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D:\Financial Inclusion\"/>
    </mc:Choice>
  </mc:AlternateContent>
  <xr:revisionPtr revIDLastSave="0" documentId="8_{75B8DCD2-B1DA-40C4-BCD1-147EEB7E00F4}" xr6:coauthVersionLast="47" xr6:coauthVersionMax="47" xr10:uidLastSave="{00000000-0000-0000-0000-000000000000}"/>
  <bookViews>
    <workbookView xWindow="28680" yWindow="360" windowWidth="21240" windowHeight="15270" xr2:uid="{D504F11B-44CE-4C05-A857-1D3162D9BE70}"/>
  </bookViews>
  <sheets>
    <sheet name="savedrecs" sheetId="1" r:id="rId1"/>
  </sheets>
  <calcPr calcId="191029"/>
</workbook>
</file>

<file path=xl/calcChain.xml><?xml version="1.0" encoding="utf-8"?>
<calcChain xmlns="http://schemas.openxmlformats.org/spreadsheetml/2006/main">
  <c r="BT3541" i="1" l="1"/>
  <c r="BT3540" i="1"/>
  <c r="BT3539" i="1"/>
  <c r="BF3539" i="1"/>
  <c r="BT3538" i="1"/>
  <c r="BF3538" i="1"/>
  <c r="BT3537" i="1"/>
  <c r="BF3537" i="1"/>
  <c r="BT3536" i="1"/>
  <c r="BT3535" i="1"/>
  <c r="BF3535" i="1"/>
  <c r="BT3534" i="1"/>
  <c r="BF3534" i="1"/>
  <c r="BT3533" i="1"/>
  <c r="BF3533" i="1"/>
  <c r="BT3532" i="1"/>
  <c r="BF3532" i="1"/>
  <c r="BT3531" i="1"/>
  <c r="BF3531" i="1"/>
  <c r="BT3530" i="1"/>
  <c r="BF3530" i="1"/>
  <c r="BT3529" i="1"/>
  <c r="BF3529" i="1"/>
  <c r="BT3528" i="1"/>
  <c r="BF3528" i="1"/>
  <c r="BT3527" i="1"/>
  <c r="BF3527" i="1"/>
  <c r="BT3526" i="1"/>
  <c r="BF3526" i="1"/>
  <c r="BT3525" i="1"/>
  <c r="BF3525" i="1"/>
  <c r="BT3524" i="1"/>
  <c r="BF3524" i="1"/>
  <c r="BT3523" i="1"/>
  <c r="BF3523" i="1"/>
  <c r="BT3522" i="1"/>
  <c r="BF3522" i="1"/>
  <c r="BT3521" i="1"/>
  <c r="BF3521" i="1"/>
  <c r="BT3520" i="1"/>
  <c r="BF3520" i="1"/>
  <c r="BT3519" i="1"/>
  <c r="BF3519" i="1"/>
  <c r="BT3518" i="1"/>
  <c r="BF3518" i="1"/>
  <c r="BT3517" i="1"/>
  <c r="BF3517" i="1"/>
  <c r="BT3516" i="1"/>
  <c r="BF3516" i="1"/>
  <c r="BT3515" i="1"/>
  <c r="BF3515" i="1"/>
  <c r="BT3514" i="1"/>
  <c r="BF3514" i="1"/>
  <c r="BT3513" i="1"/>
  <c r="BF3513" i="1"/>
  <c r="BT3512" i="1"/>
  <c r="BF3512" i="1"/>
  <c r="BT3511" i="1"/>
  <c r="BF3511" i="1"/>
  <c r="BT3510" i="1"/>
  <c r="BF3510" i="1"/>
  <c r="BT3509" i="1"/>
  <c r="BF3509" i="1"/>
  <c r="BT3508" i="1"/>
  <c r="BF3508" i="1"/>
  <c r="BT3507" i="1"/>
  <c r="BF3507" i="1"/>
  <c r="BT3506" i="1"/>
  <c r="BF3506" i="1"/>
  <c r="BT3505" i="1"/>
  <c r="BT3504" i="1"/>
  <c r="BF3504" i="1"/>
  <c r="BT3503" i="1"/>
  <c r="BF3503" i="1"/>
  <c r="BT3502" i="1"/>
  <c r="BF3502" i="1"/>
  <c r="BT3501" i="1"/>
  <c r="BF3501" i="1"/>
  <c r="BT3500" i="1"/>
  <c r="BF3500" i="1"/>
  <c r="BT3499" i="1"/>
  <c r="BF3499" i="1"/>
  <c r="BT3498" i="1"/>
  <c r="BT3497" i="1"/>
  <c r="BF3497" i="1"/>
  <c r="BT3496" i="1"/>
  <c r="BF3496" i="1"/>
  <c r="BT3495" i="1"/>
  <c r="BF3495" i="1"/>
  <c r="BT3494" i="1"/>
  <c r="BF3494" i="1"/>
  <c r="BT3493" i="1"/>
  <c r="BF3493" i="1"/>
  <c r="BT3492" i="1"/>
  <c r="BF3492" i="1"/>
  <c r="BT3491" i="1"/>
  <c r="BF3491" i="1"/>
  <c r="BT3490" i="1"/>
  <c r="BF3490" i="1"/>
  <c r="BT3489" i="1"/>
  <c r="BF3489" i="1"/>
  <c r="BT3488" i="1"/>
  <c r="BF3488" i="1"/>
  <c r="BT3487" i="1"/>
  <c r="BF3487" i="1"/>
  <c r="BT3486" i="1"/>
  <c r="BF3486" i="1"/>
  <c r="BT3485" i="1"/>
  <c r="BF3485" i="1"/>
  <c r="BT3484" i="1"/>
  <c r="BF3484" i="1"/>
  <c r="BT3483" i="1"/>
  <c r="BF3483" i="1"/>
  <c r="BT3482" i="1"/>
  <c r="BF3482" i="1"/>
  <c r="BT3481" i="1"/>
  <c r="BF3481" i="1"/>
  <c r="BT3480" i="1"/>
  <c r="BT3479" i="1"/>
  <c r="BF3479" i="1"/>
  <c r="BT3478" i="1"/>
  <c r="BF3478" i="1"/>
  <c r="BT3477" i="1"/>
  <c r="BF3477" i="1"/>
  <c r="BT3476" i="1"/>
  <c r="BF3476" i="1"/>
  <c r="BT3475" i="1"/>
  <c r="BF3475" i="1"/>
  <c r="BT3474" i="1"/>
  <c r="BF3474" i="1"/>
  <c r="BT3473" i="1"/>
  <c r="BF3473" i="1"/>
  <c r="BT3472" i="1"/>
  <c r="BF3472" i="1"/>
  <c r="BT3471" i="1"/>
  <c r="BF3471" i="1"/>
  <c r="BT3470" i="1"/>
  <c r="BF3470" i="1"/>
  <c r="BT3469" i="1"/>
  <c r="BF3469" i="1"/>
  <c r="BT3468" i="1"/>
  <c r="BF3468" i="1"/>
  <c r="BT3467" i="1"/>
  <c r="BF3467" i="1"/>
  <c r="BT3466" i="1"/>
  <c r="BF3466" i="1"/>
  <c r="BT3465" i="1"/>
  <c r="BF3465" i="1"/>
  <c r="BT3464" i="1"/>
  <c r="BF3464" i="1"/>
  <c r="BT3463" i="1"/>
  <c r="BF3463" i="1"/>
  <c r="BT3462" i="1"/>
  <c r="BT3461" i="1"/>
  <c r="BF3461" i="1"/>
  <c r="BT3460" i="1"/>
  <c r="BF3460" i="1"/>
  <c r="BT3459" i="1"/>
  <c r="BF3459" i="1"/>
  <c r="BT3458" i="1"/>
  <c r="BF3458" i="1"/>
  <c r="BT3457" i="1"/>
  <c r="BF3457" i="1"/>
  <c r="BT3456" i="1"/>
  <c r="BF3456" i="1"/>
  <c r="BT3455" i="1"/>
  <c r="BF3455" i="1"/>
  <c r="BT3454" i="1"/>
  <c r="BF3454" i="1"/>
  <c r="BT3453" i="1"/>
  <c r="BF3453" i="1"/>
  <c r="BT3452" i="1"/>
  <c r="BF3452" i="1"/>
  <c r="BT3451" i="1"/>
  <c r="BF3451" i="1"/>
  <c r="BT3450" i="1"/>
  <c r="BF3450" i="1"/>
  <c r="BT3449" i="1"/>
  <c r="BF3449" i="1"/>
  <c r="BT3448" i="1"/>
  <c r="BF3448" i="1"/>
  <c r="BT3447" i="1"/>
  <c r="BF3447" i="1"/>
  <c r="BT3446" i="1"/>
  <c r="BF3446" i="1"/>
  <c r="BT3445" i="1"/>
  <c r="BF3445" i="1"/>
  <c r="BT3444" i="1"/>
  <c r="BF3444" i="1"/>
  <c r="BT3443" i="1"/>
  <c r="BF3443" i="1"/>
  <c r="BT3442" i="1"/>
  <c r="BF3442" i="1"/>
  <c r="BT3441" i="1"/>
  <c r="BF3441" i="1"/>
  <c r="BT3440" i="1"/>
  <c r="BF3440" i="1"/>
  <c r="BT3439" i="1"/>
  <c r="BT3438" i="1"/>
  <c r="BF3438" i="1"/>
  <c r="BT3437" i="1"/>
  <c r="BF3437" i="1"/>
  <c r="BT3436" i="1"/>
  <c r="BF3436" i="1"/>
  <c r="BT3435" i="1"/>
  <c r="BF3435" i="1"/>
  <c r="BT3434" i="1"/>
  <c r="BF3434" i="1"/>
  <c r="BT3433" i="1"/>
  <c r="BF3433" i="1"/>
  <c r="BT3432" i="1"/>
  <c r="BF3432" i="1"/>
  <c r="BT3431" i="1"/>
  <c r="BF3431" i="1"/>
  <c r="BT3430" i="1"/>
  <c r="BF3430" i="1"/>
  <c r="BT3429" i="1"/>
  <c r="BF3429" i="1"/>
  <c r="BT3428" i="1"/>
  <c r="BF3428" i="1"/>
  <c r="BT3427" i="1"/>
  <c r="BF3427" i="1"/>
  <c r="BT3426" i="1"/>
  <c r="BF3426" i="1"/>
  <c r="BT3425" i="1"/>
  <c r="BF3425" i="1"/>
  <c r="BT3424" i="1"/>
  <c r="BF3424" i="1"/>
  <c r="BT3423" i="1"/>
  <c r="BF3423" i="1"/>
  <c r="BT3422" i="1"/>
  <c r="BF3422" i="1"/>
  <c r="BT3421" i="1"/>
  <c r="BF3421" i="1"/>
  <c r="BT3420" i="1"/>
  <c r="BF3420" i="1"/>
  <c r="BT3419" i="1"/>
  <c r="BF3419" i="1"/>
  <c r="BT3418" i="1"/>
  <c r="BF3418" i="1"/>
  <c r="BT3417" i="1"/>
  <c r="BF3417" i="1"/>
  <c r="BT3416" i="1"/>
  <c r="BF3416" i="1"/>
  <c r="BT3415" i="1"/>
  <c r="BF3415" i="1"/>
  <c r="BT3414" i="1"/>
  <c r="BF3414" i="1"/>
  <c r="BT3413" i="1"/>
  <c r="BF3413" i="1"/>
  <c r="BT3412" i="1"/>
  <c r="BF3412" i="1"/>
  <c r="BT3411" i="1"/>
  <c r="BF3411" i="1"/>
  <c r="BT3410" i="1"/>
  <c r="BF3410" i="1"/>
  <c r="BT3409" i="1"/>
  <c r="BF3409" i="1"/>
  <c r="BT3408" i="1"/>
  <c r="BF3408" i="1"/>
  <c r="BT3407" i="1"/>
  <c r="BF3407" i="1"/>
  <c r="BT3406" i="1"/>
  <c r="BF3406" i="1"/>
  <c r="BT3405" i="1"/>
  <c r="BF3405" i="1"/>
  <c r="BT3404" i="1"/>
  <c r="BF3404" i="1"/>
  <c r="BT3403" i="1"/>
  <c r="BF3403" i="1"/>
  <c r="BT3402" i="1"/>
  <c r="BF3402" i="1"/>
  <c r="BT3401" i="1"/>
  <c r="BF3401" i="1"/>
  <c r="BT3400" i="1"/>
  <c r="BF3400" i="1"/>
  <c r="BT3399" i="1"/>
  <c r="BF3399" i="1"/>
  <c r="BT3398" i="1"/>
  <c r="BT3397" i="1"/>
  <c r="BF3397" i="1"/>
  <c r="BT3396" i="1"/>
  <c r="BF3396" i="1"/>
  <c r="BT3395" i="1"/>
  <c r="BF3395" i="1"/>
  <c r="BT3394" i="1"/>
  <c r="BT3393" i="1"/>
  <c r="BT3392" i="1"/>
  <c r="BF3392" i="1"/>
  <c r="BT3391" i="1"/>
  <c r="BF3391" i="1"/>
  <c r="BT3390" i="1"/>
  <c r="BF3390" i="1"/>
  <c r="BT3389" i="1"/>
  <c r="BF3389" i="1"/>
  <c r="BT3388" i="1"/>
  <c r="BF3388" i="1"/>
  <c r="BT3387" i="1"/>
  <c r="BF3387" i="1"/>
  <c r="BT3386" i="1"/>
  <c r="BF3386" i="1"/>
  <c r="BT3385" i="1"/>
  <c r="BF3385" i="1"/>
  <c r="BT3384" i="1"/>
  <c r="BF3384" i="1"/>
  <c r="BT3383" i="1"/>
  <c r="BF3383" i="1"/>
  <c r="BT3382" i="1"/>
  <c r="BF3382" i="1"/>
  <c r="BT3381" i="1"/>
  <c r="BF3381" i="1"/>
  <c r="BT3380" i="1"/>
  <c r="BF3380" i="1"/>
  <c r="BT3379" i="1"/>
  <c r="BF3379" i="1"/>
  <c r="BT3378" i="1"/>
  <c r="BF3378" i="1"/>
  <c r="BT3377" i="1"/>
  <c r="BF3377" i="1"/>
  <c r="BT3376" i="1"/>
  <c r="BF3376" i="1"/>
  <c r="BT3375" i="1"/>
  <c r="BF3375" i="1"/>
  <c r="BT3374" i="1"/>
  <c r="BF3374" i="1"/>
  <c r="BT3373" i="1"/>
  <c r="BF3373" i="1"/>
  <c r="BT3372" i="1"/>
  <c r="BF3372" i="1"/>
  <c r="BT3371" i="1"/>
  <c r="BF3371" i="1"/>
  <c r="BT3370" i="1"/>
  <c r="BF3370" i="1"/>
  <c r="BT3369" i="1"/>
  <c r="BF3369" i="1"/>
  <c r="BT3368" i="1"/>
  <c r="BF3368" i="1"/>
  <c r="BT3367" i="1"/>
  <c r="BF3367" i="1"/>
  <c r="BT3366" i="1"/>
  <c r="BF3366" i="1"/>
  <c r="BT3365" i="1"/>
  <c r="BT3364" i="1"/>
  <c r="BT3363" i="1"/>
  <c r="BF3363" i="1"/>
  <c r="BT3362" i="1"/>
  <c r="BF3362" i="1"/>
  <c r="BT3361" i="1"/>
  <c r="BF3361" i="1"/>
  <c r="BT3360" i="1"/>
  <c r="BT3359" i="1"/>
  <c r="BF3359" i="1"/>
  <c r="BT3358" i="1"/>
  <c r="BF3358" i="1"/>
  <c r="BT3357" i="1"/>
  <c r="BF3357" i="1"/>
  <c r="BT3356" i="1"/>
  <c r="BF3356" i="1"/>
  <c r="BT3355" i="1"/>
  <c r="BF3355" i="1"/>
  <c r="BT3354" i="1"/>
  <c r="BF3354" i="1"/>
  <c r="BT3353" i="1"/>
  <c r="BF3353" i="1"/>
  <c r="BT3352" i="1"/>
  <c r="BF3352" i="1"/>
  <c r="BT3351" i="1"/>
  <c r="BF3351" i="1"/>
  <c r="BT3350" i="1"/>
  <c r="BF3350" i="1"/>
  <c r="BT3349" i="1"/>
  <c r="BF3349" i="1"/>
  <c r="BT3348" i="1"/>
  <c r="BF3348" i="1"/>
  <c r="BT3347" i="1"/>
  <c r="BF3347" i="1"/>
  <c r="BT3346" i="1"/>
  <c r="BF3346" i="1"/>
  <c r="BT3345" i="1"/>
  <c r="BF3345" i="1"/>
  <c r="BT3344" i="1"/>
  <c r="BF3344" i="1"/>
  <c r="BT3343" i="1"/>
  <c r="BF3343" i="1"/>
  <c r="BT3342" i="1"/>
  <c r="BF3342" i="1"/>
  <c r="BT3341" i="1"/>
  <c r="BF3341" i="1"/>
  <c r="BT3340" i="1"/>
  <c r="BF3340" i="1"/>
  <c r="BT3339" i="1"/>
  <c r="BT3338" i="1"/>
  <c r="BF3338" i="1"/>
  <c r="BT3337" i="1"/>
  <c r="BF3337" i="1"/>
  <c r="BT3336" i="1"/>
  <c r="BF3336" i="1"/>
  <c r="BT3335" i="1"/>
  <c r="BF3335" i="1"/>
  <c r="BT3334" i="1"/>
  <c r="BF3334" i="1"/>
  <c r="BT3333" i="1"/>
  <c r="BF3333" i="1"/>
  <c r="BT3332" i="1"/>
  <c r="BF3332" i="1"/>
  <c r="BT3331" i="1"/>
  <c r="BF3331" i="1"/>
  <c r="BT3330" i="1"/>
  <c r="BF3330" i="1"/>
  <c r="BT3329" i="1"/>
  <c r="BF3329" i="1"/>
  <c r="BT3328" i="1"/>
  <c r="BF3328" i="1"/>
  <c r="BT3327" i="1"/>
  <c r="BF3327" i="1"/>
  <c r="BT3326" i="1"/>
  <c r="BF3326" i="1"/>
  <c r="BT3325" i="1"/>
  <c r="BF3325" i="1"/>
  <c r="BT3324" i="1"/>
  <c r="BF3324" i="1"/>
  <c r="BT3323" i="1"/>
  <c r="BF3323" i="1"/>
  <c r="BT3322" i="1"/>
  <c r="BF3322" i="1"/>
  <c r="BT3321" i="1"/>
  <c r="BF3321" i="1"/>
  <c r="BT3320" i="1"/>
  <c r="BF3320" i="1"/>
  <c r="BT3319" i="1"/>
  <c r="BF3319" i="1"/>
  <c r="BT3318" i="1"/>
  <c r="BF3318" i="1"/>
  <c r="BT3317" i="1"/>
  <c r="BT3316" i="1"/>
  <c r="BF3316" i="1"/>
  <c r="BT3315" i="1"/>
  <c r="BF3315" i="1"/>
  <c r="BT3314" i="1"/>
  <c r="BF3314" i="1"/>
  <c r="BT3313" i="1"/>
  <c r="BF3313" i="1"/>
  <c r="BT3312" i="1"/>
  <c r="BF3312" i="1"/>
  <c r="BT3311" i="1"/>
  <c r="BF3311" i="1"/>
  <c r="BT3310" i="1"/>
  <c r="BF3310" i="1"/>
  <c r="BT3309" i="1"/>
  <c r="BF3309" i="1"/>
  <c r="BT3308" i="1"/>
  <c r="BF3308" i="1"/>
  <c r="BT3307" i="1"/>
  <c r="BF3307" i="1"/>
  <c r="BT3306" i="1"/>
  <c r="BF3306" i="1"/>
  <c r="BT3305" i="1"/>
  <c r="BF3305" i="1"/>
  <c r="BT3304" i="1"/>
  <c r="BF3304" i="1"/>
  <c r="BT3303" i="1"/>
  <c r="BF3303" i="1"/>
  <c r="BT3302" i="1"/>
  <c r="BF3302" i="1"/>
  <c r="BT3301" i="1"/>
  <c r="BF3301" i="1"/>
  <c r="BT3300" i="1"/>
  <c r="BF3300" i="1"/>
  <c r="BT3299" i="1"/>
  <c r="BF3299" i="1"/>
  <c r="BT3298" i="1"/>
  <c r="BF3298" i="1"/>
  <c r="BT3297" i="1"/>
  <c r="BF3297" i="1"/>
  <c r="BT3296" i="1"/>
  <c r="BF3296" i="1"/>
  <c r="BT3295" i="1"/>
  <c r="BF3295" i="1"/>
  <c r="BT3294" i="1"/>
  <c r="BF3294" i="1"/>
  <c r="BT3293" i="1"/>
  <c r="BF3293" i="1"/>
  <c r="BT3292" i="1"/>
  <c r="BF3292" i="1"/>
  <c r="BT3291" i="1"/>
  <c r="BF3291" i="1"/>
  <c r="BT3290" i="1"/>
  <c r="BF3290" i="1"/>
  <c r="BT3289" i="1"/>
  <c r="BF3289" i="1"/>
  <c r="BT3288" i="1"/>
  <c r="BF3288" i="1"/>
  <c r="BT3287" i="1"/>
  <c r="BF3287" i="1"/>
  <c r="BT3286" i="1"/>
  <c r="BF3286" i="1"/>
  <c r="BT3285" i="1"/>
  <c r="BF3285" i="1"/>
  <c r="BT3284" i="1"/>
  <c r="BF3284" i="1"/>
  <c r="BT3283" i="1"/>
  <c r="BF3283" i="1"/>
  <c r="BT3282" i="1"/>
  <c r="BF3282" i="1"/>
  <c r="BT3281" i="1"/>
  <c r="BF3281" i="1"/>
  <c r="BT3280" i="1"/>
  <c r="BF3280" i="1"/>
  <c r="BT3279" i="1"/>
  <c r="BF3279" i="1"/>
  <c r="BT3278" i="1"/>
  <c r="BF3278" i="1"/>
  <c r="BT3277" i="1"/>
  <c r="BF3277" i="1"/>
  <c r="BT3276" i="1"/>
  <c r="BF3276" i="1"/>
  <c r="BT3275" i="1"/>
  <c r="BF3275" i="1"/>
  <c r="BT3274" i="1"/>
  <c r="BF3274" i="1"/>
  <c r="BT3273" i="1"/>
  <c r="BF3273" i="1"/>
  <c r="BT3272" i="1"/>
  <c r="BF3272" i="1"/>
  <c r="BT3271" i="1"/>
  <c r="BF3271" i="1"/>
  <c r="BT3270" i="1"/>
  <c r="BF3270" i="1"/>
  <c r="BT3269" i="1"/>
  <c r="BF3269" i="1"/>
  <c r="BT3268" i="1"/>
  <c r="BF3268" i="1"/>
  <c r="BT3267" i="1"/>
  <c r="BF3267" i="1"/>
  <c r="BT3266" i="1"/>
  <c r="BF3266" i="1"/>
  <c r="BT3265" i="1"/>
  <c r="BF3265" i="1"/>
  <c r="BT3264" i="1"/>
  <c r="BF3264" i="1"/>
  <c r="BT3263" i="1"/>
  <c r="BF3263" i="1"/>
  <c r="BT3262" i="1"/>
  <c r="BF3262" i="1"/>
  <c r="BT3261" i="1"/>
  <c r="BF3261" i="1"/>
  <c r="BT3260" i="1"/>
  <c r="BF3260" i="1"/>
  <c r="BT3259" i="1"/>
  <c r="BF3259" i="1"/>
  <c r="BT3258" i="1"/>
  <c r="BF3258" i="1"/>
  <c r="BT3257" i="1"/>
  <c r="BF3257" i="1"/>
  <c r="BT3256" i="1"/>
  <c r="BF3256" i="1"/>
  <c r="BT3255" i="1"/>
  <c r="BF3255" i="1"/>
  <c r="BT3254" i="1"/>
  <c r="BF3254" i="1"/>
  <c r="BT3253" i="1"/>
  <c r="BF3253" i="1"/>
  <c r="BT3252" i="1"/>
  <c r="BT3251" i="1"/>
  <c r="BF3251" i="1"/>
  <c r="BT3250" i="1"/>
  <c r="BF3250" i="1"/>
  <c r="BT3249" i="1"/>
  <c r="BF3249" i="1"/>
  <c r="BT3248" i="1"/>
  <c r="BF3248" i="1"/>
  <c r="BT3247" i="1"/>
  <c r="BF3247" i="1"/>
  <c r="BT3246" i="1"/>
  <c r="BT3245" i="1"/>
  <c r="BF3245" i="1"/>
  <c r="BT3244" i="1"/>
  <c r="BF3244" i="1"/>
  <c r="BT3243" i="1"/>
  <c r="BF3243" i="1"/>
  <c r="BT3242" i="1"/>
  <c r="BF3242" i="1"/>
  <c r="BT3241" i="1"/>
  <c r="BF3241" i="1"/>
  <c r="BT3240" i="1"/>
  <c r="BF3240" i="1"/>
  <c r="BT3239" i="1"/>
  <c r="BF3239" i="1"/>
  <c r="BT3238" i="1"/>
  <c r="BF3238" i="1"/>
  <c r="BT3237" i="1"/>
  <c r="BF3237" i="1"/>
  <c r="BT3236" i="1"/>
  <c r="BF3236" i="1"/>
  <c r="BT3235" i="1"/>
  <c r="BF3235" i="1"/>
  <c r="BT3234" i="1"/>
  <c r="BF3234" i="1"/>
  <c r="BT3233" i="1"/>
  <c r="BF3233" i="1"/>
  <c r="BT3232" i="1"/>
  <c r="BF3232" i="1"/>
  <c r="BT3231" i="1"/>
  <c r="BF3231" i="1"/>
  <c r="BT3230" i="1"/>
  <c r="BF3230" i="1"/>
  <c r="BT3229" i="1"/>
  <c r="BF3229" i="1"/>
  <c r="BT3228" i="1"/>
  <c r="BF3228" i="1"/>
  <c r="BT3227" i="1"/>
  <c r="BF3227" i="1"/>
  <c r="BT3226" i="1"/>
  <c r="BF3226" i="1"/>
  <c r="BT3225" i="1"/>
  <c r="BF3225" i="1"/>
  <c r="BT3224" i="1"/>
  <c r="BF3224" i="1"/>
  <c r="BT3223" i="1"/>
  <c r="BF3223" i="1"/>
  <c r="BT3222" i="1"/>
  <c r="BF3222" i="1"/>
  <c r="BT3221" i="1"/>
  <c r="BF3221" i="1"/>
  <c r="BT3220" i="1"/>
  <c r="BF3220" i="1"/>
  <c r="BT3219" i="1"/>
  <c r="BF3219" i="1"/>
  <c r="BT3218" i="1"/>
  <c r="BF3218" i="1"/>
  <c r="BT3217" i="1"/>
  <c r="BF3217" i="1"/>
  <c r="BT3216" i="1"/>
  <c r="BF3216" i="1"/>
  <c r="BT3215" i="1"/>
  <c r="BF3215" i="1"/>
  <c r="BT3214" i="1"/>
  <c r="BF3214" i="1"/>
  <c r="BT3213" i="1"/>
  <c r="BF3213" i="1"/>
  <c r="BT3212" i="1"/>
  <c r="BF3212" i="1"/>
  <c r="BT3211" i="1"/>
  <c r="BF3211" i="1"/>
  <c r="BT3210" i="1"/>
  <c r="BF3210" i="1"/>
  <c r="BT3209" i="1"/>
  <c r="BF3209" i="1"/>
  <c r="BT3208" i="1"/>
  <c r="BT3207" i="1"/>
  <c r="BF3207" i="1"/>
  <c r="BT3206" i="1"/>
  <c r="BF3206" i="1"/>
  <c r="BT3205" i="1"/>
  <c r="BF3205" i="1"/>
  <c r="BT3204" i="1"/>
  <c r="BF3204" i="1"/>
  <c r="BT3203" i="1"/>
  <c r="BF3203" i="1"/>
  <c r="BT3202" i="1"/>
  <c r="BF3202" i="1"/>
  <c r="BT3201" i="1"/>
  <c r="BF3201" i="1"/>
  <c r="BT3200" i="1"/>
  <c r="BF3200" i="1"/>
  <c r="BT3199" i="1"/>
  <c r="BF3199" i="1"/>
  <c r="BT3198" i="1"/>
  <c r="BF3198" i="1"/>
  <c r="BT3197" i="1"/>
  <c r="BF3197" i="1"/>
  <c r="BT3196" i="1"/>
  <c r="BF3196" i="1"/>
  <c r="BT3195" i="1"/>
  <c r="BF3195" i="1"/>
  <c r="BT3194" i="1"/>
  <c r="BF3194" i="1"/>
  <c r="BT3193" i="1"/>
  <c r="BF3193" i="1"/>
  <c r="BT3192" i="1"/>
  <c r="BF3192" i="1"/>
  <c r="BT3191" i="1"/>
  <c r="BF3191" i="1"/>
  <c r="BT3190" i="1"/>
  <c r="BF3190" i="1"/>
  <c r="BT3189" i="1"/>
  <c r="BF3189" i="1"/>
  <c r="BT3188" i="1"/>
  <c r="BF3188" i="1"/>
  <c r="BT3187" i="1"/>
  <c r="BF3187" i="1"/>
  <c r="BT3186" i="1"/>
  <c r="BF3186" i="1"/>
  <c r="BT3185" i="1"/>
  <c r="BF3185" i="1"/>
  <c r="BT3184" i="1"/>
  <c r="BF3184" i="1"/>
  <c r="BT3183" i="1"/>
  <c r="BF3183" i="1"/>
  <c r="BT3182" i="1"/>
  <c r="BF3182" i="1"/>
  <c r="BT3181" i="1"/>
  <c r="BF3181" i="1"/>
  <c r="BT3180" i="1"/>
  <c r="BF3180" i="1"/>
  <c r="BT3179" i="1"/>
  <c r="BF3179" i="1"/>
  <c r="BT3178" i="1"/>
  <c r="BF3178" i="1"/>
  <c r="BT3177" i="1"/>
  <c r="BF3177" i="1"/>
  <c r="BT3176" i="1"/>
  <c r="BF3176" i="1"/>
  <c r="BT3175" i="1"/>
  <c r="BT3174" i="1"/>
  <c r="BF3174" i="1"/>
  <c r="BT3173" i="1"/>
  <c r="BF3173" i="1"/>
  <c r="BT3172" i="1"/>
  <c r="BF3172" i="1"/>
  <c r="BT3171" i="1"/>
  <c r="BF3171" i="1"/>
  <c r="BT3170" i="1"/>
  <c r="BF3170" i="1"/>
  <c r="BT3169" i="1"/>
  <c r="BF3169" i="1"/>
  <c r="BT3168" i="1"/>
  <c r="BF3168" i="1"/>
  <c r="BT3167" i="1"/>
  <c r="BF3167" i="1"/>
  <c r="BT3166" i="1"/>
  <c r="BF3166" i="1"/>
  <c r="BT3165" i="1"/>
  <c r="BF3165" i="1"/>
  <c r="BT3164" i="1"/>
  <c r="BF3164" i="1"/>
  <c r="BT3163" i="1"/>
  <c r="BF3163" i="1"/>
  <c r="BT3162" i="1"/>
  <c r="BF3162" i="1"/>
  <c r="BT3161" i="1"/>
  <c r="BF3161" i="1"/>
  <c r="BT3160" i="1"/>
  <c r="BF3160" i="1"/>
  <c r="BT3159" i="1"/>
  <c r="BF3159" i="1"/>
  <c r="BT3158" i="1"/>
  <c r="BF3158" i="1"/>
  <c r="BT3157" i="1"/>
  <c r="BF3157" i="1"/>
  <c r="BT3156" i="1"/>
  <c r="BF3156" i="1"/>
  <c r="BT3155" i="1"/>
  <c r="BF3155" i="1"/>
  <c r="BT3154" i="1"/>
  <c r="BF3154" i="1"/>
  <c r="BT3153" i="1"/>
  <c r="BF3153" i="1"/>
  <c r="BT3152" i="1"/>
  <c r="BF3152" i="1"/>
  <c r="BT3151" i="1"/>
  <c r="BF3151" i="1"/>
  <c r="BT3150" i="1"/>
  <c r="BF3150" i="1"/>
  <c r="BT3149" i="1"/>
  <c r="BF3149" i="1"/>
  <c r="BT3148" i="1"/>
  <c r="BF3148" i="1"/>
  <c r="BT3147" i="1"/>
  <c r="BF3147" i="1"/>
  <c r="BT3146" i="1"/>
  <c r="BF3146" i="1"/>
  <c r="BT3145" i="1"/>
  <c r="BF3145" i="1"/>
  <c r="BT3144" i="1"/>
  <c r="BF3144" i="1"/>
  <c r="BT3143" i="1"/>
  <c r="BF3143" i="1"/>
  <c r="BT3142" i="1"/>
  <c r="BF3142" i="1"/>
  <c r="BT3141" i="1"/>
  <c r="BF3141" i="1"/>
  <c r="BT3140" i="1"/>
  <c r="BF3140" i="1"/>
  <c r="BT3139" i="1"/>
  <c r="BF3139" i="1"/>
  <c r="BT3138" i="1"/>
  <c r="BF3138" i="1"/>
  <c r="BT3137" i="1"/>
  <c r="BF3137" i="1"/>
  <c r="BT3136" i="1"/>
  <c r="BF3136" i="1"/>
  <c r="BT3135" i="1"/>
  <c r="BF3135" i="1"/>
  <c r="BT3134" i="1"/>
  <c r="BF3134" i="1"/>
  <c r="BT3133" i="1"/>
  <c r="BF3133" i="1"/>
  <c r="BT3132" i="1"/>
  <c r="BF3132" i="1"/>
  <c r="BT3131" i="1"/>
  <c r="BF3131" i="1"/>
  <c r="BT3130" i="1"/>
  <c r="BF3130" i="1"/>
  <c r="BT3129" i="1"/>
  <c r="BF3129" i="1"/>
  <c r="BT3128" i="1"/>
  <c r="BF3128" i="1"/>
  <c r="BT3127" i="1"/>
  <c r="BF3127" i="1"/>
  <c r="BT3126" i="1"/>
  <c r="BF3126" i="1"/>
  <c r="BT3125" i="1"/>
  <c r="BF3125" i="1"/>
  <c r="BT3124" i="1"/>
  <c r="BF3124" i="1"/>
  <c r="BT3123" i="1"/>
  <c r="BF3123" i="1"/>
  <c r="BT3122" i="1"/>
  <c r="BF3122" i="1"/>
  <c r="BT3121" i="1"/>
  <c r="BT3120" i="1"/>
  <c r="BF3120" i="1"/>
  <c r="BT3119" i="1"/>
  <c r="BF3119" i="1"/>
  <c r="BT3118" i="1"/>
  <c r="BF3118" i="1"/>
  <c r="BT3117" i="1"/>
  <c r="BF3117" i="1"/>
  <c r="BT3116" i="1"/>
  <c r="BF3116" i="1"/>
  <c r="BT3115" i="1"/>
  <c r="BF3115" i="1"/>
  <c r="BT3114" i="1"/>
  <c r="BF3114" i="1"/>
  <c r="BT3113" i="1"/>
  <c r="BF3113" i="1"/>
  <c r="BT3112" i="1"/>
  <c r="BF3112" i="1"/>
  <c r="BT3111" i="1"/>
  <c r="BF3111" i="1"/>
  <c r="BT3110" i="1"/>
  <c r="BT3109" i="1"/>
  <c r="BF3109" i="1"/>
  <c r="BT3108" i="1"/>
  <c r="BF3108" i="1"/>
  <c r="BT3107" i="1"/>
  <c r="BF3107" i="1"/>
  <c r="BT3106" i="1"/>
  <c r="BF3106" i="1"/>
  <c r="BT3105" i="1"/>
  <c r="BF3105" i="1"/>
  <c r="BT3104" i="1"/>
  <c r="BF3104" i="1"/>
  <c r="BT3103" i="1"/>
  <c r="BF3103" i="1"/>
  <c r="BT3102" i="1"/>
  <c r="BF3102" i="1"/>
  <c r="BT3101" i="1"/>
  <c r="BF3101" i="1"/>
  <c r="BT3100" i="1"/>
  <c r="BF3100" i="1"/>
  <c r="BT3099" i="1"/>
  <c r="BF3099" i="1"/>
  <c r="BT3098" i="1"/>
  <c r="BF3098" i="1"/>
  <c r="BT3097" i="1"/>
  <c r="BF3097" i="1"/>
  <c r="BT3096" i="1"/>
  <c r="BF3096" i="1"/>
  <c r="BT3095" i="1"/>
  <c r="BF3095" i="1"/>
  <c r="BT3094" i="1"/>
  <c r="BF3094" i="1"/>
  <c r="BT3093" i="1"/>
  <c r="BF3093" i="1"/>
  <c r="BT3092" i="1"/>
  <c r="BF3092" i="1"/>
  <c r="BT3091" i="1"/>
  <c r="BF3091" i="1"/>
  <c r="BT3090" i="1"/>
  <c r="BF3090" i="1"/>
  <c r="BT3089" i="1"/>
  <c r="BF3089" i="1"/>
  <c r="BT3088" i="1"/>
  <c r="BF3088" i="1"/>
  <c r="BT3087" i="1"/>
  <c r="BF3087" i="1"/>
  <c r="BT3086" i="1"/>
  <c r="BT3085" i="1"/>
  <c r="BF3085" i="1"/>
  <c r="BT3084" i="1"/>
  <c r="BF3084" i="1"/>
  <c r="BT3083" i="1"/>
  <c r="BF3083" i="1"/>
  <c r="BT3082" i="1"/>
  <c r="BT3081" i="1"/>
  <c r="BF3081" i="1"/>
  <c r="BT3080" i="1"/>
  <c r="BT3079" i="1"/>
  <c r="BF3079" i="1"/>
  <c r="BT3078" i="1"/>
  <c r="BF3078" i="1"/>
  <c r="BT3077" i="1"/>
  <c r="BF3077" i="1"/>
  <c r="BT3076" i="1"/>
  <c r="BF3076" i="1"/>
  <c r="BT3075" i="1"/>
  <c r="BF3075" i="1"/>
  <c r="BT3074" i="1"/>
  <c r="BF3074" i="1"/>
  <c r="BT3073" i="1"/>
  <c r="BF3073" i="1"/>
  <c r="BT3072" i="1"/>
  <c r="BF3072" i="1"/>
  <c r="BT3071" i="1"/>
  <c r="BF3071" i="1"/>
  <c r="BT3070" i="1"/>
  <c r="BF3070" i="1"/>
  <c r="BT3069" i="1"/>
  <c r="BF3069" i="1"/>
  <c r="BT3068" i="1"/>
  <c r="BF3068" i="1"/>
  <c r="BT3067" i="1"/>
  <c r="BF3067" i="1"/>
  <c r="BT3066" i="1"/>
  <c r="BF3066" i="1"/>
  <c r="BT3065" i="1"/>
  <c r="BF3065" i="1"/>
  <c r="BT3064" i="1"/>
  <c r="BF3064" i="1"/>
  <c r="BT3063" i="1"/>
  <c r="BF3063" i="1"/>
  <c r="BT3062" i="1"/>
  <c r="BF3062" i="1"/>
  <c r="BT3061" i="1"/>
  <c r="BT3060" i="1"/>
  <c r="BF3060" i="1"/>
  <c r="BT3059" i="1"/>
  <c r="BF3059" i="1"/>
  <c r="BT3058" i="1"/>
  <c r="BF3058" i="1"/>
  <c r="BT3057" i="1"/>
  <c r="BF3057" i="1"/>
  <c r="BT3056" i="1"/>
  <c r="BF3056" i="1"/>
  <c r="BT3055" i="1"/>
  <c r="BF3055" i="1"/>
  <c r="BT3054" i="1"/>
  <c r="BT3053" i="1"/>
  <c r="BF3053" i="1"/>
  <c r="BT3052" i="1"/>
  <c r="BF3052" i="1"/>
  <c r="BT3051" i="1"/>
  <c r="BF3051" i="1"/>
  <c r="BT3050" i="1"/>
  <c r="BF3050" i="1"/>
  <c r="BT3049" i="1"/>
  <c r="BF3049" i="1"/>
  <c r="BT3048" i="1"/>
  <c r="BF3048" i="1"/>
  <c r="BT3047" i="1"/>
  <c r="BF3047" i="1"/>
  <c r="BT3046" i="1"/>
  <c r="BF3046" i="1"/>
  <c r="BT3045" i="1"/>
  <c r="BF3045" i="1"/>
  <c r="BT3044" i="1"/>
  <c r="BF3044" i="1"/>
  <c r="BT3043" i="1"/>
  <c r="BF3043" i="1"/>
  <c r="BT3042" i="1"/>
  <c r="BF3042" i="1"/>
  <c r="BT3041" i="1"/>
  <c r="BF3041" i="1"/>
  <c r="BT3040" i="1"/>
  <c r="BF3040" i="1"/>
  <c r="BT3039" i="1"/>
  <c r="BF3039" i="1"/>
  <c r="BT3038" i="1"/>
  <c r="BF3038" i="1"/>
  <c r="BT3037" i="1"/>
  <c r="BF3037" i="1"/>
  <c r="BT3036" i="1"/>
  <c r="BF3036" i="1"/>
  <c r="BT3035" i="1"/>
  <c r="BF3035" i="1"/>
  <c r="BT3034" i="1"/>
  <c r="BF3034" i="1"/>
  <c r="BT3033" i="1"/>
  <c r="BF3033" i="1"/>
  <c r="BT3032" i="1"/>
  <c r="BF3032" i="1"/>
  <c r="BT3031" i="1"/>
  <c r="BF3031" i="1"/>
  <c r="BT3030" i="1"/>
  <c r="BF3030" i="1"/>
  <c r="BT3029" i="1"/>
  <c r="BF3029" i="1"/>
  <c r="BT3028" i="1"/>
  <c r="BF3028" i="1"/>
  <c r="BT3027" i="1"/>
  <c r="BF3027" i="1"/>
  <c r="BT3026" i="1"/>
  <c r="BF3026" i="1"/>
  <c r="BT3025" i="1"/>
  <c r="BF3025" i="1"/>
  <c r="BT3024" i="1"/>
  <c r="BF3024" i="1"/>
  <c r="BT3023" i="1"/>
  <c r="BF3023" i="1"/>
  <c r="BT3022" i="1"/>
  <c r="BF3022" i="1"/>
  <c r="BT3021" i="1"/>
  <c r="BF3021" i="1"/>
  <c r="BT3020" i="1"/>
  <c r="BF3020" i="1"/>
  <c r="BT3019" i="1"/>
  <c r="BT3018" i="1"/>
  <c r="BF3018" i="1"/>
  <c r="BT3017" i="1"/>
  <c r="BF3017" i="1"/>
  <c r="BT3016" i="1"/>
  <c r="BF3016" i="1"/>
  <c r="BT3015" i="1"/>
  <c r="BF3015" i="1"/>
  <c r="BT3014" i="1"/>
  <c r="BF3014" i="1"/>
  <c r="BT3013" i="1"/>
  <c r="BF3013" i="1"/>
  <c r="BT3012" i="1"/>
  <c r="BF3012" i="1"/>
  <c r="BT3011" i="1"/>
  <c r="BF3011" i="1"/>
  <c r="BT3010" i="1"/>
  <c r="BF3010" i="1"/>
  <c r="BT3009" i="1"/>
  <c r="BT3008" i="1"/>
  <c r="BT3007" i="1"/>
  <c r="BF3007" i="1"/>
  <c r="BT3006" i="1"/>
  <c r="BT3005" i="1"/>
  <c r="BF3005" i="1"/>
  <c r="BT3004" i="1"/>
  <c r="BF3004" i="1"/>
  <c r="BT3003" i="1"/>
  <c r="BF3003" i="1"/>
  <c r="BT3002" i="1"/>
  <c r="BF3002" i="1"/>
  <c r="BT3001" i="1"/>
  <c r="BT3000" i="1"/>
  <c r="BF3000" i="1"/>
  <c r="BT2999" i="1"/>
  <c r="BF2999" i="1"/>
  <c r="BT2998" i="1"/>
  <c r="BF2998" i="1"/>
  <c r="BT2997" i="1"/>
  <c r="BF2997" i="1"/>
  <c r="BT2996" i="1"/>
  <c r="BT2995" i="1"/>
  <c r="BF2995" i="1"/>
  <c r="BT2994" i="1"/>
  <c r="BF2994" i="1"/>
  <c r="BT2993" i="1"/>
  <c r="BF2993" i="1"/>
  <c r="BT2992" i="1"/>
  <c r="BF2992" i="1"/>
  <c r="BT2991" i="1"/>
  <c r="BF2991" i="1"/>
  <c r="BT2990" i="1"/>
  <c r="BF2990" i="1"/>
  <c r="BT2989" i="1"/>
  <c r="BF2989" i="1"/>
  <c r="BT2988" i="1"/>
  <c r="BF2988" i="1"/>
  <c r="BT2987" i="1"/>
  <c r="BF2987" i="1"/>
  <c r="BT2986" i="1"/>
  <c r="BT2985" i="1"/>
  <c r="BF2985" i="1"/>
  <c r="BT2984" i="1"/>
  <c r="BF2984" i="1"/>
  <c r="BT2983" i="1"/>
  <c r="BF2983" i="1"/>
  <c r="BT2982" i="1"/>
  <c r="BF2982" i="1"/>
  <c r="BT2981" i="1"/>
  <c r="BF2981" i="1"/>
  <c r="BT2980" i="1"/>
  <c r="BF2980" i="1"/>
  <c r="BT2979" i="1"/>
  <c r="BF2979" i="1"/>
  <c r="BT2978" i="1"/>
  <c r="BF2978" i="1"/>
  <c r="BT2977" i="1"/>
  <c r="BF2977" i="1"/>
  <c r="BT2976" i="1"/>
  <c r="BF2976" i="1"/>
  <c r="BT2975" i="1"/>
  <c r="BF2975" i="1"/>
  <c r="BT2974" i="1"/>
  <c r="BT2973" i="1"/>
  <c r="BF2973" i="1"/>
  <c r="BT2972" i="1"/>
  <c r="BF2972" i="1"/>
  <c r="BT2971" i="1"/>
  <c r="BF2971" i="1"/>
  <c r="BT2970" i="1"/>
  <c r="BF2970" i="1"/>
  <c r="BT2969" i="1"/>
  <c r="BF2969" i="1"/>
  <c r="BT2968" i="1"/>
  <c r="BF2968" i="1"/>
  <c r="BT2967" i="1"/>
  <c r="BF2967" i="1"/>
  <c r="BT2966" i="1"/>
  <c r="BF2966" i="1"/>
  <c r="BT2965" i="1"/>
  <c r="BF2965" i="1"/>
  <c r="BT2964" i="1"/>
  <c r="BT2963" i="1"/>
  <c r="BF2963" i="1"/>
  <c r="BT2962" i="1"/>
  <c r="BF2962" i="1"/>
  <c r="BT2961" i="1"/>
  <c r="BF2961" i="1"/>
  <c r="BT2960" i="1"/>
  <c r="BF2960" i="1"/>
  <c r="BT2959" i="1"/>
  <c r="BF2959" i="1"/>
  <c r="BT2958" i="1"/>
  <c r="BT2957" i="1"/>
  <c r="BF2957" i="1"/>
  <c r="BT2956" i="1"/>
  <c r="BF2956" i="1"/>
  <c r="BT2955" i="1"/>
  <c r="BF2955" i="1"/>
  <c r="BT2954" i="1"/>
  <c r="BF2954" i="1"/>
  <c r="BT2953" i="1"/>
  <c r="BF2953" i="1"/>
  <c r="BT2952" i="1"/>
  <c r="BF2952" i="1"/>
  <c r="BT2951" i="1"/>
  <c r="BF2951" i="1"/>
  <c r="BT2950" i="1"/>
  <c r="BF2950" i="1"/>
  <c r="BT2949" i="1"/>
  <c r="BF2949" i="1"/>
  <c r="BT2948" i="1"/>
  <c r="BF2948" i="1"/>
  <c r="BT2947" i="1"/>
  <c r="BF2947" i="1"/>
  <c r="BT2946" i="1"/>
  <c r="BF2946" i="1"/>
  <c r="BT2945" i="1"/>
  <c r="BF2945" i="1"/>
  <c r="BT2944" i="1"/>
  <c r="BF2944" i="1"/>
  <c r="BT2943" i="1"/>
  <c r="BF2943" i="1"/>
  <c r="BT2942" i="1"/>
  <c r="BF2942" i="1"/>
  <c r="BT2941" i="1"/>
  <c r="BT2940" i="1"/>
  <c r="BT2939" i="1"/>
  <c r="BF2939" i="1"/>
  <c r="BT2938" i="1"/>
  <c r="BF2938" i="1"/>
  <c r="BT2937" i="1"/>
  <c r="BF2937" i="1"/>
  <c r="BT2936" i="1"/>
  <c r="BF2936" i="1"/>
  <c r="BT2935" i="1"/>
  <c r="BF2935" i="1"/>
  <c r="BT2934" i="1"/>
  <c r="BF2934" i="1"/>
  <c r="BT2933" i="1"/>
  <c r="BF2933" i="1"/>
  <c r="BT2932" i="1"/>
  <c r="BF2932" i="1"/>
  <c r="BT2931" i="1"/>
  <c r="BF2931" i="1"/>
  <c r="BT2930" i="1"/>
  <c r="BF2930" i="1"/>
  <c r="BT2929" i="1"/>
  <c r="BF2929" i="1"/>
  <c r="BT2928" i="1"/>
  <c r="BF2928" i="1"/>
  <c r="BT2927" i="1"/>
  <c r="BF2927" i="1"/>
  <c r="BT2926" i="1"/>
  <c r="BT2925" i="1"/>
  <c r="BF2925" i="1"/>
  <c r="BT2924" i="1"/>
  <c r="BF2924" i="1"/>
  <c r="BT2923" i="1"/>
  <c r="BF2923" i="1"/>
  <c r="BT2922" i="1"/>
  <c r="BF2922" i="1"/>
  <c r="BT2921" i="1"/>
  <c r="BF2921" i="1"/>
  <c r="BT2920" i="1"/>
  <c r="BF2920" i="1"/>
  <c r="BT2919" i="1"/>
  <c r="BF2919" i="1"/>
  <c r="BT2918" i="1"/>
  <c r="BF2918" i="1"/>
  <c r="BT2917" i="1"/>
  <c r="BF2917" i="1"/>
  <c r="BT2916" i="1"/>
  <c r="BF2916" i="1"/>
  <c r="BT2915" i="1"/>
  <c r="BT2914" i="1"/>
  <c r="BF2914" i="1"/>
  <c r="BT2913" i="1"/>
  <c r="BT2912" i="1"/>
  <c r="BF2912" i="1"/>
  <c r="BT2911" i="1"/>
  <c r="BF2911" i="1"/>
  <c r="BT2910" i="1"/>
  <c r="BF2910" i="1"/>
  <c r="BT2909" i="1"/>
  <c r="BF2909" i="1"/>
  <c r="BT2908" i="1"/>
  <c r="BF2908" i="1"/>
  <c r="BT2907" i="1"/>
  <c r="BF2907" i="1"/>
  <c r="BT2906" i="1"/>
  <c r="BF2906" i="1"/>
  <c r="BT2905" i="1"/>
  <c r="BF2905" i="1"/>
  <c r="BT2904" i="1"/>
  <c r="BF2904" i="1"/>
  <c r="BT2903" i="1"/>
  <c r="BF2903" i="1"/>
  <c r="BT2902" i="1"/>
  <c r="BF2902" i="1"/>
  <c r="BT2901" i="1"/>
  <c r="BF2901" i="1"/>
  <c r="BT2900" i="1"/>
  <c r="BF2900" i="1"/>
  <c r="BT2899" i="1"/>
  <c r="BF2899" i="1"/>
  <c r="BT2898" i="1"/>
  <c r="BF2898" i="1"/>
  <c r="BT2897" i="1"/>
  <c r="BF2897" i="1"/>
  <c r="BT2896" i="1"/>
  <c r="BF2896" i="1"/>
  <c r="BT2895" i="1"/>
  <c r="BF2895" i="1"/>
  <c r="BT2894" i="1"/>
  <c r="BF2894" i="1"/>
  <c r="BT2893" i="1"/>
  <c r="BF2893" i="1"/>
  <c r="BT2892" i="1"/>
  <c r="BF2892" i="1"/>
  <c r="BT2891" i="1"/>
  <c r="BF2891" i="1"/>
  <c r="BT2890" i="1"/>
  <c r="BF2890" i="1"/>
  <c r="BT2889" i="1"/>
  <c r="BF2889" i="1"/>
  <c r="BT2888" i="1"/>
  <c r="BF2888" i="1"/>
  <c r="BT2887" i="1"/>
  <c r="BF2887" i="1"/>
  <c r="BT2886" i="1"/>
  <c r="BF2886" i="1"/>
  <c r="BT2885" i="1"/>
  <c r="BF2885" i="1"/>
  <c r="BT2884" i="1"/>
  <c r="BF2884" i="1"/>
  <c r="BT2883" i="1"/>
  <c r="BT2882" i="1"/>
  <c r="BF2882" i="1"/>
  <c r="BT2881" i="1"/>
  <c r="BF2881" i="1"/>
  <c r="BT2880" i="1"/>
  <c r="BF2880" i="1"/>
  <c r="BT2879" i="1"/>
  <c r="BF2879" i="1"/>
  <c r="BT2878" i="1"/>
  <c r="BF2878" i="1"/>
  <c r="BT2877" i="1"/>
  <c r="BF2877" i="1"/>
  <c r="BT2876" i="1"/>
  <c r="BF2876" i="1"/>
  <c r="BT2875" i="1"/>
  <c r="BF2875" i="1"/>
  <c r="BT2874" i="1"/>
  <c r="BF2874" i="1"/>
  <c r="BT2873" i="1"/>
  <c r="BF2873" i="1"/>
  <c r="BT2872" i="1"/>
  <c r="BF2872" i="1"/>
  <c r="BT2871" i="1"/>
  <c r="BF2871" i="1"/>
  <c r="BT2870" i="1"/>
  <c r="BF2870" i="1"/>
  <c r="BT2869" i="1"/>
  <c r="BF2869" i="1"/>
  <c r="BT2868" i="1"/>
  <c r="BF2868" i="1"/>
  <c r="BT2867" i="1"/>
  <c r="BF2867" i="1"/>
  <c r="BT2866" i="1"/>
  <c r="BF2866" i="1"/>
  <c r="BT2865" i="1"/>
  <c r="BF2865" i="1"/>
  <c r="BT2864" i="1"/>
  <c r="BF2864" i="1"/>
  <c r="BT2863" i="1"/>
  <c r="BF2863" i="1"/>
  <c r="BT2862" i="1"/>
  <c r="BF2862" i="1"/>
  <c r="BT2861" i="1"/>
  <c r="BF2861" i="1"/>
  <c r="BT2860" i="1"/>
  <c r="BF2860" i="1"/>
  <c r="BT2859" i="1"/>
  <c r="BF2859" i="1"/>
  <c r="BT2858" i="1"/>
  <c r="BF2858" i="1"/>
  <c r="BT2857" i="1"/>
  <c r="BF2857" i="1"/>
  <c r="BT2856" i="1"/>
  <c r="BF2856" i="1"/>
  <c r="BT2855" i="1"/>
  <c r="BF2855" i="1"/>
  <c r="BT2854" i="1"/>
  <c r="BF2854" i="1"/>
  <c r="BT2853" i="1"/>
  <c r="BF2853" i="1"/>
  <c r="BT2852" i="1"/>
  <c r="BF2852" i="1"/>
  <c r="BT2851" i="1"/>
  <c r="BF2851" i="1"/>
  <c r="BT2850" i="1"/>
  <c r="BF2850" i="1"/>
  <c r="BT2849" i="1"/>
  <c r="BF2849" i="1"/>
  <c r="BT2848" i="1"/>
  <c r="BF2848" i="1"/>
  <c r="BT2847" i="1"/>
  <c r="BF2847" i="1"/>
  <c r="BT2846" i="1"/>
  <c r="BT2845" i="1"/>
  <c r="BF2845" i="1"/>
  <c r="BT2844" i="1"/>
  <c r="BF2844" i="1"/>
  <c r="BT2843" i="1"/>
  <c r="BF2843" i="1"/>
  <c r="BT2842" i="1"/>
  <c r="BF2842" i="1"/>
  <c r="BT2841" i="1"/>
  <c r="BF2841" i="1"/>
  <c r="BT2840" i="1"/>
  <c r="BF2840" i="1"/>
  <c r="BT2839" i="1"/>
  <c r="BF2839" i="1"/>
  <c r="BT2838" i="1"/>
  <c r="BF2838" i="1"/>
  <c r="BT2837" i="1"/>
  <c r="BF2837" i="1"/>
  <c r="BT2836" i="1"/>
  <c r="BF2836" i="1"/>
  <c r="BT2835" i="1"/>
  <c r="BF2835" i="1"/>
  <c r="BT2834" i="1"/>
  <c r="BF2834" i="1"/>
  <c r="BT2833" i="1"/>
  <c r="BF2833" i="1"/>
  <c r="BT2832" i="1"/>
  <c r="BF2832" i="1"/>
  <c r="BT2831" i="1"/>
  <c r="BF2831" i="1"/>
  <c r="BT2830" i="1"/>
  <c r="BF2830" i="1"/>
  <c r="BT2829" i="1"/>
  <c r="BF2829" i="1"/>
  <c r="BT2828" i="1"/>
  <c r="BF2828" i="1"/>
  <c r="BT2827" i="1"/>
  <c r="BF2827" i="1"/>
  <c r="BT2826" i="1"/>
  <c r="BF2826" i="1"/>
  <c r="BT2825" i="1"/>
  <c r="BF2825" i="1"/>
  <c r="BT2824" i="1"/>
  <c r="BF2824" i="1"/>
  <c r="BT2823" i="1"/>
  <c r="BF2823" i="1"/>
  <c r="BT2822" i="1"/>
  <c r="BF2822" i="1"/>
  <c r="BT2821" i="1"/>
  <c r="BF2821" i="1"/>
  <c r="BT2820" i="1"/>
  <c r="BF2820" i="1"/>
  <c r="BT2819" i="1"/>
  <c r="BF2819" i="1"/>
  <c r="BT2818" i="1"/>
  <c r="BF2818" i="1"/>
  <c r="BT2817" i="1"/>
  <c r="BF2817" i="1"/>
  <c r="BT2816" i="1"/>
  <c r="BF2816" i="1"/>
  <c r="BT2815" i="1"/>
  <c r="BF2815" i="1"/>
  <c r="BT2814" i="1"/>
  <c r="BT2813" i="1"/>
  <c r="BF2813" i="1"/>
  <c r="BT2812" i="1"/>
  <c r="BF2812" i="1"/>
  <c r="BT2811" i="1"/>
  <c r="BF2811" i="1"/>
  <c r="BT2810" i="1"/>
  <c r="BF2810" i="1"/>
  <c r="BT2809" i="1"/>
  <c r="BF2809" i="1"/>
  <c r="BT2808" i="1"/>
  <c r="BF2808" i="1"/>
  <c r="BT2807" i="1"/>
  <c r="BF2807" i="1"/>
  <c r="BT2806" i="1"/>
  <c r="BF2806" i="1"/>
  <c r="BT2805" i="1"/>
  <c r="BF2805" i="1"/>
  <c r="BT2804" i="1"/>
  <c r="BF2804" i="1"/>
  <c r="BT2803" i="1"/>
  <c r="BF2803" i="1"/>
  <c r="BT2802" i="1"/>
  <c r="BF2802" i="1"/>
  <c r="BT2801" i="1"/>
  <c r="BF2801" i="1"/>
  <c r="BT2800" i="1"/>
  <c r="BF2800" i="1"/>
  <c r="BT2799" i="1"/>
  <c r="BF2799" i="1"/>
  <c r="BT2798" i="1"/>
  <c r="BT2797" i="1"/>
  <c r="BF2797" i="1"/>
  <c r="BT2796" i="1"/>
  <c r="BF2796" i="1"/>
  <c r="BT2795" i="1"/>
  <c r="BF2795" i="1"/>
  <c r="BT2794" i="1"/>
  <c r="BF2794" i="1"/>
  <c r="BT2793" i="1"/>
  <c r="BF2793" i="1"/>
  <c r="BT2792" i="1"/>
  <c r="BF2792" i="1"/>
  <c r="BT2791" i="1"/>
  <c r="BF2791" i="1"/>
  <c r="BT2790" i="1"/>
  <c r="BF2790" i="1"/>
  <c r="BT2789" i="1"/>
  <c r="BF2789" i="1"/>
  <c r="BT2788" i="1"/>
  <c r="BF2788" i="1"/>
  <c r="BT2787" i="1"/>
  <c r="BF2787" i="1"/>
  <c r="BT2786" i="1"/>
  <c r="BF2786" i="1"/>
  <c r="BT2785" i="1"/>
  <c r="BF2785" i="1"/>
  <c r="BT2784" i="1"/>
  <c r="BF2784" i="1"/>
  <c r="BT2783" i="1"/>
  <c r="BF2783" i="1"/>
  <c r="BT2782" i="1"/>
  <c r="BF2782" i="1"/>
  <c r="BT2781" i="1"/>
  <c r="BF2781" i="1"/>
  <c r="BT2780" i="1"/>
  <c r="BF2780" i="1"/>
  <c r="BT2779" i="1"/>
  <c r="BF2779" i="1"/>
  <c r="BT2778" i="1"/>
  <c r="BF2778" i="1"/>
  <c r="BT2777" i="1"/>
  <c r="BF2777" i="1"/>
  <c r="BT2776" i="1"/>
  <c r="BF2776" i="1"/>
  <c r="BT2775" i="1"/>
  <c r="BF2775" i="1"/>
  <c r="BT2774" i="1"/>
  <c r="BF2774" i="1"/>
  <c r="BT2773" i="1"/>
  <c r="BF2773" i="1"/>
  <c r="BT2772" i="1"/>
  <c r="BF2772" i="1"/>
  <c r="BT2771" i="1"/>
  <c r="BF2771" i="1"/>
  <c r="BT2770" i="1"/>
  <c r="BF2770" i="1"/>
  <c r="BT2769" i="1"/>
  <c r="BF2769" i="1"/>
  <c r="BT2768" i="1"/>
  <c r="BF2768" i="1"/>
  <c r="BT2767" i="1"/>
  <c r="BF2767" i="1"/>
  <c r="BT2766" i="1"/>
  <c r="BF2766" i="1"/>
  <c r="BT2765" i="1"/>
  <c r="BT2764" i="1"/>
  <c r="BT2763" i="1"/>
  <c r="BF2763" i="1"/>
  <c r="BT2762" i="1"/>
  <c r="BF2762" i="1"/>
  <c r="BT2761" i="1"/>
  <c r="BF2761" i="1"/>
  <c r="BT2760" i="1"/>
  <c r="BF2760" i="1"/>
  <c r="BT2759" i="1"/>
  <c r="BF2759" i="1"/>
  <c r="BT2758" i="1"/>
  <c r="BF2758" i="1"/>
  <c r="BT2757" i="1"/>
  <c r="BF2757" i="1"/>
  <c r="BT2756" i="1"/>
  <c r="BF2756" i="1"/>
  <c r="BT2755" i="1"/>
  <c r="BF2755" i="1"/>
  <c r="BT2754" i="1"/>
  <c r="BF2754" i="1"/>
  <c r="BT2753" i="1"/>
  <c r="BF2753" i="1"/>
  <c r="BT2752" i="1"/>
  <c r="BF2752" i="1"/>
  <c r="BT2751" i="1"/>
  <c r="BF2751" i="1"/>
  <c r="BT2750" i="1"/>
  <c r="BF2750" i="1"/>
  <c r="BT2749" i="1"/>
  <c r="BF2749" i="1"/>
  <c r="BT2748" i="1"/>
  <c r="BF2748" i="1"/>
  <c r="BT2747" i="1"/>
  <c r="BF2747" i="1"/>
  <c r="BT2746" i="1"/>
  <c r="BF2746" i="1"/>
  <c r="BT2745" i="1"/>
  <c r="BF2745" i="1"/>
  <c r="BT2744" i="1"/>
  <c r="BF2744" i="1"/>
  <c r="BT2743" i="1"/>
  <c r="BF2743" i="1"/>
  <c r="BT2742" i="1"/>
  <c r="BF2742" i="1"/>
  <c r="BT2741" i="1"/>
  <c r="BF2741" i="1"/>
  <c r="BT2740" i="1"/>
  <c r="BF2740" i="1"/>
  <c r="BT2739" i="1"/>
  <c r="BF2739" i="1"/>
  <c r="BT2738" i="1"/>
  <c r="BF2738" i="1"/>
  <c r="BT2737" i="1"/>
  <c r="BF2737" i="1"/>
  <c r="BT2736" i="1"/>
  <c r="BF2736" i="1"/>
  <c r="BT2735" i="1"/>
  <c r="BF2735" i="1"/>
  <c r="BT2734" i="1"/>
  <c r="BF2734" i="1"/>
  <c r="BT2733" i="1"/>
  <c r="BF2733" i="1"/>
  <c r="BT2732" i="1"/>
  <c r="BF2732" i="1"/>
  <c r="BT2731" i="1"/>
  <c r="BF2731" i="1"/>
  <c r="BT2730" i="1"/>
  <c r="BF2730" i="1"/>
  <c r="BT2729" i="1"/>
  <c r="BF2729" i="1"/>
  <c r="BT2728" i="1"/>
  <c r="BF2728" i="1"/>
  <c r="BT2727" i="1"/>
  <c r="BF2727" i="1"/>
  <c r="BT2726" i="1"/>
  <c r="BF2726" i="1"/>
  <c r="BT2725" i="1"/>
  <c r="BF2725" i="1"/>
  <c r="BT2724" i="1"/>
  <c r="BF2724" i="1"/>
  <c r="BT2723" i="1"/>
  <c r="BT2722" i="1"/>
  <c r="BF2722" i="1"/>
  <c r="BT2721" i="1"/>
  <c r="BF2721" i="1"/>
  <c r="BT2720" i="1"/>
  <c r="BT2719" i="1"/>
  <c r="BT2718" i="1"/>
  <c r="BF2718" i="1"/>
  <c r="BT2717" i="1"/>
  <c r="BF2717" i="1"/>
  <c r="BT2716" i="1"/>
  <c r="BF2716" i="1"/>
  <c r="BT2715" i="1"/>
  <c r="BT2714" i="1"/>
  <c r="BF2714" i="1"/>
  <c r="BT2713" i="1"/>
  <c r="BT2712" i="1"/>
  <c r="BF2712" i="1"/>
  <c r="BT2711" i="1"/>
  <c r="BF2711" i="1"/>
  <c r="BT2710" i="1"/>
  <c r="BF2710" i="1"/>
  <c r="BT2709" i="1"/>
  <c r="BF2709" i="1"/>
  <c r="BT2708" i="1"/>
  <c r="BF2708" i="1"/>
  <c r="BT2707" i="1"/>
  <c r="BF2707" i="1"/>
  <c r="BT2706" i="1"/>
  <c r="BF2706" i="1"/>
  <c r="BT2705" i="1"/>
  <c r="BF2705" i="1"/>
  <c r="BT2704" i="1"/>
  <c r="BF2704" i="1"/>
  <c r="BT2703" i="1"/>
  <c r="BF2703" i="1"/>
  <c r="BT2702" i="1"/>
  <c r="BF2702" i="1"/>
  <c r="BT2701" i="1"/>
  <c r="BF2701" i="1"/>
  <c r="BT2700" i="1"/>
  <c r="BF2700" i="1"/>
  <c r="BT2699" i="1"/>
  <c r="BT2698" i="1"/>
  <c r="BT2697" i="1"/>
  <c r="BF2697" i="1"/>
  <c r="BT2696" i="1"/>
  <c r="BF2696" i="1"/>
  <c r="BT2695" i="1"/>
  <c r="BF2695" i="1"/>
  <c r="BT2694" i="1"/>
  <c r="BF2694" i="1"/>
  <c r="BT2693" i="1"/>
  <c r="BF2693" i="1"/>
  <c r="BT2692" i="1"/>
  <c r="BF2692" i="1"/>
  <c r="BT2691" i="1"/>
  <c r="BF2691" i="1"/>
  <c r="BT2690" i="1"/>
  <c r="BT2689" i="1"/>
  <c r="BF2689" i="1"/>
  <c r="BT2688" i="1"/>
  <c r="BF2688" i="1"/>
  <c r="BT2687" i="1"/>
  <c r="BF2687" i="1"/>
  <c r="BT2686" i="1"/>
  <c r="BF2686" i="1"/>
  <c r="BT2685" i="1"/>
  <c r="BF2685" i="1"/>
  <c r="BT2684" i="1"/>
  <c r="BF2684" i="1"/>
  <c r="BT2683" i="1"/>
  <c r="BF2683" i="1"/>
  <c r="BT2682" i="1"/>
  <c r="BF2682" i="1"/>
  <c r="BT2681" i="1"/>
  <c r="BF2681" i="1"/>
  <c r="BT2680" i="1"/>
  <c r="BF2680" i="1"/>
  <c r="BT2679" i="1"/>
  <c r="BF2679" i="1"/>
  <c r="BT2678" i="1"/>
  <c r="BF2678" i="1"/>
  <c r="BT2677" i="1"/>
  <c r="BF2677" i="1"/>
  <c r="BT2676" i="1"/>
  <c r="BF2676" i="1"/>
  <c r="BT2675" i="1"/>
  <c r="BF2675" i="1"/>
  <c r="BT2674" i="1"/>
  <c r="BF2674" i="1"/>
  <c r="BT2673" i="1"/>
  <c r="BF2673" i="1"/>
  <c r="BT2672" i="1"/>
  <c r="BF2672" i="1"/>
  <c r="BT2671" i="1"/>
  <c r="BF2671" i="1"/>
  <c r="BT2670" i="1"/>
  <c r="BF2670" i="1"/>
  <c r="BT2669" i="1"/>
  <c r="BF2669" i="1"/>
  <c r="BT2668" i="1"/>
  <c r="BT2667" i="1"/>
  <c r="BT2666" i="1"/>
  <c r="BF2666" i="1"/>
  <c r="BT2665" i="1"/>
  <c r="BF2665" i="1"/>
  <c r="BT2664" i="1"/>
  <c r="BF2664" i="1"/>
  <c r="BT2663" i="1"/>
  <c r="BF2663" i="1"/>
  <c r="BT2662" i="1"/>
  <c r="BF2662" i="1"/>
  <c r="BT2661" i="1"/>
  <c r="BF2661" i="1"/>
  <c r="BT2660" i="1"/>
  <c r="BF2660" i="1"/>
  <c r="BT2659" i="1"/>
  <c r="BF2659" i="1"/>
  <c r="BT2658" i="1"/>
  <c r="BF2658" i="1"/>
  <c r="BT2657" i="1"/>
  <c r="BF2657" i="1"/>
  <c r="BT2656" i="1"/>
  <c r="BF2656" i="1"/>
  <c r="BT2655" i="1"/>
  <c r="BF2655" i="1"/>
  <c r="BT2654" i="1"/>
  <c r="BF2654" i="1"/>
  <c r="BT2653" i="1"/>
  <c r="BF2653" i="1"/>
  <c r="BT2652" i="1"/>
  <c r="BT2651" i="1"/>
  <c r="BF2651" i="1"/>
  <c r="BT2650" i="1"/>
  <c r="BF2650" i="1"/>
  <c r="BT2649" i="1"/>
  <c r="BF2649" i="1"/>
  <c r="BT2648" i="1"/>
  <c r="BF2648" i="1"/>
  <c r="BT2647" i="1"/>
  <c r="BF2647" i="1"/>
  <c r="BT2646" i="1"/>
  <c r="BF2646" i="1"/>
  <c r="BT2645" i="1"/>
  <c r="BF2645" i="1"/>
  <c r="BT2644" i="1"/>
  <c r="BF2644" i="1"/>
  <c r="BT2643" i="1"/>
  <c r="BF2643" i="1"/>
  <c r="BT2642" i="1"/>
  <c r="BF2642" i="1"/>
  <c r="BT2641" i="1"/>
  <c r="BF2641" i="1"/>
  <c r="BT2640" i="1"/>
  <c r="BF2640" i="1"/>
  <c r="BT2639" i="1"/>
  <c r="BF2639" i="1"/>
  <c r="BT2638" i="1"/>
  <c r="BF2638" i="1"/>
  <c r="BT2637" i="1"/>
  <c r="BT2636" i="1"/>
  <c r="BF2636" i="1"/>
  <c r="BT2635" i="1"/>
  <c r="BF2635" i="1"/>
  <c r="BT2634" i="1"/>
  <c r="BF2634" i="1"/>
  <c r="BT2633" i="1"/>
  <c r="BF2633" i="1"/>
  <c r="BT2632" i="1"/>
  <c r="BF2632" i="1"/>
  <c r="BT2631" i="1"/>
  <c r="BF2631" i="1"/>
  <c r="BT2630" i="1"/>
  <c r="BF2630" i="1"/>
  <c r="BT2629" i="1"/>
  <c r="BF2629" i="1"/>
  <c r="BT2628" i="1"/>
  <c r="BF2628" i="1"/>
  <c r="BT2627" i="1"/>
  <c r="BF2627" i="1"/>
  <c r="BT2626" i="1"/>
  <c r="BF2626" i="1"/>
  <c r="BT2625" i="1"/>
  <c r="BF2625" i="1"/>
  <c r="BT2624" i="1"/>
  <c r="BF2624" i="1"/>
  <c r="BT2623" i="1"/>
  <c r="BF2623" i="1"/>
  <c r="BT2622" i="1"/>
  <c r="BT2621" i="1"/>
  <c r="BF2621" i="1"/>
  <c r="BT2620" i="1"/>
  <c r="BF2620" i="1"/>
  <c r="BT2619" i="1"/>
  <c r="BT2618" i="1"/>
  <c r="BT2617" i="1"/>
  <c r="BF2617" i="1"/>
  <c r="BT2616" i="1"/>
  <c r="BF2616" i="1"/>
  <c r="BT2615" i="1"/>
  <c r="BF2615" i="1"/>
  <c r="BT2614" i="1"/>
  <c r="BF2614" i="1"/>
  <c r="BT2613" i="1"/>
  <c r="BT2612" i="1"/>
  <c r="BF2612" i="1"/>
  <c r="BT2611" i="1"/>
  <c r="BF2611" i="1"/>
  <c r="BT2610" i="1"/>
  <c r="BF2610" i="1"/>
  <c r="BT2609" i="1"/>
  <c r="BF2609" i="1"/>
  <c r="BT2608" i="1"/>
  <c r="BF2608" i="1"/>
  <c r="BT2607" i="1"/>
  <c r="BT2606" i="1"/>
  <c r="BF2606" i="1"/>
  <c r="BT2605" i="1"/>
  <c r="BF2605" i="1"/>
  <c r="BT2604" i="1"/>
  <c r="BF2604" i="1"/>
  <c r="BT2603" i="1"/>
  <c r="BT2602" i="1"/>
  <c r="BF2602" i="1"/>
  <c r="BT2601" i="1"/>
  <c r="BF2601" i="1"/>
  <c r="BT2600" i="1"/>
  <c r="BF2600" i="1"/>
  <c r="BT2599" i="1"/>
  <c r="BF2599" i="1"/>
  <c r="BT2598" i="1"/>
  <c r="BF2598" i="1"/>
  <c r="BT2597" i="1"/>
  <c r="BT2596" i="1"/>
  <c r="BT2595" i="1"/>
  <c r="BF2595" i="1"/>
  <c r="BT2594" i="1"/>
  <c r="BF2594" i="1"/>
  <c r="BT2593" i="1"/>
  <c r="BT2592" i="1"/>
  <c r="BF2592" i="1"/>
  <c r="BT2591" i="1"/>
  <c r="BF2591" i="1"/>
  <c r="BT2590" i="1"/>
  <c r="BF2590" i="1"/>
  <c r="BT2589" i="1"/>
  <c r="BF2589" i="1"/>
  <c r="BT2588" i="1"/>
  <c r="BT2587" i="1"/>
  <c r="BF2587" i="1"/>
  <c r="BT2586" i="1"/>
  <c r="BT2585" i="1"/>
  <c r="BT2584" i="1"/>
  <c r="BF2584" i="1"/>
  <c r="BT2583" i="1"/>
  <c r="BF2583" i="1"/>
  <c r="BT2582" i="1"/>
  <c r="BF2582" i="1"/>
  <c r="BT2581" i="1"/>
  <c r="BF2581" i="1"/>
  <c r="BT2580" i="1"/>
  <c r="BF2580" i="1"/>
  <c r="BT2579" i="1"/>
  <c r="BT2578" i="1"/>
  <c r="BF2578" i="1"/>
  <c r="BT2577" i="1"/>
  <c r="BF2577" i="1"/>
  <c r="BT2576" i="1"/>
  <c r="BF2576" i="1"/>
  <c r="BT2575" i="1"/>
  <c r="BF2575" i="1"/>
  <c r="BT2574" i="1"/>
  <c r="BF2574" i="1"/>
  <c r="BT2573" i="1"/>
  <c r="BF2573" i="1"/>
  <c r="BT2572" i="1"/>
  <c r="BF2572" i="1"/>
  <c r="BT2571" i="1"/>
  <c r="BF2571" i="1"/>
  <c r="BT2570" i="1"/>
  <c r="BF2570" i="1"/>
  <c r="BT2569" i="1"/>
  <c r="BF2569" i="1"/>
  <c r="BT2568" i="1"/>
  <c r="BF2568" i="1"/>
  <c r="BT2567" i="1"/>
  <c r="BT2566" i="1"/>
  <c r="BF2566" i="1"/>
  <c r="BT2565" i="1"/>
  <c r="BF2565" i="1"/>
  <c r="BT2564" i="1"/>
  <c r="BF2564" i="1"/>
  <c r="BT2563" i="1"/>
  <c r="BF2563" i="1"/>
  <c r="BT2562" i="1"/>
  <c r="BF2562" i="1"/>
  <c r="BT2561" i="1"/>
  <c r="BF2561" i="1"/>
  <c r="BT2560" i="1"/>
  <c r="BF2560" i="1"/>
  <c r="BT2559" i="1"/>
  <c r="BF2559" i="1"/>
  <c r="BT2558" i="1"/>
  <c r="BF2558" i="1"/>
  <c r="BT2557" i="1"/>
  <c r="BF2557" i="1"/>
  <c r="BT2556" i="1"/>
  <c r="BF2556" i="1"/>
  <c r="BT2555" i="1"/>
  <c r="BF2555" i="1"/>
  <c r="BT2554" i="1"/>
  <c r="BF2554" i="1"/>
  <c r="BT2553" i="1"/>
  <c r="BF2553" i="1"/>
  <c r="BT2552" i="1"/>
  <c r="BF2552" i="1"/>
  <c r="BT2551" i="1"/>
  <c r="BF2551" i="1"/>
  <c r="BT2550" i="1"/>
  <c r="BF2550" i="1"/>
  <c r="BT2549" i="1"/>
  <c r="BF2549" i="1"/>
  <c r="BT2548" i="1"/>
  <c r="BF2548" i="1"/>
  <c r="BT2547" i="1"/>
  <c r="BF2547" i="1"/>
  <c r="BT2546" i="1"/>
  <c r="BF2546" i="1"/>
  <c r="BT2545" i="1"/>
  <c r="BF2545" i="1"/>
  <c r="BT2544" i="1"/>
  <c r="BF2544" i="1"/>
  <c r="BT2543" i="1"/>
  <c r="BF2543" i="1"/>
  <c r="BT2542" i="1"/>
  <c r="BF2542" i="1"/>
  <c r="BT2541" i="1"/>
  <c r="BF2541" i="1"/>
  <c r="BT2540" i="1"/>
  <c r="BF2540" i="1"/>
  <c r="BT2539" i="1"/>
  <c r="BF2539" i="1"/>
  <c r="BT2538" i="1"/>
  <c r="BF2538" i="1"/>
  <c r="BT2537" i="1"/>
  <c r="BT2536" i="1"/>
  <c r="BF2536" i="1"/>
  <c r="BT2535" i="1"/>
  <c r="BF2535" i="1"/>
  <c r="BT2534" i="1"/>
  <c r="BF2534" i="1"/>
  <c r="BT2533" i="1"/>
  <c r="BF2533" i="1"/>
  <c r="BT2532" i="1"/>
  <c r="BF2532" i="1"/>
  <c r="BT2531" i="1"/>
  <c r="BF2531" i="1"/>
  <c r="BT2530" i="1"/>
  <c r="BF2530" i="1"/>
  <c r="BT2529" i="1"/>
  <c r="BF2529" i="1"/>
  <c r="BT2528" i="1"/>
  <c r="BF2528" i="1"/>
  <c r="BT2527" i="1"/>
  <c r="BF2527" i="1"/>
  <c r="BT2526" i="1"/>
  <c r="BF2526" i="1"/>
  <c r="BT2525" i="1"/>
  <c r="BF2525" i="1"/>
  <c r="BT2524" i="1"/>
  <c r="BT2523" i="1"/>
  <c r="BF2523" i="1"/>
  <c r="BT2522" i="1"/>
  <c r="BF2522" i="1"/>
  <c r="BT2521" i="1"/>
  <c r="BF2521" i="1"/>
  <c r="BT2520" i="1"/>
  <c r="BF2520" i="1"/>
  <c r="BT2519" i="1"/>
  <c r="BT2518" i="1"/>
  <c r="BF2518" i="1"/>
  <c r="BT2517" i="1"/>
  <c r="BF2517" i="1"/>
  <c r="BT2516" i="1"/>
  <c r="BF2516" i="1"/>
  <c r="BT2515" i="1"/>
  <c r="BF2515" i="1"/>
  <c r="BT2514" i="1"/>
  <c r="BF2514" i="1"/>
  <c r="BT2513" i="1"/>
  <c r="BF2513" i="1"/>
  <c r="BT2512" i="1"/>
  <c r="BF2512" i="1"/>
  <c r="BT2511" i="1"/>
  <c r="BF2511" i="1"/>
  <c r="BT2510" i="1"/>
  <c r="BF2510" i="1"/>
  <c r="BT2509" i="1"/>
  <c r="BF2509" i="1"/>
  <c r="BT2508" i="1"/>
  <c r="BF2508" i="1"/>
  <c r="BT2507" i="1"/>
  <c r="BT2506" i="1"/>
  <c r="BF2506" i="1"/>
  <c r="BT2505" i="1"/>
  <c r="BF2505" i="1"/>
  <c r="BT2504" i="1"/>
  <c r="BF2504" i="1"/>
  <c r="BT2503" i="1"/>
  <c r="BT2502" i="1"/>
  <c r="BF2502" i="1"/>
  <c r="BT2501" i="1"/>
  <c r="BF2501" i="1"/>
  <c r="BT2500" i="1"/>
  <c r="BF2500" i="1"/>
  <c r="BT2499" i="1"/>
  <c r="BF2499" i="1"/>
  <c r="BT2498" i="1"/>
  <c r="BF2498" i="1"/>
  <c r="BT2497" i="1"/>
  <c r="BT2496" i="1"/>
  <c r="BF2496" i="1"/>
  <c r="BT2495" i="1"/>
  <c r="BF2495" i="1"/>
  <c r="BT2494" i="1"/>
  <c r="BF2494" i="1"/>
  <c r="BT2493" i="1"/>
  <c r="BF2493" i="1"/>
  <c r="BT2492" i="1"/>
  <c r="BF2492" i="1"/>
  <c r="BT2491" i="1"/>
  <c r="BF2491" i="1"/>
  <c r="BT2490" i="1"/>
  <c r="BF2490" i="1"/>
  <c r="BT2489" i="1"/>
  <c r="BF2489" i="1"/>
  <c r="BT2488" i="1"/>
  <c r="BF2488" i="1"/>
  <c r="BT2487" i="1"/>
  <c r="BF2487" i="1"/>
  <c r="BT2486" i="1"/>
  <c r="BF2486" i="1"/>
  <c r="BT2485" i="1"/>
  <c r="BF2485" i="1"/>
  <c r="BT2484" i="1"/>
  <c r="BF2484" i="1"/>
  <c r="BT2483" i="1"/>
  <c r="BF2483" i="1"/>
  <c r="BT2482" i="1"/>
  <c r="BF2482" i="1"/>
  <c r="BT2481" i="1"/>
  <c r="BF2481" i="1"/>
  <c r="BT2480" i="1"/>
  <c r="BF2480" i="1"/>
  <c r="BT2479" i="1"/>
  <c r="BF2479" i="1"/>
  <c r="BT2478" i="1"/>
  <c r="BF2478" i="1"/>
  <c r="BT2477" i="1"/>
  <c r="BT2476" i="1"/>
  <c r="BF2476" i="1"/>
  <c r="BT2475" i="1"/>
  <c r="BT2474" i="1"/>
  <c r="BF2474" i="1"/>
  <c r="BT2473" i="1"/>
  <c r="BF2473" i="1"/>
  <c r="BT2472" i="1"/>
  <c r="BF2472" i="1"/>
  <c r="BT2471" i="1"/>
  <c r="BF2471" i="1"/>
  <c r="BT2470" i="1"/>
  <c r="BT2469" i="1"/>
  <c r="BF2469" i="1"/>
  <c r="BT2468" i="1"/>
  <c r="BF2468" i="1"/>
  <c r="BT2467" i="1"/>
  <c r="BF2467" i="1"/>
  <c r="BT2466" i="1"/>
  <c r="BF2466" i="1"/>
  <c r="BT2465" i="1"/>
  <c r="BF2465" i="1"/>
  <c r="BT2464" i="1"/>
  <c r="BF2464" i="1"/>
  <c r="BT2463" i="1"/>
  <c r="BF2463" i="1"/>
  <c r="BT2462" i="1"/>
  <c r="BF2462" i="1"/>
  <c r="BT2461" i="1"/>
  <c r="BF2461" i="1"/>
  <c r="BT2460" i="1"/>
  <c r="BF2460" i="1"/>
  <c r="BT2459" i="1"/>
  <c r="BF2459" i="1"/>
  <c r="BT2458" i="1"/>
  <c r="BF2458" i="1"/>
  <c r="BT2457" i="1"/>
  <c r="BF2457" i="1"/>
  <c r="BT2456" i="1"/>
  <c r="BF2456" i="1"/>
  <c r="BT2455" i="1"/>
  <c r="BF2455" i="1"/>
  <c r="BT2454" i="1"/>
  <c r="BF2454" i="1"/>
  <c r="BT2453" i="1"/>
  <c r="BF2453" i="1"/>
  <c r="BT2452" i="1"/>
  <c r="BF2452" i="1"/>
  <c r="BT2451" i="1"/>
  <c r="BF2451" i="1"/>
  <c r="BT2450" i="1"/>
  <c r="BF2450" i="1"/>
  <c r="BT2449" i="1"/>
  <c r="BF2449" i="1"/>
  <c r="BT2448" i="1"/>
  <c r="BF2448" i="1"/>
  <c r="BT2447" i="1"/>
  <c r="BF2447" i="1"/>
  <c r="BT2446" i="1"/>
  <c r="BF2446" i="1"/>
  <c r="BT2445" i="1"/>
  <c r="BF2445" i="1"/>
  <c r="BT2444" i="1"/>
  <c r="BF2444" i="1"/>
  <c r="BT2443" i="1"/>
  <c r="BF2443" i="1"/>
  <c r="BT2442" i="1"/>
  <c r="BF2442" i="1"/>
  <c r="BT2441" i="1"/>
  <c r="BF2441" i="1"/>
  <c r="BT2440" i="1"/>
  <c r="BF2440" i="1"/>
  <c r="BT2439" i="1"/>
  <c r="BF2439" i="1"/>
  <c r="BT2438" i="1"/>
  <c r="BF2438" i="1"/>
  <c r="BT2437" i="1"/>
  <c r="BF2437" i="1"/>
  <c r="BT2436" i="1"/>
  <c r="BF2436" i="1"/>
  <c r="BT2435" i="1"/>
  <c r="BF2435" i="1"/>
  <c r="BT2434" i="1"/>
  <c r="BF2434" i="1"/>
  <c r="BT2433" i="1"/>
  <c r="BF2433" i="1"/>
  <c r="BT2432" i="1"/>
  <c r="BF2432" i="1"/>
  <c r="BT2431" i="1"/>
  <c r="BF2431" i="1"/>
  <c r="BT2430" i="1"/>
  <c r="BF2430" i="1"/>
  <c r="BT2429" i="1"/>
  <c r="BF2429" i="1"/>
  <c r="BT2428" i="1"/>
  <c r="BT2427" i="1"/>
  <c r="BF2427" i="1"/>
  <c r="BT2426" i="1"/>
  <c r="BF2426" i="1"/>
  <c r="BT2425" i="1"/>
  <c r="BF2425" i="1"/>
  <c r="BT2424" i="1"/>
  <c r="BF2424" i="1"/>
  <c r="BT2423" i="1"/>
  <c r="BF2423" i="1"/>
  <c r="BT2422" i="1"/>
  <c r="BF2422" i="1"/>
  <c r="BT2421" i="1"/>
  <c r="BF2421" i="1"/>
  <c r="BT2420" i="1"/>
  <c r="BF2420" i="1"/>
  <c r="BT2419" i="1"/>
  <c r="BT2418" i="1"/>
  <c r="BF2418" i="1"/>
  <c r="BT2417" i="1"/>
  <c r="BF2417" i="1"/>
  <c r="BT2416" i="1"/>
  <c r="BF2416" i="1"/>
  <c r="BT2415" i="1"/>
  <c r="BF2415" i="1"/>
  <c r="BT2414" i="1"/>
  <c r="BF2414" i="1"/>
  <c r="BT2413" i="1"/>
  <c r="BF2413" i="1"/>
  <c r="BT2412" i="1"/>
  <c r="BF2412" i="1"/>
  <c r="BT2411" i="1"/>
  <c r="BF2411" i="1"/>
  <c r="BT2410" i="1"/>
  <c r="BF2410" i="1"/>
  <c r="BT2409" i="1"/>
  <c r="BF2409" i="1"/>
  <c r="BT2408" i="1"/>
  <c r="BF2408" i="1"/>
  <c r="BT2407" i="1"/>
  <c r="BF2407" i="1"/>
  <c r="BT2406" i="1"/>
  <c r="BF2406" i="1"/>
  <c r="BT2405" i="1"/>
  <c r="BT2404" i="1"/>
  <c r="BF2404" i="1"/>
  <c r="BT2403" i="1"/>
  <c r="BF2403" i="1"/>
  <c r="BT2402" i="1"/>
  <c r="BF2402" i="1"/>
  <c r="BT2401" i="1"/>
  <c r="BT2400" i="1"/>
  <c r="BF2400" i="1"/>
  <c r="BT2399" i="1"/>
  <c r="BF2399" i="1"/>
  <c r="BT2398" i="1"/>
  <c r="BF2398" i="1"/>
  <c r="BT2397" i="1"/>
  <c r="BF2397" i="1"/>
  <c r="BT2396" i="1"/>
  <c r="BF2396" i="1"/>
  <c r="BT2395" i="1"/>
  <c r="BF2395" i="1"/>
  <c r="BT2394" i="1"/>
  <c r="BF2394" i="1"/>
  <c r="BT2393" i="1"/>
  <c r="BF2393" i="1"/>
  <c r="BT2392" i="1"/>
  <c r="BF2392" i="1"/>
  <c r="BT2391" i="1"/>
  <c r="BF2391" i="1"/>
  <c r="BT2390" i="1"/>
  <c r="BF2390" i="1"/>
  <c r="BT2389" i="1"/>
  <c r="BF2389" i="1"/>
  <c r="BT2388" i="1"/>
  <c r="BF2388" i="1"/>
  <c r="BT2387" i="1"/>
  <c r="BF2387" i="1"/>
  <c r="BT2386" i="1"/>
  <c r="BF2386" i="1"/>
  <c r="BT2385" i="1"/>
  <c r="BF2385" i="1"/>
  <c r="BT2384" i="1"/>
  <c r="BF2384" i="1"/>
  <c r="BT2383" i="1"/>
  <c r="BF2383" i="1"/>
  <c r="BT2382" i="1"/>
  <c r="BF2382" i="1"/>
  <c r="BT2381" i="1"/>
  <c r="BF2381" i="1"/>
  <c r="BT2380" i="1"/>
  <c r="BF2380" i="1"/>
  <c r="BT2379" i="1"/>
  <c r="BF2379" i="1"/>
  <c r="BT2378" i="1"/>
  <c r="BF2378" i="1"/>
  <c r="BT2377" i="1"/>
  <c r="BF2377" i="1"/>
  <c r="BT2376" i="1"/>
  <c r="BF2376" i="1"/>
  <c r="BT2375" i="1"/>
  <c r="BF2375" i="1"/>
  <c r="BT2374" i="1"/>
  <c r="BF2374" i="1"/>
  <c r="BT2373" i="1"/>
  <c r="BT2372" i="1"/>
  <c r="BF2372" i="1"/>
  <c r="BT2371" i="1"/>
  <c r="BF2371" i="1"/>
  <c r="BT2370" i="1"/>
  <c r="BT2369" i="1"/>
  <c r="BF2369" i="1"/>
  <c r="BT2368" i="1"/>
  <c r="BF2368" i="1"/>
  <c r="BT2367" i="1"/>
  <c r="BF2367" i="1"/>
  <c r="BT2366" i="1"/>
  <c r="BF2366" i="1"/>
  <c r="BT2365" i="1"/>
  <c r="BF2365" i="1"/>
  <c r="BT2364" i="1"/>
  <c r="BF2364" i="1"/>
  <c r="BT2363" i="1"/>
  <c r="BF2363" i="1"/>
  <c r="BT2362" i="1"/>
  <c r="BF2362" i="1"/>
  <c r="BT2361" i="1"/>
  <c r="BF2361" i="1"/>
  <c r="BT2360" i="1"/>
  <c r="BF2360" i="1"/>
  <c r="BT2359" i="1"/>
  <c r="BF2359" i="1"/>
  <c r="BT2358" i="1"/>
  <c r="BF2358" i="1"/>
  <c r="BT2357" i="1"/>
  <c r="BF2357" i="1"/>
  <c r="BT2356" i="1"/>
  <c r="BF2356" i="1"/>
  <c r="BT2355" i="1"/>
  <c r="BF2355" i="1"/>
  <c r="BT2354" i="1"/>
  <c r="BF2354" i="1"/>
  <c r="BT2353" i="1"/>
  <c r="BT2352" i="1"/>
  <c r="BF2352" i="1"/>
  <c r="BT2351" i="1"/>
  <c r="BF2351" i="1"/>
  <c r="BT2350" i="1"/>
  <c r="BF2350" i="1"/>
  <c r="BT2349" i="1"/>
  <c r="BF2349" i="1"/>
  <c r="BT2348" i="1"/>
  <c r="BF2348" i="1"/>
  <c r="BT2347" i="1"/>
  <c r="BF2347" i="1"/>
  <c r="BT2346" i="1"/>
  <c r="BF2346" i="1"/>
  <c r="BT2345" i="1"/>
  <c r="BF2345" i="1"/>
  <c r="BT2344" i="1"/>
  <c r="BF2344" i="1"/>
  <c r="BT2343" i="1"/>
  <c r="BF2343" i="1"/>
  <c r="BT2342" i="1"/>
  <c r="BT2341" i="1"/>
  <c r="BF2341" i="1"/>
  <c r="BT2340" i="1"/>
  <c r="BF2340" i="1"/>
  <c r="BT2339" i="1"/>
  <c r="BF2339" i="1"/>
  <c r="BT2338" i="1"/>
  <c r="BF2338" i="1"/>
  <c r="BT2337" i="1"/>
  <c r="BF2337" i="1"/>
  <c r="BT2336" i="1"/>
  <c r="BT2335" i="1"/>
  <c r="BF2335" i="1"/>
  <c r="BT2334" i="1"/>
  <c r="BF2334" i="1"/>
  <c r="BT2333" i="1"/>
  <c r="BF2333" i="1"/>
  <c r="BT2332" i="1"/>
  <c r="BF2332" i="1"/>
  <c r="BT2331" i="1"/>
  <c r="BF2331" i="1"/>
  <c r="BT2330" i="1"/>
  <c r="BF2330" i="1"/>
  <c r="BT2329" i="1"/>
  <c r="BF2329" i="1"/>
  <c r="BT2328" i="1"/>
  <c r="BF2328" i="1"/>
  <c r="BT2327" i="1"/>
  <c r="BF2327" i="1"/>
  <c r="BT2326" i="1"/>
  <c r="BF2326" i="1"/>
  <c r="BT2325" i="1"/>
  <c r="BF2325" i="1"/>
  <c r="BT2324" i="1"/>
  <c r="BF2324" i="1"/>
  <c r="BT2323" i="1"/>
  <c r="BF2323" i="1"/>
  <c r="BT2322" i="1"/>
  <c r="BF2322" i="1"/>
  <c r="BT2321" i="1"/>
  <c r="BF2321" i="1"/>
  <c r="BT2320" i="1"/>
  <c r="BF2320" i="1"/>
  <c r="BT2319" i="1"/>
  <c r="BF2319" i="1"/>
  <c r="BT2318" i="1"/>
  <c r="BF2318" i="1"/>
  <c r="BT2317" i="1"/>
  <c r="BF2317" i="1"/>
  <c r="BT2316" i="1"/>
  <c r="BF2316" i="1"/>
  <c r="BT2315" i="1"/>
  <c r="BF2315" i="1"/>
  <c r="BT2314" i="1"/>
  <c r="BF2314" i="1"/>
  <c r="BT2313" i="1"/>
  <c r="BF2313" i="1"/>
  <c r="BT2312" i="1"/>
  <c r="BF2312" i="1"/>
  <c r="BT2311" i="1"/>
  <c r="BF2311" i="1"/>
  <c r="BT2310" i="1"/>
  <c r="BF2310" i="1"/>
  <c r="BT2309" i="1"/>
  <c r="BF2309" i="1"/>
  <c r="BT2308" i="1"/>
  <c r="BF2308" i="1"/>
  <c r="BT2307" i="1"/>
  <c r="BF2307" i="1"/>
  <c r="BT2306" i="1"/>
  <c r="BF2306" i="1"/>
  <c r="BT2305" i="1"/>
  <c r="BF2305" i="1"/>
  <c r="BT2304" i="1"/>
  <c r="BF2304" i="1"/>
  <c r="BT2303" i="1"/>
  <c r="BF2303" i="1"/>
  <c r="BT2302" i="1"/>
  <c r="BF2302" i="1"/>
  <c r="BT2301" i="1"/>
  <c r="BF2301" i="1"/>
  <c r="BT2300" i="1"/>
  <c r="BF2300" i="1"/>
  <c r="BT2299" i="1"/>
  <c r="BF2299" i="1"/>
  <c r="BT2298" i="1"/>
  <c r="BF2298" i="1"/>
  <c r="BT2297" i="1"/>
  <c r="BF2297" i="1"/>
  <c r="BT2296" i="1"/>
  <c r="BT2295" i="1"/>
  <c r="BF2295" i="1"/>
  <c r="BT2294" i="1"/>
  <c r="BF2294" i="1"/>
  <c r="BT2293" i="1"/>
  <c r="BF2293" i="1"/>
  <c r="BT2292" i="1"/>
  <c r="BF2292" i="1"/>
  <c r="BT2291" i="1"/>
  <c r="BF2291" i="1"/>
  <c r="BT2290" i="1"/>
  <c r="BF2290" i="1"/>
  <c r="BT2289" i="1"/>
  <c r="BF2289" i="1"/>
  <c r="BT2288" i="1"/>
  <c r="BF2288" i="1"/>
  <c r="BT2287" i="1"/>
  <c r="BF2287" i="1"/>
  <c r="BT2286" i="1"/>
  <c r="BF2286" i="1"/>
  <c r="BT2285" i="1"/>
  <c r="BF2285" i="1"/>
  <c r="BT2284" i="1"/>
  <c r="BF2284" i="1"/>
  <c r="BT2283" i="1"/>
  <c r="BF2283" i="1"/>
  <c r="BT2282" i="1"/>
  <c r="BF2282" i="1"/>
  <c r="BT2281" i="1"/>
  <c r="BF2281" i="1"/>
  <c r="BT2280" i="1"/>
  <c r="BF2280" i="1"/>
  <c r="BT2279" i="1"/>
  <c r="BF2279" i="1"/>
  <c r="BT2278" i="1"/>
  <c r="BF2278" i="1"/>
  <c r="BT2277" i="1"/>
  <c r="BF2277" i="1"/>
  <c r="BT2276" i="1"/>
  <c r="BF2276" i="1"/>
  <c r="BT2275" i="1"/>
  <c r="BT2274" i="1"/>
  <c r="BF2274" i="1"/>
  <c r="BT2273" i="1"/>
  <c r="BF2273" i="1"/>
  <c r="BT2272" i="1"/>
  <c r="BF2272" i="1"/>
  <c r="BT2271" i="1"/>
  <c r="BF2271" i="1"/>
  <c r="BT2270" i="1"/>
  <c r="BF2270" i="1"/>
  <c r="BT2269" i="1"/>
  <c r="BF2269" i="1"/>
  <c r="BT2268" i="1"/>
  <c r="BF2268" i="1"/>
  <c r="BT2267" i="1"/>
  <c r="BF2267" i="1"/>
  <c r="BT2266" i="1"/>
  <c r="BF2266" i="1"/>
  <c r="BT2265" i="1"/>
  <c r="BF2265" i="1"/>
  <c r="BT2264" i="1"/>
  <c r="BF2264" i="1"/>
  <c r="BT2263" i="1"/>
  <c r="BF2263" i="1"/>
  <c r="BT2262" i="1"/>
  <c r="BF2262" i="1"/>
  <c r="BT2261" i="1"/>
  <c r="BF2261" i="1"/>
  <c r="BT2260" i="1"/>
  <c r="BF2260" i="1"/>
  <c r="BT2259" i="1"/>
  <c r="BF2259" i="1"/>
  <c r="BT2258" i="1"/>
  <c r="BF2258" i="1"/>
  <c r="BT2257" i="1"/>
  <c r="BF2257" i="1"/>
  <c r="BT2256" i="1"/>
  <c r="BF2256" i="1"/>
  <c r="BT2255" i="1"/>
  <c r="BF2255" i="1"/>
  <c r="BT2254" i="1"/>
  <c r="BF2254" i="1"/>
  <c r="BT2253" i="1"/>
  <c r="BF2253" i="1"/>
  <c r="BT2252" i="1"/>
  <c r="BF2252" i="1"/>
  <c r="BT2251" i="1"/>
  <c r="BF2251" i="1"/>
  <c r="BT2250" i="1"/>
  <c r="BF2250" i="1"/>
  <c r="BT2249" i="1"/>
  <c r="BF2249" i="1"/>
  <c r="BT2248" i="1"/>
  <c r="BF2248" i="1"/>
  <c r="BT2247" i="1"/>
  <c r="BF2247" i="1"/>
  <c r="BT2246" i="1"/>
  <c r="BF2246" i="1"/>
  <c r="BT2245" i="1"/>
  <c r="BF2245" i="1"/>
  <c r="BT2244" i="1"/>
  <c r="BF2244" i="1"/>
  <c r="BT2243" i="1"/>
  <c r="BF2243" i="1"/>
  <c r="BT2242" i="1"/>
  <c r="BF2242" i="1"/>
  <c r="BT2241" i="1"/>
  <c r="BF2241" i="1"/>
  <c r="BT2240" i="1"/>
  <c r="BF2240" i="1"/>
  <c r="BT2239" i="1"/>
  <c r="BF2239" i="1"/>
  <c r="BT2238" i="1"/>
  <c r="BF2238" i="1"/>
  <c r="BT2237" i="1"/>
  <c r="BF2237" i="1"/>
  <c r="BT2236" i="1"/>
  <c r="BF2236" i="1"/>
  <c r="BT2235" i="1"/>
  <c r="BF2235" i="1"/>
  <c r="BT2234" i="1"/>
  <c r="BF2234" i="1"/>
  <c r="BT2233" i="1"/>
  <c r="BF2233" i="1"/>
  <c r="BT2232" i="1"/>
  <c r="BF2232" i="1"/>
  <c r="BT2231" i="1"/>
  <c r="BF2231" i="1"/>
  <c r="BT2230" i="1"/>
  <c r="BF2230" i="1"/>
  <c r="BT2229" i="1"/>
  <c r="BF2229" i="1"/>
  <c r="BT2228" i="1"/>
  <c r="BF2228" i="1"/>
  <c r="BT2227" i="1"/>
  <c r="BT2226" i="1"/>
  <c r="BF2226" i="1"/>
  <c r="BT2225" i="1"/>
  <c r="BF2225" i="1"/>
  <c r="BT2224" i="1"/>
  <c r="BF2224" i="1"/>
  <c r="BT2223" i="1"/>
  <c r="BF2223" i="1"/>
  <c r="BT2222" i="1"/>
  <c r="BF2222" i="1"/>
  <c r="BT2221" i="1"/>
  <c r="BF2221" i="1"/>
  <c r="BT2220" i="1"/>
  <c r="BF2220" i="1"/>
  <c r="BT2219" i="1"/>
  <c r="BF2219" i="1"/>
  <c r="BT2218" i="1"/>
  <c r="BF2218" i="1"/>
  <c r="BT2217" i="1"/>
  <c r="BF2217" i="1"/>
  <c r="BT2216" i="1"/>
  <c r="BF2216" i="1"/>
  <c r="BT2215" i="1"/>
  <c r="BF2215" i="1"/>
  <c r="BT2214" i="1"/>
  <c r="BF2214" i="1"/>
  <c r="BT2213" i="1"/>
  <c r="BF2213" i="1"/>
  <c r="BT2212" i="1"/>
  <c r="BF2212" i="1"/>
  <c r="BT2211" i="1"/>
  <c r="BF2211" i="1"/>
  <c r="BT2210" i="1"/>
  <c r="BF2210" i="1"/>
  <c r="BT2209" i="1"/>
  <c r="BF2209" i="1"/>
  <c r="BT2208" i="1"/>
  <c r="BF2208" i="1"/>
  <c r="BT2207" i="1"/>
  <c r="BF2207" i="1"/>
  <c r="BT2206" i="1"/>
  <c r="BF2206" i="1"/>
  <c r="BT2205" i="1"/>
  <c r="BF2205" i="1"/>
  <c r="BT2204" i="1"/>
  <c r="BF2204" i="1"/>
  <c r="BT2203" i="1"/>
  <c r="BF2203" i="1"/>
  <c r="BT2202" i="1"/>
  <c r="BF2202" i="1"/>
  <c r="BT2201" i="1"/>
  <c r="BF2201" i="1"/>
  <c r="BT2200" i="1"/>
  <c r="BF2200" i="1"/>
  <c r="BT2199" i="1"/>
  <c r="BF2199" i="1"/>
  <c r="BT2198" i="1"/>
  <c r="BF2198" i="1"/>
  <c r="BT2197" i="1"/>
  <c r="BF2197" i="1"/>
  <c r="BT2196" i="1"/>
  <c r="BF2196" i="1"/>
  <c r="BT2195" i="1"/>
  <c r="BF2195" i="1"/>
  <c r="BT2194" i="1"/>
  <c r="BF2194" i="1"/>
  <c r="BT2193" i="1"/>
  <c r="BF2193" i="1"/>
  <c r="BT2192" i="1"/>
  <c r="BF2192" i="1"/>
  <c r="BT2191" i="1"/>
  <c r="BF2191" i="1"/>
  <c r="BT2190" i="1"/>
  <c r="BF2190" i="1"/>
  <c r="BT2189" i="1"/>
  <c r="BF2189" i="1"/>
  <c r="BT2188" i="1"/>
  <c r="BF2188" i="1"/>
  <c r="BT2187" i="1"/>
  <c r="BF2187" i="1"/>
  <c r="BT2186" i="1"/>
  <c r="BF2186" i="1"/>
  <c r="BT2185" i="1"/>
  <c r="BF2185" i="1"/>
  <c r="BT2184" i="1"/>
  <c r="BF2184" i="1"/>
  <c r="BT2183" i="1"/>
  <c r="BF2183" i="1"/>
  <c r="BT2182" i="1"/>
  <c r="BF2182" i="1"/>
  <c r="BT2181" i="1"/>
  <c r="BF2181" i="1"/>
  <c r="BT2180" i="1"/>
  <c r="BF2180" i="1"/>
  <c r="BT2179" i="1"/>
  <c r="BF2179" i="1"/>
  <c r="BT2178" i="1"/>
  <c r="BF2178" i="1"/>
  <c r="BT2177" i="1"/>
  <c r="BF2177" i="1"/>
  <c r="BT2176" i="1"/>
  <c r="BF2176" i="1"/>
  <c r="BT2175" i="1"/>
  <c r="BT2174" i="1"/>
  <c r="BF2174" i="1"/>
  <c r="BT2173" i="1"/>
  <c r="BF2173" i="1"/>
  <c r="BT2172" i="1"/>
  <c r="BF2172" i="1"/>
  <c r="BT2171" i="1"/>
  <c r="BF2171" i="1"/>
  <c r="BT2170" i="1"/>
  <c r="BF2170" i="1"/>
  <c r="BT2169" i="1"/>
  <c r="BF2169" i="1"/>
  <c r="BT2168" i="1"/>
  <c r="BF2168" i="1"/>
  <c r="BT2167" i="1"/>
  <c r="BF2167" i="1"/>
  <c r="BT2166" i="1"/>
  <c r="BF2166" i="1"/>
  <c r="BT2165" i="1"/>
  <c r="BF2165" i="1"/>
  <c r="BT2164" i="1"/>
  <c r="BF2164" i="1"/>
  <c r="BT2163" i="1"/>
  <c r="BF2163" i="1"/>
  <c r="BT2162" i="1"/>
  <c r="BF2162" i="1"/>
  <c r="BT2161" i="1"/>
  <c r="BF2161" i="1"/>
  <c r="BT2160" i="1"/>
  <c r="BF2160" i="1"/>
  <c r="BT2159" i="1"/>
  <c r="BF2159" i="1"/>
  <c r="BT2158" i="1"/>
  <c r="BF2158" i="1"/>
  <c r="BT2157" i="1"/>
  <c r="BF2157" i="1"/>
  <c r="BT2156" i="1"/>
  <c r="BF2156" i="1"/>
  <c r="BT2155" i="1"/>
  <c r="BF2155" i="1"/>
  <c r="BT2154" i="1"/>
  <c r="BF2154" i="1"/>
  <c r="BT2153" i="1"/>
  <c r="BF2153" i="1"/>
  <c r="BT2152" i="1"/>
  <c r="BF2152" i="1"/>
  <c r="BT2151" i="1"/>
  <c r="BF2151" i="1"/>
  <c r="BT2150" i="1"/>
  <c r="BF2150" i="1"/>
  <c r="BT2149" i="1"/>
  <c r="BF2149" i="1"/>
  <c r="BT2148" i="1"/>
  <c r="BF2148" i="1"/>
  <c r="BT2147" i="1"/>
  <c r="BT2146" i="1"/>
  <c r="BF2146" i="1"/>
  <c r="BT2145" i="1"/>
  <c r="BF2145" i="1"/>
  <c r="BT2144" i="1"/>
  <c r="BF2144" i="1"/>
  <c r="BT2143" i="1"/>
  <c r="BF2143" i="1"/>
  <c r="BT2142" i="1"/>
  <c r="BF2142" i="1"/>
  <c r="BT2141" i="1"/>
  <c r="BF2141" i="1"/>
  <c r="BT2140" i="1"/>
  <c r="BF2140" i="1"/>
  <c r="BT2139" i="1"/>
  <c r="BF2139" i="1"/>
  <c r="BT2138" i="1"/>
  <c r="BF2138" i="1"/>
  <c r="BT2137" i="1"/>
  <c r="BF2137" i="1"/>
  <c r="BT2136" i="1"/>
  <c r="BF2136" i="1"/>
  <c r="BT2135" i="1"/>
  <c r="BF2135" i="1"/>
  <c r="BT2134" i="1"/>
  <c r="BF2134" i="1"/>
  <c r="BT2133" i="1"/>
  <c r="BF2133" i="1"/>
  <c r="BT2132" i="1"/>
  <c r="BF2132" i="1"/>
  <c r="BT2131" i="1"/>
  <c r="BF2131" i="1"/>
  <c r="BT2130" i="1"/>
  <c r="BF2130" i="1"/>
  <c r="BT2129" i="1"/>
  <c r="BF2129" i="1"/>
  <c r="BT2128" i="1"/>
  <c r="BF2128" i="1"/>
  <c r="BT2127" i="1"/>
  <c r="BF2127" i="1"/>
  <c r="BT2126" i="1"/>
  <c r="BF2126" i="1"/>
  <c r="BT2125" i="1"/>
  <c r="BF2125" i="1"/>
  <c r="BT2124" i="1"/>
  <c r="BF2124" i="1"/>
  <c r="BT2123" i="1"/>
  <c r="BF2123" i="1"/>
  <c r="BT2122" i="1"/>
  <c r="BF2122" i="1"/>
  <c r="BT2121" i="1"/>
  <c r="BF2121" i="1"/>
  <c r="BT2120" i="1"/>
  <c r="BF2120" i="1"/>
  <c r="BT2119" i="1"/>
  <c r="BF2119" i="1"/>
  <c r="BT2118" i="1"/>
  <c r="BF2118" i="1"/>
  <c r="BT2117" i="1"/>
  <c r="BF2117" i="1"/>
  <c r="BT2116" i="1"/>
  <c r="BF2116" i="1"/>
  <c r="BT2115" i="1"/>
  <c r="BF2115" i="1"/>
  <c r="BT2114" i="1"/>
  <c r="BF2114" i="1"/>
  <c r="BT2113" i="1"/>
  <c r="BF2113" i="1"/>
  <c r="BT2112" i="1"/>
  <c r="BF2112" i="1"/>
  <c r="BT2111" i="1"/>
  <c r="BF2111" i="1"/>
  <c r="BT2110" i="1"/>
  <c r="BF2110" i="1"/>
  <c r="BT2109" i="1"/>
  <c r="BF2109" i="1"/>
  <c r="BT2108" i="1"/>
  <c r="BF2108" i="1"/>
  <c r="BT2107" i="1"/>
  <c r="BT2106" i="1"/>
  <c r="BF2106" i="1"/>
  <c r="BT2105" i="1"/>
  <c r="BF2105" i="1"/>
  <c r="BT2104" i="1"/>
  <c r="BF2104" i="1"/>
  <c r="BT2103" i="1"/>
  <c r="BF2103" i="1"/>
  <c r="BT2102" i="1"/>
  <c r="BF2102" i="1"/>
  <c r="BT2101" i="1"/>
  <c r="BF2101" i="1"/>
  <c r="BT2100" i="1"/>
  <c r="BF2100" i="1"/>
  <c r="BT2099" i="1"/>
  <c r="BF2099" i="1"/>
  <c r="BT2098" i="1"/>
  <c r="BF2098" i="1"/>
  <c r="BT2097" i="1"/>
  <c r="BF2097" i="1"/>
  <c r="BT2096" i="1"/>
  <c r="BF2096" i="1"/>
  <c r="BT2095" i="1"/>
  <c r="BF2095" i="1"/>
  <c r="BT2094" i="1"/>
  <c r="BF2094" i="1"/>
  <c r="BT2093" i="1"/>
  <c r="BF2093" i="1"/>
  <c r="BT2092" i="1"/>
  <c r="BT2091" i="1"/>
  <c r="BF2091" i="1"/>
  <c r="BT2090" i="1"/>
  <c r="BF2090" i="1"/>
  <c r="BT2089" i="1"/>
  <c r="BF2089" i="1"/>
  <c r="BT2088" i="1"/>
  <c r="BF2088" i="1"/>
  <c r="BT2087" i="1"/>
  <c r="BF2087" i="1"/>
  <c r="BT2086" i="1"/>
  <c r="BF2086" i="1"/>
  <c r="BT2085" i="1"/>
  <c r="BF2085" i="1"/>
  <c r="BT2084" i="1"/>
  <c r="BF2084" i="1"/>
  <c r="BT2083" i="1"/>
  <c r="BF2083" i="1"/>
  <c r="BT2082" i="1"/>
  <c r="BF2082" i="1"/>
  <c r="BT2081" i="1"/>
  <c r="BF2081" i="1"/>
  <c r="BT2080" i="1"/>
  <c r="BF2080" i="1"/>
  <c r="BT2079" i="1"/>
  <c r="BF2079" i="1"/>
  <c r="BT2078" i="1"/>
  <c r="BF2078" i="1"/>
  <c r="BT2077" i="1"/>
  <c r="BF2077" i="1"/>
  <c r="BT2076" i="1"/>
  <c r="BF2076" i="1"/>
  <c r="BT2075" i="1"/>
  <c r="BF2075" i="1"/>
  <c r="BT2074" i="1"/>
  <c r="BF2074" i="1"/>
  <c r="BT2073" i="1"/>
  <c r="BF2073" i="1"/>
  <c r="BT2072" i="1"/>
  <c r="BF2072" i="1"/>
  <c r="BT2071" i="1"/>
  <c r="BF2071" i="1"/>
  <c r="BT2070" i="1"/>
  <c r="BF2070" i="1"/>
  <c r="BT2069" i="1"/>
  <c r="BF2069" i="1"/>
  <c r="BT2068" i="1"/>
  <c r="BF2068" i="1"/>
  <c r="BT2067" i="1"/>
  <c r="BF2067" i="1"/>
  <c r="BT2066" i="1"/>
  <c r="BF2066" i="1"/>
  <c r="BT2065" i="1"/>
  <c r="BF2065" i="1"/>
  <c r="BT2064" i="1"/>
  <c r="BF2064" i="1"/>
  <c r="BT2063" i="1"/>
  <c r="BF2063" i="1"/>
  <c r="BT2062" i="1"/>
  <c r="BF2062" i="1"/>
  <c r="BT2061" i="1"/>
  <c r="BF2061" i="1"/>
  <c r="BT2060" i="1"/>
  <c r="BF2060" i="1"/>
  <c r="BT2059" i="1"/>
  <c r="BT2058" i="1"/>
  <c r="BF2058" i="1"/>
  <c r="BT2057" i="1"/>
  <c r="BF2057" i="1"/>
  <c r="BT2056" i="1"/>
  <c r="BF2056" i="1"/>
  <c r="BT2055" i="1"/>
  <c r="BF2055" i="1"/>
  <c r="BT2054" i="1"/>
  <c r="BF2054" i="1"/>
  <c r="BT2053" i="1"/>
  <c r="BF2053" i="1"/>
  <c r="BT2052" i="1"/>
  <c r="BF2052" i="1"/>
  <c r="BT2051" i="1"/>
  <c r="BF2051" i="1"/>
  <c r="BT2050" i="1"/>
  <c r="BT2049" i="1"/>
  <c r="BF2049" i="1"/>
  <c r="BT2048" i="1"/>
  <c r="BF2048" i="1"/>
  <c r="BT2047" i="1"/>
  <c r="BF2047" i="1"/>
  <c r="BT2046" i="1"/>
  <c r="BT2045" i="1"/>
  <c r="BF2045" i="1"/>
  <c r="BT2044" i="1"/>
  <c r="BF2044" i="1"/>
  <c r="BT2043" i="1"/>
  <c r="BF2043" i="1"/>
  <c r="BT2042" i="1"/>
  <c r="BF2042" i="1"/>
  <c r="BT2041" i="1"/>
  <c r="BF2041" i="1"/>
  <c r="BT2040" i="1"/>
  <c r="BF2040" i="1"/>
  <c r="BT2039" i="1"/>
  <c r="BF2039" i="1"/>
  <c r="BT2038" i="1"/>
  <c r="BF2038" i="1"/>
  <c r="BT2037" i="1"/>
  <c r="BF2037" i="1"/>
  <c r="BT2036" i="1"/>
  <c r="BF2036" i="1"/>
  <c r="BT2035" i="1"/>
  <c r="BF2035" i="1"/>
  <c r="BT2034" i="1"/>
  <c r="BF2034" i="1"/>
  <c r="BT2033" i="1"/>
  <c r="BF2033" i="1"/>
  <c r="BT2032" i="1"/>
  <c r="BF2032" i="1"/>
  <c r="BT2031" i="1"/>
  <c r="BF2031" i="1"/>
  <c r="BT2030" i="1"/>
  <c r="BF2030" i="1"/>
  <c r="BT2029" i="1"/>
  <c r="BF2029" i="1"/>
  <c r="BT2028" i="1"/>
  <c r="BF2028" i="1"/>
  <c r="BT2027" i="1"/>
  <c r="BF2027" i="1"/>
  <c r="BT2026" i="1"/>
  <c r="BF2026" i="1"/>
  <c r="BT2025" i="1"/>
  <c r="BF2025" i="1"/>
  <c r="BT2024" i="1"/>
  <c r="BF2024" i="1"/>
  <c r="BT2023" i="1"/>
  <c r="BF2023" i="1"/>
  <c r="BT2022" i="1"/>
  <c r="BF2022" i="1"/>
  <c r="BT2021" i="1"/>
  <c r="BF2021" i="1"/>
  <c r="BT2020" i="1"/>
  <c r="BF2020" i="1"/>
  <c r="BT2019" i="1"/>
  <c r="BT2018" i="1"/>
  <c r="BF2018" i="1"/>
  <c r="BT2017" i="1"/>
  <c r="BF2017" i="1"/>
  <c r="BT2016" i="1"/>
  <c r="BF2016" i="1"/>
  <c r="BT2015" i="1"/>
  <c r="BT2014" i="1"/>
  <c r="BF2014" i="1"/>
  <c r="BT2013" i="1"/>
  <c r="BF2013" i="1"/>
  <c r="BT2012" i="1"/>
  <c r="BF2012" i="1"/>
  <c r="BT2011" i="1"/>
  <c r="BF2011" i="1"/>
  <c r="BT2010" i="1"/>
  <c r="BF2010" i="1"/>
  <c r="BT2009" i="1"/>
  <c r="BF2009" i="1"/>
  <c r="BT2008" i="1"/>
  <c r="BF2008" i="1"/>
  <c r="BT2007" i="1"/>
  <c r="BF2007" i="1"/>
  <c r="BT2006" i="1"/>
  <c r="BF2006" i="1"/>
  <c r="BT2005" i="1"/>
  <c r="BF2005" i="1"/>
  <c r="BT2004" i="1"/>
  <c r="BF2004" i="1"/>
  <c r="BT2003" i="1"/>
  <c r="BF2003" i="1"/>
  <c r="BT2002" i="1"/>
  <c r="BF2002" i="1"/>
  <c r="BF1002" i="1"/>
  <c r="BT1002" i="1"/>
  <c r="BF1003" i="1"/>
  <c r="BT1003" i="1"/>
  <c r="BF1004" i="1"/>
  <c r="BT1004" i="1"/>
  <c r="BT1005" i="1"/>
  <c r="BF1006" i="1"/>
  <c r="BT1006" i="1"/>
  <c r="BT1007" i="1"/>
  <c r="BF1008" i="1"/>
  <c r="BT1008" i="1"/>
  <c r="BF1009" i="1"/>
  <c r="BT1009" i="1"/>
  <c r="BF1010" i="1"/>
  <c r="BT1010" i="1"/>
  <c r="BT1011" i="1"/>
  <c r="BT1012" i="1"/>
  <c r="BT1013" i="1"/>
  <c r="BF1014" i="1"/>
  <c r="BT1014" i="1"/>
  <c r="BF1015" i="1"/>
  <c r="BT1015" i="1"/>
  <c r="BF1016" i="1"/>
  <c r="BT1016" i="1"/>
  <c r="BF1017" i="1"/>
  <c r="BT1017" i="1"/>
  <c r="BF1018" i="1"/>
  <c r="BT1018" i="1"/>
  <c r="BF1019" i="1"/>
  <c r="BT1019" i="1"/>
  <c r="BF1020" i="1"/>
  <c r="BT1020" i="1"/>
  <c r="BF1021" i="1"/>
  <c r="BT1021" i="1"/>
  <c r="BF1022" i="1"/>
  <c r="BT1022" i="1"/>
  <c r="BF1023" i="1"/>
  <c r="BT1023" i="1"/>
  <c r="BT1024" i="1"/>
  <c r="BF1025" i="1"/>
  <c r="BT1025" i="1"/>
  <c r="BF1026" i="1"/>
  <c r="BT1026" i="1"/>
  <c r="BF1027" i="1"/>
  <c r="BT1027" i="1"/>
  <c r="BF1028" i="1"/>
  <c r="BT1028" i="1"/>
  <c r="BF1029" i="1"/>
  <c r="BT1029" i="1"/>
  <c r="BF1030" i="1"/>
  <c r="BT1030" i="1"/>
  <c r="BF1031" i="1"/>
  <c r="BT1031" i="1"/>
  <c r="BF1032" i="1"/>
  <c r="BT1032" i="1"/>
  <c r="BF1033" i="1"/>
  <c r="BT1033" i="1"/>
  <c r="BF1034" i="1"/>
  <c r="BT1034" i="1"/>
  <c r="BF1035" i="1"/>
  <c r="BT1035" i="1"/>
  <c r="BT1036" i="1"/>
  <c r="BF1037" i="1"/>
  <c r="BT1037" i="1"/>
  <c r="BF1038" i="1"/>
  <c r="BT1038" i="1"/>
  <c r="BF1039" i="1"/>
  <c r="BT1039" i="1"/>
  <c r="BF1040" i="1"/>
  <c r="BT1040" i="1"/>
  <c r="BF1041" i="1"/>
  <c r="BT1041" i="1"/>
  <c r="BF1042" i="1"/>
  <c r="BT1042" i="1"/>
  <c r="BF1043" i="1"/>
  <c r="BT1043" i="1"/>
  <c r="BF1044" i="1"/>
  <c r="BT1044" i="1"/>
  <c r="BF1045" i="1"/>
  <c r="BT1045" i="1"/>
  <c r="BT1046" i="1"/>
  <c r="BF1047" i="1"/>
  <c r="BT1047" i="1"/>
  <c r="BF1048" i="1"/>
  <c r="BT1048" i="1"/>
  <c r="BF1049" i="1"/>
  <c r="BT1049" i="1"/>
  <c r="BF1050" i="1"/>
  <c r="BT1050" i="1"/>
  <c r="BF1051" i="1"/>
  <c r="BT1051" i="1"/>
  <c r="BF1052" i="1"/>
  <c r="BT1052" i="1"/>
  <c r="BF1053" i="1"/>
  <c r="BT1053" i="1"/>
  <c r="BF1054" i="1"/>
  <c r="BT1054" i="1"/>
  <c r="BF1055" i="1"/>
  <c r="BT1055" i="1"/>
  <c r="BF1056" i="1"/>
  <c r="BT1056" i="1"/>
  <c r="BF1057" i="1"/>
  <c r="BT1057" i="1"/>
  <c r="BF1058" i="1"/>
  <c r="BT1058" i="1"/>
  <c r="BF1059" i="1"/>
  <c r="BT1059" i="1"/>
  <c r="BT1060" i="1"/>
  <c r="BF1061" i="1"/>
  <c r="BT1061" i="1"/>
  <c r="BF1062" i="1"/>
  <c r="BT1062" i="1"/>
  <c r="BF1063" i="1"/>
  <c r="BT1063" i="1"/>
  <c r="BF1064" i="1"/>
  <c r="BT1064" i="1"/>
  <c r="BF1065" i="1"/>
  <c r="BT1065" i="1"/>
  <c r="BF1066" i="1"/>
  <c r="BT1066" i="1"/>
  <c r="BT1067" i="1"/>
  <c r="BF1068" i="1"/>
  <c r="BT1068" i="1"/>
  <c r="BF1069" i="1"/>
  <c r="BT1069" i="1"/>
  <c r="BF1070" i="1"/>
  <c r="BT1070" i="1"/>
  <c r="BF1071" i="1"/>
  <c r="BT1071" i="1"/>
  <c r="BF1072" i="1"/>
  <c r="BT1072" i="1"/>
  <c r="BF1073" i="1"/>
  <c r="BT1073" i="1"/>
  <c r="BF1074" i="1"/>
  <c r="BT1074" i="1"/>
  <c r="BF1075" i="1"/>
  <c r="BT1075" i="1"/>
  <c r="BF1076" i="1"/>
  <c r="BT1076" i="1"/>
  <c r="BT1077" i="1"/>
  <c r="BF1078" i="1"/>
  <c r="BT1078" i="1"/>
  <c r="BF1079" i="1"/>
  <c r="BT1079" i="1"/>
  <c r="BF1080" i="1"/>
  <c r="BT1080" i="1"/>
  <c r="BF1081" i="1"/>
  <c r="BT1081" i="1"/>
  <c r="BF1082" i="1"/>
  <c r="BT1082" i="1"/>
  <c r="BF1083" i="1"/>
  <c r="BT1083" i="1"/>
  <c r="BT1084" i="1"/>
  <c r="BF1085" i="1"/>
  <c r="BT1085" i="1"/>
  <c r="BF1086" i="1"/>
  <c r="BT1086" i="1"/>
  <c r="BF1087" i="1"/>
  <c r="BT1087" i="1"/>
  <c r="BF1088" i="1"/>
  <c r="BT1088" i="1"/>
  <c r="BF1089" i="1"/>
  <c r="BT1089" i="1"/>
  <c r="BF1090" i="1"/>
  <c r="BT1090" i="1"/>
  <c r="BF1091" i="1"/>
  <c r="BT1091" i="1"/>
  <c r="BF1092" i="1"/>
  <c r="BT1092" i="1"/>
  <c r="BF1093" i="1"/>
  <c r="BT1093" i="1"/>
  <c r="BF1094" i="1"/>
  <c r="BT1094" i="1"/>
  <c r="BT1095" i="1"/>
  <c r="BF1096" i="1"/>
  <c r="BT1096" i="1"/>
  <c r="BF1097" i="1"/>
  <c r="BT1097" i="1"/>
  <c r="BF1098" i="1"/>
  <c r="BT1098" i="1"/>
  <c r="BF1099" i="1"/>
  <c r="BT1099" i="1"/>
  <c r="BF1100" i="1"/>
  <c r="BT1100" i="1"/>
  <c r="BF1101" i="1"/>
  <c r="BT1101" i="1"/>
  <c r="BF1102" i="1"/>
  <c r="BT1102" i="1"/>
  <c r="BF1103" i="1"/>
  <c r="BT1103" i="1"/>
  <c r="BF1104" i="1"/>
  <c r="BT1104" i="1"/>
  <c r="BF1105" i="1"/>
  <c r="BT1105" i="1"/>
  <c r="BF1106" i="1"/>
  <c r="BT1106" i="1"/>
  <c r="BF1107" i="1"/>
  <c r="BT1107" i="1"/>
  <c r="BF1108" i="1"/>
  <c r="BT1108" i="1"/>
  <c r="BF1109" i="1"/>
  <c r="BT1109" i="1"/>
  <c r="BF1110" i="1"/>
  <c r="BT1110" i="1"/>
  <c r="BF1111" i="1"/>
  <c r="BT1111" i="1"/>
  <c r="BF1112" i="1"/>
  <c r="BT1112" i="1"/>
  <c r="BF1113" i="1"/>
  <c r="BT1113" i="1"/>
  <c r="BF1114" i="1"/>
  <c r="BT1114" i="1"/>
  <c r="BF1115" i="1"/>
  <c r="BT1115" i="1"/>
  <c r="BF1116" i="1"/>
  <c r="BT1116" i="1"/>
  <c r="BF1117" i="1"/>
  <c r="BT1117" i="1"/>
  <c r="BF1118" i="1"/>
  <c r="BT1118" i="1"/>
  <c r="BF1119" i="1"/>
  <c r="BT1119" i="1"/>
  <c r="BF1120" i="1"/>
  <c r="BT1120" i="1"/>
  <c r="BF1121" i="1"/>
  <c r="BT1121" i="1"/>
  <c r="BF1122" i="1"/>
  <c r="BT1122" i="1"/>
  <c r="BF1123" i="1"/>
  <c r="BT1123" i="1"/>
  <c r="BF1124" i="1"/>
  <c r="BT1124" i="1"/>
  <c r="BF1125" i="1"/>
  <c r="BT1125" i="1"/>
  <c r="BF1126" i="1"/>
  <c r="BT1126" i="1"/>
  <c r="BF1127" i="1"/>
  <c r="BT1127" i="1"/>
  <c r="BF1128" i="1"/>
  <c r="BT1128" i="1"/>
  <c r="BF1129" i="1"/>
  <c r="BT1129" i="1"/>
  <c r="BF1130" i="1"/>
  <c r="BT1130" i="1"/>
  <c r="BF1131" i="1"/>
  <c r="BT1131" i="1"/>
  <c r="BF1132" i="1"/>
  <c r="BT1132" i="1"/>
  <c r="BF1133" i="1"/>
  <c r="BT1133" i="1"/>
  <c r="BF1134" i="1"/>
  <c r="BT1134" i="1"/>
  <c r="BF1135" i="1"/>
  <c r="BT1135" i="1"/>
  <c r="BF1136" i="1"/>
  <c r="BT1136" i="1"/>
  <c r="BF1137" i="1"/>
  <c r="BT1137" i="1"/>
  <c r="BF1138" i="1"/>
  <c r="BT1138" i="1"/>
  <c r="BF1139" i="1"/>
  <c r="BT1139" i="1"/>
  <c r="BF1140" i="1"/>
  <c r="BT1140" i="1"/>
  <c r="BF1141" i="1"/>
  <c r="BT1141" i="1"/>
  <c r="BT1142" i="1"/>
  <c r="BF1143" i="1"/>
  <c r="BT1143" i="1"/>
  <c r="BF1144" i="1"/>
  <c r="BT1144" i="1"/>
  <c r="BF1145" i="1"/>
  <c r="BT1145" i="1"/>
  <c r="BF1146" i="1"/>
  <c r="BT1146" i="1"/>
  <c r="BF1147" i="1"/>
  <c r="BT1147" i="1"/>
  <c r="BF1148" i="1"/>
  <c r="BT1148" i="1"/>
  <c r="BF1149" i="1"/>
  <c r="BT1149" i="1"/>
  <c r="BF1150" i="1"/>
  <c r="BT1150" i="1"/>
  <c r="BF1151" i="1"/>
  <c r="BT1151" i="1"/>
  <c r="BF1152" i="1"/>
  <c r="BT1152" i="1"/>
  <c r="BF1153" i="1"/>
  <c r="BT1153" i="1"/>
  <c r="BF1154" i="1"/>
  <c r="BT1154" i="1"/>
  <c r="BF1155" i="1"/>
  <c r="BT1155" i="1"/>
  <c r="BF1156" i="1"/>
  <c r="BT1156" i="1"/>
  <c r="BF1157" i="1"/>
  <c r="BT1157" i="1"/>
  <c r="BF1158" i="1"/>
  <c r="BT1158" i="1"/>
  <c r="BF1159" i="1"/>
  <c r="BT1159" i="1"/>
  <c r="BF1160" i="1"/>
  <c r="BT1160" i="1"/>
  <c r="BT1161" i="1"/>
  <c r="BF1162" i="1"/>
  <c r="BT1162" i="1"/>
  <c r="BF1163" i="1"/>
  <c r="BT1163" i="1"/>
  <c r="BF1164" i="1"/>
  <c r="BT1164" i="1"/>
  <c r="BT1165" i="1"/>
  <c r="BF1166" i="1"/>
  <c r="BT1166" i="1"/>
  <c r="BF1167" i="1"/>
  <c r="BT1167" i="1"/>
  <c r="BT1168" i="1"/>
  <c r="BF1169" i="1"/>
  <c r="BT1169" i="1"/>
  <c r="BF1170" i="1"/>
  <c r="BT1170" i="1"/>
  <c r="BF1171" i="1"/>
  <c r="BT1171" i="1"/>
  <c r="BT1172" i="1"/>
  <c r="BF1173" i="1"/>
  <c r="BT1173" i="1"/>
  <c r="BF1174" i="1"/>
  <c r="BT1174" i="1"/>
  <c r="BF1175" i="1"/>
  <c r="BT1175" i="1"/>
  <c r="BF1176" i="1"/>
  <c r="BT1176" i="1"/>
  <c r="BF1177" i="1"/>
  <c r="BT1177" i="1"/>
  <c r="BF1178" i="1"/>
  <c r="BT1178" i="1"/>
  <c r="BF1179" i="1"/>
  <c r="BT1179" i="1"/>
  <c r="BF1180" i="1"/>
  <c r="BT1180" i="1"/>
  <c r="BF1181" i="1"/>
  <c r="BT1181" i="1"/>
  <c r="BF1182" i="1"/>
  <c r="BT1182" i="1"/>
  <c r="BF1183" i="1"/>
  <c r="BT1183" i="1"/>
  <c r="BF1184" i="1"/>
  <c r="BT1184" i="1"/>
  <c r="BF1185" i="1"/>
  <c r="BT1185" i="1"/>
  <c r="BF1186" i="1"/>
  <c r="BT1186" i="1"/>
  <c r="BF1187" i="1"/>
  <c r="BT1187" i="1"/>
  <c r="BF1188" i="1"/>
  <c r="BT1188" i="1"/>
  <c r="BF1189" i="1"/>
  <c r="BT1189" i="1"/>
  <c r="BF1190" i="1"/>
  <c r="BT1190" i="1"/>
  <c r="BF1191" i="1"/>
  <c r="BT1191" i="1"/>
  <c r="BF1192" i="1"/>
  <c r="BT1192" i="1"/>
  <c r="BF1193" i="1"/>
  <c r="BT1193" i="1"/>
  <c r="BF1194" i="1"/>
  <c r="BT1194" i="1"/>
  <c r="BF1195" i="1"/>
  <c r="BT1195" i="1"/>
  <c r="BF1196" i="1"/>
  <c r="BT1196" i="1"/>
  <c r="BF1197" i="1"/>
  <c r="BT1197" i="1"/>
  <c r="BF1198" i="1"/>
  <c r="BT1198" i="1"/>
  <c r="BF1199" i="1"/>
  <c r="BT1199" i="1"/>
  <c r="BF1200" i="1"/>
  <c r="BT1200" i="1"/>
  <c r="BF1201" i="1"/>
  <c r="BT1201" i="1"/>
  <c r="BF1202" i="1"/>
  <c r="BT1202" i="1"/>
  <c r="BF1203" i="1"/>
  <c r="BT1203" i="1"/>
  <c r="BF1204" i="1"/>
  <c r="BT1204" i="1"/>
  <c r="BF1205" i="1"/>
  <c r="BT1205" i="1"/>
  <c r="BF1206" i="1"/>
  <c r="BT1206" i="1"/>
  <c r="BF1207" i="1"/>
  <c r="BT1207" i="1"/>
  <c r="BF1208" i="1"/>
  <c r="BT1208" i="1"/>
  <c r="BF1209" i="1"/>
  <c r="BT1209" i="1"/>
  <c r="BF1210" i="1"/>
  <c r="BT1210" i="1"/>
  <c r="BF1211" i="1"/>
  <c r="BT1211" i="1"/>
  <c r="BF1212" i="1"/>
  <c r="BT1212" i="1"/>
  <c r="BF1213" i="1"/>
  <c r="BT1213" i="1"/>
  <c r="BF1214" i="1"/>
  <c r="BT1214" i="1"/>
  <c r="BF1215" i="1"/>
  <c r="BT1215" i="1"/>
  <c r="BF1216" i="1"/>
  <c r="BT1216" i="1"/>
  <c r="BF1217" i="1"/>
  <c r="BT1217" i="1"/>
  <c r="BF1218" i="1"/>
  <c r="BT1218" i="1"/>
  <c r="BF1219" i="1"/>
  <c r="BT1219" i="1"/>
  <c r="BF1220" i="1"/>
  <c r="BT1220" i="1"/>
  <c r="BF1221" i="1"/>
  <c r="BT1221" i="1"/>
  <c r="BF1222" i="1"/>
  <c r="BT1222" i="1"/>
  <c r="BF1223" i="1"/>
  <c r="BT1223" i="1"/>
  <c r="BF1224" i="1"/>
  <c r="BT1224" i="1"/>
  <c r="BF1225" i="1"/>
  <c r="BT1225" i="1"/>
  <c r="BF1226" i="1"/>
  <c r="BT1226" i="1"/>
  <c r="BF1227" i="1"/>
  <c r="BT1227" i="1"/>
  <c r="BF1228" i="1"/>
  <c r="BT1228" i="1"/>
  <c r="BF1229" i="1"/>
  <c r="BT1229" i="1"/>
  <c r="BF1230" i="1"/>
  <c r="BT1230" i="1"/>
  <c r="BF1231" i="1"/>
  <c r="BT1231" i="1"/>
  <c r="BF1232" i="1"/>
  <c r="BT1232" i="1"/>
  <c r="BF1233" i="1"/>
  <c r="BT1233" i="1"/>
  <c r="BF1234" i="1"/>
  <c r="BT1234" i="1"/>
  <c r="BF1235" i="1"/>
  <c r="BT1235" i="1"/>
  <c r="BF1236" i="1"/>
  <c r="BT1236" i="1"/>
  <c r="BF1237" i="1"/>
  <c r="BT1237" i="1"/>
  <c r="BF1238" i="1"/>
  <c r="BT1238" i="1"/>
  <c r="BF1239" i="1"/>
  <c r="BT1239" i="1"/>
  <c r="BF1240" i="1"/>
  <c r="BT1240" i="1"/>
  <c r="BF1241" i="1"/>
  <c r="BT1241" i="1"/>
  <c r="BF1242" i="1"/>
  <c r="BT1242" i="1"/>
  <c r="BF1243" i="1"/>
  <c r="BT1243" i="1"/>
  <c r="BF1244" i="1"/>
  <c r="BT1244" i="1"/>
  <c r="BF1245" i="1"/>
  <c r="BT1245" i="1"/>
  <c r="BF1246" i="1"/>
  <c r="BT1246" i="1"/>
  <c r="BF1247" i="1"/>
  <c r="BT1247" i="1"/>
  <c r="BF1248" i="1"/>
  <c r="BT1248" i="1"/>
  <c r="BF1249" i="1"/>
  <c r="BT1249" i="1"/>
  <c r="BF1250" i="1"/>
  <c r="BT1250" i="1"/>
  <c r="BF1251" i="1"/>
  <c r="BT1251" i="1"/>
  <c r="BF1252" i="1"/>
  <c r="BT1252" i="1"/>
  <c r="BF1253" i="1"/>
  <c r="BT1253" i="1"/>
  <c r="BF1254" i="1"/>
  <c r="BT1254" i="1"/>
  <c r="BT1255" i="1"/>
  <c r="BF1256" i="1"/>
  <c r="BT1256" i="1"/>
  <c r="BF1257" i="1"/>
  <c r="BT1257" i="1"/>
  <c r="BT1258" i="1"/>
  <c r="BF1259" i="1"/>
  <c r="BT1259" i="1"/>
  <c r="BF1260" i="1"/>
  <c r="BT1260" i="1"/>
  <c r="BF1261" i="1"/>
  <c r="BT1261" i="1"/>
  <c r="BT1262" i="1"/>
  <c r="BF1263" i="1"/>
  <c r="BT1263" i="1"/>
  <c r="BF1264" i="1"/>
  <c r="BT1264" i="1"/>
  <c r="BF1265" i="1"/>
  <c r="BT1265" i="1"/>
  <c r="BF1266" i="1"/>
  <c r="BT1266" i="1"/>
  <c r="BF1267" i="1"/>
  <c r="BT1267" i="1"/>
  <c r="BF1268" i="1"/>
  <c r="BT1268" i="1"/>
  <c r="BF1269" i="1"/>
  <c r="BT1269" i="1"/>
  <c r="BF1270" i="1"/>
  <c r="BT1270" i="1"/>
  <c r="BF1271" i="1"/>
  <c r="BT1271" i="1"/>
  <c r="BF1272" i="1"/>
  <c r="BT1272" i="1"/>
  <c r="BF1273" i="1"/>
  <c r="BT1273" i="1"/>
  <c r="BF1274" i="1"/>
  <c r="BT1274" i="1"/>
  <c r="BF1275" i="1"/>
  <c r="BT1275" i="1"/>
  <c r="BF1276" i="1"/>
  <c r="BT1276" i="1"/>
  <c r="BF1277" i="1"/>
  <c r="BT1277" i="1"/>
  <c r="BF1278" i="1"/>
  <c r="BT1278" i="1"/>
  <c r="BF1279" i="1"/>
  <c r="BT1279" i="1"/>
  <c r="BF1280" i="1"/>
  <c r="BT1280" i="1"/>
  <c r="BF1281" i="1"/>
  <c r="BT1281" i="1"/>
  <c r="BF1282" i="1"/>
  <c r="BT1282" i="1"/>
  <c r="BF1283" i="1"/>
  <c r="BT1283" i="1"/>
  <c r="BF1284" i="1"/>
  <c r="BT1284" i="1"/>
  <c r="BT1285" i="1"/>
  <c r="BF1286" i="1"/>
  <c r="BT1286" i="1"/>
  <c r="BF1287" i="1"/>
  <c r="BT1287" i="1"/>
  <c r="BF1288" i="1"/>
  <c r="BT1288" i="1"/>
  <c r="BF1289" i="1"/>
  <c r="BT1289" i="1"/>
  <c r="BF1290" i="1"/>
  <c r="BT1290" i="1"/>
  <c r="BF1291" i="1"/>
  <c r="BT1291" i="1"/>
  <c r="BF1292" i="1"/>
  <c r="BT1292" i="1"/>
  <c r="BF1293" i="1"/>
  <c r="BT1293" i="1"/>
  <c r="BF1294" i="1"/>
  <c r="BT1294" i="1"/>
  <c r="BF1295" i="1"/>
  <c r="BT1295" i="1"/>
  <c r="BF1296" i="1"/>
  <c r="BT1296" i="1"/>
  <c r="BF1297" i="1"/>
  <c r="BT1297" i="1"/>
  <c r="BF1298" i="1"/>
  <c r="BT1298" i="1"/>
  <c r="BF1299" i="1"/>
  <c r="BT1299" i="1"/>
  <c r="BF1300" i="1"/>
  <c r="BT1300" i="1"/>
  <c r="BF1301" i="1"/>
  <c r="BT1301" i="1"/>
  <c r="BF1302" i="1"/>
  <c r="BT1302" i="1"/>
  <c r="BF1303" i="1"/>
  <c r="BT1303" i="1"/>
  <c r="BF1304" i="1"/>
  <c r="BT1304" i="1"/>
  <c r="BF1305" i="1"/>
  <c r="BT1305" i="1"/>
  <c r="BF1306" i="1"/>
  <c r="BT1306" i="1"/>
  <c r="BF1307" i="1"/>
  <c r="BT1307" i="1"/>
  <c r="BF1308" i="1"/>
  <c r="BT1308" i="1"/>
  <c r="BF1309" i="1"/>
  <c r="BT1309" i="1"/>
  <c r="BF1310" i="1"/>
  <c r="BT1310" i="1"/>
  <c r="BF1311" i="1"/>
  <c r="BT1311" i="1"/>
  <c r="BF1312" i="1"/>
  <c r="BT1312" i="1"/>
  <c r="BF1313" i="1"/>
  <c r="BT1313" i="1"/>
  <c r="BF1314" i="1"/>
  <c r="BT1314" i="1"/>
  <c r="BF1315" i="1"/>
  <c r="BT1315" i="1"/>
  <c r="BF1316" i="1"/>
  <c r="BT1316" i="1"/>
  <c r="BF1317" i="1"/>
  <c r="BT1317" i="1"/>
  <c r="BF1318" i="1"/>
  <c r="BT1318" i="1"/>
  <c r="BF1319" i="1"/>
  <c r="BT1319" i="1"/>
  <c r="BF1320" i="1"/>
  <c r="BT1320" i="1"/>
  <c r="BF1321" i="1"/>
  <c r="BT1321" i="1"/>
  <c r="BF1322" i="1"/>
  <c r="BT1322" i="1"/>
  <c r="BF1323" i="1"/>
  <c r="BT1323" i="1"/>
  <c r="BF1324" i="1"/>
  <c r="BT1324" i="1"/>
  <c r="BF1325" i="1"/>
  <c r="BT1325" i="1"/>
  <c r="BF1326" i="1"/>
  <c r="BT1326" i="1"/>
  <c r="BF1327" i="1"/>
  <c r="BT1327" i="1"/>
  <c r="BF1328" i="1"/>
  <c r="BT1328" i="1"/>
  <c r="BF1329" i="1"/>
  <c r="BT1329" i="1"/>
  <c r="BF1330" i="1"/>
  <c r="BT1330" i="1"/>
  <c r="BF1331" i="1"/>
  <c r="BT1331" i="1"/>
  <c r="BF1332" i="1"/>
  <c r="BT1332" i="1"/>
  <c r="BF1333" i="1"/>
  <c r="BT1333" i="1"/>
  <c r="BF1334" i="1"/>
  <c r="BT1334" i="1"/>
  <c r="BF1335" i="1"/>
  <c r="BT1335" i="1"/>
  <c r="BF1336" i="1"/>
  <c r="BT1336" i="1"/>
  <c r="BF1337" i="1"/>
  <c r="BT1337" i="1"/>
  <c r="BF1338" i="1"/>
  <c r="BT1338" i="1"/>
  <c r="BT1339" i="1"/>
  <c r="BF1340" i="1"/>
  <c r="BT1340" i="1"/>
  <c r="BT1341" i="1"/>
  <c r="BT1342" i="1"/>
  <c r="BF1343" i="1"/>
  <c r="BT1343" i="1"/>
  <c r="BF1344" i="1"/>
  <c r="BT1344" i="1"/>
  <c r="BT1345" i="1"/>
  <c r="BF1346" i="1"/>
  <c r="BT1346" i="1"/>
  <c r="BF1347" i="1"/>
  <c r="BT1347" i="1"/>
  <c r="BF1348" i="1"/>
  <c r="BT1348" i="1"/>
  <c r="BF1349" i="1"/>
  <c r="BT1349" i="1"/>
  <c r="BF1350" i="1"/>
  <c r="BT1350" i="1"/>
  <c r="BF1351" i="1"/>
  <c r="BT1351" i="1"/>
  <c r="BT1352" i="1"/>
  <c r="BT1353" i="1"/>
  <c r="BF1354" i="1"/>
  <c r="BT1354" i="1"/>
  <c r="BF1355" i="1"/>
  <c r="BT1355" i="1"/>
  <c r="BF1356" i="1"/>
  <c r="BT1356" i="1"/>
  <c r="BF1357" i="1"/>
  <c r="BT1357" i="1"/>
  <c r="BF1358" i="1"/>
  <c r="BT1358" i="1"/>
  <c r="BF1359" i="1"/>
  <c r="BT1359" i="1"/>
  <c r="BF1360" i="1"/>
  <c r="BT1360" i="1"/>
  <c r="BF1361" i="1"/>
  <c r="BT1361" i="1"/>
  <c r="BF1362" i="1"/>
  <c r="BT1362" i="1"/>
  <c r="BF1363" i="1"/>
  <c r="BT1363" i="1"/>
  <c r="BF1364" i="1"/>
  <c r="BT1364" i="1"/>
  <c r="BF1365" i="1"/>
  <c r="BT1365" i="1"/>
  <c r="BF1366" i="1"/>
  <c r="BT1366" i="1"/>
  <c r="BF1367" i="1"/>
  <c r="BT1367" i="1"/>
  <c r="BF1368" i="1"/>
  <c r="BT1368" i="1"/>
  <c r="BT1369" i="1"/>
  <c r="BF1370" i="1"/>
  <c r="BT1370" i="1"/>
  <c r="BF1371" i="1"/>
  <c r="BT1371" i="1"/>
  <c r="BF1372" i="1"/>
  <c r="BT1372" i="1"/>
  <c r="BT1373" i="1"/>
  <c r="BF1374" i="1"/>
  <c r="BT1374" i="1"/>
  <c r="BF1375" i="1"/>
  <c r="BT1375" i="1"/>
  <c r="BF1376" i="1"/>
  <c r="BT1376" i="1"/>
  <c r="BF1377" i="1"/>
  <c r="BT1377" i="1"/>
  <c r="BF1378" i="1"/>
  <c r="BT1378" i="1"/>
  <c r="BF1379" i="1"/>
  <c r="BT1379" i="1"/>
  <c r="BF1380" i="1"/>
  <c r="BT1380" i="1"/>
  <c r="BF1381" i="1"/>
  <c r="BT1381" i="1"/>
  <c r="BF1382" i="1"/>
  <c r="BT1382" i="1"/>
  <c r="BF1383" i="1"/>
  <c r="BT1383" i="1"/>
  <c r="BF1384" i="1"/>
  <c r="BT1384" i="1"/>
  <c r="BF1385" i="1"/>
  <c r="BT1385" i="1"/>
  <c r="BF1386" i="1"/>
  <c r="BT1386" i="1"/>
  <c r="BF1387" i="1"/>
  <c r="BT1387" i="1"/>
  <c r="BF1388" i="1"/>
  <c r="BT1388" i="1"/>
  <c r="BF1389" i="1"/>
  <c r="BT1389" i="1"/>
  <c r="BF1390" i="1"/>
  <c r="BT1390" i="1"/>
  <c r="BT1391" i="1"/>
  <c r="BF1392" i="1"/>
  <c r="BT1392" i="1"/>
  <c r="BF1393" i="1"/>
  <c r="BT1393" i="1"/>
  <c r="BT1394" i="1"/>
  <c r="BF1395" i="1"/>
  <c r="BT1395" i="1"/>
  <c r="BF1396" i="1"/>
  <c r="BT1396" i="1"/>
  <c r="BF1397" i="1"/>
  <c r="BT1397" i="1"/>
  <c r="BF1398" i="1"/>
  <c r="BT1398" i="1"/>
  <c r="BF1399" i="1"/>
  <c r="BT1399" i="1"/>
  <c r="BF1400" i="1"/>
  <c r="BT1400" i="1"/>
  <c r="BT1401" i="1"/>
  <c r="BF1402" i="1"/>
  <c r="BT1402" i="1"/>
  <c r="BT1403" i="1"/>
  <c r="BF1404" i="1"/>
  <c r="BT1404" i="1"/>
  <c r="BF1405" i="1"/>
  <c r="BT1405" i="1"/>
  <c r="BF1406" i="1"/>
  <c r="BT1406" i="1"/>
  <c r="BF1407" i="1"/>
  <c r="BT1407" i="1"/>
  <c r="BF1408" i="1"/>
  <c r="BT1408" i="1"/>
  <c r="BF1409" i="1"/>
  <c r="BT1409" i="1"/>
  <c r="BF1410" i="1"/>
  <c r="BT1410" i="1"/>
  <c r="BF1411" i="1"/>
  <c r="BT1411" i="1"/>
  <c r="BF1412" i="1"/>
  <c r="BT1412" i="1"/>
  <c r="BF1413" i="1"/>
  <c r="BT1413" i="1"/>
  <c r="BF1414" i="1"/>
  <c r="BT1414" i="1"/>
  <c r="BF1415" i="1"/>
  <c r="BT1415" i="1"/>
  <c r="BT1416" i="1"/>
  <c r="BF1417" i="1"/>
  <c r="BT1417" i="1"/>
  <c r="BF1418" i="1"/>
  <c r="BT1418" i="1"/>
  <c r="BF1419" i="1"/>
  <c r="BT1419" i="1"/>
  <c r="BF1420" i="1"/>
  <c r="BT1420" i="1"/>
  <c r="BF1421" i="1"/>
  <c r="BT1421" i="1"/>
  <c r="BF1422" i="1"/>
  <c r="BT1422" i="1"/>
  <c r="BF1423" i="1"/>
  <c r="BT1423" i="1"/>
  <c r="BF1424" i="1"/>
  <c r="BT1424" i="1"/>
  <c r="BF1425" i="1"/>
  <c r="BT1425" i="1"/>
  <c r="BF1426" i="1"/>
  <c r="BT1426" i="1"/>
  <c r="BF1427" i="1"/>
  <c r="BT1427" i="1"/>
  <c r="BF1428" i="1"/>
  <c r="BT1428" i="1"/>
  <c r="BF1429" i="1"/>
  <c r="BT1429" i="1"/>
  <c r="BF1430" i="1"/>
  <c r="BT1430" i="1"/>
  <c r="BF1431" i="1"/>
  <c r="BT1431" i="1"/>
  <c r="BF1432" i="1"/>
  <c r="BT1432" i="1"/>
  <c r="BF1433" i="1"/>
  <c r="BT1433" i="1"/>
  <c r="BF1434" i="1"/>
  <c r="BT1434" i="1"/>
  <c r="BF1435" i="1"/>
  <c r="BT1435" i="1"/>
  <c r="BF1436" i="1"/>
  <c r="BT1436" i="1"/>
  <c r="BF1437" i="1"/>
  <c r="BT1437" i="1"/>
  <c r="BF1438" i="1"/>
  <c r="BT1438" i="1"/>
  <c r="BF1439" i="1"/>
  <c r="BT1439" i="1"/>
  <c r="BF1440" i="1"/>
  <c r="BT1440" i="1"/>
  <c r="BF1441" i="1"/>
  <c r="BT1441" i="1"/>
  <c r="BF1442" i="1"/>
  <c r="BT1442" i="1"/>
  <c r="BT1443" i="1"/>
  <c r="BF1444" i="1"/>
  <c r="BT1444" i="1"/>
  <c r="BF1445" i="1"/>
  <c r="BT1445" i="1"/>
  <c r="BF1446" i="1"/>
  <c r="BT1446" i="1"/>
  <c r="BF1447" i="1"/>
  <c r="BT1447" i="1"/>
  <c r="BF1448" i="1"/>
  <c r="BT1448" i="1"/>
  <c r="BF1449" i="1"/>
  <c r="BT1449" i="1"/>
  <c r="BF1450" i="1"/>
  <c r="BT1450" i="1"/>
  <c r="BF1451" i="1"/>
  <c r="BT1451" i="1"/>
  <c r="BF1452" i="1"/>
  <c r="BT1452" i="1"/>
  <c r="BF1453" i="1"/>
  <c r="BT1453" i="1"/>
  <c r="BF1454" i="1"/>
  <c r="BT1454" i="1"/>
  <c r="BF1455" i="1"/>
  <c r="BT1455" i="1"/>
  <c r="BF1456" i="1"/>
  <c r="BT1456" i="1"/>
  <c r="BF1457" i="1"/>
  <c r="BT1457" i="1"/>
  <c r="BF1458" i="1"/>
  <c r="BT1458" i="1"/>
  <c r="BF1459" i="1"/>
  <c r="BT1459" i="1"/>
  <c r="BF1460" i="1"/>
  <c r="BT1460" i="1"/>
  <c r="BF1461" i="1"/>
  <c r="BT1461" i="1"/>
  <c r="BT1462" i="1"/>
  <c r="BF1463" i="1"/>
  <c r="BT1463" i="1"/>
  <c r="BF1464" i="1"/>
  <c r="BT1464" i="1"/>
  <c r="BF1465" i="1"/>
  <c r="BT1465" i="1"/>
  <c r="BF1466" i="1"/>
  <c r="BT1466" i="1"/>
  <c r="BT1467" i="1"/>
  <c r="BF1468" i="1"/>
  <c r="BT1468" i="1"/>
  <c r="BF1469" i="1"/>
  <c r="BT1469" i="1"/>
  <c r="BF1470" i="1"/>
  <c r="BT1470" i="1"/>
  <c r="BF1471" i="1"/>
  <c r="BT1471" i="1"/>
  <c r="BF1472" i="1"/>
  <c r="BT1472" i="1"/>
  <c r="BF1473" i="1"/>
  <c r="BT1473" i="1"/>
  <c r="BF1474" i="1"/>
  <c r="BT1474" i="1"/>
  <c r="BT1475" i="1"/>
  <c r="BF1476" i="1"/>
  <c r="BT1476" i="1"/>
  <c r="BF1477" i="1"/>
  <c r="BT1477" i="1"/>
  <c r="BF1478" i="1"/>
  <c r="BT1478" i="1"/>
  <c r="BF1479" i="1"/>
  <c r="BT1479" i="1"/>
  <c r="BF1480" i="1"/>
  <c r="BT1480" i="1"/>
  <c r="BF1481" i="1"/>
  <c r="BT1481" i="1"/>
  <c r="BF1482" i="1"/>
  <c r="BT1482" i="1"/>
  <c r="BF1483" i="1"/>
  <c r="BT1483" i="1"/>
  <c r="BF1484" i="1"/>
  <c r="BT1484" i="1"/>
  <c r="BF1485" i="1"/>
  <c r="BT1485" i="1"/>
  <c r="BT1486" i="1"/>
  <c r="BF1487" i="1"/>
  <c r="BT1487" i="1"/>
  <c r="BF1488" i="1"/>
  <c r="BT1488" i="1"/>
  <c r="BF1489" i="1"/>
  <c r="BT1489" i="1"/>
  <c r="BF1490" i="1"/>
  <c r="BT1490" i="1"/>
  <c r="BF1491" i="1"/>
  <c r="BT1491" i="1"/>
  <c r="BF1492" i="1"/>
  <c r="BT1492" i="1"/>
  <c r="BF1493" i="1"/>
  <c r="BT1493" i="1"/>
  <c r="BF1494" i="1"/>
  <c r="BT1494" i="1"/>
  <c r="BF1495" i="1"/>
  <c r="BT1495" i="1"/>
  <c r="BF1496" i="1"/>
  <c r="BT1496" i="1"/>
  <c r="BF1497" i="1"/>
  <c r="BT1497" i="1"/>
  <c r="BF1498" i="1"/>
  <c r="BT1498" i="1"/>
  <c r="BF1499" i="1"/>
  <c r="BT1499" i="1"/>
  <c r="BT1500" i="1"/>
  <c r="BT1501" i="1"/>
  <c r="BF1502" i="1"/>
  <c r="BT1502" i="1"/>
  <c r="BF1503" i="1"/>
  <c r="BT1503" i="1"/>
  <c r="BF1504" i="1"/>
  <c r="BT1504" i="1"/>
  <c r="BF1505" i="1"/>
  <c r="BT1505" i="1"/>
  <c r="BF1506" i="1"/>
  <c r="BT1506" i="1"/>
  <c r="BF1507" i="1"/>
  <c r="BT1507" i="1"/>
  <c r="BT1508" i="1"/>
  <c r="BF1509" i="1"/>
  <c r="BT1509" i="1"/>
  <c r="BF1510" i="1"/>
  <c r="BT1510" i="1"/>
  <c r="BF1511" i="1"/>
  <c r="BT1511" i="1"/>
  <c r="BF1512" i="1"/>
  <c r="BT1512" i="1"/>
  <c r="BF1513" i="1"/>
  <c r="BT1513" i="1"/>
  <c r="BF1514" i="1"/>
  <c r="BT1514" i="1"/>
  <c r="BF1515" i="1"/>
  <c r="BT1515" i="1"/>
  <c r="BF1516" i="1"/>
  <c r="BT1516" i="1"/>
  <c r="BF1517" i="1"/>
  <c r="BT1517" i="1"/>
  <c r="BF1518" i="1"/>
  <c r="BT1518" i="1"/>
  <c r="BF1519" i="1"/>
  <c r="BT1519" i="1"/>
  <c r="BF1520" i="1"/>
  <c r="BT1520" i="1"/>
  <c r="BF1521" i="1"/>
  <c r="BT1521" i="1"/>
  <c r="BF1522" i="1"/>
  <c r="BT1522" i="1"/>
  <c r="BF1523" i="1"/>
  <c r="BT1523" i="1"/>
  <c r="BF1524" i="1"/>
  <c r="BT1524" i="1"/>
  <c r="BF1525" i="1"/>
  <c r="BT1525" i="1"/>
  <c r="BF1526" i="1"/>
  <c r="BT1526" i="1"/>
  <c r="BF1527" i="1"/>
  <c r="BT1527" i="1"/>
  <c r="BF1528" i="1"/>
  <c r="BT1528" i="1"/>
  <c r="BF1529" i="1"/>
  <c r="BT1529" i="1"/>
  <c r="BF1530" i="1"/>
  <c r="BT1530" i="1"/>
  <c r="BF1531" i="1"/>
  <c r="BT1531" i="1"/>
  <c r="BT1532" i="1"/>
  <c r="BT1533" i="1"/>
  <c r="BF1534" i="1"/>
  <c r="BT1534" i="1"/>
  <c r="BF1535" i="1"/>
  <c r="BT1535" i="1"/>
  <c r="BF1536" i="1"/>
  <c r="BT1536" i="1"/>
  <c r="BF1537" i="1"/>
  <c r="BT1537" i="1"/>
  <c r="BT1538" i="1"/>
  <c r="BF1539" i="1"/>
  <c r="BT1539" i="1"/>
  <c r="BF1540" i="1"/>
  <c r="BT1540" i="1"/>
  <c r="BF1541" i="1"/>
  <c r="BT1541" i="1"/>
  <c r="BF1542" i="1"/>
  <c r="BT1542" i="1"/>
  <c r="BF1543" i="1"/>
  <c r="BT1543" i="1"/>
  <c r="BF1544" i="1"/>
  <c r="BT1544" i="1"/>
  <c r="BF1545" i="1"/>
  <c r="BT1545" i="1"/>
  <c r="BF1546" i="1"/>
  <c r="BT1546" i="1"/>
  <c r="BF1547" i="1"/>
  <c r="BT1547" i="1"/>
  <c r="BT1548" i="1"/>
  <c r="BF1549" i="1"/>
  <c r="BT1549" i="1"/>
  <c r="BF1550" i="1"/>
  <c r="BT1550" i="1"/>
  <c r="BF1551" i="1"/>
  <c r="BT1551" i="1"/>
  <c r="BF1552" i="1"/>
  <c r="BT1552" i="1"/>
  <c r="BF1553" i="1"/>
  <c r="BT1553" i="1"/>
  <c r="BF1554" i="1"/>
  <c r="BT1554" i="1"/>
  <c r="BT1555" i="1"/>
  <c r="BF1556" i="1"/>
  <c r="BT1556" i="1"/>
  <c r="BF1557" i="1"/>
  <c r="BT1557" i="1"/>
  <c r="BF1558" i="1"/>
  <c r="BT1558" i="1"/>
  <c r="BF1559" i="1"/>
  <c r="BT1559" i="1"/>
  <c r="BF1560" i="1"/>
  <c r="BT1560" i="1"/>
  <c r="BF1561" i="1"/>
  <c r="BT1561" i="1"/>
  <c r="BT1562" i="1"/>
  <c r="BF1563" i="1"/>
  <c r="BT1563" i="1"/>
  <c r="BF1564" i="1"/>
  <c r="BT1564" i="1"/>
  <c r="BF1565" i="1"/>
  <c r="BT1565" i="1"/>
  <c r="BF1566" i="1"/>
  <c r="BT1566" i="1"/>
  <c r="BF1567" i="1"/>
  <c r="BT1567" i="1"/>
  <c r="BF1568" i="1"/>
  <c r="BT1568" i="1"/>
  <c r="BT1569" i="1"/>
  <c r="BF1570" i="1"/>
  <c r="BT1570" i="1"/>
  <c r="BF1571" i="1"/>
  <c r="BT1571" i="1"/>
  <c r="BF1572" i="1"/>
  <c r="BT1572" i="1"/>
  <c r="BF1573" i="1"/>
  <c r="BT1573" i="1"/>
  <c r="BF1574" i="1"/>
  <c r="BT1574" i="1"/>
  <c r="BF1575" i="1"/>
  <c r="BT1575" i="1"/>
  <c r="BF1576" i="1"/>
  <c r="BT1576" i="1"/>
  <c r="BF1577" i="1"/>
  <c r="BT1577" i="1"/>
  <c r="BF1578" i="1"/>
  <c r="BT1578" i="1"/>
  <c r="BF1579" i="1"/>
  <c r="BT1579" i="1"/>
  <c r="BT1580" i="1"/>
  <c r="BF1581" i="1"/>
  <c r="BT1581" i="1"/>
  <c r="BF1582" i="1"/>
  <c r="BT1582" i="1"/>
  <c r="BT1583" i="1"/>
  <c r="BF1584" i="1"/>
  <c r="BT1584" i="1"/>
  <c r="BF1585" i="1"/>
  <c r="BT1585" i="1"/>
  <c r="BF1586" i="1"/>
  <c r="BT1586" i="1"/>
  <c r="BF1587" i="1"/>
  <c r="BT1587" i="1"/>
  <c r="BT1588" i="1"/>
  <c r="BF1589" i="1"/>
  <c r="BT1589" i="1"/>
  <c r="BF1590" i="1"/>
  <c r="BT1590" i="1"/>
  <c r="BF1591" i="1"/>
  <c r="BT1591" i="1"/>
  <c r="BF1592" i="1"/>
  <c r="BT1592" i="1"/>
  <c r="BF1593" i="1"/>
  <c r="BT1593" i="1"/>
  <c r="BF1594" i="1"/>
  <c r="BT1594" i="1"/>
  <c r="BF1595" i="1"/>
  <c r="BT1595" i="1"/>
  <c r="BF1596" i="1"/>
  <c r="BT1596" i="1"/>
  <c r="BF1597" i="1"/>
  <c r="BT1597" i="1"/>
  <c r="BF1598" i="1"/>
  <c r="BT1598" i="1"/>
  <c r="BF1599" i="1"/>
  <c r="BT1599" i="1"/>
  <c r="BT1600" i="1"/>
  <c r="BF1601" i="1"/>
  <c r="BT1601" i="1"/>
  <c r="BF1602" i="1"/>
  <c r="BT1602" i="1"/>
  <c r="BF1603" i="1"/>
  <c r="BT1603" i="1"/>
  <c r="BF1604" i="1"/>
  <c r="BT1604" i="1"/>
  <c r="BF1605" i="1"/>
  <c r="BT1605" i="1"/>
  <c r="BF1606" i="1"/>
  <c r="BT1606" i="1"/>
  <c r="BF1607" i="1"/>
  <c r="BT1607" i="1"/>
  <c r="BT1608" i="1"/>
  <c r="BF1609" i="1"/>
  <c r="BT1609" i="1"/>
  <c r="BF1610" i="1"/>
  <c r="BT1610" i="1"/>
  <c r="BF1611" i="1"/>
  <c r="BT1611" i="1"/>
  <c r="BF1612" i="1"/>
  <c r="BT1612" i="1"/>
  <c r="BF1613" i="1"/>
  <c r="BT1613" i="1"/>
  <c r="BF1614" i="1"/>
  <c r="BT1614" i="1"/>
  <c r="BF1615" i="1"/>
  <c r="BT1615" i="1"/>
  <c r="BF1616" i="1"/>
  <c r="BT1616" i="1"/>
  <c r="BT1617" i="1"/>
  <c r="BF1618" i="1"/>
  <c r="BT1618" i="1"/>
  <c r="BF1619" i="1"/>
  <c r="BT1619" i="1"/>
  <c r="BF1620" i="1"/>
  <c r="BT1620" i="1"/>
  <c r="BF1621" i="1"/>
  <c r="BT1621" i="1"/>
  <c r="BF1622" i="1"/>
  <c r="BT1622" i="1"/>
  <c r="BF1623" i="1"/>
  <c r="BT1623" i="1"/>
  <c r="BF1624" i="1"/>
  <c r="BT1624" i="1"/>
  <c r="BF1625" i="1"/>
  <c r="BT1625" i="1"/>
  <c r="BF1626" i="1"/>
  <c r="BT1626" i="1"/>
  <c r="BF1627" i="1"/>
  <c r="BT1627" i="1"/>
  <c r="BT1628" i="1"/>
  <c r="BF1629" i="1"/>
  <c r="BT1629" i="1"/>
  <c r="BF1630" i="1"/>
  <c r="BT1630" i="1"/>
  <c r="BF1631" i="1"/>
  <c r="BT1631" i="1"/>
  <c r="BF1632" i="1"/>
  <c r="BT1632" i="1"/>
  <c r="BF1633" i="1"/>
  <c r="BT1633" i="1"/>
  <c r="BF1634" i="1"/>
  <c r="BT1634" i="1"/>
  <c r="BT1635" i="1"/>
  <c r="BF1636" i="1"/>
  <c r="BT1636" i="1"/>
  <c r="BF1637" i="1"/>
  <c r="BT1637" i="1"/>
  <c r="BF1638" i="1"/>
  <c r="BT1638" i="1"/>
  <c r="BF1639" i="1"/>
  <c r="BT1639" i="1"/>
  <c r="BF1640" i="1"/>
  <c r="BT1640" i="1"/>
  <c r="BF1641" i="1"/>
  <c r="BT1641" i="1"/>
  <c r="BF1642" i="1"/>
  <c r="BT1642" i="1"/>
  <c r="BF1643" i="1"/>
  <c r="BT1643" i="1"/>
  <c r="BF1644" i="1"/>
  <c r="BT1644" i="1"/>
  <c r="BF1645" i="1"/>
  <c r="BT1645" i="1"/>
  <c r="BF1646" i="1"/>
  <c r="BT1646" i="1"/>
  <c r="BF1647" i="1"/>
  <c r="BT1647" i="1"/>
  <c r="BF1648" i="1"/>
  <c r="BT1648" i="1"/>
  <c r="BF1649" i="1"/>
  <c r="BT1649" i="1"/>
  <c r="BF1650" i="1"/>
  <c r="BT1650" i="1"/>
  <c r="BF1651" i="1"/>
  <c r="BT1651" i="1"/>
  <c r="BF1652" i="1"/>
  <c r="BT1652" i="1"/>
  <c r="BF1653" i="1"/>
  <c r="BT1653" i="1"/>
  <c r="BF1654" i="1"/>
  <c r="BT1654" i="1"/>
  <c r="BF1655" i="1"/>
  <c r="BT1655" i="1"/>
  <c r="BF1656" i="1"/>
  <c r="BT1656" i="1"/>
  <c r="BF1657" i="1"/>
  <c r="BT1657" i="1"/>
  <c r="BF1658" i="1"/>
  <c r="BT1658" i="1"/>
  <c r="BF1659" i="1"/>
  <c r="BT1659" i="1"/>
  <c r="BF1660" i="1"/>
  <c r="BT1660" i="1"/>
  <c r="BF1661" i="1"/>
  <c r="BT1661" i="1"/>
  <c r="BF1662" i="1"/>
  <c r="BT1662" i="1"/>
  <c r="BF1663" i="1"/>
  <c r="BT1663" i="1"/>
  <c r="BF1664" i="1"/>
  <c r="BT1664" i="1"/>
  <c r="BF1665" i="1"/>
  <c r="BT1665" i="1"/>
  <c r="BT1666" i="1"/>
  <c r="BF1667" i="1"/>
  <c r="BT1667" i="1"/>
  <c r="BT1668" i="1"/>
  <c r="BF1669" i="1"/>
  <c r="BT1669" i="1"/>
  <c r="BF1670" i="1"/>
  <c r="BT1670" i="1"/>
  <c r="BF1671" i="1"/>
  <c r="BT1671" i="1"/>
  <c r="BF1672" i="1"/>
  <c r="BT1672" i="1"/>
  <c r="BF1673" i="1"/>
  <c r="BT1673" i="1"/>
  <c r="BF1674" i="1"/>
  <c r="BT1674" i="1"/>
  <c r="BF1675" i="1"/>
  <c r="BT1675" i="1"/>
  <c r="BF1676" i="1"/>
  <c r="BT1676" i="1"/>
  <c r="BF1677" i="1"/>
  <c r="BT1677" i="1"/>
  <c r="BF1678" i="1"/>
  <c r="BT1678" i="1"/>
  <c r="BT1679" i="1"/>
  <c r="BF1680" i="1"/>
  <c r="BT1680" i="1"/>
  <c r="BF1681" i="1"/>
  <c r="BT1681" i="1"/>
  <c r="BF1682" i="1"/>
  <c r="BT1682" i="1"/>
  <c r="BF1683" i="1"/>
  <c r="BT1683" i="1"/>
  <c r="BF1684" i="1"/>
  <c r="BT1684" i="1"/>
  <c r="BF1685" i="1"/>
  <c r="BT1685" i="1"/>
  <c r="BF1686" i="1"/>
  <c r="BT1686" i="1"/>
  <c r="BF1687" i="1"/>
  <c r="BT1687" i="1"/>
  <c r="BF1688" i="1"/>
  <c r="BT1688" i="1"/>
  <c r="BF1689" i="1"/>
  <c r="BT1689" i="1"/>
  <c r="BF1690" i="1"/>
  <c r="BT1690" i="1"/>
  <c r="BF1691" i="1"/>
  <c r="BT1691" i="1"/>
  <c r="BF1692" i="1"/>
  <c r="BT1692" i="1"/>
  <c r="BF1693" i="1"/>
  <c r="BT1693" i="1"/>
  <c r="BT1694" i="1"/>
  <c r="BF1695" i="1"/>
  <c r="BT1695" i="1"/>
  <c r="BF1696" i="1"/>
  <c r="BT1696" i="1"/>
  <c r="BF1697" i="1"/>
  <c r="BT1697" i="1"/>
  <c r="BF1698" i="1"/>
  <c r="BT1698" i="1"/>
  <c r="BF1699" i="1"/>
  <c r="BT1699" i="1"/>
  <c r="BF1700" i="1"/>
  <c r="BT1700" i="1"/>
  <c r="BF1701" i="1"/>
  <c r="BT1701" i="1"/>
  <c r="BF1702" i="1"/>
  <c r="BT1702" i="1"/>
  <c r="BF1703" i="1"/>
  <c r="BT1703" i="1"/>
  <c r="BF1704" i="1"/>
  <c r="BT1704" i="1"/>
  <c r="BF1705" i="1"/>
  <c r="BT1705" i="1"/>
  <c r="BT1706" i="1"/>
  <c r="BF1707" i="1"/>
  <c r="BT1707" i="1"/>
  <c r="BF1708" i="1"/>
  <c r="BT1708" i="1"/>
  <c r="BF1709" i="1"/>
  <c r="BT1709" i="1"/>
  <c r="BF1710" i="1"/>
  <c r="BT1710" i="1"/>
  <c r="BF1711" i="1"/>
  <c r="BT1711" i="1"/>
  <c r="BT1712" i="1"/>
  <c r="BF1713" i="1"/>
  <c r="BT1713" i="1"/>
  <c r="BF1714" i="1"/>
  <c r="BT1714" i="1"/>
  <c r="BF1715" i="1"/>
  <c r="BT1715" i="1"/>
  <c r="BF1716" i="1"/>
  <c r="BT1716" i="1"/>
  <c r="BF1717" i="1"/>
  <c r="BT1717" i="1"/>
  <c r="BF1718" i="1"/>
  <c r="BT1718" i="1"/>
  <c r="BF1719" i="1"/>
  <c r="BT1719" i="1"/>
  <c r="BF1720" i="1"/>
  <c r="BT1720" i="1"/>
  <c r="BF1721" i="1"/>
  <c r="BT1721" i="1"/>
  <c r="BF1722" i="1"/>
  <c r="BT1722" i="1"/>
  <c r="BF1723" i="1"/>
  <c r="BT1723" i="1"/>
  <c r="BF1724" i="1"/>
  <c r="BT1724" i="1"/>
  <c r="BF1725" i="1"/>
  <c r="BT1725" i="1"/>
  <c r="BF1726" i="1"/>
  <c r="BT1726" i="1"/>
  <c r="BF1727" i="1"/>
  <c r="BT1727" i="1"/>
  <c r="BF1728" i="1"/>
  <c r="BT1728" i="1"/>
  <c r="BF1729" i="1"/>
  <c r="BT1729" i="1"/>
  <c r="BF1730" i="1"/>
  <c r="BT1730" i="1"/>
  <c r="BF1731" i="1"/>
  <c r="BT1731" i="1"/>
  <c r="BF1732" i="1"/>
  <c r="BT1732" i="1"/>
  <c r="BF1733" i="1"/>
  <c r="BT1733" i="1"/>
  <c r="BF1734" i="1"/>
  <c r="BT1734" i="1"/>
  <c r="BF1735" i="1"/>
  <c r="BT1735" i="1"/>
  <c r="BF1736" i="1"/>
  <c r="BT1736" i="1"/>
  <c r="BT1737" i="1"/>
  <c r="BT1738" i="1"/>
  <c r="BF1739" i="1"/>
  <c r="BT1739" i="1"/>
  <c r="BF1740" i="1"/>
  <c r="BT1740" i="1"/>
  <c r="BF1741" i="1"/>
  <c r="BT1741" i="1"/>
  <c r="BF1742" i="1"/>
  <c r="BT1742" i="1"/>
  <c r="BF1743" i="1"/>
  <c r="BT1743" i="1"/>
  <c r="BF1744" i="1"/>
  <c r="BT1744" i="1"/>
  <c r="BT1745" i="1"/>
  <c r="BF1746" i="1"/>
  <c r="BT1746" i="1"/>
  <c r="BF1747" i="1"/>
  <c r="BT1747" i="1"/>
  <c r="BF1748" i="1"/>
  <c r="BT1748" i="1"/>
  <c r="BF1749" i="1"/>
  <c r="BT1749" i="1"/>
  <c r="BF1750" i="1"/>
  <c r="BT1750" i="1"/>
  <c r="BF1751" i="1"/>
  <c r="BT1751" i="1"/>
  <c r="BF1752" i="1"/>
  <c r="BT1752" i="1"/>
  <c r="BF1753" i="1"/>
  <c r="BT1753" i="1"/>
  <c r="BF1754" i="1"/>
  <c r="BT1754" i="1"/>
  <c r="BF1755" i="1"/>
  <c r="BT1755" i="1"/>
  <c r="BF1756" i="1"/>
  <c r="BT1756" i="1"/>
  <c r="BF1757" i="1"/>
  <c r="BT1757" i="1"/>
  <c r="BF1758" i="1"/>
  <c r="BT1758" i="1"/>
  <c r="BF1759" i="1"/>
  <c r="BT1759" i="1"/>
  <c r="BF1760" i="1"/>
  <c r="BT1760" i="1"/>
  <c r="BF1761" i="1"/>
  <c r="BT1761" i="1"/>
  <c r="BF1762" i="1"/>
  <c r="BT1762" i="1"/>
  <c r="BF1763" i="1"/>
  <c r="BT1763" i="1"/>
  <c r="BF1764" i="1"/>
  <c r="BT1764" i="1"/>
  <c r="BF1765" i="1"/>
  <c r="BT1765" i="1"/>
  <c r="BF1766" i="1"/>
  <c r="BT1766" i="1"/>
  <c r="BF1767" i="1"/>
  <c r="BT1767" i="1"/>
  <c r="BF1768" i="1"/>
  <c r="BT1768" i="1"/>
  <c r="BF1769" i="1"/>
  <c r="BT1769" i="1"/>
  <c r="BF1770" i="1"/>
  <c r="BT1770" i="1"/>
  <c r="BF1771" i="1"/>
  <c r="BT1771" i="1"/>
  <c r="BF1772" i="1"/>
  <c r="BT1772" i="1"/>
  <c r="BF1773" i="1"/>
  <c r="BT1773" i="1"/>
  <c r="BT1774" i="1"/>
  <c r="BF1775" i="1"/>
  <c r="BT1775" i="1"/>
  <c r="BF1776" i="1"/>
  <c r="BT1776" i="1"/>
  <c r="BF1777" i="1"/>
  <c r="BT1777" i="1"/>
  <c r="BF1778" i="1"/>
  <c r="BT1778" i="1"/>
  <c r="BF1779" i="1"/>
  <c r="BT1779" i="1"/>
  <c r="BF1780" i="1"/>
  <c r="BT1780" i="1"/>
  <c r="BF1781" i="1"/>
  <c r="BT1781" i="1"/>
  <c r="BF1782" i="1"/>
  <c r="BT1782" i="1"/>
  <c r="BF1783" i="1"/>
  <c r="BT1783" i="1"/>
  <c r="BF1784" i="1"/>
  <c r="BT1784" i="1"/>
  <c r="BF1785" i="1"/>
  <c r="BT1785" i="1"/>
  <c r="BF1786" i="1"/>
  <c r="BT1786" i="1"/>
  <c r="BF1787" i="1"/>
  <c r="BT1787" i="1"/>
  <c r="BF1788" i="1"/>
  <c r="BT1788" i="1"/>
  <c r="BF1789" i="1"/>
  <c r="BT1789" i="1"/>
  <c r="BF1790" i="1"/>
  <c r="BT1790" i="1"/>
  <c r="BF1791" i="1"/>
  <c r="BT1791" i="1"/>
  <c r="BF1792" i="1"/>
  <c r="BT1792" i="1"/>
  <c r="BF1793" i="1"/>
  <c r="BT1793" i="1"/>
  <c r="BF1794" i="1"/>
  <c r="BT1794" i="1"/>
  <c r="BF1795" i="1"/>
  <c r="BT1795" i="1"/>
  <c r="BF1796" i="1"/>
  <c r="BT1796" i="1"/>
  <c r="BT1797" i="1"/>
  <c r="BF1798" i="1"/>
  <c r="BT1798" i="1"/>
  <c r="BF1799" i="1"/>
  <c r="BT1799" i="1"/>
  <c r="BF1800" i="1"/>
  <c r="BT1800" i="1"/>
  <c r="BF1801" i="1"/>
  <c r="BT1801" i="1"/>
  <c r="BF1802" i="1"/>
  <c r="BT1802" i="1"/>
  <c r="BT1803" i="1"/>
  <c r="BF1804" i="1"/>
  <c r="BT1804" i="1"/>
  <c r="BF1805" i="1"/>
  <c r="BT1805" i="1"/>
  <c r="BF1806" i="1"/>
  <c r="BT1806" i="1"/>
  <c r="BF1807" i="1"/>
  <c r="BT1807" i="1"/>
  <c r="BF1808" i="1"/>
  <c r="BT1808" i="1"/>
  <c r="BF1809" i="1"/>
  <c r="BT1809" i="1"/>
  <c r="BF1810" i="1"/>
  <c r="BT1810" i="1"/>
  <c r="BF1811" i="1"/>
  <c r="BT1811" i="1"/>
  <c r="BF1812" i="1"/>
  <c r="BT1812" i="1"/>
  <c r="BF1813" i="1"/>
  <c r="BT1813" i="1"/>
  <c r="BF1814" i="1"/>
  <c r="BT1814" i="1"/>
  <c r="BT1815" i="1"/>
  <c r="BF1816" i="1"/>
  <c r="BT1816" i="1"/>
  <c r="BF1817" i="1"/>
  <c r="BT1817" i="1"/>
  <c r="BF1818" i="1"/>
  <c r="BT1818" i="1"/>
  <c r="BF1819" i="1"/>
  <c r="BT1819" i="1"/>
  <c r="BF1820" i="1"/>
  <c r="BT1820" i="1"/>
  <c r="BF1821" i="1"/>
  <c r="BT1821" i="1"/>
  <c r="BF1822" i="1"/>
  <c r="BT1822" i="1"/>
  <c r="BF1823" i="1"/>
  <c r="BT1823" i="1"/>
  <c r="BF1824" i="1"/>
  <c r="BT1824" i="1"/>
  <c r="BF1825" i="1"/>
  <c r="BT1825" i="1"/>
  <c r="BF1826" i="1"/>
  <c r="BT1826" i="1"/>
  <c r="BF1827" i="1"/>
  <c r="BT1827" i="1"/>
  <c r="BF1828" i="1"/>
  <c r="BT1828" i="1"/>
  <c r="BF1829" i="1"/>
  <c r="BT1829" i="1"/>
  <c r="BT1830" i="1"/>
  <c r="BF1831" i="1"/>
  <c r="BT1831" i="1"/>
  <c r="BF1832" i="1"/>
  <c r="BT1832" i="1"/>
  <c r="BF1833" i="1"/>
  <c r="BT1833" i="1"/>
  <c r="BF1834" i="1"/>
  <c r="BT1834" i="1"/>
  <c r="BF1835" i="1"/>
  <c r="BT1835" i="1"/>
  <c r="BF1836" i="1"/>
  <c r="BT1836" i="1"/>
  <c r="BF1837" i="1"/>
  <c r="BT1837" i="1"/>
  <c r="BF1838" i="1"/>
  <c r="BT1838" i="1"/>
  <c r="BF1839" i="1"/>
  <c r="BT1839" i="1"/>
  <c r="BT1840" i="1"/>
  <c r="BF1841" i="1"/>
  <c r="BT1841" i="1"/>
  <c r="BF1842" i="1"/>
  <c r="BT1842" i="1"/>
  <c r="BF1843" i="1"/>
  <c r="BT1843" i="1"/>
  <c r="BF1844" i="1"/>
  <c r="BT1844" i="1"/>
  <c r="BF1845" i="1"/>
  <c r="BT1845" i="1"/>
  <c r="BF1846" i="1"/>
  <c r="BT1846" i="1"/>
  <c r="BF1847" i="1"/>
  <c r="BT1847" i="1"/>
  <c r="BT1848" i="1"/>
  <c r="BF1849" i="1"/>
  <c r="BT1849" i="1"/>
  <c r="BF1850" i="1"/>
  <c r="BT1850" i="1"/>
  <c r="BF1851" i="1"/>
  <c r="BT1851" i="1"/>
  <c r="BF1852" i="1"/>
  <c r="BT1852" i="1"/>
  <c r="BF1853" i="1"/>
  <c r="BT1853" i="1"/>
  <c r="BF1854" i="1"/>
  <c r="BT1854" i="1"/>
  <c r="BF1855" i="1"/>
  <c r="BT1855" i="1"/>
  <c r="BF1856" i="1"/>
  <c r="BT1856" i="1"/>
  <c r="BF1857" i="1"/>
  <c r="BT1857" i="1"/>
  <c r="BF1858" i="1"/>
  <c r="BT1858" i="1"/>
  <c r="BF1859" i="1"/>
  <c r="BT1859" i="1"/>
  <c r="BF1860" i="1"/>
  <c r="BT1860" i="1"/>
  <c r="BF1861" i="1"/>
  <c r="BT1861" i="1"/>
  <c r="BF1862" i="1"/>
  <c r="BT1862" i="1"/>
  <c r="BF1863" i="1"/>
  <c r="BT1863" i="1"/>
  <c r="BF1864" i="1"/>
  <c r="BT1864" i="1"/>
  <c r="BF1865" i="1"/>
  <c r="BT1865" i="1"/>
  <c r="BF1866" i="1"/>
  <c r="BT1866" i="1"/>
  <c r="BF1867" i="1"/>
  <c r="BT1867" i="1"/>
  <c r="BF1868" i="1"/>
  <c r="BT1868" i="1"/>
  <c r="BF1869" i="1"/>
  <c r="BT1869" i="1"/>
  <c r="BF1870" i="1"/>
  <c r="BT1870" i="1"/>
  <c r="BF1871" i="1"/>
  <c r="BT1871" i="1"/>
  <c r="BF1872" i="1"/>
  <c r="BT1872" i="1"/>
  <c r="BF1873" i="1"/>
  <c r="BT1873" i="1"/>
  <c r="BF1874" i="1"/>
  <c r="BT1874" i="1"/>
  <c r="BF1875" i="1"/>
  <c r="BT1875" i="1"/>
  <c r="BF1876" i="1"/>
  <c r="BT1876" i="1"/>
  <c r="BF1877" i="1"/>
  <c r="BT1877" i="1"/>
  <c r="BF1878" i="1"/>
  <c r="BT1878" i="1"/>
  <c r="BF1879" i="1"/>
  <c r="BT1879" i="1"/>
  <c r="BF1880" i="1"/>
  <c r="BT1880" i="1"/>
  <c r="BF1881" i="1"/>
  <c r="BT1881" i="1"/>
  <c r="BF1882" i="1"/>
  <c r="BT1882" i="1"/>
  <c r="BF1883" i="1"/>
  <c r="BT1883" i="1"/>
  <c r="BF1884" i="1"/>
  <c r="BT1884" i="1"/>
  <c r="BF1885" i="1"/>
  <c r="BT1885" i="1"/>
  <c r="BT1886" i="1"/>
  <c r="BF1887" i="1"/>
  <c r="BT1887" i="1"/>
  <c r="BF1888" i="1"/>
  <c r="BT1888" i="1"/>
  <c r="BF1889" i="1"/>
  <c r="BT1889" i="1"/>
  <c r="BF1890" i="1"/>
  <c r="BT1890" i="1"/>
  <c r="BT1891" i="1"/>
  <c r="BF1892" i="1"/>
  <c r="BT1892" i="1"/>
  <c r="BF1893" i="1"/>
  <c r="BT1893" i="1"/>
  <c r="BF1894" i="1"/>
  <c r="BT1894" i="1"/>
  <c r="BF1895" i="1"/>
  <c r="BT1895" i="1"/>
  <c r="BF1896" i="1"/>
  <c r="BT1896" i="1"/>
  <c r="BF1897" i="1"/>
  <c r="BT1897" i="1"/>
  <c r="BF1898" i="1"/>
  <c r="BT1898" i="1"/>
  <c r="BF1899" i="1"/>
  <c r="BT1899" i="1"/>
  <c r="BF1900" i="1"/>
  <c r="BT1900" i="1"/>
  <c r="BF1901" i="1"/>
  <c r="BT1901" i="1"/>
  <c r="BF1902" i="1"/>
  <c r="BT1902" i="1"/>
  <c r="BF1903" i="1"/>
  <c r="BT1903" i="1"/>
  <c r="BF1904" i="1"/>
  <c r="BT1904" i="1"/>
  <c r="BF1905" i="1"/>
  <c r="BT1905" i="1"/>
  <c r="BF1906" i="1"/>
  <c r="BT1906" i="1"/>
  <c r="BF1907" i="1"/>
  <c r="BT1907" i="1"/>
  <c r="BF1908" i="1"/>
  <c r="BT1908" i="1"/>
  <c r="BF1909" i="1"/>
  <c r="BT1909" i="1"/>
  <c r="BT1910" i="1"/>
  <c r="BF1911" i="1"/>
  <c r="BT1911" i="1"/>
  <c r="BF1912" i="1"/>
  <c r="BT1912" i="1"/>
  <c r="BT1913" i="1"/>
  <c r="BF1914" i="1"/>
  <c r="BT1914" i="1"/>
  <c r="BF1915" i="1"/>
  <c r="BT1915" i="1"/>
  <c r="BF1916" i="1"/>
  <c r="BT1916" i="1"/>
  <c r="BF1917" i="1"/>
  <c r="BT1917" i="1"/>
  <c r="BF1918" i="1"/>
  <c r="BT1918" i="1"/>
  <c r="BF1919" i="1"/>
  <c r="BT1919" i="1"/>
  <c r="BF1920" i="1"/>
  <c r="BT1920" i="1"/>
  <c r="BF1921" i="1"/>
  <c r="BT1921" i="1"/>
  <c r="BF1922" i="1"/>
  <c r="BT1922" i="1"/>
  <c r="BT1923" i="1"/>
  <c r="BF1924" i="1"/>
  <c r="BT1924" i="1"/>
  <c r="BF1925" i="1"/>
  <c r="BT1925" i="1"/>
  <c r="BF1926" i="1"/>
  <c r="BT1926" i="1"/>
  <c r="BF1927" i="1"/>
  <c r="BT1927" i="1"/>
  <c r="BF1928" i="1"/>
  <c r="BT1928" i="1"/>
  <c r="BF1929" i="1"/>
  <c r="BT1929" i="1"/>
  <c r="BF1930" i="1"/>
  <c r="BT1930" i="1"/>
  <c r="BF1931" i="1"/>
  <c r="BT1931" i="1"/>
  <c r="BF1932" i="1"/>
  <c r="BT1932" i="1"/>
  <c r="BF1933" i="1"/>
  <c r="BT1933" i="1"/>
  <c r="BF1934" i="1"/>
  <c r="BT1934" i="1"/>
  <c r="BF1935" i="1"/>
  <c r="BT1935" i="1"/>
  <c r="BF1936" i="1"/>
  <c r="BT1936" i="1"/>
  <c r="BF1937" i="1"/>
  <c r="BT1937" i="1"/>
  <c r="BF1938" i="1"/>
  <c r="BT1938" i="1"/>
  <c r="BF1939" i="1"/>
  <c r="BT1939" i="1"/>
  <c r="BT1940" i="1"/>
  <c r="BF1941" i="1"/>
  <c r="BT1941" i="1"/>
  <c r="BF1942" i="1"/>
  <c r="BT1942" i="1"/>
  <c r="BF1943" i="1"/>
  <c r="BT1943" i="1"/>
  <c r="BF1944" i="1"/>
  <c r="BT1944" i="1"/>
  <c r="BF1945" i="1"/>
  <c r="BT1945" i="1"/>
  <c r="BF1946" i="1"/>
  <c r="BT1946" i="1"/>
  <c r="BF1947" i="1"/>
  <c r="BT1947" i="1"/>
  <c r="BF1948" i="1"/>
  <c r="BT1948" i="1"/>
  <c r="BF1949" i="1"/>
  <c r="BT1949" i="1"/>
  <c r="BF1950" i="1"/>
  <c r="BT1950" i="1"/>
  <c r="BF1951" i="1"/>
  <c r="BT1951" i="1"/>
  <c r="BF1952" i="1"/>
  <c r="BT1952" i="1"/>
  <c r="BF1953" i="1"/>
  <c r="BT1953" i="1"/>
  <c r="BF1954" i="1"/>
  <c r="BT1954" i="1"/>
  <c r="BF1955" i="1"/>
  <c r="BT1955" i="1"/>
  <c r="BF1956" i="1"/>
  <c r="BT1956" i="1"/>
  <c r="BF1957" i="1"/>
  <c r="BT1957" i="1"/>
  <c r="BF1958" i="1"/>
  <c r="BT1958" i="1"/>
  <c r="BF1959" i="1"/>
  <c r="BT1959" i="1"/>
  <c r="BF1960" i="1"/>
  <c r="BT1960" i="1"/>
  <c r="BF1961" i="1"/>
  <c r="BT1961" i="1"/>
  <c r="BF1962" i="1"/>
  <c r="BT1962" i="1"/>
  <c r="BF1963" i="1"/>
  <c r="BT1963" i="1"/>
  <c r="BF1964" i="1"/>
  <c r="BT1964" i="1"/>
  <c r="BF1965" i="1"/>
  <c r="BT1965" i="1"/>
  <c r="BF1966" i="1"/>
  <c r="BT1966" i="1"/>
  <c r="BF1967" i="1"/>
  <c r="BT1967" i="1"/>
  <c r="BF1968" i="1"/>
  <c r="BT1968" i="1"/>
  <c r="BF1969" i="1"/>
  <c r="BT1969" i="1"/>
  <c r="BF1970" i="1"/>
  <c r="BT1970" i="1"/>
  <c r="BF1971" i="1"/>
  <c r="BT1971" i="1"/>
  <c r="BF1972" i="1"/>
  <c r="BT1972" i="1"/>
  <c r="BF1973" i="1"/>
  <c r="BT1973" i="1"/>
  <c r="BF1974" i="1"/>
  <c r="BT1974" i="1"/>
  <c r="BF1975" i="1"/>
  <c r="BT1975" i="1"/>
  <c r="BF1976" i="1"/>
  <c r="BT1976" i="1"/>
  <c r="BF1977" i="1"/>
  <c r="BT1977" i="1"/>
  <c r="BF1978" i="1"/>
  <c r="BT1978" i="1"/>
  <c r="BF1979" i="1"/>
  <c r="BT1979" i="1"/>
  <c r="BF1980" i="1"/>
  <c r="BT1980" i="1"/>
  <c r="BT1981" i="1"/>
  <c r="BF1982" i="1"/>
  <c r="BT1982" i="1"/>
  <c r="BF1983" i="1"/>
  <c r="BT1983" i="1"/>
  <c r="BF1984" i="1"/>
  <c r="BT1984" i="1"/>
  <c r="BT1985" i="1"/>
  <c r="BF1986" i="1"/>
  <c r="BT1986" i="1"/>
  <c r="BF1987" i="1"/>
  <c r="BT1987" i="1"/>
  <c r="BF1988" i="1"/>
  <c r="BT1988" i="1"/>
  <c r="BF1989" i="1"/>
  <c r="BT1989" i="1"/>
  <c r="BF1990" i="1"/>
  <c r="BT1990" i="1"/>
  <c r="BF1991" i="1"/>
  <c r="BT1991" i="1"/>
  <c r="BT1992" i="1"/>
  <c r="BF1993" i="1"/>
  <c r="BT1993" i="1"/>
  <c r="BF1994" i="1"/>
  <c r="BT1994" i="1"/>
  <c r="BF1995" i="1"/>
  <c r="BT1995" i="1"/>
  <c r="BF1996" i="1"/>
  <c r="BT1996" i="1"/>
  <c r="BF1997" i="1"/>
  <c r="BT1997" i="1"/>
  <c r="BF1998" i="1"/>
  <c r="BT1998" i="1"/>
  <c r="BF1999" i="1"/>
  <c r="BT1999" i="1"/>
  <c r="BF2000" i="1"/>
  <c r="BT2000" i="1"/>
  <c r="BF2001" i="1"/>
  <c r="BT2001" i="1"/>
  <c r="BF2" i="1"/>
  <c r="BT2" i="1"/>
  <c r="BF3" i="1"/>
  <c r="BT3" i="1"/>
  <c r="BF4" i="1"/>
  <c r="BT4" i="1"/>
  <c r="BT5" i="1"/>
  <c r="BF6" i="1"/>
  <c r="BT6" i="1"/>
  <c r="BF7" i="1"/>
  <c r="BT7" i="1"/>
  <c r="BF8" i="1"/>
  <c r="BT8" i="1"/>
  <c r="BF9" i="1"/>
  <c r="BT9" i="1"/>
  <c r="BF10" i="1"/>
  <c r="BT10" i="1"/>
  <c r="BF11" i="1"/>
  <c r="BT11" i="1"/>
  <c r="BT12" i="1"/>
  <c r="BF13" i="1"/>
  <c r="BT13" i="1"/>
  <c r="BF14" i="1"/>
  <c r="BT14" i="1"/>
  <c r="BF15" i="1"/>
  <c r="BT15" i="1"/>
  <c r="BF16" i="1"/>
  <c r="BT16" i="1"/>
  <c r="BF17" i="1"/>
  <c r="BT17" i="1"/>
  <c r="BF18" i="1"/>
  <c r="BT18" i="1"/>
  <c r="BF19" i="1"/>
  <c r="BT19" i="1"/>
  <c r="BF20" i="1"/>
  <c r="BT20" i="1"/>
  <c r="BF21" i="1"/>
  <c r="BT21" i="1"/>
  <c r="BF22" i="1"/>
  <c r="BT22" i="1"/>
  <c r="BF23" i="1"/>
  <c r="BT23" i="1"/>
  <c r="BT24" i="1"/>
  <c r="BF25" i="1"/>
  <c r="BT25" i="1"/>
  <c r="BF26" i="1"/>
  <c r="BT26" i="1"/>
  <c r="BT27" i="1"/>
  <c r="BF28" i="1"/>
  <c r="BT28" i="1"/>
  <c r="BF29" i="1"/>
  <c r="BT29" i="1"/>
  <c r="BT30" i="1"/>
  <c r="BF31" i="1"/>
  <c r="BT31" i="1"/>
  <c r="BF32" i="1"/>
  <c r="BT32" i="1"/>
  <c r="BF33" i="1"/>
  <c r="BT33" i="1"/>
  <c r="BF34" i="1"/>
  <c r="BT34" i="1"/>
  <c r="BF35" i="1"/>
  <c r="BT35" i="1"/>
  <c r="BF36" i="1"/>
  <c r="BT36" i="1"/>
  <c r="BF37" i="1"/>
  <c r="BT37" i="1"/>
  <c r="BF38" i="1"/>
  <c r="BT38" i="1"/>
  <c r="BF39" i="1"/>
  <c r="BT39" i="1"/>
  <c r="BF40" i="1"/>
  <c r="BT40" i="1"/>
  <c r="BT41" i="1"/>
  <c r="BF42" i="1"/>
  <c r="BT42" i="1"/>
  <c r="BF43" i="1"/>
  <c r="BT43" i="1"/>
  <c r="BF44" i="1"/>
  <c r="BT44" i="1"/>
  <c r="BF45" i="1"/>
  <c r="BT45" i="1"/>
  <c r="BF46" i="1"/>
  <c r="BT46" i="1"/>
  <c r="BF47" i="1"/>
  <c r="BT47" i="1"/>
  <c r="BF48" i="1"/>
  <c r="BT48" i="1"/>
  <c r="BF49" i="1"/>
  <c r="BT49" i="1"/>
  <c r="BF50" i="1"/>
  <c r="BT50" i="1"/>
  <c r="BF51" i="1"/>
  <c r="BT51" i="1"/>
  <c r="BT52" i="1"/>
  <c r="BF53" i="1"/>
  <c r="BT53" i="1"/>
  <c r="BF54" i="1"/>
  <c r="BT54" i="1"/>
  <c r="BF55" i="1"/>
  <c r="BT55" i="1"/>
  <c r="BT56" i="1"/>
  <c r="BF57" i="1"/>
  <c r="BT57" i="1"/>
  <c r="BF58" i="1"/>
  <c r="BT58" i="1"/>
  <c r="BT59" i="1"/>
  <c r="BF60" i="1"/>
  <c r="BT60" i="1"/>
  <c r="BF61" i="1"/>
  <c r="BT61" i="1"/>
  <c r="BF62" i="1"/>
  <c r="BT62" i="1"/>
  <c r="BF63" i="1"/>
  <c r="BT63" i="1"/>
  <c r="BF64" i="1"/>
  <c r="BT64" i="1"/>
  <c r="BF65" i="1"/>
  <c r="BT65" i="1"/>
  <c r="BF66" i="1"/>
  <c r="BT66" i="1"/>
  <c r="BF67" i="1"/>
  <c r="BT67" i="1"/>
  <c r="BT68" i="1"/>
  <c r="BF69" i="1"/>
  <c r="BT69" i="1"/>
  <c r="BF70" i="1"/>
  <c r="BT70" i="1"/>
  <c r="BF71" i="1"/>
  <c r="BT71" i="1"/>
  <c r="BF72" i="1"/>
  <c r="BT72" i="1"/>
  <c r="BF73" i="1"/>
  <c r="BT73" i="1"/>
  <c r="BF74" i="1"/>
  <c r="BT74" i="1"/>
  <c r="BF75" i="1"/>
  <c r="BT75" i="1"/>
  <c r="BF76" i="1"/>
  <c r="BT76" i="1"/>
  <c r="BF77" i="1"/>
  <c r="BT77" i="1"/>
  <c r="BF78" i="1"/>
  <c r="BT78" i="1"/>
  <c r="BF79" i="1"/>
  <c r="BT79" i="1"/>
  <c r="BT80" i="1"/>
  <c r="BT81" i="1"/>
  <c r="BF82" i="1"/>
  <c r="BT82" i="1"/>
  <c r="BF83" i="1"/>
  <c r="BT83" i="1"/>
  <c r="BF84" i="1"/>
  <c r="BT84" i="1"/>
  <c r="BT85" i="1"/>
  <c r="BF86" i="1"/>
  <c r="BT86" i="1"/>
  <c r="BF87" i="1"/>
  <c r="BT87" i="1"/>
  <c r="BF88" i="1"/>
  <c r="BT88" i="1"/>
  <c r="BF89" i="1"/>
  <c r="BT89" i="1"/>
  <c r="BF90" i="1"/>
  <c r="BT90" i="1"/>
  <c r="BF91" i="1"/>
  <c r="BT91" i="1"/>
  <c r="BF92" i="1"/>
  <c r="BT92" i="1"/>
  <c r="BF93" i="1"/>
  <c r="BT93" i="1"/>
  <c r="BF94" i="1"/>
  <c r="BT94" i="1"/>
  <c r="BF95" i="1"/>
  <c r="BT95" i="1"/>
  <c r="BF96" i="1"/>
  <c r="BT96" i="1"/>
  <c r="BF97" i="1"/>
  <c r="BT97" i="1"/>
  <c r="BF98" i="1"/>
  <c r="BT98" i="1"/>
  <c r="BF99" i="1"/>
  <c r="BT99" i="1"/>
  <c r="BF100" i="1"/>
  <c r="BT100" i="1"/>
  <c r="BF101" i="1"/>
  <c r="BT101" i="1"/>
  <c r="BF102" i="1"/>
  <c r="BT102" i="1"/>
  <c r="BF103" i="1"/>
  <c r="BT103" i="1"/>
  <c r="BF104" i="1"/>
  <c r="BT104" i="1"/>
  <c r="BF105" i="1"/>
  <c r="BT105" i="1"/>
  <c r="BT106" i="1"/>
  <c r="BF107" i="1"/>
  <c r="BT107" i="1"/>
  <c r="BF108" i="1"/>
  <c r="BT108" i="1"/>
  <c r="BF109" i="1"/>
  <c r="BT109" i="1"/>
  <c r="BF110" i="1"/>
  <c r="BT110" i="1"/>
  <c r="BF111" i="1"/>
  <c r="BT111" i="1"/>
  <c r="BF112" i="1"/>
  <c r="BT112" i="1"/>
  <c r="BF113" i="1"/>
  <c r="BT113" i="1"/>
  <c r="BF114" i="1"/>
  <c r="BT114" i="1"/>
  <c r="BF115" i="1"/>
  <c r="BT115" i="1"/>
  <c r="BF116" i="1"/>
  <c r="BT116" i="1"/>
  <c r="BF117" i="1"/>
  <c r="BT117" i="1"/>
  <c r="BF118" i="1"/>
  <c r="BT118" i="1"/>
  <c r="BT119" i="1"/>
  <c r="BF120" i="1"/>
  <c r="BT120" i="1"/>
  <c r="BF121" i="1"/>
  <c r="BT121" i="1"/>
  <c r="BF122" i="1"/>
  <c r="BT122" i="1"/>
  <c r="BF123" i="1"/>
  <c r="BT123" i="1"/>
  <c r="BF124" i="1"/>
  <c r="BT124" i="1"/>
  <c r="BF125" i="1"/>
  <c r="BT125" i="1"/>
  <c r="BF126" i="1"/>
  <c r="BT126" i="1"/>
  <c r="BT127" i="1"/>
  <c r="BF128" i="1"/>
  <c r="BT128" i="1"/>
  <c r="BF129" i="1"/>
  <c r="BT129" i="1"/>
  <c r="BF130" i="1"/>
  <c r="BT130" i="1"/>
  <c r="BF131" i="1"/>
  <c r="BT131" i="1"/>
  <c r="BF132" i="1"/>
  <c r="BT132" i="1"/>
  <c r="BF133" i="1"/>
  <c r="BT133" i="1"/>
  <c r="BF134" i="1"/>
  <c r="BT134" i="1"/>
  <c r="BF135" i="1"/>
  <c r="BT135" i="1"/>
  <c r="BF136" i="1"/>
  <c r="BT136" i="1"/>
  <c r="BF137" i="1"/>
  <c r="BT137" i="1"/>
  <c r="BF138" i="1"/>
  <c r="BT138" i="1"/>
  <c r="BF139" i="1"/>
  <c r="BT139" i="1"/>
  <c r="BF140" i="1"/>
  <c r="BT140" i="1"/>
  <c r="BF141" i="1"/>
  <c r="BT141" i="1"/>
  <c r="BF142" i="1"/>
  <c r="BT142" i="1"/>
  <c r="BF143" i="1"/>
  <c r="BT143" i="1"/>
  <c r="BF144" i="1"/>
  <c r="BT144" i="1"/>
  <c r="BF145" i="1"/>
  <c r="BT145" i="1"/>
  <c r="BF146" i="1"/>
  <c r="BT146" i="1"/>
  <c r="BT147" i="1"/>
  <c r="BF148" i="1"/>
  <c r="BT148" i="1"/>
  <c r="BF149" i="1"/>
  <c r="BT149" i="1"/>
  <c r="BT150" i="1"/>
  <c r="BF151" i="1"/>
  <c r="BT151" i="1"/>
  <c r="BF152" i="1"/>
  <c r="BT152" i="1"/>
  <c r="BF153" i="1"/>
  <c r="BT153" i="1"/>
  <c r="BF154" i="1"/>
  <c r="BT154" i="1"/>
  <c r="BF155" i="1"/>
  <c r="BT155" i="1"/>
  <c r="BF156" i="1"/>
  <c r="BT156" i="1"/>
  <c r="BT157" i="1"/>
  <c r="BF158" i="1"/>
  <c r="BT158" i="1"/>
  <c r="BF159" i="1"/>
  <c r="BT159" i="1"/>
  <c r="BF160" i="1"/>
  <c r="BT160" i="1"/>
  <c r="BF161" i="1"/>
  <c r="BT161" i="1"/>
  <c r="BF162" i="1"/>
  <c r="BT162" i="1"/>
  <c r="BF163" i="1"/>
  <c r="BT163" i="1"/>
  <c r="BF164" i="1"/>
  <c r="BT164" i="1"/>
  <c r="BF165" i="1"/>
  <c r="BT165" i="1"/>
  <c r="BF166" i="1"/>
  <c r="BT166" i="1"/>
  <c r="BF167" i="1"/>
  <c r="BT167" i="1"/>
  <c r="BF168" i="1"/>
  <c r="BT168" i="1"/>
  <c r="BT169" i="1"/>
  <c r="BF170" i="1"/>
  <c r="BT170" i="1"/>
  <c r="BF171" i="1"/>
  <c r="BT171" i="1"/>
  <c r="BF172" i="1"/>
  <c r="BT172" i="1"/>
  <c r="BF173" i="1"/>
  <c r="BT173" i="1"/>
  <c r="BF174" i="1"/>
  <c r="BT174" i="1"/>
  <c r="BF175" i="1"/>
  <c r="BT175" i="1"/>
  <c r="BF176" i="1"/>
  <c r="BT176" i="1"/>
  <c r="BT177" i="1"/>
  <c r="BF178" i="1"/>
  <c r="BT178" i="1"/>
  <c r="BT179" i="1"/>
  <c r="BF180" i="1"/>
  <c r="BT180" i="1"/>
  <c r="BF181" i="1"/>
  <c r="BT181" i="1"/>
  <c r="BF182" i="1"/>
  <c r="BT182" i="1"/>
  <c r="BT183" i="1"/>
  <c r="BF184" i="1"/>
  <c r="BT184" i="1"/>
  <c r="BF185" i="1"/>
  <c r="BT185" i="1"/>
  <c r="BF186" i="1"/>
  <c r="BT186" i="1"/>
  <c r="BF187" i="1"/>
  <c r="BT187" i="1"/>
  <c r="BF188" i="1"/>
  <c r="BT188" i="1"/>
  <c r="BF189" i="1"/>
  <c r="BT189" i="1"/>
  <c r="BF190" i="1"/>
  <c r="BT190" i="1"/>
  <c r="BF191" i="1"/>
  <c r="BT191" i="1"/>
  <c r="BF192" i="1"/>
  <c r="BT192" i="1"/>
  <c r="BF193" i="1"/>
  <c r="BT193" i="1"/>
  <c r="BF194" i="1"/>
  <c r="BT194" i="1"/>
  <c r="BT195" i="1"/>
  <c r="BF196" i="1"/>
  <c r="BT196" i="1"/>
  <c r="BF197" i="1"/>
  <c r="BT197" i="1"/>
  <c r="BF198" i="1"/>
  <c r="BT198" i="1"/>
  <c r="BF199" i="1"/>
  <c r="BT199" i="1"/>
  <c r="BT200" i="1"/>
  <c r="BF201" i="1"/>
  <c r="BT201" i="1"/>
  <c r="BF202" i="1"/>
  <c r="BT202" i="1"/>
  <c r="BF203" i="1"/>
  <c r="BT203" i="1"/>
  <c r="BF204" i="1"/>
  <c r="BT204" i="1"/>
  <c r="BF205" i="1"/>
  <c r="BT205" i="1"/>
  <c r="BF206" i="1"/>
  <c r="BT206" i="1"/>
  <c r="BF207" i="1"/>
  <c r="BT207" i="1"/>
  <c r="BT208" i="1"/>
  <c r="BT209" i="1"/>
  <c r="BF210" i="1"/>
  <c r="BT210" i="1"/>
  <c r="BF211" i="1"/>
  <c r="BT211" i="1"/>
  <c r="BF212" i="1"/>
  <c r="BT212" i="1"/>
  <c r="BF213" i="1"/>
  <c r="BT213" i="1"/>
  <c r="BF214" i="1"/>
  <c r="BT214" i="1"/>
  <c r="BF215" i="1"/>
  <c r="BT215" i="1"/>
  <c r="BF216" i="1"/>
  <c r="BT216" i="1"/>
  <c r="BF217" i="1"/>
  <c r="BT217" i="1"/>
  <c r="BF218" i="1"/>
  <c r="BT218" i="1"/>
  <c r="BF219" i="1"/>
  <c r="BT219" i="1"/>
  <c r="BF220" i="1"/>
  <c r="BT220" i="1"/>
  <c r="BF221" i="1"/>
  <c r="BT221" i="1"/>
  <c r="BT222" i="1"/>
  <c r="BF223" i="1"/>
  <c r="BT223" i="1"/>
  <c r="BF224" i="1"/>
  <c r="BT224" i="1"/>
  <c r="BF225" i="1"/>
  <c r="BT225" i="1"/>
  <c r="BF226" i="1"/>
  <c r="BT226" i="1"/>
  <c r="BF227" i="1"/>
  <c r="BT227" i="1"/>
  <c r="BF228" i="1"/>
  <c r="BT228" i="1"/>
  <c r="BF229" i="1"/>
  <c r="BT229" i="1"/>
  <c r="BF230" i="1"/>
  <c r="BT230" i="1"/>
  <c r="BF231" i="1"/>
  <c r="BT231" i="1"/>
  <c r="BF232" i="1"/>
  <c r="BT232" i="1"/>
  <c r="BF233" i="1"/>
  <c r="BT233" i="1"/>
  <c r="BF234" i="1"/>
  <c r="BT234" i="1"/>
  <c r="BT235" i="1"/>
  <c r="BF236" i="1"/>
  <c r="BT236" i="1"/>
  <c r="BF237" i="1"/>
  <c r="BT237" i="1"/>
  <c r="BT238" i="1"/>
  <c r="BF239" i="1"/>
  <c r="BT239" i="1"/>
  <c r="BF240" i="1"/>
  <c r="BT240" i="1"/>
  <c r="BT241" i="1"/>
  <c r="BF242" i="1"/>
  <c r="BT242" i="1"/>
  <c r="BF243" i="1"/>
  <c r="BT243" i="1"/>
  <c r="BF244" i="1"/>
  <c r="BT244" i="1"/>
  <c r="BF245" i="1"/>
  <c r="BT245" i="1"/>
  <c r="BF246" i="1"/>
  <c r="BT246" i="1"/>
  <c r="BF247" i="1"/>
  <c r="BT247" i="1"/>
  <c r="BT248" i="1"/>
  <c r="BF249" i="1"/>
  <c r="BT249" i="1"/>
  <c r="BT250" i="1"/>
  <c r="BF251" i="1"/>
  <c r="BT251" i="1"/>
  <c r="BF252" i="1"/>
  <c r="BT252" i="1"/>
  <c r="BT253" i="1"/>
  <c r="BF254" i="1"/>
  <c r="BT254" i="1"/>
  <c r="BT255" i="1"/>
  <c r="BF256" i="1"/>
  <c r="BT256" i="1"/>
  <c r="BF257" i="1"/>
  <c r="BT257" i="1"/>
  <c r="BF258" i="1"/>
  <c r="BT258" i="1"/>
  <c r="BF259" i="1"/>
  <c r="BT259" i="1"/>
  <c r="BF260" i="1"/>
  <c r="BT260" i="1"/>
  <c r="BF261" i="1"/>
  <c r="BT261" i="1"/>
  <c r="BF262" i="1"/>
  <c r="BT262" i="1"/>
  <c r="BF263" i="1"/>
  <c r="BT263" i="1"/>
  <c r="BF264" i="1"/>
  <c r="BT264" i="1"/>
  <c r="BF265" i="1"/>
  <c r="BT265" i="1"/>
  <c r="BT266" i="1"/>
  <c r="BF267" i="1"/>
  <c r="BT267" i="1"/>
  <c r="BF268" i="1"/>
  <c r="BT268" i="1"/>
  <c r="BF269" i="1"/>
  <c r="BT269" i="1"/>
  <c r="BF270" i="1"/>
  <c r="BT270" i="1"/>
  <c r="BT271" i="1"/>
  <c r="BT272" i="1"/>
  <c r="BF273" i="1"/>
  <c r="BT273" i="1"/>
  <c r="BF274" i="1"/>
  <c r="BT274" i="1"/>
  <c r="BF275" i="1"/>
  <c r="BT275" i="1"/>
  <c r="BF276" i="1"/>
  <c r="BT276" i="1"/>
  <c r="BF277" i="1"/>
  <c r="BT277" i="1"/>
  <c r="BF278" i="1"/>
  <c r="BT278" i="1"/>
  <c r="BF279" i="1"/>
  <c r="BT279" i="1"/>
  <c r="BF280" i="1"/>
  <c r="BT280" i="1"/>
  <c r="BF281" i="1"/>
  <c r="BT281" i="1"/>
  <c r="BF282" i="1"/>
  <c r="BT282" i="1"/>
  <c r="BF283" i="1"/>
  <c r="BT283" i="1"/>
  <c r="BF284" i="1"/>
  <c r="BT284" i="1"/>
  <c r="BF285" i="1"/>
  <c r="BT285" i="1"/>
  <c r="BF286" i="1"/>
  <c r="BT286" i="1"/>
  <c r="BF287" i="1"/>
  <c r="BT287" i="1"/>
  <c r="BT288" i="1"/>
  <c r="BF289" i="1"/>
  <c r="BT289" i="1"/>
  <c r="BF290" i="1"/>
  <c r="BT290" i="1"/>
  <c r="BT291" i="1"/>
  <c r="BF292" i="1"/>
  <c r="BT292" i="1"/>
  <c r="BF293" i="1"/>
  <c r="BT293" i="1"/>
  <c r="BF294" i="1"/>
  <c r="BT294" i="1"/>
  <c r="BF295" i="1"/>
  <c r="BT295" i="1"/>
  <c r="BF296" i="1"/>
  <c r="BT296" i="1"/>
  <c r="BF297" i="1"/>
  <c r="BT297" i="1"/>
  <c r="BF298" i="1"/>
  <c r="BT298" i="1"/>
  <c r="BF299" i="1"/>
  <c r="BT299" i="1"/>
  <c r="BF300" i="1"/>
  <c r="BT300" i="1"/>
  <c r="BF301" i="1"/>
  <c r="BT301" i="1"/>
  <c r="BT302" i="1"/>
  <c r="BF303" i="1"/>
  <c r="BT303" i="1"/>
  <c r="BF304" i="1"/>
  <c r="BT304" i="1"/>
  <c r="BF305" i="1"/>
  <c r="BT305" i="1"/>
  <c r="BF306" i="1"/>
  <c r="BT306" i="1"/>
  <c r="BF307" i="1"/>
  <c r="BT307" i="1"/>
  <c r="BF308" i="1"/>
  <c r="BT308" i="1"/>
  <c r="BF309" i="1"/>
  <c r="BT309" i="1"/>
  <c r="BT310" i="1"/>
  <c r="BT311" i="1"/>
  <c r="BF312" i="1"/>
  <c r="BT312" i="1"/>
  <c r="BF313" i="1"/>
  <c r="BT313" i="1"/>
  <c r="BT314" i="1"/>
  <c r="BF315" i="1"/>
  <c r="BT315" i="1"/>
  <c r="BF316" i="1"/>
  <c r="BT316" i="1"/>
  <c r="BF317" i="1"/>
  <c r="BT317" i="1"/>
  <c r="BF318" i="1"/>
  <c r="BT318" i="1"/>
  <c r="BF319" i="1"/>
  <c r="BT319" i="1"/>
  <c r="BF320" i="1"/>
  <c r="BT320" i="1"/>
  <c r="BT321" i="1"/>
  <c r="BF322" i="1"/>
  <c r="BT322" i="1"/>
  <c r="BF323" i="1"/>
  <c r="BT323" i="1"/>
  <c r="BF324" i="1"/>
  <c r="BT324" i="1"/>
  <c r="BF325" i="1"/>
  <c r="BT325" i="1"/>
  <c r="BF326" i="1"/>
  <c r="BT326" i="1"/>
  <c r="BF327" i="1"/>
  <c r="BT327" i="1"/>
  <c r="BF328" i="1"/>
  <c r="BT328" i="1"/>
  <c r="BF329" i="1"/>
  <c r="BT329" i="1"/>
  <c r="BF330" i="1"/>
  <c r="BT330" i="1"/>
  <c r="BF331" i="1"/>
  <c r="BT331" i="1"/>
  <c r="BT332" i="1"/>
  <c r="BF333" i="1"/>
  <c r="BT333" i="1"/>
  <c r="BF334" i="1"/>
  <c r="BT334" i="1"/>
  <c r="BF335" i="1"/>
  <c r="BT335" i="1"/>
  <c r="BF336" i="1"/>
  <c r="BT336" i="1"/>
  <c r="BF337" i="1"/>
  <c r="BT337" i="1"/>
  <c r="BT338" i="1"/>
  <c r="BF339" i="1"/>
  <c r="BT339" i="1"/>
  <c r="BF340" i="1"/>
  <c r="BT340" i="1"/>
  <c r="BF341" i="1"/>
  <c r="BT341" i="1"/>
  <c r="BF342" i="1"/>
  <c r="BT342" i="1"/>
  <c r="BF343" i="1"/>
  <c r="BT343" i="1"/>
  <c r="BT344" i="1"/>
  <c r="BF345" i="1"/>
  <c r="BT345" i="1"/>
  <c r="BF346" i="1"/>
  <c r="BT346" i="1"/>
  <c r="BF347" i="1"/>
  <c r="BT347" i="1"/>
  <c r="BF348" i="1"/>
  <c r="BT348" i="1"/>
  <c r="BF349" i="1"/>
  <c r="BT349" i="1"/>
  <c r="BF350" i="1"/>
  <c r="BT350" i="1"/>
  <c r="BF351" i="1"/>
  <c r="BT351" i="1"/>
  <c r="BF352" i="1"/>
  <c r="BT352" i="1"/>
  <c r="BF353" i="1"/>
  <c r="BT353" i="1"/>
  <c r="BF354" i="1"/>
  <c r="BT354" i="1"/>
  <c r="BF355" i="1"/>
  <c r="BT355" i="1"/>
  <c r="BF356" i="1"/>
  <c r="BT356" i="1"/>
  <c r="BF357" i="1"/>
  <c r="BT357" i="1"/>
  <c r="BT358" i="1"/>
  <c r="BF359" i="1"/>
  <c r="BT359" i="1"/>
  <c r="BF360" i="1"/>
  <c r="BT360" i="1"/>
  <c r="BF361" i="1"/>
  <c r="BT361" i="1"/>
  <c r="BF362" i="1"/>
  <c r="BT362" i="1"/>
  <c r="BF363" i="1"/>
  <c r="BT363" i="1"/>
  <c r="BF364" i="1"/>
  <c r="BT364" i="1"/>
  <c r="BF365" i="1"/>
  <c r="BT365" i="1"/>
  <c r="BF366" i="1"/>
  <c r="BT366" i="1"/>
  <c r="BT367" i="1"/>
  <c r="BF368" i="1"/>
  <c r="BT368" i="1"/>
  <c r="BF369" i="1"/>
  <c r="BT369" i="1"/>
  <c r="BF370" i="1"/>
  <c r="BT370" i="1"/>
  <c r="BT371" i="1"/>
  <c r="BF372" i="1"/>
  <c r="BT372" i="1"/>
  <c r="BF373" i="1"/>
  <c r="BT373" i="1"/>
  <c r="BF374" i="1"/>
  <c r="BT374" i="1"/>
  <c r="BF375" i="1"/>
  <c r="BT375" i="1"/>
  <c r="BF376" i="1"/>
  <c r="BT376" i="1"/>
  <c r="BF377" i="1"/>
  <c r="BT377" i="1"/>
  <c r="BT378" i="1"/>
  <c r="BT379" i="1"/>
  <c r="BF380" i="1"/>
  <c r="BT380" i="1"/>
  <c r="BF381" i="1"/>
  <c r="BT381" i="1"/>
  <c r="BF382" i="1"/>
  <c r="BT382" i="1"/>
  <c r="BF383" i="1"/>
  <c r="BT383" i="1"/>
  <c r="BF384" i="1"/>
  <c r="BT384" i="1"/>
  <c r="BF385" i="1"/>
  <c r="BT385" i="1"/>
  <c r="BF386" i="1"/>
  <c r="BT386" i="1"/>
  <c r="BF387" i="1"/>
  <c r="BT387" i="1"/>
  <c r="BF388" i="1"/>
  <c r="BT388" i="1"/>
  <c r="BF389" i="1"/>
  <c r="BT389" i="1"/>
  <c r="BF390" i="1"/>
  <c r="BT390" i="1"/>
  <c r="BF391" i="1"/>
  <c r="BT391" i="1"/>
  <c r="BF392" i="1"/>
  <c r="BT392" i="1"/>
  <c r="BF393" i="1"/>
  <c r="BT393" i="1"/>
  <c r="BF394" i="1"/>
  <c r="BT394" i="1"/>
  <c r="BF395" i="1"/>
  <c r="BT395" i="1"/>
  <c r="BT396" i="1"/>
  <c r="BF397" i="1"/>
  <c r="BT397" i="1"/>
  <c r="BF398" i="1"/>
  <c r="BT398" i="1"/>
  <c r="BF399" i="1"/>
  <c r="BT399" i="1"/>
  <c r="BF400" i="1"/>
  <c r="BT400" i="1"/>
  <c r="BT401" i="1"/>
  <c r="BF402" i="1"/>
  <c r="BT402" i="1"/>
  <c r="BF403" i="1"/>
  <c r="BT403" i="1"/>
  <c r="BF404" i="1"/>
  <c r="BT404" i="1"/>
  <c r="BF405" i="1"/>
  <c r="BT405" i="1"/>
  <c r="BF406" i="1"/>
  <c r="BT406" i="1"/>
  <c r="BT407" i="1"/>
  <c r="BF408" i="1"/>
  <c r="BT408" i="1"/>
  <c r="BF409" i="1"/>
  <c r="BT409" i="1"/>
  <c r="BF410" i="1"/>
  <c r="BT410" i="1"/>
  <c r="BF411" i="1"/>
  <c r="BT411" i="1"/>
  <c r="BT412" i="1"/>
  <c r="BF413" i="1"/>
  <c r="BT413" i="1"/>
  <c r="BF414" i="1"/>
  <c r="BT414" i="1"/>
  <c r="BF415" i="1"/>
  <c r="BT415" i="1"/>
  <c r="BT416" i="1"/>
  <c r="BF417" i="1"/>
  <c r="BT417" i="1"/>
  <c r="BF418" i="1"/>
  <c r="BT418" i="1"/>
  <c r="BF419" i="1"/>
  <c r="BT419" i="1"/>
  <c r="BF420" i="1"/>
  <c r="BT420" i="1"/>
  <c r="BF421" i="1"/>
  <c r="BT421" i="1"/>
  <c r="BF422" i="1"/>
  <c r="BT422" i="1"/>
  <c r="BT423" i="1"/>
  <c r="BF424" i="1"/>
  <c r="BT424" i="1"/>
  <c r="BF425" i="1"/>
  <c r="BT425" i="1"/>
  <c r="BF426" i="1"/>
  <c r="BT426" i="1"/>
  <c r="BF427" i="1"/>
  <c r="BT427" i="1"/>
  <c r="BF428" i="1"/>
  <c r="BT428" i="1"/>
  <c r="BF429" i="1"/>
  <c r="BT429" i="1"/>
  <c r="BF430" i="1"/>
  <c r="BT430" i="1"/>
  <c r="BF431" i="1"/>
  <c r="BT431" i="1"/>
  <c r="BF432" i="1"/>
  <c r="BT432" i="1"/>
  <c r="BF433" i="1"/>
  <c r="BT433" i="1"/>
  <c r="BF434" i="1"/>
  <c r="BT434" i="1"/>
  <c r="BF435" i="1"/>
  <c r="BT435" i="1"/>
  <c r="BF436" i="1"/>
  <c r="BT436" i="1"/>
  <c r="BF437" i="1"/>
  <c r="BT437" i="1"/>
  <c r="BF438" i="1"/>
  <c r="BT438" i="1"/>
  <c r="BF439" i="1"/>
  <c r="BT439" i="1"/>
  <c r="BF440" i="1"/>
  <c r="BT440" i="1"/>
  <c r="BF441" i="1"/>
  <c r="BT441" i="1"/>
  <c r="BT442" i="1"/>
  <c r="BF443" i="1"/>
  <c r="BT443" i="1"/>
  <c r="BF444" i="1"/>
  <c r="BT444" i="1"/>
  <c r="BF445" i="1"/>
  <c r="BT445" i="1"/>
  <c r="BF446" i="1"/>
  <c r="BT446" i="1"/>
  <c r="BF447" i="1"/>
  <c r="BT447" i="1"/>
  <c r="BF448" i="1"/>
  <c r="BT448" i="1"/>
  <c r="BF449" i="1"/>
  <c r="BT449" i="1"/>
  <c r="BF450" i="1"/>
  <c r="BT450" i="1"/>
  <c r="BF451" i="1"/>
  <c r="BT451" i="1"/>
  <c r="BF452" i="1"/>
  <c r="BT452" i="1"/>
  <c r="BF453" i="1"/>
  <c r="BT453" i="1"/>
  <c r="BF454" i="1"/>
  <c r="BT454" i="1"/>
  <c r="BF455" i="1"/>
  <c r="BT455" i="1"/>
  <c r="BF456" i="1"/>
  <c r="BT456" i="1"/>
  <c r="BF457" i="1"/>
  <c r="BT457" i="1"/>
  <c r="BF458" i="1"/>
  <c r="BT458" i="1"/>
  <c r="BF459" i="1"/>
  <c r="BT459" i="1"/>
  <c r="BF460" i="1"/>
  <c r="BT460" i="1"/>
  <c r="BF461" i="1"/>
  <c r="BT461" i="1"/>
  <c r="BF462" i="1"/>
  <c r="BT462" i="1"/>
  <c r="BF463" i="1"/>
  <c r="BT463" i="1"/>
  <c r="BF464" i="1"/>
  <c r="BT464" i="1"/>
  <c r="BF465" i="1"/>
  <c r="BT465" i="1"/>
  <c r="BF466" i="1"/>
  <c r="BT466" i="1"/>
  <c r="BF467" i="1"/>
  <c r="BT467" i="1"/>
  <c r="BF468" i="1"/>
  <c r="BT468" i="1"/>
  <c r="BF469" i="1"/>
  <c r="BT469" i="1"/>
  <c r="BT470" i="1"/>
  <c r="BF471" i="1"/>
  <c r="BT471" i="1"/>
  <c r="BF472" i="1"/>
  <c r="BT472" i="1"/>
  <c r="BF473" i="1"/>
  <c r="BT473" i="1"/>
  <c r="BF474" i="1"/>
  <c r="BT474" i="1"/>
  <c r="BF475" i="1"/>
  <c r="BT475" i="1"/>
  <c r="BF476" i="1"/>
  <c r="BT476" i="1"/>
  <c r="BT477" i="1"/>
  <c r="BF478" i="1"/>
  <c r="BT478" i="1"/>
  <c r="BF479" i="1"/>
  <c r="BT479" i="1"/>
  <c r="BF480" i="1"/>
  <c r="BT480" i="1"/>
  <c r="BF481" i="1"/>
  <c r="BT481" i="1"/>
  <c r="BF482" i="1"/>
  <c r="BT482" i="1"/>
  <c r="BF483" i="1"/>
  <c r="BT483" i="1"/>
  <c r="BF484" i="1"/>
  <c r="BT484" i="1"/>
  <c r="BT485" i="1"/>
  <c r="BF486" i="1"/>
  <c r="BT486" i="1"/>
  <c r="BF487" i="1"/>
  <c r="BT487" i="1"/>
  <c r="BF488" i="1"/>
  <c r="BT488" i="1"/>
  <c r="BF489" i="1"/>
  <c r="BT489" i="1"/>
  <c r="BT490" i="1"/>
  <c r="BF491" i="1"/>
  <c r="BT491" i="1"/>
  <c r="BT492" i="1"/>
  <c r="BF493" i="1"/>
  <c r="BT493" i="1"/>
  <c r="BF494" i="1"/>
  <c r="BT494" i="1"/>
  <c r="BF495" i="1"/>
  <c r="BT495" i="1"/>
  <c r="BF496" i="1"/>
  <c r="BT496" i="1"/>
  <c r="BF497" i="1"/>
  <c r="BT497" i="1"/>
  <c r="BF498" i="1"/>
  <c r="BT498" i="1"/>
  <c r="BF499" i="1"/>
  <c r="BT499" i="1"/>
  <c r="BF500" i="1"/>
  <c r="BT500" i="1"/>
  <c r="BF501" i="1"/>
  <c r="BT501" i="1"/>
  <c r="BF502" i="1"/>
  <c r="BT502" i="1"/>
  <c r="BF503" i="1"/>
  <c r="BT503" i="1"/>
  <c r="BF504" i="1"/>
  <c r="BT504" i="1"/>
  <c r="BT505" i="1"/>
  <c r="BF506" i="1"/>
  <c r="BT506" i="1"/>
  <c r="BF507" i="1"/>
  <c r="BT507" i="1"/>
  <c r="BF508" i="1"/>
  <c r="BT508" i="1"/>
  <c r="BF509" i="1"/>
  <c r="BT509" i="1"/>
  <c r="BF510" i="1"/>
  <c r="BT510" i="1"/>
  <c r="BF511" i="1"/>
  <c r="BT511" i="1"/>
  <c r="BF512" i="1"/>
  <c r="BT512" i="1"/>
  <c r="BF513" i="1"/>
  <c r="BT513" i="1"/>
  <c r="BF514" i="1"/>
  <c r="BT514" i="1"/>
  <c r="BF515" i="1"/>
  <c r="BT515" i="1"/>
  <c r="BF516" i="1"/>
  <c r="BT516" i="1"/>
  <c r="BF517" i="1"/>
  <c r="BT517" i="1"/>
  <c r="BF518" i="1"/>
  <c r="BT518" i="1"/>
  <c r="BF519" i="1"/>
  <c r="BT519" i="1"/>
  <c r="BF520" i="1"/>
  <c r="BT520" i="1"/>
  <c r="BF521" i="1"/>
  <c r="BT521" i="1"/>
  <c r="BF522" i="1"/>
  <c r="BT522" i="1"/>
  <c r="BF523" i="1"/>
  <c r="BT523" i="1"/>
  <c r="BF524" i="1"/>
  <c r="BT524" i="1"/>
  <c r="BF525" i="1"/>
  <c r="BT525" i="1"/>
  <c r="BF526" i="1"/>
  <c r="BT526" i="1"/>
  <c r="BF527" i="1"/>
  <c r="BT527" i="1"/>
  <c r="BF528" i="1"/>
  <c r="BT528" i="1"/>
  <c r="BF529" i="1"/>
  <c r="BT529" i="1"/>
  <c r="BF530" i="1"/>
  <c r="BT530" i="1"/>
  <c r="BF531" i="1"/>
  <c r="BT531" i="1"/>
  <c r="BF532" i="1"/>
  <c r="BT532" i="1"/>
  <c r="BF533" i="1"/>
  <c r="BT533" i="1"/>
  <c r="BF534" i="1"/>
  <c r="BT534" i="1"/>
  <c r="BT535" i="1"/>
  <c r="BF536" i="1"/>
  <c r="BT536" i="1"/>
  <c r="BF537" i="1"/>
  <c r="BT537" i="1"/>
  <c r="BF538" i="1"/>
  <c r="BT538" i="1"/>
  <c r="BF539" i="1"/>
  <c r="BT539" i="1"/>
  <c r="BF540" i="1"/>
  <c r="BT540" i="1"/>
  <c r="BT541" i="1"/>
  <c r="BF542" i="1"/>
  <c r="BT542" i="1"/>
  <c r="BF543" i="1"/>
  <c r="BT543" i="1"/>
  <c r="BF544" i="1"/>
  <c r="BT544" i="1"/>
  <c r="BF545" i="1"/>
  <c r="BT545" i="1"/>
  <c r="BF546" i="1"/>
  <c r="BT546" i="1"/>
  <c r="BT547" i="1"/>
  <c r="BF548" i="1"/>
  <c r="BT548" i="1"/>
  <c r="BF549" i="1"/>
  <c r="BT549" i="1"/>
  <c r="BF550" i="1"/>
  <c r="BT550" i="1"/>
  <c r="BF551" i="1"/>
  <c r="BT551" i="1"/>
  <c r="BF552" i="1"/>
  <c r="BT552" i="1"/>
  <c r="BT553" i="1"/>
  <c r="BF554" i="1"/>
  <c r="BT554" i="1"/>
  <c r="BF555" i="1"/>
  <c r="BT555" i="1"/>
  <c r="BF556" i="1"/>
  <c r="BT556" i="1"/>
  <c r="BT557" i="1"/>
  <c r="BF558" i="1"/>
  <c r="BT558" i="1"/>
  <c r="BF559" i="1"/>
  <c r="BT559" i="1"/>
  <c r="BF560" i="1"/>
  <c r="BT560" i="1"/>
  <c r="BT561" i="1"/>
  <c r="BF562" i="1"/>
  <c r="BT562" i="1"/>
  <c r="BF563" i="1"/>
  <c r="BT563" i="1"/>
  <c r="BF564" i="1"/>
  <c r="BT564" i="1"/>
  <c r="BF565" i="1"/>
  <c r="BT565" i="1"/>
  <c r="BF566" i="1"/>
  <c r="BT566" i="1"/>
  <c r="BF567" i="1"/>
  <c r="BT567" i="1"/>
  <c r="BF568" i="1"/>
  <c r="BT568" i="1"/>
  <c r="BF569" i="1"/>
  <c r="BT569" i="1"/>
  <c r="BF570" i="1"/>
  <c r="BT570" i="1"/>
  <c r="BF571" i="1"/>
  <c r="BT571" i="1"/>
  <c r="BF572" i="1"/>
  <c r="BT572" i="1"/>
  <c r="BF573" i="1"/>
  <c r="BT573" i="1"/>
  <c r="BF574" i="1"/>
  <c r="BT574" i="1"/>
  <c r="BF575" i="1"/>
  <c r="BT575" i="1"/>
  <c r="BF576" i="1"/>
  <c r="BT576" i="1"/>
  <c r="BF577" i="1"/>
  <c r="BT577" i="1"/>
  <c r="BF578" i="1"/>
  <c r="BT578" i="1"/>
  <c r="BT579" i="1"/>
  <c r="BF580" i="1"/>
  <c r="BT580" i="1"/>
  <c r="BF581" i="1"/>
  <c r="BT581" i="1"/>
  <c r="BF582" i="1"/>
  <c r="BT582" i="1"/>
  <c r="BF583" i="1"/>
  <c r="BT583" i="1"/>
  <c r="BF584" i="1"/>
  <c r="BT584" i="1"/>
  <c r="BF585" i="1"/>
  <c r="BT585" i="1"/>
  <c r="BF586" i="1"/>
  <c r="BT586" i="1"/>
  <c r="BF587" i="1"/>
  <c r="BT587" i="1"/>
  <c r="BF588" i="1"/>
  <c r="BT588" i="1"/>
  <c r="BF589" i="1"/>
  <c r="BT589" i="1"/>
  <c r="BF590" i="1"/>
  <c r="BT590" i="1"/>
  <c r="BF591" i="1"/>
  <c r="BT591" i="1"/>
  <c r="BF592" i="1"/>
  <c r="BT592" i="1"/>
  <c r="BF593" i="1"/>
  <c r="BT593" i="1"/>
  <c r="BF594" i="1"/>
  <c r="BT594" i="1"/>
  <c r="BF595" i="1"/>
  <c r="BT595" i="1"/>
  <c r="BF596" i="1"/>
  <c r="BT596" i="1"/>
  <c r="BF597" i="1"/>
  <c r="BT597" i="1"/>
  <c r="BF598" i="1"/>
  <c r="BT598" i="1"/>
  <c r="BF599" i="1"/>
  <c r="BT599" i="1"/>
  <c r="BT600" i="1"/>
  <c r="BF601" i="1"/>
  <c r="BT601" i="1"/>
  <c r="BF602" i="1"/>
  <c r="BT602" i="1"/>
  <c r="BF603" i="1"/>
  <c r="BT603" i="1"/>
  <c r="BF604" i="1"/>
  <c r="BT604" i="1"/>
  <c r="BF605" i="1"/>
  <c r="BT605" i="1"/>
  <c r="BF606" i="1"/>
  <c r="BT606" i="1"/>
  <c r="BF607" i="1"/>
  <c r="BT607" i="1"/>
  <c r="BF608" i="1"/>
  <c r="BT608" i="1"/>
  <c r="BF609" i="1"/>
  <c r="BT609" i="1"/>
  <c r="BF610" i="1"/>
  <c r="BT610" i="1"/>
  <c r="BF611" i="1"/>
  <c r="BT611" i="1"/>
  <c r="BF612" i="1"/>
  <c r="BT612" i="1"/>
  <c r="BF613" i="1"/>
  <c r="BT613" i="1"/>
  <c r="BF614" i="1"/>
  <c r="BT614" i="1"/>
  <c r="BF615" i="1"/>
  <c r="BT615" i="1"/>
  <c r="BF616" i="1"/>
  <c r="BT616" i="1"/>
  <c r="BT617" i="1"/>
  <c r="BF618" i="1"/>
  <c r="BT618" i="1"/>
  <c r="BF619" i="1"/>
  <c r="BT619" i="1"/>
  <c r="BF620" i="1"/>
  <c r="BT620" i="1"/>
  <c r="BF621" i="1"/>
  <c r="BT621" i="1"/>
  <c r="BF622" i="1"/>
  <c r="BT622" i="1"/>
  <c r="BF623" i="1"/>
  <c r="BT623" i="1"/>
  <c r="BF624" i="1"/>
  <c r="BT624" i="1"/>
  <c r="BF625" i="1"/>
  <c r="BT625" i="1"/>
  <c r="BF626" i="1"/>
  <c r="BT626" i="1"/>
  <c r="BF627" i="1"/>
  <c r="BT627" i="1"/>
  <c r="BF628" i="1"/>
  <c r="BT628" i="1"/>
  <c r="BF629" i="1"/>
  <c r="BT629" i="1"/>
  <c r="BF630" i="1"/>
  <c r="BT630" i="1"/>
  <c r="BT631" i="1"/>
  <c r="BT632" i="1"/>
  <c r="BF633" i="1"/>
  <c r="BT633" i="1"/>
  <c r="BF634" i="1"/>
  <c r="BT634" i="1"/>
  <c r="BF635" i="1"/>
  <c r="BT635" i="1"/>
  <c r="BF636" i="1"/>
  <c r="BT636" i="1"/>
  <c r="BF637" i="1"/>
  <c r="BT637" i="1"/>
  <c r="BF638" i="1"/>
  <c r="BT638" i="1"/>
  <c r="BF639" i="1"/>
  <c r="BT639" i="1"/>
  <c r="BF640" i="1"/>
  <c r="BT640" i="1"/>
  <c r="BF641" i="1"/>
  <c r="BT641" i="1"/>
  <c r="BT642" i="1"/>
  <c r="BF643" i="1"/>
  <c r="BT643" i="1"/>
  <c r="BF644" i="1"/>
  <c r="BT644" i="1"/>
  <c r="BF645" i="1"/>
  <c r="BT645" i="1"/>
  <c r="BF646" i="1"/>
  <c r="BT646" i="1"/>
  <c r="BF647" i="1"/>
  <c r="BT647" i="1"/>
  <c r="BF648" i="1"/>
  <c r="BT648" i="1"/>
  <c r="BF649" i="1"/>
  <c r="BT649" i="1"/>
  <c r="BF650" i="1"/>
  <c r="BT650" i="1"/>
  <c r="BF651" i="1"/>
  <c r="BT651" i="1"/>
  <c r="BF652" i="1"/>
  <c r="BT652" i="1"/>
  <c r="BF653" i="1"/>
  <c r="BT653" i="1"/>
  <c r="BF654" i="1"/>
  <c r="BT654" i="1"/>
  <c r="BF655" i="1"/>
  <c r="BT655" i="1"/>
  <c r="BF656" i="1"/>
  <c r="BT656" i="1"/>
  <c r="BF657" i="1"/>
  <c r="BT657" i="1"/>
  <c r="BF658" i="1"/>
  <c r="BT658" i="1"/>
  <c r="BF659" i="1"/>
  <c r="BT659" i="1"/>
  <c r="BF660" i="1"/>
  <c r="BT660" i="1"/>
  <c r="BF661" i="1"/>
  <c r="BT661" i="1"/>
  <c r="BF662" i="1"/>
  <c r="BT662" i="1"/>
  <c r="BF663" i="1"/>
  <c r="BT663" i="1"/>
  <c r="BT664" i="1"/>
  <c r="BF665" i="1"/>
  <c r="BT665" i="1"/>
  <c r="BF666" i="1"/>
  <c r="BT666" i="1"/>
  <c r="BF667" i="1"/>
  <c r="BT667" i="1"/>
  <c r="BF668" i="1"/>
  <c r="BT668" i="1"/>
  <c r="BF669" i="1"/>
  <c r="BT669" i="1"/>
  <c r="BF670" i="1"/>
  <c r="BT670" i="1"/>
  <c r="BF671" i="1"/>
  <c r="BT671" i="1"/>
  <c r="BF672" i="1"/>
  <c r="BT672" i="1"/>
  <c r="BF673" i="1"/>
  <c r="BT673" i="1"/>
  <c r="BF674" i="1"/>
  <c r="BT674" i="1"/>
  <c r="BF675" i="1"/>
  <c r="BT675" i="1"/>
  <c r="BF676" i="1"/>
  <c r="BT676" i="1"/>
  <c r="BF677" i="1"/>
  <c r="BT677" i="1"/>
  <c r="BF678" i="1"/>
  <c r="BT678" i="1"/>
  <c r="BF679" i="1"/>
  <c r="BT679" i="1"/>
  <c r="BF680" i="1"/>
  <c r="BT680" i="1"/>
  <c r="BF681" i="1"/>
  <c r="BT681" i="1"/>
  <c r="BF682" i="1"/>
  <c r="BT682" i="1"/>
  <c r="BF683" i="1"/>
  <c r="BT683" i="1"/>
  <c r="BF684" i="1"/>
  <c r="BT684" i="1"/>
  <c r="BF685" i="1"/>
  <c r="BT685" i="1"/>
  <c r="BF686" i="1"/>
  <c r="BT686" i="1"/>
  <c r="BF687" i="1"/>
  <c r="BT687" i="1"/>
  <c r="BF688" i="1"/>
  <c r="BT688" i="1"/>
  <c r="BF689" i="1"/>
  <c r="BT689" i="1"/>
  <c r="BF690" i="1"/>
  <c r="BT690" i="1"/>
  <c r="BF691" i="1"/>
  <c r="BT691" i="1"/>
  <c r="BF692" i="1"/>
  <c r="BT692" i="1"/>
  <c r="BF693" i="1"/>
  <c r="BT693" i="1"/>
  <c r="BF694" i="1"/>
  <c r="BT694" i="1"/>
  <c r="BT695" i="1"/>
  <c r="BF696" i="1"/>
  <c r="BT696" i="1"/>
  <c r="BF697" i="1"/>
  <c r="BT697" i="1"/>
  <c r="BF698" i="1"/>
  <c r="BT698" i="1"/>
  <c r="BT699" i="1"/>
  <c r="BF700" i="1"/>
  <c r="BT700" i="1"/>
  <c r="BF701" i="1"/>
  <c r="BT701" i="1"/>
  <c r="BF702" i="1"/>
  <c r="BT702" i="1"/>
  <c r="BT703" i="1"/>
  <c r="BF704" i="1"/>
  <c r="BT704" i="1"/>
  <c r="BF705" i="1"/>
  <c r="BT705" i="1"/>
  <c r="BF706" i="1"/>
  <c r="BT706" i="1"/>
  <c r="BF707" i="1"/>
  <c r="BT707" i="1"/>
  <c r="BF708" i="1"/>
  <c r="BT708" i="1"/>
  <c r="BT709" i="1"/>
  <c r="BF710" i="1"/>
  <c r="BT710" i="1"/>
  <c r="BF711" i="1"/>
  <c r="BT711" i="1"/>
  <c r="BF712" i="1"/>
  <c r="BT712" i="1"/>
  <c r="BF713" i="1"/>
  <c r="BT713" i="1"/>
  <c r="BF714" i="1"/>
  <c r="BT714" i="1"/>
  <c r="BF715" i="1"/>
  <c r="BT715" i="1"/>
  <c r="BF716" i="1"/>
  <c r="BT716" i="1"/>
  <c r="BF717" i="1"/>
  <c r="BT717" i="1"/>
  <c r="BF718" i="1"/>
  <c r="BT718" i="1"/>
  <c r="BF719" i="1"/>
  <c r="BT719" i="1"/>
  <c r="BF720" i="1"/>
  <c r="BT720" i="1"/>
  <c r="BF721" i="1"/>
  <c r="BT721" i="1"/>
  <c r="BF722" i="1"/>
  <c r="BT722" i="1"/>
  <c r="BF723" i="1"/>
  <c r="BT723" i="1"/>
  <c r="BF724" i="1"/>
  <c r="BT724" i="1"/>
  <c r="BF725" i="1"/>
  <c r="BT725" i="1"/>
  <c r="BF726" i="1"/>
  <c r="BT726" i="1"/>
  <c r="BF727" i="1"/>
  <c r="BT727" i="1"/>
  <c r="BF728" i="1"/>
  <c r="BT728" i="1"/>
  <c r="BF729" i="1"/>
  <c r="BT729" i="1"/>
  <c r="BF730" i="1"/>
  <c r="BT730" i="1"/>
  <c r="BT731" i="1"/>
  <c r="BF732" i="1"/>
  <c r="BT732" i="1"/>
  <c r="BF733" i="1"/>
  <c r="BT733" i="1"/>
  <c r="BF734" i="1"/>
  <c r="BT734" i="1"/>
  <c r="BT735" i="1"/>
  <c r="BF736" i="1"/>
  <c r="BT736" i="1"/>
  <c r="BF737" i="1"/>
  <c r="BT737" i="1"/>
  <c r="BF738" i="1"/>
  <c r="BT738" i="1"/>
  <c r="BF739" i="1"/>
  <c r="BT739" i="1"/>
  <c r="BF740" i="1"/>
  <c r="BT740" i="1"/>
  <c r="BF741" i="1"/>
  <c r="BT741" i="1"/>
  <c r="BF742" i="1"/>
  <c r="BT742" i="1"/>
  <c r="BF743" i="1"/>
  <c r="BT743" i="1"/>
  <c r="BF744" i="1"/>
  <c r="BT744" i="1"/>
  <c r="BF745" i="1"/>
  <c r="BT745" i="1"/>
  <c r="BF746" i="1"/>
  <c r="BT746" i="1"/>
  <c r="BF747" i="1"/>
  <c r="BT747" i="1"/>
  <c r="BF748" i="1"/>
  <c r="BT748" i="1"/>
  <c r="BF749" i="1"/>
  <c r="BT749" i="1"/>
  <c r="BF750" i="1"/>
  <c r="BT750" i="1"/>
  <c r="BF751" i="1"/>
  <c r="BT751" i="1"/>
  <c r="BF752" i="1"/>
  <c r="BT752" i="1"/>
  <c r="BF753" i="1"/>
  <c r="BT753" i="1"/>
  <c r="BF754" i="1"/>
  <c r="BT754" i="1"/>
  <c r="BF755" i="1"/>
  <c r="BT755" i="1"/>
  <c r="BF756" i="1"/>
  <c r="BT756" i="1"/>
  <c r="BF757" i="1"/>
  <c r="BT757" i="1"/>
  <c r="BF758" i="1"/>
  <c r="BT758" i="1"/>
  <c r="BF759" i="1"/>
  <c r="BT759" i="1"/>
  <c r="BF760" i="1"/>
  <c r="BT760" i="1"/>
  <c r="BF761" i="1"/>
  <c r="BT761" i="1"/>
  <c r="BF762" i="1"/>
  <c r="BT762" i="1"/>
  <c r="BF763" i="1"/>
  <c r="BT763" i="1"/>
  <c r="BF764" i="1"/>
  <c r="BT764" i="1"/>
  <c r="BF765" i="1"/>
  <c r="BT765" i="1"/>
  <c r="BF766" i="1"/>
  <c r="BT766" i="1"/>
  <c r="BF767" i="1"/>
  <c r="BT767" i="1"/>
  <c r="BT768" i="1"/>
  <c r="BT769" i="1"/>
  <c r="BF770" i="1"/>
  <c r="BT770" i="1"/>
  <c r="BF771" i="1"/>
  <c r="BT771" i="1"/>
  <c r="BF772" i="1"/>
  <c r="BT772" i="1"/>
  <c r="BF773" i="1"/>
  <c r="BT773" i="1"/>
  <c r="BF774" i="1"/>
  <c r="BT774" i="1"/>
  <c r="BF775" i="1"/>
  <c r="BT775" i="1"/>
  <c r="BF776" i="1"/>
  <c r="BT776" i="1"/>
  <c r="BF777" i="1"/>
  <c r="BT777" i="1"/>
  <c r="BF778" i="1"/>
  <c r="BT778" i="1"/>
  <c r="BF779" i="1"/>
  <c r="BT779" i="1"/>
  <c r="BF780" i="1"/>
  <c r="BT780" i="1"/>
  <c r="BF781" i="1"/>
  <c r="BT781" i="1"/>
  <c r="BF782" i="1"/>
  <c r="BT782" i="1"/>
  <c r="BF783" i="1"/>
  <c r="BT783" i="1"/>
  <c r="BF784" i="1"/>
  <c r="BT784" i="1"/>
  <c r="BF785" i="1"/>
  <c r="BT785" i="1"/>
  <c r="BF786" i="1"/>
  <c r="BT786" i="1"/>
  <c r="BF787" i="1"/>
  <c r="BT787" i="1"/>
  <c r="BF788" i="1"/>
  <c r="BT788" i="1"/>
  <c r="BF789" i="1"/>
  <c r="BT789" i="1"/>
  <c r="BF790" i="1"/>
  <c r="BT790" i="1"/>
  <c r="BF791" i="1"/>
  <c r="BT791" i="1"/>
  <c r="BF792" i="1"/>
  <c r="BT792" i="1"/>
  <c r="BF793" i="1"/>
  <c r="BT793" i="1"/>
  <c r="BF794" i="1"/>
  <c r="BT794" i="1"/>
  <c r="BF795" i="1"/>
  <c r="BT795" i="1"/>
  <c r="BF796" i="1"/>
  <c r="BT796" i="1"/>
  <c r="BF797" i="1"/>
  <c r="BT797" i="1"/>
  <c r="BF798" i="1"/>
  <c r="BT798" i="1"/>
  <c r="BT799" i="1"/>
  <c r="BF800" i="1"/>
  <c r="BT800" i="1"/>
  <c r="BF801" i="1"/>
  <c r="BT801" i="1"/>
  <c r="BF802" i="1"/>
  <c r="BT802" i="1"/>
  <c r="BF803" i="1"/>
  <c r="BT803" i="1"/>
  <c r="BF804" i="1"/>
  <c r="BT804" i="1"/>
  <c r="BF805" i="1"/>
  <c r="BT805" i="1"/>
  <c r="BF806" i="1"/>
  <c r="BT806" i="1"/>
  <c r="BF807" i="1"/>
  <c r="BT807" i="1"/>
  <c r="BF808" i="1"/>
  <c r="BT808" i="1"/>
  <c r="BF809" i="1"/>
  <c r="BT809" i="1"/>
  <c r="BF810" i="1"/>
  <c r="BT810" i="1"/>
  <c r="BF811" i="1"/>
  <c r="BT811" i="1"/>
  <c r="BF812" i="1"/>
  <c r="BT812" i="1"/>
  <c r="BF813" i="1"/>
  <c r="BT813" i="1"/>
  <c r="BF814" i="1"/>
  <c r="BT814" i="1"/>
  <c r="BF815" i="1"/>
  <c r="BT815" i="1"/>
  <c r="BF816" i="1"/>
  <c r="BT816" i="1"/>
  <c r="BF817" i="1"/>
  <c r="BT817" i="1"/>
  <c r="BF818" i="1"/>
  <c r="BT818" i="1"/>
  <c r="BF819" i="1"/>
  <c r="BT819" i="1"/>
  <c r="BF820" i="1"/>
  <c r="BT820" i="1"/>
  <c r="BF821" i="1"/>
  <c r="BT821" i="1"/>
  <c r="BF822" i="1"/>
  <c r="BT822" i="1"/>
  <c r="BT823" i="1"/>
  <c r="BF824" i="1"/>
  <c r="BT824" i="1"/>
  <c r="BF825" i="1"/>
  <c r="BT825" i="1"/>
  <c r="BF826" i="1"/>
  <c r="BT826" i="1"/>
  <c r="BF827" i="1"/>
  <c r="BT827" i="1"/>
  <c r="BF828" i="1"/>
  <c r="BT828" i="1"/>
  <c r="BF829" i="1"/>
  <c r="BT829" i="1"/>
  <c r="BF830" i="1"/>
  <c r="BT830" i="1"/>
  <c r="BF831" i="1"/>
  <c r="BT831" i="1"/>
  <c r="BF832" i="1"/>
  <c r="BT832" i="1"/>
  <c r="BF833" i="1"/>
  <c r="BT833" i="1"/>
  <c r="BF834" i="1"/>
  <c r="BT834" i="1"/>
  <c r="BF835" i="1"/>
  <c r="BT835" i="1"/>
  <c r="BF836" i="1"/>
  <c r="BT836" i="1"/>
  <c r="BT837" i="1"/>
  <c r="BT838" i="1"/>
  <c r="BF839" i="1"/>
  <c r="BT839" i="1"/>
  <c r="BF840" i="1"/>
  <c r="BT840" i="1"/>
  <c r="BF841" i="1"/>
  <c r="BT841" i="1"/>
  <c r="BF842" i="1"/>
  <c r="BT842" i="1"/>
  <c r="BF843" i="1"/>
  <c r="BT843" i="1"/>
  <c r="BF844" i="1"/>
  <c r="BT844" i="1"/>
  <c r="BF845" i="1"/>
  <c r="BT845" i="1"/>
  <c r="BF846" i="1"/>
  <c r="BT846" i="1"/>
  <c r="BF847" i="1"/>
  <c r="BT847" i="1"/>
  <c r="BF848" i="1"/>
  <c r="BT848" i="1"/>
  <c r="BF849" i="1"/>
  <c r="BT849" i="1"/>
  <c r="BF850" i="1"/>
  <c r="BT850" i="1"/>
  <c r="BF851" i="1"/>
  <c r="BT851" i="1"/>
  <c r="BF852" i="1"/>
  <c r="BT852" i="1"/>
  <c r="BF853" i="1"/>
  <c r="BT853" i="1"/>
  <c r="BF854" i="1"/>
  <c r="BT854" i="1"/>
  <c r="BF855" i="1"/>
  <c r="BT855" i="1"/>
  <c r="BF856" i="1"/>
  <c r="BT856" i="1"/>
  <c r="BF857" i="1"/>
  <c r="BT857" i="1"/>
  <c r="BF858" i="1"/>
  <c r="BT858" i="1"/>
  <c r="BF859" i="1"/>
  <c r="BT859" i="1"/>
  <c r="BF860" i="1"/>
  <c r="BT860" i="1"/>
  <c r="BF861" i="1"/>
  <c r="BT861" i="1"/>
  <c r="BF862" i="1"/>
  <c r="BT862" i="1"/>
  <c r="BF863" i="1"/>
  <c r="BT863" i="1"/>
  <c r="BF864" i="1"/>
  <c r="BT864" i="1"/>
  <c r="BF865" i="1"/>
  <c r="BT865" i="1"/>
  <c r="BF866" i="1"/>
  <c r="BT866" i="1"/>
  <c r="BF867" i="1"/>
  <c r="BT867" i="1"/>
  <c r="BF868" i="1"/>
  <c r="BT868" i="1"/>
  <c r="BF869" i="1"/>
  <c r="BT869" i="1"/>
  <c r="BF870" i="1"/>
  <c r="BT870" i="1"/>
  <c r="BF871" i="1"/>
  <c r="BT871" i="1"/>
  <c r="BF872" i="1"/>
  <c r="BT872" i="1"/>
  <c r="BF873" i="1"/>
  <c r="BT873" i="1"/>
  <c r="BF874" i="1"/>
  <c r="BT874" i="1"/>
  <c r="BF875" i="1"/>
  <c r="BT875" i="1"/>
  <c r="BT876" i="1"/>
  <c r="BF877" i="1"/>
  <c r="BT877" i="1"/>
  <c r="BF878" i="1"/>
  <c r="BT878" i="1"/>
  <c r="BF879" i="1"/>
  <c r="BT879" i="1"/>
  <c r="BF880" i="1"/>
  <c r="BT880" i="1"/>
  <c r="BF881" i="1"/>
  <c r="BT881" i="1"/>
  <c r="BF882" i="1"/>
  <c r="BT882" i="1"/>
  <c r="BF883" i="1"/>
  <c r="BT883" i="1"/>
  <c r="BF884" i="1"/>
  <c r="BT884" i="1"/>
  <c r="BF885" i="1"/>
  <c r="BT885" i="1"/>
  <c r="BF886" i="1"/>
  <c r="BT886" i="1"/>
  <c r="BF887" i="1"/>
  <c r="BT887" i="1"/>
  <c r="BF888" i="1"/>
  <c r="BT888" i="1"/>
  <c r="BF889" i="1"/>
  <c r="BT889" i="1"/>
  <c r="BF890" i="1"/>
  <c r="BT890" i="1"/>
  <c r="BF891" i="1"/>
  <c r="BT891" i="1"/>
  <c r="BF892" i="1"/>
  <c r="BT892" i="1"/>
  <c r="BF893" i="1"/>
  <c r="BT893" i="1"/>
  <c r="BF894" i="1"/>
  <c r="BT894" i="1"/>
  <c r="BF895" i="1"/>
  <c r="BT895" i="1"/>
  <c r="BF896" i="1"/>
  <c r="BT896" i="1"/>
  <c r="BT897" i="1"/>
  <c r="BF898" i="1"/>
  <c r="BT898" i="1"/>
  <c r="BF899" i="1"/>
  <c r="BT899" i="1"/>
  <c r="BF900" i="1"/>
  <c r="BT900" i="1"/>
  <c r="BF901" i="1"/>
  <c r="BT901" i="1"/>
  <c r="BF902" i="1"/>
  <c r="BT902" i="1"/>
  <c r="BF903" i="1"/>
  <c r="BT903" i="1"/>
  <c r="BF904" i="1"/>
  <c r="BT904" i="1"/>
  <c r="BT905" i="1"/>
  <c r="BF906" i="1"/>
  <c r="BT906" i="1"/>
  <c r="BF907" i="1"/>
  <c r="BT907" i="1"/>
  <c r="BF908" i="1"/>
  <c r="BT908" i="1"/>
  <c r="BT909" i="1"/>
  <c r="BF910" i="1"/>
  <c r="BT910" i="1"/>
  <c r="BF911" i="1"/>
  <c r="BT911" i="1"/>
  <c r="BF912" i="1"/>
  <c r="BT912" i="1"/>
  <c r="BF913" i="1"/>
  <c r="BT913" i="1"/>
  <c r="BF914" i="1"/>
  <c r="BT914" i="1"/>
  <c r="BF915" i="1"/>
  <c r="BT915" i="1"/>
  <c r="BF916" i="1"/>
  <c r="BT916" i="1"/>
  <c r="BT917" i="1"/>
  <c r="BF918" i="1"/>
  <c r="BT918" i="1"/>
  <c r="BF919" i="1"/>
  <c r="BT919" i="1"/>
  <c r="BF920" i="1"/>
  <c r="BT920" i="1"/>
  <c r="BF921" i="1"/>
  <c r="BT921" i="1"/>
  <c r="BF922" i="1"/>
  <c r="BT922" i="1"/>
  <c r="BF923" i="1"/>
  <c r="BT923" i="1"/>
  <c r="BF924" i="1"/>
  <c r="BT924" i="1"/>
  <c r="BF925" i="1"/>
  <c r="BT925" i="1"/>
  <c r="BF926" i="1"/>
  <c r="BT926" i="1"/>
  <c r="BF927" i="1"/>
  <c r="BT927" i="1"/>
  <c r="BF928" i="1"/>
  <c r="BT928" i="1"/>
  <c r="BF929" i="1"/>
  <c r="BT929" i="1"/>
  <c r="BF930" i="1"/>
  <c r="BT930" i="1"/>
  <c r="BF931" i="1"/>
  <c r="BT931" i="1"/>
  <c r="BF932" i="1"/>
  <c r="BT932" i="1"/>
  <c r="BF933" i="1"/>
  <c r="BT933" i="1"/>
  <c r="BF934" i="1"/>
  <c r="BT934" i="1"/>
  <c r="BF935" i="1"/>
  <c r="BT935" i="1"/>
  <c r="BF936" i="1"/>
  <c r="BT936" i="1"/>
  <c r="BF937" i="1"/>
  <c r="BT937" i="1"/>
  <c r="BF938" i="1"/>
  <c r="BT938" i="1"/>
  <c r="BF939" i="1"/>
  <c r="BT939" i="1"/>
  <c r="BF940" i="1"/>
  <c r="BT940" i="1"/>
  <c r="BF941" i="1"/>
  <c r="BT941" i="1"/>
  <c r="BF942" i="1"/>
  <c r="BT942" i="1"/>
  <c r="BF943" i="1"/>
  <c r="BT943" i="1"/>
  <c r="BF944" i="1"/>
  <c r="BT944" i="1"/>
  <c r="BF945" i="1"/>
  <c r="BT945" i="1"/>
  <c r="BT946" i="1"/>
  <c r="BF947" i="1"/>
  <c r="BT947" i="1"/>
  <c r="BF948" i="1"/>
  <c r="BT948" i="1"/>
  <c r="BF949" i="1"/>
  <c r="BT949" i="1"/>
  <c r="BF950" i="1"/>
  <c r="BT950" i="1"/>
  <c r="BF951" i="1"/>
  <c r="BT951" i="1"/>
  <c r="BF952" i="1"/>
  <c r="BT952" i="1"/>
  <c r="BF953" i="1"/>
  <c r="BT953" i="1"/>
  <c r="BF954" i="1"/>
  <c r="BT954" i="1"/>
  <c r="BF955" i="1"/>
  <c r="BT955" i="1"/>
  <c r="BF956" i="1"/>
  <c r="BT956" i="1"/>
  <c r="BF957" i="1"/>
  <c r="BT957" i="1"/>
  <c r="BF958" i="1"/>
  <c r="BT958" i="1"/>
  <c r="BF959" i="1"/>
  <c r="BT959" i="1"/>
  <c r="BF960" i="1"/>
  <c r="BT960" i="1"/>
  <c r="BF961" i="1"/>
  <c r="BT961" i="1"/>
  <c r="BF962" i="1"/>
  <c r="BT962" i="1"/>
  <c r="BF963" i="1"/>
  <c r="BT963" i="1"/>
  <c r="BF964" i="1"/>
  <c r="BT964" i="1"/>
  <c r="BF965" i="1"/>
  <c r="BT965" i="1"/>
  <c r="BT966" i="1"/>
  <c r="BF967" i="1"/>
  <c r="BT967" i="1"/>
  <c r="BF968" i="1"/>
  <c r="BT968" i="1"/>
  <c r="BF969" i="1"/>
  <c r="BT969" i="1"/>
  <c r="BF970" i="1"/>
  <c r="BT970" i="1"/>
  <c r="BF971" i="1"/>
  <c r="BT971" i="1"/>
  <c r="BF972" i="1"/>
  <c r="BT972" i="1"/>
  <c r="BF973" i="1"/>
  <c r="BT973" i="1"/>
  <c r="BF974" i="1"/>
  <c r="BT974" i="1"/>
  <c r="BF975" i="1"/>
  <c r="BT975" i="1"/>
  <c r="BF976" i="1"/>
  <c r="BT976" i="1"/>
  <c r="BF977" i="1"/>
  <c r="BT977" i="1"/>
  <c r="BF978" i="1"/>
  <c r="BT978" i="1"/>
  <c r="BF979" i="1"/>
  <c r="BT979" i="1"/>
  <c r="BF980" i="1"/>
  <c r="BT980" i="1"/>
  <c r="BF981" i="1"/>
  <c r="BT981" i="1"/>
  <c r="BF982" i="1"/>
  <c r="BT982" i="1"/>
  <c r="BF983" i="1"/>
  <c r="BT983" i="1"/>
  <c r="BT984" i="1"/>
  <c r="BF985" i="1"/>
  <c r="BT985" i="1"/>
  <c r="BT986" i="1"/>
  <c r="BF987" i="1"/>
  <c r="BT987" i="1"/>
  <c r="BF988" i="1"/>
  <c r="BT988" i="1"/>
  <c r="BF989" i="1"/>
  <c r="BT989" i="1"/>
  <c r="BF990" i="1"/>
  <c r="BT990" i="1"/>
  <c r="BF991" i="1"/>
  <c r="BT991" i="1"/>
  <c r="BF992" i="1"/>
  <c r="BT992" i="1"/>
  <c r="BF993" i="1"/>
  <c r="BT993" i="1"/>
  <c r="BF994" i="1"/>
  <c r="BT994" i="1"/>
  <c r="BF995" i="1"/>
  <c r="BT995" i="1"/>
  <c r="BF996" i="1"/>
  <c r="BT996" i="1"/>
  <c r="BF997" i="1"/>
  <c r="BT997" i="1"/>
  <c r="BF998" i="1"/>
  <c r="BT998" i="1"/>
  <c r="BF999" i="1"/>
  <c r="BT999" i="1"/>
  <c r="BF1000" i="1"/>
  <c r="BT1000" i="1"/>
  <c r="BF1001" i="1"/>
  <c r="BT1001" i="1"/>
</calcChain>
</file>

<file path=xl/sharedStrings.xml><?xml version="1.0" encoding="utf-8"?>
<sst xmlns="http://schemas.openxmlformats.org/spreadsheetml/2006/main" count="212238" uniqueCount="58073">
  <si>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</si>
  <si>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</si>
  <si>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</si>
  <si>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</si>
  <si>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</si>
  <si>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</si>
  <si>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</si>
  <si>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</si>
  <si>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</si>
  <si>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</si>
  <si>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</si>
  <si>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</si>
  <si>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</si>
  <si>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</si>
  <si>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</si>
  <si>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</si>
  <si>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</si>
  <si>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</si>
  <si>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</si>
  <si>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</si>
  <si>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</si>
  <si>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</si>
  <si>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</si>
  <si>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Affiliations</t>
  </si>
  <si>
    <t>Reprint Addresses</t>
  </si>
  <si>
    <t>Email Addresses</t>
  </si>
  <si>
    <t>Researcher Ids</t>
  </si>
  <si>
    <t>ORCIDs</t>
  </si>
  <si>
    <t>Funding Orgs</t>
  </si>
  <si>
    <t>Funding Name Preferred</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</si>
  <si>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</si>
  <si>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</si>
  <si>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</si>
  <si>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</si>
  <si>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</si>
  <si>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</si>
  <si>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</si>
  <si>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</si>
  <si>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</si>
  <si>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</si>
  <si>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</si>
  <si>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</si>
  <si>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</si>
  <si>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</si>
  <si>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</si>
  <si>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</si>
  <si>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</si>
  <si>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</si>
  <si>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</si>
  <si>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</si>
  <si>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</si>
  <si>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</si>
  <si>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</si>
  <si>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</si>
  <si>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</si>
  <si>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</si>
  <si>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</si>
  <si>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DOI Link</t>
  </si>
  <si>
    <t>Book DOI</t>
  </si>
  <si>
    <t>Early Access Date</t>
  </si>
  <si>
    <t>Number of Pages</t>
  </si>
  <si>
    <t>WoS Categories</t>
  </si>
  <si>
    <t>Web of Science Index</t>
  </si>
  <si>
    <t>Research Areas</t>
  </si>
  <si>
    <t>IDS Number</t>
  </si>
  <si>
    <t>Pubmed Id</t>
  </si>
  <si>
    <t>Open Access Designations</t>
  </si>
  <si>
    <t>Highly Cited Status</t>
  </si>
  <si>
    <t>Hot Paper Status</t>
  </si>
  <si>
    <t>Date of Export</t>
  </si>
  <si>
    <t>UT (Unique WOS ID)</t>
  </si>
  <si>
    <t>Web of Science Record</t>
  </si>
  <si>
    <t>J</t>
  </si>
  <si>
    <t>McGeown, E; Power, B; Shinnick, E</t>
  </si>
  <si>
    <t/>
  </si>
  <si>
    <t>McGeown, Eimear; Power, Bernadette; Shinnick, Edward</t>
  </si>
  <si>
    <t>The non-bank lending channel: an important substitute for SME bank debt</t>
  </si>
  <si>
    <t>INTERNATIONAL JOURNAL OF ENTREPRENEURIAL BEHAVIOR &amp; RESEARCH</t>
  </si>
  <si>
    <t>English</t>
  </si>
  <si>
    <t>Article</t>
  </si>
  <si>
    <t>SME finance; Non-bank debt; Bank credit constrained; Bank-discouragement; Self-discouragement; Funding gaps</t>
  </si>
  <si>
    <t>FINANCIAL CRISIS; EURO AREA; CREDIT; ACCESS; FIRM; UK; CONSTRAINTS; DECISIONS; SELECTION; IRELAND</t>
  </si>
  <si>
    <t>PurposePost-global financial crisis (GFC), contraction in bank lending to small and medium-sized enterprises (SMEs) created a market opportunity for non-bank lenders. Despite the consequential global growth of SME non-bank debt, little is known about the characteristics of firms that use non-bank debt. Using a database on access to finance in the post GFC period, this paper identifies the characteristics of SMEs that apply for and use non-bank debt.Design/methodology/approachThe non-bank debt lending of 1,683 Irish SMEs post GFC is described. A probit model is estimated to characterise firms that obtained non-bank debt using a three-stage modelling procedure, corrected for selection biases based on firm decisions to apply for bank debt and/or alternative finance.FindingsNon-bank debt is found to be a substitute for bank debt and is used by bank-rejected, bank-discouraged, self-discouraged and very young firms. This suggests some market segmentation with non-bank lending reducing SME funding gaps. Inconsistent with the financial intermediation literature, findings may reflect increased bank regulation and rationalisation.Practical implicationsNon-bank debt is an important source of finance for bank-rejected and discouraged borrowers. Given this structural change in SME lending, it is important to understand the nature of, and any risks associated with, the non-bank debt sector.Originality/valueThis study uniquely considers all sources of non-bank debt. It builds on other studies to consider the impact of both bank and self-discouragement on the use of non-bank debt.</t>
  </si>
  <si>
    <t>[McGeown, Eimear; Power, Bernadette; Shinnick, Edward] Cork Univ, Business Sch, Univ Coll Cork, Cork, Ireland</t>
  </si>
  <si>
    <t>University College Cork</t>
  </si>
  <si>
    <t>McGeown, E (corresponding author), Cork Univ, Business Sch, Univ Coll Cork, Cork, Ireland.</t>
  </si>
  <si>
    <t>eimear.mcgeown@ucc.ie; b.power@ucc.ie; e.shinnick@ucc.ie</t>
  </si>
  <si>
    <t>Shinnick, Edward/LOR-8402-2024</t>
  </si>
  <si>
    <t>Shinnick, Edward/0000-0002-7975-7465; McGeown, Eimear/0000-0002-1299-2655; Power, Bernadette/0000-0003-0565-6108</t>
  </si>
  <si>
    <t>EMERALD GROUP PUBLISHING LTD</t>
  </si>
  <si>
    <t>Leeds</t>
  </si>
  <si>
    <t>Floor 5, Northspring 21-23 Wellington Street, Leeds, W YORKSHIRE, ENGLAND</t>
  </si>
  <si>
    <t>1355-2554</t>
  </si>
  <si>
    <t>1758-6534</t>
  </si>
  <si>
    <t>INT J ENTREP BEHAV R</t>
  </si>
  <si>
    <t>Int. J. Entrep. Behav. Res.</t>
  </si>
  <si>
    <t>MAY 30</t>
  </si>
  <si>
    <t>10.1108/IJEBR-09-2024-1033</t>
  </si>
  <si>
    <t>Business; Management</t>
  </si>
  <si>
    <t>Social Science Citation Index (SSCI)</t>
  </si>
  <si>
    <t>Business &amp; Economics</t>
  </si>
  <si>
    <t>3GV6C</t>
  </si>
  <si>
    <t>2026-01-14</t>
  </si>
  <si>
    <t>WOS:001500020200001</t>
  </si>
  <si>
    <t>Awawdeh, AE; Shahroor, HGN; Alajlani, S; Nuseir, MT; Aljumah, AI</t>
  </si>
  <si>
    <t>Awawdeh, Ala Eldin; Shahroor, Husam Ghizawi Nawwaf; Alajlani, Sami; Nuseir, Mohammed T.; Aljumah, Ahmad Ibrahim</t>
  </si>
  <si>
    <t>Assessing mechanism of financial institutions' role in managing environmental vulnerabilities</t>
  </si>
  <si>
    <t>ENVIRONMENTAL SCIENCE AND POLLUTION RESEARCH</t>
  </si>
  <si>
    <t>Financial structure; Economic vulnerability; Economic welfare; Financial development; Banking institutions; Financial inclusion</t>
  </si>
  <si>
    <t>ECONOMIC-GROWTH; POWER; INTEGRATION; COUNTRIES; REFORMS; NEXUS</t>
  </si>
  <si>
    <t>The study estimates whether the role of non-banking financial institutions in managing economic vulnerability contributes to whether non-banking financial institutions' role in managing economic vulnerability contributes to higher economic welfare at the public level in Pakistan. The empirical estimation is carried out on secondary data ranging from 1990 to 2020. Using autoregressive distributed lag estimation technique, short-run and long-run effects on non-banking financial institutions are examined. The study contributed to the following: the short- and long-run connection between economic development and non-banking financial institutions (NBFIs) was found, while an experimental outcome indicated a causal connection between NBFIs and financial development improvement. Moreover, the non-banking financial institutes reduce the economy's real sector due to excessive risk in the financial sector. Our results reveal a correlation between non-banking financial integration and economic growth changes related to an expansion in loan recipients. The nominal interest rate significantly explains the economic growth of Pakistan. NBFI part in the liquidity procedure of budgetary resources is said to be in charge of financial development in creating nations. General consequences of the examination on NBFIs demonstrated a positive effect on the financial development of Pakistan. From policy viewpoint, the study suggests multiple policy implications to the practitioner of non-banking financial institutions and the national economy to curtail the adverse effects of economic vulnerability on national economic welfare in the public.</t>
  </si>
  <si>
    <t>[Awawdeh, Ala Eldin] Liwa Coll Technol, Dept Management, Abu Dhabi, U Arab Emirates; [Shahroor, Husam Ghizawi Nawwaf; Alajlani, Sami] Higher Coll Technol, Business Dept, Abu Dhabi, U Arab Emirates; [Nuseir, Mohammed T.] Al Ain Univ, Coll Business, Abu Dhabi Campus, Abu Dhabi, U Arab Emirates; [Aljumah, Ahmad Ibrahim] Al Ain Univ, Coll Commun &amp; Media, Abu Dhabi Campus, Abu Dhabi, U Arab Emirates</t>
  </si>
  <si>
    <t>Higher Colleges of Technology - United Arab Emirates</t>
  </si>
  <si>
    <t>Aljumah, AI (corresponding author), Al Ain Univ, Coll Commun &amp; Media, Abu Dhabi Campus, Abu Dhabi, U Arab Emirates.</t>
  </si>
  <si>
    <t>alaeldin.awawdeh@ect.ac.ae; h.shahroor@hct.ac.ae; salajlani@hct.ac.ae; mohammed.nuseir@aau.ac.ae; ahmad.aljumah@aau.ac.ae</t>
  </si>
  <si>
    <t>Aljumah, Ahmad/AAW-4987-2021; Nuseir, Mohammed/N-4257-2015; Awawdeh, Alaeldin/GLS-8151-2022</t>
  </si>
  <si>
    <t>Awawdeh, Alaeldin/0000-0002-8218-4784</t>
  </si>
  <si>
    <t>SPRINGER HEIDELBERG</t>
  </si>
  <si>
    <t>HEIDELBERG</t>
  </si>
  <si>
    <t>TIERGARTENSTRASSE 17, D-69121 HEIDELBERG, GERMANY</t>
  </si>
  <si>
    <t>0944-1344</t>
  </si>
  <si>
    <t>1614-7499</t>
  </si>
  <si>
    <t>ENVIRON SCI POLLUT R</t>
  </si>
  <si>
    <t>Environ. Sci. Pollut. Res.</t>
  </si>
  <si>
    <t>DEC</t>
  </si>
  <si>
    <t>10.1007/s11356-022-21200-2</t>
  </si>
  <si>
    <t>JUL 2022</t>
  </si>
  <si>
    <t>Environmental Sciences</t>
  </si>
  <si>
    <t>Science Citation Index Expanded (SCI-EXPANDED)</t>
  </si>
  <si>
    <t>Environmental Sciences &amp; Ecology</t>
  </si>
  <si>
    <t>6I1PI</t>
  </si>
  <si>
    <t>WOS:000821984800012</t>
  </si>
  <si>
    <t>C</t>
  </si>
  <si>
    <t>Ghosh, I</t>
  </si>
  <si>
    <t>ACM</t>
  </si>
  <si>
    <t>Ghosh, Ishita</t>
  </si>
  <si>
    <t>The Agent in a Transformational M-Banking Ecosystem - Interface or Intermediary?</t>
  </si>
  <si>
    <t>PROCEEDINGS OF THE SIXTH INTERNATIONAL CONFERENCE ON INFORMATION AND COMMUNICATIONS TECHNOLOGIES AND DEVELOPMENT, VOL 2</t>
  </si>
  <si>
    <t>Proceedings Paper</t>
  </si>
  <si>
    <t>6th International Conference on Information and Communications Technologies and Development (ICTD)</t>
  </si>
  <si>
    <t>DEC 07-10, 2013</t>
  </si>
  <si>
    <t>Univ Cape Town, Cape Town, SOUTH AFRICA</t>
  </si>
  <si>
    <t>IDRC,Google,IBM,IPID,Microsoft,Microsoft Res,Nokia</t>
  </si>
  <si>
    <t>Univ Cape Town</t>
  </si>
  <si>
    <t>Mobile Banking; Financial Inclusion; Agents</t>
  </si>
  <si>
    <t>The bank-led branchless banking model in India was born out of a national financial inclusion mandate that seeks to connect unbanked populations to formal financial services. This is implemented through a transformational, hybrid infrastructure that extends outreach via low-scale banking structures. These low-scale banking structures take banking services out of the brick-and-mortar bank branches and into the hands of non-bank agents (or business correspondents) that can now drive uptake in unserved regions on the branchless banking platform. This note demonstrates the results of a study that looked at Eko, one of the prominent mobile banking business correspondents in India, in its collaboration with the largest public sector bank in the country. In particular, this note will focus on the role of their retail agent network and how certain informal, frequently unstipulated, practices on their part may help in acquiring and retaining customers on the platform. In this way, the retail agent network may indeed help in sustaining the transformational mobile banking ecosystem.</t>
  </si>
  <si>
    <t>[Ghosh, Ishita] Univ Calif Berkeley, Sch Informat, 102 South Hall 4600, Berkeley, CA 94720 USA</t>
  </si>
  <si>
    <t>University of California System; University of California Berkeley</t>
  </si>
  <si>
    <t>Ghosh, I (corresponding author), Univ Calif Berkeley, Sch Informat, 102 South Hall 4600, Berkeley, CA 94720 USA.</t>
  </si>
  <si>
    <t>ighosh@ischool.berkeley.edu</t>
  </si>
  <si>
    <t>ASSOC COMPUTING MACHINERY</t>
  </si>
  <si>
    <t>NEW YORK</t>
  </si>
  <si>
    <t>1515 BROADWAY, NEW YORK, NY 10036-9998 USA</t>
  </si>
  <si>
    <t>978-1-4503-1907-2</t>
  </si>
  <si>
    <t>10.1145/2517899.2517918</t>
  </si>
  <si>
    <t>Computer Science, Hardware &amp; Architecture; Computer Science, Information Systems</t>
  </si>
  <si>
    <t>Conference Proceedings Citation Index - Science (CPCI-S)</t>
  </si>
  <si>
    <t>Computer Science</t>
  </si>
  <si>
    <t>BE4QB</t>
  </si>
  <si>
    <t>WOS:000372068700009</t>
  </si>
  <si>
    <t>Zalcewicz, A</t>
  </si>
  <si>
    <t>Radvan, M; Gliniecka, J; Sowinski, T; Mrkyvka, P</t>
  </si>
  <si>
    <t>Zalcewicz, Anna</t>
  </si>
  <si>
    <t>LEGAL AND FINANCIAL ASPECTS OF FINANCING TASKS OF LOCAL GOVERNMENT UNITS FROM FINANCIAL RESOURCES OBTAINED ON BANKING AND NON-BANKING MARKETS - ISSUES CONNECTED WITH THE NEGATIVE IMPACT OF CURRENT PROVISIONS OF LAW ON THE STABILITY OF PUBLIC FINANCES (POLISH CASE)</t>
  </si>
  <si>
    <t>FINANCIAL LEW TOWARDS CHALLENGES OF THE XXI CENTURY</t>
  </si>
  <si>
    <t>Iuridica</t>
  </si>
  <si>
    <t>4th International Baltic Conference on Financial Law - the Financial Law towards Challenges of the 21st Century</t>
  </si>
  <si>
    <t>APR 21-24, 2017</t>
  </si>
  <si>
    <t>Gdynia, POLAND</t>
  </si>
  <si>
    <t>Univ Gdansk, Ctr Self Govt &amp; Local Finance Law,Univ Gdansk, Fac Law &amp; Adm, Dept Financial Law,Cardinal Stefan Wyszynski Univ Warsaw, Fac Law &amp; Adm,Masaryk Univ Brno, Fac Law, Dept Financial Law &amp; Econ,Univ Paul Joseph Safarik, Dept Financial Law &amp; Tax Law,Regional Account Chamber Gdansk</t>
  </si>
  <si>
    <t>Deficit; Law; Banking And Non-banking Services for Local Government Units; Stability of Public Finances</t>
  </si>
  <si>
    <t>Subject of this paper are rules, selected and defined by law, obtaining financial resources from banking and non-banking markets for financing tasks of local government units, as well as the protection of budget resources of local government units deposited in bank accounts. In particular, the Author's intention is to prove, based on a dogmatic-legal method, that legal solutions currently in force do not guarantee a necessary level of protection against over-indebtedness of local government units and loss of resources deposited in bank accounts, which has a negative impact on the stability of public finance.</t>
  </si>
  <si>
    <t>[Zalcewicz, Anna] Warsaw Univ Technol, Dept Law &amp; Adm, Fac Adm &amp; Social Sci, Laws, Warsaw, Poland</t>
  </si>
  <si>
    <t>Warsaw University of Technology</t>
  </si>
  <si>
    <t>Zalcewicz, A (corresponding author), Warsaw Univ Technol, Dept Law &amp; Adm, Fac Adm &amp; Social Sci, Laws, Warsaw, Poland.</t>
  </si>
  <si>
    <t>a.zalcewicz@ans.pw.edu.pl</t>
  </si>
  <si>
    <t>Zalcewicz, Anna/W-2991-2018</t>
  </si>
  <si>
    <t>MASARYKOVA UNIV</t>
  </si>
  <si>
    <t>BRNO</t>
  </si>
  <si>
    <t>ZEROTINOVO NAM 9, BRNO 601 77, CZECH REPUBLIC</t>
  </si>
  <si>
    <t>978-80-210-8516-9</t>
  </si>
  <si>
    <t>IURIDICA</t>
  </si>
  <si>
    <t>Law</t>
  </si>
  <si>
    <t>Conference Proceedings Citation Index - Social Science &amp; Humanities (CPCI-SSH)</t>
  </si>
  <si>
    <t>Government &amp; Law</t>
  </si>
  <si>
    <t>BI0XI</t>
  </si>
  <si>
    <t>WOS:000405243700018</t>
  </si>
  <si>
    <t>Isayev, M</t>
  </si>
  <si>
    <t>Isayev, Mugabil</t>
  </si>
  <si>
    <t>Financial inclusion and economic growth: The role of non-bank financial intermediation</t>
  </si>
  <si>
    <t>INTERNATIONAL REVIEW OF ECONOMICS &amp; FINANCE</t>
  </si>
  <si>
    <t>Economic growth; Financial inclusion; Non-bank financial intermediation; Quantile regression</t>
  </si>
  <si>
    <t>CROSS-SECTIONAL DEPENDENCE; SHADOW BANKING; NON-CAUSALITY; TESTS; REDUCTION; SERVICES; NEXUS</t>
  </si>
  <si>
    <t>This paper examines the moderating role of non-bank financial intermediation (NBFI) in the relationship between financial inclusion and economic growth. Using panel data from 26 countries between 2010 and 2021, we construct a composite financial inclusion index and include broad and narrow NBFI measures to reflect their heterogeneous characteristics. The findings confirm that financial inclusion significantly enhances economic growth, particularly in less developed economies. While NBFI also promotes economic expansion, its presence-whether broadly or narrowly defined-tends to weaken the positive effects of financial inclusion on growth. This mitigating effect is specifically pronounced for the narrow measure of NBFI in countries with medium to high levels of development. Additionally, Dumitrescu-Hurlin panel causality tests reveal a bidirectional relationship among financial inclusion, NBFI, and growth. These findings underscore the need for policy frameworks that enhance financial inclusion while ensuring NBFI supports rather than undermines its growth-enhancing impact.</t>
  </si>
  <si>
    <t>[Isayev, Mugabil] ADA Univ, Sch Business, 61 Ahmadbay Aghaoglu St, Baku, Azerbaijan</t>
  </si>
  <si>
    <t>Ministry of Education of Azerbaijan Republic; ADA University</t>
  </si>
  <si>
    <t>Isayev, M (corresponding author), ADA Univ, Sch Business, 61 Ahmadbay Aghaoglu St, Baku, Azerbaijan.</t>
  </si>
  <si>
    <t>misayev@ada.edu.az</t>
  </si>
  <si>
    <t>Isayev, Mugabil/AFP-2417-2022</t>
  </si>
  <si>
    <t>ADA University Faculty Research and Development Fund</t>
  </si>
  <si>
    <t>This work was supported by ADA University Faculty Research and Development Fund in the form of a submission fee grant.</t>
  </si>
  <si>
    <t>ELSEVIER</t>
  </si>
  <si>
    <t>AMSTERDAM</t>
  </si>
  <si>
    <t>RADARWEG 29, 1043 NX AMSTERDAM, NETHERLANDS</t>
  </si>
  <si>
    <t>1059-0560</t>
  </si>
  <si>
    <t>1873-8036</t>
  </si>
  <si>
    <t>INT REV ECON FINANC</t>
  </si>
  <si>
    <t>Int. Rev. Econ. Financ.</t>
  </si>
  <si>
    <t>JAN</t>
  </si>
  <si>
    <t>10.1016/j.iref.2025.104829</t>
  </si>
  <si>
    <t>Business, Finance; Economics</t>
  </si>
  <si>
    <t>Z0437</t>
  </si>
  <si>
    <t>gold</t>
  </si>
  <si>
    <t>WOS:001642216700001</t>
  </si>
  <si>
    <t>Fitzpatrick, K</t>
  </si>
  <si>
    <t>Fitzpatrick, Katie</t>
  </si>
  <si>
    <t>Non-bank credit and food hardship: The association between payday loans, pawn loans, rent-to-own contracts and food hardship in households with children</t>
  </si>
  <si>
    <t>CHILDREN AND YOUTH SERVICES REVIEW</t>
  </si>
  <si>
    <t>Food hardship; Food insufficiency; Food insecurity; Children; Credit</t>
  </si>
  <si>
    <t>NUTRITION ASSISTANCE PROGRAM; INSECURITY; INCOME; ACCESS; IMPACT; SHOCKS; COSTS</t>
  </si>
  <si>
    <t>Low- and moderate-income (LMI) households with children are at-risk for food hardship and may rely on shortterm credit to meet their food needs. This research examines how the use of three types of non-bank credit - payday loans, pawn loans, and rent-to-own transactions - is associated with food insecurity, food insufficiency, and food inadequacy using households matched between the Current Population Survey's Food Security Supplement and the Unbanked and Underbanked Supplement. It finds a strong association between the use of any non-bank credit and food hardship. Payday loan and pawn loan use, particularly for households that use these products more frequently, have a larger association with food hardship than use of rent-to-own transactions. When examining the self-reported reasons for using non-bank credit, households that use non-bank credit to pay for basic living expenses rather than for specific expenses, such as a repairs or childcare expenses, have a stronger association with food hardship. However, biprobit estimates are imprecise and do not establish a causal link between use of non-bank credit and food hardship. Policy should promote affordable credit, expand assistance to purchase food, and assist households in acquiring savings to address the food hardship experienced by households using AFS credit.</t>
  </si>
  <si>
    <t>[Fitzpatrick, Katie] Univ Wisconsin Madison, Sch Human Ecol, Dept Consumer Sci, 1300 Linden Dr, Madison, WI 53706 USA</t>
  </si>
  <si>
    <t>University of Wisconsin System; University of Wisconsin Madison</t>
  </si>
  <si>
    <t>Fitzpatrick, K (corresponding author), Univ Wisconsin Madison, Sch Human Ecol, Dept Consumer Sci, 1300 Linden Dr, Madison, WI 53706 USA.</t>
  </si>
  <si>
    <t>katie.fitzpatrick@wisc.edu</t>
  </si>
  <si>
    <t>Fitzpatrick, Katie/AAJ-8660-2020</t>
  </si>
  <si>
    <t>Fitzpatrick, Katie/0000-0003-0652-4334</t>
  </si>
  <si>
    <t>University of Kentucky Center for Poverty Research; U.S. Department of Agriculture, Food and Nutrition Service [AG-3198-B-10-0028]</t>
  </si>
  <si>
    <t>University of Kentucky Center for Poverty Research; U.S. Department of Agriculture, Food and Nutrition Service(United States Department of Agriculture (USDA))</t>
  </si>
  <si>
    <t>This project was supported with a grant from the University of Kentucky Center for Poverty Research through funding by the U.S. Department of Agriculture, Food and Nutrition Service, contract number AG-3198-B-10-0028. The opinions and conclusions expressed herein are solely those of the author (s) and should not be construed as representing the opinions or policies of the UKCPR or any agency of the Federal Government. Alisha Coleman-Jensen was instrumental in this research by not only providing the matched CPS data but patiently answering endless questions. I am grateful to Lincoln Groves for comments and participants of the Childhood Hunger Symposium, especially Craig Gundersen, Diane Schanzenbach, and Jim Ziliak for their suggestions and encouragement with this project. All errors are my own.</t>
  </si>
  <si>
    <t>PERGAMON-ELSEVIER SCIENCE LTD</t>
  </si>
  <si>
    <t>OXFORD</t>
  </si>
  <si>
    <t>THE BOULEVARD, LANGFORD LANE, KIDLINGTON, OXFORD OX5 1GB, ENGLAND</t>
  </si>
  <si>
    <t>0190-7409</t>
  </si>
  <si>
    <t>1873-7765</t>
  </si>
  <si>
    <t>CHILD YOUTH SERV REV</t>
  </si>
  <si>
    <t>Child. Youth Serv. Rev.</t>
  </si>
  <si>
    <t>FEB</t>
  </si>
  <si>
    <t>10.1016/j.childyouth.2023.107418</t>
  </si>
  <si>
    <t>JAN 2024</t>
  </si>
  <si>
    <t>Family Studies; Social Work</t>
  </si>
  <si>
    <t>GW7V2</t>
  </si>
  <si>
    <t>WOS:001155784900001</t>
  </si>
  <si>
    <t>Aracil, E; Jung, J; Melguizo, A</t>
  </si>
  <si>
    <t>Aracil, E.; Jung, J.; Melguizo, A.</t>
  </si>
  <si>
    <t>Leveraging fintech mobile money to expand banks' financial services in developing countries</t>
  </si>
  <si>
    <t>FINANCE RESEARCH LETTERS</t>
  </si>
  <si>
    <t>Mobile money; Fintech; Non-bank finance institutions; Epidemic effects; Financial technologies; Financial inclusion; Digital finance</t>
  </si>
  <si>
    <t>INCLUSION; DIFFUSION; ADOPTION; PHONES</t>
  </si>
  <si>
    <t>Mobile money consists of payments through mobile devices using Fintech platforms. Despite the accelerated mobile money adoption in developing countries, financial inclusion levels lag those in the developed world. We unveil how disruptive Fintech can foster financial inclusion, by examining a sample of nearly 70,000 observations from 70 emerging countries in 2021. Our results indicate that mobile money and its associated epidemic effects enhance the transition to deposit and credit-based financial services if institutional conditions and banks' financial technologies are well aligned. This suggests that non-banks' Fintechs can facilitate the uptake of financial services provided by conventional banks.</t>
  </si>
  <si>
    <t>[Aracil, E.] Univ Pontificia Comillas, Fac Ciencias Econ &amp; Empresariales, Madrid, Spain; [Jung, J.] Univ Pontificia Comillas, Inst Invest Tecnol, Madrid, Spain; [Jung, J.] Univ Pontificia Comillas, Fac Ciencias Econ &amp; Empresariales, Madrid, Spain; [Melguizo, A.] ARGIA, Green Tech &amp; Econ consulting, Madrid, Spain</t>
  </si>
  <si>
    <t>Comillas Pontifical University; Comillas Pontifical University; Comillas Pontifical University</t>
  </si>
  <si>
    <t>Jung, J (corresponding author), Univ Pontificia Comillas, Inst Invest Tecnol, Madrid, Spain.;Jung, J (corresponding author), Univ Pontificia Comillas, Fac Ciencias Econ &amp; Empresariales, Madrid, Spain.</t>
  </si>
  <si>
    <t>jfjung@comillas.edu</t>
  </si>
  <si>
    <t>Melguizo, Manuel/M-1273-2014; Aracil, Elisa/AAS-4055-2020; Jung, Juan/AAA-6746-2020</t>
  </si>
  <si>
    <t>Aracil, Elisa/0000-0002-8413-8204; Jung, Juan/0000-0002-7996-0965</t>
  </si>
  <si>
    <t>Ministry of Science and Innovation (Spain) [PID2021-124641NB-I00]</t>
  </si>
  <si>
    <t>Ministry of Science and Innovation (Spain)(Spanish GovernmentMinistry of Science &amp; Innovation, Spain (MICINN))</t>
  </si>
  <si>
    <t>Project PID2021-124641NB-I00 of the Ministry of Science and Innovation (Spain). Previous versions were discussed in the Conference New Frontiers in Banking and Capital Markets, Sapienza Universita, Rome, December 2022.</t>
  </si>
  <si>
    <t>ACADEMIC PRESS INC ELSEVIER SCIENCE</t>
  </si>
  <si>
    <t>SAN DIEGO</t>
  </si>
  <si>
    <t>525 B ST, STE 1900, SAN DIEGO, CA 92101-4495 USA</t>
  </si>
  <si>
    <t>1544-6123</t>
  </si>
  <si>
    <t>1544-6131</t>
  </si>
  <si>
    <t>FINANC RES LETT</t>
  </si>
  <si>
    <t>Financ. Res. Lett.</t>
  </si>
  <si>
    <t>10.1016/j.frl.2024.106280</t>
  </si>
  <si>
    <t>NOV 2024</t>
  </si>
  <si>
    <t>Business, Finance</t>
  </si>
  <si>
    <t>O0C6W</t>
  </si>
  <si>
    <t>hybrid</t>
  </si>
  <si>
    <t>WOS:001367912200001</t>
  </si>
  <si>
    <t>Mahmood-ur-Rahman</t>
  </si>
  <si>
    <t>Effect of financial literacy on usage of unconventional banking and non-banking financial services across countries</t>
  </si>
  <si>
    <t>ECONOMICS LETTERS</t>
  </si>
  <si>
    <t>Financial inclusion; Financial literacy; Financial institutions; Financial development</t>
  </si>
  <si>
    <t>I examine the influence of financial literacy on unconventional banking and non-banking financial ser-vices across countries. The results demonstrate that financial literacy encourages electronic payment, mobile phone payment and remittance. Consideration of endogeneity also does not alter the findings.(c) 2022 Elsevier B.V. All rights reserved.</t>
  </si>
  <si>
    <t>[Mahmood-ur-Rahman] Kobe Univ, Grad Sch Int Cooperat Studies, Kobe, Japan</t>
  </si>
  <si>
    <t>Kobe University</t>
  </si>
  <si>
    <t>Mahmood-ur-Rahman (corresponding author), Kobe Univ, Grad Sch Int Cooperat Studies, Kobe, Japan.</t>
  </si>
  <si>
    <t>mahmood_gsics_ku@yahoo.com</t>
  </si>
  <si>
    <t>Rahman, Mahmood ur/0009-0006-9607-2341</t>
  </si>
  <si>
    <t>ELSEVIER SCIENCE SA</t>
  </si>
  <si>
    <t>LAUSANNE</t>
  </si>
  <si>
    <t>PO BOX 564, 1001 LAUSANNE, SWITZERLAND</t>
  </si>
  <si>
    <t>0165-1765</t>
  </si>
  <si>
    <t>1873-7374</t>
  </si>
  <si>
    <t>ECON LETT</t>
  </si>
  <si>
    <t>Econ. Lett.</t>
  </si>
  <si>
    <t>AUG</t>
  </si>
  <si>
    <t>10.1016/j.econlet.2022.110679</t>
  </si>
  <si>
    <t>Economics</t>
  </si>
  <si>
    <t>3B8GF</t>
  </si>
  <si>
    <t>WOS:000828173600005</t>
  </si>
  <si>
    <t>Roa, MJ; Warman, F</t>
  </si>
  <si>
    <t>Jose Roa, Maria; Warman, Fanny</t>
  </si>
  <si>
    <t>Non-bank financial intermediaries in Latin America: Shadow Banking?</t>
  </si>
  <si>
    <t>CUADERNOS DE ECONOMIA-SPAIN</t>
  </si>
  <si>
    <t>Spanish</t>
  </si>
  <si>
    <t>Non-bank financial intermediaries; Shadow banking; Regulation; Latin America</t>
  </si>
  <si>
    <t>The aim of this study is to provide data on and an analysis of Shadow Banking (SB) in a heterogeneous group of nine Latin American countries. It is concluded that in these economies, the nature of SB is different from that in developed economies. While securitisation activities are performed in some of these countries, they are relatively limited in scope. SB in these economies could be linked to certain financial inclusion institutions with a regulatory framework that is either non-existent or more lax than that which exists for banking institutions. (C) 2015 Asociacion Cuadernos de Economia. Published by Elsevier Espana, S.L.U. All rights reserved.</t>
  </si>
  <si>
    <t>[Jose Roa, Maria; Warman, Fanny] Ctr Latin Amer Monetary Studies, Mexico City, DF, Mexico</t>
  </si>
  <si>
    <t>Roa, MJ (corresponding author), Ctr Latin Amer Monetary Studies, Mexico City, DF, Mexico.</t>
  </si>
  <si>
    <t>roa@cemla.org</t>
  </si>
  <si>
    <t>ELSEVIER DOYMA SL</t>
  </si>
  <si>
    <t>BARCELONA</t>
  </si>
  <si>
    <t>TRAVESERA DE GARCIA, 17-21, BARCELONA, 08021, SPAIN</t>
  </si>
  <si>
    <t>0210-0266</t>
  </si>
  <si>
    <t>2340-6704</t>
  </si>
  <si>
    <t>CUAD ECON-SPAIN</t>
  </si>
  <si>
    <t>Cuad. Econ.-Spain</t>
  </si>
  <si>
    <t>JAN-APR</t>
  </si>
  <si>
    <t>10.1016/j.cesjef.2015.07.004</t>
  </si>
  <si>
    <t>Emerging Sources Citation Index (ESCI)</t>
  </si>
  <si>
    <t>DM3WW</t>
  </si>
  <si>
    <t>Green Published, gold</t>
  </si>
  <si>
    <t>WOS:000376278400005</t>
  </si>
  <si>
    <t>Knaack, P; Gruin, J</t>
  </si>
  <si>
    <t>Knaack, Peter; Gruin, Julian</t>
  </si>
  <si>
    <t>From shadow banking to digital financial inclusion: China's rise and the politics of epistemic contestation within the financial stability board</t>
  </si>
  <si>
    <t>REVIEW OF INTERNATIONAL POLITICAL ECONOMY</t>
  </si>
  <si>
    <t>China; financial inclusion; financial stability board; fintech; shadow banking; financial regulation; government networks; epistemic authority</t>
  </si>
  <si>
    <t>HISTORICAL INSTITUTIONALISM; PROFESSIONAL KNOWLEDGE; COOPERATION; CRISIS; COORDINATION; STRATEGIES; DYNAMICS; FAILURE; MARKETS; ECONOMY</t>
  </si>
  <si>
    <t>Global financial standard-setting has been the exclusive domain of advanced economies for decades. Following the 2008-09 crisis, China and other emerging markets and developing economies obtained formal membership in the forums of global financial regulatory governance. Has their incorporation changed global regulatory politics? We analyze the epistemic contestation, bargaining, and persuasion surrounding the latest item on the financial regulatory reform agenda of the G20 and the Financial Stability Board: non-bank credit intermediation. Our study identifies three groups of norm entrepreneurs with different epistemic backgrounds that advance partially overlapping and competing interpretative frames of how to define, understand, and regulate this amorphous financial (non-)sector. Regulators from Western advanced economies took the lead in defining non-bank finance as stability-threatening shadow banking, successfully asserting epistemic authority against alternative frames advanced by China and other developing countries that include developmental prerogatives. Confronted with this impasse, Chinese authorities have sought to re-frame non-bank finance at the G20 under the label of digital financial inclusion. Our findings challenge and refine salient theories of global regulatory politics and underscore the importance of epistemic concerns for debates over the consequences of the entry of new actors from the'Global South'into the core institutions of global financial governance.</t>
  </si>
  <si>
    <t>[Knaack, Peter] Amer Univ, Sch Int Serv, Washington, DC 20016 USA; [Gruin, Julian] Univ Amsterdam, Amsterdam Inst Social Sci Res, Amsterdam, Netherlands</t>
  </si>
  <si>
    <t>American University; University of Amsterdam</t>
  </si>
  <si>
    <t>Knaack, P (corresponding author), Amer Univ, Sch Int Serv, Washington, DC 20016 USA.</t>
  </si>
  <si>
    <t>peter.knaack@gmail.com</t>
  </si>
  <si>
    <t>Knaack, Peter/0000-0001-9801-9743</t>
  </si>
  <si>
    <t>UK Economic and Social Research Council [ES/N001982/1, ES/L012375/1]; John Fell Fund of Oxford University Press [162/073]; Economic and Social Research Council [ES/N001982/1, ES/L012375/1] Funding Source: researchfish; ESRC [ES/L012375/1, ES/N001982/1] Funding Source: UKRI</t>
  </si>
  <si>
    <t>UK Economic and Social Research Council(UK Research &amp; Innovation (UKRI)Economic &amp; Social Research Council (ESRC)); John Fell Fund of Oxford University Press; Economic and Social Research Council(UK Research &amp; Innovation (UKRI)Economic &amp; Social Research Council (ESRC)); ESRC(UK Research &amp; Innovation (UKRI)Economic &amp; Social Research Council (ESRC))</t>
  </si>
  <si>
    <t>This research has been made possible with the generous support of the UK Economic and Social Research Council (Grants ES/N001982/1 and ES/L012375/1) and the John Fell Fund of Oxford University Press (Grant 162/073).</t>
  </si>
  <si>
    <t>ROUTLEDGE JOURNALS, TAYLOR &amp; FRANCIS LTD</t>
  </si>
  <si>
    <t>ABINGDON</t>
  </si>
  <si>
    <t>2-4 PARK SQUARE, MILTON PARK, ABINGDON OX14 4RN, OXON, ENGLAND</t>
  </si>
  <si>
    <t>0969-2290</t>
  </si>
  <si>
    <t>1466-4526</t>
  </si>
  <si>
    <t>REV INT POLIT ECON</t>
  </si>
  <si>
    <t>Rev. Int. Polit. Econ.</t>
  </si>
  <si>
    <t>OCT 18</t>
  </si>
  <si>
    <t>10.1080/09692290.2020.1772849</t>
  </si>
  <si>
    <t>MAY 2020</t>
  </si>
  <si>
    <t>Economics; International Relations; Political Science</t>
  </si>
  <si>
    <t>Business &amp; Economics; International Relations; Government &amp; Law</t>
  </si>
  <si>
    <t>WO7JQ</t>
  </si>
  <si>
    <t>WOS:000542418400001</t>
  </si>
  <si>
    <t>Véliz, MMA; Pérez, VCC; Gallegos, CWB</t>
  </si>
  <si>
    <t>Acosta Veliz, Marjorie Marcela; Coronel Perez, Veronica Carolina; Bermudez Gallegos, Christian Wladimir</t>
  </si>
  <si>
    <t>BUSINESS MODEL OF FINANCIAL INCLUSION THROUGH NON-BANKING CORRESPONDENTS IN THE CITY OF GUAYAQUIL, ECUADOR</t>
  </si>
  <si>
    <t>REVISTA UNIVERSIDAD Y SOCIEDAD</t>
  </si>
  <si>
    <t>Banking; non-banking correspondent; entrepreneurship; inclusion</t>
  </si>
  <si>
    <t>The objective of this study is to show the evolution of banking correspondents in Ecuador and how their growth has become an investment mechanism of several entrepreneurs, contributing to financial inclusion in the country through access to banking services without having to move to a financial institution. For the development of the objective, an inductive and deductive methodology with documentary review and field research was used, using a data survey method applied to 384 citizens of the city of Guayaquil using a simple random sample since the intention is not to differentiate the results among population groups but rather describe the utility of the correspondents in the individuals. The results show evidence that despite not being familiar with the correspondent term, almost 70% have ever used the service because it is believed that a key aspect is the speed of transactions made. The study concludes improvement factors to promote the growth and strengthening of the service.</t>
  </si>
  <si>
    <t>[Acosta Veliz, Marjorie Marcela; Coronel Perez, Veronica Carolina; Bermudez Gallegos, Christian Wladimir] Univ Guayaquil, Guayaquil, Ecuador</t>
  </si>
  <si>
    <t>Universidad de Guayaquil</t>
  </si>
  <si>
    <t>Véliz, MMA (corresponding author), Univ Guayaquil, Guayaquil, Ecuador.</t>
  </si>
  <si>
    <t>marjorie.acostav@ug.edu.ec; veronica.coronelpe@ug.edu.ec; christian.bermudezg@ug.edu.ec</t>
  </si>
  <si>
    <t>Bermudez-Gallegos, Christian/AAW-3865-2021; Coronel, Veronica/AAN-1094-2020</t>
  </si>
  <si>
    <t>UNIV CIENFUEGOS</t>
  </si>
  <si>
    <t>CIENFUEGOS</t>
  </si>
  <si>
    <t>CARRETERA RODAS KM 4, CUATRO CAMINOS, CIENFUEGOS, 00000, CUBA</t>
  </si>
  <si>
    <t>2218-3620</t>
  </si>
  <si>
    <t>REV UNIV SOC</t>
  </si>
  <si>
    <t>Rev. Univ. Soc.</t>
  </si>
  <si>
    <t>APR-JUN</t>
  </si>
  <si>
    <t>Social Sciences, Interdisciplinary</t>
  </si>
  <si>
    <t>Social Sciences - Other Topics</t>
  </si>
  <si>
    <t>GM2HI</t>
  </si>
  <si>
    <t>WOS:000437903700036</t>
  </si>
  <si>
    <t>Collins, JM; Larrimore, J; Urban, C</t>
  </si>
  <si>
    <t>Collins, J. Michael; Larrimore, Jeff; Urban, Carly</t>
  </si>
  <si>
    <t>Bank Accounts for Minors: A Pathway to Financial Inclusion or a Dead-End?</t>
  </si>
  <si>
    <t>REVIEW OF ECONOMICS OF THE HOUSEHOLD</t>
  </si>
  <si>
    <t>Article; Early Access</t>
  </si>
  <si>
    <t>Unbanked; Financial Inclusion; Bank regulation; D14; D18; G18; G21; G28</t>
  </si>
  <si>
    <t>SAVINGS; IMPACT; CONSUMERS</t>
  </si>
  <si>
    <t>This study estimates the effects of state laws that allow access to independently owned bank accounts without a custodian. In states where minors can own accounts, youth aged 16 through 19 are more likely to be banked, although by age 24 those young adults are banked at similar rates to teens who grew up in states that do not allow minors to own accounts independently. However, young adults who had access to independently owned accounts as teens are then more likely to use high-cost non-bank financial services, particularly check-cashing services. Young adults who had access to non-custodial accounts as teens also show lower credit scores and more loan delinquencies at ages 21 through 24. While state banking policies can increase financial inclusion for teenagers, minors with bank accounts could face frictions transitioning to adult accounts.</t>
  </si>
  <si>
    <t>[Collins, J. Michael] Univ Wisconsin Madison, Publ Affairs, Madison, WI 53706 USA; [Larrimore, Jeff] Fed Reserve Board, Consumer &amp; Community Res, Washington, DC USA; [Urban, Carly] Montana State Univ, Dept Ag Econ &amp; Econ, Bozeman, MT USA; [Urban, Carly] IZA, Bozeman, MT USA</t>
  </si>
  <si>
    <t>University of Wisconsin System; University of Wisconsin Madison; Federal Reserve System - USA; Federal Reserve System Board of Governors; Montana State University System; Montana State University Bozeman</t>
  </si>
  <si>
    <t>Collins, JM (corresponding author), Univ Wisconsin Madison, Publ Affairs, Madison, WI 53706 USA.</t>
  </si>
  <si>
    <t>jmcollins@wisc.edu</t>
  </si>
  <si>
    <t>Collins, J Michael/G-3428-2013</t>
  </si>
  <si>
    <t>Collins, J Michael/0000-0002-2280-2130</t>
  </si>
  <si>
    <t>EduFin Center for Financial Education and Capability, an initiative by BBVA [4W7680]</t>
  </si>
  <si>
    <t>EduFin Center for Financial Education and Capability, an initiative by BBVA</t>
  </si>
  <si>
    <t>The authors thank Alfredo Burlando, Luke Reynolds, Chris Stoddard, Pierre Carl Michaud, and seminar participants at the University of Glasgow, HEC-Montreal, the BBVA EduFin Financial Education Summit in Buenos Aires, and the Economic Self-Sufficiency Policy Research Institute at the University of California-Irvine for helpful comments. Samantha Cleary provided excellent research assistance. Carly Urban's work on this research was in part funded by the EduFin Center for Financial Education and Capability, an initiative by BBVA; the grant number is 4W7680. The analysis and conclusions set forth are those of the authors and do not indicate concurrence by other members of the research staff or the Board of Governors. All authors contributed to the study conception and design. Larrimore and Urban performed data analysis. All authors contributed to the final manuscript.</t>
  </si>
  <si>
    <t>SPRINGER</t>
  </si>
  <si>
    <t>ONE NEW YORK PLAZA, SUITE 4600, NEW YORK, NY, UNITED STATES</t>
  </si>
  <si>
    <t>1569-5239</t>
  </si>
  <si>
    <t>1573-7152</t>
  </si>
  <si>
    <t>REV ECON HOUSEHOLD</t>
  </si>
  <si>
    <t>Rev. Econ. Househ.</t>
  </si>
  <si>
    <t>2024 AUG 3</t>
  </si>
  <si>
    <t>10.1007/s11150-024-09724-7</t>
  </si>
  <si>
    <t>AUG 2024</t>
  </si>
  <si>
    <t>A5N1M</t>
  </si>
  <si>
    <t>WOS:001282986200001</t>
  </si>
  <si>
    <t>Troilo, M; Freeman, N; Abe, M</t>
  </si>
  <si>
    <t>Troilo, Michael; Freeman, Nick; Abe, Masato</t>
  </si>
  <si>
    <t>Policies to Address Supply-side Issues in MSME Finance: A Global Compilation</t>
  </si>
  <si>
    <t>JOURNAL OF ENTREPRENEURSHIP</t>
  </si>
  <si>
    <t>MSME finance; A2F; MSME policy; credit registry; debt finance; non-bank financial institutions</t>
  </si>
  <si>
    <t>Access to finance (A2F) for micro, small and medium-sized enterprises (MSMEs) is critical for their survival and development, yet such access remains constrained for many MSMEs worldwide. In this article, the authors identify some of the key issues on the supply side of MSME finance globally, such as the lack of a credit registry/over-reliance on collateral, over-reliance on debt finance, high transaction costs of serving MSMEs and lack of non-bank/specialty financial institutions. They pinpoint the root causes and trace their impacts using concrete examples. The authors then share policy prescriptions over the short, medium and long terms that have been collected from around the world to address these concerns. They also provide case studies as inspiration to policymakers and other stakeholders in MSME finance. This compilation is a handy resource for policymakers and other stakeholders in MSME finance to understand and overcome barriers on the supply side.</t>
  </si>
  <si>
    <t>[Troilo, Michael] Catholic Univ Amer, Busch Sch Business, Washington, DC USA; [Abe, Masato] United Nations Multicountry Off Micronesia, Palikir, Pohnpei, Micronesia</t>
  </si>
  <si>
    <t>Catholic University of America</t>
  </si>
  <si>
    <t>Abe, M (corresponding author), United Nations Multicountry Off Micronesia, Palikir, Pohnpei, Micronesia.</t>
  </si>
  <si>
    <t>abem@un.org</t>
  </si>
  <si>
    <t>Troilo, Michael/0000-0001-7866-7284</t>
  </si>
  <si>
    <t>International Labour Organization (ILO)</t>
  </si>
  <si>
    <t>The authors appreciate the input and funding by the International Labour Organization (ILO), which initially sponsored this research.</t>
  </si>
  <si>
    <t>SAGE PUBLICATIONS INDIA PVT LTD</t>
  </si>
  <si>
    <t>NEW DELHI</t>
  </si>
  <si>
    <t>B-1-I-1 MOHAN CO-OPERATIVE INDUSTRIAL AREA, MATHURA RD, POST BAG NO 7, NEW DELHI 110 044, INDIA</t>
  </si>
  <si>
    <t>0971-3557</t>
  </si>
  <si>
    <t>0973-0745</t>
  </si>
  <si>
    <t>J ENTREP</t>
  </si>
  <si>
    <t>J. Entrep.</t>
  </si>
  <si>
    <t>10.1177/09713557251315238</t>
  </si>
  <si>
    <t>FEB 2025</t>
  </si>
  <si>
    <t>Business</t>
  </si>
  <si>
    <t>1JS9H</t>
  </si>
  <si>
    <t>WOS:001428028400001</t>
  </si>
  <si>
    <t>Sithole, N; Mort, GS; D'Souza, C</t>
  </si>
  <si>
    <t>Sithole, Nkosinathi; Sullivan Mort, Gillian; D'Souza, Clare</t>
  </si>
  <si>
    <t>Building blocks of financial inclusion through customer experience value at financial touchpoints in Southern Africa</t>
  </si>
  <si>
    <t>INTERNATIONAL JOURNAL OF BANK MARKETING</t>
  </si>
  <si>
    <t>Customer experience value; Financial inclusion; Financial touchpoints; Low-income consumers; Non-banks</t>
  </si>
  <si>
    <t>CONSUMPTION EXPERIENCE; MOBILE BANKING; SELF-EFFICACY; PERCEPTIONS; PERFORMANCE; QUALITY</t>
  </si>
  <si>
    <t>Purpose This paper aims to examine customer experience value orchestrated by non-banks' financial touchpoints to understand how they enhance the financial inclusion of low-income consumers. Design/methodology/approach Two independent but related studies were conducted using qualitative comparative analyses (QCA) research design with semi-structured interviews to compare and contrast customer experience value at two rural locations in Southern Africa. The interview transcripts were analysed using ATLAS.ti, which is a powerful operating system for analysing qualitative data. Findings The results indicate that non-banks in the two countries design financial services that include functional, economic, humanic, social and mechanic customer experience value dimensions. Research limitations/implications The data for this study was collected from financial services customers of retailers and mobile phone network operators in only one research setting in each country. Further research could extend the comparative context for qualitative studies across similar markets. Other limitations are discussed in the paper. Originality/value This paper contributes to the body of knowledge by highlighting the salient and germane dimensions and components found to be important in understanding financial inclusion using customer experience value. To the best of the authors' knowledge, this is the first study that incorporates customer experience value dimensions in understanding the financial inclusion of low-income consumers at the base of the social and economic pyramid in emerging markets.</t>
  </si>
  <si>
    <t>[Sithole, Nkosinathi; D'Souza, Clare] La Trobe Univ, Bundoora Campus, Melbourne, Vic, Australia; [Sullivan Mort, Gillian] Eudemonia Inst, Brisbane, Qld, Australia</t>
  </si>
  <si>
    <t>La Trobe University</t>
  </si>
  <si>
    <t>Sithole, N (corresponding author), La Trobe Univ, Bundoora Campus, Melbourne, Vic, Australia.</t>
  </si>
  <si>
    <t>n.sithole@latrobe.edu.au; gillian.sullivan.mort@gmail.com; C.DSouza@latrobe.edu.au</t>
  </si>
  <si>
    <t>D'Souza, Clare/HKN-9575-2023; Sithole, Nkosinathi/AAE-1940-2022</t>
  </si>
  <si>
    <t>Sithole, Nkosinathi/0000-0002-8515-568X</t>
  </si>
  <si>
    <t>La Trobe University (Australia)</t>
  </si>
  <si>
    <t>The authors would like to acknowledge the funding and support received from La Trobe University (Australia) which made this research possible.</t>
  </si>
  <si>
    <t>0265-2323</t>
  </si>
  <si>
    <t>1758-5937</t>
  </si>
  <si>
    <t>INT J BANK MARK</t>
  </si>
  <si>
    <t>Int. J. Bank Mark.</t>
  </si>
  <si>
    <t>JUN 8</t>
  </si>
  <si>
    <t>SI</t>
  </si>
  <si>
    <t>10.1108/IJBM-07-2020-0409</t>
  </si>
  <si>
    <t>APR 2021</t>
  </si>
  <si>
    <t>SO1KK</t>
  </si>
  <si>
    <t>WOS:000644796400001</t>
  </si>
  <si>
    <t>Gruin, J; Knaack, P</t>
  </si>
  <si>
    <t>Gruin, Julian; Knaack, Peter</t>
  </si>
  <si>
    <t>Not Just Another Shadow Bank: Chinese Authoritarian Capitalism and the 'Developmental' Promise of Digital Financial Innovation</t>
  </si>
  <si>
    <t>NEW POLITICAL ECONOMY</t>
  </si>
  <si>
    <t>China; financial regulation; financial inclusion; fintech; institutional change; online lending; shadow banking</t>
  </si>
  <si>
    <t>LENINIST MEANS; REFORM; GROWTH; SYSTEM; STATE</t>
  </si>
  <si>
    <t>China's financial system is rapidly evolving. Both the emergence of shadow banking since 2009 and the growth of fintech since 2013 as forms of 'non-bank credit intermediation' have catalysed market-oriented institutional change beyond the banking system, with potentially far-reaching economic and political implications. In this article we assess these developments in the broader trajectory of China's financial reform and economic development. Through an analysis of two key sectors of non-bank credit intermediation - wealth management products and online lending platforms - we find that the growth of both shadow banking and fintech can be located in the same trajectory of reform and development that has animated Chinese financial policy since the early 1990s. The toleration of WMPs and promotion of internet lending constitutes the latest stage of the Chinese Communist Party's efforts to construct a more efficient and sustainable market economy whilst simultaneously preserving political supremacy and custodianship of macro-social development. The difference in policy response is commensurate with the degree to which each financial sector meets the Party's twin objectives of economic development and political control. Counterintuitively from a Western liberal perspective, the very forces behind deep and broad financial liberalisation are also consolidating the Chinese Communist Party's overall legitimacy and ruling capacity.</t>
  </si>
  <si>
    <t>[Gruin, Julian] Univ Amsterdam, Polit Sci, Amsterdam, Netherlands; [Knaack, Peter] Univ Oxford, Blavatnik Sch Govt, Oxford, England</t>
  </si>
  <si>
    <t>University of Amsterdam; University of Oxford</t>
  </si>
  <si>
    <t>Gruin, J (corresponding author), Univ Amsterdam, Polit Sci, Amsterdam, Netherlands.</t>
  </si>
  <si>
    <t>j.y.gruin@uva.nl</t>
  </si>
  <si>
    <t>ESRC [ES/N001982/1] Funding Source: UKRI; Economic and Social Research Council [ES/N001982/1] Funding Source: researchfish</t>
  </si>
  <si>
    <t>ESRC(UK Research &amp; Innovation (UKRI)Economic &amp; Social Research Council (ESRC)); Economic and Social Research Council(UK Research &amp; Innovation (UKRI)Economic &amp; Social Research Council (ESRC))</t>
  </si>
  <si>
    <t>1356-3467</t>
  </si>
  <si>
    <t>1469-9923</t>
  </si>
  <si>
    <t>NEW POLIT ECON</t>
  </si>
  <si>
    <t>New Polit. Econ.</t>
  </si>
  <si>
    <t>APR 15</t>
  </si>
  <si>
    <t>10.1080/13563467.2018.1562437</t>
  </si>
  <si>
    <t>KZ8EJ</t>
  </si>
  <si>
    <t>Green Submitted, hybrid</t>
  </si>
  <si>
    <t>WOS:000523491200005</t>
  </si>
  <si>
    <t>Cowling, M; Wilson, N; Liu, WX; Yang, H</t>
  </si>
  <si>
    <t>Cowling, Marc; Wilson, Nick; Liu, Weixi; Yang, Huan</t>
  </si>
  <si>
    <t>How Do Businesses Finance New Investment?</t>
  </si>
  <si>
    <t>MANCHESTER SCHOOL</t>
  </si>
  <si>
    <t>external finance; internal finance; investment; pecking order theory; trade-off theory</t>
  </si>
  <si>
    <t>OPTIMAL CAPITAL STRUCTURE; AGENCY COSTS; CORPORATE; EQUITY; DEBT; SMES; INFORMATION; COMPETITION; INNOVATION; ISSUES</t>
  </si>
  <si>
    <t>This paper investigates how UK firms finance new investment and whether their choices follow a financing hierarchy consistent with leading theories of capital structure. Using a survey of 2886 firms conducted by the UK Department for Business and Trade and the Bank of England (2020-2023), we examine six financing sources: retained earnings, owner's capital, trade credit, bank loans, non-bank debt, and outside equity. Our findings show that retained earnings dominate investment financing, followed by injections of capital from owners, while bank and non-bank debt are secondary sources and outside equity remains marginal. Econometric analysis reveals that retained earnings substitute for all other sources, whereas owner's capital is complementary to both bank and non-bank debt. Financing patterns vary systematically by firm size, age, and investment type. Overall, the results provide strong support for the pecking order theory, with additional insights from life-cycle theory, and highlight the importance of policy in shaping SME access to finance during periods of economic disruption.</t>
  </si>
  <si>
    <t>[Cowling, Marc; Yang, Huan] Oxford Brookes Business Sch, Headington, England; [Wilson, Nick] Univ Leeds, Business Sch, Leeds, England; [Liu, Weixi] Univ Bath, Management Sch, Bath, England</t>
  </si>
  <si>
    <t>University of Leeds; University of Bath</t>
  </si>
  <si>
    <t>Cowling, M (corresponding author), Oxford Brookes Business Sch, Headington, England.</t>
  </si>
  <si>
    <t>mcowling@brookes.ac.uk</t>
  </si>
  <si>
    <t>WILEY</t>
  </si>
  <si>
    <t>HOBOKEN</t>
  </si>
  <si>
    <t>111 RIVER ST, HOBOKEN 07030-5774, NJ USA</t>
  </si>
  <si>
    <t>1463-6786</t>
  </si>
  <si>
    <t>1467-9957</t>
  </si>
  <si>
    <t>MANCH SCH</t>
  </si>
  <si>
    <t>Manch. Sch.</t>
  </si>
  <si>
    <t>2025 DEC 21</t>
  </si>
  <si>
    <t>10.1111/manc.70029</t>
  </si>
  <si>
    <t>DEC 2025</t>
  </si>
  <si>
    <t>Z7713</t>
  </si>
  <si>
    <t>WOS:001642945300001</t>
  </si>
  <si>
    <t>Casillas-Olvera, G; Bessler, DA</t>
  </si>
  <si>
    <t>Probability forecasting and central bank accountability</t>
  </si>
  <si>
    <t>JOURNAL OF POLICY MODELING</t>
  </si>
  <si>
    <t>central banks; accountability; probability forecasting; Brier score; Yates' partition</t>
  </si>
  <si>
    <t>PREQUENTIAL ANALYSIS; DENSITY FORECASTS</t>
  </si>
  <si>
    <t>The paper studies probability forecasts of inflation and GDP by monetary authorities. Such forecasts can contribute to central bank transparency and reputation building. Problems with principal and agent make the usual argument for using scoring rules to motivate probability forecasts confused; however. their use to evaluate forecasts remains valid. Public comparison of forecasting results with a shadow committee is helpful to promote reputation building and thus serves the motivational role. The Brier score and its Yates-partition of the Bank of England's forecasts are compared with those of a group of non-bank experts. (c) 2005 Society for Policy Modeling. Published by Elsevier Inc. All rights reserved.</t>
  </si>
  <si>
    <t>Texas A&amp;M Univ, Dept Agr Econ, College Stn, TX 77845 USA; Inst Tecnol Autonomo Mexico, Dept Econ, Mexico City, DF, Mexico; Banco Mexico, Mexico City 06059, DF, Mexico</t>
  </si>
  <si>
    <t>Texas A&amp;M University System; Texas A&amp;M University College Station; Instituto Tecnologico Autonomo de Mexico; Bank of Mexico</t>
  </si>
  <si>
    <t>Bessler, DA (corresponding author), Texas A&amp;M Univ, Dept Agr Econ, Mail Stop 2124, College Stn, TX 77845 USA.</t>
  </si>
  <si>
    <t>d-bessler@tamu.edu</t>
  </si>
  <si>
    <t>Bessler, David/A-9226-2009</t>
  </si>
  <si>
    <t>Bessler, David/0000-0002-4567-9251</t>
  </si>
  <si>
    <t>ELSEVIER SCIENCE INC</t>
  </si>
  <si>
    <t>STE 800, 230 PARK AVE, NEW YORK, NY 10169 USA</t>
  </si>
  <si>
    <t>0161-8938</t>
  </si>
  <si>
    <t>1873-8060</t>
  </si>
  <si>
    <t>J POLICY MODEL</t>
  </si>
  <si>
    <t>J. Policy Model.</t>
  </si>
  <si>
    <t>10.1016/j.jpolmod.2005.10.004</t>
  </si>
  <si>
    <t>017WW</t>
  </si>
  <si>
    <t>WOS:000235725000008</t>
  </si>
  <si>
    <t>Chmelíková, G; Redlichová, R</t>
  </si>
  <si>
    <t>Chmelikova, Gabriela; Redlichova, Radka</t>
  </si>
  <si>
    <t>Is there a link between financial exclusion and over-indebtedness? Evidence from Czech peripheral municipalities</t>
  </si>
  <si>
    <t>JOURNAL OF RURAL STUDIES</t>
  </si>
  <si>
    <t>Microfinance; Peripheral regions; Financial exclusion; Social exclusion; Repossessions; Over-indebtedness</t>
  </si>
  <si>
    <t>REGIONAL-DEVELOPMENT; CREDIT CONSTRAINTS; INCLUSION; ACCESS; DETERMINANTS; HOUSEHOLD; SERVICES; BANKING; GROWTH; DEBT</t>
  </si>
  <si>
    <t>This paper investigates the determinants of the over-indebtedness of inhabitants in particular municipalities in the Czech Republic. We draw on the theory of regional segmentation of financial markets, which foresees credit rationing in peripheral regions and empirically investigate the role that attractiveness of potential banking clients may play in the level of over-indebtedness in particular regions. We assume that regions with a higher concentration of non-bankable people suffer from a low concentration of bank services as the banks are not interested in serving people who do not meet their credit requirements. The findings from testing our empirical model indicate that regions with a higher level of non-bankable people have a higher concentration of over-indebted inhabitants. Our paper thus contributes to the nascent empirical verification of the theory of regional segmentation of financial markets. In conclusion, our policy recommendation - to support a socially-oriented financial industry, which could fulfil a niche in peripheral financial markets - could help in the battle against the pandemic of over-indebtedness and repossessions with its all negative consequences.</t>
  </si>
  <si>
    <t>[Chmelikova, Gabriela; Redlichova, Radka] Mendel Univ Brno, Fac Reg Dev &amp; Int Studies, Dept Reg &amp; Business Econ, Zerniedelslai 1, Brno 61300, Czech Republic</t>
  </si>
  <si>
    <t>Mendel University in Brno</t>
  </si>
  <si>
    <t>Chmelíková, G (corresponding author), Mendel Univ Brno, Fac Reg Dev &amp; Int Studies, Dept Reg &amp; Business Econ, Zerniedelslai 1, Brno 61300, Czech Republic.</t>
  </si>
  <si>
    <t>gabriela.chmelikova@mendelu.cz; radka.redlichova@mendelu.cz</t>
  </si>
  <si>
    <t>Redlichová, Radka/E-2248-2018; Chmelíková, Gabriela/E-5987-2018</t>
  </si>
  <si>
    <t>Chmelíková, Gabriela/0000-0003-2238-7325</t>
  </si>
  <si>
    <t>Mendel University [FRRMS - IGA - 2020/010]</t>
  </si>
  <si>
    <t>Mendel University</t>
  </si>
  <si>
    <t>We thank Otevrena spolecnost o.p.s. and Ekumenick.a akademie, z.s. for providing access to their proprietary data of disclosures. We also thank Mendel University for partial financial support via an internal grant (IGA) No. FRRMS - IGA - 2020/010.</t>
  </si>
  <si>
    <t>0743-0167</t>
  </si>
  <si>
    <t>1873-1392</t>
  </si>
  <si>
    <t>J RURAL STUD</t>
  </si>
  <si>
    <t>J. Rural Stud.</t>
  </si>
  <si>
    <t>10.1016/j.jrurstud.2020.07.010</t>
  </si>
  <si>
    <t>Geography; Regional &amp; Urban Planning</t>
  </si>
  <si>
    <t>Geography; Public Administration</t>
  </si>
  <si>
    <t>NM0LX</t>
  </si>
  <si>
    <t>WOS:000567797800018</t>
  </si>
  <si>
    <t>Prijadi, R; Wulandari, P; Pinagara, FA; Desiana, PM</t>
  </si>
  <si>
    <t>Prijadi, Ruslan; Wulandari, Permata; Pinagara, Fajar A.; Desiana, Putri M.</t>
  </si>
  <si>
    <t>Mobility of SMEs from Entrepreneurial to Start-Up Stage</t>
  </si>
  <si>
    <t>ADVANCED SCIENCE LETTERS</t>
  </si>
  <si>
    <t>International Conference on Social Sciences and Education (ICSSE)</t>
  </si>
  <si>
    <t>NOV 21-23, 2017</t>
  </si>
  <si>
    <t>Bandung, INDONESIA</t>
  </si>
  <si>
    <t>Mobility; Entrepreneurial; Start-Up; Characteristics</t>
  </si>
  <si>
    <t>FINANCE</t>
  </si>
  <si>
    <t>This study aimed to analyze the mobility stage of SMEs from entrepreneurial to start-up stage in the context of bankability in Indonesia. This study contributed to the existing literature through focusing on entrepreneurial to start-up SMEs. The qualitative content analysis and causal loop diagram from system dynamics methodology are used as the method to highlight the categorization of the data and to make a model for financing stage of SME. It aims to analyze the access of borrowers at non-bankable stage to transform to bankability stage. The findings show that the SMEs are still using internal funding and venture capital in the entrepreneurial stage. While in start-up stage, SMEs use government grants, capital market, banking sources, non-bank financing and internal funding. The importance of the findings lies on its addition of knowledge of SMEs that can help financial institutions to achieve the sustainable development goals (SDGs). It is believed that bankability will improve micro and SME access to finance, and thus provide the enterprises more opportunities to grow, and finally support economic growth.</t>
  </si>
  <si>
    <t>[Prijadi, Ruslan; Wulandari, Permata; Pinagara, Fajar A.; Desiana, Putri M.] Univ Indonesia, Fac Econ &amp; Businesses, Dept Management, Depok, Indonesia</t>
  </si>
  <si>
    <t>University of Indonesia</t>
  </si>
  <si>
    <t>Pinagara, FA (corresponding author), Univ Indonesia, Fac Econ &amp; Businesses, Dept Management, Depok, Indonesia.</t>
  </si>
  <si>
    <t>Prijadi, Ruslan/IVU-7399-2023; Pinagara, Fajar Ayu/KFQ-3711-2024</t>
  </si>
  <si>
    <t>AMER SCIENTIFIC PUBLISHERS</t>
  </si>
  <si>
    <t>VALENCIA</t>
  </si>
  <si>
    <t>26650 THE OLD RD, STE 208, VALENCIA, CA 91381-0751 USA</t>
  </si>
  <si>
    <t>1936-6612</t>
  </si>
  <si>
    <t>1936-7317</t>
  </si>
  <si>
    <t>ADV SCI LETT</t>
  </si>
  <si>
    <t>Adv. Sci. Lett.</t>
  </si>
  <si>
    <t>10.1166/asl.2018.11984</t>
  </si>
  <si>
    <t>Multidisciplinary Sciences</t>
  </si>
  <si>
    <t>Science &amp; Technology - Other Topics</t>
  </si>
  <si>
    <t>GG0FU</t>
  </si>
  <si>
    <t>WOS:000432354700084</t>
  </si>
  <si>
    <t>Christy, NNA; Ika, S; Ardana, IK; Wibowo, RA; Anggahegari, P; Nasution, LZ; Darwin; Suryaneta; Hestina, J; Elizabeth, R</t>
  </si>
  <si>
    <t>Christy, Nisa Novia Avien; Ika, Syahrir; Ardana, I. Ketut; Wibowo, Radna Andi; Anggahegari, Prameshwara; Nasution, Lokot Zein; Darwin; Suryaneta; Hestina, Juni; Elizabeth, Roosganda</t>
  </si>
  <si>
    <t>Transforming Social Assistance into Entrepreneurial Empowerment: UMi as a Public Sector Innovation in Indonesia</t>
  </si>
  <si>
    <t>ADMINISTRATIVE SCIENCES</t>
  </si>
  <si>
    <t>ultra-micro financing; Indonesia; non-bank financial institution; women entrepreneurship; public sector innovation; inclusive finance</t>
  </si>
  <si>
    <t>MICROFINANCE; COMMUNITY; INSTITUTIONS; INTERVIEW; IMPACT</t>
  </si>
  <si>
    <t>The Ultra-Micro (UMi) financing program represents a significant public sector innovation in Indonesia's approach to poverty alleviation and financial inclusion. Initially conceived as a social assistance initiative, UMi has evolved into a strategic government intervention designed to transform impoverished individuals into entrepreneurs. This shift reflects a policy innovation that redefines the role of the state from passive welfare provider to active enabler of economic participation. Despite ambitious goals, its implementation and impact face scrutiny. This study employed an exploratory qualitative approach through individual interviews with elite participants and debtors of UMi. The data used triangulation from documentation, observation, and in-depth interviews with key informants, selected through purposive sampling. Findings indicate that the program's implementation-anchored in government regulations and executed through non-bank financial institutions (NBFIs)-demonstrates innovative service delivery. In this study, UMi exemplifies how public sector innovation-through policy reform, institutional collaboration, and community engagement-can drive inclusive economic growth. The study provides valuable insights for policymakers, practitioners, and scholars seeking to advance financial inclusion and sustainable economic development.</t>
  </si>
  <si>
    <t>[Christy, Nisa Novia Avien; Ika, Syahrir; Ardana, I. Ketut; Anggahegari, Prameshwara; Nasution, Lokot Zein; Darwin; Hestina, Juni; Elizabeth, Roosganda] Natl Res &amp; Innovat Agcy, South Jakarta 12710, Indonesia; [Christy, Nisa Novia Avien] Semarang Univ, Fac Econ, Semarang 50196, Indonesia; [Wibowo, Radna Andi] Woxsen Univ, Sch Business, Hyderabad 502345, India; [Suryaneta] Sumatra Inst Technol ITERA, Fac Ind Technol, South Lampung Regency, Lampung 35365, Indonesia</t>
  </si>
  <si>
    <t>National Research &amp; Innovation Agency of Indonesia (BRIN); Woxsen University</t>
  </si>
  <si>
    <t>Christy, NNA (corresponding author), Natl Res &amp; Innovat Agcy, South Jakarta 12710, Indonesia.;Christy, NNA (corresponding author), Semarang Univ, Fac Econ, Semarang 50196, Indonesia.</t>
  </si>
  <si>
    <t>nisa.novia@usm.ac.id; syah024@brin.go.id; iket009@brin.go.id; radna.andi@woxsen.edu.in; pram008@brin.go.id; loko001@brin.go.id; darw001@brin.go.id; suryaneta@km.itera.ac.id; juni004@brin.go.id; roos002@brin.go.id</t>
  </si>
  <si>
    <t>Anggahegari, Prameshwara/KFB-3953-2024; Wibowo, Radna Andi/GPF-7925-2022; Christy, Nisa/GZL-6787-2022</t>
  </si>
  <si>
    <t>MDPI</t>
  </si>
  <si>
    <t>BASEL</t>
  </si>
  <si>
    <t>MDPI AG, Grosspeteranlage 5, CH-4052 BASEL, SWITZERLAND</t>
  </si>
  <si>
    <t>2076-3387</t>
  </si>
  <si>
    <t>ADM SCI</t>
  </si>
  <si>
    <t>Adm. Sci.</t>
  </si>
  <si>
    <t>NOV 4</t>
  </si>
  <si>
    <t>10.3390/admsci15110430</t>
  </si>
  <si>
    <t>Management</t>
  </si>
  <si>
    <t>F2109</t>
  </si>
  <si>
    <t>WOS:001623314400001</t>
  </si>
  <si>
    <t>Danilov, YA; Pivovarov, DA</t>
  </si>
  <si>
    <t>Danilov, Yuri A.; Pivovarov, Danil A.</t>
  </si>
  <si>
    <t>Financial structure in Russia: Conclusions for state policy</t>
  </si>
  <si>
    <t>VOPROSY EKONOMIKI</t>
  </si>
  <si>
    <t>Russian</t>
  </si>
  <si>
    <t>financial structure; financial development; economic growth; estimated financial structure; systemic risks; financial inclusion; inequality; financial strategies</t>
  </si>
  <si>
    <t>The article examines the financial structure of Russia. A retrospective analysis of the concept of financial development in the world economic science was conducted. To calculate the quantitative characteristics of Russia's financial structure, both the indicators from international practice and the original ones supplementing them were used. The analysis of the influence of the financial structure on economic growth was conducted, on the basis of which the conclusion was made about the need to implement state policy aimed at achieving an outstripping growth of the non-banking financial sector. The reasons for this conclusion are given in the discussion of the results.</t>
  </si>
  <si>
    <t>[Danilov, Yuri A.; Pivovarov, Danil A.] Russian Presidential Acad Natl Econ &amp; Publ Adm, Moscow, Russia; [Danilov, Yuri A.; Pivovarov, Danil A.] Lomonosov Moscow State Univ, Fac Econ, Moscow, Russia</t>
  </si>
  <si>
    <t>Russian Presidential Academy of National Economy &amp; Public Administration; Lomonosov Moscow State University</t>
  </si>
  <si>
    <t>Danilov, YA (corresponding author), Russian Presidential Acad Natl Econ &amp; Publ Adm, Moscow, Russia.;Danilov, YA (corresponding author), Lomonosov Moscow State Univ, Fac Econ, Moscow, Russia.</t>
  </si>
  <si>
    <t>ydanilov@rambler.ru</t>
  </si>
  <si>
    <t>Pivovarov, Danil/V-9173-2019; Danilov, Yury/V-6074-2019</t>
  </si>
  <si>
    <t>Danilov, Yury/0000-0002-0005-651X</t>
  </si>
  <si>
    <t>RUSSIAN ACAD SCIENCES, INST ECONOMICS</t>
  </si>
  <si>
    <t>MOSCOW</t>
  </si>
  <si>
    <t>NAKHIMOVSKII PROSPEKT 32, MOSCOW, 117218, RUSSIA</t>
  </si>
  <si>
    <t>0042-8736</t>
  </si>
  <si>
    <t>VOPR EKON</t>
  </si>
  <si>
    <t>Vopr. Ekon.</t>
  </si>
  <si>
    <t>MAR</t>
  </si>
  <si>
    <t>10.32609/0042-8736-2018-3-30-47</t>
  </si>
  <si>
    <t>FY7UW</t>
  </si>
  <si>
    <t>WOS:000427070000002</t>
  </si>
  <si>
    <t>Mohamed, O; Abdeslam, B</t>
  </si>
  <si>
    <t>Mohamed, Oudgou; Abdeslam, Boudhar</t>
  </si>
  <si>
    <t>Financing and the Challenges of Developing the Innovation Capacity of Enterprises in Developing Countries: The Case of the MENA Region and Africa</t>
  </si>
  <si>
    <t>SCIENTIFIC ANNALS OF ECONOMICS AND BUSINESS</t>
  </si>
  <si>
    <t>innovation; invention; R&amp;D; access to finance; MENA; Africa</t>
  </si>
  <si>
    <t>SUB-SAHARAN AFRICA; ENTREPRENEURIAL FINANCE; FIRM INNOVATION; TRADE CREDIT; GROWTH; CONSTRAINTS; TECHNOLOGY; INVESTMENT; DYNAMICS; ACCESS</t>
  </si>
  <si>
    <t>Innovation currently represents a significant source of added value and competitiveness for companies on the international scale. However, financing innovation activities is a real challenge to overcome in order to successfully achieve the goals in emerging countries. The main objective of this paper is to conduct an empirical analysis on the identification of different sources of financing for firm innovation in the MENA region and Africa. To do this, we have constructed a battery of measures of the innovation capacity of firms: product, process, invention and innovation intensity of firms. In addition, the sources of financing were assessed by financing investments and working capital through bank debt, non-bank financial institutions, capital increase, equity, commercial debt and other sources of financing. The empirical study is based on the World Bank survey of more than 34,000 firms in the MENA region and Africa over the period 2011 and 2020. Through the use of several econometric modeling, the estimation results indicate the importance of bank financing, non-bank financial institutions, and trade credit in financing innovation of MENA and African firms.</t>
  </si>
  <si>
    <t>[Mohamed, Oudgou; Abdeslam, Boudhar] Sultan Moulay Slimane Univ, Lab LAREMO, ENCG Beni Mellal, Beni Mellal, Morocco</t>
  </si>
  <si>
    <t>Sultan Moulay Slimane University of Beni Mellal</t>
  </si>
  <si>
    <t>Mohamed, O (corresponding author), Sultan Moulay Slimane Univ, Lab LAREMO, ENCG Beni Mellal, Beni Mellal, Morocco.</t>
  </si>
  <si>
    <t>m.oudgou@usms.ma; a.abdoudhar@usms.ma</t>
  </si>
  <si>
    <t>ALEXANDRU IOAN CUZA UNIV IASI FAC ECONOMICS &amp; BUSINESS ADM</t>
  </si>
  <si>
    <t>IASI</t>
  </si>
  <si>
    <t>BD CAROL I NO 22, IASI, ROMANIA</t>
  </si>
  <si>
    <t>2501-1960</t>
  </si>
  <si>
    <t>2501-3165</t>
  </si>
  <si>
    <t>SCI ANN ECON BUS</t>
  </si>
  <si>
    <t>Sci. Ann. Econ. Bus.</t>
  </si>
  <si>
    <t>10.47743/saeb-2025-0010</t>
  </si>
  <si>
    <t>4NE2U</t>
  </si>
  <si>
    <t>WOS:001522000100008</t>
  </si>
  <si>
    <t>Plokarz, R</t>
  </si>
  <si>
    <t>Soliman, KS</t>
  </si>
  <si>
    <t>Plokarz, Rafal</t>
  </si>
  <si>
    <t>Safe-Deposit Services in The Reality of The Banking Crisis of Confidence. The Case of The Polish Market</t>
  </si>
  <si>
    <t>EDUCATION EXCELLENCE AND INNOVATION MANAGEMENT: A 2025 VISION TO SUSTAIN ECONOMIC DEVELOPMENT DURING GLOBAL CHALLENGES</t>
  </si>
  <si>
    <t>35th International-Business-Information-Management-Association Conference (IBIMA)</t>
  </si>
  <si>
    <t>APR 01-02, 2020</t>
  </si>
  <si>
    <t>Seville, SPAIN</t>
  </si>
  <si>
    <t>Int Business Informat Management Assoc</t>
  </si>
  <si>
    <t>Safe-Deposit Services; Banking Crisis; Vaults Operators</t>
  </si>
  <si>
    <t>The subject of the study is the analysis of safe-deposit services available, the importance of which increases during periods of market turbulence and less confidence in storing money in bank accounts. Excluded from the analysis are storage services of dematerialized financial instruments (cash, deposit, trust and brokerage accounts), escrow and custody accounts for dematerialized securities. The issue was analyzed on the example of the Polish market. The problem is rarely present in studies on banking services. However, the significance of the topic is considerable and still increasing, along with the increasing demand and increasing wealth of the society, as well as the decreasing confidence in banks and fiat money during crisis periods. Banks underestimate the problem, and at the same time an offer of non-banking entities remains insufficient. The aim of the study is to show a widening supply gap in the offer of Polish banks. Paradoxically, this is one of the few examples of services scarcity on the banking services market. Due to the nature of the subject matter and the poverty of professional literature, the author bases the analysis on banking information, media communications and his own expert knowledge as a long-time private banking manager at renowned international banks.</t>
  </si>
  <si>
    <t>[Plokarz, Rafal] WSB Univ Torun, Torun, Poland</t>
  </si>
  <si>
    <t>Plokarz, R (corresponding author), WSB Univ Torun, Torun, Poland.</t>
  </si>
  <si>
    <t>rafal.plokarz@wsb.torun.pl</t>
  </si>
  <si>
    <t>Płókarz, Rafał/0000-0002-2910-5493</t>
  </si>
  <si>
    <t>INT BUSINESS INFORMATION MANAGEMENT ASSOC-IBIMA</t>
  </si>
  <si>
    <t>NORRISTOWN</t>
  </si>
  <si>
    <t>34 E GERMANTOWN PIKE, NO. 327, NORRISTOWN, PA 19401 USA</t>
  </si>
  <si>
    <t>978-0-9998551-4-0</t>
  </si>
  <si>
    <t>Business; Green &amp; Sustainable Science &amp; Technology; Economics; Management</t>
  </si>
  <si>
    <t>Business &amp; Economics; Science &amp; Technology - Other Topics</t>
  </si>
  <si>
    <t>BR6JR</t>
  </si>
  <si>
    <t>WOS:000661489807075</t>
  </si>
  <si>
    <t>Birkenmaier, J; Rothwell, D; Agar, M</t>
  </si>
  <si>
    <t>Birkenmaier, Julie; Rothwell, David; Agar, Mary</t>
  </si>
  <si>
    <t>How is Consumer Financial Capability Measured?</t>
  </si>
  <si>
    <t>JOURNAL OF FAMILY AND ECONOMIC ISSUES</t>
  </si>
  <si>
    <t>Financial capability; Financial access; Financial knowledge; Financial socialization; Financial wellbeing</t>
  </si>
  <si>
    <t>OLDER ASIAN IMMIGRANTS; YOUNG-ADULTS; LITERACY; EDUCATION; BEHAVIOR; SOCIALIZATION; KNOWLEDGE; AGE; ANTECEDENTS; SERVICES</t>
  </si>
  <si>
    <t>The research literature on the growing field of consumer financial capability displays a wide diversity of understanding about the meaning and measurement of the concept. While sufficient research literature has been produced for a review of measurement domains and indicators, this work remains undone. The aim of the study is to assess the quantitative peer-reviewed research literature to advance the field toward building an evidence base for financial capability interventions and policies to improve family financial well-being and reduce economic inequality. This scoping review study analyzed the financial capability scholarly literature between 2015 and 2018. Overall, 34 studies used quantitative data and met all inclusion criteria for this study. Findings suggest that financial capability measurement constructs were operationalized in 12 different ways (n = 22). Most commonly, financial capability was operationalized as the combination of objective financial knowledge and financial access. Few studies included measurement of financial socialization or financial well-being. Most studies measured financial access using only formal financial access measures, such as bank account ownership and/or whether the consumer has investments. A smaller number of studies measured both formal and informal access (including use of non-bank financial institutions/products). Half of the articles that included financial access used bank account either solely or in combination with other measures as the indicator(s). Many studies lacked any measure of financial access. Recommendations are made about standardizing measurement for the constructs within financial capability and measurement of financial capability.</t>
  </si>
  <si>
    <t>[Birkenmaier, Julie] St Louis Univ, Sch Social Work, 3550 Lindell Blvd, St Louis, MO 63103 USA; [Rothwell, David] Coll Publ Hlth &amp; Human Sci, Waldo Hall 462,2250 SW Jefferson Way, Corvallis, OR 97331 USA; [Agar, Mary] Univ Georgia, Sch Social Work, 279 Williams St, Athens, GA 30602 USA</t>
  </si>
  <si>
    <t>Saint Louis University; University System of Georgia; University of Georgia</t>
  </si>
  <si>
    <t>Birkenmaier, J (corresponding author), St Louis Univ, Sch Social Work, 3550 Lindell Blvd, St Louis, MO 63103 USA.</t>
  </si>
  <si>
    <t>Julie.Birkenmaier@slu.edu; David.Rothwell@oregonstate.edu; Agar@uga.edu</t>
  </si>
  <si>
    <t>; Birkenmaier, Julie/F-2597-2010</t>
  </si>
  <si>
    <t>Rothwell, David/0000-0003-0633-4071; Birkenmaier, Julie/0000-0002-3426-1669</t>
  </si>
  <si>
    <t>SPRINGER INT PUBL AG</t>
  </si>
  <si>
    <t>CHAM</t>
  </si>
  <si>
    <t>GEWERBESTRASSE 11, CHAM, CH-6330, SWITZERLAND</t>
  </si>
  <si>
    <t>1058-0476</t>
  </si>
  <si>
    <t>1573-3475</t>
  </si>
  <si>
    <t>J FAM ECON ISS</t>
  </si>
  <si>
    <t>J. Fam. Econ. Iss.</t>
  </si>
  <si>
    <t>10.1007/s10834-022-09825-4</t>
  </si>
  <si>
    <t>FEB 2022</t>
  </si>
  <si>
    <t>Economics; Family Studies</t>
  </si>
  <si>
    <t>Business &amp; Economics; Family Studies</t>
  </si>
  <si>
    <t>5Y3EW</t>
  </si>
  <si>
    <t>Green Accepted, Bronze</t>
  </si>
  <si>
    <t>WOS:000753816100001</t>
  </si>
  <si>
    <t>Gupta, S; Singh, P</t>
  </si>
  <si>
    <t>Gupta, Sanal; Singh, Puran</t>
  </si>
  <si>
    <t>What drives activity of banking agents? Evidence from Rural India</t>
  </si>
  <si>
    <t>WORLD DEVELOPMENT PERSPECTIVES</t>
  </si>
  <si>
    <t>Agent banking; Business correspondent model; Rural banking; Financial inclusion</t>
  </si>
  <si>
    <t>BRANCHLESS BANKING; FINANCIAL INCLUSION; SERVICES; BARRIERS</t>
  </si>
  <si>
    <t>This article investigates previously unexplored predictors of banking agents' activity using a primary dataset of agents operational in a rural setting in India. We measure banking agents' activity using their monthly transaction count and regress it on seven predictor categories. We provide evidence of the role of operational practices, agents' commitment, resources, support, and market characteristics, in agents' banking activity. We also identify specific factors that drive superior performance by the agents. The findings inform policy-making groups and implementing agencies of agent banking on agent selection criteria, best practices, and supervision mechanisms to ensure the agent banking model's effectiveness.</t>
  </si>
  <si>
    <t>[Gupta, Sanal; Singh, Puran] Indian Inst Technol Mandi, Suran, India; [Singh, Puran] IIT Mandi, Acad Block 10,North Campus, Suran 175005, Himachal Prades, India</t>
  </si>
  <si>
    <t>Indian Institute of Technology System (IIT System); Indian Institute of Technology (IIT) - Mandi; Indian Institute of Technology System (IIT System); Indian Institute of Technology (IIT) - Mandi</t>
  </si>
  <si>
    <t>Singh, P (corresponding author), IIT Mandi, Acad Block 10,North Campus, Suran 175005, Himachal Prades, India.</t>
  </si>
  <si>
    <t>sanalgupta10@gmail.com; puran.nam@gmail.com</t>
  </si>
  <si>
    <t>; Gupta, Sanal/AEU-8052-2022</t>
  </si>
  <si>
    <t>Singh, Puran/0000-0003-0375-0678; Gupta, Sanal/0000-0001-5189-1868</t>
  </si>
  <si>
    <t>Digital Identity Research Initiative (DIRI); Indian School of Business (ISB); Indian Council of Social Sciences Research</t>
  </si>
  <si>
    <t>Omidyar Network and Digital Identity Research Initiative (DIRI) at Indian School of Business (ISB) provided funding support for the study. Indian Council of Social Sciences Research provided funding support the pilot. The funding agencies did not have a role in study design, analysis, or preparation of the article.</t>
  </si>
  <si>
    <t>2452-2929</t>
  </si>
  <si>
    <t>WORLD DEV PERSPECT</t>
  </si>
  <si>
    <t>World Dev. Perspect.</t>
  </si>
  <si>
    <t>SEP</t>
  </si>
  <si>
    <t>10.1016/j.wdp.2023.100522</t>
  </si>
  <si>
    <t>JUL 2023</t>
  </si>
  <si>
    <t>Development Studies; Economics</t>
  </si>
  <si>
    <t>Development Studies; Business &amp; Economics</t>
  </si>
  <si>
    <t>P4UV7</t>
  </si>
  <si>
    <t>WOS:001050635900001</t>
  </si>
  <si>
    <t>Seijas-Giménez, MN; Vivel-Búa, M; Lado-Sestayo, R; Fernández-López, S</t>
  </si>
  <si>
    <t>Nela Seijas-Gimenez, Maria; Vivel-Bua, Milagros; Lado-Sestayo, Ruben; Fernandez-Lopez, Sara</t>
  </si>
  <si>
    <t>Microcredit financing in micro and small Uruguayan companies</t>
  </si>
  <si>
    <t>REICE-REVISTA ELECTRONICA DE INVESTIGACION EN CIENCIAS ECONOMICAS</t>
  </si>
  <si>
    <t>microcredits; MSEs; financial inclusion; efficiency; microfinance institutions</t>
  </si>
  <si>
    <t>Micro and small enterprises (MYSES) represent the vast majority of the Uruguayan productive fabric, generating almost half of the country's labor force. Access to credit by these institutions is crucial to ensure their sustainability and enhance their contribution to economic activity. Traditionally, however, these companies were excluded from traditional bank financing. The sources of financing were usually made up of own funds and non-bank credit, such as microcredits provided by microfinance institutions. In 2014, the Financial Inclusion Law gives companies with a reduced economic dimension access to a bank account and a set of basic financial services free of charge, in order to promote and support the process of financial inclusion of the MYPES. On the one hand, these rules provoke a redimensioning of the credit market, making it possible for banking institutions to provide microcredit to MYPEs. On the other hand, the increased competition in this market creates the opportunity for microfinance institutions to increase efficiency in their management, improving their system of granting and managing loans to MYPES, allowing to reflection on the application of credit scoring tools to assess credit risk in these institutions.</t>
  </si>
  <si>
    <t>[Nela Seijas-Gimenez, Maria] Univ Republica, Montevideo, Uruguay; [Vivel-Bua, Milagros; Fernandez-Lopez, Sara] Univ Santiago de Compostela, Santiago De Compostela, Spain; [Lado-Sestayo, Ruben] Univ A Coruna, La Coruna, Spain</t>
  </si>
  <si>
    <t>Universidad de la Republica, Uruguay; Universidade de Santiago de Compostela; Universidade da Coruna</t>
  </si>
  <si>
    <t>Seijas-Giménez, MN (corresponding author), Univ Republica, Montevideo, Uruguay.</t>
  </si>
  <si>
    <t>mseijas@ccea.com.uy; mila.vivel@usc.es; ruben.lado.sestayo@udc.es; sara.fernandez.lopez@usc.es</t>
  </si>
  <si>
    <t>Sestayo, Ruben/LIG-2163-2024; fernandez-lopez, sara/AAN-4536-2020</t>
  </si>
  <si>
    <t>Vivel Búa, María Milagros/0000-0002-8829-3746;</t>
  </si>
  <si>
    <t>UNIV NACL AUTONOMA NICARAGUA</t>
  </si>
  <si>
    <t>MANAGUA</t>
  </si>
  <si>
    <t>UNIV NACL AUTONOMA NICARAGUA, MANAGUA, 00000, NICARAGUA</t>
  </si>
  <si>
    <t>2308-782X</t>
  </si>
  <si>
    <t>REICE-REV ELECTRON I</t>
  </si>
  <si>
    <t>REICE-Rev. Electron. Investig. Cienc. Econ.</t>
  </si>
  <si>
    <t>JUL-DEC</t>
  </si>
  <si>
    <t>FV5BV</t>
  </si>
  <si>
    <t>WOS:000424592800002</t>
  </si>
  <si>
    <t>Fan, YT; Nguyen, H; Qian, R</t>
  </si>
  <si>
    <t>Fan, Yuting; Nguyen, Ha; Qian, Rong</t>
  </si>
  <si>
    <t>Collateralized borrowing around the world: Insights from the World Bank Enterprise Surveys</t>
  </si>
  <si>
    <t>INTERNATIONAL JOURNAL OF FINANCE &amp; ECONOMICS</t>
  </si>
  <si>
    <t>access to finance; collateralized borrowing; financing constraints</t>
  </si>
  <si>
    <t>FINANCING CONSTRAINTS; CORPORATE-INVESTMENT; LIQUIDITY; DEBT; DETERMINANTS; FIRMS</t>
  </si>
  <si>
    <t>Despite an important role of collateralized borrowing in corporate finance and financial economics, there has been little empirical research that systematically documents the prevalence and correlates of collateralized borrowing across countries. We filled this gap by investigating firms' collateralized borrowing in 131 countries between 2005-2017 using the World Bank Enterprise Surveys. Overall, 77% of loans require collateral, and the median loan-to-collateral value is 60%. While small firms and loans from non-bank financial institutions are less often associated with collateral, when collateral is pledged, the type of collateral assets is strongly correlated with the loan-to-value ratio. When more illiquid and indivisible assets such as land and buildings are pledged as collateral, higher collateral value is required.</t>
  </si>
  <si>
    <t>[Fan, Yuting; Nguyen, Ha; Qian, Rong] World Bank, 1818 H St NW, Washington, DC 20433 USA</t>
  </si>
  <si>
    <t>The World Bank</t>
  </si>
  <si>
    <t>Nguyen, H (corresponding author), World Bank, 1818 H St NW, Washington, DC 20433 USA.</t>
  </si>
  <si>
    <t>hanguyen@worldbank.org</t>
  </si>
  <si>
    <t>; Fan, Rachel Yuting/ABP-5299-2022</t>
  </si>
  <si>
    <t>Nguyen, Ha/0000-0003-4549-035X;</t>
  </si>
  <si>
    <t>1076-9307</t>
  </si>
  <si>
    <t>1099-1158</t>
  </si>
  <si>
    <t>INT J FINANC ECON</t>
  </si>
  <si>
    <t>Int. J. Financ. Econ.</t>
  </si>
  <si>
    <t>APR</t>
  </si>
  <si>
    <t>10.1002/ijfe.2279</t>
  </si>
  <si>
    <t>SEP 2020</t>
  </si>
  <si>
    <t>0I4QQ</t>
  </si>
  <si>
    <t>WOS:000573437600001</t>
  </si>
  <si>
    <t>Aparna, V; Anthuvan, VL</t>
  </si>
  <si>
    <t>Aparna, Vemulapalli; Anthuvan, Victor Louis</t>
  </si>
  <si>
    <t>Determinants of Financial Inclusion Among Dalit Women in Kancheepuram District, Tamil Nadu</t>
  </si>
  <si>
    <t>CONTEMPORARY VOICE OF DALIT</t>
  </si>
  <si>
    <t>Dalit women; financial inclusion; utilization of financial services; satisfaction on financial services</t>
  </si>
  <si>
    <t>Over the years many efforts were made to improve the status of financial inclusion of people. Financial inclusion measures access and usage of financial products such as deposits, loans, insurance products and quality of financial services. Financial inclusion is the process of providing financial services to the people who are outside the formal financial system. High levels of financial inclusion improve economic development and equitable distribution of wealth. This study focuses on status of financial inclusion among Dalit women in Kancheepuram district of Tamil Nadu. It was found that education level of the people; government initiatives such as general credit card, Pradhan Mantri Jan Dhan Yojana; satisfaction of the self-help group model; financial practices and financial literacy were positively and significantly associated with financial inclusion. Usage of non-bank agencies and cultural barriers were negative and insignificant.</t>
  </si>
  <si>
    <t>[Aparna, Vemulapalli] Stella Maris Coll, 17 Cathedral Rd, Chennai 600086, Tamil Nadu, India; [Anthuvan, Victor Louis] LIBA, London, England</t>
  </si>
  <si>
    <t>Aparna, V (corresponding author), Stella Maris Coll, 17 Cathedral Rd, Chennai 600086, Tamil Nadu, India.</t>
  </si>
  <si>
    <t>aparna_vemulapalli@yahoo.com</t>
  </si>
  <si>
    <t>SAGE PUBLICATIONS INC</t>
  </si>
  <si>
    <t>THOUSAND OAKS</t>
  </si>
  <si>
    <t>2455 TELLER RD, THOUSAND OAKS, CA 91320 USA</t>
  </si>
  <si>
    <t>2455-328X</t>
  </si>
  <si>
    <t>2456-0502</t>
  </si>
  <si>
    <t>CONTEMP VOICE DALIT</t>
  </si>
  <si>
    <t>Contemp. Voice Dalit</t>
  </si>
  <si>
    <t>2022 MAR 16</t>
  </si>
  <si>
    <t>2455328X221082486</t>
  </si>
  <si>
    <t>10.1177/2455328X221082486</t>
  </si>
  <si>
    <t>MAR 2022</t>
  </si>
  <si>
    <t>ZY8DI</t>
  </si>
  <si>
    <t>WOS:000772811200001</t>
  </si>
  <si>
    <t>Mtambalika, A; Manda, TD; Gombachika, H; Kunyenje, G</t>
  </si>
  <si>
    <t>IEEE</t>
  </si>
  <si>
    <t>Mtambalika, Augustine; Manda, Tiwonge Davis; Gombachika, Harry; Kunyenje, Gregory</t>
  </si>
  <si>
    <t>Branchless Banking in Rural Malawi: Potential Customers' Perspective on Bank-led Mobile Banking</t>
  </si>
  <si>
    <t>2016 IST-AFRICA WEEK CONFERENCE</t>
  </si>
  <si>
    <t>IST-Africa Week Conference</t>
  </si>
  <si>
    <t>MAY 11-13, 2016</t>
  </si>
  <si>
    <t>Durban, SOUTH AFRICA</t>
  </si>
  <si>
    <t>Branchless banking; mobile phone banking; bank-led model; technology acceptance model</t>
  </si>
  <si>
    <t>Branchless banking is a distribution channel used for delivering financial services without necessarily relying on constructing bank branches. This offers customers the ability to conduct banking transactions at a whole range of retail agents instead of accessing banking services at bank branches. The study attempted to answer the question on whether Branchless banking can be used to reach the unbanked and underbanked rural areas in Malawi. Data were collected through a self-administered questionnaire that was developed based on the three main dimensions of the Technology Acceptance model, Perceived Usefulness, Perceived Ease of Use and Attitude towards use, and the two main requirements in branchless banking; Availability of Telecommunication Infrastructure and retail agents. The sample was drawn from a population in unbanked rural areas. The results shows that Branchless banking is feasible in the unbanked rural areas in Malawi.</t>
  </si>
  <si>
    <t>[Mtambalika, Augustine] Reserve Bank Malawi, Katoto Dr,POB 985, Mzuzu, Malawi; [Manda, Tiwonge Davis; Kunyenje, Gregory] Univ Malawi, Chancellor Coll, POB 280, Zomba, Malawi; [Gombachika, Harry] Malawi Telecommun Ltd, POB 537, Blantyre, Malawi</t>
  </si>
  <si>
    <t>University of Malawi</t>
  </si>
  <si>
    <t>Mtambalika, A (corresponding author), Reserve Bank Malawi, Katoto Dr,POB 985, Mzuzu, Malawi.</t>
  </si>
  <si>
    <t>amtambalika@rbm.mw; tmanda@cc.ac.mw; harry.gombachika@mtl.mw; gkunyenje@cc.ac.mw</t>
  </si>
  <si>
    <t>Kunyenje, Gregory/KFH-9430-2024</t>
  </si>
  <si>
    <t>345 E 47TH ST, NEW YORK, NY 10017 USA</t>
  </si>
  <si>
    <t>978-1-9058-2455-7</t>
  </si>
  <si>
    <t>Computer Science, Hardware &amp; Architecture; Computer Science, Information Systems; Computer Science, Interdisciplinary Applications</t>
  </si>
  <si>
    <t>BG8ER</t>
  </si>
  <si>
    <t>WOS:000392264700129</t>
  </si>
  <si>
    <t>Agyekum, F; Reddy, K; Shen, Y; Wallace, D</t>
  </si>
  <si>
    <t>Agyekum, Francis; Reddy, Krishna; Shen, Yun; Wallace, Damien</t>
  </si>
  <si>
    <t>The welfare impact of financial inclusion: does the source of financing matter? A GMM and channel analysis</t>
  </si>
  <si>
    <t>JOURNAL OF ACCOUNTING LITERATURE</t>
  </si>
  <si>
    <t>Financial inclusion; Poverty-alleviating impact; Pro-poor; Microfinance institutions; Low-income countries</t>
  </si>
  <si>
    <t>MICROFINANCE INSTITUTIONS; CREDIT; ACCESS; GROWTH; PERFORMANCE; MARKETS; AFRICA</t>
  </si>
  <si>
    <t>PurposeThis study investigates how finance contributes to socioeconomic development through an inclusive financial system and the impact of financial inclusion programs pursued by non-bank financial institutions (NBFIs) in Ghana.Design/methodology/approachIn this study, we leverage a rich, nationally representative household survey (ICPSR, 2014) from 17 Ghanaian MFIs (1,629 households), sponsored by the World Bank, to analyze microfinance impacts using a generalized method of moment (GMM) and channel analysis.FindingsOur findings reveal a statistically significant positive impact of donor-funded financial inclusion projects on targeted households' welfare, regardless of implementing agency (donor, government or microfinance institution). The channel analysis further suggests that credit unions and savings and loan (S&amp;L) institutions may be particularly effective conduits for delivering these welfare gains through financial inclusion programs. These findings hold valuable insights for funders seeking to maximize the welfare impact of such interventions: credit unions and S&amp;Ls may be preferential channels for delivering financial inclusion programs aimed at improving household well-being.Research limitations/implicationsThe poverty-reducing impact of informal non-bank financial intermediaries like credit unions and susu groups highlights the need for policies that integrate these institutions into the formal financial system. Therefore, donor-funded initiatives should not rely solely on local government implementation. Since the focus of this study is on Ghana, we caution readers to exercise caution when generalizing the findings to other jurisdictions.Practical implicationsThe World Bank/IMF-backed financial sector reform in Ghana has many important implications for financial inclusion and welfare impacts which are rare in other jurisdictions. Our finding has policy implications for agencies that wish to translate financial inclusion into significant economic inclusion, especially in middle- and low-income countries (LICs) where the COVID-19 pandemic and the global impact of the recent war in Ukraine could exacerbate the exclusion gap.Originality/valueThe focus of this study is to understand if MFIs, funded by different sources, can contribute to inclusive growth and welfare. This research employs channel analysis, considering that donor and government programs are often channeled through community-based NBFIs and offer key contributions to the existing body of knowledge on financial inclusion and household welfare. This study extends the current literature by providing a deeper understanding of the role of each NBFI type in deepening financial inclusion and improving household welfare and allows policymakers, donors and governments to target inclusion efforts for maximum impact.</t>
  </si>
  <si>
    <t>[Agyekum, Francis] New Zealand Minist Business Innovat &amp; Employment, Wellington, New Zealand; [Agyekum, Francis] Valley View Univ, Oyibi, Ghana; [Reddy, Krishna] Toi Ohomai Inst Technol, Fac Business Design &amp; Serv Ind, Postgrad Business, Rotorua, New Zealand; [Shen, Yun] Univ Technol Sydney, Ctr Climate Risk &amp; Resilience, UTS Business Sch, Sydney, Australia; [Wallace, Damien] James Cook Univ, Coll Business Law &amp; Governance, Townsville, Australia; [Wallace, Damien] Univ South Australia, UniSA Business, Adelaide, Australia</t>
  </si>
  <si>
    <t>Toi Ohomai Institute of Technology; University of Technology Sydney; James Cook University; Adelaide University; University of South Australia</t>
  </si>
  <si>
    <t>Shen, Y (corresponding author), Univ Technol Sydney, Ctr Climate Risk &amp; Resilience, UTS Business Sch, Sydney, Australia.</t>
  </si>
  <si>
    <t>afk.ohene@gmail.com; krishna.reddy@xtra.co.nz; yun.shen@uts.edu.au; damien.wallace@jcu.edu.au</t>
  </si>
  <si>
    <t>Wallace, Damien/JQJ-5478-2023; Agyekum, Francis/JTT-9208-2023; Shen, Yun/AAW-5097-2020; Reddy, Krishna/S-2704-2019</t>
  </si>
  <si>
    <t>Wallace, Damien/0000-0002-4029-8628; Shen, Yun/0000-0002-1924-1301; Reddy, Krishna/0000-0002-7812-9141</t>
  </si>
  <si>
    <t>0737-4607</t>
  </si>
  <si>
    <t>2452-1469</t>
  </si>
  <si>
    <t>J ACCOUNT LIT</t>
  </si>
  <si>
    <t>J. Account. Lit.</t>
  </si>
  <si>
    <t>2024 DEC 6</t>
  </si>
  <si>
    <t>10.1108/JAL-07-2024-0151</t>
  </si>
  <si>
    <t>DEC 2024</t>
  </si>
  <si>
    <t>O2P7I</t>
  </si>
  <si>
    <t>WOS:001369618700001</t>
  </si>
  <si>
    <t>Bhattacharjee, A; Carlomagno, G; Passarella, MV</t>
  </si>
  <si>
    <t>Bhattacharjee, Arpita; Carlomagno, Guido; Passarella, Marco Veronese</t>
  </si>
  <si>
    <t>The Impact of CBDC-Based Disintermediation on the Banking Sector and the Economy: An SFC Approach</t>
  </si>
  <si>
    <t>REVIEW OF POLITICAL ECONOMY</t>
  </si>
  <si>
    <t>Central Bank Digital Currency (CBDC); disintermediation; banking sector; Stock-Flow Consistent (SFC) models; monetary policy; credit creation; financial stability; E42; E51; G21; E58; O33</t>
  </si>
  <si>
    <t>CBDCs have garnered considerable attention over the past decade. Their introduction could fundamentally alter monetary and banking systems, depending on their specific characteristics. These include accessibility (whether open to the public or restricted to selected entities), remuneration (positive or zero), and the underlying technology managing CBDC operations and payments (e.g., token-based systems using public or private blockchains). A non-interest-bearing CBDC functioning as e-cash (like circulating currency) would have minimal impact on banking and credit activities. However, if a CBDC offers unrestricted access, allowing all non-bank entities - including firms and households - to hold central bank accounts for payments, it represents the most radical form of CBDC. This setup centralises credit functions within the central bank, potentially displacing commercial banks' traditional roles in credit creation and deposit generation, leading to a de facto full-reserve banking system. Using a stock-flow consistent dynamic model, we simulate and analyse the effects of CBDC introduction on both financial and real economic variables.</t>
  </si>
  <si>
    <t>[Bhattacharjee, Arpita] Northumbria Univ, Newcastle, England; [Carlomagno, Guido] Link Campus Univ, Rome, Italy; [Passarella, Marco Veronese] Univ LAquila, Laquila, Italy; [Passarella, Marco Veronese] Univ Leeds, Leeds, England</t>
  </si>
  <si>
    <t>Northumbria University; University of L'Aquila; University of Leeds</t>
  </si>
  <si>
    <t>Passarella, MV (corresponding author), Univ LAquila, Laquila, Italy.;Passarella, MV (corresponding author), Univ Leeds, Leeds, England.;Passarella, MV (corresponding author), Dept Ind &amp; Informat Engn &amp; Econ, Piazzale Ernesto Pontieri 1, I-67100 Laquila, Italy.</t>
  </si>
  <si>
    <t>marco.veronesepassarella@univaq.it</t>
  </si>
  <si>
    <t>Veronese Passarella, Marco/NNG-8852-2025</t>
  </si>
  <si>
    <t>TAYLOR &amp; FRANCIS LTD</t>
  </si>
  <si>
    <t>2-4 PARK SQUARE, MILTON PARK, ABINGDON OR14 4RN, OXON, ENGLAND</t>
  </si>
  <si>
    <t>0953-8259</t>
  </si>
  <si>
    <t>1465-3982</t>
  </si>
  <si>
    <t>REV POLIT ECON</t>
  </si>
  <si>
    <t>Rev. Polit. Econ.</t>
  </si>
  <si>
    <t>2025 DEC 11</t>
  </si>
  <si>
    <t>10.1080/09538259.2025.2593445</t>
  </si>
  <si>
    <t>S1693</t>
  </si>
  <si>
    <t>WOS:001636325500001</t>
  </si>
  <si>
    <t>Werner, RA</t>
  </si>
  <si>
    <t>Werner, Richard A.</t>
  </si>
  <si>
    <t>A lost century in economics: Three theories of banking and the conclusive evidence</t>
  </si>
  <si>
    <t>INTERNATIONAL REVIEW OF FINANCIAL ANALYSIS</t>
  </si>
  <si>
    <t>Bank accounting; Bank credit; Credit creation; Economics; Financial intermediation; Foreign borrowing; Fractional reserve banking; Money creation</t>
  </si>
  <si>
    <t>FINANCIAL-INTERMEDIARIES; MONEY; LIQUIDITY; COEXISTENCE; EXPLANATION; COMPETITION; CREDIT</t>
  </si>
  <si>
    <t>How do banks operate and where does the money supply come from? The financial crisis has heightened awareness that these questions have been unduly neglected by many researchers. During the past century, three different theories of banking were dominant at different times: (1) The currently prevalent financial intermediation theory of banking says that banks collect deposits and then lend these out, just like other non-bank financial intermediaries. (2) The older fractional reserve theory of banking says that each individual bank is a financial intermediary without the power to create money, but the banking system collectively is able to create money through the process of 'multiple deposit expansion' (the 'money multiplier'). (3) The credit creation theory of banking, predominant a century ago, does not consider banks as financial intermediaries that gather deposits to lend out, but instead argues that each individual bank creates credit and money newly when granting a bank loan. The theories differ in their accounting treatment of bank lending as well as in their policy implications. Since according to the dominant financial intermediation theory banks are virtually identical with other non-bank financial intermediaries, they are not usually included in the economic models used in economics or by central bankers. Moreover, the theory of banks as intermediaries provides the rationale for capital adequacy-based bank regulation. Should this theory not be correct, currently prevailing economics modelling and policy-making would be without empirical foundation. Despite the importance of this question, so far only one empirical test of the three theories has been reported in learned journals. This paper presents a second empirical test, using an alternative methodology, which allows control for all other factors. The financial intermediation and the fractional reserve theories of banking are rejected by the evidence. This finding throws doubt on the rationale for regulating bank capital adequacy to avoid banking crises, as the case study of Credit Suisse during the crisis illustrates. The finding indicates that advice to encourage developing countries to borrow from abroad is misguided. The question is considered why the economics profession has failed over most of the past century to make any progress concerning knowledge of the monetary system, and why it instead moved ever further away from the truth as already recognised by the credit creation theory well over a century ago. The role of conflicts of interest and interested parties in shaping the current bank-free academic consensus is discussed. A number of avenues for needed further research are indicated. (C) 2015 The Author. Published by Elsevier Inc.</t>
  </si>
  <si>
    <t>[Werner, Richard A.] Univ Southampton, Southampton Business Sch, Ctr Banking Finance &amp; Sustainable Dev, Southampton SO9 5NH, Hants, England</t>
  </si>
  <si>
    <t>University of Southampton; Solent University</t>
  </si>
  <si>
    <t>Werner, RA (corresponding author), Univ Southampton, Southampton Business Sch, Ctr Banking Finance &amp; Sustainable Dev, Southampton SO9 5NH, Hants, England.</t>
  </si>
  <si>
    <t>werner@soton.ac.uk</t>
  </si>
  <si>
    <t>1057-5219</t>
  </si>
  <si>
    <t>1873-8079</t>
  </si>
  <si>
    <t>INT REV FINANC ANAL</t>
  </si>
  <si>
    <t>Int. Rev. Financ. Anal.</t>
  </si>
  <si>
    <t>JUL</t>
  </si>
  <si>
    <t>10.1016/j.irfa.2015.08.014</t>
  </si>
  <si>
    <t>DQ0BG</t>
  </si>
  <si>
    <t>WOS:000378861700031</t>
  </si>
  <si>
    <t>Gago, V; Cavallero, L</t>
  </si>
  <si>
    <t>Gago, Veronica; Cavallero, Luci</t>
  </si>
  <si>
    <t>The Pandemic as Financial Laboratory</t>
  </si>
  <si>
    <t>TOPIA-CANADIAN JOURNAL OF CULTURAL STUDIES</t>
  </si>
  <si>
    <t>financial inclusion; household debt; social reproduction; feminist economics; fintech resume</t>
  </si>
  <si>
    <t>COVID-19 quarantine measures impacted incomes, labour and housing situations in different ways, particularly in the domestic sphere. In Argentina, financial inclusion polices were linked, on one hand to the bankarization of new sectors to access relief funds, and on the other to the proliferation of fintech to mediate the receipt of funds. Debt, as a way of privatizing the crisis in the ability to eat, protect and heal oneself, solves emergencies in the here and now and exploits and conditions future time. Household debt, as a specific articulation of gender mandates, extracts value from reproductive tasks. Household debt is also an index of public debt, its cascading down the social hierarchy, and, as such, allows for a simultaneous analysis of the micro and macro planes. Even prior to the health emergency, the expansion of financial technologies targeting the most precarious sectors was becoming an accelerator for taking out non-banking debt.</t>
  </si>
  <si>
    <t>[Gago, Veronica] Univ Buenos Aires UBA, Polit Sci, Buenos Aires, DF, Argentina; [Gago, Veronica] Univ Nacl San Martin UNSAM, Inst Altos Estudios, Sociol, San Martin, Argentina; [Gago, Veronica] Natl Council Res CONICET, Buenos Aires, DF, Argentina; [Cavallero, Luci] Univ Buenos Aires, Buenos Aires, DF, Argentina; [Cavallero, Luci] Univ Nacl Tres Febrero, Gender Studies Masters Programme, Caseros, Argentina</t>
  </si>
  <si>
    <t>University of Buenos Aires; University of Buenos Aires</t>
  </si>
  <si>
    <t>Gago, V (corresponding author), Univ Buenos Aires UBA, Polit Sci, Buenos Aires, DF, Argentina.;Gago, V (corresponding author), Univ Nacl San Martin UNSAM, Inst Altos Estudios, Sociol, San Martin, Argentina.;Gago, V (corresponding author), Natl Council Res CONICET, Buenos Aires, DF, Argentina.</t>
  </si>
  <si>
    <t>Gago, Verónica/0000-0002-7009-1468</t>
  </si>
  <si>
    <t>UNIV TORONTO PRESS INC</t>
  </si>
  <si>
    <t>TORONTO</t>
  </si>
  <si>
    <t>JOURNALS DIVISION, 5201 DUFFERIN ST, DOWNSVIEW, TORONTO, ON M3H 5T8, CANADA</t>
  </si>
  <si>
    <t>1206-0143</t>
  </si>
  <si>
    <t>1916-0194</t>
  </si>
  <si>
    <t>TOPIA</t>
  </si>
  <si>
    <t>OCT 1</t>
  </si>
  <si>
    <t>10.3138/topia-2022-0033</t>
  </si>
  <si>
    <t>Cultural Studies</t>
  </si>
  <si>
    <t>Social Science Citation Index (SSCI); Arts &amp; Humanities Citation Index (A&amp;HCI)</t>
  </si>
  <si>
    <t>5D3NZ</t>
  </si>
  <si>
    <t>WOS:000864854300007</t>
  </si>
  <si>
    <t>Jayanti, AD; Agusti, KS; Setiyawati, Y</t>
  </si>
  <si>
    <t>Jayanti, Ari Dwi; Agusti, Kemala Sari; Setiyawati, Yuli</t>
  </si>
  <si>
    <t>Barriers to Access Formal Financial Services: An Empirical Study from Indonesia</t>
  </si>
  <si>
    <t>JOURNAL OF ASIAN FINANCE ECONOMICS AND BUSINESS</t>
  </si>
  <si>
    <t>Financial Access; Financial Institutions; Non-bank Financial Institutions; Behavioral Finance; Indonesia</t>
  </si>
  <si>
    <t>The condition of financial services in Indonesia is unique, based on various characteristics, behaviors, and preferences. Therefore, the study of finance and banking is interesting to study as a recommendation for government policies. This paper aims to analyze the barriers to accessing formal financial services in Indonesia and why informal financial services are preferred. This paper presents a case study of financial inclusion in selected provinces in Indonesia using the SOFIA dataset from the Ministry of National Development Planning. Overall, this data consists of 20,000 individuals from 4 provinces and 93 regions representing the population in eastern Indonesia. The analysis was carried out by processing individual-level cross-sectional data surveyed in 2017 using the probit binary logistic method. The results identify the individual barriers in accessing formal financial services, including account ownership, saving, and credit activities in the formal financial institutions, and amplify the image by analyzing what determinants affect people to choose informal institutions. We found that some individual characteristics such as age, gender, education, income, employment status, residence, and access to technology significantly affect the barrier to formal financial services in East Indonesia.</t>
  </si>
  <si>
    <t>[Jayanti, Ari Dwi] Airlangga Univ, Fac Econ &amp; Business, Dept Econ, Surabaya, Indonesia; [Agusti, Kemala Sari] Airlangga Univ, Fac Econ &amp; Business, Kp Lembur Kolot 75, Sukabumi 43359, Indonesia; [Setiyawati, Yuli] Airlangga Univ, Fac Econ &amp; Business, Dept Econ, Surabaya, Indonesia</t>
  </si>
  <si>
    <t>Airlangga University; Airlangga University; Airlangga University</t>
  </si>
  <si>
    <t>Agusti, KS (corresponding author), Airlangga Univ, Fac Econ &amp; Business, Kp Lembur Kolot 75, Sukabumi 43359, Indonesia.</t>
  </si>
  <si>
    <t>aridwijayanti00@gmail.com; kemala.sari.agusti-2018@feb.unair.ac.id; yuli.setiyawati-2017@feb.unair.ac.id</t>
  </si>
  <si>
    <t>KOREA DISTRIBUTION SCIENCE ASSOC</t>
  </si>
  <si>
    <t>GYEONGGI</t>
  </si>
  <si>
    <t>HANSHIN OFFICETEL STE 1030, 2463-4, SHINHEUNG-DONG SUJEONG-GU, SEONGNAM, GYEONGGI, 461-713, SOUTH KOREA</t>
  </si>
  <si>
    <t>2288-4637</t>
  </si>
  <si>
    <t>2288-4645</t>
  </si>
  <si>
    <t>J ASIAN FINANC ECON</t>
  </si>
  <si>
    <t>J. Asian Financ. Econ. Bus.</t>
  </si>
  <si>
    <t>NOV</t>
  </si>
  <si>
    <t>10.13106/jafeb.2021.vol8.no11.0097</t>
  </si>
  <si>
    <t>WW0JX</t>
  </si>
  <si>
    <t>WOS:000717614500011</t>
  </si>
  <si>
    <t>Lasak, P</t>
  </si>
  <si>
    <t>Lasak, Piotr</t>
  </si>
  <si>
    <t>The role of financial technology and entrepreneurial finance practices in funding small and medium-sized enterprises</t>
  </si>
  <si>
    <t>JOURNAL OF ENTREPRENEURSHIP MANAGEMENT AND INNOVATION</t>
  </si>
  <si>
    <t>financial technology; fintech; small and medium enterprises (SMEs); developing countries</t>
  </si>
  <si>
    <t>FINTECH</t>
  </si>
  <si>
    <t>PURPOSE: The traditional sources of financing (bank loans) cannot be treated as an essential source of financing for SMEs in developing countries. For this reason, this group of entities uses many alternative sources, from bootstrapping to microfinance and crowdfunding. During the last decade, a significant contribution in this area has been done by financial technology. The purpose of this study is threefold: 1) to present the role of financial technologies in financing SMEs, 2) to examine the role of entities based on financial technology in financing SMEs in developing countries, and 3) to consider other non-bank aspects of financing SMEs, leading to the improvement of the financial situation of these entities. The in-depth analysis of these entrepreneurial finance practices will be developed in the following papers presented in this Issue. METHODOLOGY: This study employs a theoretical approach based on a narrative literature review. The primary attention is focused on applying financial technology as a stimulant for the finance of SMEs in developing countries. FINDINGS: As a consequence of the financing gap for SMEs within the traditional financial system, these entities use non-bank financing based on financial technology. The research confirms that financial technology plays a crucial role in fostering the financial situation of SMEs in developing countries and providing greater financial inclusion for these entities. Both, financial technology and enterprises based on this technology contribute significantly to the improvement of efficiency of financing SMEs in emerging markets. They also provide a broader range of services, than were offered by the traditional financial sector. Regarding the other aspects of SME finance, it is essential to implement such ways of financing like microfinance services and crowdfunding. Such funding mechanisms, together with the budget process and the compliance under the conditions of e-tax systems, are important determinants of current entrepreneurial finance. ORIGINALITY/VALUE: Despite growing theoretical and empirical literature about entrepreneurial finance, this study aims to contribute to the role of financial technology in this area. The impact of financial technologies and the role of fintech-based entities on SME activity in developing countries are still poorly researched. Moreover, the research provides a brief overview of other SME funding sources and their determinants in this group of countries.</t>
  </si>
  <si>
    <t>[Lasak, Piotr] Jagiellonian Univ, Inst Econ Finance &amp; Management, Ul Prof Stanistawa Lojasiewicza 4, PL-30348 Krakow, Poland</t>
  </si>
  <si>
    <t>Jagiellonian University</t>
  </si>
  <si>
    <t>Lasak, P (corresponding author), Jagiellonian Univ, Inst Econ Finance &amp; Management, Ul Prof Stanistawa Lojasiewicza 4, PL-30348 Krakow, Poland.</t>
  </si>
  <si>
    <t>piotr.lasak@uj.edu.pl</t>
  </si>
  <si>
    <t>Łasak, Piotr/0000-0002-3726-3862</t>
  </si>
  <si>
    <t>Cognitione Foundation for the Dissemination of Knowledge and Science</t>
  </si>
  <si>
    <t>Nowy Targ</t>
  </si>
  <si>
    <t>Bohaterw Tobruku 5, Nowy Targ, POLAND</t>
  </si>
  <si>
    <t>2299-7075</t>
  </si>
  <si>
    <t>2299-7326</t>
  </si>
  <si>
    <t>J ENTREP MANAG INNOV</t>
  </si>
  <si>
    <t>J. Entrep. Manag. Innov.</t>
  </si>
  <si>
    <t>10.7341/20221811</t>
  </si>
  <si>
    <t>ZY5NH</t>
  </si>
  <si>
    <t>Green Submitted, gold</t>
  </si>
  <si>
    <t>WOS:000772632700001</t>
  </si>
  <si>
    <t>Yu, H; Zhao, JQ</t>
  </si>
  <si>
    <t>Yu, Hang; Zhao, Jiaqi</t>
  </si>
  <si>
    <t>Financial sector development and industrialization: lessons and prospects for Ethiopia</t>
  </si>
  <si>
    <t>CHINA ECONOMIC JOURNAL</t>
  </si>
  <si>
    <t>Financial system; industrialization; financial exclusion; Fintech; F36; F43; O14; O16</t>
  </si>
  <si>
    <t>GROWTH; POVERTY; KENYA</t>
  </si>
  <si>
    <t>A functional and efficient financial sector is essential for the industrial advancement of a nation. In the context of Ethiopia's rapidly growing economy, this study examines the limitations imposed by its underdeveloped financial sector on the country's economic advancement and explores viable policy interventions. Characterized by state-owned bank dominance, a scarcity of non-bank financial institutions, and deficient infrastructure, Ethiopia's financial system perpetuates widespread financial exclusion. This exclusion hinders industrial transformation, stifles local business growth, and narrows financing avenues for foreign entities. Insights from China's shift toward market-oriented financial reforms and Kenya's fintech innovations suggest a path for Ethiopia involving clear, gradual reforms. Strategic steps could include diversifying financial institutions, improving financial infrastructure, advancing mobile payment solutions, and adopting more versatile financing methods to address the financial challenges of industrialization.</t>
  </si>
  <si>
    <t>[Yu, Hang; Zhao, Jiaqi] Peking Univ, Natl Sch Dev, 5 Yiheyuan Rd, Beijing 100871, Peoples R China</t>
  </si>
  <si>
    <t>Peking University</t>
  </si>
  <si>
    <t>Yu, H (corresponding author), Peking Univ, Natl Sch Dev, 5 Yiheyuan Rd, Beijing 100871, Peoples R China.</t>
  </si>
  <si>
    <t>hyu@nsd.pku.edu.cn</t>
  </si>
  <si>
    <t>National Natural Science Foundation of China [72303009]; Graduate School of Peking University; National School of Development at Peking University; Peking University's Institute of South-South Cooperation and Development</t>
  </si>
  <si>
    <t>National Natural Science Foundation of China(National Natural Science Foundation of China (NSFC)); Graduate School of Peking University; National School of Development at Peking University; Peking University's Institute of South-South Cooperation and Development</t>
  </si>
  <si>
    <t>This study is funded by the National Natural Science Foundation of China under Project ID 72303009, the Graduate School of Peking University, and the National School of Development at Peking University. We are grateful for the insightful feedback provided by Min Wang, Chengfang Liu, Yongmei Zhou, Xiao Ma, Huayu Xu, Jinjie Wang, and all participants of the 2023 Peking University Summer Research Group to Ethiopia. The fieldwork conducted in Ethiopia was made possible through the exemplary organizational efforts of Jing Lu and Cheng Chang and the assistance of Ethiopian alumni from Peking University's Institute of South-South Cooperation and Development.</t>
  </si>
  <si>
    <t>1753-8963</t>
  </si>
  <si>
    <t>1753-8971</t>
  </si>
  <si>
    <t>CHINA ECON J</t>
  </si>
  <si>
    <t>China Econ. J.</t>
  </si>
  <si>
    <t>MAY 3</t>
  </si>
  <si>
    <t>10.1080/17538963.2024.2345537</t>
  </si>
  <si>
    <t>APR 2024</t>
  </si>
  <si>
    <t>QK3V3</t>
  </si>
  <si>
    <t>WOS:001207024000001</t>
  </si>
  <si>
    <t>Martinez-Cillero, M; Lawless, M; O'Toole, C; Slaymaker, R</t>
  </si>
  <si>
    <t>Martinez-Cillero, Maria; Lawless, Martina; O'Toole, Conor; Slaymaker, Rachel</t>
  </si>
  <si>
    <t>Financial frictions and the SME investment gap: new survey evidence for Ireland</t>
  </si>
  <si>
    <t>VENTURE CAPITAL</t>
  </si>
  <si>
    <t>SMEs; financing constraints; investment; Ireland; market failures</t>
  </si>
  <si>
    <t>CREDIT; CONSTRAINTS</t>
  </si>
  <si>
    <t>In this paper, we use novel firm-level survey data on investment expenditure for Irish SMEs to investigate the existence of investment constraints between 2016 and 2018. We model investment as a function of firms' economic fundamentals and factors affecting firms' access to finance. We use an empirical version of the traditional fundamental Q model which links investment to the marginal returns to capital. Empirically we deploy a two-stage Heckman model and include measures of financial frictions such as access to collateral, non-bank financing, internal finance and indebtedness. We find evidence that investment is substantially lower than the level suggested by economic fundamentals alone and that a considerable financing gap is evident. On average, we find that investment could be 55% higher than present if financing constraints were completely eliminated.</t>
  </si>
  <si>
    <t>[Martinez-Cillero, Maria; Lawless, Martina; O'Toole, Conor; Slaymaker, Rachel] Econ &amp; Social Res Inst, Econ Anal Div, Whitaker Sq, Dublin, Ireland; [Martinez-Cillero, Maria; Lawless, Martina; O'Toole, Conor; Slaymaker, Rachel] Trinity Coll Dublin, Dept Econ, Dublin, Ireland</t>
  </si>
  <si>
    <t>Economic &amp; Social Research Institute (ESRI); Trinity College Dublin</t>
  </si>
  <si>
    <t>O'Toole, C (corresponding author), Econ &amp; Social Res Inst, Econ Anal Div, Whitaker Sq, Dublin, Ireland.</t>
  </si>
  <si>
    <t>Conor.OToole@esri.ie</t>
  </si>
  <si>
    <t>Slaymaker, Rachel/ABB-6232-2020</t>
  </si>
  <si>
    <t>Slaymaker, Rachel/0000-0003-3134-9566</t>
  </si>
  <si>
    <t>1369-1066</t>
  </si>
  <si>
    <t>1464-5343</t>
  </si>
  <si>
    <t>VENTUR CAP</t>
  </si>
  <si>
    <t>Ventur. Cap.</t>
  </si>
  <si>
    <t>JUL 2</t>
  </si>
  <si>
    <t>10.1080/13691066.2020.1771826</t>
  </si>
  <si>
    <t>JUN 2020</t>
  </si>
  <si>
    <t>OM9IM</t>
  </si>
  <si>
    <t>WOS:000544407200001</t>
  </si>
  <si>
    <t>Beikverdi, A; Kim, I; Song, J</t>
  </si>
  <si>
    <t>Chen, J; Yang, LT</t>
  </si>
  <si>
    <t>Beikverdi, Alireza; Kim, InHwan; Song, JooSeok</t>
  </si>
  <si>
    <t>Centralized payment system using social networks account</t>
  </si>
  <si>
    <t>2014 IEEE FOURTH INTERNATIONAL CONFERENCE ON BIG DATA AND CLOUD COMPUTING (BDCLOUD)</t>
  </si>
  <si>
    <t>IEEE Fourth International Conference on Big Data and Cloud Computing (BdCloud)</t>
  </si>
  <si>
    <t>DEC 03-05, 2014</t>
  </si>
  <si>
    <t>Sydney, AUSTRALIA</t>
  </si>
  <si>
    <t>CPS,IEEE Comp Soc</t>
  </si>
  <si>
    <t>Payment System; Social Network; non-banking card payments</t>
  </si>
  <si>
    <t>With the significant growth in the number of social networking users in the world, social networks such as Facebook and Twitter or social messaging networks like KakaoTalk and WhatsApp become part of almost everyone's life. Users are able to socialize and connect to people virtually through the social networks, and these social networks' accounts are getting part of people's identity. From an initial HCI-Q study of 20 users' familiar with online payments and systems, we identified that using social network system as a mean for online payments following a precise and accurate security guidelines would increase the performance of online payments. Most people hold at least one of the many social network accounts as well as different bank accounts. Their identity in social networks can be used as a mean for an online payment process. We proposed a centralized payment system where it stores and integrates user's bank accounts and debit/ credit cards connected to multiple social network accounts of each individual securely. As a result, users are able to send or receive money with their social network accounts where system works as a middleware network that integrates and secures all the actions. Proposed payment system is designed in two digital and real layers where digital layer deals with digital fund and has no cost for transactions while real money flows in the real layer between issuer and acquire banks. Ultimately people can use this system for transferring money between payers and payees using a web or mobile application as well as purchasing items from offline or online merchants.</t>
  </si>
  <si>
    <t>[Beikverdi, Alireza; Kim, InHwan; Song, JooSeok] Yonsei Univ, Dept Comp Sci, Seoul, South Korea</t>
  </si>
  <si>
    <t>Yonsei University</t>
  </si>
  <si>
    <t>Beikverdi, A (corresponding author), Yonsei Univ, Dept Comp Sci, Seoul, South Korea.</t>
  </si>
  <si>
    <t>abeikverdi@emerald.yonsei.ac.kr; ihkim@emerald.yonsei.ac.kr; jssong@emerald.yonsei.ac.kr</t>
  </si>
  <si>
    <t>978-1-4799-6719-3</t>
  </si>
  <si>
    <t>10.1109/BDCloud.2014.39</t>
  </si>
  <si>
    <t>Computer Science, Theory &amp; Methods; Engineering, Electrical &amp; Electronic</t>
  </si>
  <si>
    <t>Computer Science; Engineering</t>
  </si>
  <si>
    <t>BF2AW</t>
  </si>
  <si>
    <t>WOS:000380451500075</t>
  </si>
  <si>
    <t>Smallbone, D; Ram, M; Deakins, D; Baldock, R</t>
  </si>
  <si>
    <t>Access to finance by ethnic minority businesses in the UK</t>
  </si>
  <si>
    <t>INTERNATIONAL SMALL BUSINESS JOURNAL</t>
  </si>
  <si>
    <t>ethnic minority firms; finance; UK</t>
  </si>
  <si>
    <t>This article presents findings from a large-scale study of access to finance and business support by ethnic minority businesses (EMBs) in the UK. The results show more variation between ethnic minority groups than between EMBs (as a group) and white-owned firms; with African/Caribbean owned businesses (ACBs) appearing the most disadvantaged. Analysis shows them to have been less successful in accessing bank loans than either white or other ethnic minority groups and to have a higher propensity to turn to non-bank formal sources of start-up finance (including various sources of 'last resort' lending). Although some of these difficulties are associated with certain types of business activity in which ACBs are concentrated, sector is not a determining influence. The results suggest that ACBs, and/or sectors in which ACBs are concentrated, would appear to justify a targeting priority in any new finance initiatives that are taken.</t>
  </si>
  <si>
    <t>Middlesex Univ, Business Sch, Ctr Enterprise &amp; Econ Dev Res, Hendon NW4 4BT, England; De Montfort Univ, Dept Corp Strategy, Leicester LE1 9BH, Leics, England; Paisley Business Sch, Enterprise Res Ctr, Paisley PA1 2BE, Renfrew, Scotland</t>
  </si>
  <si>
    <t>Middlesex University; De Montfort University; University of West Scotland</t>
  </si>
  <si>
    <t>Smallbone, D (corresponding author), Middlesex Univ, Business Sch, Ctr Enterprise &amp; Econ Dev Res, Burroughs, Hendon NW4 4BT, England.</t>
  </si>
  <si>
    <t>Deakins, David/AAO-1605-2020</t>
  </si>
  <si>
    <t>Ram, Monder/0000-0003-1901-6654</t>
  </si>
  <si>
    <t>SAGE PUBLICATIONS LTD</t>
  </si>
  <si>
    <t>LONDON</t>
  </si>
  <si>
    <t>6 BONHILL STREET, LONDON EC2A 4PU, ENGLAND</t>
  </si>
  <si>
    <t>0266-2426</t>
  </si>
  <si>
    <t>INT SMALL BUS J</t>
  </si>
  <si>
    <t>Int. Small Bus. J.</t>
  </si>
  <si>
    <t>10.1177/02662426030213003</t>
  </si>
  <si>
    <t>709CJ</t>
  </si>
  <si>
    <t>WOS:000184606900003</t>
  </si>
  <si>
    <t>Laborde, R; Oglaza, A; Wazan, S; Barrère, F; Benzekri, A; Chadwick, DW; Venant, R</t>
  </si>
  <si>
    <t>Laborde, Romain; Oglaza, Arnaud; Wazan, Samer; Barrere, Francois; Benzekri, Abdelmalek; Chadwick, David W.; Venant, Remi</t>
  </si>
  <si>
    <t>Know Your Customer: Opening a new bank account online using UAAF</t>
  </si>
  <si>
    <t>2020 IEEE 17TH ANNUAL CONSUMER COMMUNICATIONS &amp; NETWORKING CONFERENCE (CCNC 2020)</t>
  </si>
  <si>
    <t>IEEE Consumer Communications and Networking Conference</t>
  </si>
  <si>
    <t>IEEE 17th Annual Consumer Communications and Networking Conference (CCNC)</t>
  </si>
  <si>
    <t>JAN 10-13, 2020</t>
  </si>
  <si>
    <t>Las Vegas, NV</t>
  </si>
  <si>
    <t>IEEE,IEEE Commun Soc</t>
  </si>
  <si>
    <t>Know Your Customer; Federated Identity Management; FIDO UAF; Verifiable credentials</t>
  </si>
  <si>
    <t>Universal Authentication and Authorization Framework is a user-centric, privacy by design and decentralized system that allows anyone to easily benefit from a reliable digital identity made of multi-purpose and multi-origin attributes. In this article, we present the implementation of this framework in the context of online banking. We demonstrate how it can facilitate enforcing Know Your Customer when opening a new bank account online by allowing users to combine verifiable identity attributes issued by different organizations.</t>
  </si>
  <si>
    <t>[Laborde, Romain; Oglaza, Arnaud; Wazan, Samer; Barrere, Francois; Benzekri, Abdelmalek] Univ Toulouse III Paul Sabatier, Toulouse, France; [Chadwick, David W.] Univ Kent, Canterbury, Kent, England; [Venant, Remi] Univ Le Mans, Le Mans, France</t>
  </si>
  <si>
    <t>Universite de Toulouse; Universite Toulouse III - Paul Sabatier; University of Kent; Le Mans Universite</t>
  </si>
  <si>
    <t>Laborde, R (corresponding author), Univ Toulouse III Paul Sabatier, Toulouse, France.</t>
  </si>
  <si>
    <t>Romain.Laborde@irit.fr; Arnaud.Oglaza@irit.fr; Samer-Ahmad.Wazan@irit.fr; Francois.Barrere@irit.fr; Abdelmalek.Benzekri@irit.fr; d.w.chadwick@kent.ac.uk; Remi.Venant@univ-lemans.fr</t>
  </si>
  <si>
    <t>Laborde, Romain/0000-0002-0943-6180</t>
  </si>
  <si>
    <t>2331-9852</t>
  </si>
  <si>
    <t>978-1-7281-3893-0</t>
  </si>
  <si>
    <t>CONSUM COMM NETWORK</t>
  </si>
  <si>
    <t>Computer Science, Hardware &amp; Architecture; Engineering, Electrical &amp; Electronic; Telecommunications</t>
  </si>
  <si>
    <t>Computer Science; Engineering; Telecommunications</t>
  </si>
  <si>
    <t>BP2PQ</t>
  </si>
  <si>
    <t>WOS:000544236100026</t>
  </si>
  <si>
    <t>Goyal, A</t>
  </si>
  <si>
    <t>Goyal, Ashima</t>
  </si>
  <si>
    <t>Lessons from outperformance in the Indian financial sector</t>
  </si>
  <si>
    <t>GLOBAL POLICY</t>
  </si>
  <si>
    <t>We examine predictions and outcomes for the Indian financial sector in the pandemic period to (i) build a case for re-examining our understanding of the sector and (ii) improve risk perceptions and policy design. Reasons for outperformance include reforms that led to a better balance between discretion from public sector dominance and the excess volatility of market-based systems. This diversity, as well as divergence of the Indian credit cycle from the global credit cycle, was protective given the sustained external risks. It put the sector in a position to support the domestic recovery, despite global quantitative tightening. Public sector banks contribute to diversity. Non-bank financial companies reach the unbanked sectors and improve financial inclusion. Regulatory excesses and absence of liquidity support contributed to persistence of financial stress. Policy lessons are for countries to avoid policy over-reaction, aim for diversity, different types of exposures, some uniformity in financial sector regulation, with the appropriate balance between discipline and support, in order to reduce risks. There are lessons from India's more broad-based regulation for the narrow bank-based regulation in advanced economies, which is increasing global financial fragilities and risks. The share of markets has risen so much there that diversity is falling.</t>
  </si>
  <si>
    <t>[Goyal, Ashima] Indira Gandhi Inst Dev Res, Gen AK Vaidya Marg, Mumbai 400065, India</t>
  </si>
  <si>
    <t>Goyal, A (corresponding author), Indira Gandhi Inst Dev Res, Gen AK Vaidya Marg, Mumbai 400065, India.</t>
  </si>
  <si>
    <t>ashima@igidr.ac.in</t>
  </si>
  <si>
    <t>goyal, ashima/0000-0001-6360-7860</t>
  </si>
  <si>
    <t>1758-5880</t>
  </si>
  <si>
    <t>1758-5899</t>
  </si>
  <si>
    <t>GLOB POLICY</t>
  </si>
  <si>
    <t>Glob. Policy</t>
  </si>
  <si>
    <t>10.1111/1758-5899.13244</t>
  </si>
  <si>
    <t>International Relations; Political Science</t>
  </si>
  <si>
    <t>International Relations; Government &amp; Law</t>
  </si>
  <si>
    <t>CH5U1</t>
  </si>
  <si>
    <t>WOS:001024772400001</t>
  </si>
  <si>
    <t>Ajouz, M; Abuamria, F; Hammad, J</t>
  </si>
  <si>
    <t>Alareeni, B; Hamdan, A</t>
  </si>
  <si>
    <t>Ajouz, Mousa; Abuamria, Faeyz; Hammad, Jehad</t>
  </si>
  <si>
    <t>Factors Influencing Mobile Payment Adoption and Its Role in Promoting Financial Inclusion: An Integrated Reflective Model with Theory of Planned Behavior</t>
  </si>
  <si>
    <t>INNOVATION OF BUSINESSES, AND DIGITALIZATION DURING COVID-19 PANDEMIC, ICBT 2021</t>
  </si>
  <si>
    <t>Lecture Notes in Networks and Systems</t>
  </si>
  <si>
    <t>International Conference on Business and Technology (ICBT)</t>
  </si>
  <si>
    <t>NOV 06-07, 2021</t>
  </si>
  <si>
    <t>Istanbul, TURKEY</t>
  </si>
  <si>
    <t>EuroMid Acad Business &amp; Technol</t>
  </si>
  <si>
    <t>Mobile payment; Financial inclusion; Theory of planned behavior</t>
  </si>
  <si>
    <t>CONTINUANCE INTENTION; USAGE; BEEF</t>
  </si>
  <si>
    <t>This paper investigates the factors influencing mobile payment adoption and its contribution to financial inclusion, which seems sparse and lacking in the literature. Over 75% of Palestinian adults are excluded from financial services by banks and other non-bank financial institutions, so mobile payment is expected to bridge this gap. A quantitative approach was employed using 307 questionnaires designed based on the theory of planned behaviour and reflectivemodel formeasuring financial inclusion. In data analysis, a structural equation modelling in AMOS was applied to data elicited. It was found that all direct paths within the model were supported, except for the paths between subjective norm and mobile payment intention. The proposed model supports the mediation role of attitude, subjective norm, and perceived behavioural control between beliefs and mobile payment intention. Additionally, with successive increases in mobile payment usage, financial inclusion moved further to increase. Precisely, the growth of mobile payment usage by 1% can improve financial inclusion by 0.60%. Taken together, the structural model can explain 36% of covariance in financial inclusion for mobile payment. The originality of this research lies in empirically investigating the potential role of mobile payment in fostering financial inclusion in Palestine, which would contribute to the efforts that intended to overcome the financial exclusion faced by the majority of Palestinian, which benefits the researchers, public, business community, and policymakers.</t>
  </si>
  <si>
    <t>[Ajouz, Mousa; Abuamria, Faeyz] Palestine Ahliya Univ, Bethlehem 1041, Palestine; [Hammad, Jehad] Al Quds Open Univ, Bethlehem 489, Palestine</t>
  </si>
  <si>
    <t>Ajouz, M (corresponding author), Palestine Ahliya Univ, Bethlehem 1041, Palestine.</t>
  </si>
  <si>
    <t>m.ajouz@paluniv.edu.ps; f.abuamria@paluniv.edu.ps; jhammad@qou.edu</t>
  </si>
  <si>
    <t>Hammad, Jehad/ABE-3014-2020; Ajouz, Mousa/IYT-3504-2023</t>
  </si>
  <si>
    <t>Hammad, Jehad/0000-0002-2108-4069; ABUAMRIA, FAEYZ/0000-0002-7323-3679; Ajouz, Mousa/0000-0002-2485-4065</t>
  </si>
  <si>
    <t>SPRINGER INTERNATIONAL PUBLISHING AG</t>
  </si>
  <si>
    <t>2367-3370</t>
  </si>
  <si>
    <t>2367-3389</t>
  </si>
  <si>
    <t>978-3-031-08090-6; 978-3-031-08089-0</t>
  </si>
  <si>
    <t>LECT NOTE NETW SYST</t>
  </si>
  <si>
    <t>10.1007/978-3-031-08090-6_36</t>
  </si>
  <si>
    <t>Business; Business, Finance; Computer Science, Interdisciplinary Applications; Computer Science, Theory &amp; Methods</t>
  </si>
  <si>
    <t>Conference Proceedings Citation Index - Science (CPCI-S); Conference Proceedings Citation Index - Social Science &amp; Humanities (CPCI-SSH)</t>
  </si>
  <si>
    <t>Business &amp; Economics; Computer Science</t>
  </si>
  <si>
    <t>BU3OR</t>
  </si>
  <si>
    <t>WOS:000892369500036</t>
  </si>
  <si>
    <t>Chauhan, S; Verma, A; Kumar, CVRSV</t>
  </si>
  <si>
    <t>Chauhan, Swati; Verma, Ashutosh; Kumar, C. V. R. S. Vijaya</t>
  </si>
  <si>
    <t>Effect of Capital Structure on the Financial and Social Performance of Indian Microfinance Institutions</t>
  </si>
  <si>
    <t>FIIB BUSINESS REVIEW</t>
  </si>
  <si>
    <t>Micro-finance institutions; social and financial performance; capital structure; endogeneity</t>
  </si>
  <si>
    <t>ECONOMIES; OUTREACH; MICROCREDIT; EFFICIENCY; POVERTY; IMPACT; COST; FIRM</t>
  </si>
  <si>
    <t>This study investigates the effect of capital structure on the social and financial performance of microfinance institutions (MFIs), which have a double bottom line objective of outreach and financial sustainability. Generalized method of moments (GMM) and instrumental variable (IV) estimation were used on the panel data set of 46 non-banking finance companies (NBFCs)-MFIs from 2013-2014 to 2018-2019. NBFC-MFIs are formed after the transformation of NGO-MFIs to access market-based sources of funds to increase their outreach. The results show that Indian MFIs are highly leveraged and have bidirectional causality between capital structure and financial and social performance variables. The study found a positive and significant relationship between capital structure and social and financial dimensions of the NBFC-MFIs. It shows that NBFC-MFIs can maintain the dual objectives even after transformation. The study contributes to the scarce literature by emphasizing the role of capital structure on the performance of MFIs, which are playing an essential role in financial inclusion.</t>
  </si>
  <si>
    <t>[Chauhan, Swati] Atal Bihari Vajpayee Inst Good Governance &amp; Policy, Bhopal, Madhya Pradesh, India; [Verma, Ashutosh; Kumar, C. V. R. S. Vijaya] Indian Inst Forest Management, Bhopal, Madhya Pradesh, India; [Chauhan, Swati] Atal Bihari Vajpayee Inst Good Governance &amp; Policy, Bhopal 462003, Madhya Pradesh, India</t>
  </si>
  <si>
    <t>Indian Institute of Forest Management</t>
  </si>
  <si>
    <t>Chauhan, S (corresponding author), Atal Bihari Vajpayee Inst Good Governance &amp; Policy, Bhopal 462003, Madhya Pradesh, India.</t>
  </si>
  <si>
    <t>swati.chauhan09@gmail.com; ashutosh@iifm.ac.in; cvrs@iifm.ac.in</t>
  </si>
  <si>
    <t>; chauhan, swati/R-3322-2019</t>
  </si>
  <si>
    <t>Verma, Ashutosh/0000-0001-7213-9042; chauhan, swati/0000-0002-2760-2947</t>
  </si>
  <si>
    <t>2319-7145</t>
  </si>
  <si>
    <t>2455-2658</t>
  </si>
  <si>
    <t>FIIB BUS REV</t>
  </si>
  <si>
    <t>FIIB Bus. Rev.</t>
  </si>
  <si>
    <t>10.1177/23197145221099677</t>
  </si>
  <si>
    <t>MAY 2022</t>
  </si>
  <si>
    <t>HH6Y2</t>
  </si>
  <si>
    <t>WOS:001158653500005</t>
  </si>
  <si>
    <t>Jain, N; Agrawal, T; Goyal, P; Hassija, V</t>
  </si>
  <si>
    <t>Nigam, MJ; Jain, S; Sood, M</t>
  </si>
  <si>
    <t>Jain, Nimit; Agrawal, Tarushi; Goyal, Pranav; Hassija, Vikas</t>
  </si>
  <si>
    <t>A Blockchain-Based distributed network for Secure Credit Scoring</t>
  </si>
  <si>
    <t>PROCEEDINGS OF 2019 5TH IEEE INTERNATIONAL CONFERENCE ON SIGNAL PROCESSING, COMPUTING AND CONTROL (ISPCC 2K19)</t>
  </si>
  <si>
    <t>IEEE International Conference on Signal Processing Computing and Control</t>
  </si>
  <si>
    <t>5th IEEE International Conference on Signal Processing, Computing and Control (ISPCC)</t>
  </si>
  <si>
    <t>OCT 10-12, 2019</t>
  </si>
  <si>
    <t>Jaypee Univ Informat Technol, Dept Elect &amp; Commun Engn, Waknaghat, INDIA</t>
  </si>
  <si>
    <t>IEEE,Jaiprakash Sewa Sansthan,Jaypee Univ Informat Technol,IEEE Delhi Sect,Jaypee Uni Informat Technol, IEEE Student Branch,Biomed Engn Soc India,GENTECH,AD Instruments,Digital India,BIOPAC Syst Inc,IEEE USA</t>
  </si>
  <si>
    <t>Jaypee Univ Informat Technol, Dept Elect &amp; Commun Engn</t>
  </si>
  <si>
    <t>Blockchain; Credit Score; Digital Identity; Security; Fintech; Privacy</t>
  </si>
  <si>
    <t>Credit scoring is a method that is used by banks to estimate the risk of lending money to an individual. It determines the ability of that person to repay the debts. Higher the credit score, higher is the probability of getting the loan. Before approving the loan, in addition to calculating the credit score, banks also need to digitally verify the client's credentials. This is a very tedious task involving a lot of paperwork. It becomes even more cumbersome when the person is underprivileged i.e. from rural areas or does not hold any bank account. This paper presents a solution to the above problem by introducing a framework that will create a secure digital identity and store the past transactions made to calculate the credit score using blockchain. Blockchain is a digital ledger that is resistant to modifications. It creates a distributed network of users where details of each transaction are transparent, thereby enhancing the level of trust in the network. The aim of this paper is twofold: (1) providing fair and unbiased access to credit to people who are deprived of the basic financial amenities and (2) efficient digital verification.</t>
  </si>
  <si>
    <t>[Jain, Nimit; Agrawal, Tarushi; Goyal, Pranav; Hassija, Vikas] JIIT, Dept Comp Sci &amp; Engn, Noida Campus, Noida, India</t>
  </si>
  <si>
    <t>Jaypee Institute of Information Technology (JIIT)</t>
  </si>
  <si>
    <t>Jain, N (corresponding author), JIIT, Dept Comp Sci &amp; Engn, Noida Campus, Noida, India.</t>
  </si>
  <si>
    <t>Agrawal, Tarun/Y-1125-2019; Hassija, Vikas/AAY-3020-2021</t>
  </si>
  <si>
    <t>2376-5461</t>
  </si>
  <si>
    <t>978-1-7281-3988-3</t>
  </si>
  <si>
    <t>IEEE INT CONF SIG PR</t>
  </si>
  <si>
    <t>10.1109/ispcc48220.2019.8988510</t>
  </si>
  <si>
    <t>Automation &amp; Control Systems; Computer Science, Theory &amp; Methods; Engineering, Electrical &amp; Electronic</t>
  </si>
  <si>
    <t>Automation &amp; Control Systems; Computer Science; Engineering</t>
  </si>
  <si>
    <t>BP2UU</t>
  </si>
  <si>
    <t>WOS:000545264900055</t>
  </si>
  <si>
    <t>Kiemo, S; Kamau, A; Rugiri, IW; Tallam, CC</t>
  </si>
  <si>
    <t>Kiemo, Samuel; Kamau, Anne; Rugiri, Irene W.; Tallam, Camilla C.</t>
  </si>
  <si>
    <t>Macroprudential regulation, bank stability, and the credit market in Kenya</t>
  </si>
  <si>
    <t>AFRICAN DEVELOPMENT REVIEW-REVUE AFRICAINE DE DEVELOPPEMENT</t>
  </si>
  <si>
    <t>bank stability; banks; credit; macroprudential regulation</t>
  </si>
  <si>
    <t>POLICY; TESTS</t>
  </si>
  <si>
    <t>This paper examines the effectiveness of macroprudential regulations in promoting bank stability and the credit market in the Kenyan financial system. The study applies a panel estimation methodology on bank-level and non-bank credit data for the period 2001-2021 to achieve its objectives. The study reveals three key findings. First, overall, the banking sector remains resilient as evidenced by the S-score stability measure. Second, liquidity-related, capital-based, and asset-side macroprudential regulations lower bank stability. Third, there is evidence of dampened bank credit and domestic leakage associated with macroprudential regulations. The paper concludes that macroprudential regulations are ineffective in promoting stability and the credit market. This paper recommends policymakers to use caution when implementing macroprudential conditions. This is to balance out the policy objectives of banking sector stability and access to finance. Additionally, policy makers should be mindful when implementing macroprudential measures that may cause banks to adjust their behavior, leading to domestic credit leakages and cross-border spillovers.</t>
  </si>
  <si>
    <t>[Kiemo, Samuel; Kamau, Anne; Rugiri, Irene W.; Tallam, Camilla C.] Cent Bank Kenya, Dept Res, Nairobi, Kenya</t>
  </si>
  <si>
    <t>Kiemo, S (corresponding author), Cent Bank Kenya, Dept Res, Nairobi, Kenya.</t>
  </si>
  <si>
    <t>kiemomwangi@gmail.com</t>
  </si>
  <si>
    <t>Kiemo, Samuel/0000-0001-6718-8763</t>
  </si>
  <si>
    <t>Kenya Bankers Association</t>
  </si>
  <si>
    <t>1017-6772</t>
  </si>
  <si>
    <t>1467-8268</t>
  </si>
  <si>
    <t>AFR DEV REV</t>
  </si>
  <si>
    <t>Afr. Dev. Rev.</t>
  </si>
  <si>
    <t>10.1111/1467-8268.12782</t>
  </si>
  <si>
    <t>OCT 2024</t>
  </si>
  <si>
    <t>Development Studies</t>
  </si>
  <si>
    <t>P9X2X</t>
  </si>
  <si>
    <t>WOS:001329551200001</t>
  </si>
  <si>
    <t>Birkenmaier, J; Fu, Q</t>
  </si>
  <si>
    <t>Birkenmaier, Julie; Fu, Qiang</t>
  </si>
  <si>
    <t>Household Financial Access and Use of Alternative Financial Services in the US: Two Sides of the Same Coin?</t>
  </si>
  <si>
    <t>SOCIAL INDICATORS RESEARCH</t>
  </si>
  <si>
    <t>Alternative Financial Services; Financial access; Financial exclusion; Social exclusion; Unbanked; Underbanked</t>
  </si>
  <si>
    <t>SOCIAL INCLUSION; EXCLUSION; INSTITUTIONS</t>
  </si>
  <si>
    <t>Financial access, or the household use of formal financial services, includes the ability to access transaction, credit, and investment products and services from formal financial institutions. In contrast, households that use Alternative Financial Services (AFS), or products and services from non-bank sources, lack full financial access and are considered financially excluded. Financial access is a necessary component of strong household financial well-being. Some researchers discuss the two as opposite sides of the same construct, or two sides of the same coin because they are closely related features of one idea. Using national data from the 2015 Financial Capability Study (n=27,564), this study sought to explore the nature of the relationship between financial access and AFS use using confirmatory factor analysis. Results suggest that the two concepts are weakly and positively related, which suggests that they are not two sides of the same coin. The determinates of AFS use are complex, and may include social factors. A holistic approach to expanding financial access may be most effective. Policy implications are also discussed.</t>
  </si>
  <si>
    <t>[Birkenmaier, Julie] St Louis Univ, Coll Publ Hlth &amp; Social Justice, Sch Social Work, 3550 Lindell Blvd, St Louis, MO 63103 USA; [Fu, Qiang] St Louis Univ, Coll Publ Hlth &amp; Social Justice, Sch Publ Hlth, 3545 Lafayette Ave, St Louis, MO 63104 USA</t>
  </si>
  <si>
    <t>Saint Louis University; Saint Louis University</t>
  </si>
  <si>
    <t>Birkenmaier, J (corresponding author), St Louis Univ, Coll Publ Hlth &amp; Social Justice, Sch Social Work, 3550 Lindell Blvd, St Louis, MO 63103 USA.</t>
  </si>
  <si>
    <t>Birkenjm@slu.edu; qifu@slu.edu</t>
  </si>
  <si>
    <t>Birkenmaier, Julie/F-2597-2010</t>
  </si>
  <si>
    <t>Birkenmaier, Julie/0000-0002-3426-1669</t>
  </si>
  <si>
    <t>DORDRECHT</t>
  </si>
  <si>
    <t>VAN GODEWIJCKSTRAAT 30, 3311 GZ DORDRECHT, NETHERLANDS</t>
  </si>
  <si>
    <t>0303-8300</t>
  </si>
  <si>
    <t>1573-0921</t>
  </si>
  <si>
    <t>SOC INDIC RES</t>
  </si>
  <si>
    <t>Soc. Indic. Res.</t>
  </si>
  <si>
    <t>OCT</t>
  </si>
  <si>
    <t>10.1007/s11205-017-1770-6</t>
  </si>
  <si>
    <t>Social Sciences, Interdisciplinary; Sociology</t>
  </si>
  <si>
    <t>Social Sciences - Other Topics; Sociology</t>
  </si>
  <si>
    <t>GT4LE</t>
  </si>
  <si>
    <t>WOS:000444474700015</t>
  </si>
  <si>
    <t>Turkson, FE; Quartey, P; Gyeke-Dako, A; Baffour, PT; Abbey, E; Adu-Danso, E</t>
  </si>
  <si>
    <t>Turkson, Festus Ebo; Quartey, Peter; Gyeke-Dako, Agyapomaa; Twumasi Baffour, Priscilla; Abbey, Emmanuel; Adu-Danso, Emmanuel</t>
  </si>
  <si>
    <t>The Effect of the Electronic Transaction Levy (E-Levy) on Retail Digital Financial Services in Ghana</t>
  </si>
  <si>
    <t>JOURNAL OF AFRICAN BUSINESS</t>
  </si>
  <si>
    <t>Electronic transaction Levy; retail digital financial services; Ghana</t>
  </si>
  <si>
    <t>This paper examined the effect of Ghana's Electronic Transaction Levy (E-Levy), introduced in May 2022, on retail digital financial services, focusing on mobile money agents and small non-bank financial institutions. Drawing on data from 2,908 urban-based micro-enterprises across Ghana, we analyzed how the levy affected business operations, turnover, client base, and financial inclusion outcomes. The findings demonstrate an immediate and substantial decline in both mobile money usage and average turnover following the levy's imposition, with the most pronounced effects among low-income individuals, small businesses, and vulnerable groups. Despite a partial rebound in transaction volumes and turnover by early 2023, the recovery remained uneven; many enterprises, especially female-owned and those in specific regions, continued to face challenges. The study also documents widespread adoption of avoidance strategies by businesses and consumers to minimize exposure to the levy, alongside operational difficulties such as network failures and e-float management. Insights from key informant interviews reinforce these trends. The research underscores the need for regular policy review, increased exemption thresholds, improved public education, and targeted support for vulnerable groups to achieve a balance between revenue mobilization and digital financial sector growth, offering relevant lessons for other countries considering similar levies.</t>
  </si>
  <si>
    <t>[Turkson, Festus Ebo; Twumasi Baffour, Priscilla; Abbey, Emmanuel; Adu-Danso, Emmanuel] Univ Ghana, Dept Econ, Legon, Ghana; [Quartey, Peter] Univ Ghana, Inst Stat Social &amp; Econ Res, Legon, Ghana; [Gyeke-Dako, Agyapomaa] Univ Ghana, Business Sch, POB LG 78, Legon, Ghana</t>
  </si>
  <si>
    <t>University of Ghana; University of Ghana; University of Ghana</t>
  </si>
  <si>
    <t>Gyeke-Dako, A (corresponding author), Univ Ghana, Business Sch, POB LG 78, Legon, Ghana.</t>
  </si>
  <si>
    <t>AGyeke-Dako@ug.edu.gh</t>
  </si>
  <si>
    <t>Adu-Danso, Emmanuel/JQJ-4902-2023; Quartey, Peter/AAR-9777-2021; Abbey, Emmanuel/CAG-6206-2022; Turkson, Festus/IAO-9662-2023; Twumasi Baffour, Priscilla/JQJ-4042-2023</t>
  </si>
  <si>
    <t>Bill &amp; Melinda Gates Foundation; University of Ghana; Retail Finance Distribution (ReFInD) Research Initiative at ISSER</t>
  </si>
  <si>
    <t>Bill &amp; Melinda Gates Foundation(Bill &amp; Melinda Gates FoundationBill &amp; Melinda Gates Foundation Grand Challenges Explorations InitiativeCGIARInstituto Politecnico Nacional - Mexico); University of Ghana; Retail Finance Distribution (ReFInD) Research Initiative at ISSER</t>
  </si>
  <si>
    <t>This research was supported by the Retail Finance Distribution (ReFInD) Research Initiative at ISSER, University of Ghana, with funding from the Bill &amp; Melinda Gates Foundation.</t>
  </si>
  <si>
    <t>1522-8916</t>
  </si>
  <si>
    <t>1522-9076</t>
  </si>
  <si>
    <t>J AFR BUS</t>
  </si>
  <si>
    <t>J. Afr. Bus.</t>
  </si>
  <si>
    <t>2025 DEC 19</t>
  </si>
  <si>
    <t>10.1080/15228916.2025.2597684</t>
  </si>
  <si>
    <t>Y5468</t>
  </si>
  <si>
    <t>WOS:001641718200001</t>
  </si>
  <si>
    <t>Mahmud, SF; Akin, T</t>
  </si>
  <si>
    <t>Mahmud, Seyid F.; Akin, Tarik</t>
  </si>
  <si>
    <t>SMEs' Access to Finance and Choice of Capital Structure in Turkey</t>
  </si>
  <si>
    <t>EGE ACADEMIC REVIEW</t>
  </si>
  <si>
    <t>SME finance; access to finance; seemingly unrelated regression</t>
  </si>
  <si>
    <t>DETERMINANTS; CREDIT</t>
  </si>
  <si>
    <t>The paper analyzes behavior of SMEs in financing their working and fixed capital requirements. The cross-sectional sample employed in this paper is based on the comprehensive World Bank Enterprise Survey (WBES) database. Seemingly unrelated regression (SUR) method has been employed to estimate two separate models for working capital and fixed capital, respectively.The model(s) not only focuses on the behavior of SMEs but also analyzes the behavior of SMEs reporting 'access to finance' as a major impediment in their growth in the survey. The regression results indicate that SMEs in Turkey, despite reporting problems in accessing finance are more dependent on bank financing for working capital. The result is in contrast to the full sample findings where similar SMEs depend less on bank financing and more on internal funds. The result may suggest dominant role of Turkish banking sector compared to the sample at large and policies to support bank financing for the SMEs in Turkey. Furthermore, the results for fixed capital financing for the overall sample shows higher dependence on non-banking modes of finance, supporting the conclusion that equity market(s) may offer viable solution in addressing the fixed capital financing constraints.</t>
  </si>
  <si>
    <t>[Mahmud, Seyid F.] Ankara Sosyal Bilimler Univ, Dept Econ, Ankara, Turkey; [Akin, Tarik] Minist Treasury &amp; Finance, Ankara, Turkey</t>
  </si>
  <si>
    <t>Ankara Sosyal Bilimler Universitesi</t>
  </si>
  <si>
    <t>Mahmud, SF (corresponding author), Ankara Sosyal Bilimler Univ, Dept Econ, Ankara, Turkey.</t>
  </si>
  <si>
    <t>EGE UNIV, FAC ECONOMICS &amp; ADMIN SCIENCES</t>
  </si>
  <si>
    <t>BORNOVA</t>
  </si>
  <si>
    <t>DEPT BUSINESS ADMIN, BORNOVA, 35100, TURKEY</t>
  </si>
  <si>
    <t>1303-099X</t>
  </si>
  <si>
    <t>EGE ACAD REV</t>
  </si>
  <si>
    <t>Ege Acad. Rev.</t>
  </si>
  <si>
    <t>10.21121/eab.521579</t>
  </si>
  <si>
    <t>HW3GI</t>
  </si>
  <si>
    <t>Bronze</t>
  </si>
  <si>
    <t>WOS:000466578000009</t>
  </si>
  <si>
    <t>Akhison, G</t>
  </si>
  <si>
    <t>Akhison, Glad</t>
  </si>
  <si>
    <t>Towards a Universal Digital Identity: a blockchain-based framework for borderless verification</t>
  </si>
  <si>
    <t>FRONTIERS IN BLOCKCHAIN</t>
  </si>
  <si>
    <t>Universal Digital Identity; blockchain; self-sovereign identity; cross-border verification; digital finance; biometric authentication; decentralized identity; global identity</t>
  </si>
  <si>
    <t>Introduction Identity is the cornerstone of trust in modern society, yet current systems remain fragmented, document-based, and restricted by national boundaries. Physical passports, national identity cards, and paper records continue to define global mobility and access to services, despite being vulnerable to fraud, inefficiency, and exclusion. In today's hyperconnected world, human mobility and digital finance have outgrown the boundaries of national identity systems. A traveller can fly from Kigali to London, study in Dubai, and work remotely for a company in Singapore, yet must repeatedly prove who they are through different passports, bank documents, and local IDs. This fragmentation slows innovation, increases compliance costs, and excludes millions who live or work across borders.Methods This paper argues for the establishment of a universal digital identity (UDI) hosted on a decentralised blockchain network. Under this model, each individual undergoes a one-time biometric enrolment capturing face, fingerprint, and voice data secured through cryptographic hashing and immutably stored on a blockchain ledger. A unique digital identity number (UDIN) is then generated, enabling retrieval of identity records worldwide by authorised institutions. Verification may occur in two ways: by presenting the UDIN or by frictionless biometric authentication, such as smiling at a camera or placing a finger on a scanner, instantly confirming identity against the blockchain.Results This system eliminates the need for physical documents, reduces fraud, lowers compliance costs, and enhances global mobility and inclusion. With one ID recognised globally, a person can open a bank account in any country, cross borders securely, and interact in the global economy without friction, paperwork, or repeated verification.Discussion The paper sets out the vision, necessity, operational framework, and implications of a blockchain-based UDI, arguing that such a transformation is both inevitable and essential for the future of the digital economy. The Universal Digital Identity (UDI) envisions a world where a single, verifiable digital credential enables seamless travel, banking, and access to services anywhere on the planet.</t>
  </si>
  <si>
    <t>[Akhison, Glad] Boldswitch, Abuja, Nigeria</t>
  </si>
  <si>
    <t>Akhison, G (corresponding author), Boldswitch, Abuja, Nigeria.</t>
  </si>
  <si>
    <t>gladakhison@boldswitch.ng</t>
  </si>
  <si>
    <t>FRONTIERS MEDIA SA</t>
  </si>
  <si>
    <t>AVENUE DU TRIBUNAL FEDERAL 34, LAUSANNE, CH-1015, SWITZERLAND</t>
  </si>
  <si>
    <t>2624-7852</t>
  </si>
  <si>
    <t>FRONT BLOCKCHAIN</t>
  </si>
  <si>
    <t>Front. Blockchain</t>
  </si>
  <si>
    <t>NOV 26</t>
  </si>
  <si>
    <t>10.3389/fbloc.2025.1688287</t>
  </si>
  <si>
    <t>Computer Science, Information Systems; Computer Science, Interdisciplinary Applications</t>
  </si>
  <si>
    <t>Q0967</t>
  </si>
  <si>
    <t>WOS:001634246600001</t>
  </si>
  <si>
    <t>Hansen-Addy, AE; Parrilli, MD; Tingbani, I</t>
  </si>
  <si>
    <t>Hansen-Addy, Andrew E.; Parrilli, Mario Davide; Tingbani, Ishmael</t>
  </si>
  <si>
    <t>The impact of the regulatory business environment on SMEs' funding choices in developing countries: Evidence from Africa</t>
  </si>
  <si>
    <t>access to finance; Africa; business environment; developing countries; regulatory institutions; SME finance</t>
  </si>
  <si>
    <t>PROPENSITY SCORE; SMALL FIRMS; FINANCIAL LITERACY; PERFORMANCE; ACCESS; GROWTH; INVESTMENT; CREDIT; ENTREPRENEURSHIP; ENTERPRISES</t>
  </si>
  <si>
    <t>While it is known that some elements of the business environment (BE), such as macroeconomic conditions, impact access to finance and the funding choices of SMEs, very little is known whether other elements of the BE-such as the institutional setting and the regulatory business environment (RBE)-influence access to (or supply of) finance and the funding choices of SMEs. Using a World Bank Enterprise Surveys panel sample (2003-2020) from 30 African countries and employing Propensity Score Matching (PSM) methods, it is noted that while an enabling institutional setting and RBE in Africa increases access to external finance for SMEs, SMEs still opt for retained earnings over funding from banking and non-banking financial institutions for their working capital. This funding behaviour can be explained by that SMEs located in enabling RBEs have increased productivity and financial performance and so can employ larger amounts of retained earnings for their operations. Furthermore, even though more accessible in enabling RBEs, external finance remains unaffordable for most SMEs in Africa. These findings indicate the need to tailor interventions to make varied finance more accessible and affordable for SMEs in developing countries.</t>
  </si>
  <si>
    <t>[Hansen-Addy, Andrew E.] Univ Greenwich, Sch Business Operat &amp; Strategy, Greenwich Business Sch, London, England; [Parrilli, Mario Davide] Bournemouth Univ, Fac Management, Execut Business Ctr, Bournemouth, Dorset, England; [Tingbani, Ishmael] Univ Southampton, Southampton Business Sch, Dept Accounting, Southampton, Hants, England</t>
  </si>
  <si>
    <t>University of Greenwich; Bournemouth University; Solent University; University of Southampton</t>
  </si>
  <si>
    <t>Hansen-Addy, AE (corresponding author), Univ Greenwich, Old Naval Coll, Sch Business Operat &amp; Strategy, Greenwich Business Sch, Pk Row, London SE10 9LS, England.</t>
  </si>
  <si>
    <t>a.e.hansenaddy@greenwich.ac.uk</t>
  </si>
  <si>
    <t>Tingbani, Ishmael/P-4098-2018; Hansen-Addy, Andrew/AGO-4067-2022</t>
  </si>
  <si>
    <t>Tingbani, Ishmael/0000-0002-4012-1224; Parrilli, M Davide/0000-0002-1210-403X; Hansen-Addy, Anew Emmanuel/0000-0002-6440-6312;</t>
  </si>
  <si>
    <t>10.1002/ijfe.2951</t>
  </si>
  <si>
    <t>FEB 2024</t>
  </si>
  <si>
    <t>R4H4A</t>
  </si>
  <si>
    <t>WOS:001167063800001</t>
  </si>
  <si>
    <t>Shmuratko, YA; Sheludko, SA</t>
  </si>
  <si>
    <t>Shmuratko, Ya A.; Sheludko, S. A.</t>
  </si>
  <si>
    <t>FINANCIAL TECHNOLOGIES' IMPACT ON THE DEVELOPMENT OF BANKING</t>
  </si>
  <si>
    <t>FINANCIAL AND CREDIT ACTIVITY-PROBLEMS OF THEORY AND PRACTICE</t>
  </si>
  <si>
    <t>banking; blockchain; competition; financial market; FinTech; innovations; non-bank financial institution; risk</t>
  </si>
  <si>
    <t>The development of financial technologies, so-called FinTech, has fundamentally changed the architecture of the modern financial services market, significantly affecting the role of banks in it. These changes determine the need of new approaches for the market behavior of both banks (to maintain competitive positions) and regulators (in order to prevent potential crisis phenomena). It is substantiated that at the present stage of development of financial-credit intermediation, determinants of competitive behavior of banks are nonconventional factors such as a degree of freedom to enter the market, an information asymmetry, a level of services and marketing support, an emergence of electronic channels for banking products' distribution, the development of electronic payment systems and transfers of other banking information. It is investigated main approaches to the definition of financial technologies (FinTech). It is justified the necessity of distinguishing this concept and the FinTech segment, it is proposed to define financial technologies in the narrow sense as the provision of financial services by non-banking institutions using modern information technologies, which is rationalizing the analysis of the FinTech's role in the banking. In the article it is identified and characterized external (caused by the objective development of society and fundamental changes in the banks' environment) and internal (caused by the need of maintaining the competitive positions by banks) factors of financial technologies' development. It is proved that the FinTech's impact on banking is determined by changes in the structure of the financial services market, a decrease in barriers to entry the market, and an increase of its spatial coverage. The development of FinTech leads to lower costs and higher efficiency of banks, increased competition in the banking environment, reduced information asymmetry, increased financial inclusion, but at the same time leads to the generation of new financial and technological risks for banks.</t>
  </si>
  <si>
    <t>[Shmuratko, Ya A.; Sheludko, S. A.] Odessa Natl Univ Econ, Odessa, Ukraine</t>
  </si>
  <si>
    <t>Ministry of Education &amp; Science of Ukraine; Odesa National Economic University</t>
  </si>
  <si>
    <t>Shmuratko, YA (corresponding author), Odessa Natl Univ Econ, Odessa, Ukraine.</t>
  </si>
  <si>
    <t>yshmuratko@gmail.com; s.szeludko@gmail.com</t>
  </si>
  <si>
    <t>Sheludko, Sergii/H-4614-2016</t>
  </si>
  <si>
    <t>Sheludko, Sergii/0000-0003-0636-4940</t>
  </si>
  <si>
    <t>FINTECHALIANCE</t>
  </si>
  <si>
    <t>Kyiv</t>
  </si>
  <si>
    <t>Highway Kharkivska, bldg 180/21, Kyiv, UKRAINE</t>
  </si>
  <si>
    <t>2306-4994</t>
  </si>
  <si>
    <t>2310-8770</t>
  </si>
  <si>
    <t>FINANC CREDIT ACT</t>
  </si>
  <si>
    <t>Financ. Credit Act.</t>
  </si>
  <si>
    <t>KD0EB</t>
  </si>
  <si>
    <t>WOS:000507543400007</t>
  </si>
  <si>
    <t>Chen, DQ; Ma, CQ; Mi, XH; Luo, M; Yang, T</t>
  </si>
  <si>
    <t>Chen, Dongqing; Ma, Chaoqun; Mi, Xianhua; Luo, Meng; Yang, Ting</t>
  </si>
  <si>
    <t>From Data Sharing to Credit Availability: Causal Identification and Transmission Path of Open Government Data on Corporate Financing Constraints</t>
  </si>
  <si>
    <t>EMERGING MARKETS FINANCE AND TRADE</t>
  </si>
  <si>
    <t>Open government data; data sharing; corporate financing constraints; financial inclusion; credit availability; M48</t>
  </si>
  <si>
    <t>INVESTMENT; DISCLOSURE; MARKETS; COST</t>
  </si>
  <si>
    <t>Information asymmetry fundamentally drives corporate financing constraints; yet traditional firm-level disclosures frequently fail to mitigate it due to their susceptibility to strategic manipulation and credibility deficits. This paper identifies open government data (OGD) as a pivotal solution that is an exogenous and institutionally validated information infrastructure, transcending the limitations of firm-controlled mechanisms. Leveraging China's staggered provincial OGD platform launches in a quasi-natural experiment, we deploy a multi-period difference-in-differences (DID) design to identify causal effects. Results show OGD reduces financing constraints by 3.4% on average, primarily via two democratizing pathways: (i) expanding bank credit availability through increased unsecured lending, reducing reliance on traditional collateral; and (ii) strengthening non-bank financing via enhanced supply chain trade credit access, a critical yet policy-neglected channel. Heterogeneity analyses show that OGD most significantly alleviates financing constraints for informationally marginalized firms: SMEs and digitally mature firms by mitigating thin-file disadvantages; low-quality disclosers by offsetting credibility gaps; and firms with concentrated ownership by facilitating external monitoring. Crucially, for firms with robust internal controls, OGD complements governance through independent validation, highlighting its role as a governance amplifier rather than a substitute. This study provides empirical evidence that public data sharing can offer scalable solutions for enhancing financial inclusion.</t>
  </si>
  <si>
    <t>[Chen, Dongqing; Ma, Chaoqun; Mi, Xianhua; Luo, Meng; Yang, Ting] Hunan Univ, Business Sch, 1 Lushan South Rd,Juzizhou St, Changsha, Hunan, Peoples R China; [Chen, Dongqing; Ma, Chaoqun; Mi, Xianhua; Luo, Meng; Yang, Ting] Hunan Univ, Key Lab Highperformance Distributed Ledger Technol, Minist Educ, Changsha, Peoples R China; [Chen, Dongqing; Ma, Chaoqun; Mi, Xianhua; Luo, Meng; Yang, Ting] Hunan Univ, Res Inst Digital Soc &amp; Blockchain, Changsha, Peoples R China</t>
  </si>
  <si>
    <t>Hunan University; Hunan University; Hunan University</t>
  </si>
  <si>
    <t>Mi, XH (corresponding author), Hunan Univ, Business Sch, 1 Lushan South Rd,Juzizhou St, Changsha, Hunan, Peoples R China.</t>
  </si>
  <si>
    <t>mixh2021@hnu.edu.cn</t>
  </si>
  <si>
    <t>Hunan Provincial Natural Science Foundation, China [2022JJ40105]; National Natural Science Foundation of China [72201094]; Huxiang Youth Talent Support Program [2023RC3091]</t>
  </si>
  <si>
    <t>Hunan Provincial Natural Science Foundation, China(Natural Science Foundation of Hunan Province); National Natural Science Foundation of China(National Natural Science Foundation of China (NSFC)); Huxiang Youth Talent Support Program</t>
  </si>
  <si>
    <t>This work is funded by National Natural Science Foundation of China [72201094], Huxiang Youth Talent Support Program [2023RC3091] and Hunan Provincial Natural Science Foundation, China [No. 2022JJ40105].</t>
  </si>
  <si>
    <t>1540-496X</t>
  </si>
  <si>
    <t>1558-0938</t>
  </si>
  <si>
    <t>EMERG MARK FINANC TR</t>
  </si>
  <si>
    <t>Emerg. Mark. Financ. Trade</t>
  </si>
  <si>
    <t>2025 DEC 26</t>
  </si>
  <si>
    <t>10.1080/1540496X.2025.2604601</t>
  </si>
  <si>
    <t>Business; Economics; International Relations</t>
  </si>
  <si>
    <t>Business &amp; Economics; International Relations</t>
  </si>
  <si>
    <t>AL9RT</t>
  </si>
  <si>
    <t>WOS:001651268900001</t>
  </si>
  <si>
    <t>Hurani, J; Abdel-Haq, MK</t>
  </si>
  <si>
    <t>Hurani, Jamal; Abdel-Haq, Mohammed Kayed</t>
  </si>
  <si>
    <t>Factors Influencing FinTech Adoption Among Bank Customers in Palestine: An Extended Technology Acceptance Model Approach</t>
  </si>
  <si>
    <t>INTERNATIONAL JOURNAL OF FINANCIAL STUDIES</t>
  </si>
  <si>
    <t>FinTech; extended technology acceptance model; Palestine; banking; financial inclusion; trust; awareness; brand</t>
  </si>
  <si>
    <t>PERCEIVED USEFULNESS; INFORMATION-SYSTEMS; DEVELOPING-COUNTRY; USER ACCEPTANCE; TAM; SERVICES; FUTURE; TRUST; EASE</t>
  </si>
  <si>
    <t>This study examines FinTech adoption in the Palestinian banking sector, highlighting its role in driving innovation, improving customer satisfaction, and ensuring competitiveness. Using an extended Technology Acceptance Model (TAM) and SmartPLS 4.0 software for structural equation modeling, the research investigates factors influencing FinTech adoption among Palestinian bank customers. Findings show high adoption rates, with nearly half of customers also using non-bank FinTech services. While most prefer FinTech solutions from their banks, many are open to switching providers for better service, convenience, or pricing. Brand strength, trust, and awareness significantly impact perceptions of ease of use and usefulness. Customers trust bank-provided FinTech for precision and reliability but remain concerned about security. A lack of customer awareness highlights the need for targeted educational campaigns. These insights confirm the selection of an extended TAM framework as being an appropriate analytical tool in the Palestinian banking sector, incorporating brand, trust, and awareness alongside ease of use and usefulness. It emphasizes the need for banks to innovate, strengthen security, and enhance awareness efforts to retain and attract customers in a competitive landscape.</t>
  </si>
  <si>
    <t>[Hurani, Jamal; Abdel-Haq, Mohammed Kayed] Univ Bolton, Ctr Islamic Finance, Bolton BL3 5AB, England</t>
  </si>
  <si>
    <t>University of Greater Manchester</t>
  </si>
  <si>
    <t>Hurani, J (corresponding author), Univ Bolton, Ctr Islamic Finance, Bolton BL3 5AB, England.</t>
  </si>
  <si>
    <t>jh13bbs@bolton.ac.uk; mohammed.abdel-haq@bolton.ac.uk</t>
  </si>
  <si>
    <t>Hurani, Jamal/0009-0005-7008-5542</t>
  </si>
  <si>
    <t>2227-7072</t>
  </si>
  <si>
    <t>INT J FINANC STUD</t>
  </si>
  <si>
    <t>Int. J. Financ. Stud.</t>
  </si>
  <si>
    <t>JAN 16</t>
  </si>
  <si>
    <t>10.3390/ijfs13010011</t>
  </si>
  <si>
    <t>0OY2T</t>
  </si>
  <si>
    <t>WOS:001452550000001</t>
  </si>
  <si>
    <t>Almeer, A; Nawaz, T</t>
  </si>
  <si>
    <t>Almeer, Abdullah; Nawaz, Tasawar</t>
  </si>
  <si>
    <t>A stitch in time: access to finance and the export ascent of saudi SMEs</t>
  </si>
  <si>
    <t>JOURNAL OF ECONOMIC STUDIES</t>
  </si>
  <si>
    <t>SME exports; Access to finance; Credit constraints; Saudi Arabia; Trade finance; Emerging markets</t>
  </si>
  <si>
    <t>CREDIT CONSTRAINTS; TRADE</t>
  </si>
  <si>
    <t>PurposeThis study aims to examine how access to finance shapes both export participation and export intensity among Saudi small and medium-sized enterprises (SMEs), distinguishing bank and non-bank formal finance, alternative finance and binding credit constraints.Design/methodology/approachUsing firm-level data from the 2023 World Bank Enterprise Survey and estimating probit and instrumental variable probit models, we disentangle the effects of different financing channels on export likelihood while addressing endogeneity. Moreover, we estimate fractional probit and instrumental variable fractional probit models to disentangle the effects of different financing channels on export shares.FindingsThe results show that stringent credit constraints significantly reduce the probability of SMEs exporting, whereas formal credit exhibits no positive effect, and in some cases, a negative one, on export activity. By contrast, conventional bank loans and broader access to external funding, including trade finance and overdraft facilities, correlate positively with exporting in standard models but lose significance or turn negative once endogeneity is considered, suggesting such finance often serves as a last resort for constrained firms.Originality/valueSituated in an emerging-economy setting, this work advances trade-finance scholarship by showing that the quality and fit of financing, rather than aggregate credit volumes, drive export outcomes. It calls for targeted, SME-friendly and culturally compatible financing instruments, such as Islamic trade finance and credit guarantees, to bridge the gap between financial inclusion and global market integration.</t>
  </si>
  <si>
    <t>[Almeer, Abdullah; Nawaz, Tasawar] King Fahd Univ Petr &amp; Minerals, Dept Accounting &amp; Finance, Dhahran, Saudi Arabia; [Nawaz, Tasawar] King Fahd Univ Petr &amp; Minerals, Ctr Finance &amp; Digital Econ, Dhahran, Saudi Arabia</t>
  </si>
  <si>
    <t>King Fahd University of Petroleum &amp; Minerals; King Fahd University of Petroleum &amp; Minerals</t>
  </si>
  <si>
    <t>Almeer, A (corresponding author), King Fahd Univ Petr &amp; Minerals, Dept Accounting &amp; Finance, Dhahran, Saudi Arabia.</t>
  </si>
  <si>
    <t>almeer@kfupm.edu.sa; tasawar.nawaz@kfupm.edu.sa</t>
  </si>
  <si>
    <t>0144-3585</t>
  </si>
  <si>
    <t>1758-7387</t>
  </si>
  <si>
    <t>J ECON STUD</t>
  </si>
  <si>
    <t>J. Econ. Stud.</t>
  </si>
  <si>
    <t>2025 DEC 24</t>
  </si>
  <si>
    <t>10.1108/JES-08-2025-0622</t>
  </si>
  <si>
    <t>AC0AH</t>
  </si>
  <si>
    <t>WOS:001644529100001</t>
  </si>
  <si>
    <t>Girijan, S; Ramachandran, R</t>
  </si>
  <si>
    <t>Girijan, Susmitha; Ramachandran, Remya</t>
  </si>
  <si>
    <t>Analysis of the Double Bottom Line Performance of Microfinance Institutions in India and the Need for Regulation in the Indian MFI Sector</t>
  </si>
  <si>
    <t>AUSTRALASIAN ACCOUNTING BUSINESS AND FINANCE JOURNAL</t>
  </si>
  <si>
    <t>Microfinance; Financial Inclusion; Double Bottom Line; Social Performance; Financial Regulation</t>
  </si>
  <si>
    <t>Poverty and Financial exclusion are the greatest challenges facing an emerging economy like India. Many countries, including India, had implemented subsidised credit to irradicate poverty, which only increased the NPA (Non-Performing Assets). MFIs (Microfinance Institutions) were formed to bridge the gap between the formal financial sector and the financially excluded. Social commitment forms one of the basic characteristics of the MFIs, and now its scope is broadening to social performance. However, like any other organisation, to continue their operations in the long run, financial sustainability is a key determinant for MFIs. Thus, the double bottom line commitments imply balancing financial and social performance. Certain developments in recent years brought a fresh focus on the problem of regulation in the field of microfinance. In the present scenario, the Indian MFI sector is largely unregulated. In India, a variety of legal forms of MFIs are found like NBFC-MFIs (Non-Banking Financial Companies-Microfinance Institutions), NBFCs, SHGs (Self Help Groups), Society, NGOs (Non-Governmental Organisations), Trusts, and Sec. 8 Company, etc., among which the lion's share goes to NBFC-MFIs/NBFCs. The paper analyses the double bottom-line performance of MFIs in India using secondary data of Indian MFIs extracted from various reports of Sa-Dhan, the World Bank, and the RBI (Reserve Bank of India). The paper also attempts to highlight the need for a regulatory body to guide, supervise and regulate different players in the Indian MFI sector.</t>
  </si>
  <si>
    <t>[Girijan, Susmitha] Sacred Heart Coll, Kochi, Kerala, India; [Ramachandran, Remya] Cochin Univ Sci &amp; Technol, Sch Management Studies, Kochi, Kerala, India</t>
  </si>
  <si>
    <t>Sacred Heart College; Cochin University Science &amp; Technology</t>
  </si>
  <si>
    <t>Girijan, S (corresponding author), Sacred Heart Coll, Kochi, Kerala, India.</t>
  </si>
  <si>
    <t>susmithagirijan@shcollege.ac.in</t>
  </si>
  <si>
    <t>UNIV WOLLONGONG</t>
  </si>
  <si>
    <t>WOLLONGONG</t>
  </si>
  <si>
    <t>NORTHFIELDS AVE, WOLLONGONG, NSW 2522, AUSTRALIA</t>
  </si>
  <si>
    <t>1834-2000</t>
  </si>
  <si>
    <t>1834-2019</t>
  </si>
  <si>
    <t>AUSTRALAS ACCOUNT BU</t>
  </si>
  <si>
    <t>Australas. Account. Bus. Financ. J.</t>
  </si>
  <si>
    <t>6X8IQ</t>
  </si>
  <si>
    <t>WOS:000896651600007</t>
  </si>
  <si>
    <t>Folwarski, M</t>
  </si>
  <si>
    <t>Folwarski, Mateusz</t>
  </si>
  <si>
    <t>THE IMPACT OF SELECTED REGULATIONS ON THE DEVELOPMENT OF PAYMENTS SYSTEMS IN POLAND</t>
  </si>
  <si>
    <t>MARKETING AND MANAGEMENT OF INNOVATIONS</t>
  </si>
  <si>
    <t>payments systems; mobile application; electronic wallet; banks</t>
  </si>
  <si>
    <t>World trends indicate an increasing share of non-cash transactions in general transactions made by the non-financial sector. The promotion of non-cash transactions leads to the occurrence of various types of risks in banking operations. Modern technologies and household preferences, as well as the promotion of non-cash transactions, support the dynamic development of payment systems around the world. Non-financial sector is increasingly interested in new payment methods. According to the research, the global distribution of non-cash payments will be largely dominated by the e-wallet as well as debit and credit cards. The situation In Poland is different comparing to global trend. Bank transfers have a very large share in making non-cash payments. Despite we state that further marginalizing of trends leads to situation when profits in retail banking, mainly in the area of payments, is endangered. Data on retail payment systems supervised by the President of the National Bank of Poland confirm this trend. The preferred strategy for most banks is to create start-up programs (so-called incubators), to cooperate with companies from the FinTech sector, and to create venture funds to finance FinTech companies. Payment systems create a system composed of many complementary factors. Several types of risks related to the proper functioning of this financial market element are noticeable in these systems. According to the law, the National Polish Bank was entrusted with organizing monetary settlements and acting for the stability of the domestic financial system. System supervision is exercised over the payment system, which focuses on the functioning of payment systems, payment schemes, settlement systems and securities settlement systems, as well as providing acquiring services. Market regulators are facing a growing challenge regarding the level of regulation and availability of payment systems for non-bank payment organizations. Transformation of the supervision system is to be based on perception that development of systems and payment schemes is inevitable, the applicable regulations and the promotion of noncash transactions are conducive to the emergence of a larger number of enterprises that are not financial institutions, which can get access to household bank accounts.</t>
  </si>
  <si>
    <t>[Folwarski, Mateusz] Cracow Univ Econ, Fac Finance &amp; Law, Banking Dept, Krakow, Poland</t>
  </si>
  <si>
    <t>Cracow University of Economics</t>
  </si>
  <si>
    <t>Folwarski, M (corresponding author), Cracow Univ Econ, Fac Finance &amp; Law, Banking Dept, Krakow, Poland.</t>
  </si>
  <si>
    <t>Folwarski, Mateusz/T-2530-2018</t>
  </si>
  <si>
    <t>Folwarski, Mateusz/0000-0001-6109-9110</t>
  </si>
  <si>
    <t>SUMY STATE UNIV, DEPT MARKETING &amp; MIA</t>
  </si>
  <si>
    <t>SUMY</t>
  </si>
  <si>
    <t>RYMSKIY-KORSAKOV ST 2, SUMY, 40007, UKRAINE</t>
  </si>
  <si>
    <t>2218-4511</t>
  </si>
  <si>
    <t>MARK MANAG INNOV</t>
  </si>
  <si>
    <t>Mark. Manag. Innov.</t>
  </si>
  <si>
    <t>10.21272/mmi.2018.3-27</t>
  </si>
  <si>
    <t>GV5AF</t>
  </si>
  <si>
    <t>WOS:000446112400027</t>
  </si>
  <si>
    <t>Banik, B; Roy, CK</t>
  </si>
  <si>
    <t>Banik, Banna; Roy, Chandan Kumar</t>
  </si>
  <si>
    <t>Measuring fintech-driven financial inclusion for developing countries: Comprehensive Digital Financial Inclusion Index (CDFII)</t>
  </si>
  <si>
    <t>ECONOMIC JOURNAL OF EMERGING MARKETS</t>
  </si>
  <si>
    <t>&amp; horbar; Financial inclusion; fintech; digital financial services; comprehensive digital financial inclusion index</t>
  </si>
  <si>
    <t>ACCESS</t>
  </si>
  <si>
    <t>Purpose &amp; horbar; The main objective of this study is to develop a comprehensive digital financial inclusion index (CDFII) that accounts for technology-driven financial inclusion and to compare it with a traditional financial inclusion index (TFII) to enhance the measurement of fintech-driven financial inclusion across countries. Methods &amp; horbar; The study employs a three-stage principal component analysis (PCA) to construct the CDFII and TFII using the latest available data from 31 developing countries during the period 2015-2021. The CDFII incorporates a new sub-index measuring individual literacy levels for using financial services, along with existing sub-indices capturing the penetration, availability, and usage of DFS. By integrating digital financial inclusion (DFII) and TFII, the overall CDFII is estimated. Findings &amp; horbar; The findings reveal that the levels of DFII and CDFII are higher than TFII for most of the economies examined. This indicates the significant impact of technology-driven financial inclusion in expanding access to formal banking and non-banking financial services for previously unbanked populations. Implication &amp; horbar; The study implies that policymakers and researchers should prioritize the integration of technology-driven financial inclusion indicators, such as the comprehensive digital financial inclusion index (CDFII), into their assessments and interventions to ensure a more accurate and effective approach to promoting inclusive and sustainable economic development. Originality &amp; horbar; This study introduces the CDFII as a novel comprehensive index that addresses the shortcomings of traditional financial inclusion indices. By incorporating individual skill levels and considering dimensions specific to DFS, the CDFII provides a more accurate representation of fintech-driven financial inclusion levels. This contributes to the existing literature on financial inclusion measurement and provides a valuable analytical tool for researchers and policymakers.</t>
  </si>
  <si>
    <t>[Banik, Banna; Roy, Chandan Kumar] Bangladesh Bank, Dhaka, Bangladesh</t>
  </si>
  <si>
    <t>Roy, CK (corresponding author), Bangladesh Bank, Dhaka, Bangladesh.</t>
  </si>
  <si>
    <t>banna.banik@yahoo.com; chandan_hstu@yahoo.com</t>
  </si>
  <si>
    <t>Banik, Banna/AAP-9001-2021; Roy, Chandan Kumar/AAP-9009-2021</t>
  </si>
  <si>
    <t>Banik, Banna/0000-0003-0847-4334; Roy, Chandan Kumar/0000-0003-3681-8771</t>
  </si>
  <si>
    <t>UNIV ISLAM INDONESIA</t>
  </si>
  <si>
    <t>YOGYAKARTA</t>
  </si>
  <si>
    <t>JL KALIURANG KM 14 5, KEC SLEMAN, YOGYAKARTA, 00000, INDONESIA</t>
  </si>
  <si>
    <t>2086-3128</t>
  </si>
  <si>
    <t>2502-180X</t>
  </si>
  <si>
    <t>ECON J EMERG MARK</t>
  </si>
  <si>
    <t>Econ. J. Emerg. Mark.</t>
  </si>
  <si>
    <t>10.20885/ejem.vol15.iss2.art3</t>
  </si>
  <si>
    <t>X3FK8</t>
  </si>
  <si>
    <t>WOS:001097342800003</t>
  </si>
  <si>
    <t>Pellegrini, F</t>
  </si>
  <si>
    <t>Vrankic, I; Kozina, G; Kovsca, V</t>
  </si>
  <si>
    <t>Pellegrini, Francesca</t>
  </si>
  <si>
    <t>MICROCREDIT IN ITALY: SEARCHING FOR A MODEL</t>
  </si>
  <si>
    <t>ECONOMIC AND SOCIAL DEVELOPMENT: 9TH INTERNATIONAL SCIENTIFIC CONFERENCE</t>
  </si>
  <si>
    <t>9th International Scientific Conference on Economic and Social Development (ESD)</t>
  </si>
  <si>
    <t>APR 09-10, 2015</t>
  </si>
  <si>
    <t>Varazdin Dev &amp; Entrepreneurship Agcy, Istanbul, TURKEY</t>
  </si>
  <si>
    <t>Varazdin Dev &amp; Entrepreneurship Agcy</t>
  </si>
  <si>
    <t>Financial exclusion; Financial inclusion; Financial literacy; Loan; Microcredit; Microfinance; Unbanked</t>
  </si>
  <si>
    <t>The main purpose of this analysis is to identify a best practice benchmark for the microfinance phenomenon in Italy. Starting from a review of current legislation, I continue the analysis with particular reference to the various types of non-bank lenders in the market and the respective different operating methods used to provide their services. The analysis shows that although each of these operators is able to provide effective solutions in terms of financial inclusion, none is able to offer actual solutions in terms of financial sustainability. No model was found to be uniquely superior to others. Moreover, despite the wide institutional variety, a best practice benchmark cannot be currently identified. Drawing on this research, I identify three main objectives of the microfinance industry: (i) Provide access to capital in order to help vulnerable individuals and families at risk of sliding deeper into poverty and social and financial exclusion; (ii) Provide financial literacy, monitoring, and tutoring in order to avoid excessive debt load; (iii) Prevent and fight the phenomena of usury. I also identify common general issues faced by microcredit: (i) The lack of new and innovative strategies of risk management that also include soft information; (ii) Developing the ability to face high costs which are mainly due to activities aimed at collecting intangible information, promoting financial literacy and guiding the beneficiary throughout the life-time of the loan; (iii) Achievement of the sustainability of the business over time. In order to address the issues highlighted in this analysis, especially achieving the financial sustainability of microfinance institutions, the intervention of the legislator is needed. Indeed, the legislator should not solely focus on the characteristics of the beneficiary but should also help design a viable  loan delivery process in order to define the key elements of the process of microcredit (i.e., monitoring, scoring, tutoring).</t>
  </si>
  <si>
    <t>[Pellegrini, Francesca] Univ Bologna, Bologna, Italy</t>
  </si>
  <si>
    <t>University of Bologna</t>
  </si>
  <si>
    <t>Pellegrini, F (corresponding author), Univ Bologna, Bologna, Italy.</t>
  </si>
  <si>
    <t>francesca.pellegrin7@unibo.it</t>
  </si>
  <si>
    <t>VARAZDIN DEVELOPMENT &amp; ENTREPRENEURSHIP AGENCY</t>
  </si>
  <si>
    <t>VARAZDIN</t>
  </si>
  <si>
    <t>MIHANOVICEVA 4, VARAZDIN, 00000, CROATIA</t>
  </si>
  <si>
    <t>978-953-6125-16-6</t>
  </si>
  <si>
    <t>Economics; Regional &amp; Urban Planning</t>
  </si>
  <si>
    <t>Business &amp; Economics; Public Administration</t>
  </si>
  <si>
    <t>BL4MO</t>
  </si>
  <si>
    <t>WOS:000450585000030</t>
  </si>
  <si>
    <t>Krishna, S</t>
  </si>
  <si>
    <t>Krishna, Shyam</t>
  </si>
  <si>
    <t>Digital identity, datafication and social justice: understanding Aadhaar use among informal workers in south India</t>
  </si>
  <si>
    <t>INFORMATION TECHNOLOGY FOR DEVELOPMENT</t>
  </si>
  <si>
    <t>Digital identity; datafication; data justice; biometrics; surveillance</t>
  </si>
  <si>
    <t>BIG DATA; PRIVACY; SURVEILLANCE; DATAVEILLANCE; POLICIES</t>
  </si>
  <si>
    <t>Aadhaar, India's national biometric digital identity program aims to provide 12-digit number for every Indian resident. Through this Aadhaar seeks to achieve digital financial inclusion of groups like marginalized informal workers. This paper focuses on experiences of informal worker groups - of cab-drivers and domestic workers in a south Indian city who use Aadhaar as an identity for verification on online recruitment portals and gig-economy apps. The paper contributes a novel theoretical lens to the literature on 'data justice' and more broadly to ICT4D research. It operationalizes the cultural, economic and political dimensions of 'abnormal justice' as being synergistic with surveillance and datafication inherent to digital identity. Using empirical evidence of semi-structured interviews and field observations, this paper present three critical findings: current use of digital identities reifies extant cultural inequalities experienced by marginalized workers; unprotected datafication exploits the new-found digital participation of the marginalized to create further economic inequalities; and unfair and complex barriers continue to exist for the marginalized using digital identity to voice 'informed consent' or to access redressals to security issues.</t>
  </si>
  <si>
    <t>[Krishna, Shyam] Royal Holloway Univ London, Sch Business &amp; Management, Egham, Surrey, England</t>
  </si>
  <si>
    <t>University of London; Royal Holloway University London</t>
  </si>
  <si>
    <t>Krishna, S (corresponding author), Royal Holloway Univ London, Sch Business &amp; Management, Egham, Surrey, England.</t>
  </si>
  <si>
    <t>shyamkrishna.r@gmail.com</t>
  </si>
  <si>
    <t>'Urban Data, Inequality and Justice in the Global South' - University of Manchester's Sustainable Consumption Institute; Canada's International Development Research Centre</t>
  </si>
  <si>
    <t>'Urban Data, Inequality and Justice in the Global South' - University of Manchester's Sustainable Consumption Institute; Canada's International Development Research Centre(International Development Research Centre - IDRC)</t>
  </si>
  <si>
    <t>This paper in a working paper version was funded by The 'Urban Data, Inequality and Justice in the Global South' case studies which form part of a Senior Research Fellowship under funding by the University of Manchester's Sustainable Consumption Institute with additional financial support from Canada's International Development Research Centre.</t>
  </si>
  <si>
    <t>0268-1102</t>
  </si>
  <si>
    <t>1554-0170</t>
  </si>
  <si>
    <t>INFORM TECHNOL DEV</t>
  </si>
  <si>
    <t>Inform. Technol. Dev.</t>
  </si>
  <si>
    <t>JAN 2</t>
  </si>
  <si>
    <t>10.1080/02681102.2020.1818544</t>
  </si>
  <si>
    <t>Development Studies; Information Science &amp; Library Science</t>
  </si>
  <si>
    <t>PM6XU</t>
  </si>
  <si>
    <t>WOS:000569502200001</t>
  </si>
  <si>
    <t>Ibrahim, Y; Ahmed, I; Minai, MS</t>
  </si>
  <si>
    <t>Ibrahim, Yusnidah; Ahmed, Iftekhar; Minai, Mohd Sobri</t>
  </si>
  <si>
    <t>THE INFLUENCE OF INSTITUTIONAL CHARACTERISTICS ON FINANCIAL PERFORMANCE OF MICROFINANCE INSTITUTIONS IN THE OIC COUNTRIES</t>
  </si>
  <si>
    <t>ECONOMICS &amp; SOCIOLOGY</t>
  </si>
  <si>
    <t>microfinance; financial performance; sustainability; OIC</t>
  </si>
  <si>
    <t>OUTREACH; EFFICIENCY; HETEROSKEDASTICITY; SUSTAINABILITY; DETERMINANTS; IMPACT</t>
  </si>
  <si>
    <t>Microfinance institutions (MFIs) proved to be a powerful tool for financial inclusion through developing entrepreneurial activities in rural areas. MFIs provide small-scale loans to the poor who have no access to traditional banking and financial system. However, in the pursuit to meet their social obligation, MFIs need to be financially sustainable and this sustainability largely depends on the institution's characteristics. This study investigates the influence of MFIs' characteristics on their financial performance, using the panel dataset of 57 microfinance institutions from the member countries of the Organisation of Islamic Cooperation (OIC). The empirical results show that, as expected, the interest rate charged and the period of existence in the market have a significant positive relationship with the financial performance of MFIs. The results also indicate that credit union and cooperatives, non-bank financial institutions and non-governmental organisations outperformed their counterparts financially. Therefore, the study concludes that charging a high rate of interest may improve institutions' financial self-sufficiency; however, it is unable to secure MFIs' profit maximization strategy. Conversely, not-for-profit MFIs can ensure their financial viability while serving the poorest clients which is the prime goal of any microfinance program. Hence, MFIs can earn profits, but within limits, complying with their social promise at the same time.</t>
  </si>
  <si>
    <t>[Ibrahim, Yusnidah; Ahmed, Iftekhar] Univ Utara Malaysia, Sch Econ Finance &amp; Banking, Coll Business, Kedah, Malaysia; [Minai, Mohd Sobri] Univ Utara Malaysia, Sch Business Management, Coll Business, Kedah, Malaysia</t>
  </si>
  <si>
    <t>Universiti Utara Malaysia; Universiti Utara Malaysia</t>
  </si>
  <si>
    <t>Ibrahim, Y (corresponding author), Univ Utara Malaysia, Sch Econ Finance &amp; Banking, Coll Business, Kedah, Malaysia.</t>
  </si>
  <si>
    <t>yibrahim@uum.edu.my; iftekharhbs@gmail.com; msminai@uum.edu.my</t>
  </si>
  <si>
    <t>Ahmed, Iftekhar/P-4286-2015</t>
  </si>
  <si>
    <t>Ahmed, Iftekhar/0000-0002-9044-7185</t>
  </si>
  <si>
    <t>CENTER SOCIOLOGICAL RESEARCH</t>
  </si>
  <si>
    <t>SZCZECIN</t>
  </si>
  <si>
    <t>MICKIEWICZA STR, 64, SZCZECIN, 71-101, POLAND</t>
  </si>
  <si>
    <t>2071-789X</t>
  </si>
  <si>
    <t>2306-3459</t>
  </si>
  <si>
    <t>ECON SOCIOL</t>
  </si>
  <si>
    <t>Econ. Sociol.</t>
  </si>
  <si>
    <t>10.14254/2071-789X.2018/11-2/2</t>
  </si>
  <si>
    <t>Business; Economics</t>
  </si>
  <si>
    <t>GL2GO</t>
  </si>
  <si>
    <t>WOS:000436937200003</t>
  </si>
  <si>
    <t>How do banks create money, and why can other firms not do the same? An explanation for the coexistence of lending and deposit-taking</t>
  </si>
  <si>
    <t>Bank accounting; Bank lending; Client money rules; Credit creation; Loans; Monetary reform</t>
  </si>
  <si>
    <t>Thanks to the recent banking crises interest has grown in banks and how they operate. In the past, the empirical and institutional market micro-structure of the operation of banks had not been a primary focus for investigations by researchers, which is why they are not well covered in the literature. One neglected detail is the banks' function as the creators and allocators of about 97% of the money supply (Werner, 1997, 2005), which has recently attracted attention (Bank of England, 2014a,b; Werner, 2014b,c). It is the purpose of this paper to investigate precisely how banks create money, and why or whether companies cannot do the same. Since the implementation of banking operations takes place within a corporate accounting framework, this paper is based upon a comparative accounting analysis perspective. By breaking the accounting treatment of lending into two steps, the difference in the accounting operation by bank and non-bank corporations can be isolated. As a result, it can be established precisely why banks are different and what it is that makes them different: They are exempted from the Client Money Rules and thus, unlike other firms, do not have to segregate client money. This enables banks to classify their accounts payable liabilities arising from bank loan contracts as a different type of liability called 'customer deposits'. The finding is important for many reasons, including for modelling the banking sector accurately in economic models, bank regulation and also for monetary reform proposals that aim at taking away the privilege of money creation from banks. The paper thus adds to the growing literature on the institutional details and market micro-structure of our financial and monetary system, and in particular offers a new contribution to the literature on 'what makes banks different', from an accounting and regulatory perspective, solving the puzzle of why banks combine lending and deposit-taking operations under one roof. (C) 2014 Published by Elsevier Inc.</t>
  </si>
  <si>
    <t>Univ Southampton, Southampton Business Sch, Ctr Banking Finance &amp; Sustainable Dev, Southampton SO9 5NH, Hants, England</t>
  </si>
  <si>
    <t>Solent University; University of Southampton</t>
  </si>
  <si>
    <t>360 PARK AVE SOUTH, NEW YORK, NY 10010-1710 USA</t>
  </si>
  <si>
    <t>10.1016/j.irfa.2014.10.013</t>
  </si>
  <si>
    <t>AW1QQ</t>
  </si>
  <si>
    <t>WOS:000346064800006</t>
  </si>
  <si>
    <t>Alimukhamedova, N; Yusupov, N</t>
  </si>
  <si>
    <t>Alimukhamedova, Nargiza; Yusupov, Nurmukhammad</t>
  </si>
  <si>
    <t>Closure of the Non-Bank Microfinance Sector in Uzbekistan: Who Is Affected and by How Much?</t>
  </si>
  <si>
    <t>ECONOMICS OF TRANSITION AND INSTITUTIONAL CHANGE</t>
  </si>
  <si>
    <t>crisis; impact evaluation; microfinance; microfinance institutions</t>
  </si>
  <si>
    <t>IMPACT; CRISIS; ENTREPRENEURSHIP; INSTITUTIONS; MICROCREDIT; ACCESS</t>
  </si>
  <si>
    <t>Studies of the impact of access to microfinance almost exclusively focus on assessing the microeconomic effects of the entry of microfinance institutions. We measure the effect of the 2011 closure of the entire nonbank microfinance sector in Uzbekistan. Using two waves of a unique household survey, we estimate the impact on four business (size of business, log of business profit, business ownership of respondent and log of business assets) and four household consumption (log of monthly household expenditures per capita, log of monthly household income per capita, log of household assets per capita, log of spending on housing per capita) outcomes using a modified difference-in-difference approach. We find that it is mostly the borrowers who are in the middle of the wealth distribution that were affected by the closure, in contrast to prevailing claims in the literature pointing to ultra-poor borrowers. We also document the heterogeneity of the impact affecting mainly borrowers with vocational and higher education, households with medium-level wealth and the self-employed. Some of our key results are in contrast with existing literature. Given that access to finance is vital for low-income households and that microfinance crises adversely affect both borrowers and nonborrowers, we argue it is important to focus on the diagnostics and prevention of potential future crises in the sector.</t>
  </si>
  <si>
    <t>[Alimukhamedova, Nargiza] WIUT, Tashkent, Uzbekistan; [Alimukhamedova, Nargiza] Prague Univ Econ &amp; Business VSE, Prague, Czech Republic; [Alimukhamedova, Nargiza] CERGE EI, Prague, Czech Republic; [Yusupov, Nurmukhammad] Woosong Univ, Solbridge Int Sch Business, Daejeon, South Korea</t>
  </si>
  <si>
    <t>Westminster International University Tashkent; Charles University Prague; Czech Academy of Sciences; Economics Institute of the Czech Academy of Sciences; Woosong University</t>
  </si>
  <si>
    <t>Yusupov, N (corresponding author), Woosong Univ, Solbridge Int Sch Business, Daejeon, South Korea.</t>
  </si>
  <si>
    <t>nyusupov@solbridge.ac.kr</t>
  </si>
  <si>
    <t>Yusupov, Nurmukhammad/OGO-7184-2025; Alimukhamedova, Nargiza/H-2864-2014</t>
  </si>
  <si>
    <t>Grantova Agentura Ccaron;eske Republiky [19-19158S]</t>
  </si>
  <si>
    <t>Grantova Agentura Ccaron;eske Republiky</t>
  </si>
  <si>
    <t>This research was supported by the Grantova Agentura &amp; Ccaron;eske Republiky [19-19158S].</t>
  </si>
  <si>
    <t>2577-6975</t>
  </si>
  <si>
    <t>2577-6983</t>
  </si>
  <si>
    <t>ECON TRANSIT I CHANG</t>
  </si>
  <si>
    <t>Econ. Transit. Inst. Change</t>
  </si>
  <si>
    <t>10.1111/ecot.12452</t>
  </si>
  <si>
    <t>APR 2025</t>
  </si>
  <si>
    <t>AD1RD</t>
  </si>
  <si>
    <t>WOS:001463435800001</t>
  </si>
  <si>
    <t>Gordon, LR</t>
  </si>
  <si>
    <t>Gordon, Leo-Rey</t>
  </si>
  <si>
    <t>Impact of correspondent bank de-risking on money service businesses in Jamaica</t>
  </si>
  <si>
    <t>JOURNAL OF FINANCIAL REGULATION AND COMPLIANCE</t>
  </si>
  <si>
    <t>Caribbean; Emerging markets; Financial inclusion; Anti-money laundering; Regulatory compliance; Banking system</t>
  </si>
  <si>
    <t>Purpose The paper aims to provide needed quantitative assessments of the impact of the withdrawal of correspondent banking to small emerging economies. It serves to identify the extent to which global anti-money laundering and combatting the financing of terrorism (AML/CFT) standards have influenced global banks' decision to withdraw correspondent banking from some jurisdictions and the subsequent economic spillover effects on other non-bank financial entities. Design/methodology/approach Separate semi-structured surveys are issued to banks and money services businesses in Jamaica. Analysis of the responses identify the initial impact of de-risking on banks and the subsequent spillover effect on the other aspects of the financial system. Findings Results show significant spillover effects on money services businesses in their ability to transact in foreign currency with local commercial banks. Further, the scale of this impact is greater and costlier for smaller entities. Research limitations/implications - The economic consequences of the direct and indirect impact of correspondent bank de-risking are increased concentration risks and the potential expansion of shadow financial activity. Practical implications - Tighter AML/CFT standards coupled with action of over-compliance has created unintended consequences for small developing countries across the globe. In Jamaica, commercial banks have either lost correspondent relationships or have had restrictions placed on the types of services available. It creates risks to economic growth and development through the hindrance of access to international financial markets for payments, trade and commerce. Originality/value This study is the first among research on the issue of correspondent bank de-risking to provide quantitative assessments of the impact on local financial systems.</t>
  </si>
  <si>
    <t>[Gordon, Leo-Rey] Bank Jamaica, Dept Financial Stabil, Kingston, Jamaica</t>
  </si>
  <si>
    <t>Gordon, LR (corresponding author), Bank Jamaica, Dept Financial Stabil, Kingston, Jamaica.</t>
  </si>
  <si>
    <t>leorey1@gmail.com</t>
  </si>
  <si>
    <t>BINGLEY</t>
  </si>
  <si>
    <t>HOWARD HOUSE, WAGON LANE, BINGLEY BD16 1WA, W YORKSHIRE, ENGLAND</t>
  </si>
  <si>
    <t>1358-1988</t>
  </si>
  <si>
    <t>1740-0279</t>
  </si>
  <si>
    <t>J FINANC REGUL COMPL</t>
  </si>
  <si>
    <t>J. Financ. Regul. Compliance</t>
  </si>
  <si>
    <t>NOV 11</t>
  </si>
  <si>
    <t>10.1108/JFRC-12-2018-0159</t>
  </si>
  <si>
    <t>JI6NE</t>
  </si>
  <si>
    <t>WOS:000493583200006</t>
  </si>
  <si>
    <t>Solanki, P; Chhikara, KS</t>
  </si>
  <si>
    <t>Solanki, Poonam; Chhikara, Kuldip Singh</t>
  </si>
  <si>
    <t>Constraints to the promotion of financial inclusion in India: an empirical study of implementing agencies under Pradhan Mantri MUDRA Yojana</t>
  </si>
  <si>
    <t>INTERNATIONAL JOURNAL OF SOCIAL ECONOMICS</t>
  </si>
  <si>
    <t>Financial inclusion; Pradhan Mantri MUDRA Yojana; Constraints; Implementing agencies; Loan officers</t>
  </si>
  <si>
    <t>INDEX</t>
  </si>
  <si>
    <t>PurposeThe study aims to discern the primary obstacles confronted by the implementing agencies in their efforts to foster financial inclusion through the Pradhan Mantri MUDRA Yojana (PMMY).Design/methodology/approachTo collect primary data, a semi-structured questionnaire was developed. Around 120 loan officers from the implementing agencies (Scheduled Commercial Banks (SCBs), Regional Rural Banks (RRBs), Small Finance Banks (SFBs), Non-Banking Financial Companies (NBFCs) and Micro- Finance Institutions (MFIs)) of Haryana were randomly selected to fulfill the objectives. To categorize the perceived problems into discrete factors, the factor analysis technique was employed. The scales were then regressed on factors linked to the demographic characteristics of the loan officers to validate the hypotheses.FindingsThe study highlighted the primary obstacles impeding the advancement of financial inclusion, which encompass a range of factors. These include challenges in management, infrastructure, politics, finance and technology. Furthermore, the study established the association of the explanatory variables, namely gender, age, educational qualification, location and experience of the officers, with the extracted constraints. Notably, the experience of loan officers emerged as the most influential variable contributing to the promotion of financial inclusion through the scheme.Originality/valueThe current body of literature lacks any empirical investigation focusing on the perspectives of the implementing agencies regarding the challenges they encounter in advancing FI. Given the significance of FI in India, where access to formal financial services remains a critical issue, this research adds value by addressing the gaps in understanding the problems encountered.Peer reviewThe peer review history for this article is available at: https://publons.com/publon/10.1108/IJSE-06-2023-0462</t>
  </si>
  <si>
    <t>[Solanki, Poonam; Chhikara, Kuldip Singh] Maharshi Dayanand Univ, Dept Commerce, Rohtak, Haryana, India</t>
  </si>
  <si>
    <t>Maharshi Dayanand University</t>
  </si>
  <si>
    <t>Chhikara, KS (corresponding author), Maharshi Dayanand Univ, Dept Commerce, Rohtak, Haryana, India.</t>
  </si>
  <si>
    <t>poonam.rs.comm@mdurohtak.ac.in; kuldip.comm@mdurohtak.ac.in</t>
  </si>
  <si>
    <t>Solanki, Poonam/0000-0001-8507-5930; Chhikara, Kuldip Singh/0000-0002-8806-1152</t>
  </si>
  <si>
    <t>0306-8293</t>
  </si>
  <si>
    <t>1758-6712</t>
  </si>
  <si>
    <t>INT J SOC ECON</t>
  </si>
  <si>
    <t>Int. J. Soc. Econ.</t>
  </si>
  <si>
    <t>10.1108/IJSE-06-2023-0462</t>
  </si>
  <si>
    <t>DEC 2023</t>
  </si>
  <si>
    <t>XD7S3</t>
  </si>
  <si>
    <t>WOS:001126984800001</t>
  </si>
  <si>
    <t>Jones, E; Knaack, P</t>
  </si>
  <si>
    <t>Jones, Emily; Knaack, Peter</t>
  </si>
  <si>
    <t>Global Financial Regulation: Shortcomings and Reform Options</t>
  </si>
  <si>
    <t>POLITICS; POWER</t>
  </si>
  <si>
    <t>Standard-setting bodies in global finance follow a core-periphery logic, imposing a rigid dichotomy between standard-setters and standard-takers. They also focus exclusively on promoting financial stability. We argue that both attributes are increasingly problematic in today's world of globalised finance. Developing countries outside of standard-setting bodies are highly integrated into global finance and while they are not systemically important, they are greatly affected by the regulatory decisions taken in the core. Analysing Basel banking standards, we show how the two-tier structure of decision-making results in international standards that generate adverse implications for countries in the periphery, particularly developing countries. Focusing on debates over the regulation of non-bank credit intermediation, we show how the exclusive focus on financial stability can operate to the detriment of other important policy objectives, including financial inclusion. To improve the efficacy of international standard setting we make a series of recommendations aimed at increasing the applicability of standards to a wide variety of jurisdictions, and widening the focus of standard-setting beyond financial stability. We also propose the creation of a new standard-setting body for the regulation of fintech that models a more inclusive and holistic approach.</t>
  </si>
  <si>
    <t>[Jones, Emily] Univ Oxford, Blavatnik Sch Govt, Publ Policy, Oxford, England; [Knaack, Peter] Univ Oxford, Blavatnik Sch Govt, Global Econ Governance Programme, Oxford, England</t>
  </si>
  <si>
    <t>University of Oxford; University of Oxford</t>
  </si>
  <si>
    <t>Jones, E (corresponding author), Univ Oxford, Blavatnik Sch Govt, Publ Policy, Oxford, England.</t>
  </si>
  <si>
    <t>; Jones, Emily/PDX-2555-2025</t>
  </si>
  <si>
    <t>Knaack, Peter/0000-0001-9801-9743; Jones, Emily/0000-0003-0902-6947;</t>
  </si>
  <si>
    <t>Financial Regulation in London; African Central Bank Governors' Roundtable in Oxford; Alliance for Financial Inclusion workshops in Sochi and Siem Reap; UK Economic and Social Research Council [ES/L012375/1]; John Fell Fund of Oxford University Press [162/073]; ESRC [ES/L012375/1] Funding Source: UKRI; Economic and Social Research Council [ES/L012375/1] Funding Source: researchfish</t>
  </si>
  <si>
    <t>Financial Regulation in London; African Central Bank Governors' Roundtable in Oxford; Alliance for Financial Inclusion workshops in Sochi and Siem Reap; UK Economic and Social Research Council(UK Research &amp; Innovation (UKRI)Economic &amp; Social Research Council (ESRC)); John Fell Fund of Oxford University Press; ESRC(UK Research &amp; Innovation (UKRI)Economic &amp; Social Research Council (ESRC)); Economic and Social Research Council(UK Research &amp; Innovation (UKRI)Economic &amp; Social Research Council (ESRC))</t>
  </si>
  <si>
    <t>This paper has benefited greatly from feedback at academic and professional conferences. Particular thanks to Svein Andresen, Thorsten Beck, Tim Lyman, Robin Newnham, Rupert Thorne, John Vickers, Andrew Walter, Jonathan Ward, Alexandra Zeitz and participants of the Financial Conduct Authority workshop on the Future of Financial Regulation in London, the African Central Bank Governors' Roundtable in Oxford, and the Alliance for Financial Inclusion workshops in Sochi and Siem Reap. We thank two anonymous reviewers for careful reading and thoughtful suggestions. This research was made possible thanks to funding provided by the UK Economic and Social Research Council (Grant ES/L012375/1) and the John Fell Fund of Oxford University Press (Grant 162/073). Any errors are our own.</t>
  </si>
  <si>
    <t>MAY</t>
  </si>
  <si>
    <t>10.1111/1758-5899.12656</t>
  </si>
  <si>
    <t>HX7FB</t>
  </si>
  <si>
    <t>WOS:000467569100003</t>
  </si>
  <si>
    <t>Argüello, SB; Wakkary, R; Andersen, K; Tomico, O</t>
  </si>
  <si>
    <t>Baeza Arguello, Saul; Wakkary, Ron; Andersen, Kristina; Tomico, Oscar</t>
  </si>
  <si>
    <t>Exploring the Potential of Apple Face ID as a Drag, Queer and Trans Technology Design Tool</t>
  </si>
  <si>
    <t>PROCEEDINGS OF THE 2021 ACM DESIGNING INTERACTIVE SYSTEMS CONFERENCE (DIS 2021)</t>
  </si>
  <si>
    <t>ACM Designing Interactive Systems Conference (DIS)</t>
  </si>
  <si>
    <t>JUN 28-JUL 02, 2021</t>
  </si>
  <si>
    <t>ELECTR NETWORK</t>
  </si>
  <si>
    <t>Assoc Comp Machinery</t>
  </si>
  <si>
    <t>Apple Face ID; Drag; Queer; Trans Technology; Facial Recognition; Biometric Artificial Intelligence; Identity; Gender; Race; Digital Identity; Identity Expression; Multiple Identities</t>
  </si>
  <si>
    <t>GENDER; IDENTITY</t>
  </si>
  <si>
    <t>This pictorial is the result of a long-term research project focused on finding opportunities to use Apple Face ID software and infrastructure to build new hybrid identities, exploring its potential as a drag, queer and trans technology design tool. The aim of the project is to validate new paradigms for identity ambiguity, multiplicity and fluidity, using biometric artificial intelligence systems and technologies of control as tools for free identity expression, definition and personal proclamation. To do that, we present our motivation, methodology, approach to exploration, workshop results and validated outputs, and analyse the physical and digital implications of the research. The prostheses shown in this paper are functional, and allow users to train Apple Face ID software to design their own identities connected to their name, Apple ID Number, bank account, social networks, and any other data or online activity digitally associated to this persona.</t>
  </si>
  <si>
    <t>[Baeza Arguello, Saul; Tomico, Oscar] ELISAVA Res, Barcelona, Spain; [Baeza Arguello, Saul; Wakkary, Ron; Tomico, Oscar] Eindhoven Univ Technol, Eindhoven, Netherlands; [Wakkary, Ron; Andersen, Kristina] Simon Fraser Univ, Surrey, BC, Canada</t>
  </si>
  <si>
    <t>Eindhoven University of Technology; Simon Fraser University</t>
  </si>
  <si>
    <t>Argüello, SB (corresponding author), ELISAVA Res, Barcelona, Spain.;Argüello, SB (corresponding author), Eindhoven Univ Technol, Eindhoven, Netherlands.</t>
  </si>
  <si>
    <t>sbaeza@elisava.net; rwakkary@sfu.ca; h.k.g.andersen@tue.nl; otomico@elisava.net</t>
  </si>
  <si>
    <t>Wakkary, Ron/0000-0003-2073-715X; Tomico, Oscar/0000-0002-2623-9031; Andersen, Kristina/0000-0002-2639-2175</t>
  </si>
  <si>
    <t>1601 Broadway, 10th Floor, NEW YORK, NY, UNITED STATES</t>
  </si>
  <si>
    <t>978-1-4503-8476-6</t>
  </si>
  <si>
    <t>10.1145/3461778.3461999</t>
  </si>
  <si>
    <t>Computer Science, Cybernetics; Computer Science, Interdisciplinary Applications; Computer Science, Theory &amp; Methods; Ergonomics</t>
  </si>
  <si>
    <t>BS6FH</t>
  </si>
  <si>
    <t>WOS:000747486000122</t>
  </si>
  <si>
    <t>Achugamonu, BU; Taiwo, JN; Ikpefan, OA; Olurinola, IO; Emena, OU</t>
  </si>
  <si>
    <t>Achugamonu, B. Uzoma; Taiwo, J. N.; Ikpefan, Ochei Ailemen; Olurinola, I. O.; Emena, Okorie Uchechukwu</t>
  </si>
  <si>
    <t>Agent Banking and Financial Inclusion: The Nigerian Experience</t>
  </si>
  <si>
    <t>VISION 2020: INNOVATION MANAGEMENT, DEVELOPMENT SUSTAINABILITY, AND COMPETITIVE ECONOMIC GROWTH, 2016, VOLS I - VII</t>
  </si>
  <si>
    <t>28th International Business-Information-Management-Association Conference</t>
  </si>
  <si>
    <t>NOV 09-10, 2016</t>
  </si>
  <si>
    <t>Banking Agent; Financial Inclusion; Financial Services; GDP</t>
  </si>
  <si>
    <t>Financial inclusion is aimed at ensuring that all adults have unhindered access to tailor-made products that meets their financial needs at affordable cost within their vicinity. This study investigated the extent to which bank agents have contributed in driving the inclusive growth agenda of the Federal Government of Nigeria. A maximum of 275 questionnaires were administered on bank officials across the 6 geopolitical zones of Nigeria using a random sampling technique. The 182 returned questionnaires were analyzed using multivariate regression approach employing SPSS. The study found among others that geographical spread of bank agents and the development of tailor-made financial products will engender financial growth among the active poor in the rural communities. it therefore recommended among others, the need for the Central Bank of Nigeria to deepen inclusive growth by licensing more agent banks especially in the rural areas across the six geo-political zones of the country.</t>
  </si>
  <si>
    <t>[Achugamonu, B. Uzoma; Taiwo, J. N.; Ikpefan, Ochei Ailemen; Olurinola, I. O.; Emena, Okorie Uchechukwu] Covenant Univ, Coll Business &amp; Social Sci, Ota, Nigeria</t>
  </si>
  <si>
    <t>Covenant University</t>
  </si>
  <si>
    <t>Achugamonu, BU (corresponding author), Covenant Univ, Coll Business &amp; Social Sci, Ota, Nigeria.</t>
  </si>
  <si>
    <t>uzoma.achugamonu@covenantuniversity.edu.ng; bedeachuga@gmail.com; ochei.ikpefan@covenantuniversity.edu.ng; olu.ogunrinola@covenantuniversity.edu.ng; ucheson4excel@yahoo.com</t>
  </si>
  <si>
    <t>Olurinola, Isaiah/AAE-3486-2020; Achugamonu, Uzoma/AAA-7178-2019</t>
  </si>
  <si>
    <t>Achugamonu, Uzoma/0000-0003-3797-7686; Taiwo, Joseph/0000-0001-5039-5854</t>
  </si>
  <si>
    <t>978-0-9860419-8-3</t>
  </si>
  <si>
    <t>BG8XT</t>
  </si>
  <si>
    <t>WOS:000392785700441</t>
  </si>
  <si>
    <t>Azman, NHN; Kassim, S; Adeyemi, AA</t>
  </si>
  <si>
    <t>Azman, Nik Hadiyan Nik; Kassim, Salina; Adeyemi, Adewalee Abideen</t>
  </si>
  <si>
    <t>Analysing ar-rahnu in the context of informal credit market theory Evidence from women micro-entrepreneurs in Malaysia</t>
  </si>
  <si>
    <t>ISRA INTERNATIONAL JOURNAL OF ISLAMIC FINANCE</t>
  </si>
  <si>
    <t>Shari'ah compliance; Ar-rahnu; Informal credit market theory; Women micro-entrepreneurs</t>
  </si>
  <si>
    <t>SERVICE QUALITY; SECTOR; POLICY</t>
  </si>
  <si>
    <t>Purpose - This study aims to offer a new area of discourse by investigating the factors determining the usage of the Islamic non-bank financing product ar-rahnu (Islamic pawnbroking) among women micro-entrepreneurs in Malaysia within the framework of the informal credit market theory. Design/methodology/approach - The study is based on primary data obtained by using self-administered questionnaires distributed in three states in Malaysia: Kedah, Kelantan and Terengganu. The questionnaires were distributed to a total of 750 participants, with each state contributing 250 respondents. Total number of respondents valid for data analysis was however 600. Findings - Based on descriptive and inferential statistics by using the IBM statistical package for the social sciences and structural equation modelling analysis of moment structures, the results show that the main factor influencing women micro-entrepreneurs to use ar-rahnu is the service charge. Research limitations/implications - This study only covers three states in Malaysia and is limited to examining the use of ar-rahnu by women micro-entrepreneurs in those states. Practical implications - As micro-entrepreneur s often face constraints to obtaining financial access in the formal credit market, ar-rahnu provides an alternative mode of obtaining business financing to female micro-entrepreneurs, so they can sustain their operations and even expand their businesses. The significance of such factors like service fee, as revealed in this study, indicates that managers should focus on this element when offering Islamic financial products, especially to women micro-entrepreneurs. Originality/value - The informal credit market theory is frequently used in conventional studies. This paper adds Shari'ah compliance in the context of this theory as a new area to be considered when discussing Islamic financial products.</t>
  </si>
  <si>
    <t>[Azman, Nik Hadiyan Nik] Univ Sains Malaysia, Sch Management, Gelugor, Malaysia; [Kassim, Salina] Int Islamic Univ Malaysia, Kuala Lumpur, Malaysia; [Adeyemi, Adewalee Abideen] Int Islamic Univ Malaysia, Inst Islamic Banking &amp; Finance, Kuala Lumpur, Malaysia</t>
  </si>
  <si>
    <t>Universiti Sains Malaysia; International Islamic University Malaysia; International Islamic University Malaysia</t>
  </si>
  <si>
    <t>Azman, NHN (corresponding author), Univ Sains Malaysia, Sch Management, Gelugor, Malaysia.</t>
  </si>
  <si>
    <t>nikhadiyan@gmail.com</t>
  </si>
  <si>
    <t>Azman, Nik/C-5619-2018; kassim, salina/Q-7008-2019</t>
  </si>
  <si>
    <t>kassim, salina/0000-0002-7514-8750</t>
  </si>
  <si>
    <t>0128-1976</t>
  </si>
  <si>
    <t>2289-4365</t>
  </si>
  <si>
    <t>ISRA INT J ISLAMIC F</t>
  </si>
  <si>
    <t>ISRA Int. J. Islamic Financ.</t>
  </si>
  <si>
    <t>10.1108/IJIF-09-2017-0031</t>
  </si>
  <si>
    <t>HI5FW</t>
  </si>
  <si>
    <t>WOS:000456478900008</t>
  </si>
  <si>
    <t>Stavrova, EV</t>
  </si>
  <si>
    <t>Hajek, P; Vit, O; Basova, P; Krijt, M; Paszekova, H; Souckova, O; Mudrik, R</t>
  </si>
  <si>
    <t>Stavrova, Elena Velkova</t>
  </si>
  <si>
    <t>CONVENTIONAL AND SHADOW BANKING SECTOR COMPARATIVE ASPECTS OF THE POST-CRISIS PERIOD IN TAIM OF THE CURRENCY BOARD - BULGARIA' CASE</t>
  </si>
  <si>
    <t>CBU INTERNATIONAL CONFERENCE PROCEEDINGS 2017: INNOVATIONS IN SCIENCE AND EDUCATION</t>
  </si>
  <si>
    <t>Proceedings of CBU</t>
  </si>
  <si>
    <t>International Conference of Central-Bohemia-University (CBUIC) - Innovations in Science and Education</t>
  </si>
  <si>
    <t>MAR 22-24, 2017</t>
  </si>
  <si>
    <t>Prague, CZECH REPUBLIC</t>
  </si>
  <si>
    <t>Cent Bohemia Univ,Unicorn Coll</t>
  </si>
  <si>
    <t>shadow banking; value chain; financial innovation; financial intermediation</t>
  </si>
  <si>
    <t>The shadow banking or financial institutions specializing in lending who take an increasingly larger share of today's markets and channels for the movement of financial resources in the markets of resources between economic agents or households. The main scientific question of this paper is to analyze the reasons of dynamic trends of development of the shadow financial system, and how that contrasts with the conventional model of financial intermediation of commercial banking: The chains for value creation through credit intermediation that move free financial resources in economic systems for realizing more efficient operations with fewer risks; In non-banking credit intermediation chain trades that take place on weighted average price-and exchange rates in the markets for short-term securities; yield creation in the shadow banking industry are intensively secured strongly which personally are guaranteed both, from individuals and the firms; value chains in the alternative banking system have carried out extensive conventional financial transformation outside the banking system. This means that this type of intermediation converts illiquid, risky fixed assets in safe and liquid short-term liabilities. The used methods are: content analysis, and econometrics analysis of empirical databases of the years 2012 2016 by two financial sectors from BNB. The finding based on the econometrics analyses supports the scientific hypothesis about relations between the process of the increasing role of the informal banking sector, which pushes conventional bank financing due to high credit standards of banking institutions and limited access to finance for individuals who receive their income in the area of the gray economy.</t>
  </si>
  <si>
    <t>[Stavrova, Elena Velkova] SWU Neofit Rilski Blagoevgrad, Fac Econ, Blagoevgrad, Bulgaria</t>
  </si>
  <si>
    <t>Stavrova, EV (corresponding author), SWU Neofit Rilski Blagoevgrad, Fac Econ, Blagoevgrad, Bulgaria.</t>
  </si>
  <si>
    <t>stavrova@swu.bg</t>
  </si>
  <si>
    <t>Stavrova, Elena/R-5934-2019</t>
  </si>
  <si>
    <t>CENTRAL BOHEMIA UNIV</t>
  </si>
  <si>
    <t>PRAGUE 8</t>
  </si>
  <si>
    <t>POD VODARENSKOU VEZI 4, PRAGUE 8, 18200, CZECH REPUBLIC</t>
  </si>
  <si>
    <t>1805-997X</t>
  </si>
  <si>
    <t>1805-9961</t>
  </si>
  <si>
    <t>978-80-88042-08-2</t>
  </si>
  <si>
    <t>PROC CBU</t>
  </si>
  <si>
    <t>10.12955/cbup.v5.965</t>
  </si>
  <si>
    <t>Business; Regional &amp; Urban Planning</t>
  </si>
  <si>
    <t>BK5PE</t>
  </si>
  <si>
    <t>WOS:000439408200074</t>
  </si>
  <si>
    <t>Waliszewski, K; Cichowicz, E; Gebski, L; Kliber, F; Kubiczek, J; Niedziólka, P; Solarz, M; Warchlewska, A</t>
  </si>
  <si>
    <t>Waliszewski, Krzysztof; Cichowicz, Ewa; Gebski, Lukasz; Kliber, Filip; Kubiczek, Jakub; Niedziolka, Pawel; Solarz, Malgorzata; Warchlewska, Anna</t>
  </si>
  <si>
    <t>The role of the Lendtech sector in the consumer credit market in the context of household financial exclusion</t>
  </si>
  <si>
    <t>OECONOMIA COPERNICANA</t>
  </si>
  <si>
    <t>FinTech; Lendtech; credit; financial exclusion; lending platforms</t>
  </si>
  <si>
    <t>FINTECH; SERVICES; ADOPTION; DETERMINANTS</t>
  </si>
  <si>
    <t>Research background: According to the World Bank (2020), about 60% of adults in develop-ing countries do not use formal financial services. Furthermore, according to the Polish Asso-ciation of Loan Institutions (2022), about 3 million Poles use loans, most of them obtained online. Among the reasons for more than a decade of growth of interest in the non-bank con-sumer lending market there are the development of modern technology applications in fi-nance and the establishment of the Lendtech sector.Purpose of the article: The main goal of the paper is to verify the role played by the Lendtech (LT) sector in the consumer credit market in the context of household financial exclusion. The following research questions were asked: Do credit-excluded households take advantage of LT services and, if so, to what extent? What are the behaviours and preferences of those who use consumer credit offered by LT? Do socio-demographic characteristics determine consumer use of loans offered by LT and, if so, what are they? Is the use of loans offered by LT due to credit exclusion or other factors? What action should be taken by participants in the digital consumer loan market interested in its inclusive direction?Methods: The paper uses the following methods: critical analysis of the literature, Kruskal-Wallis test, Mann-Whitney test, and nonparametric regression algorithm: k-nearest neighbors, as well as inductive inference methods. The data used is primary in nature and comes from a nationwide survey, September 2022 (CAWI method) of 1,200 Poles, of whom 200 respond-ents are Lendtech customers. The quota selection applied made it possible to reflect character-istics corresponding to the population of customers of lending institutions registered in BIK databases.Findings &amp; value added: The article is a pioneering study based on an independent scientific survey, devoted to the Polish LT services market considered in terms of its relationship with one of the types of financial exclusion: credit exclusion. The most important conclusion is that people at risk of credit exclusion find a financing substitute in the LT sector, and thus it plays an important role in reducing financial exclusion, while maintaining the principle of credit-worthiness verification.</t>
  </si>
  <si>
    <t>[Waliszewski, Krzysztof; Kliber, Filip; Warchlewska, Anna] Poznan Univ Econ &amp; Business, Poznan, Poland; [Cichowicz, Ewa; Gebski, Lukasz; Niedziolka, Pawel] SGH Warsaw Sch Econ, Warsaw, Poland; [Kubiczek, Jakub] Univ Econ Katowice, Katowice, Poland; [Solarz, Malgorzata] Wroclaw Univ Econ &amp; Business, Wroclaw, Poland</t>
  </si>
  <si>
    <t>Poznan University of Economics &amp; Business; Warsaw School of Economics; University of Economics in Katowice; Wroclaw University of Economics &amp; Business</t>
  </si>
  <si>
    <t>Waliszewski, K (corresponding author), Poznan Univ Econ &amp; Business, Poznan, Poland.</t>
  </si>
  <si>
    <t>krzysztof.waliszewski@ue.poznan</t>
  </si>
  <si>
    <t>Geki, Lukasz/KXR-6005-2024; Kliber, Filip/JRW-6961-2023; Warchlewska, Anna/ADN-3500-2022; Waliszewski, Krzysztof/AAV-4347-2020; Niedziółka, Paweł/AAO-1593-2020; Kubiczek, Jakub/AAC-9619-2021; Solarz, Małgorzata/T-8230-2018</t>
  </si>
  <si>
    <t>Geki, Lukasz/0000-0002-5370-3987; Kliber, Filip/0000-0002-1278-6771; Warchlewska, Anna/0000-0003-0142-7877; Waliszewski, Krzysztof/0000-0003-4239-5875; Niedziółka, Paweł/0000-0002-1659-7310; Kubiczek, Jakub/0000-0003-4599-4814; Solarz, Małgorzata/0000-0001-9538-0541; Cichowicz, Ewa/0000-0002-9379-9127</t>
  </si>
  <si>
    <t>SGH-UEW-UEK-UEP-UEKat Inter-University Research Grant</t>
  </si>
  <si>
    <t>The article was financed by funds from the SGH-UEW-UEK-UEP-UEKat Inter-University Research Grant entitled Lendtech sector and the phenomenon of credit exclusion in the era of sustainable finance-dependencies, consequences, recommendations'.</t>
  </si>
  <si>
    <t>INST BADAN GOSPODARCZYCH</t>
  </si>
  <si>
    <t>OLSZTYN</t>
  </si>
  <si>
    <t>UL KS ROBERTA BILITEWSKIEGO NR 5, LOK 19, OLSZTYN, 10-693, POLAND</t>
  </si>
  <si>
    <t>2083-1277</t>
  </si>
  <si>
    <t>2353-1827</t>
  </si>
  <si>
    <t>OECON COPERNIC</t>
  </si>
  <si>
    <t>Oecon. Copernic.</t>
  </si>
  <si>
    <t>JUN</t>
  </si>
  <si>
    <t>10.24136/oc.2023.017</t>
  </si>
  <si>
    <t>N6UA9</t>
  </si>
  <si>
    <t>WOS:001038327200007</t>
  </si>
  <si>
    <t>Ali, MM; Rattanawiboonsom, V; Perez, CM; Khan, AA</t>
  </si>
  <si>
    <t>Ali, M. M.; Rattanawiboonsom, V.; Perez, C. M.; Khan, A. A.</t>
  </si>
  <si>
    <t>COMPARATIVE POSITIONING OF SMALL AND MEDIUM ENTERPRISES IN BANGLADESH, THAILAND AND THE PHILIPPINES</t>
  </si>
  <si>
    <t>EKONOMIKA REGIONA-ECONOMY OF REGION</t>
  </si>
  <si>
    <t>Bangladesh; Banking Sector; Community banking; Capital Market; Economic Boom; Income; Philippine; Poverty; SMEs; SDGs; Thailand; Trade</t>
  </si>
  <si>
    <t>Small and Medium Enterprises (SMEs) play a significant role in the nation's economic development process. SMEs provide job opportunities, create wealth, promote modernization and contribute to technological changes. The Asia-Pacific Region is foreseen to be the next economic boom. A comparison of SMEs in Bangladesh, Thailand and the Philippines on their SMEs Landscape, Banking sector, Non-Banking sector and Capital Markets would give a picture of which strengths, weaknesses, opportunities and threats these countries face. The time period of the study is from August 2016 to January 2017. Based on the secondary sources of data, the research was conducted to examine real scenarios. The study aimed at getting information whether each country would have any benchmark to attain the best practices. The study found that SMEs credit and repayment schemes in these countries need to be gradually improved. Through proper utilization of SMEs, these countries can alleviate poverty and attain economic progress. Unfortunately, the informal sector of these countries is playing a large role. It should be transformed to formal sector by financial inclusion. This can be achieved by setting up SMEs in the formal sector. The creation of employment along with poverty reduction in the formal sector will enhance economic growth as well as fulfill the basic needs and create empowerment of people. Community banking is suggested to be introduced for accumulating micro-savings and allocating, distributing setting up SMEs in the formal sector through micro investment under the umbrella of community banking. Further, under the regional cooperation flagship of Bengal Initiative for Multi-Sectoral Technical and Economic Cooperation (BIMSTEC) Bangladesh and Thailand may work in collaborative manner in the SMEs sector. The Philippines may join the regional body of BIMSTEC and collaborate with SMEs at the regional level. This may lead to achieve some goals of sustainable development goals (SDGs). SMEs can work more rigorously for lower income group people to improve their living standard. The further research on these three countries can consider primary sources of data to find out the way to implement community bank for transforming micro savings to micro investment for removing income inequality, disparity and attaining social justice.</t>
  </si>
  <si>
    <t>[Ali, M. M.] Dhaka Sch Econ, Econ Assoc Bldg,4-C Eskaton Garden Rd, Dhaka 1000, Bangladesh; [Rattanawiboonsom, V.] Naresuan Univ, Fac Business Econ &amp; Commun, Muang 65000, Phitsanuloke, Thailand; [Perez, C. M.] Philippines Univ, Laguna, Philippines; [Khan, A. A.] Khulna Univ, Dept Sociol, Khulna, Bangladesh</t>
  </si>
  <si>
    <t>Naresuan University; Khulna University</t>
  </si>
  <si>
    <t>Ali, MM (corresponding author), Dhaka Sch Econ, Econ Assoc Bldg,4-C Eskaton Garden Rd, Dhaka 1000, Bangladesh.</t>
  </si>
  <si>
    <t>pipulbd@gmail.com; vichayananr@nu.ac.th; candido_perez@lpulaguna.edu.com; khanbdnks@yahoo.com</t>
  </si>
  <si>
    <t>RUSSIAN ACAD SCIENCES, URAL BRANCH, INST ECONOMICS</t>
  </si>
  <si>
    <t>EKATERINBURG</t>
  </si>
  <si>
    <t>UL MOSKOVSKAYA 29, EKATERINBURG, 620014, RUSSIA</t>
  </si>
  <si>
    <t>2072-6414</t>
  </si>
  <si>
    <t>2411-1406</t>
  </si>
  <si>
    <t>EKON REG</t>
  </si>
  <si>
    <t>Ekon. Reg.</t>
  </si>
  <si>
    <t>10.17059/2017-2-5</t>
  </si>
  <si>
    <t>Area Studies</t>
  </si>
  <si>
    <t>EY0NM</t>
  </si>
  <si>
    <t>Green Published, Green Submitted, gold</t>
  </si>
  <si>
    <t>WOS:000403655000005</t>
  </si>
  <si>
    <t>Galanti, S; Özsoy, ÇY</t>
  </si>
  <si>
    <t>Galanti, Sebastien; Ozsoy, Cigdem Yilmaz</t>
  </si>
  <si>
    <t>Can Blockchain Help Improve Financial Inclusion? A Comparative Study</t>
  </si>
  <si>
    <t>JOURNAL OF ECONOMIC ISSUES</t>
  </si>
  <si>
    <t>blockchain; financial inclusion; refugees; Finland</t>
  </si>
  <si>
    <t>The financial inclusion of poor populations and/or refugees can be hindered by difficulties in proving or reluctance to disclose their identity. Bank accounts and mobile money services require that identities be provided. Financial digital services based on blockchain technology can provide anonymous authentication to poor/refugee populations and be a first step towards financial inclusion. We scrutinize several examples of such projects by comparing them with blockchain-based digital identity or financial inclusion programs that are not necessarily restricted to poor/migrant populations. We use social network activity as a proxy for the failure or success of such projects. We find that blockchain projects targeted to migrants and poor individuals are more likely to fail than are those targeted to all. We more closely examine one particular case to check the consistency of our proxy. We present plausible explanations for our result: the discrepancy between the needs of populations of low socioeconomic status and the proposed blockchain-backed financial services and the fact that maintaining such services is energy intensive.</t>
  </si>
  <si>
    <t>[Galanti, Sebastien] Univ Orleans, Orleans, France; [Ozsoy, Cigdem Yilmaz] Istanbul Univ, Ayvansaray, Turkiye</t>
  </si>
  <si>
    <t>Universite de Orleans; Istanbul University</t>
  </si>
  <si>
    <t>Galanti, S (corresponding author), Univ Orleans, Orleans, France.</t>
  </si>
  <si>
    <t>YILMAZ ÖZSOY, Çiğdem/NWH-3373-2025</t>
  </si>
  <si>
    <t>YILMAZ ÖZSOY, Çiğdem/0000-0002-7436-7273</t>
  </si>
  <si>
    <t>0021-3624</t>
  </si>
  <si>
    <t>1946-326X</t>
  </si>
  <si>
    <t>J ECON ISSUES</t>
  </si>
  <si>
    <t>J. Econ. Issues</t>
  </si>
  <si>
    <t>APR 3</t>
  </si>
  <si>
    <t>10.1080/00213624.2023.2200650</t>
  </si>
  <si>
    <t>I1GV0</t>
  </si>
  <si>
    <t>Green Submitted</t>
  </si>
  <si>
    <t>WOS:001000338200010</t>
  </si>
  <si>
    <t>Ginindza, M; Maasoumi, E</t>
  </si>
  <si>
    <t>Ginindza, Mzwandile; Maasoumi, Esfandiar</t>
  </si>
  <si>
    <t>Evaluating inflation targeting based on the distribution of inflation and inflation volatility</t>
  </si>
  <si>
    <t>NORTH AMERICAN JOURNAL OF ECONOMICS AND FINANCE</t>
  </si>
  <si>
    <t>Inflation targeting; Financial indicators; Policy evaluation; Matching; Aggregate indices; Treatment; Monetary policy; Federal reserve; Distributed effects</t>
  </si>
  <si>
    <t>PROPENSITY SCORE; CONVERGENCE; GROWTH</t>
  </si>
  <si>
    <t>In this paper the Financial Development Index (FDI) is used to rank 57 of the world's leading financial systems. Its calculation is based on the following 7 economic pillars: (1) Institutional environment, (2) Business environment, (3) Financial stability, (4) Banking financial services, (5) Non-banking financial services, (6) Financial markets, and (7) Financial access. Pillar (4) is constructed from bond markets, stock markets, foreign exchange markets, and derivative markets. Pillar (5) includes a country's IPO activity, namely the IPO market share, IPO proceeds amount, and IPOs share of world IPOs. The stock market index provides a short-term account of financial activities, whereas the FDI provides a long-term broader account of the financial structure and health of an economy. As the performance and success of a given monetary policy would less likely be judged on short-term dynamics, it seems sensible to use the annual FDI as one of several economic and country attributes in a policy evaluation of Inflation Targeting. The paper offers a potential outcomes analysis of the impact of inflation targeting on inflation and inflation volatility, and focuses on advanced economies that adopt inflation targeting as a formal monetary policy. In order to deal with the counterfactual question, namely what would be the inflation rate for an adopting country had it not adopted this policy, the paper offers a new matching technique that subsumes the traditional propensity scores methods as a special case. The paper has different proposals for assessing matching based on the whole distribution of any scores. Additionally, the paper goes beyond the Average Treatment Effect (ATE) and examines the entire distribution of inflation and its variability. It is found that the adoption of inflation targeting has helped lower inflation (not just the mean) for the targeting countries. However, it is shown that exact numerical quantification of this policy effect is as highly subjective as choosing ideal social welfare functions. The paper also finds no evidence of a larger gain for late adopters of inflation targeting. As for inflation variability, there is some robust evidence of small and often statistically insignificant reduction in variability due to targeting. (C) 2013 Elsevier Inc. All rights reserved.</t>
  </si>
  <si>
    <t>[Ginindza, Mzwandile; Maasoumi, Esfandiar] Emory Univ, Dept Econ, Atlanta, GA 30322 USA</t>
  </si>
  <si>
    <t>Emory University</t>
  </si>
  <si>
    <t>Ginindza, M (corresponding author), Emory Univ, Dept Econ, Atlanta, GA 30322 USA.</t>
  </si>
  <si>
    <t>mginind@emory.edu; esfandiar.maasoumi@emory.edu</t>
  </si>
  <si>
    <t>1062-9408</t>
  </si>
  <si>
    <t>1879-0860</t>
  </si>
  <si>
    <t>N AM J ECON FINANC</t>
  </si>
  <si>
    <t>N. Am. Econ. Financ.</t>
  </si>
  <si>
    <t>10.1016/j.najef.2013.02.018</t>
  </si>
  <si>
    <t>272EI</t>
  </si>
  <si>
    <t>WOS:000328442700028</t>
  </si>
  <si>
    <t>Osei, YA; Barnard, H; Derban, W; Essuman, D</t>
  </si>
  <si>
    <t>Osei, Yaa Afi; Barnard, Helena; Derban, William; Essuman, Dominic</t>
  </si>
  <si>
    <t>Does financial literacy enhance banking transactions among rural people with access to bank accounts? Insights from a field experiment in Ghana</t>
  </si>
  <si>
    <t>AFRICA JOURNAL OF MANAGEMENT</t>
  </si>
  <si>
    <t>financial literacy; financial inclusion; self-efficacy; banking, rural communities; field experiment</t>
  </si>
  <si>
    <t>ABILITY MOA MODEL; SELF-EFFICACY; OPPORTUNITY; MOTIVATION; INCLUSION; MANAGEMENT; ENGAGEMENT; FRAMEWORK</t>
  </si>
  <si>
    <t>Bank account usage is a fundamental indicator of financial inclusion. Across sub-Saharan Africa, various stakeholders actively work to improve access to banking. This study uses motivation, opportunity and ability theory, with self-efficacy as a boundary condition, to theorize the relationship between financial literacy and usage of a mobile-based, zero-cost bank account. In a field experiment with young adults in rural Ghana - a typical population for such interventions - multi-wave data from 142 individuals show that neither financial literacy nor its interaction with self-efficacy improves bank account usage. Follow-up surveys and interviews reveal other motivation- and ability-enhancing factors (i.e. income, and the need for bank accounts) that condition the causal relationship tested in the study. The study's findings clarify the boundaries of the existing literature on the link between financial literacy and financial inclusion, while offering policymakers valuable insights into the conditions necessary for financial inclusion interventions to achieve the desired outcomes.</t>
  </si>
  <si>
    <t>[Osei, Yaa Afi; Barnard, Helena; Derban, William; Essuman, Dominic] Univ Pretoria, Gordon Inst Business Sci, Johannesburg, South Africa; [Essuman, Dominic] Univ Sheffield, Management Sch, Sheffield, England</t>
  </si>
  <si>
    <t>University of Pretoria; University of Sheffield</t>
  </si>
  <si>
    <t>Barnard, H (corresponding author), Univ Pretoria, Gordon Inst Business Sci, Johannesburg, South Africa.</t>
  </si>
  <si>
    <t>barnardh@gibs.co.za</t>
  </si>
  <si>
    <t>Barnard, Helena/E-7106-2013; Essuman, Dominic/HJA-6782-2022</t>
  </si>
  <si>
    <t>Barnard, Helena/0000-0002-5690-5023; Essuman, Dominic/0000-0003-1838-2505;</t>
  </si>
  <si>
    <t>International Development Research Centre; IDRC (International Development Research Centre)</t>
  </si>
  <si>
    <t>International Development Research Centre(International Development Research Centre - IDRC); IDRC (International Development Research Centre)(International Development Research Centre - IDRC)</t>
  </si>
  <si>
    <t>We would like to thank the IDRC (International Development Research Centre for the funding for the research of the first author). In addition, we are grateful to the anonymous reviewers for their reviews which contributed to the development of this paper.</t>
  </si>
  <si>
    <t>2332-2373</t>
  </si>
  <si>
    <t>2332-2381</t>
  </si>
  <si>
    <t>AFR J MANAGE</t>
  </si>
  <si>
    <t>Afr. J. Manag.</t>
  </si>
  <si>
    <t>10.1080/23322373.2025.2470595</t>
  </si>
  <si>
    <t>JAN 2025</t>
  </si>
  <si>
    <t>2RQ1H</t>
  </si>
  <si>
    <t>WOS:001456549300001</t>
  </si>
  <si>
    <t>Bathen, L; Flores, GH; Madl, G; Jadav, D; Arvanitis, A; Santhanam, K; Zeng, C; Gordon, A</t>
  </si>
  <si>
    <t>Bathen, Luis; Flores, German H.; Madl, Gabor; Jadav, Divyesh; Arvanitis, Andreas; Santhanam, Krishna; Zeng, Connie; Gordon, Alan</t>
  </si>
  <si>
    <t>SelfIs: Self-Sovereign Biometric IDs</t>
  </si>
  <si>
    <t>2019 IEEE/CVF CONFERENCE ON COMPUTER VISION AND PATTERN RECOGNITION WORKSHOPS (CVPRW 2019)</t>
  </si>
  <si>
    <t>IEEE Computer Society Conference on Computer Vision and Pattern Recognition Workshops</t>
  </si>
  <si>
    <t>32nd IEEE/CVF Conference on Computer Vision and Pattern Recognition (CVPR)</t>
  </si>
  <si>
    <t>JUN 16-20, 2019</t>
  </si>
  <si>
    <t>Long Beach, CA</t>
  </si>
  <si>
    <t>IEEE,CVF,IEEE Comp Soc</t>
  </si>
  <si>
    <t>GENERATION</t>
  </si>
  <si>
    <t>We live in a connected world that requires us to identify ourselves every time we want to access our emails, work stations, bank accounts, health care records, etc. Every system we interact with requires us to remember a username/password combination, have access to some private/public key pair, a hardware token, or some third party authentication software. Our digital identity is owned by the services we are trying to access, no longer under our control. Self-Sovereign Identity promises to give back control of his or her identity to the user. It is in this context that we explore the use of biometrics in order to empower users to be their own passwords, their own keys, their own means to authenticate themselves. We propose Self-Sovereign Biometric IDs (SelfIs), a novel approach that marries the concepts of decentralization, cancelable biometrics, bloom filters, and machine learning to develop a privacy-first solution capable of allowing users to control how their biometrics are used without risking their raw biometric templates.</t>
  </si>
  <si>
    <t>[Bathen, Luis; Flores, German H.; Madl, Gabor; Jadav, Divyesh] IBM Res, Yorktown Hts, NY 10598 USA; [Arvanitis, Andreas; Santhanam, Krishna; Zeng, Connie; Gordon, Alan] Ford Res, Palo Alto, CA USA</t>
  </si>
  <si>
    <t>International Business Machines (IBM); IBM USA</t>
  </si>
  <si>
    <t>Bathen, L (corresponding author), IBM Res, Yorktown Hts, NY 10598 USA.</t>
  </si>
  <si>
    <t>bathen@us.ibm.com; ghflores@us.ibm.com; madl@us.ibm.com; divyesh@us.ibm.com; aarvani1@ford.com; ksantha4@ford.com; czeng1@ford.com; agordo57@ford.com</t>
  </si>
  <si>
    <t>2160-7508</t>
  </si>
  <si>
    <t>978-1-7281-2506-0</t>
  </si>
  <si>
    <t>IEEE COMPUT SOC CONF</t>
  </si>
  <si>
    <t>10.1109/CVPRW.2019.00344</t>
  </si>
  <si>
    <t>Computer Science, Artificial Intelligence</t>
  </si>
  <si>
    <t>BP9NT</t>
  </si>
  <si>
    <t>WOS:000569983600338</t>
  </si>
  <si>
    <t>Tanchangya, T; Sarker, T; Rahman, J; Islam, MS; Islam, N; Siddiqi, KO</t>
  </si>
  <si>
    <t>Tanchangya, Tipon; Sarker, Tapan; Rahman, Junaid; Islam, Md Shafiul; Islam, Naimul; Siddiqi, Kazi Omar</t>
  </si>
  <si>
    <t>Mapping Blockchain Applications in FinTech: A Systematic Review of Eleven Key Domains</t>
  </si>
  <si>
    <t>INFORMATION</t>
  </si>
  <si>
    <t>Review</t>
  </si>
  <si>
    <t>blockchain; FinTech; decentralization; smart contracts; financial inclusion; regulatory compliance; digital identity</t>
  </si>
  <si>
    <t>Blockchain technology is now a useful tool that FinTech organizations use to increase transparency, optimize activities, and seize new possibilities. This research explores blockchain applications within the FinTech sector. This study systematically explores blockchain applications within the FinTech sector by 164 peer-reviewed articles, utilizing the Preferred Reporting Items for Systematic Reviews and Meta-Analyses (PRISMA) framework. The review identifies eleven applications, such as smart contracts, financial inclusion, crowdfunding, digital identity, trade finance, regulatory compliance, insurance, asset management, investment, banking, and lending. A mixed-method strategy, combining quantitative and qualitative content analysis, was applied to examine the adoption and impact of blockchain across these subdomains. It further discusses current challenges such as regulatory ambiguity, interoperability limitations, and cybersecurity threats. This paper provides a consolidated framework of blockchain's actual application in FinTech subdomains and identifies the main gaps in the existing literature. These results have practical implications for practitioners, researchers, and policymakers who seek to harness blockchain for achieving financial innovation and inclusive growth.</t>
  </si>
  <si>
    <t>[Tanchangya, Tipon; Rahman, Junaid] Univ Chittagong, Dept Finance, Chittagong 4331, Bangladesh; [Sarker, Tapan] Univ Southern Queensland, Sch Business, Ipswich, Qld 4300, Australia; [Islam, Md Shafiul] East West Univ, Dept Business Adm, Dhaka 1212, Bangladesh; [Islam, Naimul] Univ Greenwich, Dept Accounting Finance &amp; Econ, London SE10 9LS, England; [Siddiqi, Kazi Omar] Comilla Univ, Dept Management Studies, Cumilla 3506, Bangladesh</t>
  </si>
  <si>
    <t>University of Chittagong; University of Southern Queensland; East West University Bangladesh; University of Greenwich; Comilla University</t>
  </si>
  <si>
    <t>Sarker, T (corresponding author), Univ Southern Queensland, Sch Business, Ipswich, Qld 4300, Australia.</t>
  </si>
  <si>
    <t>tipon.fin@std.cu.ac.bd; tapan.sarker@unisq.edu.au; junaid.fin@std.cu.ac.bd; 2016-3-10-187@std.ewubd.edu; naimul-22nd-2015612670@mgt.du.ac.bd; kaziomar82@cou.ac.bd</t>
  </si>
  <si>
    <t>Sarker, Tapan/ABG-2973-2021; Siddiqi, Dr. Kazi/LWI-8672-2024</t>
  </si>
  <si>
    <t>Sarker, Tapan/0000-0002-0682-2940; Tanchangya, Tipon/0009-0009-2365-4959; Islam, Naimul/0009-0005-7001-1770;</t>
  </si>
  <si>
    <t>2078-2489</t>
  </si>
  <si>
    <t>Information</t>
  </si>
  <si>
    <t>SEP 5</t>
  </si>
  <si>
    <t>10.3390/info16090769</t>
  </si>
  <si>
    <t>Computer Science, Information Systems</t>
  </si>
  <si>
    <t>7UQ5C</t>
  </si>
  <si>
    <t>WOS:001580065000001</t>
  </si>
  <si>
    <t>Liao, CH; Guan, XQ; Cheng, JH; Yuan, SM</t>
  </si>
  <si>
    <t>Liao, Chia-Hung; Guan, Xue-Qin; Cheng, Jen-Hao; Yuan, Shyan-Ming</t>
  </si>
  <si>
    <t>Blockchain-based identity management and access control framework for open banking ecosystem</t>
  </si>
  <si>
    <t>FUTURE GENERATION COMPUTER SYSTEMS-THE INTERNATIONAL JOURNAL OF ESCIENCE</t>
  </si>
  <si>
    <t>Consortium blockchain; Smart contract; Open banking; Identity management; Access control; Privacy preservation; Data sharing</t>
  </si>
  <si>
    <t>Financial institutions are following an open banking (OB) trend for service innovation and integration. OB allows third-party service providers (TSPs) to access user financial data for purposes of finding the best deals and improving user experiences. The trust in third parties required for OB ecosystem success raises questions about digital identity integration, data sharing, and privacy preservation. Decentralized applications (DApps) for classifying and protecting data privacy, recording user consent, tracking TSP access actions, managing application programming interfaces (APIs), and preserving self-sovereign identities already exist, but in some countries such as Taiwan they have yet to be integrated into an operable three-phase OB approach. After identifying all major requirements of primary OB participants, we develop a blockchain-based identity management and access control (BIMAC) framework that shares some advantages of both traditional banking and blockchain technology. The BIMAC infrastructure applies smart contracts and a stateless authentication mechanism to form a reliable personal information transaction security control (PITSC) platform that offers such functionalities as decentralized third-party login (TPL), the ability to open bank accounts online, data authorization/revocation, integrated payouts, and TSP access monitoring. System performance evaluation results indicate that the frequent execution functions of the proposed framework have lower computation costs than the average transaction cost of public Ethereum. (C) 2022 Elsevier B.V. All rights reserved.</t>
  </si>
  <si>
    <t>[Liao, Chia-Hung; Guan, Xue-Qin; Cheng, Jen-Hao; Yuan, Shyan-Ming] Natl Yang Ming Chiao Tung Univ, Dept Comp Sci, Hsinchu 30010, Taiwan</t>
  </si>
  <si>
    <t>National Yang Ming Chiao Tung University</t>
  </si>
  <si>
    <t>Yuan, SM (corresponding author), Natl Yang Ming Chiao Tung Univ, Dept Comp Sci, Hsinchu 30010, Taiwan.</t>
  </si>
  <si>
    <t>smyuan@nycu.edu.tw</t>
  </si>
  <si>
    <t>; Yuan, Shyan-Ming/O-1809-2013; Cheng, Jacob/JDC-9120-2023</t>
  </si>
  <si>
    <t>Liao, ChiaHung/0000-0003-3794-1042; Yuan, Shyan-Ming/0000-0002-3621-9528;</t>
  </si>
  <si>
    <t>Ministry of Science and Technology of Taiwan [108-2511- H-009-009-MY3]</t>
  </si>
  <si>
    <t>Ministry of Science and Technology of Taiwan(Ministry of Science and Technology, Taiwan)</t>
  </si>
  <si>
    <t>This research was partially supported by the Ministry of Science and Technology of Taiwan under grant number 108-2511- H-009-009-MY3.</t>
  </si>
  <si>
    <t>0167-739X</t>
  </si>
  <si>
    <t>1872-7115</t>
  </si>
  <si>
    <t>FUTURE GENER COMP SY</t>
  </si>
  <si>
    <t>Futur. Gener. Comp. Syst.</t>
  </si>
  <si>
    <t>10.1016/j.future.2022.05.015</t>
  </si>
  <si>
    <t>JUN 2022</t>
  </si>
  <si>
    <t>Computer Science, Theory &amp; Methods</t>
  </si>
  <si>
    <t>3J5ER</t>
  </si>
  <si>
    <t>WOS:000833418600010</t>
  </si>
  <si>
    <t>Atellu, AR; Muriu, P; Sule, O</t>
  </si>
  <si>
    <t>Atellu, Antony Rahim; Muriu, Peter; Sule, Odhiambo</t>
  </si>
  <si>
    <t>Do bank regulations matter for financial stability? Evidence from a developing economy</t>
  </si>
  <si>
    <t>Financial stability; Structural equation model; Bank regulation; CAMELS; G21; G28; G24</t>
  </si>
  <si>
    <t>MACROPRUDENTIAL POLICIES; LIQUIDITY REGULATION; DEPOSIT INSURANCE; IMPACT; SUPERVISION; COMPETITION; RISK</t>
  </si>
  <si>
    <t>Purpose This paper aims to establish the effect of bank regulations on financial stability in Kenya. Specifically, the study seeks to uncover the effect of micro and macro prudential regulations on financial stability and their trade-offs or complementarities. Design/methodology/approach Using annual time series data over the period 1990-2017, the study uses structural equation model (SEM) estimation technique. This solves the problem of approximating measurement errors, using both latent constructs and indicator constructs. Findings Study findings reveal that macro and micro prudential regulations are significant drivers of financial stability. Further, prudential regulations are more effective when they complement each other. Research limitations/implications This study centers on how bank regulations affect financial stability. Future research could be carried out on the effect of Non-Bank Financial Institutions regulations on financial system stability. Practical implications Complementing macro and micro prudential regulation is more effective and efficient in ensuring stability of the financial system other than letting the two policy objectives operate independently. Social implications Regulatory authorities should introduce prudential regulations that would encourage innovations in the banking sector. This ensures easy deposit mobilization that enhances financial inclusion. Prudential regulations that ensure financial stability will be effective when low income earners are included in the financial system. Originality/value To the best of the authors' knowledge, this study is the first to investigate the role of banking regulations on financial stability. This study is also pioneering in the use of SEM estimation technique, in examining how prudential regulations affect financial stability. Previous cross-country studies have focused on macro prudential regulations ignoring the importance of micro prudential regulations.</t>
  </si>
  <si>
    <t>[Atellu, Antony Rahim; Muriu, Peter; Sule, Odhiambo] Univ Nairobi, Sch Econ, Nairobi, Kenya</t>
  </si>
  <si>
    <t>University of Nairobi</t>
  </si>
  <si>
    <t>Atellu, AR (corresponding author), Univ Nairobi, Sch Econ, Nairobi, Kenya.</t>
  </si>
  <si>
    <t>baleantony@gmail.com</t>
  </si>
  <si>
    <t>OCT 7</t>
  </si>
  <si>
    <t>10.1108/JFRC-12-2020-0114</t>
  </si>
  <si>
    <t>AUG 2021</t>
  </si>
  <si>
    <t>WC0IF</t>
  </si>
  <si>
    <t>WOS:000683819600001</t>
  </si>
  <si>
    <t>Nyikos, G; Soós, G</t>
  </si>
  <si>
    <t>Dvoulety, O; Lukes, M; Misar, J</t>
  </si>
  <si>
    <t>Nyikos, Gyorgyi; Soos, Gabor</t>
  </si>
  <si>
    <t>MICROFINANCE AND ACCESS TO FINANCE OF SMES</t>
  </si>
  <si>
    <t>PROCEEDINGS OF THE 6TH INTERNATIONAL CONFERENCE INNOVATION MANAGEMENT, ENTREPRENEURSHIP AND SUSTAINABILITY (IMES 2018)</t>
  </si>
  <si>
    <t>6th International Conference on Innovation Management, Entrepreneurship and Sustainability (IMES)</t>
  </si>
  <si>
    <t>MAY 31-JUN 01, 2018</t>
  </si>
  <si>
    <t>Univ Econ, Prague, CZECH REPUBLIC</t>
  </si>
  <si>
    <t>Comenius Univ Bratislava, Fac Management,Corvinus Univ Budapest,JEMI,Univ Huelva,CESKA Sporitelna,Univ Econ, Fac Business Adm, Dept Entrepreneurship,Linnaeus Univ, Sch Business &amp; Econ,Linnaeus Univ</t>
  </si>
  <si>
    <t>Univ Econ</t>
  </si>
  <si>
    <t>Microfinance; SMEs; financial instruments; EU Funds</t>
  </si>
  <si>
    <t>Purpose: The main objective of this study is to provide an overview of the situation of access to finance of SMEs in Europe and explore the regulatory and financial background of microfinance opportunities. Besides this general approach, the paper also aims to investigate the practical approach of EU Member States to the issue of microfinance. As a result, it is expected that overall the efficiency of programmes financed from public funds will be increased through the adoption of best practices in European countries. Design/methodology/approach: Research is being carried out using information provided by ten INTERREG project partners from seven different EU Member States and Norway, including managing authorities, microfinance institutions and enterprise development organisations. Stakeholders were interviewed through surveys and stakeholder group meetings (twelve meetings per partner), while their experiences are shared in study trips (up to six per partner) and local workshops (up to five per partner). Publicly relevant data and the academic literature related to microfinance has been also reviewed. In-depth analysis in six EU Member States (Hungary, Italy, Germany, Spain, Croatia, Poland), representing regions at various levels of development, has also been carried out. Findings: It has been found that the lack of commercial sources of finance is still a problem for a number of European SMEs. The main problem is that many firms are deemed non-bankable by commercial banks. Nevertheless, governments have intervened to support these firms and promote microfinance initiatives. These are provided typically from national or EU sources, such as ESIF Funds, while various regional initiatives also exist in the countries investigated. Research/practical implications: The research addresses some important regulatory and practical issues with microfinance that can prove invaluable for researchers, policy-makers or even financial institutions. The comparative analysis of Member State solutions can also provide an inspiration for other countries considering the introduction of microfinance initiatives. It is expected that following the publication of the results of the research, policy instruments related to microfinance will be improved and there will also be new projects aiming at tackling at enterprise development or improving the access to local microfinance programs. Originality/value: The paper presents original research in the field of practical issues and solutions in microfinance, providing an invaluable insight into the approach of six different EU Member States.</t>
  </si>
  <si>
    <t>[Nyikos, Gyorgyi; Soos, Gabor] Natl Univ Publ Serv, Ludovika Ter 2, H-1083 Budapest, Hungary</t>
  </si>
  <si>
    <t>Ludovika University of Public Service</t>
  </si>
  <si>
    <t>Nyikos, G (corresponding author), Natl Univ Publ Serv, Ludovika Ter 2, H-1083 Budapest, Hungary.</t>
  </si>
  <si>
    <t>nyikos.gyorgyi@uni-nke.hu; soos.gabor.gergely@uni-nke.hu</t>
  </si>
  <si>
    <t>Nyikos, Györgyi/Y-6455-2019; Soos, Gabor/JVD-8024-2023</t>
  </si>
  <si>
    <t>Nyikos, Györgyi/0000-0001-8934-8131;</t>
  </si>
  <si>
    <t>OECONOMICA PUBLISHING HOUSE</t>
  </si>
  <si>
    <t>PRAGUE 3</t>
  </si>
  <si>
    <t>UNIV ECONOMICS, PRAGUE, W CHURCHILL SQ 4, PRAGUE 3, 130 67, CZECH REPUBLIC</t>
  </si>
  <si>
    <t>978-80-245-2274-6</t>
  </si>
  <si>
    <t>BM2RL</t>
  </si>
  <si>
    <t>WOS:000461375200069</t>
  </si>
  <si>
    <t>Kuncová, M; Seknicková, J; Kánová, E</t>
  </si>
  <si>
    <t>Jedlicka, P</t>
  </si>
  <si>
    <t>Kuncova, Martina; Seknickova, Jana; Kanova, Eliska</t>
  </si>
  <si>
    <t>COMPARISON OF THE SELECTED BANK ACCOUNTS IN THE CZECH REPUBLIC</t>
  </si>
  <si>
    <t>HRADECKE EKONOMICKE DNY 2015, ROC. 5 (2)</t>
  </si>
  <si>
    <t>Hradec Economic Days</t>
  </si>
  <si>
    <t>Czech</t>
  </si>
  <si>
    <t>13th International Scientific Conference on Hradec Economic Days</t>
  </si>
  <si>
    <t>FEB 03-04, 2015</t>
  </si>
  <si>
    <t>Univ Hradec Kralove, Fac Informat &amp; Management, Dept Econ, Hradec Kralove, CZECH REPUBLIC</t>
  </si>
  <si>
    <t>Univ Hradec Kralove, Fac Informat &amp; Management, Dept Management,Univ Hradec Kralove, Fac IT &amp; Management</t>
  </si>
  <si>
    <t>Univ Hradec Kralove, Fac Informat &amp; Management, Dept Econ</t>
  </si>
  <si>
    <t>bank account; banks; multi-criteria decision; comparison</t>
  </si>
  <si>
    <t>The aim of this paper is the comparison of the bank accounts (offered to retail clients) according to 10 selected criteria (bank charges, ATMs, internet and mobile banking, interest rates, etc.). The weights of the criteria were taken from the questionnaire. Afterwards the methods of multi-criteria evaluation of alternatives, specifically methods TOPSIS and PROMETHEE, were applied. Finally the order of all 37 evaluated bank accounts from 19 banks operated on the Czech market was created. The results show that the clients should not select the dominated bank account but in the top there are accounts of big banks and also of the new smaller low-cost banks.</t>
  </si>
  <si>
    <t>[Kuncova, Martina; Seknickova, Jana; Kanova, Eliska] Vysoka Skola Ekon, Prague, Czech Republic</t>
  </si>
  <si>
    <t>Kuncová, M (corresponding author), Vysoka Skola Ekon, Prague, Czech Republic.</t>
  </si>
  <si>
    <t>martina.kuncova@vse.cz; jana.seknickova@vse.cz; kanova.eliska@seznam.cz</t>
  </si>
  <si>
    <t>Kuncová, Martina/HSH-3894-2023</t>
  </si>
  <si>
    <t>UNIV HRADEC KRALOVE</t>
  </si>
  <si>
    <t>HRADEC KRALOVE 3</t>
  </si>
  <si>
    <t>ROKITANSKEHO 62, HRADEC KRALOVE 3, 500 03, CZECH REPUBLIC</t>
  </si>
  <si>
    <t>2464-6059</t>
  </si>
  <si>
    <t>2464-6067</t>
  </si>
  <si>
    <t>978-80-7435-547-9</t>
  </si>
  <si>
    <t>HRADEC ECON DAYS</t>
  </si>
  <si>
    <t>Pt 2</t>
  </si>
  <si>
    <t>Area Studies; Economics</t>
  </si>
  <si>
    <t>Area Studies; Business &amp; Economics</t>
  </si>
  <si>
    <t>BM2SH</t>
  </si>
  <si>
    <t>WOS:000461418800011</t>
  </si>
  <si>
    <t>Yamanaka, S; Yamamoto, R</t>
  </si>
  <si>
    <t>Yamanaka, Suguru; Yamamoto, Rei</t>
  </si>
  <si>
    <t>A bank-account-information-based credit scoring method with Bayesian hierarchical modeling</t>
  </si>
  <si>
    <t>INTERNATIONAL JOURNAL OF FINANCIAL ENGINEERING</t>
  </si>
  <si>
    <t>Credit risk; credit scoring; bank account activity information; Bayesian hierarchical model; fintech</t>
  </si>
  <si>
    <t>SUPPORT VECTOR MACHINES; FINANCIAL RATIOS; PREDICTION; SELECTION; SPREADS</t>
  </si>
  <si>
    <t>Recent interest in financial technology (fintech) lending business has caused increasing challenges of credit scoring models using bank account activity information. Our work aims to develop a new credit scoring method based on bank account activity information. This method incorporates borrower firms' segment-level heterogeneity, such as a segment of sales size and firm age. We employ Bayesian hierarchical modeling, which mitigates data sparsity issue due to data segmentation. We describe our modeling procedures, including data handling and variable selection. Empirical results show that our model outperforms the traditional logistic model for credit scoring in information criterion. Our model realizes advanced credit scoring based on bank account activity information in fintech lending businesses, taking segment-specific features into credit risk assessment.</t>
  </si>
  <si>
    <t>[Yamanaka, Suguru] Aoyama Gakuin Univ, Coll Sci &amp; Engn, Chuo Ku, 5-10-1 Fuchinobe, Sagamihara, Kanagawa, Japan; [Yamamoto, Rei] Keio Univ, Fac Sci &amp; Technol, Kohoku Ku, 3-14-1 Hiyoshi, Yokohama, Kanagawa, Japan</t>
  </si>
  <si>
    <t>Aoyama Gakuin University; Keio University</t>
  </si>
  <si>
    <t>Yamanaka, S (corresponding author), Aoyama Gakuin Univ, Coll Sci &amp; Engn, Chuo Ku, 5-10-1 Fuchinobe, Sagamihara, Kanagawa, Japan.</t>
  </si>
  <si>
    <t>syamanaka@math.aoyama.ac.jp</t>
  </si>
  <si>
    <t>JSPS KAKENHI [JP18K12818]; [19K04888]; Grants-in-Aid for Scientific Research [22K04604] Funding Source: KAKEN</t>
  </si>
  <si>
    <t>JSPS KAKENHI(Ministry of Education, Culture, Sports, Science and Technology, Japan (MEXT)Japan Society for the Promotion of ScienceGrants-in-Aid for Scientific Research (KAKENHI)); ; Grants-in-Aid for Scientific Research(Ministry of Education, Culture, Sports, Science and Technology, Japan (MEXT)Japan Society for the Promotion of ScienceGrants-in-Aid for Scientific Research (KAKENHI))</t>
  </si>
  <si>
    <t>This work was supported by JSPS KAKENHI Grant Number JP18K12818 and Grant-in-Aid for Scientific Research(C) 19K04888. The authors thank Emerada Co. Ltd., for providing data for the analysis.</t>
  </si>
  <si>
    <t>WORLD SCIENTIFIC PUBL CO PTE LTD</t>
  </si>
  <si>
    <t>SINGAPORE</t>
  </si>
  <si>
    <t>5 TOH TUCK LINK, SINGAPORE 596224, SINGAPORE</t>
  </si>
  <si>
    <t>2424-7863</t>
  </si>
  <si>
    <t>2424-7944</t>
  </si>
  <si>
    <t>INT J FINANC ENG</t>
  </si>
  <si>
    <t>Int. J. Financ. Eng.</t>
  </si>
  <si>
    <t>10.1142/S2424786321500365</t>
  </si>
  <si>
    <t>2R4EX</t>
  </si>
  <si>
    <t>WOS:000821066600007</t>
  </si>
  <si>
    <t>Hikkaduwa Epa Liyanage, K; Hartarska, V; Nadolnyak, D</t>
  </si>
  <si>
    <t>Hikkaduwa Epa Liyanage, Kumuditha; Hartarska, Valentina; Nadolnyak, Denis</t>
  </si>
  <si>
    <t>Prepaid cards and the unbanked in the US: financial innovations and financial inclusion</t>
  </si>
  <si>
    <t>JOURNAL OF FINANCIAL ECONOMIC POLICY</t>
  </si>
  <si>
    <t>Consumption; Credit; Financial economics; Financial institutions and services</t>
  </si>
  <si>
    <t>PurposeFinancial inclusion is measured by the number of people who use the formal financial system and banks in particular. Limited access to formal banking services and the existence of unbanked households is a main policy concern. The authors evaluate how the use of prepaid (reloadable) debit cards by unbanked households affects financial inclusion and specifically the potential for these households to participate in the formal financial system and open a bank account.Design/methodology/approachThe authors apply matching models to analyze survey data from the Federal Deposit Insurance Corporation National Survey of the Unbanked and Underbanked Households from 2009 to 2019 and evaluate how prepaid cards use affects plans to open a bank account.FindingsUnbanked households who use prepaid cards are 5% less likely to open a bank account compared to the matched nonusers of prepaid cards. In addition, prepaid card users are 12% more likely to use nonbanks to transfer money/transact online and 18% more likely to have obtained loans from alternative financial services providers compared to the matched unbanked nonusers of prepaid debit cards.Originality/valueNo previous work has estimated the causal impact of use of prepaid cards on financial inclusion.</t>
  </si>
  <si>
    <t>[Hikkaduwa Epa Liyanage, Kumuditha] Tennessee State Univ, Nashville, TN 37203 USA; [Hartarska, Valentina; Nadolnyak, Denis] Auburn Univ, Dept Agr Econ &amp; Rural Sociol, Auburn, AL USA</t>
  </si>
  <si>
    <t>Tennessee State University; Auburn University System; Auburn University</t>
  </si>
  <si>
    <t>Hartarska, V (corresponding author), Auburn Univ, Dept Agr Econ &amp; Rural Sociol, Auburn, AL USA.</t>
  </si>
  <si>
    <t>kchandra@tnstate.edu; hartavm@auburn.edu; nadolda@auburn.edu</t>
  </si>
  <si>
    <t>Hartarska, Valentina/0000-0001-7424-8808; Hikkaduwa Epa Liyanage, Kumuditha/0009-0001-3916-8180</t>
  </si>
  <si>
    <t>1757-6385</t>
  </si>
  <si>
    <t>1757-6393</t>
  </si>
  <si>
    <t>J FINAN ECON POLICY</t>
  </si>
  <si>
    <t>J. Finan. Econ. Policy</t>
  </si>
  <si>
    <t>JAN 11</t>
  </si>
  <si>
    <t>10.1108/JFEP-10-2023-0307</t>
  </si>
  <si>
    <t>EE7F0</t>
  </si>
  <si>
    <t>WOS:001135343800001</t>
  </si>
  <si>
    <t>Hayashi, F; Routh, A; Toh, YL</t>
  </si>
  <si>
    <t>Hayashi, Fumiko; Routh, Aditi; Toh, Ying Lei</t>
  </si>
  <si>
    <t>Heterogeneous unbanked households: Which types of households are more (or less) likely to open a bank account?</t>
  </si>
  <si>
    <t>JOURNAL OF ECONOMICS AND BUSINESS</t>
  </si>
  <si>
    <t>Unbanked; Financial inclusion; Nonbank financial services; Consumer choices</t>
  </si>
  <si>
    <t>Promoting bank account ownership is important because having a bank account is the foundation for households' financial well-being. Unbanked households differ in their likelihood of opening a bank account, and understanding the factors associated with these differences can help policymakers and industry stakeholders to tailor financial inclusion strategies. This study examines which factors are associated with unbanked households that are more (or less) likely to open a bank account. We use data from the FDIC National Surveys of Unbanked and Underbanked Households and assess the likelihoods of opening a bank account for different groups of unbanked households divided based on their prior banking status and interest in having a bank account. Unbanked households that previously had a bank account and are interested in having a bank account are more likely to open an account. These households tend to be unemployed, more educated, and native born, to have access to digital technologies, to use alternative financial services, and to be unbanked because of unfavorable bank account features. In contrast, households that never had a bank account and are uninterested in a bank account are less likely to open an account. These households tend to be not in the labor force, less educated, of a racial minority, and foreign born, to lack access to digital technologies, and to rely heavily on cash. Moreover, they tend to distrust banks. Advancing financial inclusion for this group will require strategies to increase their trust in the financial services industry.</t>
  </si>
  <si>
    <t>[Hayashi, Fumiko; Routh, Aditi; Toh, Ying Lei] Fed Reserve Bank Kansas City, 1 Mem Dr, Kansas City, MO 64198 USA</t>
  </si>
  <si>
    <t>Federal Reserve System - USA; Federal Reserve Bank - Kansas City</t>
  </si>
  <si>
    <t>Hayashi, F (corresponding author), Fed Reserve Bank Kansas City, 1 Mem Dr, Kansas City, MO 64198 USA.</t>
  </si>
  <si>
    <t>fumiko.hayashi@kc.frb.org; aditi.routh@kc.frb.org; yinglei.toh@kc.frb.org</t>
  </si>
  <si>
    <t>Routh, Aditi/HJG-4924-2022</t>
  </si>
  <si>
    <t>Routh, Aditi/0000-0003-2507-5714</t>
  </si>
  <si>
    <t>0148-6195</t>
  </si>
  <si>
    <t>J ECON BUS</t>
  </si>
  <si>
    <t>J. Econ. Bus.</t>
  </si>
  <si>
    <t>MAR-APR</t>
  </si>
  <si>
    <t>10.1016/j.jeconbus.2023.106156</t>
  </si>
  <si>
    <t>SE8B4</t>
  </si>
  <si>
    <t>WOS:001232862200001</t>
  </si>
  <si>
    <t>Okoye, LU; Omankhanlen, AE; Ahmed, A; Ojo, A</t>
  </si>
  <si>
    <t>Uslu, F</t>
  </si>
  <si>
    <t>Okoye, Lawrence Uchenna; Omankhanlen, Alexander Ehimare; Ahmed, Ado; Ojo, Amanosi</t>
  </si>
  <si>
    <t>DRIVING INCLUSIVE GROWTH THROUGH RURAL FINANCIAL INTERMEDIATION: A STUDY OF THE MICROFINANCE MODEL IN NIGERIA</t>
  </si>
  <si>
    <t>PROCEEDINGS OF INTCESS 2019- 6TH INTERNATIONAL CONFERENCE ON EDUCATION AND SOCIAL SCIENCES</t>
  </si>
  <si>
    <t>6th International Conference on Education and Social Sciences (INTCESS)</t>
  </si>
  <si>
    <t>FEB 04-06, 2019</t>
  </si>
  <si>
    <t>Dubai, U ARAB EMIRATES</t>
  </si>
  <si>
    <t>Rural Financial Intermediation; Microfinance Banks; Financial Inclusion; Economic Growth</t>
  </si>
  <si>
    <t>POVERTY</t>
  </si>
  <si>
    <t>The microfinance banking model was formally introduced in Nigeria in December 2005 to drive inclusive participation of all economic units towards achieving rapid economic growth. The policy thrust of this banking model was to improve access of micro entrepreneurs and low income households to microcredit and other financial services necessary for the expansion and modernization of their operations. The rationale for a paradigm shift from conventional to the microfinance model for integrating this segment of the economic strata into mainstream economy is the uniqueness of their operations which include smallness of loans and savings, de-emphasis on collateral as a condition for credit delivery, and the simple nature of their operations. The study was designed to estimate growth implications of the intermediation activities of microfinance banks in Nigeria between 1992 and 2016. Data were collected from the statistical bulletin, a publication of the Central Bank of Nigeria. Model estimation was based on the technique of the autoregressive distributed lag (ARDL). Traditional intermediation functions of microfinance banks (deposit mobilization and credit creation) were adopted as explanatory variables while inflation and asset base were introduced as controlled variables. The results show that microfinance banks' deposits play active role in economic growth in Nigeria. This is an indication that microfinance banks are effectively mobilizing rural deposits, an activity that helps to track rural commercial transactions thereby enhancing tax collection by the government and in the process growing the national income. The result further shows that microfinance banks' loans and advances did not support economic growth within the context of our study. Poor credit administration and management may largely account for the negative impact of MFBs loans on growth by turning these institutions into conduits for channeling deposits in non-bankable business proposals. It was further observed that lagged values of GDP significantly promote output growth in the present period. There is also evidence that investment in microfinance bank assets was an impediment to growth during the period under review, an indication of heavy investments in unproductive assets. Finally, growth was also shown to be enhanced by the general price level. Based on the above findings, we conclude that rural financial intermediation, an essential component of financial inclusion, is significant for enhanced economic growth. This paper advocates prudent allocation and efficient management of microfinance banks' loans and advances as well as asset investments in order to optimize the benefits of financial inclusion.</t>
  </si>
  <si>
    <t>[Okoye, Lawrence Uchenna; Omankhanlen, Alexander Ehimare; Ojo, Amanosi] Covenant Univ Ota, Ota, Nigeria; [Ahmed, Ado] Abubakar Tafawa Balewa Univ, Bauchi, Nigeria</t>
  </si>
  <si>
    <t>Okoye, LU (corresponding author), Covenant Univ Ota, Ota, Nigeria.</t>
  </si>
  <si>
    <t>lawrence.okoye@covenantuniversity.edu.ng; alexander.omankhanlen@covenantuniversity.edu.ng; adohmd@yahoo.com; amanosi.ojo@stu.cu.edu.ng</t>
  </si>
  <si>
    <t>Omankhanlen, Alexandert/HPG-9599-2023</t>
  </si>
  <si>
    <t>INT ORGANIZATION CENTER ACAD RESEARCH</t>
  </si>
  <si>
    <t>ISTANBUL</t>
  </si>
  <si>
    <t>YUNUS EMRE CAD AKASYA SK NO 22, UGUR MUMCU, ISTANBUL, KARTAL 00000, TURKEY</t>
  </si>
  <si>
    <t>978-605-82433-5-4</t>
  </si>
  <si>
    <t>Education &amp; Educational Research; Social Sciences, Interdisciplinary</t>
  </si>
  <si>
    <t>Education &amp; Educational Research; Social Sciences - Other Topics</t>
  </si>
  <si>
    <t>BM6HO</t>
  </si>
  <si>
    <t>WOS:000466587100141</t>
  </si>
  <si>
    <t>Valera, MLG; Lei, ZH; Fong, JH</t>
  </si>
  <si>
    <t>Valera, Maria Luisa G.; Lei, Zihui; Fong, Joelle H.</t>
  </si>
  <si>
    <t>Determinants of financial inclusion in Southeast Asia</t>
  </si>
  <si>
    <t>APPLIED ECONOMICS</t>
  </si>
  <si>
    <t>Financial inclusion; Asia, lower-middle-income economies; financial institutions; saving; G21; O16; P34</t>
  </si>
  <si>
    <t>This study examines the determinants of financial inclusion - in terms of bank account ownership, formal saving, and formal borrowing - among countries in Southeast Asia. Using the World Bank Global Findex dataset, we document low rates of financial inclusion in Cambodia, Indonesia, Laos, Myanmar and the Philippines. Individuals' access to finance through borrowing is also generally low. Results show that income, educational attainment, being employed, and mobile phone ownership are positively associated with all three financial inclusion indicators. Age effects are nonlinear and vary across the financial inclusion indicators. Post-regression estimates suggest that the likelihood of formal account ownership is highest for individuals between ages 25 and 35, while formal saving and formal borrowing is most prevalent for those between ages 35 and 65. In relation, we find that the key barriers to opening a bank account in these Southeast Asian countries include costs, bank proximity, lack of trust in financial institutions, and individuals' inability to complete required documentation. Younger individuals and middle-income individuals are more hesitant to open a formal account if a family member has an account already. Policy interventions targeted at breaking down some of these barriers and widening access to finance would boost growth and inclusion in developing countries.</t>
  </si>
  <si>
    <t>[Valera, Maria Luisa G.] Univ Philippines Banos, Coll Econ &amp; Management, Laguna, Philippines; [Lei, Zihui; Fong, Joelle H.] Natl Univ Singapore, Lee Kuan Yew Sch Publ Policy, Singapore, Singapore; [Fong, Joelle H.] Natl Univ Singapore, Lee Kuan Yew Sch Publ Policy, 469C Bukit Timah Rd, Singapore 259772, Singapore</t>
  </si>
  <si>
    <t>University of the Philippines System; University of the Philippines Los Banos; National University of Singapore; National University of Singapore</t>
  </si>
  <si>
    <t>Fong, JH (corresponding author), Natl Univ Singapore, Lee Kuan Yew Sch Publ Policy, 469C Bukit Timah Rd, Singapore 259772, Singapore.</t>
  </si>
  <si>
    <t>j.fong@nus.edu.sg</t>
  </si>
  <si>
    <t>Fong, Joelle H/AAB-7371-2019; Valera, Maria/W-3693-2019</t>
  </si>
  <si>
    <t>Fong, Joelle H/0000-0003-0267-6779;</t>
  </si>
  <si>
    <t>Social Science Research Council (Singapore); Ministry of Education, Singapore [MOE2021- SSHR-004]; NUS Fellows Programme grant</t>
  </si>
  <si>
    <t>Social Science Research Council (Singapore); Ministry of Education, Singapore(Ministry of Education, Singapore); NUS Fellows Programme grant</t>
  </si>
  <si>
    <t>This research is supported by the Social Science Research Council (Singapore) and administered by the Ministry of Education, Singapore, under its Social Science and Humanities Research Fellowship [grant number MOE2021- SSHR-004], as well as the NUS Fellows Programme grant.</t>
  </si>
  <si>
    <t>0003-6846</t>
  </si>
  <si>
    <t>1466-4283</t>
  </si>
  <si>
    <t>APPL ECON</t>
  </si>
  <si>
    <t>Appl. Econ.</t>
  </si>
  <si>
    <t>APR 27</t>
  </si>
  <si>
    <t>10.1080/00036846.2024.2326529</t>
  </si>
  <si>
    <t>MAR 2024</t>
  </si>
  <si>
    <t>1UI1W</t>
  </si>
  <si>
    <t>WOS:001182492700001</t>
  </si>
  <si>
    <t>Girard, T</t>
  </si>
  <si>
    <t>Girard, Tyler</t>
  </si>
  <si>
    <t>Bank Accounts for All: How Do State Policies Matter?</t>
  </si>
  <si>
    <t>JOURNAL OF INTERNATIONAL DEVELOPMENT</t>
  </si>
  <si>
    <t>bank account ownership; financial inclusion; financial regulation; global south</t>
  </si>
  <si>
    <t>FINANCIAL INCLUSION; SERVICES; ACCESS; INEQUALITY; IMPUTATION; EXCLUSION; GROWTH; MICE; UK</t>
  </si>
  <si>
    <t>This paper examines the relationship between state policies and bank account ownership in developing countries. While existing literatures broadly support a 'market-enabling' approach, consisting of limited direct state intervention and proportionate regulation, statistical analyses frequently rely on problematic measurement techniques. This study adopts a novel and more comprehensive approach by using a modified index constructed from expert evaluations. Using ordinary least squares regression, the analysis suggests a positive relationship between a market-enabling state policy framework and increased bank account ownership among the total population, but the relationship diminishes among key subpopulations: adult women, rural adults and the poorest 40 per cent of adults. (c) 2020 John Wiley &amp; Sons, Ltd.</t>
  </si>
  <si>
    <t>[Girard, Tyler] Western Univ, Dept Polit Sci, Social Sci Ctr, Rm 4154, London, ON N6A 5C2, Canada</t>
  </si>
  <si>
    <t>Western University (University of Western Ontario)</t>
  </si>
  <si>
    <t>Girard, T (corresponding author), Western Univ, Dept Polit Sci, Social Sci Ctr, Rm 4154, London, ON N6A 5C2, Canada.</t>
  </si>
  <si>
    <t>tgirard2@uwo.ca</t>
  </si>
  <si>
    <t>; Girard, Tyler/AGV-2122-2022</t>
  </si>
  <si>
    <t>Girard, Tyler/0000-0001-8568-8868;</t>
  </si>
  <si>
    <t>0954-1748</t>
  </si>
  <si>
    <t>1099-1328</t>
  </si>
  <si>
    <t>J INT DEV</t>
  </si>
  <si>
    <t>J. Int. Dev.</t>
  </si>
  <si>
    <t>10.1002/jid.3478</t>
  </si>
  <si>
    <t>MG6XL</t>
  </si>
  <si>
    <t>WOS:000531384400001</t>
  </si>
  <si>
    <t>de Mel, S; McIntosh, C; Sheth, K; Woodruff, C</t>
  </si>
  <si>
    <t>de Mel, Suresh; McIntosh, Craig; Sheth, Ketki; Woodruff, Christopher</t>
  </si>
  <si>
    <t>Can Mobile-Linked Bank Accounts Bolster Savings? Evidence from a Randomized Controlled Trial in Sri Lanka</t>
  </si>
  <si>
    <t>REVIEW OF ECONOMICS AND STATISTICS</t>
  </si>
  <si>
    <t>IMPACTS; COSTS; POWER</t>
  </si>
  <si>
    <t>We introduce a new mobile money interface that permits Sri Lankans to deposit mobile airtime balances directly into a formal bank account. Randomizing access and prices, we find a small increase in savings deposits with the partner institution and formal banks more generally, but no change in overall savings. When the deposit transaction costs are completely removed, only 26% use the mobile deposit service and only 7% use it frequently. Our results imply that deposit transaction costs are not a significant barrier to increasing savings, limiting the potential gains of mobile-linked savings products for financial inclusion.</t>
  </si>
  <si>
    <t>[de Mel, Suresh] Univ Peradeniya, Peradeniya, Sri Lanka; [McIntosh, Craig] Univ Calif San Diego, San Diego, CA 92103 USA; [Sheth, Ketki] Univ Calif Merced, Merced, CA USA; [Woodruff, Christopher] Univ Oxford, Oxford, England</t>
  </si>
  <si>
    <t>University of Peradeniya; University of California System; University of California San Diego; University of California System; University of California Merced; University of Oxford</t>
  </si>
  <si>
    <t>de Mel, S (corresponding author), Univ Peradeniya, Peradeniya, Sri Lanka.</t>
  </si>
  <si>
    <t>International Growth Center; 3ie; Consortium on Financial Systems; Poverty at the University of Chicago</t>
  </si>
  <si>
    <t>We are grateful to the International Growth Center, 3ie, and the Consortium on Financial Systems and Poverty at the University of Chicago for funding, to Kandy Consulting Group for data collection, and toMike Callen for fieldwork on the project. The project received human subjects approval under UCSD IRB 091191S.</t>
  </si>
  <si>
    <t>MIT PRESS</t>
  </si>
  <si>
    <t>CAMBRIDGE</t>
  </si>
  <si>
    <t>ONE ROGERS ST, CAMBRIDGE, MA 02142-1209 USA</t>
  </si>
  <si>
    <t>0034-6535</t>
  </si>
  <si>
    <t>1530-9142</t>
  </si>
  <si>
    <t>REV ECON STAT</t>
  </si>
  <si>
    <t>Rev. Econ. Stat.</t>
  </si>
  <si>
    <t>10.1162/rest_a_00956</t>
  </si>
  <si>
    <t>Economics; Social Sciences, Mathematical Methods</t>
  </si>
  <si>
    <t>Business &amp; Economics; Mathematical Methods In Social Sciences</t>
  </si>
  <si>
    <t>3V2KK</t>
  </si>
  <si>
    <t>WOS:000841489400007</t>
  </si>
  <si>
    <t>Hossain, SJB; Muhshina, MK; Siddiquee, MSH</t>
  </si>
  <si>
    <t>Hossain, Sayed Jubair Bin; Muhshina, Most Kaniza; Siddiquee, Muhammad Shahadat Hossain</t>
  </si>
  <si>
    <t>Empowered Wallets, Empowered Voices: the Role of Financial Access in Women's Decision-Making Autonomy in Bangladesh</t>
  </si>
  <si>
    <t>GLOBAL SOCIAL WELFARE</t>
  </si>
  <si>
    <t>Decision-making autonomy; Women's empowerment; Financial inclusion; Household decision-making; Bangladesh</t>
  </si>
  <si>
    <t>GOODNESS-OF-FIT; DETERMINANTS</t>
  </si>
  <si>
    <t>This study scrutinizes the link between women's financial inclusion and their decision-making autonomy within households in Bangladesh. The four household decision-making variables, such as decisions on health care, large household purchases, visits to family or relatives, and what to do with the money the husband earns, are used in this study to construct the Women's Decision-Making (WDM) index, which is used as the primary outcome variable. The three key financial inclusion indicators -working on a paid job, using mobile financial services (MFS), and possessing a Bank account -are assumed to facilitate women's decision-making. We use representative sample data of Bangladeshi women aged 15-49 years extracted from Bangladesh Demographic and Health Surveys (BDHS) conducted in 2017/18 and 2022 respectively. Polychoric Principal Component Analysis (PCA) is used to identify components that explain the variance of the decision-making indicators. The multiple Ordinary Least Squares (OLS) regression is used to find the linkage between the explanatory variables and the WDM. Multiple post-estimation methods are performed to find the validity of the regression estimates. In addition, the F-test, Akaike Information Criterion (AIC), and Bayesian Information Criterion (BIC) are used to check whether the financial inclusion variables significantly explain the WDM model. The final use of the quantile regression examines how the effects of financial inclusion vary across the distribution of WDM scores. Findings reveal that all three indicators significantly contribute to improving women's decision-making autonomy in Bangladesh. Women's paid employment substantially increases women's autonomy. But it works far better for those belonging to the lower quantile of WDM scores. Access to mobile financial services (MFS) and Bank accounts also significantly improves women's autonomy, with higher associations evident at the upper quantiles. The policy implications of these findings suggest that Bangladesh should improve financial infrastructures through initiating financial literacy training programs and community-based self-help groups to enhance women's financial knowledge. Bangladesh should promote women's ownership of bank accounts and MFS for empowering them. Addressing the barriers to women's workforce participation is also imperative for gaining women's empowerment. Bangladesh should design these policies, providing a particular focus on rural women.</t>
  </si>
  <si>
    <t>[Hossain, Sayed Jubair Bin; Muhshina, Most Kaniza; Siddiquee, Muhammad Shahadat Hossain] Univ Dhaka, Dhaka, Bangladesh</t>
  </si>
  <si>
    <t>University of Dhaka</t>
  </si>
  <si>
    <t>Siddiquee, MSH (corresponding author), Univ Dhaka, Dhaka, Bangladesh.</t>
  </si>
  <si>
    <t>sjb.hossain@du.ac.bd; kanizamuhshina@du.ac.bd; siddiquee.econdu@gmail.com</t>
  </si>
  <si>
    <t>SIDDIQUEE, MUHAMMAD/JFB-1303-2023</t>
  </si>
  <si>
    <t>2196-8799</t>
  </si>
  <si>
    <t>GLOB SOC WELFARE</t>
  </si>
  <si>
    <t>Glob. Soc. Welfare</t>
  </si>
  <si>
    <t>2025 NOV 13</t>
  </si>
  <si>
    <t>10.1007/s40609-025-00415-4</t>
  </si>
  <si>
    <t>NOV 2025</t>
  </si>
  <si>
    <t>Social Work</t>
  </si>
  <si>
    <t>9SE3F</t>
  </si>
  <si>
    <t>WOS:001613753000001</t>
  </si>
  <si>
    <t>Lahav, E; Shavit, T; Benzion, U</t>
  </si>
  <si>
    <t>Lahav, Eyal; Shavit, Tal; Benzion, Uri</t>
  </si>
  <si>
    <t>Don't Let Them Fool You: Adolescents' Present-orientation and Inferior Financial Understanding</t>
  </si>
  <si>
    <t>YOUNG</t>
  </si>
  <si>
    <t>Financial literacy; time preference; discount rates; adolescents; present orientation</t>
  </si>
  <si>
    <t>TIME-PREFERENCES; DELAYED REWARDS; DISCOUNT RATES; LOSS AVERSION; SELF-CONTROL; LIFE-SPAN; BEHAVIOR; RISK; INCONSISTENCY; DECISIONS</t>
  </si>
  <si>
    <t>In the last 20 years, adolescents have gradually become very important clients for the banking industry. The current study investigates, using data collected in a survey, whether adolescents offered two options for investing in a saving certificate choose the financially preferable one and whether this choice is related to their time preference, after controlling for gender and bank account ownership. The participants were 270 adolescents from public high schools in Israel. The findings indicate that approximately 40 per cent made the inferior financial decision. However, those with a bank account were less likely to decide poorly, possibly indicating that having an account reduces financial illiteracy. Moreover, selecting the financially inferior choice correlates with a higher subjective discount rate (higher present-orientation). A gender effect is also found; girls have higher subjective discount rates, and this effect is stronger for girls with a bank account. Policy implications regarding financial education programmes are discussed.</t>
  </si>
  <si>
    <t>[Lahav, Eyal; Shavit, Tal] Coll Management Acad Studies, Sch Business Adm, IL-75190 Rishon Leziyyon, Israel; [Benzion, Uri] Western Galilee Coll, Dept Econ, Akko, Israel</t>
  </si>
  <si>
    <t>College of Management Academic Studies; Western Galilee Academic College</t>
  </si>
  <si>
    <t>Lahav, E (corresponding author), Coll Management Acad Studies, Sch Business Adm, IL-75190 Rishon Leziyyon, Israel.</t>
  </si>
  <si>
    <t>eyallahav1@gmail.com</t>
  </si>
  <si>
    <t>Shavit, Tal/GLU-8700-2022; lahav, eyal/P-8579-2019</t>
  </si>
  <si>
    <t>Shavit, Tal/0000-0003-2966-302X;</t>
  </si>
  <si>
    <t>1 OLIVERS YARD, 55 CITY ROAD, LONDON EC1Y 1SP, ENGLAND</t>
  </si>
  <si>
    <t>1103-3088</t>
  </si>
  <si>
    <t>1741-3222</t>
  </si>
  <si>
    <t>Young</t>
  </si>
  <si>
    <t>10.1177/1103308817713623</t>
  </si>
  <si>
    <t>GC7NZ</t>
  </si>
  <si>
    <t>WOS:000429981300005</t>
  </si>
  <si>
    <t>Njanike, K</t>
  </si>
  <si>
    <t>Njanike, Kosmas</t>
  </si>
  <si>
    <t>An investigation on the determinants of opening a bank account in Zimbabwe</t>
  </si>
  <si>
    <t>DEVELOPMENT SOUTHERN AFRICA</t>
  </si>
  <si>
    <t>Financial inclusion; Zimbabwe; bank account; economic growth</t>
  </si>
  <si>
    <t>GROWTH</t>
  </si>
  <si>
    <t>The promotion of an inclusive financial system has become important to many countries in policy crafting. The study seeks to explore the determinants of opening an account with a bank in Zimbabwe. Data from Finscope Survey 2014 was used to estimate probit models and for robustness check Linear Probability Models. Using these data, the socioeconomic factors influencing individuals in deciding whether or not to open an account with a bank in Zimbabwe is analysed. According to our analysis, the decision to open a bank account by individuals is influenced by Location, Age, Gender, Marital status, Proof of residence, Employment history and Level of Education. There is need to build inclusive financial systems through different policies by governments and central banks. Financial literacy education and financial inclusion campaigns are paramount in improving levels of people opening bank accounts.</t>
  </si>
  <si>
    <t>[Njanike, Kosmas] Bindura Univ Sci Educ, Dept Banking &amp; Finance, Bindura, Zimbabwe</t>
  </si>
  <si>
    <t>Njanike, K (corresponding author), Bindura Univ Sci Educ, Dept Banking &amp; Finance, Bindura, Zimbabwe.</t>
  </si>
  <si>
    <t>kosmasnjanike@gmail.com</t>
  </si>
  <si>
    <t>0376-835X</t>
  </si>
  <si>
    <t>1470-3637</t>
  </si>
  <si>
    <t>DEV SO AFR</t>
  </si>
  <si>
    <t>Dev. South. Afr.</t>
  </si>
  <si>
    <t>JUL 4</t>
  </si>
  <si>
    <t>10.1080/0376835X.2018.1508987</t>
  </si>
  <si>
    <t>Development Studies; Regional &amp; Urban Planning</t>
  </si>
  <si>
    <t>Development Studies; Public Administration</t>
  </si>
  <si>
    <t>IE2LC</t>
  </si>
  <si>
    <t>WOS:000472214700002</t>
  </si>
  <si>
    <t>Ul Islam, SR; Tareq, M</t>
  </si>
  <si>
    <t>Xu, J; Hajiyev, A; Nickel, S; Gen, M</t>
  </si>
  <si>
    <t>Ul Islam, Shibli Rubayat; Tareq, Mohammad</t>
  </si>
  <si>
    <t>A Study on the Macro Economic Antecedents and Trends of Mobile Banking Services in Bangladesh</t>
  </si>
  <si>
    <t>PROCEEDINGS OF THE TENTH INTERNATIONAL CONFERENCE ON MANAGEMENT SCIENCE AND ENGINEERING MANAGEMENT</t>
  </si>
  <si>
    <t>Advances in Intelligent Systems and Computing</t>
  </si>
  <si>
    <t>10th International Conference on Management Science and Engineering Management (ICMSEM)</t>
  </si>
  <si>
    <t>AUG 31-SEP 02, 2016</t>
  </si>
  <si>
    <t>Baku, AZERBAIJAN</t>
  </si>
  <si>
    <t>Int Soc Management Sci &amp; Engn Management,Minist Educ Azerbaijan,Sichuan Univ</t>
  </si>
  <si>
    <t>Mobile banking; Economic development; Traditional banking; Electronic banking</t>
  </si>
  <si>
    <t>Safe and reliable money transaction through regular banking system is not available for most people of Bangladesh as only 13% of the 160 million people have banks accounts. People with no bank account used to send money through the slow and unreliable postal money transfer systems and by middlemen. One dramatic change in the life style of Bangladeshi people in recent time is the use of mobile phone. With the availability of cheap mobile phone sets manufactured locally and low call rates offered by the mobile operators, about 70% people of the country use mobile phones. With this backdrop the mobile banking started in 2012 by Dutch Bangla Bank, but the full fledge operation took another couple of years. Currently about 18 mobile banks are providing mobile banking services to the people who are mostly out of the traditional banking service. The role of banking service on the economy is well researched. Past research shows that services provided by banks trough mobilizing savings, providing capital for business, and facilitating transactions are essential for economic development of a country. Though past studies shows that the traditional banking has a positive impact on economies apart from few notable exceptions there, is dearth of studies on the effect of mobile banking on the economy of a country. Especially in Bangladesh which started its full fledge mobile banking in 2014, there is few notable study that investigated the effect of mobile banking on economy of the country. Using twenty five months data, from January 2014 to January 2016 this paper investigates the macro-economic antecedents and trends in mobile banking services in Bangladesh. This study finds that the number of clients, number mobile banking agents and amount of transactions are increasing gradually. The result of the study shows that mobile banking cash-in and cash-out transactions are highly cointegrated which indicates a long run equilibrium relationship between cash-in and cash-out transactions in Bangladesh. One of the important finding of the study is that though most mobile banking service is improving gradually, inward foreign remittance are not increasing during the study period and is volatile compared to other mobile banking services. Two factors were identified in the study as the antecedents of the mobile banking service i.e. growing economic need with the growth of the economy of the country and availability of mobile banking facility for mobile banking service. The contribution of the paper lies in the fact most people in Bangladesh is outside the traditional banking service and these people are now using banking service through mobile banking; however this area of research untapped yet. This expected that the finding of the study will bridge the gap in mobile banking literature and will help policy makers in formulating policy related to mobile banking.</t>
  </si>
  <si>
    <t>[Ul Islam, Shibli Rubayat] Univ Dhaka, Fac Business Studies, Dhaka 1000, Bangladesh; [Tareq, Mohammad] Univ Dhaka, Dept Accounting &amp; Informat Syst, Dhaka 1000, Bangladesh</t>
  </si>
  <si>
    <t>University of Dhaka; University of Dhaka</t>
  </si>
  <si>
    <t>Ul Islam, SR (corresponding author), Univ Dhaka, Fac Business Studies, Dhaka 1000, Bangladesh.</t>
  </si>
  <si>
    <t>shibli@du.ac.bd</t>
  </si>
  <si>
    <t>Tareq, Mohammad/0000-0003-2133-5283</t>
  </si>
  <si>
    <t>SPRINGER-VERLAG SINGAPORE PTE LTD</t>
  </si>
  <si>
    <t>SINGAPORE, SINGAPORE</t>
  </si>
  <si>
    <t>2194-5357</t>
  </si>
  <si>
    <t>978-981-10-1837-4; 978-981-10-1836-7</t>
  </si>
  <si>
    <t>ADV INTELL SYST</t>
  </si>
  <si>
    <t>10.1007/978-981-10-1837-4_121</t>
  </si>
  <si>
    <t>Computer Science, Artificial Intelligence; Computer Science, Interdisciplinary Applications</t>
  </si>
  <si>
    <t>BI2AF</t>
  </si>
  <si>
    <t>WOS:000407613300123</t>
  </si>
  <si>
    <t>Zelu, BA; Iranzo, S; Perez-Laborda, A</t>
  </si>
  <si>
    <t>Zelu, Barbara Ama; Iranzo, Susana; Perez-Laborda, Alejandro</t>
  </si>
  <si>
    <t>Financial inclusion and women economic empowerment in Ghana</t>
  </si>
  <si>
    <t>EMERGING MARKETS REVIEW</t>
  </si>
  <si>
    <t>Financial inclusion; Women; Economic empowerment; Bank accounts; Ghana</t>
  </si>
  <si>
    <t>MATCHING ESTIMATORS; MICROFINANCE; VARIABLES; IMPACT</t>
  </si>
  <si>
    <t>Although the impact of micro-credit and direct cash transfers on women economic empowerment has been extensively studied, the impact of having access to a bank account remains relatively understudied. This paper uses a detailed national representative dataset of female household heads in Ghana to analyze the relation between access to formal and informal financial accounts and women's economic empowerment. Using propensity score matching, our results elicit that women who have a financial account are more likely to be employed and tend to have higher income. The results are mainly driven by ownership of a formal account (i.e., in a commercial bank) while the impact of informal account ownership is not statistically significant. Thus our findings call for higher promotion of formal banking, particularly among women in rural and poorer areas where financial inclusion is lower.</t>
  </si>
  <si>
    <t>[Zelu, Barbara Ama; Iranzo, Susana; Perez-Laborda, Alejandro] Univ Rovira i Virgili &amp; Ecosos, Dept Econ, Tarragona, Spain; [Zelu, Barbara Ama; Iranzo, Susana; Perez-Laborda, Alejandro] ECO SOS, Tarragona, Spain</t>
  </si>
  <si>
    <t>Zelu, BA (corresponding author), Ave Univ 1, Reus 43204, Spain.</t>
  </si>
  <si>
    <t>barbaraama.zelu@urv.cat</t>
  </si>
  <si>
    <t>Perez-Laborda, Alejano/O-1459-2019; Iranzo, Susana/AAA-4603-2019</t>
  </si>
  <si>
    <t>Perez-Laborda, Alejano/0000-0003-4247-598X; Iranzo, Susana/0000-0003-3083-1342</t>
  </si>
  <si>
    <t>We are grateful to Rym Ayadi, Sandra Challita and participants at the 10th EMANES Annual Conference for their helpful comments. And thanks to the two anonymous referees for their helpful comments and suggestions.</t>
  </si>
  <si>
    <t>1566-0141</t>
  </si>
  <si>
    <t>1873-6173</t>
  </si>
  <si>
    <t>EMERG MARK REV</t>
  </si>
  <si>
    <t>Emerg. Mark. Rev.</t>
  </si>
  <si>
    <t>10.1016/j.ememar.2024.101190</t>
  </si>
  <si>
    <t>D7P6H</t>
  </si>
  <si>
    <t>WOS:001298069400001</t>
  </si>
  <si>
    <t>Chen, ZB; Friedline, T</t>
  </si>
  <si>
    <t>Chen, Zibei; Friedline, Terri</t>
  </si>
  <si>
    <t>Make the Invisible Underbanked Visible: Who Are the Underbanked?</t>
  </si>
  <si>
    <t>JOURNAL OF FINANCIAL COUNSELING AND PLANNING</t>
  </si>
  <si>
    <t>financial inclusion; financial services; unbanked; underbanked</t>
  </si>
  <si>
    <t>FINANCIAL EDUCATION; BANKING; DETERMINANTS; EXPERIENCE; HOUSEHOLDS; ACCOUNTS; WORK</t>
  </si>
  <si>
    <t>When the COVID-19 pandemic caused businesses to close and triggered high unemployment in 2020, millions of unbanked U.S. households, those without a bank account, had to wait for weeks and months for their stimulus checks to arrive. The delayed delivery of stimulus checks issued by the Coronavirus Aid, Relief, and Economic Security (CARES) Act sheds light on the critical role that safe, affordable financial services and products play in people's ability to cope with financial shocks. Dialogues over banking practices have been framed with a banked-unbanked dichotomous framework that masks more nuanced understandings of households 'financial realities, including the underbanked, who use a bank account and alternative financial services simultaneously. Using data from the 2015 National Financial Capability Study, this study identifies and compares predictors of being underbanked and unbanked, respectively. We found that the underbanked group is a sizable, distinctively different group. Income volatility and welfare benefit receipt are both associated with being underbanked rather than unbanked. Our findings call for expanding the current, limited framework to gain more complete, nuanced understandings of banking practices.</t>
  </si>
  <si>
    <t>[Chen, Zibei] Univ Southern Mississippi, Sch Social Work, Hattiesburg, MS 39406 USA; [Friedline, Terri] Univ Michigan, Sch Social Work, Ann Arbor, MI 48109 USA</t>
  </si>
  <si>
    <t>University of Southern Mississippi; University of Michigan System; University of Michigan</t>
  </si>
  <si>
    <t>Chen, ZB (corresponding author), Univ Southern Mississippi, Sch Social Work, Hattiesburg, MS 39406 USA.</t>
  </si>
  <si>
    <t>Zibei.Chen@usm.edu</t>
  </si>
  <si>
    <t>SPRINGER PUBLISHING CO</t>
  </si>
  <si>
    <t>11 WEST 42ND STREET, NEW YORK, NY 10036 USA</t>
  </si>
  <si>
    <t>1052-3073</t>
  </si>
  <si>
    <t>1947-7910</t>
  </si>
  <si>
    <t>J FINANC COUNS PLAN</t>
  </si>
  <si>
    <t>J. Financ. Couns. Plan.</t>
  </si>
  <si>
    <t>10.1891/JFCP-2021-0046</t>
  </si>
  <si>
    <t>2X5RQ</t>
  </si>
  <si>
    <t>WOS:000825261300002</t>
  </si>
  <si>
    <t>Liu, YK; Ni, JB; Zulkernine, M</t>
  </si>
  <si>
    <t>Liu, Yunke; Ni, Jianbing; Zulkernine, Mohammad</t>
  </si>
  <si>
    <t>AT-CBDC: Achieving Anonymity and Traceability in Central Bank Digital Currency</t>
  </si>
  <si>
    <t>IEEE INTERNATIONAL CONFERENCE ON COMMUNICATIONS (ICC 2022)</t>
  </si>
  <si>
    <t>IEEE International Conference on Communications</t>
  </si>
  <si>
    <t>IEEE International Conference on Communications (ICC)</t>
  </si>
  <si>
    <t>MAY 16-20, 2022</t>
  </si>
  <si>
    <t>Seoul, SOUTH KOREA</t>
  </si>
  <si>
    <t>IEEE,Samsung,LG,Huawei,Qualcomm,Technol Innovat Inst,ZTE,Elect &amp; Telecommunicat Res Inst,KMW,SOLiD,ERICSSON LG,NI</t>
  </si>
  <si>
    <t>Central Bank Digital Currency; Anonymity; Electronic Cash; Mobile Payment</t>
  </si>
  <si>
    <t>In this paper, we propose a new central bank digital currency (CBDC) system based on the two-tier architecture. The proposed system enhances the traditional bank-user framework of electronic cash and employs the commercial banks for account and coin management. The coin splitting is supported during coin withdrawal of users and the coin combination is achieved for coin deposit at the commercial banks, such that the efficiency of coin management is improved. The other distinguished feature is that the proposed system achieves the anonymity against the commercial banks, while enabling the central bank to support user tracing and double-spending prevention. Specifically, by utilizing the BBS+ signatures, the users can create bank accounts, withdraw coins, and deposit the received coins at the commercial banks without exposing their real identities. As a trusted party, the central bank is responsible for money issuing and financial regulation. In addition, to ensure the system inclusive, users can receive payments from others even they do not have bank accounts at commercial banks. Finally, we demonstrate that the proposed system achieves the desirable properties of balance, anonymity, and traceability and show the efficiency and practicality for the implementation on mobile devices.</t>
  </si>
  <si>
    <t>[Liu, Yunke; Ni, Jianbing] Queens Univ, Dept Elect &amp; Amp Comp Engn, Kingston, ON K7L 3N6, Canada; [Zulkernine, Mohammad] Queens Univ, Sch Comp, Kingston, ON K7L 3N6, Canada</t>
  </si>
  <si>
    <t>Queens University - Canada; Queens University - Canada</t>
  </si>
  <si>
    <t>Liu, YK (corresponding author), Queens Univ, Dept Elect &amp; Amp Comp Engn, Kingston, ON K7L 3N6, Canada.</t>
  </si>
  <si>
    <t>19yl170@queensu.ca; jianbing.ni@queensu.ca; mz@queensu.ca</t>
  </si>
  <si>
    <t>1550-3607</t>
  </si>
  <si>
    <t>978-1-5386-8347-7</t>
  </si>
  <si>
    <t>IEEE ICC</t>
  </si>
  <si>
    <t>10.1109/ICC45855.2022.9839154</t>
  </si>
  <si>
    <t>Telecommunications</t>
  </si>
  <si>
    <t>BT9VG</t>
  </si>
  <si>
    <t>WOS:000864709904097</t>
  </si>
  <si>
    <t>Maitra, D; Upadhyay, P</t>
  </si>
  <si>
    <t>Maitra, Debasish; Upadhyay, Parijat</t>
  </si>
  <si>
    <t>Fostering Rural Financial Services through Technology: The Case of FINO PayTech</t>
  </si>
  <si>
    <t>ASIAN CASE RESEARCH JOURNAL</t>
  </si>
  <si>
    <t>The case depicts a situation faced by a company in the business of financial inclusion services. FINO PayTech Limited (popularly known as FINO) was the first mover in the blue ocean of financial inclusion business in India. It is quoted as the world's largest banking agent manager. Formed in Mumbai in 2006 with the mission to solve problem of financial exclusion, FINO entered the market riding on the biometric smartcard and hand held devices technology and had since grown exponentially. It served more than 64 million end customers all across India adding average of one million new customers to the formal financial system every month. FINO's uniqueness came from factors such as diversified product offering (which ranges from savings, credit, payment services, remittances, insurance, financial literacy, and so on), a robust technology, a dedicated channel of bandhus (banking correspondents/agents) and mature processes. The top leadership envisaged that FINO could not remain limited to savings and withdrawals activity if it had to reach many more million customers. The credit and micro insurance services had to be provided at the doorstep of the people and only then could FINO possibly project itself as a multi-product delivery company and that's the challenge management was encountering when scaling up in a constrained regulatory framework.</t>
  </si>
  <si>
    <t>[Maitra, Debasish] Indian Inst Management Indore, Rau Pithampur Rd, Indore 453556, Madhya Pradesh, India; [Upadhyay, Parijat] Inst Management Technol, Ghaziabad, India</t>
  </si>
  <si>
    <t>Indian Institute of Management (IIM System); Indian Institute of Management Indore; Institute of Management Technology, Ghaziabad</t>
  </si>
  <si>
    <t>Maitra, D (corresponding author), Indian Inst Management Indore, Rau Pithampur Rd, Indore 453556, Madhya Pradesh, India.</t>
  </si>
  <si>
    <t>debasishm@iimidr.ac.in</t>
  </si>
  <si>
    <t>Maitra, Debasish/0000-0001-5099-6799</t>
  </si>
  <si>
    <t>0218-9275</t>
  </si>
  <si>
    <t>1793-6772</t>
  </si>
  <si>
    <t>ASIAN CASE RES J</t>
  </si>
  <si>
    <t>Asian Case Res. J.</t>
  </si>
  <si>
    <t>+</t>
  </si>
  <si>
    <t>10.1142/S0218927517500031</t>
  </si>
  <si>
    <t>FA0CJ</t>
  </si>
  <si>
    <t>WOS:000405098200003</t>
  </si>
  <si>
    <t>Potnis, DD; Gaur, A; Singh, JB</t>
  </si>
  <si>
    <t>Potnis, Devendra Dilip; Gaur, Aakanksha; Singh, Jang Bahadur</t>
  </si>
  <si>
    <t>Analysing slow growth of mobile money market in India using a market separation perspective</t>
  </si>
  <si>
    <t>Financial inclusion; Mobile money; Market separation perspective; SIM card; Bank account; India</t>
  </si>
  <si>
    <t>INFORMATION-TECHNOLOGY; ECONOMIC BARRIERS; BANKING ADOPTION; BOTTOM; POOR; ICT; INNOVATIONS; ACCEPTANCE; SERVICES; IMPACT</t>
  </si>
  <si>
    <t>Since the application of mobile technology for financial services can contribute to the economic development of developing countries, it is critical to examine the inhibitors to using mobile money service in countries like India, which have an exceptionally low uptake of this service. Mobile money service enables the customer to carry out financial transactions over a mobile phone without requiring them to own a bank account. By adopting a market separation perspective, this theory-driven, exploratory study proposes and tests a rare event logistic regression model for using mobile money services in India. The analysis of 45,036 responses shows that the ownership of a SIM card (temporal separation), income and ownership of a bank account (financial separations), awareness of mobile money services (information separation), age and gender (social separations), and location of residence (spatial separation) significantly inhibit the use of mobile money services. Implications are discussed at the end.</t>
  </si>
  <si>
    <t>[Potnis, Devendra Dilip] Univ Tennessee, Sch Informat Sci, Knoxville, TN USA; [Gaur, Aakanksha] SDA Bocconi Sch Management, Informat Syst Knowledge Grp, Milan, Italy; [Singh, Jang Bahadur] Indian Inst Management Tiruchirappalli, Informat Syst &amp; Analyt, Tiruchirappalli, India</t>
  </si>
  <si>
    <t>University of Tennessee System; University of Tennessee Knoxville; Bocconi University; Indian Institute of Management (IIM System); Indian Institute of Management Tiruchirappalli</t>
  </si>
  <si>
    <t>Potnis, DD (corresponding author), 1345 Circle Pk Dr,Suite 444, Knoxville, TN 37996 USA.</t>
  </si>
  <si>
    <t>dpotnis@utk.edu</t>
  </si>
  <si>
    <t>Potnis, Devena/OEN-9869-2025; GAUR, AAKANKSHA/LTE-3705-2024</t>
  </si>
  <si>
    <t>Potnis, Devena/0000-0003-2507-8157; GAUR, AAKANKSHA/0000-0001-7093-9425</t>
  </si>
  <si>
    <t>APR 2</t>
  </si>
  <si>
    <t>10.1080/02681102.2019.1668346</t>
  </si>
  <si>
    <t>SEP 2019</t>
  </si>
  <si>
    <t>LG0UG</t>
  </si>
  <si>
    <t>WOS:000487416800001</t>
  </si>
  <si>
    <t>Effendi, J; Qoyum, A; Hasanah, I; Munawaroh, U; Thas, HM; Hosen, M</t>
  </si>
  <si>
    <t>Effendi, Jaenal; Qoyum, Abdul; Hasanah, Imas; Munawaroh, Uum; Thas, Hassanudin Mohd; Hosen, Mosharrof</t>
  </si>
  <si>
    <t>SOCIAL SECURITIES SCHEME, FINANCIAL INCLUSION, AND ITS IMPACT ON POVERTY ALLEVIATION IN INDONESIA: CASE OF ZAKAT RECIPIENTS</t>
  </si>
  <si>
    <t>INTERNATIONAL JOURNAL OF BUSINESS AND SOCIETY</t>
  </si>
  <si>
    <t>Social Security Scheme; Poverty Alleviation; Financial Inclusion; Zakat Recipients</t>
  </si>
  <si>
    <t>MICROFINANCE; PROGRAMS; ASNAF</t>
  </si>
  <si>
    <t>This study examines the impact of social security programs and financial inclusion on poverty alleviation and household consumption in Indonesia. The samples of this study are 2835 zakat recipients from 25 provinces in Indonesia. The research explores key variables, including the Family Welfare Program (Kartu Keluarga Sejahtera, KKS), Family Hope Program (Program and also financial inclusion indicators such as bank account ownership, mobile phone usage, and digital payment adoption. Using ordinary least squares and probit regression analysis methods, the study revealed that PKH and BPNT have negative effects on poverty, thus, it significantly reduce poverty and enhance household consumption. In addition, financial inclusion variables, particularly mobile phone usage and digital payments, show a positive effects on consumption, suggesting the need for broader accessibility and digital literacy. The study recommends enhancing digital financial services, expanding the coverage of social protection programs as sustainable strategies to strengthen their impact on poverty alleviation and economic development.</t>
  </si>
  <si>
    <t>[Effendi, Jaenal] IPB Univ, Raya Dramaga St, Bogor, West Java, Indonesia; [Qoyum, Abdul; Hasanah, Imas; Munawaroh, Uum] State Islamic Univ Sunan Kalijaga, Yogyakarta, Indonesia; [Thas, Hassanudin Mohd] Int Islamic Univ Malaysia, Kulliyyah Econ &amp; Management Sci, Kuala Lumpur, Malaysia; [Thas, Hassanudin Mohd] Int Islamic Univ Malaysia, Ctr Islamic Econ, Kuala Lumpur, Malaysia; [Hosen, Mosharrof] Taylors Univ, Fac Business &amp; Law, Subang Jaya, Malaysia</t>
  </si>
  <si>
    <t>Bogor Agricultural University; Sunan Kalijaga State Islamic University; International Islamic University Malaysia; International Islamic University Malaysia; Taylor's University</t>
  </si>
  <si>
    <t>Effendi, J (corresponding author), IPB Univ, Raya Dramaga St, Bogor, West Java, Indonesia.</t>
  </si>
  <si>
    <t>jaenalef@apps.ipb.ac.id</t>
  </si>
  <si>
    <t>Hosen, Mosharrof/Z-4000-2019; Qoyum, Abdul/AAB-6176-2021</t>
  </si>
  <si>
    <t>UNIV MALAYSIA SARAWAK, FAC ECONOMICS &amp; BUSINESS</t>
  </si>
  <si>
    <t>SARAWAK</t>
  </si>
  <si>
    <t>KOTA SAMARAHAN, SARAWAK, 94300, MALAYSIA</t>
  </si>
  <si>
    <t>1511-6670</t>
  </si>
  <si>
    <t>INT J BUS SOC</t>
  </si>
  <si>
    <t>Int. J. Bus. Soc.</t>
  </si>
  <si>
    <t>10.33736/ijbs.8887.2025</t>
  </si>
  <si>
    <t>9HO4M</t>
  </si>
  <si>
    <t>WOS:001606525000015</t>
  </si>
  <si>
    <t>Wisswani, NW; Bawa, IGNBC</t>
  </si>
  <si>
    <t>IOP</t>
  </si>
  <si>
    <t>Wisswani, N. W.; Bawa, I. G. N. B. Catur</t>
  </si>
  <si>
    <t>Web-Based Honorarium Confirmation System Prototype</t>
  </si>
  <si>
    <t>2ND INTERNATIONAL JOINT CONFERENCE ON SCIENCE AND TECHNOLOGY (IJCST) 2017</t>
  </si>
  <si>
    <t>Journal of Physics Conference Series</t>
  </si>
  <si>
    <t>2nd International Joint Conference on Science and Technology (IJCST)</t>
  </si>
  <si>
    <t>SEP 27-28, 2017</t>
  </si>
  <si>
    <t>Bali State Polytechn, Bali, INDONESIA</t>
  </si>
  <si>
    <t>Indonesian Govt, Minist Res Technol &amp; Higher Educ</t>
  </si>
  <si>
    <t>Bali State Polytechn</t>
  </si>
  <si>
    <t>Improving services in academic environment can be applied by regulating salary payment process for all employees. As a form of control to maintain financial transparency, employees should have information concerning salary payment process. Currently, notification process of committee honorarium will be accepted by the employees in a manual manner. The salary will be received by the employee bank account and to know its details, they should go to the accounting unit to find out further information. Though there are some employees entering the accounting unit, they still find difficulty to obtain information about detailed honor information that they received in their accounts. This can be caused by many data collected and to be managed. Based on this issue, this research will design a prototype of web-based system for accounting unit system in order to provide detailed financial transaction confirmation to employee bank accounts that have been informed through mobile banking system. This prototype will be developed with Waterfall method through testing on final users after it is developed through PHP program with MySQL as DBMS</t>
  </si>
  <si>
    <t>[Wisswani, N. W.; Bawa, I. G. N. B. Catur] Politekn Negeri Bali, Dept Elect Engn, Bali, Indonesia</t>
  </si>
  <si>
    <t>Wisswani, NW (corresponding author), Politekn Negeri Bali, Dept Elect Engn, Bali, Indonesia.</t>
  </si>
  <si>
    <t>wisswani@yahoo.com</t>
  </si>
  <si>
    <t>, I Gusti Ngurah Bagus Caturbawa/0009-0000-6055-0432; , I Wayan Suasnawa/0009-0005-7703-5943</t>
  </si>
  <si>
    <t>DIPA Unggulan 2017 Bali State Polytechnic</t>
  </si>
  <si>
    <t>Authors thank to Research Grants from DIPA Unggulan 2017 Bali State Polytechnic for funding this research.</t>
  </si>
  <si>
    <t>IOP PUBLISHING LTD</t>
  </si>
  <si>
    <t>BRISTOL</t>
  </si>
  <si>
    <t>DIRAC HOUSE, TEMPLE BACK, BRISTOL BS1 6BE, ENGLAND</t>
  </si>
  <si>
    <t>1742-6588</t>
  </si>
  <si>
    <t>1742-6596</t>
  </si>
  <si>
    <t>J PHYS CONF SER</t>
  </si>
  <si>
    <t>10.1088/1742-6596/953/1/012051</t>
  </si>
  <si>
    <t>Physics, Applied; Physics, Multidisciplinary</t>
  </si>
  <si>
    <t>Physics</t>
  </si>
  <si>
    <t>BL0NQ</t>
  </si>
  <si>
    <t>WOS:000446204400051</t>
  </si>
  <si>
    <t>Arner, DW; Zetzsche, DA; Buckley, RP; Barberis, JN</t>
  </si>
  <si>
    <t>Arner, Douglas W.; Zetzsche, Dirk A.; Buckley, Ross P.; Barberis, Janos N.</t>
  </si>
  <si>
    <t>The Identity Challenge in Finance: From Analogue Identity to Digitized Identification to Digital KYC Utilities</t>
  </si>
  <si>
    <t>EUROPEAN BUSINESS ORGANIZATION LAW REVIEW</t>
  </si>
  <si>
    <t>Finance; Identity; Digital identification; eKYC infrastructure; KYC utilities; Market integrity; Anti-money laundering; Financial inclusion; FinTech; RegTech</t>
  </si>
  <si>
    <t>Identity is fundamental in finance: to protect against fraud and crime, to fulfil know-your-customer obligations, and to ensure market integrity. At the same time, identification and know-your-customer rules can be major barriers to accessing financial services. This paper considers the various requirements for identification in the financial sector and the evolving nature of identity. We argue that technology presents an opportunity to solve this challenge through the development of digital identity infrastructure and related utilities. The establishment of such utilities requires addressing design questions such as registration methods, data availability, and cross-jurisdiction recognitions. Yet, as with any reform, a balance between flow through efficiency and cyber-security needs to be reached to ensure that the objectives of financial inclusion and market integrity are not achieved to the detriment of financial stability.</t>
  </si>
  <si>
    <t>[Arner, Douglas W.] Univ Hong Kong, Asian Inst Int Financial Law, Law, Pokfulam, Hong Kong, Peoples R China; [Arner, Douglas W.; Barberis, Janos N.] Univ Hong Kong, Asian Inst Int Financial Law, Pokfulam, Hong Kong, Peoples R China; [Zetzsche, Dirk A.] Univ Luxembourg, Fac Law Econ &amp; Finance, Law, Luxembourg, Luxembourg; [Zetzsche, Dirk A.] Univ Luxembourg, Fac Law Econ &amp; Finance, Financial Law, Luxembourg, Luxembourg; [Zetzsche, Dirk A.] Heinrich Heine Univ, Ctr Business &amp; Corp Law, Dusseldorf, Germany; [Buckley, Ross P.] UNSW Sydney, Ctr Law Markets &amp; Regulat, Disrupt Innovat, Sydney, NSW, Australia; [Buckley, Ross P.] UNSW Sydney, Ctr Law Markets &amp; Regulat, Sydney, NSW, Australia</t>
  </si>
  <si>
    <t>University of Hong Kong; University of Hong Kong; University of Luxembourg; University of Luxembourg; Heinrich Heine University Dusseldorf; University of New South Wales Sydney; University of New South Wales Sydney</t>
  </si>
  <si>
    <t>Arner, DW (corresponding author), Univ Hong Kong, Asian Inst Int Financial Law, Law, Pokfulam, Hong Kong, Peoples R China.;Arner, DW (corresponding author), Univ Hong Kong, Asian Inst Int Financial Law, Pokfulam, Hong Kong, Peoples R China.</t>
  </si>
  <si>
    <t>Douglas.Arner@hku.hk; Dirk.Zetzsche@uni.lu; Ross.Buckley@unsw.edu.au; janos@fintech.hk</t>
  </si>
  <si>
    <t>; Arner, Douglas/G-1647-2010</t>
  </si>
  <si>
    <t>buckley, ross/0000-0003-4522-0210; Zetzsche, Dirk/0000-0003-4051-7699;</t>
  </si>
  <si>
    <t>Luxembourg National Research Fund [INTER/MOBILITY/16/11406511]; Australian Research Council; Hong Kong Research Grants Council Theme-based Research Scheme</t>
  </si>
  <si>
    <t>Luxembourg National Research Fund(Luxembourg National Research Fund); Australian Research Council(Australian Research CouncilInstituto Politecnico Nacional - Mexico); Hong Kong Research Grants Council Theme-based Research Scheme(Hong Kong Research Grants Council)</t>
  </si>
  <si>
    <t>The authors are grateful for comments from Iris Chiu, Emilios Avgouleas, Pierre Schammo, Jean-Louis Schiltz, Anton Didenko, Tsany Ratna Dewi as well as participants of the Alliance for Financial Inclusion Global Policy Forum (AFI GPF) in Sochi (September 2018), and for the research assistance of Rohan Balani, Jessica Chapman and Evan Gibson. All responsibility is the authors. The authors gratefully acknowledge the financial support of: the Luxembourg National Research Fund, project 'A new law for Fintechs-SMART Regulation', INTER/MOBILITY/16/11406511; the Australian Research Council, project 'Regulating a Revolution: A New Regulatory Model for Digital Finance'; and the Hong Kong Research Grants Council Theme-based Research Scheme.</t>
  </si>
  <si>
    <t>1566-7529</t>
  </si>
  <si>
    <t>1741-6205</t>
  </si>
  <si>
    <t>EUR BUS ORGAN LAW RE</t>
  </si>
  <si>
    <t>Eur. Bus. Organ. Law Rev.</t>
  </si>
  <si>
    <t>10.1007/s40804-019-00135-1</t>
  </si>
  <si>
    <t>Business; Law</t>
  </si>
  <si>
    <t>Business &amp; Economics; Government &amp; Law</t>
  </si>
  <si>
    <t>HP0AW</t>
  </si>
  <si>
    <t>WOS:000461328400004</t>
  </si>
  <si>
    <t>Riley, E; Shonchoy, A; Osei, RD</t>
  </si>
  <si>
    <t>Riley, Emma; Shonchoy, Abu S.; Osei, Robert Darko</t>
  </si>
  <si>
    <t>Incentives and endorsement for technology adoption: Evidence from mobile banking in Ghana</t>
  </si>
  <si>
    <t>JOURNAL OF DEVELOPMENT ECONOMICS</t>
  </si>
  <si>
    <t>Saving; Technology adoption; Mobile banking; Microfinance; Ghana; Peer Effects</t>
  </si>
  <si>
    <t>How can we encourage the adoption of digital financial services? We use an RCT with 115 microfinance groups in Ghana to understand the respective roles of individual incentives to adopt a technology and endorsement of the technology by a peer. We study mobile banking services, a technology which allows deposits and withdrawals between a mobile phone and bank account, dramatically lowering the transaction costs of saving in the bank account. We find that while individual incentives increase adoption of mobile banking services by 60% (6 percentage points) over 6 months, adding endorsement by a peer doubles the impact of the incentives alone. Peer endorsement significantly enhances confidence in dealing with fraud and increases peer support in using mobile banking. Those encouraged to adopt mobile banking by a peer save 30% ($4) more in the linked bank account 6 months later. Our study highlights the power of peers in encouraging technology adoption and facilitating formal financial inclusion.</t>
  </si>
  <si>
    <t>[Riley, Emma] Univ Michigan, Ann Arbor, MI 48109 USA; [Shonchoy, Abu S.] Florida Int Univ, Miami, FL USA; [Osei, Robert Darko] Univ Ghana, Accra, Ghana</t>
  </si>
  <si>
    <t>University of Michigan System; University of Michigan; State University System of Florida; Florida International University; University of Ghana</t>
  </si>
  <si>
    <t>Riley, E (corresponding author), Univ Michigan, Ann Arbor, MI 48109 USA.</t>
  </si>
  <si>
    <t>erileyg@umich.edu; shonchoy@fiu.edu; rdosei@isser.edu.gh</t>
  </si>
  <si>
    <t>Osei, Robert/K-3822-2019; Riley, Emma/AHB-7347-2022; Shonchoy, Abu/AAM-6472-2021</t>
  </si>
  <si>
    <t>Riley, Emma/0000-0001-7644-8643; Shonchoy, Abu/0000-0001-9999-2326</t>
  </si>
  <si>
    <t>DigiFi Initiative; IPA Consumer Protection Initiative</t>
  </si>
  <si>
    <t>We thank the DigiFi and IPA Consumer Protection Initiatives for generous funding of this research.</t>
  </si>
  <si>
    <t>0304-3878</t>
  </si>
  <si>
    <t>1872-6089</t>
  </si>
  <si>
    <t>J DEV ECON</t>
  </si>
  <si>
    <t>J. Dev. Econ.</t>
  </si>
  <si>
    <t>10.1016/j.jdeveco.2025.103511</t>
  </si>
  <si>
    <t>1YV3Z</t>
  </si>
  <si>
    <t>WOS:001476892000001</t>
  </si>
  <si>
    <t>Hoy, C; Toth, R; Merdikawati, N</t>
  </si>
  <si>
    <t>Hoy, Christopher; Toth, Russell; Merdikawati, Nurina</t>
  </si>
  <si>
    <t>Can a Multipronged Strategy of Soft Interventions Surmount Structural Barriers for Financial Inclusion? Evidence From the Unbanked in Papua New Guinea</t>
  </si>
  <si>
    <t>JOURNAL OF DEVELOPMENT STUDIES</t>
  </si>
  <si>
    <t>Field experiment; financial education; saving; banking; Papua New Guinea; reminders</t>
  </si>
  <si>
    <t>EDUCATION; BANKING; SAVINGS; IMPACT; LITERACY; BEHAVIOR; POOR</t>
  </si>
  <si>
    <t>We study the impacts of a comprehensive financial inclusion program in a particularly remote, insecure and low-trust setting, lacking bridging institutions to facilitate sustained interventions. We evaluate this program in Wewak district in northwest Papua New Guinea, by randomly assigning treatment to 41 of 79 villages. The program involves a 2-day financial literacy training workshop, timely offers of no-fee bank accounts with reduced administrative hurdles, and savings 'nudges'. We use both survey and bank account administrative data to measure its impact on financial literacy, budgeting and savings behavior, as well as on the ownership and use of bank accounts. Although 25 per cent of adults in treatment villages attended the training and 70 per cent of participants opened a bank account, we do not detect any significant downstream effects. Our results draw into question the benefit of initiatives aiming to 'bank the unbanked' in remote areas, revealing challenges in promoting financial inclusion among the next frontier of underserved and hard-to-reach populations.</t>
  </si>
  <si>
    <t>[Hoy, Christopher; Merdikawati, Nurina] Australian Natl Univ, Canberra, ACT, Australia; [Toth, Russell] Univ Sydney, Sydney, NSW, Australia</t>
  </si>
  <si>
    <t>Australian National University; University of Sydney</t>
  </si>
  <si>
    <t>Hoy, C (corresponding author), Australian Natl Univ, Canberra, ACT, Australia.</t>
  </si>
  <si>
    <t>christopher.hoy@anu.edu.au</t>
  </si>
  <si>
    <t>Merdikawati, Nurina/GLQ-9193-2022</t>
  </si>
  <si>
    <t>Merdikawati, Nurina/0000-0001-8423-1997</t>
  </si>
  <si>
    <t>Asian Development Bank [TA-8993 REG]</t>
  </si>
  <si>
    <t>Asian Development Bank</t>
  </si>
  <si>
    <t>This work was supported by the Asian Development Bank [TA-8993 REG: Developing Impact Evaluation Methodologies, Approaches, and Capacities in Selected Developing Member Countries (Subproject 2)].</t>
  </si>
  <si>
    <t>0022-0388</t>
  </si>
  <si>
    <t>1743-9140</t>
  </si>
  <si>
    <t>J DEV STUD</t>
  </si>
  <si>
    <t>J. Dev. Stud.</t>
  </si>
  <si>
    <t>DEC 2</t>
  </si>
  <si>
    <t>10.1080/00220388.2022.2102897</t>
  </si>
  <si>
    <t>AUG 2022</t>
  </si>
  <si>
    <t>5X8KI</t>
  </si>
  <si>
    <t>WOS:000844728800001</t>
  </si>
  <si>
    <t>Kshetri, N</t>
  </si>
  <si>
    <t>Kshetri, Nir</t>
  </si>
  <si>
    <t>Potential roles of blockchain in fighting poverty and reducing financial exclusion in the global south</t>
  </si>
  <si>
    <t>JOURNAL OF GLOBAL INFORMATION TECHNOLOGY MANAGEMENT</t>
  </si>
  <si>
    <t>Editorial Material</t>
  </si>
  <si>
    <t>Blockchain; digital identity; financial exclusion; global South; poverty</t>
  </si>
  <si>
    <t>SERVICES; ACCESS</t>
  </si>
  <si>
    <t>The visible effects of blockchain are already being noted in the Global South. This editorial presents early evidence linking the use of blockchain in overcoming economic, social, and political challenges facing economies in the Global South. Highlighted are the key applications and uses of blockchain in addressing these challenges. The political, social, and economic effects of blockchain are systematically evaluated. This essay demonstrates how blockchain can help promote transparency, build trust and reputation, and enhance efficiency in transactions.</t>
  </si>
  <si>
    <t>[Kshetri, Nir] Univ N Carolina, Greensboro, NC 27412 USA</t>
  </si>
  <si>
    <t>University of North Carolina; University of North Carolina Greensboro</t>
  </si>
  <si>
    <t>Kshetri, N (corresponding author), Univ N Carolina, Bryan Sch Business &amp; Econ, Bryan Bldg,Room 368,POB 26165, Greensboro, NC 27402 USA.</t>
  </si>
  <si>
    <t>nbkshetr@uncg.edu</t>
  </si>
  <si>
    <t>TAYLOR &amp; FRANCIS INC</t>
  </si>
  <si>
    <t>PHILADELPHIA</t>
  </si>
  <si>
    <t>530 WALNUT STREET, STE 850, PHILADELPHIA, PA 19106 USA</t>
  </si>
  <si>
    <t>1097-198X</t>
  </si>
  <si>
    <t>2333-6846</t>
  </si>
  <si>
    <t>J GLOB INF TECH MAN</t>
  </si>
  <si>
    <t>J. Glob. Inf. Technol. Manag.</t>
  </si>
  <si>
    <t>10.1080/1097198X.2017.1391370</t>
  </si>
  <si>
    <t>Information Science &amp; Library Science</t>
  </si>
  <si>
    <t>FT3OT</t>
  </si>
  <si>
    <t>WOS:000423057600001</t>
  </si>
  <si>
    <t>Does financial literacy enhance banking transactions among rural people with access to bank accounts? Insights from a field experiment in Ghana (vol 11, pg 104, 2025)</t>
  </si>
  <si>
    <t>Correction</t>
  </si>
  <si>
    <t>Essuman, Dominic/HJA-6782-2022; Barnard, Helena/E-7106-2013</t>
  </si>
  <si>
    <t>JUN 19</t>
  </si>
  <si>
    <t>10.1080/20421338.2025.2494177</t>
  </si>
  <si>
    <t>MAY 2025</t>
  </si>
  <si>
    <t>5HY5I</t>
  </si>
  <si>
    <t>WOS:001490028600001</t>
  </si>
  <si>
    <t>Metia, A</t>
  </si>
  <si>
    <t>Metia, Arindam</t>
  </si>
  <si>
    <t>Impact of digital financial infrastructure in furthering financial inclusion in India</t>
  </si>
  <si>
    <t>INTERNATIONAL JOURNAL OF INDIAN CULTURE AND BUSINESS MANAGEMENT</t>
  </si>
  <si>
    <t>inclusion; digital finance; India; subscribers; financial access</t>
  </si>
  <si>
    <t>Information technology and digital infrastructure have ushered in India's fourth industrial revolution. One of the most important aspects of providing digital services is digital identity, which has become possible after the implementation of biometric identification (Aadhaar). The goal of this study is to highlight the current state of the banking and mobile money industries. This article highlights India's success in digital adoption as well as points out areas that need to be improved to realise the goals of financial inclusion. The study also compares the current state of India/s financial inclusion to that of other SAARC and high-income nations. Financial inclusion is being hampered by a number of factors, including digital fraud and the difference in digital services between rural and urban areas, the report said. Financial integration, as well as strong digital security and financial literacy programs, can improve India/s financial stability and long-term prosperity.</t>
  </si>
  <si>
    <t>[Metia, Arindam] Raiganj Univ, Uttar Dinajpur 733134, W Bengal, India</t>
  </si>
  <si>
    <t>Metia, A (corresponding author), Raiganj Univ, Uttar Dinajpur 733134, W Bengal, India.</t>
  </si>
  <si>
    <t>arindam.metia@gmail.com</t>
  </si>
  <si>
    <t>INDERSCIENCE ENTERPRISES LTD</t>
  </si>
  <si>
    <t>GENEVA</t>
  </si>
  <si>
    <t>WORLD TRADE CENTER BLDG, 29 ROUTE DE PRE-BOIS, CASE POSTALE 856, CH-1215 GENEVA, SWITZERLAND</t>
  </si>
  <si>
    <t>1753-0806</t>
  </si>
  <si>
    <t>1753-0814</t>
  </si>
  <si>
    <t>INT J INDIAN CULT BU</t>
  </si>
  <si>
    <t>Int. J. Indian Cult. Bus. Manag.</t>
  </si>
  <si>
    <t>10.1504/IJICBM.2024.136804</t>
  </si>
  <si>
    <t>JK0W5</t>
  </si>
  <si>
    <t>WOS:001172954000008</t>
  </si>
  <si>
    <t>Bosinceanu, A</t>
  </si>
  <si>
    <t>Popa, I; Dobrin, C; Ciocoiu, CN</t>
  </si>
  <si>
    <t>Bosinceanu, Alexandru</t>
  </si>
  <si>
    <t>IS RELIGION BAD FOR THE BANK ACCOUNT? AN ANALYSIS FROM THE NETHERLANDS</t>
  </si>
  <si>
    <t>PROCEEDINGS OF THE 13TH INTERNATIONAL MANAGEMENT CONFERENCE: MANAGEMENT STRATEGIES FOR HIGH PERFORMANCE (IMC 2019)</t>
  </si>
  <si>
    <t>International Management Conference</t>
  </si>
  <si>
    <t>13th International Management Conference on Management Strategies for High Performance (IMC)</t>
  </si>
  <si>
    <t>OCT 31-NOV 01, 2019</t>
  </si>
  <si>
    <t>Bucharest, ROMANIA</t>
  </si>
  <si>
    <t>Bucharest Univ Econ Studies, Fac Management</t>
  </si>
  <si>
    <t>religion; consumer behaviour; marketing; income</t>
  </si>
  <si>
    <t>The influence of religion on consumer behaviour is one of the most under researched topics in the marketing literature. The aim of this paper is to add to the body of knowledge regarding religion's influence on consumer behaviour by analyzing the relationship between net income and certain aspects of religion using data from a representative longitudinal panel from the Netherlands. Analysis showed that religious affiliation and certain aspects of religiosity are negatively correlated with net income, religious people earning in some cases significantly less than non religious individuals, with various levels of differences based on religious affiliation and religiosity. So it appears that in certain cultural and geographical settings religion might be bad for the bank account and less religion might mean more money, which can have an impact on consumption since more money is available for spending.</t>
  </si>
  <si>
    <t>[Bosinceanu, Alexandru] Bucharest Univ Econ Studies, Bucharest, Romania</t>
  </si>
  <si>
    <t>Bucharest University of Economic Studies</t>
  </si>
  <si>
    <t>Bosinceanu, A (corresponding author), Bucharest Univ Econ Studies, Bucharest, Romania.</t>
  </si>
  <si>
    <t>bosinceanualex@gmail.com</t>
  </si>
  <si>
    <t>Bosinceanu, Alexandru/GMX-4668-2022</t>
  </si>
  <si>
    <t>EDITURA ASE</t>
  </si>
  <si>
    <t>BUCURESTI</t>
  </si>
  <si>
    <t>PIATA ROMANA NR 6, SECTOR 1, BUCURESTI, 701631, ROMANIA</t>
  </si>
  <si>
    <t>2286-1440</t>
  </si>
  <si>
    <t>INT MANAGE CONF</t>
  </si>
  <si>
    <t>BQ3SB</t>
  </si>
  <si>
    <t>WOS:000587901000101</t>
  </si>
  <si>
    <t>Mohamud, FAS; Mohamed, AA</t>
  </si>
  <si>
    <t>Mohamud, Fartun Ahmed Sheikh; Mohamed, Abdinur Ali</t>
  </si>
  <si>
    <t>Determinants of Financial Inclusion of Female Entrepreneurs in Somalia</t>
  </si>
  <si>
    <t>Financial inclusion; Access to account; Saving to account; Borrow with account</t>
  </si>
  <si>
    <t>SUB-SAHARAN AFRICA; ACCESS; GENDER</t>
  </si>
  <si>
    <t>Financial inclusion plays a crucial role in fostering business growth by facilitating the accumulation of capital and enabling access to investment opportunities for businesses over a period of time. This study aims to examine the financial inclusion of female entrepreneurs in Somalia. The determinants considered in this study are age, education, business longevity, the form of the business, and the type of the business. A cross-sectional research design was employed in this study to gather data from a sample of 385 female entrepreneurs situated in key urban centers within Somalia. The data collection process involved the administration of a structured questionnaire. Probit regression models were applied for analysis, and the study presents the marginal effect of each individual observation. According to the findings of this study, among the 385 female entrepreneurs surveyed, a notable proportion of 86% reported having a bank account. Additionally, approximately 59% of the participants stated that they saved money in a bank account. However, a relatively smaller percentage of 19% indicated they had received bank loans. Additionally, the study revealed that female entrepreneurs over 30 years are 4% more likely to have a bank account than their younger counterparts. However, young entrepreneurs are 2% more likely to save money in a bank account and 12% more likely to obtain a loan from a bank. Furthermore, the findings of this study indicate that the level of education plays a significant role in determining female financial inclusion. Specifically, female entrepreneurs with a university degree are 1% more likely to have a bank account, 6% more likely to save money in a bank account, and 12% more likely to borrow from a bank compared to those who had only completed secondary school or had not received formal education. This study\s policy implications emphasize the importance of promoting gender-inclusive financial policies, strengthening financial infrastructure, and providing financial education and entrepreneurial skills to create an enabling environment that fosters female entrepreneurs' financial inclusion and success in Somalia.</t>
  </si>
  <si>
    <t>[Mohamud, Fartun Ahmed Sheikh] SIMAD Univ, Fac Management Sci, Maka Al Mukaramah St, Mogadishu Hodan 252613667270, Benadir, Somalia; [Mohamed, Abdinur Ali] SIMAD Univ, Grad Studies, Warshada St, Mogadishu Warnabada 252619993660, Benadir, Somalia</t>
  </si>
  <si>
    <t>Mohamed, AA (corresponding author), SIMAD Univ, Grad Studies, Warshada St, Mogadishu Warnabada 252619993660, Benadir, Somalia.</t>
  </si>
  <si>
    <t>nasiibaxm@simad.edu.so; cabdinur80@gmail.com</t>
  </si>
  <si>
    <t>The author acknowledges the Support of SIMAD UNIVERSITY in conducting this research.</t>
  </si>
  <si>
    <t>2023 OCT 4</t>
  </si>
  <si>
    <t>10.1007/s40609-023-00311-9</t>
  </si>
  <si>
    <t>OCT 2023</t>
  </si>
  <si>
    <t>T1QP7</t>
  </si>
  <si>
    <t>WOS:001075803900001</t>
  </si>
  <si>
    <t>Sam, AK; Grobbelaar, SS</t>
  </si>
  <si>
    <t>Dennehy, D; Griva, A; Pouloudi, N; Dwivedi, YK; Pappas, I; Mantymaki, M</t>
  </si>
  <si>
    <t>Sam, Abraham Kuuku; Grobbelaar, Sara Saartjie</t>
  </si>
  <si>
    <t>Research Trends, Theories and Concepts on the Utilization of Digital Platforms in Agriculture: A Scoping Review</t>
  </si>
  <si>
    <t>RESPONSIBLE AI AND ANALYTICS FOR AN ETHICAL AND INCLUSIVE DIGITIZED SOCIETY, I3E 2021</t>
  </si>
  <si>
    <t>Lecture Notes in Computer Science</t>
  </si>
  <si>
    <t>20th IFIP WG 6.11 Conference on e-Business, e-Services, and e-Society (I3E)</t>
  </si>
  <si>
    <t>SEP 01-03, 2021</t>
  </si>
  <si>
    <t>Galway, IRELAND</t>
  </si>
  <si>
    <t>Int Federat Automat Control</t>
  </si>
  <si>
    <t>Digital platform; Agriculture; Scoping review</t>
  </si>
  <si>
    <t>ICT; MANAGEMENT; ACCESS; SMALLHOLDERS; SYSTEM; MARKET; FARM</t>
  </si>
  <si>
    <t>Globally, the agriculture sector is faced with multiple challenges especially in developing countries where smallholder farmers face barriers such as lack of access to financial services, information, formal and/or economic identity. The utilization of digital platforms in agriculture can offer solutions such as information services, financial inclusion and access to credit, digital identities, track and traceability systems, farm management systems and access to markets. This paper explores the research trends, theories and concepts associated with the utilization of digital platforms in agriculture. Using a scoping review and a directed content analysis approach, 52 papers were studied. It was found that studies have so far focused mainly on the policy, economics, knowledge and innovation systems, impact and adoption of digital agriculture platforms. The findings of this scoping review will aid in the understanding of the state of research on the utilization of digital platforms in agriculture and contribute to future research by helping to identify gaps in the relevant literature.</t>
  </si>
  <si>
    <t>[Sam, Abraham Kuuku; Grobbelaar, Sara Saartjie] Stellenbosch Univ, Dept Ind Engn, Stellenbosch, South Africa; [Grobbelaar, Sara Saartjie] Stellenbosch Univ, DSI NRF CoE Scientometr &amp; Sci Technol &amp; Innovat P, Stellenbosch, South Africa</t>
  </si>
  <si>
    <t>Stellenbosch University; Stellenbosch University</t>
  </si>
  <si>
    <t>Sam, AK (corresponding author), Stellenbosch Univ, Dept Ind Engn, Stellenbosch, South Africa.</t>
  </si>
  <si>
    <t>Grobbelaar, Sara/0000-0002-2793-9689</t>
  </si>
  <si>
    <t>0302-9743</t>
  </si>
  <si>
    <t>1611-3349</t>
  </si>
  <si>
    <t>978-3-030-85446-1; 978-3-030-85447-8</t>
  </si>
  <si>
    <t>LECT NOTES COMPUT SC</t>
  </si>
  <si>
    <t>10.1007/978-3-030-85447-8_30</t>
  </si>
  <si>
    <t>Computer Science, Artificial Intelligence; Computer Science, Information Systems; Computer Science, Interdisciplinary Applications; Computer Science, Theory &amp; Methods</t>
  </si>
  <si>
    <t>BX9WU</t>
  </si>
  <si>
    <t>WOS:001352263900030</t>
  </si>
  <si>
    <t>Barrett, BW; Durden, TE</t>
  </si>
  <si>
    <t>Barrett, Benjamin W.; Durden, T. Elizabeth</t>
  </si>
  <si>
    <t>Banking on Remittances? How opening a bank account in the United States affects Mexican migrants sending money back to Mexico</t>
  </si>
  <si>
    <t>MEXICAN STUDIES-ESTUDIOS MEXICANOS</t>
  </si>
  <si>
    <t>Assimilation; bank accounts; migration; remittances</t>
  </si>
  <si>
    <t>RETURN MIGRATION; RURAL OAXACA; ASSIMILATION; SAVINGS</t>
  </si>
  <si>
    <t>Data from 154 different Mexican communities, housed within the Mexican Migration Project (MMP), is used to explore the influence of U.S. assimilation on a Mexican migrant's propensity to remit money back to Mexico. A migrant opening a U.S. bank account is employed as a proxy for assimilation. Sociodemographic, U.S. migration, and Mexican community control variables are included. It is found that a migrant opening a bank account during the last U.S. migration is associated with a reduced probability of remitting money back to Mexico, suggesting a shift in social and economic activity from Mexico to the U.S. for migrants abroad.</t>
  </si>
  <si>
    <t>[Barrett, Benjamin W.; Durden, T. Elizabeth] Bucknell Univ, Lewisburg, PA 17837 USA</t>
  </si>
  <si>
    <t>Bucknell University</t>
  </si>
  <si>
    <t>Barrett, BW (corresponding author), Bucknell Univ, Lewisburg, PA 17837 USA.</t>
  </si>
  <si>
    <t>Barrett, Benjamin/0000-0002-3292-7017</t>
  </si>
  <si>
    <t>UNIV CALIFORNIA PRESS</t>
  </si>
  <si>
    <t>OAKLAND</t>
  </si>
  <si>
    <t>155 GRAND AVE, SUITE 400, OAKLAND, CA 94612-3758 USA</t>
  </si>
  <si>
    <t>0742-9797</t>
  </si>
  <si>
    <t>MEX STUD</t>
  </si>
  <si>
    <t>Mex. Stud.-Estud. Mex.</t>
  </si>
  <si>
    <t>SUM</t>
  </si>
  <si>
    <t>10.1525/msem.2018.34.2.165</t>
  </si>
  <si>
    <t>History</t>
  </si>
  <si>
    <t>Arts &amp; Humanities Citation Index (A&amp;HCI)</t>
  </si>
  <si>
    <t>HI6AA</t>
  </si>
  <si>
    <t>WOS:000456534300003</t>
  </si>
  <si>
    <t>Akinyemi, BE; Mushunje, A</t>
  </si>
  <si>
    <t>Akinyemi, Babatope E.; Mushunje, Abbyssinia</t>
  </si>
  <si>
    <t>Determinants of mobile money technology adoption in rural areas of Africa</t>
  </si>
  <si>
    <t>COGENT SOCIAL SCIENCES</t>
  </si>
  <si>
    <t>adoption; Africa; mobile money; technology; two-part model</t>
  </si>
  <si>
    <t>ACCEPTANCE MODEL 3; INFORMATION-TECHNOLOGY; USER ACCEPTANCE; PERCEIVED EASE; PERSPECTIVE; BEHAVIOR</t>
  </si>
  <si>
    <t>Adoption of mobile money technology in peripheral regions of Africa where conventional banking services are entirely lacking is very important for financial inclusion. Although the population of mobile money users has recently increased, its adoption in rural areas remains low. This study investigates the determinants of mobile money adoption in rural areas of Africa. Data from Research ICT Africa Access Survey were analysed with the two-part model. The first part involves the adoption of mobile money; second part, how much money was sent or received using mobile money. Relative to other means of sending or receiving money, 88%, 83%, 78%, 80%, and 89% agreed that mobile money is easier, safer, more trustworthy, more convenient, and faster, respectively. Two-part model findings show that age, years of education, unemployment, and ownership of bank accounts explain both the adoption and the amount of money sent using mobile money technology. Conversely, age, bank account ownership, and net monthly income determine both the adoption of mobile money and the amount of money received using mobile money technology. We recommend that mobile money operators target rural dwellers that are young and educated with a net monthly income in their marketing strategies in order to encourage its adoption among the unbanked.</t>
  </si>
  <si>
    <t>[Akinyemi, Babatope E.; Mushunje, Abbyssinia] Univ Ft Hare, Dept Agr Econ &amp; Extens, ZA-5700 Alice, South Africa</t>
  </si>
  <si>
    <t>University of Fort Hare</t>
  </si>
  <si>
    <t>Akinyemi, BE (corresponding author), Univ Ft Hare, Dept Agr Econ &amp; Extens, ZA-5700 Alice, South Africa.</t>
  </si>
  <si>
    <t>bakinyemi@ufh.ac.za</t>
  </si>
  <si>
    <t>Akinyemi, Babatope/PCS-1188-2025</t>
  </si>
  <si>
    <t>Akinyemi, Babatope/0000-0001-7673-8608; Mushunje, Abbyssinia/0000-0002-2183-785X</t>
  </si>
  <si>
    <t>TAYLOR &amp; FRANCIS AS</t>
  </si>
  <si>
    <t>OSLO</t>
  </si>
  <si>
    <t>KARL JOHANS GATE 5, NO-0154 OSLO, NORWAY</t>
  </si>
  <si>
    <t>2331-1886</t>
  </si>
  <si>
    <t>COGENT SOC SCI</t>
  </si>
  <si>
    <t>Cogent Soc. Sci.</t>
  </si>
  <si>
    <t>JAN 1</t>
  </si>
  <si>
    <t>10.1080/23311886.2020.1815963</t>
  </si>
  <si>
    <t>NL0MC</t>
  </si>
  <si>
    <t>WOS:000567119300001</t>
  </si>
  <si>
    <t>Arner, DW; Buckley, RP; Zetzsche, DA; Veidt, R</t>
  </si>
  <si>
    <t>Arner, Douglas W.; Buckley, Ross P.; Zetzsche, Dirk A.; Veidt, Robin</t>
  </si>
  <si>
    <t>Sustainability, FinTech and Financial Inclusion</t>
  </si>
  <si>
    <t>Sustainable investment; Sustainable development goals; FinTech; Financial inclusion; RegTech; Sustainability; e-KYC; Electronic payment infrastructure</t>
  </si>
  <si>
    <t>TECHNOLOGY</t>
  </si>
  <si>
    <t>We argue financial technology (FinTech) is the key driver for financial inclusion, which in turn underlies sustainable balanced development, as embodied in the UN Sustainable Development Goals (SDGs). The full potential of FinTech to support the SDGs may be realized with a progressive approach to the development of underlying infrastructure to support digital financial transformation. Our research suggests that the best way to think about such a strategy is to focus on four primary pillars. The first pillar requires the building of digital identity, simplified account opening and e-KYC systems, supported by the second pillar of open interoperable electronic payments systems. The third pillar involves using the infrastructure of the first and second pillars to underpin electronic provision of government services and payments. The fourth pillar-design of digital financial markets and systems-supports broader access to finance and investment. Implementing the four pillars is a major journey for any economy, but one which has tremendous potential to transform not only finance but economies and societies, through FinTech, financial inclusion and sustainable balanced development.</t>
  </si>
  <si>
    <t>[Arner, Douglas W.] Univ Hong Kong, Fac Law, Asian Inst Int Financial Law, Law, Hong Kong, Peoples R China; [Arner, Douglas W.] Univ Hong Kong, Fac Law, Asian Inst Int Financial Law, Hong Kong, Peoples R China; [Arner, Douglas W.] CFTE, London, England; [Buckley, Ross P.] UNSW Sydney, Disrupt Innovat, Sydney, NSW, Australia; [Buckley, Ross P.] UNSW Sydney, Sydney, NSW, Australia; [Zetzsche, Dirk A.] Univ Luxembourg, Fac Law Econ &amp; Finance, Law, Luxembourg, Luxembourg; [Zetzsche, Dirk A.; Veidt, Robin] Univ Luxembourg, Fac Law Econ &amp; Finance, Financial Law Inclus Finance, Luxembourg, Luxembourg; [Zetzsche, Dirk A.] Heinrich Heine Univ, Ctr Business &amp; Corp Law, Dusseldorf, Germany; [Veidt, Robin] Univ Luxembourg, Fac Law Econ &amp; Finance, Luxembourg, Luxembourg</t>
  </si>
  <si>
    <t>University of Hong Kong; University of Hong Kong; University of New South Wales Sydney; University of New South Wales Sydney; University of Luxembourg; University of Luxembourg; Heinrich Heine University Dusseldorf; University of Luxembourg</t>
  </si>
  <si>
    <t>Arner, DW (corresponding author), Univ Hong Kong, Fac Law, Asian Inst Int Financial Law, Law, Hong Kong, Peoples R China.;Arner, DW (corresponding author), Univ Hong Kong, Fac Law, Asian Inst Int Financial Law, Hong Kong, Peoples R China.;Arner, DW (corresponding author), CFTE, London, England.</t>
  </si>
  <si>
    <t>douglas.arner@hku.hk; ross.buckley@unsw.edu.au; dirk.zetzsche@uni.lu; robin.veidt@uni.lu</t>
  </si>
  <si>
    <t>Zetzsche, Dirk/0000-0003-4051-7699;</t>
  </si>
  <si>
    <t>Alliance for Financial Inclusion (AFI); Australian Research Council; Hong Kong Research Grants Council Research Impact Fund; Qatar National Research Fund National Priorities Fund</t>
  </si>
  <si>
    <t>Alliance for Financial Inclusion (AFI); Australian Research Council(Australian Research CouncilInstituto Politecnico Nacional - Mexico); Hong Kong Research Grants Council Research Impact Fund(Hong Kong Research Grants Council); Qatar National Research Fund National Priorities Fund(Qatar National Research Fund (QNRF))</t>
  </si>
  <si>
    <t>We are grateful for the financial support for this research provided by the Alliance for Financial Inclusion (AFI); the Australian Research Council; the Hong Kong Research Grants Council Research Impact Fund; and the Qatar National Research Fund National Priorities Fund. All responsibility is the authors'. This article draws upon our earlier, extended report for AFI: `FinTech for Financial Inclusion: A Framework for Digital Financial Transformation', September 2018; available at https://www.afiglobal.org/publications/2844/FinTech-for-Financial-Inclusion-A-Framework-for-Digital-Financial-Trans formation.</t>
  </si>
  <si>
    <t>10.1007/s40804-020-00183-y</t>
  </si>
  <si>
    <t>MAR 2020</t>
  </si>
  <si>
    <t>LB8GW</t>
  </si>
  <si>
    <t>WOS:000521725100001</t>
  </si>
  <si>
    <t>Tan, BJ</t>
  </si>
  <si>
    <t>Tan, Brandon Joel</t>
  </si>
  <si>
    <t>Central bank digital currency and financial inclusion ☆</t>
  </si>
  <si>
    <t>JOURNAL OF MACROECONOMICS</t>
  </si>
  <si>
    <t>Central bank digital currency; Financial inclusion; Bank disintermediation</t>
  </si>
  <si>
    <t>This paper develops a model to incorporate the impact of financial inclusion to study the implications of issuing a CBDC. In a two-tiermodel where banks distribute CBDC, CBDCs have the potential to increase the supply of deposits by incentivizing the unbanked to open bank accounts (offsetting potential flows from deposits to CBDCs), boosting overall lending. This is more likely when CBDC is valuable as a means of payment, provides anonymity in payments, and/or offers remuneration, especially in developing countries where the size and relative wealth of the previously unbanked population is large. CBDC can be optimal for household welfare even when overall lending decreases as households benefit from the value of using CBDC for payments and as an alternative safesavings vehicle.</t>
  </si>
  <si>
    <t>[Tan, Brandon Joel] Int Monetary Fund, Washington, DC 20431 USA</t>
  </si>
  <si>
    <t>International Monetary Fund</t>
  </si>
  <si>
    <t>Tan, BJ (corresponding author), Int Monetary Fund, Washington, DC 20431 USA.</t>
  </si>
  <si>
    <t>btan2@imf.org</t>
  </si>
  <si>
    <t>0164-0704</t>
  </si>
  <si>
    <t>1873-152X</t>
  </si>
  <si>
    <t>J MACROECON</t>
  </si>
  <si>
    <t>J. Macroecon.</t>
  </si>
  <si>
    <t>10.1016/j.jmacro.2024.103620</t>
  </si>
  <si>
    <t>JUL 2024</t>
  </si>
  <si>
    <t>YI9K4</t>
  </si>
  <si>
    <t>WOS:001267977300001</t>
  </si>
  <si>
    <t>Verma, R; Chatterjee, D</t>
  </si>
  <si>
    <t>Verma, Rahul; Chatterjee, Devlina</t>
  </si>
  <si>
    <t>Relative impact of digital and traditional financial inclusion on financial resilience: Evidence from 13 emerging countries</t>
  </si>
  <si>
    <t>Financial resilience; Financial inclusion; Digital financial inclusion; Emerging markets; Global FINDEX; Instrumental variables</t>
  </si>
  <si>
    <t>FIELD EXPERIMENT; ECONOMIC-GROWTH; POVERTY; EXCLUSION; SERVICES; BARRIERS; BANKING; SAVINGS</t>
  </si>
  <si>
    <t>We aim to understand the relative impact of traditional financial inclusion (FI) and digital financial inclusion (DFI) on perceived financial resilience (FR). We use Global Findex data for the years 2014 and 2021. Our sample includes 33933 individuals from 13 emerging economies. FI indicators include bank account ownership, saving, borrowing, payments and receipts. DFI indicators include digital borrowing, receipts and payments. Socio-economic and demographic factors such as age, gender, education and income, and informal financial activities are included as control variables. To address endogeneity issues, we include instrumental variables for each FI and DFI indicator. Individuals from Argentina, Brazil, China, Russia, South Africa and Thailand report higher levels of FI and DFI, while those from Egypt, India, Mexico and the Philippines report low levels. Estimated coefficients from bi-probit models indicate that savings had the largest positive impact on FR. Two FI indicators bank account ownership and making payments, and one DFI indicator digital payments had smaller and similar effect sizes. Digital borrowing had a small effect while digital receipts had no effect on FR. Our results indicate that having access to savings plays a larger role in improving individual financial resilience compared to other indicators. Policy implications are discussed.</t>
  </si>
  <si>
    <t>[Verma, Rahul; Chatterjee, Devlina] Indian Inst Technol Kanpur, Dept Management Sci, Kanpur 208016, India</t>
  </si>
  <si>
    <t>Indian Institute of Technology System (IIT System); Indian Institute of Technology (IIT) - Kanpur</t>
  </si>
  <si>
    <t>Chatterjee, D (corresponding author), Indian Inst Technol Kanpur, Dept Management Sci, Kanpur 208016, India.</t>
  </si>
  <si>
    <t>rhlvrm@iitk.ac.in; devlina@iitk.ac.in</t>
  </si>
  <si>
    <t>JAN-FEB</t>
  </si>
  <si>
    <t>10.1016/j.jeconbus.2025.106233</t>
  </si>
  <si>
    <t>Y2W9W</t>
  </si>
  <si>
    <t>WOS:001430803400001</t>
  </si>
  <si>
    <t>Croxson, K; Frost, J; Gambacorta, L; Valletti, T</t>
  </si>
  <si>
    <t>Croxson, Karen; Frost, Jon; Gambacorta, Leonardo; Valletti, Tommaso</t>
  </si>
  <si>
    <t>Platform-Based Business Models and Financial Inclusion: Policy Trade-Offs and Approaches1</t>
  </si>
  <si>
    <t>JOURNAL OF COMPETITION LAW &amp; ECONOMICS</t>
  </si>
  <si>
    <t>Three types of digital platforms are expanding in financial services: (i) fintech entrants; (ii) big tech firms; and (iii) increasingly, incumbent financial institutions with platform-based business models. These platforms can dramatically lower costs and thereby aid financial inclusion-but these same features can give rise to digital monopolies and oligopolies. Digital platforms operate in multisided markets and rely crucially on big data. This leads to specific network effects, returns to scale and scope, and policy trade-offs. To reap the benefits of platforms while mitigating risks, policy makers can: (i) apply existing financial, antitrust and privacy regulations, (ii) adapt old and adopt new regulations, combining an activity and entity-based approach, and/or (iii) provide new public infrastructures, such as digital identity and retail fast payment systems. These public infrastructures, as well as ex ante competition rules and data portability, are particularly promising. Yet to achieve their policy goals, central banks and financial regulators need to coordinate with competition and data protection authorities.</t>
  </si>
  <si>
    <t>[Croxson, Karen] UK Financial Conduct Author FCA, London, England; [Frost, Jon; Gambacorta, Leonardo] Bank Int Settlements BIS, Innovat &amp; Digital Econ Unit, Basel, Switzerland; [Frost, Jon] Cambridge Ctr Alternat Finance, Cambridge, England; [Gambacorta, Leonardo] Ctr Econ Policy Res CEPR, London, England; [Valletti, Tommaso] Imperial Coll Business Sch, Econ, London, ON, Canada; [Valletti, Tommaso] Univ Roma Tor Vergata, Econ, Rome, Italy</t>
  </si>
  <si>
    <t>Bank for International Settlements (BIS); Centre for Economic Policy Research - UK; University of Rome Tor Vergata</t>
  </si>
  <si>
    <t>Croxson, K (corresponding author), UK Financial Conduct Author FCA, London, England.</t>
  </si>
  <si>
    <t>Gambacorta, Leonardo/KDM-8428-2024</t>
  </si>
  <si>
    <t>Gambacorta, Leonardo/0000-0002-9895-6590; Valletti, Tommaso/0000-0001-9728-5513; Frost, Jon/0000-0001-9635-1590</t>
  </si>
  <si>
    <t>OXFORD UNIV PRESS</t>
  </si>
  <si>
    <t>GREAT CLARENDON ST, OXFORD OX2 6DP, ENGLAND</t>
  </si>
  <si>
    <t>1744-6414</t>
  </si>
  <si>
    <t>1744-6422</t>
  </si>
  <si>
    <t>J COMPET LAW ECON</t>
  </si>
  <si>
    <t>J. Compet. Law Econ.</t>
  </si>
  <si>
    <t>MAR 13</t>
  </si>
  <si>
    <t>10.1093/joclec/nhac010</t>
  </si>
  <si>
    <t>Economics; Law</t>
  </si>
  <si>
    <t>9X7OV</t>
  </si>
  <si>
    <t>WOS:000840359200001</t>
  </si>
  <si>
    <t>Scott, D; Broyd, T</t>
  </si>
  <si>
    <t>Scott, Denis; Broyd, Tim</t>
  </si>
  <si>
    <t>INVESTIGATING HOSTING PROJECT BANK ACCOUNTS (PBAS) ON THE BLOCKCHAIN AND ITS POTENTIAL VALUE CONTRIBUTION TO THE UK CONSTRUCTION INDUSTRY</t>
  </si>
  <si>
    <t>JOURNAL OF INFORMATION TECHNOLOGY IN CONSTRUCTION</t>
  </si>
  <si>
    <t>Project bank account; blockchain; payments; smart contract; cash flow</t>
  </si>
  <si>
    <t>The UK Government mandated using project bank accounts (PBAs) in public-sector construction projects to reduce the risk of damages caused by contractor insolvencies and cash farming. Cash farming is a strategy contractors exploit to maintain high levels of capital for maximising investments into future work at the detriment of the supply chain enduring withheld payments. This article explores the cash flow problem from the technology perspective, particularly whether the programmability of smart contracts and the general-purpose protocol layer of the blockchain can be leveraged to reduce systems fragmentation and increase cash flow automation. This research proposes a PBA blockchain application and tests its hypothesis through proof of concept. Data is collected from construction consultants with working experience of PBAs to validate the proposal from the enterprise perspective. The findings suggest four key practical implications: (1) The proposed application reduces the PBA management workload of contractors due to process flow automation, (2) blockchain and smart contracts include the potential to democratise PBAs across a broader percentage of the supply chain, (3) a blockchain-based PBA can be set-up within a day (vs weeks with banks) and stores transactions permanently (vs a one year cap with banks), and finally, (4) blockchain can improve the granularity and traceability of cash flow data in payment performance reports.</t>
  </si>
  <si>
    <t>[Scott, Denis; Broyd, Tim] Univ Coll London UCL, London, England</t>
  </si>
  <si>
    <t>University of London; University College London</t>
  </si>
  <si>
    <t>Scott, D; Broyd, T (corresponding author), Univ Coll London UCL, London, England.</t>
  </si>
  <si>
    <t>Denis.Scott.19@ucl.ac.uk; Tim.Broyd@ucl.ac.uk</t>
  </si>
  <si>
    <t>Scott, Denis/0000-0002-9673-3537</t>
  </si>
  <si>
    <t>INT COUNCIL RESEARCH &amp; INNOVATION BUILDING &amp; CONSTRUCTION</t>
  </si>
  <si>
    <t>ROTTERDAM</t>
  </si>
  <si>
    <t>KRUISPLEIN 25 G, PO BOX 1837, ROTTERDAM, 3000 BV, NETHERLANDS</t>
  </si>
  <si>
    <t>1874-4753</t>
  </si>
  <si>
    <t>J INF TECHNOL CONSTR</t>
  </si>
  <si>
    <t>J. Inf. Technol. Constr.</t>
  </si>
  <si>
    <t>10.36680/j.itcon.2024.041</t>
  </si>
  <si>
    <t>Engineering, Civil</t>
  </si>
  <si>
    <t>Engineering</t>
  </si>
  <si>
    <t>S8G7Y</t>
  </si>
  <si>
    <t>WOS:001400547800001</t>
  </si>
  <si>
    <t>Garbinsky, EN; Gladstone, JJ; Nikolova, H; Olson, JG</t>
  </si>
  <si>
    <t>Garbinsky, Emily N.; Gladstone, Joe J.; Nikolova, Hristina; Olson, Jenny G.</t>
  </si>
  <si>
    <t>Love, Lies, and Money: Financial Infidelity in Romantic Relationships</t>
  </si>
  <si>
    <t>JOURNAL OF CONSUMER RESEARCH</t>
  </si>
  <si>
    <t>financial infidelity; consumer financial decision-making; interpersonal relationships; scale development</t>
  </si>
  <si>
    <t>RELATIVE IMPORTANCE; SELF-ESTEEM; COUPLES; COMMITMENT; MODEL; POWER; SATISFACTION; ORGANIZATION; PERSONALITY; DECISIONS</t>
  </si>
  <si>
    <t>Romantic relationships are built on trust, but partners are not always honest about their financial behavior-they may hide spending, debt, and savings from one another. This article introduces the construct of financial infidelity, defined as engaging in any financial behavior expected to be disapproved of by one's romantic partner and intentionally failing to disclose this behavior to them. We develop and validate the Financial Infidelity Scale (FI-Scale) to measure individual variation in consumers' financial infidelity proneness. In 10 lab studies, one field study, and analyses of real bank account data collected in partnership with a couples' money-management mobile application, we demonstrate that the FI-Scale has strong psychometric properties, is distinct from conceptually related scales, and predicts actual financial infidelity among married consumers. Importantly, the FI-Scale predicts a broad range of consumption-related behaviors (e.g., spending despite anticipated spousal disapproval, preferences for discreet payment methods and unmarked packaging, concealing bank account information). Our work is the first to introduce, define, and measure financial infidelity reliably and succinctly and examine its antecedents and consequences.</t>
  </si>
  <si>
    <t>[Garbinsky, Emily N.] Univ Notre Dame, Mendoza Coll Business, Mkt, 375 Mendoza Coll Business, Notre Dame, IN 46556 USA; [Gladstone, Joe J.] UCL, Sch Management, Consumer Behav, One Canada Sq, London E14 5AA, England; [Nikolova, Hristina] Boston Coll, Carroll Sch Management, Mkt, 140 Commonwealth Ave, Chestnut Hill, MA 02467 USA; [Olson, Jenny G.] Indiana Univ, Kelley Sch Business, Mkt, 1309 East Tenth St, Bloomington, IN 47405 USA</t>
  </si>
  <si>
    <t>University of Notre Dame; University of London; University College London; Boston College; Indiana University System; Indiana University Bloomington; IU Kelley School of Business</t>
  </si>
  <si>
    <t>Nikolova, H (corresponding author), Boston Coll, Carroll Sch Management, Mkt, 140 Commonwealth Ave, Chestnut Hill, MA 02467 USA.</t>
  </si>
  <si>
    <t>egarbins@nd.edu; j.gladstone@ucl.ac.uk; hristina.nikolova@bc.edu; jgolson@iu.edu</t>
  </si>
  <si>
    <t>Olson, Jenny/JYQ-0834-2024; Gladstone, Joe/AAA-6932-2019; Nikolova, Hristina/KHZ-9908-2024</t>
  </si>
  <si>
    <t>Olson, Jenny/0000-0002-3408-5212; Gladstone, Joe/0000-0002-8783-3923;</t>
  </si>
  <si>
    <t>OXFORD UNIV PRESS INC</t>
  </si>
  <si>
    <t>CARY</t>
  </si>
  <si>
    <t>JOURNALS DEPT, 2001 EVANS RD, CARY, NC 27513 USA</t>
  </si>
  <si>
    <t>0093-5301</t>
  </si>
  <si>
    <t>1537-5277</t>
  </si>
  <si>
    <t>J CONSUM RES</t>
  </si>
  <si>
    <t>J. Consum. Res.</t>
  </si>
  <si>
    <t>10.1093/jcr/ucz052</t>
  </si>
  <si>
    <t>MD5OC</t>
  </si>
  <si>
    <t>WOS:000544020000001</t>
  </si>
  <si>
    <t>Ghosh, I; O'Neill, J</t>
  </si>
  <si>
    <t>Ghosh, Ishita; O'Neill, Jacki</t>
  </si>
  <si>
    <t>The Unbearable Modernity of Mobile Money</t>
  </si>
  <si>
    <t>COMPUTER SUPPORTED COOPERATIVE WORK-THE JOURNAL OF COLLABORATIVE COMPUTING AND WORK PRACTICES</t>
  </si>
  <si>
    <t>Mobile money; Infrastructures; Financial inclusion; Ethnography</t>
  </si>
  <si>
    <t>In this paper, we describe an ethnographic study of a mobile money infrastructure, especially its design, organization, and implementation, and its potential consequences for financial inclusion goals. Through using the analytic lens of infrastructure studies to ground our findings, we observe is that infrastructures emerge in organized practice and use. Moreover, they are constantly evolving with no specific beginning and end; any bounding is contingent on our own methodological and theoretical affiliations as well as our logistical constraints. To this end, we focus our attention on the two different infrastructures - the mobile money and the loan management infrastructures - that were operating in tandem to connect low-income auto-rickshaw drivers to mainstream bank loans. We specifically privilege the human work that goes into making and sustaining this mobile money infrastructure. In doing so, we challenge the 'unbearable modernity' of mobile money and its purported effects on helping the poor manage their unpredictable cash flows. Eventually, we make two main contributions. First, we demonstrate that what appeared on the surface to be solely a 'mobile money infrastructure' is in fact a complex and, often, visibly seamless organization of at least two interacting infrastructural systems. These come together in an intricate, layered way to enable mobile money to be used for loan repayments in this low-income setting. It becomes especially important to emphasize that an infrastructure is not always organically built or spontaneously accessed in order to challenge the dominant narratives around mobile money where an insulated infrastructure is thought to enable all digital transactions and thus achieve financial inclusion. Second, we privilege the human work of what is otherwise often considered an exclusively technological infrastructure. Bringing attention to these sidelined human workers is an important concern for CSCW with its focus on the work that enables systems to function seamlessly. Indeed, mobile money remains a favorite topic of interest for development scholars and practitioners and in the emergent conversations the focus continues to remain largely on the technological innovations. Even where the retail agent networks are discussed, their work is not completely understood. Bringing attention to these sidelined human workers is an important concern in this paper.</t>
  </si>
  <si>
    <t>[Ghosh, Ishita] Univ Calif Berkeley, Sch Informat, Line 1 102 South Hall, Berkeley, CA 94720 USA; [O'Neill, Jacki] Microsoft Res, Technol Emerging Markets Grp, Bengaluru, India</t>
  </si>
  <si>
    <t>Ghosh, I (corresponding author), Univ Calif Berkeley, Sch Informat, Line 1 102 South Hall, Berkeley, CA 94720 USA.</t>
  </si>
  <si>
    <t>ishita.ghosh@berkeley.edu; jacki.oneill@microsoft.com</t>
  </si>
  <si>
    <t>0925-9724</t>
  </si>
  <si>
    <t>1573-7551</t>
  </si>
  <si>
    <t>COMPUT SUPP COOP W J</t>
  </si>
  <si>
    <t>Comput. Support. Coop. Work</t>
  </si>
  <si>
    <t>10.1007/s10606-020-09373-1</t>
  </si>
  <si>
    <t>FEB 2020</t>
  </si>
  <si>
    <t>Computer Science, Interdisciplinary Applications</t>
  </si>
  <si>
    <t>Science Citation Index Expanded (SCI-EXPANDED); Social Science Citation Index (SSCI)</t>
  </si>
  <si>
    <t>LW3FZ</t>
  </si>
  <si>
    <t>WOS:000516397100001</t>
  </si>
  <si>
    <t>Konidala, DM; Dwijaksara, MH; Kim, K; Lee, D; Lee, B; Kim, D; Kim, S</t>
  </si>
  <si>
    <t>Konidala, Divyan Munirathnam; Dwijaksara, Made Harta; Kim, Kwangjo; Lee, Dongman; Lee, Byoungcheon; Kim, Daeyoung; Kim, Soontae</t>
  </si>
  <si>
    <t>Resuscitating privacy-preserving mobile payment with customer in complete control</t>
  </si>
  <si>
    <t>PERSONAL AND UBIQUITOUS COMPUTING</t>
  </si>
  <si>
    <t>Smartphone application; Secure mobile payment; Privacy; Near field communication (NFC); RFID; Customer centric payment model</t>
  </si>
  <si>
    <t>Credit/debit card payment transactions do not protect the privacy of the customer. Once the card is handed over to the merchant for payment processing, customers are no longer in control on how their card details and money are handled. This leads to card fraud, identity theft, and customer profiling. Therefore, for those customers who value their privacy and security of their payment transactions, this paper proposes a choice-an alternate mobile payment model called Pre-Paid Mobile HTTPS-based Payment model. In our proposed payment model, the customer obtains the merchant's bank account information and then instructs his/her bank to transfer the money to the merchant's bank account. We utilize near field communication (NFC) protocol to obtain the merchant's bank account information into the customer's NFC-enabled smartphone. We also use partially blind signature scheme to hide the customers' identity from the bank. As a result, our payment model provides the customer with complete control on his/her payments and privacy protection from both the bank and the merchant. We emulated our proposed mobile payment model using Android SDK 2.1 platform and analyzed its execution time.</t>
  </si>
  <si>
    <t>[Konidala, Divyan Munirathnam] Korea Adv Inst Sci &amp; Technol, Dept Informat &amp; Commun Engn, Taejon 305701, South Korea; [Dwijaksara, Made Harta; Kim, Kwangjo; Lee, Dongman; Kim, Daeyoung; Kim, Soontae] Korea Adv Inst Sci &amp; Technol, Dept Comp Sci, Taejon 305701, South Korea; [Lee, Byoungcheon] Joongbu Univ, Dept Informat Secur, Chungnam, South Korea</t>
  </si>
  <si>
    <t>Korea Advanced Institute of Science &amp; Technology (KAIST); Korea Advanced Institute of Science &amp; Technology (KAIST); Joongbu University</t>
  </si>
  <si>
    <t>Konidala, DM (corresponding author), Korea Adv Inst Sci &amp; Technol, Dept Informat &amp; Commun Engn, Taejon 305701, South Korea.</t>
  </si>
  <si>
    <t>divyan@kaist.ac.kr; made.harta@kaist.ac.kr; kkj@kaist.ac.kr; dlee@cs.kaist.ac.kr; sultan@joongbu.ac.kr; kimd@kaist.ac.kr; kims@kaist.ac.kr</t>
  </si>
  <si>
    <t>Dwijaksara, Made Harta/MGU-0767-2025; Kim, Daeyoung/C-1760-2011; Lee, Dongman/C-1728-2011; Kim, Soontae/C-1788-2011; Kim, Kwangjo/C-1741-2011</t>
  </si>
  <si>
    <t>Dwijaksara, Made Harta/0000-0003-2414-5186; Kim, Daeyoung/0000-0002-7960-5955; Lee, Byoungcheon/0000-0002-1741-4192;</t>
  </si>
  <si>
    <t>Korea Research Foundation (KRF)</t>
  </si>
  <si>
    <t>Korea Research Foundation (KRF)(National Research Foundation of Korea)</t>
  </si>
  <si>
    <t>This work was partially supported by Brain Korea 21 (BK21) Project of the Korea Research Foundation (KRF) grants to Made Harta Dwijaksara.</t>
  </si>
  <si>
    <t>SPRINGER LONDON LTD</t>
  </si>
  <si>
    <t>236 GRAYS INN RD, 6TH FLOOR, LONDON WC1X 8HL, ENGLAND</t>
  </si>
  <si>
    <t>1617-4909</t>
  </si>
  <si>
    <t>PERS UBIQUIT COMPUT</t>
  </si>
  <si>
    <t>Pers. Ubiquitous Comput.</t>
  </si>
  <si>
    <t>10.1007/s00779-011-0436-7</t>
  </si>
  <si>
    <t>Computer Science, Information Systems; Telecommunications</t>
  </si>
  <si>
    <t>Computer Science; Telecommunications</t>
  </si>
  <si>
    <t>979NN</t>
  </si>
  <si>
    <t>WOS:000306826800005</t>
  </si>
  <si>
    <t>Crawford, J; Menand, L; Ricks, M</t>
  </si>
  <si>
    <t>Crawford, John; Menand, Lev; Ricks, Morgan</t>
  </si>
  <si>
    <t>FedAccounts: Digital Dollars</t>
  </si>
  <si>
    <t>GEORGE WASHINGTON LAW REVIEW</t>
  </si>
  <si>
    <t>BANKING; DEBT; POLITICS; FINANCE; POLICY; MONEY; RISK</t>
  </si>
  <si>
    <t>We are entering a new monetary era. Central banks around the world-spurred by the development of privately controlled digital currencies as well as competition from other central banks-have been studying, building, and, in some cases, issuing central bank digital currency (CBDC). Although digital fiat currency is one of the hottest topics in macroeconomics and central banking today, the discussion has largely overlooked the most straightforward and appealing strategy for implementing a U.S. dollar-based CBDC: expanding access to bank accounts that the Federal Reserve already offers to a small, favored set of clients. These accounts consist of entries in a digital ledger-like other digital currencies-and are extremely desirable, offering high interest, instant payments, and full government backing with no limit. But U.S. law restricts these accounts to an exclusive clientele consisting primarily of banks. Privileged access to these accounts creates a striking asymmetry at the core of our monetary framework: government-issued physical currency is available to all, but government-issued digital currency (in the form of central bank accounts) is not. This dichotomy is unwarranted. Congress should authorize the Federal Reserve to give everyone-individuals, businesses, and institutions-the option to maintain accounts at the central bank. We call these accounts FedAccounts. Unlike the CBDC approaches currently under discussion, which would use complicated and inefficient distributed ledger technology and be walled off from the existing system of money and payments, FedAccounts would be seamlessly interoperable with the mainstream payment system, relying on technologies that the Federal Reserve has used for decades.</t>
  </si>
  <si>
    <t>[Crawford, John] UC Hastings Coll Law, Law, San Francisco, CA 94102 USA; Columbia Law Sch, Law, New York, NY 10027 USA; Vanderbilt Univ, Law Sch, Law, Nashville, TN 37235 USA; Vanderbilt Univ, Law Sch, Nashville, TN 37235 USA</t>
  </si>
  <si>
    <t>Columbia University; Vanderbilt University; Vanderbilt University</t>
  </si>
  <si>
    <t>Crawford, J (corresponding author), UC Hastings Coll Law, Law, San Francisco, CA 94102 USA.</t>
  </si>
  <si>
    <t>GEORGE WASHINGTON UNIV</t>
  </si>
  <si>
    <t>WASHINGTON</t>
  </si>
  <si>
    <t>2000 H STREET N W, WASHINGTON, DC 20052 USA</t>
  </si>
  <si>
    <t>0016-8076</t>
  </si>
  <si>
    <t>GEORGE WASH LAW REV</t>
  </si>
  <si>
    <t>George Wash. Law Rev.</t>
  </si>
  <si>
    <t>QO3NS</t>
  </si>
  <si>
    <t>WOS:000623051700003</t>
  </si>
  <si>
    <t>Cerchiello, P; Scaramozzino, R</t>
  </si>
  <si>
    <t>Cerchiello, Paola; Scaramozzino, Roberta</t>
  </si>
  <si>
    <t>On the Improvement of Default Forecast Through Textual Analysis</t>
  </si>
  <si>
    <t>FRONTIERS IN ARTIFICIAL INTELLIGENCE</t>
  </si>
  <si>
    <t>text analysis; credit scoring; default; classification models; finance</t>
  </si>
  <si>
    <t>SOFT INFORMATION; CREDIT RISK</t>
  </si>
  <si>
    <t>Textual analysis is a widely used methodology in several research areas. In this paper we apply textual analysis to augment the conventional set of account defaults drivers with new text based variables. Through the employment of ad hoc dictionaries and distance measures we are able to classify each account transaction into qualitative macro-categories. The aim is to classify bank account users into different client profiles and verify whether they can act as effective predictors of default through supervised classification models.</t>
  </si>
  <si>
    <t>[Cerchiello, Paola; Scaramozzino, Roberta] Univ Pavia, Dept Econ &amp; Management, Pavia, Italy</t>
  </si>
  <si>
    <t>University of Pavia</t>
  </si>
  <si>
    <t>Scaramozzino, R (corresponding author), Univ Pavia, Dept Econ &amp; Management, Pavia, Italy.</t>
  </si>
  <si>
    <t>roberta.scaramozzino01@universitadipavia.it</t>
  </si>
  <si>
    <t>European Union's Horizon 2020 research and innovation program FIN-TECH: A Financial supervision and Technology compliance training program [825215]</t>
  </si>
  <si>
    <t>European Union's Horizon 2020 research and innovation program FIN-TECH: A Financial supervision and Technology compliance training program</t>
  </si>
  <si>
    <t>This research has received funding from the European Union's Horizon 2020 research and innovation program FIN-TECH: A Financial supervision and Technology compliance training program under the grant agreement No 825215 (Topic: ICT35-2018, Type of action: CSA). This research was executed in collaboration with Moneymour (https://moneymour.com/).</t>
  </si>
  <si>
    <t>2624-8212</t>
  </si>
  <si>
    <t>FRONT ARTIF INTELL</t>
  </si>
  <si>
    <t>Front. Artif. Intell.</t>
  </si>
  <si>
    <t>10.3389/frai.2020.00016</t>
  </si>
  <si>
    <t>Computer Science, Artificial Intelligence; Computer Science, Information Systems</t>
  </si>
  <si>
    <t>VK7OE</t>
  </si>
  <si>
    <t>WOS:000751673300016</t>
  </si>
  <si>
    <t>Çineli, B; González, MJ</t>
  </si>
  <si>
    <t>Cineli, Beyda; Gonzalez, M. Jose</t>
  </si>
  <si>
    <t>Married and cohabiting women's financial empowerment: A study on women's bank account ownership in Spain</t>
  </si>
  <si>
    <t>FAMILY RELATIONS</t>
  </si>
  <si>
    <t>bank account ownership; financial behavior in couples; gender equality; spain</t>
  </si>
  <si>
    <t>MONEY MANAGEMENT; MANAGING MONEY; GENDER; HOUSEHOLD; INCOME; ORGANIZATION; RESOURCES; PATTERNS; POWER; COHABITATION</t>
  </si>
  <si>
    <t>ObjectiveThe goal was to examine the conditions under which young adult women (aged 25-50) in heterosexual couples maintain their economic independence through a personal bank account.BackgroundResearch has shown that in Spain, the pooling of economic resources is seen as an important aspect of being a couple and as a symbol of togetherness. However, in practice, joint management can be characterized by inequalities on several levels, such as access to money, control over money, and personal spending. Few studies have focused on household financial organization in Spain, and studies of women's financial autonomy are lacking.MethodWe conducted a cross-sectional analysis of couples aged 25-50 in Spain (N = 1,281) using data from the 2020 National Survey on Family Life.ResultsThe findings reveal that women are significantly less likely to have a personal bank account if either partner does not endorse values of economic autonomy, the couple is married with children, or, if the male partner earns significantly more.ConclusionThe results suggest that there is still a long way to go for Spain to reach the levels of women's account ownership seen in countries such as those in Northern Europe. It is important to incorporate women's account ownership into the investigation of financial organization, given its substantial implications for women within couples and those navigating relationship dissolution.ImplicationsGovernment programs should promote women's account ownership. Also, policies targeting financial literacy can incorporate dimensions such as basic budgeting, saving, and debt management so that women can gain further financial skills.</t>
  </si>
  <si>
    <t>[Cineli, Beyda] CERCA, Ctr Demog Studies, CED, Barcelona, Spain; [Cineli, Beyda] Autonomous Univ Barcelona UAB, Dept Sociol, Barcelona, Spain; [Gonzalez, M. Jose] Pompeu Fabra Univ UPF, Dept Polit &amp; Social Sci, Barcelona, Spain</t>
  </si>
  <si>
    <t>Autonomous University of Barcelona; Centre d'Estudis Demografics (CED); Autonomous University of Barcelona; Pompeu Fabra University</t>
  </si>
  <si>
    <t>Çineli, B (corresponding author), Univ Autonoma Barcelona UAB, CED, Carrer Ca nAltayo,Edifici E2, Bellaterra 08193, Spain.</t>
  </si>
  <si>
    <t>bcineli@ced.uab.cat</t>
  </si>
  <si>
    <t>; Gonzalez, Maria Jose/B-8147-2014</t>
  </si>
  <si>
    <t>Cineli, Beyda/0000-0001-5692-8682; Gonzalez, Maria Jose/0000-0003-4570-248X</t>
  </si>
  <si>
    <t>Ministry of Science and Innovation and AEI [PID2020-119339GB-C22/MICIN/AEI]</t>
  </si>
  <si>
    <t>Ministry of Science and Innovation and AEI(Spanish Government)</t>
  </si>
  <si>
    <t>This research was funded by the Ministry of Science and Innovation and AEI(PID2020-119339GB-C22/MICIN/AEI/10.13039/501100011033). The authors are also grateful for the support of Rosenthal Research(https://www.rosenthal-research.com/)inconducting the The National Survey on Family Lifein July 2020.</t>
  </si>
  <si>
    <t>0197-6664</t>
  </si>
  <si>
    <t>1741-3729</t>
  </si>
  <si>
    <t>FAM RELAT</t>
  </si>
  <si>
    <t>Fam. Relat.</t>
  </si>
  <si>
    <t>10.1111/fare.13109</t>
  </si>
  <si>
    <t>0LF4N</t>
  </si>
  <si>
    <t>WOS:001357363000001</t>
  </si>
  <si>
    <t>Angrisani, M; Couper, MP</t>
  </si>
  <si>
    <t>Angrisani, Marco; Couper, Mick P.</t>
  </si>
  <si>
    <t>A Simple Question Goes a Long Way: A Wording Experiment on Bank Account Ownership</t>
  </si>
  <si>
    <t>JOURNAL OF SURVEY STATISTICS AND METHODOLOGY</t>
  </si>
  <si>
    <t>Bank account ownership; Cognitive ability; Experiment; Online probability panel; Question wording</t>
  </si>
  <si>
    <t>MODE</t>
  </si>
  <si>
    <t>Ownership of a bank account is an objective measure and should be relatively easy to elicit via survey questions. Yet, depending on the interview mode, the wording of the question and its placement within the survey may influence respondents' answers. The Health and Retirement Study (HRS) asset module, as administered online to members of the Understanding America Study (UAS), yielded substantially lower rates of reported bank account ownership than either a single question on ownership in the Current Population Survey (CPS) or the full asset module administered to HRS panelists (both interviewer-administered surveys). We designed and implemented an experiment in the UAS comparing the original HRS question eliciting bank account ownership with two alternative versions that were progressively simplified. We document strong evidence that the original question leads to systematic underestimation of bank account ownership. In contrast, the proportion of bank account owners obtained from the simplest alternative version of the question is very similar to the population benchmark estimate. We investigate treatment effect heterogeneity by cognitive ability and financial literacy. We find that questionnaire simplification affects responses of individuals with higher cognitive ability substantially less than those with lower cognitive ability. Our results suggest that high-quality data from surveys start from asking the right questions, which should be as simple and precise as possible and carefully adapted to the mode of interview.</t>
  </si>
  <si>
    <t>[Angrisani, Marco] Univ Southern Calif, Ctr Econ &amp; Social Res, 635 Downey Way, Los Angeles, CA 90089 USA; [Angrisani, Marco] Univ Southern Calif, Econ Dept, Los Angeles, CA 90089 USA; [Couper, Mick P.] Univ Michigan, Inst Social Res, Survey Res Ctr, POB 1248, Ann Arbor, MI 48106 USA</t>
  </si>
  <si>
    <t>University of Southern California; University of Southern California; University of Michigan System; University of Michigan</t>
  </si>
  <si>
    <t>Angrisani, M (corresponding author), Univ Southern Calif, Ctr Econ &amp; Social Res, 635 Downey Way, Los Angeles, CA 90089 USA.</t>
  </si>
  <si>
    <t>angrisan@usc.edu</t>
  </si>
  <si>
    <t>Angrisani, Marco/GNH-3212-2022</t>
  </si>
  <si>
    <t>2325-0984</t>
  </si>
  <si>
    <t>2325-0992</t>
  </si>
  <si>
    <t>J SURV STAT METHODOL</t>
  </si>
  <si>
    <t>J. Surv. Stat. Methdol.</t>
  </si>
  <si>
    <t>NOV 8</t>
  </si>
  <si>
    <t>10.1093/jssam/smab045</t>
  </si>
  <si>
    <t>DEC 2021</t>
  </si>
  <si>
    <t>Social Sciences, Mathematical Methods; Statistics &amp; Probability</t>
  </si>
  <si>
    <t>Mathematical Methods In Social Sciences; Mathematics</t>
  </si>
  <si>
    <t>6A0PY</t>
  </si>
  <si>
    <t>Green Published</t>
  </si>
  <si>
    <t>WOS:000764752500001</t>
  </si>
  <si>
    <t>Rehman, R; Katpar, S; Khan, R; Hussain, M</t>
  </si>
  <si>
    <t>Rehman, Rehana; Katpar, Shahjahan; Khan, Rakhshaan; Hussain, Mehwish</t>
  </si>
  <si>
    <t>Financial wellness awareness: A step closer to achieve Millennium Development Goals for Pakistan</t>
  </si>
  <si>
    <t>PAKISTAN JOURNAL OF MEDICAL SCIENCES</t>
  </si>
  <si>
    <t>Financial wellness; Financial literacy; Financial Security; Medical students; Wellness wheel; Pakistan</t>
  </si>
  <si>
    <t>HEALTH</t>
  </si>
  <si>
    <t>Objective: To explore financial wellness (FW) awareness amongst public and private sector medical college students of Karachi. Methods: A cross sectional questionnaire based survey was conducted on medical students from 3 public and 5 private sector medical colleges of Karachi from February 2011 to December 2011. All ethnic groups having age range of 18-23 years were included. A questionnaire tailored from wellness wheel evaluated the responses of FW on a four point Likert's scale ranging from 0-3(never, sometimes, mostly, and always). Factor analysis explored common FW factors among both public and private sector medical college (MC) students. Results: Private MC Students were better in terms of making short and long terms financial goals compared to students in public sector. The students of public MC were more focused to make and restricting to given budgets (p=0.05). The FW element of keeping savings in bank account was responded more by private MC candidates (P &lt; 0.0001) but was spent thrift as well (P &lt; 0.0001). Factor analysis revealed two factors; 'Financial Security Wellness' which was better in Private MC Students (p=0.001) and 'Care towards Expenses Wellness in which results were not significant. Conclusion: Both groups of medical college students lacked FW awareness element in terms of caring towards financial expenses. The awareness of importance of financial security was practiced better by private MC students in terms of making short and long term financial goals and keeping savings in bank accounts. They were however deficient in the knowledge of making and restricting themselves to budgets.</t>
  </si>
  <si>
    <t>[Rehman, Rehana] Aga Khan Univ, Dept Biol &amp; Biomed Sci, Karachi, Pakistan; [Katpar, Shahjahan] Liaquat Univ Med &amp; Hlth Sci, Inst Dent, Jamshoro, Pakistan; [Hussain, Mehwish] Dow Univ Hlth Sci, Karachi, Pakistan</t>
  </si>
  <si>
    <t>Aga Khan University; Liaquat University of Medical &amp; Health Sciences; Dow University of Health Sciences</t>
  </si>
  <si>
    <t>Rehman, R (corresponding author), KDA Officers Soc, B-102,Block A, Karachi, Pakistan.</t>
  </si>
  <si>
    <t>drrehana7@gmail.com</t>
  </si>
  <si>
    <t>Hussain, Mehwish/H-3345-2019; Rehman, Rehana/AAG-1473-2020</t>
  </si>
  <si>
    <t>Hussain, Mehwish/0000-0001-5322-9480;</t>
  </si>
  <si>
    <t>PROFESSIONAL MEDICAL PUBLICATIONS</t>
  </si>
  <si>
    <t>SADDAR</t>
  </si>
  <si>
    <t>PANORAMA CENTRE, RM 522, 5TH FLOOR, BLDG 2, RAJA GHAZANFAR ALI RD, PO BOX 8766, SADDAR, KARACHI 00000, PAKISTAN</t>
  </si>
  <si>
    <t>1682-024X</t>
  </si>
  <si>
    <t>PAK J MED SCI</t>
  </si>
  <si>
    <t>Pak. J. Med. Sci.</t>
  </si>
  <si>
    <t>10.12669/pjms.311.6058</t>
  </si>
  <si>
    <t>Medicine, General &amp; Internal</t>
  </si>
  <si>
    <t>General &amp; Internal Medicine</t>
  </si>
  <si>
    <t>CB9FD</t>
  </si>
  <si>
    <t>WOS:000349936500010</t>
  </si>
  <si>
    <t>Tetteh, GK; Goedhuys, M; Konte, M; Mohnen, P</t>
  </si>
  <si>
    <t>Tetteh, Godsway Korku; Goedhuys, Micheline; Konte, Maty; Mohnen, Pierre</t>
  </si>
  <si>
    <t>Mobile Money Use and Entrepreneurs' Access to Trade Credit in the Informal Sector</t>
  </si>
  <si>
    <t>REVIEW OF DEVELOPMENT ECONOMICS</t>
  </si>
  <si>
    <t>entrepreneurship; financial innovation; mobile money; trade credit</t>
  </si>
  <si>
    <t>FINANCIAL CRISIS; PROPENSITY SCORE; GROWTH; FIRMS; INNOVATION; LIQUIDITY; KENYA</t>
  </si>
  <si>
    <t>Using the 2016 FinAccess Household Survey of Kenya, this article investigates the relationship between mobile money use for transactions and trade credit based on a sample of entrepreneurs who operate informal businesses. Our main findings are as follows. Informal firms that use mobile money for business transactions are more likely to receive goods and services on credit from suppliers and offer goods and services on credit to customers. The effect of mobile money use on the probability of regularly receiving goods and services on credit is higher among entrepreneurs with lower income, those without access to informal finance, and those with bank accounts. The effects of mobile money use on the likelihood of offering credit to most or all customers are higher among high-income entrepreneurs, those with bank accounts, and those with access to informal loans. Mobile money use affects entrepreneurs likelihood to offer credit to customers because it enables them to receive credit from their suppliers. Transaction costs matter in the relationship between mobile money use and the likelihood of receiving or offering credit.</t>
  </si>
  <si>
    <t>[Tetteh, Godsway Korku] Univ Strathclyde, Strathclyde Business Sch, Glasgow, Scotland; [Tetteh, Godsway Korku; Goedhuys, Micheline; Mohnen, Pierre] Maastricht Univ, Maastricht, Netherlands; [Tetteh, Godsway Korku; Goedhuys, Micheline; Mohnen, Pierre] UNU MERIT, Maastricht, Netherlands; [Konte, Maty] Int Finance Corp, World Bank Grp, Washington, DC USA</t>
  </si>
  <si>
    <t>University of Strathclyde; Maastricht University; Maastricht University; The World Bank</t>
  </si>
  <si>
    <t>Tetteh, GK (corresponding author), Univ Strathclyde, Strathclyde Business Sch, Glasgow, Scotland.;Tetteh, GK (corresponding author), Maastricht Univ, Maastricht, Netherlands.;Tetteh, GK (corresponding author), UNU MERIT, Maastricht, Netherlands.</t>
  </si>
  <si>
    <t>tetteh@merit.unu.edu</t>
  </si>
  <si>
    <t>Mohnen, Pierre/ACL-4047-2022; Tetteh, Godsway Korku/OUI-5520-2025</t>
  </si>
  <si>
    <t>Tetteh, Godsway Korku/0000-0003-0900-4633</t>
  </si>
  <si>
    <t>European Union [778398]</t>
  </si>
  <si>
    <t>European Union(European Union (EU))</t>
  </si>
  <si>
    <t>This paper has received financial support from the European Union's Horizon 2020 research and innovation programme under the Marie Sklodowska-Curie grant agreement No. 778398, for the first author's research visit to the Tshwane University of Technology, South Africa.</t>
  </si>
  <si>
    <t>1363-6669</t>
  </si>
  <si>
    <t>1467-9361</t>
  </si>
  <si>
    <t>REV DEV ECON</t>
  </si>
  <si>
    <t>Rev. Dev. Econ.</t>
  </si>
  <si>
    <t>10.1111/rode.13223</t>
  </si>
  <si>
    <t>MAR 2025</t>
  </si>
  <si>
    <t>9BW9N</t>
  </si>
  <si>
    <t>Green Published, hybrid</t>
  </si>
  <si>
    <t>WOS:001454355100001</t>
  </si>
  <si>
    <t>Lim, CY; Lee, E; Kausar, A; Walker, M</t>
  </si>
  <si>
    <t>Lim, Chu Yeong; Lee, Edward; Kausar, Asad; Walker, Martin</t>
  </si>
  <si>
    <t>Bank accounting conservatism and bank loan pricing</t>
  </si>
  <si>
    <t>JOURNAL OF ACCOUNTING AND PUBLIC POLICY</t>
  </si>
  <si>
    <t>AGENCY COSTS; TIMELINESS; REPUTATION; MARKETS; BOARD</t>
  </si>
  <si>
    <t>This paper studies the effects of bank accounting conservatism on the pricing of syndicated bank loans. We provide evidence that banks timelier in loss recognition charge higher spreads. We go onto consider what happens to the relationship between spreads and timeliness in loss recognition during the financial crisis. During the crisis, banks timelier in loss recognition increase their spreads to a lesser extent than banks less timely in loss recognition. These findings are broadly consistent with the argument that conditional accounting conservatism serves a governance role. The policy implication is that banks timelier in loss recognition exhibit more prudent and less pro-cyclical loan pricing behaviour. (C) 2014 Elsevier Inc. All rights reserved.</t>
  </si>
  <si>
    <t>[Lim, Chu Yeong] Singapore Management Univ, Sch Accountancy, Singapore 178900, Singapore; [Lee, Edward] Univ Manchester, Manchester Business Sch, Manchester M13 9PL, Lancs, England; [Kausar, Asad] Nanyang Technol Univ, Nanyang Business Sch, Singapore 639798, Singapore; [Walker, Martin] Univ Manchester, Manchester Business Sch, Manchester M13 9QH, Lancs, England</t>
  </si>
  <si>
    <t>Singapore Management University; University of Manchester; Nanyang Technological University; University of Manchester</t>
  </si>
  <si>
    <t>Walker, M (corresponding author), Univ Manchester, Manchester Business Sch, Room 6-21,Harold Hankins Bldg,Booth St West, Manchester M13 9QH, Lancs, England.</t>
  </si>
  <si>
    <t>cylim@smu.edu.sg; edward.lee@manchester.ac.uk; akausar@ntu.edu.sg; martin.walker@mbs.ac.uk</t>
  </si>
  <si>
    <t>; LIM, Chu/E-8600-2012</t>
  </si>
  <si>
    <t>WALKER, MARTIN/0000-0002-0148-5199;</t>
  </si>
  <si>
    <t>0278-4254</t>
  </si>
  <si>
    <t>1873-2070</t>
  </si>
  <si>
    <t>J ACCOUNT PUBLIC POL</t>
  </si>
  <si>
    <t>J. Account. Public Policy</t>
  </si>
  <si>
    <t>MAY-JUN</t>
  </si>
  <si>
    <t>10.1016/j.jaccpubpol.2014.02.005</t>
  </si>
  <si>
    <t>Business, Finance; Public Administration</t>
  </si>
  <si>
    <t>AJ7HW</t>
  </si>
  <si>
    <t>WOS:000337868800003</t>
  </si>
  <si>
    <t>Northwood, JM; Rhine, SLW</t>
  </si>
  <si>
    <t>Northwood, Joyce M.; Rhine, Sherrie L. W.</t>
  </si>
  <si>
    <t>Use of Bank and Nonbank Financial Services: Financial Decision Making by Immigrants and Native Born</t>
  </si>
  <si>
    <t>JOURNAL OF CONSUMER AFFAIRS</t>
  </si>
  <si>
    <t>UNITED-STATES; SELF-EMPLOYMENT; ETHNIC ENCLAVES; DETERMINANTS; ASSIMILATION; LOCATIONS; PROVIDERS; PATTERNS; CHOICE</t>
  </si>
  <si>
    <t>This study examines the joint decisions made by immigrant and native-born families about whether or not to have a bank account and to use nonbank financial services (NBFS). Immigrant families, especially those from Mexico or other Latin American countries, have a higher probability of using NBFS than native-born families, regardless of their banking status. Residing in concentrated ethnic enclaves or being a US citizen, however, lowers the probability of using these services. Similarly, native-born Black and Hispanic families are more likely to use these services than native-born White families. Our findings support continued efforts to encourage mainstream participation among immigrant and minority native-born families. Having access to mainstream financial services can help these families establish financial stability and economic mobility. To our knowledge, this is the first comprehensive study of immigrant families' joint decision making about using NBFS and bank account ownership.</t>
  </si>
  <si>
    <t>[Northwood, Joyce M.; Rhine, Sherrie L. W.] Fed Deposit Insurance Corp, Div Depositor &amp; Consumer Protect, Washington, DC 20429 USA</t>
  </si>
  <si>
    <t>Federal Deposit Insurance Corporation (FDIC)</t>
  </si>
  <si>
    <t>Northwood, JM (corresponding author), Fed Deposit Insurance Corp, Div Depositor &amp; Consumer Protect, Washington, DC 20429 USA.</t>
  </si>
  <si>
    <t>jnorthwood@fdic.gov; Sherhine01@yahoo.com</t>
  </si>
  <si>
    <t>0022-0078</t>
  </si>
  <si>
    <t>1745-6606</t>
  </si>
  <si>
    <t>J CONSUM AFF</t>
  </si>
  <si>
    <t>J. Consum. Aff.</t>
  </si>
  <si>
    <t>10.1111/joca.12150</t>
  </si>
  <si>
    <t>GN1CT</t>
  </si>
  <si>
    <t>WOS:000438722800004</t>
  </si>
  <si>
    <t>Darvish, H; Husain, M</t>
  </si>
  <si>
    <t>Abe, N; Liu, H; Pu, C; Hu, X; Ahmed, N; Qiao, M; Song, Y; Kossmann, D; Liu, B; Lee, K; Tang, J; He, J; Saltz, J</t>
  </si>
  <si>
    <t>Darvish, Hesham; Husain, Mohammad</t>
  </si>
  <si>
    <t>Security Analysis of Mobile Money Applications on Android</t>
  </si>
  <si>
    <t>2018 IEEE INTERNATIONAL CONFERENCE ON BIG DATA (BIG DATA)</t>
  </si>
  <si>
    <t>IEEE International Conference on Big Data</t>
  </si>
  <si>
    <t>IEEE International Conference on Big Data (Big Data)</t>
  </si>
  <si>
    <t>DEC 10-13, 2018</t>
  </si>
  <si>
    <t>Seattle, WA</t>
  </si>
  <si>
    <t>IEEE,IEEE Comp Soc,Expedia Grp,Baidu,Squirrel AI Learning,Ankura,Springer</t>
  </si>
  <si>
    <t>Mobile Security; Mobile Applications Security; Android; Android Security; Android Applications; Mobile Money Applications; Security of Mobile Money Applications</t>
  </si>
  <si>
    <t>Mobile Money Applications are thriving due to the ease and convenience it brings to people, where it offers to transfer money between people's bank accounts/cards with a few taps on a smartphone either in the form of Mobile Banking or Mobile Payment Services. However, a key challenge with gaining user adoption of mobile banking and payments is the customer's lack of confidence in the security of the services, and that makes much sense because whenever people grant service access to their debit/credit cards or bank accounts that automatically opens the door for identity thefts, fraudulent transactions, and stolen money. Add to that, the fact that already people and developers are not giving much attention to the security aspect of the applications. This paper consists of two parts: first, an intensive security analysis on a selection of different mobile banking and mobile payment applications on Android platform where 80% of the selected applications were found not following the best security measures. And second, a thorough step by step Android security testing guide in the form of this paper to ease the process of security testing any Android application to be used by developers, ethical hackers, and anyone interested in testing the security of any application.</t>
  </si>
  <si>
    <t>[Darvish, Hesham; Husain, Mohammad] Cal Poly Pomona, Comp Sci, Pomona, CA 91768 USA</t>
  </si>
  <si>
    <t>California State University System; California State Polytechnic University Pomona</t>
  </si>
  <si>
    <t>Darvish, H (corresponding author), Cal Poly Pomona, Comp Sci, Pomona, CA 91768 USA.</t>
  </si>
  <si>
    <t>hidarwish@cpp.edu; mihusain@cpp.edu</t>
  </si>
  <si>
    <t>Husain, Mohammad Iftekhar/0000-0002-4110-9577</t>
  </si>
  <si>
    <t>2639-1589</t>
  </si>
  <si>
    <t>978-1-5386-5035-6</t>
  </si>
  <si>
    <t>IEEE INT CONF BIG DA</t>
  </si>
  <si>
    <t>Computer Science, Artificial Intelligence; Computer Science, Information Systems; Computer Science, Theory &amp; Methods</t>
  </si>
  <si>
    <t>BM7WO</t>
  </si>
  <si>
    <t>WOS:000468499303019</t>
  </si>
  <si>
    <t>Lucic, A; Barbic, D; Uzelac, M</t>
  </si>
  <si>
    <t>Lucic, Andrea; Barbic, Dajana; Uzelac, Marija</t>
  </si>
  <si>
    <t>THE ROLE OF FINANCIAL EDUCATION IN ADOLESCENT CONSUMERS' FINANCIAL KNOWLEDGE ENHANCEMENT</t>
  </si>
  <si>
    <t>MARKET-TRZISTE</t>
  </si>
  <si>
    <t>financial education; financial literacy; financial knowledge; young adults; Croatia</t>
  </si>
  <si>
    <t>HIGH-SCHOOL; LITERACY; CHILDHOOD; BEHAVIOR</t>
  </si>
  <si>
    <t>Purpose - The aim of this paper was to challenge the purpose of financial education in the context of financial literacy of adolescents, and to test the efficiency of the developed high-school study book and program My money, my future. Also, the purpose was to identify the predictors of financial knowledge before conducting the workshop, as well as the characteristics of adolescents with best performances on the financial knowledge test. Design/Methodology/Approach - The data was collected from a purposive sample of teenagers who participated in My money, my future program from October 2016 to February 2018 and the questionnaire employed was a three-part tool. Findings and implications - Financial interventions contribute to young people's financial knowledge. Interest, previous financial education and ownership of a bank account were found to be valid and reliable predictors of higher levels of knowledge among teenagers. Furthermore, most high school students in the sample reported they had already engaged in saving behaviour, and more than half of them claimed to have bank accounts. Financial knowledge after the workshop was significant compared to their knowledge before the workshop. Greater knowledge before the workshop led to significantly higher levels of knowledge afterwards. Differences in the levels of financial knowledge were also tested with respect to gender. Limitations - The sample only includes high- school students and the research was conducted exclusively on the territory of the Republic of Croatia. Originality - The paper emphasized the importance of financial education programs in increasing the level of financial literacy and efficiency of future financial decision making among adolescents.</t>
  </si>
  <si>
    <t>[Lucic, Andrea; Barbic, Dajana; Uzelac, Marija] Univ Zagreb, Fac Econ &amp; Business Zagreb, Trg JF Kennedyja 6, Zagreb 10000, Croatia</t>
  </si>
  <si>
    <t>University of Zagreb</t>
  </si>
  <si>
    <t>Lucic, A (corresponding author), Univ Zagreb, Fac Econ &amp; Business Zagreb, Trg JF Kennedyja 6, Zagreb 10000, Croatia.</t>
  </si>
  <si>
    <t>andrea.lucic@efzg.hr; dbarbic@efzg.hr; marija.uzelac7@gmail.com</t>
  </si>
  <si>
    <t>BARBIĆ, DAJANA/H-7988-2018; Uzelac, Marija/AAE-8510-2021; Lučić, Anea/C-4741-2018</t>
  </si>
  <si>
    <t>Lučić, Anea/0000-0002-3391-2503</t>
  </si>
  <si>
    <t>Croatian Science Foundation [UIP-2019-04-3580]</t>
  </si>
  <si>
    <t>Croatian Science Foundation</t>
  </si>
  <si>
    <t>This paper is based on research undertaken in the frame of the Project of the Croatian Science Foundation - UIP-2019-04-3580; EfFICAcY - Empowering financial capability of young consumers through education and behavioural intervention</t>
  </si>
  <si>
    <t>CROMAR</t>
  </si>
  <si>
    <t>TRZISTE</t>
  </si>
  <si>
    <t>CROMAR, TRZISTE, 00000, CROATIA</t>
  </si>
  <si>
    <t>0353-4790</t>
  </si>
  <si>
    <t>1849-1383</t>
  </si>
  <si>
    <t>MARK-TRZ</t>
  </si>
  <si>
    <t>Mark.-Trz.</t>
  </si>
  <si>
    <t>10.22598/mt/2020.32.spec-issue.115</t>
  </si>
  <si>
    <t>PG7NG</t>
  </si>
  <si>
    <t>WOS:000599917300008</t>
  </si>
  <si>
    <t>Rosati, P; Fox, G; Cummins, M; Lynn, T</t>
  </si>
  <si>
    <t>Rosati, Pierangelo; Fox, Grace; Cummins, Mark; Lynn, Theo</t>
  </si>
  <si>
    <t>Perceived Risk as a Determinant of Propensity to Adopt Account Information Services under the EU Payment Services Directive 2</t>
  </si>
  <si>
    <t>JOURNAL OF THEORETICAL AND APPLIED ELECTRONIC COMMERCE RESEARCH</t>
  </si>
  <si>
    <t>technology adoption; open banking; payment service directive 2; account information services</t>
  </si>
  <si>
    <t>MOBILE BANKING ADOPTION; CONSUMER ACCEPTANCE; ONLINE BANKING; DEVELOPING-COUNTRY; USER ACCEPTANCE; INTERNET; TECHNOLOGY; PERCEPTIONS; UTAUT2; USAGE</t>
  </si>
  <si>
    <t>Globalisation, technological advances, liberalisation of financial markets, and changing consumer behaviour are transforming banking profoundly. Under the EU Payment Services Directive 2 (PSD2), incumbent banks must open up their data, processes, and business functionalities to customers and third parties including rivals. It is critical to understand consumer behaviour post-PSD2, and the potential impact of PSD2 on the functioning of the retail banking and financial services market. In this preliminary study of 244 consumers from six European countries, we explore the role of social influence, facilitating conditions, perceived risk, and effort and performance expectancy in order to unravel the determinants of consumers' acceptance of account information services (AIS) as provisioned under PSD2, which provide consolidated bank account information for consumers with multiple bank accounts across multiple banking institutions. Our findings suggest that the competing influences of (a) positive perceptions such as social influence, facilitating conditions, and performance expectancy, and (b) negative perceptions related to risk, sway consumers' intentions to adopt AIS.</t>
  </si>
  <si>
    <t>[Rosati, Pierangelo; Fox, Grace; Cummins, Mark; Lynn, Theo] Dublin City Univ, Irish Inst Digital Business, Collins Ave, Dublin D09 Y5N0, Ireland</t>
  </si>
  <si>
    <t>Dublin City University</t>
  </si>
  <si>
    <t>Rosati, P (corresponding author), Dublin City Univ, Irish Inst Digital Business, Collins Ave, Dublin D09 Y5N0, Ireland.</t>
  </si>
  <si>
    <t>pierangelo.rosati@dcu.ie; grace.fox@iidb.ie; mark.cummins@dcu.ie; theo.lynn@dcu.ie</t>
  </si>
  <si>
    <t>; Lynn, Theo/AAE-8832-2020; Rosati, Pierangelo/C-9434-2013</t>
  </si>
  <si>
    <t>Cummins, Mark/0000-0002-3539-8843; Lynn, Theo/0000-0001-9284-7580; Rosati, Pierangelo/0000-0002-6070-0426</t>
  </si>
  <si>
    <t>Irish Centre for Cloud Computing and Commerce, an Irish national Technology Centre - Enterprise Ireland; Irish Industrial Development Authority</t>
  </si>
  <si>
    <t>The research was supported by the Irish Centre for Cloud Computing and Commerce, an Irish national Technology Centre funded by Enterprise Ireland and the Irish Industrial Development Authority.</t>
  </si>
  <si>
    <t>0718-1876</t>
  </si>
  <si>
    <t>J THEOR APPL EL COMM</t>
  </si>
  <si>
    <t>J. Theor. Appl. Electron. Commer. Res.</t>
  </si>
  <si>
    <t>10.3390/jtaer17020026</t>
  </si>
  <si>
    <t>2O5OM</t>
  </si>
  <si>
    <t>WOS:000819107200001</t>
  </si>
  <si>
    <t>Kostov, P; Arun, T; Annim, S</t>
  </si>
  <si>
    <t>Kostov, Philip; Arun, Thankom; Annim, Samuel</t>
  </si>
  <si>
    <t>Determinants of Access to Finance: An Investigation into the Mzansi Intervention</t>
  </si>
  <si>
    <t>EUROPEAN JOURNAL OF DEVELOPMENT RESEARCH</t>
  </si>
  <si>
    <t>access to finance; South Africa; Mzansi; financial services; variable selection</t>
  </si>
  <si>
    <t>DANTZIG SELECTOR; SERVICES</t>
  </si>
  <si>
    <t>This article aims to understand low-income household's latent behaviour in decision making around accessing financial services. We analyse the determinants of choice surrounding the pre-entry level bank account, Mzansi, by consumers in South Africa. Removing barriers to accessing finance should arguably generate large beneficial effects for low-income households, whereby the Mzansi account functions as the first step on the financial ladder for the previously unbanked. However, while previous research has focused primarily on supply-side barriers to accessing finance, based on assumptions that demand-side barriers are non-existent, we question this assumption and identify consumers' financial perceptions and attitudes as a significant influence in determining demand for financial services among low-income households. Consequently, we argue that removing supply side constraints on its own is insufficient as a means to expand access to finance in developing countries.</t>
  </si>
  <si>
    <t>[Kostov, Philip; Arun, Thankom] Univ Cent Lancashire, Preston PR1 2HE, Lancs, England; [Annim, Samuel] Univ Manchester, Manchester, Lancs, England</t>
  </si>
  <si>
    <t>University of Lancashire; University of Manchester</t>
  </si>
  <si>
    <t>Kostov, P (corresponding author), Univ Cent Lancashire, Preston PR1 2HE, Lancs, England.</t>
  </si>
  <si>
    <t>Annim, Samuel Kobina/P-8229-2016; Kostov, Philip/A-4726-2013</t>
  </si>
  <si>
    <t>Annim, Samuel Kobina/0000-0002-3449-0912; arun, thankom/0000-0002-2552-0462; Kostov, Philip/0000-0002-4899-3908</t>
  </si>
  <si>
    <t>ESRC [ES/I035028/1] Funding Source: UKRI</t>
  </si>
  <si>
    <t>ESRC(UK Research &amp; Innovation (UKRI)Economic &amp; Social Research Council (ESRC))</t>
  </si>
  <si>
    <t>PALGRAVE MACMILLAN LTD</t>
  </si>
  <si>
    <t>BASINGSTOKE</t>
  </si>
  <si>
    <t>BRUNEL RD BLDG, HOUNDMILLS, BASINGSTOKE RG21 6XS, HANTS, ENGLAND</t>
  </si>
  <si>
    <t>0957-8811</t>
  </si>
  <si>
    <t>EUR J DEV RES</t>
  </si>
  <si>
    <t>Eur. J. Dev. Res.</t>
  </si>
  <si>
    <t>10.1057/ejdr.2011.59</t>
  </si>
  <si>
    <t>955UE</t>
  </si>
  <si>
    <t>WOS:000305045600005</t>
  </si>
  <si>
    <t>Birkenmaier, J; Oliver, A; Huang, J</t>
  </si>
  <si>
    <t>Birkenmaier, Julie; Oliver, Amy; Huang, Jin</t>
  </si>
  <si>
    <t>The Bank Staff Perspective on Reducing Financial Exclusion through Affordable Bank Accounts</t>
  </si>
  <si>
    <t>JOURNAL OF POVERTY</t>
  </si>
  <si>
    <t>Financial exclusion; banks; financial products; affordable accounts</t>
  </si>
  <si>
    <t>LOW-INCOME; EDUCATION</t>
  </si>
  <si>
    <t>In semi-structured in-depth interviews in one mid-western city with a high percentage of financially excluded consumers, 22 staff members from 15 banks describe their employer bank's efforts to serve low- and moderate-income consumers. Six themes were found: (1) Banks are aware of the problem of financial exclusion; (2) Financial education poses challenges to deliver, and lacks outcomes; (3) Few rewards are evident for offering basic checking accounts; (4) Little advocacy pressure exists for affordable accounts; (5) Regulatory and other pressures fail to facilitate solutions; and (6) Solutions are a mix of policy, organizational capacity, and methods to influence consumer behavior.</t>
  </si>
  <si>
    <t>[Birkenmaier, Julie; Oliver, Amy; Huang, Jin] St Louis Univ, Sch Social Work, St Louis, MO 63103 USA</t>
  </si>
  <si>
    <t>Saint Louis University</t>
  </si>
  <si>
    <t>Birkenmaier, J (corresponding author), St Louis Univ, Sch Social Work, St Louis, MO 63103 USA.</t>
  </si>
  <si>
    <t>Julie.Birkenmaier@slu.edu</t>
  </si>
  <si>
    <t>Birkenmaier, Julie/F-2597-2010; Oliver, Amy/GQQ-6952-2022</t>
  </si>
  <si>
    <t>Birkenmaier, Julie/0000-0002-3426-1669;</t>
  </si>
  <si>
    <t>Emmett J. and Mary Martha Doerr Center for Social Justice Education and Research</t>
  </si>
  <si>
    <t>This work was supported by the Emmett J. and Mary Martha Doerr Center for Social Justice Education and Research.</t>
  </si>
  <si>
    <t>1087-5549</t>
  </si>
  <si>
    <t>1540-7608</t>
  </si>
  <si>
    <t>J POVERTY</t>
  </si>
  <si>
    <t>J. Poverty</t>
  </si>
  <si>
    <t>APR 16</t>
  </si>
  <si>
    <t>10.1080/10875549.2020.1799288</t>
  </si>
  <si>
    <t>AUG 2020</t>
  </si>
  <si>
    <t>RX5UF</t>
  </si>
  <si>
    <t>WOS:000565963200001</t>
  </si>
  <si>
    <t>Asante, BO; Prah, S; Akutinga, S; Akusaki, ET; Ofosuhene, AD</t>
  </si>
  <si>
    <t>Asante, Bright Owusu; Prah, Stephen; Akutinga, Solomon; Akusaki, Elsie Teiko; Ofosuhene, Abrokwah Daniel</t>
  </si>
  <si>
    <t>Climate resilience in the palm of a hand: digital financial inclusion and cocoa farmers' adoption of climate smart agricultural technologies in Ghana</t>
  </si>
  <si>
    <t>FUTURE BUSINESS JOURNAL</t>
  </si>
  <si>
    <t>Climate change; Recursive bivariate; Adoption; Digital finance; Ghana; Q54; E42; G21; D13</t>
  </si>
  <si>
    <t>IMPACT</t>
  </si>
  <si>
    <t>Smallholder farmers face increasing climate risks but often lack access to financial services needed to adopt climate-smart agricultural technologies (CSATs). This study examined the impact of digital financial inclusion (DFI) on the CSATs in Ghana. Utilizing random data from 532 cocoa farmers, we account for endogeneity associated with DFI by employing a recursive bivariate probit (RBP) regression model. The results show that household size, credit access, membership in farmer-based organizations (FBOs), farm size, cocoa yield, and bank account ownership significantly influence the use of mobile money services. Additionally, the use of digital banking services was significantly affected by education, marital status, extension contact, FBO membership, land ownership, farm plots, distance to financial institutions, cocoa yield, and bank account ownership. Overall, digital financial inclusion significantly impacts the adoption of CSATs. Specifically, digital banking exerts significant positive impact on agroforestry and tree basins whereas mobile money substantially impacts the adoption of integrated pest management and husk mulching. Policymakers need to engage farmers in digital financing through extension officers and FBO to heighten the benefits of DFI and adoption of CSATs. Policies such as developing targeted educational outreach and promoting the uptake of digital banking and mobile money services can be facilitated through campaigns and training on how to use these tools for CSATs transactions in developing countries.</t>
  </si>
  <si>
    <t>[Asante, Bright Owusu; Akutinga, Solomon; Akusaki, Elsie Teiko; Ofosuhene, Abrokwah Daniel] Kwame Nkrumah Univ Sci &amp; Technol, Kumasi, Ghana; [Prah, Stephen] North Carolina Agr &amp; Tech State Univ, Greensboro, NC 27411 USA</t>
  </si>
  <si>
    <t>Kwame Nkrumah University Science &amp; Technology; University of North Carolina; North Carolina A&amp;T State University</t>
  </si>
  <si>
    <t>Prah, S (corresponding author), North Carolina Agr &amp; Tech State Univ, Greensboro, NC 27411 USA.</t>
  </si>
  <si>
    <t>brightasante2024@gmail.com; stephenprah888@gmail.com; sakutinga@gmail.come; eakusaki12@gmail.com; aofusuehe22@gmail.com</t>
  </si>
  <si>
    <t>Prah, Stephen/IAR-7260-2023; Akutinga, Solomon/MBU-9157-2025; Asante, Bright/Y-8510-2019</t>
  </si>
  <si>
    <t>2314-7202</t>
  </si>
  <si>
    <t>2314-7210</t>
  </si>
  <si>
    <t>FUTUR BUS J</t>
  </si>
  <si>
    <t>Futur. Bus. J.</t>
  </si>
  <si>
    <t>AUG 26</t>
  </si>
  <si>
    <t>10.1186/s43093-025-00624-5</t>
  </si>
  <si>
    <t>6OY8M</t>
  </si>
  <si>
    <t>WOS:001558560000002</t>
  </si>
  <si>
    <t>Jama, A; Eshetu, F; Ali, H</t>
  </si>
  <si>
    <t>Jama, Abdikani; Eshetu, Fassil; Ali, Hussen</t>
  </si>
  <si>
    <t>Drivers of financial inclusion in sub-Saharan Africa countries</t>
  </si>
  <si>
    <t>Finance; financial inclusion; financial literacy; multivariate probit model; sub-Saharan Africa; Statistics for Business, Finance &amp; Economics; Economics; International Finance; Rural Development</t>
  </si>
  <si>
    <t>DETERMINANTS</t>
  </si>
  <si>
    <t>This study examines the determinants of financial inclusion in sub-Saharan Africa (SSA), using formal borrowing, formal saving and bank account ownership as key indicators. Based on cross-sectional data from 36,062 individuals in the 2022 World Bank Global Findex dataset, a multivariate probit model was employed for analysis. Descriptive findings indicate that 42.2% of urban residents have formal financial accounts compared to 31.2% in rural areas. Formal saving remains low, with only 18.1% of urban and 12.4% of rural residents saving through formal institutions, suggesting limited savings culture and accessibility barriers. In rural areas, distance to financial institutions (27.2%) and lack of money (56.5%) are major obstacles, compared to 14.4% and 47.7% respectively in urban areas. Additionally, lack of documentation affects 26.7% of rural and 20.1% of urban populations. Regression results reveal that income, education, employment, remittances, mobile ownership, internet access and urban residency significantly and positively influence all three financial inclusion indicators. A non-linear relationship between age and financial inclusion supports life-cycle theory. The study concludes that reducing barriers to access, improving infrastructure, expanding mobile and digital financial services, diversifying income sources and promoting sustainable employment both on-farm and off-farm can enhance inclusive financial development in SSA.</t>
  </si>
  <si>
    <t>[Jama, Abdikani] Nugaal Univ, Dept Econ &amp; Islamic Banking, Las Anod, Somalia; [Eshetu, Fassil; Ali, Hussen] Arba Minch Univ, Dept Econ, Arba Minch, Ethiopia</t>
  </si>
  <si>
    <t>Arba Minch University</t>
  </si>
  <si>
    <t>Jama, A (corresponding author), Nugaal Univ, Dept Econ &amp; Islamic Banking, Las Anod, Somalia.</t>
  </si>
  <si>
    <t>abdiqanijama22@gmail.com</t>
  </si>
  <si>
    <t>DEC 31</t>
  </si>
  <si>
    <t>10.1080/23311886.2025.2590235</t>
  </si>
  <si>
    <t>G1987</t>
  </si>
  <si>
    <t>WOS:001624302200001</t>
  </si>
  <si>
    <t>Gladstone, JJ; Matz, SC; Lemaire, A</t>
  </si>
  <si>
    <t>Gladstone, Joe J.; Matz, Sandra C.; Lemaire, Alain</t>
  </si>
  <si>
    <t>Can Psychological Traits Be Inferred From Spending? Evidence From Transaction Data</t>
  </si>
  <si>
    <t>PSYCHOLOGICAL SCIENCE</t>
  </si>
  <si>
    <t>Big Five personality traits; consumer psychology; psychometrics; computational social science; financial decision making</t>
  </si>
  <si>
    <t>PERSONALITY JUDGMENTS; SELF-CONTROL; MATERIALISM; FACEBOOK; LESS</t>
  </si>
  <si>
    <t>The automatic assessment of psychological traits from digital footprints allows researchers to study psychological traits at unprecedented scale and in settings of high ecological validity. In this research, we investigated whether spending records-a ubiquitous and universal form of digital footprint-can be used to infer psychological traits. We applied an ensemble machine-learning technique (random-forest modeling) to a data set combining two million spending records from bank accounts with survey responses from the account holders (N = 2,193). Our predictive accuracies were modest for the Big Five personality traits (r = .15, corrected rho = .21) but provided higher precision for specific traits, including materialism (r = .33, corrected rho = .42). We compared the predictive accuracy of these models with the predictive accuracy of alternative digital behaviors used in past research, including those observed on social media platforms, and we found that the predictive accuracies were relatively stable across socioeconomic groups and over time.</t>
  </si>
  <si>
    <t>[Gladstone, Joe J.] UCL, UCL Sch Management, Level 38,1 Canada Sq, London E14 5AA, England; [Matz, Sandra C.; Lemaire, Alain] Columbia Univ, Columbia Business Sch, New York, NY 10027 USA</t>
  </si>
  <si>
    <t>University of London; University College London; Columbia University</t>
  </si>
  <si>
    <t>Gladstone, JJ (corresponding author), UCL, UCL Sch Management, Level 38,1 Canada Sq, London E14 5AA, England.</t>
  </si>
  <si>
    <t>j.gladstone@ucl.ac.uk</t>
  </si>
  <si>
    <t>Gladstone, Joe/AAA-6932-2019</t>
  </si>
  <si>
    <t>Gladstone, Joe/0000-0002-8783-3923</t>
  </si>
  <si>
    <t>0956-7976</t>
  </si>
  <si>
    <t>1467-9280</t>
  </si>
  <si>
    <t>PSYCHOL SCI</t>
  </si>
  <si>
    <t>Psychol. Sci.</t>
  </si>
  <si>
    <t>10.1177/0956797619849435</t>
  </si>
  <si>
    <t>Psychology, Multidisciplinary</t>
  </si>
  <si>
    <t>Psychology</t>
  </si>
  <si>
    <t>IK3YX</t>
  </si>
  <si>
    <t>WOS:000476525400011</t>
  </si>
  <si>
    <t>Rothwell, DW; Giordono, L; Stawski, RS</t>
  </si>
  <si>
    <t>Rothwell, David W.; Giordono, Leanne; Stawski, Robert S.</t>
  </si>
  <si>
    <t>How Much Does State Context Matter in Emergency Savings? Disentangling the Individual and Contextual Contributions of the Financial Capability Constructs</t>
  </si>
  <si>
    <t>Emergency savings; Financial capability; Financial access; Multi-level; State policy</t>
  </si>
  <si>
    <t>GOVERNMENT IDEOLOGY; MEASURING CITIZEN; INEQUALITY; LITERACY; SERVICES; POVERTY; RELATE</t>
  </si>
  <si>
    <t>The majority of American families lack the savings necessary to overcome an unexpected financial shock. Sherraden's (2013) financial capability framework - objective financial knowledge, subjective financial knowledge, financial confidence, and financial access - has been used to explain patterns of emergency savings. To date, research in this vein has been conducted almost entirely using individual level variables, leaving the issue of how context shapes financial capability's relationships to emergency savings largely unaddressed. Using four waves of the National Financial Capability Study (2009, 2012, 2015, and 2018), we estimate multi-level probit models of emergency saving as a function of objective financial knowledge, subjective financial knowledge, financial confidence, savings account ownership, adjusting for a host of state characteristics and financial inclusion indicators. We decompose financial capability constructs into between- and within-state components and find that financial capability constructs operate mostly at the individual level. State's levels of savings account ownership and government ideology were positively associated with increased likelihood of holding emergency savings. Financial inclusion measured by bank account and credit union access explained little. Programs that target individual level financial knowledge and confidence and state policies that promote savings account ownership have promise to raise the low rates of emergency savings.</t>
  </si>
  <si>
    <t>[Rothwell, David W.; Giordono, Leanne; Stawski, Robert S.] Oregon State Univ, Corvallis, OR 97331 USA</t>
  </si>
  <si>
    <t>Oregon State University</t>
  </si>
  <si>
    <t>Rothwell, DW (corresponding author), Oregon State Univ, Corvallis, OR 97331 USA.</t>
  </si>
  <si>
    <t>david.rothwell@oregonstate.edu</t>
  </si>
  <si>
    <t>Rothwell, David/0000-0003-0633-4071; Giordono, Leanne/0000-0002-7412-3340; Stawski, Robert/0000-0002-0809-6372</t>
  </si>
  <si>
    <t>10.1007/s10834-022-09823-6</t>
  </si>
  <si>
    <t>WOS:000753216200002</t>
  </si>
  <si>
    <t>Schaner, S</t>
  </si>
  <si>
    <t>Schaner, Simone</t>
  </si>
  <si>
    <t>The Persistent Power of Behavioral Change: Long-Run Impacts of Temporary Savings Subsidies for the Poor</t>
  </si>
  <si>
    <t>AMERICAN ECONOMIC JOURNAL-APPLIED ECONOMICS</t>
  </si>
  <si>
    <t>FIELD EXPERIMENT; SMOKING-CESSATION; VILLAGE ECONOMIES; INCENTIVES; CREDIT; CONSTRAINTS; COMMITMENT; RETURNS; PROGRAM; MICROCREDIT</t>
  </si>
  <si>
    <t>I use a field experiment in rural Kenya to study how temporary incentives to save impact long-run economic outcomes. Study participants randomly selected to receive large temporary interest rates on an individual bank account had significantly more income and assets 2.5-3.5 years after the interest rates expired. These changes are much larger than the short-run impacts on experimental bank account use and almost entirely driven by growth in entrepreneurship. In contrast, interest rates on joint accounts and modest cash payments did not significantly impact long-run economic outcomes.</t>
  </si>
  <si>
    <t>[Schaner, Simone] Univ South Calif, Dartmouth Coll, Ctr Econ &amp; Social Res, 635 Downey Way, Los Angeles, CA 90089 USA</t>
  </si>
  <si>
    <t>University of Southern California</t>
  </si>
  <si>
    <t>Schaner, S (corresponding author), Univ South Calif, Dartmouth Coll, Ctr Econ &amp; Social Res, 635 Downey Way, Los Angeles, CA 90089 USA.</t>
  </si>
  <si>
    <t>schaner@usc.edu</t>
  </si>
  <si>
    <t>Schaner, Simone/LMX-9754-2024</t>
  </si>
  <si>
    <t>Russell Sage Foundation; George and Obie Shultz Fund; MIT's Jameel Poverty Action Lab; National Science Foundation's Graduate Research Fellowship; Yale Savings and Payments Research Fund at Innovations for Poverty Action - Bill &amp; Melinda Gates Foundation</t>
  </si>
  <si>
    <t>Russell Sage Foundation; George and Obie Shultz Fund; MIT's Jameel Poverty Action Lab; National Science Foundation's Graduate Research Fellowship(National Science Foundation (NSF)); Yale Savings and Payments Research Fund at Innovations for Poverty Action - Bill &amp; Melinda Gates Foundation</t>
  </si>
  <si>
    <t>I thank Erica Field, Dean Karlan, Erzo F.P. Luttmer, Rohini Pande, Joshua Schwartzstein, Jonathan Zinman, and seminar participants at USC, UC Berkeley, Boston University, Brown University, IFPRI, Notre Dame, Tufts University, UC San Diego, and the University of Missouri for numerous useful comments. This project would not have been possible without the tireless assistance, hard work, and commitment of many employees of Family Bank. I am particularly indebted to Victor Keriri Mwangi, Steve Mararo, and Michael Aswani Were. I also thank James Vancel, Noreen Makana, and Thomas Ginn for superb field management and the IPA field officers for their excellent assistance with the data collection. I gratefully acknowledge the financial support of the Russell Sage Foundation, the George and Obie Shultz Fund, MIT's Jameel Poverty Action Lab, the National Science Foundation's Graduate Research Fellowship, and the Yale Savings and Payments Research Fund at Innovations for Poverty Action, sponsored by a grant from the Bill &amp; Melinda Gates Foundation. Research activities were approved by Institutional Review Boards at MIT, the Kenya Medical Research Institute, Innovations for Poverty Action Kenya, and Dartmouth College. This RCT was registered in the American Economic Association Registry for randomized control trials under trial number AEARCTR-0001358. All errors are my own.</t>
  </si>
  <si>
    <t>AMER ECONOMIC ASSOC</t>
  </si>
  <si>
    <t>NASHVILLE</t>
  </si>
  <si>
    <t>2014 BROADWAY, STE 305, NASHVILLE, TN 37203 USA</t>
  </si>
  <si>
    <t>1945-7782</t>
  </si>
  <si>
    <t>1945-7790</t>
  </si>
  <si>
    <t>AM ECON J-APPL ECON</t>
  </si>
  <si>
    <t>Am. Econ. J.-Appl. Econ.</t>
  </si>
  <si>
    <t>10.1257/app.20170453</t>
  </si>
  <si>
    <t>GK8WH</t>
  </si>
  <si>
    <t>WOS:000436511200003</t>
  </si>
  <si>
    <t>Asongu, SA; Salahodjaev, R</t>
  </si>
  <si>
    <t>Asongu, Simplice A.; Salahodjaev, Raufhon</t>
  </si>
  <si>
    <t>Demand-Side Mobile Money Drivers of Financial Inclusion: Minimum Economic Growth Thresholds for Mobile Money Innovations</t>
  </si>
  <si>
    <t>JOURNAL OF THE KNOWLEDGE ECONOMY</t>
  </si>
  <si>
    <t>Mobile money; Technology diffusion; Financial inclusion; Inclusive innovation</t>
  </si>
  <si>
    <t>E-WALLET PROGRAM; MARKET POWER; INFORMATION ASYMMETRY; BANKING; INEQUALITY; SERVICES; AFRICA; ACCESS; ICT; GOVERNANCE</t>
  </si>
  <si>
    <t>This study provides minimum economic growth (or GDP growth) critical masses or thresholds that should be exceeded in order for demand-side mobile money factors to favorably drive mobile money innovations for financial inclusion in developing countries. The considered mobile money innovations are mobile money accounts, the mobile phone used to send money, and the mobile phone used to receive money. The empirical evidence is based on tobit regressions. For positive net relationships that are established, an extended analysis is engaged to provide minimum GDP growth levels required to sustain the positive net nexuses. From this extended analysis, in order for economic growth to modulate demand-side mobile money drivers to favorably influence mobile money innovations, minimum GDP growth rates are (i) 3.875% for the nexus between bank accounts and the mobile phone used to send money; (ii) 3.769% for the relationship between automated teller machine (ATM) penetration and the mobile used to send money; and (iii) 3.666% for the nexus between ATM penetration and the mobile phone used to receive money.</t>
  </si>
  <si>
    <t>[Asongu, Simplice A.] Univ Johannesburg, Sch Econ, Johannesburg, South Africa; [Salahodjaev, Raufhon] AKFA Univ, Tashkent, Uzbekistan</t>
  </si>
  <si>
    <t>University of Johannesburg; Central Asian University</t>
  </si>
  <si>
    <t>Asongu, SA (corresponding author), Univ Johannesburg, Sch Econ, Johannesburg, South Africa.</t>
  </si>
  <si>
    <t>asongusimplice@yahoo.com; salahodjaev@gmail.com</t>
  </si>
  <si>
    <t>Asongu, Simplice/K-3436-2014; Salahodjaev, Raufhon/AAZ-8549-2020</t>
  </si>
  <si>
    <t>1868-7865</t>
  </si>
  <si>
    <t>1868-7873</t>
  </si>
  <si>
    <t>J KNOWL ECON</t>
  </si>
  <si>
    <t>J. Knowl. Econ.</t>
  </si>
  <si>
    <t>10.1007/s13132-022-01042-6</t>
  </si>
  <si>
    <t>OCT 2022</t>
  </si>
  <si>
    <t>HG3S7</t>
  </si>
  <si>
    <t>WOS:000865897300001</t>
  </si>
  <si>
    <t>Tarique, M; Zafar, S; Abusaad, M</t>
  </si>
  <si>
    <t>Tarique, Md; Zafar, Shadman; Abusaad, Md</t>
  </si>
  <si>
    <t>An Enquiry into the Success of Pradhan Mantri Jan Dhan Yojana in Bihar: An Empirical Evidence</t>
  </si>
  <si>
    <t>INDIAN JOURNAL OF ECONOMICS AND DEVELOPMENT</t>
  </si>
  <si>
    <t>Financial inclusion; logistic regression; multidimensional poverty; PMJDY</t>
  </si>
  <si>
    <t>The research examined the motives for creating PMJDY bank accounts and the influence of families' socioeconomic factors on multidimensional poverty status. On a sample of 300 families from the Muzaffarpur district of Bihar, logistic regression verified gender, education level, and PMJDY accounts significantly influence multidimensional poverty. Low education, particularly in women, was observed to increase the likelihood of multidimensional poverty, while PMJDY accounts users were less poor than non-PMJDY account users in the district. Financial literacy was identified as a crucial factor which must be given due consideration. Clarifying misconceptions about government programmes, including women in financial inclusion, and connecting people to PMJDY were keys to making this programme successful.</t>
  </si>
  <si>
    <t>[Tarique, Md; Zafar, Shadman] Aligarh Muslim Univ, Dept Econ, Aligarh 202002, Uttar Pradesh, India; [Abusaad, Md] Lovely Profess Univ, Mittal Sch Business, Jalandhar 144411, Punjab, India</t>
  </si>
  <si>
    <t>Aligarh Muslim University; Lovely Professional University</t>
  </si>
  <si>
    <t>Zafar, S (corresponding author), Aligarh Muslim Univ, Dept Econ, Aligarh 202002, Uttar Pradesh, India.</t>
  </si>
  <si>
    <t>szafar2@myamu.ac.in</t>
  </si>
  <si>
    <t>Abusaad, Md/HHN-2883-2022; Zafar, Shadman/HLQ-1107-2023</t>
  </si>
  <si>
    <t>SOC ECONOMICS &amp; DEVELOPMENT</t>
  </si>
  <si>
    <t>LUDHIANA</t>
  </si>
  <si>
    <t>70-PINK PARK, BAREWAL RD, LUDHIANA, 141012, INDIA</t>
  </si>
  <si>
    <t>2277-5412</t>
  </si>
  <si>
    <t>2322-0430</t>
  </si>
  <si>
    <t>INDIAN J ECON DEV</t>
  </si>
  <si>
    <t>Indian J. Econ. Dev.</t>
  </si>
  <si>
    <t>10.35716/IJED/22178</t>
  </si>
  <si>
    <t>8M6YK</t>
  </si>
  <si>
    <t>WOS:000924607400025</t>
  </si>
  <si>
    <t>Kumar, T; Kaur, A; Guleria, A</t>
  </si>
  <si>
    <t>Kumar, Tanuj; Kaur, Arjinder; Guleria, Amit</t>
  </si>
  <si>
    <t>Financial Inclusion among Agricultural Households in Uttarakhand</t>
  </si>
  <si>
    <t>Agricultural households; financial inclusion; financial services</t>
  </si>
  <si>
    <t>DETERMINANTS; SERVICES; BARRIERS</t>
  </si>
  <si>
    <t>The present study has examined the extent of financial inclusion and constraints faced by agricultural households in Uttarakhand. The primary data were collected from 60 agricultural households through the personal interview method, supplemented by secondary data to accomplish the objective. The study found that all sample households were financially included in having a bank account. Despite having access to institutional credit, about 22 per cent of sample households also depended on non-institutional sources. Insurance coverage was found to be limited to 55 per cent of households. The usage of modern financial services like Internet banking, mobile banking, and UPI was very low. Major constraints faced by households under study were low income followed by lack of awareness, a requirement of collateral, claim settlement difficulties, irrelevant financial products, and long processing time for loans. Imparting financial education at the school level, organizing financial literacy camps at the village level, promoting insurance products and adopting a targeted approach will encourage the use of financial services among agricultural households.</t>
  </si>
  <si>
    <t>[Kumar, Tanuj; Kaur, Arjinder; Guleria, Amit] Punjab Agr Univ, Dept Econ &amp; Sociol, Ludhiana 141004, Punjab, India</t>
  </si>
  <si>
    <t>Punjab Agricultural University</t>
  </si>
  <si>
    <t>Kaur, A (corresponding author), Punjab Agr Univ, Dept Econ &amp; Sociol, Ludhiana 141004, Punjab, India.</t>
  </si>
  <si>
    <t>arjkaur@pau.edu</t>
  </si>
  <si>
    <t>Guleria, Amit/GMX-4788-2022; Kaur, Arjinder/JOP-7879-2023</t>
  </si>
  <si>
    <t>10.35716/IJED-23007</t>
  </si>
  <si>
    <t>HF5C6</t>
  </si>
  <si>
    <t>WOS:001158081300012</t>
  </si>
  <si>
    <t>Pleitgen, V</t>
  </si>
  <si>
    <t>Pleitgen, Verena</t>
  </si>
  <si>
    <t>Do Digital Currencies and Digital Payment Systems Lead to Financial Inclusion and Economic Growth?</t>
  </si>
  <si>
    <t>JAHRBUCH FUR WIRTSCHAFTSGESCHICHTE</t>
  </si>
  <si>
    <t>Libra; digitale Bezahlsysteme; digital payment systems; digitales Geld; digital currency; Kryptowahrungen; cryptocurrencies; financial inclusion; finanzielle Inklusion; Entnationalisierung des Geldes; denationalisation of money</t>
  </si>
  <si>
    <t>The article discusses current proposals and developments in digital currencies and digital payment systems. The focus is on projects for the introduction of central bank digital currencies, cryptocurrencies, the experiences from the Unified Payments Interface in India, E-Wallets and similar offers from big technology companies and the Libra project. Against this background the article tried to shed light on the question of financial inclusion and economic growth as there are still a great number of people without access to bank accounts or internet access worldwide.</t>
  </si>
  <si>
    <t>[Pleitgen, Verena] Verlag Ohne viele Worte GmbH, Mendelstr 8, D-41464 Neuss, Germany</t>
  </si>
  <si>
    <t>Pleitgen, V (corresponding author), Verlag Ohne viele Worte GmbH, Mendelstr 8, D-41464 Neuss, Germany.</t>
  </si>
  <si>
    <t>v.pleitgen@ovw-verlag.de</t>
  </si>
  <si>
    <t>WALTER DE GRUYTER GMBH</t>
  </si>
  <si>
    <t>BERLIN</t>
  </si>
  <si>
    <t>GENTHINER STRASSE 13, D-10785 BERLIN, GERMANY</t>
  </si>
  <si>
    <t>0075-2800</t>
  </si>
  <si>
    <t>2196-6842</t>
  </si>
  <si>
    <t>JB WIRTSCHAFTSGESCHI</t>
  </si>
  <si>
    <t>Jahrb. Wirtschaft.</t>
  </si>
  <si>
    <t>NOV 25</t>
  </si>
  <si>
    <t>10.1515/jbwg-2020-0021</t>
  </si>
  <si>
    <t>Economics; History</t>
  </si>
  <si>
    <t>Business &amp; Economics; History</t>
  </si>
  <si>
    <t>9A0FW</t>
  </si>
  <si>
    <t>WOS:000933744100011</t>
  </si>
  <si>
    <t>Collins, JM; L'Esperance, M</t>
  </si>
  <si>
    <t>Collins, J. Michael; L'Esperance, Madelaine</t>
  </si>
  <si>
    <t>What do students gain from banks in schools? A field study</t>
  </si>
  <si>
    <t>Financial Inclusion; Financial Literacy; Banking; Financial Socialization</t>
  </si>
  <si>
    <t>FINANCIAL EDUCATION; SAVINGS; LITERACY; CHILDREN; IMPACT; RISK</t>
  </si>
  <si>
    <t>This field study estimates the short-run effects of banks in schools on students' financial behaviors, attitudes, and knowledge. The presence of in-school banking programs increased the rate that students owned bank accounts, improved students' perceptions of banks, and increased indicators of financial socialization. Using the random assignment of banks at the school level as an instrument, being banked improved students' attitudes about banking services and increased the rate that students engaged with their parents on financial issues. Banks in schools do not appear to influence student financial literacy or savings levels, however. Exposure to banking at school primarily serves as a mechanism to increase students' awareness of financial services, and leads to more parent-child interactions related to financial issues.</t>
  </si>
  <si>
    <t>[Collins, J. Michael] Univ Wisconsin, Madison, WI 53706 USA; [L'Esperance, Madelaine] Univ Alabama, Tuscaloosa, AL 35487 USA</t>
  </si>
  <si>
    <t>University of Wisconsin System; University of Wisconsin Madison; University of Alabama System; University of Alabama Tuscaloosa</t>
  </si>
  <si>
    <t>Collins, JM (corresponding author), Univ Wisconsin, Madison, WI 53706 USA.;L'Esperance, M (corresponding author), Univ Alabama, Tuscaloosa, AL 35487 USA.</t>
  </si>
  <si>
    <t>jmcollins@wisc.edu; mlesperance@ua.edu</t>
  </si>
  <si>
    <t>Prosperity Now [TOS11-F-039]; US Treasury Department</t>
  </si>
  <si>
    <t>Prosperity Now; US Treasury Department</t>
  </si>
  <si>
    <t>We are grateful for the support of several organizations for this study. Prosperity Now (formerly The Corporation for Enterprise Development) supported this research under contract TOS11-F-039 with the US Treasury Department.</t>
  </si>
  <si>
    <t>10.1007/s11150-022-09611-z</t>
  </si>
  <si>
    <t>F8AL1</t>
  </si>
  <si>
    <t>WOS:000797783500001</t>
  </si>
  <si>
    <t>Bank Accounts, Nonbank Financial Transaction Products, and Food Insecurity among Households with Children</t>
  </si>
  <si>
    <t>FRINGE BANKING; UNITED-STATES; LOW-INCOME; FAMILIES; DONT</t>
  </si>
  <si>
    <t>Low- and moderate-income households with children often face considerable difficulties in ensuring enough financial resources for adequate consumption. With households in both the December 2008 current population survey (CPS) food security supplement and the January 2009 CPS unbanked and underbanked supplement, I investigate the relationship between bank account ownership, nonbank financial transaction products, and food security of households with children. Unbanked households and households that use alternative financial service transaction products are more likely to experience very low food security and food insecurity than other households. Currently unbanked but previously banked households as well as underbanked households face the greatest risk of food insecurity. Policies to improve the consumption adequacy of households with children may benefit from a multifaceted approach that addresses their banking and financial transaction needs.</t>
  </si>
  <si>
    <t>[Fitzpatrick, Katie] Seattle Univ, Albers Sch Business &amp; Econ, Econ, Seattle, WA 98122 USA</t>
  </si>
  <si>
    <t>Seattle University</t>
  </si>
  <si>
    <t>Fitzpatrick, K (corresponding author), Seattle Univ, Albers Sch Business &amp; Econ, Econ, Seattle, WA 98122 USA.</t>
  </si>
  <si>
    <t>fitzpatk@seattleu.edu</t>
  </si>
  <si>
    <t>University of Kentucky Center for Poverty Research through US Department of Agriculture, Food and Nutrition Service [AG-3198-B-10-0028]</t>
  </si>
  <si>
    <t>University of Kentucky Center for Poverty Research through US Department of Agriculture, Food and Nutrition Service</t>
  </si>
  <si>
    <t>This project was supported with a grant from the University of Kentucky Center for Poverty Research through funding by the US Department of Agriculture, Food and Nutrition Service, contract number AG-3198-B-10-0028. The opinions and conclusions expressed herein are solely those of the author and should not be construed as representing the opinions or policies of the UKCPR or any agency of the Federal Government. Alisha Coleman-Jensen was instrumental in this research by not only providing the matched CPS data but patiently answering endless questions. I wish to thank participants of the Research Program on Childhood Hunger, especially Craig Gundersen and Jim Ziliak, the editors, and three anonymous reviewers for many comments and suggestions that improved the research. All errors are my own.</t>
  </si>
  <si>
    <t>FAL</t>
  </si>
  <si>
    <t>10.1111/joca.12158</t>
  </si>
  <si>
    <t>FT6YU</t>
  </si>
  <si>
    <t>WOS:000423300600007</t>
  </si>
  <si>
    <t>Kandari, P; Bahuguna, U; Salgotra, AK</t>
  </si>
  <si>
    <t>Kandari, Prashant; Bahuguna, Uma; Salgotra, Ajay Kumar</t>
  </si>
  <si>
    <t>Socio-Economic and Demographic Determinants of Financial Inclusion in Underdeveloped Regions: A Case Study in India</t>
  </si>
  <si>
    <t>Financial Inclusion; Hill Rural Areas; Area Deprivation; Socio-Economic Determinants</t>
  </si>
  <si>
    <t>The main purpose of this paper is to explore the relationship between financial inclusion and socio-economic and demographic factors. Ownership of bank accounts, availing of credit facility, and use of mobile banking were considered the major indicators of financial inclusion. To achieved this objective, the present study was conducted in the rural regions of three hill districts of Uttarakhand. 780 rural households were selected by using stratified and judgment sampling technique. To measure the association between the variables, binary logistic regression model was employed. The findings of the study revealed that there is a significant association of socio-economic variables with financial inclusion. The overall analysis of the study indicates that the likelihood of having bank account, usage of mobile banking facility, and availing credit facility increases with the increase in the financial literacy of an individual in hill rural regions of the state. Further, the study also indicates the vulnerability of women relative to that of men in both cases of mobile usage and availing credit. The findings of the study suggest to target the economically vulnerable section of population (as identified in case of having low financial inclusion) and enhancing the financial literacy in these regions.</t>
  </si>
  <si>
    <t>[Kandari, Prashant] HNB Garhwal Univ, Dept Econ, Srinagar, Uttarakhand, India; [Bahuguna, Uma] HNB Garhwal Univ, Dept Sociol &amp; Social Work, Srinagar, Uttarakhand, India; [Salgotra, Ajay Kumar] Univ Jammu, Dept Econ, Udhampur Campus, Udhampur, Jammu &amp; Kashmir, India; [Salgotra, Ajay Kumar] PO Pallanwala, Tehsil Khour 181204, India</t>
  </si>
  <si>
    <t>Hemwati Nandan Bahuguna Garhwal University; Hemwati Nandan Bahuguna Garhwal University; University of Jammu</t>
  </si>
  <si>
    <t>Salgotra, AK (corresponding author), Univ Jammu, Dept Econ, Udhampur Campus, Udhampur, Jammu &amp; Kashmir, India.;Salgotra, AK (corresponding author), PO Pallanwala, Tehsil Khour 181204, India.</t>
  </si>
  <si>
    <t>kandari1980@gmail.com; umabahugunaa@gmail.com; dr.ajaysalgotra@gmail.com</t>
  </si>
  <si>
    <t>Indian Council of Social Science Research, New Delhi under IMPRESS Scheme, MHRD, Government of India</t>
  </si>
  <si>
    <t>This study is the part of the research project (2019-20) sanctioned and sponsored by Indian Council of Social Science Research, New Delhi under IMPRESS Scheme, MHRD, Government of India.</t>
  </si>
  <si>
    <t>10.13106/jafeb.2021.vol8.no3.1045</t>
  </si>
  <si>
    <t>RL6XB</t>
  </si>
  <si>
    <t>WOS:000639112300100</t>
  </si>
  <si>
    <t>Szabó, DZ; Bihary, Z</t>
  </si>
  <si>
    <t>Szabo, David Zoltan; Bihary, Zsolt</t>
  </si>
  <si>
    <t>The riskiness of stock versus money market investment with stochastic rates</t>
  </si>
  <si>
    <t>CENTRAL EUROPEAN JOURNAL OF OPERATIONS RESEARCH</t>
  </si>
  <si>
    <t>Asset allocation; Spectral risk measures; Vasicek process; Time diversification; GlueVaR</t>
  </si>
  <si>
    <t>LONG-RUN; RISK; MODEL</t>
  </si>
  <si>
    <t>To efficiently assess the performance of investing in stocks rather than in a bank account for the long run, stochastic interest rate modelling is advocated. We introduce a correlated stochastic interest rate model that addresses this problem. We derive analytic formulas for general spectral risk measures in our setting, and apply our results to Value at Risk, Expected Shortfall and GlueVaR. We characterize the short- and long-term behaviour of these risk measures. We fit our model to financial markets, perform an empirical study and evaluate risk numbers for realistic scenarios in the future. Our results reveal sizeable sensitivities on parameter estimation, but we may conclude that holding stocks for less than a few decades bears significant risk.</t>
  </si>
  <si>
    <t>[Szabo, David Zoltan; Bihary, Zsolt] Corvinus Univ Budapest, Dept Finance, Fovam Sq 8, H-1093 Budapest, Hungary</t>
  </si>
  <si>
    <t>Corvinus University Budapest</t>
  </si>
  <si>
    <t>Szabó, DZ (corresponding author), Corvinus Univ Budapest, Dept Finance, Fovam Sq 8, H-1093 Budapest, Hungary.</t>
  </si>
  <si>
    <t>davidzoltan.szabo@uni-corvinus.hu; zsolt.bihary@uni-corvinus.hu</t>
  </si>
  <si>
    <t>; Szabo, David/OFO-0811-2025</t>
  </si>
  <si>
    <t>Szabo, David/0000-0002-6836-739X;</t>
  </si>
  <si>
    <t>Corvinus University of Budapest</t>
  </si>
  <si>
    <t>Open access funding provided by Corvinus University of Budapest.</t>
  </si>
  <si>
    <t>1435-246X</t>
  </si>
  <si>
    <t>1613-9178</t>
  </si>
  <si>
    <t>CENT EUR J OPER RES</t>
  </si>
  <si>
    <t>Cent. Europ. J. Oper. Res.</t>
  </si>
  <si>
    <t>10.1007/s10100-022-00814-4</t>
  </si>
  <si>
    <t>Operations Research &amp; Management Science</t>
  </si>
  <si>
    <t>A7UD8</t>
  </si>
  <si>
    <t>WOS:000840064400001</t>
  </si>
  <si>
    <t>Osei-Gyebi, S; Opoku, A; Lipede, MO; Kountchou, LK</t>
  </si>
  <si>
    <t>Osei-Gyebi, Samuel; Opoku, Alexander; Lipede, Mary Omolola; Kountchou, Lucresse Kemmoe</t>
  </si>
  <si>
    <t>The effect of remittance inflow on savings in Nigeria: The role of financial inclusion</t>
  </si>
  <si>
    <t>Remittances; savings; financial inclusion; financial products; Nigeria</t>
  </si>
  <si>
    <t>MIGRANT REMITTANCES; IMPACT; MIGRATION; PATTERNS; INCOME</t>
  </si>
  <si>
    <t>While recent literature has pointed to a positive effect of remittance inflow on the financial development of receiving countries, findings on its effect on the saving patterns of recipients have received little attention. This study examines the effect of remittance inflows on savings and the moderating role of financial inclusion in Nigeria. In analyzing the data, a binary logit model was employed. Using World Bank survey data on 3000 Nigerians, we found that individuals with a bank account either on their mobile or with a financial institution (FI) are more likely to save compared to individuals without any account. This likelihood of saving doubles if individuals have both mobile and FI accounts. In addition, individuals who have received remittances are more likely to save than those who have not received any remittances. Lastly, we find that having a bank account and receiving remittances combine to make individuals more likely to save. Government policies should focus on leveraging remittance inflows by improving financial inclusion to facilitate savings and investment in Nigeria.</t>
  </si>
  <si>
    <t>[Osei-Gyebi, Samuel; Lipede, Mary Omolola] Univ Ibadan, Dept Econ, Ibadan, Oyo, Nigeria; [Opoku, Alexander] Univ Cape Coast, Dept Econ Studies, Cape Coast, Ghana; [Kountchou, Lucresse Kemmoe] Univ Yaounde II, Dept Econ, Yaounde, Cameroon</t>
  </si>
  <si>
    <t>University of Ibadan; University of Cape Coast</t>
  </si>
  <si>
    <t>Osei-Gyebi, S (corresponding author), Univ Ibadan, Dept Econ, Ibadan, Oyo, Nigeria.</t>
  </si>
  <si>
    <t>sageesamuel93@gmail.com</t>
  </si>
  <si>
    <t>OSEI-GYEBI, SAMUEL/KDN-4636-2024</t>
  </si>
  <si>
    <t>OSEI-GYEBI, SAMUEL/0000-0003-1435-6334; Opoku, Alexander/0000-0002-5087-3593</t>
  </si>
  <si>
    <t>10.1080/23311886.2023.2220599</t>
  </si>
  <si>
    <t>I8FG6</t>
  </si>
  <si>
    <t>WOS:001005082400001</t>
  </si>
  <si>
    <t>Fernandes, C; Borges, MR; Caiado, J</t>
  </si>
  <si>
    <t>Fernandes, Carla; Borges, Maria Rosa; Caiado, Jorge</t>
  </si>
  <si>
    <t>The contribution of digital financial services to financial inclusion in Mozambique: an ARDL model approach</t>
  </si>
  <si>
    <t>Financial inclusion; digital Financial Services; ARDL model; Mozambique</t>
  </si>
  <si>
    <t>This paper analyses the contribution of digital financial services to financial inclusion in Mozambique, based on the Autoregressive Distributed Lag (ARDL) model, for the period from January 2011 to September 2019. We study two models to analyse the contribution of digital financial services to financial inclusion (measured by the number of bank accounts) in Mozambique. The first model uses traditional digital means of payments as independent variables, such as the volume of financial transactions through automated teller machines (ATMs), point-of-sales (POSs), electronic transfers of inter and intrabank funds, direct debit, and domestic and cross-border remittances. The second model considers innovative digital means of payments, such as internet banking, mobile banking and electronic money. We conclude that, excluding domestic remittances and direct debit, which present low levels of penetration in the country, and internet banking transactions, the remaining variables contribute to financial inclusion. Our results confirm the crucial role that digital financial services play in financial inclusion, particularly in improving access to and the use of services by the under-served population.</t>
  </si>
  <si>
    <t>[Fernandes, Carla] Eduardo Mondlane Univ, FACECO Fac Econ, Maputo, Mozambique; [Borges, Maria Rosa; Caiado, Jorge] Univ Lisbon, ISEG Lisbon Sch Econ &amp; Management, Lisbon, Portugal; [Borges, Maria Rosa] UECE, Res Unit Complex &amp; Econ, Lisbon, Portugal; [Caiado, Jorge] CEMAPRE, REM Res Econ &amp; Math, Lisbon, Portugal</t>
  </si>
  <si>
    <t>Eduardo Mondlane University; Universidade de Lisboa; Universidade de Lisboa</t>
  </si>
  <si>
    <t>Borges, MR (corresponding author), Univ Lisbon, ISEG Lisbon Sch Econ &amp; Management, Lisbon, Portugal.;Borges, MR (corresponding author), CEMAPRE, REM Res Econ &amp; Math, Lisbon, Portugal.</t>
  </si>
  <si>
    <t>mrborges@iseg.ulisboa.pt</t>
  </si>
  <si>
    <t>Caiado, Jorge/D-4029-2009; Borges, Maria Rosa/C-7946-2009</t>
  </si>
  <si>
    <t>Caiado, Jorge/0000-0002-0405-1695; Borges, Maria Rosa/0000-0001-5340-471X</t>
  </si>
  <si>
    <t>national funds by FCT (Fundacao para a Ciencia e a Tecnologia) [UIDB/05069/2020]</t>
  </si>
  <si>
    <t>national funds by FCT (Fundacao para a Ciencia e a Tecnologia)(Fundacao para a Ciencia e a Tecnologia (FCT))</t>
  </si>
  <si>
    <t>Financial support from national funds by FCT (Fundacao para a Ciencia e a Tecnologia). This article is part of the Strategic Project: UIDB/05069/2020.</t>
  </si>
  <si>
    <t>JAN 14</t>
  </si>
  <si>
    <t>10.1080/00036846.2020.1808177</t>
  </si>
  <si>
    <t>PE3LX</t>
  </si>
  <si>
    <t>WOS:000562287900001</t>
  </si>
  <si>
    <t>Gautam, S; Khan, S; Mogre, P</t>
  </si>
  <si>
    <t>Gautam, Shuchi; Khan, Shebazbano; Mogre, Payal</t>
  </si>
  <si>
    <t>A Comparative Study on Traditional and Digital Payment Methods in India Mumbai</t>
  </si>
  <si>
    <t>BIOSCIENCE BIOTECHNOLOGY RESEARCH COMMUNICATIONS</t>
  </si>
  <si>
    <t>TRADITIONAL PAYMENTS; DIGITAIGITAL PAYMENTS; EDUCATIATION; INDIVIDUAL PERCEPTION (MUMBAI)</t>
  </si>
  <si>
    <t>After the demonetization people in the country faced cash crunch and this was the biggest opportunity for E wallet, digital payments systems and banks for promotion of cashless transactions or Digital payment. Also, the Government of India took the effort to promote cashless transactions by limiting cash transactions up to 2 lakhs, promoting BHIM, UPI and more use of credit and debit card transactions and direct benefit transfer to beneficiary's bank accounts. This study examines the Individual perception towards digital &amp; traditional payment methods.</t>
  </si>
  <si>
    <t>[Gautam, Shuchi; Khan, Shebazbano; Mogre, Payal] Univ Mumbai, Thakur Inst Management Studies &amp; Res, Mumbai, Maharashtra, India</t>
  </si>
  <si>
    <t>University of Mumbai</t>
  </si>
  <si>
    <t>Gautam, S (corresponding author), Univ Mumbai, Thakur Inst Management Studies &amp; Res, Mumbai, Maharashtra, India.</t>
  </si>
  <si>
    <t>SOC SCIENCE &amp; NATURE</t>
  </si>
  <si>
    <t>BHOPAL</t>
  </si>
  <si>
    <t>C-52 HOUSING BOARD COLONY, KOHE FIZA, BHOPAL, MADHYA PRADESH 462 001, INDIA</t>
  </si>
  <si>
    <t>0974-6455</t>
  </si>
  <si>
    <t>BIOSCI BIOTECH RES C</t>
  </si>
  <si>
    <t>Biosci. Biotechnol. Res. Commun.</t>
  </si>
  <si>
    <t>Biotechnology &amp; Applied Microbiology</t>
  </si>
  <si>
    <t>RN0WZ</t>
  </si>
  <si>
    <t>WOS:000640077800038</t>
  </si>
  <si>
    <t>Barendregt, W; Biorn-Hansen, A; Andersson, D</t>
  </si>
  <si>
    <t>Barendregt, Wolmet; Biorn-Hansen, Aksel; Andersson, David</t>
  </si>
  <si>
    <t>Users' Experiences with the Use of Transaction Data to Estimate Consumption-Based Emissions in a Carbon Calculator</t>
  </si>
  <si>
    <t>SUSTAINABILITY</t>
  </si>
  <si>
    <t>carbon footprint calculator; transaction data; consumption; trust</t>
  </si>
  <si>
    <t>INFORMATION; BEHAVIORS; FEEDBACK</t>
  </si>
  <si>
    <t>With global greenhouse gas (GHG) emissions ever increasing, we are currently seeing a renewed interest in carbon footprint calculators (or carbon calculators for short). While carbon calculators have traditionally calculated emissions based on user input about e.g., food, heating, and traveling, a new development in this area is the use of transaction data to also estimate emissions based on consumption. Such carbon calculators should be able to provide users with more accurate estimations, easier input possibilities, and an incentive to continue using them. In this paper, we present the results from a survey sent to the users of such a novel carbon calculator, called Svalna. Svalna offers users the possibility to connect their bank account. The transaction data are then coupled with Environmental Extended Multi Regional Input Output data (EE-MRIO) for Swedish conditions which are used to determine a continuous overview of the user's greenhouse gas emissions from consumption. The aim of the survey was to (a) understand whether people are willing to connect their bank account, (b) whether they trust the calculations of their emissions, and (c) whether they think the use of Svalna has an effect on their behaviour. Furthermore, we wanted to know how Svalna could be improved. While the results of the survey showed that many users were willing to connect their bank account, a rather large part of the users perceived safety risks in doing so. The users also showed an only average level of trust in the correctness of the estimated greenhouse gas emissions. A lack of trust was attributed to experiencing technical problems but also to not knowing how the emissions were calculated and because the calculator could not capture all details of the user's life. However, many users still indicated that the use of Svalna had helped them to initiate action to reduce their emissions. In order to improve Svalna, the users wanted to be able to provide more details, e.g., by scanning receipts and get better options for dealing with a shared economy. We conclude this paper by discussing some opportunities and challenges for the use of transaction data in carbon footprint calculators.</t>
  </si>
  <si>
    <t>[Barendregt, Wolmet] Eindhoven Univ Technol, Dept Ind Engn &amp; Innovat Sci, NL-5600 MB Eindhoven, Netherlands; [Biorn-Hansen, Aksel] KTH Royal Inst Technol, Dept Human Ctr Technol, S-10044 Stockholm, Sweden; [Andersson, David] Univ Gothenburg, Dept Psychol, S-41314 Gothenburg, Sweden</t>
  </si>
  <si>
    <t>Eindhoven University of Technology; Royal Institute of Technology; University of Gothenburg</t>
  </si>
  <si>
    <t>Barendregt, W (corresponding author), Eindhoven Univ Technol, Dept Ind Engn &amp; Innovat Sci, NL-5600 MB Eindhoven, Netherlands.</t>
  </si>
  <si>
    <t>w.barendregt@tue.nl; aksbio@kth.se; david.s.andersson@psy.gu.se</t>
  </si>
  <si>
    <t>Barenegt, Wolmet/0000-0003-0730-7286; Andersson, David/0000-0002-7359-8272; Biørn-Hansen, Aksel/0000-0002-1089-3389</t>
  </si>
  <si>
    <t>Mistra-The Swedish Foundation for Strategic Environmental Research; Irene Curie Fellowship</t>
  </si>
  <si>
    <t>This research is part of the programme Mistra Sustainable Consumption, funded by Mistra-The Swedish Foundation for Strategic Environmental Research. This research is also partly funded by the Irene Curie Fellowship granted to Wolmet Barendregt.</t>
  </si>
  <si>
    <t>ST ALBAN-ANLAGE 66, CH-4052 BASEL, SWITZERLAND</t>
  </si>
  <si>
    <t>2071-1050</t>
  </si>
  <si>
    <t>SUSTAINABILITY-BASEL</t>
  </si>
  <si>
    <t>Sustainability</t>
  </si>
  <si>
    <t>10.3390/su12187777</t>
  </si>
  <si>
    <t>Green &amp; Sustainable Science &amp; Technology; Environmental Sciences; Environmental Studies</t>
  </si>
  <si>
    <t>Science &amp; Technology - Other Topics; Environmental Sciences &amp; Ecology</t>
  </si>
  <si>
    <t>OK1DV</t>
  </si>
  <si>
    <t>WOS:000584392800001</t>
  </si>
  <si>
    <t>Birkenmaier, J.; Fu, Q.</t>
  </si>
  <si>
    <t>Does U.S. Household Financial Access Mediate the Relationship Between a Large Income Drop and Credit Record?</t>
  </si>
  <si>
    <t>JOURNAL OF CONSUMER POLICY</t>
  </si>
  <si>
    <t>Household financial access; Large income drop; Credit report; Credit record; Bank account</t>
  </si>
  <si>
    <t>SAVINGS ACCOUNTS; FOOD INSECURITY; INCLUSION</t>
  </si>
  <si>
    <t>Household financial access, in the form of savings, investments, credit, and others, can provide the means to smooth consumption and make on-time payments when large income drops occur. This study examined the model in which household financial access mediated the association between a large income drop and credit record in a national representative sample. Results indicate that household financial access was significantly associated with a large income drop after controlling for financial education, socialization, knowledge, and sociodemographic variables. Results suggest that household financial access may buffer the relationship. Practice and policy implications are included.</t>
  </si>
  <si>
    <t>[Birkenmaier, J.] St Louis Univ, Sch Social Work, Coll Publ Hlth &amp; Social Justice, 3550 Lindell Blvd, St Louis, MO 63103 USA; [Fu, Q.] St Louis Univ, Sch Publ Hlth, Coll Publ Hlth &amp; Social Justice, 3545 Lafayette Ave, St Louis, MO 63104 USA</t>
  </si>
  <si>
    <t>Birkenmaier, J (corresponding author), St Louis Univ, Sch Social Work, Coll Publ Hlth &amp; Social Justice, 3550 Lindell Blvd, St Louis, MO 63103 USA.</t>
  </si>
  <si>
    <t>Julie.Birkenmaier@slu.edu; John.Fu@slu.edu</t>
  </si>
  <si>
    <t>0168-7034</t>
  </si>
  <si>
    <t>1573-0700</t>
  </si>
  <si>
    <t>J CONSUM POLICY</t>
  </si>
  <si>
    <t>J. Consum. Policy</t>
  </si>
  <si>
    <t>10.1007/s10603-019-9407-6</t>
  </si>
  <si>
    <t>HX0VV</t>
  </si>
  <si>
    <t>WOS:000467109200005</t>
  </si>
  <si>
    <t>Serbu, R; Danciu, A</t>
  </si>
  <si>
    <t>Lucian Blaga Univ Sibiu, Fac Econ Sci</t>
  </si>
  <si>
    <t>Serbu, Razvan; Danciu, Aniela</t>
  </si>
  <si>
    <t>NEW SERVICES BROUGHT TO MARKET BY FINANCIAL INSTITUTION</t>
  </si>
  <si>
    <t>INDUSTRIAL REVOLUTIONS, FROM THE GLOBALIZATION AND POST-GLOBALIZATION PERSPECTIVE, VOL V: ECONOMIC INFORMATION TECHNOLOGY IN THE AVANT-GARDE OF CHANGE</t>
  </si>
  <si>
    <t>16th International Economic Conference - IECS 2009</t>
  </si>
  <si>
    <t>MAY 07-08, 2009</t>
  </si>
  <si>
    <t>Sibiu, ROMANIA</t>
  </si>
  <si>
    <t>financial institution; mobile payment; banking; communication technologies</t>
  </si>
  <si>
    <t>The research in the mobile payments area has to recognize how the degree of electronification of financial services and different financial systems influences mobile payment services markets. The mobile payment services may be supported or inhibited by the advancement of the structures of financial services markets within various countries. In bank-centric financial systems most entities have bank account, payment transactions are typically transfers between accounts, and banks have a strong mediator role. In market-centric financial systems, the proportion of bearer-held instruments (issued and traded through capital markets) is important, cash and cheques could be used frequently for payments, and banks have a less dominant role. The aim of this paper is to go over the main points findings from mobile payments research, and to suggest promising directions for future research. The information presented here analyzes the competitive environment on the level of business units, and relates the average profitability of the participants in this area.</t>
  </si>
  <si>
    <t>[Serbu, Razvan] Lucian Blaga Univ Sibiu, Sibiu, Romania</t>
  </si>
  <si>
    <t>Lucian Blaga University of Sibiu</t>
  </si>
  <si>
    <t>razvan.serbu@ulbsibiu.ro; anielaco@hotmail.com</t>
  </si>
  <si>
    <t>SERBU, Razvan/S-7990-2019</t>
  </si>
  <si>
    <t>LUCIAN BLAGA UNIV SIBIU, ROMANIA</t>
  </si>
  <si>
    <t>SIBIU</t>
  </si>
  <si>
    <t>FAC ECON SCI, STR CALEA DUMBRAVII NO 17, SIBIU, 00000, ROMANIA</t>
  </si>
  <si>
    <t>978-973-739-775-1</t>
  </si>
  <si>
    <t>BTS72</t>
  </si>
  <si>
    <t>WOS:000287984500028</t>
  </si>
  <si>
    <t>Lim, AS</t>
  </si>
  <si>
    <t>Lim, Andriew S.</t>
  </si>
  <si>
    <t>Inter-consortia battles in mobile payments standardisation</t>
  </si>
  <si>
    <t>ELECTRONIC COMMERCE RESEARCH AND APPLICATIONS</t>
  </si>
  <si>
    <t>consortia; mobile payments; standardisation; standards</t>
  </si>
  <si>
    <t>Mobile payments can be seen as an innovation service offered by key players from the financial and mobile communication industries. Many believe that standards ensure the success of mobile payments. However, actors with heterogeneous interests cause the complexity in standards-setting process and, therefore, the absence of standards for mobile payments. Various groups have been formed to generate standardised solutions for mobile payments. This paper describes and analyses the role of these groups and how they influence the development of mobile payments. Five consortia are explored in min-case analysis. They are the Mobile Payment Forum, the Mobey Forum, Simpay, PayCircle, and the European Committee for Banking Standards. The existence of these consortia has instigated inter-consortia competition. As a result, there are three types of mobile payments developments identified: bank-account based, telecommunications companies billing-based, and credit-card based. The implications of the developments are discussed with the help of interpretive theory. (C) 2007 Elsevier B.V. All rights reserved.</t>
  </si>
  <si>
    <t>[Lim, Andriew S.] Erasmus Univ, Rotterdam Sch Management, Dept Strategy &amp; Business Soc, NL-3000 DR Rotterdam, Netherlands</t>
  </si>
  <si>
    <t>Erasmus University Rotterdam - Excl Erasmus MC; Erasmus University Rotterdam</t>
  </si>
  <si>
    <t>Lim, AS (corresponding author), Nederlandsche Bank, Payments Policy Div, POB 98, Amsterdam, Netherlands.</t>
  </si>
  <si>
    <t>a.s.lim@dnb.nl</t>
  </si>
  <si>
    <t>Lim, Aniew/0009-0001-7064-8385</t>
  </si>
  <si>
    <t>ELSEVIER SCIENCE BV</t>
  </si>
  <si>
    <t>PO BOX 211, 1000 AE AMSTERDAM, NETHERLANDS</t>
  </si>
  <si>
    <t>1567-4223</t>
  </si>
  <si>
    <t>ELECTRON COMMER R A</t>
  </si>
  <si>
    <t>Electron. Commer. Res. Appl.</t>
  </si>
  <si>
    <t>10.1016/j.elerap.2007.05.003</t>
  </si>
  <si>
    <t>Business; Computer Science, Information Systems; Computer Science, Interdisciplinary Applications</t>
  </si>
  <si>
    <t>306BJ</t>
  </si>
  <si>
    <t>WOS:000256221500006</t>
  </si>
  <si>
    <t>Portela, C</t>
  </si>
  <si>
    <t>Portela, Clara</t>
  </si>
  <si>
    <t>EU Sanctions against Russia A Preliminary Assessment</t>
  </si>
  <si>
    <t>OSTEUROPA</t>
  </si>
  <si>
    <t>German</t>
  </si>
  <si>
    <t>ECONOMIC SANCTIONS; UN</t>
  </si>
  <si>
    <t>In response to Russia's annexation of Crimea, the EU adopted three packages of sanctions. It suspended negotiations and meetings with Russia's government, imposed entry bans and froze the bank accounts of individuals, and ordered sectoral economic sanctions. The decision required unanimity. Despite political differences over Russia policy, unity on the necessity of sanctions holds sway among the EU member states. But there is disagreement over the core question of whether the sanctions have been successful: if one judges success solely on the basis of the Crimea's status under international law and Moscow's foreign policy behaviour, then sanctions have fallen short of the mark.</t>
  </si>
  <si>
    <t>[Portela, Clara] Univ Valencia, Valencia, Spain</t>
  </si>
  <si>
    <t>University of Valencia</t>
  </si>
  <si>
    <t>Portela, C (corresponding author), Univ Valencia, Valencia, Spain.</t>
  </si>
  <si>
    <t>PORTELA, Clara/F-9081-2010</t>
  </si>
  <si>
    <t>PORTELA, Clara/0000-0001-9289-3245</t>
  </si>
  <si>
    <t>BWV-BERLINER WISSENSCHAFTS-VERLAG GMBH</t>
  </si>
  <si>
    <t>BEHAIMSTR 25-GIERKEZEILE 37, BERLIN, GERMANY</t>
  </si>
  <si>
    <t>0030-6428</t>
  </si>
  <si>
    <t>2509-3444</t>
  </si>
  <si>
    <t>Osteuropa</t>
  </si>
  <si>
    <t>10-12</t>
  </si>
  <si>
    <t>10.35998/oe-2021-0080</t>
  </si>
  <si>
    <t>Political Science</t>
  </si>
  <si>
    <t>0X8BR</t>
  </si>
  <si>
    <t>WOS:000789925500006</t>
  </si>
  <si>
    <t>Hati, SRH; Gayatri, G; Indraswari, KD</t>
  </si>
  <si>
    <t>Hati, Sri Rahayu Hijrah; Gayatri, Gita; Indraswari, Kenny Devita</t>
  </si>
  <si>
    <t>Migration (Hijra) to Islamic bank based on push-pull-mooring theory: a services marketing mix perspective</t>
  </si>
  <si>
    <t>JOURNAL OF ISLAMIC MARKETING</t>
  </si>
  <si>
    <t>Migration; Islamic bank; Service marketing mix; Mooring; Pull; Push</t>
  </si>
  <si>
    <t>SWITCHING BEHAVIOR; PHYSICAL SURROUNDINGS; CUSTOMERS; DETERMINANTS; ADOPTION; CRITERIA; LOYALTY; TRUST; SATISFACTION; PROVIDERS</t>
  </si>
  <si>
    <t>Purpose This study aims to examine the interactive effect of the push factor from the conventional bank, the pull factor from the Islamic bank and the internal mooring factor of the customers in influencing the switching behavior of two types of customer account holders, the conventional only and the mixed (conventional and Islamic bank) account holders, from the services marketing mix perspective. Design/methodology/approach This study applied an explanatory research design. The data were collected via an online survey from 1,171 Muslim participants; participants consisted of conventional only account holders, Islamic bank only account holders and mixed (conventional and Islamic bank) account holders. The data were mainly analyzed using structural equation modeling. Findings Based on the account, the results showed that the three types of customers differ significantly in terms of the effect of the push, pull and mooring factors. The study also showed that the mooring factor, which is internal to the customer, is the most significant factor that inhibits customers from migrating to Islamic banks. The effect was observed for both conventional customers and those who hold mixed accounts. Research limitations/implications The study was conducted via an online survey, which reduces the representativeness of the sample. In addition, most respondents were urban dwellers and well educated, which might not represent the banking behaviour of Indonesian Muslim customers in general. Practical implications The study implies that to attract the conventional only account holder, Islamic banks should first weaken the mooring factors (the internal characteristics of the customers) that inhibit customers from switching to an Islamic bank. Originality/value The main contribution of the study is that it simultaneously identifies the push, pull and mooring factors that have the most significant impacts on Muslim customers' switching behavior from a conventional to an Islamic bank.</t>
  </si>
  <si>
    <t>[Hati, Sri Rahayu Hijrah; Gayatri, Gita] Univ Indonesia, Fac Econ &amp; Business, Dept Management, Depok, Indonesia; [Indraswari, Kenny Devita] Univ Indonesia, Fac Econ &amp; Business, Dept Econ, Depok, Indonesia</t>
  </si>
  <si>
    <t>University of Indonesia; University of Indonesia</t>
  </si>
  <si>
    <t>Hati, SRH (corresponding author), Univ Indonesia, Fac Econ &amp; Business, Dept Management, Depok, Indonesia.</t>
  </si>
  <si>
    <t>sri.rahayu72@ui.ac.id; gita.gayatri@ui.ac.id; kennydevita@ui.ac.id</t>
  </si>
  <si>
    <t>Hati, Sri Rahayu Hijrah/B-9409-2018; Gayatri, Gita/HNQ-9119-2023</t>
  </si>
  <si>
    <t>Hati, Sri Rahayu Hijrah/0000-0003-2506-6981; Gayatri, Gita/0000-0001-5089-2164</t>
  </si>
  <si>
    <t>Islamic Bank Department at Indonesian Financial Services (Departemen Perbankan Syariah-Otoritas Jasa Keuangan Indonesia) - Islamic Bank Research Fellow Program 2016 [SPK-1/PB.131/BPK/RF-SWB/2016]</t>
  </si>
  <si>
    <t>Islamic Bank Department at Indonesian Financial Services (Departemen Perbankan Syariah-Otoritas Jasa Keuangan Indonesia) - Islamic Bank Research Fellow Program 2016</t>
  </si>
  <si>
    <t>This study was supported by the Islamic Bank Department at Indonesian Financial Services (Departemen Perbankan Syariah-Otoritas Jasa Keuangan Indonesia) - Islamic Bank Research Fellow Program 2016 (Contract no. SPK-1/PB.131/BPK/RF-SWB/2016). The information in this document reflects only the authors' views and the Indonesian Financial Services is not liable for any use that may be made of the information contained herein. Indonesian Financial Services: Thanks go to Aulia Fadly, Dwiyanto, Eko A. Irianto, Bambang Tri Hatmanto, Ulfa Maulidya and Greget Kalla Buana for their assistance with methodology and for comments that greatly improved the manuscript. The authors also thank our colleagues from Universitas Indonesia, Sri Daryanti and Hapsari Setyowadhani, for the data collection support.</t>
  </si>
  <si>
    <t>1759-0833</t>
  </si>
  <si>
    <t>1759-0841</t>
  </si>
  <si>
    <t>J ISLAMIC MARK</t>
  </si>
  <si>
    <t>J. Islamic Mark.</t>
  </si>
  <si>
    <t>NOV 2</t>
  </si>
  <si>
    <t>10.1108/JIMA-07-2019-0157</t>
  </si>
  <si>
    <t>JUL 2020</t>
  </si>
  <si>
    <t>WP6JO</t>
  </si>
  <si>
    <t>WOS:000554637700001</t>
  </si>
  <si>
    <t>Myeni, S; Makate, M; Mahonye, N</t>
  </si>
  <si>
    <t>Myeni, Siphesihle; Makate, Marshall; Mahonye, Nyasha</t>
  </si>
  <si>
    <t>Does mobile money promote financial inclusion in Eswatini?</t>
  </si>
  <si>
    <t>Financial inclusion; Mobile money; Propensity score matching; Eswatini</t>
  </si>
  <si>
    <t>REMITTANCES; HOUSEHOLDS; SERVICES; BEHAVIOR; ADOPTION; ACCESS</t>
  </si>
  <si>
    <t>Purpose Mobile money, a service permitting monetary value to be digitally stored in a mobile phone and transacted to others through text messaging, is increasingly becoming available in several African countries including Eswatini. This study examines the factors associated with mobile money usage and the extent to which mobile money accelerates financial inclusion in Eswatini. Design/methodology/approach Data were collected from the nationally representative FinScope Consumer Survey for Eswatini conducted in 2014. The authors use a quasi-experimental method in propensity score matching (PSM) with bootstrapped standard errors to alleviate the possibility of selection bias associated with mobile money use and bank account ownership. As a sensitivity check, the authors calculate the average treatment effect (ATE) using kernel-based matching methods, as well as estimate a multilevel model that accounts for the hierarchical structure of data. Findings The authors found that higher education, entrepreneurship, being female, improvement in work situation in the past year and living in urban area and in the Lubombo region all positively influence the probability to use mobile money. The results also show that individuals who use mobile money are 19% more likely to own a bank account at a formal financial institution with a higher probability estimate observed amongst rural residents. Originality/value This study examines whether mobile money accelerates financial inclusion in Eswatini. On analysing data from the 2014 FinScope Consumer Survey, the results show that mobile money does not seem to be accelerating the reach of financial services to those who are structurally excluded from the formal financial system and suggest the need for ongoing review of the financial inclusion strategies of the country to enhance access to financial services in underserved areas. Peer review The peer review history for this article is available at:</t>
  </si>
  <si>
    <t>[Myeni, Siphesihle; Mahonye, Nyasha] Univ Witwatersrand, Sch Econ &amp; Business Sci, Johannesburg, South Africa; [Makate, Marshall] Curtin Univ, Dept Hlth Econ &amp; Data Analyt, Perth, WA, Australia</t>
  </si>
  <si>
    <t>University of Witwatersrand; Curtin University</t>
  </si>
  <si>
    <t>Makate, M (corresponding author), Curtin Univ, Dept Hlth Econ &amp; Data Analyt, Perth, WA, Australia.</t>
  </si>
  <si>
    <t>siphesihlemy@gmail.com; marshall.makate@curtin.edu.au; nyasha.mahonye@wits.ac.za</t>
  </si>
  <si>
    <t>Mahonye, Nyasha/CAH-9984-2022; Makate, Marshall/M-9231-2016</t>
  </si>
  <si>
    <t>Mahonye, Nyasha/0000-0003-1585-4191; Makate, Marshall/0000-0002-2005-2970</t>
  </si>
  <si>
    <t>10.1108/IJSE-05-2019-0310</t>
  </si>
  <si>
    <t>MP2RY</t>
  </si>
  <si>
    <t>WOS:000538503600001</t>
  </si>
  <si>
    <t>Riley, E; Shonchoy, A</t>
  </si>
  <si>
    <t>Riley, Emma; Shonchoy, Abu S.</t>
  </si>
  <si>
    <t>Encouraging Digital Financial Technology Adoption during a Crisis: Experimental Evidence from Ghana</t>
  </si>
  <si>
    <t>ECONOMIC DEVELOPMENT AND CULTURAL CHANGE</t>
  </si>
  <si>
    <t>Can adoption of digital financial technologies during a crisis assist households with managing their finances? We randomly assigned 15,000 bank clients in Ghana to receive voice messages to their mobile phones encouraging the adoption of mobile banking services, a technology linking a bank account and mobile phone, during the early months of the COVID-19 pandemic. Using administrative data, we find that encouragement increased the monthly use of mobile banking services by 6.3 percentage points in the short term, triple the control group mean, with effects persisting 9 months after the start of the intervention. Those who received mobile banking encouragement were 2.4 percentage points (8%) more likely to make loan repayments on time and 2 percentage points (11%) more likely to have a bank loan 9 months later, suggesting mobile banking services assisted households with carrying out financial transactions during the crisis.</t>
  </si>
  <si>
    <t>[Riley, Emma] Univ Michigan, Ann Arbor, MI 48109 USA; [Shonchoy, Abu S.] Florida Int Univ, Miami, FL USA</t>
  </si>
  <si>
    <t>University of Michigan System; University of Michigan; State University System of Florida; Florida International University</t>
  </si>
  <si>
    <t>Riley, Emma/AHB-7347-2022; , Abu Syeid Shonchoy/AAM-6472-2021</t>
  </si>
  <si>
    <t>Riley, Emma/0000-0001-7644-8643;</t>
  </si>
  <si>
    <t>Christ Church Research Centre</t>
  </si>
  <si>
    <t>We thank the Christ Church Research Centre for generous funding of this project. We thank Abelardo de Anda Casa for excellent research assistance. We would like to thank Mahreen Mahmud and Nathan Lane for their feedback on the paper. This study was approved by the Oxford University Department of Economics Research Ethics Board (ECONCIA21-21-08) and is registered in the American Economic Association RCT Registry with the identifying number AEARCTR-0006275 (along with a preanalysis plan). This paper previously had the title A National Information Campaign Encouraging Financial Technology Use in Ghana. Data are provided through Dataverse at https://doi.org/10.7910/DVN/ZDVUK8. Contact the corresponding author, Emma Riley, at erileyg@ umich.edu.</t>
  </si>
  <si>
    <t>UNIV CHICAGO PRESS</t>
  </si>
  <si>
    <t>CHICAGO</t>
  </si>
  <si>
    <t>1427 E 60TH ST, CHICAGO, IL 60637-2954 USA</t>
  </si>
  <si>
    <t>0013-0079</t>
  </si>
  <si>
    <t>1539-2988</t>
  </si>
  <si>
    <t>ECON DEV CULT CHANGE</t>
  </si>
  <si>
    <t>Econ. Dev. Cult. Change</t>
  </si>
  <si>
    <t>JUL 1</t>
  </si>
  <si>
    <t>10.1086/732597</t>
  </si>
  <si>
    <t>JUL 2025</t>
  </si>
  <si>
    <t>Area Studies; Development Studies; Economics</t>
  </si>
  <si>
    <t>Area Studies; Development Studies; Business &amp; Economics</t>
  </si>
  <si>
    <t>4RD2A</t>
  </si>
  <si>
    <t>WOS:001497471800001</t>
  </si>
  <si>
    <t>Shahriar, AM; Shukla, A; Peranginangin, Y</t>
  </si>
  <si>
    <t>Shahriar, Abu Zafar M.; Shukla, Avanish; Peranginangin, Yessy</t>
  </si>
  <si>
    <t>Gender, society, and financial inclusion: Evidence from matrilineal and patriarchal societies</t>
  </si>
  <si>
    <t>PACIFIC-BASIN FINANCE JOURNAL</t>
  </si>
  <si>
    <t>Gender relations; Financial inclusion; Financial capability; Randomized controlled trial</t>
  </si>
  <si>
    <t>SAVINGS ACCOUNTS; FIELD EXPERIMENT; BANKING; WOMEN; LITERACY; ACCESS; EMPOWERMENT; CAPABILITY; SERVICES</t>
  </si>
  <si>
    <t>We study how societal gender norms shape women's access to and use of formal banking services. Using randomized controlled experiments in matrilineal and patriarchal communities, we offered unbanked women financial incentives to open either a conventional or mobile bank account. Women in matrilineal communities were more likely to open and use accounts, regardless of type. In patriarchal communities, where mobility is restricted, mobile accounts were more effective. Account ownership improved women's financial capability, with stronger impacts in matrilineal settings. Our findings highlight the importance of gender norms in shaping financial behavior and the potential of mobile banking in restrictive environments.</t>
  </si>
  <si>
    <t>[Shahriar, Abu Zafar M.] Monash Univ, Dept Banking &amp; Finance, Melbourne, Australia; [Shukla, Avanish] Univ South Pacific, Sch Business &amp; Management, Suva, Fiji; [Peranginangin, Yessy] Monash Univ, Banten, Indonesia</t>
  </si>
  <si>
    <t>Monash University; University of the South Pacific</t>
  </si>
  <si>
    <t>Shahriar, AM (corresponding author), Monash Univ, Dept Banking &amp; Finance, Melbourne, Australia.</t>
  </si>
  <si>
    <t>shahriar.abuzafar@monash.edu; avanish.shukla@usp.ac.fj; Yessy.Arnold@monash.edu</t>
  </si>
  <si>
    <t>Shukla, Avanish/KIG-0932-2024</t>
  </si>
  <si>
    <t>0927-538X</t>
  </si>
  <si>
    <t>1879-0585</t>
  </si>
  <si>
    <t>PAC-BASIN FINANC J</t>
  </si>
  <si>
    <t>Pac.-Basin Financ. J.</t>
  </si>
  <si>
    <t>10.1016/j.pacfin.2025.102931</t>
  </si>
  <si>
    <t>SEP 2025</t>
  </si>
  <si>
    <t>7ZM2I</t>
  </si>
  <si>
    <t>WOS:001583341100001</t>
  </si>
  <si>
    <t>Barinová, D; Pinter, V</t>
  </si>
  <si>
    <t>Mendel Univ Brno</t>
  </si>
  <si>
    <t>Barinova, Dagmar; Pinter, Vojtech</t>
  </si>
  <si>
    <t>The education level of financial literacy of student in the Moravian-Silesian region</t>
  </si>
  <si>
    <t>REGION IN THE DEVELOPMENT OF SOCIETY 2014</t>
  </si>
  <si>
    <t>International Scientific Conference on Region in the Development of Society</t>
  </si>
  <si>
    <t>OCT 23, 2014</t>
  </si>
  <si>
    <t>Brno, CZECH REPUBLIC</t>
  </si>
  <si>
    <t>Mendel Univ, Fac Reg Dev &amp; Int Studies,European Social Fund,European Union,Minist Educ Youth &amp; Sports,OP Educ Competitiveness</t>
  </si>
  <si>
    <t>education; financial literacy; questionnaire; student; funds</t>
  </si>
  <si>
    <t>This research monitors the level of knowledge of financial literacy at primary schools, high schools and universities of the Moravian-Silesian region. Research was focused on monitoring differences in financial literacy in individual degree programs. The statistical sample consists of a total of 525 questionnaires completed in the months of March and April 2014. 216 questionnaires was filled by six primary schools, 225 questionnaires represents three secondary schools and 84 questionnaires come from two universities (divided into economic and non-economic fields) in the Moravian-Silesian region. The questionnaire consists of general questions describing the basic student information (gender, age, school); through simple questions regarding explanations of terms (inflation, leasing, interest rate, APR, etc.) to questions concerning the subjective opinions of students (selection of the best possible solutions the situation; whether the student met with themes related to financial literacy in teaching, etc.). The questionnaire also monitored changes in assessing level of student's financial literacy at the beginning and end of the questionnaire. Another part is survey whether the student has a bank account and if he knows how many available funds he currently has. Although it is clear that universities had the best results, the questionnaire showed some surprising results from the ranks of primary and secondary schools (percentage of those who have their own bank account or whether they met in the classroom the topic of financial literacy). Overall results suggest that the financial literacy of students is relatively high in primary schools and it grows with other stages of learning. It is therefore questionable whether this education in childhood will have a positive impact on the pitfalls of the current financial market in everyday life.</t>
  </si>
  <si>
    <t>[Barinova, Dagmar; Pinter, Vojtech] Tech Univ Ostrava, Vysoka Skola Banska, Ekonomicka Fak, Sokolska Trida 33, Ostrava, Czech Republic</t>
  </si>
  <si>
    <t>Technical University of Ostrava</t>
  </si>
  <si>
    <t>Barinová, D (corresponding author), Tech Univ Ostrava, Vysoka Skola Banska, Ekonomicka Fak, Sokolska Trida 33, Ostrava, Czech Republic.</t>
  </si>
  <si>
    <t>dagmar.barinova@vsb.cz; vojtechpinter@seznam.cz</t>
  </si>
  <si>
    <t>Bařinová, Dagmar/ABD-7889-2021</t>
  </si>
  <si>
    <t>Bařinová, Dagmar/0000-0002-1801-035X</t>
  </si>
  <si>
    <t>MENDEL UNIV BRNO</t>
  </si>
  <si>
    <t>ZEMEDELSKA 1, BRNO, 613 00, CZECH REPUBLIC</t>
  </si>
  <si>
    <t>978-80-7509-139-0</t>
  </si>
  <si>
    <t>BE4DM</t>
  </si>
  <si>
    <t>WOS:000371585700002</t>
  </si>
  <si>
    <t>Giday, HG</t>
  </si>
  <si>
    <t>Giday, Haftu Girmay</t>
  </si>
  <si>
    <t>Financial inclusion and its demand-side determinants: Evidence from Ethiopia</t>
  </si>
  <si>
    <t>COGENT ECONOMICS &amp; FINANCE</t>
  </si>
  <si>
    <t>financial inclusion; demand-side determinants; probit; sample selection; account ownership; Ethiopia</t>
  </si>
  <si>
    <t>Financial inclusion is one of the development priorities of the Ethiopian Government. However, factors, which might affect it are not explored adequately with appropriate methods. To examine the relationship between financial inclusion and its demand-side determinants, we applied a simple probit model and two probit models with sample selection to the 2018/19 Ethiopia Socioeconomic Survey (ESS4). Our simple probit model estimation results show that male, older, non-Muslim, married, more educated, richest, mobile users or people who are aware of how to open a bank account are more likely to have a formal account than their counterparts. However, being from a rural area or from a larger household size reduces the likelihood of having an account. Results from the probit selection model show that rural residents, employed, richer people, or people who are out of labor force are more likely to use their account to save money than their counterparts. Furthermore, the third model shows that being non-Muslim, married, widowed, or poorer reduces the likelihood of account use than their counterparts. Thus, policies should target the most vulnerable groups of the society. Especially, rural households, women, the Muslim population, the poor, less educated people, and the young should be the focus of financial inclusion endeavors of the Government. Parallel to these policy measures, awareness of opening bank account and financial education programs should be promoted.</t>
  </si>
  <si>
    <t>haftugirts@gmail.com</t>
  </si>
  <si>
    <t>2332-2039</t>
  </si>
  <si>
    <t>COGENT ECON FINANC</t>
  </si>
  <si>
    <t>Cogent Econ. Financ.</t>
  </si>
  <si>
    <t>10.1080/23322039.2023.2186031</t>
  </si>
  <si>
    <t>9X7HH</t>
  </si>
  <si>
    <t>WOS:000949936700001</t>
  </si>
  <si>
    <t>Karim, MR; Hermsen, F; Chala, SA; De Perthuis, P; Mandal, A</t>
  </si>
  <si>
    <t>Karim, Md. Rezaul; Hermsen, Felix; Chala, Sisay Adugna; De Perthuis, Paola; Mandal, Avikarsha</t>
  </si>
  <si>
    <t>Scalable Semi-Supervised Graph Learning Techniques for Anti Money Laundering</t>
  </si>
  <si>
    <t>IEEE ACCESS</t>
  </si>
  <si>
    <t>Topology; Reliability; Fraud; Data models; Vectors; Synthetic data; Semisupervised learning; Anti-money laundering; machine learning on graphs; graph embedding</t>
  </si>
  <si>
    <t>Money laundering is the process by which criminals move large sums of illicit money to hidden locations and integrate them as legal funds through existing financial services. The United Nations (UN) estimates that 2 to 5% of global GDP, which is approximately 0.8 to 2.0 trillion dollars, is laundered globally every year. Therefore, accurately identifying such globally alarming activities is crucial for enforcing anti-money laundering (AML) measures. Numerous techniques have been proposed to detect money laundering from transaction graphs of money transfers between bank accounts by analysing the structural and behavioural dynamics of their corresponding dense subgraphs. However, these techniques often do not consider that money laundering usually involves high-volume flows of funds through chains of bank accounts. Moreover, most AML approaches either result in lower detection accuracy or incur higher computational costs, making them less reliable and suitable for real financial systems. Consequently, only a fraction of money laundering activities can be detected and prevented. In this paper, we propose an efficient approach to AML by employing semi-supervised graph learning techniques on a large-scale financial transactional graph in both pipeline settings (i.e., graph embedding models are first trained to generate node embeddings that are combined with additional topological graph features to train binary classifiers) and end-to-end settings (i.e., node classification is performed by training SkipGCN, FastGCN, and EvolveGCN without requiring separate classifiers) to identify nodes involved in potential money laundering activities. We evaluate our approach on four datasets: AMLSim, Elliptic, IBM AML, and SynthAML, with a view to scalability and practicality for real financial systems. Further, we provide local (e.g., how money is laundered between nodes) and global (e.g., what factors contribute to money laundering) explanations of the predictions by highlighting the predominant factors in money laundering cases and elucidating the mechanisms of illicit fund transfers between nodes to enhance the interpretability and transparency of the AML models. Experimental results suggest that our approach is scalable and effective at detecting money laundering from real and synthetic transaction graphs.</t>
  </si>
  <si>
    <t>[Karim, Md. Rezaul; Hermsen, Felix; Chala, Sisay Adugna] Rhein Westfal TH Aachen, Dept Informat Syst &amp; Databases, D-52074 Aachen, Germany; [Karim, Md. Rezaul; Hermsen, Felix; Mandal, Avikarsha] Fraunhofer FIT, Dept Data Sci &amp; Artificial Intelligence, D-53757 St Augustin, Germany; [Chala, Sisay Adugna] Ecole Normale Super ENS, F-75005 Paris, France; [De Perthuis, Paola] Cosmian, F-75008 Paris, France</t>
  </si>
  <si>
    <t>RWTH Aachen University; Fraunhofer Gesellschaft; Fraunhofer Germany; Fraunhofer Institute Center Schloss Birlinghoven; Universite PSL; Ecole Normale Superieure (ENS); Ecole Normale Superieure de Lyon (ENS de LYON)</t>
  </si>
  <si>
    <t>Karim, MR (corresponding author), Rhein Westfal TH Aachen, Dept Informat Syst &amp; Databases, D-52074 Aachen, Germany.;Karim, MR (corresponding author), Fraunhofer FIT, Dept Data Sci &amp; Artificial Intelligence, D-53757 St Augustin, Germany.</t>
  </si>
  <si>
    <t>rezaul.karim@rwth-aachen.de</t>
  </si>
  <si>
    <t>Agence Nationale de la Recherche (ANR) and the Bundesministerium fr Bildung und Forschung (BMBF)</t>
  </si>
  <si>
    <t>No Statement Available</t>
  </si>
  <si>
    <t>IEEE-INST ELECTRICAL ELECTRONICS ENGINEERS INC</t>
  </si>
  <si>
    <t>PISCATAWAY</t>
  </si>
  <si>
    <t>445 HOES LANE, PISCATAWAY, NJ 08855-4141 USA</t>
  </si>
  <si>
    <t>2169-3536</t>
  </si>
  <si>
    <t>IEEE Access</t>
  </si>
  <si>
    <t>10.1109/ACCESS.2024.3383784</t>
  </si>
  <si>
    <t>Computer Science, Information Systems; Engineering, Electrical &amp; Electronic; Telecommunications</t>
  </si>
  <si>
    <t>NQ1B3</t>
  </si>
  <si>
    <t>WOS:001201814900001</t>
  </si>
  <si>
    <t>Cole, S; Sampson, T; Zia, B</t>
  </si>
  <si>
    <t>Cole, Shawn; Sampson, Thomas; Zia, Bilal</t>
  </si>
  <si>
    <t>Prices or Knowledge? What Drives Demand for Financial Services in Emerging Markets?</t>
  </si>
  <si>
    <t>JOURNAL OF FINANCE</t>
  </si>
  <si>
    <t>RISK; SAVINGS; BANKING</t>
  </si>
  <si>
    <t>Financial development is critical for growth, but its microdeterminants are not well understood. We test leading theories of low demand for financial services in emerging markets, combining novel survey evidence from Indonesia and India with a field experiment. We find a strong correlation between financial literacy and behavior. However, a financial education program has modest effects, increasing demand for bank accounts only for those with limited education or financial literacy. In contrast, small subsidies greatly increase demand. A follow-up survey confirms these findings, demonstrating that newly opened accounts remain open and in use 2 years after the intervention.</t>
  </si>
  <si>
    <t>[Cole, Shawn] Harvard Univ, Sch Business, Cambridge, MA 02138 USA; World Bank, Washington, DC USA</t>
  </si>
  <si>
    <t>Harvard University; The World Bank</t>
  </si>
  <si>
    <t>Cole, S (corresponding author), Harvard Univ, Sch Business, Cambridge, MA 02138 USA.</t>
  </si>
  <si>
    <t>Sampson, Thomas/AAB-4352-2020</t>
  </si>
  <si>
    <t>Sampson, Thomas/0009-0006-2237-5497</t>
  </si>
  <si>
    <t>Economic and Social Research Council [ES/H02123X/1] Funding Source: researchfish; ESRC [ES/H02123X/1] Funding Source: UKRI</t>
  </si>
  <si>
    <t>Economic and Social Research Council(UK Research &amp; Innovation (UKRI)Economic &amp; Social Research Council (ESRC)); ESRC(UK Research &amp; Innovation (UKRI)Economic &amp; Social Research Council (ESRC))</t>
  </si>
  <si>
    <t>0022-1082</t>
  </si>
  <si>
    <t>1540-6261</t>
  </si>
  <si>
    <t>J FINANC</t>
  </si>
  <si>
    <t>J. Financ.</t>
  </si>
  <si>
    <t>10.1111/j.1540-6261.2011.01696.x</t>
  </si>
  <si>
    <t>858KY</t>
  </si>
  <si>
    <t>WOS:000297797200003</t>
  </si>
  <si>
    <t>Goodstein, RM; Rhine, SLW</t>
  </si>
  <si>
    <t>Goodstein, Ryan M.; Rhine, Sherrie L. W.</t>
  </si>
  <si>
    <t>The effects of bank and nonbank provider locations on household use of financial transaction services</t>
  </si>
  <si>
    <t>JOURNAL OF BANKING &amp; FINANCE</t>
  </si>
  <si>
    <t>Household finance; Financial decision-making; Banking industry; Alternative financial services providers</t>
  </si>
  <si>
    <t>FRINGE BANKING</t>
  </si>
  <si>
    <t>We examine the influence that geographic proximity to bank branches and nonbank financial providers has on use of financial transaction services among U.S. households. We specify a bivariate probit model of bank account ownership and nonbank transaction product use to reflect the joint nature of these choices, and estimate the model on a large, nationally representative dataset. Our results indicate that households with reasonable geographic access to bank branches are more likely to have a bank account and less likely to use nonbank transaction products. The influence of bank and nonbank provider locations is fairly modest overall, although effects are bigger for households that are more likely to be on the margin of bank account ownership. Even among such households, however, the effects of bank and nonbank provider locations on financial transaction services use are not as large as those associated with key household-level attributes, such as income, education, or race. Published by Elsevier B.V.</t>
  </si>
  <si>
    <t>[Goodstein, Ryan M.; Rhine, Sherrie L. W.] Fed Deposit Insurance Corp, Div Depositor &amp; Consumer Protect, Washington, DC 20429 USA</t>
  </si>
  <si>
    <t>Goodstein, RM (corresponding author), Fed Deposit Insurance Corp, Div Depositor &amp; Consumer Protect, Washington, DC 20429 USA.</t>
  </si>
  <si>
    <t>rgoodstein@fdic.gov; srhine@fdic.gov</t>
  </si>
  <si>
    <t>0378-4266</t>
  </si>
  <si>
    <t>1872-6372</t>
  </si>
  <si>
    <t>J BANK FINANC</t>
  </si>
  <si>
    <t>J. Bank Financ.</t>
  </si>
  <si>
    <t>10.1016/j.jbankfin.2017.01.016</t>
  </si>
  <si>
    <t>ES6AV</t>
  </si>
  <si>
    <t>WOS:000399629300007</t>
  </si>
  <si>
    <t>Chhatoi, BP</t>
  </si>
  <si>
    <t>Chhatoi, Biswajit Prasad</t>
  </si>
  <si>
    <t>Hurdle of financial inclusion: a pragmatic enquiry from slum-dwellers perspective</t>
  </si>
  <si>
    <t>PMJDY; financial inclusion; financial literacy; banking infrastructure; product awareness</t>
  </si>
  <si>
    <t>The current study examines the causes of the non-accessibility accounts by the beneficiaries. The respondents are the beneficiaries of PMDJY limited to the geographical scope of Rourkela city. Out of nine hundred seventeen scrutinised account holders who opened bank accounts before 2016, 220 account holders were targeted randomly as the respondents. By administrating a close-ended questionnaire, the causes of the non-accessibility of bank accounts have been collected. The interviews are conducted during the evening as the respondents are slum dwellers engaged in income-generating activities during the daytime. A 'Basic Savings Bank Deposit account' cannot ensure and enhance banking participation. The increased supply of banking facilities will gradually strengthen the demand and use of the facilities. To achieve complete financial inclusion and ensure active participation, the banks must enhance their banking infrastructure, product awareness, financial literacy, and technological literacy among the beneficiaries.</t>
  </si>
  <si>
    <t>[Chhatoi, Biswajit Prasad] Berhampur Univ, Dept Business Adm, Berhampur 760007, Odisha, India</t>
  </si>
  <si>
    <t>Berhampur University</t>
  </si>
  <si>
    <t>Chhatoi, BP (corresponding author), Berhampur Univ, Dept Business Adm, Berhampur 760007, Odisha, India.</t>
  </si>
  <si>
    <t>chhatoiprasad@gmail.com</t>
  </si>
  <si>
    <t>Chhatoi, Biswajit/AFI-1462-2022</t>
  </si>
  <si>
    <t>10.1504/IJICBM.2025.150428</t>
  </si>
  <si>
    <t>U7186</t>
  </si>
  <si>
    <t>WOS:001638880200004</t>
  </si>
  <si>
    <t>Francis, JC</t>
  </si>
  <si>
    <t>Francis, Jack Clark</t>
  </si>
  <si>
    <t>About Central Bank Digital Currencies (CBDCs)</t>
  </si>
  <si>
    <t>REVIEW OF PACIFIC BASIN FINANCIAL MARKETS AND POLICIES</t>
  </si>
  <si>
    <t>FedNow; asset and liability management (ALM); unbankable; privacy; cryptocurrency; digitize</t>
  </si>
  <si>
    <t>A Central Bank Digital Currency (CBDC) is a country's fiat currency that exists in a digital form. This digital currency becomes a liability on the balance sheet of a nation's central bank when it ceases to be a liability on the balance sheet of one of the nation's commercial banks and gets transferred to the central bank. Instead of printing paper money, the central bank can create CBDCs by opening electronic bank accounts at commercial banks that are backed by the full faith and credit of the nation's central bank. The goal of a CBDC is to provide the nation's government, businesses and consumers with a liquid and accessible currency that supplies privacy, transferability, convenience, and financial security. If CBDCs become highly popular, someday the world might operate with only one global CBDC.</t>
  </si>
  <si>
    <t>[Francis, Jack Clark] Baruch Coll, Dept Econ &amp; Finance, New York, NY 10010 USA</t>
  </si>
  <si>
    <t>City University of New York (CUNY) System; Baruch College (CUNY)</t>
  </si>
  <si>
    <t>Francis, JC (corresponding author), Baruch Coll, Dept Econ &amp; Finance, New York, NY 10010 USA.</t>
  </si>
  <si>
    <t>jack@jcfrancis.com</t>
  </si>
  <si>
    <t>0219-0915</t>
  </si>
  <si>
    <t>1793-6705</t>
  </si>
  <si>
    <t>REV PAC BASIN FINANC</t>
  </si>
  <si>
    <t>Rev. Pac. Basin Financ. Mark. Policies</t>
  </si>
  <si>
    <t>10.1142/S0219091523500285</t>
  </si>
  <si>
    <t>NOV 2023</t>
  </si>
  <si>
    <t>DU9Q6</t>
  </si>
  <si>
    <t>WOS:001101293700002</t>
  </si>
  <si>
    <t>Sinha, G; Nayak, BS</t>
  </si>
  <si>
    <t>Sinha, Geeta; Nayak, Bhabani Shankar</t>
  </si>
  <si>
    <t>Transforming Gender Relations through Digital Financial Inclusion in India</t>
  </si>
  <si>
    <t>JOURNAL OF ASIAN AND AFRICAN STUDIES</t>
  </si>
  <si>
    <t>Gender equality; digital financial inclusion; PMJDY; intersectionality; women; policy</t>
  </si>
  <si>
    <t>This article provides a brief overview of digital financial inclusion for marginalised and vulnerable populations, particularly women. The focus is on understanding the status and how digital financial inclusion for women is critical for achieving gender parity, their empowerment and overall gender equality. The article assesses the Pradhan Mantri Jan Dhan Yojana (PMJDY), which claims to promote financial inclusion and gender equality by extending and expanding affordable access to financial services such as bank accounts, remittances, credit, insurance and pensions. The framework of intersectionality is used to theorise digital financial inclusion and its implications for marginalised and vulnerable sections of society, followed by policy recommendations.</t>
  </si>
  <si>
    <t>[Sinha, Geeta] OP Jindal Global Univ, Jindal Sch Govt &amp; Publ Policy, Sonipat, India; [Nayak, Bhabani Shankar] London Metropolitan Univ, Guildhall Sch Business &amp; Law, London N7 8DB, England</t>
  </si>
  <si>
    <t>O.P. Jindal Global University; London Metropolitan University</t>
  </si>
  <si>
    <t>Nayak, BS (corresponding author), London Metropolitan Univ, Guildhall Sch Business &amp; Law, London N7 8DB, England.</t>
  </si>
  <si>
    <t>b.nayak@londonmet.ac.uk</t>
  </si>
  <si>
    <t>; Nayak, Bhabani Shankar/G-4662-2019</t>
  </si>
  <si>
    <t>Sinha, Geeta/0000-0003-3135-1279; Nayak, Bhabani Shankar/0000-0003-4927-0055</t>
  </si>
  <si>
    <t>0021-9096</t>
  </si>
  <si>
    <t>1745-2538</t>
  </si>
  <si>
    <t>J ASIAN AFR STUD</t>
  </si>
  <si>
    <t>J. Asian Afr. Stud.</t>
  </si>
  <si>
    <t>2024 DEC 8</t>
  </si>
  <si>
    <t>10.1177/00219096241300439</t>
  </si>
  <si>
    <t>O6P8Z</t>
  </si>
  <si>
    <t>WOS:001372332300001</t>
  </si>
  <si>
    <t>Pavlidis, G</t>
  </si>
  <si>
    <t>Pavlidis, George</t>
  </si>
  <si>
    <t>Financial information in the context of anti-money laundering Broadening the access of law enforcement and facilitating information exchanges</t>
  </si>
  <si>
    <t>JOURNAL OF MONEY LAUNDERING CONTROL</t>
  </si>
  <si>
    <t>Money laundering; Financial information; Financing of terrorism; Centralised bank account registers; Financial intelligence units; Financial investigations</t>
  </si>
  <si>
    <t>Purpose This paper aims to examine three important interrelated issues that arise in the context of financial investigations: the access of law enforcement agencies to centralised bank account registries that have been set up in several jurisdictions; the exchange of financial information between financial intelligence units (FIUs) that function in different jurisdictions; and the exchange of financial information between FIUs and law enforcement bodies. Through the adoption of Directive 2019/1153, the European Union (EU) has attempted to achieve a paradigm shift in these three areas, but many challenges remain, from the interconnection of registries to the implementation of adequate data protection safeguards. Design/methodology/approach This paper draws on primary sources of law, legal scholarship, reports and open source data to analyse the changes that Directive 2019/1153 has brought about in conducting financial investigations in the area of anti-money laundering (AML) and the counter-financing of terrorism (CFT). Findings The new Directive 2019/1153 constitutes an international model for broadening the access of law enforcement agencies to financial information and facilitating information exchanges between FIUs and law enforcement agencies. Nevertheless, many challenges have still to be addressed, such as the interconnection of centralised registries and the implementation of adequate safeguards. Originality/value This is a comprehensive study examining the new EU framework for access to financial information and information exchanges between FIUs and law enforcement agencies, which can be used as a model for international cooperation in the areas of AML/CFT.</t>
  </si>
  <si>
    <t>[Pavlidis, George] Neapolis Univ, Sch Law &amp; Social Sci, Paphos, Cyprus</t>
  </si>
  <si>
    <t>Pavlidis, G (corresponding author), Neapolis Univ, Sch Law &amp; Social Sci, Paphos, Cyprus.</t>
  </si>
  <si>
    <t>g.pavlidis@nup.ac.cy</t>
  </si>
  <si>
    <t>Pavlidis, Georgios/0000-0001-6311-3086</t>
  </si>
  <si>
    <t>1758-7808</t>
  </si>
  <si>
    <t>1368-5201</t>
  </si>
  <si>
    <t>J MONEY LAUND CONTRO</t>
  </si>
  <si>
    <t>J. Money Laund. Control</t>
  </si>
  <si>
    <t>10.1108/JMLC-10-2019-0081</t>
  </si>
  <si>
    <t>Criminology &amp; Penology</t>
  </si>
  <si>
    <t>LO4GJ</t>
  </si>
  <si>
    <t>WOS:000524815700001</t>
  </si>
  <si>
    <t>Hamid, FS; Loke, YJ; Chin, PN</t>
  </si>
  <si>
    <t>Hamid, Fazelina Sahul; Loke, Yiing Jia; Chin, Phaik Nie</t>
  </si>
  <si>
    <t>Determinants of financial resilience: insights from an emerging economy</t>
  </si>
  <si>
    <t>JOURNAL OF SOCIAL AND ECONOMIC DEVELOPMENT</t>
  </si>
  <si>
    <t>Financial resilience; Financial inclusion; Financial literacy; Malaysia</t>
  </si>
  <si>
    <t>The Organisation for Economic Co-operation and Development Financial Literacy Survey of 2018 response is used to study the impact of financial knowledge, financial inclusion, and socio-demographic characteristics on financial resilience. The measurement of financial resilience considers elements related to keeping control of money, taking care of expenditures, having a financial cushion, handling financial shortfall or stress, and having financial planning. Using a sample of 3395 individuals across Malaysia, we find that greater financial knowledge is associated with the probability of being financially resilient. Greater financial inclusion in terms of having more bank accounts and holding more financial products is linked to the probability of being financially resilient. We also find that financial resilience varies across certain socio-demographic characteristics. Implications of the findings are discussed.</t>
  </si>
  <si>
    <t>[Hamid, Fazelina Sahul] Univ West England, Bristol Business Sch, Bristol BS16 1QY, Glos, England; [Loke, Yiing Jia] Univ Sains Malaysia, Sch Social Sci, George Town 11800, Penang, Malaysia; [Chin, Phaik Nie] Univ Sains Malaysia, Grad Business Sch, George Town 11800, Penang, Malaysia</t>
  </si>
  <si>
    <t>University of West England; Universiti Sains Malaysia; Universiti Sains Malaysia</t>
  </si>
  <si>
    <t>Hamid, FS (corresponding author), Univ West England, Bristol Business Sch, Bristol BS16 1QY, Glos, England.</t>
  </si>
  <si>
    <t>Fazelina.SahulHamid@uwe.ac.uk; yjloke@usm.my; phaikniechin@usm.my</t>
  </si>
  <si>
    <t>Loke, Yiing/A-6698-2010; Chin, Phaik/N-7833-2017; Sahul Hamid, Fazelina/I-1908-2012</t>
  </si>
  <si>
    <t>Sahul Hamid, Fazelina/0000-0002-9140-9789</t>
  </si>
  <si>
    <t>SPRINGER INDIA</t>
  </si>
  <si>
    <t>7TH FLOOR, VIJAYA BUILDING, 17, BARAKHAMBA ROAD, NEW DELHI, 110 001, INDIA</t>
  </si>
  <si>
    <t>0972-5792</t>
  </si>
  <si>
    <t>2199-6873</t>
  </si>
  <si>
    <t>J SOCIAL EC DEV</t>
  </si>
  <si>
    <t>J. Social Econ. Dev.</t>
  </si>
  <si>
    <t>10.1007/s40847-023-00239-y</t>
  </si>
  <si>
    <t>MAR 2023</t>
  </si>
  <si>
    <t>X5IA4</t>
  </si>
  <si>
    <t>WOS:000943155800001</t>
  </si>
  <si>
    <t>Reddy, GA; Nema, S; Polepeddi, J</t>
  </si>
  <si>
    <t>Reddy, Gopi Anil; Nema, Shreyansh; Polepeddi, Jyothi</t>
  </si>
  <si>
    <t>Does insurance literacy shape adolescents' purchase intention? quasi-experimental evidence from India</t>
  </si>
  <si>
    <t>Financial literacy; financial behavior; insurance literacy; insurance adoption; adolescents; A21; D14; G52; G53; I20</t>
  </si>
  <si>
    <t>SAVINGS BEHAVIOR EVIDENCE; FINANCIAL LITERACY; HEALTH-INSURANCE; EDUCATION; DEMAND; BARRIERS; MARKET; WEALTH; IMPACT</t>
  </si>
  <si>
    <t>Despite growing recognition that insurance literacy is an integral yet distinct component of financial literacy, evidence of its effectiveness remains limited. We examine the impact of a targeted insurance literacy programme on adolescents' insurance purchase intention through a quasi-experiment in Telangana, India. Our findings show that the programme increases purchase intention by 23.4%. This effect remains consistent across gender, household income, caste, area of residence, bank account ownership, and mathematics grade in matriculation, highlighting the programme's broad applicability. These results underscore the potential of insurance literacy programmes as a scalable solution to address low insurance adoption in developing economies.</t>
  </si>
  <si>
    <t>[Reddy, Gopi Anil; Nema, Shreyansh; Polepeddi, Jyothi] Univ Hyderabad, Sch Management Studies, Hyderabad, India</t>
  </si>
  <si>
    <t>University of Hyderabad</t>
  </si>
  <si>
    <t>Reddy, GA (corresponding author), Univ Hyderabad, Sch Management Studies, Hyderabad 500046, India.</t>
  </si>
  <si>
    <t>19mbph17@uohyd.ac.in</t>
  </si>
  <si>
    <t>Nema, Shreyansh/MXL-7897-2025; Reddy, Gopi Anil/PCS-5796-2025</t>
  </si>
  <si>
    <t>Nema, Shreyansh/0000-0002-8558-007X; Reddy, Gopi Anil/0009-0003-2229-445X</t>
  </si>
  <si>
    <t>Telangana Social Welfare Residential Educational Institutions Society, Government of Telangana</t>
  </si>
  <si>
    <t>We thank Prof. Vijaya Bhaskar Marisetty from the Indian Institute of Management Visakhapatnam and Prof. Pattusamy Murugan from the University of Hyderabad for reviewing our paper and offering valuable suggestions that significantly enhanced the quality of this work. We also thank Dr. Nirupa Gadapa, Joint Secretary, Telangana Social Welfare Residential Educational Institutions Society, Government of Telangana, for her support in facilitating the smooth execution of our research.</t>
  </si>
  <si>
    <t>2025 SEP 17</t>
  </si>
  <si>
    <t>10.1080/00036846.2025.2558236</t>
  </si>
  <si>
    <t>7IO1R</t>
  </si>
  <si>
    <t>WOS:001571863800001</t>
  </si>
  <si>
    <t>Uchenna, E; Evans, OS; Stephen, O</t>
  </si>
  <si>
    <t>Uchenna, Efobi; Evans, Osabuohien S.; Stephen, Oluwatobi</t>
  </si>
  <si>
    <t>One Dollar, One Bank Account: Remittance and Bank Breadth in Nigeria</t>
  </si>
  <si>
    <t>JOURNAL OF INTERNATIONAL MIGRATION AND INTEGRATION</t>
  </si>
  <si>
    <t>Bank breadth; Cash flow; Financial development; Financial institutions; Households; Remittance</t>
  </si>
  <si>
    <t>This study examined remittance and bank breadth in Nigeria, using data from the 2011 World Bank Households Survey for the African migration project in Nigeria. The results-based on logistic regression technique reveal - that remittance has an inverse relationship with bank breadth. The reason put forward is that recipients prefer to hold foreign exchange from remittance and they do not increase their demand for banking services. One of the key implications of the findings is the need for commercial banks to go beyond mere serving as liaison for remittance but incorporating elements of advisory services to the customers, especially those that frequently receive remittance, on how they can best utilize such fund for productive activities.</t>
  </si>
  <si>
    <t>[Uchenna, Efobi; Evans, Osabuohien S.; Stephen, Oluwatobi] Covenant Univ, Ota, Nigeria; [Evans, Osabuohien S.] German Dev Inst, Bonn, Germany</t>
  </si>
  <si>
    <t>Covenant University; Deutsches Institut Entwicklungspolitik (DIE)</t>
  </si>
  <si>
    <t>Uchenna, E (corresponding author), Covenant Univ, Ota, Nigeria.</t>
  </si>
  <si>
    <t>uche.efobi@covenantuniversity.edu.ng; stephen.osabuohien@covenantuniversity.edu.ng; stephen.oluwatobi@covenantuniversity.edu.ng</t>
  </si>
  <si>
    <t>Oluwatobi, Stephen/M-8014-2013; Efobi, Uchenna/JDW-6616-2023</t>
  </si>
  <si>
    <t>Oluwatobi, Stephen/0000-0002-7077-6045;</t>
  </si>
  <si>
    <t>OIKOS</t>
  </si>
  <si>
    <t>We are grateful to Yi Huang, Shamika Ravi, and Kim Wilson, as well as session participants at the OIKOS Young Scholars Economics Academy, 2013, where the first draft of this paper was presented. We also appreciate the financial support from OIKOS to attend the academy. The constructive comments from the reviewers are also acknowledged.</t>
  </si>
  <si>
    <t>1488-3473</t>
  </si>
  <si>
    <t>1874-6365</t>
  </si>
  <si>
    <t>J INT MIGR INTEGR</t>
  </si>
  <si>
    <t>J. Int. Migr. Integr.</t>
  </si>
  <si>
    <t>10.1007/s12134-014-0358-0</t>
  </si>
  <si>
    <t>Demography</t>
  </si>
  <si>
    <t>CN3OI</t>
  </si>
  <si>
    <t>WOS:000358335800017</t>
  </si>
  <si>
    <t>Neville, K</t>
  </si>
  <si>
    <t>Nagle, T</t>
  </si>
  <si>
    <t>Neville, Karen</t>
  </si>
  <si>
    <t>Drivers and Challenges for Biometrics in the Financial Services</t>
  </si>
  <si>
    <t>PROCEEDINGS OF THE 6TH EUROPEAN CONFERENCE ON INFORMATION MANAGEMENT AND EVALUATION</t>
  </si>
  <si>
    <t>6th European Conference on Information Management and Evaluation (ECIME)</t>
  </si>
  <si>
    <t>SEP 13-14, 2012</t>
  </si>
  <si>
    <t>Univ Coll Cork, Cork, IRELAND</t>
  </si>
  <si>
    <t>Univ Coll Cork</t>
  </si>
  <si>
    <t>biometrics; financial services; banks; regulation</t>
  </si>
  <si>
    <t>Mobile banking and biometrics are currently making profound changes to the Financial Services landscape. Anyone with access to a cell phone has a place to keep his or her savings without needing a traditional bank account. The Mobile payment value chain has various roles, all of which need to be addressed and managed. There is a potential for mobile operators, security technology organizations can target FS organizations and provide both the technical solution, business experience and collaborative forum necessary to solve barriers for banks such as security (biometric identity assurance), regulations/standards (collaborative forum) and partnerships. This opportunity for mobile payments has already been verified through preliminary analysis by blue chip FS organisations. Additionally there is the potential of piggybacking on the national ID in emerging markets to allow payments functionality. This would allow poorer countries without a FS infrastructure capability to leapfrog to financial inclusion. As The New York Times Magazine noted in a recent cover story, last year migrants across the globe sent home $300 billion. The potential of tapping this market by Financial Services and Mobile operators is enormous. In addition to the risk of an un-standardised market, banks are at risk of not facilitating such a market in developing countries from new competitors siphoning potential customers. Therefore the remittance and unbanked markets are where m-Banking will be world-changing. The objective of this study is two-pronged: it is both to determine and highlight the potential of Biometrics for the Financial Services market</t>
  </si>
  <si>
    <t>[Neville, Karen] Natl Univ Ireland Univ Coll Cork, Cork, Ireland</t>
  </si>
  <si>
    <t>KarenNeville@UCC.ie</t>
  </si>
  <si>
    <t>ACAD CONFERENCES LTD</t>
  </si>
  <si>
    <t>NR READING</t>
  </si>
  <si>
    <t>CURTIS FARM, KIDMORE END, NR READING, RG4 9AY, ENGLAND</t>
  </si>
  <si>
    <t>978-1-908272-66-9</t>
  </si>
  <si>
    <t>Information Science &amp; Library Science; Management</t>
  </si>
  <si>
    <t>Information Science &amp; Library Science; Business &amp; Economics</t>
  </si>
  <si>
    <t>BFV66</t>
  </si>
  <si>
    <t>WOS:000321564000026</t>
  </si>
  <si>
    <t>Ahmadisheykhsarmast, S; Sonmez, R</t>
  </si>
  <si>
    <t>Ahmadisheykhsarmast, Salar; Sonmez, Rifat</t>
  </si>
  <si>
    <t>A smart contract system for security of payment of construction contracts</t>
  </si>
  <si>
    <t>AUTOMATION IN CONSTRUCTION</t>
  </si>
  <si>
    <t>Blockchain technologies; Smart contracts; Project bank accounts; Security of payment; Construction contracts</t>
  </si>
  <si>
    <t>BLOCKCHAIN TECHNOLOGY; MODELS</t>
  </si>
  <si>
    <t>Timely payment of project participants is crucial for successful completion of construction projects, however the construction industry worldwide suffers from poor payment practices. The existing research studied the reasons and the consequences of the payment problem, but very few studies proposed methods for eliminating the problem. In this paper a novel smart contract payment security system named SMTSEC is presented for eliminating or reducing payment issues in the construction sector. The SMTSEC ensures security of payment of construction contracts through an automated computerized protocol that runs on a decentralized blockchain. The potential contributions and limitations of the proposed SMTSEC are studied through a real construction project. The main contribution of the SMTSEC is that it provides a new method for timely and transparent payment of construction projects by guaranteeing security of payment for works under construction without requiring administrative costs and burdens of trusted intermediaries such as lawyers or banks.</t>
  </si>
  <si>
    <t>[Ahmadisheykhsarmast, Salar; Sonmez, Rifat] Middle East Tech Univ, Dept Civil Engn, TR-06531 Ankara, Turkey</t>
  </si>
  <si>
    <t>Middle East Technical University</t>
  </si>
  <si>
    <t>Sonmez, R (corresponding author), Middle East Tech Univ, Dept Civil Engn, TR-06531 Ankara, Turkey.</t>
  </si>
  <si>
    <t>rsonmez@metu.edu.tr</t>
  </si>
  <si>
    <t>; Sonmez, Rifat/AAQ-4963-2020</t>
  </si>
  <si>
    <t>Ahmadisheykhsarmast, Salar/0000-0002-6173-0555; Sonmez, Rifat/0000-0001-6163-3264</t>
  </si>
  <si>
    <t>0926-5805</t>
  </si>
  <si>
    <t>1872-7891</t>
  </si>
  <si>
    <t>AUTOMAT CONSTR</t>
  </si>
  <si>
    <t>Autom. Constr.</t>
  </si>
  <si>
    <t>10.1016/j.autcon.2020.103401</t>
  </si>
  <si>
    <t>Construction &amp; Building Technology; Engineering, Civil</t>
  </si>
  <si>
    <t>Construction &amp; Building Technology; Engineering</t>
  </si>
  <si>
    <t>OY3ME</t>
  </si>
  <si>
    <t>WOS:000594153000002</t>
  </si>
  <si>
    <t>Despard, MR; Friedline, T; Martin-West, S</t>
  </si>
  <si>
    <t>Despard, Mathieu R.; Friedline, Terri; Martin-West, Stacia</t>
  </si>
  <si>
    <t>Why Do Households Lack Emergency Savings? The Role of Financial Capability</t>
  </si>
  <si>
    <t>Emergency savings; Household saving; Financial capability; Financial knowledge financial literacy; Economic constraint; Financial inclusion; Asset ownership; Bank account ownership; Savings accounts</t>
  </si>
  <si>
    <t>TAX-TIME SAVINGS; INCOME; KNOWLEDGE; EDUCATION; LITERACY; ACCOUNTS; BANKING; HARDSHIP; BEHAVIOR; WEALTH</t>
  </si>
  <si>
    <t>Many U.S. households have insufficient savings to cope with income losses, expenditure shocks, and other financial emergencies, yet little research evidence explains why. Guided by Sherraden (2013) model of financial capability, we expand on prior research that examines the role of financial knowledge by incorporating additional factors and testing income interactions to explain a greater proportion of variance concerning whether or not households have money set aside for emergencies. We analyzed data from the 2009, 2012, 2015, and 2018 National Financial Capability Surveys and found that subjective financial knowledge, financial confidence, and savings account ownership, but not objective financial knowledge, were significant and consistent predictors of having an emergency fund. Savings account ownership was the strongest predictor, accounting for an increase in the probability of having an emergency fund of 25% to 29% across study years. Adding homeownership and ability to cover expenses to the models increased the proportion of variance explained by an average of 29%. Strategies to promote emergency savings should be multifaceted and include help from financial educators and counselors to create greater financial slack as well as programs and policies to increase access to short-term savings opportunities and incentives.</t>
  </si>
  <si>
    <t>[Despard, Mathieu R.] Univ North Carolina Greensboro, Dept Social Work, POB 26170, Greensboro, NC 27402 USA; [Friedline, Terri] Univ Michigan, Sch Social Work, 1080 S Univ Ave, Ann Arbor, MI 48109 USA; [Martin-West, Stacia] Univ Tennessee, Coll Social Work, 193 Polk Ave,Suite E Room 270, Nashville, TN 37210 USA</t>
  </si>
  <si>
    <t>University of North Carolina; University of North Carolina Greensboro; University of Michigan System; University of Michigan; University of Tennessee System; University of Tennessee Knoxville</t>
  </si>
  <si>
    <t>Despard, MR (corresponding author), Univ North Carolina Greensboro, Dept Social Work, POB 26170, Greensboro, NC 27402 USA.</t>
  </si>
  <si>
    <t>mdespard@uncg.edu</t>
  </si>
  <si>
    <t>Despard, Mathieu/0000-0001-7590-7908</t>
  </si>
  <si>
    <t>10.1007/s10834-020-09679-8</t>
  </si>
  <si>
    <t>MZ0BN</t>
  </si>
  <si>
    <t>Green Submitted, Bronze</t>
  </si>
  <si>
    <t>WOS:000534197200001</t>
  </si>
  <si>
    <t>Olaleye, SA; Sanusi, IT; Oyelere, SS</t>
  </si>
  <si>
    <t>Olaleye, Sunday Adewale; Sanusi, Ismaila Temitayo; Oyelere, Solomon Sunday</t>
  </si>
  <si>
    <t>Improving performance, security and mobile money users' experience: a study of service design</t>
  </si>
  <si>
    <t>INTERNATIONAL JOURNAL OF MOBILE COMMUNICATIONS</t>
  </si>
  <si>
    <t>mobile money; user experience; user satisfaction; service design</t>
  </si>
  <si>
    <t>ACCEPTANCE; INTENTION; SATISFACTION; TECHNOLOGY; MODEL; ADOPTION; QUALITY</t>
  </si>
  <si>
    <t>Mobile technologies have changed the way people interact with their surroundings. Despite the growth of mobile money in Africa, especially in Kenya, Nigeria as a frontier market is lacking behind. Most Nigerians are far from experiencing a cashless economy, and about two-fifths of Nigerians have bank accounts, while four-fifths of Nigerians are ignorant of mobile money services. Quantitative methodology was employed in the study with a focus on mobile money users. The study administered a survey as a hard copy to the community that comprises students and workers in Nigeria with (n = 151) participants. The study combined performance expectancy, effort expectancy users experience, and security to predict mobile money users' satisfaction, while performance expectancy is the highest predictor of user's satisfaction. The insight from this study suggests to mobile money managers strategies to optimise the mobile money platform to enhance the mobile money users' experience and satisfaction.</t>
  </si>
  <si>
    <t>[Olaleye, Sunday Adewale] JAMK Univ Appl Sci, Sch Business, Rajakatu 35, Jyvaskyla 40100, Finland; [Sanusi, Ismaila Temitayo] Univ Eastern, Sch Comp, Kuopio, Finland; [Oyelere, Solomon Sunday] Lulea Univ Technol, Dept Comp Sci Elect &amp; Space Engn, SE-93187 Skelleftea, Sweden</t>
  </si>
  <si>
    <t>Jyvaskyla University of Applied Sciences; University of Eastern Finland; Lulea University of Technology</t>
  </si>
  <si>
    <t>Olaleye, SA (corresponding author), JAMK Univ Appl Sci, Sch Business, Rajakatu 35, Jyvaskyla 40100, Finland.</t>
  </si>
  <si>
    <t>sunday.olaleye@jamk.fi; ismaila.sanusi@uef.fi; solomon.oyelere@ltu.se</t>
  </si>
  <si>
    <t>Olaleye, Sunday Adewale/AAH-2285-2019; Oyelere, Solomon Sunday/AAE-7541-2020; Sanusi, Ismaila Temitayo/AAE-6972-2020</t>
  </si>
  <si>
    <t>Olaleye, Sunday Adewale/0000-0002-0266-3989; Oyelere, Solomon Sunday/0000-0001-9895-6796;</t>
  </si>
  <si>
    <t>1470-949X</t>
  </si>
  <si>
    <t>1741-5217</t>
  </si>
  <si>
    <t>INT J MOB COMMUN</t>
  </si>
  <si>
    <t>Int. J. Mob. Commun.</t>
  </si>
  <si>
    <t>10.1504/IJMC.2023.129973</t>
  </si>
  <si>
    <t>Communication</t>
  </si>
  <si>
    <t>C9JD3</t>
  </si>
  <si>
    <t>WOS:000964988600001</t>
  </si>
  <si>
    <t>Obaid, M; Bayram, Z; Saleh, M</t>
  </si>
  <si>
    <t>Obaid, Mahmoud; Bayram, Zeki; Saleh, Murad</t>
  </si>
  <si>
    <t>Instant Secure Mobile Payment Scheme</t>
  </si>
  <si>
    <t>Mobile payment; M-payment method; real-time payment; M-commerce</t>
  </si>
  <si>
    <t>COOPERATION</t>
  </si>
  <si>
    <t>We propose a new communication network that directly connects banks to their customers through mobile phones. Our scheme aims to fulfill the needs of all stakeholders, achieve a high level of security without sacrificing efficiency, and have a reliable infrastructure. It will eliminate new expenses, minimize the overheads on all stakeholders, and result in time savings in implementation and marketing. All bank services will become readily available anytime and anywhere; besides, it will enable individuals, point of sale, service provider, or any other entity to access their own bank accounts. It will also relieve users from the need to carry cash or credit cards since they will be able to pay bills, transfer money, receive payments, or make reservations by using their mobile phone in real time.</t>
  </si>
  <si>
    <t>[Obaid, Mahmoud; Bayram, Zeki] Eastern Mediterranean Univ, Dept Comp Engn, TR-99628 Famagusta, Turkey; [Saleh, Murad] Cyprus Int Univ, Dept MIS, TR-0392671 Lefkosa, Turkey</t>
  </si>
  <si>
    <t>Eastern Mediterranean University; Cyprus International University</t>
  </si>
  <si>
    <t>Obaid, M (corresponding author), Eastern Mediterranean Univ, Dept Comp Engn, TR-99628 Famagusta, Turkey.</t>
  </si>
  <si>
    <t>eng.mobaid@gmail.com</t>
  </si>
  <si>
    <t>Bayram, Zeki/L-1858-2013; Obaid, Murad/KBQ-1716-2024; Obaid, Mahmoud/AAW-4441-2020</t>
  </si>
  <si>
    <t>Obaid, Mahmoud/0000-0003-1980-2778</t>
  </si>
  <si>
    <t>10.1109/ACCESS.2019.2913430</t>
  </si>
  <si>
    <t>HX7TP</t>
  </si>
  <si>
    <t>WOS:000467609200001</t>
  </si>
  <si>
    <t>Javan, SL; Bafghi, AG</t>
  </si>
  <si>
    <t>Javan, Samaneh Layeghian; Bafghi, Abbas Ghaemi</t>
  </si>
  <si>
    <t>An anonymous mobile payment protocol based on SWPP</t>
  </si>
  <si>
    <t>ELECTRONIC COMMERCE RESEARCH</t>
  </si>
  <si>
    <t>Mobile payment; Anonymity; Privacy; Efficiency; Security</t>
  </si>
  <si>
    <t>SECURITY; AUTHENTICATION; SCHEME; IMPLEMENTATION; PRIVACY; PKI</t>
  </si>
  <si>
    <t>Regarding the development of mobile technology, it seems essential to have a payment protocol which provides the required security features along with an acceptable efficiency in mobile environment. This article introduces an anonymous payment protocol based on secure wireless payment protocol (SWPP). Contrary to SWPP, this protocol manages to provide anonymity and privacy of the customer. This protocol uses a blindly signed pseudo digital certificate and anonymous bank account in order to protect the customer's identity. The proposed protocol was simulated, and then its security and efficiency features were compared to those of other protocols. The comparison proves that this protocol covers all security features required by a secure payment system. Moreover, it is more efficient than other protocols.</t>
  </si>
  <si>
    <t>[Javan, Samaneh Layeghian] Tarbiat Modares Univ, Dept Informat Technol, Tehran, Iran; [Bafghi, Abbas Ghaemi] Ferdowsi Univ Mashhad, Dept Comp Engn, Mashhad, Iran</t>
  </si>
  <si>
    <t>Tarbiat Modares University; Ferdowsi University Mashhad</t>
  </si>
  <si>
    <t>Javan, SL (corresponding author), Tarbiat Modares Univ, Dept Informat Technol, Tehran, Iran.</t>
  </si>
  <si>
    <t>samaneh.layeghian@gmail.com; ghaemib@um.ac.ir</t>
  </si>
  <si>
    <t>Ghaemi Bafghi, Abbas/JBA-3601-2023</t>
  </si>
  <si>
    <t>1389-5753</t>
  </si>
  <si>
    <t>1572-9362</t>
  </si>
  <si>
    <t>ELECTRON COMMER RES</t>
  </si>
  <si>
    <t>Electron. Commer. Res.</t>
  </si>
  <si>
    <t>10.1007/s10660-014-9151-6</t>
  </si>
  <si>
    <t>CA1OH</t>
  </si>
  <si>
    <t>WOS:000348681300007</t>
  </si>
  <si>
    <t>Nam, Y; Sherraden, MS; Huang, J; Lee, EJ; Keovisai, M</t>
  </si>
  <si>
    <t>Nam, Yunju; Sherraden, Margaret S.; Huang, Jin; Lee, Eun Jeong; Keovisai, Mary</t>
  </si>
  <si>
    <t>Financial Capability and Economic Security among Low-Income Older Asian Immigrants: Lessons from Qualitative Interviews</t>
  </si>
  <si>
    <t>SOCIAL WORK</t>
  </si>
  <si>
    <t>economic well-being; elderly people; financial access; financial literacy; immigrants</t>
  </si>
  <si>
    <t>ASSET OWNERSHIP; ANGELES</t>
  </si>
  <si>
    <t>This article examines financial capability among low-income older Asian immigrants, using data from in-depth interviews with 13 participants in a subsidized employment program in Los Angeles. Overall, respondents present a portrait of economic insecurity. Qualitative analyses indicate that respondents perceived little need to improve their financial knowledge and management skills because they had no money to manage. Most respondents lacked either financial knowledge or financial management skills, which resulted in substantial financial losses among some respondents. Mistrust of financial institutions (Banks are always vampires) and other financial barriers (for example, lack of credit history) blocked respondents' access to formal financial services. In some cases, ethnic financial resources (for example, ethnic banks) reduced the effects of such barriers. There is evidence that respondent financial knowledge and management skills may improve after opening a bank account, suggesting a potential role for financial access in expanding financial capability. Findings demonstrate the importance of financial capability-building interventions for low-income older Asian immigrants. Social workers should be equipped with financial literacy and in-depth understanding of financial needs, perceptions, values, behaviors, and resources of this population.</t>
  </si>
  <si>
    <t>[Nam, Yunju; Keovisai, Mary] Univ Buffalo State Univ New York, Sch Social &amp; Work, 685 Baldy Hall, Buffalo, NY 14260 USA; [Sherraden, Margaret S.] Washington Univ, Brown Sch Social Work, St Louis, MO 63110 USA; [Huang, Jin] St Louis Univ, Coll Publ Hlth &amp; Social Justice, Sch Social Work, St Louis, MO 63103 USA; [Lee, Eun Jeong] Natl Asian Pacific Ctr Aging, Senior Community Serv Employment Program, Seattle, WA USA</t>
  </si>
  <si>
    <t>State University of New York (SUNY) System; University at Buffalo, SUNY; Washington University (WUSTL); Saint Louis University</t>
  </si>
  <si>
    <t>Nam, Y (corresponding author), Univ Buffalo State Univ New York, Sch Social &amp; Work, 685 Baldy Hall, Buffalo, NY 14260 USA.</t>
  </si>
  <si>
    <t>yunjunam@buffalo.edu</t>
  </si>
  <si>
    <t>Nam, Yunju/0000-0001-8280-8414</t>
  </si>
  <si>
    <t>0037-8046</t>
  </si>
  <si>
    <t>1545-6846</t>
  </si>
  <si>
    <t>SOC WORK</t>
  </si>
  <si>
    <t>Soc. Work</t>
  </si>
  <si>
    <t>10.1093/sw/swz015</t>
  </si>
  <si>
    <t>JH8YM</t>
  </si>
  <si>
    <t>WOS:000493054000006</t>
  </si>
  <si>
    <t>Nguyen, TTH; Le, HM; Hoi, LQ; Pham, HT</t>
  </si>
  <si>
    <t>Nguyen, Thu Thi Hoai; Le, Hung Manh; Hoi, Le Quoc; Pham, Hang Thu</t>
  </si>
  <si>
    <t>Impact of internal remittance on households' use of bank services: evidence from Vietnam</t>
  </si>
  <si>
    <t>JOURNAL OF ECONOMICS FINANCE AND ADMINISTRATIVE SCIENCE</t>
  </si>
  <si>
    <t>Internal remittance; Bank services; Financial inclusion; Migration network; 2SLS; Vietnam</t>
  </si>
  <si>
    <t>FINANCIAL INCLUSION; MIGRATION</t>
  </si>
  <si>
    <t>Purpose - This study estimates impact of remittances from internal migration on households' use of bank services in Vietnam. Design/methodology/approach - This study uses data from the Vietnam Household Living Standards Survey and the two-stage least squares method (2SLS). Findings - The results show that receiving internal remittance increases households' probability of having bank accounts and using card services. However, these impacts are different between rural and urban areas. Research limitations/implications - The results of this study reveal the useful role of internal remittance in increasing the probability of households using bank services, thereby enhancing financial inclusion in Vietnam. Originality/value - Different from the previous studies, the purpose of this paper is to analyse the impact of internal remittance on the use of bank services in Vietnam at the household level. This paper targets internal migration because it is the main type of migration in Vietnam. Besides, to the best of the authors' knowledge, this research is the first one that compares the role of internal remittance on households' use of bank services in rural and urban areas in Vietnam.</t>
  </si>
  <si>
    <t>[Nguyen, Thu Thi Hoai; Pham, Hang Thu] Vietnam Banking Acad, Hanoi, Vietnam; [Le, Hung Manh] Trade Union Univ, Hanoi, Vietnam; [Hoi, Le Quoc] Natl Econ Univ, Hanoi, Vietnam</t>
  </si>
  <si>
    <t>Vietnam Academy of Finance; National Economics University - Vietnam</t>
  </si>
  <si>
    <t>Le, HM (corresponding author), Trade Union Univ, Hanoi, Vietnam.</t>
  </si>
  <si>
    <t>hunglm@dhcd.edu.vn</t>
  </si>
  <si>
    <t>; Le, Manh-Hung/AAK-9114-2020; PHAM, HANG/KCY-9776-2024; Thủy, Nguyễn/HGF-0172-2022</t>
  </si>
  <si>
    <t>Le, Quoc Hoi/0000-0003-4599-1322; Pham, Hang/0000-0002-0571-7292;</t>
  </si>
  <si>
    <t>2077-1886</t>
  </si>
  <si>
    <t>2218-0648</t>
  </si>
  <si>
    <t>J ECON FINANC ADM SC</t>
  </si>
  <si>
    <t>J. Econ. Financ. Adm. Sci.</t>
  </si>
  <si>
    <t>10.1108/JEFAS-05-2021-0074</t>
  </si>
  <si>
    <t>9G4CE</t>
  </si>
  <si>
    <t>WOS:000938101900009</t>
  </si>
  <si>
    <t>S</t>
  </si>
  <si>
    <t>Gorla, D; Pugliese, R</t>
  </si>
  <si>
    <t>Hutter, D; Muller, G; Stephan, W; Ullmann, M</t>
  </si>
  <si>
    <t>Enforcing security policies via types</t>
  </si>
  <si>
    <t>SECURITY IN PERVASIVE COMPUTING</t>
  </si>
  <si>
    <t>Article; Proceedings Paper</t>
  </si>
  <si>
    <t>1st International Conference on Security in Pervasive Computing</t>
  </si>
  <si>
    <t>MAR 12-14, 2003</t>
  </si>
  <si>
    <t>Boppard, GERMANY</t>
  </si>
  <si>
    <t>Deutsch Forsch Zentrum Kunstliche Intelligenz GmbH,Bundesamt Sicherheit Informat Tech</t>
  </si>
  <si>
    <t>Security is a key issue for distributed systems/applications with code mobility, like, e.g., e-commerce and on-line bank transactions. In a scenario with code mobility, traditional solutions based on cryptography cannot deal with all security issues and additional mechanisms are necessary. In this paper, we present a flexible and expressive type system for security for a calculus of distributed and mobile processes. The type system has been designed to supply real systems security features, like the assignment of different privileges to users over different data/resources. Type soundness is guaranteed by using a combination of static and dynamic checks, thus enforcing specific security policies on the use of resources. The usefulness of our approach is shown by modeling the simplified behaviour of a bank account management system.</t>
  </si>
  <si>
    <t>Univ Florence, Dipartimento Sistemi &amp; Informat, I-50121 Florence, Italy</t>
  </si>
  <si>
    <t>University of Florence</t>
  </si>
  <si>
    <t>Gorla, D (corresponding author), Univ Florence, Dipartimento Sistemi &amp; Informat, I-50121 Florence, Italy.</t>
  </si>
  <si>
    <t>gorla@dsi.unifi.it; pugliese@dsi.unifi.it</t>
  </si>
  <si>
    <t>Pugliese, Rosario/J-3685-2012; GORLA, DANIELE/E-5911-2017</t>
  </si>
  <si>
    <t>Pugliese, Rosario/0000-0002-1419-1405; GORLA, DANIELE/0000-0001-8859-9844</t>
  </si>
  <si>
    <t>SPRINGER-VERLAG BERLIN</t>
  </si>
  <si>
    <t>HEIDELBERGER PLATZ 3, D-14197 BERLIN, GERMANY</t>
  </si>
  <si>
    <t>3-540-20887-9</t>
  </si>
  <si>
    <t>Computer Science, Hardware &amp; Architecture; Computer Science, Theory &amp; Methods</t>
  </si>
  <si>
    <t>Conference Proceedings Citation Index - Science (CPCI-S); Science Citation Index Expanded (SCI-EXPANDED)</t>
  </si>
  <si>
    <t>BY93Q</t>
  </si>
  <si>
    <t>WOS:000189499200010</t>
  </si>
  <si>
    <t>Klein, SMA; Polzin, F</t>
  </si>
  <si>
    <t>Klein, Sophie Maria Anneke; Polzin, Friedemann</t>
  </si>
  <si>
    <t>Greening the retail banking industry: Evidence from German bank account consumers</t>
  </si>
  <si>
    <t>Sustainable banking product adoption; Self-efficacy; Willingness to pay; Consumer behaviour; Banking market segments</t>
  </si>
  <si>
    <t>BEHAVIORAL REASONING THEORY; SELF-EFFICACY; MEDIATION ANALYSIS; INTENTIONS; LITERACY; ADOPTION; SERVICES; ATTITUDE; FINANCE; VALUES</t>
  </si>
  <si>
    <t>While investor behaviour in relation to sustainable finance products has recently received scholarly attention, consumer adoption of these products remains poorly understood. This study investigates the reasoning behind adopting sustainable bank accounts at the household level using a quantitative approach with a nationally representative sample of 1501 consumers in Germany. The most important determinant for adopting these accounts was sustainable finance self-efficacy - in other words, the perceived impact that the consumer can make by using the product. Other significant determinants include the consumers' willingness to pay a premium for the sustainability characteristic. Sustainable values, trust in bank in provider, and financial literacy are less relevant drivers of adoption. The study identified five distinct consumer clusters with different levels of adoption to generate more targeted industry and policy responses due to limited uptake. The results highlight the need for product providers and policymakers to raise awareness of the impact of private finances on sustainability in order to accelerate the adoption of sustainable banking products.</t>
  </si>
  <si>
    <t>[Klein, Sophie Maria Anneke; Polzin, Friedemann] Univ Utrecht, Sch Econ USE, Kriekenpitpl 21-22, NL-3584 EC Utrecht, Netherlands; [Klein, Sophie Maria Anneke] Univ Utrecht, Copernicus Inst Sustainable Dev, Princetonlaan 8a, NL-3584 CB Utrecht, Netherlands</t>
  </si>
  <si>
    <t>Utrecht University; Utrecht University</t>
  </si>
  <si>
    <t>Polzin, F (corresponding author), Univ Utrecht, Sch Econ USE, Kriekenpitpl 21-22, NL-3584 EC Utrecht, Netherlands.</t>
  </si>
  <si>
    <t>s.m.a.klein@uu.nl; f.h.j.polzin@uu.nl</t>
  </si>
  <si>
    <t>Polzin, Friedemann/AAA-7566-2019</t>
  </si>
  <si>
    <t>Polzin, Friedemann/0000-0002-9768-8694</t>
  </si>
  <si>
    <t>ING DiBa Bank Germany, Frankfurt am Main</t>
  </si>
  <si>
    <t>The the data collection was financially supported by ING DiBa Bank Germany, Frankfurt am Main.</t>
  </si>
  <si>
    <t>A</t>
  </si>
  <si>
    <t>10.1016/j.irfa.2025.104326</t>
  </si>
  <si>
    <t>3EU5E</t>
  </si>
  <si>
    <t>WOS:001498627700006</t>
  </si>
  <si>
    <t>Shy, O</t>
  </si>
  <si>
    <t>Shy, Oz</t>
  </si>
  <si>
    <t>Account-to-Account Electronic Money Transfers: Recent Developments in the United States</t>
  </si>
  <si>
    <t>REVIEW OF NETWORK ECONOMICS</t>
  </si>
  <si>
    <t>account-to-account money transfers; person-to-person money transfers; online banking; mobile banking; payment networks</t>
  </si>
  <si>
    <t>ADOPTION</t>
  </si>
  <si>
    <t>This paper reviews recent developments in online and mobile banking in the United States that provide bank account holders with low-cost interfaces to manage account-to-account electronic money transfers. The paper analyzes the emerging decentralized market in which A2A money transfers are becoming available in the United States and compares it to the A2A market in other countries. The paper constructs analytical examples to explain and evaluate the structure of the emerging U.S. market and discusses possible policy actions that may enhance the use of A2A money transfers in the United States.</t>
  </si>
  <si>
    <t>2194-5993</t>
  </si>
  <si>
    <t>1446-9022</t>
  </si>
  <si>
    <t>REV NETW ECON</t>
  </si>
  <si>
    <t>Rev. Netw. Econ.</t>
  </si>
  <si>
    <t>056NV</t>
  </si>
  <si>
    <t>WOS:000312498200003</t>
  </si>
  <si>
    <t>Elliott, K; Coopamootoo, K; Curran, E; Ezhilchelvan, P; Finnigan, S; Horsfall, D; Ma, ZC; Ng, M; Spiliotopoulos, T; Wu, H; Van Moorsel, A</t>
  </si>
  <si>
    <t>Elliott, Karen; Coopamootoo, Kovila; Curran, Edward; Ezhilchelvan, Paul; Finnigan, Samantha; Horsfall, Dave; Ma, Zhichao; Ng, Magdalene; Spiliotopoulos, Tasos; Wu, Han; Van Moorsel, Aad</t>
  </si>
  <si>
    <t>Know Your Customer: Balancing innovation and regulation for financial inclusion</t>
  </si>
  <si>
    <t>DATA &amp; POLICY</t>
  </si>
  <si>
    <t>decentralized identifier; digital identity; financial inclusion; know your customer; selective disclosure; self-sovereign identity; verifiable credentials</t>
  </si>
  <si>
    <t>IDENTITY; PRIVACY</t>
  </si>
  <si>
    <t>Financial inclusion depends on providing adjusted services for citizens with disclosed vulnerabilities. At the same time, the financial industry needs to adhere to a strict regulatory framework, which is often in conflict with the desire for inclusive, adaptive, and privacy-preserving services. In this article we study how this tension impacts the deployment of privacy-sensitive technologies aimed at financial inclusion. We conduct a qualitative study with banking experts to understand their perspectives on service development for financial inclusion. We build and demonstrate a prototype solution based on open source decentralized identifiers and verifiable credentials software and report on feedback from the banking experts on this system. The technology is promising thanks to its selective disclosure of vulnerabilities to the full control of the individual. This supports GDPR requirements, but at the same time, there is a clear tension between introducing these technologies and fulfilling other regulatory requirements, particularly with respect to Know Your Customer. We consider the policy implications stemming from these tensions and provide guidelines for the further design of related technologies.</t>
  </si>
  <si>
    <t>[Coopamootoo, Kovila] Newcastle Univ, Newcastle Univ Business Sch, Newcastle Upon Tyne NE1 7RU, England; [Coopamootoo, Kovila] Kings Coll London, Dept Informat, London WC2R 2LS, England; [Curran, Edward] Atom Bank, Durham DH1 5TS, England; [Ezhilchelvan, Paul; Ma, Zhichao; Wu, Han] Newcastle Univ, Sch Comp, Newcastle Upon Tyne NE1 7RU, England; [Finnigan, Samantha; Horsfall, Dave] Newcastle Univ, Digital Inst, Newcastle Upon Tyne NE1 7RU, England; [Ng, Magdalene] Westminster Univ, Social Sci, London W1W 6XH, England; [Van Moorsel, Aad] Univ Birmingham, Sch Comp Sci, Birmingham B15 2TT, England</t>
  </si>
  <si>
    <t>Newcastle University - UK; University of London; King's College London; Newcastle University - UK; Newcastle University - UK; University of Westminster; University of Birmingham</t>
  </si>
  <si>
    <t>Van Moorsel, A (corresponding author), Univ Birmingham, Sch Comp Sci, Birmingham B15 2TT, England.</t>
  </si>
  <si>
    <t>a.vanmoorsel@bham.ac.uk</t>
  </si>
  <si>
    <t>Elliott, Karen/N-1788-2018; Spiliotopoulos, Tasos/K-5142-2012; Ma, Zhichao/N-3312-2017</t>
  </si>
  <si>
    <t>Elliott, Karen/0000-0002-2455-0475; Spiliotopoulos, Tasos/0000-0002-9573-8360;</t>
  </si>
  <si>
    <t>Bill and Melinda Gates Foundation (Alan Turing Institute); Atom Bank - Innovate UK [KTP011059]; Durham University - Innovate UK [KTP011059]; Newcastle University - Innovate UK [KTP011059]; UKRI EPSRC [EP/R033595]; EPSRC [EP/R033595/1] Funding Source: UKRI</t>
  </si>
  <si>
    <t>Bill and Melinda Gates Foundation (Alan Turing Institute); Atom Bank - Innovate UK; Durham University - Innovate UK(Durham University); Newcastle University - Innovate UK(Newcastle University - UK); UKRI EPSRC(UK Research &amp; Innovation (UKRI)Engineering &amp; Physical Sciences Research Council (EPSRC)); EPSRC(UK Research &amp; Innovation (UKRI)Engineering &amp; Physical Sciences Research Council (EPSRC))</t>
  </si>
  <si>
    <t>This research was supported by a grant from the Bill and Melinda Gates Foundation (through The Alan Turing Institute) for Finclusion; the Knowledge Transfer Partnership between Atom Bank, Durham University and Newcastle University, funded by Innovate UK under grant Ref. KTP011059; and the UKRI EPSRC grant for FinTrust, No. EP/R033595.</t>
  </si>
  <si>
    <t>CAMBRIDGE UNIV PRESS</t>
  </si>
  <si>
    <t>EDINBURGH BLDG, SHAFTESBURY RD, CB2 8RU CAMBRIDGE, ENGLAND</t>
  </si>
  <si>
    <t>2632-3249</t>
  </si>
  <si>
    <t>DATA POLICY</t>
  </si>
  <si>
    <t>Data Policy</t>
  </si>
  <si>
    <t>e34</t>
  </si>
  <si>
    <t>10.1017/dap.2022.23</t>
  </si>
  <si>
    <t>Public Administration</t>
  </si>
  <si>
    <t>5V1JB</t>
  </si>
  <si>
    <t>WOS:000876991800001</t>
  </si>
  <si>
    <t>Padgett, ES</t>
  </si>
  <si>
    <t>Padgett, Esra Soraya</t>
  </si>
  <si>
    <t>Trust in the Trustless: Chronotopes of Currency in Adult Industry Crypto</t>
  </si>
  <si>
    <t>ECONOMIC ANTHROPOLOGY</t>
  </si>
  <si>
    <t>chronotope; cryptocurrency; sex work; trust; trustlessness</t>
  </si>
  <si>
    <t>Disillusioned by decades of financial discrimination, from the closing of bank accounts to banning by payment processors and exclusion from mortgages, LLCs, and lines of credit, sex workers find themselves in need of an alternative means of transaction. One possible alternative is cryptocurrency, where a shared sense of distrust in financial institutions has created an alliance between two industries seeking financial autonomy and a way around financial exclusion. For many blockchain developers, the goal is trustlessness: the ability of a financial system to operate free of actors whose actions cannot be foreseen or controlled. However, even the sex workers implementing blockchain technology remain skeptical of trustlessness, particularly any system's or application's ability to sustain autonomy from the economic regulations that have impacted their livelihood. Building on ethnographic data, the article explores the analytic utility of trust for understanding the contradictions that inhere in illiberal economies and offers the conceptual framework of chronotopes of currency, an approach to monetary circulation that considers temporal and spatial scalability.</t>
  </si>
  <si>
    <t>[Padgett, Esra Soraya] CUNY, Grad Ctr, Dept Anthropol, New York, NY 10017 USA; [Padgett, Esra Soraya] Wenner Gren Fdn, New York, NY 10017 USA</t>
  </si>
  <si>
    <t>City University of New York (CUNY) System</t>
  </si>
  <si>
    <t>Padgett, ES (corresponding author), CUNY, Grad Ctr, Dept Anthropol, New York, NY 10017 USA.;Padgett, ES (corresponding author), Wenner Gren Fdn, New York, NY 10017 USA.</t>
  </si>
  <si>
    <t>esrapadgett@gmail.com</t>
  </si>
  <si>
    <t>National Science Foundation [2048350]</t>
  </si>
  <si>
    <t>National Science Foundation(National Science Foundation (NSF))</t>
  </si>
  <si>
    <t>This work was supported by National Science Foundation, 2048350.</t>
  </si>
  <si>
    <t>111 RIVER ST, HOBOKEN, NJ 07030 USA</t>
  </si>
  <si>
    <t>2330-4847</t>
  </si>
  <si>
    <t>ECON ANTHROPOL</t>
  </si>
  <si>
    <t>Econ. Anthropol.</t>
  </si>
  <si>
    <t>2025 DEC 22</t>
  </si>
  <si>
    <t>10.1002/sea2.70022</t>
  </si>
  <si>
    <t>Anthropology</t>
  </si>
  <si>
    <t>AC0IK</t>
  </si>
  <si>
    <t>WOS:001644550200001</t>
  </si>
  <si>
    <t>Barcellos, SH; Zamarro, G</t>
  </si>
  <si>
    <t>Barcellos, Silvia Helena; Zamarro, Gema</t>
  </si>
  <si>
    <t>Unbanked status and use of alternative financial services among minority populations</t>
  </si>
  <si>
    <t>JOURNAL OF PENSION ECONOMICS &amp; FINANCE</t>
  </si>
  <si>
    <t>Alternative financial services; minorities; unbanked; underbanked</t>
  </si>
  <si>
    <t>LITERACY; IMPACT</t>
  </si>
  <si>
    <t>A large number of Americans do not have bank accounts (the 'unbanked') or rely on costly alternative financial services (AFS) such as payday loans (the 'underbanked'), with implications for wealth accumulation and retirement preparedness. Using primary data, we document large racial/ethnic differences in unbanked and in frequent AFS usage rates. We study the role of socio-economic status (SES), financial literacy, trust in financial institutions, networks, and time preferences in explaining these gaps. While these variables explain a large fraction of the white-minority gaps in unbanked status the same is not true for gaps in AFS use. A Blinder-Oaxaca decomposition confirms these patterns: gaps in unbanked status are mostly explained by differences in endowments across groups, for AFS gaps differences in returns to endowments have the largest explanatory power. Our findings suggest that, while related, unbanked and underbanked are distinct concepts with different underlying causes that may require different policy responses.</t>
  </si>
  <si>
    <t>[Barcellos, Silvia Helena; Zamarro, Gema] Univ Southern Calif, Dana &amp; David Dornsife Coll Letters Arts &amp; Sci, CESR, 635 Downey Way, Los Angeles, CA 90089 USA; [Zamarro, Gema] Univ Arkansas, Coll Educ &amp; Hlth Profess, Dept Educ Reform, 219B Grad Educ Bldg, Fayetteville, AR 72701 USA</t>
  </si>
  <si>
    <t>University of Southern California; University of Arkansas System; University of Arkansas Fayetteville</t>
  </si>
  <si>
    <t>Barcellos, SH (corresponding author), Univ Southern Calif, Dana &amp; David Dornsife Coll Letters Arts &amp; Sci, CESR, 635 Downey Way, Los Angeles, CA 90089 USA.</t>
  </si>
  <si>
    <t>sbarcell@usc.edu</t>
  </si>
  <si>
    <t>NIA funded through the Roybal Center for Financial Decision Making [5P30AG024962]; NIA [K01AG050811]</t>
  </si>
  <si>
    <t>NIA funded through the Roybal Center for Financial Decision Making; NIA(United States Department of Health &amp; Human ServicesNational Institutes of Health (NIH) - USANIH National Institute on Aging (NIA))</t>
  </si>
  <si>
    <t>The research reported herein was pursuant to a seed grant from the NIA funded through the Roybal Center for Financial Decision Making, Grant No. 5P30AG024962. Barcellos thankfully acknowledges funding from NIA grant K01AG050811. We also thank conference participants at the JPEF workshop and an anonymous referee for all their comments. All errors are our own.</t>
  </si>
  <si>
    <t>1474-7472</t>
  </si>
  <si>
    <t>1475-3022</t>
  </si>
  <si>
    <t>J PENSION ECON FINAN</t>
  </si>
  <si>
    <t>J. Pension Econ. Financ.</t>
  </si>
  <si>
    <t>PII S1474747219000052</t>
  </si>
  <si>
    <t>10.1017/S1474747219000052</t>
  </si>
  <si>
    <t>UL6YT</t>
  </si>
  <si>
    <t>WOS:000692795100005</t>
  </si>
  <si>
    <t>Jukan, MK; Okicic, J; Oruc, N</t>
  </si>
  <si>
    <t>Kozarevic, E; Okicic, J</t>
  </si>
  <si>
    <t>Jukan, Meldina Kokorovic; Okicic, Jasmina; Oruc, Nermin</t>
  </si>
  <si>
    <t>EVALUATING THE IMPACT OF INTERNAL REMITTANCES ON FINANCIAL INCLUSION-EVIDENCE FROM BOSNIA AND HERZEGOVINA</t>
  </si>
  <si>
    <t>5TH INTERNATIONAL SCIENTIFIC CONFERENCE ECONOMY OF INTEGRATION (ICEI 2017): THE ROLE OF ECONOMIC THOUGHT IN MODERN ENVIRONMENT</t>
  </si>
  <si>
    <t>International Scientific Conference Economy of Integration</t>
  </si>
  <si>
    <t>5th International Scientific Conference on Economy of Integration (ICEI)</t>
  </si>
  <si>
    <t>DEC 07-09, 2017</t>
  </si>
  <si>
    <t>Tuzla, BOSNIA &amp; HERCEG</t>
  </si>
  <si>
    <t>Univ Tuzla, Fac Econ,Efos,Ekonomski Fakultet Podgorica,Univ Mariboru,EBSCO HOST,Josip Juraj Strossmayer Univ Osijek, Fac Econ,Fac Econ &amp; Business,Fac Banking Finance &amp; Insurance, Belgrade Banking Acad,Fac Econ Podgorica,Univ St Kliment Ohridski, Fac Econ Prilep,Econ Univ Maribor,BH,Banovici,NLB Banka,UniCredit Bank,SIRBEGOVIC,Babilon,DZENEX,DELING TUZLA</t>
  </si>
  <si>
    <t>internal remittances; financial inclusion; Bosnia and Herzegovina</t>
  </si>
  <si>
    <t>Research and policy debates on international remittances have grown over the last few decades. As remittances are more stable than all other external flows (foreign direct investments and official development assistance), governments attempt to harness these resources. By contrast, discussion on internal remittances is rather non-existent, mostly because of the lack of statistical data, difficulty to capture the flows through informal channels and lack of understanding of internal remittance importance. It is argued that remittances (both external and internal), as stable sources of income, contribute to savings as well as to increase of financial inclusion of individuals who receives remittances. This paper is expected to provide an answer to the question whether individuals who receive remittance more likely to use bank accounts and other services (e.g. loans, debit cards, credit cards etc.) offered by financial institutions than those who do not receive them. Therefore, this paper aims to address the impact of internal remittance on financial inclusion of individuals in Bosnia and Herzegovina (BiH). As a data source, we use World Banks' Global Findex data set from 2014. We estimate logistic regression models with a set of dummy dependent variables for financial inclusion, i.e. having bank account, having debit card, having credit card, borrowing and savings, and regress them on receipt of internal remittance. It is expected that research results will contribute to better understanding of the relationship between internal remittances and financial inclusion in BiH.</t>
  </si>
  <si>
    <t>[Jukan, Meldina Kokorovic; Okicic, Jasmina] Univ Tuzla, Fac Econ, Tuzla, Bosnia &amp; Herceg; [Oruc, Nermin] Ctr Dev Evaluat &amp; Social Sci Res, Sarajevo, Bosnia &amp; Herceg</t>
  </si>
  <si>
    <t>University of Tuzla</t>
  </si>
  <si>
    <t>Jukan, MK (corresponding author), Univ Tuzla, Fac Econ, Tuzla, Bosnia &amp; Herceg.</t>
  </si>
  <si>
    <t>meldina.kokorovic@untz.ba; jasmina.okicic@untz.ba; noruc@cdess.ba</t>
  </si>
  <si>
    <t>Okicic, Jasmina/AAG-9595-2020; Jukan, Meldina/AAS-7598-2021</t>
  </si>
  <si>
    <t>UNIV TUZLA, FAC ECONOMICS</t>
  </si>
  <si>
    <t>TUZLA</t>
  </si>
  <si>
    <t>UNIVERZITETSKA 8, TUZLA, 75 000, BOSNIA &amp; HERCEG</t>
  </si>
  <si>
    <t>2490-2616</t>
  </si>
  <si>
    <t>INT SCI C ECON INTEG</t>
  </si>
  <si>
    <t>BL7PJ</t>
  </si>
  <si>
    <t>WOS:000455302900007</t>
  </si>
  <si>
    <t>Elhajjar, S; Ouaida, F</t>
  </si>
  <si>
    <t>Elhajjar, Samer; Ouaida, Fadila</t>
  </si>
  <si>
    <t>An analysis of factors affecting mobile banking adoption</t>
  </si>
  <si>
    <t>Mobile banking; Resistance to change; Consumer behaviour; Internet marketing</t>
  </si>
  <si>
    <t>INTERNET BANKING; INITIAL TRUST; CONSUMER ADOPTION; ONLINE BANKING; ACCEPTANCE; LITERACY; PERCEPTIONS; METHODOLOGY; INFORMATION; BEHAVIOR</t>
  </si>
  <si>
    <t>Purpose - The purpose of this paper is to develop a conceptual model that explains the most important factors affecting mobile banking adoption for Lebanese banking customers. Design/methodology/approach - Based on the data collected through a survey, structural equations modeling and path analysis were utilized to test the hypotheses. In total, 320 questionnaires were collected from Lebanese customers. Findings - The results show that digital literacy, resistance to change, perceived risk, perceived ease of use, and perceived usefulness were found to be the main variables affecting users' attitudes toward adoption of mobile banking, whereas awareness and compatibility showed no significant impact on adoption. In addition, both subjective norms and personal innovativeness influenced users' adoption moderated the relationships between usefulness attitude and ease of use attitude. Originality/value - The study fills a gap in the literature by exploring e-readiness influence on adoption through testing the variable digital literacy and by examining the effect of the frequency of branch visits on the intention to adopt mobile banking. Social and individual variables, such as social influence and personal innovativeness, which were rarely examined in past studies, are employed in this research. All of our respondents were actual bank account holders.</t>
  </si>
  <si>
    <t>[Elhajjar, Samer] Univ Balamand, Fac Business &amp; Management, Dept Mkt, Koura, Lebanon; [Ouaida, Fadila] Univ Paris 13, Paris, France</t>
  </si>
  <si>
    <t>University Balamand; Universite Paris 13</t>
  </si>
  <si>
    <t>Elhajjar, S (corresponding author), Univ Balamand, Fac Business &amp; Management, Dept Mkt, Koura, Lebanon.</t>
  </si>
  <si>
    <t>samer.hajjar@balamand.edu.lb</t>
  </si>
  <si>
    <t>Elhajjar, Samer/0000-0002-2258-6271</t>
  </si>
  <si>
    <t>10.1108/IJBM-02-2019-0055</t>
  </si>
  <si>
    <t>LP7NE</t>
  </si>
  <si>
    <t>WOS:000534503500006</t>
  </si>
  <si>
    <t>Wanzala, RW; Obokoh, LO</t>
  </si>
  <si>
    <t>Wanzala, Richard Wamalwa; Obokoh, Lawrence Ogechukwu</t>
  </si>
  <si>
    <t>Financial inclusion of the informal sector of marginalized counties in Kenya</t>
  </si>
  <si>
    <t>Demographic characteristics; financial inclusion; financial providers; marginalized counties; mobile service usage; sustainable development goals; Development Studies; Rural Development; Economics and Development</t>
  </si>
  <si>
    <t>CREDIT; ACCESS; LITERACY; UNCERTAINTY; SERVICES; SAVINGS; MARKET</t>
  </si>
  <si>
    <t>This study investigates financial inclusion among informal sector participants in five marginalized Kenyan counties, Samburu, Narok, Turkana, Garissa, and West Pokot, where inclusion rates fall below 70%. Drawing on data from the 2024 FinAccess Household Survey, the researchers selected a purposive sample of 320 respondents and analyzed it using a probit model to identify key determinants of financial inclusion. The results indicate that financial inclusion remains persistently low due to income instability, geographic isolation, and weak financial infrastructure. However, formal business registration, financial literacy, and the use of digital financial services enhance inclusion. Gender, education level, and business turnover correlate positively with inclusion, while marital status and age show negative associations. Notably, internet access, mobile agent networks, and digital loans appear to reduce financial inclusion, whereas mobile money usage contributes positively. Formal financial services yield mixed outcomes: while bank account ownership and SACCO participation negatively affect inclusion, access to credit, savings accounts, microfinance institutions, and financial advisory services positively influence it. These findings highlight the need for targeted, context-specific policies that address both structural and digital barriers to financial access. Strengthening financial inclusion in these regions will support poverty reduction and advance Kenya's progress toward the Sustainable Development Goals.</t>
  </si>
  <si>
    <t>[Wanzala, Richard Wamalwa; Obokoh, Lawrence Ogechukwu] Univ Johannesburg, Johannesburg Business Sch, Johannesburg, South Africa</t>
  </si>
  <si>
    <t>University of Johannesburg</t>
  </si>
  <si>
    <t>Wanzala, RW (corresponding author), Univ Johannesburg, Johannesburg Business Sch, Finance &amp; Small Business Dev, POB 524, ZA-2006 Johannesburg, South Africa.</t>
  </si>
  <si>
    <t>rwanzala@uj.ac.za</t>
  </si>
  <si>
    <t>Obokoh, Lawrence Ogechukwu/HZL-4342-2023; Wanzala, Richard Wamalwa/LXU-3953-2024</t>
  </si>
  <si>
    <t>Obokoh, Lawrence Ogechukwu/0000-0002-7142-5431; Wanzala, Richard Wamalwa/0000-0002-4848-2294</t>
  </si>
  <si>
    <t>10.1080/23311886.2025.2522291</t>
  </si>
  <si>
    <t>4UB9V</t>
  </si>
  <si>
    <t>WOS:001526694100001</t>
  </si>
  <si>
    <t>Palacio, JRS; Climent, VC</t>
  </si>
  <si>
    <t>Sanchis Palacio, Joan Ramon; Campos Climent, Vanessa</t>
  </si>
  <si>
    <t>Economy for the Common Good and Ethical Finances</t>
  </si>
  <si>
    <t>CIRIEC-ESPANA REVISTA DE ECONOMIA PUBLICA SOCIAL Y COOPERATIVA</t>
  </si>
  <si>
    <t>Common Good Balance Sheet; Common Good Matrix; Ethical finances; Ethical Banking; Social Banking</t>
  </si>
  <si>
    <t>CORPORATE SOCIAL-RESPONSIBILITY; CSR</t>
  </si>
  <si>
    <t>Economy for the common good model (ECG) proposes the use of different instruments, measures and indicators to develop an ethical management in the organizations. Such proposal implicates the organizations involved to give priority to ethical and social banking and, also, the employment of alternative financial instruments. This way, money stops being considered as an end by itself and starts to be a mean to serve firm's growth and human development. The present study has as main purpose to analyze the role played by ethical finances in ECG model through the criteria and sub-criteria included in the Common Good Matrix (CGM). CGM relates some specific human rights values and principles to the different stakeholders in the firm. Then, it sets up a number of variables and indicators to measure the organizations' contribution to the common good. Therefore, the current study analyzes the relationship between ECG model and Ethical finances from both points of view, macro-economic and micro-economic, as ECG model aims to have some impact at both levels. To do so, authors have analyzed the CGM (version 4.1) relating the five different types of value comprised in the model to the firm's main stakeholders, playing special attention to funders. Consequently, the present study depicts in an accurate way which are the proposals made by ECG model to implement an ethical financial management in whatever type of organizations. Although such proposals are addressed to both levels, macroeconomic (Estates' economic and financial behavior within the international context) and microeconomic (Firms' behavior in terms of ethical funding), the present research focuses on the microeconomic level. ECG model is clearly committed to ethical and social finances development at macro and microeconomic levels. Thus, through one of its main tools as it is CG Balance sheet, ECG model proposes a number of criteria and measures aimed at the improvement of financial management based on ethics and social responsibility. Above all, ECG model considers the firms themselves to be the ones able to promote social and ethical finances by including ECG principles and values in their day by day management. In this sense, firms should manage their finances from a social and ethical approach. To do so, they can collaborate with ethical and social banks, employ alternative funding tools and, also, implement sustainable investment projects which make social and environmental impact on the locations where they operate. In Spain, ethical banking has not had the historical tradition it has had in central and northern Europe, in fact ethical bank deposits suppose 1% of the overall Spanish financial institutions. Moreover, the financial crisis has supposed a significant lose for proximity and social banking in Spain (Saving Banks and Co-operative Banks). As a consequence, in the Spanish context the offer in terms of social and ethical banking services is very limited. However, since 2008, ethical banks operating in Spain have increased considerably their share of deposits and customers served. On the other hand, new non-banking funding initiatives based on social and ethical principles have been launched. This is the case of financial services co-operatives, integral co-operative, self-funding communities, time banks, barter networks, social currencies and collaborative finances. Such initiatives wide the options for financial cooperation among SMEs and social and environmental projects development. By means of ethical financial management, ECG can lever financial inclusion. This is important for societies because previous research has demonstrated that financial exclusion turns into social exclusion and poverty. Financial exclusion involves that over time more and more people and organizations are excluded from banking financing because of the office closures and credit constraints. SMEs and new ventures are the firms more likely to experience financial exclusion. Moreover, commercial banks usually undervalue social and environmental outcomes. Hence, ethical and social banks are the ones that though their ethical committees integrate social, environmental and ethical criteria into their viability analysis to evaluate invest projects. Consequently, such type banks are able to deliver financial inclusion by operating in territories where the potential for financial profitability is lower (rural areas or depressed territories) and launching financial instruments adapted to the needs of these specific areas or to the need of the enterprises with more difficulties to get access to credit. Thus the firms that implement ECG model have ethical and social banking as potential cooperative partners to set up durable and balanced commercial relationships, which turns into an ethical and sustainable financial management. For all what has been previously pointed, one can infer the need for widening and spreading ethical and social criteria not only to the financial management of non-financial businesses, but also to financial institutions. Being ECG model appropriate to do it as it holds the suitable tools to develop such process. Due to this, in our opinion it could be of interest for both, scholars and practitioners, to perform an empirical study to quantify how much the firms that have implemented ECG model are contributing to the development of ethical financial management. There are already empirical studies that analyze the entrepreneurial outcomes in terms of sustainability following the complementary three dimensions: social, environmental and economic. For us, it could be interesting to perform further empirical research with similar features but focused on the firms that have implemented ECG balance sheet. In the same way, for us it could be important that public bodies design and put into practice economic and tax benefits aimed at the businesses which operate with ethical and social banking. In this sense, one important point may be the prioritization of ECG firms in regards of public procurement. Thus, public sector would stimulate businesses to integrate ethical and social criteria into their making decisions process through ECG model. Finally, the main contribution of the present research paper relies on the study of the existing relationship between ethical finances and ECG model. Given that there are not yet any publication relating such research topics. As it has been said before, there are a number of research papers published on ethical finances and also some others on ECG model but none of them relates both research topics.</t>
  </si>
  <si>
    <t>[Sanchis Palacio, Joan Ramon; Campos Climent, Vanessa] Univ Valencia, Valencia, Spain</t>
  </si>
  <si>
    <t>Palacio, JRS (corresponding author), Univ Valencia, Org Empresas, Valencia, Spain.;Palacio, JRS (corresponding author), Univ Valencia, Catedra Econ Bien Comun, Dept Direcc Empresas, Fac Econ, Avda Naranjos S-N, Valencia 46022, Spain.;Climent, VC (corresponding author), Univ Valencia, Fac Econ, Dept Direcc Empresas, Avda Naranjos S-N, Valencia 46022, Spain.</t>
  </si>
  <si>
    <t>joan.r.sanchis@uv.es; vanessa.campos@uv.es</t>
  </si>
  <si>
    <t>Sanchis-Palacio, Joan R/R-7465-2018; Campos-Climent, Vanessa/R-7467-2018</t>
  </si>
  <si>
    <t>Sanchis-Palacio, Joan R/0000-0002-2475-3299; Campos-Climent, Vanessa/0000-0002-9561-7761</t>
  </si>
  <si>
    <t>CIRIEC-ESPANA</t>
  </si>
  <si>
    <t>AVE NARANJOS, S-N, EDIF DEP ORIENTAL 2P21, VALENCIA, 46022, SPAIN</t>
  </si>
  <si>
    <t>0213-8093</t>
  </si>
  <si>
    <t>1989-6816</t>
  </si>
  <si>
    <t>CIRIEC</t>
  </si>
  <si>
    <t>10.7203/CIRIEC-E.93.11012</t>
  </si>
  <si>
    <t>GT4NS</t>
  </si>
  <si>
    <t>WOS:000444482100008</t>
  </si>
  <si>
    <t>Ngassam, RGN; Kamdjoug, JRK; Wafo, SD; Wamba, SF</t>
  </si>
  <si>
    <t>Rocha, A; Adeli, H; Reis, LP; Costanzo, S</t>
  </si>
  <si>
    <t>Ngassam, Rhode Ghislaine Nguewo; Kamdjoug, Jean Robert Kala; Wafo, Sylvain Defo; Wamba, Samuel Fosso</t>
  </si>
  <si>
    <t>Study of the Mobile Money Diffusion Mechanism in the MTN-Cameroon Mobile Network: A Model Validation</t>
  </si>
  <si>
    <t>NEW KNOWLEDGE IN INFORMATION SYSTEMS AND TECHNOLOGIES, VOL 2</t>
  </si>
  <si>
    <t>World Conference on Information Systems and Technologies (WorldCIST)</t>
  </si>
  <si>
    <t>APR 16-19, 2019</t>
  </si>
  <si>
    <t>La Toja Island, SPAIN</t>
  </si>
  <si>
    <t>Mobile money; MTN Cameroon; Diffusion of innovation; Social network diffusion model</t>
  </si>
  <si>
    <t>With a high rate of subscribers to mobile and a low rate of bank account, mobile money is a clear opportunity for Cameroonians to better manage financial transactions and risks. While in certain countries it has taken less than two years to be adopted massively, its diffusion among mobile subscribers in Cameroon is still very slow, with less than 5% regular users four years after being launched. This work explores the impact of the mobile subscriber network on mobile money and tries to identify the network diffusion mechanism of mobile money through a study of subscribers whose adoption behavior was observed during 14 weeks. From different analysis, we confirm the influence of mobile money users on new adopters. However, the decision to use mobile money is not directly related to the number of mobile money users or of potential users. This last point gives room for further research.</t>
  </si>
  <si>
    <t>[Ngassam, Rhode Ghislaine Nguewo; Kamdjoug, Jean Robert Kala] Univ Catholique Afrique Cent, GRIAGES, FSSG, Yaounde, Cameroon; [Wafo, Sylvain Defo] MTN Cameroon, Douala, Cameroon; [Wamba, Samuel Fosso] Univ Fed Toulouse Midi Pyrenees, Toulouse Business Sch, 20 Blvd Lascrosses, F-31068 Toulouse, France</t>
  </si>
  <si>
    <t>Universite Federale Toulouse Midi-Pyrenees (ComUE); Universite de Toulouse; TBS Education</t>
  </si>
  <si>
    <t>Kamdjoug, JRK (corresponding author), Univ Catholique Afrique Cent, GRIAGES, FSSG, Yaounde, Cameroon.</t>
  </si>
  <si>
    <t>ghislainengassam@gmail.com; jrkala@gmail.com; s.fosso-wamba@tbs-education.fr</t>
  </si>
  <si>
    <t>Fosso Wamba, Samuel/AAB-4953-2019</t>
  </si>
  <si>
    <t>2194-5365</t>
  </si>
  <si>
    <t>978-3-030-16183-5; 978-3-030-16184-2</t>
  </si>
  <si>
    <t>ADV INTELL SYST COMP</t>
  </si>
  <si>
    <t>10.1007/978-3-030-16184-2_61</t>
  </si>
  <si>
    <t>BX5JF</t>
  </si>
  <si>
    <t>WOS:001299706100061</t>
  </si>
  <si>
    <t>Förster, M; Happ, R; Walstad, WB</t>
  </si>
  <si>
    <t>Foerster, Manuel; Happ, Roland; Walstad, W. B.</t>
  </si>
  <si>
    <t>Relations between young adults' knowledge and understanding, experiences, and information behavior in personal finance matters</t>
  </si>
  <si>
    <t>EMPIRICAL RESEARCH IN VOCATIONAL EDUCATION AND TRAINING</t>
  </si>
  <si>
    <t>Knowledge and understanding of personal finance; Financial literacy; Financial experience; Information behavior; Bank account; Credit card; Stocks</t>
  </si>
  <si>
    <t>HIGH-SCHOOL-STUDENTS; LITERACY; EDUCATION</t>
  </si>
  <si>
    <t>Background: In Germany, general secondary education offers few opportunities for young adults to acquire knowledge and understanding of personal finance. Hence, apart from parents' influence as role models, important influences on young adults' financial knowledge and understanding likely include their personal experience with financial products and their behavior of informally seeking information about specific financial products. Methods: In this paper, we investigate the relationships between these latter variables based on a sample of 1108 young adults from Germany, aged 17-25, beginning their studies in higher education. Knowledge and understanding of personal finance was assessed using the German adaptation of the US Test of Financial Literacy. In this paper, we focus on the dimension 'Banking' (covering financial investing, saving, using credit). In addition, we surveyed young adults'experience in basic personal finance matters (e.g., having a bank account, using a credit card, paying for rent) and their information behavior towards specific financial products (e.g., stocks, investment, retirement plans, and insurance). Results: The data set was prepared through multiple imputation and analyzed using regression models. The results show clear correlations between knowledge and understanding in the dimension 'Banking'and both experience and information behavior in personal finance matters. Conclusions: Our findings illustrate how important it is that young adults obtain experience with and actively inform themselves about financial products, particularly in countries such as Germany where personal finance is not taught extensively and systematically in school.</t>
  </si>
  <si>
    <t>[Foerster, Manuel] Otto Friedrich Univ Bamberg, Fac Social Sci Econ &amp; Business Adm, Chair Business &amp; Econ Educ, Karntenstr 7, D-96052 Bamberg, Germany; [Happ, Roland] Johannes Gutenberg Univ Mainz, Dept Law Business &amp; Econ, Chair Business &amp; Econ Educ, Jakob Welder Weg 9, D-55128 Mainz, Germany; [Walstad, W. B.] Univ Nebraska, Dept Econ, 525F Coll Business, Lincoln, NE 68588 USA</t>
  </si>
  <si>
    <t>Otto Friedrich University Bamberg; Johannes Gutenberg University of Mainz; University of Nebraska System; University of Nebraska Lincoln</t>
  </si>
  <si>
    <t>Förster, M (corresponding author), Otto Friedrich Univ Bamberg, Fac Social Sci Econ &amp; Business Adm, Chair Business &amp; Econ Educ, Karntenstr 7, D-96052 Bamberg, Germany.</t>
  </si>
  <si>
    <t>manuel.foerster@uni-bamberg.de</t>
  </si>
  <si>
    <t>Förster, Manuel/ABA-4527-2021</t>
  </si>
  <si>
    <t>Förster, Manuel/0000-0001-8125-4595</t>
  </si>
  <si>
    <t>Center for Research on Education and Higher Education of the Johannes Gutenberg University of Mainz</t>
  </si>
  <si>
    <t>This study was funded by Center for Research on Education and Higher Education of the Johannes Gutenberg University of Mainz.</t>
  </si>
  <si>
    <t>SPRINGEROPEN</t>
  </si>
  <si>
    <t>CAMPUS, 4 CRINAN ST, LONDON, N1 9XW, ENGLAND</t>
  </si>
  <si>
    <t>1877-6345</t>
  </si>
  <si>
    <t>EMPIR RES VOCAT EDUC</t>
  </si>
  <si>
    <t>Empir. Res. Vocat. Educ.</t>
  </si>
  <si>
    <t>JAN 10</t>
  </si>
  <si>
    <t>10.1186/s40461-019-0077-z</t>
  </si>
  <si>
    <t>Education &amp; Educational Research</t>
  </si>
  <si>
    <t>HY0GZ</t>
  </si>
  <si>
    <t>WOS:000467790400002</t>
  </si>
  <si>
    <t>Mannan, KA; Farhana, KM</t>
  </si>
  <si>
    <t>Mannan, Kazi Abdul; Farhana, Khandaker Mursheda</t>
  </si>
  <si>
    <t>Digital Financial Inclusion and Remittances: An Empirical Study on Bangladeshi Migrant Households</t>
  </si>
  <si>
    <t>digital financial inclusion; migration; remittance; household; rural-urban; Bangladesh</t>
  </si>
  <si>
    <t>INTERNATIONAL MIGRATION; ECONOMIC-GROWTH; PROPENSITY SCORE; FIELD EXPERIMENT; POVERTY; INVESTMENT; INEQUALITY; ACCEPTANCE; BANKING; SAVINGS</t>
  </si>
  <si>
    <t>Globally, large numbers of adults remain unbanked, and most of them live in rural areas of the Third World. The recent outbreak of the COVID-19 pandemic has shown us how inequalities in accessing financial services continue to affect us. However, digital financial inclusion has emerged as an effective tool used to tackle socioeconomic ills and drive economic development. In fact, due to these modern technological developments, the number of studies in this area is very limited, especially in the context of developing economies. This study examines the impacts of migrant remittances on digital financial inclusion within households in Bangladesh by using the Migration and Remittance Household Survey. To meet the research objectives of this study, a household survey was conducted and 2165 households interviewed in 2022-2023 in Bangladesh. The survey data collected was tested using univariate and multivariate estimations. This study finds that the coefficient of remittance has positive relationships with the probability of e-bank accounts and the use of mobile banking for a household's financial transactions. However, the use of ATM cards by households for financial transactions has not been significantly affected. The article concludes that remittance flows may enhance access to and use of means of digital financial inclusion by reducing some of the barriers and costs in Bangladesh, which could greatly contribute to the country's economic growth by creating and increasing a strong fund for investment. The findings of this study can help in taking various steps to facilitate the most powerful financial sector of Bangladesh, namely, remittance management.</t>
  </si>
  <si>
    <t>[Mannan, Kazi Abdul] Green Univ Bangladesh, Fac Business Studies, Kanchon 1460, Bangladesh; [Farhana, Khandaker Mursheda] Shanto Mariam Univ Creat Technol, Dept Sociol &amp; Anthropol, Dhaka 1230, Bangladesh</t>
  </si>
  <si>
    <t>Mannan, KA (corresponding author), Green Univ Bangladesh, Fac Business Studies, Kanchon 1460, Bangladesh.</t>
  </si>
  <si>
    <t>drkaziabdulmannan@gmail.com; drfarhanamannan@gmail.com</t>
  </si>
  <si>
    <t>Mannan, Dr Kazi Abdul/GQQ-0209-2022; Farhana, Khandaker Mursheda/KIL-0370-2024</t>
  </si>
  <si>
    <t>Farhana, Khandaker Mursheda/0009-0009-1526-6147</t>
  </si>
  <si>
    <t>2674-1032</t>
  </si>
  <si>
    <t>FINTECH-BASEL</t>
  </si>
  <si>
    <t>FinTech</t>
  </si>
  <si>
    <t>10.3390/fintech2040038</t>
  </si>
  <si>
    <t>Business, Finance; Computer Science, Interdisciplinary Applications; Economics</t>
  </si>
  <si>
    <t>7JQ9V</t>
  </si>
  <si>
    <t>WOS:001572616700001</t>
  </si>
  <si>
    <t>Nonvide, GMA; Alinsato, AS</t>
  </si>
  <si>
    <t>Nonvide, Gbetondji Melaine Armel; Alinsato, Alastaire Sena</t>
  </si>
  <si>
    <t>Who uses mobile money, and what factors affect its adoption process? Evidence from smallholder households in Cote d'Ivoire</t>
  </si>
  <si>
    <t>JOURNAL OF FINANCIAL SERVICES MARKETING</t>
  </si>
  <si>
    <t>Adoption; Mobile money; Sequential logit model; Smallholder households; Cote d'Ivoire</t>
  </si>
  <si>
    <t>INFORMATION-TECHNOLOGY; PERCEIVED EASE; ACCEPTANCE; BANKING; DETERMINANTS; INTENTION</t>
  </si>
  <si>
    <t>Who uses mobile money, and what factors affect its adoption process? This study analyzes mobile money adoption process among smallholder households in Cote d'Ivoire using the Consultative Group to Assist the Poor (CGAP) Smallholder Household Survey 2016. Based on the hypothesis that mobile money adoption process goes through five steps, a sequential logit model is estimated to identify factors affecting each step of the process. Overall, the findings show that mobile money users are in majority male, in urban area, more educated, belong to social network, and have bank or microfinance account. Adoption process is affected by demographic factors such as age, sex and marital status; social interaction variables including membership in agricultural cooperative, belonging to saving and credit group, and institutional variables such as the level of education and being clients of banks or microfinance. In all the steps, educated and those having bank account are more likely to go far in the adoption process. Women are disadvantaged, however once adopted, they are more likely to trust the mobile money services more than men. Policies that promote adoption of mobile money services in rural area, encourage women adoption, and participation in social interactions networks are key to improve access to financial services among smallholder households in Cote d'Ivoire.</t>
  </si>
  <si>
    <t>[Nonvide, Gbetondji Melaine Armel; Alinsato, Alastaire Sena] Univ Abomey Calavi, Lab Econ Publ, Gbegamey Cotonou, Benin; [Nonvide, Gbetondji Melaine Armel; Alinsato, Alastaire Sena] Univ Abomey Calavi, Fac Sci Econ &amp; Gest, Abomey Calavi, Benin</t>
  </si>
  <si>
    <t>University of Abomey Calavi; University of Abomey Calavi</t>
  </si>
  <si>
    <t>Nonvide, GMA (corresponding author), Univ Abomey Calavi, Lab Econ Publ, Gbegamey Cotonou, Benin.;Nonvide, GMA (corresponding author), Univ Abomey Calavi, Fac Sci Econ &amp; Gest, Abomey Calavi, Benin.</t>
  </si>
  <si>
    <t>melainearmel@gmail.com; alastairess@yahoo.fr</t>
  </si>
  <si>
    <t>Nonvide, Armel/AAI-9129-2020; Alinsato, Alastaire/NIU-6895-2025</t>
  </si>
  <si>
    <t>1363-0539</t>
  </si>
  <si>
    <t>1479-1846</t>
  </si>
  <si>
    <t>J FINANC SERV MARK</t>
  </si>
  <si>
    <t>J. Financ. Serv. Mark.</t>
  </si>
  <si>
    <t>10.1057/s41264-022-00144-1</t>
  </si>
  <si>
    <t>9J8GB</t>
  </si>
  <si>
    <t>WOS:000761737600001</t>
  </si>
  <si>
    <t>Niankara, I</t>
  </si>
  <si>
    <t>Niankara, Ibrahim</t>
  </si>
  <si>
    <t>The impact of financial inclusion on digital payment solution uptake within the Gulf Cooperation Council Economies</t>
  </si>
  <si>
    <t>INTERNATIONAL JOURNAL OF INNOVATION STUDIES</t>
  </si>
  <si>
    <t>Digital payment solution; Gulf Cooperation Council; Electronic payment system; Financial inclusion; Open innovation; Quadruple helix; Regional economy</t>
  </si>
  <si>
    <t>HELIX INNOVATION; MOBILE PAYMENT; OPPORTUNITIES; TECHNOLOGIES; SYSTEMS; MODELS</t>
  </si>
  <si>
    <t>Recognizing the role of society in the sustainability of payment system innovation through the quadruple helix framework, this study analyzes the causal influence of demand-side financial inclusion indicators on society's uptake of digital payment solutions (DPS) within the regional economy of the Gulf Cooperation Council. To this end, the present study relies on data extracted from Global Findex surveys (in 2014 and 2017), as well as the economic theory of random utility maximization, to model individuals' DPS uptake de-cisions ceteris paribus. The maximum likelihood estimation revealed no gender-based gradient in DPS uptake behaviors; additionally, financial inclusion indicators such as transaction account ownership and debit card ownership did not significantly influence endogenous or exogenous DPS uptake decisions between 2013 and 2017. However, all remaining financial inclusion indicators did significantly influence DPS uptake. Assessing these findings through the lens of open innovation and the ongoing efforts from the Arab Regional Payment System project, which seeks to expand financial inclusion by facilitating access to transaction accounts, there is reasonable evidence to suggest that complemen-tary financial inclusion policies addressing the use dimension of DPS (i.e., extending access to saving and borrowing, along with digital payroll practices for both private and public enterprises) would contribute to more effective policy on financial inclusion in the region.(c) 2022 China Science Publishing &amp; Media Ltd. Publishing services by Elsevier B.V. on behalf of KeAi Communications Co. Ltd. This is an open access article under the CC BY license (http://creativecommons.org/licenses/by/4.0/).</t>
  </si>
  <si>
    <t>[Niankara, Ibrahim] Al Ain Univ, Coll Business, POB 112612, Abu Dhabi, U Arab Emirates</t>
  </si>
  <si>
    <t>Niankara, I (corresponding author), Al Ain Univ, Coll Business, POB 112612, Abu Dhabi, U Arab Emirates.</t>
  </si>
  <si>
    <t>Ibrahim.niankara@aau.ac.ae</t>
  </si>
  <si>
    <t>niankara, ibrahim/KGL-5592-2024</t>
  </si>
  <si>
    <t>niankara, ibrahim/0000-0001-7049-0859</t>
  </si>
  <si>
    <t>KEAI PUBLISHING LTD</t>
  </si>
  <si>
    <t>BEIJING</t>
  </si>
  <si>
    <t>16 DONGHUANGCHENGGEN NORTH ST, Building 5, Room 411, BEIJING, DONGCHENG DISTRICT 100009, PEOPLES R CHINA</t>
  </si>
  <si>
    <t>2096-2487</t>
  </si>
  <si>
    <t>2589-2975</t>
  </si>
  <si>
    <t>INT J INNOV STUD</t>
  </si>
  <si>
    <t>Int. J. Innov. Stud.</t>
  </si>
  <si>
    <t>10.1016/j.ijis.2022.09.004</t>
  </si>
  <si>
    <t>W2CS8</t>
  </si>
  <si>
    <t>WOS:001089768900001</t>
  </si>
  <si>
    <t>Jafri, M; Nagdev, S; Thakurta, AG; Ali, S</t>
  </si>
  <si>
    <t>Chakrabarti, A; Suwas, S; Arora, M</t>
  </si>
  <si>
    <t>Jafri, Manaar; Nagdev, Samriddhi; Thakurta, Arundhati Guha; Ali, Sajana</t>
  </si>
  <si>
    <t>Inculcating a Behaviour Change Among Impulsive Online Shoppers: Adapting to Mindful Spending Habits</t>
  </si>
  <si>
    <t>INDUSTRY 4.0 AND ADVANCED MANUFACTURING, VOL 1, I-4AM 2024</t>
  </si>
  <si>
    <t>Lecture Notes in Mechanical Engineering</t>
  </si>
  <si>
    <t>3rd International Conference on Industry 4.0 and Advanced Manufacturing</t>
  </si>
  <si>
    <t>JAN 11-12, 2024</t>
  </si>
  <si>
    <t>banglore, INDIA</t>
  </si>
  <si>
    <t>Indian Institute of Science,Springer Nature</t>
  </si>
  <si>
    <t>Impulsive buying; Online shopping; Online buying behaviour; Budgeting app; Price comparison</t>
  </si>
  <si>
    <t>Over the years, the categories of online purchases have exponentially evolved. This, when combined with heavily discounted prices, sales and marketing tactics, celebrity endorsements, and more, results in a drastic increase in impulsive online purchases. The aim of this study was to understand what are the nudges, cues, and triggers that lead to one's impulsive purchases and the motivation behind the same. The initial stages of the study included desk research and a review of existing literature around the topic, followed by conducting interviews and surveys. The insights received and the gathered data helped us create a design solution that would help inculcate a behaviour change among people who have recently gained access to their bank accounts and are on the brink of becoming partially or fully financially independent. After various stages of prototyping, iterations, and testing, the designed solution 'DigiSave' was made, a mobile application that would enable users to set pre-allocated budgets for different categories and give them prompts and notifications when they exceed the limit, thus increasing the time frame between adding items to a shopping cart and making the purchase. Other prominent features like price comparison of the same product on different sites and connecting a user's UPI and bank account to track spending habits, have been included to always keep a check on personal spending and reduce the urge to buy online impulsively.</t>
  </si>
  <si>
    <t>[Jafri, Manaar; Nagdev, Samriddhi; Thakurta, Arundhati Guha; Ali, Sajana] NMIMS Sch Design, Vile Parle West, Mumbai 400056, Maharashtra, India</t>
  </si>
  <si>
    <t>Thakurta, AG (corresponding author), NMIMS Sch Design, Vile Parle West, Mumbai 400056, Maharashtra, India.</t>
  </si>
  <si>
    <t>manaar.jafri33@nmims.edu.in; samriddhi.nagdev07@nmims.edu.in; arundhati.thakurta@nmims.edu; sajana.alungalali@nmims.edu</t>
  </si>
  <si>
    <t>; Thakurta, Arundhati/AFH-4324-2022</t>
  </si>
  <si>
    <t>Guha Thakurta, Arundhati/0000-0003-1859-6706;</t>
  </si>
  <si>
    <t>152 BEACH ROAD, #21-01/04 GATEWAY EAST, SINGAPORE, 189721, SINGAPORE</t>
  </si>
  <si>
    <t>2195-4356</t>
  </si>
  <si>
    <t>2195-4364</t>
  </si>
  <si>
    <t>978-981-97-7152-3; 978-981-97-7150-9; 978-981-97-7149-3</t>
  </si>
  <si>
    <t>LECT N MECH ENG</t>
  </si>
  <si>
    <t>10.1007/978-981-97-7150-9_30</t>
  </si>
  <si>
    <t>Engineering, Industrial; Engineering, Manufacturing</t>
  </si>
  <si>
    <t>BY5LI</t>
  </si>
  <si>
    <t>WOS:001460132700030</t>
  </si>
  <si>
    <t>Stanikzai, AQ; Shah, MA</t>
  </si>
  <si>
    <t>Stanikzai, Abdul Qarib; Shah, Munam Ali</t>
  </si>
  <si>
    <t>Evaluation of Cyber Security Threats in Banking Systems</t>
  </si>
  <si>
    <t>2021 IEEE SYMPOSIUM SERIES ON COMPUTATIONAL INTELLIGENCE (IEEE SSCI 2021)</t>
  </si>
  <si>
    <t>IEEE Symposium Series on Computational Intelligence (IEEE SSCI)</t>
  </si>
  <si>
    <t>DEC 05-07, 2021</t>
  </si>
  <si>
    <t>IEEE,IEEE Computat Intelligence Soc</t>
  </si>
  <si>
    <t>Threat; Cyber-attack; Bank; Potential</t>
  </si>
  <si>
    <t>The financial sector is the part of the economy that consists of companies and institutions that provide financial services to commercial and retail customers. It covers a wide range of industries, including banks, investment or insurance companies, and real estate companies. Financial institutions are exposed to cyber-attacks. Banks are places where money is available, and for cybercriminals, attacking banks offers a variety of ways to make a profit through extortion, robbery, and fraud, while national governments also provide financial support for hackers, they target political and ideological influence. According to Global Findex, approximately 1.2 billion adults have had bank accounts since 2011. The purpose of this study is to evaluate the effectiveness of existing cyber security methods in reducing or mitigating financial crime and achieving the CIA business, as well as creating security recommendations for potential improvements.</t>
  </si>
  <si>
    <t>[Stanikzai, Abdul Qarib; Shah, Munam Ali] COMSATS Univ Islamabad, Dept Comp Sci, Islamabad, Pakistan</t>
  </si>
  <si>
    <t>COMSATS University Islamabad (CUI)</t>
  </si>
  <si>
    <t>Stanikzai, AQ (corresponding author), COMSATS Univ Islamabad, Dept Comp Sci, Islamabad, Pakistan.</t>
  </si>
  <si>
    <t>abdulqarib@gmail.com; mshah@comsats.edu.pk</t>
  </si>
  <si>
    <t>Shah, Munam/J-4232-2016</t>
  </si>
  <si>
    <t>978-1-7281-9048-8</t>
  </si>
  <si>
    <t>10.1109/SSCI50451.2021.9659862</t>
  </si>
  <si>
    <t>Computer Science, Artificial Intelligence; Engineering, Electrical &amp; Electronic; Operations Research &amp; Management Science; Mathematics, Applied</t>
  </si>
  <si>
    <t>Computer Science; Engineering; Operations Research &amp; Management Science; Mathematics</t>
  </si>
  <si>
    <t>BT3XG</t>
  </si>
  <si>
    <t>WOS:000824464300043</t>
  </si>
  <si>
    <t>Schorn, A; Hess, L; Straus, N</t>
  </si>
  <si>
    <t>Schorn, Anna; Hess, Lukas; Straus, Nadine</t>
  </si>
  <si>
    <t>Influencers going green: How exhibited climate activism and message-sidedness affect the impact of greenfluencer posts</t>
  </si>
  <si>
    <t>SCM STUDIES IN COMMUNICATION AND MEDIA</t>
  </si>
  <si>
    <t>social media influencer; message-sidedness; activism; experiment; greenfluencer; Instagram; climate change; persuasion</t>
  </si>
  <si>
    <t>DISCLOSURE; FOLLOWERS</t>
  </si>
  <si>
    <t>With the intensifying discourse on climate change and the unfolding climate crisis, more and more social media influencers are addressing sustainability. These greenfluencers combine entertainment and lifestyle content with environmental issues, exhibiting their climate activism on Instagram and other platforms. Despite their growing influence, the factors contributing to greenfluencers' credibility, authenticity, and associated persuasive effects remain unclear. This research investigated how exhibited activism and messagesidedness impact a greenfluencer's authenticity, credibility, and persuasion when promoting sustainable products. We conducted two 2 (exhibited activism: public-sphere environmentalism vs. private-sphere activism) x 2 (message-sidedness: one-sided vs. two-sided) between-subjects experiments. The stimulus material for each participant consisted of an Instagram profile and a post promoting a sustainable bank account. Our findings show that exhibiting public-sphere activism does not improve a greenfluencer's authenticity, credibility, and persuasive effects, and a two-sided message only improves the attitude towards the bank, compared to a one-sided message, but not behavioural intentions, authenticity, or credibility. Our results have implications for greenfluencers combating the climate crisis as well as for corporate actors trying to advertise sustainable products with greenfluencers.</t>
  </si>
  <si>
    <t>[Schorn, Anna; Hess, Lukas; Straus, Nadine] Univ Zurich, Dept Commun &amp; Media Res, Andreasstr 15, CH-8050 Zurich, Switzerland</t>
  </si>
  <si>
    <t>University of Zurich</t>
  </si>
  <si>
    <t>Schorn, A (corresponding author), Univ Zurich, Dept Commun &amp; Media Res, Andreasstr 15, CH-8050 Zurich, Switzerland.</t>
  </si>
  <si>
    <t>a.schorn@ikmz.uzh.ch</t>
  </si>
  <si>
    <t>Strauss, Nadine/GRJ-4938-2022; Schorn, Anna/KHC-6939-2024</t>
  </si>
  <si>
    <t>NOMOS VERLAGSGESELLSCHAFT MBH &amp; CO KG</t>
  </si>
  <si>
    <t>BADEN-BADEN</t>
  </si>
  <si>
    <t>WALDSEESTR 3 5, BADEN-BADEN, 76530, GERMANY</t>
  </si>
  <si>
    <t>2192-4007</t>
  </si>
  <si>
    <t>SCM STUD COMM MEDIA</t>
  </si>
  <si>
    <t>SCM Stud. Commun. Media</t>
  </si>
  <si>
    <t>10.5771/2192-4007-2025-2-268</t>
  </si>
  <si>
    <t>5SQ8C</t>
  </si>
  <si>
    <t>WOS:001543385200002</t>
  </si>
  <si>
    <t>Bocchialini, E; Ielasi, F; Rossolini, M</t>
  </si>
  <si>
    <t>Airinei, D; Pintilescu, C; Asandului, M; Andries, AM</t>
  </si>
  <si>
    <t>Bocchialini, Elisa; Ielasi, Federica; Rossolini, Monica</t>
  </si>
  <si>
    <t>PRICING MODELS AND BANK CUSTOMER BEHAVIOUR</t>
  </si>
  <si>
    <t>PROCEEDINGS OF THE IVTH INTERNATIONAL CONFERENCE ON GLOBALIZATION AND HIGHER EDUCATION IN ECONOMICS AND BUSINESS ADMINISTRATION - GEBA 2010</t>
  </si>
  <si>
    <t>4th International Conference on Globalization and Higher Education in Economics and Business Administration</t>
  </si>
  <si>
    <t>OCT 21-23, 2010</t>
  </si>
  <si>
    <t>Alexandru Ioan Cuza Univ, Iasi, ROMANIA</t>
  </si>
  <si>
    <t>Alexandru Ioan Cuza Univ</t>
  </si>
  <si>
    <t>Pricing; acquisition; retail banking; current accounts; retention</t>
  </si>
  <si>
    <t>SERVICES; QUALITY</t>
  </si>
  <si>
    <t>This research analyses the relevance of pricing models to the behavior of banking service customers, in particular, how bank pricing models influence the acquisition and retention of retail customers. The survey is based a dataset of 90,000 current bank account holders at an Italian commercial bank, and records and analyzes their acquisition and abandonment behavior during the years 2007-2008.The findings show which pricing variables are significantly associated with customer acquisition and loyalty. Finally, this research identifies the main characteristics of the most effective pricing models for current accounts.</t>
  </si>
  <si>
    <t>[Bocchialini, Elisa] Univ Parma, I-43100 Parma, Italy; [Ielasi, Federica; Rossolini, Monica] Univ Parma, SDA Bocconi, Parma, Italy</t>
  </si>
  <si>
    <t>University of Parma; University of Parma</t>
  </si>
  <si>
    <t>Bocchialini, E (corresponding author), Univ Parma, I-43100 Parma, Italy.</t>
  </si>
  <si>
    <t>elisa.bocchialini@gmail.com; federica.ielasi@unipr.it; monica.rossolini@gmail.com</t>
  </si>
  <si>
    <t>Ielasi, Federica/U-2424-2019</t>
  </si>
  <si>
    <t>ALEXANDRU IOAN CUZA UNIV IASI, FACULTY ECONOMICS &amp; BUSINESS ADMINSTRATION</t>
  </si>
  <si>
    <t>22 CAROL 1ST BLVD, IASI, 700505, ROMANIA</t>
  </si>
  <si>
    <t>978-973-640-658-4</t>
  </si>
  <si>
    <t>Economics; Education &amp; Educational Research</t>
  </si>
  <si>
    <t>Business &amp; Economics; Education &amp; Educational Research</t>
  </si>
  <si>
    <t>BZM22</t>
  </si>
  <si>
    <t>WOS:000302002900024</t>
  </si>
  <si>
    <t>Wahaballa, A</t>
  </si>
  <si>
    <t>Wahaballa, Abubaker</t>
  </si>
  <si>
    <t>Lightweight and Secure IoT-Based Payment Protocols from an Identity-Based Signature Scheme</t>
  </si>
  <si>
    <t>ELECTRONICS</t>
  </si>
  <si>
    <t>IoT-based payment protocols; identity-based signature; server-aided verification; pairing-free security protocols</t>
  </si>
  <si>
    <t>AUTHENTICATION PROTOCOL; OUTSOURCED VERIFICATION; DIGITAL-SIGNATURES; MOBILE; EFFICIENT</t>
  </si>
  <si>
    <t>After the great success of mobile wallets, the Internet of Things (IoT) leaves the door wide open for consumers to use their connected devices to access their bank accounts and perform routine banking activities from anywhere, anytime, and with any device. However, consumers need to feel safe when interacting with IoT-based payment systems, and their personal information should be protected as much as possible. Unlike what is usually found in the literature, in this paper, we introduce two lightweight and secure IoT-based payment protocols based on an identity-based signature scheme. We adopt a server-aided verification technique to construct the first scheme. This technique allows to outsource the heavy computation overhead on the sensor node to a cloud server while maintaining the user's privacy. The second scheme is built upon a pairing-free ECC-based security protocol to avoid the heavy computational complexity of bilinear pairing operations. The security reduction results of both schemes are held in the Random Oracle Model (ROM) under the discrete logarithm and computational Diffie-Hellman assumptions. Finally, we experimentally compare the proposed schemes against each other and against the original scheme on the most commonly used IoT devices: a smartphone, a smartwatch, and the embedded device Raspberry Pi. Compared with existing schemes, our proposed schemes achieve significant efficiency in terms of communication, computational and storage overheads.</t>
  </si>
  <si>
    <t>[Wahaballa, Abubaker] Arab East Coll, Comp Sci Dept, Riyadh 53354, Saudi Arabia; [Wahaballa, Abubaker] Sudan Technol Univ STU, Mihareeba Technol Coll, Comp Sci Dept, Khartoum 11111, Sudan</t>
  </si>
  <si>
    <t>Arab East Colleges</t>
  </si>
  <si>
    <t>Wahaballa, A (corresponding author), Arab East Coll, Comp Sci Dept, Riyadh 53354, Saudi Arabia.;Wahaballa, A (corresponding author), Sudan Technol Univ STU, Mihareeba Technol Coll, Comp Sci Dept, Khartoum 11111, Sudan.</t>
  </si>
  <si>
    <t>wahaballah@uestc.edu.cn</t>
  </si>
  <si>
    <t>Wahaballa, Abubaker/IYJ-8573-2023</t>
  </si>
  <si>
    <t>Wahaballa, Abubaker/0000-0002-5829-8968; colleges, arab east/0009-0004-0822-9798</t>
  </si>
  <si>
    <t>2079-9292</t>
  </si>
  <si>
    <t>ELECTRONICS-SWITZ</t>
  </si>
  <si>
    <t>Electronics</t>
  </si>
  <si>
    <t>10.3390/electronics11213445</t>
  </si>
  <si>
    <t>Computer Science, Information Systems; Engineering, Electrical &amp; Electronic; Physics, Applied</t>
  </si>
  <si>
    <t>Computer Science; Engineering; Physics</t>
  </si>
  <si>
    <t>6B0PL</t>
  </si>
  <si>
    <t>WOS:000881046200001</t>
  </si>
  <si>
    <t>Ligon, E; Malick, B; Sheth, K; Trachtman, C</t>
  </si>
  <si>
    <t>Ligon, Ethan; Malick, Badal; Sheth, Ketki; Trachtman, Carly</t>
  </si>
  <si>
    <t>What explains low adoption of digital payment technologies? Evidence from small-scale merchants in Jaipur, India</t>
  </si>
  <si>
    <t>PLOS ONE</t>
  </si>
  <si>
    <t>The availability of digital payment technologies (such as internet banking, mobile money, and credit/debit cards) has rapidly increased in the developing world, and is a cornerstone for financial inclusion initiatives in developing countries. Despite significant efforts to promote digital payments, rates of adoption remain modest in some low-income countries. In particular, the rate of adoption in India remains low despite significant efforts to promote adoption. In this paper, we consider possible reasons for the low rates of adoption among merchants in Jaipur, India with small fixed-location store enterprises. Using survey data for 1,003 merchants, we find little evidence that supply-side barriers to obtaining necessary infrastructure or meeting prerequisite requirements to adopt digital payments explain the low level of adoption. Merchants are able to obtain infrastructure to transact digitally (such as bank accounts and smart phones), fees on digital platforms are affordable, and merchants are sufficiently literate to be able to use digital payment systems. We conclude that adoption is both feasible and inexpensive. Therefore, low rates of adoption do not appear to be the result of supply-side barriers, but due rather to demand-side factors or taxes. We find direct evidence of such demand-side factors, such as a perceived lack of customers wanting to pay digitally, and concerns that records of mobile payments might increase tax liability. Our results thus suggest that simply lowering the costs associated with adopting these technologies is unlikely to be successful in increasing adoption of digital payments.</t>
  </si>
  <si>
    <t>[Ligon, Ethan; Trachtman, Carly] Univ Calif Berkeley, Dept Agr &amp; Resource Econ, Berkeley, CA 94720 USA; [Malick, Badal] IFMR LEAD, CATALYST, New Delhi, India; [Sheth, Ketki] Univ Calif Merced, Dept Econ, Merced, CA USA</t>
  </si>
  <si>
    <t>University of California System; University of California Berkeley; KREA University; IFMR - Graduate School of Business (GSB); University of California System; University of California Merced</t>
  </si>
  <si>
    <t>Ligon, E (corresponding author), Univ Calif Berkeley, Dept Agr &amp; Resource Econ, Berkeley, CA 94720 USA.</t>
  </si>
  <si>
    <t>ligon@berkeley.edu</t>
  </si>
  <si>
    <t>Trachtman, Carly/0000-0001-8174-9547</t>
  </si>
  <si>
    <t>Digital Credit Observatory; Bill and Melinda Gates Foundation's Digital Credit Observatory initiative; Bill &amp; Melinda Gates Foundation</t>
  </si>
  <si>
    <t>Digital Credit Observatory; Bill and Melinda Gates Foundation's Digital Credit Observatory initiative; Bill &amp; Melinda Gates Foundation(Bill &amp; Melinda Gates FoundationBill &amp; Melinda Gates Foundation Grand Challenges Explorations InitiativeCGIAR)</t>
  </si>
  <si>
    <t>This research was sponsored in part by a grant from the Digital Credit Observatory, a program funded by the Bill &amp; Melinda Gates Foundation and managed by the Center for Effective Global Action at the University of California, Berkeley (EL, KS, CT). No sponsor or funder played any role in the study design, data collection and analysis, decision to publish, or preparation of the manuscript.We acknowledge the Bill and Melinda Gates Foundation's Digital Credit Observatory initiative for helping to fund this investigation. We also acknowledge the Center for Effective Global Action (CEGA), Catalyst, PRICE, and IFMR-LEAD for providing assistance and institutional support.</t>
  </si>
  <si>
    <t>PUBLIC LIBRARY SCIENCE</t>
  </si>
  <si>
    <t>SAN FRANCISCO</t>
  </si>
  <si>
    <t>1160 BATTERY STREET, STE 100, SAN FRANCISCO, CA 94111 USA</t>
  </si>
  <si>
    <t>1932-6203</t>
  </si>
  <si>
    <t>PLoS One</t>
  </si>
  <si>
    <t>JUL 31</t>
  </si>
  <si>
    <t>e0219450</t>
  </si>
  <si>
    <t>10.1371/journal.pone.0219450</t>
  </si>
  <si>
    <t>IW4XR</t>
  </si>
  <si>
    <t>WOS:000484983600009</t>
  </si>
  <si>
    <t>Liaskovska, S</t>
  </si>
  <si>
    <t>Liaskovska, Svitlana</t>
  </si>
  <si>
    <t>THE STATE'S HUNT FOR CITIZENS' FOREIGN CURRENCY SAVINGS DURING THE PERIOD OF INDUSTRIALIZATION (1930-1934)</t>
  </si>
  <si>
    <t>UKRAINSKYI ISTORYCHNYI ZHURNAL</t>
  </si>
  <si>
    <t>OGPU; GPU of the Ukrainian SSR; economic departments of the GPU of the Uk- rainian SSR; Credit Bureau; insurance policies; insurance companies; foreign currency; remittances; Torgsin; State Bank</t>
  </si>
  <si>
    <t>The objective is to determine the socio-economic realities constructed in the Bolshevik state regarding the transfer from abroad and confiscation of foreign currency funds from the population. The tasks defined by this objective include analyzing Soviet state practices of confiscating foreign currency from its citizens through money transfers, payments on bank accounts, insurance policies, and inheritance cases. The methodology combines tools of historical and legal analysis, institutionalism methods, and social anthropology. The scientific novelty lies in uncovering, based on a wide range of unpublished archival documents, the mechanisms by which the state, through the intermediary of the joint-stock company Credit Bureau and with the involvement of the economic divisions of the GPU of the Ukrainian SSR, accessed foreign currency savings of Soviet citizens abroad. Conclusions. It has been established that to implement economic projects in the early 1930s, the Soviet regime utilized all possible means to secure the inflow of foreign currency into the country. A mechanism was developed to replenish the state treasury even through money transfers sent to Soviet citizens by relatives and acquaintances from abroad. The currency shortage in 1931 led to the refinement of the mechanism for extracting foreign currency savings held abroad by the population. These processes were reflected in two significant events: the expansion of Torgsins' powers and the restoration of the joint-stock company Credit Bureau with new functions at the proposal of the OGPU. Through the employees and agents of the economic divisions of the OGPU and the GPU of the Ukrainian SSR, the Credit Bureau identified individuals who had bank accounts abroad, insurance policies with foreign companies, or potential inheritance rights from relatives residing outside the country. After obtaining authorization from these citizens to manage their affairs, the Credit Bureau, following an established mechanism, repatriated their foreign currency savings to the country. All the currency was directed to the State Bank, while potential recipients of foreign currency could only receive a portion of these funds in the form of goods from Torgsin stores. In this way, through state security bodies and the institutions they created, the political regime not only controlled but, under the guise of caring for the population, confiscated even the savings of Soviet citizens located abroad.</t>
  </si>
  <si>
    <t>svlask@ukr.net</t>
  </si>
  <si>
    <t>; Liaskovska, Svitlana/AAF-4369-2021</t>
  </si>
  <si>
    <t>Лясковська, Світлана/0000-0002-1394-6394;</t>
  </si>
  <si>
    <t>NATL ACAD SCIENCES UKRAINE, INST HISTORY UKRAINE</t>
  </si>
  <si>
    <t>KYIV</t>
  </si>
  <si>
    <t>4 M HRUSHEVSKY ST, KYIV, 01001, UKRAINE</t>
  </si>
  <si>
    <t>0130-5247</t>
  </si>
  <si>
    <t>1729-570X</t>
  </si>
  <si>
    <t>UKR ISTORYCHNYI ZH</t>
  </si>
  <si>
    <t>Ukr. Istorychnyi Zh.</t>
  </si>
  <si>
    <t>10.15407/uhj2025.01.080</t>
  </si>
  <si>
    <t>0SN4U</t>
  </si>
  <si>
    <t>WOS:001454984300006</t>
  </si>
  <si>
    <t>Mercado, R, Jr; Pontines, V</t>
  </si>
  <si>
    <t>Mercado Jr, Rogelio; Pontines, Victor</t>
  </si>
  <si>
    <t>Which financial inclusion indicators and dimensions matter for income inequality? A Bayesian model averaging approach</t>
  </si>
  <si>
    <t>EMPIRICAL ECONOMICS</t>
  </si>
  <si>
    <t>Bayesian model averaging; Financial inclusion; Income inequality; Bayesian inference; C11; C52; O15; O16</t>
  </si>
  <si>
    <t>DETERMINANTS; PRIORS</t>
  </si>
  <si>
    <t>This paper employs Bayesian model averaging (BMA) and uses posterior inclusion probability (PIP) values to evaluate which financial inclusion indicators, dimensions, and other determinants of income inequality should be considered in an empirical specification assessing the relationship between financial inclusion and income inequality, given model uncertainty. The results show that for the lower income country group, financial access and usage indicators are the most relevant financial inclusion indicators. For financial inclusion dimension, we find evidence on the importance of financial access. However, the results for upper income country group are different, suggesting the need to differentiate between the two groups in assessing the importance of financial inclusion on income inequality. These results suggest that theoretical models linking financial inclusion and income inequality could well focus on the role of financial access by providing theoretical foundations on the mechanics as to how this dimension of financial inclusion impact income inequality particularly for lower income countries.</t>
  </si>
  <si>
    <t>[Mercado Jr, Rogelio; Pontines, Victor] SEACEN Ctr, Kuala Lumpur, Malaysia</t>
  </si>
  <si>
    <t>Pontines, V (corresponding author), SEACEN Ctr, Kuala Lumpur, Malaysia.</t>
  </si>
  <si>
    <t>vicpontines@hotmail.com</t>
  </si>
  <si>
    <t>Mercado, Rogelio/0000-0002-9274-8301; Pontines, Victor/0000-0002-1709-5523</t>
  </si>
  <si>
    <t>PHYSICA-VERLAG GMBH &amp; CO</t>
  </si>
  <si>
    <t>PO BOX 10 52 80, 69042 HEIDELBERG, GERMANY</t>
  </si>
  <si>
    <t>0377-7332</t>
  </si>
  <si>
    <t>1435-8921</t>
  </si>
  <si>
    <t>EMPIR ECON</t>
  </si>
  <si>
    <t>Empir. Econ.</t>
  </si>
  <si>
    <t>10.1007/s00181-024-02559-2</t>
  </si>
  <si>
    <t>C0S5O</t>
  </si>
  <si>
    <t>WOS:001169419900001</t>
  </si>
  <si>
    <t>Polasik, M; Huterska, A; Meler, A</t>
  </si>
  <si>
    <t>Polasik, Michal; Huterska, Agnieszka; Meler, Andrzej</t>
  </si>
  <si>
    <t>The impact of formal education on financial inclusion in payment services</t>
  </si>
  <si>
    <t>E-MENTOR</t>
  </si>
  <si>
    <t>Polish</t>
  </si>
  <si>
    <t>ONLINE BANKING ADOPTION; INTERNET BANKING; TECHNOLOGY</t>
  </si>
  <si>
    <t>The purpose of the article is to examine the impact of consumer characteristics, including formal education, on the degree of payment inclusion, which is an important element of financial inclusion. For this purpose, the results of two surveys conducted in cooperation with the TNS research agency were used - the first one based on a nationwide sample of 1000 people aged 15 and over and the second one covering selected European Union countries. Statistical data have showed that in some European countries, including Poland, low-educated consumers use bank services less often, while in other countries the differences are small. An in-depth quantitative analysis of this problem concerning the Polish market was conducted using the logit model. The obtained results indicate that such activities as having a bank account, accessing this account via the internet, holding a card and using mobile payments are significantly dependent on the number of years of formal education of a consumer as well as some of their other socio-demographic characteristics. This points out that it would be justified to introduce the knowledge of the use of financial services already at the level of primary education.</t>
  </si>
  <si>
    <t>[Polasik, Michal; Huterska, Agnieszka] Uniwersytetu Mikolaja Kopernika Toruniu, Nauk Ekon, Torun, Poland; [Polasik, Michal] Uniwersytetu Mikolaja Kopernika Toruniu, Wydziale Nauk Ekon &amp; Zarzadzania, Torun, Poland; [Huterska, Agnieszka] Uniwersytetu Mikolaja Kopernika Toruniu, Katedrze Zarzadzania Finansami, Torun, Poland; [Meler, Andrzej] Pracowni Badan Medioznawczych Inst Socjol, Torun, Poland</t>
  </si>
  <si>
    <t>Nicolaus Copernicus University; Nicolaus Copernicus University; Nicolaus Copernicus University</t>
  </si>
  <si>
    <t>Polasik, M (corresponding author), Uniwersytetu Mikolaja Kopernika Toruniu, Nauk Ekon, Torun, Poland.;Polasik, M (corresponding author), Uniwersytetu Mikolaja Kopernika Toruniu, Wydziale Nauk Ekon &amp; Zarzadzania, Torun, Poland.</t>
  </si>
  <si>
    <t>Huterska, Agnieszka/AAC-9799-2021; Polasik, Michal/H-8956-2016</t>
  </si>
  <si>
    <t>Huterska, Agnieszka/0000-0002-4722-2853;</t>
  </si>
  <si>
    <t>WARSAW SCH ECONOMICS</t>
  </si>
  <si>
    <t>WARSAW</t>
  </si>
  <si>
    <t>AL NIEPODLEGLOSCI 162, WARSAW, 02554, POLAND</t>
  </si>
  <si>
    <t>1731-6758</t>
  </si>
  <si>
    <t>1731-7428</t>
  </si>
  <si>
    <t>E-Mentor</t>
  </si>
  <si>
    <t>GL0XO</t>
  </si>
  <si>
    <t>WOS:000436817500006</t>
  </si>
  <si>
    <t>Ashraf, N; Aycinena, D; Martínez, C; Yang, DA</t>
  </si>
  <si>
    <t>Ashraf, Nava; Aycinena, Diego; Martinez A, Claudia; Yang, Dean</t>
  </si>
  <si>
    <t>SAVINGS IN TRANSNATIONAL HOUSEHOLDS: A FIELD EXPERIMENT AMONG MIGRANTS FROM EL SALVADOR</t>
  </si>
  <si>
    <t>INTRAHOUSEHOLD ALLOCATION; DECISION-MAKING; MARRIAGE</t>
  </si>
  <si>
    <t>We implemented a randomized field experiment that tested ways to stimulate migrants' savings in their origin country. We find that migrants value opportunities to exert greater control over financial activities in their home countries. We offered U.S.-based migrants bank accounts in El Salvador, randomly varying migrant control over El Salvador-based savings by offering different accounts across treatments. Migrants offered the greatest degree of control accumulated the most savings. Impacts likely represent increases in total savings; there is no evidence that savings increases were simply reallocated from other savings mechanisms. Enhanced control over home country savings does not affect remittances sent home.</t>
  </si>
  <si>
    <t>[Ashraf, Nava] Harvard Univ, Sch Business, Cambridge, MA 02138 USA; [Aycinena, Diego] Francisco Marroquin Univ, Guatemala City, Guatemala; [Martinez A, Claudia] Pontificia Univ Catolica Chile, Santiago, Chile; [Yang, Dean] Univ Michigan, Ann Arbor, MI 48109 USA</t>
  </si>
  <si>
    <t>Harvard University; Pontificia Universidad Catolica de Chile; University of Michigan System; University of Michigan</t>
  </si>
  <si>
    <t>Ashraf, N (corresponding author), Harvard Univ, Sch Business, Cambridge, MA 02138 USA.</t>
  </si>
  <si>
    <t>; Aycinena, Diego/KCL-1336-2024</t>
  </si>
  <si>
    <t>Yang, Dean/0000-0002-5165-3816; Aycinena, Diego/0000-0001-6330-5926</t>
  </si>
  <si>
    <t>John D. and Catherine T. MacArthur Foundation; Inter-American Development Bank; National Science Foundation [SES-0851570]; Multilateral Investment Fund; Empowerment Lab at Harvard University's Center for International Development; University of Michigan's International Policy Center</t>
  </si>
  <si>
    <t>John D. and Catherine T. MacArthur Foundation; Inter-American Development Bank; National Science Foundation(National Science Foundation (NSF)); Multilateral Investment Fund; Empowerment Lab at Harvard University's Center for International Development(Harvard University); University of Michigan's International Policy Center</t>
  </si>
  <si>
    <t>This paper was previously titled Remittances and the Problem of Control. We thank the core members of the project team at ESSMF (Angela Gonzalez, Michelle Guevara, Ronald Luna, Amaris Rodriguez, and Eric Rubin), at FUSADES (Margarita Sanfeliu and Mauricio Shi), and at Banco Agricola (Hector Aguiar, Gustavo Denys, Carla de Espinoza, Mauricio Gallardo, Oscar Hernandez, Sabina Lopez, Ernesto Magana, Katya O'Byrne, and Paul Ponce). We greatly appreciate the collaboration of Enilson Solano and the El Salvador embassy in Washington, D.C. We received valuable feedback and suggestions from Manuel Agosin, Natasha Bajuk, Catia Batista, Charlie Brown, Michael Clemens, Angus Deaton, Esther Duflo, Suzanne Duryea, Jon Guryan, Ricardo Hausmann, Gabriela Inchauste, Takatoshi Kamezawa, Michael Kremer, Steve Levitt, John List, Adriana Lleras-Muney, Ernesto Lopez-Cordova, Osmel Manzano, Doug Massey, Margarita Mooney, Hugo Nopo, Chris Paxson, Alejandro Portes, Jesse Rothstein, Jesse Shapiro, Ernesto Stein, Bryce Millett Steinberg, Mel Stephens, Don Terry, Steve Wilson, Viviana Zelizer, and participants in several seminars. Alejandra Aponte, Fernando Balzaretti, Sebastian Calonico, Carly Farver, Andres Shahidinejad, and Cristian Sanchez provided excellent research assistance. Martinez A. thanks University of Chile, where this research was partly undertaken. This research was made possible by financial support from the John D. and Catherine T. MacArthur Foundation, the Inter-American Development Bank, the National Science Foundation, the Multilateral Investment Fund, the Empowerment Lab at Harvard University's Center for International Development, and the University of Michigan's International Policy Center. D.Y. acknowledges research support from National Science Foundation award SES-0851570.</t>
  </si>
  <si>
    <t>10.1162/REST_a_00462</t>
  </si>
  <si>
    <t>CG7SY</t>
  </si>
  <si>
    <t>WOS:000353506600008</t>
  </si>
  <si>
    <t>Asongu, SA; Agyemang-Mintah, P; Nting, RT</t>
  </si>
  <si>
    <t>Asongu, Simplice A.; Agyemang-Mintah, Peter; Nting, Rexon T.</t>
  </si>
  <si>
    <t>Law, mobile money drivers and mobile money innovations in developing countries</t>
  </si>
  <si>
    <t>TECHNOLOGICAL FORECASTING AND SOCIAL CHANGE</t>
  </si>
  <si>
    <t>E-WALLET PROGRAM; FINANCIAL INCLUSION; INFORMATION ASYMMETRY; MARKET POWER; BANKING; AFRICA; DIFFUSION; FARMERS; TECHNOLOGY; INEQUALITY</t>
  </si>
  <si>
    <t>This study investigates how the rule of law (i.e. law) modulates demand- and supply-side drivers of mobile money to influence mobile money innovations (i.e. mobile money accounts, the mobile phone used to send money and the mobile phone used to receive money) in developing countries. The following findings from Tobit regressions are established. First, from the demand-side linkages, law modulates: (i) bank accounts and automated teller machine (ATM) penetration for negative interactive relationships with mobile money innovations and (ii) bank sector concentration for a positive interactive relationship with mobile money accounts. Second, from supply-side linkages, law interacts with: (i) mobile subscriptions for a negative relationship with the mobile phone used to send money; (ii) mobile connectivity coverage for a negative nexus on the mobile phone used to receive money and (iii) mobile connectivity performance for a negative influence on the mobile phone used to send/receive money. Policy implications are discussed in the light of enhancing the rule of law as well as improving mobile phone subscription, connectivity and performance dynamics.</t>
  </si>
  <si>
    <t>[Asongu, Simplice A.] Univ South Africa, Dept Econ, UNISA, POB 392, ZA-0003 Pretoria, South Africa; [Agyemang-Mintah, Peter] Zayed Univ Abu Dhabi, Coll Business, POB 144534, Abu Dhabi, U Arab Emirates; [Nting, Rexon T.] Univ Wales Trinity St David, Business Sch, Winchester House,11 Cranmer Rd, London SW9 6EJ, England</t>
  </si>
  <si>
    <t>University of South Africa; Zayed University; Abu Dhabi University</t>
  </si>
  <si>
    <t>Asongu, SA (corresponding author), Univ South Africa, Dept Econ, UNISA, POB 392, ZA-0003 Pretoria, South Africa.</t>
  </si>
  <si>
    <t>asongus@afridev.org; z10875@zu.ac.ae; rexon.nting@uwtsd.ac.uk</t>
  </si>
  <si>
    <t>Nting, Rexon/ABF-6389-2020; Simplice, Asongu/K-3436-2014</t>
  </si>
  <si>
    <t>Simplice, Asongu/0000-0001-5227-5135</t>
  </si>
  <si>
    <t>0040-1625</t>
  </si>
  <si>
    <t>1873-5509</t>
  </si>
  <si>
    <t>TECHNOL FORECAST SOC</t>
  </si>
  <si>
    <t>Technol. Forecast. Soc. Chang.</t>
  </si>
  <si>
    <t>10.1016/j.techfore.2021.120776</t>
  </si>
  <si>
    <t>SD4IO</t>
  </si>
  <si>
    <t>WOS:000651337500011</t>
  </si>
  <si>
    <t>Sohn, SH; Joo, SH; Grable, JE; Lee, S; Kim, M</t>
  </si>
  <si>
    <t>Sohn, Sang-Hee; Joo, So-Hyun; Grable, John E.; Lee, Seonglim; Kim, Minjeung</t>
  </si>
  <si>
    <t>Adolescents' financial literacy: The role of financial socialization agents, financial experiences, and money attitudes in shaping financial literacy among South Korean youth</t>
  </si>
  <si>
    <t>JOURNAL OF ADOLESCENCE</t>
  </si>
  <si>
    <t>Financial socialization agents; Money attitudes; Financial experiences; Financial literacy; Financial education</t>
  </si>
  <si>
    <t>ETHIC SCALE; BEHAVIOR; SATISFACTION</t>
  </si>
  <si>
    <t>The purpose of this study was to test the relationships between financial socialization agents, financial experiences, money attitudes, demographic characteristics, and the financial literacy of Korean adolescents. Using the 2006 Korean National Financial Literacy Test Survey for Adolescents (N = 1185), a series of regression analyses were performed to determine the factors related to financial literacy. It was found that those who chose media as their primary financial socialization agent, and those who had a bank account, exhibited higher levels of financial literacy. Among the sample, those who saw money as good or as a reward for efforts tended to report higher levels of financial literacy, while those perceiving money in terms of avoidance or achievement had lower levels of financial literacy. Students with mid-range monthly allowances showed higher levels of financial literacy compared to the highest allowance group. Implications for financial educators, policy makers, and researchers are provided. (C) 2012 The Foundation for Professionals in Services for Adolescents. Published by Elsevier Ltd. All rights reserved.</t>
  </si>
  <si>
    <t>[Joo, So-Hyun] Ewha Womans Univ, Coll Social Sci, Seoul 120750, South Korea; [Sohn, Sang-Hee] Seoul Natl Univ, Res Inst Human Ecol, Dept Consumer Sci, Seoul, South Korea; [Grable, John E.] Kansas State Univ, Manhattan, KS 66506 USA; [Lee, Seonglim] Sungkyunkwan Univ, Dept Consumer &amp; Family Sci, Seoul, South Korea; [Kim, Minjeung] Chungbuk Natl Univ, Dept Consumer Studies, Coll Human Ecol, Chungbuk, South Korea</t>
  </si>
  <si>
    <t>Ewha Womans University; Seoul National University (SNU); Kansas State University; Sungkyunkwan University (SKKU); Chungbuk National University</t>
  </si>
  <si>
    <t>Joo, SH (corresponding author), Ewha Womans Univ, Coll Social Sci, 11-1 Deahyun Dong, Seoul 120750, South Korea.</t>
  </si>
  <si>
    <t>sohyunjoo@ewha.ac.kr</t>
  </si>
  <si>
    <t>Grable, John/M-4791-2019</t>
  </si>
  <si>
    <t>Grable, John/0000-0001-7093-8510; Lee, Seonglim/0000-0003-1530-4501</t>
  </si>
  <si>
    <t>0140-1971</t>
  </si>
  <si>
    <t>1095-9254</t>
  </si>
  <si>
    <t>J ADOLESCENCE</t>
  </si>
  <si>
    <t>J. Adolesc.</t>
  </si>
  <si>
    <t>10.1016/j.adolescence.2012.02.002</t>
  </si>
  <si>
    <t>Psychology, Developmental</t>
  </si>
  <si>
    <t>994BW</t>
  </si>
  <si>
    <t>WOS:000307906900018</t>
  </si>
  <si>
    <t>Scott, D; Ma, L; Broyd, T</t>
  </si>
  <si>
    <t>Scott, Denis; Ma, Ling; Broyd, Tim</t>
  </si>
  <si>
    <t>Project bank account (PBA) decentralised application for the construction industry</t>
  </si>
  <si>
    <t>CONSTRUCTION INNOVATION-ENGLAND</t>
  </si>
  <si>
    <t>Construction technology; Blockchain; Cash flow; Smart contract; Payments; Project bank account</t>
  </si>
  <si>
    <t>BLOCKCHAIN</t>
  </si>
  <si>
    <t>PurposePoor cash flow management and lack of profitability have plagued the construction industry for decades. In response, the UK Government published the project bank account (PBA) payment strategy in 2012 to mitigate main contractors unfairly withholding liabilities. However, PBAs suffer from adoption challenges, such as systems fragmentation and a lack of incentives for main contractors to adopt them effectively. This study aims to investigate how to reduce systems fragmentation in construction by integrating PBA procedures with existing management workflows to increase payment automation, resulting in improved cash liquidity and better incentives for using PBAs.Design/methodology/approachA PBA blockchain decentralised application is developed, presented and critically evaluated. Blockchain is the technology used because of its permissionless, license-free, open-source and immutability properties. It is a suitable general-purpose technology layer for building and testing applications without the limitations associated with centralised technologies, such as high proprietary fees, vendor lock and intellectual property restrictions.FindingsThe research demonstrates how a blockchain application can integrate siloed construction workflows such as cash flow scheduling, supply chain management and payment executions, reducing the management workload for implementing PBAs in construction projects. Furthermore, the proposed application is open-source and replicable, and its user interface is available for external testing here: https://console.atra.io/app/bf26f846-7f16-4f80-90a0-c5488ab6edd3.Originality/valuePBA is a suitable test case because it enforces an auditable, transparent and neutral account, which are inbuilt properties of blockchains; thus, both systems are harmonious to integrate. PBA is mandated in UK public sector construction projects; therefore, the research has a solid practical foundation.</t>
  </si>
  <si>
    <t>[Scott, Denis; Ma, Ling; Broyd, Tim] UCL, Bartlett Fac Built Environm, Bartlett Sch Sustainable Construct, London, England</t>
  </si>
  <si>
    <t>Scott, D (corresponding author), UCL, Bartlett Fac Built Environm, Bartlett Sch Sustainable Construct, London, England.</t>
  </si>
  <si>
    <t>denis.scott.19@ucl.ac.uk</t>
  </si>
  <si>
    <t>; Ma, Ling/F-6641-2010</t>
  </si>
  <si>
    <t>Scott, Denis/0000-0002-9673-3537; Ma, Ling/0000-0002-9187-471X</t>
  </si>
  <si>
    <t>University College London and Costain PLC</t>
  </si>
  <si>
    <t>The author would like to thank University College London and Costain PLC for jointly sponsoring the PhD researcher with a scholarship.</t>
  </si>
  <si>
    <t>1471-4175</t>
  </si>
  <si>
    <t>1477-0857</t>
  </si>
  <si>
    <t>CONSTR INNOV-ENGL</t>
  </si>
  <si>
    <t>Constr. Innov.-Engl.</t>
  </si>
  <si>
    <t>NOV 17</t>
  </si>
  <si>
    <t>10.1108/CI-04-2023-0067</t>
  </si>
  <si>
    <t>Construction &amp; Building Technology</t>
  </si>
  <si>
    <t>9RX0F</t>
  </si>
  <si>
    <t>WOS:001137817700001</t>
  </si>
  <si>
    <t>Allen, F; Carletti, E; Cull, R; Qian, JQ; Senbet, L; Valenzuela, P</t>
  </si>
  <si>
    <t>Allen, Franklin; Carletti, Elena; Cull, Robert; Qian, Jun Qj; Senbet, Lemma; Valenzuela, Patricio</t>
  </si>
  <si>
    <t>Improving Access to Banking: Evidence from Kenya</t>
  </si>
  <si>
    <t>REVIEW OF FINANCE</t>
  </si>
  <si>
    <t>Equity Bank; Financial access; Bank penetration; Bank account; Microfinance</t>
  </si>
  <si>
    <t>MICROFINANCE; MICROCREDIT; DECLINE; SAVINGS; IMPACT; MATTER</t>
  </si>
  <si>
    <t>We explore the relationship between bank branch expansion, financial inclusion, and profitability for Equity Bank. Unlike traditional banks, including foreign and government owned banks in Kenya, Equity Bank targets less developed territories and less privileged households. Its presence increased financial inclusion by 31% of the adult population between 2006 and 2015, especially for Kenyans who were less educated, did not own their own home, and lived in less-developed areas. The bank's business model proves to be highly effective, with branch-level profits rising in areas with a smaller number of operating banks. Overall, the growth of Equity Bank demonstrates that financial inclusion can be achieved and sustained through profitable branching and service strategies that also serve the needs of underserved regions and populations. Thus, financial inclusion need not come at the sacrifice of bank profitability.</t>
  </si>
  <si>
    <t>[Allen, Franklin] Imperial Coll London, London, England; [Carletti, Elena] Bocconi Univ, Milan, Italy; [Cull, Robert] World Bank, 1818 H St NW, Washington, DC 20433 USA; [Qian, Jun Qj] Fudan Univ, Shanghai, Peoples R China; [Senbet, Lemma] Univ Maryland, College Pk, MD 20742 USA; [Valenzuela, Patricio] Univ Chile, Santiago, Chile</t>
  </si>
  <si>
    <t>Imperial College London; Bocconi University; The World Bank; Fudan University; University System of Maryland; University of Maryland College Park; Universidad de Chile</t>
  </si>
  <si>
    <t>Allen, F (corresponding author), Imperial Coll London, London, England.</t>
  </si>
  <si>
    <t>Carletti, Elena/MTD-2774-2025; Valenzuela, Patricio/F-8264-2016</t>
  </si>
  <si>
    <t>Carletti, Elena/0000-0002-5792-4437; Valenzuela, Patricio/0000-0001-8171-9751</t>
  </si>
  <si>
    <t>1572-3097</t>
  </si>
  <si>
    <t>1573-692X</t>
  </si>
  <si>
    <t>REV FINANC</t>
  </si>
  <si>
    <t>Rev. Financ.</t>
  </si>
  <si>
    <t>10.1093/rof/rfaa024</t>
  </si>
  <si>
    <t>SA5TY</t>
  </si>
  <si>
    <t>WOS:000649367200005</t>
  </si>
  <si>
    <t>Li, J; Greenwood, D; Kassem, M</t>
  </si>
  <si>
    <t>Li, Jennifer; Greenwood, David; Kassem, Mohamad</t>
  </si>
  <si>
    <t>Blockchain in the built environment and construction industry: A systematic review, conceptual models and practical use cases</t>
  </si>
  <si>
    <t>Blockchain technologies; Distributed ledger technology (DLT); Socio-technical systems; Use cases; Project Bank Accounts (PBAs); Regulations and compliance; Built environment; Construction industry</t>
  </si>
  <si>
    <t>DISTRIBUTED LEDGER TECHNOLOGY; SOCIOTECHNICAL SYSTEMS; ELECTRICITY; SECURITY</t>
  </si>
  <si>
    <t>The construction industry is facing many challenges including low productivity, poor regulation and compliance, lack of adequate collaboration and information sharing, and poor payment practices. Advances in distributed ledger technologies (DLT), also referred to as Blockchain, are increasingly investigated as one of the constituents in the digital transformation of the construction industry and its response to these challenges. The overarching aim of this study was to analyse the current state of DLT in the built environment and the construction sector with a view to developing a coherent approach to support its adoption specifically in the construction industry. Three objectives were established to achieve this: (a) to present the first state-of-the-art and literature review on DLT in the built environment and construction industry providing a consolidated view of the applications explored and potential use cases that could support disruption of the construction industry. Seven use-categories were identified: [1] Smart Energy, [2] Smart Cities &amp; the Sharing Economy, [3] Smart Government, [4] Smart Homes, [5] Intelligent Transport, [6] BIM and Construction Management, and [7] Business Models and Organisational Structures; (b) to propose a framework for implementation composed of two conceptual models (i.e. the DLT Four-Dimensional Model, and the DLT Actors Model), developed according to extended socio-technical systems theory and including four dimensions (technical, social, process and policy), to support the development of DLT-based solutions that are adequate to the challenges faced by the construction industry. The DLT Four-Dimensional Model and the DLT Actors Model contribute to improve the understanding of the concepts involved when discussing DLT applications in construction and represent flexible, adaptable and scalable knowledge constructs and foundations that can be used for various further investigations; and (c) to appraise three specific use cases (i.e. Project Bank Accounts, regulation and compliance, and a single shared access BIM model) as potential areas for DLT through the application of a decision support tool. The results show that Project Bank Accounts (FBAs) and regulation and compliance are candidate areas for DLT applications and warrant further attention. However, for the third use case (i.e. single shared-access BIM model) DLT are still insufficiently developed at this time. The research shows that there is real potential for DLT to support digitalisation in the construction industry and enable solutions to many of its challenges. However, there needs to be further investigation of the readiness of the industry, its organisations and processes, and to evaluate what changes need to occur before implementation can be successful. Further investigations will include the development of a roadmap process incorporating the four dimensions to evaluate readiness across a series of use cases for the construction industry.</t>
  </si>
  <si>
    <t>[Li, Jennifer; Greenwood, David; Kassem, Mohamad] Northumbria Univ, Fac Engn &amp; Environm, Dept Mech &amp; Construct Engn, Newcastle NE1 8ST, England</t>
  </si>
  <si>
    <t>Northumbria University</t>
  </si>
  <si>
    <t>Li, J; Kassem, M (corresponding author), Northumbria Univ, Fac Engn &amp; Environm, Dept Mech &amp; Construct Engn, Newcastle NE1 8ST, England.</t>
  </si>
  <si>
    <t>Jennifer.Li@northumbria.ac.uk; Mohamad.Kassem@northumbria.ac.uk</t>
  </si>
  <si>
    <t>greenwood, david/0000-0003-1615-2036; Kassem, Mohamad/0000-0002-9837-3934; Li, Jennifer/0000-0002-3246-8279</t>
  </si>
  <si>
    <t>10.1016/j.autcon.2019.02.005</t>
  </si>
  <si>
    <t>HR7CQ</t>
  </si>
  <si>
    <t>WOS:000463309900021</t>
  </si>
  <si>
    <t>Moreno-Herrero, D; Salas-Velasco, M; Sánchez-Campillo, J</t>
  </si>
  <si>
    <t>Moreno-Herrero, Dolores; Salas-Velasco, Manuel; Sanchez-Campillo, Jose</t>
  </si>
  <si>
    <t>The Knowledge and Skills That Are Essential to Make Financial Decisions: First Results From PISA 2012</t>
  </si>
  <si>
    <t>FINANZARCHIV</t>
  </si>
  <si>
    <t>PISA 2012; financial literacy; multilevel analysis; the teaching of financial education</t>
  </si>
  <si>
    <t>SCHOOL CLIMATE; EDUCATION; LITERACY; CURRICULUM</t>
  </si>
  <si>
    <t>Using a multilevel analysis with data from PISA 2012, we find that the differences in financial literacy of 15-year-old students are explained by both individual and school characteristics. This paper finds that the financial education is positively related to students' financial literacy scores when it is taught as a cross-curricular subject and as part of business or economics courses, and to a lesser extent as part of mathematics and as an extracurricular activity. Also, math and reading abilities, and holding a bank account and a prepaid debit card, contribute positively to the development of financial literacy, while financial unfamiliarity contributes negatively.</t>
  </si>
  <si>
    <t>[Moreno-Herrero, Dolores; Salas-Velasco, Manuel; Sanchez-Campillo, Jose] Univ Granada, Campus Cartuja, E-18071 Granada, Spain</t>
  </si>
  <si>
    <t>University of Granada</t>
  </si>
  <si>
    <t>Moreno-Herrero, D (corresponding author), Univ Granada, Campus Cartuja, E-18071 Granada, Spain.</t>
  </si>
  <si>
    <t>mdmoreno@ugr.es; msalas@ugr.es; jsanchez@ugr.es</t>
  </si>
  <si>
    <t>Salas-Velasco, Manuel/AAT-9295-2020</t>
  </si>
  <si>
    <t>Salas-Velasco, Manuel/0000-0003-0618-5619</t>
  </si>
  <si>
    <t>MOHR SIEBECK</t>
  </si>
  <si>
    <t>TUBINGEN</t>
  </si>
  <si>
    <t>PO BOX 2040, TUBINGEN, 72010, GERMANY</t>
  </si>
  <si>
    <t>0015-2218</t>
  </si>
  <si>
    <t>1614-0974</t>
  </si>
  <si>
    <t>FinanzArchiv</t>
  </si>
  <si>
    <t>10.1628/fa-2018-0009</t>
  </si>
  <si>
    <t>GQ7GD</t>
  </si>
  <si>
    <t>WOS:000441903400001</t>
  </si>
  <si>
    <t>Motiwalla, L; Albashrawi, M; Kartal, HB</t>
  </si>
  <si>
    <t>Bui, TX</t>
  </si>
  <si>
    <t>Motiwalla, Luvai; Albashrawi, Mousa; Kartal, Hasan B.</t>
  </si>
  <si>
    <t>Understanding Mobile Banking Success through User Segmentation</t>
  </si>
  <si>
    <t>PROCEEDINGS OF THE 51ST ANNUAL HAWAII INTERNATIONAL CONFERENCE ON SYSTEM SCIENCES (HICSS)</t>
  </si>
  <si>
    <t>51st Annual Hawaii International Conference on System Sciences (HICSS)</t>
  </si>
  <si>
    <t>JAN 02-06, 2018</t>
  </si>
  <si>
    <t>HI</t>
  </si>
  <si>
    <t>Pacific Res Inst Informat Syst &amp; Management,Shidler Coll Business,IBM,Bizgenics Fdn,Arizona Eller,AIS,Baylor Business Informat Syst,Int Soc Serv Innovat,St Johns Univ, Coll Profess Studies,Syracuse Univ, Sch Informat Stud</t>
  </si>
  <si>
    <t>ADOPTER CATEGORIES; SERVICE QUALITY; EMPIRICAL-TEST; SYSTEM USAGE; MCLEAN MODEL; INTENTION; CLUSTER; DELONE</t>
  </si>
  <si>
    <t>Mobile banking (MB) which involves the use of mobile devices to access bank accounts for conducting financial transactions has grown rapidly but unevenly with users. Banks realizes the strategic role of user's satisfaction and the importance of MB systems in their business models. Yet, the diversity of users and disparity of system usage behaviors make difficult to measure MB success. This study segments the MB users on system use behavior of 4,478 users with objective measures by analyzing the MB system log files on various system usage metrics. Then, a subjective measures study surveys the same users on the system success factors of the information systems (IS) success model by using 445 responses. Results indicate that the influence of success factors significantly varies among user segments for intention to use, which makes an important contribution to enhance interpretation of the IS success model.</t>
  </si>
  <si>
    <t>[Motiwalla, Luvai] Univ MASS Lowell, Lowell, MA 01854 USA; [Albashrawi, Mousa] KFUPM, Dhahran, Saudi Arabia; [Kartal, Hasan B.] Univ Illinois, Springfield, IL 62703 USA</t>
  </si>
  <si>
    <t>University of Massachusetts System; University of Massachusetts Lowell; King Fahd University of Petroleum &amp; Minerals; University of Illinois System; University of Illinois Springfield</t>
  </si>
  <si>
    <t>Motiwalla, L (corresponding author), Univ MASS Lowell, Lowell, MA 01854 USA.</t>
  </si>
  <si>
    <t>luvai_motiwalla@uml.edu; bishrama@kfupm.edu.sa; hasan.kartal@uis.edu</t>
  </si>
  <si>
    <t>Albashrawi, Mousa/C-3135-2018</t>
  </si>
  <si>
    <t>Enterprise Bank Lowell</t>
  </si>
  <si>
    <t>We would like to thank Enterprise Bank Lowell for their support and data for this project.</t>
  </si>
  <si>
    <t>HICSS</t>
  </si>
  <si>
    <t>Honolulu</t>
  </si>
  <si>
    <t>Dept IT Mgmt, Shidler College of Business, Univ Hawaii at Manoa 2404 Maile Way D307, Honolulu, Hawaii, UNITED STATES</t>
  </si>
  <si>
    <t>978-0-9981331-1-9</t>
  </si>
  <si>
    <t>BQ9JN</t>
  </si>
  <si>
    <t>WOS:000625208500108</t>
  </si>
  <si>
    <t>Nseir, S; Hirzallah, N; Aqel, M</t>
  </si>
  <si>
    <t>Appl Sci Univ</t>
  </si>
  <si>
    <t>Nseir, Sana; Hirzallah, Nael; Aqel, Musbah</t>
  </si>
  <si>
    <t>A Secure Mobile Payment System using QR Code</t>
  </si>
  <si>
    <t>2013 5TH INTERNATIONAL CONFERENCE ON COMPUTER SCIENCE AND INFORMATION TECHNOLOGY (CSIT)</t>
  </si>
  <si>
    <t>International Conference on Computer Science and Information Technology</t>
  </si>
  <si>
    <t>5th International Conference on Computer Science and Information Technology (CSIT)</t>
  </si>
  <si>
    <t>MAR 27-28, 2013</t>
  </si>
  <si>
    <t>Appl Sci Private Univ, Amman, JORDAN</t>
  </si>
  <si>
    <t>Appl Sci Private Univ, Fac Informat Technol</t>
  </si>
  <si>
    <t>Appl Sci Private Univ</t>
  </si>
  <si>
    <t>Security; Mobile phones; Smart phone; QR Code, Payments</t>
  </si>
  <si>
    <t>Mobile phones have become an inseparable companion for many users, serving much more than just communication tools. In developing countries, the number of mobile phone users exceeds the number of those having bank accounts. Besides, the low banking service penetration and the large migrant communities are another factor to utilize mobile phones for payment purposes. Therefore, mobile payment may find the success it is targeting easily and much faster than in developed countries. There are a lot of variables involved related to Mobile Payments. In this paper, the various models used for Mobile payments are first discussed. Then, the paper will propose a scenario for mobile payment that tackles both concerns of the process, namely: speed of transaction and security, without complicating the process or making it undesirable to users.</t>
  </si>
  <si>
    <t>[Nseir, Sana; Aqel, Musbah] Zarqa Univ, Fac Sci &amp; IT, Zarqa, Jordan; [Hirzallah, Nael] Appl Sci Univ, Fac Sci &amp; IT, Amman, Jordan</t>
  </si>
  <si>
    <t>Zarqa University; Applied Science University - Jordan</t>
  </si>
  <si>
    <t>Nseir, S (corresponding author), Zarqa Univ, Fac Sci &amp; IT, Zarqa, Jordan.</t>
  </si>
  <si>
    <t>sananseir@gmail.com; Hirzallah@asu.edu.jo; musbahaqel@yahoo.com</t>
  </si>
  <si>
    <t>Aqel, Musbah/AAE-7249-2021</t>
  </si>
  <si>
    <t>2381-3458</t>
  </si>
  <si>
    <t>978-1-4673-5825-5</t>
  </si>
  <si>
    <t>INT CONF COMP SCI</t>
  </si>
  <si>
    <t>Computer Science, Information Systems; Computer Science, Theory &amp; Methods</t>
  </si>
  <si>
    <t>BA1RJ</t>
  </si>
  <si>
    <t>WOS:000332960400019</t>
  </si>
  <si>
    <t>Karakara, AA; Osabuohien, ES</t>
  </si>
  <si>
    <t>Karakara, Alhassan A.; Osabuohien, Evans S.</t>
  </si>
  <si>
    <t>Households' ICT access and bank patronage in West Africa: Empirical insights from Burkina Faso and Ghana</t>
  </si>
  <si>
    <t>TECHNOLOGY IN SOCIETY</t>
  </si>
  <si>
    <t>8th Annual Conference on Regional Integration in Africa</t>
  </si>
  <si>
    <t>JUL, 2017</t>
  </si>
  <si>
    <t>Lome, TOGO</t>
  </si>
  <si>
    <t>Bank patronage; Burkina Faso; Ghana; Households; ICT access; Remittance</t>
  </si>
  <si>
    <t>TECHNOLOGY ACCEPTANCE MODEL; INFORMATION-TECHNOLOGY</t>
  </si>
  <si>
    <t>Information and Communication Technologies (ICTs) play a crucial role on the individuals, businesses and the citizenry in a country. Some studies on ICT access tend to concentrate on the supply side of achieving universal access in ICTs. They do not look at the household demand side and how household access to ICTs enhances bank patronage and financial services. Thus, this study makes contribution by: a) focusing on the demand side of ICT access by households and how it fosters the patronage of financial services; b) investigating some of the socioeconomic characteristics that affect households' adoption of ICTs and bank patronage in Burkina Faso and Ghana. Demographic and Health Survey data for both Burkina Faso and Ghana 2014 was used with logit regression of bank patronage on socioeconomic variables and ICT equipment. The findings, inter alia, show that socioeconomic factors influence ICT adoption and bank services demand at the household level. However, the degree differs significantly between Burkina Faso and Ghana. In essence, whereas only 15% of the surveyed households own bank account in Burkina Faso, the figure for Ghana was more than thrice with 48% of the household owning bank account. Thus, policy should be tailored towards the provision and accessibility of ICTs to households which could enhance their desire for bank patronage as they become more informed on the relevance.</t>
  </si>
  <si>
    <t>[Karakara, Alhassan A.] Univ Cape Coast, Dept Econ, Cape Coast, Ghana; [Osabuohien, Evans S.] Covenant Univ, Dept Econ &amp; Dev Studies, Ota, Ogun State, Nigeria</t>
  </si>
  <si>
    <t>University of Cape Coast; Covenant University</t>
  </si>
  <si>
    <t>Karakara, AA (corresponding author), Univ Cape Coast, Dept Econ, Cape Coast, Ghana.</t>
  </si>
  <si>
    <t>abdul-wakeel.alhassan@stu.ucc.edu.gh; evans.osabuohien@covenantuniversity.edu.ng</t>
  </si>
  <si>
    <t>Osabuohien, Evans/O-3082-2017; Karakara, Alhassan Abdul-Wakeel/ABX-5822-2022</t>
  </si>
  <si>
    <t>Osabuohien, Evans/0000-0002-3258-8326; Karakara, Alhassan Abdul-Wakeel/0000-0001-7378-1678</t>
  </si>
  <si>
    <t>ELSEVIER SCI LTD</t>
  </si>
  <si>
    <t>THE BOULEVARD, LANGFORD LANE, KIDLINGTON, OXFORD OX5 1GB, OXON, ENGLAND</t>
  </si>
  <si>
    <t>0160-791X</t>
  </si>
  <si>
    <t>1879-3274</t>
  </si>
  <si>
    <t>TECHNOL SOC</t>
  </si>
  <si>
    <t>Technol. Soc.</t>
  </si>
  <si>
    <t>10.1016/j.techsoc.2018.09.010</t>
  </si>
  <si>
    <t>Social Issues; Social Sciences, Interdisciplinary</t>
  </si>
  <si>
    <t>Social Science Citation Index (SSCI); Conference Proceedings Citation Index - Social Science &amp; Humanities (CPCI-SSH)</t>
  </si>
  <si>
    <t>Social Issues; Social Sciences - Other Topics</t>
  </si>
  <si>
    <t>HL3NE</t>
  </si>
  <si>
    <t>WOS:000458621800011</t>
  </si>
  <si>
    <t>Kaur, R; Singh, A; Mishra, S</t>
  </si>
  <si>
    <t>Kaur, Ravinder; Singh, Ajaypal; Mishra, Suyash</t>
  </si>
  <si>
    <t>Mapping the Linkage Between Financial Literacy and Financial Inclusion: Evaluating the Mediating Effect of Online Banking and the Moderating Effect of Income</t>
  </si>
  <si>
    <t>JOURNAL OF PUBLIC AFFAIRS</t>
  </si>
  <si>
    <t>financial inclusion; financial literacy; financial services; online banking; PMJDY (Pradhan Mantri Jan-Dhan Yojana)</t>
  </si>
  <si>
    <t>IMPACT; DETERMINANTS; BEHAVIOR; POVERTY; COUNTRY; INDIA</t>
  </si>
  <si>
    <t>In the era of the digital world, the revitalization of poor households' responses to the availability and usage of financial services is essential. Deprived individuals who possess financial literacy are able to make better financial decisions by learning about and comprehending the different financial services that are offered in the market. This research is an attempt to investigate the mediating effect of online banking and the moderating effect of income while mapping linkages between financial literacy and financial inclusion in the context of PMJDY which is a national mission of financial inclusion in India. The primary data acquired from marginalized people having bank accounts under PMJDY via structured questionnaires in Himachal Pradesh (India) were analyzed using a structural equation model combined with bootstrap. The results of the current study shed valuable light on the crucial mediating role of online banking as a driver for financial inclusion through financial literacy for the beneficiaries of PMJDY. Additionally, this study emphasizes understanding the significance of household income in encouraging financial inclusion for marginalized groups. This study identifies crucial predictors of financial inclusion, especially through PMJDY and provides practical implications to assist policymakers in increasing financial services among marginalized populations by leveraging financial literacy and online banking, thereby contributing to broader financial inclusion in India.</t>
  </si>
  <si>
    <t>[Kaur, Ravinder] Cent Univ Haryana, Sch Business &amp; Management Studies, Dept Commerce, Mahendergrah, Haryana, India; [Singh, Ajaypal] Govt Coll Thachi Mandi, Dept Higher Educ, Shimla, Himachal Prades, India; [Mishra, Suyash] Cent Univ Haryana, Dept Vocat Studies &amp; Skill Dev, Retail &amp; Logist Management, Mahendergarh, Haryana, India</t>
  </si>
  <si>
    <t>Central University of Haryana; Central University of Haryana</t>
  </si>
  <si>
    <t>Mishra, S (corresponding author), Cent Univ Haryana, Dept Vocat Studies &amp; Skill Dev, Retail &amp; Logist Management, Mahendergarh, Haryana, India.</t>
  </si>
  <si>
    <t>dr.suyashmishra@gmail.com</t>
  </si>
  <si>
    <t>Mishra, Dr Suyash/IZE-7250-2023</t>
  </si>
  <si>
    <t>1472-3891</t>
  </si>
  <si>
    <t>1479-1854</t>
  </si>
  <si>
    <t>J PUBLIC AFF</t>
  </si>
  <si>
    <t>J. Public Aff.</t>
  </si>
  <si>
    <t>NOV 12</t>
  </si>
  <si>
    <t>e70089</t>
  </si>
  <si>
    <t>10.1002/pa.70089</t>
  </si>
  <si>
    <t>9QX1A</t>
  </si>
  <si>
    <t>WOS:001612885900001</t>
  </si>
  <si>
    <t>Roy, P; Sapre, A</t>
  </si>
  <si>
    <t>Roy, Pinaki; Sapre, Amey</t>
  </si>
  <si>
    <t>Does Social Embedding Influence Banking Habits? A Case of India</t>
  </si>
  <si>
    <t>JOURNAL OF EMERGING MARKET FINANCE</t>
  </si>
  <si>
    <t>Financial inclusion; bank account; social network; social embedding; India</t>
  </si>
  <si>
    <t>FINANCIAL INCLUSION; ECONOMIC-ACTION; EMBEDDEDNESS; GROWTH; IMPACT; FIRMS</t>
  </si>
  <si>
    <t>This article attempts to empirically investigate the relationship of social embeddedness and banking behaviour in India. Social embeddedness is a construct that in general refers to non-market societies or activities, such as customs, traditions and reciprocity, that dominate the conduct of societies. Using the India Human Development Survey (IHDS) 2005 household survey data, we construct a weighted average score of social embedding as captured by memberships in societies and network groups to estimate their impact on the likelihood of a household's access to banking. Findings show that social embeddedness has a positive and substantial impact on improving a household's access to banking. We argue that social embedding can serve as an effective means to enhance the reach and access of financial services if conventional inclusion programmes were to utilize and exploit such social channels.</t>
  </si>
  <si>
    <t>[Roy, Pinaki] Indian Inst Management, Ahmadabad, Gujarat, India; [Sapre, Amey] Indian Inst Technol, Kanpur 208016, Uttar Pradesh, India</t>
  </si>
  <si>
    <t>Indian Institute of Management (IIM System); Indian Institute of Management Ahmedabad; Indian Institute of Technology System (IIT System); Indian Institute of Technology (IIT) - Kanpur</t>
  </si>
  <si>
    <t>Sapre, A (corresponding author), Indian Inst Technol, Kanpur 208016, Uttar Pradesh, India.</t>
  </si>
  <si>
    <t>amey@iitk.ac.in</t>
  </si>
  <si>
    <t>0972-6527</t>
  </si>
  <si>
    <t>0973-0710</t>
  </si>
  <si>
    <t>J EMERG MARK FINANC</t>
  </si>
  <si>
    <t>J. Emerg. Mark. Financ.</t>
  </si>
  <si>
    <t>10.1177/0972652716645892</t>
  </si>
  <si>
    <t>VD4HR</t>
  </si>
  <si>
    <t>WOS:000436731100002</t>
  </si>
  <si>
    <t>Kouandou, A; Laajimi, R</t>
  </si>
  <si>
    <t>Kouandou, Arouna; Laajimi, Rawaa</t>
  </si>
  <si>
    <t>Does mobile banking matter for the adoption of modern agricultural technology? Evidence from Côte d'Ivoire</t>
  </si>
  <si>
    <t>DEVELOPMENT POLICY REVIEW</t>
  </si>
  <si>
    <t>Agricultural technology adoption; C &amp; ocirc;te d'Ivoire; mobile banking</t>
  </si>
  <si>
    <t>FINANCIAL INCLUSION; SOIL FERTILITY; CONSERVATION AGRICULTURE; TRANSACTION COSTS; FIELD EXPERIMENT; SOCIAL NETWORKS; INPUT SUBSIDIES; PEST-MANAGEMENT; PESTICIDE USE; MONEY</t>
  </si>
  <si>
    <t>MotivationThe adoption of yield-enhancing agricultural inputs can improve rural livelihoods. Lack of savings is widely believed to be one of the main barriers to the adoption of agricultural technology in sub-Saharan Africa. That may be changing, as the spread of mobile phones in many African countries has facilitated access to new financial technologies, such as mobile money and mobile banking. PurposeHow does access to mobile banking affect the adoption of yield-enhancing inputs in C &amp; ocirc;te d'Ivoire? In particular, how does mobile banking affect the uptake of inorganic fertilizers and phytosanitary products to protect crops against weeds, pests, and diseases? Approach and methodsDrawing on data from the Harmonized Survey on Household Living Conditions (Enqu &amp; ecirc;te Harmonis &amp; eacute;e sur les Conditions de Vie des M &amp; eacute;nages, EHCVM 2018-2019) for C &amp; ocirc;te d'Ivoire, we use regression analysis to estimate the factors affecting adoption. The decision to have a mobile bank account may be endogenous, so we use instrumental variables to address potential bias. Approach and methodsDrawing on data from the Harmonized Survey on Household Living Conditions (Enqu &amp; ecirc;te Harmonis &amp; eacute;e sur les Conditions de Vie des M &amp; eacute;nages, EHCVM 2018-2019) for C &amp; ocirc;te d'Ivoire, we use regression analysis to estimate the factors affecting adoption. The decision to have a mobile bank account may be endogenous, so we use instrumental variables to address potential bias. FindingsHaving a mobile bank account is associated with a 14% greater likelihood of investing in modern agricultural inputs. The impact is particularly high for investments in chemical or inorganic fertilizers, where having a mobile account makes adoption 30% more likely. Policy implicationsMany governments in sub-Saharan Africa rely heavily on costly subsidies to encourage the adoption of improved farm technologies. Access to mobile banking offers a cheaper way to promote the adoption of technology. The potential of mobile banking to serve as an effective savings tool and transform the lives of smallholder farmers will depend on government policy. While the government of C &amp; ocirc;te d'Ivoire has made greater efforts than its neighbours to increase the availability of mobile banking technology, much remains to be done. Policy implicationsMany governments in sub-Saharan Africa rely heavily on costly subsidies to encourage the adoption of improved farm technologies. Access to mobile banking offers a cheaper way to promote the adoption of technology. The potential of mobile banking to serve as an effective savings tool and transform the lives of smallholder farmers will depend on government policy. While the government of C &amp; ocirc;te d'Ivoire has made greater efforts than its neighbours to increase the availability of mobile banking technology, much remains to be done.</t>
  </si>
  <si>
    <t>[Kouandou, Arouna] Univ Reims, Lab Econ Gest &amp; Reims REGARDS, EA 6292, Reims, France; [Laajimi, Rawaa] INRAE French Natl Inst Res Agr Food &amp; Environm, UR Ecodev, 228 Route Aerodrome, F-84914 Avignon 9, France</t>
  </si>
  <si>
    <t>Universite de Reims Champagne-Ardenne; INRAE</t>
  </si>
  <si>
    <t>Laajimi, R (corresponding author), INRAE French Natl Inst Res Agr Food &amp; Environm, UR Ecodev, 228 Route Aerodrome, F-84914 Avignon 9, France.</t>
  </si>
  <si>
    <t>rawaa.laajimi@inrae.fr</t>
  </si>
  <si>
    <t>Kouandou, Arouna/0000-0002-2566-5047; LAAJIMI, Rawaa/0000-0002-0464-8774</t>
  </si>
  <si>
    <t>0950-6764</t>
  </si>
  <si>
    <t>1467-7679</t>
  </si>
  <si>
    <t>DEV POLICY REV</t>
  </si>
  <si>
    <t>Dev. Policy Rev.</t>
  </si>
  <si>
    <t>10.1111/dpr.12820</t>
  </si>
  <si>
    <t>T0K5G</t>
  </si>
  <si>
    <t>WOS:001363916500001</t>
  </si>
  <si>
    <t>Lei, L; Desai, S</t>
  </si>
  <si>
    <t>Lei, Lei; Desai, Sonalde</t>
  </si>
  <si>
    <t>Male out-migration and the health of left-behind wives in India: The roles of remittances, household responsibilities, and autonomy</t>
  </si>
  <si>
    <t>SOCIAL SCIENCE &amp; MEDICINE</t>
  </si>
  <si>
    <t>Migration; Left-behind wives; Autonomy; Responsibilities; Remittances; Self-rated health</t>
  </si>
  <si>
    <t>DECISION-MAKING POWER; WOMEN LEFT; HUSBANDS; COEFFICIENTS; PERSPECTIVE; STRESS; PROBIT; LOGIT; LIFE</t>
  </si>
  <si>
    <t>In developing countries, labor out-migration has led to millions of married couples living apart from each other. Male out-migration brings economic benefits to the families in places of origin, but also leads to profound changes in the lives of the left-behind wives. It is unclear how the husband's out-migration influences the health of wives, let alone the mechanisms through which any effects are transmitted. Using data from the Indian Human Development Survey (2004-2005 and 2011-2012), we estimated lagged dependent variable models (N = 19,737) to assess the health impact of husbands' out-migration for women in India. The results showed that leftbehind wives had lower self-rated health than wives of non-migrants. Part of this negative health impact was driven by the low remittances sent by the migrant husbands. For both women in nuclear families and women in extended families, the negative health impact was partially attributable to women's added responsibilities, such as animal care and managing a bank account. For women in nuclear families, the negative health effect of husbands' migration has been partially suppressed by women's increased autonomy.</t>
  </si>
  <si>
    <t>[Lei, Lei] Rutgers State Univ, Dept Sociol, Davison Hall,26 Nichol Ave, New Brunswick, NJ 08901 USA; [Desai, Sonalde] Univ Maryland, Dept Sociol, Maryland Populat Res Ctr, 2112 Parren Mitchell Art Sociol Bldg,3834 Camp Dr, College Pk, MD 20742 USA</t>
  </si>
  <si>
    <t>Rutgers University System; Rutgers University New Brunswick; University System of Maryland; University of Maryland College Park</t>
  </si>
  <si>
    <t>Lei, L (corresponding author), Rutgers State Univ, Dept Sociol, Davison Hall,26 Nichol Ave, New Brunswick, NJ 08901 USA.</t>
  </si>
  <si>
    <t>llei@sociology.rutgers.edu; sdesai@socy.umd.edu</t>
  </si>
  <si>
    <t>Lei, Lei/0000-0003-2161-1217</t>
  </si>
  <si>
    <t>Eunice Kennedy Shriver National Institute of Child Health &amp; Human Development of NIH [R03HD098377]; Bill &amp; Melinda Gates Foundation [INV-003352]; Bill and Melinda Gates Foundation [INV-003352] Funding Source: Bill and Melinda Gates Foundation; Eunice Kennedy Shriver National Institute of Child Health and Human Development [P2CHD041041, R01HD041455] Funding Source: NIH RePORTER</t>
  </si>
  <si>
    <t>Eunice Kennedy Shriver National Institute of Child Health &amp; Human Development of NIH; Bill &amp; Melinda Gates Foundation(Bill &amp; Melinda Gates FoundationBill &amp; Melinda Gates Foundation Grand Challenges Explorations InitiativeCGIAR); Bill and Melinda Gates Foundation(Bill &amp; Melinda Gates Foundation); Eunice Kennedy Shriver National Institute of Child Health and Human Development(United States Department of Health &amp; Human ServicesNational Institutes of Health (NIH) - USANIH Eunice Kennedy Shriver National Institute of Child Health &amp; Human Development (NICHD))</t>
  </si>
  <si>
    <t>Research reported in this paper was supported by the Eunice Kennedy Shriver National Institute of Child Health &amp; Human Development of NIH under award number R03HD098377 and the Bill &amp; Melinda Gates Foundation under award number INV-003352.</t>
  </si>
  <si>
    <t>0277-9536</t>
  </si>
  <si>
    <t>1873-5347</t>
  </si>
  <si>
    <t>SOC SCI MED</t>
  </si>
  <si>
    <t>Soc. Sci. Med.</t>
  </si>
  <si>
    <t>10.1016/j.socscimed.2021.113982</t>
  </si>
  <si>
    <t>MAY 2021</t>
  </si>
  <si>
    <t>Public, Environmental &amp; Occupational Health; Social Sciences, Biomedical</t>
  </si>
  <si>
    <t>Public, Environmental &amp; Occupational Health; Biomedical Social Sciences</t>
  </si>
  <si>
    <t>SR9PD</t>
  </si>
  <si>
    <t>WOS:000661374900020</t>
  </si>
  <si>
    <t>Tembo, J</t>
  </si>
  <si>
    <t>Tembo, Jonathan</t>
  </si>
  <si>
    <t>Mobile Money and Banking Development in Sub-Saharan Africa</t>
  </si>
  <si>
    <t>mobile money; banking development; financial development; Sub-Saharan Africa</t>
  </si>
  <si>
    <t>FINANCIAL DEVELOPMENT; USER ACCEPTANCE; SPECIFICATION; DETERMINANTS; INCLUSION</t>
  </si>
  <si>
    <t>The study investigated the relationship between mobile money growth and banking development in Sub-Saharan Africa. The question of whether mobile money threatens or supports traditional banks is contentious. Therefore, the motivation was to comprehensively examine the extent of mobile money's influence on banking development. The study used a quantitative research design with aggregated quarterly panel data from the four regions of Sub-Saharan Africa. The Panel ARDL estimation was applied to quantify the nature of the relationship between mobile money and banking development variables. Study findings showed that an increase in active mobile money accounts and volumes was associated with a decline in bank accounts, bank branches, and ATMs in the long run. At the same time, this trend was offset by positive impacts on private sector credit and total bank assets again in the long run. The findings align and extend the technology acceptance models and show that increased use of mobile money technology has substitution and complementary effects on banking development. Policymakers and financial institutions should carefully consider the potential trade-offs and synergies between mobile money adoption and traditional banking services, leveraging the positives while addressing challenges arising from the disruptive forces of technological innovation.</t>
  </si>
  <si>
    <t>[Tembo, Jonathan] Univ Johannesburg, Coll Business &amp; Econ, Dept Finance &amp; Investment Management, Johannesburg, South Africa</t>
  </si>
  <si>
    <t>Tembo, J (corresponding author), Univ Johannesburg, Coll Business &amp; Econ, Dept Finance &amp; Investment Management, Johannesburg, South Africa.</t>
  </si>
  <si>
    <t>jtembo@uj.ac.za</t>
  </si>
  <si>
    <t>10.47743/saeb-2023-0036</t>
  </si>
  <si>
    <t>DG2D3</t>
  </si>
  <si>
    <t>WOS:001130801200005</t>
  </si>
  <si>
    <t>Elmasmari, H; Amaghouss, J</t>
  </si>
  <si>
    <t>Elmasmari, Hanane; Amaghouss, Jabrane</t>
  </si>
  <si>
    <t>Analysis of the impact of financial inclusion and FinTech on youth labour force participation in the MENA region</t>
  </si>
  <si>
    <t>ECONOMICS AND BUSINESS REVIEW</t>
  </si>
  <si>
    <t>financial inclusion; FinTech; labour force; propensity score matching; MENA; G50; J21; N2</t>
  </si>
  <si>
    <t>MATCHING ESTIMATORS; PROPENSITY SCORE; GENDER-GAP; EXCLUSION; INTERNET</t>
  </si>
  <si>
    <t>This study examines the determinants of financial inclusion and FinTech, and then evaluates their effects on youth labour force participation in the MENA region. The World Bank's Global Findex 2021 database was used to perform probit estimations and propensity score matching. The results show that young people with higher education levels, higher incomes, mobile phones and Internet access are more likely to be included in the traditional and digital financial systems. In addition, barriers to financial inclusion encompass a lack of documentation, religious constraints and the costs associated with financial services. Furthermore, examining the effect of financial inclusion and FinTech reveals that having formal bank accounts and mobile money accounts, as well as savings, formal loans, and digital transactions, has a significant impact on young people's participation in the labour force.</t>
  </si>
  <si>
    <t>[Elmasmari, Hanane; Amaghouss, Jabrane] Cadi Ayyad Univ, Fac Law Econ &amp; Social Sci, BP 2380, Marrakech 40000, Morocco</t>
  </si>
  <si>
    <t>Cadi Ayyad University of Marrakech</t>
  </si>
  <si>
    <t>Elmasmari, H (corresponding author), Cadi Ayyad Univ, Fac Law Econ &amp; Social Sci, BP 2380, Marrakech 40000, Morocco.</t>
  </si>
  <si>
    <t>hananeelmasmari@gmail.com; j.amaghouss@gmail.com</t>
  </si>
  <si>
    <t>Amaghouss, Jabrane/AEV-2128-2022</t>
  </si>
  <si>
    <t>Amaghouss, Jabrane/0000-0002-2652-7156; ELMASMARI, Hanane/0009-0004-6069-2499</t>
  </si>
  <si>
    <t>SCIENDO</t>
  </si>
  <si>
    <t>BOGUMILA ZUGA 32A, WARSAW, MAZOVIA, POLAND</t>
  </si>
  <si>
    <t>2392-1641</t>
  </si>
  <si>
    <t>2450-0097</t>
  </si>
  <si>
    <t>ECON BUS REV-POL</t>
  </si>
  <si>
    <t>Econ. Bus. Rev.</t>
  </si>
  <si>
    <t>DEC 1</t>
  </si>
  <si>
    <t>10.18559/ebr.2024.4.1668</t>
  </si>
  <si>
    <t>R7R5Z</t>
  </si>
  <si>
    <t>WOS:001393377100008</t>
  </si>
  <si>
    <t>Shihadeh, FH</t>
  </si>
  <si>
    <t>Shihadeh, Fadi Hassan</t>
  </si>
  <si>
    <t>How individual's characteristics influence financial inclusion: evidence from MENAP</t>
  </si>
  <si>
    <t>INTERNATIONAL JOURNAL OF ISLAMIC AND MIDDLE EASTERN FINANCE AND MANAGEMENT</t>
  </si>
  <si>
    <t>Financial services; Financial inclusion; Female; Financial institutions; Individual characteristics; MENAP</t>
  </si>
  <si>
    <t>ACCESS; DETERMINANTS; INEQUALITY; SERVICES; IMPACT</t>
  </si>
  <si>
    <t>Purpose-This study aims to analyze the financial inclusion of individuals living in the Middle East, North African, Afghanistan and Pakistan (MENAP). It intends to show the influence of these individuals' characteristics on financial inclusion, using the World Bank Global Findex Database 2014 for 16 countries in the region. Design/methodology/approach-A probit model is used to examine the marginal effect of financial inclusion of the characteristics of individuals living in the MENAP region. These characteristics include gender, age, income and education. Individual characteristics that are linked to the main financial-inclusion indicators include having a formal account and formal saving and borrowing. The barriers to having a formal account, alternative borrowing sources andmotivations for borrowing are also linked to the respondents' characteristics. Findings-The results indicate that females and the poor are less likely to be included in financial systems, while education level enhances financial inclusion. As disadvantaged people consider access to credit is important to improving their lives, the study finds that the poor are more likely to borrow for medical issues than for other needs. While Islam is the majority religion in the MENAP region, it is not considered a barrier to having a formal bank account. Furthermore, people in different income quintiles are more likely to use informal financial sources, while the educated are more likely to use formal ones. Practical implications-The results show that policymakers in MENAP should make more of an effort to enhance financial inclusion as a way to enhance economic development in the region. Also, governments institutions, such as central banks, financial ministries and other institutions, could build on these results to enhance financial inclusion as a way toward development in the MENAP region. Originality/value-To the author's best knowledge, this is the first study to examine the influence of individuals' characteristics on financial inclusion in the MENAP region.</t>
  </si>
  <si>
    <t>[Shihadeh, Fadi Hassan] Palestine Tech Univ, Tulkarm, Palestine</t>
  </si>
  <si>
    <t>Shihadeh, FH (corresponding author), Palestine Tech Univ, Tulkarm, Palestine.</t>
  </si>
  <si>
    <t>fadih20@gmail.com</t>
  </si>
  <si>
    <t>Shihadeh, FADI/AEX-8732-2022</t>
  </si>
  <si>
    <t>Shihadeh, FADI/0000-0002-7078-5216</t>
  </si>
  <si>
    <t>1753-8394</t>
  </si>
  <si>
    <t>1753-8408</t>
  </si>
  <si>
    <t>INT J ISLAMIC MIDDLE</t>
  </si>
  <si>
    <t>Int.J. Islamic Middle Eastern Finance Manag.</t>
  </si>
  <si>
    <t>10.1108/IMEFM-06-2017-0153</t>
  </si>
  <si>
    <t>Business, Finance; Management</t>
  </si>
  <si>
    <t>HF1AT</t>
  </si>
  <si>
    <t>WOS:000453898100003</t>
  </si>
  <si>
    <t>Dutta, P; Goswami, G; Barman, H</t>
  </si>
  <si>
    <t>Dutta, Priyanka; Goswami, Gayatri; Barman, Hemanta</t>
  </si>
  <si>
    <t>Financial Inclusion among Backward Communities: A Study of the Tea Garden Workers in Assam, India</t>
  </si>
  <si>
    <t>FORUM FOR SOCIAL ECONOMICS</t>
  </si>
  <si>
    <t>Financial inclusion; tea garden worker; Assam</t>
  </si>
  <si>
    <t>MOBILE MONEY; SATISFACTION; LITERACY</t>
  </si>
  <si>
    <t>Assam, a north-eastern state in India contributes the largest share in India's total tea production. However, the workers in the tea gardens of the state are considered as one of the poor and marginalised sections of the population. The workers' community has limited access to anti-poverty social security programmes and other social welfare schemes including formal financial services. Using primary data, this study examines the extent of financial inclusion among the tea garden workers in Assam. We study financial inclusion in terms of access to a bank account, credit and insurance. Our results reveal that financial inclusion among the workers has deepened considerably but not in all dimensions. We find education as an important determinant of financial inclusion among the tea garden workers in Assam. To make the process of financial inclusion among the tea garden workers more expeditious and comprehensive, specific initiatives towards delivering government-sponsored schemes are needed.</t>
  </si>
  <si>
    <t>[Dutta, Priyanka] Amguri Coll, Dept Econ, Sivasagar, India; [Goswami, Gayatri] Gauhati Univ, Dept Econ, Gauhati, India; [Barman, Hemanta] Cotton Univ, Dept Econ, Gauhati, India</t>
  </si>
  <si>
    <t>Gauhati University</t>
  </si>
  <si>
    <t>Dutta, P (corresponding author), Amguri Coll, Dept Econ, Sivasagar, India.</t>
  </si>
  <si>
    <t>Barman, Hemanta/0000-0003-2305-5031</t>
  </si>
  <si>
    <t>0736-0932</t>
  </si>
  <si>
    <t>1874-6381</t>
  </si>
  <si>
    <t>FORUM SOC ECON</t>
  </si>
  <si>
    <t>Forum Soc. Econ.</t>
  </si>
  <si>
    <t>10.1080/07360932.2021.1999297</t>
  </si>
  <si>
    <t>OCT 2021</t>
  </si>
  <si>
    <t>E8LG8</t>
  </si>
  <si>
    <t>WOS:000714788100001</t>
  </si>
  <si>
    <t>Kabutey-Ongor, M; Amenah, MA; Yorke, FR</t>
  </si>
  <si>
    <t>Kabutey-Ongor, Matilda; Amenah, Michel Adurayi; Yorke, Frederick Richmond</t>
  </si>
  <si>
    <t>Financial inclusion and energy poverty in Ghana: evidence from the informal sector</t>
  </si>
  <si>
    <t>DISCOVER SUSTAINABILITY</t>
  </si>
  <si>
    <t>Energy poverty; Financial inclusion; Informal sector; Sustainable development</t>
  </si>
  <si>
    <t>CONSUMPTION; HOUSEHOLDS; JUSTICE</t>
  </si>
  <si>
    <t>This study investigates the relationship between financial inclusion and energy poverty in Ghana's informal sector using data from the Ghana Living Standards Survey [GLSS7]. Applying multidimensional energy poverty measures and a range of econometric models, including logit regression, fixed effects, and instrumental variable [IV] estimation, the study identifies financial inclusion as a significant factor in reducing energy poverty. Households with access to financial services, such as bank accounts, insurance, credit, and remittances, are less likely to experience energy deprivation. The instrumental variable analysis, which uses distance to the nearest bank as an instrument for financial inclusion, confirms the robustness of this relationship. The results reveal that rural households and, larger households are more vulnerable to energy poverty, while female-headed, household headed by older individuals and more educated households are less likely to be energy-poor. Policy recommendations include expanding financial services in rural areas through mobile banking and microfinance, promoting energy-specific financial products, and enhancing financial literacy programs. Tailored interventions for women and large households, as well as targeted energy access initiatives for rural areas, are crucial for mitigating energy poverty. This study highlights the importance of integrating financial inclusion into energy poverty reduction strategies to promote sustainable development and improve the well-being of vulnerable populations in Ghana.</t>
  </si>
  <si>
    <t>[Kabutey-Ongor, Matilda] Univ Manchester, Global Dev Inst, Manchester, England; [Amenah, Michel Adurayi] Ghana Coll Phys &amp; Surg, Fac Publ Hlth, Accra, Ghana; [Amenah, Michel Adurayi] Univ Lancaster, Div Hlth Res, Lancaster, England; [Yorke, Frederick Richmond] Univ Ghana, Dept Econ, Accra, Ghana</t>
  </si>
  <si>
    <t>University of Manchester; Lancaster University; University of Ghana</t>
  </si>
  <si>
    <t>Kabutey-Ongor, M (corresponding author), Univ Manchester, Global Dev Inst, Manchester, England.</t>
  </si>
  <si>
    <t>matilda.kabutey-ongor@manchester.ac.uk; micheladurayi@gmail.com; yorkefred8@gmail.com</t>
  </si>
  <si>
    <t>Kabutey-Ongor, Matilda/0009-0002-4690-3785; Yorke, Frederick Richmond/0000-0001-7210-2602; Amenah, Michel Adurayi/0009-0008-0327-0061</t>
  </si>
  <si>
    <t>SPRINGERNATURE</t>
  </si>
  <si>
    <t>2662-9984</t>
  </si>
  <si>
    <t>DISCOV SUSTAIN</t>
  </si>
  <si>
    <t>Discov. Sustain.</t>
  </si>
  <si>
    <t>AUG 11</t>
  </si>
  <si>
    <t>10.1007/s43621-025-01689-6</t>
  </si>
  <si>
    <t>6AG3P</t>
  </si>
  <si>
    <t>WOS:001548559900004</t>
  </si>
  <si>
    <t>Abroshan, H; Devos, J; Poels, G; Laermans, E</t>
  </si>
  <si>
    <t>Cuppens, N; Cuppens, F; Lanet, JL; Legay, A; GarciaAlfaro, J</t>
  </si>
  <si>
    <t>Abroshan, Hossein; Devos, Jan; Poels, Geert; Laermans, Eric</t>
  </si>
  <si>
    <t>Phishing Attacks Root Causes</t>
  </si>
  <si>
    <t>RISKS AND SECURITY OF INTERNET AND SYSTEMS, CRISIS 2017</t>
  </si>
  <si>
    <t>12th International Conference on Risks and Security of Internet and Systems (CRISIS)</t>
  </si>
  <si>
    <t>SEP 19-21, 2017</t>
  </si>
  <si>
    <t>Dinard, FRANCE</t>
  </si>
  <si>
    <t>Chair Cyber CNI Cybersecur Crit Infrastructures,Lab Haute Securite</t>
  </si>
  <si>
    <t>Phishing; Scam; Root causes; Behaviour</t>
  </si>
  <si>
    <t>VISCERAL INFLUENCES; TRUST; MODEL</t>
  </si>
  <si>
    <t>Nowadays, many people are losing considerable wealth due to online scams. Phishing is one of the means that a scammer can use to deceitfully obtain the victim's personal identification, bank account information, or any other sensitive data. There are a number of anti-phishing techniques and tools in place, but unfortunately phishing still works. One of the reasons is that phishers usually use human behaviour to design and then utilise a new phishing technique. Therefore, identifying the psychological and sociological factors used by scammers could help us to tackle the very root causes of fraudulent phishing attacks. This paper recognises some of those factors and creates a cause-and-effect diagram to clearly present the categories and factors which make up the root causes of phishing scams. The illustrated diagram is extendable with additional phishing causes.</t>
  </si>
  <si>
    <t>[Abroshan, Hossein; Devos, Jan; Poels, Geert; Laermans, Eric] Univ Ghent, B-9000 Ghent, Belgium</t>
  </si>
  <si>
    <t>Ghent University</t>
  </si>
  <si>
    <t>Abroshan, H (corresponding author), Univ Ghent, B-9000 Ghent, Belgium.</t>
  </si>
  <si>
    <t>hossein.abroshan@ugent.be; jang.devos@ugent.be; geert.poels@ugent.be; eric.laermans@ugent.be</t>
  </si>
  <si>
    <t>Devos, Jan/C-6363-2008; Abroshan, Hossein/AAK-6615-2021; Poels, Geert/D-1130-2013</t>
  </si>
  <si>
    <t>Laermans, Eric/0000-0002-1811-9419; Abroshan, Hossein/0000-0001-9315-4428; Poels, Geert/0000-0001-9247-6150</t>
  </si>
  <si>
    <t>978-3-319-76687-4; 978-3-319-76686-7</t>
  </si>
  <si>
    <t>10.1007/978-3-319-76687-4_13</t>
  </si>
  <si>
    <t>Computer Science, Information Systems; Computer Science, Software Engineering; Computer Science, Theory &amp; Methods</t>
  </si>
  <si>
    <t>BK2GG</t>
  </si>
  <si>
    <t>WOS:000432713600013</t>
  </si>
  <si>
    <t>Cisagara, BB</t>
  </si>
  <si>
    <t>Cisagara, Benjamin Bisimwa</t>
  </si>
  <si>
    <t>Mobile financial services and performance of business in the informal economy</t>
  </si>
  <si>
    <t>AFRICAN JOURNAL OF SCIENCE TECHNOLOGY INNOVATION &amp; DEVELOPMENT</t>
  </si>
  <si>
    <t>mobile money; informal business; technology adoption; financial inclusion</t>
  </si>
  <si>
    <t>DYNAMIC CAPABILITIES; TECHNOLOGY ADOPTION; DIGITAL DIVIDE; ACCEPTANCE</t>
  </si>
  <si>
    <t>The rapid growth of mobile financial services in emerging economies presents a vital opportunity to assess their impact on informal business performance, yet current empirical evidence remains mixed. Utilizing mixed methods, including quantitative analysis of the World Bank's 2023 Informal Enterprise Survey and qualitative interviews in Zambia and Kenya, this study investigates this relationship. Our analysis, which considers endogeneity, confirms a strong positive effect of mobile money adoption on the profitability of informal businesses. However, this benefit largely depends on the ability of businesses to overcome additional operational challenges. Importantly, we find that mobile money usually supports, rather than replaces, formal financial services, with adoption closely linked to existing practices such as bank account ownership. Despite its potential, the adoption rate remains relatively low due to transaction fees, security concerns, fraud, and infrastructure issues. This gap between high impact for adopters and low overall penetration is a key insight. It challenges overly optimistic views of technology and emphasizes that the transformative power of mobile money is influenced by structural factors. By resolving conflicting evidence and highlighting this conditional reality, this study provides a detailed evidence base for financial inclusion efforts, stressing that tackling systemic obstacles is crucial for achieving broader development goals.</t>
  </si>
  <si>
    <t>[Cisagara, Benjamin Bisimwa] Univ Latvia, Dept Econ &amp; Social Sci, Riga, Latvia</t>
  </si>
  <si>
    <t>University of Latvia</t>
  </si>
  <si>
    <t>Cisagara, BB (corresponding author), Univ Latvia, Dept Econ &amp; Social Sci, Riga, Latvia.</t>
  </si>
  <si>
    <t>benjamincisagara@gmail.com</t>
  </si>
  <si>
    <t>European Commission [101073394]</t>
  </si>
  <si>
    <t>European Commission(European Union (EU)European Commission Joint Research Centre)</t>
  </si>
  <si>
    <t>This work was supported by European Commission [grant number: 101073394], and the Doctoral school of the University of Latvia.</t>
  </si>
  <si>
    <t>2042-1338</t>
  </si>
  <si>
    <t>2042-1346</t>
  </si>
  <si>
    <t>AFR J SCI TECHNOL IN</t>
  </si>
  <si>
    <t>Afr. J. Sci. Technol. Innov. Dev.</t>
  </si>
  <si>
    <t>2025 DEC 31</t>
  </si>
  <si>
    <t>10.1080/20421338.2025.2582925</t>
  </si>
  <si>
    <t>AL9UE</t>
  </si>
  <si>
    <t>WOS:001651275200001</t>
  </si>
  <si>
    <t>Nosrati, L; Bidgoli, AM</t>
  </si>
  <si>
    <t>Nosrati, Leili; Bidgoli, Amir Massoud</t>
  </si>
  <si>
    <t>A review of Mobile Banking Security</t>
  </si>
  <si>
    <t>2016 IEEE CANADIAN CONFERENCE ON ELECTRICAL AND COMPUTER ENGINEERING (CCECE)</t>
  </si>
  <si>
    <t>Canadian Conference on Electrical and Computer Engineering</t>
  </si>
  <si>
    <t>IEEE Canadian Conference on Electrical and Computer Engineering (CCECE)</t>
  </si>
  <si>
    <t>MAY 14-18, 2016</t>
  </si>
  <si>
    <t>Vancouver, CANADA</t>
  </si>
  <si>
    <t>IEEE,IEEE Vancouver Sect</t>
  </si>
  <si>
    <t>mobile banking; Security of mobile banking; encryption algorithms</t>
  </si>
  <si>
    <t>Nowadays, IT has an important role in people's life. Bank is one of the example of institute which using IT in its daily tasks. Customer's personal information which has stored by the bank is considered as private and has to he saving securely by bank. Only legal staff of bank, also legal customers can operate any of the tasks. Hence, bank has own system to protect its transaction tasks such as online and offline transactions. Bank account hacking has caused millions money losses around the world. It is important to achieve how the security aspects in a banking system can influence great lost to the financial institution. This paper reports on the aiming at identifying and classifying Mobile banking payment security challenges. First, different security risks of mobile banking have been presented. In addition, different methods of encryption have been presented. Moreover, our method which has two layers of security has been presented. Furthermore, for preparing the security of the Network Layer, our method will authorize the Message format with Check sum.</t>
  </si>
  <si>
    <t>[Nosrati, Leili] Islamic Azad Univ, Tehran North Branch, Tehran, Iran; [Bidgoli, Amir Massoud] Islamic Azad Univ, MIEEE Manchester Univ, Tehran North Branch, Tehran, Iran</t>
  </si>
  <si>
    <t>Islamic Azad University; Islamic Azad University</t>
  </si>
  <si>
    <t>Nosrati, L (corresponding author), Islamic Azad Univ, Tehran North Branch, Tehran, Iran.</t>
  </si>
  <si>
    <t>nosrati@alum.sharif.edu; am_bidgoli@iau-tnb.ac.ir</t>
  </si>
  <si>
    <t>BIDGOLI, AMIR/AAO-8029-2021</t>
  </si>
  <si>
    <t>0840-7789</t>
  </si>
  <si>
    <t>978-1-4673-8721-7</t>
  </si>
  <si>
    <t>CAN CON EL COMP EN</t>
  </si>
  <si>
    <t>BG6QC</t>
  </si>
  <si>
    <t>WOS:000390779200223</t>
  </si>
  <si>
    <t>Cabeza-García, L; Del Brio, EB; Oscanoa-Vittorio, ML</t>
  </si>
  <si>
    <t>Cabeza-Garcia, Laura; Del Brio, Esther B.; Luz Oscanoa-Vittorio, Mery</t>
  </si>
  <si>
    <t>Female financial inclusion and its impacts on inclusive economic development</t>
  </si>
  <si>
    <t>WOMENS STUDIES INTERNATIONAL FORUM</t>
  </si>
  <si>
    <t>Financial inclusion; Gender; Economic development</t>
  </si>
  <si>
    <t>SUB-SAHARAN AFRICA; CREDIT; ACCESS; WOMEN; INEQUALITY; MARKETS; GROWTH; INTERMEDIATION; COINTEGRATION; EMPOWERMENT</t>
  </si>
  <si>
    <t>This paper investigates the effects of female financial inclusion on inclusive economic development. Financial inclusion, understood as the access to and usage of a diverse range of quality financial products and services, can have a positive effect on the reduction of income inequality. Specifically, when women participate in the financial system, the inequality gap decreases, enabling higher economic development, which also increases both physical and social wellbeing. An instrumental variable analysis is conducted on a sample of 91 countries, comprising both developed and emerging countries, using data from the Global Findex (2015) database and the World Bank DataBank. Our results effectively provide evidence attesting to the fact that greater financial inclusion of women, measured as access to a bank account and access to credit cards, has a positive effect on economic development. However, bank loans did not show any significance when explaining economic development.</t>
  </si>
  <si>
    <t>[Cabeza-Garcia, Laura] Univ Leon, Dept Business Adm, Campus Vegazana S-N, E-24071 Leon, Spain; [Del Brio, Esther B.] Univ Salamanca, Ctr Women Studies, IME, Dept Business Adm, Edificio FES,Campus Miguel de Unamuno, Salamanca 37007, Spain; [Luz Oscanoa-Vittorio, Mery] Univ Nacl Daniel Alcides Carrion Pasco, Fac Ciencias Econ &amp; Contables, Escuela Profes Econ, Ciudad Univ Pabellon FACEC 3 Piso, Cerro De Pasco, Peru</t>
  </si>
  <si>
    <t>Universidad de Leon; University of Salamanca; Universidad Nacional Daniel Alcides Carrion</t>
  </si>
  <si>
    <t>Cabeza-García, L (corresponding author), Univ Leon, Dept Business Adm, Campus Vegazana S-N, E-24071 Leon, Spain.</t>
  </si>
  <si>
    <t>laura.cabeza@unileon.es; edelbrio@usal.es; meryluz257@hotmail.com</t>
  </si>
  <si>
    <t>Cabeza-García, Laura/A-4332-2015</t>
  </si>
  <si>
    <t>Spanish Ministry of Economy and Competitiveness (Spain) [ECO2015-63880-R, ECO2015-69058-R]; Junta de Castilla y Leon [SA049G19]</t>
  </si>
  <si>
    <t>Spanish Ministry of Economy and Competitiveness (Spain)(Spanish Government); Junta de Castilla y Leon(Junta de Castilla y LeonInstituto Politecnico Nacional - Mexico)</t>
  </si>
  <si>
    <t>The authors acknowledge the funding received from the Projects ECO2015-63880-R &amp; ECO2015-69058-R from the Spanish Ministry of Economy and Competitiveness (Spain) and Research Grants SA049G19 (Junta de Castilla y Leon).</t>
  </si>
  <si>
    <t>0277-5395</t>
  </si>
  <si>
    <t>1879-243X</t>
  </si>
  <si>
    <t>WOMEN STUD INT FORUM</t>
  </si>
  <si>
    <t>Women Stud. Int. Forum</t>
  </si>
  <si>
    <t>NOV-DEC</t>
  </si>
  <si>
    <t>10.1016/j.wsif.2019.102300</t>
  </si>
  <si>
    <t>Women's Studies</t>
  </si>
  <si>
    <t>JU4NR</t>
  </si>
  <si>
    <t>WOS:000501654800007</t>
  </si>
  <si>
    <t>Ormerod, P</t>
  </si>
  <si>
    <t>Ormerod, Paul</t>
  </si>
  <si>
    <t>Extracting deep information from limited observations on an evolved social network</t>
  </si>
  <si>
    <t>PHYSICA A-STATISTICAL MECHANICS AND ITS APPLICATIONS</t>
  </si>
  <si>
    <t>Conference on Social Network Analysis and Complexity</t>
  </si>
  <si>
    <t>JUL 31-AUG 02, 2006</t>
  </si>
  <si>
    <t>Budapest, HUNGARY</t>
  </si>
  <si>
    <t>empirical social network; agent-based model; small world</t>
  </si>
  <si>
    <t>We provide empirical evidence that in a social network which evolves over time, it is possible to extract deep information about the system from limited observations. In this paper, we consider a simple piece of readily available evidence on access to financial services by individuals in the UK. Detailed statistical analysis has shown that the decisions of agents on whether or not to have a basic financial account such as a bank account is heavily influenced by other individuals on their social network. We consider a small amount of straightforward and readily accessible information. We deduce from this, using an agent-based model, the type of social network across which information and influence on behaviour flows between agents in this context. Specifically, we show that information appears to flow across a small world network. (c) 2006 Elsevier B.V. All rights reserved.</t>
  </si>
  <si>
    <t>Volterra Consulting Ltd, London SW14 8AE, England</t>
  </si>
  <si>
    <t>Ormerod, P (corresponding author), Volterra Consulting Ltd, Sheen Elms,135C Sheen Lane, London SW14 8AE, England.</t>
  </si>
  <si>
    <t>pormerod@volterra.co.uk</t>
  </si>
  <si>
    <t>0378-4371</t>
  </si>
  <si>
    <t>1873-2119</t>
  </si>
  <si>
    <t>PHYSICA A</t>
  </si>
  <si>
    <t>Physica A</t>
  </si>
  <si>
    <t>MAY 1</t>
  </si>
  <si>
    <t>10.1016/j.physa.2006.11.044</t>
  </si>
  <si>
    <t>Physics, Multidisciplinary</t>
  </si>
  <si>
    <t>Science Citation Index Expanded (SCI-EXPANDED); Conference Proceedings Citation Index - Science (CPCI-S)</t>
  </si>
  <si>
    <t>147EO</t>
  </si>
  <si>
    <t>WOS:000244986400006</t>
  </si>
  <si>
    <t>Motiwalla, LF; Albashrawi, M; Kartal, HB</t>
  </si>
  <si>
    <t>Motiwalla, Luvai F.; Albashrawi, Mousa; Kartal, Hasan B.</t>
  </si>
  <si>
    <t>Uncovering unobserved heterogeneity bias: Measuring mobile banking system success</t>
  </si>
  <si>
    <t>INTERNATIONAL JOURNAL OF INFORMATION MANAGEMENT</t>
  </si>
  <si>
    <t>System usage; IS success model; Subjective/objective measures; Sample segmentation; Mobile banking and clustering</t>
  </si>
  <si>
    <t>BEHAVIORAL INTENTION; ADOPTER CATEGORIES; MCLEAN MODEL; USAGE; CLUSTER; DELONE</t>
  </si>
  <si>
    <t>Mobile banking (MB) involving the use of mobile devices to access bank accounts for conducing financial transactions has proliferated in recent years but inconsistently among banking customers. This diversity of use increases the complexity of uncovering unobserved heterogeneity bias in the success of MB systems. This research, first, uses a study of objective measures to cluster 4478 MB users into three homogeneous segments based on the system utilization behaviors captured in the log data. The users were, then, surveyed using a field study of subjective measures based on the information systems (IS) success model. A priori sample segmentation used for facilitating the discovery of unobserved heterogeneity bias in the full sample. The analysis of the subset with 445 users who responded indicated that the path coefficient and explained variances (R-2) of the IS model were higher in the segments compared to the full sample; and the influence of success factors on satisfaction and intention to use varied significantly among the segments. Our study, consisting of objective and subjective measures, has theoretical and practical implications for MB usage. It contributes to the IS success model by confirming the existence of unobserved bias in full sample and inconsistent effects of the quality factors on satisfaction and continued usage in the segmented samples. It also assists the banks in identifying MB features that are more appealing to the varying user groups, which could help them with customer retention.</t>
  </si>
  <si>
    <t>[Motiwalla, Luvai F.] PTB Ctr, Operat &amp; Informat Syst Dept, Manning Sch Business, 74 Univ Ave, Lowell, MA 01854 USA; [Albashrawi, Mousa] King Fahd Univ Petr &amp; Minerals, KFUPM Business Sch, Dhahran 31261, Saudi Arabia; [Kartal, Hasan B.] Univ Illinois, Coll Business &amp; Management, Dept Management Informat Syst, One Univ Plaza,UHB 4030, Springfield, IL 62703 USA</t>
  </si>
  <si>
    <t>King Fahd University of Petroleum &amp; Minerals; University of Illinois System; University of Illinois Springfield</t>
  </si>
  <si>
    <t>Motiwalla, LF (corresponding author), PTB Ctr, Operat &amp; Informat Syst Dept, Manning Sch Business, 74 Univ Ave, Lowell, MA 01854 USA.</t>
  </si>
  <si>
    <t>Albashrawi, Mousa/0000-0002-6269-1658</t>
  </si>
  <si>
    <t>0268-4012</t>
  </si>
  <si>
    <t>1873-4707</t>
  </si>
  <si>
    <t>INT J INFORM MANAGE</t>
  </si>
  <si>
    <t>Int. J. Inf. Manage.</t>
  </si>
  <si>
    <t>10.1016/j.ijinfomgt.2019.07.005</t>
  </si>
  <si>
    <t>JD0YI</t>
  </si>
  <si>
    <t>WOS:000489702000033</t>
  </si>
  <si>
    <t>Atta-Aidoo, J; Bizoza, S; Saleh, AO; Matthew, EC</t>
  </si>
  <si>
    <t>Atta-Aidoo, Jonathan; Bizoza, Saidi; Saleh, Abdulkarim Onah; Matthew, Ester Cosmas</t>
  </si>
  <si>
    <t>Financial inclusion choices in post-conflict and fragile states of Africa: The case of Burundi</t>
  </si>
  <si>
    <t>Mobile money; microfinance; poverty reduction; multivariate probit; social network</t>
  </si>
  <si>
    <t>REMITTANCES; LITERACY; SERVICES; ADOPTION; INCOME; DETERMINANTS; HOUSEHOLDS; IMPACT</t>
  </si>
  <si>
    <t>Financial inclusion has become an important goal of the global development agenda, particularly for post-conflict and fragile states. Enhancing financial inclusion is vital for a country like Burundi which aims to achieve inclusive growth in its attempt to break free of its fragility. However, the adoption of instruments of financial inclusion such as bank account, microfinance account and mobile money account is low due to weak institutional capacity leading to high-risk exposure and a greater risk of economic instability. This study examines the factors that influence the adoption of these instruments of financial inclusion using the Multivariate Probit and Poisson regression models. The results show that there is a significant correlation between the instruments of financial inclusion, signifying that the adoption of these instruments is interrelated. The analysis also reveals that, factors such as receipt of government transfers, receipt of remittances, education, membership of a social network, access to electricity, employment status, and area of residence influence both the probability and intensity/extent of adoption of the instruments of financial inclusion. By implication, policymakers should enhance access to electricity, formalise employment and strengthen social networks to improve the adoption of financial inclusion instruments.</t>
  </si>
  <si>
    <t>[Atta-Aidoo, Jonathan] Kwame Nkrumah Univ Sci &amp; Technol, Dept Environm Sci, Kumasi, Ghana; [Atta-Aidoo, Jonathan] Inst Liberty &amp; Policy Innovat, Tema, Ghana; [Bizoza, Saidi] Int Inst Trop Agr, Bujumbura, Burundi; [Saleh, Abdulkarim Onah] Nasarawa State Univ, Dept Agr Econ &amp; Extens, Keffi, Nigeria; [Saleh, Abdulkarim Onah] FGN IFAD Assisted Value Chain Dev Programme VCDP, Lafia, Nigeria; [Matthew, Ester Cosmas] Sokoine Univ Agr, Dept Agr Econ &amp; Agribusiness, Morogoro, Tanzania</t>
  </si>
  <si>
    <t>Kwame Nkrumah University Science &amp; Technology; Sokoine University of Agriculture</t>
  </si>
  <si>
    <t>Atta-Aidoo, J (corresponding author), Kwame Nkrumah Univ Sci &amp; Technol, Dept Environm Sci, Kumasi, Ghana.</t>
  </si>
  <si>
    <t>jo.attaaidoo@gmail.com</t>
  </si>
  <si>
    <t>Atta-Aidoo, Jonathan/IAN-8722-2023; Saleh, Abdulkarim/ADP-4765-2022</t>
  </si>
  <si>
    <t>Atta-Aidoo, Jonathan/0000-0001-9002-4628; Bizoza, Saidi/0000-0001-8321-1441;</t>
  </si>
  <si>
    <t>10.1080/23311886.2023.2216996</t>
  </si>
  <si>
    <t>H1RB9</t>
  </si>
  <si>
    <t>WOS:000993793800001</t>
  </si>
  <si>
    <t>Ma, D; Chen, HF; Fu, LF</t>
  </si>
  <si>
    <t>Ma, Dan; Chen, Hongfan; Fu, Lifu</t>
  </si>
  <si>
    <t>The impact of financial inclusion on human capital investment: Evidence from China Family Panel Studies</t>
  </si>
  <si>
    <t>ECONOMIC ANALYSIS AND POLICY</t>
  </si>
  <si>
    <t>Financial inclusion; Human capital investment; Financing constraints; Property income; Income uncertainty</t>
  </si>
  <si>
    <t>INCOME INEQUALITY; CONSTRAINTS; GROWTH; ACCUMULATION; FERTILITY; ACCESS</t>
  </si>
  <si>
    <t>This paper explores the influence of financial inclusion on human capital investment among Chinese households. Although prior research underscores that financial inclusion fosters economic growth, its direct impact on household-level human capital investment remains insufficiently explored, particularly in developing regions. This research utilizes data from the China Family Panel Studies (CFPS) to develop a comprehensive household-level financial inclusion index, including bank accounts, loans, insurance, and digital payments. A two-way fixed effects model is employed to assess both the impact and underlying mechanisms through which financial inclusion affects human capital investment. The findings indicate that financial inclusion enhances human capital investment among Chinese households, with stronger effects observed in the western regions and among low-income families. This impact is realized by alleviating financing constraints, boosting property income, and mitigating income uncertainty. The results highlight the critical importance of actively promoting financial inclusion in developing countries, with particular emphasis on reaching underdeveloped regions and low-income households.</t>
  </si>
  <si>
    <t>[Ma, Dan; Chen, Hongfan; Fu, Lifu] Zhejiang Gongshang Univ, Sch Tailong Finance, 18 Xuezheng Rd, Hangzhou 310018, Zhejiang, Peoples R China</t>
  </si>
  <si>
    <t>Zhejiang Gongshang University</t>
  </si>
  <si>
    <t>Fu, LF (corresponding author), Zhejiang Gongshang Univ, Sch Tailong Finance, 18 Xuezheng Rd, Hangzhou 310018, Zhejiang, Peoples R China.</t>
  </si>
  <si>
    <t>feimodan@zjsu.edu.cn; 2136010225@pop.zjgsu.edu.cn; fanlisi20074@mail.zjgsu.edu.cn</t>
  </si>
  <si>
    <t>Ministry of Education of Humanities and Social Science Project of China [22YJA790042]</t>
  </si>
  <si>
    <t>Ministry of Education of Humanities and Social Science Project of China</t>
  </si>
  <si>
    <t>This work was supported by the Ministry of Education of Humanities and Social Science Project of China (grant number 22YJA790042) .</t>
  </si>
  <si>
    <t>0313-5926</t>
  </si>
  <si>
    <t>ECON ANAL POLICY</t>
  </si>
  <si>
    <t>Econ. Anal. Policy</t>
  </si>
  <si>
    <t>10.1016/j.eap.2024.10.049</t>
  </si>
  <si>
    <t>L1R6M</t>
  </si>
  <si>
    <t>WOS:001348567200001</t>
  </si>
  <si>
    <t>Tri, VQ; Hai, HV; Ha, DTL</t>
  </si>
  <si>
    <t>Tri, Vo Quang; Hai, Hoang Van; Ha, Duong Thi Lien</t>
  </si>
  <si>
    <t>The influence of celebrity endorsement on behavioral intention with electronic payment services: in the case of Vietnam</t>
  </si>
  <si>
    <t>COGENT BUSINESS &amp; MANAGEMENT</t>
  </si>
  <si>
    <t>Mobile money; TAM model; behavioral intention; celebrity endorsement; e-payment market</t>
  </si>
  <si>
    <t>MOBILE PAYMENT; INFORMATION-TECHNOLOGY; CULTURAL-DIFFERENCES; CONSUMERS ADOPTION; USER ACCEPTANCE; UNIFIED THEORY; INNOVATIVENESS; IMPACT; UTAUT; POWER</t>
  </si>
  <si>
    <t>In the current context of diverse electronic payment services, Mobile Money (MM) has distinct advantages due to its ability to facilitate cash-less payments without the need for a bank account. In Vietnam, MM has been piloted since 2021 and has shown significant development. This study focuses on explaining the Behavioral Intention (BI) to use MM in developing countries, with Vietnam as the focal context, through an extended Technology Acceptance Model (TAM) and user-centered variables. The results of a random survey of 528 MM users show that the TAM model effectively explains the BI to use MM in Vietnam. Additionally, individual factors, including Brand Awareness, Personal Innovativeness, Social Influence, and Celebrity Endorsements, have been found to be key determinants of BI, while the relationship between BA and BI is positively moderated by CEn. Based on the research findings, several implications for policymakers and MM service providers are discussed.</t>
  </si>
  <si>
    <t>[Tri, Vo Quang; Hai, Hoang Van; Ha, Duong Thi Lien] Univ Danang, Univ Econ, Danang, Vietnam</t>
  </si>
  <si>
    <t>University of Danang</t>
  </si>
  <si>
    <t>Ha, DTL (corresponding author), Univ Danang, Univ Econ, Danang, Vietnam.</t>
  </si>
  <si>
    <t>lienhadue@gmail.com</t>
  </si>
  <si>
    <t>University of Danang-University of Economics [B2022-DN04-08-TT]</t>
  </si>
  <si>
    <t>University of Danang-University of Economics</t>
  </si>
  <si>
    <t>This research is funded by the University of Danang-University of Economics under project number B2022-DN04-08-TT.</t>
  </si>
  <si>
    <t>2331-1975</t>
  </si>
  <si>
    <t>COGENT BUS MANAG</t>
  </si>
  <si>
    <t>Cogent Bus. Manag.</t>
  </si>
  <si>
    <t>DEC 12</t>
  </si>
  <si>
    <t>10.1080/23311975.2025.2575117</t>
  </si>
  <si>
    <t>8XW8M</t>
  </si>
  <si>
    <t>WOS:001599944300001</t>
  </si>
  <si>
    <t>Eaton, D</t>
  </si>
  <si>
    <t>Eaton, Dave</t>
  </si>
  <si>
    <t>The business of peace: Raiding and peace work along the Kenya-Uganda border (Part II)</t>
  </si>
  <si>
    <t>AFRICAN AFFAIRS</t>
  </si>
  <si>
    <t>Peace work is big business along the Kenya-Uganda border. Each year, new groups are created thanks to the generosity of major donors while others disappear due to corruption and mismanagement. This cycle has continued for decades and, despite an absence of tangible results, millions of dollars continue to flow into the bank accounts of peace groups in the North Rift. As the first part of this article suggests, the focus on the so-called 'root causes' of violence may well be responsible for the dismal performance of the peace industry. However, the behaviour of peace NGOs in the field has been appalling. Peace meetings are often only held so NGOs can display an engagement with the conflict, despite the dangers created by such events. Other groups are dominated by politicians who use money earmarked for peace work to fund their political ambitions. Better monitoring is the obvious solution, but local groups have been able to avoid this by exaggerating the security risks of visiting the region. Others argue that offloading peace work responsibilities to CBOs might lead to better results, but in the highly ethnicized North Rift smaller groups are rarely able to transcend their local roots. This article concludes that the peace industry is deeply flawed, and requires a complete overhaul in order to have a beneficial impact on the region.</t>
  </si>
  <si>
    <t>Dalhousie Univ, Dept Hist, Halifax, NS, Canada</t>
  </si>
  <si>
    <t>Dalhousie University</t>
  </si>
  <si>
    <t>Eaton, D (corresponding author), Dalhousie Univ, Dept Hist, Halifax, NS, Canada.</t>
  </si>
  <si>
    <t>staius_murcus@yahoo.ca</t>
  </si>
  <si>
    <t>0001-9909</t>
  </si>
  <si>
    <t>1468-2621</t>
  </si>
  <si>
    <t>AFR AFFAIRS</t>
  </si>
  <si>
    <t>Afr. Aff.</t>
  </si>
  <si>
    <t>10.1093/afraf/adm086</t>
  </si>
  <si>
    <t>Area Studies; Political Science</t>
  </si>
  <si>
    <t>Area Studies; Government &amp; Law</t>
  </si>
  <si>
    <t>284CC</t>
  </si>
  <si>
    <t>WOS:000254681800005</t>
  </si>
  <si>
    <t>Tezel, A; Febrero, P; Papadonikolaki, E; Yitmen, I</t>
  </si>
  <si>
    <t>Tezel, Algan; Febrero, Pedro; Papadonikolaki, Eleni; Yitmen, Ibrahim</t>
  </si>
  <si>
    <t>Insights into Blockchain Implementation in Construction: Models for Supply Chain Management</t>
  </si>
  <si>
    <t>JOURNAL OF MANAGEMENT IN ENGINEERING</t>
  </si>
  <si>
    <t>Blockchain; Construction; Supply chain management; Models; Ethereum</t>
  </si>
  <si>
    <t>DESIGN SCIENCE RESEARCH; INFORMATION; TECHNOLOGY; INTEGRATION; PROJECTS; INDUSTRY</t>
  </si>
  <si>
    <t>The interest in the implementation of distributed ledger technologies (DLTs) is on the rise in the construction sector. One specific type of DLT that has recently attracted much attention is blockchain. Blockchain has been mostly discussed conceptually for construction to date. This study presents some empirical discussions on supply chain management (SCM) applications of blockchain for construction by collecting feedback for three blockchain-based models: project bank accounts (PBAs) for payments, reverse auction-based tendering for bidding, and asset tokenization for project financing. The feedback was collected from three focus groups and a workshop. The working prototypes for the models were developed on Ethereum. The implementation of blockchain in payment arrangements was found to be simpler than in tendering and project tokenization workflows. However, the blockchain integration of those workflows may have large-scale impacts on the sector in the future. A broad set of general and model-specific benefits/opportunities and requirements/challenges was also identified for blockchain in construction. Some of these include streamlined, transparent transactions and rational trust building, and the need for challenging the sector culture, upscaling the legacy information technology (IT) systems, and compliance with the regulatory structures.</t>
  </si>
  <si>
    <t>[Tezel, Algan] Univ Huddersfield, Sch Art Design &amp; Architecture, Huddersfield HD1 3DH, W Yorkshire, England; [Febrero, Pedro] Bityond Inc, Ave Duque Avila 185,5 Andar, P-1050082 Lisbon, Portugal; [Papadonikolaki, Eleni] UCL, Bartlett Sch Construct &amp; Project Management, 251 1-19 Torrington Pl, London WC1E 7HB, England; [Yitmen, Ibrahim] Jonkoping Univ, Dept Construct Engn &amp; Lighting Sci, Karrhoksgatan 86, S-55612 Jonkoping, Sweden</t>
  </si>
  <si>
    <t>University of Huddersfield; University of London; University College London; Jonkoping University</t>
  </si>
  <si>
    <t>Tezel, A (corresponding author), Univ Huddersfield, Sch Art Design &amp; Architecture, Huddersfield HD1 3DH, W Yorkshire, England.</t>
  </si>
  <si>
    <t>A.Tezel@hud.ac.uk; pedro.febrero@bityond.com; e.papadonikolaki@ucl.ac.uk; ibrahim.yitmen@ju.se</t>
  </si>
  <si>
    <t>; Papadonikolaki, Eleni/AFF-5228-2022; Yitmen, Ibrahim/ABK-3907-2022</t>
  </si>
  <si>
    <t>Tezel, Algan/0000-0003-3903-6126; Papadonikolaki, Eleni/0000-0003-1952-1570;</t>
  </si>
  <si>
    <t>Centre for Digital Built Britain, under InnovateUK [90066]</t>
  </si>
  <si>
    <t>Centre for Digital Built Britain, under InnovateUK(UK Research &amp; Innovation (UKRI)Innovate UK)</t>
  </si>
  <si>
    <t>This work incorporates results from the research project Toward Blockchain-enabled Construction Supply Chains: Potential, Requirements and Implementation funded by the Centre for Digital Built Britain, under InnovateUK Grant No. 90066.</t>
  </si>
  <si>
    <t>ASCE-AMER SOC CIVIL ENGINEERS</t>
  </si>
  <si>
    <t>RESTON</t>
  </si>
  <si>
    <t>1801 ALEXANDER BELL DR, RESTON, VA 20191-4400 USA</t>
  </si>
  <si>
    <t>0742-597X</t>
  </si>
  <si>
    <t>1943-5479</t>
  </si>
  <si>
    <t>J MANAGE ENG</t>
  </si>
  <si>
    <t>J. Manage. Eng.</t>
  </si>
  <si>
    <t>10.1061/(ASCE)ME.1943-5479.0000939</t>
  </si>
  <si>
    <t>Engineering, Industrial; Engineering, Civil</t>
  </si>
  <si>
    <t>TH6NL</t>
  </si>
  <si>
    <t>Green Submitted, Green Published</t>
  </si>
  <si>
    <t>WOS:000672204200014</t>
  </si>
  <si>
    <t>Solarz, M; Adamek, J</t>
  </si>
  <si>
    <t>Solarz, Malgorzata; Adamek, Jacek</t>
  </si>
  <si>
    <t>Determinants of digital financial exclusion as a barrier to the adoption of mobile banking services in Poland</t>
  </si>
  <si>
    <t>EKONOMIA I PRAWO-ECONOMICS AND LAW</t>
  </si>
  <si>
    <t>digital finance; digital financial inclusion; financial exclusion; mobile banking; CART</t>
  </si>
  <si>
    <t>INTERNET BANKING; ONLINE BANKING; PERSONAL INNOVATIVENESS; TECHNOLOGY; ACCEPTANCE; ATTITUDES; TRUST; USAGE</t>
  </si>
  <si>
    <t>Motivation: the contemporary phenomenon of financial exclusion, in the sphere of its reasons, consequences and activities aimed at its reduction can be connected, e.g., with using new technologies and financial innovations. The new dimension of such exclusion is created by the digital financial exclusion developed through a diverse set of behavioral, environmental and demographic factors. Their identification and analysis has become an essential activity influencing, e.g., the effectiveness of selective choice and application of proper tools to reduce this exclusion. Aim: identification and assessment of the determinants related to digital financial exclusion as a barrier in the adoption of mobile banking services, considered from the perspective of their impact on the segmentation of the analysed population. Results: the ranking, identified by the authors, regarding the importance of predictors indicated that the dependent variable - Y (i.e. people who have an online bank account classified based on the mobile forms of its use) is most influenced by the generation factor - X-4 (1.0), followed by: personal innovativeness - X-2 (0.92), digital skills - X-1 (0.90) and the perceived risks of new technologies - X-3 (0.66).</t>
  </si>
  <si>
    <t>[Solarz, Malgorzata; Adamek, Jacek] Wroclaw Univ Econ &amp; Business, Fac Econ &amp; Finance, Dept Finance &amp; Accounting, Ul Nowowiejska 3, PL-58500 Jelenia Gora, Poland</t>
  </si>
  <si>
    <t>Wroclaw University of Economics &amp; Business</t>
  </si>
  <si>
    <t>Solarz, M (corresponding author), Wroclaw Univ Econ &amp; Business, Fac Econ &amp; Finance, Dept Finance &amp; Accounting, Ul Nowowiejska 3, PL-58500 Jelenia Gora, Poland.</t>
  </si>
  <si>
    <t>malgorzata.solarz@ue.wroc.pl; jacek.adamek@ue.wroc.pl</t>
  </si>
  <si>
    <t>Solarz, Małgorzata/T-8230-2018; Adamek, Jacek/T-9280-2018</t>
  </si>
  <si>
    <t>Solarz, Małgorzata/0000-0001-9538-0541; Adamek, Jacek/0000-0003-2427-5052</t>
  </si>
  <si>
    <t>Wroclaw University of Economics and Business</t>
  </si>
  <si>
    <t>Funding: this research was fully funded by the Wroclaw University of Economics and Business.</t>
  </si>
  <si>
    <t>UNIWERSYTET MIKOLAJA KOPERNIKA-NICOLAUS COPERNICUS UNIV</t>
  </si>
  <si>
    <t>TORUN</t>
  </si>
  <si>
    <t>WYDZIAL NAUK EKONOMICZNYCH &amp; ZARZADZANIA, KATEDRA EKON, UL GAGARINA 13A, TORUN, 87-100, POLAND</t>
  </si>
  <si>
    <t>1898-2255</t>
  </si>
  <si>
    <t>2392-1625</t>
  </si>
  <si>
    <t>EKON PRAWO</t>
  </si>
  <si>
    <t>Ekon. Prawo</t>
  </si>
  <si>
    <t>10.12775/EiP.2022.028</t>
  </si>
  <si>
    <t>2T9QF</t>
  </si>
  <si>
    <t>WOS:000822800000008</t>
  </si>
  <si>
    <t>Karthikeyan, GK; Bhowmik, B</t>
  </si>
  <si>
    <t>Kadamathikuttiyil Karthikeyan, Girish; Bhowmik, Biswajit</t>
  </si>
  <si>
    <t>Intelligent money laundering detection approaches in banking and E-wallets: a comprehensive survey</t>
  </si>
  <si>
    <t>JOURNAL OF COMPUTATIONAL SOCIAL SCIENCE</t>
  </si>
  <si>
    <t>FinTech; Economic crime; Money laundering; Artificial intelligence; E-wallets; Terror funding; Class imbalance; Know your customer; Deep learning</t>
  </si>
  <si>
    <t>STATISTICAL FRAUD DETECTION</t>
  </si>
  <si>
    <t>The rapid evolution of financial technologies (FinTech) has propelled the world into a more dynamic and sophisticated digital financial landscape. This transformation has significantly expanded financial inclusion, offering new opportunities to individuals who were previously excluded from or had limited access to traditional banking services. Financial inclusion is crucial as it provides access to a broad spectrum of financial services, including bank accounts, credit and debit facilities, and e-wallets. While the rise in digital transactions has been driven by cost efficiency, convenience, and enhanced security measures, it has also led to an increase in economic crimes, particularly money laundering, resulting in substantial global economic losses. Consequently, the need for effective strategies to combat money laundering has never been more pressing. This study thoroughly investigates the state-of-the-art techniques in money laundering detection harnessing the capabilities of artificial intelligence (AI) technologies. First, we provide an overview of economic crimes and classify their various types, setting the stage for a focused discussion on money laundering. The paper then explores the money laundering landscape, including its impact and recent trends, followed by a discussion on different prevention and detection strategies. The paper also delves into AI-driven detection strategies, particularly those targeting money laundering, including the detection of laundering activities through e-wallets. Additionally, we address the research challenges associated with money laundering detection, such as the issue of class imbalance in financial datasets, and propose solutions to overcome it. Finally, the paper provides insights into future directions for research, aiming to equip the research community with the tools necessary to formulate proactive strategies for preventing and mitigating money laundering and related economic crimes.</t>
  </si>
  <si>
    <t>[Kadamathikuttiyil Karthikeyan, Girish; Bhowmik, Biswajit] Natl Inst Technol Karnataka, Dept Comp Sci &amp; Engn, BRICS Lab, Ishwarchandra Vidyasagar AIT Lab, Mangalore 575025, Karnataka, India</t>
  </si>
  <si>
    <t>National Institute of Technology (NIT System); National Institute of Technology Karnataka</t>
  </si>
  <si>
    <t>Karthikeyan, GK (corresponding author), Natl Inst Technol Karnataka, Dept Comp Sci &amp; Engn, BRICS Lab, Ishwarchandra Vidyasagar AIT Lab, Mangalore 575025, Karnataka, India.</t>
  </si>
  <si>
    <t>girishkk.217cs003@nitk.edu.in; brb@nitk.edu.in</t>
  </si>
  <si>
    <t>Bhowmik, Biswajit/U-3922-2018</t>
  </si>
  <si>
    <t>2432-2717</t>
  </si>
  <si>
    <t>2432-2725</t>
  </si>
  <si>
    <t>J COMPUT SOC SCI</t>
  </si>
  <si>
    <t>J. Comput. Soc. Sci.</t>
  </si>
  <si>
    <t>AUG 20</t>
  </si>
  <si>
    <t>10.1007/s42001-025-00421-8</t>
  </si>
  <si>
    <t>Social Sciences, Mathematical Methods</t>
  </si>
  <si>
    <t>Mathematical Methods In Social Sciences</t>
  </si>
  <si>
    <t>6HZ2T</t>
  </si>
  <si>
    <t>WOS:001553808800001</t>
  </si>
  <si>
    <t>Kpodar, K; Imam, PA</t>
  </si>
  <si>
    <t>Kpodar, Kangni; Imam, Patrick Amir</t>
  </si>
  <si>
    <t>How do transaction costs influence remittances?</t>
  </si>
  <si>
    <t>WORLD DEVELOPMENT</t>
  </si>
  <si>
    <t>Remittances; Transaction Costs; Elasticity; Migration</t>
  </si>
  <si>
    <t>IMPULSE; INSURANCE; INFERENCE; ROBUST; SHOCKS</t>
  </si>
  <si>
    <t>Using a new quarterly panel database on remittances, this paper investigates the elasticity of remittances to transaction costs using local projections. The findings suggest that cost reductions have a short-term positive impact on remittances within a quarter, before they stabilize at a higher level. According to our estimates, reducing transaction costs to the Sustainable Development Goal target of 3 percent could generate an additional US$32bn in remittances, higher than the direct cost savings from lower transaction costs, thus suggesting an absolute elasticity greater than one. The cost-elasticity exhibits some heterogeneity along several characteristics of the recipient country, notably competition in the remittance market, financial sector deepening, correspondent banking relationships, transparency in remittance costs, financial literacy and ICT development. Micro data from the USA-Mexico corridor confirm that migrants facing higher transaction costs tend to remit less, and that this effect is less pronounced for skilled migrants and those that have access to a bank account.</t>
  </si>
  <si>
    <t>[Kpodar, Kangni; Imam, Patrick Amir] Int Monetary Fund, 700 19 th St NW, Washington, DC 20431 USA; [Kpodar, Kangni] FERDI, 700 19 th St NW, Washington, DC 20431 USA</t>
  </si>
  <si>
    <t>Kpodar, K (corresponding author), Int Monetary Fund, 700 19 th St NW, Washington, DC 20431 USA.;Kpodar, K (corresponding author), FERDI, 700 19 th St NW, Washington, DC 20431 USA.</t>
  </si>
  <si>
    <t>kkpodar@imf.org; pimam@imf.org</t>
  </si>
  <si>
    <t>UK's Foreign, Commonwealth and Development Office (FCDO) [60925]</t>
  </si>
  <si>
    <t>UK's Foreign, Commonwealth and Development Office (FCDO)</t>
  </si>
  <si>
    <t>Kpodar: International Monetary Fund and FERDI; Imam: International Monetary Fund. This paper benefited from insightful comments and suggestions from Carine Meyimdjui, Cedric Okou, Baoping Shang, Azar Sultanov and three anonymous referees. This research is part of the Macroeconomic Research in Low-Income Countries project (Project ID: 60925) supported by the UK's Foreign, Commonwealth and Development Office (FCDO) . The views expressed in this paper are those of the authors and do not necessarily represent the views of the International Monetary Fund (IMF) , or FCDO.</t>
  </si>
  <si>
    <t>0305-750X</t>
  </si>
  <si>
    <t>1873-5991</t>
  </si>
  <si>
    <t>WORLD DEV</t>
  </si>
  <si>
    <t>World Dev.</t>
  </si>
  <si>
    <t>10.1016/j.worlddev.2024.106537</t>
  </si>
  <si>
    <t>IO9K7</t>
  </si>
  <si>
    <t>WOS:001167387400001</t>
  </si>
  <si>
    <t>Fan, WJ; Chang, SY; Emery, S; Zhou, XB</t>
  </si>
  <si>
    <t>Fan, Wenjun; Chang, Sang-Yoon; Emery, Shawn; Zhou, Xiaobo</t>
  </si>
  <si>
    <t>Blockchain-based Distributed Banking for Permissioned and Accountable Financial Transaction Processing</t>
  </si>
  <si>
    <t>2020 29TH INTERNATIONAL CONFERENCE ON COMPUTER COMMUNICATIONS AND NETWORKS (ICCCN 2020)</t>
  </si>
  <si>
    <t>IEEE International Conference on Computer Communications and Networks</t>
  </si>
  <si>
    <t>29th International Conference on Computer Communications and Networks (ICCCN)</t>
  </si>
  <si>
    <t>AUG 03-06, 2020</t>
  </si>
  <si>
    <t>Permissioned Blockchain; Distributed Banking; Distributed Ledger Technology; Public Key Infrastructure</t>
  </si>
  <si>
    <t>Distributed banking platforms and services forgo centralized banks to process financial transactions. For example, M-Pesa provides distributed banking service in the developing regions so that the people without a bank account can deposit, withdraw, or transfer money. The current distributed banking systems lack the transparency in monitoring and tracking of distributed banking transactions and thus do not support auditing of distributed banking transactions for accountability. To address this issue, this paper proposes a blockchain-based distributed banking (BDB) scheme, which uses blockchain technology to leverage its built-in properties to record and track immutable transactions. BDB supports distributed financial transaction processing but is significantly different from cryptocurrencies in its design properties, simplicity, and computational efficiency. We implement a prototype of BDB using smart contract and conduct experiments to show BDB's effectiveness and performance. We further compare our prototype with the Ethereum cryptocurrency to highlight the fundamental differences and demonstrate the BDB's superior computational efficiency.</t>
  </si>
  <si>
    <t>[Fan, Wenjun; Chang, Sang-Yoon; Emery, Shawn; Zhou, Xiaobo] Univ Colorado, Comp Sci Dept, Coll Engn &amp; Appl Sci, Colorado Springs, CO 80918 USA</t>
  </si>
  <si>
    <t>University of Colorado System; University of Colorado at Colorado Springs</t>
  </si>
  <si>
    <t>Fan, WJ (corresponding author), Univ Colorado, Comp Sci Dept, Coll Engn &amp; Appl Sci, Colorado Springs, CO 80918 USA.</t>
  </si>
  <si>
    <t>wfan@uccs.edu; schang2@uccs.edu; semery@uccs.edu; xzhou@uccs.edu</t>
  </si>
  <si>
    <t>Fan, Wenjun/GOH-3400-2022</t>
  </si>
  <si>
    <t>Colorado State Bill [18-086]</t>
  </si>
  <si>
    <t>Colorado State Bill</t>
  </si>
  <si>
    <t>This research was supported in part by Colorado State Bill 18-086.</t>
  </si>
  <si>
    <t>1095-2055</t>
  </si>
  <si>
    <t>978-1-7281-6607-0</t>
  </si>
  <si>
    <t>IEEE IC COMP COM NET</t>
  </si>
  <si>
    <t>10.1109/icccn49398.2020.9209687</t>
  </si>
  <si>
    <t>BR0BY</t>
  </si>
  <si>
    <t>WOS:000627816700079</t>
  </si>
  <si>
    <t>van Dick, R; Wagner, U; Stellmacher, J; Christ, O</t>
  </si>
  <si>
    <t>The utility of a broader conceptualization of organizational identification: Which aspects really matter?</t>
  </si>
  <si>
    <t>JOURNAL OF OCCUPATIONAL AND ORGANIZATIONAL PSYCHOLOGY</t>
  </si>
  <si>
    <t>SOCIAL IDENTITY; CITIZENSHIP BEHAVIOR; SELF-CATEGORIZATION; PSYCHOLOGICAL ATTACHMENT; WORK MOTIVATION; COMMITMENT; ESTEEM; MODEL; FOCI</t>
  </si>
  <si>
    <t>Predictions of social identity and self-categorization theories about the relevance of social identification in organizational contexts are presented. We propose that different foci of identification (e.g. with own career, team, organization, occupation) as well as different dimensions of organizational identification (cognitive, affective, evaluative, and behavioural) can be separated. Furthermore, these different aspects of organizational identification are assumed to be differentially associated with work-related attitudes and behaviours. Predictions are first tested in a questionnaire study of 515 German school teachers. Confirmatory factor analyses demonstrated that dimensions and foci can indeed be differentiated. In addition, results indicate that different aspects correlate differentially with different criteria. The results are cross-validated in two samples of 233 German school teachers and 358 bank accountants, respectively.</t>
  </si>
  <si>
    <t>Aston Univ, Aston Business Sch, Work &amp; Org Psychol Grp, Birmingham B4 7ET, W Midlands, England; Univ Marburg, D-35032 Marburg, Germany</t>
  </si>
  <si>
    <t>Aston University; Philipps University Marburg</t>
  </si>
  <si>
    <t>van Dick, R (corresponding author), Aston Univ, Aston Business Sch, Work &amp; Org Psychol Grp, Aston Triangle, Birmingham B4 7ET, W Midlands, England.</t>
  </si>
  <si>
    <t>r.vandick@aston.ac.uk</t>
  </si>
  <si>
    <t>Christ, Oliver/0000-0002-4022-9278; van Dick, Rolf/0000-0002-6308-9466</t>
  </si>
  <si>
    <t>0963-1798</t>
  </si>
  <si>
    <t>2044-8325</t>
  </si>
  <si>
    <t>J OCCUP ORGAN PSYCH</t>
  </si>
  <si>
    <t>J. Occup. Organ. Psychol.</t>
  </si>
  <si>
    <t>Psychology, Applied; Management</t>
  </si>
  <si>
    <t>Psychology; Business &amp; Economics</t>
  </si>
  <si>
    <t>833SB</t>
  </si>
  <si>
    <t>WOS:000222358100004</t>
  </si>
  <si>
    <t>Sharma, D</t>
  </si>
  <si>
    <t>Sharma, Divya</t>
  </si>
  <si>
    <t>Unlocking housing capital: semi-legal titles &amp; informal credit in Delhi's unauthorised colonies</t>
  </si>
  <si>
    <t>REVIEW OF SOCIAL ECONOMY</t>
  </si>
  <si>
    <t>Informal finance; housing; social capital; informal land titles</t>
  </si>
  <si>
    <t>This paper examines the saving and credit behavior of low-income households in unauthorized colonies of Delhi using a dual-method approach - financial diaries and a structured household survey. Moving beyond access, the study explores the intensity of financial instrument usage, focusing on bank accounts and LIC policies. Regression analyses highlight key demand-side factors - transaction costs, liquidity, convenience, and financial literacy - as significant determinants of both adoption and usage intensity. Findings reveal that lower time and travel costs, easier fund accessibility, and user-friendly processes enhance financial engagement. Interestingly, while higher income increases the frequency of account use, it may reduce the proportion of income saved, indicating portfolio diversification. LIC policy adoption is driven primarily by ease of process and liquidity features. The study argues that effective financial inclusion requires reducing practical barriers and improving financial literacy. Policies must address demand-side constraints to ensure not just access, but meaningful and sustained usage of formal financial services.</t>
  </si>
  <si>
    <t>[Sharma, Divya] Guru Gobind Singh Indraprastha Univ, Vivekananda Inst Profess Studies, Dept Econ, Tech Campus, Delhi, India; [Sharma, Divya] Dr BR Ambedkar Univ, Econ, Delhi, India; [Sharma, Divya] Ambedkar Univ Delhi, Delhi, India</t>
  </si>
  <si>
    <t>GGS Indraprastha University; Ambedkar University Delhi; Ambedkar University Delhi</t>
  </si>
  <si>
    <t>Sharma, D (corresponding author), Guru Gobind Singh Indraprastha Univ, Vivekananda Inst Profess Studies, Dept Econ, Tech Campus, Delhi, India.;Sharma, D (corresponding author), Dr BR Ambedkar Univ, Econ, Delhi, India.;Sharma, D (corresponding author), Ambedkar Univ Delhi, Delhi, India.</t>
  </si>
  <si>
    <t>sharma.divs17@gmail.com</t>
  </si>
  <si>
    <t>0034-6764</t>
  </si>
  <si>
    <t>1470-1162</t>
  </si>
  <si>
    <t>REV SOC ECON</t>
  </si>
  <si>
    <t>Rev. Soc. Econ.</t>
  </si>
  <si>
    <t>OCT 2</t>
  </si>
  <si>
    <t>10.1080/00346764.2025.2540103</t>
  </si>
  <si>
    <t>AUG 2025</t>
  </si>
  <si>
    <t>I5603</t>
  </si>
  <si>
    <t>WOS:001544554600001</t>
  </si>
  <si>
    <t>Khan, SU</t>
  </si>
  <si>
    <t>Khan, Safi Ullah</t>
  </si>
  <si>
    <t>Mobile money and financial inclusion: International evidence from informal sector enterprises in Asia and Africa</t>
  </si>
  <si>
    <t>JOURNAL OF ASIAN ECONOMICS</t>
  </si>
  <si>
    <t>Informal sector enterprises; Fintech; Mobile money services; Bank credit; Microfinance credit; Trade credit</t>
  </si>
  <si>
    <t>CREDIT; ACCESS; FIRMS; MICROENTERPRISE; ENTREPRENEURS; TRANSACTIONS; KENYA</t>
  </si>
  <si>
    <t>Mobile money (m-money)-fintech platforms that enable payments, transfers, and savings via mobile phones-has revolutionized the payment landscape in Africa, surpassing bank accounts in some regions. Studies have examined the effects of m-money on the financial inclusion of previously unbanked populations at the macro level. However, research on how fintech's m-money enhances access to conventional banking services for microentrepreneurs and informal businesses remains limited. Using instrumental variable probit models and non-parametric methods on a cross-country sample from the World Bank's informal enterprise surveys of sub-Saharan and Asian countries, this study finds robust evidence that m-money significantly increases informal enterprises' transitions to deposit-based and credit-based financial inclusion. Heterogeneity analyses reveal that m-money significantly enhances microfinance credit access for informal enterprises in Asian countries compared with African countries. However, its effect on bank credit access is nearly the same in both regions, with statistically more significant coefficient estimates in the African countries. Furthermore, mechanism test analysis shows that the observed financial inclusion effect of fintech's m-money stems from its influence on profitability and trade credit provision, which improves access to traditional financial services. An important policy implication is that fintech's m-money can serve as a precursor to broader formal financial inclusion in informal-sector enterprises.</t>
  </si>
  <si>
    <t>[Khan, Safi Ullah] Univ Teknol Brunei, UTB Sch Business, Tungku Link, Bandar Seri Beg, Brunei</t>
  </si>
  <si>
    <t>University of Technology Brunei</t>
  </si>
  <si>
    <t>Khan, SU (corresponding author), Univ Teknol Brunei, UTB Sch Business, Tungku Link, Bandar Seri Beg, Brunei.</t>
  </si>
  <si>
    <t>Safiullah.khan@utb.edu.bn</t>
  </si>
  <si>
    <t>KHAN, SAFI/ABA-9588-2021</t>
  </si>
  <si>
    <t>1049-0078</t>
  </si>
  <si>
    <t>1873-7927</t>
  </si>
  <si>
    <t>J ASIAN ECON</t>
  </si>
  <si>
    <t>J. Asian Econ.</t>
  </si>
  <si>
    <t>10.1016/j.asieco.2025.102033</t>
  </si>
  <si>
    <t>7DD9Q</t>
  </si>
  <si>
    <t>WOS:001568207700001</t>
  </si>
  <si>
    <t>Vanaga, R; Sloka, B</t>
  </si>
  <si>
    <t>Univ Latvia</t>
  </si>
  <si>
    <t>Vanaga, Rita; Sloka, Biruta</t>
  </si>
  <si>
    <t>EFFICIENT FINANCE REGULATOR AS SUPPORTER FOR FINANCIAL STABILITY OF INHABITANTS</t>
  </si>
  <si>
    <t>NEW CHALLENGES IN ECONOMIC AND BUSINESS DEVELOPMENT - 2020: ECONOMIC INEQUALITY AND WELL-BEING</t>
  </si>
  <si>
    <t>12th International Scientific Conference on New Challenges in Economic and Business Development - Economic Inequality and Well-Being</t>
  </si>
  <si>
    <t>OCT 02, 2020</t>
  </si>
  <si>
    <t>Univ Lativa, Riga, LATVIA</t>
  </si>
  <si>
    <t>Univ Latvia, Fac Business Management &amp; Econ</t>
  </si>
  <si>
    <t>Univ Lativa</t>
  </si>
  <si>
    <t>account location for retired people; financial literacy; finance regulator; finance system stability</t>
  </si>
  <si>
    <t>Recent developments in banking sector in Latvia especially related with PNB Bank where bank accounts of many retired people were located leads to requirements for proficiency of Finance Regulator which has to be efficiently financed, stable and professional. In different countries Finance Regulators have different models of their financing. Aim of the study is to investigate different approaches for Finance Regulator financing and analyse expert views on possible development of Finance Regulator financing model in Latvia. Research methods applied: scientific publications and previous conducted research results analysis and expert survey for possible financing model changes in Latvia. In expert survey for analysis of expert views in many cases it was used evaluation scale 1-10 to better analyse expert views. For analysis of expert views it was used indicators of descriptive statistics, cross-tabulations and factor analysis. Research results indicated that Latvia has a great challenge for best possible model of Finance Regulator financing as the current financing model causes problems as currently Finance Regulator is financed by existing finance institutions which Finance Regulator has to monitor.</t>
  </si>
  <si>
    <t>[Vanaga, Rita; Sloka, Biruta] Univ Latvia, Riga, Latvia</t>
  </si>
  <si>
    <t>Vanaga, R (corresponding author), Univ Latvia, Riga, Latvia.</t>
  </si>
  <si>
    <t>Sloka, Biruta/K-5043-2017</t>
  </si>
  <si>
    <t>NATIONAL RESEARCH PROGRAMME LATVIAN HERITAGE AND FUTURE CHALLENGES FOR THE SUSTAINABILITY OF THE STATE project CHALLENGES FOR THE LATVIAN STATE AND SOCIETY AND THE SOLUTIONS IN INTERNATIONAL CONTEXT (INTERFRAME-LV)</t>
  </si>
  <si>
    <t>The research was supported by the NATIONAL RESEARCH PROGRAMME LATVIAN HERITAGE AND FUTURE CHALLENGES FOR THE SUSTAINABILITY OF THE STATE project CHALLENGES FOR THE LATVIAN STATE AND SOCIETY AND THE SOLUTIONS IN INTERNATIONAL CONTEXT (INTERFRAME-LV)</t>
  </si>
  <si>
    <t>UNIV LATVIA</t>
  </si>
  <si>
    <t>RIGA</t>
  </si>
  <si>
    <t>19 RAINA BLVD, RIGA, LV 1586, LATVIA</t>
  </si>
  <si>
    <t>978-9934-18-598-4</t>
  </si>
  <si>
    <t>BR1HI</t>
  </si>
  <si>
    <t>WOS:000632360900045</t>
  </si>
  <si>
    <t>Chamboko, R</t>
  </si>
  <si>
    <t>Chamboko, Richard</t>
  </si>
  <si>
    <t>Digital financial services adoption: a retrospective time-to-event analysis approach</t>
  </si>
  <si>
    <t>FINANCIAL INNOVATION</t>
  </si>
  <si>
    <t>Digital financial services; Mobile money; Time-to-event analysis; Survival analysis; Adoption factors</t>
  </si>
  <si>
    <t>MOBILE MONEY ADOPTION; BEHAVIORAL INTENTION; COMPUTER-TECHNOLOGY; USER ACCEPTANCE; PANEL EVIDENCE; BANKING; KENYA; INCLUSION; DIFFUSION; MODELS</t>
  </si>
  <si>
    <t>Expanding digital financial services (DFS) such as mobile money has become a key policy intervention for many developing and emerging countries as they seek to fast-track financial and economic inclusion. To date, adults in these markets have had more mobile money accounts than traditional bank accounts. Numerous studies have used binary approaches to understand the factors explaining DFS adoption. However, there is a dearth of studies, that investigate the time to DFS adoption and factors that predict time to adoption. To close this gap, this study used a time-to-event analysis approach to estimate the time to DFS adoption and investigate the factors that explain the variation in time to adoption. Using a sample of 1800 survey respondents from Zimbabwe, the study found that it took 4.4 and 8.5 years, respectively, for urban and rural residents to adopt DFS. Overall, the findings show that individuals who are significantly more likely to adopt DFS faster are those residing in urban areas, near mobile money agents, banked, with high levels of education and financial literacy, middle-aged, belonging to social groups, and self-employed. In addition, an expansionary macroeconomic environment was associated with greater DFS adoption intensities. The findings also show that gender and income level do not predict the time to DFS adoption in the studied market. This study provides policy and practitioner recommendations for possible actions to accelerate the adoption of DFS.</t>
  </si>
  <si>
    <t>[Chamboko, Richard] World Bank Grp, Int Finance Corp, Sect Econ &amp; Dev Impact, Washington, DC 20433 USA; [Chamboko, Richard] Univ Free State, Dept Econ &amp; Finance, Bloemfontein, South Africa</t>
  </si>
  <si>
    <t>The World Bank; University of the Free State</t>
  </si>
  <si>
    <t>Chamboko, R (corresponding author), World Bank Grp, Int Finance Corp, Sect Econ &amp; Dev Impact, Washington, DC 20433 USA.;Chamboko, R (corresponding author), Univ Free State, Dept Econ &amp; Finance, Bloemfontein, South Africa.</t>
  </si>
  <si>
    <t>richardchamboko@gmail.com</t>
  </si>
  <si>
    <t>Chamboko, Richard/AAQ-4608-2021</t>
  </si>
  <si>
    <t>2199-4730</t>
  </si>
  <si>
    <t>FINANC INNOV</t>
  </si>
  <si>
    <t>Financ. Innov.</t>
  </si>
  <si>
    <t>JAN 18</t>
  </si>
  <si>
    <t>10.1186/s40854-023-00568-1</t>
  </si>
  <si>
    <t>Business, Finance; Social Sciences, Mathematical Methods</t>
  </si>
  <si>
    <t>FC2U9</t>
  </si>
  <si>
    <t>WOS:001143493500001</t>
  </si>
  <si>
    <t>Apostu, SA; Panait, M; Vasile, V; Sharma, GD; Vasile, R</t>
  </si>
  <si>
    <t>Apostu, Simona Andreea; Panait, Mirela; Vasile, Valentina; Sharma, Gagan Deep; Vasile, Razvan</t>
  </si>
  <si>
    <t>FinTechs and financial inclusion-Balkan experience: Digital perspectives on financial markets</t>
  </si>
  <si>
    <t>ELECTRONIC JOURNAL OF INFORMATION SYSTEMS IN DEVELOPING COUNTRIES</t>
  </si>
  <si>
    <t>Balkans countries; digitalization; financial inclusion; Fintech</t>
  </si>
  <si>
    <t>REMITTANCES; MIGRATION; BANKING; ROMANIA</t>
  </si>
  <si>
    <t>The article aims to identify the stage of development of Fintech in the Balkan countries given the existence of numerous influencing factors Fintech is present in the Balkan countries, with a landscape colorfully generated by the different factors as the involvement of public authorities, the EU membership of only a few countries, the level of financial and digital education of the population. In order to highlight the variables influencing Fintech and financial inclusion in selected countries, specific indicators were used-internet usage and the share of bank assets in GDP, and several indicators regarding individuals performance, that is, online shopping, paid bills via internet, accessed a bank account online, paid utility bills using a mobile phone, made or received digital payments, account ownership and debit card ownership. The sample consists of all eight Balkan countries: Slovenia, Croatia, Bosnia and Herzegovina, Serbia, Montenegro, Albania, Macedonia, Bulgaria, and Romania. For testing the hypothesis in the analysis are used: descriptives, ANOVA, cluster analysis and principal components analysis. The results demonstrated that Balkan countries are not homogenous regarding Fintech and financial inclusion, the differences being generated both by the public policies in the financial field but also by IT development and by the population openness for using the new financial services and products. For these reasons, the authors identified economic policy measures that can be applied to increase financial inclusion in these countries given the facilities offered by Fintech and the digitization of financial products.</t>
  </si>
  <si>
    <t>[Apostu, Simona Andreea] Bucharest Univ Econ Studies, Dept Stat &amp; Econometr, Bucharest, Romania; [Apostu, Simona Andreea; Panait, Mirela; Vasile, Valentina] Inst Natl Econ, Bucharest, Romania; [Panait, Mirela] Petr Gas Univ Ploiesti, Dept Cybernet Econ Informat Finance &amp; Accounting, Ploiesti 100680, Romania; [Sharma, Gagan Deep] Guru Gobind Singh Indrparastha Univ, Univ Sch Management Studies, New Delhi, India; [Vasile, Razvan] Natl Inst Econ Res Costin C Kiritescu, Bucharest, Romania</t>
  </si>
  <si>
    <t>Bucharest University of Economic Studies; Petroleum-Gas University of Ploiesti; National Institute for Economic Research Costin C. Kiritescu</t>
  </si>
  <si>
    <t>Panait, M (corresponding author), Petr Gas Univ Ploiesti, Dept Cybernet Econ Informat Finance &amp; Accounting, Ploiesti 100680, Romania.</t>
  </si>
  <si>
    <t>mirela.matei@upg-ploiesti.ro</t>
  </si>
  <si>
    <t>Vasile, Razvan/HNR-9406-2023; Panait, Mirela/K-3300-2019; Vasile, Valentina/M-7795-2013; Sharma, Gagan Deep/R-2351-2018; Apostu, Simona Aneea/B-8099-2019</t>
  </si>
  <si>
    <t>Vasile, Razvan/0000-0002-0269-2886; Panait, Mirela/0000-0002-5158-753X; Vasile, Valentina/0000-0002-2368-1377; Sharma, Gagan Deep/0000-0001-5379-0761; Apostu, Simona Aneea/0000-0003-1727-0114</t>
  </si>
  <si>
    <t>1681-4835</t>
  </si>
  <si>
    <t>ELECTR J INF SYS DEV</t>
  </si>
  <si>
    <t>Electron. J. Inf. Syst. Dev. Ctries.</t>
  </si>
  <si>
    <t>10.1002/isd2.12257</t>
  </si>
  <si>
    <t>NOV 2022</t>
  </si>
  <si>
    <t>9M3IO</t>
  </si>
  <si>
    <t>WOS:000888625500001</t>
  </si>
  <si>
    <t>Cross, C; Grant-Smith, D</t>
  </si>
  <si>
    <t>Cross, Cassandra; Grant-Smith, Deanna</t>
  </si>
  <si>
    <t>Recruitment Fraud: Increased opportunities for exploitation in times of uncertainty?</t>
  </si>
  <si>
    <t>SOCIAL ALTERNATIVES</t>
  </si>
  <si>
    <t>Recruitment fraud; technology and fraud; fraud victimisation</t>
  </si>
  <si>
    <t>Recruitment fraud uses the guise of a genuine job opportunity to lure potential victims into paying 'fees' directly or sending sensitive personal information (driver's licence, bank account details, passports, etc.). Those who comply can expose themselves to a range of consequences, including fraud, identity theft and money laundering. Victims of fraud more generally face challenges in accessing justice through the fraud justice network of police, consumer protection organisations and banks. However, those targeted by employment schemes are often less visible and might be more marginalised than those who experience other fraud victimisation. In 2020, the emergence of COVID-19 plunged the world into an extraordinary level of uncertainty. Millions found themselves unemployed or underemployed due to the lockdowns and physical distancing restrictions introduced to control the virus, creating a bountiful environment for offenders to effectively target potential victims of recruitment fraud and increasing the vulnerability of a larger proportion of society to such schemes. This article details the contours of recruitment fraud. The paper advocates a research agenda promoting a better understanding of fraud victimisation in this context. Ways to effectively disrupt or prevent fraud are outlined to reduce levels of victimisation and harm into the future.</t>
  </si>
  <si>
    <t>Cross, Cassana/AAI-2978-2020; Grant-Smith, Deanna/I-3463-2019</t>
  </si>
  <si>
    <t>Cross, Cassana/0000-0003-0827-3567; Grant-Smith, Deanna/0000-0001-5935-2690</t>
  </si>
  <si>
    <t>MAROOCHYDORE DC</t>
  </si>
  <si>
    <t>UNIV SUNSHINE COAST, FAC ARTS &amp; BUSINESS, MAROOCHYDORE DC, QLD 4556, AUSTRALIA</t>
  </si>
  <si>
    <t>0155-0306</t>
  </si>
  <si>
    <t>1836-6600</t>
  </si>
  <si>
    <t>SOC ALTERN</t>
  </si>
  <si>
    <t>Soc. Altern.</t>
  </si>
  <si>
    <t>Sociology</t>
  </si>
  <si>
    <t>3X3YP</t>
  </si>
  <si>
    <t>WOS:000842979800002</t>
  </si>
  <si>
    <t>Zhllima, E; Shahu, E; Skreli, E; Imami, D</t>
  </si>
  <si>
    <t>Zhllima, Edvin; Shahu, Edmira; Skreli, Engjell; Imami, Drini</t>
  </si>
  <si>
    <t>Factors associated with smallholder farmers' financial illiteracy in the context of an emerging economy</t>
  </si>
  <si>
    <t>STUDIES IN AGRICULTURAL ECONOMICS</t>
  </si>
  <si>
    <t>financial literacy; credit costs; accounting competence; Albania</t>
  </si>
  <si>
    <t>LITERACY; ACCESS; GROWTH; IMPACT</t>
  </si>
  <si>
    <t>Access to finance poses a significant challenge for smallholder farmers, influencing the prospects for improving their livelihoods. Financial literacy stands out as a pivotal factor in overcoming this hurdle, playing a crucial role in attaining access to finance, maintaining creditworthiness and fostering economic stability. The objective of this study is to enable an understanding of the financial literacy level of smallholder farmers and to explore empirically the factors that can be associated with their financial literacy. The study is based on a field survey using structured questionnaires targeting 506 smallholder farmers located in different parts of Albania. Descriptive analysis and logit regression analyses are carried out in order to study the relationship between farmers' capacity to calculate credit obligations and their farm assets, access to knowledge, access to financial services and behaviours related to financial record keeping. The ability to correctly calculate the value of the credit costs has been found to be positively associated with access to previous training, experience with application for accessing subsidies, access to a bank account, and their habit of financial keeping records.</t>
  </si>
  <si>
    <t>[Zhllima, Edvin; Shahu, Edmira; Skreli, Engjell; Imami, Drini] Agr Univ Tirana, Rruga Paisi Vodica, Tirana 1025, Albania</t>
  </si>
  <si>
    <t>Imami, D (corresponding author), Agr Univ Tirana, Rruga Paisi Vodica, Tirana 1025, Albania.</t>
  </si>
  <si>
    <t>dimami@ubt.edu.al</t>
  </si>
  <si>
    <t>Shahu, Edmira/MXK-0484-2025; Zhllima, Edvin/LFV-0072-2024; Imami, Drini/Q-6843-2017; Skreli, Engjell/AAL-9197-2020</t>
  </si>
  <si>
    <t>AGRARGAZDASAGI KUTATO &amp; INFORMATIKAI INTEZET</t>
  </si>
  <si>
    <t>BUDAPEST</t>
  </si>
  <si>
    <t>ZSIL UTCA 3-5, PO BOX 5, BUDAPEST, 1355, HUNGARY</t>
  </si>
  <si>
    <t>1418-2106</t>
  </si>
  <si>
    <t>2063-0476</t>
  </si>
  <si>
    <t>STUD AGRIC ECON</t>
  </si>
  <si>
    <t>Stud. Agric. Econ.</t>
  </si>
  <si>
    <t>10.7896/j.2703</t>
  </si>
  <si>
    <t>Agricultural Economics &amp; Policy</t>
  </si>
  <si>
    <t>Agriculture</t>
  </si>
  <si>
    <t>G7Q6D</t>
  </si>
  <si>
    <t>WOS:001318540700002</t>
  </si>
  <si>
    <t>Li, HG; Hand, DJ</t>
  </si>
  <si>
    <t>Direct versus indirect credit scoring classifications</t>
  </si>
  <si>
    <t>JOURNAL OF THE OPERATIONAL RESEARCH SOCIETY</t>
  </si>
  <si>
    <t>credit scoring; behavioural scoring; prediction; classifications; indirect models</t>
  </si>
  <si>
    <t>We introduce a new approach to assigning bank account holders to 'good' or 'bad' classes based on their future behaviour. Traditional methods simply treat the classes as qualitatively distinct, and seek to predict them directly, using statistical techniques such as logistic regression or discriminant analysis based on application data or observations of previous behaviour. We note, however, that the 'good' and 'bad' classes are defined in terms of variables such as the amount overdrawn at the time at which the classification is required. This permits an alternative, 'indirect, form of classification model in which. first. the variables defining the classes are predicted for example using regression. and then the class membership is derived deterministically from these predicted values. We compare traditional direct methods with these new indirect methods using both real bank data and simulated data. The new methods appear to perform very similarly to the traditional methods, and we discuss why this might be. Finally, we note that the indirect methods also have certain other advantages over the traditional direct methods.</t>
  </si>
  <si>
    <t>Univ London Imperial Coll Sci Technol &amp; Med, Dept Math, London SW1 2BZ, England; Alcatel, London, England</t>
  </si>
  <si>
    <t>Imperial College London; Alcatel-Lucent</t>
  </si>
  <si>
    <t>Hand, DJ (corresponding author), Univ London Imperial Coll Sci Technol &amp; Med, Dept Math, Huxley Bldg,180 Queens Gate, London SW1 2BZ, England.</t>
  </si>
  <si>
    <t>d.j.hand@ic.ac.uk</t>
  </si>
  <si>
    <t>Hand, David/0000-0002-4649-5622</t>
  </si>
  <si>
    <t>0160-5682</t>
  </si>
  <si>
    <t>J OPER RES SOC</t>
  </si>
  <si>
    <t>J. Oper. Res. Soc.</t>
  </si>
  <si>
    <t>10.1057/palgrave.jors.2601346</t>
  </si>
  <si>
    <t>Management; Operations Research &amp; Management Science</t>
  </si>
  <si>
    <t>Business &amp; Economics; Operations Research &amp; Management Science</t>
  </si>
  <si>
    <t>560GA</t>
  </si>
  <si>
    <t>WOS:000176073300007</t>
  </si>
  <si>
    <t>Nyanhete, A</t>
  </si>
  <si>
    <t>Nyanhete, Alois</t>
  </si>
  <si>
    <t>The Role of International Mobile Remittances in Promoting Financial Inclusion and Development</t>
  </si>
  <si>
    <t>EUROPEAN JOURNAL OF SUSTAINABLE DEVELOPMENT</t>
  </si>
  <si>
    <t>Remittances; Mobile Banking; Financial inclusion; Human Development</t>
  </si>
  <si>
    <t>SERVICES; KENYA; MONEY</t>
  </si>
  <si>
    <t>The purpose of this paper is to examine the contribution that international mobile remittances make in promoting financial inclusion and development. We use the case of the EcoCash Diaspora service that is offered by Econet Wireless Zimbabwe for the study. EcoCash Diaspora is a mobile money transfer service that enables users to send remittances directly to the EcoCash mobile phone wallet of recipients in Zimbabwe. We argue that international mobile remittances are a spectacular innovation in that they are able to reach people banking institutions had faced challenges with reaching, particularly those in rural areas. Given that there are significantly more people who own mobile phones in comparison to those who hold formal bank accounts, providing financial services through mobile networks could provide financial access to several unbanked households. In addition to this, international mobile remittances also promote human development by enhancing the financial capabilities of the recipients. Our study demonstrates the important role mobile technology is playing in improving lives of people at the bottom of the pyramid and we encourage greater use of mobile technology in delivering services to this population.</t>
  </si>
  <si>
    <t>[Nyanhete, Alois] Open Univ, Dev Policy &amp; Practice, Milton Keynes, Bucks, England</t>
  </si>
  <si>
    <t>Open University - UK</t>
  </si>
  <si>
    <t>Nyanhete, A (corresponding author), Open Univ, Dev Policy &amp; Practice, Milton Keynes, Bucks, England.</t>
  </si>
  <si>
    <t>EUROPEAN CENTER SUSTAINABLE DEVELOPMENT</t>
  </si>
  <si>
    <t>ROME</t>
  </si>
  <si>
    <t>VIA DEI FIORI 34, ROME, 00172, ITALY</t>
  </si>
  <si>
    <t>2239-5938</t>
  </si>
  <si>
    <t>2239-6101</t>
  </si>
  <si>
    <t>EUR J SUSTAIN DEV</t>
  </si>
  <si>
    <t>Eur. J. Sustain. Dev.</t>
  </si>
  <si>
    <t>10.14207/ejsd.2017.v6n2p256</t>
  </si>
  <si>
    <t>EW3ZK</t>
  </si>
  <si>
    <t>WOS:000402441600024</t>
  </si>
  <si>
    <t>Amin, MI; Erfan, N; Navid, M; Khan, MSA; Islam, MS</t>
  </si>
  <si>
    <t>Amin, Md. Iftekharul; Erfan, Nafis; Navid, Mashrur; Khan, Mohammed Shafiul Alam; Islam, Md. Shariful</t>
  </si>
  <si>
    <t>An Application of TAM and TRI on the Factors Affecting Internet Banking Adoption in Bangladesh</t>
  </si>
  <si>
    <t>Perceived Risk; Perceived Value; Technology Familiarity; Usage Adoption; Usage Continuance</t>
  </si>
  <si>
    <t>USE DIGITAL BANKING; USER ACCEPTANCE; MOBILE BANKING; TECHNOLOGY; DETERMINANTS; MODEL; INTENTION; SERVICES</t>
  </si>
  <si>
    <t>This study assesses the Internet banking adoption tendency by existing bank customers of Bangladesh. Currently, almost all the leading banks in the country have implemented Internet banking platforms. However, the active user count remains relatively low and there hasn't been any conclusive research on the drivers and inhibitors of Internet banking. This study evaluates the reasons and quantitatively establishes the factors leading to the adoption and usage continuance of internet banking by existing bank customers. Responses from 460 bank account holders were collected via online questionnaires using a purposive sampling approach, and a core conceptual framework based on Technology Acceptance Model (TAM) and Technology Readiness Index (TRI) was used. The study concluded that internet banking adoption is significantly impacted by the ease of use, customer service, and technology familiarity. Similarly, customer satisfaction is affected by the perceived value and the perceived risk. Through regression analysis, it was found that usage continuance is 89% explained by adoption and customer satisfaction. Multi-group moderation showed significant impact by groups divided based on usage frequency, income level, and age. Perceived risk weakened the impact of perceived value and technology familiarity on usage adoption. Additionally, perceived risk reduced the impact of consumer satisfaction and usage continuance.</t>
  </si>
  <si>
    <t>[Amin, Md. Iftekharul; Erfan, Nafis; Navid, Mashrur] Univ Dhaka, Inst Business Adm, Dhaka, Bangladesh; [Amin, Md. Iftekharul] Nilkhet Rd, Dhaka 1000, Bangladesh; [Khan, Mohammed Shafiul Alam; Islam, Md. Shariful] Univ Dhaka, Inst Informat Technol, Dhaka, Bangladesh</t>
  </si>
  <si>
    <t>Amin, MI (corresponding author), Univ Dhaka, Inst Business Adm, Dhaka, Bangladesh.;Amin, MI (corresponding author), Nilkhet Rd, Dhaka 1000, Bangladesh.</t>
  </si>
  <si>
    <t>miamin@iba-du.edu; nafis-2018311897@iba.du.ac.bd; mashrur-2013816667@iba.du.ac.bd; shafiul@du.ac.bd; shariful@iit.du.ac.bd</t>
  </si>
  <si>
    <t>Khan, Shafiul/KJM-3263-2024</t>
  </si>
  <si>
    <t>Seongnam City</t>
  </si>
  <si>
    <t>HANSHIN OFFICETEL STE 1030, 2463-4, SHINHEUNG-DONG SUJEONG-GU, Seongnam City, Gyeonggi-do, SOUTH KOREA</t>
  </si>
  <si>
    <t>10.13106/jafeb.2022.vol9.no9.0075</t>
  </si>
  <si>
    <t>6I9TJ</t>
  </si>
  <si>
    <t>WOS:000886472200007</t>
  </si>
  <si>
    <t>Blancaflor, E; Bandal, EAM; Capule, NAM; Estaris, AJ; Villar, SDE; Villaluz, A</t>
  </si>
  <si>
    <t>Blancaflor, Eric; Bandal, Earl Arden M.; Capule, Nicollo Andrew M.; Estaris, Aaron J.; Villar, Sean David E.; Villaluz, Alberto</t>
  </si>
  <si>
    <t>An Analysis on the Implementation of Biometric Authentication on ATM Machines</t>
  </si>
  <si>
    <t>2025 10TH INTERNATIONAL CONFERENCE ON COMPUTER AND COMMUNICATION SYSTEM, ICCCS</t>
  </si>
  <si>
    <t>International Conference on Computers Communications and Systems</t>
  </si>
  <si>
    <t>2025 International Conference on Computer and Communication Systems-ICCCS-Annual</t>
  </si>
  <si>
    <t>APR 18-21, 2025</t>
  </si>
  <si>
    <t>PEOPLES R CHINA</t>
  </si>
  <si>
    <t>Institute of Electrical and Electronics Engineers Inc,University of Electronic Science &amp; Technology of China</t>
  </si>
  <si>
    <t>Automated Teller Machine (ATM); Biometrics; Mobile Banking Applications</t>
  </si>
  <si>
    <t>Automated Teller Machines, or more commonly known as ATMs, are a common sight in urban areas all throughout the globe. Their primary purpose is it allows people to withdraw as well as deposit cash to and from a bank account without the need to visit a bank personally. ATMs are quite essential in the lives of a lot of people purely for their convenience. Due to it involving money, criminals tend to target ATMs, attempting to siphon out the cash that is inside the machines, through any means necessary. Due to how important and essential ATMs are to the average person in their daily life, we are proposing a new method of making ATMs much more secure. We propose that enhancing biometric authentication should be integrated within ATM machines to heavily improve their security</t>
  </si>
  <si>
    <t>[Blancaflor, Eric; Bandal, Earl Arden M.; Capule, Nicollo Andrew M.; Estaris, Aaron J.; Villar, Sean David E.] Mapua Univ, Sch Informat Technol, Makati, Philippines; [Villaluz, Alberto] Mapua Univ, Math Dept, Makati, Philippines</t>
  </si>
  <si>
    <t>Mapua University; Mapua University</t>
  </si>
  <si>
    <t>Blancaflor, E (corresponding author), Mapua Univ, Sch Informat Technol, Makati, Philippines.</t>
  </si>
  <si>
    <t>ebblancaflor@mapua.edu.ph; eambandal@mymailmapua.edu.ph; namcapule@mymail.mapua.edu.ph; ajestaris@mymailmapua.edu.ph; sdevillar@mapua.edu.ph; acvillaluz@mapua.edu.ph</t>
  </si>
  <si>
    <t>Blanca, Eric/ABJ-1750-2022</t>
  </si>
  <si>
    <t>2995-3243</t>
  </si>
  <si>
    <t>979-8-3315-2315-2; 979-8-3315-2314-5</t>
  </si>
  <si>
    <t>Int C Comp Commun Sy</t>
  </si>
  <si>
    <t>10.1109/ICCCS65393.2025.11069703</t>
  </si>
  <si>
    <t>Computer Science, Interdisciplinary Applications; Telecommunications</t>
  </si>
  <si>
    <t>BZ2RR</t>
  </si>
  <si>
    <t>WOS:001555646900065</t>
  </si>
  <si>
    <t>Akomea-Frimpong, I; Olaniyan, TO; Dwomoh-Okudzeto, Y</t>
  </si>
  <si>
    <t>Akomea-Frimpong, Isaac; Olaniyan, Temitayo Olumide; Dwomoh-Okudzeto, Yvonne</t>
  </si>
  <si>
    <t>Financial Literacy of legislators in Africa: An Exploratory Study</t>
  </si>
  <si>
    <t>INTERNATIONAL JOURNAL OF PUBLIC ADMINISTRATION</t>
  </si>
  <si>
    <t>Financial literacy; financial apps; Pan-African Parliament; legislators</t>
  </si>
  <si>
    <t>SAMPLE-SIZE; BEHAVIOR; EDUCATION; MODELS; ENTREPRENEURSHIP; SATISFACTION; CAPABILITY; ATTITUDES; DECISION; CONTEXT</t>
  </si>
  <si>
    <t>Financial literacy is a catalyst to improve financial decisions and financial inclusion in the society. Existing studies demonstrate a growing research outputs on financial literacy in all facets of the society except the legislature, one of three principal branches of government. Despite the fact that the legislature is the law-making body of financial bills and regulations in the society, little is known a bout the level of financial literacy of the members of the legislature. This study aims to explore the financial literacy of the legislators in Africa. A survey aided in obtaining primary data from 87 legislators of the Pan-African Parliament in Africa. Data obtained were analysed using descriptive and the probit statistical techniques. The results reveal education, profession and income as the main factors influencing financial literacy of legislators. In addition, the results revealed an average level of knowledge on cash budget, savings and investment, retirement planning and bank accounts of legislators. The study recommends that legislators must enroll in current and relevant financial programs, and use more financial apps for their financial activities. As a first of its kind, the study makes significant contributions to further studies and public policy.</t>
  </si>
  <si>
    <t>[Akomea-Frimpong, Isaac] Western Sydney Univ, Sydney, NSW, Australia; [Olaniyan, Temitayo Olumide] Univ Ilorin, Ilorin, Nigeria; [Dwomoh-Okudzeto, Yvonne] European Investment Bank, Luxembourg, Luxembourg</t>
  </si>
  <si>
    <t>Western Sydney University; University of Ilorin</t>
  </si>
  <si>
    <t>Akomea-Frimpong, I (corresponding author), Western Sydney Univ, Sydney, NSW, Australia.</t>
  </si>
  <si>
    <t>19624802@student.westernsydney.edu.au</t>
  </si>
  <si>
    <t>Akomea-Frimpong, Isaac/GQQ-6263-2022</t>
  </si>
  <si>
    <t>Akomea-Frimpong, Isaac/0000-0003-3704-1386</t>
  </si>
  <si>
    <t>0190-0692</t>
  </si>
  <si>
    <t>1532-4265</t>
  </si>
  <si>
    <t>INT J PUBLIC ADMIN</t>
  </si>
  <si>
    <t>Int. J. Public Adm.</t>
  </si>
  <si>
    <t>APR 26</t>
  </si>
  <si>
    <t>10.1080/01900692.2021.1998906</t>
  </si>
  <si>
    <t>9S4KJ</t>
  </si>
  <si>
    <t>WOS:000728416300001</t>
  </si>
  <si>
    <t>Chakrabarti, S; Saha, HN</t>
  </si>
  <si>
    <t>Security assessment of Mobile- Banking</t>
  </si>
  <si>
    <t>2015 INTERNATIONAL CONFERENCE AND WORKSHOP ON COMPUTING AND COMMUNICATION (IEMCON)</t>
  </si>
  <si>
    <t>2015 International Conference and Workshop on Computing and Communication (IEMCON)</t>
  </si>
  <si>
    <t>OCT 15-17, 2015</t>
  </si>
  <si>
    <t>IEEE SMC Syst Man &amp; Cybernet Soc,IEEE VANCOUVER SECT,IEEE</t>
  </si>
  <si>
    <t>online banking; mobile banking; privacy in mobile banking; mobile banking vulnerabilities; security of mobile banking; Privacy in mobile banking</t>
  </si>
  <si>
    <t>Bank account hacking has caused millions money losses around the world. In addition, there is lots of obvious weakness in the banking system. It is important to achieve how the security aspects in a banking system can influence great lost to the financial institution. This paper reports on the aiming at identifying and classifying Mobile banking payment security challenges. First, different methods of online banking specially, mobile banking have been discussed. In addition, we tried to gather all different protocols of mobile banking system which are used till now, also different security problems which reported. Then, different encryption algorithms were compared. Moreover, our method which has two layers of security has been presented. In addition, for preparing the security of the Network Layer.</t>
  </si>
  <si>
    <t>[Nosrati, Leili] Islamic Azad Univ, Tehran North Branch, Tehran, Iran; [Bidgoli, Amir Massoud] MIEEE Manchester Univ, Islamic Azad Univ, Tehran North Branch, Tehran, Iran</t>
  </si>
  <si>
    <t>978-1-4799-6908-1</t>
  </si>
  <si>
    <t>Computer Science, Theory &amp; Methods; Engineering, Electrical &amp; Electronic; Telecommunications</t>
  </si>
  <si>
    <t>BF1ID</t>
  </si>
  <si>
    <t>WOS:000380399100069</t>
  </si>
  <si>
    <t>Proestakis, A; Marandola, G; Lourenco, JS; van Bavel, R</t>
  </si>
  <si>
    <t>Proestakis, Antonios; Marandola, Ginevra; Lourenco, Joana S.; van Bavel, Rene</t>
  </si>
  <si>
    <t>Testing a policy intervention in the lab: differences between students and non-students in switching bank accounts</t>
  </si>
  <si>
    <t>JOURNAL OF BEHAVIORAL AND EXPERIMENTAL ECONOMICS</t>
  </si>
  <si>
    <t>Economic experiment; Student sample; Switching; Financial behaviour; External validity; Policy intervention</t>
  </si>
  <si>
    <t>SOCIAL PREFERENCES; EXTERNAL VALIDITY; RISK; COMPETITION; ECONOMICS; CONSUMERS; BEHAVIOR; CHOICE; TIME; AGE</t>
  </si>
  <si>
    <t>The reliance on student samples has long been a subject of debate in experimental approaches to studying behaviour. We contribute to this discussion by looking at differences in financial behaviour between a student and a non -student sample in three sets of lab experiments conducted in Spain, Germany and Poland (n =857). Participants from both samples switched more often and made better financial decisions after they received a message encouraging them to switch financial service providers. While the size of the effect on switching frequency was comparable between the two samples, the effect on switching quality was significantly stronger on non -students. Further analysis suggests this is due to a better performance of students before the prompt leaving less room for improvement by the reminder. Results suggest that experimental evidence derived from students should be generalized with caution.</t>
  </si>
  <si>
    <t>[Proestakis, Antonios; Marandola, Ginevra; Lourenco, Joana S.] European Commiss, Joint Res Ctr, Rue Champ Mars 21, B-1050 Brussels, Belgium; [van Bavel, Rene] European Commiss, Joint Res Ctr, Edificio Expo,Calle Inca Garcilaso 3, Seville 41092, Spain; [Proestakis, Antonios] Hellen Mediterranean Univ, Sitia Crete 72300, Greece; [Marandola, Ginevra] Italian Competit Author AGCM, Piazza Giuseppe Verdi 6a, I-00198 Rome, Italy; [Lourenco, Joana S.] European Food Safety Author, Via Carlo Magno 1A, I-43126 Parma, Italy</t>
  </si>
  <si>
    <t>European Commission Joint Research Centre; Hellenic Mediterranean University; European Food Safety Authority</t>
  </si>
  <si>
    <t>Proestakis, A (corresponding author), European Commiss, Joint Res Ctr, Rue Champ Mars 21, B-1050 Brussels, Belgium.</t>
  </si>
  <si>
    <t>proestan@gmail.com</t>
  </si>
  <si>
    <t>Proestakis, Antonios/GVS-0537-2022; Lourenco, Joana/HCH-3668-2022</t>
  </si>
  <si>
    <t>Proestakis, Antonios/0000-0002-7395-4150; Marandola, Ginevra/0000-0002-4076-4668;</t>
  </si>
  <si>
    <t>European Commission's Directorate-General for Financial Stability, Financial Services and Capital Markets Union (DG FISMA)</t>
  </si>
  <si>
    <t>This work was part of 'Applying Behavioural Insights to Encourage Consumer Switching of Financial Products', a project funded by the European Commission's Directorate-General for Financial Stability, Financial Services and Capital Markets Union (DG FISMA) .</t>
  </si>
  <si>
    <t>2214-8043</t>
  </si>
  <si>
    <t>2214-8051</t>
  </si>
  <si>
    <t>J BEHAV EXP ECON</t>
  </si>
  <si>
    <t>J. Behav. Exp. Econ.</t>
  </si>
  <si>
    <t>10.1016/j.socec.2024.102220</t>
  </si>
  <si>
    <t>MAY 2024</t>
  </si>
  <si>
    <t>TX9B1</t>
  </si>
  <si>
    <t>WOS:001244664600001</t>
  </si>
  <si>
    <t>Stanley, RL; Buckley, RP</t>
  </si>
  <si>
    <t>Stanley, Rebecca L.; Buckley, Ross P.</t>
  </si>
  <si>
    <t>PROTECTING THE WEST, EXCLUDING THE REST: THE IMPACT OF THE AML/CTF REGIME ON FINANCIAL INCLUSION IN THE PACIFIC AND POTENTIAL RESPONSES</t>
  </si>
  <si>
    <t>MELBOURNE JOURNAL OF INTERNATIONAL LAW</t>
  </si>
  <si>
    <t>Financial inclusion is an important international policy goal. Remittances promote financial inclusion by contributing almost half a trillion dollars to the economies of developing countries each year and by giving people a strong reason to engage with formal financial services. In the Pacific, remittances represent a significant proportion of many countries' GDPs. The G20 has committed to reducing the global average cost of sending remittances to 5 per cent. At the same time, financial service providers are facing increasingly onerous regulatory requirements to combat the global rise in money laundering and terrorism financing. In Australia, these requirements have led to the bank account closures of many money transfer operators, posing a real risk to financial inclusion, growth and stability in the Pacific. This paper examines the G20's goals for financial inclusion, the role of remittances in achieving these goals for the Pacific region, and the impact of anti-money laundering and counter-terror financing ('AML/CTF') regulations on the Australian remittance industry. A number of solutions are proposed to address the challenges facing the remittance industry in Australia, including the adoption of risk-based regulatory measures such as limiting transfer sums, digitising payments and encouraging greater use of technological innovation to reduce risks.</t>
  </si>
  <si>
    <t>[Stanley, Rebecca L.; Buckley, Ross P.] UNSW, Sydney, NSW, Australia; [Stanley, Rebecca L.] King &amp; Wood Mallesons, Sydney, NSW, Australia; [Buckley, Ross P.] King &amp; Wood Mallesons, Ctr Int Finance &amp; Regulat, Sydney, NSW, Australia; [Buckley, Ross P.] UNSW, Int Finance Law, Sydney, NSW, Australia; [Buckley, Ross P.] UNSW, Ctr Law Markets &amp; Regulat, Sydney, NSW, Australia</t>
  </si>
  <si>
    <t>University of New South Wales Sydney; Centre for International Finance &amp; Regulation; University of New South Wales Sydney; University of New South Wales Sydney</t>
  </si>
  <si>
    <t>Stanley, RL (corresponding author), UNSW, Sydney, NSW, Australia.;Stanley, RL (corresponding author), King &amp; Wood Mallesons, Sydney, NSW, Australia.</t>
  </si>
  <si>
    <t>UNIV MELBOURNE, MELBOURNE LAW SCH</t>
  </si>
  <si>
    <t>MELBOURNE</t>
  </si>
  <si>
    <t>MELBOURNE LAW SCH, MELBOURNE, VIC 3010, AUSTRALIA</t>
  </si>
  <si>
    <t>1444-8602</t>
  </si>
  <si>
    <t>1444-8610</t>
  </si>
  <si>
    <t>MELB J INT LAW</t>
  </si>
  <si>
    <t>Melb. J. Int. Law</t>
  </si>
  <si>
    <t>DV7YV</t>
  </si>
  <si>
    <t>WOS:000383155500004</t>
  </si>
  <si>
    <t>Gebhardt, G; Novotny-Farkas, Z</t>
  </si>
  <si>
    <t>Gebhardt, Guenther; Novotny-Farkas, Zoltan</t>
  </si>
  <si>
    <t>Mandatory IFRS Adoption and Accounting Quality of European Banks</t>
  </si>
  <si>
    <t>JOURNAL OF BUSINESS FINANCE &amp; ACCOUNTING</t>
  </si>
  <si>
    <t>IFRS; bank accounting; loan loss provisions; income smoothing; timeliness of loss recognition; bank regulation; ownership structure</t>
  </si>
  <si>
    <t>LOAN-LOSS PROVISIONS; EARNINGS MANAGEMENT; REPORTING INCENTIVES; INVESTOR PROTECTION; CAPITAL MANAGEMENT; STANDARDS; FIRMS; CONSERVATISM; GOVERNANCE; PRIVATE</t>
  </si>
  <si>
    <t>This paper examines the implications of mandatory IFRS adoption on the accounting quality of banks in twelve EU countries. Specifically, we analyse how the change in the recognition and measurement of banks' main operating accrual item, the loan loss provision, affects income smoothing behaviour and timely loss recognition. We find that the restriction to recognise only incurred losses under IAS 39 significantly reduces income smoothing. This effect is less pronounced in countries with stricter bank supervision, widely dispersed bank ownership and for EU banks cross-listed in the US. This provides additional evidence that institutions matter in shaping financial reporting outcomes. Further, the application of the incurred loss approach results in less timely loan loss recognition implying delayed recognition of future expected losses. In the light of the ongoing financial crisis it is questionable whether this is a desirable financial reporting outcome of mandatory IFRS adoption.</t>
  </si>
  <si>
    <t>[Gebhardt, Guenther; Novotny-Farkas, Zoltan] Goethe Univ Frankfurt, D-60323 Frankfurt, Germany</t>
  </si>
  <si>
    <t>Goethe University Frankfurt</t>
  </si>
  <si>
    <t>Novotny-Farkas, Z (corresponding author), Goethe Univ Frankfurt, Gruneburgpl 1, D-60323 Frankfurt, Germany.</t>
  </si>
  <si>
    <t>novotny-farkas@wiwi.uni-frankfurt.de</t>
  </si>
  <si>
    <t>Novotny-Farkas, Zoltán/0000-0003-0107-0687</t>
  </si>
  <si>
    <t>WILEY-BLACKWELL</t>
  </si>
  <si>
    <t>MALDEN</t>
  </si>
  <si>
    <t>COMMERCE PLACE, 350 MAIN ST, MALDEN 02148, MA USA</t>
  </si>
  <si>
    <t>0306-686X</t>
  </si>
  <si>
    <t>J BUS FINAN ACCOUNT</t>
  </si>
  <si>
    <t>J. Bus. Finan. Account.</t>
  </si>
  <si>
    <t>APR-MAY</t>
  </si>
  <si>
    <t>3-4</t>
  </si>
  <si>
    <t>10.1111/j.1468-5957.2011.02242.x</t>
  </si>
  <si>
    <t>762MN</t>
  </si>
  <si>
    <t>WOS:000290483200001</t>
  </si>
  <si>
    <t>Barik, R; Sharma, P</t>
  </si>
  <si>
    <t>Barik, Rajesh; Sharma, Pritee</t>
  </si>
  <si>
    <t>What Constraints Financial Inclusion for the Transgender Community? Field-based Evidences from Odisha (India)</t>
  </si>
  <si>
    <t>Financial inclusion; transgender; Odisha; gender equality; gender development</t>
  </si>
  <si>
    <t>VIOLENCE</t>
  </si>
  <si>
    <t>Among all the marginalized and stigmatized communities in Odisha, financial exclusion is high among the transgender community. This study discusses the status, importance and key challenges of financial inclusion among the transgender community of Odisha. This study tries to address the major constraints and challenges of financial inclusion among transgender community people in Odisha. To fulfil the above cited objective, in-depth interviews were conducted with 76 respondents. Additionally, the interviews were also taken from the transgender community's president and secretary from two regions of Odisha (Cuttack and Bhubaneswar). This study points out that transgender people are deprived from accessing adequate financial products and services from the formal financial institutions. Both demand side and supply side factors are responsible for this exclusion. On the demand side, their low financial literacy and awareness, lack of proper documents to open a bank account, lack of individual interest and lack of formal employment are responsible. On the other hand, supply side factors involve unfriendly behaviour of bank staff and officers, less provision of legal documents from the government, less spread of information, less awareness programmes or financial literacy programmes among the transgender community of Odisha.</t>
  </si>
  <si>
    <t>[Barik, Rajesh; Sharma, Pritee] Indian Inst Technol Indore, Sch Humanities &amp; Social Sci, Discipline Econ, Khandwa Rd, Indore 453552, Madhya Pradesh, India</t>
  </si>
  <si>
    <t>Indian Institute of Technology System (IIT System); Indian Institute of Technology (IIT) - Indore</t>
  </si>
  <si>
    <t>Barik, R (corresponding author), Indian Inst Technol Indore, Sch Humanities &amp; Social Sci, Discipline Econ, Khandwa Rd, Indore 453552, Madhya Pradesh, India.</t>
  </si>
  <si>
    <t>rajeshbarik195@gmail.com</t>
  </si>
  <si>
    <t>Barik, Rajesh/0000-0002-8658-0207; Sharma, Pritee/0000-0002-0526-9258</t>
  </si>
  <si>
    <t>10.1177/2455328X20922434</t>
  </si>
  <si>
    <t>SV0XF</t>
  </si>
  <si>
    <t>WOS:000663549600001</t>
  </si>
  <si>
    <t>Sowon, K; Munyendo, CW; Klucinec, L; Maingi, E; Suleh, G; Cranor, LF; Fanti, G; Tucker, C; Gueye, A</t>
  </si>
  <si>
    <t>USENIX ASSOC</t>
  </si>
  <si>
    <t>Sowon, Karen; Munyendo, Collins W.; Klucinec, Lily; Maingi, Eunice; Suleh, Gerald; Cranor, Lorrie Faith; Fanti, Giulia; Tucker, Conrad; Gueye, Assane</t>
  </si>
  <si>
    <t>Design and Evaluation of Privacy-Preserving Protocols for Agent-Facilitated Mobile Money Services in Kenya</t>
  </si>
  <si>
    <t>PROCEEDINGS OF THE TWENTY-FIRST SYMPOSIUM ON USABLE PRIVACY AND SECURITY, SOUPS 2025</t>
  </si>
  <si>
    <t>21st Symposium on Usable Privacy and Security-SOUPS</t>
  </si>
  <si>
    <t>AUG 11-12, 2025</t>
  </si>
  <si>
    <t>INFORMATION PRIVACY</t>
  </si>
  <si>
    <t>Mobile Money (MoMo), a technology that allows users to complete financial transactions using a mobile phone without requiring a bank account, is a common method for processing financial transactions in Africa and other developing regions. Users can deposit and withdraw money with the help of human agents. During deposit and withdraw operations, know-your-customer (KYC) processes require agents to access and verify customer information such as name and ID number, which can introduce privacy and security risks. In this work, we design alternative protocols for MoMo deposits/withdrawals that protect users' privacy while enabling KYC checks by redirecting the flow of sensitive information from the agent to the MoMo provider. We evaluate the usability and efficiency of our proposed protocols in a role-play and semi-structured interview study with 32 users and 15 agents in Kenya. We find that users and agents prefer the new protocols, due in part to convenient and efficient verification using biometrics as well as better data privacy and access control. However, our study also surfaced challenges that need to be addressed before these protocols can be deployed.</t>
  </si>
  <si>
    <t>[Sowon, Karen] Indiana Univ, Bloomington, IN 47405 USA; [Munyendo, Collins W.] George Washington Univ, Washington, DC USA; [Klucinec, Lily; Cranor, Lorrie Faith; Fanti, Giulia] Carnegie Mellon Univ, Pittsburgh, PA USA; [Maingi, Eunice; Suleh, Gerald] Strathmore Univ, Nairobi, Kenya; [Tucker, Conrad; Gueye, Assane] Carnegie Mellon Univ Africa, Kigali, Rwanda</t>
  </si>
  <si>
    <t>Indiana University System; Indiana University Bloomington; George Washington University; Carnegie Mellon University; Strathmore University</t>
  </si>
  <si>
    <t>Sowon, K (corresponding author), Indiana Univ, Bloomington, IN 47405 USA.</t>
  </si>
  <si>
    <t>Gates Foundation</t>
  </si>
  <si>
    <t>Gates Foundation(Bill &amp; Melinda Gates Foundation)</t>
  </si>
  <si>
    <t>We would like to thank Peter Mwangi, Vema Oluoch, Lydia Kamuyu, Esther Adwets, Minnie Ogachi, and Cynthia Chepkoech for their assistance with recruitment and other study logistics. This study was supported in part by the Gates Foundation. The views and opinions expressed in this study, however, are those of the authors and do not necessarily reflect the views or positions of the sponsors.</t>
  </si>
  <si>
    <t>BERKELEY</t>
  </si>
  <si>
    <t>SUITE 215, 2560 NINTH ST, BERKELEY, CA 94710 USA</t>
  </si>
  <si>
    <t>978-1-939133-51-9</t>
  </si>
  <si>
    <t>BZ4EC</t>
  </si>
  <si>
    <t>WOS:001577930800022</t>
  </si>
  <si>
    <t>Chatterjee, P; Das, D; Rawat, DB</t>
  </si>
  <si>
    <t>Simmhan, Y; Altintas, I; Varbanescu, AL; Balaji, P; Prasad, AS; Carnevale, L</t>
  </si>
  <si>
    <t>Chatterjee, Pushpita; Das, Debashis; Rawat, Danda B.</t>
  </si>
  <si>
    <t>Next Generation Financial Services: Role of Blockchain enabled Federated Learning and Metaverse</t>
  </si>
  <si>
    <t>2023 IEEE/ACM 23RD INTERNATIONAL SYMPOSIUM ON CLUSTER, CLOUD AND INTERNET COMPUTING WORKSHOPS, CCGRIDW</t>
  </si>
  <si>
    <t>23rd IEEE/ACM International Symposium on Cluster, Cloud and Internet Computing (CCGrid)</t>
  </si>
  <si>
    <t>MAY 01-04, 2023</t>
  </si>
  <si>
    <t>Bangalore, INDIA</t>
  </si>
  <si>
    <t>IEEE,Assoc Comp Machinery,IEEE Comp Soc,IEEE Tech Comm Scalable Comp,IEEE Tech Community Cloud Comp,Assoc Comp Machinery, Special Interest Grp Comp Architecture,Meta,HPE,IBM,Google,Microsoft</t>
  </si>
  <si>
    <t>blockchain; federated learning; metaverse; financial CPS; security</t>
  </si>
  <si>
    <t>Due to the COVID-19 pandemic and rapid digital transformation in financial institutions, cyberattacks, and data breaches are spiking and becoming more targeted and prevalent. According to media sources, banks received the most malware in 2019. Ransomware, phishing assaults, credit card fraud, and bank account hacks pose the highest risk to the financial sector. The growing number of ways cyber and physical security risks overlap is worrying. Digitalized operational and security solutions are becoming standard across sectors. This paper presents how blockchain technology and Federated Learning (FL) influence financial services to improve the privacy, security, and trust of integrated cyber-physical systems (CPS) in the financial sector. First, an overview of financial services applications is provided in detail. Then, how federated learning (FL) can incorporate blockchain for financial services is presented. It has also been pointed out how the metaverse and digital twin can help improve the financial services ecosystem. Finally, some future research challenges have been included to provide some insights to the researchers and industries about how to enhance the security, trust, and privacy of CPS integrated into financial services using blockchain, FL, and Metaverse.</t>
  </si>
  <si>
    <t>[Chatterjee, Pushpita] Howard Univ, Dept EE &amp; CS, Washington, DC 20059 USA; [Das, Debashis] Univ Kalyani, Dept CSE, Kalyani, India</t>
  </si>
  <si>
    <t>Howard University; Kalyani University</t>
  </si>
  <si>
    <t>Chatterjee, P (corresponding author), Howard Univ, Dept EE &amp; CS, Washington, DC 20059 USA.</t>
  </si>
  <si>
    <t>pushpita.c@ieee.org; debashis.das@ieee.org; db.rawat@ieee.org</t>
  </si>
  <si>
    <t>Das, Debashis/AAX-7954-2021; Rawat, Danda/B-2973-2012; CHATTERJEE, PUSPITA/AAR-3862-2020</t>
  </si>
  <si>
    <t>Das, Debashis/0000-0003-4422-3196;</t>
  </si>
  <si>
    <t>IEEE COMPUTER SOC</t>
  </si>
  <si>
    <t>LOS ALAMITOS</t>
  </si>
  <si>
    <t>10662 LOS VAQUEROS CIRCLE, PO BOX 3014, LOS ALAMITOS, CA 90720-1264 USA</t>
  </si>
  <si>
    <t>979-8-3503-0208-0</t>
  </si>
  <si>
    <t>10.1109/CCGridW59191.2023.00025</t>
  </si>
  <si>
    <t>Computer Science, Artificial Intelligence; Telecommunications</t>
  </si>
  <si>
    <t>BV4NR</t>
  </si>
  <si>
    <t>WOS:001037081200010</t>
  </si>
  <si>
    <t>Falahati, L; Paim, LH</t>
  </si>
  <si>
    <t>Falahati, Leila; Paim, Laily Hj.</t>
  </si>
  <si>
    <t>The Emergence of Gender Differences in Consumer Socialization among College Students</t>
  </si>
  <si>
    <t>LIFE SCIENCE JOURNAL-ACTA ZHENGZHOU UNIVERSITY OVERSEAS EDITION</t>
  </si>
  <si>
    <t>Gender; Consumer Socialization; Financial behavior; College Students; Financial Education</t>
  </si>
  <si>
    <t>This study examines the gender differences in consumer socialization among college students. The sample comprised 2,430 students in six public and five private universities across Malaysia, which were randomly selected for the study. A self-administered questionnaire was used as the data collection method. The results revealed gender differences in consumer socialization, in which male students' perceived earlier socialization regarding financial matters. In addition, the results indicated that females are socialized earlier in receiving allowances and owning bank accounts while males are socialized earlier in financial activity and financial assets. [Leila Falahati, Laily Hj. Paim. The Emergence of Gender Differences in Consumer Socialization among College Students. Life Science Journal. 2011; 8(3): 187-191] (ISSN: 1097-8135). http://www.lifesciencesite.com.</t>
  </si>
  <si>
    <t>[Paim, Laily Hj.] Univ Putra Malaysia, Fac Human Ecol, Dept Resource Management &amp; Consumer Studies, Serdang 43400, Malaysia; [Falahati, Leila] Islamic Azad Univ, Dept Women Studies, Fac Humanities &amp; Social Sci, Sci &amp; Res Branch, Tehran, Iran</t>
  </si>
  <si>
    <t>Universiti Putra Malaysia; Islamic Azad University</t>
  </si>
  <si>
    <t>Paim, LH (corresponding author), Univ Putra Malaysia, Fac Human Ecol, Dept Resource Management &amp; Consumer Studies, Serdang 43400, Malaysia.</t>
  </si>
  <si>
    <t>Laily@Putra.ipm.edu.my</t>
  </si>
  <si>
    <t>IRPA Foundation</t>
  </si>
  <si>
    <t>Sincere appreciation is extended to the IRPA Foundation for their support of this research.</t>
  </si>
  <si>
    <t>MARSLAND PRESS</t>
  </si>
  <si>
    <t>LANSING</t>
  </si>
  <si>
    <t>PO BOX 21126, LANSING, MI 48909 USA</t>
  </si>
  <si>
    <t>1097-8135</t>
  </si>
  <si>
    <t>LIFE SCI J</t>
  </si>
  <si>
    <t>Life Sci. J.</t>
  </si>
  <si>
    <t>Biology</t>
  </si>
  <si>
    <t>Life Sciences &amp; Biomedicine - Other Topics</t>
  </si>
  <si>
    <t>935MO</t>
  </si>
  <si>
    <t>WOS:000303523200035</t>
  </si>
  <si>
    <t>Canfora, G; Martinelli, F; Mercaldo, F; Nardone, V; Santone, A; Visaggio, CA</t>
  </si>
  <si>
    <t>Canfora, Gerardo; Martinelli, Fabio; Mercaldo, Francesco; Nardone, Vittoria; Santone, Antonella; Visaggio, Corrado Aaron</t>
  </si>
  <si>
    <t>LEILA: Formal Tool for Identifying Mobile Malicious Behaviour</t>
  </si>
  <si>
    <t>IEEE TRANSACTIONS ON SOFTWARE ENGINEERING</t>
  </si>
  <si>
    <t>Malware; Androids; Humanoid robots; Payloads; Computer security; Model checking; Automata; Security; malware; model checking; testing; Android</t>
  </si>
  <si>
    <t>MALWARE DETECTION; CODE</t>
  </si>
  <si>
    <t>With the increasing diffusion of mobile technologies, nowadays mobile devices represent an irreplaceable tool to perform several operations, from posting a status on a social network to transfer money between bank accounts. As a consequence, mobile devices store a huge amount of private and sensitive information and this is the reason why attackers are developing very sophisticated techniques to extort data and money from our devices. This paper presents the design and the implementation of LEILA (formaL tool for idEntifying mobIle maLicious behAviour), a tool targeted at Android malware families detection. LEILA is based on a novel approach that exploits model checking to analyse and verify the Java Bytecode that is produced when the source code is compiled. After a thorough description of the method used for Android malware families detection, we report the experiments we have conducted using LEILA. The experiments demonstrated that the tool is effective in detecting malicious behaviour and, especially, in localizing the payload within the code: we evaluated real-world malware belonging to several widespread families obtaining an accuracy ranging between 0.97 and 1.</t>
  </si>
  <si>
    <t>[Canfora, Gerardo; Nardone, Vittoria; Visaggio, Corrado Aaron] Univ Sannio, Dept Engn, I-82100 Benevento, BN, Italy; [Martinelli, Fabio; Mercaldo, Francesco] Natl Res Council Italy CNR, Inst Informat &amp; Telemat, I-00185 Pisa, Italy; [Santone, Antonella] Univ Molise, Dept Biosci &amp; Terr, I-86100 Pesche Is, CB, Italy</t>
  </si>
  <si>
    <t>University of Sannio; Consiglio Nazionale delle Ricerche (CNR); Istituto di Informatica e Telematica (IIT-CNR); University of Molise</t>
  </si>
  <si>
    <t>Mercaldo, F (corresponding author), Natl Res Council Italy CNR, Inst Informat &amp; Telemat, I-00185 Pisa, Italy.</t>
  </si>
  <si>
    <t>canfora@unisannio.it; fabio.martinelli@iit.cnr.it; francesco.mercaldo@iit.cnr.it; vnardone@unisannio.it; antonella.santone@unimol.it; visaggio@unisannio.it</t>
  </si>
  <si>
    <t>Santone, Antonella/LMO-6567-2024</t>
  </si>
  <si>
    <t>Canfora, Gerardo/0000-0003-0049-1279</t>
  </si>
  <si>
    <t>H2020 EU funded project NeCS [675320]; H2020 EU funded project C3ISP [700294]</t>
  </si>
  <si>
    <t>H2020 EU funded project NeCS; H2020 EU funded project C3ISP</t>
  </si>
  <si>
    <t>This work was partially supported by the H2020 EU funded project NeCS [GA #675320], by the H2020 EU funded project C3ISP [GA #700294]. The Authors thank Maurizio Viscusi and Raffaele Sanzari for helping in the LEILA implementation.</t>
  </si>
  <si>
    <t>10662 LOS VAQUEROS CIRCLE, PO BOX 3014, LOS ALAMITOS, CA 90720-1314 USA</t>
  </si>
  <si>
    <t>0098-5589</t>
  </si>
  <si>
    <t>1939-3520</t>
  </si>
  <si>
    <t>IEEE T SOFTWARE ENG</t>
  </si>
  <si>
    <t>IEEE Trans. Softw. Eng.</t>
  </si>
  <si>
    <t>10.1109/TSE.2018.2834344</t>
  </si>
  <si>
    <t>Computer Science, Software Engineering; Engineering, Electrical &amp; Electronic</t>
  </si>
  <si>
    <t>JW0NQ</t>
  </si>
  <si>
    <t>WOS:000502756700004</t>
  </si>
  <si>
    <t>Agarwal, A; Assenova, VA</t>
  </si>
  <si>
    <t>Agarwal, Aparajita; Assenova, Valentina A.</t>
  </si>
  <si>
    <t>Mobile Money as a Stepping Stone to Financial Inclusion: How Digital Multisided Platforms Fill Institutional Voids</t>
  </si>
  <si>
    <t>ORGANIZATION SCIENCE</t>
  </si>
  <si>
    <t>digital platforms; institutional voids; intermediaries; financial inclusion; mobile money</t>
  </si>
  <si>
    <t>BUSINESS GROUPS; START-UP; ENTREPRENEURSHIP; INTERMEDIARIES; STRATEGY; COMPETITION; TECHNOLOGY; INNOVATION; CATALYSTS; MARKETS</t>
  </si>
  <si>
    <t>The literature on institutional voids examines how intermediaries, such as business groups and business incubators, address such voids in emerging economies. However, it remains unclear whether and how digital multisided platforms fill these voids given their unique features. This study focuses on mobile money platforms, which allow users without bank accounts or credit cards to perform financial transactions. We propose that these platforms fill institutional voids in three ways by (i) enabling data-based certification, (ii) providing unified access to distributed services, and (iii) scaling through network effects to reach previously excluded market participants. We argue that these novel mechanisms enable mobile money platforms to expand credit access to end users from formal financial institutions and thereby act as stepping stones to financial inclusion. Our analysis is based on a difference-in-difference design that leverages regulatory changes that allowed nonbanks to operate as mobile money operators and data from a representative random sample of 151,771 individuals in 78 countries. We supplement our quantitative analysis with rich, hand-collected qualitative evidence to illustrate the mechanisms underlying our findings.</t>
  </si>
  <si>
    <t>[Agarwal, Aparajita; Assenova, Valentina A.] Univ Penn, Wharton Sch, Philadelphia, PA 19104 USA</t>
  </si>
  <si>
    <t>University of Pennsylvania</t>
  </si>
  <si>
    <t>Agarwal, A (corresponding author), Univ Penn, Wharton Sch, Philadelphia, PA 19104 USA.</t>
  </si>
  <si>
    <t>aapa@wharton.upenn.edu; vaa@wharton.upenn.edu</t>
  </si>
  <si>
    <t>Assenova, Valentina/KHC-7972-2024</t>
  </si>
  <si>
    <t>Assenova, Valentina/0000-0002-5637-8139; AGARWAL, APARAJITA/0000-0002-1016-8777</t>
  </si>
  <si>
    <t>Wharton School of the University of Pennsylvania</t>
  </si>
  <si>
    <t>Funding: Financial support from the Wharton School of the University of Pennsylvania.</t>
  </si>
  <si>
    <t>INFORMS</t>
  </si>
  <si>
    <t>CATONSVILLE</t>
  </si>
  <si>
    <t>5521 RESEARCH PARK DR, SUITE 200, CATONSVILLE, MD 21228 USA</t>
  </si>
  <si>
    <t>1047-7039</t>
  </si>
  <si>
    <t>ORGAN SCI</t>
  </si>
  <si>
    <t>Organ Sci.</t>
  </si>
  <si>
    <t>10.1287/orsc.2022.16562</t>
  </si>
  <si>
    <t>TW9D2</t>
  </si>
  <si>
    <t>WOS:001120954300001</t>
  </si>
  <si>
    <t>Reynolds, TW; Biscaye, PE; Anderson, CL; O'Brien-Carelli, C; Keel, J</t>
  </si>
  <si>
    <t>Reynolds, Travis W.; Biscaye, Pierre E.; Anderson, C. Leigh; O'Brien-Carelli, Caitlin; Keel, Joanna</t>
  </si>
  <si>
    <t>Exploring the gender gap in mobile money awareness and use: evidence from eight low and middle income countries</t>
  </si>
  <si>
    <t>mobile money; digital financial services; women; gender gap</t>
  </si>
  <si>
    <t>FINANCIAL INCLUSION; ECONOMIC BARRIERS; BANKING ADOPTION; INFORMATION; TECHNOLOGY; PHONES; EMPOWERMENT; ACCEPTANCE; INTENTION; WOMEN</t>
  </si>
  <si>
    <t>We used three waves of Financial Inclusion Insights surveys (2013-2016) to examine gender gaps in mobile money (MM) awareness and use across eight low- and middle-income countries. After accounting for socio-demographic factors (age, marriage, literacy, education, employment, income, and financial numeracy) and other enabling factors (mobile phone, formal identification, and bank account), we found no independent association between gender and MM use in established MM markets in Kenya, Tanzania, and Uganda. In contrast, in emerging MM markets (Bangladesh, India, Indonesia, Nigeria, and Pakistan), significant gender differences in MM use remained. Phone and bank account access had stronger associations with MM use for men than for women in these MM markets, and gender gaps in MM use increased over time. Findings suggest realizing the financial inclusion potential of MM may require a more nuanced understanding of difficult-to-measure and slow-to-change factors - such as legal and social norms - constraining women's MM use.</t>
  </si>
  <si>
    <t>[Reynolds, Travis W.] Univ Vermont, Dept Community Dev &amp; Appl Econ, Burlington, VT 05401 USA; [Biscaye, Pierre E.] Univ Calif Berkeley, Dept Agr &amp; Resource Econ, Berkeley, CA 94720 USA; [Anderson, C. Leigh; O'Brien-Carelli, Caitlin] Univ Washington, Daniel J Evans Sch Publ Policy &amp; Governance, Seattle, WA 98195 USA; [Keel, Joanna] Colby Coll, Environm Studies Program, Waterville, ME 04901 USA</t>
  </si>
  <si>
    <t>University of Vermont; University of California System; University of California Berkeley; University of Washington; University of Washington Seattle; Colby College</t>
  </si>
  <si>
    <t>Reynolds, TW (corresponding author), Univ Vermont, Dept Community Dev &amp; Appl Econ, Burlington, VT 05401 USA.</t>
  </si>
  <si>
    <t>twreynol@uvm.edu</t>
  </si>
  <si>
    <t>Biscaye, Pierre/GPW-8936-2022</t>
  </si>
  <si>
    <t>Bill and Melinda Gates Foundation [OPP1135685]; Bill and Melinda Gates Foundation [OPP1135685] Funding Source: Bill and Melinda Gates Foundation</t>
  </si>
  <si>
    <t>Bill and Melinda Gates Foundation(Bill &amp; Melinda Gates Foundation); Bill and Melinda Gates Foundation(Bill &amp; Melinda Gates Foundation)</t>
  </si>
  <si>
    <t>This work was supported by the Bill and Melinda Gates Foundation: [Grant Number OPP1135685].</t>
  </si>
  <si>
    <t>JUL 3</t>
  </si>
  <si>
    <t>2-3</t>
  </si>
  <si>
    <t>10.1080/02681102.2022.2073579</t>
  </si>
  <si>
    <t>CY7A2</t>
  </si>
  <si>
    <t>WOS:001128845400001</t>
  </si>
  <si>
    <t>Kurniawan, P; Achjari, D</t>
  </si>
  <si>
    <t>Kurniawan, Pandu; Achjari, Didi</t>
  </si>
  <si>
    <t>Dynamic cross-border payment preferences: A qualitative study of Indonesian expatriates in Thailand and Malaysia</t>
  </si>
  <si>
    <t>BANKS AND BANK SYSTEMS</t>
  </si>
  <si>
    <t>cross-border payment; QR code payment; local currency settlement; AHP; payment method preference</t>
  </si>
  <si>
    <t>Along with the development of global digitalization, international financial transactions are also advancing. In response, Indonesia (Bank Indonesia) collaborated with Malaysia and Thailand by launching Local Currency Settlement (LCS) integrated with Quick Response (QR) codes to reduce the use of dollars in cross-border transactions. Therefore, this study aims to investigate the Indonesian customer (Indonesian expatriates) preferences for payment methods provided by Bank Indonesia, specifically in the context of facilitating cross-border transactions. The number of research participants was 50 Indonesian expatriates (36 in Thailand, 14 in Malaysia), who were purposefully selected based on the criteria of being Indonesian traveling, studying, or residing in Thailand and Malaysia while maintaining Indonesian bank accounts. To identify these preferences, this study uses qualitative research using the Analytic Hierarchy Process (AHP) method. Based on the Hierarchical analysis, the results show that the main alternatives in payment method preference in Thailand and Malaysia show that Visa is still the most dominant in cross-border transactions. Across hierarchical criteria, including trust, speed, usability, installment flexibility, timing, and offering interest-free installment plans, Visa consistently outperformed QR Codes and Cash. Nonetheless, it is essential to highlight that QR Codes scored the highest in the criteria of Ease of Use in Malaysia. While in Thailand, QR codes achieved the highest score in terms of cost-effectiveness.</t>
  </si>
  <si>
    <t>[Kurniawan, Pandu; Achjari, Didi] Gadjah Mada Univ, Fac Econ &amp; Business, Dept Accounting, Yogyakarta, Indonesia</t>
  </si>
  <si>
    <t>Gadjah Mada University</t>
  </si>
  <si>
    <t>Kurniawan, P (corresponding author), Gadjah Mada Univ, Fac Econ &amp; Business, Dept Accounting, Yogyakarta, Indonesia.</t>
  </si>
  <si>
    <t>; Achjari, Didi/GLU-5646-2022</t>
  </si>
  <si>
    <t>Kurniawan, Pandu/0009-0007-8795-3240; Achjari, Didi/0000-0002-4514-6789</t>
  </si>
  <si>
    <t>LLC CPC BUSINESS PERSPECTIVES</t>
  </si>
  <si>
    <t>HRYHORII SKOVORODA LN, 10, SUMY, 40022, UKRAINE</t>
  </si>
  <si>
    <t>1816-7403</t>
  </si>
  <si>
    <t>1991-7074</t>
  </si>
  <si>
    <t>BANKS BANK SYST</t>
  </si>
  <si>
    <t>Banks Bank Syst.</t>
  </si>
  <si>
    <t>10.21511/bbs.19(2).2024.09</t>
  </si>
  <si>
    <t>E6V0O</t>
  </si>
  <si>
    <t>WOS:001304351400009</t>
  </si>
  <si>
    <t>Belousova, V; Chichkanov, N</t>
  </si>
  <si>
    <t>Belousova, Veronika; Chichkanov, Nikolay</t>
  </si>
  <si>
    <t>Mobile Banking in Russia: User Intention towards Adoption</t>
  </si>
  <si>
    <t>FORESIGHT AND STI GOVERNANCE</t>
  </si>
  <si>
    <t>mobile banking; structural equation modeling (SEM); acceptance of technology; perceived usefulness; effort expectancy; perceived risk</t>
  </si>
  <si>
    <t>INITIAL TRUST; INFORMATION; ACCEPTANCE; TECHNOLOGY</t>
  </si>
  <si>
    <t>Mobile banking is one of the most dynamic developing types of distance banking services. For the recent years in Russia, the amount of individual bank accounts with the ability of the distance access through mobile devices increased more than by 20 times. Every year more and more banks start to offer mobile banking services. Despite this, the popularity of mobile banking applications is lower than the popularity of other banking services. Thus the problem of mobile banking adoption by customers is still an extremely important problem. The authors analyzed foreign surveys devoted to the exploration of the incentives to mobile banking usage. The model developed by the authors is based on the well-known theoretical and empirical approaches and taken into account Russian peculiarity. As a theoretical basis, the most widespread theories describing technology acceptance and innovation diffusion were used. Using structural equation modeling (SEM) approach, the authors verified key incentives to use mobile banking by mobile Internet users i.a. perceived usefulness and perceived efforts. These results are in accordance with most foreign surveys in this subject area. The findings also will be helpful for banks as they allow these financial institutions to highlight the cutting edge of mobile banking in Russia.</t>
  </si>
  <si>
    <t>[Belousova, Veronika] Natl Res Univ, Higher Sch Econ, Dept Methodol Budget Planning, Inst Stat Studies &amp; Econ Knowledge, 9-11 Myasnitskaya Str, Moscow 101000, Russia; [Chichkanov, Nikolay] Natl Res Univ, Higher Sch Econ, Moscow 101000, Russia</t>
  </si>
  <si>
    <t>HSE University (National Research University Higher School of Economics); HSE University (National Research University Higher School of Economics)</t>
  </si>
  <si>
    <t>Belousova, V (corresponding author), Natl Res Univ, Higher Sch Econ, Dept Methodol Budget Planning, Inst Stat Studies &amp; Econ Knowledge, 9-11 Myasnitskaya Str, Moscow 101000, Russia.</t>
  </si>
  <si>
    <t>vbelousova@hse.ru; nik.chichkanov@gmail.com</t>
  </si>
  <si>
    <t>Chichkanov, Nikolai/H-3606-2017; Belousova, Veronika/B-7934-2014</t>
  </si>
  <si>
    <t>Chichkanov, Nikolai/0000-0002-5650-8829;</t>
  </si>
  <si>
    <t>National Research University Higher School of Economics' (NRU HSE) Basic Research Programme</t>
  </si>
  <si>
    <t>This article was prepared based on research carried out as part of the National Research University Higher School of Economics' (NRU HSE) Basic Research Programme, using state subsidy funds allocated to NRU HSE to help leading universities in the Russian Federation increase in their competitiveness among leading global scientific research centres.</t>
  </si>
  <si>
    <t>NATL RESEARCH UNIV HIGHER SCH ECONOMICS</t>
  </si>
  <si>
    <t>MYASNITSKAYA, 20, MOSCOW, 101000, RUSSIA</t>
  </si>
  <si>
    <t>1995-459X</t>
  </si>
  <si>
    <t>2500-2597</t>
  </si>
  <si>
    <t>FORESIGHT STI GOV</t>
  </si>
  <si>
    <t>Foresight STI Gov.</t>
  </si>
  <si>
    <t>10.17323/1995-459X.2015.3.26.39</t>
  </si>
  <si>
    <t>Economics; Management</t>
  </si>
  <si>
    <t>VE8DT</t>
  </si>
  <si>
    <t>WOS:000440481700002</t>
  </si>
  <si>
    <t>Nan, WX; Zhu, XL; Markus, ML</t>
  </si>
  <si>
    <t>Nan, Wenxiu (Vince); Zhu, Xiaolin (Christina); Markus, M. Lynne</t>
  </si>
  <si>
    <t>What we know and don't know about the socioeconomic impacts of mobile money inSub-SaharanAfrica: A systematic literature review</t>
  </si>
  <si>
    <t>literature review; mobile money; socioeconomic impacts; Sub-Saharan Africa</t>
  </si>
  <si>
    <t>FINANCIAL SERVICES; INFORMATION; KENYA; TRANSPARENCY; EXPLANATION; BEHAVIOR; SAVINGS; ACCESS; WORLD</t>
  </si>
  <si>
    <t>Mobile money has been viewed as transformative in developing countries, because it provides basic financial services via mobile phones to people who lack easy access to formal financial services such as bank accounts. Given its accessibility, security, and affordability, mobile money has been increasingly touted as a promising digital solution for socioeconomic development in Sub-Saharan Africa. Despite its potentially disruptive impacts, research on this innovation remains fragmentary. To take stock of what is known and to advance future research, a systematic review was conducted of 82 empirical academic studies on the socioeconomic impacts of mobile money in Sub-Saharan Africa. Results show that mobile money, when widely used in Sub-Saharan African countries, has enabled a wide range of socioeconomic benefits at multiple levels including household welfare, business benefits, community development, financial development, and country well-being. In addition, the systematic review reveals multifaceted research biases and gaps in the literature and accordingly suggests promising directions for future research.</t>
  </si>
  <si>
    <t>[Nan, Wenxiu (Vince)] Salisbury Univ, Franklin P Perdue Sch Business, Salisbury, MD 21801 USA; [Zhu, Xiaolin (Christina)] Renmin Univ China, Sch Business, Beijing, Peoples R China; [Markus, M. Lynne] Bentley Univ, Informat &amp; Proc Management Dept, Waltham, MA 02452 USA</t>
  </si>
  <si>
    <t>University System of Maryland; Salisbury University; Renmin University of China; Bentley University</t>
  </si>
  <si>
    <t>Nan, WX (corresponding author), Salisbury Univ, Franklin P Perdue Sch Business, Salisbury, MD 21801 USA.</t>
  </si>
  <si>
    <t>wxnan@salisbury.edu</t>
  </si>
  <si>
    <t>Nan, Wenxiu/0000-0003-4695-4232</t>
  </si>
  <si>
    <t>e12155</t>
  </si>
  <si>
    <t>10.1002/isd2.12155</t>
  </si>
  <si>
    <t>QT1VT</t>
  </si>
  <si>
    <t>WOS:000562945800001</t>
  </si>
  <si>
    <t>Bindseil, U; Senner, R</t>
  </si>
  <si>
    <t>Bindseil, Ulrich; Senner, Richard</t>
  </si>
  <si>
    <t>Modeling Central Bank Digital Currencies</t>
  </si>
  <si>
    <t>JOURNAL OF ECONOMIC SURVEYS</t>
  </si>
  <si>
    <t>central bank digital currencies; central bank money; financial stability; macroeconomics</t>
  </si>
  <si>
    <t>POLICY; MONEY</t>
  </si>
  <si>
    <t>Over the last decades, macroeconomists have renewed their efforts to reduce the gap between monetary macroeconomics and real-world central banking. This paper reviews how macroeconomics has since 2016 approached the possible introduction of retail central bank digital currencies (CBDC). A review of the literature reveals that macroeconomic models of CBDC often rely on CBDC design features and narratives which are no longer in line with the one of central banks actually working on CBDC. In particular, the literature often (i) does not take into account the nature of central banks' CBDC issuance plans as a conservative reaction to profound technological and preferential shifts in the use of money as a means of payments, (ii) does not start from design features communicated by central banks, such as no-remuneration, quantity limits, access restrictions, and automated sweeping functionality linking CBDC wallets with commercial bank accounts; (iii) does not explain well enough the difference between CBDC and banknotes within their macroeconomic models, apart from remuneration (which central banks actually do not foresee); and (iv) assume that CBDC will lead to a significant increase in the total holdings of central bank money in the economy, although (i) and (ii) make this unlikely.</t>
  </si>
  <si>
    <t>[Bindseil, Ulrich] European Cent Bank, DG Market Infrastruct &amp; Payments, Frankfurt am Main, Germany; [Senner, Richard] European Cent Bank, DG Macroprudential Policy &amp; Financial Stabil, Frankfurt am Main, Germany</t>
  </si>
  <si>
    <t>European Central Bank; European Central Bank</t>
  </si>
  <si>
    <t>Senner, R (corresponding author), European Cent Bank, DG Macroprudential Policy &amp; Financial Stabil, Frankfurt am Main, Germany.</t>
  </si>
  <si>
    <t>senner.economics@gmail.com</t>
  </si>
  <si>
    <t>Senner, Richard/0000-0003-2203-2700</t>
  </si>
  <si>
    <t>0950-0804</t>
  </si>
  <si>
    <t>1467-6419</t>
  </si>
  <si>
    <t>J ECON SURV</t>
  </si>
  <si>
    <t>J. Econ. Surv.</t>
  </si>
  <si>
    <t>10.1111/joes.12686</t>
  </si>
  <si>
    <t>9VS5K</t>
  </si>
  <si>
    <t>WOS:001409117200001</t>
  </si>
  <si>
    <t>Hua, YB</t>
  </si>
  <si>
    <t>Hua, Yabo</t>
  </si>
  <si>
    <t>Assessing financial inclusion co-movement with low-carbon development index: implications for regional development</t>
  </si>
  <si>
    <t>Financial inclusion; Low-carbon development; Financial access; Carbon management; DEA; Emerging economies</t>
  </si>
  <si>
    <t>This study assesses the relationship between financial inclusion and low-carbon development and its implications for regional development. Data envelopment analysis (DEA) is used to analyse data from a sample of E7 countries from 2001 to 2020. Results show that financial inclusion and low-carbon development are significantly related, indicating that financial inclusion is a significant driver of low-carbon development. Additionally, regional differences between E7 countries in financial inclusion and low-carbon development are identified, highlighting the need for region-specific policies to promote sustainable development. Moreover, findings show that deposits, bank accounts, and ATMs of all E7 economies contribute to environmental and economic growth inputs. The findings have important implications. Therefore, encouraging low-carbon growth via increased financial inclusion may be successful. Access to financial services, financial literacy, and financial innovation are all areas where policymakers might do more to advance the cause of financial inclusion. Accounting for variations in financial inclusion and low-carbon development between regions is important when crafting policies to encourage sustainable development. The economic climate, cultural norms, and institutional structures of a given area must all be considered by policymakers if they are to craft plans that will be successful.</t>
  </si>
  <si>
    <t>[Hua, Yabo] Huaibei Normal Univ, Sch Econ &amp; Management, Huaibei 235000, Peoples R China</t>
  </si>
  <si>
    <t>Huaibei Normal University</t>
  </si>
  <si>
    <t>Hua, YB (corresponding author), Huaibei Normal Univ, Sch Econ &amp; Management, Huaibei 235000, Peoples R China.</t>
  </si>
  <si>
    <t>yabohua@sina.com</t>
  </si>
  <si>
    <t>2023 SEP 14</t>
  </si>
  <si>
    <t>10.1007/s11356-023-29669-1</t>
  </si>
  <si>
    <t>SEP 2023</t>
  </si>
  <si>
    <t>S0IR5</t>
  </si>
  <si>
    <t>WOS:001068098100012</t>
  </si>
  <si>
    <t>Zhdanova, M; Repp, J; Rieke, R; Gaber, C; Hemery, B</t>
  </si>
  <si>
    <t>Zhdanova, Maria; Repp, Juergen; Rieke, Roland; Gaber, Chrystel; Hemery, Baptiste</t>
  </si>
  <si>
    <t>No Smurfs: Revealing Fraud Chains in Mobile Money Transfers</t>
  </si>
  <si>
    <t>2014 NINTH INTERNATIONAL CONFERENCE ON AVAILABILITY, RELIABILITY AND SECURITY (ARES)</t>
  </si>
  <si>
    <t>9th International Conference on Availability, Reliability and Security (ARES)</t>
  </si>
  <si>
    <t>SEP 08-12, 2014</t>
  </si>
  <si>
    <t>Univ Fribourg, Fribourg, SWITZERLAND</t>
  </si>
  <si>
    <t>Secure,Soc Knowledge Transfer,Vienna Univ Technol,Univ Fribourg, Int Inst Management Technol</t>
  </si>
  <si>
    <t>Univ Fribourg</t>
  </si>
  <si>
    <t>money laundering; mobile money transfer systems; fraud detection; predictive security analysis; process behavior analysis; machine learning</t>
  </si>
  <si>
    <t>Mobile Money Transfer (MMT) services provided by mobile network operators enable funds transfers made on mobile devices of end-users, using digital equivalent of cash (electronic money) without any bank accounts involved. MMT simplifies banking relationships and facilitates financial inclusion, and, therefore, is rapidly expanding all around the world, especially in developing countries. MMT systems are subject to the same controls as those required for financial institutions, including the detection of Money Laundering (ML) - a source of concern for MMT service providers. In this paper we focus on an often practiced ML technique known as micro-structuring of funds or smurfing and introduce a new method for detection of fraud chains in MMT systems. Whereas classical detection methods are based on machine learning and data mining, this work builds on Predictive Security Analysis at Runtime (PSA@R), a model-based approach for event-driven process analysis. We provide an extension to PSA@R which allows us to identify fraudsters in an MMT service monitoring network behavior of its endusers. We evaluate our method on simulated transaction logs, containing approximately 460,000 transactions for 10,000 endusers, and compare it with classical fraud detection approaches. With 99.81% precision and 90.18% recall, we achieve better recognition performance in comparison with the state of the art.</t>
  </si>
  <si>
    <t>[Zhdanova, Maria; Repp, Juergen; Rieke, Roland] Fraunhofer Inst SIT, Darmstadt, Germany; [Rieke, Roland] Univ Marburg, Marburg, Germany; [Gaber, Chrystel] Orange, Caen, France; [Hemery, Baptiste] Normandie Univ, Caen, France; [Hemery, Baptiste] GREYC, UNICAEN, F-14032 Caen, France; [Hemery, Baptiste] GREYC, ENSICAEN, F-14032 Caen, France; [Hemery, Baptiste] CNRS, GREYC, F-14032 Caen, France</t>
  </si>
  <si>
    <t>Fraunhofer Gesellschaft; Philipps University Marburg; Universite de Caen Normandie; Universite de Caen Normandie; Centre National de la Recherche Scientifique (CNRS); Universite de Caen Normandie</t>
  </si>
  <si>
    <t>Zhdanova, M (corresponding author), Fraunhofer Inst SIT, Darmstadt, Germany.</t>
  </si>
  <si>
    <t>maria.zhdanova@sit.fraunhofer.de; juergen.repp@sit.fraunhofer.de; roland.rieke@sit.fraunhofer.de; baptiste.hemery@ensicaen.fr</t>
  </si>
  <si>
    <t>; Gaber, Chrystel/HMV-9607-2023</t>
  </si>
  <si>
    <t>Zhdanova, Maria/0000-0001-7713-3053; Hemery, Baptiste/0000-0003-3923-1829; Rieke, Roland/0000-0003-3461-0520; Gaber, Chrystel/0000-0001-5768-7665</t>
  </si>
  <si>
    <t>10.1109/ARES.2014.10</t>
  </si>
  <si>
    <t>BD4OE</t>
  </si>
  <si>
    <t>WOS:000360967100002</t>
  </si>
  <si>
    <t>Njoya, AN; Ngongag, VLT; Tchakounté, F; Atemkeng, M; Fachkha, C</t>
  </si>
  <si>
    <t>Njoya, Alima Nzeket; Ngongag, Vanelle Laure Tchaya; Tchakounte, Franklin; Atemkeng, Marcellin; Fachkha, Claude</t>
  </si>
  <si>
    <t>Characterizing Mobile Money Phishing Using Reinforcement Learning</t>
  </si>
  <si>
    <t>Deep learning; Financial management; mobile security; social engineering (security); phishing; mobile money</t>
  </si>
  <si>
    <t>SERVICES; ATTACKS; USERS; MODEL</t>
  </si>
  <si>
    <t>Mobile money helps people accumulate, send, and receive money using their mobile phones without having a bank account (i.e., in some African countries). Such technology is heavily and efficiently used in many areas where bank services are unavailable and/or in crisis (i.e., during the COVID-19 pandemic) when transportation and services are limited. However, malicious users such as scammers have leveraged social engineering techniques to abuse mobile money services through scams, and frauds, among others. Existing countermeasures, which are specific to mobile money security, mostly ignore the dynamic aspect of interactions between the malicious party and the victim. Considering the above insufficiency, this paper proposes a new approach to characterize mobile money phishing attacks based on reinforcement learning (RL) through $Q-$ learning and Markov decision processes (MDP) and on deep reinforcement learning (DRL) through DRL algorithms, namely, Deep Sarsa, Advantage Actor-Critic (A2C), Deep Deterministic Policy Gradient (DDPG), and Deep Q-learning (DQN). In fact, the proposed approach models the optimal sequences of attacker actions to achieve their goals through reinforcement learning and deep reinforcement methods. We experiment on real attack scenarios that have been encountered at Orange and MTN telecoms. Furthermore, we compared reinforcement learning and deep reinforcement learning algorithms to each other and thereby demonstrated the difference between them. This analysis showed a better performance in learning with RL. We also deduced that $Q-$ learning takes less execution time than CDM and therefore its learning quality is better for characterizing mobile money phishing attacks. Finally, we found that some deep reinforcement algorithms, such as Deep Sarsa and $A2C$ , can improve the characterization of scammer-victim interactions during mobile payments.</t>
  </si>
  <si>
    <t>[Njoya, Alima Nzeket; Tchakounte, Franklin] Univ Ngaoundere, Fac Sci, Dept Math &amp; Comp Sci, Ngaoundere, Cameroon; [Ngongag, Vanelle Laure Tchaya; Tchakounte, Franklin] Univ Ngaoundere, Sch Chem Engn &amp; Mineral Ind, Dept SFTI, Ngaoundere, Cameroon; [Tchakounte, Franklin] Univ Ngaoundere, Fac Sci, Cyber Secur Computat &amp; Artificial Intelligence Res, Ngaoundere, Cameroon; [Tchakounte, Franklin; Atemkeng, Marcellin] Rhodes Univ, Dept Math, ZA-6140 Grahamstown, South Africa; [Atemkeng, Marcellin] Curtin Univ, Sch Elect Engn Comp &amp; Math Sci, Perth, WA 6102, Australia; [Fachkha, Claude] Univ Dubai, Coll Engn &amp; IT, Dubai, U Arab Emirates</t>
  </si>
  <si>
    <t>Rhodes University; Curtin University; University of Dubai</t>
  </si>
  <si>
    <t>Tchakounté, F (corresponding author), Univ Ngaoundere, Fac Sci, Dept Math &amp; Comp Sci, Ngaoundere, Cameroon.;Tchakounté, F (corresponding author), Univ Ngaoundere, Sch Chem Engn &amp; Mineral Ind, Dept SFTI, Ngaoundere, Cameroon.;Tchakounté, F (corresponding author), Univ Ngaoundere, Fac Sci, Cyber Secur Computat &amp; Artificial Intelligence Res, Ngaoundere, Cameroon.;Tchakounté, F; Atemkeng, M (corresponding author), Rhodes Univ, Dept Math, ZA-6140 Grahamstown, South Africa.;Atemkeng, M (corresponding author), Curtin Univ, Sch Elect Engn Comp &amp; Math Sci, Perth, WA 6102, Australia.;Fachkha, C (corresponding author), Univ Dubai, Coll Engn &amp; IT, Dubai, U Arab Emirates.</t>
  </si>
  <si>
    <t>m.atemkeng@ru.ac.za; cfachkha@ud.ac.ae</t>
  </si>
  <si>
    <t>Nzeket Njoya, Alima/0000-0002-7818-4394; Tchakounté, Franklin/0000-0003-0723-2640; Tchaya, Vannelle/0009-0006-3248-6772; Atemkeng, Marcellin Teufack/0000-0002-9020-3885; Fachkha, Claude/0000-0003-2863-4817</t>
  </si>
  <si>
    <t>10.1109/ACCESS.2023.3317692</t>
  </si>
  <si>
    <t>T9BN8</t>
  </si>
  <si>
    <t>WOS:001080865600001</t>
  </si>
  <si>
    <t>Rutten, M; Mwangi, M</t>
  </si>
  <si>
    <t>Gewald, JB; Leliveld, A; Pesa, I</t>
  </si>
  <si>
    <t>Rutten, Marcel; Mwangi, Moses</t>
  </si>
  <si>
    <t>Mobile cash for nomadic livestock keepers: The impact of the mobile phone money innovation (M-Pesa) on Maasai pastoralists in Kenya</t>
  </si>
  <si>
    <t>TRANSFORMING INNOVATIONS IN AFRICA: EXPLORATIVE STUDIES ON APPROPRIATION IN AFRICAN SOCIETIES</t>
  </si>
  <si>
    <t>African Dynamics</t>
  </si>
  <si>
    <t>Workshop on Transforming Innovation in Africa</t>
  </si>
  <si>
    <t>OCT 26-28, 2011</t>
  </si>
  <si>
    <t>African Studies Ctr, Leiden, NETHERLANDS</t>
  </si>
  <si>
    <t>African Studies Ctr</t>
  </si>
  <si>
    <t>Kenya has become the world's market leader in mobile money since 2007 and today one in three mobile money users in the world is a Kenyan. This chapter discusses the application of mobile money (M-Pesa) by the Maasai pastoralists of Kajiado County in southern Kenya, shedding light on the impact of a mobile-phone-based money system on the local economy. For a small fee, money can be uploaded through a network of M-Pesa agents and sent to people living in faraway corners of the country or to service bills. The technology has proved to be a way of overcoming some of the obstacles that prevent the rural population from accessing financial services. The mobile money system has changed the way people manage their money and organize their livelihoods. In the Kenyan rural pastoralists' set-up, there are many people who have mobile phones but no bank account and for them mobile money is an extremely attractive proposition. Issues of monetary gain, time advantages, convenience, security, insurance during periods of stress and other innovative developments are discussed in this chapter.</t>
  </si>
  <si>
    <t>[Rutten, Marcel] African Studies Ctr, Leiden, Netherlands; [Rutten, Marcel] Radboud Univ Nijmegen, Nijmegen, Netherlands; [Mwangi, Moses] Univ Nairobi, South Eastern Univ Coll, Sch Water Resources Sci &amp; Technol, Nairobi, Kenya; [Mwangi, Moses] Univ Nairobi, Dept Hydrol &amp; Water Resources Management, Nairobi, Kenya</t>
  </si>
  <si>
    <t>Radboud University Nijmegen; University of Nairobi; University of Nairobi</t>
  </si>
  <si>
    <t>Rutten, M (corresponding author), African Studies Ctr, Leiden, Netherlands.</t>
  </si>
  <si>
    <t>rutten@ascleiden.nl; Mnmwangi2000@yahoo.co.uk</t>
  </si>
  <si>
    <t>BRILL</t>
  </si>
  <si>
    <t>LEIDEN</t>
  </si>
  <si>
    <t>PO BOX 9000, 2300 PA LEIDEN, NETHERLANDS</t>
  </si>
  <si>
    <t>1568-1777</t>
  </si>
  <si>
    <t>978-90-04-24544-0; 978-90-04-24523-5</t>
  </si>
  <si>
    <t>AFR DYN</t>
  </si>
  <si>
    <t>Area Studies; History Of Social Sciences</t>
  </si>
  <si>
    <t>Area Studies; Social Sciences - Other Topics</t>
  </si>
  <si>
    <t>BHN70</t>
  </si>
  <si>
    <t>WOS:000325992900005</t>
  </si>
  <si>
    <t>Lin, JP; Niu, JW; Liu, XF</t>
  </si>
  <si>
    <t>Lin, Jiaping; Niu, Jianwei; Liu, Xuefeng</t>
  </si>
  <si>
    <t>Protecting Consumption Habits with Differential Privacy</t>
  </si>
  <si>
    <t>ICC 2020 - 2020 IEEE INTERNATIONAL CONFERENCE ON COMMUNICATIONS (ICC)</t>
  </si>
  <si>
    <t>IEEE International Conference on Communications (IEEE ICC) / Workshop on NOMA for 5G and Beyond</t>
  </si>
  <si>
    <t>JUN 07-11, 2020</t>
  </si>
  <si>
    <t>IEEE,Huawei,ZTE,Qualcomm</t>
  </si>
  <si>
    <t>Differential Privacy; Online Bank; Payment Application; Consumption Habits</t>
  </si>
  <si>
    <t>Online bank system has been widely deployed to provide financial service worldwide. Big data mining brings serious privacy issues to consumers because consumption records may disclose their activities. Existing authentication and encryption algorithms in privacy-preserving deposit transaction schemes are mostly limited to the case that each consumption has to be reported to online banks directly and an insider adversary can monitor a consumer's bank account during the financial transaction period. Motivated by the above problems, we propose a deposit transaction scheme based on the differential privacy. Considering a mobile payment system as a noise generator, this scheme aims to reduce the relevancy between real consumption and deposit transaction. In addition, we provide in-depth theoretical analysis that our scheme can satisfy the definition of the differential privacy. Experimental results illustrate the consumption pattern can be protected with the differential privacy.</t>
  </si>
  <si>
    <t>[Lin, Jiaping] Beihang Univ, State Key Lab Virtual Real Technol &amp; Syst, Beijing, Peoples R China; Beihang Univ, Sch Comp Sci &amp; Engn, Beijing, Peoples R China; Beihang Univ, Beijing Adv Innovat Ctr Big Data &amp; Brain Comp BDB, Beijing, Peoples R China; Beihang Univ, Hangzhou Innovat Inst, Beijing, Peoples R China</t>
  </si>
  <si>
    <t>Beihang University; Beihang University; Beihang University; Beihang University</t>
  </si>
  <si>
    <t>Lin, JP (corresponding author), Beihang Univ, State Key Lab Virtual Real Technol &amp; Syst, Beijing, Peoples R China.</t>
  </si>
  <si>
    <t>jplinseven@sina.com; niujianwei@buaa.edu.cn; csxfliu@gmail.com</t>
  </si>
  <si>
    <t>Liu, xuefeng/IUP-1483-2023</t>
  </si>
  <si>
    <t>Niu, Jianwei/0000-0003-3946-5107</t>
  </si>
  <si>
    <t>National Natural Science Foundation of China [61572060, 61772060, 61728201, 61976012]; CERNET Innovation Project [NGII20170315]</t>
  </si>
  <si>
    <t>National Natural Science Foundation of China(National Natural Science Foundation of China (NSFC)); CERNET Innovation Project</t>
  </si>
  <si>
    <t>This work was supported by the National Natural Science Foundation of China (61572060, 61772060, 61728201, 61976012) and CERNET Innovation Project (NGII20170315).</t>
  </si>
  <si>
    <t>978-1-7281-5089-5</t>
  </si>
  <si>
    <t>10.1109/icc40277.2020.9149144</t>
  </si>
  <si>
    <t>Engineering, Electrical &amp; Electronic; Telecommunications</t>
  </si>
  <si>
    <t>Engineering; Telecommunications</t>
  </si>
  <si>
    <t>BQ5PR</t>
  </si>
  <si>
    <t>WOS:000606970303061</t>
  </si>
  <si>
    <t>Islam, KMA; Hasan, Z; Tawfiq, TT; Bhuiyan, A; Faisal-E-Alam, M</t>
  </si>
  <si>
    <t>Islam, K. M. Anwarul; Hasan, Zulfiqar; Tawfiq, Tawfiq Taleb; Bhuiyan, Abul Bashar; Faisal-E-Alam, Md.</t>
  </si>
  <si>
    <t>BANK BECOMES CASHLESS: DETERMINANTS OF ACCEPTANCE OF MOBILE BANKING (FINTECH) SERVICES AMONG BANKING SERVICE USERS</t>
  </si>
  <si>
    <t>perceived trust; privacy; security; mobile banking; banking customers</t>
  </si>
  <si>
    <t>BEHAVIORAL INTENTION; CONSUMER ADOPTION; PERCEIVED RISK; SECURITY; TRUST; PRIVACY; UTAUT</t>
  </si>
  <si>
    <t>Fintech services such as mobile banking are gaining significant acceptance among the citizens in Bangladesh. Therefore, this study aims to explore the determinants that influence banking service users' decisions to accept and use fintech services such as mobile banking in an emerging market, specifically in Bangladesh. A questionnaire was developed and distributed to individuals actively using banking services in Bangladesh. A total of 400 questionnaires were distributed to individuals who have active bank accounts. This study obtained a total of 315 valid responses that were deemed suitable for inclusion in the data analysis, with a response rate of 78.75%. Furthermore, a five-point Likert scale was utilized to evaluate the responses to the item-based questionnaire. To evaluate the hypotheses, a significance level of 5% was applied, and the data pertaining to the subject matter and purpose of this study were examined using the SPSS v.29. The results of the study display that the acceptance of mobile banking (fintech) services is pronouncedly shaped by perceived trust, privacy, and security but not by perceived risk. Importantly, perceived security (beta value = 0.302) has the greatest impact on mobile banking acceptance among customers compared to other variables. This study contributes to the literature by investigating the propensity of using Fintech services within the context of mobile banking.</t>
  </si>
  <si>
    <t>[Islam, K. M. Anwarul] Millennium Univ, Fac Business Adm, Dept Business Adm, Dhaka, Bangladesh; [Hasan, Zulfiqar] City Univ, Dept Business Adm, Dhaka, Bangladesh; [Tawfiq, Tawfiq Taleb] Univ New Orleans, Dept Econ &amp; Finance, New Orleans, LA USA; [Bhuiyan, Abul Bashar] Univ Selangor UNISEL, Fac Business &amp; Accountancy FBA, Bestari Jaya, Malaysia; [Faisal-E-Alam, Md.] Univ Rajshahi, Inst Bangladesh Studies, Rajshahi, Bangladesh; [Faisal-E-Alam, Md.] Begum Rokeya Univ, Dept Management Studies, Rangpur, Bangladesh</t>
  </si>
  <si>
    <t>University of Louisiana System; University of New Orleans; University of Rajshahi</t>
  </si>
  <si>
    <t>Islam, KMA (corresponding author), Millennium Univ, Fac Business Adm, Dept Business Adm, Dhaka, Bangladesh.</t>
  </si>
  <si>
    <t>; Tahtamoni, Tawfiq/LWI-1782-2024; Faisal-E-Alam, Md./GLT-6047-2022; Islam, K M Anwarul/G-1426-2015; Hasan, Zulfiqar/JCO-6616-2023</t>
  </si>
  <si>
    <t>Bhuiyan, Abul/0000-0003-1763-124X; Tahtamoni, Tawfiq/0000-0003-0666-875X; Islam, K M Anwarul/0000-0002-5305-6724; Hasan, Zulfiqar/0000-0001-7043-9623</t>
  </si>
  <si>
    <t>10.21511/bbs.19(2).2024.03</t>
  </si>
  <si>
    <t>WOS:001304351400003</t>
  </si>
  <si>
    <t>Rodríguez, C; Saavedra, JE</t>
  </si>
  <si>
    <t>Rodriguez, Catherine; Saavedra, Juan E.</t>
  </si>
  <si>
    <t>The persistent effects of youth savings reminders: Experimental evidence from text-message campaigns in Colombia</t>
  </si>
  <si>
    <t>Financial education; Reminders; Text-messages; Youth; Savings; Field experiments; Colombia</t>
  </si>
  <si>
    <t>FINANCIAL EDUCATION; IMPACT</t>
  </si>
  <si>
    <t>We report on a nationwide field experiment with a commercial bank in Colombia in which low-income youth (12 years old on average) who open new accounts are randomly assigned immediately after opening the account to control or to receive one of three twelve-month text-messaging campaigns: i) monthly savings reminders, ii) semimonthly reminders, iii) monthly action-oriented financial education messages. Relative to control, monthly and semimonthly reminders groups increase account balances during the campaign as a result of reduced withdrawals, potentially through savings shifts from home to bank accounts. After the campaign youth in both reminders groups continue to use the accounts but do not deplete balances. The financial education campaign had a smaller, not statistically significant, effect on account balances, but some short-term effect on reducing withdrawals, possibly through shifts from home savings.</t>
  </si>
  <si>
    <t>[Rodriguez, Catherine] Univ Los Andes, Dept Econ, CEDE, Calle 19A 1-37 Este Bloque W, Bogota, Colombia; [Saavedra, Juan E.] Univ Southern Calif, Ctr Econ &amp; Social Res, 635 Downey Way, Los Angeles, CA 90089 USA; [Saavedra, Juan E.] NBER, Cambridge, MA 02138 USA</t>
  </si>
  <si>
    <t>Universidad de los Andes (Colombia); University of Southern California; National Bureau of Economic Research</t>
  </si>
  <si>
    <t>Rodríguez, C (corresponding author), Univ Los Andes, Dept Econ, CEDE, Calle 19A 1-37 Este Bloque W, Bogota, Colombia.</t>
  </si>
  <si>
    <t>cathrodr@uniandes.edu.co; juansaav@usc.edu</t>
  </si>
  <si>
    <t>Saavedra, Juan/MAI-2902-2025</t>
  </si>
  <si>
    <t>MasterCard Foundation, Save the Children; Center for Social Development, George Warren Brown School of Social Work, Washington University in St. Louis, United States; National Institutes of Health RCMAR [P30AG043073]; National Institute on Aging [P30AG043073] Funding Source: NIH RePORTER</t>
  </si>
  <si>
    <t>MasterCard Foundation, Save the Children; Center for Social Development, George Warren Brown School of Social Work, Washington University in St. Louis, United States; National Institutes of Health RCMAR; National Institute on Aging(United States Department of Health &amp; Human ServicesNational Institutes of Health (NIH) - USANIH National Institute on Aging (NIA))</t>
  </si>
  <si>
    <t>The authors acknowledge financial support from the MasterCard Foundation, Save the Children, the Center for Social Development, George Warren Brown School of Social Work, Washington University in St. Louis, United States. Juan Esteban Saavedra also acknowledges funding from the National Institutes of Health RCMAR Grant P30AG043073.</t>
  </si>
  <si>
    <t>10.1016/j.jdeveco.2019.03.001</t>
  </si>
  <si>
    <t>IB1TW</t>
  </si>
  <si>
    <t>WOS:000470048800010</t>
  </si>
  <si>
    <t>Bahar, OS; Boateng, A; Ibrahim, A; Nartey, P; Kumbelim, K; Abdella, M; Nabunya, P; Ssewamala, FM; McKay, MM</t>
  </si>
  <si>
    <t>Bahar, Ozge Sensoy; Boateng, Alice; Ibrahim, Abdallah; Nartey, Portia; Kumbelim, Kingsley; Abdella, Meti; Nabunya, Proscovia; Ssewamala, Fred M.; McKay, Mary M.</t>
  </si>
  <si>
    <t>A Qualitative Study of the Saving and Banking Experiences of Adolescent Girls and Their Caregivers in Ghana</t>
  </si>
  <si>
    <t>JOURNAL OF CHILD AND FAMILY STUDIES</t>
  </si>
  <si>
    <t>Adolescent girls; Caregivers; Economic empowerment; Ghana; Qualitative</t>
  </si>
  <si>
    <t>FINANCIAL LITERACY; ACCOUNTS; POOR; EDUCATION; BEHAVIOR; ASSETS; IMPACT</t>
  </si>
  <si>
    <t>Financial inclusion is critical to poverty reduction, but significant challenges remain. The impact of family economic empowerment interventions has not been tested among adolescent girls at risk of dropping out of school. Additionally, studies exploring adolescent girls' (and their caregivers') experiences with saving and depositing are limited. Hence, we qualitatively explored the saving and banking experiences of Ghanaian adolescent girls and their caregivers (n = 20 dyads) who participated in a combination intervention that included an economic empowerment component. Thematic analysis was used for data analysis. Results showed that most families did not have bank accounts due to lack of knowledge, limited literacy, and the belief that banks were for rich people. Forgetting necessary documents was a barrier and program support was a facilitator to account opening during the intervention. Stable income, matched savings, future planning, and small savings were facilitators whereas income fluctuation was a barrier to saving. Fund availability, filling deposit forms, and long lines were identified as challenges and support from bank personnel, relatives, and the program facilitated the depositing process. Our results identify the facilitators and barriers to saving and using bank services; and have programmatic and policy implications in Ghana.</t>
  </si>
  <si>
    <t>[Bahar, Ozge Sensoy; Ssewamala, Fred M.] NYU, New York, NY 10012 USA; [Bahar, Ozge Sensoy; Nartey, Portia; Nabunya, Proscovia; McKay, Mary M.] Washington Univ St Louis, Brown Sch, St Louis, MO 63130 USA; [Boateng, Alice; Ibrahim, Abdallah] Univ Ghana, Accra, Ghana; [Kumbelim, Kingsley] BasicNeeds Ghana, Tamale, Ghana; [Abdella, Meti] George Washington Univ, Washington, DC USA</t>
  </si>
  <si>
    <t>New York University; Washington University (WUSTL); University of Ghana; George Washington University</t>
  </si>
  <si>
    <t>Bahar, OS (corresponding author), NYU, New York, NY 10012 USA.;Bahar, OS (corresponding author), Washington Univ St Louis, Brown Sch, St Louis, MO 63130 USA.</t>
  </si>
  <si>
    <t>osb208@nyu.edu</t>
  </si>
  <si>
    <t>Eunice Kennedy Shriver National Institute of Child Health and Human Development</t>
  </si>
  <si>
    <t>Eunice Kennedy Shriver National Institute of Child Health and Human Development(United States Department of Health &amp; Human ServicesNational Institutes of Health (NIH) - USANIH Eunice Kennedy Shriver National Institute of Child Health &amp; Human Development (NICHD))</t>
  </si>
  <si>
    <t>We are grateful to the adolescent girls and their caregivers who participated in this study as well as the schools that agreed to collaborate with us; this work could not be possible without them. Special thanks to our implementing partners Basic Needs Ghana and Joe Osei at BIBIR Ghana. Lastly, we thank the research teams at Washington University in St. Louis and University of Ghana.</t>
  </si>
  <si>
    <t>1062-1024</t>
  </si>
  <si>
    <t>1573-2843</t>
  </si>
  <si>
    <t>J CHILD FAM STUD</t>
  </si>
  <si>
    <t>J. Child Fam. Stud.</t>
  </si>
  <si>
    <t>10.1007/s10826-025-03125-9</t>
  </si>
  <si>
    <t>Family Studies; Psychology, Developmental; Psychiatry</t>
  </si>
  <si>
    <t>Family Studies; Psychology; Psychiatry</t>
  </si>
  <si>
    <t>8RP6Q</t>
  </si>
  <si>
    <t>WOS:001556824900001</t>
  </si>
  <si>
    <t>Li, GQ; Bours, P</t>
  </si>
  <si>
    <t>Bromme, A; Busch, C; Dantcheva, A; Rathgeb, C; Uhl, A</t>
  </si>
  <si>
    <t>Li, Guoqiang; Bours, Patrick</t>
  </si>
  <si>
    <t>A Novel Mobilephone Application Authentication Approach based on Accelerometer and Gyroscope Data</t>
  </si>
  <si>
    <t>2018 INTERNATIONAL CONFERENCE OF THE BIOMETRICS SPECIAL INTEREST GROUP (BIOSIG)</t>
  </si>
  <si>
    <t>International Conference of the Biometrics-Special-Interest-Group (BIOSIG)</t>
  </si>
  <si>
    <t>SEP 26-28, 2018</t>
  </si>
  <si>
    <t>Darmstadt, GERMANY</t>
  </si>
  <si>
    <t>Gesellschaft Informatik e V, Biometr Special Interest Grp,Competence Ctr Appl Secur Technol e V,German Fed Off Informat Secur,Inst Elect &amp; Elect Engineers,European Assoc Biometr,European Commiss Joint Res Ctr,TeleTrusT Deutschland e V,Norwegian Biometr Lab,Ctr Res Secur &amp; Privacy,Inst Engn &amp; Technol Biometr Journal,Fraunhofer Inst Comp Graph Res</t>
  </si>
  <si>
    <t>Behavioural biometrics; accelerometer; gyroscope; mobilephone; authentication</t>
  </si>
  <si>
    <t>The advent of mobile phones have changed our daily life. We are heavily relying on various applications installed on mobilephones to communicate with other, to share personal information with them, and to access our bank account, etc. However, the security measurement in terms of accessing these applications is either omitted or user-hostile because of the burden of memorizing the PIN or password. In order to relieve people from such burden, we explore the possibility of developing a mobilephone application authentication approach by analyzing the accelerometer and gyroscope data collected from the first few seconds when the user opens an application. By evaluating several proposed authentication approaches on a dataset collected from a real-life scenario, we achieve the best EER at 22.72% by only using the data collected from first 3 seconds. We think integrating the proposed non-intrusive authentication approach into the mobilephone application as an alternative for PIN/password can provide a more user-friendly authentication mechanism.</t>
  </si>
  <si>
    <t>[Li, Guoqiang; Bours, Patrick] Norwegian Univ Sci &amp; Technol, Dept Informat Secur &amp; Commun, Teknologivegen 22, N-2815 Gjvik, Norway</t>
  </si>
  <si>
    <t>Norwegian University of Science &amp; Technology (NTNU)</t>
  </si>
  <si>
    <t>Li, GQ (corresponding author), Norwegian Univ Sci &amp; Technol, Dept Informat Secur &amp; Commun, Teknologivegen 22, N-2815 Gjvik, Norway.</t>
  </si>
  <si>
    <t>guoqiang.li@ntnu.no; patrick.bours@ntnu.no</t>
  </si>
  <si>
    <t>Research Council of Norway [256581]; project Awesome Possum: Data driven authentication by Telenor Digital AS</t>
  </si>
  <si>
    <t>Research Council of Norway(Research Council of NorwayInstituto Politecnico Nacional - Mexico); project Awesome Possum: Data driven authentication by Telenor Digital AS</t>
  </si>
  <si>
    <t>This work was supported by the project Awesome Possum: Data driven authentication, led by Telenor Digital AS and financed by The Research Council of Norway under project number 256581.</t>
  </si>
  <si>
    <t>978-3-88579-676-3</t>
  </si>
  <si>
    <t>Computer Science, Artificial Intelligence; Computer Science, Information Systems; Computer Science, Interdisciplinary Applications; Mathematical &amp; Computational Biology</t>
  </si>
  <si>
    <t>Computer Science; Mathematical &amp; Computational Biology</t>
  </si>
  <si>
    <t>BS4UO</t>
  </si>
  <si>
    <t>WOS:000722625400028</t>
  </si>
  <si>
    <t>Amoah, F; Rusike, C; Amoah, LNA</t>
  </si>
  <si>
    <t>Amoah, Felix; Rusike, Christabel; Amoah, Laura Novienyo Abla</t>
  </si>
  <si>
    <t>Factors predicting consumers' adoption of chatbots within the banking industry in South Africa</t>
  </si>
  <si>
    <t>RETAIL AND MARKETING REVIEW</t>
  </si>
  <si>
    <t>Perceived compatibility; social influence; perceived ease of use; chatbot adoption; banking industry; South Africa</t>
  </si>
  <si>
    <t>MOBILE BANKING; INFORMATION-TECHNOLOGY; USER ACCEPTANCE; DIFFUSION; EASE; RISK</t>
  </si>
  <si>
    <t>Purpose: The aim of this study is to investigate the factors that make chatbots likely to be used in South African banking. Design/methodology/approach: An online survey was used to obtain the primary data. The target population consisted of consumers who have a bank account and have experience with online banking in South Africa. A convenience and snowball sampling were used to recruit the required respondents. A total of 151 usable questionnaires were analysed using a quantitative approach and a structured questionnaire. Findings: The empirical results show that perceived compatibility, perceived social influence, and perceived ease of use are predictors of chatbot adoption in the South African banking industry. Research limitations/implications: Even though the study yielded significant findings, the small sample size of 151 respondents made it impossible to generalize the results. The survey was only available online, which could be a problem for people who do not know how to fill out surveys online. Practical implications: The findings provide key stakeholders in the marketing and communications departments of the banking industry with in-depth knowledge of factors predicting the adoption of chatbots. Social implications: The findings and implementation of the recommendations would enhance consumers' banking experiences. Originality/value: Previous research in chatbots has not focused much on the banking industry in South Africa. In addition, there has been limited research with regards to AI use in the banking industry in Africa as well as in South Africa. This study helped to close these gaps. Theoretically, the findings contribute to the body of knowledge on digital marketing and thus assist the banking industry to enhance its online engagement using chatbots with the consumer.</t>
  </si>
  <si>
    <t>[Amoah, Felix; Rusike, Christabel; Amoah, Laura Novienyo Abla] Nelson Mandela Univ, Dept Mkt Management, Port Elizabeth, South Africa</t>
  </si>
  <si>
    <t>Nelson Mandela University</t>
  </si>
  <si>
    <t>Amoah, F (corresponding author), Nelson Mandela Univ, Dept Mkt Management, Port Elizabeth, South Africa.</t>
  </si>
  <si>
    <t>Felix.Amoah@mandela.ac.za</t>
  </si>
  <si>
    <t>MC CANT</t>
  </si>
  <si>
    <t>Pretoria</t>
  </si>
  <si>
    <t>Univ South Africa, Dept Marketing and Retail Management, Pretoria, SOUTH AFRICA</t>
  </si>
  <si>
    <t>2708-3209</t>
  </si>
  <si>
    <t>RETAIL MARK REV</t>
  </si>
  <si>
    <t>Retail Mark. Rev.</t>
  </si>
  <si>
    <t>JUN 1</t>
  </si>
  <si>
    <t>LB4Q6</t>
  </si>
  <si>
    <t>WOS:001184308400007</t>
  </si>
  <si>
    <t>Wang, GZ; Hausken, K</t>
  </si>
  <si>
    <t>Wang, Guizhou; Hausken, Kjell</t>
  </si>
  <si>
    <t>A game between central banks and households involving central bank digital currencies, other digital currencies and negative interest rates</t>
  </si>
  <si>
    <t>central bank; central bank digital currency; digital currency; negative interest rates; cryptocurrency; game theory; household; government</t>
  </si>
  <si>
    <t>Central Bank Digital Currencies (CBDCs) enable negative interest rates. A game is analyzed between a central bank (accounting for the government's interest) and a representative household choosing to consume, hold CBDC, or hold non-CBDC. The central bank chooses negative interest rate when it realizes that the household is willing to pay the central bank for holding CBDC. The household pays the negative interest rate because of its Cobb Douglas preferences whereby it values holding CBDC while simultaneously holding the competitive non-CBDC with a given interest rate, consuming with various output elasticities, and accounting for transaction efficiencies and costs. More explicitly, intuition and how the players benefit are provided for the following results: The central bank chooses more negative interest rate when the household's output elasticity for consumption increases, the household's output elasticity for holding CBDC decreases, the CBDC and non-CBDC transaction efficiencies increase, the household's transaction efficiency for consumption decreases, the household's scaling of the transaction cost increases, the scaling parameter for the central bank's profit per household decreases, the household's monetary energy decreases, and the non-CBDC interest rate decreases. The results are determined analytically and illustrated numerically where each of nine parameter values is varied relative to a benchmark.</t>
  </si>
  <si>
    <t>[Wang, Guizhou; Hausken, Kjell] Univ Stavanger, Fac Sci &amp; Technol, N-4036 Stavanger, Norway</t>
  </si>
  <si>
    <t>Universitetet i Stavanger</t>
  </si>
  <si>
    <t>Hausken, K (corresponding author), Univ Stavanger, Fac Sci &amp; Technol, N-4036 Stavanger, Norway.</t>
  </si>
  <si>
    <t>kjell.hausken@uis.no</t>
  </si>
  <si>
    <t>Hausken, Kjell/0000-0001-7319-3876</t>
  </si>
  <si>
    <t>10.1080/23322039.2022.2114178</t>
  </si>
  <si>
    <t>4K6KR</t>
  </si>
  <si>
    <t>WOS:000852056500001</t>
  </si>
  <si>
    <t>Farah, MF; Naveed, M; Ali, S</t>
  </si>
  <si>
    <t>Gazquez-Abad, JC; Martinez-Lopez, FJ; Gielens, K</t>
  </si>
  <si>
    <t>Farah, Maya F.; Naveed, Muhammad; Ali, Shoaib</t>
  </si>
  <si>
    <t>Blockchain-Enabled Banking Services and Customers' Perceived Financial Well-Being: A Structural Nexus</t>
  </si>
  <si>
    <t>ADVANCES IN NATIONAL BRAND AND PRIVATE LABEL MARKETING</t>
  </si>
  <si>
    <t>Springer Proceedings in Business and Economics</t>
  </si>
  <si>
    <t>10th International Conference on Research on National Brand &amp; Private Label Marketing (NB&amp;PL)</t>
  </si>
  <si>
    <t>JUN 26-27, 2023</t>
  </si>
  <si>
    <t>Barcelona, SPAIN</t>
  </si>
  <si>
    <t>Univ Barcelona,Information Resources Inc,Manufacturers &amp; Retailers Spanish Multisectoral Assoc</t>
  </si>
  <si>
    <t>Blockchain; firm information transparency; perceived financial well-being</t>
  </si>
  <si>
    <t>Grounded in Transformative Service Research (TSR), this study aims to examine the mechanism by which blockchain-enabled banking determines customers perceived financial well-being (FW). We conclude that blockchain features augment information transparency, which in turn determines customers perceived financial well-being. Data was collected through a survey filled by 283 individuals having bank accounts. The contextual setting of the study was provided by commercial banks operating in Pakistan. The primary data was analyzed through PLS-SEM to explore the direct and indirect relationships among blockchain features (efficiency, security, and regulatory compliance), perceived information transparency, and perceived financial well-being. The evidence points to the fact that: (1) Blockchain features are significant in determining customers' financial wellbeing; (2) Information transparency mediates the relationship between these features and customers perceived financial well-being; hence, that (3) Bank managers who embrace the challenging task of improving the perceived financial well-being of their customers, should adopt blockchain technology to enhance information transparency, and accordingly to augment the customers' financial well-being.</t>
  </si>
  <si>
    <t>[Farah, Maya F.] Lebanese Amer Univ, Adnan Kassar Sch Business, Beirut, Lebanon; [Naveed, Muhammad] Univ South Asia, Dept Management Sci, Lahore, Pakistan; [Ali, Shoaib] Air Univ, Sch Management, Islamabad, Pakistan</t>
  </si>
  <si>
    <t>Lebanese American University; Air University Islamabad</t>
  </si>
  <si>
    <t>Farah, MF (corresponding author), Lebanese Amer Univ, Adnan Kassar Sch Business, Beirut, Lebanon.</t>
  </si>
  <si>
    <t>mfarah@lau.edu.lb; qm.naveed@outlook.com</t>
  </si>
  <si>
    <t>Farah, Maya/L-2322-2013; Ali, Shoaib/AAK-2396-2021</t>
  </si>
  <si>
    <t>Farah, Maya/0000-0002-6251-4096;</t>
  </si>
  <si>
    <t>2198-7246</t>
  </si>
  <si>
    <t>2198-7254</t>
  </si>
  <si>
    <t>978-3-031-32896-1; 978-3-031-32894-7; 978-3-031-32893-0</t>
  </si>
  <si>
    <t>SPR PROC BUS ECON</t>
  </si>
  <si>
    <t>10.1007/978-3-031-32894-7_5</t>
  </si>
  <si>
    <t>BX8ZS</t>
  </si>
  <si>
    <t>WOS:001342456600005</t>
  </si>
  <si>
    <t>Leder, M; Schumm, D; Rodrigues, B; Stiller, B</t>
  </si>
  <si>
    <t>Salhab, N</t>
  </si>
  <si>
    <t>Leder, Marco; Schumm, Dania; Rodrigues, Bruno; Stiller, Burkhard</t>
  </si>
  <si>
    <t>AfriBit: A People-Oriented Wallet Fostering Financial Inclusion in Kibera</t>
  </si>
  <si>
    <t>2024 6TH CONFERENCE ON BLOCKCHAIN RESEARCH &amp; APPLICATIONS FOR INNOVATIVE NETWORKS AND SERVICES, BRAINS 2024</t>
  </si>
  <si>
    <t>Blockchain Robotics and AI for Networking Security Conference</t>
  </si>
  <si>
    <t>6th Conference on Blockchain Research &amp; Applications for Innovative Networks and Services</t>
  </si>
  <si>
    <t>OCT 08-11, 2024</t>
  </si>
  <si>
    <t>GERMANY</t>
  </si>
  <si>
    <t>Institute of Electrical and Electronics Engineers Inc</t>
  </si>
  <si>
    <t>Bitcoin; Cryptocurrency; Financial Inclusion; Usability; Wallet</t>
  </si>
  <si>
    <t>For many Western countries, access to a functioning banking system is taken for granted. However, many people in developing countries are still excluded from having a bank account for savings and worldwide money transfers. In the region of Kenya, MPesa has established itself as a mobile financial money service. This service provides a possible solution to mitigate some of the issues of financial exclusion and offers the possibility of accessing mobile banking services. This paper presents AfriBit, a wallet that addresses financial exclusion in Kibera, improves the user experience (UX), facilitates cryptocurrencies adaptation, and provides a feasible alternative to MPesa. AfriBit is evaluated based on a 20-person user study, with a group from Kibera and a group from Switzerland. The study involves real-world scenarios to gather qualitative and quantitative data on the new design changes. Our results have shown that the AfriBit wallet makes it easier to understand the application and solve tasks with less effort.</t>
  </si>
  <si>
    <t>[Leder, Marco; Schumm, Dania; Stiller, Burkhard] Univ Zurich UZH, Dept Informat IfI, Commun Syst Grp CSG, Binzmuhlestr 14, CH-8050 Zurich, Switzerland; [Rodrigues, Bruno] Univ St Gallen HSG, Inst Comp Sci Vorarlberg ICV, Hintere Achmuhlerstr 1b, A-6850 Dornbirn, Austria</t>
  </si>
  <si>
    <t>Leder, M (corresponding author), Univ Zurich UZH, Dept Informat IfI, Commun Syst Grp CSG, Binzmuhlestr 14, CH-8050 Zurich, Switzerland.</t>
  </si>
  <si>
    <t>marco.leder@uzh.ch; schumm@ifi.uzh.ch; bruno.rodrigues@unisg.ch; stiller@ifi.uzh.ch</t>
  </si>
  <si>
    <t>2835-3005</t>
  </si>
  <si>
    <t>979-8-3503-6785-0; 979-8-3503-6784-3</t>
  </si>
  <si>
    <t>Blockchain Robo AI N</t>
  </si>
  <si>
    <t>10.1109/BRAINS63024.2024.10732060</t>
  </si>
  <si>
    <t>Computer Science, Information Systems; Computer Science, Theory &amp; Methods; Telecommunications</t>
  </si>
  <si>
    <t>BY3NR</t>
  </si>
  <si>
    <t>WOS:001424424300002</t>
  </si>
  <si>
    <t>Szopinski, T</t>
  </si>
  <si>
    <t>Szopinski, Tomasz</t>
  </si>
  <si>
    <t>Holding accounts in several banks-a conscious or reckless consumer?</t>
  </si>
  <si>
    <t>ECONOMIC RESEARCH-EKONOMSKA ISTRAZIVANJA</t>
  </si>
  <si>
    <t>Banking services; overbanked; multiple bank account ownership; split loyalty</t>
  </si>
  <si>
    <t>FINANCIAL LITERACY; SWITCHING BARRIERS; EDUCATION; BEHAVIOR</t>
  </si>
  <si>
    <t>Service providers are in a fierce competition for their clients' loyalty, encouraging them to participate in loyalty programs or to install mobile applications. Split loyalty is becoming more popular on the banking services market. This means that customers are loyal to two or three companies or service providers by buying or using their products or services interchangeably. This phenomenon may be further explained by the liberalization of the banking sector, for example through the Payment Services Directive (PSD2). Whilst the unbanked are a commonly analyzed subject, the overbanked have not yet been examined in the literature. The aim of the current article is to answer the following question: is having accounts in multiple banks connected with customer recklessness or consumer awareness? The analysis carried out by the author of this paper shows that people who have accounts in many banks: are aware of the guaranteed amounts of deposits in banks operating in Poland, compare offers in different banks, and are less likely to be victims of phishing. Results show that awareness increases with respondents' age. Age is a variable which directly and indirectly affects the number of accounts held in different banks.</t>
  </si>
  <si>
    <t>[Szopinski, Tomasz] Univ Econ &amp; Human Sci Warsaw, Business Dept, Warsaw, Poland</t>
  </si>
  <si>
    <t>Szopinski, T (corresponding author), Univ Econ &amp; Human Sci Warsaw, Business Dept, Warsaw, Poland.</t>
  </si>
  <si>
    <t>t.szopinski@vizja.pl</t>
  </si>
  <si>
    <t>Szopiński, Tomasz/0000-0002-9314-1886</t>
  </si>
  <si>
    <t>1331-677X</t>
  </si>
  <si>
    <t>1848-9664</t>
  </si>
  <si>
    <t>ECON RES-EKON ISTRAZ</t>
  </si>
  <si>
    <t>Ekon. Istraz.</t>
  </si>
  <si>
    <t>2022 OCT 31</t>
  </si>
  <si>
    <t>10.1080/1331677X.2022.2142806</t>
  </si>
  <si>
    <t>6D8AZ</t>
  </si>
  <si>
    <t>WOS:000882908700001</t>
  </si>
  <si>
    <t>Soukal, I</t>
  </si>
  <si>
    <t>Themistocleous, M; DaCunha, PR</t>
  </si>
  <si>
    <t>Soukal, Ivan</t>
  </si>
  <si>
    <t>The Novel Online Comparison Tool for Bank Charges with User-Friendly Approach</t>
  </si>
  <si>
    <t>INFORMATION SYSTEMS, EMCIS 2018</t>
  </si>
  <si>
    <t>Lecture Notes in Business Information Processing</t>
  </si>
  <si>
    <t>15th European, Mediterranean, and Middle Eastern Conference (EMCIS)</t>
  </si>
  <si>
    <t>OCT 04-05, 2018</t>
  </si>
  <si>
    <t>Limassol, CYPRUS</t>
  </si>
  <si>
    <t>Online services; Digital services; Bank charges; Financial advisor; Online calculators; User experience; User-centered design</t>
  </si>
  <si>
    <t>PRICE DISPERSION; MAXIMIZERS</t>
  </si>
  <si>
    <t>This paper presents a proposal for the novel comparison tool for bank charges; the online calculator service. The development of this tool was motivated by information asymmetry, which exists on the market of payment accounts to consumer's disadvantage. Our calculator service provides user with the list of the most suitable bank accounts based on his preferences, sorted by monthly fee. It is up to the particular user whether he fills in values of his current usage or future requirements. The results are personalized based solely on user's input. This paper reveals motivation behind our work and presents the current implementation of our proposal including conceptual foundation, workflows, matrix of data for underlying logic and of course user interface. By presenting workflows we stress multidimensional use of our service. Apart for clear benefit for individual user, the data acquired from all users can be used for post-processing, which includes various analyses of user behaviour and resulting user profiling regarding using bank services. The calculator service was already launched for Czech environment on https://uni.uhk.cz/kalkulator/.</t>
  </si>
  <si>
    <t>[Soukal, Ivan] Univ Hradec Kralove, Dept Econ, Fac Informat &amp; Management, Rokitanskeho 62, Hradec Kralove 50003, Czech Republic</t>
  </si>
  <si>
    <t>University of Hradec Kralove</t>
  </si>
  <si>
    <t>Soukal, I (corresponding author), Univ Hradec Kralove, Dept Econ, Fac Informat &amp; Management, Rokitanskeho 62, Hradec Kralove 50003, Czech Republic.</t>
  </si>
  <si>
    <t>ivan.soukal@uhk.cz</t>
  </si>
  <si>
    <t>Soukal, Ivan/AAA-1826-2020</t>
  </si>
  <si>
    <t>Soukal, Ivan/0000-0003-3468-0270</t>
  </si>
  <si>
    <t>University of Hradec Kralove Faculty of Informatics and Management, the Department of Economics [3/2018]</t>
  </si>
  <si>
    <t>University of Hradec Kralove Faculty of Informatics and Management, the Department of Economics</t>
  </si>
  <si>
    <t>This paper was written with the financial support of specific university research funds allocated to the University of Hradec Kralove Faculty of Informatics and Management, the Department of Economics project no. 3/2018, order 2103. I would like to thank Aneta Bartuskova, Ph.D. for her work on calculator ' s development. I would like to thank Lucie Silhabelova and Martin Kral for her help with the database and Jan Draessler, Ph.D. for his comments during the design phase.</t>
  </si>
  <si>
    <t>1865-1348</t>
  </si>
  <si>
    <t>1865-1356</t>
  </si>
  <si>
    <t>978-3-030-11394-0; 978-3-030-11395-7</t>
  </si>
  <si>
    <t>LECT NOTES BUS INF P</t>
  </si>
  <si>
    <t>10.1007/978-3-030-11395-7_19</t>
  </si>
  <si>
    <t>Computer Science, Artificial Intelligence; Computer Science, Information Systems; Computer Science, Interdisciplinary Applications</t>
  </si>
  <si>
    <t>BX6EZ</t>
  </si>
  <si>
    <t>WOS:001308337900019</t>
  </si>
  <si>
    <t>Raza, A; Tong, GJ; Sikandar, F; Erokhin, V; Tong, Z</t>
  </si>
  <si>
    <t>Raza, Ali; Tong, Guangji; Sikandar, Furqan; Erokhin, Vasilii; Tong, Zhang</t>
  </si>
  <si>
    <t>Financial Literacy and Credit Accessibility of Rice Farmers in Pakistan: Analysis for Central Punjab and Khyber Pakhtunkhwa Regions</t>
  </si>
  <si>
    <t>agriculture; agronomy; Pakistani farmers; financial literacy; credit accessibility</t>
  </si>
  <si>
    <t>AGRICULTURAL CREDIT; IMPACT; PRODUCTIVITY; SMALLHOLDERS; CONSTRAINTS; DISTRICT; ACCESS; SECTOR; SINDH</t>
  </si>
  <si>
    <t>This study investigates the factors that affect farmers' access to Food Security and Agricultural Credit (FSAC) services for the farmers of Pakistan who have no access to banking but have a feasible farm business. Using multiple regressions and logistic analysis, the authors revealed the determinants of farmers' financial literacy and analyzed the variables which affected the farmers' accessibility to FSAC. Results indicated that the average financial literacy of respondents was at a moderate level. It was affected by the age of respondents, length of their education, distance to nearby cities, ownership of bank accounts, annual income, and financial education experience. The FSAC accessibility was also impacted by the area of cultivated land, interest rate, collateral, farms' income, financial literacy index, credit accessibility experiences, the legal status of farmer groups, and the amount of a loan. Some of the issues that prevent farmers from having widespread access to the FSAC include the lack of loan need, lack of FSAC awareness, lack of collateral, loan usury perspective, loan rejection experience, fear of borrowing from the bank, and inactive farmer groups. The study contributes to the existing literature on the determinants of farmers' access and choice of credit sources by using a primary data set.</t>
  </si>
  <si>
    <t>[Raza, Ali; Tong, Guangji; Sikandar, Furqan] Northeast Forestry Univ, Coll Econ &amp; Management, Harbin 150040, Peoples R China; [Erokhin, Vasilii] Harbin Engn Univ, Sch Econ &amp; Management, Harbin 150001, Peoples R China; [Tong, Zhang] Northeastern Univ Qinhuangdao, Dept Hist, Qinhuangdao 066004, Peoples R China</t>
  </si>
  <si>
    <t>Northeast Forestry University - China; Harbin Engineering University; Northeastern University - China</t>
  </si>
  <si>
    <t>Tong, GJ (corresponding author), Northeast Forestry Univ, Coll Econ &amp; Management, Harbin 150040, Peoples R China.</t>
  </si>
  <si>
    <t>tonggj63@nefu.edu.cn</t>
  </si>
  <si>
    <t>Sikandar, Furqan/HHM-5411-2022; Raza, Ali/KHC-4052-2024; Erokhin, Vasily/K-1608-2013</t>
  </si>
  <si>
    <t>Raza, Ali/0009-0001-4042-1227; Erokhin, Vasily/0000-0002-3745-5469</t>
  </si>
  <si>
    <t>Northeast Forestry University; Chinese Government Scholarship Council [201741006]</t>
  </si>
  <si>
    <t>Northeast Forestry University; Chinese Government Scholarship Council</t>
  </si>
  <si>
    <t>This research is funded by Northeast Forestry University and the Chinese Government Scholarship Council grant number 201741006.</t>
  </si>
  <si>
    <t>10.3390/su15042963</t>
  </si>
  <si>
    <t>9M2IW</t>
  </si>
  <si>
    <t>WOS:000942061200001</t>
  </si>
  <si>
    <t>Maciel, WMG; Soares, LAG</t>
  </si>
  <si>
    <t>Goncalves Maciel, Wesley Macio; Gabriel Soares, Leony Alexandre</t>
  </si>
  <si>
    <t>FACTORS THAT INFLUENCE THE USE OF MOBILE BANKING A STUDY IN THE BRAZILIAN BANKING MARKET</t>
  </si>
  <si>
    <t>REVISTA GESTAO &amp; TECNOLOGIA-JOURNAL OF MANAGEMENT AND TECHNOLOGY</t>
  </si>
  <si>
    <t>Portuguese</t>
  </si>
  <si>
    <t>Mobile Banking; Banking Security; Users</t>
  </si>
  <si>
    <t>ADOPTION; INFORMATION; USAGE</t>
  </si>
  <si>
    <t>Objective: Examine the factors that influence the intention of Brazilian bank account holders in the use of MB; Methodology: A survey, applied to 585 respondents, with data analyzed using Structural Equation Modeling with the Partial Least Squares Estimation Method (PLS). The proposed model is formed by five antecedent constructs: perceived security, software usability and systems compatibility, client's demographic and social profile, relative advantage and external threat; Originality / Relevance: In emerging and developing countries, there is greater resistance on the part of users to adopt MB. In Brazil, only 45% of active accounts, in physical and digital banks, use this service channel (Febraban, 2019); Main results: The results demonstrate that the perception of security, the adequate profile of the client (specifically young people), as well as the perception of relative advantage are factors that influence the intention to use the MB; Theoretical contributions: The study contributes by measuring the dimensions of an MB in a developing economy. It also collaborates in the analysis of customers' perceptions of the adoption of technological tools; Social / management contributions: the results obtained serve to support Brazilian banks in the sense of migrating customers to the new channel, resolving doubts, enhancing positive points, correcting failures, helping with service efficiency and business profitability.</t>
  </si>
  <si>
    <t>[Goncalves Maciel, Wesley Macio] Funcape Business Sch, Adm, Vitoria, ES, Brazil; [Gabriel Soares, Leony Alexandre] Funcape Business Sch, Ciencias Contabeis, Vitoria, ES, Brazil</t>
  </si>
  <si>
    <t>Maciel, WMG (corresponding author), Funcape Business Sch, Adm, Vitoria, ES, Brazil.</t>
  </si>
  <si>
    <t>FUNDACAO PEDRO LEOPOLDO</t>
  </si>
  <si>
    <t>PEDRO LEOPOLDO</t>
  </si>
  <si>
    <t>AV LINCOLN DIOGO VIANA 830, PEDRO LEOPOLDO, MG 33600-000, BRAZIL</t>
  </si>
  <si>
    <t>1677-9479</t>
  </si>
  <si>
    <t>2177-6652</t>
  </si>
  <si>
    <t>REV GEST TECNOL</t>
  </si>
  <si>
    <t>Rev. Gest. Tecnol.</t>
  </si>
  <si>
    <t>JUL-SEP</t>
  </si>
  <si>
    <t>10.20397/2177-6652/2022.v22i3.1942</t>
  </si>
  <si>
    <t>5R8HU</t>
  </si>
  <si>
    <t>WOS:000874746400008</t>
  </si>
  <si>
    <t>Rössel, J; Schenk, P; Pap, I</t>
  </si>
  <si>
    <t>Rossel, Joerg; Schenk, Patrick; Pap, Ilona</t>
  </si>
  <si>
    <t>Patterns of remittances of intra-European migrants: social relations and moral obligations</t>
  </si>
  <si>
    <t>JOURNAL OF ETHNIC AND MIGRATION STUDIES</t>
  </si>
  <si>
    <t>Remittances; intra-European migration; Switzerland; altruism and moral obligations; social relations</t>
  </si>
  <si>
    <t>BRAIN-DRAIN; MIGRATION; TRANSNATIONALISM; DETERMINANTS; TRANSFERS; MOBILITY; FORMS</t>
  </si>
  <si>
    <t>The importance of remittances for economic development and the maintenance of transnational social relationships have been widely discussed. Based on data from Switzerland, we analyze the roles of transnational social relations and moral obligations for the likelihood of sending remittances among intra-European migrants from Germany, Great Britain, Italy, Portugal, Serbia, and Bosnia-Herzegovina. Our data shows high levels of remitting among these groups, with migrants from South-East European countries sending remittances primarily to family and friends and migrants from Portugal and Great Britain sending remittances primarily to their own bank account. Furthermore, by using differentiated and direct measures for social relations and moral obligations, we show that strong social ties as well as moral family obligations are relevant predictors of sending remittances, beyond measures of various desires and capacities to remit usually discussed in the literature. However, these effects also vary according to social relation and remittance type. Together, the results make a strong case for the social embeddedness of remittances and the importance of including migrants from western and southern Europe in empirical research.</t>
  </si>
  <si>
    <t>[Rossel, Joerg; Pap, Ilona] Univ Zurich, Dept Sociol, Zurich, Switzerland; [Schenk, Patrick] Univ Lucerne, Dept Sociol, Luzern, Switzerland</t>
  </si>
  <si>
    <t>University of Zurich; University of Lucerne</t>
  </si>
  <si>
    <t>Rössel, J (corresponding author), Univ Zurich, Dept Sociol, Zurich, Switzerland.</t>
  </si>
  <si>
    <t>roessel@soziologie.uzh.ch</t>
  </si>
  <si>
    <t>Rössel, Jörg/0000-0002-1217-5727</t>
  </si>
  <si>
    <t>Swiss National Science Foundation Project [153136]</t>
  </si>
  <si>
    <t>Swiss National Science Foundation Project(Swiss National Science Foundation (SNSF))</t>
  </si>
  <si>
    <t>This work was supported by Swiss National Science Foundation Project 153136.</t>
  </si>
  <si>
    <t>1369-183X</t>
  </si>
  <si>
    <t>1469-9451</t>
  </si>
  <si>
    <t>J ETHN MIGR STUD</t>
  </si>
  <si>
    <t>J. Ethn. Migr. Stud.</t>
  </si>
  <si>
    <t>JUN 14</t>
  </si>
  <si>
    <t>10.1080/1369183X.2023.2278413</t>
  </si>
  <si>
    <t>Demography; Ethnic Studies</t>
  </si>
  <si>
    <t>OK6B4</t>
  </si>
  <si>
    <t>WOS:001097861300001</t>
  </si>
  <si>
    <t>Masino, S; Niño-Zarazúa, M</t>
  </si>
  <si>
    <t>Masino, Serena; Nino-Zarazua, Miguel</t>
  </si>
  <si>
    <t>Improving Financial Inclusion through the Delivery of Cash Transfer Programmes: The Case of Mexico's Progresa-Oportunidades-Prospera Programme</t>
  </si>
  <si>
    <t>MATCHING ESTIMATORS; PROPENSITY SCORE; SAVINGS; BANKING; ACCESS; REMITTANCES; CRIME; BIAS</t>
  </si>
  <si>
    <t>This paper follows a quasi-experimental research design to assess the impact of the electronic payment system of Mexico's Progresa-Oportunidades-Prospera (POP) programme. The switch from cash payments to electronic payments delivered via savings accounts is found to have medium-term effects on savings decisions, transaction costs, and coping strategies. Overall, the study finds that, following the intervention, a substitution effect emerged between saving portfolio choices, with the poor favouring bank accounts over informal saving arrangements. It also found that the Oportunidades savings account led to an increase in remittance reception, which in turn had important implications for household consumption smoothing and risk management decisions. The study also reveals impact heterogeneity depending on household composition and the rural-urban divide, with important implications for replicability of similar policy innovations in other countries.</t>
  </si>
  <si>
    <t>[Masino, Serena] Univ Westminster, Sch Org Econ &amp; Soc, 35 Marylebone Rd, London NW1 5LS, England; [Nino-Zarazua, Miguel] UNU WIDER, Helsinki, Finland</t>
  </si>
  <si>
    <t>University of Westminster</t>
  </si>
  <si>
    <t>Masino, S (corresponding author), Univ Westminster, Sch Org Econ &amp; Soc, 35 Marylebone Rd, London NW1 5LS, England.</t>
  </si>
  <si>
    <t>s.masino@westminster.ac.uk</t>
  </si>
  <si>
    <t>Niño-Zarazúa, Miguel/C-2357-2014; Masino, Serena/ODK-2865-2025</t>
  </si>
  <si>
    <t>Niño-Zarazúa, Miguel/0000-0003-4713-3890; Masino, Serena/0000-0002-5050-9265</t>
  </si>
  <si>
    <t>10.1080/00220388.2018.1546845</t>
  </si>
  <si>
    <t>JU0FK</t>
  </si>
  <si>
    <t>WOS:000501355500001</t>
  </si>
  <si>
    <t>Sait, MA; Anshari, M; Almunawar, MN; Masri, M</t>
  </si>
  <si>
    <t>Sait, Muhammad Azmi; Anshari, Muhammad; Almunawar, Mohammad Nabil; Masri, Masairol</t>
  </si>
  <si>
    <t>Why people do not bother using digital wallets? A qualitative study on resistance behavior</t>
  </si>
  <si>
    <t>JOURNAL OF SCIENCE AND TECHNOLOGY POLICY MANAGEMENT</t>
  </si>
  <si>
    <t>Resistance behavior; Digital wallet; Financial technology; Developing economy; Brunei Darussalam</t>
  </si>
  <si>
    <t>ADOPT MOBILE WALLET; PAYMENT; TECHNOLOGY; ACCEPTANCE; INTENTION</t>
  </si>
  <si>
    <t>PurposeThis study aims to qualitatively investigate and uncover the factors influencing resistance intention to local digital wallets in the context of Brunei Darussalam.Design/methodology/approachThis study uses a qualitative approach to investigate resistance toward adopting local digital wallets in Brunei Darussalam. Using a purposive sampling approach, an online survey was distributed via prevalent social media platforms, targeting individuals who intentionally refrain from using these services. Structured questionnaires capture demographic data, while open-ended questions explore reasons for resistance. Thematic analysis, guided by the innovation resistance theory (IRT), extracts and analyses collected responses to reveal emergent themes. Data saturation, anticipated with a minimum of 12 responses, signifies sample adequacy.FindingsThis study collects 55 responses reflecting resistance to local digital wallet adoption, primarily from females and youths (i.e. Generation Z groups). Through deductive thematic analysis, guided by the IRT framework, five emerging themes related to resistance behavior were identified. The Access Barrier highlights issues such as the lack of prerequisites like bank accounts, limited capital and restricted internet access; the Risk Barrier emphasizes concerns about data security, privacy, financial fraud and money management; the Tradition Barrier underscores challenges associated with preferences for cash and plastic money; the Usage Barrier addresses issues of digital overload, process complexity and unfamiliarity; and finally, the Value Barrier illuminates issues of apathy, lifestyle incompatibility and limited vendor acceptance.Research limitations/implicationsThis study recognizes several limitations related to sample representativeness, reliance on self-reported data, the use of a cross-sectional design and a narrow focus on individual perspectives. Moving forward, it is important for future studies to address these limitations by implementing strategies such as obtaining more balanced samples, incorporating quantitative data collection methods, adopting longitudinal approaches and incorporating perspectives from a wider range of stakeholders. By doing so, researchers can enhance the validity and generalizability of their findings, leading to a more robust understanding of the dynamics surrounding digital wallet resistance and adoption within academic discourse.Practical implicationsDigital wallet providers must prioritize accessibility by addressing barriers like prerequisites, financial constraints and internet connectivity. Strategies include expanding access to unbanked populations, incentivizing first-time users and enhancing internet infrastructure. To mitigate risk-related barriers, providers should focus on data security, privacy protection and user safety. Tailoring offerings to accommodate diverse user preferences, simplifying usage processes, increasing awareness through educational campaigns and collaborating with stakeholders are essential. Collaboration between providers, regulatory bodies, financial institutions and merchants is vital to address multifaceted barriers, improve infrastructure, enhance security measures and promote user awareness, enabling digital wallet adoption and fostering the growth of the digital economy. Originality/valueThis study contributes to understanding the factors influencing the resistance behaviour to wards local digital wallets in Brunei Darussalam, offering insights for policymakers, academicians and digital wallet providers to address resistance and promote sustainable adoption.</t>
  </si>
  <si>
    <t>[Sait, Muhammad Azmi; Anshari, Muhammad; Almunawar, Mohammad Nabil; Masri, Masairol] Univ Brunei Darussalam, Sch Business Econ, Bandar Seri Begawan, Brunei</t>
  </si>
  <si>
    <t>University Brunei Darussalam</t>
  </si>
  <si>
    <t>Sait, MA (corresponding author), Univ Brunei Darussalam, Sch Business Econ, Bandar Seri Begawan, Brunei.</t>
  </si>
  <si>
    <t>muhammadazmisait@gmail.com; anshari.ali@ubd.edu.bn; nabil.almunawar@ubd.edu.bn; masairol.masri@ubd.edu.bn</t>
  </si>
  <si>
    <t>Anshari, Muhammad/N-5268-2017</t>
  </si>
  <si>
    <t>2053-4620</t>
  </si>
  <si>
    <t>1758-5538</t>
  </si>
  <si>
    <t>J SCI TECHNOL POLICY</t>
  </si>
  <si>
    <t>J. Sci. Technol. Policy Manag.</t>
  </si>
  <si>
    <t>2026 JAN 1</t>
  </si>
  <si>
    <t>10.1108/JSTPM-05-2024-0155</t>
  </si>
  <si>
    <t>JAN 2026</t>
  </si>
  <si>
    <t>AM4AN</t>
  </si>
  <si>
    <t>WOS:001651562100001</t>
  </si>
  <si>
    <t>Xu, SL; Yang, Z; Ali, ST; Li, YF; Cui, JW</t>
  </si>
  <si>
    <t>Xu, Shulin; Yang, Zhen; Ali, Syed Tauseef; Li, Yunfeng; Cui, Jingwen</t>
  </si>
  <si>
    <t>Does Financial Literacy Affect Household Financial Behavior? The Role of Limited Attention</t>
  </si>
  <si>
    <t>FRONTIERS IN PSYCHOLOGY</t>
  </si>
  <si>
    <t>financial literacy; limited attention; financial behavior; mechanism analysis; financial information</t>
  </si>
  <si>
    <t>RETIREMENT; PARTICIPATION; PROGRAM; WEALTH; CHINA</t>
  </si>
  <si>
    <t>Financial literacy is essential for every individual concerned with public welfare and household portfolio choices. In this study, we investigate the impact of household financial literacy on individuals' financial behavior using the China Household Financial Survey Data (CHFS) of 2015 and 2017. The results show that financial knowledge has significant current, long-term, and dynamic effects on financial behavior. This finding suggests that financial literacy is an important factor in shaping and improving financial behavior. Second, financial literacy can improve residents' limited attention, and residents with high attention tend to have formal bank accounts, participate in the stock market, and engage in financial behaviors in situations such as risky financial markets. High attention also helps to improve residents' financial behavior. This relationship suggests that financial literacy positively impacts formal bank account holding, participation in financial markets, participation in commercial insurance, participation in pension plans, and credit card holdings through limited attention channels that facilitate access to specific financial information. In addition, heterogeneity analysis showed that the impact of financial literacy on financial behavior differs significantly between urban and rural households, between men and women, and between high and low education levels. The study provides valuable insights for policy implications to enhance financial literacy, such as carrying out financial training to improve residents' knowledge about financial aspects, which further helps to optimize household financial decision-making.</t>
  </si>
  <si>
    <t>[Xu, Shulin] Guangzhou Coll Commerce, Sch Econ, Guangzhou, Peoples R China; [Yang, Zhen] Dongbei Univ Finance &amp; Econ, Sch Business Adm, Dalian, Peoples R China; [Ali, Syed Tauseef] Dongbei Univ Finance &amp; Econ, Sch Accounting, Dalian, Peoples R China; [Li, Yunfeng] Jiangxi Normal Univ, Coll Finance, Nanchang, Peoples R China; [Cui, Jingwen] Jiangxi Normal Univ, Coll Polit Sci &amp; Law, Nanchang, Peoples R China</t>
  </si>
  <si>
    <t>Guangzhou College of Commerce; Dongbei University of Finance &amp; Economics; Dongbei University of Finance &amp; Economics; Jiangxi Normal University; Jiangxi Normal University</t>
  </si>
  <si>
    <t>Ali, ST (corresponding author), Dongbei Univ Finance &amp; Econ, Sch Accounting, Dalian, Peoples R China.</t>
  </si>
  <si>
    <t>tauseefali_shah3@yahoo.com</t>
  </si>
  <si>
    <t>, Syed Tauseef Ali/AAO-7916-2021; , Shulin Xu/AAL-3306-2021; Yang, Zhen/AAS-2176-2020</t>
  </si>
  <si>
    <t>, Syed Tauseef Ali/0000-0001-7849-2904; , Shulin Xu/0000-0002-1018-3213; Yang, Zhen/0000-0002-1223-0415</t>
  </si>
  <si>
    <t>Humanities and Social Sciences Planning Project of the Ministry of Education of China [18YJA790049]; Research Foundation of School of Business Administration, Dongbei University of Finance and Economics [GSY2021006]</t>
  </si>
  <si>
    <t>Humanities and Social Sciences Planning Project of the Ministry of Education of China; Research Foundation of School of Business Administration, Dongbei University of Finance and Economics</t>
  </si>
  <si>
    <t>Funding This study was supported by Humanities and Social Sciences Planning Project of the Ministry of Education of China (Grant Number: 18YJA790049), and Research Foundation of School of Business Administration, Dongbei University of Finance and Economics (Grant Number: GSY2021006).</t>
  </si>
  <si>
    <t>1664-1078</t>
  </si>
  <si>
    <t>FRONT PSYCHOL</t>
  </si>
  <si>
    <t>Front. Psychol.</t>
  </si>
  <si>
    <t>JUN 20</t>
  </si>
  <si>
    <t>10.3389/fpsyg.2022.906153</t>
  </si>
  <si>
    <t>2Q5EM</t>
  </si>
  <si>
    <t>WOS:000820445400001</t>
  </si>
  <si>
    <t>van Hee, K; Kosse, A; Wierts, P; Wijngaard, J</t>
  </si>
  <si>
    <t>van Hee, Kees; Kosse, Anneke; Wierts, Peter; Wijngaard, Jacob</t>
  </si>
  <si>
    <t>Let's speak the same language: a formally defined model to describe and compare payment system architectures</t>
  </si>
  <si>
    <t>JOURNAL OF FINANCIAL MARKET INFRASTRUCTURES</t>
  </si>
  <si>
    <t>payments; cash; bank accounts; correspondent banking; interoperability; two-tier banking system; cross-border payments; e-money; stablecoins</t>
  </si>
  <si>
    <t>Proposals for new payment system architectures abound. To understand their opportunities and challenges, it is paramount to be able to describe and compare them in a consistent and standardized manner. This paper therefore proposes a formally defined model to represent three key functions of payment system architectures: issuance/withdrawal, holding and transfer of funds. The model defines payment diagrams, using a precisely defined syntax. We illustrate the application of these diagrams for domestic and cross-border account transfers, as well as cash, card, emoney and stablecoin payments. However, the payment diagrams can be used for any type of funds and can be applied across different payment system architectures. We also demonstrate how the diagrams correspond to the balance sheet approach commonly used in economics, and show that it offers added value by providing an end-to-end visualization of every stage of the payment journey. Our model provides a tool for central banks, regulators and the payment industry to better understand and compare existing and new payment system architectures.</t>
  </si>
  <si>
    <t>[van Hee, Kees] Eindhoven Univ Technol, Eeuwsel 53, NL-5612 AZ Eindhoven, Netherlands; [Kosse, Anneke; Wierts, Peter] Bank Int Settlements, Cent Bahnpl 2, CH-4051 Basel, Switzerland; [Wijngaard, Jacob] Univ Groningen, Broerstr 5, NL-9712 CP Groningen, Netherlands</t>
  </si>
  <si>
    <t>Eindhoven University of Technology; Bank for International Settlements (BIS); University of Groningen</t>
  </si>
  <si>
    <t>Kosse, A (corresponding author), Bank Int Settlements, Cent Bahnpl 2, CH-4051 Basel, Switzerland.</t>
  </si>
  <si>
    <t>k.m.v.hee@tue.nl; anneke.kosse@bis.org; peter.wierts@bis.org; j.wijngaard@rug.nl</t>
  </si>
  <si>
    <t>van Hee, Kees/0000-0001-6928-2235</t>
  </si>
  <si>
    <t>INCISIVE MEDIA</t>
  </si>
  <si>
    <t>HAYMARKET HOUSE, 28-29 HAYMARKET, LONDON, SW1Y 4RX, ENGLAND</t>
  </si>
  <si>
    <t>2049-5404</t>
  </si>
  <si>
    <t>2049-5412</t>
  </si>
  <si>
    <t>J FINANC MARK INFRAS</t>
  </si>
  <si>
    <t>J. Financ. Mark. Infrastruct.</t>
  </si>
  <si>
    <t>10.21314/JFMI.2025.004</t>
  </si>
  <si>
    <t>9EM5A</t>
  </si>
  <si>
    <t>WOS:001604429700001</t>
  </si>
  <si>
    <t>Prasse-Freeman, E</t>
  </si>
  <si>
    <t>Prasse-Freeman, Elliott</t>
  </si>
  <si>
    <t>Nothing to lose but their (block)chains Biometrics, techno-imaginaries, and transformations in Rohingya lives</t>
  </si>
  <si>
    <t>AMERICAN ETHNOLOGIST</t>
  </si>
  <si>
    <t>BLOCKCHAIN; IDENTITY</t>
  </si>
  <si>
    <t>Can stateless persons become legal-economic subjects without state ratification? Can they appropriate technologies not designed for them to create both new subjectivities and new forms of community? A Malaysia-based nonprofit social enterprise, composed of stateless Rohingya, has been attempting to circumvent state rejection by inscribing aspects of Rohingya (in)dividuals-biometric data, genealogy information, and records of community participation-on a digital blockchain ledger. The enterprise seeks to mobilize blockchain's affordances to iteratively construct Rohingya subjects, re-presenting them to new institutions (banks rather than humanitarians) as quasi-legal persons, producing entities ultimately certified for financial inclusion-bank accounts and loans-thereby hoping to generate post-Westphalian spaces and subjectivities. Yet, amid a revanchist nationalist resurgence in Malaysia-as with bourgeoning right-wing populism globally-the spaces in which blockchained subjects might maneuver have narrowed, compelling our attention to the nonsovereignty in this project's version of self-sovereignty. [blockchain, biometrics, science and technology studies, (non)sovereignty, statelessness, Malaysia, Rohingya]</t>
  </si>
  <si>
    <t>[Prasse-Freeman, Elliott] Natl Univ Singapore, Dept Sociol &amp; Anthropol, Singapore, Singapore</t>
  </si>
  <si>
    <t>National University of Singapore</t>
  </si>
  <si>
    <t>Prasse-Freeman, E (corresponding author), Natl Univ Singapore, Dept Sociol &amp; Anthropol, Singapore, Singapore.</t>
  </si>
  <si>
    <t>soceep@nus.edu.sg</t>
  </si>
  <si>
    <t>Prasse-Freeman, Elliott/0000-0003-3078-0530</t>
  </si>
  <si>
    <t>0094-0496</t>
  </si>
  <si>
    <t>1548-1425</t>
  </si>
  <si>
    <t>AM ETHNOL</t>
  </si>
  <si>
    <t>Am. Ethnol.</t>
  </si>
  <si>
    <t>10.1111/amet.13100</t>
  </si>
  <si>
    <t>SEP 2022</t>
  </si>
  <si>
    <t>6L5GF</t>
  </si>
  <si>
    <t>WOS:000858809500001</t>
  </si>
  <si>
    <t>Suri, T</t>
  </si>
  <si>
    <t>Aghion, P; Rey, H</t>
  </si>
  <si>
    <t>Suri, Tavneet</t>
  </si>
  <si>
    <t>Mobile Money</t>
  </si>
  <si>
    <t>ANNUAL REVIEW OF ECONOMICS, VOL 9</t>
  </si>
  <si>
    <t>Annual Review of Economics</t>
  </si>
  <si>
    <t>Article; Book Chapter</t>
  </si>
  <si>
    <t>mobile money; risk sharing; poverty reduction</t>
  </si>
  <si>
    <t>This review provides an overview of the operations and impacts of mobile money in the developing world. Over the past decade, mobile money has become a ubiquitous tool in some developing economies, allowing individuals to digitally transact money without formal bank accounts. The impacts, where documented, have been sizeable: For example, poverty decreased by two percentage points in Kenya. However, adoption still lags in many economies and, even where there is universal adoption, product innovation over the rails of these digital accounts has been slow. The review concludes by discussing what the future of mobile money in developing economies may look like and, thus, where the most exciting opportunities for research may be.</t>
  </si>
  <si>
    <t>[Suri, Tavneet] MIT, Sloan Sch Management, Cambridge, MA 02142 USA</t>
  </si>
  <si>
    <t>Massachusetts Institute of Technology (MIT)</t>
  </si>
  <si>
    <t>Suri, T (corresponding author), MIT, Sloan Sch Management, Cambridge, MA 02142 USA.</t>
  </si>
  <si>
    <t>tavneet@mit.edu</t>
  </si>
  <si>
    <t>ANNUAL REVIEWS</t>
  </si>
  <si>
    <t>PALO ALTO</t>
  </si>
  <si>
    <t>4139 EL CAMINO WAY, PO BOX 10139, PALO ALTO, CA 94303-0897 USA</t>
  </si>
  <si>
    <t>1941-1383</t>
  </si>
  <si>
    <t>978-0-8243-4609-6</t>
  </si>
  <si>
    <t>ANNU REV ECON</t>
  </si>
  <si>
    <t>Annu. Rev. Econ.</t>
  </si>
  <si>
    <t>10.1146/annurev-economics-063016-103638</t>
  </si>
  <si>
    <t>Book Citation Index – Social Sciences &amp; Humanities (BKCI-SSH); Social Science Citation Index (SSCI)</t>
  </si>
  <si>
    <t>BI2AM</t>
  </si>
  <si>
    <t>WOS:000407728400019</t>
  </si>
  <si>
    <t>Kabengele, C; Roessling, J</t>
  </si>
  <si>
    <t>Kabengele, Christian; Roessling, Jakob</t>
  </si>
  <si>
    <t>EVALUATING THE EFFECT OF MOBILE MONEY ON FIRM PRODUCTIVITY IN AFRICA: A COMPARISON OF THE FORMAL AND INFORMAL SECTORS</t>
  </si>
  <si>
    <t>JOURNAL OF DEVELOPMENTAL ENTREPRENEURSHIP</t>
  </si>
  <si>
    <t>Africa; mobile money; informal sector; fuzzy-set qualitative comparative analysis (fsQCA); regression analysis; mixed methods</t>
  </si>
  <si>
    <t>DEVELOPING-COUNTRIES; ENTREPRENEURSHIP; GENDER; IMPACT; MICRO; KENYA; PERFORMANCE; TECHNOLOGY; STRATEGY; MARKETS</t>
  </si>
  <si>
    <t>We explore the relationship between firms' mobile money use and their productivity using a sample of 994 formal and 1.499 informal, predominantly micro-, small- and medium firms from Zambia, Mozambique and Zimbabwe. Our findings reveal a positive and statistically significant relationship between mobile money use and labor productivity for informal firms. The effect also appears to be stronger for female-led than for male-led informal firms, suggesting that mobile money could be a valuable tool to promote gender equity in Africa's informal sector. In contrast, for formal firms, the effect vanishes once all relevant controls are accounted for. Thus, for formal firms, mobile money may be insufficient to overcome the impediments of their business environments in Africa. Further, a complementary fsQCA reveals configurations of conditions that appear important for informal firms to truly benefit from the productivity enhancing potential of mobile money. The combination of founders' education, firms' location, their sector and their use of traditional bank accounts appear particularly crucial. The fsQCA findings give additional nuance to our regression results. Overall, our findings suggest that firms more exposed to transaction costs benefit more from mobile money.</t>
  </si>
  <si>
    <t>[Kabengele, Christian; Roessling, Jakob] Heinrich Heine Univ, Dept Sustainabil Management, Univ Str 1, D-40225 Dusseldorf, Germany</t>
  </si>
  <si>
    <t>Heinrich Heine University Dusseldorf</t>
  </si>
  <si>
    <t>Kabengele, C (corresponding author), Heinrich Heine Univ, Dept Sustainabil Management, Univ Str 1, D-40225 Dusseldorf, Germany.</t>
  </si>
  <si>
    <t>christian.kabengele@hhu.de; jakob.roessling@hhu.de</t>
  </si>
  <si>
    <t>1084-9467</t>
  </si>
  <si>
    <t>1793-706X</t>
  </si>
  <si>
    <t>J DEV ENTREP</t>
  </si>
  <si>
    <t>J. Dev. Entrep.</t>
  </si>
  <si>
    <t>10.1142/S1084946722500091</t>
  </si>
  <si>
    <t>2X8XP</t>
  </si>
  <si>
    <t>WOS:000825482200006</t>
  </si>
  <si>
    <t>Njenga, K; Ndlovu, S</t>
  </si>
  <si>
    <t>Njenga, Kennedy; Ndlovu, Sifiso</t>
  </si>
  <si>
    <t>On Rational Choice, Risk and Utility in Mobile Banking</t>
  </si>
  <si>
    <t>2012 E-LEADERSHIP CONFERENCE ON SUSTAINABLE E-GOVERNMENT AND E-BUSINESS INNOVATIONS (E-LEADERSHIP)</t>
  </si>
  <si>
    <t>1st E-Leadership Conference on Sustainable E-Government and E-Business Innovations</t>
  </si>
  <si>
    <t>OCT 04-05, 2012</t>
  </si>
  <si>
    <t>Univ Pretoria, Pretoria, SOUTH AFRICA</t>
  </si>
  <si>
    <t>Univ Pretoria</t>
  </si>
  <si>
    <t>component; Mobile banking; Privacy; Risk; Utility; Rational Choice Theory</t>
  </si>
  <si>
    <t>TECHNOLOGY ACCEPTANCE MODEL</t>
  </si>
  <si>
    <t>The diffusion of mobile banking technology in South African (SA) banking institutions offers a unique and incisive approach towards analysis of risk associated with the protection of banking clientele's information. There is emerging discourse towards South African clientele awareness surrounding privacy issues. The paper conceptualizes the underlying banking clientele's awareness of issues such as risk, security and information protection policies. The key concern is the impact such awareness has on the choice of subscribing to mobile banking services. Rational Choice Theory (RCT) has been used as a theoretical lens to abstract banking clientele reasoning. The paper attempts to explain, using RCT, the risk/utility trade-off and the clienteles' willingness to subscribe to mobile banking services. Quantitative research method has been used for this purpose. Purposeful sampling that targeted SA bank-account holders was applied. Empirical results show that the South African banked clienteles' awareness is largely driven by the perceived utility of a mobile technology (mobile banking service) and interestingly, risk and information protection play a lesser role in this trade-off.</t>
  </si>
  <si>
    <t>[Njenga, Kennedy; Ndlovu, Sifiso] Univ Johannesburg, Dept Appl Informat Syst, Johannesburg, South Africa</t>
  </si>
  <si>
    <t>Njenga, K (corresponding author), Univ Johannesburg, Dept Appl Informat Syst, Johannesburg, South Africa.</t>
  </si>
  <si>
    <t>Njenga, Kennedy/AAE-8378-2021</t>
  </si>
  <si>
    <t>Njenga, Kennedy/0000-0002-6403-3624</t>
  </si>
  <si>
    <t>978-1-4673-2979-8; 978-1-4673-2978-1</t>
  </si>
  <si>
    <t>Computer Science, Information Systems; Engineering, Electrical &amp; Electronic</t>
  </si>
  <si>
    <t>BHN06</t>
  </si>
  <si>
    <t>WOS:000325951400003</t>
  </si>
  <si>
    <t>Richardson, L; Shrestha, P; Milliken, C; Sills, EO; Lloyd, S; Nareau, L; Scott, S; Jagger, P</t>
  </si>
  <si>
    <t>Richardson, Logan; Shrestha, Prabisha; Milliken, Caleb; Sills, Erin O.; Lloyd, Shannon; Nareau, Lauren; Scott, Stephanie; Jagger, Pamela</t>
  </si>
  <si>
    <t>Money matters: Does access to financial services foster household energy transitions in Africa?</t>
  </si>
  <si>
    <t>ENERGY RESEARCH &amp; SOCIAL SCIENCE</t>
  </si>
  <si>
    <t>Energy access; Financial inclusion; Female-headed households; Sub-Saharan Africa</t>
  </si>
  <si>
    <t>ADOPTION; DETERMINANTS; FUELS; ELECTRIFICATION; COOKSTOVES; PATTERNS; SYSTEMS; IMPACT</t>
  </si>
  <si>
    <t>Financial inclusion is hypothesized to facilitate adoption of modern energy technologies, but the relationship has not been extensively studied in the African context. We use the World Bank Energy Sector Management Assistance Program (ESMAP) Multi-Tier Framework (MTF) Global Surveys on Energy Access for Kenya, Rwanda, and Zambia to examine the relationship between financial services and adoption of modern energy technologies. Using a series of logit regression models, we interact gender of the household head with financial inclusion variables to understand this relationship in rural-urban households, controlling for a range of household demographic and socioeconomic characteristics. We find that bank account ownership is broadly associated with grid connection, solar ownership, and clean cooking fuels, with the most robust associations observed among male-headed households in urban settings. Access to credit is linked to the adoption of solar technologies and clean cooking fuels, but not across all settings. Mobile money is associated with grid electricity access for all households in Kenya, and with solar adoption for female-headed households in Rwanda and Zambia. Our research demonstrates the differential role of financial services in catalyzing household energy transitions by gender of household head and rural-urban settings. Future studies should collect data on individuals and intrahousehold dynamics to better inform policymakers about the potential gender-related mechanisms that support financial services as a pathway to household energy transitions.</t>
  </si>
  <si>
    <t>[Richardson, Logan; Sills, Erin O.] NC State Univ, Dept Forestry &amp; Environm Resources, 2800 Faucette Dr,Campus Box 8008, Raleigh, NC 27695 USA; [Shrestha, Prabisha] Scale AI, 650 Townsend St, San Francisco, CA 94103 USA; [Milliken, Caleb] RTI Int, 3040 Cornwallis Rd, Res Triangle Pk, NC 27709 USA; [Lloyd, Shannon] Consumers Energy, 530 W Willow St, Lansing, MI 48906 USA; [Nareau, Lauren] ServiceNow, 810 Eastgate Mall, San Diego, CA 92121 USA; [Scott, Stephanie] Georgetown Ctr Poverty &amp; Inequal, 500 First St NW, Washington, DC 20001 USA; [Jagger, Pamela] Univ Michigan, Sch Environm &amp; Sustainabil, 440 Church St, Ann Arbor, MI 48109 USA</t>
  </si>
  <si>
    <t>North Carolina State University; Research Triangle Institute; University of Michigan System; University of Michigan</t>
  </si>
  <si>
    <t>Richardson, L (corresponding author), NC State Univ, Dept Forestry &amp; Environm Resources, 2800 Faucette Dr,Campus Box 8008, Raleigh, NC 27695 USA.</t>
  </si>
  <si>
    <t>lerichar@ncsu.edu; prabisha.shrestha@gmail.com; cmilliken@rti.org; erin_sills@ncsu.edu; Shannon.Lloyd@cmsenergy.com; ss5514@georgetown.edu; pjagger@umich.edu</t>
  </si>
  <si>
    <t>Sills, Erin/0000-0001-8289-0489; Milliken, Caleb/0009-0005-1756-7745; Shrestha, Prabisha/0000-0002-3479-4780</t>
  </si>
  <si>
    <t>National Science Foundation (NSF) [1743741]</t>
  </si>
  <si>
    <t>National Science Foundation (NSF)(National Science Foundation (NSF))</t>
  </si>
  <si>
    <t>This work was supported by the National Science Foundation (NSF) [grant number 1743741] .</t>
  </si>
  <si>
    <t>2214-6296</t>
  </si>
  <si>
    <t>2214-6326</t>
  </si>
  <si>
    <t>ENERGY RES SOC SCI</t>
  </si>
  <si>
    <t>Energy Res. Soc. Sci.</t>
  </si>
  <si>
    <t>10.1016/j.erss.2025.104215</t>
  </si>
  <si>
    <t>Green &amp; Sustainable Science &amp; Technology; Environmental Studies</t>
  </si>
  <si>
    <t>5UB3L</t>
  </si>
  <si>
    <t>WOS:001544340300003</t>
  </si>
  <si>
    <t>Amuedo-Dorantes, C; Bansak, C</t>
  </si>
  <si>
    <t>Amuedo-Dorantes, Catalina; Bansak, Cynthia</t>
  </si>
  <si>
    <t>Money transfers among banked and unbanked Mexican immigrants</t>
  </si>
  <si>
    <t>SOUTHERN ECONOMIC JOURNAL</t>
  </si>
  <si>
    <t>MIGRATION; MIGRANTS; ECONOMY</t>
  </si>
  <si>
    <t>The recent recognition of the matricula consular as an acceptable form of alien identification by financial institutions has increased undocumented Mexican immigrants' access to U.S. banking services. Usage of the banking system's low-cost wiring and money-transfer services may encourage Mexican immigrants to save and potentially transfer more money to Mexico. We use data from the Mexican Migration Project (MMP107) to examine the hypothesis that immigrants with access to banking services in the United States between 1970 and 2004 sent back more funds to Mexico than their unbanked counterparts. We find that banking among Mexican immigrants in our sample is limited. While having a U.S. bank account does not appear to significantly raise monthly remittance flows by Mexican immigrants, it does help boost the amount brought back home. Thus, our analysis sheds light on the potential effects of matricula cards on the future flow of remittances to Mexico.</t>
  </si>
  <si>
    <t>San Diego State Univ, Dept Econ, San Diego, CA 92182 USA</t>
  </si>
  <si>
    <t>California State University System; San Diego State University</t>
  </si>
  <si>
    <t>Amuedo-Dorantes, C (corresponding author), San Diego State Univ, Dept Econ, San Diego, CA 92182 USA.</t>
  </si>
  <si>
    <t>camuedod@mail.sdsu.edu; cbansak@mail.sdsu.edu</t>
  </si>
  <si>
    <t>Amuedo-Dorantes, Catalina/AAI-7730-2020</t>
  </si>
  <si>
    <t>0038-4038</t>
  </si>
  <si>
    <t>2325-8012</t>
  </si>
  <si>
    <t>SOUTH ECON J</t>
  </si>
  <si>
    <t>South. Econ. J.</t>
  </si>
  <si>
    <t>10.2307/20111897</t>
  </si>
  <si>
    <t>098QI</t>
  </si>
  <si>
    <t>WOS:000241537500006</t>
  </si>
  <si>
    <t>Borys, M; Laskowski, M</t>
  </si>
  <si>
    <t>Chova, LG; Martinez, AL; Torres, IC</t>
  </si>
  <si>
    <t>Borys, Magdalena; Laskowski, Maciej</t>
  </si>
  <si>
    <t>IS GAMIFICATION A WAY TO EDUCATE USERS IN THE FIELD OF E-BANKING?</t>
  </si>
  <si>
    <t>ICERI2015: 8TH INTERNATIONAL CONFERENCE OF EDUCATION, RESEARCH AND INNOVATION</t>
  </si>
  <si>
    <t>ICERI Proceedings</t>
  </si>
  <si>
    <t>8th International Conference of Education, Research and Innovation (ICERI)</t>
  </si>
  <si>
    <t>NOV 16-20, 2015</t>
  </si>
  <si>
    <t>gamification; e-banking; computer games; interactivity</t>
  </si>
  <si>
    <t>The main goal of this paper is to determine how gamification affects user's behaviour while working with e-banking computer system. In order to do so, a survey was conducted on a group of 121 e-bank clients which were surveyed about the gamified elements they came across while working with their e-bank account. The privacy aspects of applying gamification into e-banking were also researched and analysed. The pros and cons of the researched gamification based on survey results were also analysed and discussed.</t>
  </si>
  <si>
    <t>[Borys, Magdalena; Laskowski, Maciej] Lublin Univ Technol, Inst Comp Sci, Lublin, Poland</t>
  </si>
  <si>
    <t>Lublin University of Technology</t>
  </si>
  <si>
    <t>Borys, M (corresponding author), Lublin Univ Technol, Inst Comp Sci, Lublin, Poland.</t>
  </si>
  <si>
    <t>Chmielewska, Magdalena/B-3764-2013</t>
  </si>
  <si>
    <t>Chmielewska, Magdalena/0000-0001-5501-7860</t>
  </si>
  <si>
    <t>IATED-INT ASSOC TECHNOLOGY EDUCATION A&amp; DEVELOPMENT</t>
  </si>
  <si>
    <t>VALENICA</t>
  </si>
  <si>
    <t>LAURI VOLPI 6, VALENICA, BURJASSOT 46100, SPAIN</t>
  </si>
  <si>
    <t>2340-1095</t>
  </si>
  <si>
    <t>978-84-608-2657-6</t>
  </si>
  <si>
    <t>ICERI PROC</t>
  </si>
  <si>
    <t>BE9EB</t>
  </si>
  <si>
    <t>WOS:000377304005019</t>
  </si>
  <si>
    <t>Koloma, Y</t>
  </si>
  <si>
    <t>Koloma, Yaya</t>
  </si>
  <si>
    <t>Financial inclusion and entrepreneurship willingness of youth: Evidence from Mali</t>
  </si>
  <si>
    <t>DETERMINANTS; ACCESS</t>
  </si>
  <si>
    <t>This study examines the determinants of youth financial inclusion and its impacts on their willingness to become entrepreneurs in Mali. The World Bank's Global Findex database is used to perform Logit estimations and propensity score matching. We find that the financial inclusion of youth seems to be more determined by the attainment of a high level of education, employment status, living in a wealthy family, and having at least one family member with a bank account. Three factors appear as barriers to better financial inclusion of youth: the cost of financial services, the lack of money, and the perception that financial services, savings in particular, are not a necessity. The study also shows that savings and loans have a statistically significant impact on the willingness to engage in entrepreneurial activity, even in the agricultural sector. Particularly for young people, providing them with loan services seems to have more impact than other financial services on the desire to undertake agri-entrepreneurial activity. The study recommends the strengthening of public policies aimed at expanding credit to youth because of its high impact on their willingness to engage in entrepreneurship in general and in agri-preneurship in particular in Mali.</t>
  </si>
  <si>
    <t>[Koloma, Yaya] African Dev Bank, Macroecon Policy Forecasting &amp; Res Dept, Abidjan, Cote Ivoire</t>
  </si>
  <si>
    <t>African Development Bank Group (AfDB)</t>
  </si>
  <si>
    <t>Koloma, Y (corresponding author), African Dev Bank, Macroecon Policy Forecasting &amp; Res Dept ECMR, Plateaux 01 BP 1387, Abidjan 01, Cote Ivoire.</t>
  </si>
  <si>
    <t>y.koloma@afdb.org</t>
  </si>
  <si>
    <t>10.1111/1467-8268.12539</t>
  </si>
  <si>
    <t>TE4XL</t>
  </si>
  <si>
    <t>WOS:000652543900001</t>
  </si>
  <si>
    <t>Jajah, YI; Anarfo, EB; Aveh, FK</t>
  </si>
  <si>
    <t>Issaka Jajah, Yussif; Anarfo, Ebenezer B.; Aveh, Felix K.</t>
  </si>
  <si>
    <t>Financial inclusion and bank profitability inSub-SaharanAfrica</t>
  </si>
  <si>
    <t>banks' profitability; financial inclusion; net interest margin; return on assets; return on equity</t>
  </si>
  <si>
    <t>PANEL-DATA; COMPETITION</t>
  </si>
  <si>
    <t>This paper investigates the impact of financial inclusion on banks' profitability in Sub-Saharan Africa. The paper employed the system generalized method of moments (GMM) dynamic pooled estimator for the computation of the parameters using data spanning from 1990 to 2017. The results show that there is an affirmative relationship between financial inclusion index (FINDEX) and bank profitability in Sub-Saharan Africa. This suggests that financial inclusion is a significant driver of banks' profitability in Sub-Saharan Africa. The policy implication of this study is that for banks in Sub-Saharan African countries to increase their profitability and get optimum results from financial inclusion they must formulate policies aimed at promoting financial inclusion. This suggests that banks in Sub-Saharan African countries must be creative and innovative in pursuing financial inclusion policies. Such policies should be targeted at increasing the number of bank branches and ATMs. Banks should also make effort at finding ways of making opening of bank accounts much easier for the vulnerable and marginalized in society by relaxing the requirements for customer identification in specific situations where they may hamper financial inclusion goals and efforts.</t>
  </si>
  <si>
    <t>[Issaka Jajah, Yussif] Parliament House Ghana, Ayawaso North Constituency, Accra, Ghana; [Anarfo, Ebenezer B.] Ghana Inst Management &amp; Publ Adm, GIMPA Business Sch, Accra, Ghana; [Aveh, Felix K.] African Univ Coll Commun, AUCC Business Sch, Accra, Ghana</t>
  </si>
  <si>
    <t>Anarfo, EB (corresponding author), Ghana Inst Management &amp; Publ Adm, GIMPA Business Sch, Accra, Ghana.</t>
  </si>
  <si>
    <t>jayussif@yahoo.com; eanarfo@gimpa.edu.gh</t>
  </si>
  <si>
    <t>Anarfo, Ebenezer Bugri/0000-0002-8919-6040</t>
  </si>
  <si>
    <t>10.1002/ijfe.2135</t>
  </si>
  <si>
    <t>YI5QM</t>
  </si>
  <si>
    <t>WOS:000558230700001</t>
  </si>
  <si>
    <t>Hemalatha, S; Kinjawadekar, AA; Kulal, PG; Deepa, G; Barla, P; Srinivasan, AB; Shamathmika</t>
  </si>
  <si>
    <t>Hemalatha, S.; Kinjawadekar, Aditya A.; Kulal, Pranamya G.; Deepa, G.; Barla, Prashanth; Srinivasan, Aakash B.; Shamathmika</t>
  </si>
  <si>
    <t>Security of Sensitive Data in Face Recognition System Applications: A Novel Encryption Approach</t>
  </si>
  <si>
    <t>Face recognition; Cryptography; Encryption; Security; Biometrics; Accuracy; Authentication; Feature extraction; Encoding; Protection; face identification; facial encodings; encryption; decryption</t>
  </si>
  <si>
    <t>Background and Aim: The design of secure systems that can protect sensitive data is becoming a major area of research due to the growing number of applications that use the Internet. In mobile banking applications which use face recognition as unlock feature, the face data is encrypted and protected in a dedicated chip within the device called Secure Enclave that enhances the security of the application. This cutting-edge development is now being used by individuals in their personal devices like smartphones and tablets for accessing their own bank accounts and to perform online transactions. Since encrypted face data is stored locally on devices rather than in the bank's database, it remains susceptible to security breaches, potentially allowing unauthorized access. While face recognition systems provide benefits like enhanced security, surveillance, and personalized marketing, they also raise privacy, security, ethical, and legal concerns. To address these challenges, this study proposes an encryption method for applications employing face recognition as an authentication feature. Methodology: The proposed method encrypts facial encodings generated by the face recognition model by utilizing Internet Protocol (IP) addresses as a dynamic key generation source. This approach ensures unique encryption for each communication, significantly reducing vulnerability to attacks. One of the widely used face recognition models in mobile applications is Dlib's face recognition model which provides accurate facial embeddings. Results and Conclusion: The method is evaluated using the pins_dataset containing 10,000 images of 100 unique identities and an accuracy of 90.1% is achieved. The same accuracy is observed when testing face recognition without encrypting the facial encodings, demonstrating efficacy of the encryption algorithm. Additionally, the encryption algorithm's time complexity is evaluated as O(1) , confirming its ability to perform encryption with constant time complexity, making it suitable for real-time applications.</t>
  </si>
  <si>
    <t>[Hemalatha, S.; Kinjawadekar, Aditya A.; Kulal, Pranamya G.; Deepa, G.] Manipal Acad Higher Educ, Manipal Inst Technol, Manipal 576104, Karnataka, India; [Barla, Prashanth] Manipal Acad Higher Educ, Manipal Inst Technol, Dept Elect &amp; Commun Engn, Manipal 576104, Karnataka, India; [Srinivasan, Aakash B.] Univ Maryland, Robert H Smith Sch Business, College Pk, MD 20742 USA; [Shamathmika] San Jose State Univ, Dept Comp Engn, San Jose, CA 95192 USA</t>
  </si>
  <si>
    <t>Manipal Academy of Higher Education (MAHE); Manipal Academy of Higher Education (MAHE); University System of Maryland; University of Maryland College Park; California State University System; San Jose State University</t>
  </si>
  <si>
    <t>Deepa, G (corresponding author), Manipal Acad Higher Educ, Manipal Inst Technol, Manipal 576104, Karnataka, India.</t>
  </si>
  <si>
    <t>deepa.ganesan@manipal.edu</t>
  </si>
  <si>
    <t>; Deepa, Ganesan/D-9131-2019; BARLA, PRASHANTH/ADK-1815-2022</t>
  </si>
  <si>
    <t>Kulal, Pranamya G/0009-0006-5451-3321; Kinjawadekar, Aditya Amit/0009-0006-3244-7386; Deepa, Ganesan/0000-0003-2563-1012; BARLA, PRASHANTH/0000-0001-6308-6348</t>
  </si>
  <si>
    <t>10.1109/ACCESS.2025.3614266</t>
  </si>
  <si>
    <t>8FG3T</t>
  </si>
  <si>
    <t>WOS:001587270100035</t>
  </si>
  <si>
    <t>Afzal, M; Ansari, MS; Ahmad, N; Shahid, M; Shoeb, M</t>
  </si>
  <si>
    <t>Afzal, Mohammed; Ansari, Mohd. Shamim; Ahmad, Naseem; Shahid, Mohammad; Shoeb, Mohd.</t>
  </si>
  <si>
    <t>Cyberfraud, usage intention, and cybersecurity awareness among e-banking users in India: an integrated model approach</t>
  </si>
  <si>
    <t>Cyberfraud; Cybersecurity awareness; Protection behaviour; E-Banking; Usage intention; TAM</t>
  </si>
  <si>
    <t>MOBILE PAYMENT SERVICES; INTERNET BANKING; TECHNOLOGY ACCEPTANCE; EMPIRICAL-EXAMINATION; PERCEIVED USEFULNESS; CONSUMER ACCEPTANCE; ADOPTION; ONLINE; KNOWLEDGE; TRUST</t>
  </si>
  <si>
    <t>Cyberfraud knows no boundaries and increases with the emergence of technology adoption. The remarkable rise of cybercrime and its catastrophic consequences pose a significant threat to financial institutions in India. Existing literature proves that banks are most affected among other sectors due to their resilience on the Internet, particularly e-Banking platforms. This study incorporates cybersecurity knowledge and awareness with the Technology Acceptance Model (TAM) to examine the association to usage intention among e-Banking users in India. Co-variance-based structural equation modelling (CB-SEM) was used to analyse the sample size of 428 responses. The findings suggested that e-Banking users' cybersecurity knowledge and awareness positively influence e-Banking usage intention. Users' behavioural protection is influenced by knowledge and awareness. It was also observed that cybersecurity knowledge, awareness, and behavioural choice protection were consistent with TAM theory. Emerging cyberfraud has become a significant challenge in accepting e-banking platforms. The structural model suggests that cybersecurity awareness among e-Banking users against cyberfraud could help safeguard users' bank accounts and positively influence usage intention. Cybersecurity awareness must be taught to e-Banking users to counter rising cyberfraud incidents.</t>
  </si>
  <si>
    <t>[Afzal, Mohammed; Ansari, Mohd. Shamim; Shahid, Mohammad; Shoeb, Mohd.] Aligarh Muslim Univ, Dept Commerce, Aligarh, India; [Ahmad, Naseem] Aligarh Muslim Univ, Dept Agr Econ &amp; Business Management, Aligarh, India</t>
  </si>
  <si>
    <t>Aligarh Muslim University; Aligarh Muslim University</t>
  </si>
  <si>
    <t>Afzal, M (corresponding author), Aligarh Muslim Univ, Dept Commerce, Aligarh, India.</t>
  </si>
  <si>
    <t>afzal.amu13@gmail.com; mdshahid.cs@gmail.com</t>
  </si>
  <si>
    <t>Ahmad, Dr. Naseem/AAE-4795-2022</t>
  </si>
  <si>
    <t>Afzal, Mohammed/0009-0004-0174-5394</t>
  </si>
  <si>
    <t>10.1057/s41264-024-00279-3</t>
  </si>
  <si>
    <t>N2B8S</t>
  </si>
  <si>
    <t>WOS:001214773100001</t>
  </si>
  <si>
    <t>Kosiuczenko, P</t>
  </si>
  <si>
    <t>Kosiuczenko, Piotr</t>
  </si>
  <si>
    <t>On the Synthesis of Protocol State Machines from Contracts</t>
  </si>
  <si>
    <t>19TH ACM/IEEE INTERNATIONAL CONFERENCE ON MODEL DRIVEN ENGINEERING LANGUAGES AND SYSTEMS (MODELS'16)</t>
  </si>
  <si>
    <t>19th ACM/IEEE International Conference on Model Driven Engineering Languages and Systems (MODELS)</t>
  </si>
  <si>
    <t>OCT 02-07, 2016</t>
  </si>
  <si>
    <t>Saint Malo, FRANCE</t>
  </si>
  <si>
    <t>Assoc Comp Machinery,IEEE,Thales,Eclipse,Obeo,Tata Consultancy Serv,Papyrus IC,GEMOC,Plugbee,Polarsys,Heterogeneous &amp; Distributed Serv Future Comp Continuum,IEEE Comp Soc,ACM Sigsoft,Inria,Univ Rennes 1,Fondat Resses 1</t>
  </si>
  <si>
    <t>first-order logic; contractual specification; OCL; pre; post-conditions; state-invariants; synthesis of protocol state machines</t>
  </si>
  <si>
    <t>SPECIFICATIONS; CALLS</t>
  </si>
  <si>
    <t>Contractual specifications and UML state machines belong to the basic means for the specification and modelling of object-oriented system behaviour and are the subject of active research. However, the problem of state machines synthesis from contracts has not been researched. In this paper, this problem is investigated and a suitable procedure for protocol state machine generation is presented. This procedure is based on a method used in specification-based testing; it is formally defined, stepwise and based on a well-defined mathematical model. Its applicability is demonstrated on a bank account example often used in the literature. It is shown that resulting protocol state machines help to grasp the meaning of specifications and, as a side effect, to identify flaws in the specification such as unreachable states.</t>
  </si>
  <si>
    <t>[Kosiuczenko, Piotr] WAT, Inst Informat Syst, Warsaw, Poland</t>
  </si>
  <si>
    <t>Military University of Technology in Warsaw</t>
  </si>
  <si>
    <t>Kosiuczenko, P (corresponding author), WAT, Inst Informat Syst, Warsaw, Poland.</t>
  </si>
  <si>
    <t>Kosiuczenko, Piotr/0000-0003-0350-2201</t>
  </si>
  <si>
    <t>978-1-4503-4321-3</t>
  </si>
  <si>
    <t>10.1145/2976767.2976783</t>
  </si>
  <si>
    <t>Computer Science, Information Systems; Computer Science, Interdisciplinary Applications; Computer Science, Theory &amp; Methods</t>
  </si>
  <si>
    <t>BO2ZZ</t>
  </si>
  <si>
    <t>WOS:000509762900009</t>
  </si>
  <si>
    <t>Ulusoy, T; Çelik, MY</t>
  </si>
  <si>
    <t>Ulusoy, Tolga; Celik, Mehmet Yunus</t>
  </si>
  <si>
    <t>Financial Literacy in Agricultural Products Industry: The Case of Kastamonu</t>
  </si>
  <si>
    <t>ALINTERI JOURNAL OF AGRICULTURE SCIENCES</t>
  </si>
  <si>
    <t>Banking sector; Bank loans; Agricultural products; Kastamonu</t>
  </si>
  <si>
    <t>The aim of this study was to reveal the literacy in banking sector of real or legal bank clients who have the right to take commercial and agricultural loans, have bank accounts and are operating in agricultural products industry in Kastamonu city center and districts, and which groups are more financially literate. In the study, the data was acquired by using face-to-face survey method with 400 real and legal persons who are operating in agricultural products industry, and it was determined that the financial literacy level of bank clients increase as the educational level increases. In the survey created in order to measure their knowledge about banking, among the answers given by those concerned, we have tried to determine problems that were considered to be related to each other. Considering the results obtained from the research, suggestions were developed, regarding what must be done in order to improve the banking sector literacy of bank clients in Kastamonu. The survey data indicate that the farmers are not attending to the banking sector at a professional level.</t>
  </si>
  <si>
    <t>[Ulusoy, Tolga] Kastamonu Univ, Fac Econ &amp; Adm Sci, Dept Banking &amp; Finance, Kastamonu, Turkey; [Celik, Mehmet Yunus] Kastamonu Univ, Fac Econ &amp; Adm Sci, Dept Econ, Kastamonu, Turkey</t>
  </si>
  <si>
    <t>Kastamonu University; Kastamonu University</t>
  </si>
  <si>
    <t>Çelik, MY (corresponding author), Kastamonu Univ, Fac Econ &amp; Adm Sci, Dept Econ, Kastamonu, Turkey.</t>
  </si>
  <si>
    <t>mycelik@kastamonu.edu.tr</t>
  </si>
  <si>
    <t>çelik, mehmet yunus/D-1760-2017; ULUSOY, TOLGA/AAF-3841-2019</t>
  </si>
  <si>
    <t>çelik, mehmet yunus/0000-0003-4793-8306; ULUSOY, TOLGA/0000-0002-4365-0877</t>
  </si>
  <si>
    <t>KASTAMONU UNIV</t>
  </si>
  <si>
    <t>KASTAMONU</t>
  </si>
  <si>
    <t>FORESTRY FAC, KUZEYKENT CAMPUS, KASTAMONU, 37200, TURKEY</t>
  </si>
  <si>
    <t>2564-7814</t>
  </si>
  <si>
    <t>2587-2249</t>
  </si>
  <si>
    <t>ALINTERI J AGRIC SCI</t>
  </si>
  <si>
    <t>Alinteri J. Agric. Sci.</t>
  </si>
  <si>
    <t>10.28955/alinterizbd.542361</t>
  </si>
  <si>
    <t>Agriculture, Multidisciplinary</t>
  </si>
  <si>
    <t>JA1FY</t>
  </si>
  <si>
    <t>WOS:000487564100009</t>
  </si>
  <si>
    <t>de Waal, H; Nyawa, S; Wamba, SF</t>
  </si>
  <si>
    <t>de Waal, Hendrik; Nyawa, Serge; Wamba, Samuel Fosso</t>
  </si>
  <si>
    <t>Consumers' Financial Distress: Prediction and Prescription Using Interpretable Machine Learning</t>
  </si>
  <si>
    <t>INFORMATION SYSTEMS FRONTIERS</t>
  </si>
  <si>
    <t>Machine learning; Classification; Deep learning; Consumer financial distress; Explainability</t>
  </si>
  <si>
    <t>This paper shows how transactional bank account data can be used to predict and to prevent financial distress in consumers. Machine learning methods were used to identify the most significant transactional behaviours that cause financial distress. We show that Random Forest outperforms the other machine learning models when predicting the financial distress of a consumer. We obtain that Fees and Interest paid stand out as primary contributors of financial distress, emphasizing the significance of financial charges and interest payments in gauging individuals' financial vulnerability. Using Local Interpretable Model-agnostic Explanations, we study the marginal effect of transactional behaviours on the probability of being in financial distress and assess how different variables selected across all the data point selection sets influence each case. We also propose prescriptions that can be communicated to the client to help the individual improve their financial wellbeing. This research used data from a major South African bank.</t>
  </si>
  <si>
    <t>[de Waal, Hendrik] Johannesburg Business Sch, 69 Kingsway Ave,Auckland Pk, ZA-2092 Johannesburg, South Africa; [Nyawa, Serge; Wamba, Samuel Fosso] TBS Business Sch, Dept Informat Operat &amp; Management Sci, 1 Pl Alphonse Jourdain, F-31068 Toulouse, France</t>
  </si>
  <si>
    <t>Nyawa, S (corresponding author), TBS Business Sch, Dept Informat Operat &amp; Management Sci, 1 Pl Alphonse Jourdain, F-31068 Toulouse, France.</t>
  </si>
  <si>
    <t>hendrikdewaal@capitecbank.co.za; s.nyawa@tbs-education.fr; s.fosso-wamba@tbs-education.fr</t>
  </si>
  <si>
    <t>de Waal, Hendrik/MVX-0345-2025; Fosso Wamba, Samuel/AAB-4953-2019</t>
  </si>
  <si>
    <t>Nyawa, Serge/0000-0001-6745-7417; Fosso Wamba, Samuel/0000-0002-1073-058X</t>
  </si>
  <si>
    <t>1387-3326</t>
  </si>
  <si>
    <t>1572-9419</t>
  </si>
  <si>
    <t>INFORM SYST FRONT</t>
  </si>
  <si>
    <t>Inf. Syst. Front.</t>
  </si>
  <si>
    <t>2024 JUN 11</t>
  </si>
  <si>
    <t>10.1007/s10796-024-10501-1</t>
  </si>
  <si>
    <t>JUN 2024</t>
  </si>
  <si>
    <t>TU6W8</t>
  </si>
  <si>
    <t>WOS:001243823400001</t>
  </si>
  <si>
    <t>Casolare, R; Iadarola, G; Martinelli, F; Mercaldo, F; Santone, A</t>
  </si>
  <si>
    <t>DiVimercati, SDC; Samarati, P</t>
  </si>
  <si>
    <t>Casolare, Rosangela; Iadarola, Giacomo; Martinelli, Fabio; Mercaldo, Francesco; Santone, Antonella</t>
  </si>
  <si>
    <t>Mobile Family Detection through Audio Signals Classification</t>
  </si>
  <si>
    <t>SECRYPT 2021: PROCEEDINGS OF THE 18TH INTERNATIONAL CONFERENCE ON SECURITY AND CRYPTOGRAPHY</t>
  </si>
  <si>
    <t>18th International Conference on Security and Cryptography (SECRYPT)</t>
  </si>
  <si>
    <t>JUL 06-08, 2021</t>
  </si>
  <si>
    <t>Malware; Audio; Android; Machine Learning; Deep Learning; Security; Classification</t>
  </si>
  <si>
    <t>Nowadays smartphones, and generically speaking mobile devices, allow users a plethora of tasks in total mobility for instance, from checking the balance on the bank account to distance learning. In this context it is really critical the detection of malicious behaviours, considering the weaknesses of the current antimalware mechanisms. In this paper we propose a method for malicious family detection exploiting audio signal processing: in fact, an application is converted into an audio file and then is processed to generate a feature vector to input several classifiers. We perform a real-world experimental analysis by considering a set of malware targeting the Android platform i.e., 4746 malware belonging to 10 families, showing the effectiveness of the proposed approach for Android malicious family detection.</t>
  </si>
  <si>
    <t>[Casolare, Rosangela] Univ Molise, Dept Biosci &amp; Terr, Pesche, IS, Italy; [Iadarola, Giacomo; Martinelli, Fabio; Mercaldo, Francesco] Natl Res Council Italy, Inst Informat &amp; Telemat, Pisa, Italy; [Mercaldo, Francesco; Santone, Antonella] Univ Molise, Dept Med &amp; Hlth Sci Vincenzo Tiberio, Campobasso, Italy</t>
  </si>
  <si>
    <t>University of Molise; Consiglio Nazionale delle Ricerche (CNR); Istituto di Informatica e Telematica (IIT-CNR); University of Molise</t>
  </si>
  <si>
    <t>Casolare, R (corresponding author), Univ Molise, Dept Biosci &amp; Terr, Pesche, IS, Italy.</t>
  </si>
  <si>
    <t>MIUR SecureOpenNets, EU SPARTA</t>
  </si>
  <si>
    <t>This work has been partially supported by MIUR SecureOpenNets, EU SPARTA, CyberSANE and ECORRIDOR projects.</t>
  </si>
  <si>
    <t>SCITEPRESS</t>
  </si>
  <si>
    <t>SETUBAL</t>
  </si>
  <si>
    <t>AV D MANUELL, 27A 2 ESQ, SETUBAL, 2910-595, PORTUGAL</t>
  </si>
  <si>
    <t>978-989-758-524-1</t>
  </si>
  <si>
    <t>10.5220/0010543504790486</t>
  </si>
  <si>
    <t>BS4LR</t>
  </si>
  <si>
    <t>WOS:000720102500042</t>
  </si>
  <si>
    <t>Ghosh, S; Sahu, TN</t>
  </si>
  <si>
    <t>Ghosh, Shantanu; Sahu, Tarak Nath</t>
  </si>
  <si>
    <t>Targeting zero hunger to ensure sustainable development: Insights from a panel structure</t>
  </si>
  <si>
    <t>SUSTAINABLE DEVELOPMENT</t>
  </si>
  <si>
    <t>financial inclusion; food prices; income; panel data econometrics; undernourishment</t>
  </si>
  <si>
    <t>UNIT-ROOT TESTS; FOOD; COINTEGRATION; UNDERNUTRITION; CONTEXT; PRICES</t>
  </si>
  <si>
    <t>The article aims to estimate the impact of food prices, food production, per capita income and financial inclusion indicators on reducing the prevalence of undernourishment in 61 developing and least developed countries across 2004-2019. Applying panel co-integration and error correction model it concludes that an increase in food production, income and financial inclusion indicators reduces the pervasiveness of undernourishment, whereas rising food prices exacerbates undernourishment significantly in the long run. The error correction term appears to be negative and significant. Apart from other exogenous variables considered in the model governments' effectiveness and political stability with absence of violence reduces whereas, corruption increases undernourishment significantly in the short run. This study is important for the policymakers in the developing and least developed countries to formulate effective strategies addressing undernourishment, thus achieving the target of zero hunger.</t>
  </si>
  <si>
    <t>[Ghosh, Shantanu] Vidyasagar Univ, Dept Commerce, Midnapore 721102, West Bengal, India; [Sahu, Tarak Nath] Vidyasagar Univ, Dept Business Adm, Midnapore 721102, West Bengal, India; [Sahu, Tarak Nath] Vidyasagar Univ, Dept Business Adm, Midnapore 721102, West Bengal, India</t>
  </si>
  <si>
    <t>Vidyasagar University; Vidyasagar University; Vidyasagar University</t>
  </si>
  <si>
    <t>Sahu, TN (corresponding author), Vidyasagar Univ, Dept Business Adm, Midnapore 721102, West Bengal, India.</t>
  </si>
  <si>
    <t>taraknathsahu1982@gmail.com</t>
  </si>
  <si>
    <t>Sahu, Tarak Nath/AAX-1817-2021; Ghosh, Shantanu/AAZ-8336-2021</t>
  </si>
  <si>
    <t>Sahu, Tarak Nath/0000-0001-8017-0728; Ghosh, Shantanu/0000-0002-9037-4641</t>
  </si>
  <si>
    <t>0968-0802</t>
  </si>
  <si>
    <t>1099-1719</t>
  </si>
  <si>
    <t>SUSTAIN DEV</t>
  </si>
  <si>
    <t>Sustain. Dev.</t>
  </si>
  <si>
    <t>10.1002/sd.2549</t>
  </si>
  <si>
    <t>APR 2023</t>
  </si>
  <si>
    <t>Development Studies; Green &amp; Sustainable Science &amp; Technology; Regional &amp; Urban Planning</t>
  </si>
  <si>
    <t>Development Studies; Science &amp; Technology - Other Topics; Public Administration</t>
  </si>
  <si>
    <t>O0UU8</t>
  </si>
  <si>
    <t>WOS:000963291900001</t>
  </si>
  <si>
    <t>Amarsanaa, J; Nguyen, TXT; Kuramoto, Y; Khan, MSR; Kadoya, Y</t>
  </si>
  <si>
    <t>Amarsanaa, Jargalmaa; Nguyen, Trinh Xuan Thi; Kuramoto, Yu; Khan, Mostafa Saidur Rahim; Kadoya, Yoshihiko</t>
  </si>
  <si>
    <t>Digital Financial Literacy and Anxiety About Life After 65: Evidence from a Large-Scale Survey Analysis of Japanese Investors</t>
  </si>
  <si>
    <t>RISKS</t>
  </si>
  <si>
    <t>digital financial literacy; financial education; retirement planning; older adults; old age anxiety</t>
  </si>
  <si>
    <t>UNITED-STATES; AGE</t>
  </si>
  <si>
    <t>In the context of Japan's rapidly aging population, people's anxiety about life after 65, especially regarding financial sustainability, has become a growing concern. This study examines old age anxiety through the lens of digital financial literacy (DFL), which can significantly impact people's retirement well-being and long-term financial security in today's digital environment. Drawing on a large-scale dataset from the Survey on Life and Money, jointly conducted by Rakuten Securities and Hiroshima University, we analyze responses from 94,695 individuals aged 40 to 64 who are active bank account holders. Based on ordinal logistic regression, our findings reveal a negative association between DFL and old age anxiety. Further analysis of the five dimensions of DFL demonstrates that several practical components, such as digital financial know-how, decision-making abilities, and self-protection skills, are associated with alleviated old age anxiety. In contrast, a reliance on basic financial knowledge and general awareness alone may exacerbate anxiety. These findings underscore the need to move beyond basic digital awareness and focus on promoting practical skills in digital finance, ultimately supporting better financial decision-making and enhancing overall well-being in older age.</t>
  </si>
  <si>
    <t>[Amarsanaa, Jargalmaa; Nguyen, Trinh Xuan Thi; Kuramoto, Yu; Khan, Mostafa Saidur Rahim; Kadoya, Yoshihiko] Hiroshima Univ, Sch Econ, 1-2-1 Kagamiyama, Higashihiroshima 7398525, Japan</t>
  </si>
  <si>
    <t>Hiroshima University</t>
  </si>
  <si>
    <t>Amarsanaa, J (corresponding author), Hiroshima Univ, Sch Econ, 1-2-1 Kagamiyama, Higashihiroshima 7398525, Japan.</t>
  </si>
  <si>
    <t>d240285@hiroshima-u.ac.jp; nguyen93@hiroshima-u.ac.jp; d253956@hiroshima-u.ac.jp; khan@hiroshima-u.ac.jp; ykadoya@hiroshima-u.ac.jp</t>
  </si>
  <si>
    <t>Khan, Mostafa Saidur Rahim/V-1355-2018; Kadoya, Yoshihiko/W-1530-2017</t>
  </si>
  <si>
    <t>Khan, Mostafa Saidur Rahim/0000-0003-2632-3580; AMARSANAA, Jargalmaa/0009-0005-6805-0543</t>
  </si>
  <si>
    <t>Japan Society for the Promotion of Science; Rakuten Securities; JSPS KAKENHI</t>
  </si>
  <si>
    <t>Japan Society for the Promotion of Science(Ministry of Education, Culture, Sports, Science and Technology, Japan (MEXT)Japan Society for the Promotion of ScienceInstituto Politecnico Nacional - Mexico); Rakuten Securities; JSPS KAKENHI(Ministry of Education, Culture, Sports, Science and Technology, Japan (MEXT)Japan Society for the Promotion of ScienceGrants-in-Aid for Scientific Research (KAKENHI))</t>
  </si>
  <si>
    <t>This work was supported by Rakuten Securities (awarded to Yoshihiko Kadoya) and JSPS KAKENHI through grant numbers JP23K25534 and JP24K21417 (awarded to Yoshihiko Kadoya). Rakuten Securities (https://www.rakuten-sec.co.jp) (accessed on 28 May 2025) and JSPS KAKENHI (https://www.jsps.go.jp/english/e-grants/) (accessed on 28 May 2025) played no role in the study design, analysis, manuscript preparation, or publishing decision.</t>
  </si>
  <si>
    <t>2227-9091</t>
  </si>
  <si>
    <t>Risks</t>
  </si>
  <si>
    <t>SEP 8</t>
  </si>
  <si>
    <t>10.3390/risks13090170</t>
  </si>
  <si>
    <t>7WD5J</t>
  </si>
  <si>
    <t>WOS:001581079700001</t>
  </si>
  <si>
    <t>Venter, HS; Loock, M; Coetzee, M</t>
  </si>
  <si>
    <t>On Privacy Calculus and Underlying Consumer Concerns influencing Mobile Banking Subscriptions</t>
  </si>
  <si>
    <t>2012 INFORMATION SECURITY FOR SOUTH AFRICA (ISSA)</t>
  </si>
  <si>
    <t>Conference of the Information Security for South Africa (ISSA)</t>
  </si>
  <si>
    <t>AUG 15-17, 2012</t>
  </si>
  <si>
    <t>Johannesburg, SOUTH AFRICA</t>
  </si>
  <si>
    <t>IEEE,IEEE S Africa Sect, IEEE Syst, Man &amp; Cybernet Soc (SMCS),Univ Pretoria, Sch Informat Technol,Univ Johannesburg, Acad Comp Sci &amp; Software Engn,Univ S Africa (UNISA), Sch Comp</t>
  </si>
  <si>
    <t>component; Mobile banking; Security; Information Privacy; Privacy Calculus Theory</t>
  </si>
  <si>
    <t>The advancement of technology in mobile devices places South African (SA) banking institutions in unique positions to leverage these advancements into innovative value added services. Mobile banking is one such innovation that has afforded banking clients the ability to, amongst other services, view bank statements, pay bills, and transfer money. Despite a growing trend in mobile banking service offerings by SA banks, privacy and security issues are still considered a concern. The paper conceptualizes the underlying concerns by bank clients regarding the adoption of mobile banking services. Privacy Calculus Theory (PCT) has been used as a theoretical lens to explain the cognitive process involved when a potential mobile banking subscriber is presented with mobile banking technology solutions. The paper extends PCT by abstracting the risk/benefit trade-off psyche held by SA bank clients. The paper attempts to explain, using PCT, the bank clients' cognitive process and willingness to subscribe to mobile banking services. Quantitative research method has been used for this purpose. Purposeful sampling that targeted SA bank-account holders was applied. Empirical results show that the South African banked consumers' psyche is largely influenced by the utility of a technology (mobile banking service) and interestingly, privacy and security play a lesser role in this trade-off.</t>
  </si>
  <si>
    <t>knjenga@uj.ac.za; sndlovu@pragmaticworks.com</t>
  </si>
  <si>
    <t>978-1-4673-2159-4</t>
  </si>
  <si>
    <t>BCC82</t>
  </si>
  <si>
    <t>WOS:000309767300023</t>
  </si>
  <si>
    <t>Laszewski, AL</t>
  </si>
  <si>
    <t>Laszewski, Antoni Ludwik</t>
  </si>
  <si>
    <t>Impact of Institutions on Financial Inclusion in Africa</t>
  </si>
  <si>
    <t>FINANCIAL INTERNET QUARTERLY</t>
  </si>
  <si>
    <t>Financial Inclusion; Banking Sector; Mobile Money; Institutions; Sustainable Development; E02; G21; K00</t>
  </si>
  <si>
    <t>DETERMINANTS; EXCLUSION</t>
  </si>
  <si>
    <t>Financial inclusion, for which the keystone is access to a bank account, is crucial to overcome the socioeconomic backwardness of African countries and to improve the African societies' well-being. The study concentrates on this continent to better understand the nature of its development in terms of financial inclusion. The research aims to identify the institutions' impact on financial inclusion in 35 African countries in the years 2010-2019. The analysis is based on a panel model with fixed individual effects. Novelty of the study rests in incorporation of four institutional variables: constraints on the executive, resolving insolvency, property rights, and WGI. The results showed a positive and statistically significant impact of resolving insolvency on financial inclusion (a measure covering people with financial institution accounts) across the entire sample. However, this relationship is especially visible in more developed countries, while constraints on the executive turned out to be crucial for low-income countries. Another novelty of the study is creation of an index of financial inclusion covering Mobile Money which was used to verify the obtained results. In this case, no positive impact of any institutional variable was identified which may mean that a favourable institutional environment is not required for the development of Mobile Money.</t>
  </si>
  <si>
    <t>[Laszewski, Antoni Ludwik] Nicolaus Copernicus Univ, Narodowy Bank Polski, Torun, Poland; [Laszewski, Antoni Ludwik] Nicolaus Copernicus Univ Torun, Fac Econ Sci &amp; Management, Torun, Poland</t>
  </si>
  <si>
    <t>Narodowy Bank Polski; Nicolaus Copernicus University; Nicolaus Copernicus University</t>
  </si>
  <si>
    <t>Laszewski, AL (corresponding author), Nicolaus Copernicus Univ, Narodowy Bank Polski, Torun, Poland.;Laszewski, AL (corresponding author), Nicolaus Copernicus Univ Torun, Fac Econ Sci &amp; Management, Torun, Poland.</t>
  </si>
  <si>
    <t>antonilaszewski@gmail.com</t>
  </si>
  <si>
    <t>Łaszewski, Antoni Ludwik/GYD-9160-2022</t>
  </si>
  <si>
    <t>Łaszewski, Antoni Ludwik/0000-0001-9706-1413</t>
  </si>
  <si>
    <t>Nicolaus Copernicus University in Torun from Excellence Initiative -Research University programme</t>
  </si>
  <si>
    <t>The author would like to thank M. Szczepaniak for the supervision of this research, as well as all valuable comments and suggestions. All remaining mistakes or inadequacies are the sole responsibility of the author. This work was supported by the Nicolaus Copernicus University in Torun from Excellence Initiative -Research University programme.</t>
  </si>
  <si>
    <t>2719-3454</t>
  </si>
  <si>
    <t>FINANC INTERNET Q</t>
  </si>
  <si>
    <t>Financ. Internet Q.</t>
  </si>
  <si>
    <t>10.2478/fiqf-2024-0011</t>
  </si>
  <si>
    <t>UX4W9</t>
  </si>
  <si>
    <t>WOS:001251361600005</t>
  </si>
  <si>
    <t>Brown, M; Henchoz, C; Spycher, T</t>
  </si>
  <si>
    <t>Brown, Martin; Henchoz, Caroline; Spycher, Thomas</t>
  </si>
  <si>
    <t>Culture and financial literacy: Evidence from a within-country language border</t>
  </si>
  <si>
    <t>JOURNAL OF ECONOMIC BEHAVIOR &amp; ORGANIZATION</t>
  </si>
  <si>
    <t>Culture; Financial literacy; Financial socialisation</t>
  </si>
  <si>
    <t>CAUSAL MECHANISMS; BLACK-BOX; SOCIALIZATION; EDUCATION; BEHAVIOR; MONEY; TRANSMISSION; EXPERIENCES; INVESTMENT; DEBT</t>
  </si>
  <si>
    <t>We study the effect of culture on financial literacy by comparing secondary-school students along the German-French language border within Switzerland. We find that students in the French-speaking region have a lower level of financial literacy than students in the German-speaking region. The difference in financial literacy across the language groups is stronger for native students and monolingual students than for immigrant students and bilingual students. This supports the hypothesis that embedded cultural differences rather than unobserved heterogeneity in schooling are driving the effect. A mediation analysis suggests that the cultural divide in financial literacy is related to systematic differences in financial socialisation across the language groups. Students in the German speaking region are more likely to receive pocket money at an early age, and are more likely to have independent access to a bank account than students in the French speaking region. (C) 2018 The Author(s). Published by Elsevier B.V.</t>
  </si>
  <si>
    <t>[Brown, Martin; Spycher, Thomas] Univ St Gallen, St Gallen, Switzerland; [Henchoz, Caroline] Univ Fribourg, Fribourg, Switzerland</t>
  </si>
  <si>
    <t>University of St Gallen; University of Fribourg</t>
  </si>
  <si>
    <t>Brown, M (corresponding author), Univ St Gallen, St Gallen, Switzerland.</t>
  </si>
  <si>
    <t>martin.brown@unisg.ch; caroline.henchoz@unifr.ch; thomas.spycher@unisg.ch</t>
  </si>
  <si>
    <t>Brown, Martin/0000-0003-2076-9231; Henchoz, Caroline/0000-0002-8489-7622</t>
  </si>
  <si>
    <t>Department of Public Instruction, Culture and Sport of the canton of Fribourg (EKSD / DICS); Swiss National Science Foundation; European Investment Bank Institute through its EIBURS initiative</t>
  </si>
  <si>
    <t>Department of Public Instruction, Culture and Sport of the canton of Fribourg (EKSD / DICS); Swiss National Science Foundation(Swiss National Science Foundation (SNSF)); European Investment Bank Institute through its EIBURS initiative</t>
  </si>
  <si>
    <t>We thank the Department of Public Instruction, Culture and Sport of the canton of Fribourg (EKSD / DICS) for supporting this study. We thank Christian Biener, Kristian Blickle, Lionel Cottier, Geraldo Cerqueiro, Andrew Ellul, Beatrix Eugster, John Gathergood, Xavier Giroud, Antonia Grohmann, Martin Huber, Soren Leth-Petersen, Lukas Menkhoff and Stefan Trautmann, as well as seminar and conference participants at the 3rd Cherry Blossom Financial Education Institute, ETH Zurich, LMU Munich, SSES Annual Congress 2017, the Swiss National Bank, the University of Glasgow, the University of Lausanne and the University of St. Gallen for helpful comments. We are grateful to Sebastien Betrisey, Celine Buntschu, Manuela Frey, Benjamin Guin and Manuel Wald for their assistance with the development and translation of the survey. We are grateful to the Swiss National Science Foundation for financial support. Brown gratefully acknowledges financial support from the European Investment Bank Institute through its EIBURS initiative. The findings, interpretations and conclusions presented in this article are entirely those of the authors and should not be attributed in any manner to the European Investment Bank or its Institute.</t>
  </si>
  <si>
    <t>0167-2681</t>
  </si>
  <si>
    <t>1879-1751</t>
  </si>
  <si>
    <t>J ECON BEHAV ORGAN</t>
  </si>
  <si>
    <t>J. Econ. Behav. Organ.</t>
  </si>
  <si>
    <t>10.1016/j.jebo.2018.03.011</t>
  </si>
  <si>
    <t>GK5PH</t>
  </si>
  <si>
    <t>WOS:000436226500005</t>
  </si>
  <si>
    <t>Seldal, MMN; Nyhus, EK</t>
  </si>
  <si>
    <t>Seldal, M. M. Naeser; Nyhus, Ellen K.</t>
  </si>
  <si>
    <t>Financial Vulnerability, Financial Literacy, and the Use of Digital Payment Technologies</t>
  </si>
  <si>
    <t>Digital payment technologies; Mobile payment; Financial literacy; Financial vulnerability; Pain of paying</t>
  </si>
  <si>
    <t>MOBILE BANKING; CREDIT; DEBT; EDUCATION; ADOPTION; WOMEN; CARDS; PAY</t>
  </si>
  <si>
    <t>The purpose of this study is to test the notion that the use of digital payment methods, such as paying with a mobile phone, increases the risk of financial vulnerability. Research from the USA indicates such a relationship, and we study whether this finding can be generalized to other countries. Motivated by recent changes in EU legislation related to financial transactions, we also examine willingness to use social media companies for money transfers along with sharing bank account information with third-party financial services. Exploiting data collected from a representative sample of the Norwegian adult population (n = 2202), we identify differences in financial behaviour and characteristics between users and nonusers of different digital payment methods. In contrast to US studies, we find that mobile payment users were less financially vulnerable than nonusers and those women were more likely users of digital payment technologies than men. Younger generations and those with low financial literacy were more financially vulnerable than others, although we did not find this to be related to the use of mobile payment or other digital payment methods. The results show that there is a need for more research from different countries outside of the USA to obtain an understanding of the consequences of increased digitalization of financial services. In addition, as COVID-19 has shifted a vast amount of spending online and these newer payment technologies have become more available, we need to gain a better understanding of how they influence financial behaviour.</t>
  </si>
  <si>
    <t>[Seldal, M. M. Naeser; Nyhus, Ellen K.] Univ Agder, Dept Management, Postboks 422, N-4604 Kristiansand, Norway</t>
  </si>
  <si>
    <t>University of Agder</t>
  </si>
  <si>
    <t>Seldal, MMN (corresponding author), Univ Agder, Dept Management, Postboks 422, N-4604 Kristiansand, Norway.</t>
  </si>
  <si>
    <t>mette.m.seldal@uia.no; ellen.k.nyhus@uia.no</t>
  </si>
  <si>
    <t>Seldal, Mette M N/0000-0001-9249-4703; Nyhus, Ellen Katrine/0000-0002-0764-3274</t>
  </si>
  <si>
    <t>University of Agder; Finansmarkedsfondet (The Finance Market Fund); Econa</t>
  </si>
  <si>
    <t>Open access funding provided by University of Agder. Funding for the collection of data was provided by Finansmarkedsfondet (The Finance Market Fund) and Econa (an interest and employee organization for students, graduate economists and master's graduates in economics and administration).</t>
  </si>
  <si>
    <t>10.1007/s10603-022-09512-9</t>
  </si>
  <si>
    <t>1O3CQ</t>
  </si>
  <si>
    <t>WOS:000765671400001</t>
  </si>
  <si>
    <t>Adbi, A; Natarajan, S</t>
  </si>
  <si>
    <t>Adbi, Arzi; Natarajan, Siddharth</t>
  </si>
  <si>
    <t>Fintech and banks as complements in microentrepreneurship</t>
  </si>
  <si>
    <t>STRATEGIC ENTREPRENEURSHIP JOURNAL</t>
  </si>
  <si>
    <t>financial inclusion; financial technology; microenterprises; mobile money; poverty and gender</t>
  </si>
  <si>
    <t>MOBILE MONEY; POVERTY; SAVINGS; ENTREPRENEURSHIP; CONTEXT; GENDER; ALLOCATION; HOUSEHOLDS; BEHAVIOR; IMPACTS</t>
  </si>
  <si>
    <t>Research SummaryThis article studies fintech targeted to the base of the pyramid and its role in encouraging savings for microenterprises. We argue that the impact of fintech adoption on savings for microenterprises by the poor and by women is moderated by their access to banks-specifically, that fintech is more impactful with bank accounts, and this complementarity between fintech and banks is amplified for poor women. We develop hypotheses in the context of mobile money, a popular fintech across the developing world. Our arguments are supported by a sample of 81,345 individuals across 74 low- and middle-income countries. Overall, the paper suggests that, although fintech can be a promising tool for the poor, it is equally important to improve inclusivity in formal banking institutions.Managerial SummaryWe offer an alternative to the popular narrative that fintech replaces the need for formal banks. In an analysis of 74 low- and middle-income countries, we find that fintech is more useful in encouraging marginalized individuals to save for microenterprises when it is complemented by banks. Our finding of complementarity between fintech and banks, especially for poor women, suggests the need to rethink the notion that fintech is a substitute for banks. We suggest caution in drawing definitive conclusions about the unconditional positive impact of fintech. We recommend that policymakers continue driving financial inclusion with formal banking. Strategic entrepreneurs seeking to tackle grand societal challenges can utilize digital technology to capitalize on the strengths of established institutions.</t>
  </si>
  <si>
    <t>[Adbi, Arzi] Natl Univ Singapore, Dept Strategy &amp; Policy, Business Sch, Singapore, Singapore; [Natarajan, Siddharth] Nanyang Technol Univ, Int Business &amp; Entrepreneurship Nanyang Business S, Div Strategy, Singapore, Singapore; [Natarajan, Siddharth] Nanyang Technol Univ, Singapore, Singapore</t>
  </si>
  <si>
    <t>National University of Singapore; Nanyang Technological University; Nanyang Technological University</t>
  </si>
  <si>
    <t>Adbi, A (corresponding author), Natl Univ Singapore, Dept Strategy &amp; Policy, Business Sch, Singapore, Singapore.;Natarajan, S (corresponding author), Nanyang Technol Univ, Int Business &amp; Entrepreneurship Nanyang Business S, Div Strategy, Singapore, Singapore.;Natarajan, S (corresponding author), Nanyang Technol Univ, Singapore, Singapore.</t>
  </si>
  <si>
    <t>arziadbi@nus.edu.sg; siddharth.natarajan@ntu.edu.sg</t>
  </si>
  <si>
    <t>Adbi, Arzi/U-8529-2019; Natarajan, Siddharth/KEE-7221-2024</t>
  </si>
  <si>
    <t>Adbi, Arzi/0000-0003-2099-2484; Natarajan, Siddharth/0000-0002-2425-8466</t>
  </si>
  <si>
    <t>National University of Singapore [022308-00001]; Nanyang Technological University; Chinese University of Hong Kong; [A-0003843-00-00]</t>
  </si>
  <si>
    <t>National University of Singapore(National University of Singapore); Nanyang Technological University(Nanyang Technological University); Chinese University of Hong Kong(Chinese University of Hong Kong);</t>
  </si>
  <si>
    <t>ACKNOWLEDGMENTS The authors are grateful to the Associate Editor, Garry Bruton, and the anonymous reviewers for their insightful feedback and guidance. The authors also thank the seminar attendees at the annual meetings of Strategic Management Society 2020, Academy of Management 2021, and Academy of International Business 2022 for their suggestions. An earlier version of this article was awarded the Best Paper Award in Emerging Economies Research at the Academy of International Business Annual Meeting 2022. The authors acknowledge financial support from the National University of Singapore Start-up Research Grant (A-0003843-00-00), Nanyang Technological University Start-up Grant (022308-00001), and the Chinese University of Hong Kong.</t>
  </si>
  <si>
    <t>1932-4391</t>
  </si>
  <si>
    <t>1932-443X</t>
  </si>
  <si>
    <t>STRATEG ENTREP J</t>
  </si>
  <si>
    <t>Strateg. Entrep. J.</t>
  </si>
  <si>
    <t>10.1002/sej.1470</t>
  </si>
  <si>
    <t>MAY 2023</t>
  </si>
  <si>
    <t>R9IY0</t>
  </si>
  <si>
    <t>WOS:000991636400001</t>
  </si>
  <si>
    <t>Misati, RN; Kamau, A; Nassir, H</t>
  </si>
  <si>
    <t>Misati, Roseline Nyakerario; Kamau, Anne; Nassir, Hared</t>
  </si>
  <si>
    <t>Do migrant remittances matter for financial development in Kenya?</t>
  </si>
  <si>
    <t>Remittances; Financial inclusion; Technology</t>
  </si>
  <si>
    <t>ECONOMIC-GROWTH; COUNTRIES; INCLUSION</t>
  </si>
  <si>
    <t>The paper analyzes the relationship between remittances and financial development using Kenyan quarterly data from 2006 to 2016. Five different indicators of financial development are used: credit to the private sector as a share of GDP, the number of mobile transactions, the value of these mobile transactions, the number of mobile agents, and the number of bank accounts. The results from using an autoregressive distributed lag demonstrate a strong, positive relationship between remittances and financial development in long-run equations. This suggests that higher levels of remittances provide opportunities for recipients to open bank accounts, enhance their savings, and access financial systems, in addition to exposing the previously unbanked to both new and existing financial products. The results also confirm the potential advantage of embracing modern and advanced technology to facilitate international mobile transfers. Using international remittance transfers through mobile technology reduces costs by eliminating the need for physical branches and personnel to attend to walk-in customers. Aside from offering convenience and safety for remittance actors, this method also dominates traditional remittance business models. Therefore, a policy window exists for the government to leverage on remittances as a tool of financial inclusion and depth, and particularly through the continued expansion of regulatory space to accommodate the wider use of international mobile remittance transfer channels. Moreover, given the strong, positive relationship between remittances and credit to the private sector as indicated by its share of GDP and number of bank accounts, commercial banks and other players in the remittance market may also find it useful to develop customized products for migrants to access their remittances. For example, financial intermediaries can consider providing better deposit interest rates for diaspora deposits compared to deposits made in the local currency. Further, these institutions can allow regular remittance flows to act as collateral for the allocation of credit, among other incentives to tap into the significant potential of money remitted by migrants to Kenya. The study also recommends that the government consider expanding exploitation of diaspora bonds and diaspora savings and credit cooperative societies while drawing lessons from other countries' previous attempts.</t>
  </si>
  <si>
    <t>[Misati, Roseline Nyakerario; Kamau, Anne] Cent Bank Kenya, Res Dept, Nairobi 6000000200, Kenya; [Nassir, Hared] African Inst Remittances, Nairobi 5244800200, Kenya</t>
  </si>
  <si>
    <t>Misati, RN (corresponding author), Cent Bank Kenya, Res Dept, Nairobi 6000000200, Kenya.</t>
  </si>
  <si>
    <t>rosenyamisa@hotmail.com</t>
  </si>
  <si>
    <t>JUL 11</t>
  </si>
  <si>
    <t>10.1186/s40854-019-0142-4</t>
  </si>
  <si>
    <t>IJ5XT</t>
  </si>
  <si>
    <t>WOS:000475977400003</t>
  </si>
  <si>
    <t>Yadav, RS; Kalluru, SR</t>
  </si>
  <si>
    <t>Yadav, Rajat S.; Kalluru, Siva R.</t>
  </si>
  <si>
    <t>Principal-agent trust and adoption of digital financial services: Evidence from India</t>
  </si>
  <si>
    <t>ECONOMIC NOTES</t>
  </si>
  <si>
    <t>agent banking; digital financial services; direct benefit transfers (DBT); financial inclusion; smart mobile phones</t>
  </si>
  <si>
    <t>USER ACCEPTANCE; BANKING ADOPTION; TECHNOLOGY; RISK</t>
  </si>
  <si>
    <t>The high reliance on cash is a lifestyle for many people, and their low proficiency with smartphone usage acts as an inertial barrier to using digital financial services (DFS). Given low financial or digital literacy, online banking transactions have to be promoted and mediated by DFS agents. This study examines the role of digital platforms, intermediaries such as banks, mobile money agents, payment banks, post offices, and the government's increasing use of digital technologies. This usage of digital platforms is based on the trust relationship between the principals, who are owners of their bank accounts, and agents of DFS, who are intermediaries. A linear probabilistic model is employed to determine the determinants behind the low adoption of DFS between the necessity and nonnecessity groups. We observe that demand-side factors like education level, identity proof (documentation), and level of smartphone use proficiency increase the probability of a principal's involvement in a digital mode of payment. At the same time, supply-side factors like digital infrastructure and trust deficit due to unviable commission incentives to DFS agents decrease the principal's likelihood of using digital platforms.</t>
  </si>
  <si>
    <t>[Yadav, Rajat S.; Kalluru, Siva R.] Gokhale Inst Polit &amp; Econ, Pune, India</t>
  </si>
  <si>
    <t>Gokhale Institute of Politics &amp; Economics</t>
  </si>
  <si>
    <t>Yadav, RS (corresponding author), Gokhale Inst Polit &amp; Econ, Pune, India.</t>
  </si>
  <si>
    <t>Rajatsingh.yadav@gipe.ac.in</t>
  </si>
  <si>
    <t>Yadav, Rajat Singh/0000-0002-4993-3181</t>
  </si>
  <si>
    <t>0391-5026</t>
  </si>
  <si>
    <t>1468-0300</t>
  </si>
  <si>
    <t>ECON NOTES</t>
  </si>
  <si>
    <t>Econ. Notes</t>
  </si>
  <si>
    <t>SEP 3</t>
  </si>
  <si>
    <t>e12247</t>
  </si>
  <si>
    <t>10.1111/ecno.12247</t>
  </si>
  <si>
    <t>E5N7F</t>
  </si>
  <si>
    <t>WOS:001303473300001</t>
  </si>
  <si>
    <t>Malamsha, KC</t>
  </si>
  <si>
    <t>Cermakova, K; Mozayeni, S; Hromada, E</t>
  </si>
  <si>
    <t>Malamsha, Kitala Christian</t>
  </si>
  <si>
    <t>ADOPTION OF MOBILE BANKING SERVICES BY MOBILE PHONE OWNERS IN MOSHI MUNICIPALITY, TANZANIA</t>
  </si>
  <si>
    <t>PROCEEDINGS OF THE 11TH ECONOMICS &amp; FINANCE CONFERENCE</t>
  </si>
  <si>
    <t>Proceedings of the Economics &amp; Finance Conferences</t>
  </si>
  <si>
    <t>11th Economics and Finance Conference</t>
  </si>
  <si>
    <t>MAY 27-30, 2019</t>
  </si>
  <si>
    <t>Rome, ITALY</t>
  </si>
  <si>
    <t>Adoption; Mobile phone owners; Mobile banking services; Factors; Usefulness; Moshi Tanzania</t>
  </si>
  <si>
    <t>CONSUMER ACCEPTANCE; COMMERCE; MARKETS</t>
  </si>
  <si>
    <t>Adoption of mobile banking services by mobile phone owners in terms of level of adoption and usefulness of adoption remained inadequate in Tanzania. Such inadequacy of adoption is a result of utilizing traditional banking services by mobile phone owners which decreases advantage of using mobile banking technology. Mobile banking is a situation whereby the customer interacts with a bank via mobile device, an electronic banking system which allows bank customers to get access to their bank accounts via mobile phone. The establishment of adoption level, the factors influencing adoption and usefulness of mobile banking technology among mobile phone owners remains silent. That was a knowledge gap on which the research for this paper focused. The article is intended to assess adoption of mobile banking services by mobile phone owners in Moshi municipality, Tanzania. The specific objectives were to evaluate the level of adoption of mobile banking, analyse factors influencing adoption of mobile banking and evaluate usefulness of mobile banking services. Primary data were collected using questionnaires. They were administered to 182 mobile phone owners who are bank customers. Descriptive and inferential statistics were used. The adoption level of mobile baking was revealed to be inadequate. The main factors found to be behind non-adoption of mobile banking service was risk of loss and fear of system failure which was found to negatively affect adoption of mobile banking service. The risks found to have the greatest influence were fear of sending money to wrong account or phone number and loss of personal or account information. Perceived convenience was found to positively affect adoption of mobile banking. The usefulness established included; accessibility, saving of time and comfort mostly used to pay bills and funds transfer. It therefore concluded that adoption of mobile banking is inadequate and is affected negatively by risk of loss and fear while affected positively by perceived convenience and mobile banking is useful in various ways. It is argued that mobile banking should be adopted by banks and mobile phone owners in Tanzania.</t>
  </si>
  <si>
    <t>[Malamsha, Kitala Christian] Moshi Cooperat Univ, Moshi, Tanzania</t>
  </si>
  <si>
    <t>Malamsha, KC (corresponding author), Moshi Cooperat Univ, Moshi, Tanzania.</t>
  </si>
  <si>
    <t>INTL INST SOCIAL &amp; ECONOMIC SCI</t>
  </si>
  <si>
    <t>PRAGUE</t>
  </si>
  <si>
    <t>TREBESOVSKA 2038/14, PRAGUE, 193 00, CZECH REPUBLIC</t>
  </si>
  <si>
    <t>2336-6044</t>
  </si>
  <si>
    <t>978-80-87927-56-4</t>
  </si>
  <si>
    <t>PROC ECON FINAN CONF</t>
  </si>
  <si>
    <t>10.20472/EFC.2019.011.010</t>
  </si>
  <si>
    <t>BO2CI</t>
  </si>
  <si>
    <t>WOS:000505156800010</t>
  </si>
  <si>
    <t>Hassan, A; El-Aziz, RA</t>
  </si>
  <si>
    <t>Hassan, Ahmed; El-Aziz, Rasha Abd</t>
  </si>
  <si>
    <t>E-Banking Accessibility: The Social and Financial Exclusion of People with Visual Disability</t>
  </si>
  <si>
    <t>E-banking; accessibility; visual disability; financial inclusion; digital divide; assistive technologies</t>
  </si>
  <si>
    <t>MOBILE BANKING; INTERNET BANKING; INFORMATION-TECHNOLOGY; ADOPTION; ACCEPTANCE; INTENTION; SYSTEM; UTAUT; MODEL; TRUST</t>
  </si>
  <si>
    <t>1.3 billion people have vision impairment, 70 per cent of which, live in developing countries, such as Egypt, which has a population of over 98 million. Banks' websites and ATMs are not accessible, and staff has negligible expertise to deal with visually impaired customers. Accordingly, this research investigates the challenges that face people with visual disability, and the reasons behind preventing them from opening bank accounts independently, and thus jeopardizing their privacy. The study also identifies the main variables that affect e-banking accessibility together with the mediating and moderating factors. Then, the research develops an accessible prototype e-banking system. A survey strategy is used, where questionnaires are used for surveying people with visual disability. Data collected is statistically analysed using structured equation modelling. Focus groups are also used to obtain group feelings and perceptions. Semi-structured interviews are conducted to get a deeper understanding pf the perspective of decision makers in banks and governmental representatives. Data collected is interpretively analysed in order to know more about the governmental rules, laws and projects that are established for people with visual disability. It also utilises the experiment method on evaluating the developed and proposed e-banking system in order to gain reliable results. Based on the statistical and interpretive analysis together with the reviewed literature, derived conclusion and recommendations are made to decision makers at banks and governmental representatives.</t>
  </si>
  <si>
    <t>[Hassan, Ahmed; El-Aziz, Rasha Abd] Arab Acad Sci Technol &amp; Maritime Transport, Business Informat Syst Dept, Coll Management &amp; Technol, Alexandria, Egypt</t>
  </si>
  <si>
    <t>Egyptian Knowledge Bank (EKB); Arab Academy for Science, Technology &amp; Maritime Transport</t>
  </si>
  <si>
    <t>Hassan, A (corresponding author), Arab Acad Sci Technol &amp; Maritime Transport, Business Informat Syst Dept, Coll Management &amp; Technol, Alexandria, Egypt.</t>
  </si>
  <si>
    <t>ahmed.abdelsamie@aast.edu; rasha_a@aast.edu</t>
  </si>
  <si>
    <t>El-Aziz, Rasha/AAA-5209-2020; KHALIFA, AHMED/HKF-2246-2023</t>
  </si>
  <si>
    <t>BR6GF</t>
  </si>
  <si>
    <t>WOS:000661127408045</t>
  </si>
  <si>
    <t>Sonntag, M</t>
  </si>
  <si>
    <t>Doucek, P; Chroust, G; Oskrdal, V</t>
  </si>
  <si>
    <t>Sonntag, Michael</t>
  </si>
  <si>
    <t>THE END OF THE BLOCKCHAIN</t>
  </si>
  <si>
    <t>INNOVATION AND TRANSFORMATION IN A DIGITAL WORLD (IDIMT-2019)</t>
  </si>
  <si>
    <t>Schriftenreihe Informatik</t>
  </si>
  <si>
    <t>27th Interdisciplinary Information Management Talks Conference (IDIMT)</t>
  </si>
  <si>
    <t>SEP 04-06, 2019</t>
  </si>
  <si>
    <t>Kutna Hora, CZECH REPUBLIC</t>
  </si>
  <si>
    <t>Vysoka Skola Ekonomicka,Johannes Kepler Univ Linz</t>
  </si>
  <si>
    <t>Blockchain; security; evidence</t>
  </si>
  <si>
    <t>Blockchains are propagated as secure evidence and to record data unchangeably for a later point in time. And while these promises might be true for a living blockchain, where many parties contribute to its further existence e.g. through mining or performing some other (mathematical) work, at some point in time a blockchain might die off. I.e., there are no further contributors, but the chain itself as data continues to exit on some (or many) storage mediums. What the scenarios for a blockchain to end and the consequences of this are, is discussed in this paper. It also provides ideas how a blockchain could prepare for its end or be transferred to another blockchain. In essence, how can the content of a blockchain remain secure, even if it has stopped growing, or under what circumstances can which attacks be avoided? While blockchains already did die in the past, this was typically of no consequence, as they were of little importance and all interest in them was lost since then. But if it would be used for instance to document land ownership or the financial history of persons/companies like a bank account, the content will be of interest much later and must exist and remain unchanged. Should e.g. bitcoin cease growing at some point, tax authorities might be interested in it for many years; and courts might investigate the content for decades, e.g. as evidence for money laundering or spending illegally obtained money.</t>
  </si>
  <si>
    <t>[Sonntag, Michael] Johannes Kepler Univ Linz, Inst Networks &amp; Secur, Linz, Austria</t>
  </si>
  <si>
    <t>Johannes Kepler University Linz</t>
  </si>
  <si>
    <t>Sonntag, M (corresponding author), Johannes Kepler Univ Linz, Inst Networks &amp; Secur, Linz, Austria.</t>
  </si>
  <si>
    <t>michael.sonntag@ins.jku.at</t>
  </si>
  <si>
    <t>TRAUNER VERLAG</t>
  </si>
  <si>
    <t>LINZ</t>
  </si>
  <si>
    <t>KOGLSTR 14, 4020 LINZ, AUSTRIA</t>
  </si>
  <si>
    <t>978-3-99062-590-3</t>
  </si>
  <si>
    <t>SCHRIFTEN INFORMATIK</t>
  </si>
  <si>
    <t>Business; Economics; Management</t>
  </si>
  <si>
    <t>BQ8HP</t>
  </si>
  <si>
    <t>WOS:000620326700034</t>
  </si>
  <si>
    <t>Wang, FZ</t>
  </si>
  <si>
    <t>Wang, Fangzhou</t>
  </si>
  <si>
    <t>A Crime Script Analysis of Pao Fen Operations and the Construction of Prevention Strategies</t>
  </si>
  <si>
    <t>CRIME &amp; DELINQUENCY</t>
  </si>
  <si>
    <t>Pao Fen; money laundering; financial crime script analysis; situational crime prevention; laundering networks; organized crime</t>
  </si>
  <si>
    <t>CYBERCRIME</t>
  </si>
  <si>
    <t>Pao Fen has emerged as a prominent cyber-enabled money laundering mechanism across East and Southeast Asia, especially within China's digital financial system. Characterized by rapid, decentralized fund transfers and heavy reliance on personal bank accounts and mobile payment platforms, Pao Fen operations are deeply embedded in digital infrastructures and criminal subcultures. This study presents the first empirically grounded crime script analysis of Pao Fen, drawing on 235 Chinese criminal court cases to deconstruct the laundering process into six procedural stages: Infrastructure Preparation, Activation and Access Setup, Core Laundering Execution, Conversion and Integration, Network Consolidation and Expansion, and Detection and Termination. The analysis identifies core actions, their components, key actors involved, financial crime elements, tools and props used, as well as potential prevention strategies, all of which illustrate the scalable and persistent nature of these laundering networks. Building on these insights, this study introduces the situational interventions for Pao Fen, which applies traditional situational crime prevention approach to the distinct stages of Pao Fen operations to identify targeted disruption points throughout the laundering process. The findings underlie the need for cross-border policy coordination, real-time detection systems, and targeted intervention strategies that reflect the dynamic behaviors and organizational logics of modern laundering operations.</t>
  </si>
  <si>
    <t>[Wang, Fangzhou] Univ Texas Arlington, Dept Criminol &amp; Criminal Justice, 701 South Nedderman Dr, Arlington, TX 76019 USA</t>
  </si>
  <si>
    <t>University of Texas System; University of Texas Arlington</t>
  </si>
  <si>
    <t>Wang, FZ (corresponding author), Univ Texas Arlington, Dept Criminol &amp; Criminal Justice, 701 South Nedderman Dr, Arlington, TX 76019 USA.</t>
  </si>
  <si>
    <t>fangzhou.wang@uta.edu</t>
  </si>
  <si>
    <t>Wang, Fangzhou/0000-0001-6212-3047</t>
  </si>
  <si>
    <t>0011-1287</t>
  </si>
  <si>
    <t>1552-387X</t>
  </si>
  <si>
    <t>CRIME DELINQUENCY</t>
  </si>
  <si>
    <t>Crime Delinq.</t>
  </si>
  <si>
    <t>2025 AUG 14</t>
  </si>
  <si>
    <t>10.1177/00111287251363973</t>
  </si>
  <si>
    <t>6CG6I</t>
  </si>
  <si>
    <t>WOS:001549925700001</t>
  </si>
  <si>
    <t>Mooij, AM</t>
  </si>
  <si>
    <t>Mooij, A. M.</t>
  </si>
  <si>
    <t>A digital euro for everyone: Can the European System of Central Banks introduce general purpose CBDC as part of its economic mandate?</t>
  </si>
  <si>
    <t>JOURNAL OF BANKING REGULATION</t>
  </si>
  <si>
    <t>Economic policy; Secondary objectives; European Central Bank; Digital euro; Central Bank Digital Currency</t>
  </si>
  <si>
    <t>This paper discusses the introduction of a general-purpose Central Bank Digital Currency (CBDC) by the European Central Bank (ECB) that is directly accessible to consumers through national central banks (NCB). This paper finds that it is not possible to introduce such a system under the ECB's monetary mandate. The aim of direct access is to promote the socio-economic inclusion of the unbanked. This aim is not monetary but economic. Therefore such an introduction should be in accordance with the economic mandate of the ECB. This paper first analyses the legal foundation in Legal foundation section upon which CBDC can be introduced. It finds that it is possible to introduce CBDC based upon the ECB's authority to issue legal tender. However, this would not provide a sufficient foundation to provide for direct access. Nor does article 17 of the ESCB Statutes provide the legal foundation for direct access. New legislation would have to be drafted for the ECB to introduce a CBDC system with direct consumer access. Even with this new legal foundation, the ECB would have to comply with its economic mandate. This article first analyses the extent of the economic mandate in Framework section. It then continues by discussing the aim of the economic mandate in Aim section. It finds that the socio-economic inclusion of unbanked is an aim consistent with the Treaties. The aim of general purpose CBDC, therefore, complies with the ECB's economic mandate. The paper in Efficient allocation of resources section then discusses the criterion of efficient allocation of resources. It finds that the introduction of general purpose CBDC does not comply with this criterion. When introducing CBDC with direct access through NCBs the ECB is competing with commercial banks. This competition should be considered unfair based upon the ECB's exclusive power to issue legal tender and the public status of NCBs. Since the issue of unbanked in the EU is limited and decreasing, there is not enough reason to consider offering a bank account as a Service of General Economic Interest. The introduction of directly accessible general purpose CBDC would therefore be unlawful.</t>
  </si>
  <si>
    <t>a.m.mooij@tilburguniversity.edu</t>
  </si>
  <si>
    <t>Mooij, Anne Marieke/0000-0001-6011-7890</t>
  </si>
  <si>
    <t>1745-6452</t>
  </si>
  <si>
    <t>1750-2071</t>
  </si>
  <si>
    <t>J BANK REGUL</t>
  </si>
  <si>
    <t>J. Bank Regul.</t>
  </si>
  <si>
    <t>10.1057/s41261-021-00186-w</t>
  </si>
  <si>
    <t>JAN 2022</t>
  </si>
  <si>
    <t>A1TG9</t>
  </si>
  <si>
    <t>WOS:000744777600001</t>
  </si>
  <si>
    <t>Thang, KF; Selvarajah, V; Ahmad, Z; Al-Othmani, AZ</t>
  </si>
  <si>
    <t>Thang, Ka Fei; Selvarajah, Vinesha; Ahmad, Zaid; Al-Othmani, Abdulaleem Z.</t>
  </si>
  <si>
    <t>Mitigating Social Engineering Attacks: Psychological, Financial Impact, and a Conceptual Framework for Cybersecurity Awareness</t>
  </si>
  <si>
    <t>ANNUAL REVIEW OF CYBERTHERAPY AND TELEMEDICINE</t>
  </si>
  <si>
    <t>Social Engineering Attack; Psychological Impact; Financial Losses; Cybersecurity Awareness; Conceptual Framework</t>
  </si>
  <si>
    <t>This research explores the impact of social engineering attacks, focusing on significant financial losses and psychological consequences faced by the victims. This study aims to provide an analysis of how social engineering attacks affect individuals psychologically and financially. The study aims to develop a conceptual framework for mitigating the impact of social engineering attacks. The research employs a mixed-methods approach, combining qualitative and quantitative analysis. Statistical analyses such as one-way ANOVA, Independent T-test, and Mann-Whitney U test are used to explore the correlation between demographics (age, education, and work position), cybersecurity awareness, and security behaviours associated with password management, privacy concerns, and security consciousness. The findings reveal that social engineering attacks can have a notable psychological impact on the victims, which manifests as trust issues, anxiety, and fear, and results in financial losses due to fake investment schemes, financial fraud, and identity theft, which mainly affect bank accounts and credit cards. Statistical analyses reveal that individuals with low cybersecurity awareness, particularly younger and elderly populations, are more susceptible to these attacks. In response, this study proposes a conceptual mitigation framework. The framework aims to enhance cybersecurity awareness, thereby reducing the risks associated with social engineering. This research highlights the need for targeted educational programs to promote adaptable security practices and safeguard vulnerable individuals.</t>
  </si>
  <si>
    <t>[Thang, Ka Fei; Selvarajah, Vinesha; Ahmad, Zaid] Asia Pacific Univ Technol &amp; Innovat APU, Kuala Lumpur, Malaysia; [Al-Othmani, Abdulaleem Z.] De Montfort Univ DMU, Leicester, Leics, England</t>
  </si>
  <si>
    <t>Asia Pacific University of Technology &amp; Innovation</t>
  </si>
  <si>
    <t>Thang, KF (corresponding author), Asia Pacific Univ Technol &amp; Innovat APU, Kuala Lumpur, Malaysia.</t>
  </si>
  <si>
    <t>ka.fei@apu.edu.my</t>
  </si>
  <si>
    <t>Al-Othmani, Abdulaleem/AAV-4307-2021</t>
  </si>
  <si>
    <t>INTERACTIVE MEDIA INST</t>
  </si>
  <si>
    <t>9565 WAPLES ST, STE 200, SAN DIEGO, CA 92121 USA</t>
  </si>
  <si>
    <t>1554-8716</t>
  </si>
  <si>
    <t>2352-927X</t>
  </si>
  <si>
    <t>ANN REV CYBERTHERAPY</t>
  </si>
  <si>
    <t>Ann. Rev. CyberTherapy Telemed.</t>
  </si>
  <si>
    <t>Computer Science, Cybernetics</t>
  </si>
  <si>
    <t>9GW9B</t>
  </si>
  <si>
    <t>WOS:001606064800013</t>
  </si>
  <si>
    <t>Farion, A; Dluhopolskyi, O; Banakh, S; Moskaliuk, N; Farion, M; Ivashuk, Y</t>
  </si>
  <si>
    <t>Farion, Antonina; Dluhopolskyi, Oleksandr; Banakh, Serhiy; Moskaliuk, Nadiia; Farion, Mykhailyna; Ivashuk, Yuryi</t>
  </si>
  <si>
    <t>Using blockchain Technology for Boost Cyber Security</t>
  </si>
  <si>
    <t>2019 9TH INTERNATIONAL CONFERENCE ON ADVANCED COMPUTER INFORMATION TECHNOLOGIES (ACIT'2019)</t>
  </si>
  <si>
    <t>9th International Conference on Advanced Computer Information Technologies (ACIT)</t>
  </si>
  <si>
    <t>JUN 05-07, 2019</t>
  </si>
  <si>
    <t>Ceske Budejovice, CZECH REPUBLIC</t>
  </si>
  <si>
    <t>Ternopil Natl Econ Univ,Univ S Bohemia,Deggendorf Inst Technol,IEEE Czechoslovakia Sect</t>
  </si>
  <si>
    <t>infirmation technology; blockchain; cyberspace; cyber criminals; cyber security, and protection</t>
  </si>
  <si>
    <t>The article discusses the main possibilities of the blockchain technology for boosting cyber security. It is wide known that cyber criminals are able to break any computer system and accounts; simultaneously available for nowadays protecting technologies could nut protect high secret informational dates and bank accounts reliably with guarantee. So, technologies based on cryptography are becoming more demanding by companies and organizations as well as scientists and researchers.</t>
  </si>
  <si>
    <t>[Farion, Antonina; Moskaliuk, Nadiia] Ternopil Natl Econ Univ, Econ Secur &amp; Financial Invest Dept, Ternopol, Ukraine; [Dluhopolskyi, Oleksandr; Farion, Mykhailyna; Ivashuk, Yuryi] Ternopil Natl Econ Univ, Econ Theory Dept, Ternopol, Ukraine; [Banakh, Serhiy] Ternopil Natl Econ Univ, Criminal Law &amp; Proc Dept, Ternopol, Ukraine</t>
  </si>
  <si>
    <t>Ministry of Education &amp; Science of Ukraine; West Ukrainian National University; Ministry of Education &amp; Science of Ukraine; West Ukrainian National University; Ministry of Education &amp; Science of Ukraine; West Ukrainian National University</t>
  </si>
  <si>
    <t>Farion, A (corresponding author), Ternopil Natl Econ Univ, Econ Secur &amp; Financial Invest Dept, Ternopol, Ukraine.</t>
  </si>
  <si>
    <t>Secretmail_antonina@ukr.net; dlugopolsky77@gmail.com; s.v.banakh@tneu.edu.ua; moscaluc_nadiya@ukr.net</t>
  </si>
  <si>
    <t>Dluhopolskyi, Oleksan/H-2339-2017; Ivashuk, Yurii/H-6639-2017; Banakh, Serhiy/H-7759-2017; Fahrion, Mykhailyna/H-4872-2017; Farion-Melnyk, Antonina/H-1631-2017</t>
  </si>
  <si>
    <t>Dluhopolskyi, Oleksan/0000-0002-2040-8762; Ivashuk, Yurii/0000-0002-8459-4744; Banakh, Serhiy/0000-0002-2300-1220; Fahrion, Mykhailyna/0000-0001-7456-2864; Farion-Melnyk, Antonina/0000-0002-0485-9563</t>
  </si>
  <si>
    <t>978-1-7281-0449-2</t>
  </si>
  <si>
    <t>10.1109/acitt.2019.8780019</t>
  </si>
  <si>
    <t>BO1XP</t>
  </si>
  <si>
    <t>WOS:000502830500108</t>
  </si>
  <si>
    <t>Barreto, IB; Maggia, JAU; Acevedo, SI</t>
  </si>
  <si>
    <t>Barrutia Barreto, Israel; Urquizo Maggia, Jose Antonio; Isaias Acevedo, Samuel</t>
  </si>
  <si>
    <t>Cryptocurrencies and blockchain in tourism as a strategy to reduce poverty</t>
  </si>
  <si>
    <t>RETOS-REVISTA DE CIENCIAS DE LA ADMINISTRACION Y ECONOMIA</t>
  </si>
  <si>
    <t>Tourism economics; tourism and development; economic growth of open economics; measurement and analysis of poverty; welfare and poverty</t>
  </si>
  <si>
    <t>INCOME-DISTRIBUTION; ALLEVIATION; ENTERPRISES; COMMUNITY; CONSERVATION; INCLUSION; IMPACTS; SECTOR; GROWTH; PHONES</t>
  </si>
  <si>
    <t>Poverty in Latin America and the Caribbean continues to be a problem with no apparent solution. In this article is proposed the use of cryptocurrencies and blockchain technology as a tool to reduce poverty in the region through economic activities from tourism. A detailed analysis of the potentialities collected by tourism, cryptocurrencies and blockchain technology was carried out. Due to the tourism capabilities of the Latin American and Caribbean regions, a set of efforts must be made by governments and private companies to implement tourism development in regions and locations with great biodiversity and cultural resources not yet explored. The relative access to bitcoin accounts through smartphones means that financial transactions through cryptocurrencies are available to small merchants who normally do not have access to traditional bank accounts. On the other hand, access to the internet via mobile telephony must be further strengthened to facilitate payment systems and so that blockchain-based technologies can be developed at maximum capacity. It is concluded that in order to achieve a significant reduction of poverty. it is necessary an adequate regulation of the cryptocurrencies by the governments as well as the development of an adequate infrastructure that allows the creation and / or recovery of microenterprises boosted by the Initial Coin Offering (ICO).</t>
  </si>
  <si>
    <t>[Barrutia Barreto, Israel] Univ Cient Sur, Lima, Peru; [Urquizo Maggia, Jose Antonio] Univ Nacl Federico Villarreal, Lima, Peru; [Isaias Acevedo, Samuel] Innova Sci SAC, Res, Lima, Peru</t>
  </si>
  <si>
    <t>Universidad Cientifica del Sur (CIENTIFICA); Universidad Nacional Federico Villarreal</t>
  </si>
  <si>
    <t>Barreto, IB (corresponding author), Univ Cient Sur, Lima, Peru.</t>
  </si>
  <si>
    <t>ibarrutia@ucientffica.edu.pe; josurisc@gmail.com; sacevedo@innovascientific.edu.pe</t>
  </si>
  <si>
    <t>Barrutia, Israel/ABA-2669-2020</t>
  </si>
  <si>
    <t>Acevedo Torres, Samuel Isaias/0000-0002-1505-6117</t>
  </si>
  <si>
    <t>UNIV POLITECNICA SALESIANA ECUADOR-SALESIAN POLYTECNIC UNIV</t>
  </si>
  <si>
    <t>CUENCA</t>
  </si>
  <si>
    <t>CALLE TURUHUAYO 3-69 &amp; CALLE VIEJA, CUENCA, 00000, ECUADOR</t>
  </si>
  <si>
    <t>1390-6291</t>
  </si>
  <si>
    <t>1390-8618</t>
  </si>
  <si>
    <t>RETOS-REV CIENC ADM</t>
  </si>
  <si>
    <t>Retos</t>
  </si>
  <si>
    <t>OCT-MAR</t>
  </si>
  <si>
    <t>10.17163/ret.n18.2019.07</t>
  </si>
  <si>
    <t>JB3UZ</t>
  </si>
  <si>
    <t>WOS:000488483500007</t>
  </si>
  <si>
    <t>Hassan, A; Abd El Aziz, R; Hamza, M</t>
  </si>
  <si>
    <t>Hassan, Ahmed; Abd El Aziz, Rasha; Hamza, Meer</t>
  </si>
  <si>
    <t>Internet Banking Accessibility: The Social and Financial Exclusion of People with Visual Disability</t>
  </si>
  <si>
    <t>2021 31ST INTERNATIONAL CONFERENCE ON COMPUTER THEORY AND APPLICATIONS, ICCTA</t>
  </si>
  <si>
    <t>International Conference on Computer Theory and Applications</t>
  </si>
  <si>
    <t>31st International Conference on Computer Theory and Applications-ICCTA-Annual</t>
  </si>
  <si>
    <t>DEC 11-13, 2021</t>
  </si>
  <si>
    <t>Alexandria, EGYPT</t>
  </si>
  <si>
    <t>e-banking; financial exclusion; digital divide; visual disability; assistive technologies</t>
  </si>
  <si>
    <t>MOBILE BANKING; INFORMATION-TECHNOLOGY; CONSUMER ACCEPTANCE; WEBSITE USABILITY; ADOPTION; SYSTEM; ONLINE; UTAUT; MODEL; PERCEPTIONS</t>
  </si>
  <si>
    <t>Over 2.2 billion people worldwide suffer from near or distance vision impairment, with 90% living in underdeveloped nations especially Egypt with its high population. Internet banking websites are inaccessible, and staff members lack the necessary knowledge to assist visually impaired consumers. As such, this research examines the difficulties faced by people with visual disabilities, as well as the factors that hinder them from opening bank accounts autonomously, risking their privacy. Additionally, the study analyses the primary variables affecting internet banking accessibility. A survey strategy is employed, in which questionnaires are distributed to individuals with visual disabilities. The data is analyzed statistically using structured equation modelling. Statistical analysis, as well as the reviewed literature, are used to derive conclusions and recommendations for bank executives and government representatives.</t>
  </si>
  <si>
    <t>[Hassan, Ahmed; Abd El Aziz, Rasha] Arab Acad Sci Technol &amp; Maritime Transport, CMT, BIS, Alexandria, Egypt; [Hamza, Meer] Arab Acad Sci Technol &amp; Maritime Transport, CCIT, Alexandria, Egypt</t>
  </si>
  <si>
    <t>Egyptian Knowledge Bank (EKB); Arab Academy for Science, Technology &amp; Maritime Transport; Egyptian Knowledge Bank (EKB); Arab Academy for Science, Technology &amp; Maritime Transport</t>
  </si>
  <si>
    <t>Hassan, A (corresponding author), Arab Acad Sci Technol &amp; Maritime Transport, CMT, BIS, Alexandria, Egypt.</t>
  </si>
  <si>
    <t>ahmed.abdelsamie@aast.edu; rasha_a@aast.edu; meerh@aast.edu</t>
  </si>
  <si>
    <t>2770-6567</t>
  </si>
  <si>
    <t>978-1-6654-7855-7; 978-1-6654-7854-0</t>
  </si>
  <si>
    <t>Computer Theory Appl</t>
  </si>
  <si>
    <t>10.1109/ICCTA54562.2021.9916623</t>
  </si>
  <si>
    <t>Computer Science, Interdisciplinary Applications; Computer Science, Theory &amp; Methods; Engineering, Multidisciplinary; Engineering, Electrical &amp; Electronic</t>
  </si>
  <si>
    <t>BY6SC</t>
  </si>
  <si>
    <t>WOS:001484330900015</t>
  </si>
  <si>
    <t>Chernoff, EJ</t>
  </si>
  <si>
    <t>Chernoff, Egan J.</t>
  </si>
  <si>
    <t>Do You Need the Machine? Tipping in Canada Is Unconscious (Part II)</t>
  </si>
  <si>
    <t>CANADIAN JOURNAL OF SCIENCE MATHEMATICS AND TECHNOLOGY EDUCATION</t>
  </si>
  <si>
    <t>Canadian mathematics education matters; Egan's Financial Problems; Mathematics education; Tipping; Sharing economy; Popularization; Gambling; Credit cards; Bank fees; Taxes</t>
  </si>
  <si>
    <t>While recovering from a major personal tipping point (see Part I), I was still able to keep on the lookout for Canadian mathematics education matters. After all, if Canadian mathematics education matters, Canadian mathematics education matters. In doing so, I ran into a number of other financial problems. Everywhere I turned was a financial problem: from tipping in the sharing (or platform) economy; to spending your way to savings with credit cards; the proliferation of sportsbooks and online casinos; trying to reconcile the Canadian cost of living with the seemingly high accepted standard level of consumption; and the outrageous fee to take $20 out of my very own bank account. Each taken on their own, I clearly have some financial problems. Taken together, I contend that 'Egan's Financial Problems', albeit unconventional, could, one day, be the impetus for financial education and literacy leaving math class and becoming a class of its own in Canadian schools. Until then, I guess we go with the School of Hard Knocks for our financial education.</t>
  </si>
  <si>
    <t>[Chernoff, Egan J.] Univ Saskatchewan, Saskatoon, SK, Canada</t>
  </si>
  <si>
    <t>University of Saskatchewan</t>
  </si>
  <si>
    <t>Chernoff, EJ (corresponding author), Univ Saskatchewan, Saskatoon, SK, Canada.</t>
  </si>
  <si>
    <t>egan.chernoff@usask.ca</t>
  </si>
  <si>
    <t>Chernoff, Egan/0000-0001-7157-7745</t>
  </si>
  <si>
    <t>1492-6156</t>
  </si>
  <si>
    <t>1942-4051</t>
  </si>
  <si>
    <t>CAN J SCI MATH TECHN</t>
  </si>
  <si>
    <t>Can. J. Sci. Math. Technol. Educ.</t>
  </si>
  <si>
    <t>10.1007/s42330-022-00220-7</t>
  </si>
  <si>
    <t>Education, Scientific Disciplines</t>
  </si>
  <si>
    <t>3T5NK</t>
  </si>
  <si>
    <t>WOS:000828423200001</t>
  </si>
  <si>
    <t>Czarkowska, M; Bagniewski, B</t>
  </si>
  <si>
    <t>Czarkowska, Marta; Bagniewski, Bartosz</t>
  </si>
  <si>
    <t>The impact of FinTech development on traditional banking institutions in Poland</t>
  </si>
  <si>
    <t>FinTech; banking system; stationary banking; internet banking; mobile banking; ATM; e-commerce; BLIK</t>
  </si>
  <si>
    <t>The rapidly advancing digitisation and modernisation of information technologies are an impulse to use innovative solutions proposed by the broadly understood financial sector. The presented work presents the development of the banking system in Poland, the perspective of the FinTech phenomenon, with focus on operating bank branches in Poland, as well as innovative solutions. The aim of the article is to analyse the impact of FinTech development on traditional branches of banking institutions in Poland. The authors look at today's behavior of bank account holders with regard to everyday activities, such as withdrawing cash. At the same time they make suggestions as to the reason for the presented results, in order to clearly formulate the final conclusions. The authors also discuss areas analogous to the main topic, such as cashless payment methods, with a closer analysis of their real impact on the banking structure. The main source of information for this article are results obtained from the authors' own research. The considerations lead to the conclusion that in today's banking environment bank branches are somewhat unnecessary and unprofitable, and will slowly decrease in number year by year. The results of the study highlight the amazing BLIK phenomenon, which is increasingly replacing payment methods offered by banks.</t>
  </si>
  <si>
    <t>[Czarkowska, Marta; Bagniewski, Bartosz] Uniwersytet Mikolaja Kopernika Toruniu, Torun, Poland</t>
  </si>
  <si>
    <t>Nicolaus Copernicus University</t>
  </si>
  <si>
    <t>Czarkowska, M (corresponding author), Uniwersytet Mikolaja Kopernika Toruniu, Torun, Poland.</t>
  </si>
  <si>
    <t>Bagniewski, Bartosz/0000-0002-9840-1456; Czarkowska, Marta/0000-0002-3305-8423</t>
  </si>
  <si>
    <t>10.15219/em97.1588</t>
  </si>
  <si>
    <t>8V9JB</t>
  </si>
  <si>
    <t>WOS:000930939900003</t>
  </si>
  <si>
    <t>Sahu, KC; Kavita, J</t>
  </si>
  <si>
    <t>Raju, KS; Senkerik, R; Lanka, SP; Rajagopal, V</t>
  </si>
  <si>
    <t>Sahu, Kishor Chandra; Kavita, J.</t>
  </si>
  <si>
    <t>A Nonparametric Approach to the Prioritization of Customers' Online Service Adoption Dimensions in Indian Banks</t>
  </si>
  <si>
    <t>DATA ENGINEERING AND COMMUNICATION TECHNOLOGY, ICDECT-2K19</t>
  </si>
  <si>
    <t>3rd Conference on Data Engineering and Communication Technology (ICDECT)</t>
  </si>
  <si>
    <t>MAR 15-16, 2019</t>
  </si>
  <si>
    <t>Osmania Univ, Stanley Coll Engn &amp; Technol Women, Hyderabad, INDIA</t>
  </si>
  <si>
    <t>Osmania Univ, Stanley Coll Engn &amp; Technol Women</t>
  </si>
  <si>
    <t>Banking service adoption; Attitudinal factors; Exploratory factor analysis; Ridit analysis; Kruskal Wallis test</t>
  </si>
  <si>
    <t>INTERNET BANKING; QUALITY; SATISFACTION; ACCEPTANCE; TRUST; MODEL</t>
  </si>
  <si>
    <t>Online banking service adoption depends on the Internet exposure and the customer's preparedness and individual's attitude. There may be numerous dimensions that can influence in the adoption of online banking services both Internet and mobile banking. However, it is very much essential to calculate the perception of the customers on what they are expecting from the service adoption. This paper proposes a methodology that prioritizes the parameters related to service adoption for the Indian banking industry grounded on a survey administered on the bank account holders. This paper examines the factors which influence the attitude of the customers in adopting the technologically driven banking modes for their day-to-day transactions. In this study, we have attempted to find the most important factors such as technology, perceived security, regulatory, customer orientation, attitude, perceived benefits and perceived service quality by following an exploratory factor analysis (EFA). The study tried to find the precedence list of factors by using nonparametric approaches such as ridit approach and Kruskal-Wallis method. The findings of the study will give the Indian banks in designing the attitude change strategies for wider adoption of their various online banking applications among their customer base.</t>
  </si>
  <si>
    <t>[Sahu, Kishor Chandra; Kavita, J.] Mahatma Gandhi Inst Technol, Dept Math &amp; Humanities, Hyderabad 500030, Telangana, India</t>
  </si>
  <si>
    <t>Sahu, KC (corresponding author), Mahatma Gandhi Inst Technol, Dept Math &amp; Humanities, Hyderabad 500030, Telangana, India.</t>
  </si>
  <si>
    <t>kishor.chandra.sahu@gmail.com</t>
  </si>
  <si>
    <t>978-981-15-1097-7; 978-981-15-1096-0</t>
  </si>
  <si>
    <t>10.1007/978-981-15-1097-7_18</t>
  </si>
  <si>
    <t>BR5RL</t>
  </si>
  <si>
    <t>WOS:000656884600018</t>
  </si>
  <si>
    <t>Botha, J; Leenen, L</t>
  </si>
  <si>
    <t>ACIL</t>
  </si>
  <si>
    <t>Botha, Johnny; Leenen, Louise</t>
  </si>
  <si>
    <t>Cryptocurrency-Crime Investigation: Fraudulent use of Bitcoin in a Divorce Case</t>
  </si>
  <si>
    <t>PROCEEDINGS OF THE 19TH INTERNATIONAL CONFERENCE ON CYBER WARFARE AND SECURITY, ICCWS 2024</t>
  </si>
  <si>
    <t>International Conference on Cyber Warfare and Security</t>
  </si>
  <si>
    <t>19th International Conference on Cyber Warfare and Security</t>
  </si>
  <si>
    <t>MAR 26-27, 2024</t>
  </si>
  <si>
    <t>University of Johannesburg, Johannesburg, SOUTH AFRICA</t>
  </si>
  <si>
    <t>Bitcoin; Blockchain; Fraud; Investigation; Perjury</t>
  </si>
  <si>
    <t>Bitcoin and cryptocurrency adoption has increased significantly over the past few years. The significant growth in the industry has been matched by growth of crimes in this domain; not only in scams and dark-web illegal trading, but also in white-collar crimes with fraud and perjury occurring increasingly. With blockchain technology, the world of financial infidelity has become increasingly sophisticated. There is a common belief that blockchain and cryptocurrency provide means of hiding funds from the public or close associates who may not be familiar with the technology. The rise of cryptocurrency has also led to spouses hiding digital assets during divorce settlements. This study presents a use case of a couple in the midst of a divorce where one of the spouses was accused of perjury for failure to declare bitcoin holdings, obtained via Bitcoin mining, and possibly other forms of cryptocurrency and digital assets to the court. The plaintiff is entitled to fifty percent of all assets. While property, stocks, bonds, and bank accounts can easily be traced, cryptocurrency assets are more complex to trace but it is not impossible. This paper illustrates how such a case can be investigated by following the flow of funds on the blockchain, using tools such as Maltego and QLUE. The paper thus presents an investigative process that can be followed for a new category of forensic investigation.</t>
  </si>
  <si>
    <t>[Botha, Johnny] CSIR, Pretoria, South Africa; [Leenen, Louise] Univ Western Cape, Cape Town, South Africa; [Leenen, Louise] CAIR, Cape Town, South Africa</t>
  </si>
  <si>
    <t>Council for Scientific &amp; Industrial Research (CSIR) - South Africa; University of the Western Cape</t>
  </si>
  <si>
    <t>Botha, J (corresponding author), CSIR, Pretoria, South Africa.</t>
  </si>
  <si>
    <t>jbotha1@csir.co.za; Ileenen@uwc.ac.za</t>
  </si>
  <si>
    <t>Botha, Johannes George Botha/AAS-3686-2021</t>
  </si>
  <si>
    <t>Botha, Johannes George Botha/0000-0001-7928-5683</t>
  </si>
  <si>
    <t>2048-9870</t>
  </si>
  <si>
    <t>2048-9889</t>
  </si>
  <si>
    <t>978-1-914587-96-2; 978-1-914587-97-9</t>
  </si>
  <si>
    <t>INT C CYBER WARFARE</t>
  </si>
  <si>
    <t>BY3JK</t>
  </si>
  <si>
    <t>WOS:001418421600005</t>
  </si>
  <si>
    <t>Hasbi, M; Dubus, A</t>
  </si>
  <si>
    <t>Hasbi, Maude; Dubus, Antoine</t>
  </si>
  <si>
    <t>Determinants of mobile broadband use in developing economies: Evidence from Sub-Saharan Africa</t>
  </si>
  <si>
    <t>TELECOMMUNICATIONS POLICY</t>
  </si>
  <si>
    <t>Mobile broadband use; Developing economy; Financial inclusion; Digital gap</t>
  </si>
  <si>
    <t>USAGE; ADOPTION; ACCESS; PHONES; IMPACT</t>
  </si>
  <si>
    <t>Broadband is seen as a vector of economic growth and social development. In the developing world, mobile technologies are widely adopted and mobile broadband is progressively rolled-out with high expectations on its impact on the countries' development. We highlight what the determinants of mobile broadband use are in four Sub-Saharan countries. Using micro-level data coming from household surveys over 5 years, from 2013 to 2017, we show that SIM card ownership and being part of an online social community has a strong positive impact on mobile broadband use. We also highlight a positive correlation between digital inclusion and financial inclusion as mobile money users and bank account users are found to be more inclined to use mobile broadband. However, beyond apparent similarities, mobile broadband is used in different ways according to countries specificities. For instance, among the non-mobile owners in Nigeria, the unemployed are the most likely to use mobile broadband, most probably for job search practices, while it is rather used by students for information gathering in other countries. Finally we show that those excluded from mobile broadband use are the eldest, those with the lowest level of education, and women.</t>
  </si>
  <si>
    <t>[Hasbi, Maude] Chalmers Univ Technol, Dept Technol Managment &amp; Econ, Vera Sandberg Allee 8, Gothenburg 41133, Sweden; [Dubus, Antoine] Univ Libre Bruxelles, ECARES, Ave Franklin Roosevelt 50, Brussels 1050, Belgium</t>
  </si>
  <si>
    <t>Chalmers University of Technology; Universite Libre de Bruxelles</t>
  </si>
  <si>
    <t>Hasbi, M (corresponding author), Chalmers Univ Technol, Dept Technol Managment &amp; Econ, Vera Sandberg Allee 8, Gothenburg 41133, Sweden.</t>
  </si>
  <si>
    <t>hasbi@chalmers.se; antoine.dubus@ulb.ac.be</t>
  </si>
  <si>
    <t>Fond National pour la Recherche Scientifique (FNRS) [33671104]</t>
  </si>
  <si>
    <t>Fond National pour la Recherche Scientifique (FNRS)(Fonds de la Recherche Scientifique - FNRS)</t>
  </si>
  <si>
    <t>Antoine Dubus acknowledges financial support from the Fond National pour la Recherche Scientifique (FNRS), research project 33671104.</t>
  </si>
  <si>
    <t>London</t>
  </si>
  <si>
    <t>125 London Wall, London, ENGLAND</t>
  </si>
  <si>
    <t>0308-5961</t>
  </si>
  <si>
    <t>1879-3258</t>
  </si>
  <si>
    <t>TELECOMMUN POLICY</t>
  </si>
  <si>
    <t>Telecommun. Policy</t>
  </si>
  <si>
    <t>10.1016/j.telpol.2020.101944</t>
  </si>
  <si>
    <t>Communication; Information Science &amp; Library Science; Telecommunications</t>
  </si>
  <si>
    <t>LK8BQ</t>
  </si>
  <si>
    <t>WOS:000531085700006</t>
  </si>
  <si>
    <t>Leonov, MV</t>
  </si>
  <si>
    <t>Leonov, Mikhail Vitalyevich</t>
  </si>
  <si>
    <t>MONETARY POLICY AND BANKING INTERMEDIATION IN CBDC ECONOMY</t>
  </si>
  <si>
    <t>INDEPENDENT JOURNAL OF MANAGEMENT &amp; PRODUCTION</t>
  </si>
  <si>
    <t>central bank digital currency; agent-based model; monetary policy; transmission mechanism</t>
  </si>
  <si>
    <t>AGENT; MACROECONOMICS; MODELS</t>
  </si>
  <si>
    <t>Increased dissemination of information and communication technologies in the economy has led many central bankers around the world to consider the introduction of money in the digital form. In academic literature, various central bank digital currency (CBDC) issues, from technical design to political influence, are discussed, although until now, it has not been filly implemented in any country except the Bahamas. The central bank digital currency (CBDC) is an additional form of national currency that combines the properties of cash and bank accounts. This study mainly aims to provide a comprehensive analysis of monetary policy in the CBDC economy. To meet the aim of the study, the study applies an agent-based model that has six types of economic agents and complicated interaction algorithms. The various design parameters are employed to study the dynamics of endogenous variables. Model simulations suggest that CBDC introduction leads to reduced macroeconomic volatility and price stability. Furthermore, the study provides evidence of the increased efficiency of the interest rate channel of the monetary policy transmission mechanism and the negative consequences of possible banking disintermediation. Based on the results obtained, the study concludes that the CBDC impact the economy through changes in the monetary base, strengthening the structural liquidity deficit, banking disintermediation, and increasing the fiscal policy capabilities. The proposed agent-based model provides a theoretical foundation for the further study of monetary policy and banking intermediation in the CBDC economy.</t>
  </si>
  <si>
    <t>[Leonov, Mikhail Vitalyevich] Kalashnikov Izhevsk State Tech Univ, Izhevsk, Russia</t>
  </si>
  <si>
    <t>Kalashnikov Izhevsk State Technical University</t>
  </si>
  <si>
    <t>Leonov, MV (corresponding author), Kalashnikov Izhevsk State Tech Univ, Izhevsk, Russia.</t>
  </si>
  <si>
    <t>rahmad.syahh11@gmail.com</t>
  </si>
  <si>
    <t>Leonov, Mikhail/ADE-7357-2022</t>
  </si>
  <si>
    <t>Leonov, Mikhail/0000-0002-2251-0437</t>
  </si>
  <si>
    <t>INST FEDERAL EDUCACAO, CIENCIA &amp; TECNOLOGIA SAO PAULO</t>
  </si>
  <si>
    <t>SAO PAULO</t>
  </si>
  <si>
    <t>RUA PEDRO VICENTE 625, CANINDE, SAO PAULO, 01109-010, BRAZIL</t>
  </si>
  <si>
    <t>2236-269X</t>
  </si>
  <si>
    <t>INDEP J MANAG PROD</t>
  </si>
  <si>
    <t>Indep. J. Manag. Prod.</t>
  </si>
  <si>
    <t>S452</t>
  </si>
  <si>
    <t>S461</t>
  </si>
  <si>
    <t>10.14807/ijmp.v13i4.1928</t>
  </si>
  <si>
    <t>1X4GH</t>
  </si>
  <si>
    <t>WOS:000807413800009</t>
  </si>
  <si>
    <t>Ceravolo, MG; Farina, V; Fattobene, L; Leonelli, L; Raggetti, G</t>
  </si>
  <si>
    <t>Ceravolo, Maria Gabriella; Farina, Vincenzo; Fattobene, Lucrezia; Leonelli, Lucia; Raggetti, GianMario</t>
  </si>
  <si>
    <t>Anchoring Effect in Visual Information Processing During Financial Decisions: An Eye-Tracking Study</t>
  </si>
  <si>
    <t>JOURNAL OF NEUROSCIENCE PSYCHOLOGY AND ECONOMICS</t>
  </si>
  <si>
    <t>eye tracking; attention; neurofinance; bank account; disclosure</t>
  </si>
  <si>
    <t>BACKGROUND MUSIC; REAL-ESTATE; LITERACY; BEHAVIOR; UNCERTAINTY; PERSPECTIVE; HEURISTICS; MOMENTUM; AROUSAL; EXPERTS</t>
  </si>
  <si>
    <t>When reading a financial disclosure document, subjects are faced with multiple information cues and might simplify decisional complexity by relying on heuristics. This study explores whether, in an attempt to filter information from the Payment Account Fees Information Document (FID), subjects anchor their evaluation to a specific item, leading to biased financial choices. By detecting the visual search strategy in 70 subjects through eye tracking, we observed that people exhibited systematic visual anchoring to the top of the document, which corresponds to the Liquidity section that displays the Annual Fee. Moreover, data revealed that subjects sometimes fail to recognize the most advantageous products. This mainly occurs when the Annual Fee is high, even if the other charges compensate for that amount, clarifying the link between visual search strategy and financial decisions. Data also showed the role of financial literacy in modulating attention, as poorly financially literate subjects are more prone to anchoring bias. The findings contribute to the neuroeconomics literature on anchoring effect and highlight practical implications for financial regulators and managers involved in the ergonomics of documents.</t>
  </si>
  <si>
    <t>[Ceravolo, Maria Gabriella] Univ Politecn Marche, Dept Expt &amp; Clin Med, Ancona, Italy; [Farina, Vincenzo; Fattobene, Lucrezia; Leonelli, Lucia] Univ Roma Tor Vergata, Dept Management &amp; Law, Via Columbia 2, I-00133 Rome, Italy; [Raggetti, GianMario] Univ Politecn Marche, BrainLine Assoc Boosting Res Act Neuroecon Linked, Ancona, Italy</t>
  </si>
  <si>
    <t>Marche Polytechnic University; University of Rome Tor Vergata; Marche Polytechnic University</t>
  </si>
  <si>
    <t>Fattobene, L (corresponding author), Univ Roma Tor Vergata, Dept Management &amp; Law, Via Columbia 2, I-00133 Rome, Italy.</t>
  </si>
  <si>
    <t>lucrezia.fattobene@uniroma2.it</t>
  </si>
  <si>
    <t>FARINA, VINCENZO/L-9511-2018; Ceravolo, Maria/J-7385-2018</t>
  </si>
  <si>
    <t>Fattobene, Lucrezia/0000-0002-8786-8931</t>
  </si>
  <si>
    <t>MISSION: SUSTAINABILITY -University of Rome Tor Vergata</t>
  </si>
  <si>
    <t>MISSION: SUSTAINABILITY -University of Rome Tor Vergata (Project Title: EBC -Ergonomics of banks communication and access to banking: a neurofinance perspective).</t>
  </si>
  <si>
    <t>EDUCATIONAL PUBLISHING FOUNDATION-AMERICAN PSYCHOLOGICAL ASSOC</t>
  </si>
  <si>
    <t>750 FIRST ST, NE, WASHINGTON, DC 20002-4242 USA</t>
  </si>
  <si>
    <t>1937-321X</t>
  </si>
  <si>
    <t>2151-318X</t>
  </si>
  <si>
    <t>J NEUROSCI PSYCHOL E</t>
  </si>
  <si>
    <t>J. Neurosci. Psychol. Econ.</t>
  </si>
  <si>
    <t>10.1037/npe0000153</t>
  </si>
  <si>
    <t>Economics; Psychology, Multidisciplinary</t>
  </si>
  <si>
    <t>Business &amp; Economics; Psychology</t>
  </si>
  <si>
    <t>ZC5DK</t>
  </si>
  <si>
    <t>WOS:000741673700001</t>
  </si>
  <si>
    <t>Larios-Hernández, GJ</t>
  </si>
  <si>
    <t>Jesus Larios-Hernandez, Guillermo</t>
  </si>
  <si>
    <t>Blockchain entrepreneurship opportunity in the practices of the unbanked</t>
  </si>
  <si>
    <t>BUSINESS HORIZONS</t>
  </si>
  <si>
    <t>Financial entrepreneurship; Financial inclusion; Blockchain; fsQCA; Informal finance; Fintech</t>
  </si>
  <si>
    <t>Two billion people in developing economies have limited or no access to formal financial services, creating cause for substantial research interest in financial inclusion as a complex multidimensional phenomenon. Digital finance technologies, including blockchain, have empowered a type of crescive entrepreneurship that seeks opportunities in relation to financially excluded individuals. This article hypothesizes that nonmonetary causal factors and informal financial practices play a major role in habits of the financially excluded, which would favor blockchain's disintermediation features over the incumbent approach. After applying fuzzy-set Qualitative Comparative Analysis (fsQCA) to determine the conditions related to financial practice and motivations that explain the absence of a formal bank account, I prescribe five sensitivities that blockchain entrepreneurs need to consider when targeting this segment. The value of this article's approach extends well beyond traditional unisystemic views for financial inclusion, as blockchain-based entrepreneurial opportunities emerge to reveal alternative forms of disintermediated financial services, which we exemplify in startups modeling informal practices. Blockchain entrepreneurship can generate semi-formal financial services that bring financial aspirations closer to people. My perspective is relevant to blockchain entrepreneurs who aim to understand the practices of the unbanked as source information for the development of innovative solutions. (C) 2017 Kelley School of Business, Indiana University. Published by Elsevier Inc. All rights reserved.</t>
  </si>
  <si>
    <t>[Jesus Larios-Hernandez, Guillermo] Univ Anahuac Mexico, Av Univ Anahuac 46, Huixquilucan 52786, Edomex, Mexico</t>
  </si>
  <si>
    <t>Universidad Anahuac</t>
  </si>
  <si>
    <t>Larios-Hernández, GJ (corresponding author), Univ Anahuac Mexico, Av Univ Anahuac 46, Huixquilucan 52786, Edomex, Mexico.</t>
  </si>
  <si>
    <t>guillermo.lariosh@anahuac.mx</t>
  </si>
  <si>
    <t>Larios Hernandez, Guillermo Jesus/P-3069-2016</t>
  </si>
  <si>
    <t>Larios Hernandez, Guillermo Jesus/0000-0002-8288-7981</t>
  </si>
  <si>
    <t>0007-6813</t>
  </si>
  <si>
    <t>1873-6068</t>
  </si>
  <si>
    <t>BUS HORIZONS</t>
  </si>
  <si>
    <t>Bus. Horiz.</t>
  </si>
  <si>
    <t>10.1016/j.bushor.2017.07.012</t>
  </si>
  <si>
    <t>FM2MN</t>
  </si>
  <si>
    <t>WOS:000414819000012</t>
  </si>
  <si>
    <t>Anong, ST; Routh, A</t>
  </si>
  <si>
    <t>Anong, Sophia T.; Routh, Aditi</t>
  </si>
  <si>
    <t>Prepaid debit cards and banking intention</t>
  </si>
  <si>
    <t>Prepaid debit cards; Unbanked; Banking intention; Banking history; Smartphones</t>
  </si>
  <si>
    <t>FINANCIAL LITERACY; SELF-EFFICACY; PROBIT; MOTIVATIONS; CUSTOMERS; SERVICES</t>
  </si>
  <si>
    <t>Purpose This study examines the relationship between prepaid debit card use and the intention to open a bank account within twelve months. The Transtheoretical Model (TTM) of Behavior Change helped to conceptualize one's stage in the process of changing from unbanked status if desired. The Theory of Planned Behavior (TPB) provided a framework to examine factors that influence banking intention. Prepaid debit card use is considered a social norm as it is a popular alternative to banking, and these accounts have increasingly mimicked bank account features in recent years. Design/methodology/approach Three in-depth focus group interviews with low-income respondents were first conducted in 2012, which revealed a prolific use of prepaid debit cards. Most participants had previous banking history, and despite negative experiences, some requested information about banking terms and free banking. These themes and previous studies informed a TPB-based biprobit model, which was estimated using data of an unbanked sample from 2013, 2015 and 2017 waves of the US Survey of Unbanked and Underbanked Households. Findings Though there was banking interest in the focus groups, no significant empirical association was found between recent prepaid debit card use and banking intention. Going deeper with another sample, we found that current cardholders were equally likely to have become recently banked or to be long-term unbanked but less likely to be long-term banked. Also, factors such as a more recent relationship with banks, use of other alternative financial services for transactions and credit, smartphone ownership, and trust increase banking intention. Research limitations/implications The main limitation of the study is the cross-section quantitative data. Future research may track banking status over time, particularly as financial technology (fintech) evolves with alternatives that may influence banks and customers to adapt. Practical implications To compete with leapfrog fintech banking alternatives, bank managers should consider utilizing customer segmentation to target at-risk customers and former customers with products and terms tailored to meet their banking needs. Banks can also tailor digital products to capture markets in banking desserts through mobile phones. Originality/value This mixed-methods study is unique in that it builds on insights from earlier in-depth interviews with real unbanked groups to examine a trend in prepaid debit card use and the impact on banking interest.</t>
  </si>
  <si>
    <t>[Anong, Sophia T.; Routh, Aditi] Univ Georgia, Dept Financial Planning Housing &amp; Consumer Econ, Athens, GA 30602 USA</t>
  </si>
  <si>
    <t>University System of Georgia; University of Georgia</t>
  </si>
  <si>
    <t>Anong, ST (corresponding author), Univ Georgia, Dept Financial Planning Housing &amp; Consumer Econ, Athens, GA 30602 USA.</t>
  </si>
  <si>
    <t>sanong@uga.edu</t>
  </si>
  <si>
    <t>; Routh, Aditi/HJG-4924-2022</t>
  </si>
  <si>
    <t>Anong, Sophia/0000-0003-4416-9847; Routh, Aditi/0000-0003-2507-5714</t>
  </si>
  <si>
    <t>MAR 9</t>
  </si>
  <si>
    <t>10.1108/IJBM-09-2021-0401</t>
  </si>
  <si>
    <t>NOV 2021</t>
  </si>
  <si>
    <t>ZO7RA</t>
  </si>
  <si>
    <t>WOS:000720988200001</t>
  </si>
  <si>
    <t>Singh, A</t>
  </si>
  <si>
    <t>Singh, Anshu</t>
  </si>
  <si>
    <t>Exploring demand-side barriers to credit uptake and financial inclusion</t>
  </si>
  <si>
    <t>Financial inclusion; Credit uptake; Financial literacy; Demand-side barriers; PMJDY; Account ownership; Access; Usage</t>
  </si>
  <si>
    <t>PERSPECTIVE</t>
  </si>
  <si>
    <t>Purpose The purpose of this study is to explore the demand side factors affecting financial inclusion in general and credit uptake in particular. Design/methodology/approach The present study is descriptive and exploratory in nature and is purely based on primary data. The data collection instrument has been scientifically after thorough review of literature and seeking expert opinion. Primary data have been collected from the respondents of lower socioeconomic class in selected rural areas in the State of Maharashtra, India. Exploratory technique like factor analysis and structural equation modelling have been used to identify the inter-relations between financial inclusion and underlying barriers. Findings The study concludes that there are major latent issues that determine the uptake and usage of financial services, major being operational and implementation challenges, financial literacy and affordability. The usage aspect further impacts financial inclusion along with access variable. These are some of the most important factor for creating demand-driven approach towards financial products and services specially credit. The author concludes that the identified latent barriers with respect to the usage dimension of financial inclusion require greater policy attention so that it can complement the supply-side measures. Practical implications The study establishes that merely having access through bank account ownership will not fulfil the objective of financial inclusion, and it is the usage, which is also important to realize the full potential of financial inclusion at the bottom of the pyramid. So, policy actions should be directed toward enhancing the usage aspect of financial services. The usage dimension could be enhanced through targeted interventions to mitigate the effect of identified latent barriers. Originality/value Though researchers have made a mention of demand-side barriers to financial inclusion, detailed study on the topic is missing. The study is one of its kinds in exploring the severity of various demand-side barriers that determine financial inclusion. In the context of emerging economies like India, financial inclusion is often measured in terms of banking outreach and access. There are limited studies capturing the usage dimension of financial inclusion.</t>
  </si>
  <si>
    <t>[Singh, Anshu] Vaikunth Mehta Natl Inst Cooperat Management, Pune, Maharashtra, India</t>
  </si>
  <si>
    <t>Singh, A (corresponding author), Vaikunth Mehta Natl Inst Cooperat Management, Pune, Maharashtra, India.</t>
  </si>
  <si>
    <t>knowanshu@gmail.com</t>
  </si>
  <si>
    <t>SINGH, ANSHU/0000-0002-3259-2069</t>
  </si>
  <si>
    <t>MAY 31</t>
  </si>
  <si>
    <t>10.1108/IJSE-04-2020-0234</t>
  </si>
  <si>
    <t>SN5ZT</t>
  </si>
  <si>
    <t>WOS:000658368100007</t>
  </si>
  <si>
    <t>Ferreira, RD; Prearo, LC</t>
  </si>
  <si>
    <t>Ferreira, Renato de Moraes; Prearo, Leandro Campi</t>
  </si>
  <si>
    <t>Determinant factors for the use of mobile banking for financial operations and transactions: a study in the municipality of Sao Paulo</t>
  </si>
  <si>
    <t>NAVUS-REVISTA DE GESTAO E TECNOLOGIA</t>
  </si>
  <si>
    <t>Banking Clients; Quantitative; Mobile banking</t>
  </si>
  <si>
    <t>The objective of this study was to identify and analyze the possible influence factors for the use of the Mobile Banking by bank account holders of financial institutions in the city of Sao Paulo. To identify these relevant factors that lead users to adopt alternative channels, such as Mobile Banking, to carry out operations and financial transactions. A descriptive field survey of quantitative nature was carried out in 13 bank branches, with a total sample of 1344 questionnaires delivered. After verification and exclusion of some unanswered questionnaires, which were invalidated, 1278 questionnaires of the total sample were validated. From the total validated, 1,199 respondents stated they have an active banking account and 600 clients declared they use the financial application (Mobile Banking App). Statistical techniques were performed with SPSS software in order to analyze the data.</t>
  </si>
  <si>
    <t>[Ferreira, Renato de Moraes] Univ Municipal Sao Caetano USCS, Adm, Sao Caetano do Sul, Brazil</t>
  </si>
  <si>
    <t>Universidade Municipal de Sao Caetano do Sul</t>
  </si>
  <si>
    <t>Ferreira, RD (corresponding author), Univ Municipal Sao Caetano USCS, Adm, Sao Caetano do Sul, Brazil.</t>
  </si>
  <si>
    <t>renato.fatec@gmail.com; leandro.prearo@uscs.edu.br</t>
  </si>
  <si>
    <t>Prearo, Leandro/AAE-8660-2019; Fapesp, Biota/F-8655-2017</t>
  </si>
  <si>
    <t>Fapesp, Biota/0000-0002-9887-8449</t>
  </si>
  <si>
    <t>CENTRO UNIV SENAC</t>
  </si>
  <si>
    <t>FLORIANOPOLIS</t>
  </si>
  <si>
    <t>RUA FELIPE SCHMIDT 785, CENTRO, FLORIANOPOLIS, SC 88010-002, BRAZIL</t>
  </si>
  <si>
    <t>2237-4558</t>
  </si>
  <si>
    <t>NAVUS-REV GEST TECNO</t>
  </si>
  <si>
    <t>Navus-Rev. Gest. Tecnol.</t>
  </si>
  <si>
    <t>10.22279/navus.2018.v8n3.p23-36.654</t>
  </si>
  <si>
    <t>GV6GY</t>
  </si>
  <si>
    <t>WOS:000446207600003</t>
  </si>
  <si>
    <t>Leoveanu, VM; Sandu, MC; Coman, A</t>
  </si>
  <si>
    <t>Meiselwitz, G</t>
  </si>
  <si>
    <t>Mihai Leoveanu, Valentin; Cornelia Sandu, Mihaela; Coman, Adela</t>
  </si>
  <si>
    <t>Cultural Factors as Powerful Moderators of Romanian Students' Adoption of Mobile Banking in Everyday Life</t>
  </si>
  <si>
    <t>SOCIAL COMPUTING AND SOCIAL MEDIA. DESIGN, ETHICS, USER BEHAVIOR, AND SOCIAL NETWORK ANALYSIS, SCSM 2020, PT I</t>
  </si>
  <si>
    <t>Information Systems and Applications, incl. Internet/Web, and HCI</t>
  </si>
  <si>
    <t>12th International Conference on Social Computing and Social Media (SCSM) part of the 22nd International Conference on Human-Computer Interaction (HCI)</t>
  </si>
  <si>
    <t>JUL 19-24, 2020</t>
  </si>
  <si>
    <t>Copenhagen, DENMARK</t>
  </si>
  <si>
    <t>Mobile banking; UTAUT2; Cultural factors; Behavioral intention; Use behavior</t>
  </si>
  <si>
    <t>TECHNOLOGY; ACCEPTANCE</t>
  </si>
  <si>
    <t>The purpose of this research is represented by the need to highlight the trend regarding the access and use of mobile banking and mobile payment services by student consumers, in close connection with the cultural factors that can influence this trend. In this regard, the paper considers aspects such as observing the students' behavior regarding how mobile banking is used in the monitoring of bank accounts, taking financial decisions about saving and investments, as well as shopping. The research methodology addressed aimed at both qualitative and quantitative research, considering the mobile financial services offered by banks operating in Romania. The authors conducted a quantitative research based on a questionnaire, grouping selectively a multitude of questions on how students perceive mobile banking according to the specific interaction they had with it. The structural model that was used is called the Unified Theory of Acceptance and Use of Technology 2 (UTAUT2), a combination of UTAUT developed in 2003 by Venkatesh et al. and Hofstede's cultural moderators. The qualitative analysis considered the placement of the factors analyzed in a cultural context linked with the Romanian students, trying to investigate the values, perceptions, desires, but also the stereotypes and prejudices taken from the family or other social organisms. The results of this research reveal how cultural factors determine the Romanian students attitude close to the use of mobile banking services. Factors that have a positive influence on behavioral intention are performance, facilitating conditions and habit. Habit has also a positive influence on use behaviour. Social influence has a negative effect on behavioral intention. There is no relationship between behavioral intention and effort expectancy, hedonic motivation and price value. Also, there is no association between use behavior and behavior intention. All cultural moderators signal a negative influence on the behavioral intention - use behavior relationship.</t>
  </si>
  <si>
    <t>[Mihai Leoveanu, Valentin; Cornelia Sandu, Mihaela; Coman, Adela] Univ Bucharest, Bucharest, Romania</t>
  </si>
  <si>
    <t>University of Bucharest</t>
  </si>
  <si>
    <t>Leoveanu, VM (corresponding author), Univ Bucharest, Bucharest, Romania.</t>
  </si>
  <si>
    <t>valentin.leoveanu@faa.unibuc.ro; mihaela.sandu@faa.unibuc.ro; adela.coman@faa.unibuc.ro</t>
  </si>
  <si>
    <t>Sandu, Mihaela Cornelia/IQS-1577-2023</t>
  </si>
  <si>
    <t>978-3-030-49569-5; 978-3-030-49570-1</t>
  </si>
  <si>
    <t>IN SY AP IN WE HC</t>
  </si>
  <si>
    <t>10.1007/978-3-030-49570-1_41</t>
  </si>
  <si>
    <t>Computer Science, Information Systems; Computer Science, Interdisciplinary Applications; Social Sciences, Interdisciplinary</t>
  </si>
  <si>
    <t>Computer Science; Social Sciences - Other Topics</t>
  </si>
  <si>
    <t>BX5EO</t>
  </si>
  <si>
    <t>WOS:001297923200041</t>
  </si>
  <si>
    <t>Djeundje, VB; Crook, J; Calabrese, R; Hamid, M</t>
  </si>
  <si>
    <t>Djeundje, Viani B.; Crook, Jonathan; Calabrese, Raffaella; Hamid, Mona</t>
  </si>
  <si>
    <t>Enhancing credit scoring with alternative data</t>
  </si>
  <si>
    <t>EXPERT SYSTEMS WITH APPLICATIONS</t>
  </si>
  <si>
    <t>Credit scoring; Alternative data; Banking risk</t>
  </si>
  <si>
    <t>INFORMATION; BORROWERS; RISK</t>
  </si>
  <si>
    <t>Hundreds of millions of people in low-income economies do not have a credit or bank account because they have insufficient credit history for a credit score to be ascribed to them. In this paper we evaluate the predictive accuracy of models using alternative data, that may be used instead of credit history, to predict the credit risk of a new account. Without alternative data, the type of data that is typically available is demographic data. We show that a model that contains email usage and psychometric variables, as well as demographic variables, can give greater predictive accuracy than a model that uses demographic data only and that the predictive accuracy is sufficiently high for the demographic and email data to be used when conventional credit history data is unavailable. The same applies if merely psychometric data is included together with demographic data. However, we show that different randomly selected training: test sample splits give a wide range of predictive accuracies. In the second part of the paper, using two datasets that include only email usage as a predictor, we compare the predictive performances of a wide range of machine learning and statistical classifiers. We find that some classifiers applied to these alternative predictors give sufficiently accurate predictions for these variables to be used when no other data is available. (C) 2020 Elsevier Ltd. All rights reserved.</t>
  </si>
  <si>
    <t>[Djeundje, Viani B.; Crook, Jonathan; Calabrese, Raffaella; Hamid, Mona] Univ Edinburgh, Business Sch, Credit Res Ctr, 29 Bucceleuch Pl, Edinburgh EH8 9JS, Midlothian, Scotland</t>
  </si>
  <si>
    <t>University of Edinburgh</t>
  </si>
  <si>
    <t>Crook, J (corresponding author), Univ Edinburgh, Business Sch, Credit Res Ctr, 29 Bucceleuch Pl, Edinburgh EH8 9JS, Midlothian, Scotland.</t>
  </si>
  <si>
    <t>viani.djeundje@ed.ac.uk; j.crook@ed.ac.uk; raffaella.calabrese@ed.ac.uk; mona.h.66@hotmail.com</t>
  </si>
  <si>
    <t>ESRC Impact Accelerator Account [ES/S501372/1]</t>
  </si>
  <si>
    <t>ESRC Impact Accelerator Account</t>
  </si>
  <si>
    <t>This work was funded by the ESRC Impact Accelerator Account awarded to the University of Edinburgh, grant reference ES/S501372/1.</t>
  </si>
  <si>
    <t>0957-4174</t>
  </si>
  <si>
    <t>1873-6793</t>
  </si>
  <si>
    <t>EXPERT SYST APPL</t>
  </si>
  <si>
    <t>Expert Syst. Appl.</t>
  </si>
  <si>
    <t>10.1016/j.eswa.2020.113766</t>
  </si>
  <si>
    <t>Computer Science, Artificial Intelligence; Engineering, Electrical &amp; Electronic; Operations Research &amp; Management Science</t>
  </si>
  <si>
    <t>Computer Science; Engineering; Operations Research &amp; Management Science</t>
  </si>
  <si>
    <t>OG8GL</t>
  </si>
  <si>
    <t>WOS:000582115400010</t>
  </si>
  <si>
    <t>Giordano, M</t>
  </si>
  <si>
    <t>Giordano, Matteo</t>
  </si>
  <si>
    <t>Displacement and complementarity between cryptocurrencies and legacy money</t>
  </si>
  <si>
    <t>JAPANESE POLITICAL ECONOMY</t>
  </si>
  <si>
    <t>Money; cryptocurrencies; financial systems; bitcoin; monetary systems</t>
  </si>
  <si>
    <t>FREE-BANKING; STABILITY</t>
  </si>
  <si>
    <t>Monetary systems are inhabited by multiple forms of 'money', hierarchically tiered according to specific logics. In the current credit-based monetary systems, these money-instruments all follow the logic of credit and perform specific roles of money according to their economic features. In other words, these money-instruments complement one another within the credit-monetary system but have also displaced one another in the specific roles each play. Though originally complementary, gold and other commodity monies have been largely displaced because capitalist expansion required a more flexible operating principle, namely credit. It is possible that capitalist economies are currently experiencing a similar moment of tension between complementarity and displacement not of instruments alone but of monetary systems altogether. The introduction of cryptocurrencies puts the structural features of the current monetary system into question by leading to the creation of qualitatively different instruments aspiring to moneyness. This paper explores the displacement and complementarities between legacy credit-form money-instruments and the multiple crypto-form money-instruments, highlighting the tension between monetary systems built on credit and noncredit logics. Three forms of money-instruments are identified for this analysis, giving rise to a 'triad': inside legacy credit money (i.e., standard bank deposits), outside DLT-based credit money (i.e., CBDCs issued as liabilities of the central bank, 'account based' rather than 'token based'), and outside DLT-based noncredit money (i.e., Bitcoin). Ultimately, the DLT-based monetary system is a parallel monetary system built on the negation of credit-form.</t>
  </si>
  <si>
    <t>[Giordano, Matteo] SOAS Univ London, Dept Econ, London, England</t>
  </si>
  <si>
    <t>University of London; University of London School Oriental &amp; African Studies (SOAS)</t>
  </si>
  <si>
    <t>Giordano, M (corresponding author), SOAS Univ London, Dept Econ, London, England.</t>
  </si>
  <si>
    <t>mg92@soas.ac.uk</t>
  </si>
  <si>
    <t>Giordano, Matteo/0000-0002-1588-6735</t>
  </si>
  <si>
    <t>2329-194X</t>
  </si>
  <si>
    <t>2329-1958</t>
  </si>
  <si>
    <t>JPN POLIT ECON</t>
  </si>
  <si>
    <t>Jpn. Polit. Econ.</t>
  </si>
  <si>
    <t>1-2</t>
  </si>
  <si>
    <t>10.1080/2329194X.2025.2547035</t>
  </si>
  <si>
    <t>7PG4Q</t>
  </si>
  <si>
    <t>WOS:001550065500001</t>
  </si>
  <si>
    <t>Mesfin, WF; Atnafu, S; Ghinea, G</t>
  </si>
  <si>
    <t>Mesfin, Woldmariam F.; Atnafu, Solomon; Ghinea, Gheorghita</t>
  </si>
  <si>
    <t>OPEN AIR MARKET AND MOBILE MONEY INFORMATION SYSTEM REQUIREMENTS</t>
  </si>
  <si>
    <t>2013 INTERNATIONAL CONFERENCE ON ICT FOR SMART SOCIETY (ICISS): THINK ECOSYSTEM ACT CONVERGENCE</t>
  </si>
  <si>
    <t>International Conference on ICT for Smart Society ICISS</t>
  </si>
  <si>
    <t>International Conference on ICT for Smart-Society (ICISS)</t>
  </si>
  <si>
    <t>JUN 13-14, 2013</t>
  </si>
  <si>
    <t>Inst Technol Bandung, Sch Elect Engn &amp; Informat, Jakarta, INDONESIA</t>
  </si>
  <si>
    <t>Smart Soc,e Indonesia Initiat Forum,Indonesian ICT Inst,Korea Inst Next Generat Comp,IEEE, Indonesia Sect</t>
  </si>
  <si>
    <t>Inst Technol Bandung, Sch Elect Engn &amp; Informat</t>
  </si>
  <si>
    <t>open air market; mobile money; cashlessness; smart society; mobile information systems; mobile payments</t>
  </si>
  <si>
    <t>existing mobile money architectures overlooked value storage and everyday money practices of individuals. They mainly deal with payment related issues and procedures based on bank accounts. They also targeted urban people, who have banking and technology know-how. Based on this knowledge gap, this research intends to explore, analyze, and identify design concepts for mobile money information system development that can support rural communities in developing countries who transact in open air market. Majority of our study population cannot write and read even their names; they identify currency notes based on color and size not based on values written on them, which raises the question how could such illiterate rural individuals transact in electronic payment ecosystem. In this context, the purpose of this study is to thoroughly analyze and understand the characteristic nature of cash transactions and usage scenarios among study participants in open air market and identify design concepts and provoke discussions on this issue. Methodologically, we used qualitative methods, where data is collected through observation, discussions, and interview with key market participants and the data is documented through photograph and video. We found that almost all merchants: (1) use color of currencies to identify one from the other, (2) some merchants want to merge their sells while some want to keep their daily, (3) due to their transaction practices, merchants have many problems and make many errors and mistakes, (4) merchants who have no formal education expressed that they would like to have devices that operate by sound, and (5) sellers &amp; buyers set prices of certain items through negotiation. The output of this study contributes towards the development of cashless transaction based on mobile phones.</t>
  </si>
  <si>
    <t>[Mesfin, Woldmariam F.; Atnafu, Solomon] Univ Addis Ababa, IT PhD Program, Addis Ababa, Ethiopia; [Ghinea, Gheorghita] Brunel Univ, Sch Informat Syst Comp &amp; Math, Uxbridge, Middx, England</t>
  </si>
  <si>
    <t>Addis Ababa University; Brunel University</t>
  </si>
  <si>
    <t>Mesfin, WF (corresponding author), Univ Addis Ababa, IT PhD Program, Addis Ababa, Ethiopia.</t>
  </si>
  <si>
    <t>mesfinfw@gmail.com; satnafu@gmail.com; george.ghinea@brunel.ac.uk</t>
  </si>
  <si>
    <t>Ghinea, Gheorghita/AAG-6770-2020</t>
  </si>
  <si>
    <t>Ghinea, Gheorghita/0000-0003-2578-5580</t>
  </si>
  <si>
    <t>Institute for Money, Technology &amp; Financial Inclusion at the University of California, Irvine [OPP1031657]; Bill and Melinda Gates Foundation [OPP1031657] Funding Source: Bill and Melinda Gates Foundation</t>
  </si>
  <si>
    <t>Institute for Money, Technology &amp; Financial Inclusion at the University of California, Irvine; Bill and Melinda Gates Foundation(Bill &amp; Melinda Gates Foundation)</t>
  </si>
  <si>
    <t>Mesfin would like to acknowledge the Institute for Money, Technology &amp; Financial Inclusion at the University of California, Irvine, for funding this research under OPP1031657, sub award number 2012-2809. I also would like to express this institute for sponsoring me to participate on the 2013 International Conference on ICT for Smart Society (ICISS) at Jakarta, Indonesia. Any opinions, findings, conclusions, and recommendations expressed in this paper are those of the authors and do not necessarily reflect the views of the Institute for Money, Technology &amp; Financial Inclusion at the University of California, Irvine.</t>
  </si>
  <si>
    <t>2471-1233</t>
  </si>
  <si>
    <t>2640-0545</t>
  </si>
  <si>
    <t>978-1-4799-0145-6</t>
  </si>
  <si>
    <t>INT CONF ICT SMART S</t>
  </si>
  <si>
    <t>BA1GH</t>
  </si>
  <si>
    <t>WOS:000332483900005</t>
  </si>
  <si>
    <t>Akimov, A; Dollery, B</t>
  </si>
  <si>
    <t>Akimov, Alexandr; Dollery, Brian</t>
  </si>
  <si>
    <t>Financial system reform in Kazakhstan from 1993 to 2006 and its socioeconomic effects</t>
  </si>
  <si>
    <t>economic growth; financial development; Kazakhstan; transition economies</t>
  </si>
  <si>
    <t>ECONOMIC-GROWTH; CAUSALITY</t>
  </si>
  <si>
    <t>Voluminous theoretical and empirical literature examines the relation between financial-sector development and economic growth. However, previous studies have largely ignored progress in former Soviet Central Asian republics engaged in transition from socialist command economies to market economies. This paper seeks to fill this gap in the literature by considering Kazakhstan's experience with financial-sector liberalization and the socioeconomic effects of these reforms. We summarize the prereform economic circumstances prevailing in Kazakhstan, outline the major characteristics of its postcommunist financial system, and provide a detailed chronicle of financial-sector reform measures from 1993 to 2006. The paper focuses on the evolution of Kazakhstan's banking structure, policies adopted by the National Bank of Kazakhstan, and the approach taken to the privatization of state banks, as well as the steps taken to improve bank accounting standards and banking supervision. The development path of nonbank financial institutions and capital markets is also examined. We consider the outcomes of financial-sector reforms and their effects on the economy as a whole.</t>
  </si>
  <si>
    <t>[Akimov, Alexandr] Griffith Univ, Dept Accounting Finance &amp; Econ, Southport, Qld, Australia; [Dollery, Brian] Univ New England, Armidale, NSW, Australia</t>
  </si>
  <si>
    <t>Griffith University; University of New England</t>
  </si>
  <si>
    <t>Akimov, A (corresponding author), Griffith Univ, Dept Accounting Finance &amp; Econ, Southport, Qld, Australia.</t>
  </si>
  <si>
    <t>a.akimov@griffith.edu.au; bdollery@une.edu.au</t>
  </si>
  <si>
    <t>Akimov, Alexandr/GWZ-5497-2022</t>
  </si>
  <si>
    <t>Dollery, Brian/0000-0003-2760-865X</t>
  </si>
  <si>
    <t>10.2753/REE1540-496X440306</t>
  </si>
  <si>
    <t>301XP</t>
  </si>
  <si>
    <t>WOS:000255930000007</t>
  </si>
  <si>
    <t>Rojek, K; Stoika, V</t>
  </si>
  <si>
    <t>Rojek, Konrad; Stoika, Viktoriia</t>
  </si>
  <si>
    <t>The Impact of Electronic Banking on Banking Deposits: The Case of Poland</t>
  </si>
  <si>
    <t>MANAGEMENT-POLAND</t>
  </si>
  <si>
    <t>digitalization; e-banking; mobile banking; deposits; customers</t>
  </si>
  <si>
    <t>INFORMATION-TECHNOLOGY; FINANCIAL SERVICES; USER ACCEPTANCE; MOBILE BANKING; UNIFIED THEORY</t>
  </si>
  <si>
    <t>Purpose: The aim of this paper is to study the trends in the development of e-banking in Poland and its impact on the volume of deposits on bank accounts. Design/methodology/approach: General scientific and empirical methods and tools of economic science, methods of analysis and synthesis, comparison, summary and grouping were used in the study. GRETL software was used to model the relationship between the indicators of e-banking development and the volume of deposits in the Polish banking sector. Findings: The indicators of e-banking development in Poland show a positive trend, but still remain lower than in EU countries with a high level of online banking development. There has been a growing trend in the number of mobile only users, i.e., m-banking is the main channel of banking services for customers. The developed model of the relationship between e-banking indicators and the volume of deposits in Polish banks confirmed the existence of a significant dependence between the number of active e-banking users and the increase in deposit resources. Originality/value: The findings confirm that the growth in the number of e-banking users contributes significantly to an increase in bank deposits. The existence of such a relationship indicates that only those banks that use advanced technologies in their operations and adapt to the customers' needs will be effective and competitive in the market.</t>
  </si>
  <si>
    <t>[Rojek, Konrad] Kazimierz Pulaski Univ Radom, Fac Econ &amp; Finance, Dept Finance Insurance &amp; Accounting, Boleslawa Chrobrego 31, PL-26600 Radom, Poland; [Stoika, Viktoriia] Kazimierz Pulaski Univ Radom, Fac Econ &amp; Finance, Dept Finance Insurance &amp; Accounting, Radom, Poland</t>
  </si>
  <si>
    <t>Kazimierz Pulaski University of Technology &amp; Humanities in Radom; Kazimierz Pulaski University of Technology &amp; Humanities in Radom</t>
  </si>
  <si>
    <t>Rojek, K (corresponding author), Kazimierz Pulaski Univ Radom, Fac Econ &amp; Finance, Dept Finance Insurance &amp; Accounting, Boleslawa Chrobrego 31, PL-26600 Radom, Poland.</t>
  </si>
  <si>
    <t>k.rojek@urad.edu.pl</t>
  </si>
  <si>
    <t>Rojek, Konrad/KCK-9924-2024</t>
  </si>
  <si>
    <t>Rojek, Konrad/0000-0002-4846-8943; Stoika, Viktoriia/0000-0002-6356-890X</t>
  </si>
  <si>
    <t>UNIV ZIELONA GORA PRESS</t>
  </si>
  <si>
    <t>ZIELONA GORA</t>
  </si>
  <si>
    <t>UL PODGORNA 50, ZIELONA GORA, 65-246, POLAND</t>
  </si>
  <si>
    <t>1429-9321</t>
  </si>
  <si>
    <t>2299-193X</t>
  </si>
  <si>
    <t>MANAGE-POL</t>
  </si>
  <si>
    <t>Manag.-Pol.</t>
  </si>
  <si>
    <t>10.58691/man/205910</t>
  </si>
  <si>
    <t>5KW6S</t>
  </si>
  <si>
    <t>WOS:001538105300004</t>
  </si>
  <si>
    <t>Ky, SS; Rugemintwari, C; Sauviat, A</t>
  </si>
  <si>
    <t>Ky, Serge Stephane; Rugemintwari, Clovis; Sauviat, Alain</t>
  </si>
  <si>
    <t>Friends or Foes? Mobile money interaction with formal and informal finance</t>
  </si>
  <si>
    <t>Mobile money; Formal finance; Informal finance; Deposit behavior; Financial inclusion; Developing countries</t>
  </si>
  <si>
    <t>Access to formal financial services is a key determinant of financial inclusion and yet, informal mechanisms still dominate the financial system in developing countries. In this context, the purpose of our article is to investigate how the growing effort to harness mobile money designed for unbanked individuals may help to overcome barriers to access formal financial services. Using a unique dataset obtained from an individual-level survey conducted in Burkina Faso, we explore the interplay between mobile money innovation and pre-existing formal and informal financial instruments. Our main findings show that, overall there are no differences in the inclination of mobile money users and non-users to make deposits in formal or informal deposit instruments. However, a closer investigation reveals suggestive evidence that it may increase the probability of participants in informal mechanisms to make deposits in formal financial instruments, especially using a bank account. Moreover, considering disadvantaged groups, we find for women, irregular income and less educated individuals that mobile money may increase their probability to make deposits in a bank and/or credit union accounts. Our results are robust to using instrumental variables and propensity score matching techniques that mitigate the endogeneity problem. They also pass a number of robustness checks as well as considering an alternative dataset. Given the low access to formal financial services in developing countries, our findings taken together indicate how the increasing adoption of mobile money may act as a stepping-stone towards financial inclusion.</t>
  </si>
  <si>
    <t>[Ky, Serge Stephane] Univ Ouahigouya, Lab Anal &amp; Polit Econ, 12 BP 417, Ouagadougou 12, Burkina Faso; [Ky, Serge Stephane; Rugemintwari, Clovis; Sauviat, Alain] Univ Limoges, Lab Anal &amp; Prospect Econ, 5 Rue Felix Eboue, F-87031 Limoges, France</t>
  </si>
  <si>
    <t>Universite de Limoges</t>
  </si>
  <si>
    <t>Ky, SS (corresponding author), Univ Ouahigouya, Lab Anal &amp; Polit Econ, 12 BP 417, Ouagadougou 12, Burkina Faso.</t>
  </si>
  <si>
    <t>kysserge@gmail.com; clovis.rugemintwari@unilim.fr; alain.sauviat@unilim.fr</t>
  </si>
  <si>
    <t>Ky, Serge Stéphane/GPX-1578-2022</t>
  </si>
  <si>
    <t>Ky, Serge Stéphane/0000-0002-0288-1759; Rugemintwari, Clovis/0000-0002-6547-3701</t>
  </si>
  <si>
    <t>10.1016/j.telpol.2020.102057</t>
  </si>
  <si>
    <t>QB6WA</t>
  </si>
  <si>
    <t>WOS:000614279700009</t>
  </si>
  <si>
    <t>Garcia-Santillán, A; Venegas-Martínez, F; Mendoza-Rivera, RJ</t>
  </si>
  <si>
    <t>Garcia-Santillan, Arturo; Venegas-Martinez, Francisco; Mendoza-Rivera, Ricardo Jacob</t>
  </si>
  <si>
    <t>Financial Literacy of Workers in the Tourism Industry in Mexico in 2023: a Structural Equations Approach</t>
  </si>
  <si>
    <t>REVISTA MEXICANA DE ECONOMIA Y FINANZAS NUEVA EPOCA REMEF</t>
  </si>
  <si>
    <t>Financial literacy; methodology SEM; financial education</t>
  </si>
  <si>
    <t>FIT INDEXES; SAMPLE-SIZE; HIGH-SCHOOL; EDUCATION</t>
  </si>
  <si>
    <t>This paper attempts to examine the level of financial knowledge of workers in the tourism industry in Mexico through the Structural Equations Methodology (SEM). The type of sampling is non-probabilistic by self-determination. A questionnaire is applied to 500 workers, in 2023, from Mexican companies in the tourism sector considering the following 7 issues: investment, savings, credit, insurance, pensions, expenses and budgets. The SEM allows bring to light the financial knowledge that the surveyed workers have about these issues. Based on a factor structure obtained from the confirmatory analysis, which presents good goodness of fit, structural adjustment, and parsimony, the main findings are: 1) in terms of credit, workers give importance to the requirements requested by financial institutions and consider that they are easy to interpret and comply with, 2) in terms of retirement fund accounts, workers feel confident in institutions that manage their retirement savings and are clear about commissions, 3) in terms of savings, workers perceive that bank accounts have been adapted to their needs since banks have become very flexible in terms of requirements for opening and initial amounts with clear and complete account information, 4) in terms of investment, workers hardly acquire bank promissory notes, and 5) regarding life insurance, workers express the ease that exists to contract insurance, although the cost is limited. The results obtained have practical implications for the tourism sector to continue promoting the habit of saving and the use of financial services and products to which the worker can have access, since this financial knowledge translates into more organized employees in their financial affairs.</t>
  </si>
  <si>
    <t>[Garcia-Santillan, Arturo] Tecnol Nacl Mexico, Mexico City, Mexico; [Venegas-Martinez, Francisco; Mendoza-Rivera, Ricardo Jacob] Inst Politecn Nacl, Mexico City, Mexico</t>
  </si>
  <si>
    <t>Instituto Politecnico Nacional - Mexico</t>
  </si>
  <si>
    <t>Garcia-Santillán, A (corresponding author), Tecnol Nacl Mexico Sede ITSM, Misantla, Veracruz, Mexico.</t>
  </si>
  <si>
    <t>agarcias@itsm.edu.mx; fvenegas1111@yahoo.com.mx; ricardo.mendoza.ipn@gmail.com</t>
  </si>
  <si>
    <t>Garcia-Santillan, Arturo/M-8719-2016; Venegas-Martínez, Francisco/AAH-2212-2021</t>
  </si>
  <si>
    <t>Mendoza-Rivera, Ricardo Jacob/0000-0003-2669-9860;</t>
  </si>
  <si>
    <t>INST MEXICANO EJECUTIVOS FINANZAS-IMEF</t>
  </si>
  <si>
    <t>MEXICO</t>
  </si>
  <si>
    <t>PATRICIO SANZ NO 1516, MEXICO, 03100, MEXICO</t>
  </si>
  <si>
    <t>2448-6795</t>
  </si>
  <si>
    <t>REV MEX EC FIN NUEVA</t>
  </si>
  <si>
    <t>Rev. Mex. Econ. Finanz. Nueva Epoca REMEF</t>
  </si>
  <si>
    <t>JAN-MAR</t>
  </si>
  <si>
    <t>e962</t>
  </si>
  <si>
    <t>10.21919/remef.v19i1.962</t>
  </si>
  <si>
    <t>T4717</t>
  </si>
  <si>
    <t>WOS:001637628300011</t>
  </si>
  <si>
    <t>Namawejje, H; Yawe, B</t>
  </si>
  <si>
    <t>Namawejje, Hellen; Yawe, Bruno</t>
  </si>
  <si>
    <t>Financial literacy among rural agribusiness women in Luweero District, Uganda: implications for mobile money and village savings and loan associations</t>
  </si>
  <si>
    <t>Financial literacy; financial behaviour; rural; agribusiness; women; Uganda; Rural Development; Gender and Development; Finance</t>
  </si>
  <si>
    <t>BEHAVIOR</t>
  </si>
  <si>
    <t>In an era of growing financial complexity, understanding the financial literacy levels of rural agribusiness women is paramount for promoting economic empowerment and inclusion. This study examines the financial literacy levels among rural agribusiness women in Luweero District, Uganda, and the factors influencing these levels. Using binary logistic regression, we analyze the effect of personal financial training, membership in village savings and loan associations (VSLAs), mobile money usage, possession of a bank account, income levels, and education on financial literacy. Our findings reveal the importance of financial literacy training in enhancing financial literacy levels. Additionally, we identify positive associations between membership in VSLAs, mobile money usage, and financial literacy levels. Moreover, perceived financial control emerges as a significant factor affecting financial literacy among rural agribusiness women in Luweero District. These insights have implications for policymakers and practitioners seeking to promote financial inclusion and empowerment among rural communities, particularly through targeted interventions leveraging mobile money and VSLAs. This research highlights the critical role of financial literacy in empowering rural agribusiness women in Luweero District, Uganda. By analyzing the influence of factors such as financial training, village savings and loan associations (VSLAs), and mobile money usage, the study underscores the importance of targeted interventions in enhancing financial literacy. Our findings demonstrate that financial education, participation in VSLAs, and mobile money usage significantly improve financial literacy levels, which in turn supports economic empowerment and inclusion. These insights provide valuable guidance for policymakers and practitioners aiming to promote financial inclusion in rural communities through strategic, evidence-based programs.</t>
  </si>
  <si>
    <t>[Namawejje, Hellen] Makerere Univ, Dept Stat Methods &amp; Actuarial Sci, Kampala, Uganda; [Yawe, Bruno] Makerere Univ, Dept Econ Theory &amp; Anal, Kampala, Uganda</t>
  </si>
  <si>
    <t>Makerere University; Makerere University</t>
  </si>
  <si>
    <t>Namawejje, H (corresponding author), Makerere Univ, Dept Stat Methods &amp; Actuarial Sci, Kampala, Uganda.</t>
  </si>
  <si>
    <t>hnamawejje@gmail.com</t>
  </si>
  <si>
    <t>Namawejje, Hellen/0000-0001-7966-0201</t>
  </si>
  <si>
    <t>Carnegie Corporation of New York</t>
  </si>
  <si>
    <t>10.1080/23322039.2024.2387242</t>
  </si>
  <si>
    <t>A8N0I</t>
  </si>
  <si>
    <t>WOS:001285038200001</t>
  </si>
  <si>
    <t>Rehman, R; Katpar, SJ; Hussain, M; Khan, R</t>
  </si>
  <si>
    <t>Rehman, Rehana; Katpar, Shah Jahan; Hussain, Mehwish; Khan, Rakhshaan</t>
  </si>
  <si>
    <t>Producing financially literate medical graduates - a national need for a brighter Pakistan</t>
  </si>
  <si>
    <t>JOURNAL OF THE PAKISTAN MEDICAL ASSOCIATION</t>
  </si>
  <si>
    <t>Financial wellness; Financial literacy; Wellness wheel; Medical students; Pakistan</t>
  </si>
  <si>
    <t>STUDENTS; HEALTH</t>
  </si>
  <si>
    <t>Objective: To compare the awareness of financial wellness between male and female medical students. Methods: The cross-sectional questionnaire-based survey was conducted from February to December 2011 and comprised first year medical students belonging to different medical colleges of Karachi. Students from both genders, aged 19-24 years, belonging to all ethnic groups willing to participate were included. A close-ended questionnaire evaluated aspects of financial wellness, using four-point Likert's scale: never, sometimes, mostly, and always from 0 to 4. Besides, factor analysis was performed to investigate common financial wellness among the participants. Results: Of the total 800 students approached, complete responses were received from 736(92%); 210(28.5%) boys and 526(71.5%) girls. The mean financial wellness score of boys was 8.60+/-3.04 and that of the girls was 7.61+/-3.12 (p&lt;0.0005). Greater number of boys 93(44%) set both short-and long-term financial goals compared to 180(36%) girls (p=0.03). Besides, 218(42%) girls confined themselves to the budget compared to 81(39%) boys (p&gt;0.05). More boys 71(34%) were spendthrift (p&lt;0.0001) and 57(27%) preferred to keep their savings in bank accounts compared to the girls (p&lt;0.0001). Overall, boys were better in financial security wellness compared to the girls (p=0.001). Conclusion: Male medical students exhibited awareness of financial wellness better than girls.</t>
  </si>
  <si>
    <t>[Rehman, Rehana] Aga Khan Univ, Dept Biol &amp; Biomed Sci, Karachi, Pakistan; [Katpar, Shah Jahan] Liaquat Univ Med &amp; Hlth Sci, Inst Dent, Jamshoro, Pakistan; [Hussain, Mehwish] Dow Univ Hlth Sci, Dept Biostat, Karachi, Pakistan</t>
  </si>
  <si>
    <t>Rehman, R (corresponding author), Aga Khan Univ, Dept Biol &amp; Biomed Sci, Karachi, Pakistan.</t>
  </si>
  <si>
    <t>Rehman, Rehana/AAG-1473-2020; Hussain, Mehwish/H-3345-2019</t>
  </si>
  <si>
    <t>Hussain, Mehwish/0000-0001-5322-9480</t>
  </si>
  <si>
    <t>PAKISTAN MEDICAL ASSOC</t>
  </si>
  <si>
    <t>KARACHI</t>
  </si>
  <si>
    <t>PMA HOUSE, AGA KHAN III RD, KARACHI, 00000, PAKISTAN</t>
  </si>
  <si>
    <t>0030-9982</t>
  </si>
  <si>
    <t>J PAK MED ASSOC</t>
  </si>
  <si>
    <t>J. Pak. Med. Assoc.</t>
  </si>
  <si>
    <t>Medicine, General &amp; Internal; Medicine, Research &amp; Experimental</t>
  </si>
  <si>
    <t>General &amp; Internal Medicine; Research &amp; Experimental Medicine</t>
  </si>
  <si>
    <t>CQ2PX</t>
  </si>
  <si>
    <t>WOS:000360444600011</t>
  </si>
  <si>
    <t>Hewett, PC; Austrian, K; Soler-Hampejsek, E; Behrman, JR; Bozzani, F; Jackson-Hachonda, NA</t>
  </si>
  <si>
    <t>Hewett, Paul C.; Austrian, Karen; Soler-Hampejsek, Erica; Behrman, Jere R.; Bozzani, Fiammetta; Jackson-Hachonda, Natalie A.</t>
  </si>
  <si>
    <t>Cluster randomized evaluation of Adolescent Girls Empowerment Programme (AGEP): study protocol</t>
  </si>
  <si>
    <t>BMC PUBLIC HEALTH</t>
  </si>
  <si>
    <t>Adolescent girls; Randomized trial; Multi-sectoral; Zambia; Empowerment; Savings; Financial education; Nutrition education; Sexual and reproductive health; HIV; HSV-2</t>
  </si>
  <si>
    <t>HEALTH INTERVENTIONS; DEVELOPING-COUNTRIES</t>
  </si>
  <si>
    <t>Background: Adolescents in less developed countries such as Zambia often face multi-faceted challenges for achieving successful transitions through adolescence to early adulthood. The literature has noted the need to introduce interventions during this period, particularly for adolescent girls, with the perspective that such investments have significant economic, social and health returns to society. The Adolescent Girls Empowerment Programme (AGEP) was an intervention designed as a catalyst for change for adolescent girls through themselves, to their family and community. Methods/design: AGEP was a multi-sectoral intervention targeting over 10,000 vulnerable adolescent girls ages 10-19 in rural and urban areas, in four of the ten provinces of Zambia. At the core of AGEP were mentor-led, weekly girls' group meetings of 20 to 30 adolescent girls participating over two years. Three curricula. sexual and reproductive health and lifeskills, financial literacy, and nutrition. guided the meetings. An engaging and participatory pedagogical approach was used. Two additional program components, a health voucher and a bank account, were offered to some girls to provide direct mechanisms to improve access to health and financial services. Embedded within AGEP was a rigorous multi-arm randomised cluster trial with randomization to different combinations of programme arms. The study was powered to assess the impact across a set of key longer-term outcomes, including early marriage and first birth, contraceptive use, educational attainment and acquisition of HIV and HSV-2. Baseline behavioural surveys and biological specimen collection were initiated in 2013. Impact was evaluated immediately after the program ended in 2015 and will be evaluated again after two additional years of follow-up in 2017. The primary analysis is intent-to-treat. Qualitative data are being collected in 2013, 2015 and 2017 to inform the programme implementation and the quantitative findings. An economic evaluation will evaluate the incremental cost effectiveness of each component of the intervention. Discussion: The AGEP program and embedded evaluation will provide detailed information regarding interventions for adolescent girls in developing country settings. It will provide a rich information and data source on adolescent girls and its related findings will inform policy-makers, health professionals, donors and other stakeholders.</t>
  </si>
  <si>
    <t>[Hewett, Paul C.] Populat Council, 4301 Connecticut Ave, Washington, DC 20008 USA; [Austrian, Karen] Populat Council, POB 17643-00500, Nairobi, Kenya; [Soler-Hampejsek, Erica] Populat Council, One Dag Hammarskjold Plaza, New York, NY 10017 USA; [Behrman, Jere R.] Univ Penn, Dept Econ, 3718 Locust Walk, Philadelphia, PA 19104 USA; [Behrman, Jere R.] Univ Penn, Dept Sociol, 3718 Locust Walk, Philadelphia, PA 19104 USA; [Bozzani, Fiammetta] London Sch Hyg &amp; Trop Med, 15-17 Tavistock Pl, London WC1H 9SH, England; [Jackson-Hachonda, Natalie A.] Populat Council, Plot 3670,4 Mwaleshi Rd,Olympia Pk, Lusaka 10101, Zambia</t>
  </si>
  <si>
    <t>Population Council; Population Council; University of Pennsylvania; University of Pennsylvania; University of London; London School of Hygiene &amp; Tropical Medicine</t>
  </si>
  <si>
    <t>Hewett, PC (corresponding author), Populat Council, 4301 Connecticut Ave, Washington, DC 20008 USA.</t>
  </si>
  <si>
    <t>phewett@popcouncil.org</t>
  </si>
  <si>
    <t>Behrman, Jere/A-9734-2009</t>
  </si>
  <si>
    <t>Behrman, Jere/0000-0001-7835-6283; Bozzani, Fiammetta/0000-0002-9518-6885</t>
  </si>
  <si>
    <t>BIOMED CENTRAL LTD</t>
  </si>
  <si>
    <t>236 GRAYS INN RD, FLOOR 6, LONDON WC1X 8HL, ENGLAND</t>
  </si>
  <si>
    <t>1471-2458</t>
  </si>
  <si>
    <t>BMC Public Health</t>
  </si>
  <si>
    <t>MAY 5</t>
  </si>
  <si>
    <t>10.1186/s12889-017-4280-1</t>
  </si>
  <si>
    <t>Public, Environmental &amp; Occupational Health</t>
  </si>
  <si>
    <t>EU1XK</t>
  </si>
  <si>
    <t>WOS:000400819100001</t>
  </si>
  <si>
    <t>Meissner, L; Danne, M; Musshoff, O</t>
  </si>
  <si>
    <t>Meissner, Luise; Danne, Michael; Musshoff, Oliver</t>
  </si>
  <si>
    <t>Financial knowledge, attitude towards money and investment decisions: new insights for the farmland market</t>
  </si>
  <si>
    <t>Investment decisions; discrete choice modelling; farmland market; mixed logit model; individual attitudes; Q14; Q15; C25</t>
  </si>
  <si>
    <t>CHOICE SETS; LITERACY; SASKATCHEWAN; INVESTORS; VALUES; GENDER; MODELS; MATTER</t>
  </si>
  <si>
    <t>A considerable share of farmland market activity is related to non-agricultural owners. Recent research has shown that those non-agricultural owners are likely to be private persons. However, little is known about potential factors which drive their decision to invest in farmland. This study aims to investigate four groups of factors which could affect the decision of non-agricultural persons to buy farmland: Key investment information, financial knowledge, the attitude towards money, and sociodemographic characteristics. Primary discrete choice data, which is representative for our study region Germany within four categories, has been collected for the purpose of this study. 637 participants were asked to invest in farmland, financial products or save their money in a bank account. A mixed logit approach revealed, that variables from each factor group are related to the decision to invest in farmland. According to the effect sizes, risk (volatility of returns), returns, a university degree and a preference for a secure investment performance are especially important factors for investment decisions. Furthermore, considerable differences exist between people with a high financial literacy score or a high level of self-assessed financial knowledge.</t>
  </si>
  <si>
    <t>[Meissner, Luise] Leibniz Ctr Agr Landscape Res ZALF, Muencheberg, Germany; [Meissner, Luise; Musshoff, Oliver] Georg August Univ Goettingen, Dept Agr Econ &amp; Rural Dev, Gottingen, Germany; [Danne, Michael] Johann Heinrich von Thuenen Inst, Inst Farm Econ, Braunschweig, Germany; [Meissner, Luise] Leibniz Ctr Agr Landscape Res ZALF, Eberswalder Str 84, D-15374 Muencheberg, Germany</t>
  </si>
  <si>
    <t>Leibniz Association; Leibniz Zentrum fur Agrarlandschaftsforschung (ZALF); University of Gottingen; Johann Heinrich von Thunen Institute; Leibniz Association; Leibniz Zentrum fur Agrarlandschaftsforschung (ZALF)</t>
  </si>
  <si>
    <t>Meissner, L (corresponding author), Leibniz Ctr Agr Landscape Res ZALF, Eberswalder Str 84, D-15374 Muencheberg, Germany.</t>
  </si>
  <si>
    <t>luise.meissner@zalf.de</t>
  </si>
  <si>
    <t>Meissner, Luise/HSH-4544-2023; Musshoff, Oliver/AAZ-1868-2021</t>
  </si>
  <si>
    <t>Meissner, Luise/0000-0002-0147-4609; Musshoff, Oliver/0000-0002-3746-623X</t>
  </si>
  <si>
    <t>Deutsche Forschungsgemeinschaft</t>
  </si>
  <si>
    <t>Deutsche Forschungsgemeinschaft(German Research Foundation (DFG))</t>
  </si>
  <si>
    <t>This work was supported by the Deutsche Forschungsgemeinschaft.</t>
  </si>
  <si>
    <t>DEC 19</t>
  </si>
  <si>
    <t>10.1080/00036846.2023.2293670</t>
  </si>
  <si>
    <t>L3Z9M</t>
  </si>
  <si>
    <t>WOS:001127995300001</t>
  </si>
  <si>
    <t>Ivanova, A; Noh, G</t>
  </si>
  <si>
    <t>Ivanova, Aisena; Noh, Grimm</t>
  </si>
  <si>
    <t>The Impact of Service Quality and Loyalty on Adoption and Use of Mobile Banking Services: Empirical Evidence from Central Asian Context</t>
  </si>
  <si>
    <t>Mobile Banking; Service Quality; Loyalty; Adoption and Use Behavior</t>
  </si>
  <si>
    <t>CUSTOMER SATISFACTION; PURCHASE INTENTION; UNIFIED THEORY; ACCEPTANCE; DIMENSIONS; TRUST; COMMERCE; SYSTEMS; SITE</t>
  </si>
  <si>
    <t>The service industry has been acknowledged as a critical part of mobile banking services in recent years. This study examines the impact of e-service quality and loyalty on the intention to use and use behavior of mobile banking services in Mongolia, a Central Asian country. As a result, based on past research, a conceptual model was suggested. This study comprises 209 completed questionnaires from young Mongolians who own a bank account and a smartphone. The data was collected based on convenience sampling, and it was analyzed with SmartPLS software using a partial least squares-structural equation modeling (PLS-SEM) technique. The findings indicate that system quality, interface design, and security assurance have a significant positive impact on service quality; service quality has a positive impact on loyalty. Moreover, the results reveal that service quality and loyalty have a significant influence on the intention to use mobile banking services. The findings of this study suggest that local or international banks and financial institutions in Mongolia should consider system quality, interface design, and security concerns as key successors to building perceived security quality to retain current mobile banking users and attract new customers.</t>
  </si>
  <si>
    <t>[Ivanova, Aisena; Noh, Grimm] Woosong Univ, Endicott Coll Int Studies, Daejeon, South Korea; [Ivanova, Aisena] Mongolia Int Univ MIU, Sch Management, Ulan Bator, Mongolia; [Ivanova, Aisena; Noh, Grimm] 171 Dongdaejeon Ro 155-3 Jayang Dong, Daejeon 34606, South Korea</t>
  </si>
  <si>
    <t>Woosong University</t>
  </si>
  <si>
    <t>Ivanova, A (corresponding author), Woosong Univ, Endicott Coll Int Studies, Daejeon, South Korea.;Ivanova, A (corresponding author), Mongolia Int Univ MIU, Sch Management, Ulan Bator, Mongolia.;Ivanova, A (corresponding author), 171 Dongdaejeon Ro 155-3 Jayang Dong, Daejeon 34606, South Korea.</t>
  </si>
  <si>
    <t>aisena@miu.edu.mn; gnoh@wsu.ac.kr</t>
  </si>
  <si>
    <t>Ivanova, Aisena/GLT-2590-2022</t>
  </si>
  <si>
    <t>10.13106/jafeb.2022.vol9.no5.0075</t>
  </si>
  <si>
    <t>2A7BP</t>
  </si>
  <si>
    <t>WOS:000809653200008</t>
  </si>
  <si>
    <t>Altaf, M; Ullah, K; Atiq, M</t>
  </si>
  <si>
    <t>Altaf, Mahnoor; Ullah, Karim; Atiq, Muhammad</t>
  </si>
  <si>
    <t>Women-owned businesses and access to finance in Pakistan: a study of perceptions, experiences and behaviors</t>
  </si>
  <si>
    <t>QUALITATIVE RESEARCH IN FINANCIAL MARKETS</t>
  </si>
  <si>
    <t>Pakistan; Women entrepreneurs; Financial inclusion; Access; Owned; Business; SDG 5; SDG 10; SDG 8</t>
  </si>
  <si>
    <t>BANK LOAN OFFICERS; FEMALE ENTREPRENEURS; GENDER-DIFFERENCES; MICROFINANCE; MICROCREDIT; INEQUALITY; COUNTRY; POVERTY; FIRMS</t>
  </si>
  <si>
    <t>PurposeThe purpose of this paper is to explore the perceptions, experiences and behaviors of women entrepreneurs and industry professionals in raising finance for women-led businesses and associated problems faced by the women entrepreneurs.Design/methodology/approachThis qualitative research adopts a narrative inquiry strategy. In-depth interviews are used to collect data from women entrepreneurs and women industry professionals in Pakistan. NVivo qualitative data analysis software is used to organize, analyze and find insights in the qualitative data.FindingsThis research finds that women entrepreneurs struggle to secure financing for their businesses, and most of them have not been successful in obtaining loans from banks. Women entrepreneurs have relied on various sources of funding, including microfinance banks, grants, personal finance and family members. Some of the barriers to finance attainment for women entrepreneurs include sociocultural inhibitions, lack of awareness and limited information dissemination by financial institutions. Women professionals suggest that entrepreneurs should maintain a bank account, have proper documentation and show dedication to their business to improve their chances of obtaining financing.Research limitations/implicationsThis research provides theoretical contributions and methodological advancements in the study of financial inclusion for women-owned businesses in Pakistan. This research raises awareness about the difficulties women entrepreneurs face when trying to obtain credit from banks and other financial institutions and provides policy recommendations to inform the government about financial inclusion policies and financing policies for women entrepreneurs. Overall, this research contributes to the literature on financial access and access to finance for women-owned businesses in developing countries.Originality/valueBased on the vulnerable group theory and theory of discouraged borrower, this paper has two important theoretical and practical implications. First, the findings of this study reveal that the financial services are indifferent to women, and there is a denial of women being vulnerable in the financial system, hence requiring a major policy shift to not portray women as vulnerable, as they will rationally feel risky and prefer to opt out of the financial system. Second, the findings suggest that the issue of access to finance for women is not in the financial services but in the women's capabilities and awareness. Therefore, a policy shift is suggested from financial services for women to capability and awareness of women to avail and access the current services.</t>
  </si>
  <si>
    <t>[Altaf, Mahnoor] SZABIST Univ, Shaheed Zulfikar Ali Bhutto Inst Sci &amp; Technol, Islamabad Campus, Islamabad, Pakistan; [Ullah, Karim; Atiq, Muhammad] Inst Management Sci Imsci, Peshawar, Pakistan</t>
  </si>
  <si>
    <t>Shaheed Zulfikar Ali Bhutto Institute of Science &amp; Technology</t>
  </si>
  <si>
    <t>Altaf, M (corresponding author), SZABIST Univ, Shaheed Zulfikar Ali Bhutto Inst Sci &amp; Technol, Islamabad Campus, Islamabad, Pakistan.</t>
  </si>
  <si>
    <t>mahnoor.altaf@szabist-isb.edu.pk</t>
  </si>
  <si>
    <t>Ullah, Karim/GRO-1267-2022</t>
  </si>
  <si>
    <t>1755-4179</t>
  </si>
  <si>
    <t>QUAL RES FINANC MARK</t>
  </si>
  <si>
    <t>Qual. Res. Financ. Mark.</t>
  </si>
  <si>
    <t>APR 11</t>
  </si>
  <si>
    <t>10.1108/QRFM-08-2023-0189</t>
  </si>
  <si>
    <t>1DB1K</t>
  </si>
  <si>
    <t>WOS:001297265600001</t>
  </si>
  <si>
    <t>Fall, FS; Orozco, L; Akim, A</t>
  </si>
  <si>
    <t>Fall, Francois Seck; Orozco, Luis; Akim, Al-Mouksit</t>
  </si>
  <si>
    <t>Adoption and use of mobile banking by low-income individuals in Senegal</t>
  </si>
  <si>
    <t>financial inclusion; individual characteristics; mobile banking; mobile technologies; Senegal; technology adoption</t>
  </si>
  <si>
    <t>FINANCIAL INCLUSION; TECHNOLOGY ADOPTION; INTERNET ADOPTION; DIFFUSION; MODEL; USAGE; DETERMINANTS; ACCEPTANCE; INNOVATION; SERVICES</t>
  </si>
  <si>
    <t>The wide use of mobile phones increases low-income individuals' access to a large range of services. One of these services is mobile banking (m-banking). Today, m-banking represents a key vector of financial inclusion in many countries in sub-Saharan Africa, especially Senegal. Based on technology adoption theories applied to households in developing countries, this paper studies the determinants of the adoption and use of m-banking. We distinguish between possession or adoption and actual use of m-banking and examine the interdependence between these two decisions by using the Heckman sample selection model, through a sample of 1,052 individuals in the suburbs of Dakar. Our main results are that the two decisions (adoption and use) are not independent of each other. Individual characteristics, such as education, possession of a bank account, and family network effects, are determinants of the adoption, and age, gender, and being a member of a tontine are determinants of the use. A major result of this study concerns women's low propensity to adopt m-banking because of their low levels of education. However, compared with men, when women adopt m-banking, they have a stronger propensity to use it.</t>
  </si>
  <si>
    <t>[Fall, Francois Seck; Orozco, Luis] Univ Toulouse, LEREPS, Toulouse, France; [Akim, Al-Mouksit] World Bank, 1818 H St NW, Washington, DC 20433 USA; [Akim, Al-Mouksit] IRD, LEDa, UMR 225, DIAL, Paris, France; [Akim, Al-Mouksit] CARDES, Ouagadougou, Burkina Faso</t>
  </si>
  <si>
    <t>Universite Federale Toulouse Midi-Pyrenees (ComUE); Universite de Toulouse; Institut d'Etudes Politiques Toulouse (SciencePo Toulouse); Universite Toulouse III - Paul Sabatier; The World Bank; Institut de Recherche pour le Developpement (IRD); Universite PSL; Universite Paris-Dauphine; Centre National de la Recherche Scientifique (CNRS); Laboratoire dEconomie de Dauphine LEDa</t>
  </si>
  <si>
    <t>Orozco, L (corresponding author), Univ Toulouse, LEREPS, UT2J, 21 Allee Brienne, F-31042 Toulouse, France.</t>
  </si>
  <si>
    <t>luis.orozco@univ-tlse2.fr</t>
  </si>
  <si>
    <t>; Akim, Al-mouksit/CAF-0587-2022; Orozco, Luis/JEZ-2676-2023</t>
  </si>
  <si>
    <t>FALL, François Seck/0000-0002-9299-5521; Akim, Al-mouksit/0000-0003-3255-0448; Orozco, Luis/0000-0002-0739-4511</t>
  </si>
  <si>
    <t>10.1111/rode.12658</t>
  </si>
  <si>
    <t>LC6UM</t>
  </si>
  <si>
    <t>WOS:000525469100012</t>
  </si>
  <si>
    <t>Marsuki; Sabir; Munawwarah, SM; Muhammad, JT</t>
  </si>
  <si>
    <t>Reni, A; Munir, AR; Munizu, M; Phuakkhong, C; Ahmad, NH; Siddiqui, SH; Kura, KM</t>
  </si>
  <si>
    <t>Marsuki; Sabir; Munawwarah, S. M.; Muhammad, J. T.</t>
  </si>
  <si>
    <t>Role of Banking Inclusion in Reducing Poverty in Eastern Indonesian Region, Sulampua (KTI)</t>
  </si>
  <si>
    <t>PROCEEDINGS OF THE 3RD INTERNATIONAL CONFERENCE ON ACCOUNTING, MANAGEMENT AND ECONOMICS 2018 (ICAME 2018)</t>
  </si>
  <si>
    <t>AEBMR-Advances in Economics Business and Management Research</t>
  </si>
  <si>
    <t>3rd International Conference on Accounting, Management and Economics (ICAME)</t>
  </si>
  <si>
    <t>NOV 04-05, 2018</t>
  </si>
  <si>
    <t>Hasanuddin Univ, Fac Econ &amp; Business, Makassar, INDONESIA</t>
  </si>
  <si>
    <t>Hasanuddin Univ, Fac Econ &amp; Business</t>
  </si>
  <si>
    <t>Financial and banking inclusion; Inequality income; Reducing Poverty</t>
  </si>
  <si>
    <t>This paper has the objective to understand the condition, factor determining and effect of banking inclusion program to income distribution in order to reduce poverty in a selected city in the Eastern Indonesian Region (KTI). It also analyses the banking inclusion effect on income distribution and poverty level in the regions. Banking inclusion is measured by the index, in particular, banking inclusion through banking penetration indicator, banking accessibility, and also the use of bank account. Distribution and inequality of financial and income are measured by the total growth of the poor in the respective regions. Type of this research is explanatory with qualitative approaches by using secondary data and survey in the selected city in KTI. The focuses of research analysis are analysis on banking inclusion index and analysis on relation test between banking inclusion to income distribution indicator and poverty level. Analysis method employs various analysis tools. Banking inclusion index is measured by using financial inclusion index formula. Inequality income indicator and inequality on financial sector employ, namely Gini Ratio Index, and Relation Analysis Approach employs the descriptive method. Generally, assumption put forward is that banking inclusion in the city in KTI can be still categorized in financial inclusion index, in particular, banking relatively low and unequal, except in some province which has been becoming a strategic economic hub, namely Makassar and Manado. It is caused by some structural problems, institutional, human resources, and applicable rules. The result of relation test between banking inclusion index and its inequality to economic inequality indicator, income distribution, and poverty are expected to indicate one-way relation, in which banking inclusion index affects distribution index, and subsequently affect poverty level.</t>
  </si>
  <si>
    <t>[Marsuki; Sabir; Munawwarah, S. M.; Muhammad, J. T.] Hasanuddin Univ, Makassar, Indonesia</t>
  </si>
  <si>
    <t>Universitas Hasanuddin</t>
  </si>
  <si>
    <t>Marsuki (corresponding author), Hasanuddin Univ, Makassar, Indonesia.</t>
  </si>
  <si>
    <t>Dass, Sachin/ABX-2513-2022</t>
  </si>
  <si>
    <t>ATLANTIS PRESS</t>
  </si>
  <si>
    <t>PARIS</t>
  </si>
  <si>
    <t>29 AVENUE LAVMIERE, PARIS, 75019, FRANCE</t>
  </si>
  <si>
    <t>2352-5428</t>
  </si>
  <si>
    <t>978-94-6252-786-7</t>
  </si>
  <si>
    <t>AEBMR ADV ECON</t>
  </si>
  <si>
    <t>BP5ZL</t>
  </si>
  <si>
    <t>WOS:000558679400048</t>
  </si>
  <si>
    <t>Alhothaily, A; Alrawais, A; Song, TY; Lin, B; Cheng, XZ</t>
  </si>
  <si>
    <t>Alhothaily, Abdulrahman; Alrawais, Arwa; Song, Tianyi; Lin, Bin; Cheng, Xiuzhen</t>
  </si>
  <si>
    <t>QuickCash: Secure Transfer Payment Systems</t>
  </si>
  <si>
    <t>SENSORS</t>
  </si>
  <si>
    <t>secure payment systems; QuickCash; mobile payment; P2P payment; banking; QR code</t>
  </si>
  <si>
    <t>Payment systems play a significant role in our daily lives. They are an important driver of economic activities and a vital part of the banking infrastructure of any country. Several current payment systems focus on security and reliability but pay less attention to users' needs and behaviors. For example, people may share their bankcards with friends or relatives to withdraw money for various reasons. This behavior can lead to a variety of privacy and security issues since the cardholder has to share a bankcard and other sensitive information such as a personal identification number (PIN). In addition, it is commonplace that cardholders may lose their cards, and may not be able to access their accounts due to various reasons. Furthermore, transferring money to an individual who has lost their bankcard and identification information is not a straightforward task. A user-friendly person-to-person payment system is urgently needed to perform secure and reliable transactions that benefit from current technological advancements. In this paper, we propose two secure fund transfer methods termed QuickCash Online and QuickCash Offline to transfer money from peer to peer using the existing banking infrastructure. Our methods provide a convenient way to transfer money quickly, and they do not require using bank cards or any identification card. Unlike other person-to-person payment systems, the proposed methods do not require the receiving entity to have a bank account, or to perform any registration procedure. We implement our QuickCash payment systems and analyze their security strengths and properties.</t>
  </si>
  <si>
    <t>[Alhothaily, Abdulrahman; Alrawais, Arwa; Song, Tianyi; Cheng, Xiuzhen] George Washington Univ, Dept Comp Sci, Washington, DC 20052 USA; [Alhothaily, Abdulrahman] Saudi Arabian Monetary Author, Gen Dept Payment Syst, Riyadh 11169, Saudi Arabia; [Alrawais, Arwa] Prince Sattam bin Abdulaziz Univ, Coll Comp Engn &amp; Sci, Al Kharj 11942, Saudi Arabia; [Lin, Bin] Dalian Maritime Univ, Dept Informat Sci &amp; Technol, Dalian 116026, Peoples R China</t>
  </si>
  <si>
    <t>George Washington University; Prince Sattam Bin Abdulaziz University; Dalian Maritime University</t>
  </si>
  <si>
    <t>Lin, B (corresponding author), Dalian Maritime Univ, Dept Informat Sci &amp; Technol, Dalian 116026, Peoples R China.</t>
  </si>
  <si>
    <t>hothaily@gwu.edu; alrawais@gwu.edu; tianyi@gwu.edu; binlin@dlmu.edu.cn; cheng@gwu.edu</t>
  </si>
  <si>
    <t>Song, Tianyi/GRX-5747-2022</t>
  </si>
  <si>
    <t>Saudi Arabian Monetary Authority; Ministry of Education; College of Computer Engineering and Sciences, Prince Sattam bin Abdulaziz University, Saudi Arabia; Fundamental Research Funds for the Central Universities [3132016318]</t>
  </si>
  <si>
    <t>Saudi Arabian Monetary Authority; Ministry of Education; College of Computer Engineering and Sciences, Prince Sattam bin Abdulaziz University, Saudi Arabia; Fundamental Research Funds for the Central Universities(Fundamental Research Funds for the Central UniversitiesPrince of Songkla UniversityInstituto Politecnico Nacional - Mexico)</t>
  </si>
  <si>
    <t>Alhothaily acknowledges the scholarship fund from the Saudi Arabian Monetary Authority. Alrawais acknowledges the scholarship fund from the Ministry of Education and the College of Computer Engineering and Sciences, Prince Sattam bin Abdulaziz University, Saudi Arabia. Bin Lin has been supported by the Fundamental Research Funds for the Central Universities under grant No. 3132016318.</t>
  </si>
  <si>
    <t>1424-8220</t>
  </si>
  <si>
    <t>SENSORS-BASEL</t>
  </si>
  <si>
    <t>Sensors</t>
  </si>
  <si>
    <t>10.3390/s17061376</t>
  </si>
  <si>
    <t>Chemistry, Analytical; Engineering, Electrical &amp; Electronic; Instruments &amp; Instrumentation</t>
  </si>
  <si>
    <t>Chemistry; Engineering; Instruments &amp; Instrumentation</t>
  </si>
  <si>
    <t>EZ2QH</t>
  </si>
  <si>
    <t>WOS:000404553900192</t>
  </si>
  <si>
    <t>Kinney, RL; Hooshyar, D; Tsai, JC</t>
  </si>
  <si>
    <t>Kinney, Rebecca L.; Hooshyar, Dina; Tsai, Jack</t>
  </si>
  <si>
    <t>Use, Benefits, and Barriers to Financial and Credit Counseling Among Veterans According to Financial Counselors and Other Subject Matter Experts</t>
  </si>
  <si>
    <t>MILITARY MEDICINE</t>
  </si>
  <si>
    <t>MONEY MANAGEMENT; HEALTH</t>
  </si>
  <si>
    <t>Introduction Over a million U.S. veterans report an income below the poverty line. The Veterans Affairs (VA) offers financial literacy and money management education to promote veterans' economic well-being. This study examined perceptions of the barriers and facilitators to economic resources among financial providers and experts serving veterans.Methods This study implemented a VA Redcap survey constructed of closed-ended and open-ended questions to examine perceptions of financial programs. Descriptive statistics were used to examine the close-ended responses; qualitative analysis was performed on the open-ended responses.Results A total of 269 subject matter experts responded to the survey. Fifty-nine percent (n = 158) of respondents reported that financial counseling and education for veterans takes place outside of their local VA. Most frequently used services included financial coaching (46%; n = 124), assistance in attaining other sources of income (44%; n = 118), establishing a bank account (25%; n = 67), group financial education (23%; n = 62), and providing representative payee or conservator (19%; n = 51). Barriers to financial counseling and education exist with a lack of program awareness (70%; n = 188) and eligibility (66%; n = 178) being most often reported.Conclusion Financial and money management interventions produce positive outcomes but should consider more effective modes in which to extend reach, education, and build trusting relationships in effort to increase financial stability and quality of life among low-income veterans.</t>
  </si>
  <si>
    <t>[Kinney, Rebecca L.; Hooshyar, Dina; Tsai, Jack] VA Natl Ctr Homelessness Vet, US Dept Vet Affairs, Washington, DC 20420 USA; [Kinney, Rebecca L.] Univ Massachusetts, Med Sch, Dept Populat &amp; Quantitat Hlth Sci, Worcester, MA 01655 USA; [Hooshyar, Dina; Tsai, Jack] Univ Texas Southwestern Med Ctr, Dept Psychiat, Dallas, TX 75390 USA; [Tsai, Jack] Univ Texas Hlth Sci Ctr Houston, Sch Publ Hlth, Dept Management Policy &amp; Community Hlth, Houston, TX 77030 USA; [Tsai, Jack] Yale Sch Med, Dept Psychiat, New Haven, CT 06510 USA</t>
  </si>
  <si>
    <t>US Department of Veterans Affairs; University of Massachusetts System; University of Massachusetts Worcester; University of Texas System; University of Texas Southwestern Medical Center; University of Texas System; University of Texas Health Science Center Houston; University of Texas School Public Health; Yale University</t>
  </si>
  <si>
    <t>Kinney, RL (corresponding author), VA Natl Ctr Homelessness Vet, US Dept Vet Affairs, Washington, DC 20420 USA.;Kinney, RL (corresponding author), Univ Massachusetts, Med Sch, Dept Populat &amp; Quantitat Hlth Sci, Worcester, MA 01655 USA.</t>
  </si>
  <si>
    <t>Rebecca.Kinney@va.gov</t>
  </si>
  <si>
    <t>Tsai, Jack/D-3889-2013; Kinney, Rebecca/HTL-4247-2023</t>
  </si>
  <si>
    <t>VA NCHAV</t>
  </si>
  <si>
    <t>This work was supported by the VA NCHAV.</t>
  </si>
  <si>
    <t>0026-4075</t>
  </si>
  <si>
    <t>1930-613X</t>
  </si>
  <si>
    <t>MIL MED</t>
  </si>
  <si>
    <t>Milit. Med.</t>
  </si>
  <si>
    <t>5-6</t>
  </si>
  <si>
    <t>10.1093/milmed/usaf040</t>
  </si>
  <si>
    <t>1SO9L</t>
  </si>
  <si>
    <t>WOS:001421400800001</t>
  </si>
  <si>
    <t>Balasubramanian, SA; Kuppusamy, T</t>
  </si>
  <si>
    <t>Balasubramanian, Senthil Arasu; Kuppusamy, Thenmozhi</t>
  </si>
  <si>
    <t>Does female labour force participation contribute to better financial inclusion? Evidence from cross-country analysis</t>
  </si>
  <si>
    <t>JOURNAL OF ECONOMIC AND ADMINISTRATIVE SCIENCES</t>
  </si>
  <si>
    <t>Financial inclusion; Female labour force participation; Women; OLS; IV regression</t>
  </si>
  <si>
    <t>GENDER; ACCESS; DETERMINANTS; GROWTH</t>
  </si>
  <si>
    <t>Purpose The purpose of this paper is to analyse the impact of female labour force participation (FLFP) in the access and usage of formal financial services by women. Design/methodology/approach The study uses cross-country data from 107 countries. The study uses multivariate regression (OLS) to explain the impact of FLFP on the financial inclusion variables. The study also accounted for different groups of country-level control variables. Instrumental variables regression is also used in the study to consider for endogeneity issues. Findings The results show that FLFP has significant influence on all of the financial inclusion variables used in the study. The role of financial literacy is prominent in determining women's access to sophisticated financial services such as debit card and credit card. Improving financial infrastructure of an economy facilitates greater access to formal account by women Practical implications From policymakers' perspective, women should be motivated to enter labour market for better financial inclusion. Social implications More opportunities for women to enter formal employment encourages female participation in labour market and benefits women and the economy. Originality/value This paper is the first of its kind to study the influence of FLFP on indicators of financial inclusion of women. The study extended the scope of access to financial services by considering access to bank account, debit card and credit card. The study also analysed use of financial services through digital platforms by women.</t>
  </si>
  <si>
    <t>[Balasubramanian, Senthil Arasu; Kuppusamy, Thenmozhi] Natl Inst Technol Tiruchirappalli, Dept Management Studies, Tiruchirappalli, India</t>
  </si>
  <si>
    <t>National Institute of Technology (NIT System); National Institute of Technology Tiruchirappalli</t>
  </si>
  <si>
    <t>Kuppusamy, T (corresponding author), Natl Inst Technol Tiruchirappalli, Dept Management Studies, Tiruchirappalli, India.</t>
  </si>
  <si>
    <t>thenmozhik86@gmail.com</t>
  </si>
  <si>
    <t>; Balasubramanian, Senthil Arasu/AAN-9489-2020; Kuppusamy, Thenmozhi/M-1644-2016</t>
  </si>
  <si>
    <t>K, Thenmozhi/0000-0003-2638-675X; Balasubramanian, Senthil Arasu/0000-0002-3639-8124;</t>
  </si>
  <si>
    <t>1026-4116</t>
  </si>
  <si>
    <t>2054-6246</t>
  </si>
  <si>
    <t>J ECONOM ADM SCI</t>
  </si>
  <si>
    <t>J. Econom. Adm. Sci.</t>
  </si>
  <si>
    <t>OCT 22</t>
  </si>
  <si>
    <t>10.1108/JEAS-08-2020-0151</t>
  </si>
  <si>
    <t>DEC 2020</t>
  </si>
  <si>
    <t>WM1PP</t>
  </si>
  <si>
    <t>WOS:000603476400001</t>
  </si>
  <si>
    <t>Kim, KH</t>
  </si>
  <si>
    <t>Kim, Kyung-ha</t>
  </si>
  <si>
    <t>The role of mobile money in improving the financial inclusion of Nairobi's urban poor</t>
  </si>
  <si>
    <t>financial inclusion; fintech; mobile money; Nairobi; urban poor</t>
  </si>
  <si>
    <t>The aim of this research is to examine the extent to which mobile money has improved the financial inclusion of Nairobi's urban poor. Nairobi is Kenya's largest and most developed city, but it is also the city where the country's largest slum is located. The city's poorest strata, the so-called urban poor, account for a large proportion of Nairobi's population; most of them face exclusion from accessing formal financial services. However, mobile money has enabled them to access financial services more easily. Based on survey research conducted by the author in Nairobi, this paper demonstrates that the urban poor were far less likely to have a bank account than middle- and high-income groups, but that they had a high need for saving services/safe money storage. Mobile money has provided a savings service that is better suited to the needs of the urban poor than that offered by other channels and has enabled them to save small amount of money more frequently. This has encouraged greater use of mobile money and has significantly decreased levels of financial exclusion amongst the urban poor (p&lt; .001).</t>
  </si>
  <si>
    <t>[Kim, Kyung-ha] Univ London, Econ, SOAS, London, England</t>
  </si>
  <si>
    <t>Kim, KH (corresponding author), Univ London, Econ, SOAS, London, England.</t>
  </si>
  <si>
    <t>kh_kim@soas.ac.uk</t>
  </si>
  <si>
    <t>NOV 9</t>
  </si>
  <si>
    <t>10.1080/20421338.2020.1733281</t>
  </si>
  <si>
    <t>APR 2020</t>
  </si>
  <si>
    <t>OY2IG</t>
  </si>
  <si>
    <t>WOS:000540848000001</t>
  </si>
  <si>
    <t>Kuzina, OE; Abduramanov, AY; Moiseeva, DV</t>
  </si>
  <si>
    <t>Kuzina, Olga E.; Abduramanov, Artem Y.; V. Moiseeva, Darya</t>
  </si>
  <si>
    <t>Financial literacy of Russians: The relationship with socio-demographic and psychological characteristics</t>
  </si>
  <si>
    <t>financial literacy; financial behaviour; financial knowledge; panel regression with fixed effects</t>
  </si>
  <si>
    <t>BEHAVIOR; WOMEN</t>
  </si>
  <si>
    <t>The goal of the study is to reveal the relationship between the financial literacy of Russians and socio-demographic and psychological factors using data from three waves of the All-Russian Panel Survey of Consumer Finances (2018, 2020 and 2022). Fixed effects regression shows that the age of an individual is related non-linearly with financial literacy and the profile has the inverted U-shape. The association of education with financial literacy is positive: respondents with specialized secondary and higher education are more financially literate compared to people with general secondary education or lower. Income, Internet use, the presence of a spouse, paid employment, and a bank account are also positively related to financial literacy. Individuals with higher risk appetite, low ability to control their emotions, and short-term time preferences are worse literate in personal finance. Robustness tests allowed us to conclude that the influence of gender on the level of financial literacy in Russia is insignificant.</t>
  </si>
  <si>
    <t>[Kuzina, Olga E.; Abduramanov, Artem Y.; V. Moiseeva, Darya] HSE Univ, Moscow, Russia</t>
  </si>
  <si>
    <t>HSE University (National Research University Higher School of Economics)</t>
  </si>
  <si>
    <t>Kuzina, OE (corresponding author), HSE Univ, Moscow, Russia.</t>
  </si>
  <si>
    <t>okuzina@hse.ru</t>
  </si>
  <si>
    <t>; Kuzina, Olga/LFS-9502-2024</t>
  </si>
  <si>
    <t>Моисеева, Дарья/0000-0003-2044-3418; Kuzina, Olga/0000-0002-4760-8780</t>
  </si>
  <si>
    <t>HSE University Basic Research Program</t>
  </si>
  <si>
    <t>Funding: The article was prepared within the framework of the HSE University Basic Research Program.</t>
  </si>
  <si>
    <t>VOPROSY EKONOMIKI, NP</t>
  </si>
  <si>
    <t>PROSPECT VERNADSKOGO 84, MOSCOW, RUSSIA</t>
  </si>
  <si>
    <t>10.32609/0042-8736-2024-9-107-137</t>
  </si>
  <si>
    <t>F9L8G</t>
  </si>
  <si>
    <t>WOS:001312955700005</t>
  </si>
  <si>
    <t>Demirgüç-Kunt, A; Klapper, L; Singer, D; Ansar, S; Hess, J</t>
  </si>
  <si>
    <t>Demirguc-Kunt, Asli; Klapper, Leora; Singer, Dorothe; Ansar, Saniya; Hess, Jake</t>
  </si>
  <si>
    <t>The Global Findex Database 2017: Measuring Financial Inclusion and Opportunities to Expand Access to and Use of Financial Services</t>
  </si>
  <si>
    <t>WORLD BANK ECONOMIC REVIEW</t>
  </si>
  <si>
    <t>Annual Bank Conference on Development Economics (ABCDE)</t>
  </si>
  <si>
    <t>JUN 20-21, 2016</t>
  </si>
  <si>
    <t>Washington, DC</t>
  </si>
  <si>
    <t>Financial inclusion; digital payments; mobile money; savings; credit; financial resilience</t>
  </si>
  <si>
    <t>Financial services can help drive development. They help people escape poverty by facilitating investments in their health, education, and businesses. And they make it easier to manage financial emergencies-such as a job loss or crop failure-that can push families into destitution. A growing body of research reveals many potential development benefits from financial inclusion-especially from the use of digital financial services, including mobile money services, payment cards, and other financial technology (or fintech) applications. Although the evidence is somewhat mixed, even studies that do not find positive results often point to possibilities for achieving better outcomes through careful attention to local needs.(1) Many poor people around the world lack the financial services that can serve these functions, such as bank accounts and digital payments. Instead, they rely on cash-which can be unsafe and hard to manage. That's why the World Bank has made it a key priority to promote financial inclusion-access to and use of formal financial services. Measurement is key to understanding financial inclusion and identifying opportunities to expand it. In 2011 the World Bank launched the Global Findex database, the world's most comprehensive database on how adults save, borrow, make payments, and manage risks. Compiled using nationally representative surveys in of more than 150,000 adults age 15 and above in over 140 economies, the 2017 Global Findex database includes updated indicators on access to, and use of, formal and informal financial services. It has additional data on the use of financial technology, including the use of mobile phones and the Internet to conduct financial transactions. The 2017 Global Findex is the third survey round, following the initial one and a second one in 2014.</t>
  </si>
  <si>
    <t>[Demirguc-Kunt, Asli; Klapper, Leora; Singer, Dorothe] World Bank, 1818 H St NW, Washington, DC 20433 USA; [Ansar, Saniya; Hess, Jake] World Bank, Global Findex Team, 1818 H St NW, Washington, DC 20433 USA</t>
  </si>
  <si>
    <t>The World Bank; The World Bank</t>
  </si>
  <si>
    <t>Demirgüç-Kunt, A (corresponding author), World Bank, 1818 H St NW, Washington, DC 20433 USA.</t>
  </si>
  <si>
    <t>ademirguckunt@worldbank.org; lklapper@worldbank.org; dsinger@worldbank.org; sansar1@worldbank.org; jhess1@worldbank.org</t>
  </si>
  <si>
    <t>0258-6770</t>
  </si>
  <si>
    <t>1564-698X</t>
  </si>
  <si>
    <t>WORLD BANK ECON REV</t>
  </si>
  <si>
    <t>World Bank Econ. Rev.</t>
  </si>
  <si>
    <t>S2</t>
  </si>
  <si>
    <t>S8</t>
  </si>
  <si>
    <t>10.1093/wber/lhz013</t>
  </si>
  <si>
    <t>Business, Finance; Development Studies; Economics</t>
  </si>
  <si>
    <t>Business &amp; Economics; Development Studies</t>
  </si>
  <si>
    <t>LD2JQ</t>
  </si>
  <si>
    <t>WOS:000525858400002</t>
  </si>
  <si>
    <t>Prior, F; Mora, T</t>
  </si>
  <si>
    <t>Prior, Francesc; Mora, Toni</t>
  </si>
  <si>
    <t>QUANTITATIVE STUDY ON THE IMPACT OF BRANCHLESS BANKING ON MICROFINANCE INSTITUTIONS</t>
  </si>
  <si>
    <t>ANNALS OF PUBLIC AND COOPERATIVE ECONOMICS</t>
  </si>
  <si>
    <t>Branchless banking; Microfinance efficiency; Savings; Transactions</t>
  </si>
  <si>
    <t>SAVINGS; EFFICIENCY; SERVICES; POOR; SUSTAINABILITY; NIGERIA; ACCESS</t>
  </si>
  <si>
    <t>In this study, we examined how implementing branchless banking partnerships (BBPs) can enable microfinance institutions to improve their efficiency by reducing cash handling and to expand its product offering to savings. We examined the case of Attawfiq Microfinance in Morocco, that implemented a BBP strategy named Low Income Banking (LIB) in order to achieve increased efficiency and expand its product offering to savings through the LIB account offering. We studied how the customers of Attawfiq used the LIB account for transactional and savings purposes by analysing a large database of sociodemographic factors of customers and payments data of microcredits for the period 2010-15 (554,541 customers). We included in our analysis, for the first time to our knowledge, not only the study of the correlations between a very extensive dataset of sociodemographic variables and the use of bank accounts in terms of transactions and savings, but also the study of microcredit data as explanatory variables. Our study concluded that the BBP model implemented (LIB) allowed Attawfiq Microfinance to improve its operating efficiency although it failed to achieve increased savings.</t>
  </si>
  <si>
    <t>[Prior, Francesc; Mora, Toni] Univ Int Catalunya, Res Inst Evaluat &amp; Publ Policies IRAPP, Barcelona, Spain</t>
  </si>
  <si>
    <t>Universitat Internacional de Catalunya (UIC)</t>
  </si>
  <si>
    <t>Mora, T (corresponding author), Univ Int Catalunya, Res Inst Evaluat &amp; Publ Policies IRAPP, Barcelona, Spain.</t>
  </si>
  <si>
    <t>tmora@uic.es</t>
  </si>
  <si>
    <t>Mora, Toni/I-4358-2012</t>
  </si>
  <si>
    <t>Mora, Toni/0000-0002-2686-5307; Prior Sanz, Francesc/0000-0001-9339-5053</t>
  </si>
  <si>
    <t>1370-4788</t>
  </si>
  <si>
    <t>1467-8292</t>
  </si>
  <si>
    <t>ANN PUBLIC COOP ECON</t>
  </si>
  <si>
    <t>Ann. Public Coop. Econ.</t>
  </si>
  <si>
    <t>10.1111/apce.12252</t>
  </si>
  <si>
    <t>JK6MR</t>
  </si>
  <si>
    <t>WOS:000486294500001</t>
  </si>
  <si>
    <t>Birkenmaier, Julie; Fu, Qiang (John)</t>
  </si>
  <si>
    <t>Consumer Financial Access Trends After the Great Recession: A Latent Transition Analysis</t>
  </si>
  <si>
    <t>financial access; financial access trends; Great Recession; latent transition analysis</t>
  </si>
  <si>
    <t>KNOWLEDGE</t>
  </si>
  <si>
    <t>This study examined the U.S. household financial access trends during 2012-2018 after the Great Recession of 2007-2009. Data was from a nationally representative sample (n = 2,094) of adults from the American Life Panel who completed questions from the National Financial Capability Study (NFCS) in 2012 and 2018. Latent transition analysis (LTA) was used to examine trends across seven financial access indicators, including banked status and alternative financial services (AFS) use. Results suggest the presence of three latent statuses Low Access, Partial Access, and High Access. Only 24.5% of people in the Low Access status and 2.6% of people in the Partial Access status in 2012 transitioned into the better financial access status in 2018. Policy and practice implications to improve people's financial access are discussed.</t>
  </si>
  <si>
    <t>[Birkenmaier, Julie] St Louis Univ, Sch Social Work, 3550 Lindell Blvd, St Louis, MO 63103 USA; [Fu, Qiang (John)] Tufts Univ, Dept Community Hlth, Sch Arts &amp; Sci, 574 Boston Ave,Suite 208, Medford, MA 02155 USA</t>
  </si>
  <si>
    <t>Saint Louis University; Tufts University</t>
  </si>
  <si>
    <t>Julie.Birkenmaier@slu.edu; John.Fu@tufts.edu</t>
  </si>
  <si>
    <t>10.1891/JFCP-2021-0016</t>
  </si>
  <si>
    <t>WOS:000825261300003</t>
  </si>
  <si>
    <t>Russell, H; Whelan, CT; Maître, B</t>
  </si>
  <si>
    <t>Russell, Helen; Whelan, Christopher T.; Maitre, Bertrand</t>
  </si>
  <si>
    <t>Economic Vulnerability and Severity of Debt Problems: An Analysis of the Irish EU-SILC 2008</t>
  </si>
  <si>
    <t>EUROPEAN SOCIOLOGICAL REVIEW</t>
  </si>
  <si>
    <t>In this article, using Ireland where debt issues are of particular salience, as a test case, we seek to locate over-indebtedness and the severity of debt problems in the context of the broader economic circumstances of households. In doing so, we first identify an economically vulnerable segment of households and then explore the debt experience of vulnerable and non-vulnerable households. Our analysis reveals a striking contrast between the debt experiences of less than one in five households defined as economically vulnerable and all others. Financial exclusion, relating to access to a bank account and a credit card, was found to increase debt levels. However, such effects were modest. The impact of economic vulnerability seems to be largely a consequence of its relationship to a wide range of socio-economic attributes and circumstances. The manner in which a potential debt crisis unfolds will be shaped by the broader socio-economic structuring of life-chances. Any attempt to respond to such problems by concentrating on financial exclusion or household behaviour or, indeed, triggering factors without taking the wider social structuring of economic vulnerability is likely to be both seriously misguided and largely ineffective.</t>
  </si>
  <si>
    <t>[Russell, Helen; Maitre, Bertrand] Econ &amp; Social Res Inst Dublin, Dublin, Ireland; [Whelan, Christopher T.] Univ Coll Dublin, Sch Sociol, Dublin, Ireland; [Whelan, Christopher T.] Univ Coll Dublin, Geary Inst, Dublin, Ireland</t>
  </si>
  <si>
    <t>Economic &amp; Social Research Institute (ESRI); University College Dublin; University College Dublin</t>
  </si>
  <si>
    <t>Whelan, CT (corresponding author), Univ Coll Dublin, Sch Sociol, Dublin, Ireland.</t>
  </si>
  <si>
    <t>christopher.whelan@ucd.ie</t>
  </si>
  <si>
    <t>Russell, Helen/0000-0001-6376-2668; Whelan, Christopher/0000-0002-3387-5036</t>
  </si>
  <si>
    <t>0266-7215</t>
  </si>
  <si>
    <t>EUR SOCIOL REV</t>
  </si>
  <si>
    <t>Eur. Sociol. Rev.</t>
  </si>
  <si>
    <t>10.1093/esr/jcs048</t>
  </si>
  <si>
    <t>200DJ</t>
  </si>
  <si>
    <t>WOS:000323047400002</t>
  </si>
  <si>
    <t>Martínez-Peláez, R; Toral-Cruz, H; Ruiz, J; Velarde-Alvarado, P</t>
  </si>
  <si>
    <t>Martinez-Pelaez, Rafael; Toral-Cruz, Homero; Ruiz, Joel; Velarde-Alvarado, Pablo</t>
  </si>
  <si>
    <t>P2PM-pay: Person to Person Mobile Payment Scheme Controlled by Expiration Date</t>
  </si>
  <si>
    <t>WIRELESS PERSONAL COMMUNICATIONS</t>
  </si>
  <si>
    <t>Date attachment; Hash functions; Micropayments; Mobile cash; Mobile commerce; Partial blind signature</t>
  </si>
  <si>
    <t>E-CASH; ATTACHMENT; SYSTEMS</t>
  </si>
  <si>
    <t>In this paper, we propose P2PM-pay scheme which provides two key points. The first key point is related with the mobile cash. In P2PM-pay scheme, the mobile cash is controlled by the expiration date. The expiration date is embedded into the mobile cash by partial blind signature during the withdrawal date, and the bank does not hold information about the operation. Moreover, we have considered the effective date and deposit date for administrative purposes. The effective date is when customers use their mobile cash to pay for products, and the deposit date is when merchants receive the funds in their bank account. The other key point is related with the authentication process among participants. Although P2PM-pay uses WTLS protocol, we propose a wireless public key infrastructure with an efficient certificate path validation. Furthermore, the design of the proposed scheme achieves successfully the security requirements described in previous works. Consequently, P2PM-pay is secure against well-known attacks and efficient in terms of processing time.</t>
  </si>
  <si>
    <t>[Martinez-Pelaez, Rafael] Autonomous Univ Ciudad Juarez, Dept Elect Engn &amp; Comp, Ciudad Juarez, Mexico; [Toral-Cruz, Homero] Univ Quintana Roo, Dept Sci &amp; Engn, Quintana Roo, Mexico; [Ruiz, Joel] Sonora State Univ, Dept Software Engn, Navojoa, Mexico; [Velarde-Alvarado, Pablo] Autonomous Univ Nayarit, Area Basic Sci &amp; Engn, Tepic, Mexico</t>
  </si>
  <si>
    <t>Universidad Autonoma de Ciudad Juarez; Universidad de Quintana Roo</t>
  </si>
  <si>
    <t>Martínez-Peláez, R (corresponding author), Autonomous Univ Ciudad Juarez, Dept Elect Engn &amp; Comp, Ciudad Juarez, Mexico.</t>
  </si>
  <si>
    <t>rafael.pelaez@uacj.mx; htoral@uqroo.edu.mx; joel.ruiz@ues.mx; pvelarde@uan.edu.mx</t>
  </si>
  <si>
    <t>Velarde Alvarado, Pablo/HJZ-5386-2023; Martínez Peláez, Rafael/J-7547-2016</t>
  </si>
  <si>
    <t>Martínez Peláez, Rafael/0000-0003-2188-9892</t>
  </si>
  <si>
    <t>SEP-CONACyT [CB-2011-01, 167859]</t>
  </si>
  <si>
    <t>SEP-CONACyT(Consejo Nacional de Ciencia y Tecnologia (CONACyT))</t>
  </si>
  <si>
    <t>We thank the anonymous reviewers for their constructive comments which helped us improve the presentation and quality of this paper. Moreover, we would like to thank Leslie Cedeno and Monica Padilla for their support. This work was partially sponsored by SEP-CONACyT CB-2011-01 Project 167859.</t>
  </si>
  <si>
    <t>233 SPRING ST, NEW YORK, NY 10013 USA</t>
  </si>
  <si>
    <t>0929-6212</t>
  </si>
  <si>
    <t>1572-834X</t>
  </si>
  <si>
    <t>WIRELESS PERS COMMUN</t>
  </si>
  <si>
    <t>Wirel. Pers. Commun.</t>
  </si>
  <si>
    <t>10.1007/s11277-015-2738-y</t>
  </si>
  <si>
    <t>CT6CX</t>
  </si>
  <si>
    <t>WOS:000362900200015</t>
  </si>
  <si>
    <t>Bijlsma, M; van der Cruijsen, C; Jonker, N; Reijerink, J</t>
  </si>
  <si>
    <t>Bijlsma, Michiel; van der Cruijsen, Carin; Jonker, Nicole; Reijerink, Jelmer</t>
  </si>
  <si>
    <t>What Triggers Consumer Adoption of Central Bank Digital Currency?</t>
  </si>
  <si>
    <t>JOURNAL OF FINANCIAL SERVICES RESEARCH</t>
  </si>
  <si>
    <t>CBDC; Consumers; Public money; Private money; Bank accounts; Trust; D12; D14; E58; G21</t>
  </si>
  <si>
    <t>FINANCIAL LITERACY; PAYMENT; CASH</t>
  </si>
  <si>
    <t>Central banks around the world are examining the possibility of introducing Central Bank Digital Currency (CBDC). The public's preferences concerning the usage of CBDC for paying and saving are important determinants of the success of CBDC. However, little is known yet about consumers' attitudes towards CBDC. Using data from a representative panel of Dutch consumers we find that roughly half of the public says it would open a CBDC current account. The same holds for a CBDC savings account. Thus, we find clear potential for CBDC in the Netherlands. This suggests that consumers perceive CBDC as distinct from current and savings accounts offered by traditional banks. Intended CBDC usage is positively related to respondents' knowledge of CBDC and trust in the central bank. Price incentives matter as well. The amount respondents say they would want to deposit in the CBDC savings account depends on the interest rate offered. Furthermore, intended usage of the CBDC current account is highest among people who find privacy and security important and among consumers with low trust in banks in general. These results suggest that central banks can steer consumers' adoption of CBDC via the interest rate, by a design of CBDC that takes into account the public's need for security and privacy, and by clear communication about what CBDC entails.</t>
  </si>
  <si>
    <t>[Bijlsma, Michiel] SEO Amsterdam Econ, Amsterdam, Netherlands; [Bijlsma, Michiel] Tilburg Univ, Tilburg, Netherlands; [van der Cruijsen, Carin; Jonker, Nicole; Reijerink, Jelmer] De Nederlandsche Bank DNB, POB 98, NL-1000 AB Amsterdam, Netherlands</t>
  </si>
  <si>
    <t>Tilburg University; European Central Bank; De Nederlandsche Bank NV</t>
  </si>
  <si>
    <t>van der Cruijsen, C (corresponding author), De Nederlandsche Bank DNB, POB 98, NL-1000 AB Amsterdam, Netherlands.</t>
  </si>
  <si>
    <t>c.a.b.van.der.cruijsen@dnb.nl</t>
  </si>
  <si>
    <t>van der Cruijsen, Carin/JDZ-2179-2023</t>
  </si>
  <si>
    <t>van der Cruijsen, Carin/0000-0002-3854-309X</t>
  </si>
  <si>
    <t>0920-8550</t>
  </si>
  <si>
    <t>1573-0735</t>
  </si>
  <si>
    <t>J FINANC SERV RES</t>
  </si>
  <si>
    <t>J. Financ. Serv. Res.</t>
  </si>
  <si>
    <t>10.1007/s10693-023-00420-8</t>
  </si>
  <si>
    <t>FS0O8</t>
  </si>
  <si>
    <t>WOS:001113328800001</t>
  </si>
  <si>
    <t>Trinh, NH; Tran, HH</t>
  </si>
  <si>
    <t>Trinh, Nam Hoang; Ha Tran, Hong</t>
  </si>
  <si>
    <t>Factors Reducing Credit Card's Perceived Risk in Retail Payment: An Approach to Consumer Traits</t>
  </si>
  <si>
    <t>JOURNAL OF DISTRIBUTION SCIENCE</t>
  </si>
  <si>
    <t>Retail payment; Credit card; Perceived risk; Consumer traits</t>
  </si>
  <si>
    <t>INTENTION; DETERMINANTS</t>
  </si>
  <si>
    <t>Purpose: The study is focused on understanding consumer behaviour related to credit card use in retail payment or identifying factors that influence risk perception. Research design, data and methodology: Based on data collecting from structured self-administered questionnaires of 247 Vietnamese bank account payers, this study uses the Cronbach alpha analysis, the factor analyses, the structural equation modeling to assess the research's measurement model and structural model with the presence of knowledge, propensity to trust, self-efficacy, risk perception, intended use and their complex, intertwined relationships. Results: The results reveal that customer's perceived risk, which is affected by their self-efficacy and propensity to trust, negatively impact on their intended use of credit cards in retail payment. However, there is no evidence of the significant influence of consumer knowledge on how they assess potential losses of credit card. Conclusions: These findings provide a better understanding of consumer risk perception, its antecedents and consequence in a direction of credit card adoption. Bank managers or marketers should focus on increasing the information about credit cards and issues related to credit card use in retail payment, promoting mechanisms to encourage customers to participate in the credit card experience.</t>
  </si>
  <si>
    <t>[Trinh, Nam Hoang] HoChiMinh Univ Banking, Dept IT Management, HoChiMinh City, Vietnam; [Ha Tran, Hong] HoChiMinh Univ Banking, Fac Banking, HoChiMinh City, Vietnam</t>
  </si>
  <si>
    <t>Ho Chi Minh University of Banking (HUB); Ho Chi Minh University of Banking (HUB)</t>
  </si>
  <si>
    <t>Trinh, NH (corresponding author), HoChiMinh Univ Banking, Dept IT Management, HoChiMinh City, Vietnam.</t>
  </si>
  <si>
    <t>hath@hub.edu.vn</t>
  </si>
  <si>
    <t>KODISA Foundation</t>
  </si>
  <si>
    <t>1738-3110</t>
  </si>
  <si>
    <t>2093-7717</t>
  </si>
  <si>
    <t>J DISTRIB SCI</t>
  </si>
  <si>
    <t>J. Distrib. Sci.</t>
  </si>
  <si>
    <t>10.15722/jds.21.11.202311.67</t>
  </si>
  <si>
    <t>L4V6V</t>
  </si>
  <si>
    <t>WOS:001350714600007</t>
  </si>
  <si>
    <t>Baltgailis, J; Simakhova, A; Buka, S</t>
  </si>
  <si>
    <t>Baltgailis, Jurijs; Simakhova, Anastasiia; Buka, Stanislav</t>
  </si>
  <si>
    <t>DIGITAL CURRENCIES AND FINTECH INNOVATION TECHNOLOGIES FOR ECONOMIC GROWTH</t>
  </si>
  <si>
    <t>CBDC; regression model; trend; GDP; government debt; inflation; European countries</t>
  </si>
  <si>
    <t>The transition of the global economy to digital currencies is inevitable. Today's monetary methods of regulation do not provide a stable and inclusive economy, and central banks will be forced to move on to the implementation of the state digital currency in real practice, which will ultimately allow introducing total control over the use of customer assets and strict business regulation, especially in the field of the shadow economy and tax crimes. The main factors for the transition to digital currencies are technological progress, an increase in online transactions, independence from national currencies, and low commissions. The purpose of the article is to assess the potential for economic growth of digital currencies and FinTech innovation technologies in the context of growing government debts. The scientific novelty of the obtained results lies in the construction of a regression model of GDP growth dependence on inflation, government debt and the long-term interest rate. The regression analysis was conducted by building a linear multiple model for selected developed European countries based on statistical data from the European Central Bank, the European Commission, and other Internet resources. The equation of dependence of the GDP of European countries on the selected factors obtained as a result of regression modelling can be practically used to forecast future GDP indicators. The model showed that inflation growth has a negative impact on GDP growth and confirmed that further economic growth is possible with the introduction of digital currency, which will help to reduce the inflationary burden. The issuance of digital currency will be strictly controlled, which will contribute to the formation of an inclusive economy by attracting people who do not have bank accounts to business, and the shadow economy will be reduced. This will create opportunities for real economic growth. It is predicted that the introduction of digital currencies could lead to a faster, more convenient, cheaper and more private payment system, which is important for citizens and businesses.</t>
  </si>
  <si>
    <t>[Baltgailis, Jurijs; Buka, Stanislav] Baltic Int Acad, Riga, Latvia; [Simakhova, Anastasiia] Natl Aviat Univ, Fac Econ &amp; Business Adm, Kiev, Ukraine</t>
  </si>
  <si>
    <t>Ministry of Education &amp; Science of Ukraine; State University Kyiv Aviation Institute</t>
  </si>
  <si>
    <t>Simakhova, A (corresponding author), Natl Aviat Univ, Fac Econ &amp; Business Adm, Kiev, Ukraine.</t>
  </si>
  <si>
    <t>anastasiia.simakhova@npp.nau.edu.ua</t>
  </si>
  <si>
    <t>Baltgailis, Jurijs/GZG-4592-2022; Simakhova, Anastasiia/AFP-9627-2022</t>
  </si>
  <si>
    <t>Baltgailis, Jurijs/0000-0002-4163-1680;</t>
  </si>
  <si>
    <t>SUMY STATE UNIV, DEPT MARKETING &amp; MANAGEMENT INNOVATIVE ACTIVITY</t>
  </si>
  <si>
    <t>2227-6718</t>
  </si>
  <si>
    <t>SEP 6</t>
  </si>
  <si>
    <t>10.21272/mmi.2023.3-18</t>
  </si>
  <si>
    <t>T4PW8</t>
  </si>
  <si>
    <t>WOS:001077835300004</t>
  </si>
  <si>
    <t>Renteria, C</t>
  </si>
  <si>
    <t>Renteria, Cesar</t>
  </si>
  <si>
    <t>How Transformational Mobile Banking Optimizes Household Expenditures: A Case Study from Rural Communities in Mexico</t>
  </si>
  <si>
    <t>INFORMATION TECHNOLOGIES &amp; INTERNATIONAL DEVELOPMENT</t>
  </si>
  <si>
    <t>INFORMATION; PHONES; IMPACT; WOMEN; ICTS</t>
  </si>
  <si>
    <t>This article presents the results of a quasiexperimental impact evaluation of a mobile banking pilot project led by the Mexican government in a context that portrays the financial inclusion challenges in Mexico and Latin America: highly dispersed populations in rural communities that lack access to a financial system and telecommunication services. The research questions that drive this study are: Do mobile banking and mobile telephony have an impact on households' expenditures? Specifically, what categories of expenditure are affected? The propensity score matching methodology was used to assess the impact on households' expenditures by category (e.g., education, transport, energy, communications, etc.). Results show that mobile banking can reduce spending on communications and public transport, and the main benefits in terms of spending come from the reduction of people's local commuting expenses. Likewise, evidence indicates that a major share of spending reduction is transformed into savings in bank accounts. Finally, the case study presents relevant lessons for mobile banking policy alternatives to promote financial and digital inclusion in rural communities.</t>
  </si>
  <si>
    <t>cesar.renteria@cide.edu</t>
  </si>
  <si>
    <t>Renteria, Cesar/ABO-0463-2022</t>
  </si>
  <si>
    <t>Instituto de Estudios Peruanos by the International Development Research Centre; Canadian International Development Agency</t>
  </si>
  <si>
    <t>Instituto de Estudios Peruanos by the International Development Research Centre(International Development Research Centre - IDRC); Canadian International Development Agency</t>
  </si>
  <si>
    <t>This research was supported by a grant to the Instituto de Estudios Peruanos by the International Development Research Centre and the Canadian International Development Agency. I thank Judith Mariscal for providing me with valuable comments on earlier versions of this article. I am indebted to Hernan Garza, Liliana Sanchez, and Facundo Magana who participated in this research.</t>
  </si>
  <si>
    <t>USC ANNENBERG PRESS</t>
  </si>
  <si>
    <t>LOS ANGELES</t>
  </si>
  <si>
    <t>UNIV SOUTHERN CALIFORNIA, KERCKHOFF HALL, 734 W ADAMS BLVD, MC7725, LOS ANGELES, CA 90089 USA</t>
  </si>
  <si>
    <t>1544-7529</t>
  </si>
  <si>
    <t>1544-7537</t>
  </si>
  <si>
    <t>INF TECHNOL INT DEV</t>
  </si>
  <si>
    <t>Inf. Technol. Int. Dev.</t>
  </si>
  <si>
    <t>CX4XW</t>
  </si>
  <si>
    <t>WOS:000365705200004</t>
  </si>
  <si>
    <t>Das, D; Banerjee, S; Biswas, U</t>
  </si>
  <si>
    <t>Sharma, DK; Peng, SL; Sharma, R; Zaitsev, DA</t>
  </si>
  <si>
    <t>Das, Debashis; Banerjee, Sourav; Biswas, Utpal</t>
  </si>
  <si>
    <t>Design of a Secure Blockchain-Based Toll-Tax Collection System</t>
  </si>
  <si>
    <t>MICRO-ELECTRONICS AND TELECOMMUNICATION ENGINEERING, ICMETE 2021</t>
  </si>
  <si>
    <t>5th International Conference on Microelectronics and Telecommunication Engineering (ICMETE)</t>
  </si>
  <si>
    <t>SEP 24-25, 2021</t>
  </si>
  <si>
    <t>Ghaziabad, INDIA</t>
  </si>
  <si>
    <t>Automated toll-tax collection system; Blockchain application; Decentralized electronic toll collection system; Intelligent internet of vehicular things; Smart contracts;</t>
  </si>
  <si>
    <t>ARCHITECTURE; INTERNET</t>
  </si>
  <si>
    <t>The most advanced application of the Electronic Toll Collection (ETC) system is to collect the Toll-Tax Amount (TA) without slowing down a vehicle's speed at the toll plazas of the national highways. A few existing ETC systems suffer from various unexpected activities such as data security, transparency of the stored data, the privacy of users, and data immutability as these systems perform in a centralized platform. Blockchain is a secure technology for its nascent features such as decentralization, transparency, and data security. In this paper, a Blockchain-based Automated Toll-Tax Collection System (BATCS) has been proposed. The proposed system can collect an appropriate TA without stopping the vehicle while it passes the toll plaza. While vehicles cross the toll plaza, the predefined amount of tax will be deducted automatically from the bank account. The smart contract can authenticate the vehicle data and collect TA automatically at toll plazas. This research work provides Security, Trust, Transparency, and Privacy (STTP) in the field of the ETC system. The significant benefits of the BATCS concerning the RFID-based system are less fuel consumption and more time-saving for a vehicle. It also provides the zero-waiting time in the queuing line of the toll plazas.</t>
  </si>
  <si>
    <t>[Das, Debashis; Biswas, Utpal] Univ Kalyani, Kalyani, W Bengal, India; [Banerjee, Sourav] Kalyani Govt Engn Coll, Kalyani, W Bengal, India</t>
  </si>
  <si>
    <t>Kalyani University; Kalyani Government Engineering College</t>
  </si>
  <si>
    <t>Das, D (corresponding author), Univ Kalyani, Kalyani, W Bengal, India.</t>
  </si>
  <si>
    <t>debashisdascse21@klyuniv.ac.in; mr.sourav.banerjee@ieee.org; utpalbiswas@klyuniv.ac.in</t>
  </si>
  <si>
    <t>Das, Debashis/AAX-7954-2021; Banerjee, Sourav/AAE-4021-2019</t>
  </si>
  <si>
    <t>Das, Debashis/0000-0003-4422-3196; Banerjee, Sourav/0000-0002-0104-967X</t>
  </si>
  <si>
    <t>978-981-16-8721-1; 978-981-16-8720-4</t>
  </si>
  <si>
    <t>10.1007/978-981-16-8721-1_18</t>
  </si>
  <si>
    <t>Computer Science, Interdisciplinary Applications; Engineering, Electrical &amp; Electronic; Telecommunications</t>
  </si>
  <si>
    <t>BU8BJ</t>
  </si>
  <si>
    <t>WOS:000946101200018</t>
  </si>
  <si>
    <t>Temel Nalin, H</t>
  </si>
  <si>
    <t>Temel Nalin, Halime</t>
  </si>
  <si>
    <t>DETERMINANTS OF HOUSEHOLD SAVING AND PORTFOLIO CHOICE BEHAVIOUR IN TURKEY</t>
  </si>
  <si>
    <t>ACTA OECONOMICA</t>
  </si>
  <si>
    <t>portfolio preference; investment; household savings; multinomial logit model; Turkey</t>
  </si>
  <si>
    <t>RISK; INCOME; CONSTRAINTS; CONSUMPTION; GENDER</t>
  </si>
  <si>
    <t>This study investigates the determinants of Turkish households' saving and portfolio choice behaviour for the period of 2002-2006. The dataset includes 59,855 households, of whom only 10,829 report to have saved and invested. Hence, we first estimate a logit model to identify the characteristics of the households that have saved. Next, we estimate a multinomial logit model where the investment alternatives for the households are real estate, gold, foreign exchange, bank accounts, capital market investments, and investing into own business. The factors affecting the portfolio choices are the variables representing various aspects of households' demographic, socioeconomic and residential location characteristics. The inflation level nearly doubled during the study period in Turkey. Hence, we also analyse the effects of inflation on households' saving and portfolio choice decisions. The results of our logit model support the view that the inflation can increase the household savings on condition that the other macroeconomic factors are constant. Furthermore, inflation is also found to increase the probability of investing in capital market instruments. Households' incomes, education levels, occupation, place of residence (rural/urban), car ownership and household size are found to be significant variables in explaining the variation in households' saving and portfolio choice behaviour.</t>
  </si>
  <si>
    <t>Bulent Ecevit Univ, Dept Business Adm, Fac Econ &amp; Adm Sci, TR-67100 Zonguldak, Turkey</t>
  </si>
  <si>
    <t>Zonguldak Bulent Ecevit University</t>
  </si>
  <si>
    <t>Temel Nalin, H (corresponding author), Bulent Ecevit Univ, Dept Business Adm, Fac Econ &amp; Adm Sci, TR-67100 Zonguldak, Turkey.</t>
  </si>
  <si>
    <t>halimetemel@gmail.com</t>
  </si>
  <si>
    <t>Nalin, Halime Temel/CAF-7032-2022</t>
  </si>
  <si>
    <t>AKADEMIAI KIADO ZRT</t>
  </si>
  <si>
    <t>BUDAFOKI UT 187-189-A-3, H-1117 BUDAPEST, HUNGARY</t>
  </si>
  <si>
    <t>0001-6373</t>
  </si>
  <si>
    <t>1588-2659</t>
  </si>
  <si>
    <t>ACTA OECON</t>
  </si>
  <si>
    <t>Acta. Oecon.</t>
  </si>
  <si>
    <t>10.1556/AOecon.63.2013.3.3</t>
  </si>
  <si>
    <t>217ZP</t>
  </si>
  <si>
    <t>WOS:000324402400003</t>
  </si>
  <si>
    <t>Esoimeme, EE</t>
  </si>
  <si>
    <t>Esoimeme, Ehi Eric</t>
  </si>
  <si>
    <t>Balancing anti-money laundering measures and financial inclusion The example of the United Kingdom and Nigeria</t>
  </si>
  <si>
    <t>Money laundering; Blockchain; Financial inclusion; Bank verification number; Basic current account; Three-tiered KYC</t>
  </si>
  <si>
    <t>Purpose The purpose of this paper is to critically examine the anti-money laundering measures of the UK and Nigeria, to determine what the best approach is. The best approach is likely the one that strikes a fair balance between protecting the financial system against money laundering and promoting financial inclusion. Design/methodology/approach This paper relies mainly on primary and secondary data drawn from the public domain. It also relies on documentary research. Findings This paper critically analysed the anti-money laundering measures of the UK and Nigeria to determine that the anti-money laundering measures of Nigeria does not strike a fair balance between protecting the financial system against money laundering and promoting financial inclusion because it does not expressly provide for verification of a customer's identity at the account opening stage for low risk accounts. The paper, however, determined that the anti-money laundering measures of the UK does strike a fair balance between protecting the financial system against money laundering and promoting financial inclusion because it requires customer identification and verification before the establishment of a business relationship for customers who want to open a basic bank account. Originality/value This paper offers a critical analysis of the anti-money laundering and financial inclusion measures of the UK and Nigeria as provided in the UK's Payment Accounts Regulations 2015 and the Central Bank of Nigeria's (Anti-Money Laundering and Combating the Financing of Terrorism in Banks and Other Financial Institutions in Nigeria) Regulations, 2013. The paper will provide recommendations on how the measures could be strengthened. This is the only article to adopt this kind of approach.</t>
  </si>
  <si>
    <t>[Esoimeme, Ehi Eric] Cardiff Univ, Dept Law, Cardiff, S Glam, Wales; [Esoimeme, Ehi Eric] DSC Publicat Ltd, Dept Publicat, Lagos, Nigeria</t>
  </si>
  <si>
    <t>Cardiff University</t>
  </si>
  <si>
    <t>Esoimeme, EE (corresponding author), Cardiff Univ, Dept Law, Cardiff, S Glam, Wales.;Esoimeme, EE (corresponding author), DSC Publicat Ltd, Dept Publicat, Lagos, Nigeria.</t>
  </si>
  <si>
    <t>ehiesoimeme@yahoo.com</t>
  </si>
  <si>
    <t>Esoimeme, Ehi Eric/L-7168-2018</t>
  </si>
  <si>
    <t>Esoimeme, Ehi Eric/0000-0003-4054-3248</t>
  </si>
  <si>
    <t>10.1108/JMLC-04-2018-0031</t>
  </si>
  <si>
    <t>KH3JD</t>
  </si>
  <si>
    <t>WOS:000510541400003</t>
  </si>
  <si>
    <t>Ali, J; Khan, MA</t>
  </si>
  <si>
    <t>Ali, Jamshed; Khan, Muhammad Arshad</t>
  </si>
  <si>
    <t>MICRO AND MACRO FINANCIAL INCLUSION AND THEIR IMPACTS ON ECONOMIC GROWTH: EVIDENCE FROM ASIAN ECONOMIES WITH ALTERNATIVE APPROACHES</t>
  </si>
  <si>
    <t>INTERNATIONAL TRANSACTION JOURNAL OF ENGINEERING MANAGEMENT &amp; APPLIED SCIENCES &amp; TECHNOLOGIES</t>
  </si>
  <si>
    <t>Micro-FII; Macro-FII; Financial inclusion indices; Economic growth; Dynamic Factor Model (DFM); Financial development indicators; GMM</t>
  </si>
  <si>
    <t>This study examines the impacts of financial inclusion on economic growth in a panel of 20 Asian economies using annual data over the period 1995-2017. Two separate indices, namely micro-financial inclusion and macro-financial inclusion were constructed following Sarma (2008) and the Dynamic Factor Model. The impact of each index, as well as individual indicators of financial inclusion, is analyzed to get deeper insights into the impact of financial inclusion on economic growth in Asian economies. The impact of the micro-financial inclusion index based on Saram's (2008) methodology is found to be significant, while the impact of macro-financial inclusion index remains insignificant. In contrast, the impact of DFM-based micro and macro- financial inclusion indices exerts an insignificant impact on economic growth. The difference in results could be due to the fact that Sharma's index measures the level of financial inclusion, while DFM-based indices reflect the growth of financial inclusion indicators. With regard to the individual indicators of financial inclusion, the results show that a number of banks, borrower accounts, and deposit accounts have a significant positive impact on economic growth, while financial system deposits and insurance premium exerts an insignificant impact on economic growth. (C) 2020 INT TRANS J ENG MANAG SCI TECH.</t>
  </si>
  <si>
    <t>[Ali, Jamshed] COMSATS Univ Islamabad, Dept Management Sci, Islamabad, Pakistan; [Khan, Muhammad Arshad] COMSATS Univ Islamabad, Dept Econ, Islamabad, Pakistan</t>
  </si>
  <si>
    <t>COMSATS University Islamabad (CUI); COMSATS University Islamabad (CUI)</t>
  </si>
  <si>
    <t>Ali, J (corresponding author), COMSATS Univ Islamabad, Dept Management Sci, Islamabad, Pakistan.</t>
  </si>
  <si>
    <t>jamshed_ali1991@yahoo.com</t>
  </si>
  <si>
    <t>Ali, Jahed/ABI-7801-2020</t>
  </si>
  <si>
    <t>Ali, Jahed/0000-0002-5656-0256</t>
  </si>
  <si>
    <t>Higher Education Commission of Pakistan</t>
  </si>
  <si>
    <t>Higher Education Commission of Pakistan(Higher Education Commission of Pakistan)</t>
  </si>
  <si>
    <t>The authors acknowledge the financial support provided by the Higher Education Commission of Pakistan for the first author's PhD study. The authors acknowledge the contribution of Mr. Abdur Rehman Rana, a PhD scholar at Department of Management Sciences COMSATS University Islamabad in construction of the financial inclusion indices via DFM for this study.</t>
  </si>
  <si>
    <t>TUENGR GROUP</t>
  </si>
  <si>
    <t>PATHUMTAN</t>
  </si>
  <si>
    <t>88-244 MOO 3 KLONG NO 2 KLONG-LUANG, PATHUMTAN, 12120, THAILAND</t>
  </si>
  <si>
    <t>2228-9860</t>
  </si>
  <si>
    <t>1906-9642</t>
  </si>
  <si>
    <t>INT TRANS J ENG MANA</t>
  </si>
  <si>
    <t>Int. Trans. J. Eng. Manag. Appl. Sci. Technol.</t>
  </si>
  <si>
    <t>11A06A</t>
  </si>
  <si>
    <t>10.14456/ITJEMAST.2020.101</t>
  </si>
  <si>
    <t>LG7CB</t>
  </si>
  <si>
    <t>WOS:000528253200001</t>
  </si>
  <si>
    <t>Blanco, LR; Duru, OK; Mangione, CM</t>
  </si>
  <si>
    <t>Blanco, Luisa R.; Duru, O. Kenrik; Mangione, Carol M.</t>
  </si>
  <si>
    <t>A Community-Based Randomized Controlled Trial of an Educational Intervention to Promote Retirement Saving Among Hispanics</t>
  </si>
  <si>
    <t>Aging; Behavioral nudges; Financial knowledge</t>
  </si>
  <si>
    <t>FINANCIAL LITERACY</t>
  </si>
  <si>
    <t>We conducted a community-based randomized controlled trial (RCT) to evaluate the impact of an intervention to promote retirement saving among low- and moderate-income, predominantly Spanish-speaking Hispanics, who do not have access to an employer-sponsored retirement account. Our educational intervention provided participants with key information in Spanish related to financial planning for retirement and made use of behavioral nudges to encourage participants to open a government-sponsored retirement saving account, my Retirement Account (myRA). Among 142 participants (70 and 72 in control and treatment groups, respectively), we found a significant Difference in Differences (DD) on the proportion of those who opened a myRA. In the treatment group 14% of participants opened myRA, while none in the control group did. Results from a DD regression showed that after controlling for observable and unobservable characteristics through our design as an RCT, the effect of our intervention was 12%. When we restricted our sample to those participants who had a bank account at some point in the study, we found that the effect of our intervention was higher (17%). We also found that our intervention was effective in increasing self-reported knowledge related to retirement saving and preparedness.</t>
  </si>
  <si>
    <t>[Blanco, Luisa R.] Pepperdine Univ, Sch Publ Policy, 24255 Pacific Coast Highway, Malibu, CA 90265 USA; [Duru, O. Kenrik; Mangione, Carol M.] Univ Calif Los Angeles, David Geffen Sch Med, 1100 Glendon Ave Suite 850, Los Angeles, CA 90024 USA</t>
  </si>
  <si>
    <t>Pepperdine University; University of California System; University of California Los Angeles; University of California Los Angeles Medical Center; David Geffen School of Medicine at UCLA</t>
  </si>
  <si>
    <t>Blanco, LR (corresponding author), Pepperdine Univ, Sch Publ Policy, 24255 Pacific Coast Highway, Malibu, CA 90265 USA.</t>
  </si>
  <si>
    <t>lblanco@pepperdine.edu; KDuru@mednet.ucla.edu; CMangione@mednet.ucla.edu</t>
  </si>
  <si>
    <t>Blanco, Luisa/B-7978-2009</t>
  </si>
  <si>
    <t>NCATS NIH HHS [UL1 TR001881, UL1 TR000124] Funding Source: Medline; NCRR NIH HHS [UL1 RR033176] Funding Source: Medline; NIA NIH HHS [P30 AG021684, K24 AG047899] Funding Source: Medline</t>
  </si>
  <si>
    <t>NCATS NIH HHS(United States Department of Health &amp; Human ServicesNational Institutes of Health (NIH) - USANIH National Center for Advancing Translational Sciences (NCATS)); NCRR NIH HHS(United States Department of Health &amp; Human ServicesNational Institutes of Health (NIH) - USANIH National Center for Research Resources (NCRR)); NIA NIH HHS(United States Department of Health &amp; Human ServicesNational Institutes of Health (NIH) - USANIH National Institute on Aging (NIA))</t>
  </si>
  <si>
    <t>10.1007/s10834-019-09657-9</t>
  </si>
  <si>
    <t>LN5LG</t>
  </si>
  <si>
    <t>WOS:000532978200008</t>
  </si>
  <si>
    <t>Jagani, K; Patra, S</t>
  </si>
  <si>
    <t>Jagani, Khyati; Patra, Santosh</t>
  </si>
  <si>
    <t>Digital Participation through Mobile Internet Banking and Its Impact on Financial Inclusion: A Study of Jan Dhan Yojana</t>
  </si>
  <si>
    <t>INTERNATIONAL JOURNAL OF PUBLIC ADMINISTRATION IN THE DIGITAL AGE</t>
  </si>
  <si>
    <t>Digital Divide; Digital Participation; Financial Inclusion; Jan Dhan Yojana; Mobile Internet Banking</t>
  </si>
  <si>
    <t>GOVERNMENT</t>
  </si>
  <si>
    <t>Prime Minister of India Mr. Narendra Modi launched a national government project called Jan Dhan Yojana, with the aim of providing banking opportunity and insurance coverage to all the citizens of India including the under privileged section who until now did not open bank accounts or personal insurance. The aim of this project is to attract those people with low incomes, who lack knowledge, who feel they do not need banking service or do not have funds to open an account. The present study attempts to examine the Indian Financial Inclusion in the context of Individual participation, through the case of Pradhan Mantri Jan Dhan Yojana. The paper aims to understand the consumer participation and non-participation and its implications as a financial inclusion strategy. The paper evaluates the impact of digital divide on digital participation of the consumers in the context of internet and mobile banking service users.</t>
  </si>
  <si>
    <t>[Jagani, Khyati; Patra, Santosh] MICA, Ahmadabad, Gujarat, India</t>
  </si>
  <si>
    <t>MICA</t>
  </si>
  <si>
    <t>Jagani, K (corresponding author), MICA, Ahmadabad, Gujarat, India.</t>
  </si>
  <si>
    <t>Jagani, Khyati/KXR-9997-2024</t>
  </si>
  <si>
    <t>IGI GLOBAL</t>
  </si>
  <si>
    <t>HERSHEY</t>
  </si>
  <si>
    <t>701 E CHOCOLATE AVE, STE 200, HERSHEY, PA 17033-1240 USA</t>
  </si>
  <si>
    <t>2334-4520</t>
  </si>
  <si>
    <t>2334-4539</t>
  </si>
  <si>
    <t>INT J PUBLIC ADM DIG</t>
  </si>
  <si>
    <t>Int. J. Public Adm. Digit. Age</t>
  </si>
  <si>
    <t>OCT-DEC</t>
  </si>
  <si>
    <t>10.4018/IJPADA.2017100104</t>
  </si>
  <si>
    <t>FU7CE</t>
  </si>
  <si>
    <t>WOS:000424008900005</t>
  </si>
  <si>
    <t>Mahdzan, NS; Zainudin, R; Hashim, RC; Sulaiman, NA</t>
  </si>
  <si>
    <t>Mahdzan, Nurul Shahnaz; Zainudin, Rozaimah; Hashim, Rosmawani Che; Sulaiman, Noor Adwa</t>
  </si>
  <si>
    <t>Islamic religiosity and portfolio allocation: the Malaysian context</t>
  </si>
  <si>
    <t>Islamic banking and finance; Islamic religiosity; Risk tolerance; Portfolio selection</t>
  </si>
  <si>
    <t>ORDERED PROBIT; FINANCIAL LITERACY; RISK TOLERANCE; SOCIAL IDENTITY; INVESTMENT; MONEY; DETERMINANTS; BEHAVIOR; DECISIONS; ATTITUDES</t>
  </si>
  <si>
    <t>Purpose - This study aims to investigate the association between Muslim individuals' portfolio allocation choice and Islamic religiosity (levels and dimensions), controlling for risk tolerance and sociodemographic factors. Design/methodology/approach - The study uses primary data collected via survey questionnaires from a sample of 751 Muslim working individuals in Kuala Lumpur, Malaysia. Owing to the ordinal nature of the dependent variable, which reflects the levels of proportions of risky assets in portfolios, the data were analyzed using an ordered probit regression model. Findings - The findings reveal that Islamic religiosity levels in general were insignificantly related to portfolio allocation, but that two dimensions of religiosity (virtue and obligation) significantly impact the allocations of risky assets in the portfolio. The higher the level of virtue, the lower the propensity to allocate risky assets into the portfolio. On the contrary, the higher the level of obligation, the higher the propensity to allocate risky assets in the portfolio. Meanwhile, individuals with higher risk tolerance, income and education levels show greater propensity to allocate risky assets in the portfolio. Research limitations/implications - The sample is restricted to Muslims in Kuala Lumpur; hence, the findings are not easily generalized to Muslim investors in general. Findings may differ between Muslims across the world, so future research needs to expand from a country specific to an international analysis. In addition, future studies could include other determinants of portfolio allocation, such as financial literacy. Practical implications - The findings of this study may assist financial planners and policymakers to better understand the drivers of portfolio allocation among their Muslim clients. Originality/value - While other studies have tended to focus on the impact of religiosity on the holdings of specific financial assets, such as Islamic bank accounts or Takaful, the present study explores the effect of Islamic religiosity dimensions on the allocations of risky assets in the portfolio. The study also develops an ordinal measure of portfolio allocation and makes a methodological contribution by using an ordered probit regression analysis.</t>
  </si>
  <si>
    <t>[Mahdzan, Nurul Shahnaz; Zainudin, Rozaimah] Univ Malaya, Fac Business &amp; Accountancy, Dept Finance &amp; Banking, Kuala Lumpur, Malaysia; [Hashim, Rosmawani Che] Univ Malaya, Fac Business &amp; Accountancy, Dept Business Policy &amp; Strategy, Kuala Lumpur, Malaysia; [Sulaiman, Noor Adwa] Univ Malaya, Fac Business &amp; Accountancy, Dept Accounting, Kuala Lumpur, Malaysia</t>
  </si>
  <si>
    <t>Universiti Malaya; Universiti Malaya; Universiti Malaya</t>
  </si>
  <si>
    <t>Mahdzan, NS (corresponding author), Univ Malaya, Fac Business &amp; Accountancy, Dept Finance &amp; Banking, Kuala Lumpur, Malaysia.</t>
  </si>
  <si>
    <t>n_shahnaz@um.edu.my</t>
  </si>
  <si>
    <t>che hashim, rosmawani/AAZ-2497-2021; Mahdzan, Nurul Shahnaz/B-9441-2010; Sulaiman, Noor Adwa/B-9257-2010; Zainudin, Rozaimah/B-9626-2010</t>
  </si>
  <si>
    <t>che hashim, rosmawani/0000-0002-0656-6588; Mahdzan, Nurul Shahnaz/0000-0003-4700-9654; Sulaiman, Noor Adwa/0000-0001-5867-9077; Zainudin, Rozaimah/0000-0002-9929-8753</t>
  </si>
  <si>
    <t>University of Malaya under the Equitable Society Research Cluster (ESRC) [RP015D-13SBS]</t>
  </si>
  <si>
    <t>University of Malaya under the Equitable Society Research Cluster (ESRC)</t>
  </si>
  <si>
    <t>The authors would like to acknowledge the financial support provided by the University of Malaya under the Equitable Society Research Cluster (ESRC) research grant RP015D-13SBS.</t>
  </si>
  <si>
    <t>10.1108/IMEFM-11-2016-0162</t>
  </si>
  <si>
    <t>FD6KB</t>
  </si>
  <si>
    <t>WOS:000407636300008</t>
  </si>
  <si>
    <t>Xu, XY</t>
  </si>
  <si>
    <t>Xu, Xiaoyan</t>
  </si>
  <si>
    <t>The underbanked phenomena</t>
  </si>
  <si>
    <t>Banks</t>
  </si>
  <si>
    <t>INFORMATION; LOCATIONS; BANK</t>
  </si>
  <si>
    <t>Purpose The purpose of this paper is to study the underbanked - those who already possess bank accounts but are patrons of alternative financial services (AFS) providers at the same time. Design/methodology/approach Linking the FDIC unbanked/underbanked surveys of nationally represented households with FDIC bank information and local MSA demographics, demographic and economic profiles of the underbanked households are examined, together with the determinants of their choice of nonbank financial services. Findings The author finds that bank fees are associated with the likelihood for households to obtain AFS, especially nonbank credit. Households' attitudes and experience with banks are important in the choice of getting AFS. Furthermore, most underbanked households used AFS temporarily, partly reflecting rather informed and calculated financial decisions. Originality/value The analysis utilizes a comprehensive set of variables, from household social-economic characteristics to local banking industry characteristics, together with households' subjective opinions of their banking institutions. The focus on the underbanked brings attention to this underserved population and discusses areas where banks can improve. The study contributes to the understanding of AFS users, draws implications for regulation toward banking and shadow banking.</t>
  </si>
  <si>
    <t>[Xu, Xiaoyan] San Jose State Univ, Dept Accounting &amp; Finance, San Jose, CA 95192 USA</t>
  </si>
  <si>
    <t>California State University System; San Jose State University</t>
  </si>
  <si>
    <t>Xu, XY (corresponding author), San Jose State Univ, Dept Accounting &amp; Finance, San Jose, CA 95192 USA.</t>
  </si>
  <si>
    <t>xiaoyan.xu@sjsu.edu</t>
  </si>
  <si>
    <t>AUG 5</t>
  </si>
  <si>
    <t>10.1108/JFEP-09-2018-0125</t>
  </si>
  <si>
    <t>IO2XR</t>
  </si>
  <si>
    <t>WOS:000479245600005</t>
  </si>
  <si>
    <t>Haughey, A; Byrne, J</t>
  </si>
  <si>
    <t>ODonnell, D</t>
  </si>
  <si>
    <t>Haughey, Aisling; Byrne, John</t>
  </si>
  <si>
    <t>Offshore Assets - Using Intelligence to Combat tax Evasion</t>
  </si>
  <si>
    <t>PROCEEDINGS OF THE 10TH EUROPEAN CONFERENCE ON EGOVERNMENT</t>
  </si>
  <si>
    <t>10th European Conference on eGovernment</t>
  </si>
  <si>
    <t>JUN 17-18, 2010</t>
  </si>
  <si>
    <t>Univ Limerick, Natl Ctr Taxat Studies, Limerick, IRELAND</t>
  </si>
  <si>
    <t>Univ Limerick, Natl Ctr Taxat Studies</t>
  </si>
  <si>
    <t>intelligence; offshore assets; revenue; payment technologies; tax evasion</t>
  </si>
  <si>
    <t>Technological advances and integrated financial markets have effectively removed all banking and business borders. Subject to anti-money laundering obligations, with just a click of a button you can now open an offshore bank account, set up an offshore company, trust or foundation. The increased recourse to offshore investments, with opaque structures based in other jurisdictions makes it very difficult for tax authorities to identify offshore assets. Furthermore, new emerging payment technologies such as, mobile banking, smart cards and Internet payment systems are also changing the environment in which businesses and individuals operate. This poses new challenges for tax administrations trying to identify tax evaders. eGovernment is central in assisting tax administrations in tackling this problem. To respond effectively to this new global environment in which we operate, tax administrations need to fully exploit technological advances and e-strategies: identifying and accessing new sources of information as well as effectively utilising information received. The collation of intelligence on offshore assets is an essential factor in the move towards a viable eGovernment strategy within revenue organisations in their efforts to tackle tax evasion. The interaction between government agencies internationally is essential to facilitate the move away from domestically orientated strategies towards a more integrated approach. To maximise the benefits and to minimise the duplication of effort, a centralised and coordinated approach is required to source and share new sources of information. The ability of tax auditors to access information: must no longer depend on proximity or geographical location, but ultimately upon the exchange of information between countries within the framework of Double Taxation Agreements (DTAs), Tax Information Exchange Agreements (TIEAs) and the links that have been established within the broader ICT sphere. This paper demonstrates the real and practical role that eGovernment has within the sphere of intelligence gathering and the detection and prevention of tax evasion using offshore assets. It sets out a practical guide to the information sources relating to offshore assets, which the Irish Revenue has identified to date. Furthermore this paper highlights, not just the efforts made but those that should be advanced ensuring that tax administrations keep abreast of new emerging payment technologies and identifying the potential compliance risks posed by them Finally it explores the feasibility of adopting a centralised and coordinated approach in the area of using intelligence to combat tax evasion.</t>
  </si>
  <si>
    <t>ahaughey@revenue.ie; jcyrne@revenue.ie</t>
  </si>
  <si>
    <t>ACADEMIC CONFERENCES LTD</t>
  </si>
  <si>
    <t>978-1-906638-63-4</t>
  </si>
  <si>
    <t>BSE05</t>
  </si>
  <si>
    <t>WOS:000284257800071</t>
  </si>
  <si>
    <t>Kurila, J; Lazuras, L; Ketikidis, PH</t>
  </si>
  <si>
    <t>Kurila, Jonila; Lazuras, Lambros; Ketikidis, Panagiotis H.</t>
  </si>
  <si>
    <t>Message framing and acceptance of branchless banking technology</t>
  </si>
  <si>
    <t>Branchless banking; Technology acceptance; Intentions; Message framing</t>
  </si>
  <si>
    <t>MOBILE BANKING; CONSUMER ACCEPTANCE; INITIAL TRUST; MODEL; INTENTIONS; ATTITUDES; BEHAVIOR; ONLINE; UTAUT</t>
  </si>
  <si>
    <t>Mobile communication technologies are ubiquitous and span a wide range of applications. The present study assessed the effects of message framing on the public acceptance of branchless banking applications using the unified theory of acceptance and utilization of technology (UTAUT). Adult holders of an active bank account were randomly assigned into three message framing conditions (gain frame, loss frame, and control condition), and completed structured anonymous questionnaires on technology acceptance variables derived from the UTAUT. Analysis of variance (ANOVA) showed that message framing manipulations did not influence directly self-reported scores on technology acceptance variables. However, linear regression analyses showed that message framing differentiated the interrelationships between usage intentions and related UTAUT variables between conditions. Moderated regression analysis further showed that gender interacted with performance expectancy in predicting usage intentions in the control group condition. Message framing manipulations influence the way intentions to use technology relate to technology acceptance beliefs. This effect should be further examined in the context of technology acceptance models in e-commerce applications, and more especially in the branchless banking domain. Efforts to promote branchless banking applications would benefit from assessments of potential users' technology acceptance beliefs and intentions. (C) 2016 Elsevier B.V. All rights reserved.</t>
  </si>
  <si>
    <t>[Kurila, Jonila; Ketikidis, Panagiotis H.] Univ Sheffield, Int Fac, CITY Coll, Sheffield S10 2TN, S Yorkshire, England; [Lazuras, Lambros] Sheffield Hallam Univ, Sheffield S10 2BQ, S Yorkshire, England</t>
  </si>
  <si>
    <t>University of Sheffield; Sheffield Hallam University</t>
  </si>
  <si>
    <t>Lazuras, L (corresponding author), Sheffield Hallam Univ, Dept Psychol Sociol &amp; Polit, Sheffield S10 2BQ, S Yorkshire, England.</t>
  </si>
  <si>
    <t>L.Lazuras@shu.ac.uk</t>
  </si>
  <si>
    <t>Lazuras, Lambros/0000-0002-5075-9029; KETIKIDIS, Panayiotis/0000-0003-1216-4398</t>
  </si>
  <si>
    <t>1873-7846</t>
  </si>
  <si>
    <t>10.1016/j.elerap.2016.02.001</t>
  </si>
  <si>
    <t>DM0VJ</t>
  </si>
  <si>
    <t>WOS:000376063600002</t>
  </si>
  <si>
    <t>Mohamed, AA</t>
  </si>
  <si>
    <t>Mohamed, Abdinur Ali</t>
  </si>
  <si>
    <t>Quantifying the Role of Mobile Money Services to Financial Inclusion: Evidence from EVC-PLUS in Somalia</t>
  </si>
  <si>
    <t>Access; Quality; Usage; Welfare of financial services; Financial inclusion; Mobile money</t>
  </si>
  <si>
    <t>ECONOMIC-DEVELOPMENT; DETERMINANTS; INTENTION; ADOPTION; BANKING; ACCESS</t>
  </si>
  <si>
    <t>This study aims to quantify the impact of mobile money services on financial inclusion, focusing on EVC-PLUS services in Somalia. Access, quality, usage, and welfare of financial services are measured in financial inclusion. A sample of 385 respondents was examined, and regression methods were employed to estimate the model parameters. The strength and stability of the model are examined to confirm the ability of the model to estimate the relationship between mobile money and the financial inclusion. This study discovered that mobile money directly and positively impacts financial inclusion in Somalia. Access, quality, usage, and welfare indicators are positively and substantially associated with financial inclusion. Mobile money facilitates access to bank accounts and enhances the quality of financial services, including savings mechanisms and loan availability. EVC-PLUS further enhanced the usability of the financial service by enabling its customers to access banking services at convenient times and regularly. The study found that mobile money usage reduced the gender gap, where women have the same financial inclusion privileges as men. This paper suggests that government institutions should adopt a policy framework encouraging financial inclusion through mobile money services.</t>
  </si>
  <si>
    <t>[Mohamed, Abdinur Ali] SIMAD Univ, Fac Econ, Warshada St, Benadir, Mogadishu, Somalia</t>
  </si>
  <si>
    <t>Mohamed, AA (corresponding author), SIMAD Univ, Fac Econ, Warshada St, Benadir, Mogadishu, Somalia.</t>
  </si>
  <si>
    <t>Cabdinur80@gmail.com</t>
  </si>
  <si>
    <t>10.1007/s40609-023-00286-7</t>
  </si>
  <si>
    <t>0QM5F</t>
  </si>
  <si>
    <t>WOS:000985785300001</t>
  </si>
  <si>
    <t>Bouchard, EG; Brooks, T; Clark, N; Saad-Harfouche, F; Wills, A; Patel, H; Devonish, JA; Singh, AK</t>
  </si>
  <si>
    <t>Bouchard, Elizabeth G.; Brooks, Tameka; Clark, Nikia; Saad-Harfouche, Frances; Wills, Analisa; Patel, Hital; Devonish, Julia A.; Singh, Anurag K.</t>
  </si>
  <si>
    <t>Leveraging NCI-Designated Cancer Centers' Community Outreach and Engagement Infrastructure to Advance Community-Driven Priorities Related to the Social Determinants of Health: Feasibility and Preliminary Efficacy of a Financial Literacy Educational Intervention</t>
  </si>
  <si>
    <t>JOURNAL OF CANCER EDUCATION</t>
  </si>
  <si>
    <t>Financial literacy; Community outreach and engagement; Community education</t>
  </si>
  <si>
    <t>TOXICITY; CARE</t>
  </si>
  <si>
    <t>As part of the Community Outreach and Engagement mission, NCI-designated cancer centers bring important infrastructure related to community-based participatory research and community partnerships that can be leveraged to advance financial well-being as part of their mission to improve cancer population health. As a result, cancer centers offer unique opportunities for financial literacy interventions to address this important social determinant of health. We designed the Rise Up With Roswell intervention, a community-responsive financial literacy education intervention. The goal of this study was to test the feasibility and preliminary efficacy of the Rise Up with Roswell intervention. We partnered with community-based organizations to deliver the Rise Up with Roswell intervention. To understand feasibility, we examined the number of people reached, the demographics of people reached, and the financial status of people reached. To examine preliminary efficacy, we examined the change in participant knowledge before and after participating in the intervention. Feasibility: We reached N = 99 participants. Over 30% had a household income below $50,000, 34% had a high school degree or less, 2% were Hispanic, 68% were Black, and 54.5% reported that they or someone in their household had a bank account. Efficacy: Overall pre/post-test scores show significant increases in knowledge (p &lt; .05). The Rise Up with Roswell intervention is a feasible and effective community-based educational intervention for financial literacy. These findings show that leveraging the Community Outreach and Engagement infrastructure of a NCI-designated Comprehensive Cancer Center was an effective strategy to reach high-risk community members and effectively deliver a financial literacy intervention.</t>
  </si>
  <si>
    <t>[Bouchard, Elizabeth G.; Brooks, Tameka; Clark, Nikia; Saad-Harfouche, Frances; Patel, Hital; Devonish, Julia A.] Roswell Park Comprehens Canc Ctr, Dept Canc Prevent &amp; Control, Elm &amp; Carlton St, Buffalo, NY 14263 USA; [Bouchard, Elizabeth G.; Brooks, Tameka; Clark, Nikia; Saad-Harfouche, Frances; Patel, Hital; Devonish, Julia A.] Roswell Park Comprehens Canc Ctr, Community Outreach &amp; Engagement, Buffalo, NY 14263 USA; [Wills, Analisa] Roswell Park Comprehens Canc Ctr, Dept Med, Buffalo, NY USA; [Singh, Anurag K.] Roswell Park Comprehens Canc Ctr, Dept Radiat Med, Buffalo, NY USA</t>
  </si>
  <si>
    <t>Roswell Park Comprehensive Cancer Center; Roswell Park Comprehensive Cancer Center; Roswell Park Comprehensive Cancer Center; Roswell Park Comprehensive Cancer Center</t>
  </si>
  <si>
    <t>Bouchard, EG (corresponding author), Roswell Park Comprehens Canc Ctr, Dept Canc Prevent &amp; Control, Elm &amp; Carlton St, Buffalo, NY 14263 USA.;Bouchard, EG (corresponding author), Roswell Park Comprehens Canc Ctr, Community Outreach &amp; Engagement, Buffalo, NY 14263 USA.</t>
  </si>
  <si>
    <t>Elizabeth.bouchard@roswellpark.org</t>
  </si>
  <si>
    <t>Division of Cancer Prevention, National Cancer Institute [P30CA016056]; National Cancer Institute of the National Institutes of Health</t>
  </si>
  <si>
    <t>Division of Cancer Prevention, National Cancer Institute(United States Department of Health &amp; Human ServicesNational Institutes of Health (NIH) - USANIH National Cancer Institute (NCI)); National Cancer Institute of the National Institutes of Health(United States Department of Health &amp; Human ServicesNational Institutes of Health (NIH) - USANIH National Cancer Institute (NCI))</t>
  </si>
  <si>
    <t>We would like to thank numerous community partner organizations and participants who generously collaborated on this study. Research reported in this publication was supported by the National Cancer Institute of the National Institutes of Health under Award Number P30CA016056. The content is solely the responsibility of the authors and does not necessarily represent the official views of the National Institutes of Health.</t>
  </si>
  <si>
    <t>0885-8195</t>
  </si>
  <si>
    <t>1543-0154</t>
  </si>
  <si>
    <t>J CANCER EDUC</t>
  </si>
  <si>
    <t>J. Cancer Educ.</t>
  </si>
  <si>
    <t>2025 JUN 20</t>
  </si>
  <si>
    <t>10.1007/s13187-025-02669-0</t>
  </si>
  <si>
    <t>JUN 2025</t>
  </si>
  <si>
    <t>Oncology; Education, Scientific Disciplines; Public, Environmental &amp; Occupational Health</t>
  </si>
  <si>
    <t>Oncology; Education &amp; Educational Research; Public, Environmental &amp; Occupational Health</t>
  </si>
  <si>
    <t>3ZN4D</t>
  </si>
  <si>
    <t>WOS:001512731300001</t>
  </si>
  <si>
    <t>Popa, C</t>
  </si>
  <si>
    <t>Popa, Camelia</t>
  </si>
  <si>
    <t>MONEY LAUNDERING USING THE INTERNET AND ELECTRONIC PAYMENTS</t>
  </si>
  <si>
    <t>METALURGIA INTERNATIONAL</t>
  </si>
  <si>
    <t>money laundering; anti-money laundering; terrorism financing; virtual environment; electronic payments</t>
  </si>
  <si>
    <t>This study is analyzing the relationship between traditional money laundry scheme and the electronic payments development and also the contribution of the Internet development in promoting illegal transactions originated from domestic or foreign markets. The links between terrorism financing, money laundering, cybercrime and traditional criminal activity seems to be clear. In this context, the paper is focusing on the potential money laundering and terrorist financing implications of payment innovations that gave customers the opportunity to carry out payments directly through technical devices such as personal computers, mobile phones or data storage cards. In many cases these payments could be carried out without Me customer needing an individual bank account. The research tries to identify money laundering typologies and red flags indicators that may occur in electronic payments system in order to create behaviour maps, models and suspicious activity rule bases for each of them. Moreover, the study tried to create a link between the theoretical issues and the practical schemes of electronic money laundry. Organized crime, arms smuggling, tax evasion and fraud in its many varieties entail significant laundering of funds. It remains difficult to assess the scale of the money laundering problem, but there is general agreement that it amounts of two to five percent of global GDP would probably be a consensus range.</t>
  </si>
  <si>
    <t>Acad Econ Studies, Bucharest, Romania</t>
  </si>
  <si>
    <t>Popa, C (corresponding author), Acad Econ Studies, Bucharest, Romania.</t>
  </si>
  <si>
    <t>camelita4ever@yahoo.com</t>
  </si>
  <si>
    <t>Florea, Camelia/E-4122-2012</t>
  </si>
  <si>
    <t>EDITURA STIINTIFICA FMR</t>
  </si>
  <si>
    <t>BUCHAREST</t>
  </si>
  <si>
    <t>CALEA GRIVITEI, NR 83, SECTOR 1, O P 12, BUCHAREST, 010705, ROMANIA</t>
  </si>
  <si>
    <t>1582-2214</t>
  </si>
  <si>
    <t>METAL INT</t>
  </si>
  <si>
    <t>Metal. Int.</t>
  </si>
  <si>
    <t>Metallurgy &amp; Metallurgical Engineering</t>
  </si>
  <si>
    <t>970VK</t>
  </si>
  <si>
    <t>WOS:000306160200045</t>
  </si>
  <si>
    <t>Obadha, M; Colbourn, T; Seal, A</t>
  </si>
  <si>
    <t>Obadha, Melvin; Colbourn, Tim; Seal, Andrew</t>
  </si>
  <si>
    <t>Mobile money use and social health insurance enrolment among rural dwellers outside the formal employment sector: Evidence from Kenya</t>
  </si>
  <si>
    <t>INTERNATIONAL JOURNAL OF HEALTH PLANNING AND MANAGEMENT</t>
  </si>
  <si>
    <t>digital financial service; digital health; health insurance; mobile money; national hospital insurance fund</t>
  </si>
  <si>
    <t>DETERMINANTS; REMITTANCES; BEHAVIOR; IMPACTS; CARE</t>
  </si>
  <si>
    <t>Background The study set out to explore whether mobile money use (mobile phone-based financial services) increased the probability of rural dwellers outside the formal employment sector of being enrolled in Kenya's social health insurance, the National Hospital Insurance Fund (NHIF). Methods We used data from the 2015 FinAccess Household Survey and analysed responses of 4282 rural individuals outside the formal employment sector. Probit and bivariate probit models were used and adjusted for mobile phone ownership, sex, age, age-squared, education, wealth quintile, bank account use, informal group membership, occupation, and health shocks. Results We found that 16.26% (95% CI, 14.58% to 18.10%) of mobile money users had NHIF cover as compared with 2.44% (95% CI, 1.83% to 3.23%) of nonusers. Importantly, mobile money use increased the probability of being enrolled in NHIF by 4.6% (95% CI, 2.1% to 7.1%) after controlling for confounders. Access to mobile money was associated with reduced travel time and lower transport costs, which are likely to be key mechanisms for increasing NHIF enrolment. Conclusion By lowering transport costs and saving travel time, mobile money provides an easy means to pay social health insurance premiums thus incentivising its uptake among rural people outside of formal employment.</t>
  </si>
  <si>
    <t>[Obadha, Melvin; Colbourn, Tim; Seal, Andrew] UCL, Inst Global Hlth, 30 Guilford St, London WC1N 1EH, England</t>
  </si>
  <si>
    <t>Obadha, M (corresponding author), UCL, Inst Global Hlth, 30 Guilford St, London WC1N 1EH, England.</t>
  </si>
  <si>
    <t>melvin.obadha.14@ucl.ac.uk</t>
  </si>
  <si>
    <t>Seal, Anew/C-8550-2014; Colbourn, Timothy/AAE-6645-2019</t>
  </si>
  <si>
    <t>Seal, Anew/0000-0003-3656-4054; Obadha, Melvin/0000-0003-1632-2410; Colbourn, Timothy/0000-0002-6917-6552</t>
  </si>
  <si>
    <t>0749-6753</t>
  </si>
  <si>
    <t>1099-1751</t>
  </si>
  <si>
    <t>INT J HEALTH PLAN M</t>
  </si>
  <si>
    <t>Int. J. Health Plan. Manag.</t>
  </si>
  <si>
    <t>E66</t>
  </si>
  <si>
    <t>E80</t>
  </si>
  <si>
    <t>10.1002/hpm.2930</t>
  </si>
  <si>
    <t>NOV 2019</t>
  </si>
  <si>
    <t>Health Policy &amp; Services; Public, Environmental &amp; Occupational Health</t>
  </si>
  <si>
    <t>Health Care Sciences &amp; Services; Public, Environmental &amp; Occupational Health</t>
  </si>
  <si>
    <t>KG0IO</t>
  </si>
  <si>
    <t>WOS:000495100400001</t>
  </si>
  <si>
    <t>Mader, A; Ölkers, T; Musshoff, O; Sagbo, S</t>
  </si>
  <si>
    <t>Mader, Anna; Oelkers, Tim; Musshoff, Oliver; Sagbo, Sheila</t>
  </si>
  <si>
    <t>Saving instruments and food security in Sub-Saharan Africa: A case study of smallholder farmers in Mali</t>
  </si>
  <si>
    <t>GLOBAL FOOD SECURITY-AGRICULTURE POLICY ECONOMICS AND ENVIRONMENT</t>
  </si>
  <si>
    <t>Food security; Mali; Nutrition; Saving; Sub-Saharan Africa</t>
  </si>
  <si>
    <t>IMPACT; CREDIT; POOR; INDICATORS; PURCHASES; INSECURE; OUTCOMES; CONTEXT</t>
  </si>
  <si>
    <t>Food security is of high concern in Mali and throughout Sub-Saharan Africa. Nonetheless, existing policies primarily target the health and agricultural sectors, overlooking potential benefits of financial sector development. We aim to fill this gap through a case study, relying on primary collected saving and food security data from smallholder farmers in Mali. By using ordinary least square models as well as an instrumental variable approach, we analyze the associations between farmers' saving instruments and food security. We focus on four different saving instruments, including formal mechanisms such as bank accounts, semi-formal mechanisms such as mobile money, and informal mechanisms such as saving in secret hiding places, and with a trusted person. These four instruments are common in Mali and across Sub-Saharan Africa. The findings reveal heterogeneity in the choice of saving instruments and amounts and food security. Our contribution aims to inform decision makers on designing policies at the nexus of finance and agriculture, which is crucial for addressing the vulnerability of smallholder farmers. Since the severe nutritional situation in Mali is indicative of a crisis-affected region, our findings might be applicable to other countries in Sub-Saharan Africa as well.</t>
  </si>
  <si>
    <t>[Mader, Anna; Oelkers, Tim; Musshoff, Oliver] Univ Gottingen, Dept Agr Econ &amp; Rural Dev, Pl Gottingen Sieben 5, D-37073 Gottingen, Germany; [Sagbo, Sheila] Conflict &amp; Dev Fdn, 502 Florence St, Castroville, TX 78009 USA</t>
  </si>
  <si>
    <t>University of Gottingen</t>
  </si>
  <si>
    <t>Mader, A (corresponding author), Univ Gottingen, Dept Agr Econ &amp; Rural Dev, Pl Gottingen Sieben 5, D-37073 Gottingen, Germany.</t>
  </si>
  <si>
    <t>anna.mader@uni-goettingen.de; tim.oelkers@uni-goettingen.de; oliver.musshoff@agr.uni-goettingen.de; sheilasagbo@gmail.com</t>
  </si>
  <si>
    <t>; Mußhoff, Oliver/AAZ-1868-2021</t>
  </si>
  <si>
    <t>Ölkers, Tim/0000-0002-8399-3962;</t>
  </si>
  <si>
    <t>2211-9124</t>
  </si>
  <si>
    <t>GLOB FOOD SECUR-AGR</t>
  </si>
  <si>
    <t>Glob. Food Secur.-Agric.Policy</t>
  </si>
  <si>
    <t>10.1016/j.gfs.2025.100847</t>
  </si>
  <si>
    <t>Food Science &amp; Technology</t>
  </si>
  <si>
    <t>0ZW1L</t>
  </si>
  <si>
    <t>WOS:001459963000001</t>
  </si>
  <si>
    <t>Mahato, J; Jha, MK; Gaurav, K</t>
  </si>
  <si>
    <t>Mahato, Jogeswar; Jha, Manish Kumar; Gaurav, Kumar</t>
  </si>
  <si>
    <t>Measuring financial inclusion of indigenous women using G20 indicators: empirical evidence from rural India</t>
  </si>
  <si>
    <t>GLOBAL BUSINESS AND ECONOMICS REVIEW</t>
  </si>
  <si>
    <t>financial inclusion; access; usage; quality; G20; indigenous women; self-help groups; measurement; rural; financial services</t>
  </si>
  <si>
    <t>DETERMINANTS; POVERTY; ACCESS</t>
  </si>
  <si>
    <t>The study measures the financial inclusion of indigenous women using G20 financial inclusion indicators in India. The samples were gathered from 1,024 indigenous women residing in Sundargarh, Mayurbhanj, Koraput and Rayagada districts in Odisha state in India. The study has used structure equation modelling to measure the financial inclusion of indigenous women using G20 indicators. The results highlighted that access, usage and quality of financial products and services significantly promote financial inclusion among indigenous women in India. However, it is observed that 'usage' appeared to be the most significant indicator of financial inclusion among the other G20 FI indicators. The present study will benefit policymakers and practitioners in promoting financial inclusion among marginalised communities in developing countries. To achieve financial inclusion for marginalised and backward women, the government should strengthen the financial infrastructure to improve the accessibility and use of financial services.</t>
  </si>
  <si>
    <t>[Mahato, Jogeswar; Jha, Manish Kumar; Gaurav, Kumar] Natl Inst Technol Jamshedpur, Dept Humanities Social Sci &amp; Management, Jamshedpur 831014, India</t>
  </si>
  <si>
    <t>National Institute of Technology (NIT System); National Institute of Technology Jamshedpur</t>
  </si>
  <si>
    <t>Mahato, J (corresponding author), Natl Inst Technol Jamshedpur, Dept Humanities Social Sci &amp; Management, Jamshedpur 831014, India.</t>
  </si>
  <si>
    <t>jogeswar.dkl7@gmail.com; manishjha.hum@nitjsr.ac.in; 2019rshs002@nitjsr.ac.in</t>
  </si>
  <si>
    <t>Mahato, Jogeswar/HSI-2870-2023; Gaurav, Kumar/GNP-5428-2022</t>
  </si>
  <si>
    <t>Gaurav, Kumar/0000-0001-7293-7853</t>
  </si>
  <si>
    <t>1097-4954</t>
  </si>
  <si>
    <t>1745-1329</t>
  </si>
  <si>
    <t>GLOB BUS ECON REV</t>
  </si>
  <si>
    <t>Glob. Bus. Econ. Rev.</t>
  </si>
  <si>
    <t>10.1504/GBER.2025.144241</t>
  </si>
  <si>
    <t>6EY4B</t>
  </si>
  <si>
    <t>WOS:001551746000001</t>
  </si>
  <si>
    <t>Shebalin, AV; Polgert, AV</t>
  </si>
  <si>
    <t>Shebalin, A. V.; Polgert, A. V.</t>
  </si>
  <si>
    <t>INITIAL AND SUBSEQUENT STAGES IN THE INVESTIGATION OF ILLICIT DRUG-TRAFFICKING COMMITED BY MEANS OF TELECOMMUNICATION NETWORKS</t>
  </si>
  <si>
    <t>VESTNIK TOMSKOGO GOSUDARSTVENNOGO UNIVERSITETA-PRAVO-TOMSK STATE UNIVERSITY JOURNAL OF LAW</t>
  </si>
  <si>
    <t>illicit drug trafficking; preliminary investigation; typical investigative situations</t>
  </si>
  <si>
    <t>The criminals involved in the sphere of illicit drug trafficking constantly invent the new ways in order to avoid criminal prosecution. Nowadays when committing such crimes, the consumer of drugs personally does not meet their distributor, and agrees about their acquisition and payment for them by means of information and telecommunication technologies. Having received the information about the location of hidden drugs from the distributor by means of the above technologies, a consumer illegally gets them. Such circumstances demand the separation of typical investigative situations of initial and subsequent stages of investigation of the above crimes and definition of the list of actions during them. Depending on the presence of concrete traces of crime at the given moment, we can separate the following typical investigative situations: The first situation is characterized by the existence of traces of drugs and objects contacting with them (drugs, packings of drugs; cotton plugs with washouts and control cotton plugs; devices for the use of drugs). The second situation is characterized by the existence of hand-written records (fragments of sheets of paper with hand-written records of stash indication, numbers of bank accounts, e-wallets, subscriber numbers, etc.). The third situation is characterized by the existence of computer equipment acting as means of commission of the crimes and electronic and digital traces found on electronic media of information or in telecommunication channels (laptops, tablets, smart phones, cell phones, flash cards, SIM cards, hard drives, etc.). The fourth situation is characterized by the existence of electronic and digital traces, which are contained in the computer equipment (not means of crime commission), for example, data about IP addresses of technical means used by criminals, numbers of e-wallets, etc. got during OIE Removal of Information from Technical Communication Channels. The fifth situation is characterized by the existence of the traces containing the phonoscopic data obtained during OIE (optical disks with audio recording of OIE Telephone tapping, OIE Observation, OIE Examination, etc.). On each of these situations, the list of actions for the investigator is proposed for their optimum solution.</t>
  </si>
  <si>
    <t>[Shebalin, A. V.] Minist Internal Affairs Russia, Barnaul Law Inst, Dept Criminalist, Barnaul, Russia; [Polgert, A. V.] Minist Internal Affairs Russia Zarinsky, Zarinsky, Russia</t>
  </si>
  <si>
    <t>Shebalin, AV (corresponding author), Minist Internal Affairs Russia, Barnaul Law Inst, Dept Criminalist, Barnaul, Russia.</t>
  </si>
  <si>
    <t>shebalinav@mail.ru; apolgert@mail.ru</t>
  </si>
  <si>
    <t>TOMSK STATE UNIV</t>
  </si>
  <si>
    <t>TOMSK</t>
  </si>
  <si>
    <t>LENIN AVE, 36, TOMSK, 634050, RUSSIA</t>
  </si>
  <si>
    <t>2225-3513</t>
  </si>
  <si>
    <t>2311-3693</t>
  </si>
  <si>
    <t>VESTN TOSK GOS U-PR</t>
  </si>
  <si>
    <t>Vestn. Tomsk. Gosud. Univ.-Pravo</t>
  </si>
  <si>
    <t>10.17223/22253513/24/13</t>
  </si>
  <si>
    <t>GT1SU</t>
  </si>
  <si>
    <t>WOS:000444256600013</t>
  </si>
  <si>
    <t>Chitimira, H; Torerai, E</t>
  </si>
  <si>
    <t>Chitimira, Howard; Torerai, Elfas</t>
  </si>
  <si>
    <t>A regulatory analysis of digital financial services and the adoption of central bank digital currencies in Zimbabwe and South Africa</t>
  </si>
  <si>
    <t>JURIDICAL TRIBUNE-TRIBUNA JURIDICA</t>
  </si>
  <si>
    <t>financial technology; mobile money; digital currencies; financial inclusion; the poor</t>
  </si>
  <si>
    <t>The use of digital financial services such as mobile money has created new frontiers for more people, especially the poor, to participate in the formal payment systems in Zimbabwe and South Africa. Individuals who do not have bank accounts are now able to access financial services and products using technological devices such as mobile phones. In this regard, digital financial services have broadened financial inclusion allowing the poor to participate in financial markets and other formal economic activities which they were unable to access before. In addition, digital financial services represent a broad range of emerging financial technology (fintech) products which could lead to the adoption of digital currencies in many countries, including Zimbabwe and South Africa. These fintech products have been useful channels for the poor to transact and receive money since the outbreak of the coronavirus (covid-19) pandemic. However, the regulation of digital financial services and their products remains problematic in South Africa and Zimbabwe owing, in part, to the absence of statutes that expressly and robustly regulate these services. Furthermore, there is no sufficient policy clarity on the adoption of central bank digital currencies in the aforesaid countries. Accordingly, this article explores the adequacy of the regulatory frameworks and robustness of the enforcement approaches adopted in Zimbabwe and South Africa. This is also done in the context of the African Union (AU)'s Agenda 2063 goal of enabling trade linkages amongst African countries.</t>
  </si>
  <si>
    <t>[Chitimira, Howard] North West Univ, Fac Law, Secur &amp; Financial Markets Law, Potchefstroom, South Africa; [Torerai, Elfas] North West Univ, Potchefstroom, South Africa</t>
  </si>
  <si>
    <t>North West University - South Africa; North West University - South Africa</t>
  </si>
  <si>
    <t>Chitimira, H (corresponding author), North West Univ, Fac Law, Secur &amp; Financial Markets Law, Potchefstroom, South Africa.</t>
  </si>
  <si>
    <t>Howard.Chitimira@nwu.ac.za; elfas.torerai@gmail.com</t>
  </si>
  <si>
    <t>Chitimira, Howard/AAX-9298-2020</t>
  </si>
  <si>
    <t>National Research Foundation of South Africa (NRF) [141933]</t>
  </si>
  <si>
    <t>National Research Foundation of South Africa (NRF)(National Research Foundation - South Africa)</t>
  </si>
  <si>
    <t>This article was supported in part by the National Research Foundation of South Africa (NRF), Grant Number 141933. In this regard, the authors wish to thank the NRF for its valuable support. This article was initially presented at the African Network of Constitutional Lawyers Annual Conference held at the University of Namibia on 22-24 August 2022. Accordingly, Dr. Torerai wishes to acknowledge the expert input of Prof. H. Chitimira.</t>
  </si>
  <si>
    <t>PIATA ROMANA, NR 6, SECTOR 1, BUCURESTI, 701731, ROMANIA</t>
  </si>
  <si>
    <t>2247-7195</t>
  </si>
  <si>
    <t>2248-0382</t>
  </si>
  <si>
    <t>JURID TRIB</t>
  </si>
  <si>
    <t>Jurid. Trib.</t>
  </si>
  <si>
    <t>10.24818/TBJ/2023/13/3.04</t>
  </si>
  <si>
    <t>W3MY4</t>
  </si>
  <si>
    <t>WOS:001090715000004</t>
  </si>
  <si>
    <t>Gupta, S; Gupta, SS; De, ABS; Banerjee, R; Goel, S</t>
  </si>
  <si>
    <t>Gupta, Shibaji; Gupta, Sharmistha Sinha; De, Abhishek; Banerjee, Rudradeep; Goel, Sonu</t>
  </si>
  <si>
    <t>Socio-cultural and financial issues against breast cancer screening behaviour among eligible Indian women: evidence for action</t>
  </si>
  <si>
    <t>BREAST CANCER RESEARCH AND TREATMENT</t>
  </si>
  <si>
    <t>Prevention; Malignancy; Female; National family health survey; India</t>
  </si>
  <si>
    <t>HEALTH-CARE; POPULATION; BELIEFS</t>
  </si>
  <si>
    <t>Purpose Breast cancer, a common malignancy in Indian women, is preventable and curable upon early diagnosis. Screening is the best control strategy against breast cancer, but its uptake is low in India despite dedicated strategies and programmes. We explored the impact of socio-cultural and financial issues on the uptake of breast cancer screening behaviour among Indian women. Methods Breast cancer screening-uptake and relevant social, cultural, and financial data obtained from the National Family Health Survey (NFHS) round 5 were used for analysis. We studied 399,039 eligible females to assess their breast cancer screening behavior and determine the impact of socio-cultural and financial issues on such behavior using multivariable logistic regression. Results Most participants were 30-34-year-old (27.8%), educated to the secondary level (38.0%), and 81.5% had bank accounts. A third (35.0%) had health insurance, and anaemia was the most common comorbidity (56.1%). Less than 1.0% had undergone breast cancer screening. Higher age, education, urban residence, employment, less privileged social class, and access to the Internet and mass media were predictors of positive screening-uptake behavior (p &lt; 0.05). Mothers of larger number of children, tobacco- and alcohol-users, the richer and having health insurance had negative uptake behavior (p &lt; 0.05). Conclusion A clear impact of socio-cultural and financial factors on breast cancer screening behavior is evident among Indian women. Therefore, apart from the ongoing health system strengthening efforts, our findings call for targeted interventions against prevailing misconceptions and taboos along with economic and social empowerment of women for the holistic success of India's cancer screening strategy.</t>
  </si>
  <si>
    <t>[Gupta, Shibaji; De, Abhishek] Midnapore Med Coll, Dept Community Med, Midnapore, India; [Gupta, Sharmistha Sinha] Dept Gen Med, Ramakrishna Mission Seva Pratishthan, Kolkata, West Bengal, India; [Banerjee, Rudradeep] IPGMER, Dept Surg, Kolkata, India; [Goel, Sonu] Post Grad Inst Med Educ &amp; Res, Dept Community Med, Chandigarh, India; [Goel, Sonu] Post Grad Inst Med Educ &amp; Res, Sch Publ Hlth, Chandigarh, India</t>
  </si>
  <si>
    <t>Midnapore Medical College; Institute of Post Graduate Medical Education &amp; Research (IPGMER), Kolkata; Post Graduate Institute of Medical Education &amp; Research (PGIMER), Chandigarh; Post Graduate Institute of Medical Education &amp; Research (PGIMER), Chandigarh</t>
  </si>
  <si>
    <t>Gupta, S (corresponding author), Midnapore Med Coll, Dept Community Med, Midnapore, India.</t>
  </si>
  <si>
    <t>shibaji.dr@gmail.com</t>
  </si>
  <si>
    <t>Gupta, Shibaji/JAX-3368-2023; Goel, Sonu/F-7956-2010</t>
  </si>
  <si>
    <t>Gupta, Shibaji/0000-0002-1594-9337;</t>
  </si>
  <si>
    <t>0167-6806</t>
  </si>
  <si>
    <t>1573-7217</t>
  </si>
  <si>
    <t>BREAST CANCER RES TR</t>
  </si>
  <si>
    <t>Breast Cancer Res. Treat.</t>
  </si>
  <si>
    <t>10.1007/s10549-024-07244-7</t>
  </si>
  <si>
    <t>Oncology</t>
  </si>
  <si>
    <t>UA8F2</t>
  </si>
  <si>
    <t>WOS:001160320200001</t>
  </si>
  <si>
    <t>Mashkina, NA; Belyaeva, ES; Polyakova, TN; Alpeeva, EA; Belyaeva, OV</t>
  </si>
  <si>
    <t>Mashkina, Nataliya A.; Belyaeva, Elena S.; Polyakova, Tatiyana N.; Alpeeva, Elena A.; Belyaeva, Olga, V</t>
  </si>
  <si>
    <t>Innovative Technologies at The Modern Stage of Activity of Russian Commercial Banks</t>
  </si>
  <si>
    <t>Banking Innovations; Banking Products; Innovation Management; Internet Banking; Blockchain Technology; Fintech Startups; Cloud Data</t>
  </si>
  <si>
    <t>This article discusses the issues associated with the high cost of applying innovative technologies in banking in the Russian Federation, explores the main trends in the development of bank management in the innovative aspect, and assesses the importance of using innovative technologies both in individual commercial banks and in the banking system countries. The most promising innovative products in Russia are currently investigated. Based on the statistics of the Bank of Russia and Markswebb agency, an analysis of the efficiency rating of Internet banks for individuals was carried out. The methodology of applying innovations such as blockchain, cloud storage, API, NFC technologies, the integration of bank accounts with electronic payment systems (EPS) and cryptocurrencies is considered. As a result, the information considered in the article is generalized and conclusions are drawn on the application of innovative technologies not only in the activities of commercial banks, but also their role in improving the efficiency of the country's banking sector in the face of constant progress.</t>
  </si>
  <si>
    <t>[Mashkina, Nataliya A.; Belyaeva, Elena S.; Polyakova, Tatiyana N.; Alpeeva, Elena A.; Belyaeva, Olga, V] SWSU, Dept Credit &amp; Finance, Kursk, Russia</t>
  </si>
  <si>
    <t>Southwest State University - Russia</t>
  </si>
  <si>
    <t>Mashkina, NA (corresponding author), SWSU, Dept Credit &amp; Finance, Kursk, Russia.</t>
  </si>
  <si>
    <t>t.natusia@yandex.ru; belena2107@yandex.ru; halfjack@list.ru; alpeevael@yandex.ru; bels21973@yandex.ru</t>
  </si>
  <si>
    <t>Беляева, Ольга/AFL-9061-2022</t>
  </si>
  <si>
    <t>WOS:000661489804043</t>
  </si>
  <si>
    <t>Hamsal, M</t>
  </si>
  <si>
    <t>Hamsal, Mohammad</t>
  </si>
  <si>
    <t>The Business Model Development of e-Money Services in Indonesia</t>
  </si>
  <si>
    <t>2016 INTERNATIONAL CONFERENCE ON INFORMATION MANAGEMENT AND TECHNOLOGY (ICIMTECH)</t>
  </si>
  <si>
    <t>International Conference on Information Management and Technology (ICIMTech)</t>
  </si>
  <si>
    <t>NOV 16-18, 2016</t>
  </si>
  <si>
    <t>BINUS Univ, Sch Informat Syst,IEEE Indonesia Sect</t>
  </si>
  <si>
    <t>less cash society; e-Money; business model canvas</t>
  </si>
  <si>
    <t>In order to create less cash society, since 2014 Bank Indonesia has launched Non-Cash National Movement (Gerakan Nasional Non-Tunai) to increase people's awareness in using non-cash payment instruments. Currently, only around one-third Indonesian own bank account which was relatively low compared to cellular phone penetration that reached 123.1% in 2014. Based on this fact, Telkomsel launched its mobile money, T-Cash Tap, so that customers can do financial transactions using mobile phones. However, in its implementation, mobile money in Indonesia still has some issues, such as awareness, regulations, and low rate of industry attractiveness. The research was conducted to understand the business environment of TCash in Indonesia and to develop a business model for T-Cash Tap. Qualitative approach is used in this research through secondary data which taken from relevant reports, journals, and articles regarding mobile money. To support the qualitative data, a survey was conducted using questionnaires sent by mail to 130 Telkomsel's subscribers consist of 79 male and 51 female. Following the survey result analysis, a business model is proposed to be implemented by Telkomsel in aim to increase its mobile money usage.</t>
  </si>
  <si>
    <t>[Hamsal, Mohammad] Bina Nusantara Univ, Res Management, Jakarta, Indonesia</t>
  </si>
  <si>
    <t>Universitas Bina Nusantara</t>
  </si>
  <si>
    <t>Hamsal, M (corresponding author), Bina Nusantara Univ, Res Management, Jakarta, Indonesia.</t>
  </si>
  <si>
    <t>mhamsal@binus.edu</t>
  </si>
  <si>
    <t>978-1-5090-3352-2</t>
  </si>
  <si>
    <t>BI1CM</t>
  </si>
  <si>
    <t>WOS:000405555700028</t>
  </si>
  <si>
    <t>Verma, A; Giri, AK</t>
  </si>
  <si>
    <t>Verma, Anushka; Giri, Arun Kumar</t>
  </si>
  <si>
    <t>Does financial inclusion reduce income inequality? Empirical evidence from Asian economies</t>
  </si>
  <si>
    <t>INTERNATIONAL JOURNAL OF EMERGING MARKETS</t>
  </si>
  <si>
    <t>Financial development; Financial inclusion; Income inequality; Asia; Panel cointegration; Granger causality; G00; O11; O15; O16; O53</t>
  </si>
  <si>
    <t>UNIT-ROOT TESTS; PANEL-DATA; ERROR-CORRECTION; GROWTH; COINTEGRATION; INFLATION; CHINA</t>
  </si>
  <si>
    <t>PurposeThe present study examines the significance of financial inclusion in reducing income inequality in the Asian context.Design/methodology/approachThis study uses panel estimation techniques such as the Pedroni cointegration test, Kao residual-based test, FMOLS, ARDL and Granger causality, a dataset consisting of the Gini coefficient index, three dimensions of financial inclusion measures and one added variable on financial depth, spanning from 2005 to 2019.FindingsThe study finds that in the long-run, income inequality disparity is highly influenced by financial inclusion indicators, such as the number of bank branches, deposit accounts, outstanding loans and domestic credit to the private sector. Whereas in the short run, disparities in income are unaffected by all the indicators of financial inclusion. Further, unidirectional causality from financial inclusion indicators to income inequality necessitates the need for policymakers to design policies and programs that would enhance access to financial services as an essential mechanism to reduce income disparity.Originality/valueStudies based on a panel of Asian countries that have undergone impressive growth of financial inclusion initiatives since the past decade-but are still facing widening income inequality-are conspicuously rare in the literature. The empirical analysis fills this void by showing the significant role financial inclusion indicators play in steering the Asian economies toward income equality throughout the study period.</t>
  </si>
  <si>
    <t>[Verma, Anushka; Giri, Arun Kumar] Birla Inst Technol &amp; Sci BITS, Dept Econ &amp; Finance, Pilani, India</t>
  </si>
  <si>
    <t>Birla Institute of Technology &amp; Science Pilani (BITS Pilani)</t>
  </si>
  <si>
    <t>Giri, AK (corresponding author), Birla Inst Technol &amp; Sci BITS, Dept Econ &amp; Finance, Pilani, India.</t>
  </si>
  <si>
    <t>p20190069@pilani.bits-pilani.ac.in; akgiri.bits@gmail.com</t>
  </si>
  <si>
    <t>Verma, Anushka/ABG-1381-2021; Giri, Arun Kumar/ACG-0885-2022</t>
  </si>
  <si>
    <t>Verma, Anushka/0000-0002-2620-7734; Giri, Arun Kumar/0000-0002-7122-4517; , Zeeshan/0000-0002-0790-2168</t>
  </si>
  <si>
    <t>1746-8809</t>
  </si>
  <si>
    <t>1746-8817</t>
  </si>
  <si>
    <t>INT J EMERG MARK</t>
  </si>
  <si>
    <t>Int. J. Emerg. Mark.</t>
  </si>
  <si>
    <t>AUG 13</t>
  </si>
  <si>
    <t>10.1108/IJOEM-02-2022-0271</t>
  </si>
  <si>
    <t>C3K7C</t>
  </si>
  <si>
    <t>WOS:000885352300001</t>
  </si>
  <si>
    <t>Amaira, B</t>
  </si>
  <si>
    <t>Amaira, Bouzid</t>
  </si>
  <si>
    <t>Financial Inclusion and Economic Growth in Tunisia: An ARDL Bound Test Approach</t>
  </si>
  <si>
    <t>Financial inclusion; Economic growth; ARDL approach; Tunisia</t>
  </si>
  <si>
    <t>This paper investigates the nexus between financial inclusion and economic growth in Tunisia. It uses three dimensions of financial inclusion; the first is the access to financial services, the second is the availability of financial services, and the third is the usage of the financial services, while GDP per capita is used as a proxy for economic growth. The paper finds a low level of financial inclusion index in Tunisia by using the autoregressive distributed lag model (ARDL) for cointegration. The paper finds a negative relationship between the majority of financial inclusion indicators and economic growth during the period 2005-2017. This fact emphasizes that more efforts need to be done to enhance and extend financial inclusion in Tunisia through financial literacy, costumers protection, providing financial services to rural areas, and engagement of low-income people in formal financial services, especially via the informal sector.</t>
  </si>
  <si>
    <t>[Amaira, Bouzid] Univ Tunis El Manar PS2D, Tunisian Inst Competitiveness &amp; Quantitat Studies, Tunis, Tunisia</t>
  </si>
  <si>
    <t>Amaira, B (corresponding author), Univ Tunis El Manar PS2D, Tunisian Inst Competitiveness &amp; Quantitat Studies, Tunis, Tunisia.</t>
  </si>
  <si>
    <t>am_bouzid@yahoo.fr</t>
  </si>
  <si>
    <t>Amaira, Bouzid/AEC-2667-2022</t>
  </si>
  <si>
    <t>Amaira, Bouzid/0000-0003-4406-0331</t>
  </si>
  <si>
    <t>10.1007/s13132-022-01040-8</t>
  </si>
  <si>
    <t>WOS:000858882100001</t>
  </si>
  <si>
    <t>Boldbaatar, M; Lee, CL</t>
  </si>
  <si>
    <t>Boldbaatar, Myagmarsuren; Lee, Choong Lyol</t>
  </si>
  <si>
    <t>Financial Accessibility and Economic Growth</t>
  </si>
  <si>
    <t>JOURNAL OF EAST ASIAN ECONOMIC INTEGRATION</t>
  </si>
  <si>
    <t>Economic Growth; Financial Accessibility; Financial Services; Financial Systems; GMM</t>
  </si>
  <si>
    <t>BANKING SERVICES; ACCESS</t>
  </si>
  <si>
    <t>This paper investigates the empirical evidence on the relationship between financial accessibility and economic growth to test the conventional hypothesis that improved financial accessibility leads to financial development and economic growth. First, we built a dynamic panel model on the relationship between financial accessibility and economic growth with a set of controlled variables. We then used several financial access indicators from 165 countries, collected from 2004 to 2011, applying the generalized method of moments (GMM) estimators to estimate their relationship. From these estimations, we found that high financial accessibility leads to high income in general. In addition, we found that an increase in financial access indicators had a greater impact on economic growth in low-income countries than it did on economic growth in high-income countries.</t>
  </si>
  <si>
    <t>[Boldbaatar, Myagmarsuren] Natl Univ Mongolia, Dept Econ, Ulaanbaatar, Mongolia; [Lee, Choong Lyol] Korea Univ Sejong, Dept Econ, Sejong City, South Korea</t>
  </si>
  <si>
    <t>National University of Mongolia</t>
  </si>
  <si>
    <t>Lee, CL (corresponding author), Korea Univ Sejong, Dept Econ, Sejong City, South Korea.</t>
  </si>
  <si>
    <t>migaa@korea.ac.kr; cllee@korea.ac.kr</t>
  </si>
  <si>
    <t>Boldbaatar, Myagmarsuren/JOZ-1100-2023</t>
  </si>
  <si>
    <t>Boldbaatar, Myagmarsuren/0000-0002-1125-3818</t>
  </si>
  <si>
    <t>KOREA INST INT ECONOMIC POLICY</t>
  </si>
  <si>
    <t>SEJONG-SI</t>
  </si>
  <si>
    <t>3RD FL, BLDG. C, SEJONG NATIONAL RESEARCH COMPLEX, 370, SICHEONG-DAERO, SEJONG-SI, 339-007, SOUTH KOREA</t>
  </si>
  <si>
    <t>2234-8867</t>
  </si>
  <si>
    <t>2287-8793</t>
  </si>
  <si>
    <t>J EAST ASIAN ECON IN</t>
  </si>
  <si>
    <t>J. East Asian Econ. Integr.</t>
  </si>
  <si>
    <t>10.11644/KIEP.JEAI.2015.19.2.294</t>
  </si>
  <si>
    <t>CZ5TJ</t>
  </si>
  <si>
    <t>WOS:000367164600002</t>
  </si>
  <si>
    <t>Khelifa, SB; Hmaied, D; Ouda, OB; Ayadi, R; Makni, R</t>
  </si>
  <si>
    <t>Khelifa, Soumaya Ben; Hmaied, Dorra; Ouda, Olfa Ben; Ayadi, Rym; Makni, Rania</t>
  </si>
  <si>
    <t>Financial inclusion: a new multi-dimensional index and determinants - evidence from the Union for the Mediterranean countries</t>
  </si>
  <si>
    <t>Multidimensional financial inclusion index; Determinants; Principal component analysis; G21; O11</t>
  </si>
  <si>
    <t>INEQUALITY; SERVICES; ACCESS</t>
  </si>
  <si>
    <t>PurposeThis paper proposes a new multi-dimensional financial inclusion index.Design/methodology/approachThe authors employ two-stage principal component analysis (PCA) and aggregating indicators of availability, access and use. The paper first assesses the cross-country variations in the index and analyses trends over time for a sample of countries members of the Union for the Mediterranean (UfM) from 2010-2018. Second, it investigates factors that could explain the level of financial inclusion across countries.FindingsThe financial inclusion index shows a downward trend for the full sample over the period under investigation; however when splitting the sample by income group, it appears that high- and middle-income countries did not register the same trend. When examining the determinants of financial inclusion for the UfM countries, the authors find that macroeconomic, social and governance factors, as well as banking conditions, matter. Policy-makers in low- and middle-income economies should consider the importance of digital financial inclusion, which is substituting the role to traditional banking system, to close the gap and accelerate its development.Originality/valueFirst, the authors provide a new measure of financial inclusion using a three-dimensional index: availability, access and use, for which weights are assigned using PCA. It uses data available for the UfM sample by combining data from different databases in order to include most indicators considered in the literature, as the majority of studies only use single measures (number of bank branches, ownership of a bank account, ratio of credits or deposits to gross domestic product [GDP], etc.). Second, by focussing on UfM countries, the study covers a region that includes both large developed and small developing economies that are connected via financial and trade ties, whilst previous studies generally give global evidence from an international sample with little or no economic ties. Third, splitting the sample by country income groups, the paper presents a more comprehensive representation of the cross-country variation in financial inclusion levels between high- and middle-income economies for this region.</t>
  </si>
  <si>
    <t>[Khelifa, Soumaya Ben; Hmaied, Dorra; Ouda, Olfa Ben; Makni, Rania] IHEC Carthage, LEFA, Tunis, Tunisia; [Ayadi, Rym] City Univ London, Bayes Business Sch, London, England</t>
  </si>
  <si>
    <t>Universite de Carthage; City St Georges, University of London</t>
  </si>
  <si>
    <t>Khelifa, SB (corresponding author), IHEC Carthage, LEFA, Tunis, Tunisia.</t>
  </si>
  <si>
    <t>soumaiya_b@yahoo.fr; dorrahmaied@hotmail.com; benoudaolfa@yahoo.fr; rymayadi9@gmail.com; raniamakni.rm@gmail.com</t>
  </si>
  <si>
    <t>MAKNI, RANIA/O-2684-2013</t>
  </si>
  <si>
    <t>MAKNI, RANIA/0000-0003-0068-2235</t>
  </si>
  <si>
    <t>AUG 12</t>
  </si>
  <si>
    <t>10.1108/JEAS-12-2021-0266</t>
  </si>
  <si>
    <t>DEC 2022</t>
  </si>
  <si>
    <t>C0Y0Q</t>
  </si>
  <si>
    <t>WOS:000897921400001</t>
  </si>
  <si>
    <t>Podder, B</t>
  </si>
  <si>
    <t>Podder, Bhaskar</t>
  </si>
  <si>
    <t>Mobile Financial Services in Bangladesh: An Empirical Study of its Usage</t>
  </si>
  <si>
    <t>GLOBAL BUSINESS REVIEW</t>
  </si>
  <si>
    <t>Autoregressive distributed lag approach; cash-based transaction; electronic transaction; financial literacy; mobile financial services usage</t>
  </si>
  <si>
    <t>TIME-SERIES; COINTEGRATION</t>
  </si>
  <si>
    <t>This study explores the usage of mobile financial services (MFS) in a developing country like Bangladesh, where many underprivileged people who lack proper financial literacy and have no bank accounts are getting formal financial services through MFS. It investigates whether or not the electronic modes of MFS usage impact cash-based MFS usage. Secondary data on MFS usage in Bangladesh have been studied. The autoregressive distributed lag (ARDL) model has been applied to analyze the time series data. The results show that electronic modes of MFS usage negatively and significantly impact cash-based MFS usage. This study fills the gap in the literature with an empirical study at a country level using historical data of category-wise MFS usage instead of relying on users' opinions. The analysis of this study can serve as a basis for strategic decision-making for policymakers, regulatory authorities and industry players and allow MFS providers to explore innovative approaches in response to the changing dynamics of the market.</t>
  </si>
  <si>
    <t>[Podder, Bhaskar] Shiv Nadar Univ, Sch Management &amp; Entrepreneurship, Greater Noida 201314, Uttar Pradesh, India</t>
  </si>
  <si>
    <t>Shiv Nadar University</t>
  </si>
  <si>
    <t>Podder, B (corresponding author), Shiv Nadar Univ, Sch Management &amp; Entrepreneurship, Greater Noida 201314, Uttar Pradesh, India.</t>
  </si>
  <si>
    <t>bp393@snu.edu.in</t>
  </si>
  <si>
    <t>Podder, Bhaskar/LGZ-0024-2024</t>
  </si>
  <si>
    <t>Podder, Bhaskar/0009-0002-6260-8591</t>
  </si>
  <si>
    <t>0972-1509</t>
  </si>
  <si>
    <t>0973-0664</t>
  </si>
  <si>
    <t>GLOB BUS REV</t>
  </si>
  <si>
    <t>Glob. Bus. Rev.</t>
  </si>
  <si>
    <t>2025 MAY 3</t>
  </si>
  <si>
    <t>10.1177/09721509251333478</t>
  </si>
  <si>
    <t>2DY9Q</t>
  </si>
  <si>
    <t>WOS:001480379800001</t>
  </si>
  <si>
    <t>de Graaf, TJ</t>
  </si>
  <si>
    <t>de Graaf, T. J.</t>
  </si>
  <si>
    <t>From old to new: From internet to smart contracts and from people to smart contracts</t>
  </si>
  <si>
    <t>COMPUTER LAW &amp; SECURITY REVIEW</t>
  </si>
  <si>
    <t>Discussing legal issues related to smart contracts on the blockchain is very topical. This article will discuss primarily smart contracts on the blockchain the conclusion and execution of which does not interact with the physical world, as well as briefly touch upon smart contracts on the blockchain which do interact with the physical world. For these smart contracts, it will be determined to what extent existing EU internet laws can help support their development and if not, what is needed to support this. In order to answer this question, the following will be discussed: the rise of e-commerce and in particular the EU internet laws supporting and regulating e-commerce, how smart contracts work and how smart contracts compare with existing technological developments and comparable legal constructs (internet, bank accounts and bank guarantees). Subsequently, it will be explained how the use of smart contracts leads to a shift of confidence, from trust in people to trust in code. On the basis of The DAO hack and the problems that arose, it will be illustrated that this shift to trust in code is not as absolute as is often thought. The article concludes that applying specific EU laws on supporting and regulating e-commerce to smart contracts is difficult for two reasons. First of all, the starting points differ: trust in people versus trust in code. Secondly, technical and practical obstacles often inhibit applying internet laws in a meaningful manner. When using smart contracts, it makes more sense to prevent problems from arising than to correct them afterwards. For this reason, it is advocated that programmers work together with lawyers to create better smart contracts and that the legislator focuses on laws dealing with auditing smart contracts code by trusted third parties and automatically equating smart contracts with written contracts with wet ink signatures. This will hopefully facilitate the rise of smart contracts on the blockchain. (C) 2019 T.J. de Graaf. Published by Elsevier Ltd. All rights reserved.</t>
  </si>
  <si>
    <t>[de Graaf, T. J.] Leiden Univ, Inst Private Law, Fac Law, Leiden, Netherlands</t>
  </si>
  <si>
    <t>Leiden University; Leiden University - Excl LUMC</t>
  </si>
  <si>
    <t>de Graaf, TJ (corresponding author), Leiden Univ, Inst Private Law, Fac Law, Leiden, Netherlands.</t>
  </si>
  <si>
    <t>t.j.degraaf@law.leidenuniv.nl</t>
  </si>
  <si>
    <t>de Graaf, Tycho/0000-0001-5230-4362</t>
  </si>
  <si>
    <t>ELSEVIER ADVANCED TECHNOLOGY</t>
  </si>
  <si>
    <t>OXFORD FULFILLMENT CENTRE THE BOULEVARD, LANGFORD LANE, KIDLINGTON, OXFORD OX5 1GB, OXON, ENGLAND</t>
  </si>
  <si>
    <t>2212-473X</t>
  </si>
  <si>
    <t>2212-4748</t>
  </si>
  <si>
    <t>COMPUT LAW SECUR REV</t>
  </si>
  <si>
    <t>Comput. Law Secur. Rev.</t>
  </si>
  <si>
    <t>10.1016/j.clsr.2019.04.005</t>
  </si>
  <si>
    <t>JF9EI</t>
  </si>
  <si>
    <t>WOS:000491685200003</t>
  </si>
  <si>
    <t>Katsaiti, MS; Khraiche, M</t>
  </si>
  <si>
    <t>Katsaiti, Marina-Selini; Khraiche, Maroula</t>
  </si>
  <si>
    <t>Does access to credit alter migration intentions?</t>
  </si>
  <si>
    <t>Migration; Credit access; Migration costs; Survey data; Brain drain</t>
  </si>
  <si>
    <t>BRAIN-DRAIN; INTERNATIONAL MIGRATION; EMIGRATION INTENTIONS; ECONOMIC-GROWTH; SELF-SELECTION; REMITTANCES; CONSTRAINTS; HETEROSCEDASTICITY; IDENTIFICATION; INSTRUMENTS</t>
  </si>
  <si>
    <t>This study investigates whether access to credit affects migration intentions. Using Gallup survey data for the years 2009 and 2010 for 17 African countries, we document a negative link between the ability to borrow and the desire to migrate. Being able to borrow reduces the likelihood of reporting wanting to migrate, especially for those with some education, those with lower income, for individuals with a bank account, and for those who feel their assets are safe. To deal with endogeneity, we assume that migration desire is driven by borrowing which in turn is determined by access to financial services. Therefore, we estimate a two-equation system for migration and borrowing, using variables describing access to financial services as instruments. We verify our findings using identification through heteroscedasticity and using a geographical instrument. Our results indicate that efforts to increase credit access in developing economies can cement residents' attachment to their home country.</t>
  </si>
  <si>
    <t>[Katsaiti, Marina-Selini] Agr Univ Athens, Dept Reg &amp; Econ Dev, Amfissa, Greece; [Katsaiti, Marina-Selini] United Arab Emirates Univ, Coll Business &amp; Econ, Dept Innovat Govt &amp; Soc, Al Ain, U Arab Emirates; [Katsaiti, Marina-Selini] Hellen Open Univ, Patras, Greece; [Khraiche, Maroula] Univ Texas Rio Grande Valley, Robert C Vackar Coll Business &amp; Entrepreneurship, Dept Econ, Edinburg, TX 78539 USA</t>
  </si>
  <si>
    <t>United Arab Emirates University; Hellenic Open University; University of Texas System; University of Texas Rio Grande Valley</t>
  </si>
  <si>
    <t>Khraiche, M (corresponding author), Univ Texas Rio Grande Valley, Robert C Vackar Coll Business &amp; Entrepreneurship, Dept Econ, Edinburg, TX 78539 USA.</t>
  </si>
  <si>
    <t>mskatsaiti@aua.gr; maroula.khraiche@utrgv.edu</t>
  </si>
  <si>
    <t>Khraiche, Maroula/0000-0001-5385-696X</t>
  </si>
  <si>
    <t>10.1007/s00181-023-02393-y</t>
  </si>
  <si>
    <t>Q1RL6</t>
  </si>
  <si>
    <t>WOS:000943680200001</t>
  </si>
  <si>
    <t>Mukong, AK; Jentzsch, T; Aquilas, NA</t>
  </si>
  <si>
    <t>Mukong, Alfred Kechia; Jentzsch, Tiofilia; Aquilas, Nkwetta Ajong</t>
  </si>
  <si>
    <t>The impact of financial literacy on access to formal financial products in Namibia</t>
  </si>
  <si>
    <t>financial literacy; formal financial products; instrumental variable probit; Namibia</t>
  </si>
  <si>
    <t>SAVINGS; INCLUSION; EDUCATION; BEHAVIOR; KNOWLEDGE; SERVICES</t>
  </si>
  <si>
    <t>MotivationThe level of financial inclusion has increased markedly in Namibia in recent years. Currently, 78% of the population is considered to be financially included. More importantly, this increase has largely derived from vulnerable groups, including low-income earners living in rural areas. Although there has been an increase in the rate of financial literacy, there is no formal empirical analysis showing the extent to which improved access to formal financial services is associated with financial literacy.PurposeThis article deepens the empirical analysis of financial literacy by simultaneously considering their effects on savings, bank account ownership, and access to credit and insurance in Namibia. We further disaggregated the analysis to consider heterogeneity between men and women, as well as between rural and urban populations.Approach and methodsWe used data from the Namibia Financial Inclusion Survey of 2017 and the instrumental variable probit model to minimize the bias from possible endogeneity caused by potential measurement error, unobserved variable bias, or reverse causality.FindingsThe study showed that financial literacy significantly increases the likelihood of people using formal financial products. Failure to adequately control for the associated bias would lead to substantial overestimation of the impact of financial literacy. Estimates from the disaggregated analysis showed that the impact of financial literacy differs significantly between rural and urban populations, as well as between men and women. The effects are higher for males than for females and for rural than urban sub-samples.Policy implicationsThe positive effect of financial literacy on formal financial products suggests that policy options that promote financial literacy are crucial for improving access to formal financial products, particularly for men and the rural population. These policies could include the introduction of financial literacy programmes in schools in order to enhance personal financial knowledge and participation in the formal financial sector. Emphasis should be placed on the raising of awareness, especially among disadvantaged communities, as to the benefits of owning and operating different financial products and on the inclusion of financial literacy programmes on public television.</t>
  </si>
  <si>
    <t>[Mukong, Alfred Kechia] Univ Namibia, Dept Econ, Windhoek, Namibia; [Jentzsch, Tiofilia] Univ Namibia, Namibia Business Sch, Windhoek, Namibia; [Aquilas, Nkwetta Ajong] Univ Buea, Dept Econ, Buea, Cameroon</t>
  </si>
  <si>
    <t>University of Namibia; University of Namibia</t>
  </si>
  <si>
    <t>Aquilas, NA (corresponding author), Univ Buea, Dept Econ, Buea, Cameroon.</t>
  </si>
  <si>
    <t>aquilas2020@gmail.com</t>
  </si>
  <si>
    <t>Aquilas, Nkwetta Ajong/0000-0002-6255-8435</t>
  </si>
  <si>
    <t>10.1111/dpr.12818</t>
  </si>
  <si>
    <t>1AN0W</t>
  </si>
  <si>
    <t>WOS:001358052900001</t>
  </si>
  <si>
    <t>Abdelgawad, AA; Khan, A; Baharmand, H</t>
  </si>
  <si>
    <t>Abdelgawad, Ahmed A.; Khan, Aima; Baharmand, Hossein</t>
  </si>
  <si>
    <t>Exploring gaps in using digital delivery mechanisms for cash-based assistance in refugee crises</t>
  </si>
  <si>
    <t>INTERNATIONAL JOURNAL OF DISASTER RISK REDUCTION</t>
  </si>
  <si>
    <t>Cash-based assistance; Digital delivery mechanisms; Refugees; Literature review; Humanitarian aid</t>
  </si>
  <si>
    <t>Cash-Based Assistance (CBA) has become the preferred aid modality for refugees when local markets are functioning. Utilising digital delivery mechanisms promises to improve the effectiveness and efficiency of delivering aid to beneficiaries: reaching more people in need quicker with lesser transfer costs. Nevertheless, there is no consensus in the literature and practice regarding which delivery mechanisms could be used in digital CBA, where, when, and how. This article explores the academic and grey literature to answer the following two questions: what is the state-of-the-art of digital delivery mechanisms for CBA in the context of refugees? and what are the most common delivery mechanisms for digital CBA in refugee crises as applied in academia and grey literature? Results reveal that more quantitative studies are needed to assess the digital interventions' performances and compare the delivery mechanisms in various contexts (e.g., locations in terms of settlement and hosting countries vs groups of beneficiaries). We also find that the literature does not provide evidence-based guidelines, standards, or feasibility requirements for using digital delivery mechanisms for CBA. Research is required to answer the questions of when, where, and how to use the digital mechanisms to deliver CBA, covering the operational aspects and best practices of recent interventions in the field. Our review identifies the reported cases of digital delivery mechanisms for CBA falling under three main categories: bank accounts, mobile money, and prepaid cards. The article has implications as it provides stateof-the-art literature on digital CBA, identifies gaps, and suggests future research directions.</t>
  </si>
  <si>
    <t>[Abdelgawad, Ahmed A.; Khan, Aima; Baharmand, Hossein] Univ Agder, Ctr Integrated Emergency Management CIEM, Kristiansand, Norway</t>
  </si>
  <si>
    <t>Abdelgawad, AA (corresponding author), Univ Agder, Ctr Integrated Emergency Management CIEM, Kristiansand, Norway.</t>
  </si>
  <si>
    <t>ahmedg@uia.no; aima.khan@uia.no; hossein.baharmand@uia.no</t>
  </si>
  <si>
    <t>Baharmand, Hossein/P-7669-2017</t>
  </si>
  <si>
    <t>Baharmand, Hossein/0000-0003-3495-3988; Aboughonim, Ahmed/0000-0002-1174-9151</t>
  </si>
  <si>
    <t>Research Council of Norway; [325437]</t>
  </si>
  <si>
    <t>Research Council of Norway(Research Council of NorwayInstituto Politecnico Nacional - Mexico);</t>
  </si>
  <si>
    <t>Acknowledgements This study is conducted as a part of the research project DigCBA. This project has received funding from the Research Council of Norway under grant agreement No 325437.</t>
  </si>
  <si>
    <t>2212-4209</t>
  </si>
  <si>
    <t>INT J DISAST RISK RE</t>
  </si>
  <si>
    <t>Int. J. Disaster Risk Reduct.</t>
  </si>
  <si>
    <t>10.1016/j.ijdrr.2023.103907</t>
  </si>
  <si>
    <t>AUG 2023</t>
  </si>
  <si>
    <t>Geosciences, Multidisciplinary; Meteorology &amp; Atmospheric Sciences; Water Resources</t>
  </si>
  <si>
    <t>Geology; Meteorology &amp; Atmospheric Sciences; Water Resources</t>
  </si>
  <si>
    <t>Q7WA4</t>
  </si>
  <si>
    <t>WOS:001059579000001</t>
  </si>
  <si>
    <t>Fujiwara, Y; Inoue, H; Yamaguchi, T; Aoyama, H; Tanaka, T; Kikuchi, K</t>
  </si>
  <si>
    <t>Fujiwara, Yoshi; Inoue, Hiroyasu; Yamaguchi, Takayuki; Aoyama, Hideaki; Tanaka, Takuma; Kikuchi, Kentaro</t>
  </si>
  <si>
    <t>Money flow network among firms' accounts in a regional bank of Japan</t>
  </si>
  <si>
    <t>EPJ DATA SCIENCE</t>
  </si>
  <si>
    <t>Input-output table; Hodge decomposition; Non-negative matrix factorization; Bowtie-walnut structure</t>
  </si>
  <si>
    <t>ALGORITHMS</t>
  </si>
  <si>
    <t>In this study, we investigate the flow of money among bank accounts possessed by firms in a region by employing an exhaustive list of all the bank transfers in a regional bank in Japan, to clarify how the network of money flow is related to the economic activities of the firms. The network statistics and structures are examined and shown to be similar to those of a nationwide production network. Specifically, the bowtie analysis indicates what we refer to as a walnut structure with core and upstream/downstream components. To quantify the location of an individual account in the network, we used the Hodge decomposition method and found that the Hodge potential of the account has a significant correlation to its position in the bowtie structure as well as to its net flow of incoming and outgoing money and links, namely the net demand/supply of individual accounts. In addition, we used non-negative matrix factorization to identify important factors underlying the entire flow of money; it can be interpreted that these factors are associated with regional economic activities. One factor has a feature whereby the remittance source is localized to the largest city in the region, while the destination is scattered. The other factors correspond to the economic activities specific to different local places. This study serves as a basis for further investigation on the relationship between money flow and economic activities of firms.</t>
  </si>
  <si>
    <t>[Fujiwara, Yoshi; Inoue, Hiroyasu] Univ Hyogo, Grad Sch Informat Sci, Kobe, Hyogo 6500047, Japan; [Fujiwara, Yoshi; Yamaguchi, Takayuki; Tanaka, Takuma] Shiga Univ, Ctr Data Sci Educ &amp; Res, Hikone 5228522, Japan; [Aoyama, Hideaki] RIKEN, iTHEMS, Wako, Saitama 3510198, Japan; [Aoyama, Hideaki] Res Inst Econ Trade &amp; Ind, Tokyo 1000013, Japan; [Tanaka, Takuma] Shiga Univ, Grad Sch Data Sci, Hikone 5228522, Japan; [Kikuchi, Kentaro] Shiga Univ, Grad Sch Econ, Hikone 5228522, Japan</t>
  </si>
  <si>
    <t>University of Hyogo; Shiga University; RIKEN; Shiga University; Shiga University</t>
  </si>
  <si>
    <t>Fujiwara, Y (corresponding author), Univ Hyogo, Grad Sch Informat Sci, Kobe, Hyogo 6500047, Japan.;Fujiwara, Y (corresponding author), Shiga Univ, Ctr Data Sci Educ &amp; Res, Hikone 5228522, Japan.</t>
  </si>
  <si>
    <t>yoshi.fujiwara@gmail.com</t>
  </si>
  <si>
    <t>Fujiwara, Yoshi/0000-0002-5099-8169; Tanaka, Takuma/0000-0003-1898-8064</t>
  </si>
  <si>
    <t>MEXT; project Macro-Economy under COVID-19 influence: Data-intensive analysis and the road to recovery; JSPS KAKENHI [17H02041, 19K22032, 20H02391]; Grants-in-Aid for Scientific Research [19K22032, 20H02391] Funding Source: KAKEN</t>
  </si>
  <si>
    <t>MEXT(Ministry of Education, Culture, Sports, Science and Technology, Japan (MEXT)); project Macro-Economy under COVID-19 influence: Data-intensive analysis and the road to recovery;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</si>
  <si>
    <t>This work was supported in part by MEXT as Exploratory Challenges on Post-K computer (Studies of Multi-level Spatiotemporal Simulation of Socioeconomic Phenomena), the project Macro-Economy under COVID-19 influence: Data-intensive analysis and the road to recovery undertaken at the Research Institute of Economy, Trade and Industry (RIETI), and JSPS KAKENHI Grant Numbers 17H02041, 19K22032, and 20H02391.</t>
  </si>
  <si>
    <t>2193-1127</t>
  </si>
  <si>
    <t>EPJ DATA SCI</t>
  </si>
  <si>
    <t>EPJ Data Sci.</t>
  </si>
  <si>
    <t>APR 21</t>
  </si>
  <si>
    <t>10.1140/epjds/s13688-021-00274-x</t>
  </si>
  <si>
    <t>Mathematics, Interdisciplinary Applications; Social Sciences, Mathematical Methods</t>
  </si>
  <si>
    <t>Mathematics; Mathematical Methods In Social Sciences</t>
  </si>
  <si>
    <t>RQ0XY</t>
  </si>
  <si>
    <t>Green Submitted, Green Published, gold</t>
  </si>
  <si>
    <t>WOS:000642144800001</t>
  </si>
  <si>
    <t>Wahbi, A; Nordmeyer, E; Ölkers, T; Musshoff, O</t>
  </si>
  <si>
    <t>Wahbi, Annkathrin; Nordmeyer, Eike; Oelkers, Tim; Musshoff, Oliver</t>
  </si>
  <si>
    <t>Savings for resilience: Investigating saving instruments in Mali</t>
  </si>
  <si>
    <t>POOR; AFRICA</t>
  </si>
  <si>
    <t>Despite worldwide initiatives to alleviate poverty, 35% of Sub-Saharan Africa's population continues to live below the poverty line. In light of this, many regard the promotion of saving as a cost-efficient and low-risk strategy for household resilience and pro-poor development. We assess saving determinants for 374 Malian farmers by employing a two-step selection model. As a first step, we assess determinants of whether or not a farmer saves by applying a probit model. In a second step, we estimate an Ordinary Least Squares regression to investigate a farmer's savings amount. In both steps, we disaggregate the outcome variable on whether respondents save through mobile money, via a bank account, or a secret place. To address endogeneity concerns, we apply an instrumental variable approach using the walking distance to the next mobile money agent as an instrument. We find considerable heterogeneity in saving determinants and identify a particularly strong role of supply-side factors such as infrastructure quality. Furthermore, the results suggest that saving with a secret place is persistently popular, in particular among younger respondents and those who do not have access to a smartphone in their household. This indicates a potential to transfer these hidden savings to formal accounts for interest earnings and potentially safer storage. The findings have implications for improving financial practices and resilience among smallholder farmers in low-income economies, suggesting the transformative potential of secure and accessible saving mechanisms.</t>
  </si>
  <si>
    <t>[Wahbi, Annkathrin; Nordmeyer, Eike; Oelkers, Tim; Musshoff, Oliver] Georg August Univ Goettingen, Dept Agr Econ &amp; Rural Dev, Gottingen, Germany</t>
  </si>
  <si>
    <t>Wahbi, A (corresponding author), Georg August Univ Goettingen, Dept Agr Econ &amp; Rural Dev, Gottingen, Germany.</t>
  </si>
  <si>
    <t>annkathrin.wahbi@uni-goettingen.de</t>
  </si>
  <si>
    <t>; Musshoff, Oliver/AAZ-1868-2021</t>
  </si>
  <si>
    <t>Ölkers, Tim/0000-0002-8399-3962; Wahbi, Annkathrin/0000-0002-5479-0672; Musshoff, Oliver/0000-0002-3746-623X</t>
  </si>
  <si>
    <t>German Ministry for Economic Development and Cooperation (Bundesministerium fur Wirtschafliche Zusammenarbeit und Entwicklung, BMZ)</t>
  </si>
  <si>
    <t>Prof. Dr. Oliver Musshoff received funding from the German Ministry for Economic Development and Cooperation (Bundesministerium fur Wirtschafliche Zusammenarbeit und Entwicklung, BMZ, https://www.bmz.de/de) The funder did not play any role in the study design, data collection and analysis, decision to publish, or preparation of the manuscript.</t>
  </si>
  <si>
    <t>e0326873</t>
  </si>
  <si>
    <t>10.1371/journal.pone.0326873</t>
  </si>
  <si>
    <t>4VM3T</t>
  </si>
  <si>
    <t>WOS:001527644500036</t>
  </si>
  <si>
    <t>Lorain, MA; Barreal Pernas, J; Jannes, G; Urquía Grande, E; López Sánchez, PL; Sierra, J</t>
  </si>
  <si>
    <t>Lorain, Marie-Anne; Barreal Pernas, Jesus; Jannes, Gil; Urquia Grande, Elena; Lopez Sanchez, Pilar; Sierra, Javier</t>
  </si>
  <si>
    <t>Unraveling financial exclusion during the COVID-19 pandemic: A gender perspective in Latin American countries</t>
  </si>
  <si>
    <t>Financial inclusion; Digital finance; Gender; COVID-19; Latin America</t>
  </si>
  <si>
    <t>MOBILE MONEY; INCLUSION; MICROFINANCE; WOMEN; REMITTANCES; POLICY</t>
  </si>
  <si>
    <t>The COVID-19 pandemic has affected mainly the most vulnerable population in developing countries. This research focuses on financial inclusion, with an emphasis on digital financing among men and women in Latin American countries. The analysis combines a qualitative and quantitative perspective. We first perform a comprehensive literature review of financial inclusion in developing countries, with a focus on gender gap, preand post-COVID. An extensive sample of Latin American countries is then studied in detail through the World Bank Global Findex Questionnaire. A series of questions is identified in relation to financial inclusion, such as financial and mobile account ownership and their use for bill payments, or debit and credit card ownership, and the differences in terms of gender are analyzed statistically. This analysis is complemented by an econometric modelization to identify the significance and strength of the variables that determine financial inclusion. Among our main results, we highlight the positive post-COVID evolution of financial inclusion for both genders. However, this positive influence is much stronger for men than for women. Before COVID, women scored slightly higher on all financial inclusion indicators under consideration for the whole of Latin America. However, this balance is markedly reversed post-COVID. Our results thus reinforce previous findings on the economic, social, and financial repercussions suffered by women in developing countries from COVID-19. We also formulate tentative suggestions for policy makers to reinforce the financial education and inclusion of women.</t>
  </si>
  <si>
    <t>[Lorain, Marie-Anne; Barreal Pernas, Jesus; Jannes, Gil; Urquia Grande, Elena] Univ Complutense Madrid, Fac Ciencias Econ &amp; Empresariales, Madrid, Spain; [Lopez Sanchez, Pilar] Univ Francisco Vitoria, Vitoria, Spain; [Sierra, Javier] Univ Salamanca, Salamanca, Spain</t>
  </si>
  <si>
    <t>Complutense University of Madrid; Universidad Francisco de Vitoria; University of Salamanca</t>
  </si>
  <si>
    <t>Lorain, MA (corresponding author), Univ Complutense Madrid, Fac Ciencias Econ &amp; Empresariales, Madrid, Spain.</t>
  </si>
  <si>
    <t>mlorain@ucm.es; jbarreal@ucm.es; gjannes@ucm.es; eurquiag@ucm.es; p.lopez.prof@ufv.es; jsierra@usal.es</t>
  </si>
  <si>
    <t>Sierra, Javier/V-4471-2017; Urquía-Grande, Elena/AAK-3465-2021; JANNES, GIL/A-4374-2012; Lorain, Marie-Anne/ISB-6280-2023</t>
  </si>
  <si>
    <t>JANNES, GIL/0000-0002-1072-3267;</t>
  </si>
  <si>
    <t>10.1016/j.worlddev.2025.106924</t>
  </si>
  <si>
    <t>U9E2J</t>
  </si>
  <si>
    <t>WOS:001414729000001</t>
  </si>
  <si>
    <t>Tagat, A</t>
  </si>
  <si>
    <t>Tagat, Anirudh</t>
  </si>
  <si>
    <t>Female matters: Impact of a workfare program on intra-household female decision-making in rural India</t>
  </si>
  <si>
    <t>Welfare programs; Women's empowerment; MGNREGS; Consumption</t>
  </si>
  <si>
    <t>GENDER; EMPOWERMENT; POWER; MICROFINANCE; PROPERTY; AUTONOMY; POLICY; GAP</t>
  </si>
  <si>
    <t>Welfare schemes have since long been used as tools of poverty alleviation, particularly in the global South. Women have been targeted as beneficiaries of many of these schemes, given traditional gender norms often deprive them of opportunities for gainful employment, among others. In this paper, we study the effects of one of the largest welfare programs in the world, the Mahatma Gandhi National Rural Employment Guarantee Scheme (MGNREGS) in India. MGNREGS mandates a third of all employment for women and delivers wages directly into women's bank accounts, potentially triggering a change in household level outcomes in favour of women. This paper seeks to empirically investigate the impact of MGNREGS on female decision-making within the household in rural India. We use recently collected cross-sectional micro data in five states to examine whether the phased rollout of MGNREGS influences the share of female decision-makers across various categories of household decisions. We find strong positive effects of MGNREGS implementation on female decision-making power related to pattern of consumption of nutritious food, children's education, and female labour supply. Robustness checks show there is also substantial disagreement on the female as the key decision-makers on food consumption expenditures as well as male labour supply decisions. We argue that these effects are largely on account of changes to women's relative endowments. Implications for policy include refining program design to target female beneficiaries more suitably, thereby moving intra-household dynamics in their favour.</t>
  </si>
  <si>
    <t>[Tagat, Anirudh] Monk Prayogshala, Dept Econ, Mumbai, Maharashtra, India; [Tagat, Anirudh] 4114 Oberoi Garden Estates,C Wing, Mumbai 400072, Maharashtra, India</t>
  </si>
  <si>
    <t>Tagat, A (corresponding author), Monk Prayogshala, Dept Econ, Mumbai, Maharashtra, India.;Tagat, A (corresponding author), 4114 Oberoi Garden Estates,C Wing, Mumbai 400072, Maharashtra, India.</t>
  </si>
  <si>
    <t>at@monkprayogshala.in</t>
  </si>
  <si>
    <t>Tagat, Anirudh/W-8182-2019</t>
  </si>
  <si>
    <t>Tagat, Anirudh/0000-0002-7707-453X</t>
  </si>
  <si>
    <t>German Development Institute (DIE); National Institute of Rural Development (NIRD); Indian Council for Social Sciences Research (ICSSR)</t>
  </si>
  <si>
    <t>The data used in this paper was funded by the German Development Institute (DIE), National Institute of Rural Development (NIRD), and the Indian Council for Social Sciences Research (ICSSR).</t>
  </si>
  <si>
    <t>10.1016/j.wdp.2020.100246</t>
  </si>
  <si>
    <t>UN0BO</t>
  </si>
  <si>
    <t>WOS:000693688200015</t>
  </si>
  <si>
    <t>Lotto, J</t>
  </si>
  <si>
    <t>Lotto, Josephat</t>
  </si>
  <si>
    <t>Examination of the Status of Financial Inclusion and Its Determinants in Tanzania</t>
  </si>
  <si>
    <t>financial inclusion; mobile money; banking services</t>
  </si>
  <si>
    <t>The primary motive of this paper is to examine the determinants of financial inclusion in Tanzania. The paper borrows data from a household survey conducted by TWAWEZA. Employing the probit regression, the findings of this paper reveal that gender, education, age and income are the pertinent factors which affect the financial inclusion in Tanzania. The paper further shows the following: First, if you are a man, financially stable, have a good education and are relatively older, you then stand better chances of being financially included. The results show that, as the level of education increases, the individual is more likely to be financially included. The possible reason for this observation may be clearly linked with the financial ability of educated individuals to afford holding bank accounts and presenting personal guarantees when required by the banks during loan application because the level of education goes parallel with the income level. In addition, the results confirm a gender gap in formal financial inclusion, and this may be due to the factors such as inability of women to show collateral, their poor financial education awareness and lower business experience. Second, the paper also shows that the factors which affect traditional banking services are the same as those affecting mobile banking services (gender, age, income and education), and that there is a negative trend and a clear departure of customers' usage from banking retail services to mobile financial services. Although this gap has been narrowed recently, the best option with the banking sector is to create more new delivery channels while using mobile financial services as an infrastructure to deepen financial access reaching more un-banked population. The paper, therefore, recommends banks to create more delivery channels while using mobile telecommunication network as an infrastructure to deepen financial access reaching more unbanked people rather than competing with mobile network operators. The findings of this paper may also be used as a wake-up call for policy makers to put more emphasis on women and young people who are often left behind during Government's effort toward reaching the entire population as far as financial inclusion is concerned.</t>
  </si>
  <si>
    <t>[Lotto, Josephat] Inst Finance Management, Dept Accounting &amp; Finance, Dar Es Salaam 11101, Tanzania</t>
  </si>
  <si>
    <t>Institute of Finance Management (IFM)</t>
  </si>
  <si>
    <t>Lotto, J (corresponding author), Inst Finance Management, Dept Accounting &amp; Finance, Dar Es Salaam 11101, Tanzania.</t>
  </si>
  <si>
    <t>tathioga@yahoo.co.uk</t>
  </si>
  <si>
    <t>Lotto, Josephat/AAA-2197-2021</t>
  </si>
  <si>
    <t>Lotto, Josephat/0000-0001-9815-1963</t>
  </si>
  <si>
    <t>10.3390/su10082873</t>
  </si>
  <si>
    <t>GW3CI</t>
  </si>
  <si>
    <t>WOS:000446767700289</t>
  </si>
  <si>
    <t>Reyers, M</t>
  </si>
  <si>
    <t>Reyers, Michelle</t>
  </si>
  <si>
    <t>Financial capability and emergency savings among South Africans living above and below the poverty line</t>
  </si>
  <si>
    <t>INTERNATIONAL JOURNAL OF CONSUMER STUDIES</t>
  </si>
  <si>
    <t>emergency savings; financial capability; financial inclusion; financial knowledge; financial self-efficacy; precautionary savings</t>
  </si>
  <si>
    <t>SELF-EFFICACY; LITERACY; INCOME; EDUCATION; CONSEQUENCES; BEHAVIOR</t>
  </si>
  <si>
    <t>Emergency savings provide a buffer against financial shocks, particularly among low-income households. Despite the importance of these funds in lessening financial hardship, many households have not set aside emergency funds. It has been suggested that financial capability may play a role in financial behaviour. Therefore, this study considers whether financial capability is associated with saving for emergencies and whether there are differences in factors that predict emergency savings behaviour among those living below and above the poverty line. Using data from a sample of South Africans, logistic regression is used to determine the predictors of emergency savings. The study finds that those with higher levels of financial capability, related to financial self-efficacy and having access to a bank account, are more likely to have emergency savings compared with those with lower levels of financial capability. However, no evidence is found to suggest a relationship between objectively measured financial knowledge and emergency savings. Therefore, the findings suggest that self-assessed financial ability, as measured by financial self-efficacy, might be more important than objectively assessed ability in the context of individuals making responsible financial choices. Differences in the predictors of emergency savings for those living above and below the poverty line related to socioeconomic and demographic differences, whereas the same financial capability predictors were significant predictors in both samples. The study provides unique insights into the predictors of emergency savings in a developing market context and identifies the characteristics of those who are likely to be financially resilient to unexpected economic shocks. The importance of the broader financial capability construct in predicting emergency savings, for both those living above and below the poverty line, suggests that programmes aimed at encouraging emergency savings should focus on enhancing financial self-efficacy and financial inclusion.</t>
  </si>
  <si>
    <t>[Reyers, Michelle] Massey Univ, Sch Econ &amp; Finance, POB 756, Wellington 6140, New Zealand; [Reyers, Michelle] Univ Pretoria, Dept Financial Management, Pretoria, South Africa</t>
  </si>
  <si>
    <t>Massey University; University of Pretoria</t>
  </si>
  <si>
    <t>Reyers, M (corresponding author), Massey Univ, Sch Econ &amp; Finance, POB 756, Wellington 6140, New Zealand.</t>
  </si>
  <si>
    <t>m.reyers@massey.ac.nz</t>
  </si>
  <si>
    <t>Reyers, Michelle/AAA-3976-2019</t>
  </si>
  <si>
    <t>Reyers, Michelle/0000-0002-7082-3470</t>
  </si>
  <si>
    <t>1470-6423</t>
  </si>
  <si>
    <t>1470-6431</t>
  </si>
  <si>
    <t>INT J CONSUM STUD</t>
  </si>
  <si>
    <t>Int. J. Consum. Stud.</t>
  </si>
  <si>
    <t>10.1111/ijcs.12520</t>
  </si>
  <si>
    <t>ID0AB</t>
  </si>
  <si>
    <t>WOS:000471345000002</t>
  </si>
  <si>
    <t>Zhmurov, DV</t>
  </si>
  <si>
    <t>Zhmurov, Dmitry, V</t>
  </si>
  <si>
    <t>DIGITAL THEFT: CONCEPT, CONTENTS, VICTIMS AND THEIR CLASSIFICATION</t>
  </si>
  <si>
    <t>RUSSIAN JOURNAL OF CRIMINOLOGY</t>
  </si>
  <si>
    <t>Cybervictimization; victims on the Internet; cybervictimity; cybervictimology; internet-victim; victims of digital crimes; internet theft</t>
  </si>
  <si>
    <t>The goal of the article is to develop some aspects in the theoretical basis of digital thefts' victimology. A digital theft is understood as stealing digital identifiers, assets, utilitarian digital rights or technological resources through inputting, blocking and modifying computer information. A victim of digital theft is a physical (juridical) person who suffered property or other damage from the illegal seizure of the above -mentioned intangible objects. The author suggests singling out the following types of victims, depending on the crimes:1. Thefts of means of payment (electronic and cryptocurrency, token-actions, credit tokens). They are carried out by a third party gaining illegal access to the blockchain purse of the victim or unsanctioned transfers from it.2. Thefts of information (passwords, access keys, personal identifiers, accounts, ele-ments of a digital person). The main type of information to be compromised is the so-called governing information in its numerous forms.3. Thefts of resources (computational capacities, traffic, electric energy). From the economic viewpoint, this is theft of key production capacities of the information era. This subgroup includes victims of computational capacities' theft (unsanctioned use of the victim's processor and appropriation of the capacities of personal computers with-out the knowledge of the user), internet traffic (tunnelling), electric energy (unlawful use of energy resources through unsanctioned connection to the network with the use of telecommunication technologies).The author draws some conclusions regarding the spread of such crimes and the tra-ditional risk groups among Internet users who run a higher chance of the type of vic-timization under analysis. The topic of digital thefts is considered to be highly urgent and relevant for complex research in the spheres of cybercriminology, cybercriminal-istics and cybervictimology. This is of principal importance in the conditions of the digital transformation of the economy and criminalization of new actions infringing on the electronic means of payment (such as thefts from a bank account or other ac-tions involving digital currency included in Part 3, Art. 158 of the Criminal Code of the Russian Federation).</t>
  </si>
  <si>
    <t>[Zhmurov, Dmitry, V] Baikal State Univ, Law Inst, Chair Criminal Law Criminol &amp; Criminal Proc, Irkutsk, Russia</t>
  </si>
  <si>
    <t>Baikal State University</t>
  </si>
  <si>
    <t>Zhmurov, DV (corresponding author), Baikal State Univ, Law Inst, Chair Criminal Law Criminol &amp; Criminal Proc, Irkutsk, Russia.</t>
  </si>
  <si>
    <t>zdevraz@ya.ru</t>
  </si>
  <si>
    <t>BAIKAL STATE UNIV</t>
  </si>
  <si>
    <t>IRKUTSK</t>
  </si>
  <si>
    <t>11 LENIN ST, IRKUTSK, 664003, RUSSIA</t>
  </si>
  <si>
    <t>2500-4255</t>
  </si>
  <si>
    <t>2500-1442</t>
  </si>
  <si>
    <t>RUSS J CRIMINOL</t>
  </si>
  <si>
    <t>Russ. J. Criminol.</t>
  </si>
  <si>
    <t>10.17150/2500-1442.2023.17(1).35-43</t>
  </si>
  <si>
    <t>A2HS7</t>
  </si>
  <si>
    <t>WOS:000953399900004</t>
  </si>
  <si>
    <t>Carrillo, R</t>
  </si>
  <si>
    <t>Carrillo, Raul</t>
  </si>
  <si>
    <t>Platform Money</t>
  </si>
  <si>
    <t>YALE JOURNAL ON REGULATION</t>
  </si>
  <si>
    <t>PRIVACY; BANKING; LAW; FOUNDATIONS; PROMISE; MARKETS; GENDER; PERILS; RISK; US</t>
  </si>
  <si>
    <t>The public rightly considers the traditional banking system expensive, slow, and unfair. In response, technology companies have developed an 'open banking' sector. They combine transaction data from financial institutions with other datasets to develop applications for additional financial services, including personalized financial management and credit underwritten by data that credit bureaus have not historically collected, such as cash flow data. The open banking sector also includes companies like PayPal, Venmo, and Cash App, which offer digital wallets (smartphone applications) that store customer balances outside banks. These companies claim to enable free, faster, fairer balance transfers and payments. Roughly one in three Gen Xers, Millennials, and Gen Zers consider a wallet their primary checking account. However, the Federal Deposit Insurance Corporation does not insure the balances, and many scholars have argued that these business models undermine broader goals of banking regulation. In this Article, I synthesize concerns based on banking law with concerns about data governance to promote a regulatory proposal for the Consumer Financial Protection Bureau (CFPB) to govern this digital wallet ecosystem and advance a new conceptual approach toward open banking. I refer to stored digital wallet balances as platform money to highlight how technology companies are stacking data-intensive consumer applications on top of the U.S. banking system, profiting from its deficiencies, including deposit volatility and unenforceable entry restrictions. I analyze the practices of data brokers, which supply the infrastructure for transferring funds and data in the platform money ecosystem. Brokers use this data to profit in other markets, including credit reporting, identity management, and targeted advertising. They exercise platform power in ways that unnecessarily threaten the integrity of the traditional banking system and risk harm to consumers in the open banking system, including loss of funds, theft, identity fraud, and operational failure beyond the danger posed by previous practices in financial data usage, such as credit reporting. Unfortunately, background laws encase brokers from private challenges, while existing statutes and regulations do not sufficiently govern their business model or practices. I argue the CFPB should prevent data brokers transferring funds between bank accounts and platform money apps from collecting, using, or retaining more data than is strictly necessary to transfer those funds in compliance with existing laws (such as laws against money laundering). I argue the risk platform money poses to consumers underscores the need for a revitalized 'regulated industries' approach promoting a continuum of public governance over critical networks, platforms, and utilities in new forms of consumer banking. This approach is crucial for ensuring cheaper, faster, fairer banking while avoiding emergent risks for the public.</t>
  </si>
  <si>
    <t>[Carrillo, Raul] Columbia Law Sch, Law, New York, NY 10027 USA</t>
  </si>
  <si>
    <t>Columbia University</t>
  </si>
  <si>
    <t>Carrillo, R (corresponding author), Columbia Law Sch, Law, New York, NY 10027 USA.</t>
  </si>
  <si>
    <t>NEW HAVEN</t>
  </si>
  <si>
    <t>127 WALL STREET, NEW HAVEN, CT 06511 USA</t>
  </si>
  <si>
    <t>0741-9457</t>
  </si>
  <si>
    <t>2376-5925</t>
  </si>
  <si>
    <t>YALE J REGUL</t>
  </si>
  <si>
    <t>Yale J. Regul.</t>
  </si>
  <si>
    <t>I1Y8V</t>
  </si>
  <si>
    <t>WOS:001328291200003</t>
  </si>
  <si>
    <t>Singh, S; Rohtash</t>
  </si>
  <si>
    <t>Singh, Shveta; Rohtash</t>
  </si>
  <si>
    <t>Financial Inclusion Growth in Haryana</t>
  </si>
  <si>
    <t>Composite financial inclusion index; economic development; financial inclusion</t>
  </si>
  <si>
    <t>The present study was undertaken to develop a composite index (Index of Financial inclusion) that shows a general overview of Haryana and ranks different districts of Haryana based on this index. The Wroclaw Taxonomic method was used to construct the financial inclusion index as it addresses assumptions regarding various developmental indicators themselves and their weighting. A further comparison was made between the financial inclusion index for 2010 and 2018 to examine growth over the last decade. The findings showed that financial inclusion in Haryana moved up to firm from above average. However, the state was still finding it difficult to attain its key financial inclusion indicators. The study also found a higher disparity between high and low categories of the stage of development. Only two districts, Gurugram and Panchkula, have higher financial inclusion in all districts of Haryana. Government and other regulatory authorities should expand the network of bank branches and ATMs, especially in rural areas, to have easy access and availability of bank services.</t>
  </si>
  <si>
    <t>[Singh, Shveta; Rohtash] Guru Jambheshwar Univ Sci &amp; Technol, Haryana Sch Business, Hisar 125001, Haryana, India</t>
  </si>
  <si>
    <t>Guru Jambheshwar University of Science &amp; Technology</t>
  </si>
  <si>
    <t>Singh, S (corresponding author), Guru Jambheshwar Univ Sci &amp; Technol, Haryana Sch Business, Hisar 125001, Haryana, India.</t>
  </si>
  <si>
    <t>shveta_ks@yahoo.com</t>
  </si>
  <si>
    <t>Singh, Shveta/0000-0003-1491-6135</t>
  </si>
  <si>
    <t>10.35716/IJED/20308</t>
  </si>
  <si>
    <t>WD1HK</t>
  </si>
  <si>
    <t>WOS:000704700400018</t>
  </si>
  <si>
    <t>Zarutska, O; Pavlov, R; Pavlova, T; Grynko, T; Levkovich, O; Hviniashvili, T</t>
  </si>
  <si>
    <t>Zarutska, Olena; Pavlov, Roman; Pavlova, Tetiana; Grynko, Tetiana; Levkovich, Oksana; Hviniashvili, Tetiana</t>
  </si>
  <si>
    <t>TRANSFORMATIONS OF THE RESOURCE MANAGEMENT STRATEGY OF UKRAINIAN BANKS</t>
  </si>
  <si>
    <t>bank assets; bank liabilities; bank risks; structural and functional groups of banks; business model; market of banking services; banking system; Kohonen maps</t>
  </si>
  <si>
    <t>This article examines the peculiarities of the management of assets and liabilities of Ukrainian banks in the conditions of significant structural transformations of the re-sour ce base during the period of martial law. The analysis is carried out at the level of homogeneous structural and functional groups of banks (SFGBs), which are formed using published reporting data and the application of Kohonen's self-organizing map (SOM).Accumulation of statistical data has been carried out for 5 years, special atten-tion is paid to structural changes in the resource base and directions of placement of bank assets over the past two years. Over the past two years, the bank has been under the influence of shock factors affect-ing assets and liabilities. At the beginning of 2022, there was an outflow of funds from bank accounts, which was gradually compensated by the inflow of current funds from corporations and the population of individuals. In 2023, the National Bank of Ukraine actively stimulated the development of the term resource base, the basis for ensuring the growth of credit operations. Transactions with state securities continue to grow in the structure of bank assets. The priority task of the banking system remains the finan-cial support of business, but in the conditions of a full-scale war, such development of credit operations is limited. It is expedient to study the strategy of banks by combining the structure of assets and liabilities according to similar characteristics and analyzing the dynamics of groups. Observation of homogeneous groups confirms their stable na-ture, features of strategy, risk profile and development priorities. It has been proven that banks within homogeneous SFGBs demonstrate similar behaviour in the formation of management strategies and reactions to internal and external shocks. At the macro level, the SOM structure allows you to quantitatively assess the main processes taking place in the banking system, conduct comparisons with maps, and identify problems and priorities in the management of bank assets and liabilities. The SFGB method allows you to evaluate the trajectory of individual banks on the map and develop recommen-dations for improving the strategy of managing assets and liabilities</t>
  </si>
  <si>
    <t>[Zarutska, Olena] Univ Customs &amp; Finance, Dept Finance Banking &amp; Insurance, Dnipro, Ukraine; [Pavlov, Roman; Hviniashvili, Tetiana] Oles Honchar Dnipro Natl Univ, Dept Econ Entrepreneurship &amp; Enterprise Management, Dnipro, Ukraine; [Pavlova, Tetiana] Oles Honchar Dnipro Natl Univ, Dept Philosophy, Dnipro, Ukraine; [Grynko, Tetiana] Oles Honchar Dnipro Natl Univ, Fac Econ, Dnipro, Ukraine; [Levkovich, Oksana] Oles Honchar Dnipro Natl Univ, Dept Finance Banking &amp; Insurance, Dnipro, Ukraine</t>
  </si>
  <si>
    <t>Ministry of Education &amp; Science of Ukraine; University of Customs &amp; Finance; Ministry of Education &amp; Science of Ukraine; Oles Honchar Dnipro National University; Ministry of Education &amp; Science of Ukraine; Oles Honchar Dnipro National University; Ministry of Education &amp; Science of Ukraine; Oles Honchar Dnipro National University; Ministry of Education &amp; Science of Ukraine; Oles Honchar Dnipro National University</t>
  </si>
  <si>
    <t>Zarutska, O (corresponding author), Univ Customs &amp; Finance, Dept Finance Banking &amp; Insurance, Dnipro, Ukraine.</t>
  </si>
  <si>
    <t>helenazarutskaya@gmail.com</t>
  </si>
  <si>
    <t>Tetiana, Pavlova/S-8740-2017; Zarutska, Olena/AAE-4107-2019; Levkovich, Oksana/U-8273-2017; Grynko, Tetiana/C-8756-2016; Pavlov, Roman/S-2421-2017</t>
  </si>
  <si>
    <t>Tetiana, Pavlova/0000-0001-7178-3573; Zarutska, Olena/0000-0001-7870-9608; Levkovich, Oksana/0000-0002-4570-4963;</t>
  </si>
  <si>
    <t>FUNDINGThe Authors received no funding for this research</t>
  </si>
  <si>
    <t>10.55643/fcaptp.2.55.2024.4343</t>
  </si>
  <si>
    <t>G0X7R</t>
  </si>
  <si>
    <t>WOS:001313958700003</t>
  </si>
  <si>
    <t>Bhatter, HK; Chhatoi, BP</t>
  </si>
  <si>
    <t>Bhatter, Harish Kumar; Chhatoi, Biswajit Prasad</t>
  </si>
  <si>
    <t>Financial inclusion and financial performance: evaluating the moderating effect of mandatory corporate social responsibility</t>
  </si>
  <si>
    <t>Financial inclusion; Financial performance; Corporate social responsibility; Emerging nations</t>
  </si>
  <si>
    <t>FIRM PERFORMANCE; DETERMINANTS; ACCESS</t>
  </si>
  <si>
    <t>Purpose - This study aims to examine the nexus among financial inclusion, legislative corporate social responsibility (CSR) and the financial performance of banking companies in India. Design/methodology/approach - The study uses the fixed-effect model to measure the impact of financial inclusion on the financial performance of banks listed in the Bank Nifty Index from 2015 to 2022. Furthermore, it examines the interaction effect of legislative CSR and financial inclusion on the performance of banks. Findings - The study shows that financial inclusion indicators positively affect financial performance, which is critical for banking institutions. Empirically, the study provides evidence that legislative CSR is a significant moderator that can influence the relationship between financial inclusion and the financial performance of banks. Practical implications - The emerging nations may concentrate on implementing legislative CSR spending to achieve economic value for their firms and societal responsibility toward stakeholders. Originality/value - As per the authors' collective knowledge, this study is the one that extends the empirical evidence that the legislative CSR is a potential moderator which influences the relationship between financial inclusion and the performance of banks.</t>
  </si>
  <si>
    <t>[Bhatter, Harish Kumar; Chhatoi, Biswajit Prasad] Berhampur Univ, Dept Business Adm, Berhampur, India; [Bhatter, Harish Kumar] KSUB Coll, Dept Commerce, Bhanjanagar, India</t>
  </si>
  <si>
    <t>Bhatter, HK (corresponding author), Berhampur Univ, Dept Business Adm, Berhampur, India.</t>
  </si>
  <si>
    <t>harishbhatter987@gmail.com; chhatoiprasad@gmail.com</t>
  </si>
  <si>
    <t>BHATTER, HARISH KUMAR/AEK-4123-2022; Chhatoi, Biswajit Prasad/AFI-1462-2022</t>
  </si>
  <si>
    <t>BHATTER, HARISH KUMAR/0000-0002-7740-5140; Chhatoi, Biswajit Prasad/0000-0002-3515-761X</t>
  </si>
  <si>
    <t>MAY 16</t>
  </si>
  <si>
    <t>10.1108/JFEP-01-2023-0012</t>
  </si>
  <si>
    <t>AS4M3</t>
  </si>
  <si>
    <t>WOS:000971170900001</t>
  </si>
  <si>
    <t>Nagpal, A; Jain, M; Jain, A</t>
  </si>
  <si>
    <t>Nagpal, Aishwarya; Jain, Megha; Jain, Abhay</t>
  </si>
  <si>
    <t>Determining the role of digital technology, governance and institutions in advancing financial inclusion in BRICS nations using probit regression analysis</t>
  </si>
  <si>
    <t>Technology; Financial inclusion; Institutions and development; Governance; Account ownership; Probit regression; BRICS</t>
  </si>
  <si>
    <t>In the era of the industrial revolution, the world has been witnessing a histrionic turnaround owing to the consolidation of several prevalent disruptive forces, especially in the domain of technology. The present study aims at unearthing the role of information and communication technologies, institutional environment and governance characteristics in advancing financial inclusion levels in BRICS nations by extensively using the World Bank's Global Findex Database 2017. For this purpose, the study utilizes data of individual characteristics of 10,627 adult individuals in these economies, country-specific factors such as GDP per capita growth rate, digital financial services (mobile cellular subscriptions and Internet penetration), institutional environment, and governance index. It employs probit regression to achieve the same objective. The findings suggest that Internet usage and mobile penetration rates have a positive association with financial inclusion indicators in BRICS economies. In addition to governance and institutional variables, the study further discovers that individual attributes and economic conditions such as income level, age, education level, gender, and government transfers too could influence financial inclusion indicators in these countries. Hence, it hints towards the need to strike a perfect match between embracing a pro-poor growth, an inclusive financial approach, a technologically developed infrastructure, efficient legal framework and proper administration. Finally, the study advocates that such moves are not an end in themselves rather a means to shoulder the responsibility of creating a new economic order in emerging economies via financial inclusion toolbox.</t>
  </si>
  <si>
    <t>[Nagpal, Aishwarya] Univ Delhi, Fac Management Studies, Delhi, India; [Jain, Megha] Univ Delhi, Fac Management Studies, Daulat Ram Coll, Delhi, India; [Jain, Abhay] Univ Delhi, Shri Ram Coll Commerce, Delhi, India</t>
  </si>
  <si>
    <t>University of Delhi; University of Delhi; Shri Ram College of Commerce; University of Delhi</t>
  </si>
  <si>
    <t>Jain, A (corresponding author), Univ Delhi, Shri Ram Coll Commerce, Delhi, India.</t>
  </si>
  <si>
    <t>aishwarya.n_phd15@fms.edu; megha.j_phd15@fms.edu; abhay.jain@srcc.du.ac.in</t>
  </si>
  <si>
    <t>Jain, Abhay/CAH-0523-2022</t>
  </si>
  <si>
    <t>10.1007/s40847-020-00112-2</t>
  </si>
  <si>
    <t>WL6WC</t>
  </si>
  <si>
    <t>WOS:000710542500010</t>
  </si>
  <si>
    <t>Dhungana, BR; Chapagain, R; Karmacharya, B; Pokhrel, OP; Sharma, LK</t>
  </si>
  <si>
    <t>Dhungana, Bharat Ram; Chapagain, Ramkrishna; Karmacharya, Bibek; Pokhrel, Om Prakash; Sharma, Laxmi Kanta</t>
  </si>
  <si>
    <t>Impact of Financial Inclusion on Monetary Policy Effectiveness in Nepal</t>
  </si>
  <si>
    <t>PACIFIC BUSINESS REVIEW INTERNATIONAL</t>
  </si>
  <si>
    <t>financial inclusion; financial literacy; financial services; monetary policy; regulatory authority</t>
  </si>
  <si>
    <t>COINTEGRATION; DETERMINANTS; SERVICES; ACCESS</t>
  </si>
  <si>
    <t>The paper examines the influence of financial inclusion for effective implementation of monetary policy in Nepal, The deposits to GDP and loans and advance to GDP ratio are used as financial inclusion indicators. The study uses the money supply, loan rate, and exchange rate as primary monetary indicators. The research is based on secondary sources of data from 1975 to 2019.Unit Root test ,The Johnson Cointegration test, Vector Error Correction Model, and Granger Causality test have been applied in the study. The study concludes that financial inclusion have a significant role for effective implementation of the monetary policy both short-run and long-run. The application of digital technology and innovation, high penetration of financial literacy, and expansion of financial infrastructure may further enhance financial inclusion, thereby achieving monetary policy effectiveness in the nation. Besides this, the regulatory authority may adopt a strategy to diversify financial services in every corner of the country, focusing on poor and disadvantaged people to enhance financial inclusion.</t>
  </si>
  <si>
    <t>[Dhungana, Bharat Ram; Chapagain, Ramkrishna; Karmacharya, Bibek] Pokhara Univ, Sch Business, Pokhara, Nepal; [Chapagain, Ramkrishna] Univ Delhi, Delhi Sch Econ, Dept Commerce, Delhi, India; [Pokhrel, Om Prakash] Nepal Rastra Bank, Pokhara, Nepal; [Sharma, Laxmi Kanta] Tribhuwan Univ, Ctr Econ Dev &amp; Adm CEDA, Kathmandu, Nepal</t>
  </si>
  <si>
    <t>University of Delhi; Delhi School of Economics; Tribhuvan University</t>
  </si>
  <si>
    <t>Chapagain, R (corresponding author), Pokhara Univ, Sch Business, Pokhara, Nepal.;Chapagain, R (corresponding author), Univ Delhi, Delhi Sch Econ, Dept Commerce, Delhi, India.</t>
  </si>
  <si>
    <t>dhunganabharat.pu@gmail.com; ramkrishnachapagain@gmail.com</t>
  </si>
  <si>
    <t>Chapagain, Ramkrishna/JPL-4670-2023; Dhungana, Bharat/HKF-4590-2023</t>
  </si>
  <si>
    <t>Chapagain, Ramkrishna/0000-0002-5701-6500;</t>
  </si>
  <si>
    <t>PACIFIC INST MANAGEMENT</t>
  </si>
  <si>
    <t>RAJASTHAN</t>
  </si>
  <si>
    <t>PACIFIC HILLS, PRATAP NAGAR EXTENSION, AIR PORT RD, UDAIPUR, RAJASTHAN, 313 001, INDIA</t>
  </si>
  <si>
    <t>0974-438X</t>
  </si>
  <si>
    <t>PAC BUS REV INT</t>
  </si>
  <si>
    <t>Pac. Bus. Rev. Int.</t>
  </si>
  <si>
    <t>U8AB9</t>
  </si>
  <si>
    <t>WOS:001086964500007</t>
  </si>
  <si>
    <t>Ifediora, C; Offor, KO; Eze, EF; Takon, SM; Ageme, AE; Ibe, GI; Onwumere, JUJ</t>
  </si>
  <si>
    <t>Ifediora, Chuka; Offor, Kenechukwu Onochie; Eze, Eze Festus; Takon, Samuel Manyo; Ageme, Anthony Eboselume; Ibe, Godwin Imo; Onwumere, Josaphat U. J.</t>
  </si>
  <si>
    <t>Financial inclusion and its impact on economic growth: Empirical evidence from sub-Saharan Africa</t>
  </si>
  <si>
    <t>Financial inclusion; economic growth; principal component analysis; GMM; sub-Saharan Africa</t>
  </si>
  <si>
    <t>PANEL-DATA MODELS; SECTOR DEVELOPMENT; ACCESS; DETERMINANTS; INEQUALITY; EXPANSION; OPENNESS; POVERTY; LINKAGE; TRADE</t>
  </si>
  <si>
    <t>This study examines the impact of financial inclusion on economic growth using panel data of 22 sub-Sahara African (SSA) countries during the period spanning from 2012 to 2018. The study employs the system Generalized Method of Moments (GMM). Using a composite index of financial inclusion as well as individual financial inclusion indicators, we discovered that the availability dimension of financial inclusion, penetration dimension of financial inclusion and composite financial inclusion (all indicators put together) significantly and positively impact economic growth while the usage dimension of financial inclusion improves economic growth but not significantly. Also, bank branches and ATMs have positive and significant impact on economic growth, deposit accounts and outstanding loans promote economic growth but not significantly while outstanding deposits adversely affects economic growth. In addition, findings for mobile money indicators from 2012 to 2018 revealed that mobile money agents weaken economic growth while mobile money accounts and mobile money transactions foster economic growth but not significantly. This implies that financial education policies which help Africans better understand the potential benefits of the usage of banking services should be pursued.</t>
  </si>
  <si>
    <t>[Ifediora, Chuka] Univ Nigeria, Dept Mkt, Calabar, Nigeria; [Offor, Kenechukwu Onochie] Univ Nigeria, Dept Banking &amp; Finance, Calabar, Nigeria; [Eze, Eze Festus; Ageme, Anthony Eboselume; Ibe, Godwin Imo; Onwumere, Josaphat U. J.] Univ Nigeria, Dept Econ, Calabar, Nigeria; [Takon, Samuel Manyo] Univ Calabar, Dept Banking &amp; Finance, Calabar, Nigeria</t>
  </si>
  <si>
    <t>University of Nigeria; University of Nigeria; University of Nigeria; University of Calabar</t>
  </si>
  <si>
    <t>Ibe, GI (corresponding author), Univ Nigeria, Dept Banking &amp; Finance, Calabar, Nigeria.</t>
  </si>
  <si>
    <t>godwin.ibe@unn.edu.ng</t>
  </si>
  <si>
    <t>; Ibe, Godwin/AAU-3861-2020</t>
  </si>
  <si>
    <t>Festus, Eze/0000-0002-7767-7306;</t>
  </si>
  <si>
    <t>10.1080/23322039.2022.2060551</t>
  </si>
  <si>
    <t>0N6TT</t>
  </si>
  <si>
    <t>WOS:000782968600001</t>
  </si>
  <si>
    <t>Factors that influence the level of financial literacy among young people: The role of parental engagement and students' experiences with money matters</t>
  </si>
  <si>
    <t>Financial literacy; Money matters; Financial socialization; PISA 2015; Multilevel regression</t>
  </si>
  <si>
    <t>CHILDRENS SAVINGS; SOCIALIZATION; EDUCATION; OUTCOMES; IMPACT; KNOWLEDGE; ACCOUNTS; ASSETS; SKILLS</t>
  </si>
  <si>
    <t>This paper focused on the family as context for financial socialization and students' experiences with money matters to explain the acquisition of financial knowledge of young people in fifteen OECD countries and economies. We used data from the second OECD PISA financial literacy assessment in 2015. Multilevel regressions of students' performance in financial literacy were presented. When explaining financial literacy differences across countries a significant predictor of financial literacy was a well-functioning educational system proxied in our study by the quality of its mathematical and scientific education. After accounting for performance in mathematics and reading and other variables, estimates of multilevel regressions by country showed that students' financial literacy was associated mainly with understanding the value of saving and discussing money matters with parents. In some countries, exposure to (and the use of) financial products - in particular, holding a bank account - improved students' financial knowledge as well.</t>
  </si>
  <si>
    <t>[Moreno-Herrero, Dolores; Salas-Velasco, Manuel; Sanchez-Campillo, Jose] Univ Granada, Business Sch, Dept Appl Econ, Campus Cartuja, E-18071 Granada, Spain</t>
  </si>
  <si>
    <t>Moreno-Herrero, D (corresponding author), Univ Granada, Business Sch, Dept Appl Econ, Campus Cartuja, E-18071 Granada, Spain.</t>
  </si>
  <si>
    <t>10.1016/j.childyouth.2018.10.042</t>
  </si>
  <si>
    <t>HG4VJ</t>
  </si>
  <si>
    <t>WOS:000454972800036</t>
  </si>
  <si>
    <t>Ara, A; Sharma, A; Yadav, D</t>
  </si>
  <si>
    <t>Ara, Anees; Sharma, Avinash; Yadav, Dharminder</t>
  </si>
  <si>
    <t>An efficient privacy-preserving user authentication scheme using image processing and blockchain technologies</t>
  </si>
  <si>
    <t>JOURNAL OF DISCRETE MATHEMATICAL SCIENCES &amp; CRYPTOGRAPHY</t>
  </si>
  <si>
    <t>Image processing; Openco; CNN; RCNN; Imagechain; Deepface; Security; User authentication</t>
  </si>
  <si>
    <t>LIVENESS</t>
  </si>
  <si>
    <t>User authentication is a measurement challenge for handheld devices and online accounts such as bank accounts, social media accounts etc. because illegal access results in money loss and user privacy. individual devices, online financial services, and intelligent spaces are three significant areas of concern for customer authentication procedures. Three ways have been identified for authentication factors: i) knowledge-factor, ii) inherence factor, and iii) possession-factor. This study investigates two-way user authentication through image processing. CNN, RCNN, and Deepface are deep learning algorithms used for image recognition. We used imagechain for image storage and Blockchain for personal information storage (mobile number) to secure the database. The database is stored on an Ethereum-based blockchain. After determining whether the image is fake or real, match the webcam image with the imagechain; if both images match, the one-time password is given to the user's cellphone number for login access. For image processing, Opencv is employed, and the Python library is used to execute machine and deep learning algorithms for user authentication. Test the proposed model on the 10 to 100 users for authentication. Accuracy of this experiment is 75.35, 76.33, 98.18 and cosine similarities of images are much better between images, but in case of fake image identification it achieved 97.35 % accuracy.</t>
  </si>
  <si>
    <t>[Ara, Anees] Prince Sultan Univ, Coll Comp &amp; Informat Sci, Dept Comp Sci, Riyadh, Saudi Arabia; [Sharma, Avinash] Maharishi Markandeshwar Deemed Univ, Dept Comp Sci &amp; Engn, Mullana Ambala, Haryana, India; [Yadav, Dharminder] Glocal Univ, Dept Comp Sci &amp; Technol, Saharanpur, Uttar Pradesh, India</t>
  </si>
  <si>
    <t>Prince Sultan University</t>
  </si>
  <si>
    <t>Sharma, A (corresponding author), Maharishi Markandeshwar Deemed Univ, Dept Comp Sci &amp; Engn, Mullana Ambala, Haryana, India.</t>
  </si>
  <si>
    <t>aara@pau.edu.aa; asharma@nonumullana.org; ydharminder@yahoo.com</t>
  </si>
  <si>
    <t>Ara, Anees/T-7583-2018; Sharma, Dr. Avinash/IAN-3189-2023</t>
  </si>
  <si>
    <t>Ara, Anees/0000-0001-8442-211X;</t>
  </si>
  <si>
    <t>0972-0529</t>
  </si>
  <si>
    <t>2169-0065</t>
  </si>
  <si>
    <t>J DISCRET MATH SCI C</t>
  </si>
  <si>
    <t>J. Discret. Math. Sci. Cryptogr.</t>
  </si>
  <si>
    <t>MAY 19</t>
  </si>
  <si>
    <t>10.1080/09720529.2022.2075089</t>
  </si>
  <si>
    <t>Mathematics, Applied</t>
  </si>
  <si>
    <t>Mathematics</t>
  </si>
  <si>
    <t>3E2IA</t>
  </si>
  <si>
    <t>WOS:000815475000001</t>
  </si>
  <si>
    <t>Liu, H; Yang, B; Xiong, XR; Zhu, SQ; Chen, BY; Tolba, A; Zhang, XG</t>
  </si>
  <si>
    <t>Liu, He; Yang, Biao; Xiong, Xuanrui; Zhu, Shuaiqi; Chen, Boyu; Tolba, Amr; Zhang, Xingguo</t>
  </si>
  <si>
    <t>A Financial Management Platform Based on the Integration of Blockchain and Supply Chain</t>
  </si>
  <si>
    <t>blockchain; supply chain; financial management; Internet of Things finance</t>
  </si>
  <si>
    <t>INTERNET; GAME</t>
  </si>
  <si>
    <t>Internet of Things (IoT) finance extends financial services to the whole physical commodity society with the help of IoT technology to realize financial automation and intelligence. However, the security of IoT finance still needs to be improved. Blockchain has the characteristics of decentralization, immutability, faster settlement, etc., and has been gradually applied to the field of IoT finance. Blockchain is also considered to be an effective way to resolve the problems of the traditional supply chain finance industry, such as the inability to transmit core enterprise credit, the failure of full-chain business information connections and the difficulty of clearing and settlement. Supply chain finance allows the strongest enterprise in the supply chain to apply for credit guarantee from the bank to obtain bank loans, and use the funds for circulation in the supply chain to ensure that each enterprise in the whole supply chain can obtain working capital to realize profits, so as to maximize common interests. In this paper, a financial management platform based on the integration of blockchain and supply chain has been designed and implemented. Blockchain is used to integrate supply chain finance to synchronize the bank account payment system, realize the automatic flow of funds, process supervision and automatically settle account periods based on smart contracts. The four functional modules of the system are designed using unified modeling language (UML), and the model view controller (MVC) architecture is selected as the main architecture of the system. The results of the system test show that the proposed platform can effectively improve the system security, and can use the information in the blockchain to provide multi-level financing services for enterprises in supply chain finance.</t>
  </si>
  <si>
    <t>[Liu, He; Yang, Biao; Xiong, Xuanrui; Chen, Boyu] Chongqing Univ Posts &amp; Telecommun, Sch Commun &amp; Informat Engn, Chongqing 400065, Peoples R China; [Zhu, Shuaiqi] Dalian Univ Technol, Sch Software, Dalian 116024, Peoples R China; [Tolba, Amr] King Saud Univ, Community Coll, Dept Comp Sci, Riyadh 11437, Saudi Arabia; [Zhang, Xingguo] Tokyo Univ Agr &amp; Technol, Dept Mech Syst Engn, Tokyo 1848588, Japan</t>
  </si>
  <si>
    <t>Chongqing University of Posts &amp; Telecommunications; Dalian University of Technology; King Saud University; Tokyo University of Agriculture &amp; Technology</t>
  </si>
  <si>
    <t>Xiong, XR (corresponding author), Chongqing Univ Posts &amp; Telecommun, Sch Commun &amp; Informat Engn, Chongqing 400065, Peoples R China.</t>
  </si>
  <si>
    <t>xiongxr@cqupt.edu.cn</t>
  </si>
  <si>
    <t>chen, boyu/KCY-0814-2024; Tolba, Amr/O-8464-2016</t>
  </si>
  <si>
    <t>Tolba, Amr/0000-0003-3439-6413; Zhang, Xingguo/0000-0001-8390-642X</t>
  </si>
  <si>
    <t>King Saud University, Riyadh, Saudi Arabia [RSPD2023R681]</t>
  </si>
  <si>
    <t>King Saud University, Riyadh, Saudi Arabia(King Saud University)</t>
  </si>
  <si>
    <t>This work was funded by the Researchers Supporting Project number (RSPD2023R681) King Saud University, Riyadh, Saudi Arabia.</t>
  </si>
  <si>
    <t>10.3390/s23031497</t>
  </si>
  <si>
    <t>8U5XS</t>
  </si>
  <si>
    <t>WOS:000930025400001</t>
  </si>
  <si>
    <t>Huma,; Hasan, A</t>
  </si>
  <si>
    <t>Huma; Hasan, Abid</t>
  </si>
  <si>
    <t>Functioning of self-help groups in India: Members' perceptions of key issues</t>
  </si>
  <si>
    <t>ASIAN SOCIAL WORK AND POLICY REVIEW</t>
  </si>
  <si>
    <t>developing countries; India; microfinance; poverty; self-help groups</t>
  </si>
  <si>
    <t>MICROFINANCE</t>
  </si>
  <si>
    <t>Self-help group-bank linkage program is considered a powerful tool for eradicating poverty in many poor and developing countries, especially in Asia. The number of these groups has increased rapidly during the last few years; however, their efficacy to achieve long-term poverty alleviation has been questioned by many researchers. Previous studies have focused mainly on objective indicators to understand the program's impact on the lives of its members, such as changes in the economic condition and the development of conceptual frameworks. The present study primarily focuses on member perceptions of the overall functioning of the self-help group. A questionnaire survey was administered to 15 presidents and 75 group members belonging to 15 self-help groups with active bank accounts in Chandigarh, a union territory of India. Drawing on their responses and perceptions, the five major problems faced by these groups were identified as: (i) ineffective group meetings, (ii) absence of income-generating activities, (iii) lack of cooperation among members, (iv) lack of awareness, and (v) minimal savings. Our key recommendations include: (i) increased organizational support, (ii) focus on skill development, (iii) training and motivation, (iv) effective leadership, and (v) regular meetings.</t>
  </si>
  <si>
    <t>[Huma] Panjab Univ, Dept Community Educ &amp; Disabil Studies, Chandigarh, India; [Hasan, Abid] Univ South Australia, Sch Nat &amp; Built Environm, Adelaide, SA, Australia</t>
  </si>
  <si>
    <t>Panjab University; Adelaide University; University of South Australia</t>
  </si>
  <si>
    <t>Huma, (corresponding author), Panjab Univ, Dept Community Educ &amp; Disabil Studies, Chandigarh, India.</t>
  </si>
  <si>
    <t>huma.saq@gmail.com</t>
  </si>
  <si>
    <t>, Huma/G-9967-2017; Hasan, Abid/F-6224-2016</t>
  </si>
  <si>
    <t>, Huma/0000-0001-9241-8495; Hasan, Abid/0000-0003-2031-4288</t>
  </si>
  <si>
    <t>1753-1403</t>
  </si>
  <si>
    <t>1753-1411</t>
  </si>
  <si>
    <t>ASIAN SOC WORK POLIC</t>
  </si>
  <si>
    <t>Asian Soc. Work Policy Rev.</t>
  </si>
  <si>
    <t>10.1111/aswp.12119</t>
  </si>
  <si>
    <t>EX5ZY</t>
  </si>
  <si>
    <t>WOS:000403322900003</t>
  </si>
  <si>
    <t>B</t>
  </si>
  <si>
    <t>Moreno, LA</t>
  </si>
  <si>
    <t>Chong, A</t>
  </si>
  <si>
    <t>Moreno, Luis Alberto</t>
  </si>
  <si>
    <t>Banking on Technology for Financial Inclusion</t>
  </si>
  <si>
    <t>DEVELOPMENT CONNECTIONS: UNVEILING THE IMPACT OF NEW INFORMATION TECHNOLOGIES</t>
  </si>
  <si>
    <t>1. These figures come from a recent study by Demirguc-Kunt, Beck, and Hohohan (2008). 2. For a summary of the evidence on the importance of finance for economic well-being, see Claessens (2006). 3. A POS device is the machine used in many commercial establishments around the world to make electronic payments for purchases. It looks like a small box with a screen and a keypad, and has a slot through which a debit or credit card can be slid. 4. Three-quarters of the world's 4 billion cell phones are used in developing countries, according to The Economist (The Power of Mobile Money, September 24, 2009). (Accessed May 2010). 5. Unfortunately, there is no proper evaluation of this arrangement. In the near future, research is likely that could suggest improvements for the initiative. 6. Ivatury and Pickens (2006) note that although the users of WIZZIT are low-income people, they are not the poorest people in South Africa. The early users of WIZZIT were wealthier and more technologically and financially sophisticated than the average low-income person in the country. 7. See Wishart (2006) for a discussion. 8. A detailed discussion on the determinants of productivity is found in Pages (2010). 9. The figures report the estimated impact from a regression in which the dependent variable is sales growth in the past three years and the independent variables are a dummy indicating if the firm has a bank account; and interaction between that dummy and a country variable indicating Internet penetration (the logarithm of the share of population with Internet usage or the logarithm of the cost of accessing the Internet); size dummies indicating if a firm is small (fewer than 20 workers), medium (21-99 workers), or large (100 or more workers); and a country-sector-year fixed effect. The standard errors of the regression estimated with the Ordinary Least Squares (OLS) econometric technique are clustered at the country level.</t>
  </si>
  <si>
    <t>PALGRAVE</t>
  </si>
  <si>
    <t>HOUNDMILLS, BASINGSTOKE RG21 6XS, ENGLAND</t>
  </si>
  <si>
    <t>978-0-23011-837-9</t>
  </si>
  <si>
    <t>10.1057/9780230118379</t>
  </si>
  <si>
    <t>Book Citation Index – Social Sciences &amp; Humanities (BKCI-SSH)</t>
  </si>
  <si>
    <t>BVV94</t>
  </si>
  <si>
    <t>WOS:000292912400004</t>
  </si>
  <si>
    <t>Brentnall, AR; Crowder, MJ; Hand, DJ</t>
  </si>
  <si>
    <t>Brentnall, Adam R.; Crowder, Martin J.; Hand, David J.</t>
  </si>
  <si>
    <t>Predicting the amount individuals withdraw at cash machines using a random effects multinomial model</t>
  </si>
  <si>
    <t>STATISTICAL MODELLING</t>
  </si>
  <si>
    <t>ATM; cash withdrawal; customer; personal banking; prediction; random effects; retail banking</t>
  </si>
  <si>
    <t>Retail finance organizations use data on past behaviour to make predictions for customer value management strategies. Random-effects models, where each individual has a behavioural pattern drawn from an overall population distribution, are a natural statistical form in this context. The random effects models in this paper are used to predict how much individuals withdraw at a single cash machine visit. A multinomial distribution is taken for the distribution of amounts and the random effects are modelled by a Dirichlet distribution or the empirical distribution of individual maximum likelihood fits. A third model extends the multinomial distribution by incorporating a form of serial dependence and uses an empirical distribution for the random effects. Several prediction tests on a sample of 5000 UK high-street bank accounts find that the greatest benefit from the models is for accounts with a small number of past transactions; that little information may be lost by binning and that the Dirichlet distribution might overestimate the probability of previously unobserved withdrawal amounts. The empirical distribution of random effects is found to perform well because there are a large number of individual accounts.</t>
  </si>
  <si>
    <t>[Brentnall, Adam R.; Hand, David J.] Univ London, Barts &amp; London Sch Med &amp; Dent, Wolfson Inst Prevent Med, London, England; [Crowder, Martin J.; Hand, David J.] Univ London Imperial Coll Sci Technol &amp; Med, Dept Math, London SW7 2PG, England</t>
  </si>
  <si>
    <t>University of London; Queen Mary University London; Imperial College London</t>
  </si>
  <si>
    <t>Brentnall, AR (corresponding author), Univ London Imperial Coll Sci Technol &amp; Med, Inst Math Sci, 53 Princes Gate, London SW7 2PG, England.</t>
  </si>
  <si>
    <t>a.brentnall@qmul.ac.uk</t>
  </si>
  <si>
    <t>Brentnall, Adam/0000-0001-6327-4357; Hand, David/0000-0002-4649-5622</t>
  </si>
  <si>
    <t>EPSRC [EP/D505380/1]; Royal Society Wolfson Research Merit Award; Engineering and Physical Sciences Research Council [EP/D505380/1] Funding Source: researchfish; EPSRC [EP/D505380/1] Funding Source: UKRI</t>
  </si>
  <si>
    <t>EPSRC(UK Research &amp; Innovation (UKRI)Engineering &amp; Physical Sciences Research Council (EPSRC)); Royal Society Wolfson Research Merit Award(Royal Society UK); Engineering and Physical Sciences Research Council(UK Research &amp; Innovation (UKRI)Engineering &amp; Physical Sciences Research Council (EPSRC)); EPSRC(UK Research &amp; Innovation (UKRI)Engineering &amp; Physical Sciences Research Council (EPSRC))</t>
  </si>
  <si>
    <t>We thank an associate editor and two anonymous referees for helping to improve this paper through their comments and suggestions. The first author's work was supported by EPSRC grant number EP/D505380/1 while at Imperial College London, and the work of the third author was partially supported by a Royal Society Wolfson Research Merit Award.</t>
  </si>
  <si>
    <t>1471-082X</t>
  </si>
  <si>
    <t>STAT MODEL</t>
  </si>
  <si>
    <t>Stat. Model.</t>
  </si>
  <si>
    <t>10.1177/1471082X0801000205</t>
  </si>
  <si>
    <t>Statistics &amp; Probability</t>
  </si>
  <si>
    <t>606OR</t>
  </si>
  <si>
    <t>WOS:000278436800005</t>
  </si>
  <si>
    <t>Tareke, KM</t>
  </si>
  <si>
    <t>Tareke, Kassa Moges</t>
  </si>
  <si>
    <t>Do urban safety net programs affect the financial inclusion and food security of households, primarily women participating in urban agriculture? A triangulative exploration of Ethiopia</t>
  </si>
  <si>
    <t>FRONTIERS IN SUSTAINABLE FOOD SYSTEMS</t>
  </si>
  <si>
    <t>urban safety net; financial inclusion; food security; urban agriculture; women households; urban planning and policy</t>
  </si>
  <si>
    <t>CASH TRANSFERS; INSECURITY; DETERMINANTS; IMPACTS</t>
  </si>
  <si>
    <t>Throughout the world, poverty, income inequality and food insecurity in urban areas have continued to be pressing issues. As a solution, a productive urban safety net program has been launched to provide conditional cash transfers (CTs) to poor households since 2017 in urban areas of Ethiopia. This study examines the impact of CTs made by the program to beneficiary households on the financial inclusion options, participation in urban agriculture and levels of food security among women in Addis Ababa, Ethiopia. Random stratified sampling was used to select 278 women for questionnaire surveys. Mixed research, comparative impact analysis, food security index, Ordinary Least Square (OLS), Logistic, and Ordinal Probit regressions were applied. Results showed that 94% of respondents could have ownership of a bank account and participated in urban agriculture as additional income source only after receiving CTs from the program. This contributed to better access to other financial inclusion components such as saving, credit, mobile banking, advice on finance management, and farm incomes. The study found that 171 (61.5%) women households were food insecure, while 107 (38.5%) were food secure. The minimum, maximum, and mean K/calorie consumed by food-insecure female farmers was 674.6, 2082.1, and 1378 Kcals, respectively, while 2192.5, 5360.4, and 3776.6 Kcals for food-secure ones. Furthermore, mean calorie consumption of women also significantly varies with the type of urban agriculture they are involved in. Accordingly, among the food-secure women, the mean calorie consumption was relatively better in those involved in horticulture relative to animal husbandry. The OLS model indicate the coefficient of bank account ownership, amount saved in the last 1year, farm income and proportion of credit used for actual collection intention have a significant positive effect on food security index. The logistic regression model also confirmed that among the financial inclusion options, amount saved, advice on finance management, and proportion of credit used were the most significant predictors. The safety net program's CTs have moderately improved financial inclusion for women and slightly increased food-secured women, but their overall contribution to food security remains inadequate, as a significant portion of women's households still experience food insecurity and poor urban agriculture. The study implies urban planning and development policies still need to be more pro-poor, gender-sensitive &amp; responsive &amp; inclusive to bring majority of urban women households out of food insecurity by improving their nutrition calorie consumption &amp; job via urban agriculture. Accordingly, it informs partners to revisit and expand the safety net program scope, consider more financial inclusion options and urban agriculture facilities, including soft loan provisions, grants, Agri-input, market links, training, incentives, and increasing CTs amount. Besides, business-to-business networking events among financial service providers is essential to create long-term partnerships to improve financial services, access to agricultural technology and income-generating job options including Agri-Micro Small and Medium Enterprises to urban poor, particularly women program beneficiary households. Organization of further research with wider scope is also necessary.</t>
  </si>
  <si>
    <t>[Tareke, Kassa Moges] Ethiopian Civil Serv Univ, Coll Urban Dev &amp; Engn, Addis Ababa, Ethiopia</t>
  </si>
  <si>
    <t>Tareke, KM (corresponding author), Ethiopian Civil Serv Univ, Coll Urban Dev &amp; Engn, Addis Ababa, Ethiopia.</t>
  </si>
  <si>
    <t>kassamoges19@gmail.com</t>
  </si>
  <si>
    <t>Tareke, Kassa/MTF-8532-2025</t>
  </si>
  <si>
    <t>2571-581X</t>
  </si>
  <si>
    <t>FRONT SUSTAIN FOOD S</t>
  </si>
  <si>
    <t>Front. Sustain. Food Syst.</t>
  </si>
  <si>
    <t>JUL 15</t>
  </si>
  <si>
    <t>10.3389/fsufs.2025.1503322</t>
  </si>
  <si>
    <t>5KQ9S</t>
  </si>
  <si>
    <t>WOS:001537956800001</t>
  </si>
  <si>
    <t>Ugochukwu, NA; Goyal, SB; Arumugam, S</t>
  </si>
  <si>
    <t>Ugochukwu, Nwosu Anthony; Goyal, S. B.; Arumugam, Sampathkumar</t>
  </si>
  <si>
    <t>Blockchain-Based IoT-Enabled System for Secure and Efficient Logistics Management in the Era of IR 4.0</t>
  </si>
  <si>
    <t>JOURNAL OF NANOMATERIALS</t>
  </si>
  <si>
    <t>As the global logistics business expands as a result of the industrial 4.0 revolution, logistics operations continue to evolve as new technologies such as IoT, cloud, and big data are deployed. These IoT devices improve the logistics function by boosting real-time product tracking, improved data collection, smart storage of logistics data, etc. Some of these new technologies present an avenue for cyberattacks on these logistics systems due to their centralized database structure. Logistics operations entail the exchange of private consumer information (name, address, phone number, and bank account information) as well as product information amongst logistics stakeholders (manufacturers, suppliers, transporters, and customers). And the engagement of so many logistics stakeholders creates privacy and security issues for the private information because customer information, as well as product details, are transferred and shared across different logistical stakeholders during the logistics process. It faces unwanted access, which could lead to fraud or the creation of counterfeit products by a bad actor in the system. All of these challenges are significant because logistics data integrity is important for customer satisfaction. The deployment of Blockchain innovation will address these challenges with the application of its special feature such as immutability, efficient cryptography, and distributed decentralized storage system. In this paper, we highlighted the technology that enables smart logistics and reviewed smart logistics, Blockchain, and IoT in logistics; we present the significance of integrating Blockchain and IoT in logistics. We proposed a Blockchain-based IoT-enabled system framework for secure and efficient logistics management where logistics data can be captured with the use of IoT sensors, and we also designed and describe the sequence diagram for secured communication between the logistics stakeholder through a smart contract. In conclusion, Blockchain can provide security to logistics data and enhance operational efficiency with its key features.</t>
  </si>
  <si>
    <t>[Ugochukwu, Nwosu Anthony; Goyal, S. B.] City Univ, Fac Informat Technol, Petaling Jaya 46100, Malaysia; [Arumugam, Sampathkumar] Dambi Dollo Univ, Dept Comp Sci, Dembidolo, Ethiopia</t>
  </si>
  <si>
    <t>City University Malaysia</t>
  </si>
  <si>
    <t>Arumugam, S (corresponding author), Dambi Dollo Univ, Dept Comp Sci, Dembidolo, Ethiopia.</t>
  </si>
  <si>
    <t>nwosuanthony81@gmail.com; drsbgoyal@gmail.com; dr.sampathkumar@dadu.edu.et</t>
  </si>
  <si>
    <t>Nwosu, Anthony Ugochukwu/0000-0003-0041-4302</t>
  </si>
  <si>
    <t>HINDAWI LTD</t>
  </si>
  <si>
    <t>ADAM HOUSE, 3RD FLR, 1 FITZROY SQ, LONDON, W1T 5HF, ENGLAND</t>
  </si>
  <si>
    <t>1687-4110</t>
  </si>
  <si>
    <t>1687-4129</t>
  </si>
  <si>
    <t>J NANOMATER</t>
  </si>
  <si>
    <t>J. Nanomater.</t>
  </si>
  <si>
    <t>10.1155/2022/7295395</t>
  </si>
  <si>
    <t>Nanoscience &amp; Nanotechnology; Materials Science, Multidisciplinary</t>
  </si>
  <si>
    <t>Science &amp; Technology - Other Topics; Materials Science</t>
  </si>
  <si>
    <t>2G9DJ</t>
  </si>
  <si>
    <t>WOS:000813900800001</t>
  </si>
  <si>
    <t>Lough, E; Fisher, MH</t>
  </si>
  <si>
    <t>Lough, E.; Fisher, M. H.</t>
  </si>
  <si>
    <t>Internet use and online safety in adults with Williams syndrome</t>
  </si>
  <si>
    <t>JOURNAL OF INTELLECTUAL DISABILITY RESEARCH</t>
  </si>
  <si>
    <t>Internet use; online safety; intellectual disability; social vulnerability; Williams syndrome</t>
  </si>
  <si>
    <t>DEVELOPMENTAL-DISABILITY; SOCIAL VULNERABILITY; SEXUAL SOLICITATION; PEOPLE; AUTISM; YOUTH; RISK; HYPERSOCIABILITY; CHILDREN; APPROACHABILITY</t>
  </si>
  <si>
    <t>Background Individuals with intellectual and developmental disabilities (IDD) increasingly have access to the Internet. Whilst Internet access increases opportunities for social connection for individuals with IDD, it also may increase risk of victimisation. Adults with Williams syndrome (WS), who display an extreme pro-social drive to engage with both familiar and unfamiliar people, might be especially vulnerable to online victimisation. This study first explores how often and why individuals with WS use the Internet and social networking sites. Next, the online vulnerability of individuals with WS is assessed through responses to hypothetical scenarios of potentially dangerous online interactions. Method Twenty-eight young adults with WS (mean age = 27.7 years) and their parents completed questionnaires about their Internet and social networking use and parental oversight. Participants with WS then responded to hypothetical scenarios assessing their likelihood to take social and non-social risks online. Results Most participants with WS frequently use the Internet and the majority visit social networking sites every day or almost every day, with little parental supervision or oversight. Individuals with WS interact with both known and unknown individuals through social networking sites. Participants are more likely to agree to engage in socially risky behaviours compared to risky behaviours that are not social in nature when online. For example, participants were more likely to agree to meet an 'online friend' in person than they were to give their bank account information for winning a 'contest'. Conclusions Individuals with WS, who are a socially vulnerable group in the real world, display behaviours that could also lead to victimisation online as well. As the Internet continues to become more accessible, more research is needed to increase online safety of individuals with WS and other IDDs. Implications for intervention and future research are discussed.</t>
  </si>
  <si>
    <t>[Lough, E.] Univ Durham, Dept Psychol, Durham DH1 3HP, England; [Fisher, M. H.] Michigan State Univ, Dept Counseling Educ Psychol &amp; Special Educ, 620 Farm Lane,Erickson 340, E Lansing, MI 48824 USA</t>
  </si>
  <si>
    <t>Durham University; Michigan State University</t>
  </si>
  <si>
    <t>Fisher, MH (corresponding author), Michigan State Univ, Dept Counseling Educ Psychol &amp; Special Educ, 620 Farm Lane,Erickson 340, E Lansing, MI 48824 USA.</t>
  </si>
  <si>
    <t>fishermh@msu.edu</t>
  </si>
  <si>
    <t>Fisher, Marisa H/AAB-8320-2019</t>
  </si>
  <si>
    <t>Fisher, Marisa H/0000-0003-4938-4773</t>
  </si>
  <si>
    <t>0964-2633</t>
  </si>
  <si>
    <t>1365-2788</t>
  </si>
  <si>
    <t>J INTELL DISABIL RES</t>
  </si>
  <si>
    <t>J. Intell. Disabil. Res.</t>
  </si>
  <si>
    <t>10.1111/jir.12281</t>
  </si>
  <si>
    <t>Education, Special; Genetics &amp; Heredity; Clinical Neurology; Psychiatry; Rehabilitation</t>
  </si>
  <si>
    <t>Education &amp; Educational Research; Genetics &amp; Heredity; Neurosciences &amp; Neurology; Psychiatry; Rehabilitation</t>
  </si>
  <si>
    <t>DZ3HU</t>
  </si>
  <si>
    <t>WOS:000385737600011</t>
  </si>
  <si>
    <t>Van Loo, R</t>
  </si>
  <si>
    <t>Van Loo, Rory</t>
  </si>
  <si>
    <t>DIGITAL MARKET PERFECTION</t>
  </si>
  <si>
    <t>MICHIGAN LAW REVIEW</t>
  </si>
  <si>
    <t>WALL-STREET; ECONOMICS; ANTITRUST; LAW; COMPETITION; FAILURE; LEGAL; INFORMATION; BEHAVIOR; SERVICE</t>
  </si>
  <si>
    <t>Google's, Apple's, and other companies automated assistants are increasingly serving as personal shoppers. These digital intermediaries will save us time by purchasing grocery items, transferring bank accounts, and subscribing to cable. The literature has only begun to hint at the paradigm shift needed to navigate the legal risks and rewards of this coming era of automated commerce. This Article begins to fill that gap first by surveying legal battles related to contract exit, data access, and deception that will determine the extent to which automated assistants are able to help consumers to search and switch, potentially bringing tremendous societal benefits. Whereas observers have largely focused on protecting consumers and sellers from digital intermediaries market power, sellers like Amazon, Comcast, and Wells Fargo can also harm consumers by obstructing automated assistants. Advancing consumer welfare in the automated era requires not just consumer protection, but digital intermediary protection. The Article also shows the unpredictable side of the end of switching costs. If digital assistants become pervasive, they could gain the ability to rapidly direct millions of consumers to new purchases whenever a lower price or new innovation becomes available. Significantly accelerated consumer switching-what I call hyperswitching-does not inevitably harm society. But in the extreme it could make some large markets more volatile, raising unemployment costs or financial stability concerns as more firms fail. This new kind of disruption could pose challenges for commercial and banking regulators akin to those familiar to securities regulators, who deploy idiosyncratic tools such as a pause button for the stock market. Even if sellers prevent extreme hyperswitching, managers may strategically prepare for hyperswitching with economically costly behavior such as hoarding liquid assets or forming conglomerates to provide insurance against a sudden exodus of customers. The transaction-cost focused literature has missed more macro-level drawbacks. The regulatory architecture reflects these scholarly gaps. One set of agencies regulates automated assistants for consumer protection and antitrust violations, but does not go beyond those microeconomic inquiries. Nor do they prioritize strengthening digital intermediaries. Regulators with more macroeconomic missions lack jurisdiction over automated assistants. The intellectual framework and regulatory architecture should expand to encompass both the upsides and downsides of digital consumer sovereignty.</t>
  </si>
  <si>
    <t>[Van Loo, Rory] Boston Univ, Sch Law, Law, Boston, MA 02215 USA; [Van Loo, Rory] Yale Law Sch, Informat Soc Project, New Haven, CT 06511 USA</t>
  </si>
  <si>
    <t>Boston University; Yale University</t>
  </si>
  <si>
    <t>Van Loo, R (corresponding author), Boston Univ, Sch Law, Law, Boston, MA 02215 USA.;Van Loo, R (corresponding author), Yale Law Sch, Informat Soc Project, New Haven, CT 06511 USA.</t>
  </si>
  <si>
    <t>Van Loo, Rory/0000-0002-1615-8959</t>
  </si>
  <si>
    <t>MICH LAW REV ASSOC</t>
  </si>
  <si>
    <t>ANN ARBOR</t>
  </si>
  <si>
    <t>HUTCHINS HALL 621 SOUTH STATE STREET, ANN ARBOR, MI 48109 USA</t>
  </si>
  <si>
    <t>0026-2234</t>
  </si>
  <si>
    <t>1939-8557</t>
  </si>
  <si>
    <t>MICH LAW REV</t>
  </si>
  <si>
    <t>Mich. Law Rev.</t>
  </si>
  <si>
    <t>HR5GY</t>
  </si>
  <si>
    <t>WOS:000463176100001</t>
  </si>
  <si>
    <t>Pradhan, TK</t>
  </si>
  <si>
    <t>Pradhan, Tapan Kumar</t>
  </si>
  <si>
    <t>A Framework for Measuring Financial Inclusion in India: Bridging Gaps Between Theory and Practice</t>
  </si>
  <si>
    <t>financial inclusion index; financial inclusion indicators; measurement; multidimensional index; reliability; validity</t>
  </si>
  <si>
    <t>INCOME</t>
  </si>
  <si>
    <t>None of the currently used financial inclusion measurement indices covers savings, credit, remittance, and insurance services across access, usage, quality, and outcome dimensions as per globally accepted operational definitions of financial inclusion. Different indices have different combinations of financial inclusion indicators with some focusing on quantitative aspects and others on behavioral aspects alone. This makes the cross-cultural comparison of financial inclusion very difficult. The proliferation of new indices also hampers systematic knowledge advancement with significant disconnect between theory and practice. This paper analyses various loopholes in existing financial inclusion measurement methods and presents a very simple, flexible, innovative yet comprehensive measurement framework with immense theoretical, practical, and policy implications using India as the context.</t>
  </si>
  <si>
    <t>[Pradhan, Tapan Kumar] XIM Univ, Sch Rural Management, Bhubaneswar, Odisha, India; [Pradhan, Tapan Kumar] Govt Odisha, Odisha, India</t>
  </si>
  <si>
    <t>Pradhan, TK (corresponding author), XIM Univ, Sch Rural Management, Bhubaneswar, Odisha, India.;Pradhan, TK (corresponding author), Govt Odisha, Odisha, India.</t>
  </si>
  <si>
    <t>tk_pradhan@yahoo.com</t>
  </si>
  <si>
    <t>Pradhan, Dr Tapan/KDN-8220-2024</t>
  </si>
  <si>
    <t>10.1891/JFCP-2021-0022</t>
  </si>
  <si>
    <t>O1UV4</t>
  </si>
  <si>
    <t>WOS:001041749400002</t>
  </si>
  <si>
    <t>Chavriya, S; Sharma, GD; Mahendru, M</t>
  </si>
  <si>
    <t>Chavriya, Shubham; Sharma, Gagan Deep; Mahendru, Mandeep</t>
  </si>
  <si>
    <t>Financial inclusion as a tool for sustainable macroeconomic growth: An integrative analysis</t>
  </si>
  <si>
    <t>access to finance; digital finance; financial inclusion; financial outreach; financial technologies; macroeconomic growth</t>
  </si>
  <si>
    <t>ECONOMIC-GROWTH; SELF-EFFICACY; MOBILE MONEY; LITERACY; IMPACT; DETERMINANTS; MEDIATOR; SERVICES; ADOPTION; ACCESS</t>
  </si>
  <si>
    <t>Despite extensive research on the relationship between financial inclusion and macroeconomic growth, little is known about the role of financial inclusion as a significant driver of macroeconomic growth in developing countries. Financial inclusion could boost sustainable macroeconomic growth, which has been a key policy goal for governments worldwide because it affects employment, population, inequality, and poverty. This study explores the influence of crucial financial inclusion indicators on developing countries' macroeconomic growth. The study shows that digital finance, financial technologies, financial outreach, financial literacy, demographics access to finance, microfinance and financial stability are the ways through which financial inclusion affects macroeconomic growth. We used the Scopus database to get information from 419 research articles and analyzed those to figure out how financial inclusion affected macroeconomic growth from 2006 to 2020. The study will help policymakers, governments, and marketers develop policies to involve everyone in the financial system, which results in macroeconomic growth.</t>
  </si>
  <si>
    <t>[Chavriya, Shubham; Sharma, Gagan Deep] Guru Gobind Singh Indraprastha Univ, Univ Sch Management Studies, New Delhi, India; [Sharma, Gagan Deep] Guru Gobind Singh Indraprastha Univ, Univ Sch Fire &amp; Ind Safety, New Delhi, India; [Mahendru, Mandeep] Szecheny Istvan Univ, Gyor, Hungary</t>
  </si>
  <si>
    <t>GGS Indraprastha University; GGS Indraprastha University; University of Istvan Szechenyi</t>
  </si>
  <si>
    <t>Sharma, GD (corresponding author), Guru Gobind Singh Indraprastha Univ, Univ Sch Management Studies, New Delhi, India.</t>
  </si>
  <si>
    <t>angrishgagan@gmail.com</t>
  </si>
  <si>
    <t>Sharma, Gagan Deep/R-2351-2018; Mahendru, Mandeep/M-1385-2017</t>
  </si>
  <si>
    <t>10.1111/apce.12427</t>
  </si>
  <si>
    <t>PK8N9</t>
  </si>
  <si>
    <t>WOS:000988363700001</t>
  </si>
  <si>
    <t>LEA, SEG; WEBLEY, P; WALKER, CM</t>
  </si>
  <si>
    <t>PSYCHOLOGICAL-FACTORS IN CONSUMER DEBT - MONEY MANAGEMENT, ECONOMIC SOCIALIZATION, AND CREDIT USE</t>
  </si>
  <si>
    <t>JOURNAL OF ECONOMIC PSYCHOLOGY</t>
  </si>
  <si>
    <t>PERSONAL DEBT</t>
  </si>
  <si>
    <t>A postal survey study of factors correlated with consumer debt investigated several psychological variables which have been suggested as causes or effects of debt. The survey was conducted with the help of a public utility company, and questionnaires were sent to three groups with different debt histories over the preceding two years: Non-Debtors (no debt to the company), Mild Debtors (late payment to the company), and Serious Debtors (sued for debt recovery by the company). Economic and demographic factors predicted debt category well, supporting previous results. Further variance between groups was accounted for by people's money management skills and facilities, by measures of their time horizons, and by aspects of their consumer behaviour. Non-debtors had more money management facilities (e.g. bank accounts) than debtors, and rated their abilities at money management more highly. Debtors had shorter time horizons than non-debtors. Debtors were more likely to buy cigarettes and Christmas presents for children than non-debtors. No group differences were found for attitudes to debt or locus of control. There were significant group differences for measures of economic socialization, social comparisons, use of credit, and other aspects of consumer behaviour, but these differences were not independently significant on multivariate analysis. Conclusions must be qualified because of low return rates, but the results suggest that a complex of psychological and behavioural variables affect debt and are affected by it. It is argued that these variables are linked to the psychology of poverty.</t>
  </si>
  <si>
    <t>LEA, SEG (corresponding author), UNIV EXETER,DEPT PSYCHOL,WASHINGTON SINGER LABS,EXETER EX4 4QG,DEVON,ENGLAND.</t>
  </si>
  <si>
    <t>Lea, Stephen/B-4811-2009</t>
  </si>
  <si>
    <t>Lea, Stephen/0000-0002-8498-4187</t>
  </si>
  <si>
    <t>0167-4870</t>
  </si>
  <si>
    <t>J ECON PSYCHOL</t>
  </si>
  <si>
    <t>J. Econ. Psychol.</t>
  </si>
  <si>
    <t>10.1016/0167-4870(95)00013-4</t>
  </si>
  <si>
    <t>TK078</t>
  </si>
  <si>
    <t>WOS:A1995TK07800008</t>
  </si>
  <si>
    <t>Soni, S; Narang, K; Faruquie, TA; Batra, VS; Subramaniam, LV</t>
  </si>
  <si>
    <t>Soni, Soujanya; Narang, Kanika; Faruquie, Tanveer A.; Batra, Vishal S.; Subramaniam, L. V.</t>
  </si>
  <si>
    <t>Edge Analytics as Service-A Service Oriented Framework for Real time and Personalised Recommendation Analytics</t>
  </si>
  <si>
    <t>2013 IEEE INTERNATIONAL CONFERENCE ON SERVICE OPERATIONS AND LOGISTICS, AND INFORMATICS (SOLI)</t>
  </si>
  <si>
    <t>IEEE International Conference on Service Operations and Logistics, and Informatics (SOLI)</t>
  </si>
  <si>
    <t>JUL 28-30, 2013</t>
  </si>
  <si>
    <t>Dongguan, PEOPLES R CHINA</t>
  </si>
  <si>
    <t>Due to the advent of technology and internet over the past few years, significant number of customers have started shopping online and accessing their bank account through various channels like Netbanking, Mobile banking etc. In this paper, we describe Edge Analytics framework which deliver analytics as a service that can be hosted by a financial institute like Bank for delivering personalized offer in real time on thier netbanking portals or on other channels. This edge analytics service can be accessed through edge APIs plugged into netbanking portals. It access the recent transactions in the log to determine offers for the customer and therefore, saving a lot of resources and effort by fetching the data from the main warehouse. Edge analytics server capability has been enhanced by incorprating knowledge such as user's intent and interest from their social media profile by identifying their identity on the Online social network. This information is then feed into rule engine to generate customised offers for each user using both enterprise and social information. Edge Analytics service has been hosted on cloud which renders it scalability factor and allows different third party provders to make use of the service easily.</t>
  </si>
  <si>
    <t>[Soni, Soujanya; Narang, Kanika; Faruquie, Tanveer A.; Batra, Vishal S.; Subramaniam, L. V.] IBM Res India, New Delhi, India</t>
  </si>
  <si>
    <t>International Business Machines (IBM); IBM India</t>
  </si>
  <si>
    <t>Soni, S (corresponding author), IBM Res India, New Delhi, India.</t>
  </si>
  <si>
    <t>soujanya.soni@in.ibm.com; kaninara@in.ibm.com; ftanveer@in.ibm.com; vibatra1@in.ibm.com; lvsubram@in.ibm.com</t>
  </si>
  <si>
    <t>Narang, Kanika/ADL-4888-2022</t>
  </si>
  <si>
    <t>Narang, Kanika/0000-0002-8380-0913</t>
  </si>
  <si>
    <t>978-1-4799-0530-0; 978-1-4799-0529-4</t>
  </si>
  <si>
    <t>Computer Science, Interdisciplinary Applications; Computer Science, Theory &amp; Methods; Engineering, Electrical &amp; Electronic</t>
  </si>
  <si>
    <t>BA2UB</t>
  </si>
  <si>
    <t>WOS:000333901500095</t>
  </si>
  <si>
    <t>Valdebenito, A; Pino, G</t>
  </si>
  <si>
    <t>Valdebenito, Arielis; Pino, Gabriel</t>
  </si>
  <si>
    <t>Local financial access and income inequality in Chile</t>
  </si>
  <si>
    <t>Financial access; Income inequality</t>
  </si>
  <si>
    <t>ACCESSIBILITY</t>
  </si>
  <si>
    <t>This paper proposes a local financial access indicator which captures the accessibility of localities isolated from urban centers. As a case of study, we use Chilean data to show that higher level of local financial access reduces income inequality.(c) 2021 Elsevier B.V. All rights reserved.</t>
  </si>
  <si>
    <t>[Valdebenito, Arielis] Univ Talca, Fac Econ &amp; Negocios, Econ, Campus Talca,Av Lircay S-N, Talca, Chile; [Pino, Gabriel] Univ Talca, Fac Econ &amp; Negocios, Escuela Ingn Comercial, Campus Talca,Av Lircay S-N, Talca, Chile</t>
  </si>
  <si>
    <t>Universidad de Talca; Universidad de Talca</t>
  </si>
  <si>
    <t>Pino, G (corresponding author), Univ Talca, Fac Econ &amp; Negocios, Escuela Ingn Comercial, Campus Talca,Av Lircay S-N, Talca, Chile.</t>
  </si>
  <si>
    <t>arielis.valdebenito@utalca.cl; gpino@utalca.cl</t>
  </si>
  <si>
    <t>Pino, Gabriel/0000-0002-9237-7942</t>
  </si>
  <si>
    <t>Agencia Nacional de Investigacion y Desarrollo de Chile (ANID) under de grant Fondecyt, Chile [11180487]</t>
  </si>
  <si>
    <t>Agencia Nacional de Investigacion y Desarrollo de Chile (ANID) under de grant Fondecyt, Chile</t>
  </si>
  <si>
    <t>This work was supported by the Agencia Nacional de Investigacion y Desarrollo de Chile (ANID) under de grant Fondecyt, Chile Iniciacion 11180487.</t>
  </si>
  <si>
    <t>10.1016/j.econlet.2021.110170</t>
  </si>
  <si>
    <t>0V1IT</t>
  </si>
  <si>
    <t>WOS:000788099600026</t>
  </si>
  <si>
    <t>Tapera, O</t>
  </si>
  <si>
    <t>Tapera, Oscar</t>
  </si>
  <si>
    <t>Determinants of long-lasting insecticidal net ownership and utilization in malaria transmission regions: evidence from Zimbabwe Demographic and Health Surveys</t>
  </si>
  <si>
    <t>MALARIA JOURNAL</t>
  </si>
  <si>
    <t>Malaria; Long-lasting insecticidal nets; Indoor residual spraying; Utilization; Universal coverage; Zimbabwe</t>
  </si>
  <si>
    <t>Background Long-lasting insecticidal nets (LLINs) were first introduced in 2010 as a vector control intervention, to complement indoor residual spraying, to reduce malaria transmission in Zimbabwe. The objective of this study was to investigate factors that were associated with LLIN ownership and utilization among households in malaria transmission regions of Zimbabwe. Methods A secondary analysis of cross sectional data from the Zimbabwe demographic and health survey (ZDHS) conducted in 2010 and 2015 surveys round was conducted. The analysis used household-level datasets from across the country to generate evidence for the study. Univariate analysis was used to yield descriptive statistics. Principal component analysis (PCA) was used to calculate wealth quintiles. Binary logistic regression approach was used to identify determinants of LLIN ownership and utilization after controlling for other factors. Data analyses were conducted using STATA version 14 software. Results There were no major changes in demographic characteristics of households sampled between 2010 and 2015 survey cycles. LLIN ownership increased significantly by 42 percentage points from 2010 to 2015. There was a tremendous increase in universal coverage of LLINs between 2010 and 2015. The overall utilization levels of LLINs among children under-5 years decreased by 11 percentage points between 2010 and 2015. LLIN usage amongst households followed the same trend with that of the under-fives. Using logistic regression model for 2015 data, region/province, type of place of residence, availability of electricity, radio, roof type, gender of head of household, having telephone, type of cooking fuel, presence of mobile phone, owning a bank account, IRS spraying in the previous 12 months, wealth index, and satellite television decorder were independently associated with net ownership among households. Type of place of residence, age of household head, type of cooking fuel, IRS in previous 12 months, and pregnancy were associated with LLIN utilization. Conclusion This study revealed increasing LLIN coverage and low usage in malaria-transmission regions of Zimbabwe. Strengthening of LLIN campaigns, social behaviour change communication (SBCC) interventions and programme routine monitoring are recommended.</t>
  </si>
  <si>
    <t>[Tapera, Oscar] Midlands State Univ, Dept Math, Fac Sci, Gweru, Zimbabwe</t>
  </si>
  <si>
    <t>Tapera, O (corresponding author), Midlands State Univ, Dept Math, Fac Sci, Gweru, Zimbabwe.</t>
  </si>
  <si>
    <t>oscar.tapera@gmail.com</t>
  </si>
  <si>
    <t>BMC</t>
  </si>
  <si>
    <t>CAMPUS, 4 CRINAN ST, LONDON N1 9XW, ENGLAND</t>
  </si>
  <si>
    <t>1475-2875</t>
  </si>
  <si>
    <t>MALARIA J</t>
  </si>
  <si>
    <t>Malar. J.</t>
  </si>
  <si>
    <t>10.1186/s12936-019-2912-x</t>
  </si>
  <si>
    <t>Infectious Diseases; Parasitology; Tropical Medicine</t>
  </si>
  <si>
    <t>IT5IB</t>
  </si>
  <si>
    <t>WOS:000482894800002</t>
  </si>
  <si>
    <t>Sarpong, B; Nketiah-Amponsah, E</t>
  </si>
  <si>
    <t>Sarpong, Bernard; Nketiah-Amponsah, Edward</t>
  </si>
  <si>
    <t>Financial inclusion and inclusive growth in sub-Saharan Africa</t>
  </si>
  <si>
    <t>Financial Inclusion; Inclusive Growth; Poverty; Inequality; Sub-Saharan Africa</t>
  </si>
  <si>
    <t>CAPITAL FORMATION; ECONOMIC-GROWTH; PANEL-DATA; INSTITUTIONS</t>
  </si>
  <si>
    <t>This paper empirically examines the quantitative relationship between financial inclusion and inclusive growth in sub-Saharan Africa using a panel of 46 countries for the period 2004-2018. The evidence suggests that usage of financial services, among other covariates, has a quantifiable and discernible impact on inclusive growth compared with availability and knowledge of financial services. Precisely, a unit increase in the usage of financial products and services improves inclusive growth by 0.03 units in sub-Saharan Africa. The paper contributes to literature by initially constructing a broader index of inclusive growth and subsequently estimating the separate quantitative effects of three categories of financial inclusion indicators on inclusive growth by employing the Arellano-Bover/Blundell-Bond system Generalized Method of Moment estimator. The findings underscore the need for policymakers to develop innovative, sustainable and inclusive financial systems capable of distributing growth benefits equitably. This can be achieved through moderate lending rates and transaction charges, improved access to retail and corporate loans, mortgages, overdrafts, credit cards, letters of credits and user-friendly financial technologies.</t>
  </si>
  <si>
    <t>[Sarpong, Bernard] Univ Ghana, Coll Educ, Econ Tutor, Accra, Ghana; [Nketiah-Amponsah, Edward] Univ Ghana, Dept Econ, Accra, Ghana</t>
  </si>
  <si>
    <t>University of Ghana; University of Ghana</t>
  </si>
  <si>
    <t>Sarpong, B (corresponding author), Univ Ghana, Coll Educ, Sch Continuing &amp; Distance Educ, Accra, Ghana.</t>
  </si>
  <si>
    <t>bernardosarpong@gmail.com</t>
  </si>
  <si>
    <t>Sarpong, Bernard/AAX-7470-2020; Nketiah-Amponsah, Edward/S-9239-2019</t>
  </si>
  <si>
    <t>Sarpong, Bernard/0000-0002-9725-3738; Nketiah-Amponsah, Edward/0000-0002-9754-1983</t>
  </si>
  <si>
    <t>10.1080/23322039.2022.2058734</t>
  </si>
  <si>
    <t>0H0JN</t>
  </si>
  <si>
    <t>WOS:000778426600001</t>
  </si>
  <si>
    <t>Khan, I; Sahu, M</t>
  </si>
  <si>
    <t>Khan, Imran; Sahu, Mrutuyanjaya</t>
  </si>
  <si>
    <t>Enhancing financial inclusion in India: the impact of socioeconomic and macroeconomic factors</t>
  </si>
  <si>
    <t>Financial inclusion; Remittance; Sustainable development; Income; GDP; F24; O15; Q01</t>
  </si>
  <si>
    <t>TIME-SERIES; REMITTANCES; INCOME</t>
  </si>
  <si>
    <t>PurposeThis paper aims to empirically examine the influence of macroeconomic and socioeconomic factors on improving financial inclusion in India, with a specific focus on two distinct indicators of financial inclusion.Design/methodology/approachThis study has used a time-series data set covering the years 1996 to 2022, using a nonlinear autoregressive distributed lag methodology. This approach allows for the examination of both short- and long-run effects of key macroeconomic and socio-economic indicators, including GDP per capita growth, remittance inflows and the income share held by the lowest 20% of the population on the growth of two financial inclusion indicators: the number of commercial bank branches and ATMs per 100,000 adults.FindingsModel-1 investigates how commercial bank branch growth affects financial inclusion. Positive remittance inflow growth and a rise in the income share of the bottom 20% both lead to increased financial inclusion in both the short and long term, with the effects being more pronounced in the long run. Conversely, negative effects of remittance inflow growth and a decline in GDP per capita growth lead to reduced financial inclusion, primarily affecting the long run. Focusing on ATM growth, Model-2 reveals that positive remittance inflow growth has the strongest impact on financial inclusion in the short term. While income share growth for the bottom 20% and GDP growth also positively influence financial inclusion, their effects become significant only in the long run. Conversely, a decline in GDP per capita growth hinders financial inclusion, primarily affecting the short run.Originality/valueThis study fills a gap in research on macroeconomic and socioeconomic factors influencing financial inclusion in India by examining the impact of GDP per capita growth, remittance inflows and the income share held by the lowest 20% of the population, an area relatively unexplored in the Indian context. Second, the study provides comprehensive distinct results for different financial inclusion indicators, offering valuable insights for policymakers. These findings are particularly relevant for policymakers working toward Sustainable Development Goal 8.10.1, as they can use the results to tailor policies that align with SDG objectives. Additionally, policymakers in other developing nations can benefit from this study's findings to enhance financial inclusion in their respective countries.</t>
  </si>
  <si>
    <t>[Khan, Imran; Sahu, Mrutuyanjaya] Birla Inst Technol &amp; Sci, Dept Humanities &amp; Social Sci, Dubai, U Arab Emirates</t>
  </si>
  <si>
    <t>Khan, I (corresponding author), Birla Inst Technol &amp; Sci, Dept Humanities &amp; Social Sci, Dubai, U Arab Emirates.</t>
  </si>
  <si>
    <t>i.khan1984@gmail.com</t>
  </si>
  <si>
    <t>Khan, Imran/AAF-1757-2021</t>
  </si>
  <si>
    <t>Khan, Imran/0000-0003-0648-8409</t>
  </si>
  <si>
    <t>The authors would like to reiterate that no grants or funds were obtained to support the composition or publication of this research article. Funding declaration: The authors wish to disclose that they did not receive any financial support for the conception, execution or dissemination of this research article. Conflict of interest: The authors affirm that they have no competing interests that could influence the impartiality or integrity of this research publication. Data availability statement: The data sets used and/or analyzed during the current investigation are accessible upon reasonable request from the corresponding author.</t>
  </si>
  <si>
    <t>FEB 21</t>
  </si>
  <si>
    <t>10.1108/JFEP-04-2024-0105</t>
  </si>
  <si>
    <t>X5C9K</t>
  </si>
  <si>
    <t>WOS:001295325900001</t>
  </si>
  <si>
    <t>Ben Khelifa, S</t>
  </si>
  <si>
    <t>Ben Khelifa, Soumaya</t>
  </si>
  <si>
    <t>Governance quality, social and macro-economic conditions: implications for financial inclusion</t>
  </si>
  <si>
    <t>JOURNAL OF SUSTAINABLE FINANCE &amp; INVESTMENT</t>
  </si>
  <si>
    <t>Financial inclusion; determinant; OLS regression; social factors; macro-economic factors</t>
  </si>
  <si>
    <t>DETERMINANTS; STABILITY; ICT</t>
  </si>
  <si>
    <t>This paper seeks to identify the key factors affecting financial inclusion in developed and developing countries. Considering six dimensions of financial inclusion and different indicators, several regressions have been performed to determine the key factors affecting financial inclusion. Particularly, using OLS regression model, we regress each financial inclusion indicator of each dimension on a set of variables related to social factors, macro-economic factors and institutional quality. Results suggest that institutional quality and social factors are significantly linked to financial inclusion. Our findings have an important policy implication in that institutional quality and social factors should be considered as vital drivers in enhancing the level of financial inclusion which is consistent with Sha'ban et al (2019). Particularly, governments have to implement efficient measures and increase their capacity to control corruption. Finally, our research offers findings of specific interest to identify policies to boost financial inclusion all over the world.</t>
  </si>
  <si>
    <t>[Ben Khelifa, Soumaya] Univ Tunis Carthage, Tunis, Tunisia</t>
  </si>
  <si>
    <t>Ben Khelifa, S (corresponding author), Univ Tunis Carthage, Tunis, Tunisia.</t>
  </si>
  <si>
    <t>soumaiya_b@yahoo.fr</t>
  </si>
  <si>
    <t>2043-0795</t>
  </si>
  <si>
    <t>2043-0809</t>
  </si>
  <si>
    <t>J SUSTAIN FINANC INV</t>
  </si>
  <si>
    <t>J. Sustain. Financ. Invest.</t>
  </si>
  <si>
    <t>10.1080/20430795.2021.1962661</t>
  </si>
  <si>
    <t>Business, Finance; Green &amp; Sustainable Science &amp; Technology</t>
  </si>
  <si>
    <t>7T3BH</t>
  </si>
  <si>
    <t>WOS:000683232900001</t>
  </si>
  <si>
    <t>Cahyadin, M</t>
  </si>
  <si>
    <t>Cahyadin, Malik</t>
  </si>
  <si>
    <t>The linkage between globalisation and financial inclusion: Do inequality and institutions matter?</t>
  </si>
  <si>
    <t>Financial inclusion; globalization; income inequality; institutions; threshold effect</t>
  </si>
  <si>
    <t>ECONOMIC-GROWTH</t>
  </si>
  <si>
    <t>This paper examines the effect of the globalization threshold on financial inclusion in 40 selected countries during 2000-2018. A principal component analysis (PCA) and a static panel threshold (SPT) are utilized. There are three dimensions and one aggregation of financial inclusion indicators assessed by PCA, while the globalization threshold is estimated under static panel threshold regression. Findings/Originality: The findings exhibit six countries with strong financial inclusion and eight countries with weak financial inclusion during study periods. Furthermore, the threshold effect of globalization has a significant impact on the financial inclusion index. The robustness checking employs panel cointegration test exhibits that inequality and some institutions indicators have a significant impact on financial inclusion both in the short-run and long-run. The policy implication suggests that governments should increase the financial inclusion index level during the globalization period, decrease inequality, and improve institutions' quality.</t>
  </si>
  <si>
    <t>[Cahyadin, Malik] Univ Sebelas Maret, Fac Econ &amp; Business, Surakarta, Indonesia</t>
  </si>
  <si>
    <t>Sebelas Maret University</t>
  </si>
  <si>
    <t>Cahyadin, M (corresponding author), Univ Sebelas Maret, Fac Econ &amp; Business, Surakarta, Indonesia.</t>
  </si>
  <si>
    <t>malikcahyadin@yahoo.com</t>
  </si>
  <si>
    <t>10.20885/ejem.vol12.iss2.art8</t>
  </si>
  <si>
    <t>PR5HE</t>
  </si>
  <si>
    <t>WOS:000607266800008</t>
  </si>
  <si>
    <t>Csiszárik-Kocsir, A</t>
  </si>
  <si>
    <t>Csiszarik-Kocsir, Agnes</t>
  </si>
  <si>
    <t>Customer Preferences in Bank Selection before and after the Pandemic in the Light of Financial Culture and Awareness</t>
  </si>
  <si>
    <t>ACTA POLYTECHNICA HUNGARICA</t>
  </si>
  <si>
    <t>financial literacy; financial culture; financial decision; digitalisation; bank services</t>
  </si>
  <si>
    <t>LITERACY</t>
  </si>
  <si>
    <t>The concept of financial culture and its importance is one of the most popular topics today. Financial knowledge and awareness are necessary in every aspect of life. It is important not only when choosing a bank account type or taking out a loan, but also when conducting conscious financial activities. The recent crisis underscores the damage that can be caused by a lack of financial literacy and awareness, and the devastation that can be caused by irresponsible financial decisions. Lack of economic awareness and knowledge can cause enormous damage to the economy, lead to irresponsible economic decisions, projecting solutions over the years or even generations. This was perfectly illustrated following the 2008 crisis, with the collapse of a series of recklessly taken out credit products. More than ten years later on, a large number of research and studies have been written to promote financial literacy (Nemeth, 2017), but these have typically ended up in 'desk drawers', scattering any substantial progress. Even today, public education is still not equipped to effectively impart financial literacy. The lack of financial literacy was demonstrated by the crisis caused by the coronavirus epidemic. Unexpected and unforeseen closures have highlighted new aspects of financial literacy. The emergence of home-based finance has led to a reassessment of previous financial decisions, including the selection of bank service providers. The objective of this paper is to show bank selection preferences as a function of financial culture before and after the crisis by highlighting the most important factors for customer loyalty based on the results of a primary research.</t>
  </si>
  <si>
    <t>[Csiszarik-Kocsir, Agnes] Obuda Univ, Becsi Ut 96-B, H-1034 Budapest, Hungary</t>
  </si>
  <si>
    <t>Obuda University</t>
  </si>
  <si>
    <t>Csiszárik-Kocsir, A (corresponding author), Obuda Univ, Becsi Ut 96-B, H-1034 Budapest, Hungary.</t>
  </si>
  <si>
    <t>kocsir.agnes@uni-obuda.hu</t>
  </si>
  <si>
    <t>Ágnes, Csiszárik-Kocsir/AAS-1431-2021</t>
  </si>
  <si>
    <t>Ágnes, Csiszárik-Kocsir/0000-0001-5454-7843</t>
  </si>
  <si>
    <t>BUDAPEST TECH</t>
  </si>
  <si>
    <t>BECSI UT 96-B, BUDAPEST, H-1034, HUNGARY</t>
  </si>
  <si>
    <t>1785-8860</t>
  </si>
  <si>
    <t>ACTA POLYTECH HUNG</t>
  </si>
  <si>
    <t>Acta Polytech. Hung.</t>
  </si>
  <si>
    <t>Engineering, Multidisciplinary</t>
  </si>
  <si>
    <t>XW3MT</t>
  </si>
  <si>
    <t>WOS:000735528400001</t>
  </si>
  <si>
    <t>Yu, XY; Chang, YM; Li, JQ</t>
  </si>
  <si>
    <t>Yu, Xiangyuan; Chang, Yiming; Li, Jiaqi</t>
  </si>
  <si>
    <t>How do financial inclusion, deposit insurance, and bank concentration affect bank stability?</t>
  </si>
  <si>
    <t>PRAGUE ECONOMIC PAPERS</t>
  </si>
  <si>
    <t>bank risk; financial inclusion; deposit insurance; bank competition; industry concentration</t>
  </si>
  <si>
    <t>RISK EVIDENCE; COMPETITION; DETERMINANTS; CRISES</t>
  </si>
  <si>
    <t>This study investigates the nonlinear interplay between bank stability, financial inclusion, deposit insurance design, and banking concentration, utilizing unbalanced panel data from 122 countries between 2004 and 2021. By constructing novel indices-including a composite Moralhazard index to quantify deposit insurance-related risk incentives, a financial inclusion indicator, and a CONTAGION measure to capture the contagion effect of deposit insurance, we provide fresh empirical insights into the institutional synergies and trade-offs shaping banking system resilience. Our analysis reveals three key results: (1) Threshold effects exist in both deposit insurance coverage and financial inclusion levels that significantly influence bank stability; (2) The interaction between deposit insurance spread and financial inclusion may mitigate moral hazard incentives from deposit insurance systems at the micro level, it simultaneously amplifies cross-border contagion risks at the macro level; (3) Heterogeneous cross-country evidence reconciling how higher banking concentration elevates banks' risk.</t>
  </si>
  <si>
    <t>[Yu, Xiangyuan] Beijing Jiaotong Univ, Sch Econ &amp; Management, 3 Shangyuancun, Beijing, Peoples R China; [Chang, Yiming] China Ctr Informat Ind Dev, CCID Bldg, 66 Zizhuyuan Rd, Beijing, Peoples R China; [Li, Jiaqi] Univ Melbourne, Melbourne Law Sch, Melbourne, Vic, Australia</t>
  </si>
  <si>
    <t>Beijing Jiaotong University; University of Melbourne</t>
  </si>
  <si>
    <t>Chang, YM (corresponding author), China Ctr Informat Ind Dev, CCID Bldg, 66 Zizhuyuan Rd, Beijing, Peoples R China.</t>
  </si>
  <si>
    <t>yuxiangyuan@bjtu.edu.cn; changyiming@pku.edu.cn; lijiaqilaws@163.com</t>
  </si>
  <si>
    <t>Prague Univ Economics and Business</t>
  </si>
  <si>
    <t>NAM W CHURCHILLA 4, PRAGUE 3, CZECH REPUBLIC</t>
  </si>
  <si>
    <t>1210-0455</t>
  </si>
  <si>
    <t>2336-730X</t>
  </si>
  <si>
    <t>PRAGUE ECON PAP</t>
  </si>
  <si>
    <t>Prague Econ. Pap.</t>
  </si>
  <si>
    <t>10.18267/j.pep.893</t>
  </si>
  <si>
    <t>9HI3I</t>
  </si>
  <si>
    <t>WOS:001606364600001</t>
  </si>
  <si>
    <t>Berg, T; Burg, V; Gombovic, A; Puri, M</t>
  </si>
  <si>
    <t>Berg, Tobias; Burg, Valentin; Gombovic, Ana; Puri, Manju</t>
  </si>
  <si>
    <t>On the Rise of FinTechs: Credit Scoring Using Digital Footprints</t>
  </si>
  <si>
    <t>REVIEW OF FINANCIAL STUDIES</t>
  </si>
  <si>
    <t>RELATIONSHIP BANKING; FINANCIAL SERVICES; INFORMATION</t>
  </si>
  <si>
    <t>We analyze the information content of a digital footprint-that is, information that users leave online simply by accessing or registering on a Web site-for predicting consumer default. We show that even simple, easily accessible variables from a digital footprint match the information content of credit bureau scores. A digital footprint complements rather than substitutes for credit bureau information and affects access to credit and reduces default rates. We discuss the implications for financial intermediaries' business models, access to credit for the unbanked, and the behavior of consumers, firms, and regulators in the digital sphere.</t>
  </si>
  <si>
    <t>[Berg, Tobias; Gombovic, Ana] Frankfurt Sch Finance &amp; Management, Adickesallee 32-34, D-60318 Frankfurt, Germany; [Burg, Valentin] Humboldt Univ, Berlin, Germany; [Gombovic, Ana] Tech Univ Darmstadt, Darmstadt, Germany; [Puri, Manju] Duke Univ, Durham, NC 27706 USA; [Puri, Manju] NBER, Cambridge, MA 02138 USA</t>
  </si>
  <si>
    <t>Frankfurt School Finance &amp; Management; Humboldt University of Berlin; Technical University of Darmstadt; Duke University; National Bureau of Economic Research</t>
  </si>
  <si>
    <t>Berg, T (corresponding author), Frankfurt Sch Finance &amp; Management, Adickesallee 32-34, D-60318 Frankfurt, Germany.</t>
  </si>
  <si>
    <t>t.berg@fs.de</t>
  </si>
  <si>
    <t>Puri, Manju/0009-0000-3450-7932</t>
  </si>
  <si>
    <t>FIRM (Frankfurt Institute for Risk Management and Regulation)</t>
  </si>
  <si>
    <t>This work was supported by a grant from FIRM (Frankfurt Institute for Risk Management and Regulation).</t>
  </si>
  <si>
    <t>0893-9454</t>
  </si>
  <si>
    <t>1465-7368</t>
  </si>
  <si>
    <t>REV FINANC STUD</t>
  </si>
  <si>
    <t>Rev. Financ. Stud.</t>
  </si>
  <si>
    <t>10.1093/rfs/hhz099</t>
  </si>
  <si>
    <t>NE3ET</t>
  </si>
  <si>
    <t>WOS:000562481500001</t>
  </si>
  <si>
    <t>Koomson, I; Villano, RA; Hadley, D</t>
  </si>
  <si>
    <t>Koomson, Isaac; Villano, Renato A.; Hadley, David</t>
  </si>
  <si>
    <t>Intensifying financial inclusion through the provision of financial literacy training: a gendered perspective</t>
  </si>
  <si>
    <t>Financial inclusion; financial literacy; gender; impact; poverty</t>
  </si>
  <si>
    <t>This study examines the impact of financial literacy training on financial inclusion and its intensity using data collected from a randomised control trial. An additive index of financial inclusion is generated from four financial inclusion indicators. After testing for baseline balance and estimating impact, our findings show that beneficiaries of financial literacy training are about 7.2 percentage points more likely to own an account while they are 8.2 percentage points more likely to save. Overall, beneficiaries of financial literacy training had a 9.5 percentage points advantage in receiving financial assistance than their non-beneficiary counterparts. While financial literacy training only showed a significant impact on account ownership for female-beneficiary households, male-beneficiary households also only experienced an impact in their savings behaviour and receipt of financial assistance. Moreover, beneficiaries of financial literacy training are more likely to intensify their financial inclusion and the intensity of inclusion is higher for male and young beneficiary households. The results highlight the need to strengthen financial literacy training in order to close the gender financial inclusion gap.</t>
  </si>
  <si>
    <t>[Koomson, Isaac; Villano, Renato A.; Hadley, David] Univ New England, Fac Sci Agr Business &amp; Law, UNE Business Sch, Armidale, NSW, Australia; [Koomson, Isaac] Network Socioecon Res &amp; Adv NESRA, Accra, Ghana</t>
  </si>
  <si>
    <t>University of New England</t>
  </si>
  <si>
    <t>Koomson, I (corresponding author), Univ New England, Fac Sci Agr Business &amp; Law, UNE Business Sch, Armidale, NSW, Australia.</t>
  </si>
  <si>
    <t>ikoomso2@une.edu.au</t>
  </si>
  <si>
    <t>Hadley, David/C-5924-2008; Villano, Renato Anin/I-3680-2017; Kooon, Isaac/S-8710-2019</t>
  </si>
  <si>
    <t>Hadley, David/0000-0001-8634-2586; Villano, Renato Anin/0000-0003-2581-6623; Kooon, Isaac/0000-0002-2929-4992</t>
  </si>
  <si>
    <t>Rural and Agricultural Finance Programme (RAFiP)</t>
  </si>
  <si>
    <t>We are grateful to the Rural and Agricultural Finance Programme (RAFiP) for providing funds for the project that yielded the data for this study. Thanks to Professor Samuel K. Annim and the Directorate of Research, Innovation and Consultancy (DRIC) at the University of Cape Coast (UCC), Ghana for granting us permission to use the data. We also appreciate the support provided by Dr James Atta Peprah (the principal supervisor of the project). Finally, we would like to thank every team member that contributed to the success of the project.</t>
  </si>
  <si>
    <t>JAN 20</t>
  </si>
  <si>
    <t>10.1080/00036846.2019.1645943</t>
  </si>
  <si>
    <t>JUL 2019</t>
  </si>
  <si>
    <t>JZ5JS</t>
  </si>
  <si>
    <t>WOS:000478550200001</t>
  </si>
  <si>
    <t>Stancu, A; Panait, M; Raimi, L; Palazzo, M</t>
  </si>
  <si>
    <t>Dima, AM</t>
  </si>
  <si>
    <t>Stancu, Adrian; Panait, Mirela; Raimi, Lukman; Palazzo, Maria</t>
  </si>
  <si>
    <t>Financial Consumers - Promoters of Sustainable Development? Evidences from Europe and Central Asia</t>
  </si>
  <si>
    <t>INNOVATIVE MODELS TO REVIVE THE GLOBAL ECONOMY</t>
  </si>
  <si>
    <t>International Conference on Economics and Social Sciences</t>
  </si>
  <si>
    <t>3rd International Conference on Economics and Social Sciences</t>
  </si>
  <si>
    <t>OCT 15-16, 2020</t>
  </si>
  <si>
    <t>Bucharest Univ Econ Studies</t>
  </si>
  <si>
    <t>Financial consumers; sustainable development; CSR; Central and Eastern Europe</t>
  </si>
  <si>
    <t>CORPORATE SOCIAL-RESPONSIBILITY; EQUATOR PRINCIPLES; GLOBAL BANKS; PERFORMANCE; EDUCATION; CSR</t>
  </si>
  <si>
    <t>Achieving the goals of sustainable development is a complex process that requires a sustained financial effort on the part of public authorities and a major involvement on the part of international institutions. In addition, both public authorities and international bodies must create the legislative framework to support the promotion of the principles of sustainable development at various levels of economic activity. Given the complexity and importance of promoting sustainable development, citizens also play an important role in this process. This category of stakeholders can be involved in various forms, both through proactive and reactive behaviour. Thus, they must be responsible in the consumption process, but they must sanction through specific mechanisms the opportunistic or irresponsible behaviour of some companies. Given the importance of financial resources to support the process of transition to a green economy, citizens must be able to make the best possible financial decisions, both in the process of saving and investing. For this reason, financial education acquires new values, given the repercussions that a wrong financial decision can have both economically and socially. However, financial education is just one of the pillars supporting the process of promoting sustainable development. Sustained efforts must also be made by financial institutions and financial market supervisory authorities in the process of reducing social exclusion. The current health crisis has demonstrated the importance of digitizing financial operations. Financial innovation and Fintech must be focused on increasing financial inclusion and attracting vulnerable groups to the financial circuit. The goal of the research consists in analysing the evolution of two global financial inclusion indicators which are among the pillars of digitizing the financial operations. The values of the two global financial inclusion indicators mentioned above were computed by the Word Bank in 2014 and 2017. The research focuses on analysing the values of the two indicators by gender, for 48 countries from Europe and Central Asia.</t>
  </si>
  <si>
    <t>[Stancu, Adrian; Panait, Mirela] Petr Gas Univ Ploiesti, Ploiesti, Romania; [Raimi, Lukman] Amer Univ Nigeria, Yola, Nigeria; [Palazzo, Maria] Univ Salerno, Fisciano, SA, Italy</t>
  </si>
  <si>
    <t>Petroleum-Gas University of Ploiesti; American University of Nigeria; University of Salerno</t>
  </si>
  <si>
    <t>Panait, M (corresponding author), Petr Gas Univ Ploiesti, Ploiesti, Romania.</t>
  </si>
  <si>
    <t>astancu@upg-ploiesti.ro; mirela.matei@upg-ploiesti.ro; lukman.raimi@aun.edu.ng; mpalazzo@unisa.it</t>
  </si>
  <si>
    <t>Stancu, Adrian/AAK-1265-2020; Palazzo, Maria/L-9678-2019; Panait, Mirela/K-3300-2019; Raimi, Lukman/Q-5898-2018</t>
  </si>
  <si>
    <t>Panait, Mirela/0000-0002-5158-753X;</t>
  </si>
  <si>
    <t>BOGUMILA ZUGA 32a STR, WARSAW, WARSAW, POLAND</t>
  </si>
  <si>
    <t>2704-6524</t>
  </si>
  <si>
    <t>978-83-958150-7-2</t>
  </si>
  <si>
    <t>I CONF ECON S SC</t>
  </si>
  <si>
    <t>10.2478/9788366675162-083</t>
  </si>
  <si>
    <t>Business; Business, Finance; Development Studies; Economics</t>
  </si>
  <si>
    <t>BS7LQ</t>
  </si>
  <si>
    <t>WOS:000763773400082</t>
  </si>
  <si>
    <t>Hedvicakova, M; Prazak, P</t>
  </si>
  <si>
    <t>Hedvicakova, Martina; Prazak, Pavel</t>
  </si>
  <si>
    <t>Bargaining Between the Client and the Bank and Game Theory</t>
  </si>
  <si>
    <t>Bank; Game theory; Client; Client Index; Bargaining; Pay-off matrix; Decision tree; Bank charges</t>
  </si>
  <si>
    <t>CUSTOMER SATISFACTION; FINANCIAL PERFORMANCE; LOYALTY</t>
  </si>
  <si>
    <t>Czech banking market is specific for its high percentage of earnings from bank charges as a total percentage of bank earnings. This article is focused on the problems associated with bargaining between bank clients and banking institutions in the Czech Republic. With most banks in the market, bank clients must pay monthly charges in order to maintain their bank accounts. The article describes the interaction between the bank and the client from the game theory perspective. Both bargaining parties have different goals and they encounter each other during the bargaining process about the price of bank charges. The game theory defines the pay-off function, the decision tree and the point of conflict. The result is a model of this interaction that appears as an extensive form game. The actual amount of charges that result from the bargaining is regularly ascertained by a national survey using the Client Index (Klientsky index) for current accounts in the Czech Republic. The Client Index represents the quantification of average costs of maintaining a current account of individual respondents based on the monitoring of specific retail banking products and services according to fee schedules of individual banks and the behaviour of individual bank clients. The approximation of the value of this Client Index was used for the proposal of pay-off function in the model. The paper also deals with general theoretical bases of bargaining, particularly it focused on bargaining with a client. The cooperative and non-cooperative strategy towards the client are described. The reasons for bargaining with existing bank clients are presented as well. Finally the article also summarizes both the goals of clients and banks during bargaining.</t>
  </si>
  <si>
    <t>[Hedvicakova, Martina; Prazak, Pavel] Univ Hradec Kralove, Fac Informat &amp; Management, Rokitanskeho 62, Hradec Kralove 50003, Czech Republic</t>
  </si>
  <si>
    <t>Prazak, P (corresponding author), Univ Hradec Kralove, Fac Informat &amp; Management, Rokitanskeho 62, Hradec Kralove 50003, Czech Republic.</t>
  </si>
  <si>
    <t>martina.hedvicakova@uhk.cz; pavel.prazak@uhk.cz</t>
  </si>
  <si>
    <t>Prazak, Pavel/F-8299-2013; Hedvicakova, Martina/G-4603-2019</t>
  </si>
  <si>
    <t>Prazak, Pavel/0000-0001-9160-5758; Hedvicakova, Martina/0000-0001-9751-8292</t>
  </si>
  <si>
    <t>Faculty of Informatics and Management, University of Hradec Kralove, Czech Republic [2103]</t>
  </si>
  <si>
    <t>Faculty of Informatics and Management, University of Hradec Kralove, Czech Republic</t>
  </si>
  <si>
    <t>This paper is supported by specific project No. 2103 (2018) Investment evaluation within concept Industry 4.0 at Faculty of Informatics and Management, University of Hradec Kralove, Czech Republic. In addition, the authors thank Martin Kral for his help with the project.</t>
  </si>
  <si>
    <t>10.1007/978-3-030-11395-7_40</t>
  </si>
  <si>
    <t>WOS:001308337900040</t>
  </si>
  <si>
    <t>Tian, GX; Zafar, MW; Sinha, A; Destek, MA</t>
  </si>
  <si>
    <t>Tian, Guixian; Zafar, Muhammad Wasif; Sinha, Avik; Destek, Mehmet Akif</t>
  </si>
  <si>
    <t>Does Financial Inclusion Enhance Energy Efficiency?? Moderating Roles of Education and Foreign Direct Investment</t>
  </si>
  <si>
    <t>Financial inclusion; Energy efficiency; Global south; Education</t>
  </si>
  <si>
    <t>CO2 EMISSIONS; CONSUMPTION; IMPACT; NEXUS</t>
  </si>
  <si>
    <t>This research aims to investigate the effect of financial inclusion on energy efficiency in Global South. In order to accomplish this, two distinct financial inclusion indicators (Number of commercial bank branches per 100,000 adults and Number of ATMs per 100,000 adults) are utilized, and the effects of various inclusion indicators on energy efficiency are compared. In addition, variables such as inflation, foreign direct investments, and education, which are assumed to affect energy efficiency, are included as independent variables in the empirical model to avoid omitted variable bias; thus, both the direct effects and moderating effects of these variables are examined. According to the findings of the study, which analyzed the period from 2004 to 2020 using panel data methods of the second generation, an increase in financial inclusion indicators, education, and foreign direct investments increases energy efficiency, while an increase in inflation decreases energy efficiency. In addition, we discovered that the expansion of bank branches reduces inflation's detrimental effect on energy efficiency and augments the positive effect of greater knowledge on energy efficiency.</t>
  </si>
  <si>
    <t>[Tian, Guixian] Ningbo Univ Finance &amp; Econ, Coll Finance &amp; Informat, Ningbo 315175, Zhejiang, Peoples R China; [Zafar, Muhammad Wasif] Natl Univ Comp &amp; Emerging Sci, FAST Sch Management, Lahore Campus, Lahore, Pakistan; [Sinha, Avik] Dr DY Patil B Sch, Pune, Maharashtra, India; [Destek, Mehmet Akif] Gaziantep Univ, Dept Econ, Gaziantep, Turkiye; [Destek, Mehmet Akif] Azerbaijan State Univ Econ UNEC, UNEC Res Methods Applicat Ctr, Istiqlaliyyat Str 6, Baku, Azerbaijan; [Destek, Mehmet Akif] Korea Univ, Dept Econ, Seoul 02841, South Korea; [Destek, Mehmet Akif] Baku Eurasian Univ, Econ Res Ctr BAAU ERC, Baku, Azerbaijan; [Destek, Mehmet Akif] Western Caspian Univ, Econ &amp; Business, Baku, Azerbaijan</t>
  </si>
  <si>
    <t>Ningbo University of Finance &amp; Economics; Gaziantep University; Ministry of Education of Azerbaijan Republic; Azerbaijan State University of Economics (UNEC); Korea University; Baku Eurasian University; Ministry of Education of Azerbaijan Republic; Western Caspian University</t>
  </si>
  <si>
    <t>Zafar, MW (corresponding author), Natl Univ Comp &amp; Emerging Sci, FAST Sch Management, Lahore Campus, Lahore, Pakistan.</t>
  </si>
  <si>
    <t>tianguixian@nbufe.edu.cn; wasif.zafar6@yahoo.com; f11aviks@iimidr.ac.in; adestek@gantep.edu.tr</t>
  </si>
  <si>
    <t>Sinha, Avik/J-3905-2019; zafar, Muhammad/AFW-2468-2022; Destek, Mehmet Akif/AAG-4936-2020</t>
  </si>
  <si>
    <t>National Natural Science Foundation of China [42261036]</t>
  </si>
  <si>
    <t>National Natural Science Foundation of China(National Natural Science Foundation of China (NSFC))</t>
  </si>
  <si>
    <t>This research was supported by the National Natural Science Foundation of China (NO.42261036).</t>
  </si>
  <si>
    <t>10.1007/s11205-025-03705-8</t>
  </si>
  <si>
    <t>9HW0L</t>
  </si>
  <si>
    <t>WOS:001578717100001</t>
  </si>
  <si>
    <t>Saxena, A; Panwar, V</t>
  </si>
  <si>
    <t>Saxena, Arjit; Panwar, Varun</t>
  </si>
  <si>
    <t>Significance and Impact of Financial Inclusion on Indian Economy: An Empirical Study</t>
  </si>
  <si>
    <t>NMIMS MANAGEMENT REVIEW</t>
  </si>
  <si>
    <t>Financial inclusion; ICT A/Cs -BC; Basic saving bank deposit ccount(BSBDA); Banking sector; Business correspondents</t>
  </si>
  <si>
    <t>Purpose: This research is an attempt to assess the current state of financial inclusion empirically, its significance and impact in the Indian context. Methodology: The present study examines the impact of financial inclusion on the economic growth of India. A multiple regression model was developed based on secondary data from 2010-11 to 2019-20. Findings: The results of the study found a positive as well as a significant impact on the total number of transactions through ICT-A/Cs-BC and the number of basic saving bank deposit account (BSBDA) on the GDP of India. Hence, the study concludes that financial inclusion has a significant impact on the growth of the Indian economy. Practical Implications: The concept of financial inclusion in the context of macroeconomics gives researcher innumerable opportunities to explore. The paper allows future researchers an opportunity to study the change in financial behaviour of the people after being financially included, to discuss the technicalities and dynamics of our financial inclusion indicators, and to suggest policymaking that may align for successful implementation of financial literacy, Originality/Value: Financial inclusion aims to include each individual in the financial framework of the country. It focuses on the accessibility and affordability of banking services for everyone irrespective of their financial status. This study by and large analyses the quantitative aspects of financial inclusion, its impact and significance on the Indian economy from the empirical research point of view.</t>
  </si>
  <si>
    <t>[Saxena, Arjit] Ernst &amp; Young GDS, Adv Navis Business Pk, Noida Sec 142, Noida, India; [Panwar, Varun] Shyam Lal Coll, Delhi, India</t>
  </si>
  <si>
    <t>Panwar, V (corresponding author), Shyam Lal Coll, Delhi, India.</t>
  </si>
  <si>
    <t>saxenaarjit1998@gmail.com; varunpanwar.du@gmail.com</t>
  </si>
  <si>
    <t>0971-1023</t>
  </si>
  <si>
    <t>NMIMS MANAG REV</t>
  </si>
  <si>
    <t>NMIMS Manag. Rev.</t>
  </si>
  <si>
    <t>10.53908/NMMR.300405</t>
  </si>
  <si>
    <t>CX3F4</t>
  </si>
  <si>
    <t>WOS:001128486000001</t>
  </si>
  <si>
    <t>Soumare, I; Tchana, FT; Kengne, TM</t>
  </si>
  <si>
    <t>Soumare, Issouf; Tchana, Fulbert Tchana; Kengne, Thierry Martial</t>
  </si>
  <si>
    <t>Analysis of the determinants of financial inclusion in Central and West Africa</t>
  </si>
  <si>
    <t>TRANSNATIONAL CORPORATIONS REVIEW</t>
  </si>
  <si>
    <t>Access to finance; financial inclusion; Global Findex; Central Africa; West Africa</t>
  </si>
  <si>
    <t>Using data from the Global Financial Inclusion database (Global Findex) of the World Bank, this study attempts to identify and analyse the determinants of financial inclusion in Central and West Africa, two of the least financial inclusive regions of the Africa continent. The findings indicate that access to formal finance in the two regions is mainly driven by individual characteristics such as gender, education, age, income, residence area, employment status, marital status, household size and degree of trust in financial institutions. However, Central Africa and West Africa differ with the entire Africa region on a number of important determinants of access to finance. Specifically, educated, working-age, urban resident and full-time employed are significant individual characteristics of access to formal account in both regions and in Africa. However, being male and/or married are positive determinants of financial inclusion for Central Africa and Africa, whereas income is significant in West Africa and Africa. In addition, household size has a negative impact on account ownership in West African and not in Central Africa. When we use the other financial inclusion indicators (saving, borrowing or frequency of use), the above determinants remain all significant for Africa, but not necessarily for Central Africa or West Africa, where they have different degree of significance. As policy recommendations, governments and their partners in these regions should adopt or strengthen regulatory laws to better protect financial services consumers, enlarge population access to education, ease access to finance for the vulnerable groups (women, youth, poor, etc.), and continue their effort to increase the number of permanent and stable jobs created with special focus on gender and marital status in Central Africa and income and household size in West Africa.</t>
  </si>
  <si>
    <t>[Soumare, Issouf] Univ Laval, Fac Business Adm, Lab Financial Engn, Quebec City, PQ, Canada; [Soumare, Issouf] Univ Laval, Fac Business Adm, Dept Finance Insurance &amp; Real Estate, Quebec City, PQ, Canada; [Tchana, Fulbert Tchana] World Bank, 1818 H St NW, Washington, DC 20433 USA; [Kengne, Thierry Martial] Univ Toulouse 1 Capitole, Toulouse, France</t>
  </si>
  <si>
    <t>Laval University; Laval University; The World Bank; Universite de Toulouse; Universite Toulouse 1 Capitole</t>
  </si>
  <si>
    <t>Soumare, I (corresponding author), Univ Laval, Quebec City, PQ, Canada.</t>
  </si>
  <si>
    <t>issouf.soumare@fsa.ulaval.ca</t>
  </si>
  <si>
    <t>ESRC [ES/N013344/1] Funding Source: UKRI</t>
  </si>
  <si>
    <t>1918-6444</t>
  </si>
  <si>
    <t>1925-2099</t>
  </si>
  <si>
    <t>TRANSNATL CORP REV</t>
  </si>
  <si>
    <t>Transnatl. Corp. Rev.</t>
  </si>
  <si>
    <t>10.1080/19186444.2016.1265763</t>
  </si>
  <si>
    <t>VF7ZJ</t>
  </si>
  <si>
    <t>WOS:000443603500001</t>
  </si>
  <si>
    <t>Ojogiwa, OT; Sulaiman, LAR; Issah, M</t>
  </si>
  <si>
    <t>Ojogiwa, Oluwaseun T.; Sulaiman, Lanre Abdul-Rasheed; Issah, Moshood</t>
  </si>
  <si>
    <t>Factors influencing intimate partner controlling behaviour against rural women in South Africa</t>
  </si>
  <si>
    <t>Intimate partner controlling behaviour; Rural women; South Africa; Gender dynamics; Patriarchal norms; Domestic violence</t>
  </si>
  <si>
    <t>ALCOHOL-USE; VIOLENCE</t>
  </si>
  <si>
    <t>BackgroundThe widespread issue of gender-based violence (GBV) in South Africa profoundly affects various aspects of life, necessitating government intervention for prevention. While numerous studies have found intimate partner controlling behaviour (IPCB) to be more prevalent in rural areas, the factors contributing to its high prevalence have not been unmasked. This study, therefore, investigates the factors influencing IPCB against rural women in South Africa.MethodsThe study was based on the 2016 South Africa Demographic and Health Survey (SADHS). Data was extracted for married rural women aged 15-49 years. Frequency distribution, mean, and standard deviation were the descriptive statistics used, while bivariate and multivariate logistics regression were the inferential statistics used to establish the factors associated with IPCB in rural areas of South Africa.ResultsAge, race, partner alcohol consumption, years in current residence, account ownership, and household wealth index were the factors associated with the high prevalence of IPCB among rural women in South Africa. Women who were younger, had partners who drank alcohol, lived in poorer households, or had no personal bank account had higher odds of experiencing IPCB.ConclusionAge, race, partner alcohol consumption, years in current residence, account ownership, and household wealth index were the factors influencing IPCB against rural women in South Africa. Thus, younger women, Black African women, those in poor households, and women with partners who consume alcohol, are more vulnerable to IPCB.</t>
  </si>
  <si>
    <t>[Ojogiwa, Oluwaseun T.] Univ KwaZulu Natal, NRF SARCHI Chair Sustainable Rural Livelihoods, Durban, South Africa; [Sulaiman, Lanre Abdul-Rasheed] Univ Pretoria, Dept Sociol, Pretoria, South Africa; [Issah, Moshood] Univ Ilorin, Fac Social Sci, Dept Sociol, Ilorin, Kwara, Nigeria</t>
  </si>
  <si>
    <t>University of Kwazulu Natal; University of Pretoria; University of Ilorin</t>
  </si>
  <si>
    <t>Issah, M (corresponding author), Univ Ilorin, Fac Social Sci, Dept Sociol, Ilorin, Kwara, Nigeria.</t>
  </si>
  <si>
    <t>obasa.oluwaseun@gmail.com; u24141072@tuks.co.za; issah.m@unilorin.edu.ng</t>
  </si>
  <si>
    <t>Ojogiwa, Oluwaseun/JXY-8306-2024</t>
  </si>
  <si>
    <t>AUG 16</t>
  </si>
  <si>
    <t>10.1186/s12889-025-23856-0</t>
  </si>
  <si>
    <t>6FB5U</t>
  </si>
  <si>
    <t>WOS:001551829900021</t>
  </si>
  <si>
    <t>Biks, GA; Tariku, A; Tessema, GA</t>
  </si>
  <si>
    <t>Biks, Gashaw Andargie; Tariku, Amare; Tessema, Gizachew Assefa</t>
  </si>
  <si>
    <t>Effects of antenatal care and institutional delivery on exclusive breastfeeding practice in northwest Ethiopia: a nested case-control study</t>
  </si>
  <si>
    <t>INTERNATIONAL BREASTFEEDING JOURNAL</t>
  </si>
  <si>
    <t>Exclusive breastfeeding; Antenatal care; Institutional delivery; Nested case-control; Ethiopia</t>
  </si>
  <si>
    <t>MOTHERS; INFANT; BIRTH; DETERMINANTS; PREDICTORS; RISK</t>
  </si>
  <si>
    <t>Background: For the first six months of life, breast milk is the ideal food to provide adequate quality and quantity of nutrients. Exclusive breastfeeding has a profound effect to reduce the risk of respiratory and gastrointestinal related morbidities as well as all-cause and infection-related neonatal mortalities. Despite the immense benefits of exclusive breastfeeding, the practice is suboptimal in Ethiopia. The aim of this study was to assess whether antenatal care and institutional delivery contributes to mothers' practice of exclusive breastfeeding in rural communities of northwest Ethiopia. Methods: A community-based nested case-control study was conducted in northwest Ethiopia from November 2009 to August 2011. About 1769 mother-infant pairs were included and followed for six months after birth. Interviews with mothers were conducted in the first week, at 1st, 4th, and 6th month. Bivariate and multivariate logistic regression were carried out to determine associations between independent variables and exclusive breastfeeding practice. Results: Of the total respondents, 30.7 % (95 % CI: 27 %, 35 %) of mothers exclusively breastfed their infants. In multivariate analysis, own business activity (AOR= 3.06; 95 % CI: 1.29, 7.25), being a housewife (AOR= 3.41; 95 % CI: 1.28, 9.11), having antenatal care (AOR= 1.32; 95 % CI: 1.01, 1.73), giving birth in a health institution (AOR= 1.29; 95 % CI: 1.02, 1.62), and possessing a microfinance bank account (AOR= 2.35; 95 % CI: 1.80, 3.07) were positively associated with exclusive breastfeeding practice. Conclusions: Despite underutilization of maternal health services, these services contributed to mothers exclusive breastfeeding practice. Strengthening utilization of antenatal care and institutional delivery would have an added benefit in improving exclusive breastfeeding practice. Moreover involving mothers in business activities is important.</t>
  </si>
  <si>
    <t>[Biks, Gashaw Andargie] Univ Gondar, Inst Publ Hlth, Dept Hlth Serv Management &amp; Hlth Econ, Gondar, Ethiopia; [Tariku, Amare] Univ Gondar, Inst Publ Hlth, Dept Human Nutr, Gondar, Ethiopia; [Tessema, Gizachew Assefa] Univ Gondar, Inst Publ Hlth, Dept Reprod Hlth, Gondar, Ethiopia</t>
  </si>
  <si>
    <t>University of Gondar; University of Gondar; University of Gondar</t>
  </si>
  <si>
    <t>Tariku, A (corresponding author), Univ Gondar, Inst Publ Hlth, Dept Human Nutr, Gondar, Ethiopia.</t>
  </si>
  <si>
    <t>amaretariku15@yahoo.com</t>
  </si>
  <si>
    <t>Tessema, Gizachew A/J-9235-2018</t>
  </si>
  <si>
    <t>Tessema, Gizachew A/0000-0002-4784-8151</t>
  </si>
  <si>
    <t>World Health Organization; University of Gondar</t>
  </si>
  <si>
    <t>World Health Organization(World Health Organization); University of Gondar</t>
  </si>
  <si>
    <t>Our heartfelt gratitude goes to the World Health Organization and University of Gondar for the financial support. Dabat Research Center/DHDSS site staff for their devotion during data collection and supervision. In addition, authors would like to thank study participants for their willingness to participate in the study.</t>
  </si>
  <si>
    <t>1746-4358</t>
  </si>
  <si>
    <t>INT BREASTFEED J</t>
  </si>
  <si>
    <t>Int. Breastfeed. J.</t>
  </si>
  <si>
    <t>NOV 19</t>
  </si>
  <si>
    <t>10.1186/s13006-015-0055-4</t>
  </si>
  <si>
    <t>Obstetrics &amp; Gynecology; Pediatrics</t>
  </si>
  <si>
    <t>CW9NA</t>
  </si>
  <si>
    <t>WOS:000365324300001</t>
  </si>
  <si>
    <t>Birkenmaier, J; Maynard, B; Kim, Y</t>
  </si>
  <si>
    <t>Birkenmaier, Julie; Maynard, Brandy; Kim, Youngmi</t>
  </si>
  <si>
    <t>Interventions designed to improve financial capability: A systematic review</t>
  </si>
  <si>
    <t>CAMPBELL SYSTEMATIC REVIEWS</t>
  </si>
  <si>
    <t>INDIVIDUAL DEVELOPMENT ACCOUNTS; CHILD-DEVELOPMENT ACCOUNTS; FOLLOW-UP EVIDENCE; LOW-INCOME; SAVINGS; EDUCATION; PARTICIPATION; HOMEOWNERSHIP; LITERACY; KNOWLEDGE</t>
  </si>
  <si>
    <t>Background There is growing recognition that people need stronger financial capability to avoid and recover from financial difficulties and poverty. Researchers are testing financial capability interventions with adults, children, immigrant populations and other groups, but little is known about the effectiveness of financial capability interventions on financial behaviour and financial outcomes. Objectives The purpose of this review is to inform practice and policy by examining and synthesizing evidence of the effects of interventions designed to improve financial capability. Financial capability interventions combine financial education and financial products and/or services. The research questions are: (a) What are the effects of interventions designed to improve financial capability on financial behaviour and financial outcomes? and (b) Does study(design), intervention (dosage, duration, type) or sample (age) characteristics relate to the magnitude of effect size? Methods We conducted two identical rounds of electronic searches for two different time periods. In Round 1 searched for studies through May, 2017 and Round 2 searched from May, 2017 through May, 2020. For both rounds, we identified and retrieved both published and unpublished studies, including conference proceedings, through a comprehensive search that included multiple electronic databases, grey literature sources, organizational websites, government websites and reference lists of reviews and relevant studies. We also conducted forward citation searching using Google Scholar to search for studies citing the included studies. We also conducted a search on Google using key terms. We hand searched the table of contents of selected journals to identify potentially eligible reports not properly indexed. Finally, experts who were study or sub-study authors of prior studies were contacted in an attempt to obtain unpublished studies, studies in process and published studies missed in the database search. Selection Criteria To be eligible for this review, the intervention must have included a financial education component and a financial product or service. Studies must have also been conducted in any of the 35-member countries of the OECD, and included a financial behaviour or financial outcome. To meet the criteria for delivering financial education, interventions must have delivered information about: (1) a variety of general financial concepts and behaviours, or advice about financial behaviours); (2) a specific financial topic; (3) a specific product; and/or (4) a specific service. To meet the criteria for access to a financial product or service, interventions must have facilitated access to one or more of the following: (1) a child development account; (2) a retirement account through an employer; (3) a 'second chance' checking account; (4) a matched savings account; (5) a financial service, such as financial counselling or coaching; (6) a bank account; (7) an investment vehicle; or (8) a home mortgage loan product. Data Collection and Analysis Electronic searches of bibliographic databases and searches of other sources identified a total of 35,484 hits. Titles and abstracts were screened for relevance and 35,071 were excluded as duplicates or deemed inappropriate. The full text of the remaining 416 potential studies was reviewed and screened for eligibility by two independent coders. We excluded 353 reports that were deemed ineligible and included 63 reports that met inclusion criteria. Of the 63, 15 reports were deemed duplicates or summary reports. Of the remaining 48 reports, 24 were unique studies (using unique samples) that were included in this review. Six of those 24 studies were large longitudinal studies that presented unique analyses (using different time points, subsamples, and/or outcomes). Thus, we extracted data from 48 reports, reporting data and analyses from 24 unique studies. At least two review authors who were not study authors independently assessed risk of bias in all included studies using the Cochrane Collaboration's risk of bias tool. Results The review summarizes evidence from 63 reports from 24 unique studies, which included 17 randomized controlled trials and 7 quasi-experimental designs. In addition, 17 duplicate or summary reports were also located. This review identified several different types of previously evaluated financial capability interventions. Unfortunately, few interventions that were evaluated by more than one study measured the same or similar outcomes, thus there were not a sufficient number of studies of any of the included intervention types that could be pooled to conduct a meta-analysis. Therefore, evidence is sparse about whether participants' financial behaviours and/or financial outcomes are improved. While the majority of the studies used random assignment (72%), many of the studies had some important methodological weakness. Authors' Conclusions There is a lack of strong evidence about the effectiveness of financial capability intervention. Better evidence is needed about the effectiveness of financial capability interventions to guide practitioners.</t>
  </si>
  <si>
    <t>[Birkenmaier, Julie; Maynard, Brandy] St Louis Univ, Sch Social Work, 3550 Lindell Blvd, St Louis, MO 63103 USA; [Kim, Youngmi] Virginia Commonwealth Univ, Sch Social Work, Richmond, VA USA</t>
  </si>
  <si>
    <t>Saint Louis University; Virginia Commonwealth University</t>
  </si>
  <si>
    <t>1891-1803</t>
  </si>
  <si>
    <t>CAMPBELL SYST REV</t>
  </si>
  <si>
    <t>Campbell Syst. Rev.</t>
  </si>
  <si>
    <t>e1225</t>
  </si>
  <si>
    <t>10.1002/cl2.1225</t>
  </si>
  <si>
    <t>ZV2TW</t>
  </si>
  <si>
    <t>WOS:000770389000007</t>
  </si>
  <si>
    <t>Sastry, RK; Manikandan, P</t>
  </si>
  <si>
    <t>Empowerment of women on an agricultural research farm in India: a success story</t>
  </si>
  <si>
    <t>OUTLOOK ON AGRICULTURE</t>
  </si>
  <si>
    <t>agricultural research farm; change management; empowerment; farm women</t>
  </si>
  <si>
    <t>At the heart of all research activities in agriculture lies the huge power of human resources, which helps to galvanize scientists into action. This disorganized force of workers, called the labour force, comprises both men and women to be employed on an equitable basis. As in other areas of work, women working on the farm have certain stereotyped roles in an otherwise supposedly non-gender-specific domain. This paper looks into the presumptions, problems and prospects of these neglected, but essential women workers on agricultural research farms. It highlights the experiences and issues that have emerged from a novel experiment involving the empowerment of farm women. In the case presented, empowerment was achieved through a threefold strategic approach. This involved education to promote positive self-image and self-confidence, skills development, and creating an awareness of social change. Various initiatives were promoted on a sustained basis to bring about the change process. These included adult literacy programmes, payment of wages to individuals through their bank accounts, on-site skills development and training, participation of workers in decision-making meetings to develop action plans and set targets for their respective areas of work, acquisition of gender-friendly equipment, health campaigns, etc. All these brought about gradual but perceptible changes in their attitudes and behaviour. The result of this empowerment process was reflected in enhanced qualitative and quantitative outcomes. A crucial factor in the success and sustainability of this empowerment process was the support and visionary outlook of top management. The lessons from this case study can serve as motivating factors for other agricultural institutions to experiment.</t>
  </si>
  <si>
    <t>Natl Acad Agr Res Management, HRD Div, Hyderabad 500030, Andhra Pradesh, India</t>
  </si>
  <si>
    <t>Indian Council of Agricultural Research (ICAR); ICAR - National Academy of Agricultural Research &amp; Management</t>
  </si>
  <si>
    <t>Sastry, RK (corresponding author), Natl Acad Agr Res Management, HRD Div, Hyderabad 500030, Andhra Pradesh, India.</t>
  </si>
  <si>
    <t>I P PUBLISHING LTD</t>
  </si>
  <si>
    <t>COLERIDGE HOUSE, 4-5 COLERIDGE GARDENS, LONDON NW6 3QH, ENGLAND</t>
  </si>
  <si>
    <t>0030-7270</t>
  </si>
  <si>
    <t>OUTLOOK AGR</t>
  </si>
  <si>
    <t>Outlook Agric.</t>
  </si>
  <si>
    <t>10.5367/000000002101294146</t>
  </si>
  <si>
    <t>631TK</t>
  </si>
  <si>
    <t>WOS:000180182700005</t>
  </si>
  <si>
    <t>Xu, F; Zhang, XR; Zhou, D</t>
  </si>
  <si>
    <t>Xu, Fang; Zhang, Xiaoru; Zhou, Di</t>
  </si>
  <si>
    <t>Does digital financial inclusion reduce the risk of returning to poverty? Evidence from China</t>
  </si>
  <si>
    <t>digital financial inclusion; poverty vulnerability; risk of returning to poverty</t>
  </si>
  <si>
    <t>RENEWABLE ENERGY; CONSUMPTION; CAUSALITY; EMISSIONS; INFERENCE</t>
  </si>
  <si>
    <t>Digital financial inclusion has become an important way to reduce poverty and prevent poverty return; however, few studies examine the relationship between digital financial inclusion measurement with poverty return governance. Based on data from the 2017 China Household Financial Survey, we construct a digital financial inclusion indicator for micro-households, and explore its impact on the risk of households returning to poverty and its mechanisms. Our findings suggest that digital financial inclusion can reduce the risk of Chinese families returning to poverty, and that it has heterogeneous effects on families and regions with different characteristics. The main function is to improve household income level by promoting entrepreneurship and employment, and to improve risk resistance by enhancing household financial market participation and household asset allocation. Further analysis shows that digital financial inclusion has structural effects, nonlinear effects, and substitution effects with private lending in poverty governance. This paper has implications for understanding and improving the poverty governance effectiveness of digital financial inclusion.</t>
  </si>
  <si>
    <t>[Xu, Fang] Hubei Univ, Fac Math &amp; Stat, Hubei Key Lab Appl Math, Wuhan 430062, Peoples R China; [Zhang, Xiaoru] Hubei Univ, Fac Math &amp; Stat, Wuhan 430062, Peoples R China; [Zhou, Di] Guangdong Univ Foreign Studies, Sch Math &amp; Stat, Guangzhou 510006, Peoples R China</t>
  </si>
  <si>
    <t>Hubei University; Hubei University; Guangdong University of Foreign Studies</t>
  </si>
  <si>
    <t>Zhou, D (corresponding author), Guangdong Univ Foreign Studies, Sch Math &amp; Stat, Guangzhou 510006, Peoples R China.</t>
  </si>
  <si>
    <t>zhoudi19880101@163.com</t>
  </si>
  <si>
    <t>zhang, xiaoru/IVW-1657-2023</t>
  </si>
  <si>
    <t>National Natural Science Foundation of China [72003049]; National Social Science Fund of China [18BTJ011]; Humanities and Social Science Fund of Ministry of Education of China [20YJC790191]; Guangdong Basic and Applied Basic Research Foundation [2020A1515110400, 2022A1515010998]; Science and Technology Program of Guangzhou, China [202201010616]; Guangzhou Philosophy and Social Science Planning Project [2022GZQN07]</t>
  </si>
  <si>
    <t>National Natural Science Foundation of China(National Natural Science Foundation of China (NSFC)); National Social Science Fund of China; Humanities and Social Science Fund of Ministry of Education of China; Guangdong Basic and Applied Basic Research Foundation; Science and Technology Program of Guangzhou, China; Guangzhou Philosophy and Social Science Planning Project</t>
  </si>
  <si>
    <t>ACKNOWLEDGEMENT We want to thank the Editor Prof. Keith Pilbeam, Associate Editor and two anonymous reviewers for their valuable comments and suggestions. We also thank the support provided by the National Natural Science Foundation of China (Grant No. 72003049). National Social Science Fund of China (Grant No. 18BTJ011). Humanities and Social Science Fund of Ministry of Education of China (Grant No. 20YJC790191). Guangdong Basic and Applied Basic Research Foundation (No. 2020A1515110400, 2022A1515010998). Science and Technology Program of Guangzhou, China (NO. 202201010616). Guangzhou Philosophy and Social Science Planning Project (NO. 2022GZQN07).</t>
  </si>
  <si>
    <t>10.1002/ijfe.2812</t>
  </si>
  <si>
    <t>XS1J2</t>
  </si>
  <si>
    <t>WOS:000963752700001</t>
  </si>
  <si>
    <t>Boukhatem, J; Ben Moussa, F</t>
  </si>
  <si>
    <t>Boukhatem, Jamel; Ben Moussa, Fatma</t>
  </si>
  <si>
    <t>Financial inclusion, institutional quality, and economic growth in MENA countries: some evidence from panel cointegration</t>
  </si>
  <si>
    <t>MACROECONOMICS AND FINANCE IN EMERGING MARKET ECONOMIES</t>
  </si>
  <si>
    <t>Financial inclusion; economic growth; institutions; MENA; panel cointegration test; C23; E44; G21; O43</t>
  </si>
  <si>
    <t>UNIT-ROOT TESTS; EMPIRICAL-EVIDENCE; INCOME INEQUALITY; IMPACT; ACCESS; NEXUS; LIBERALIZATION; GOVERNANCE; CAUSALITY; DOLS</t>
  </si>
  <si>
    <t>The purpose of this paper is to examine financial inclusion indicators with some institutional quality indicators to better understand their combined effect on economic growth in the context of MENA region using panel cointegration tests. The study covers a sample of 16 countries during the 1997-2018 period. The main findings show a positive connection between economic growth and institutional quality in the long run. Moreover, institutional quality negatively affects financial inclusion while no effect of financial inclusion on economic growth was found. These results show that the most of MENA countries have not reached the level of institutional quality, beyond which the financial inclusion can act as a growth factor.</t>
  </si>
  <si>
    <t>[Boukhatem, Jamel; Ben Moussa, Fatma] Univ Tunis El Manar, Fac Econ &amp; Management Sci, Dept Econ, Tunis, Tunisia</t>
  </si>
  <si>
    <t>Universite de Tunis-El-Manar</t>
  </si>
  <si>
    <t>Boukhatem, J (corresponding author), Univ Tunis El Manar, Fac Econ &amp; Management Sci, Dept Econ, Tunis, Tunisia.</t>
  </si>
  <si>
    <t>fatma.benmoussa@fsegt.utm.tn</t>
  </si>
  <si>
    <t>Ben Moussa, Fatma/JXL-2504-2024</t>
  </si>
  <si>
    <t>1752-0843</t>
  </si>
  <si>
    <t>1752-0851</t>
  </si>
  <si>
    <t>MACROECON FINANC EME</t>
  </si>
  <si>
    <t>Macroecon. Financ. Emerg. Mark. Econ.</t>
  </si>
  <si>
    <t>MAY 4</t>
  </si>
  <si>
    <t>10.1080/17520843.2023.2284455</t>
  </si>
  <si>
    <t>4GL0U</t>
  </si>
  <si>
    <t>WOS:001106107900001</t>
  </si>
  <si>
    <t>Mehari, AT; Alemu, DK; Yilma, SS</t>
  </si>
  <si>
    <t>Mehari, Abel Tewolde; Alemu, Degife Ketema; Yilma, Senayit Seyoum</t>
  </si>
  <si>
    <t>Datasets of socio-economic, demographic, entrepreneurship, and financial inclusion indicators of selected sites in Ethiopia: Addis Ababa, Dire Dawa, Shirka zone</t>
  </si>
  <si>
    <t>DATA IN BRIEF</t>
  </si>
  <si>
    <t>Article; Data Paper</t>
  </si>
  <si>
    <t>Ethiopia is known for having a large portion of its population living under national and international poverty lines. Exclusively the poverty is aggravated being accompanied by a high youth unemployment rate and severe inequality. Thus, these datasets are collected to develop the poverty and unemployment profile of the country with an emphasis on eastern and central regions. Principally the data targeted Addis Ababa: the capital city; Dire Dawa city council-eastern province of Ethiopia and Arsi Zone. The datasets contain demographic variables, household details, education, health &amp; nutrition, employment, non-wage income, death profiles, housing detail, asset ownership, household infrastructure, water &amp; sanitation, household monthly expenditure, saving trends, and social engagement. Besides, the dataset encompasses youth-specific core variables such as finance, unemployment, and entrepreneurship variables. In collecting these datasets, enumerators who have experience in digital data collection were involved. Those enumerators equipped with the digital device were provided two days of digital data collection training, involved in a pilot survey, and finally engaged in the actual data collection activity. (c) 2020 The Author(s). Published by Elsevier Inc. This is an open access article under the CC BY license (http://creativecommons.org/licenses/by/4.0/)</t>
  </si>
  <si>
    <t>[Mehari, Abel Tewolde; Alemu, Degife Ketema; Yilma, Senayit Seyoum] Arsi Univ, Asella, Ethiopia</t>
  </si>
  <si>
    <t>Mehari, AT (corresponding author), Arsi Univ, Asella, Ethiopia.</t>
  </si>
  <si>
    <t>abelmgt2000@gmail.com</t>
  </si>
  <si>
    <t>Mehari, Abel Tewolde/ABF-7907-2021</t>
  </si>
  <si>
    <t>Mehari, Abel Tewolde/0000-0002-2708-1336</t>
  </si>
  <si>
    <t>Partnership for Economic Policy; International Development Research Center (IDRC)-Canada</t>
  </si>
  <si>
    <t>Partnership for Economic Policy; International Development Research Center (IDRC)-Canada(CGIAR)</t>
  </si>
  <si>
    <t>We are indebted to express our gratitude to Partnership for Economic Policy for its support by providing the necessary fund to implement CBMS project Phase I and II in Ethiopia. Next, we thank Dr. Celia M. Reyes and the CBMS international network research team for their steady support in helping the team to succeed in doing and securing these datasets. Finally, we acknowledge the International Development Research Center (IDRC)-Canada for the financial support granted to us through the Open Research Data Initiative funding competition. The funding enabled us to publish our dataset and this article.</t>
  </si>
  <si>
    <t>2352-3409</t>
  </si>
  <si>
    <t>DATA BRIEF</t>
  </si>
  <si>
    <t>Data Brief</t>
  </si>
  <si>
    <t>10.1016/j.dib.2020.106665</t>
  </si>
  <si>
    <t>QG3YQ</t>
  </si>
  <si>
    <t>WOS:000617525400053</t>
  </si>
  <si>
    <t>Lagerwaard, P</t>
  </si>
  <si>
    <t>Lagerwaard, Pieter</t>
  </si>
  <si>
    <t>Financial surveillance and the role of the Financial Intelligence Unit (FIU) in the Netherlands</t>
  </si>
  <si>
    <t>Financial Intelligence Unit; Encircling secrecy; Financial surveillance; Privacy and proportionality</t>
  </si>
  <si>
    <t>PurposeIn 2019, FIU-the Netherlands celebrated its 25th anniversary. This study takes the occasion to reflect on the role of the FIU in financial surveillance and to describe its core practices of collecting, analysing and disseminating financial intelligence. Design/methodology/approachBecause FIU practices are often secret and its transaction data classified as state secrets, the FIU's daily operational activities remain obscure. Drawing on interviews, public reports and an online training course, this study encircles secrecy and offers a fine-grained analysis of the FIU's core activities. FindingsThe article finds that the FIU plays a pivotal role in financial surveillance because it can operate at various intersections. An FIU operates at the intersection of finance and security, in between the public and private sector and at the national and international domain. This pivotal role makes the FIU indispensable in the surveillance of payment systems and spending behavior. Social implicationsThe article poses that the desirability and effectiveness of financial surveillance has to date not received sufficient consideration, while it affects (the privacy of) anyone with a bank account. The article asks: is it ethically justifiable that transaction information is declared suspect, investigated, and shared nationally and internationally, without the individual or entity concerned officially being notified and legally named a suspect? Originality/valueThis case-study is not only relevant for the study of finance/security, AML/CFT and financial surveillance, but also to policy makers and the broader public who merit an understanding of how their financial behaviour is being surveilled.</t>
  </si>
  <si>
    <t>[Lagerwaard, Pieter] Univ Amsterdam, Dept Polit Sci, Amsterdam, Netherlands</t>
  </si>
  <si>
    <t>University of Amsterdam</t>
  </si>
  <si>
    <t>Lagerwaard, P (corresponding author), Univ Amsterdam, Dept Polit Sci, Amsterdam, Netherlands.</t>
  </si>
  <si>
    <t>pieterlagerwaard@gmail.com</t>
  </si>
  <si>
    <t>European Research Council (ERC) under the European Union [ERC-2015-CoG 682317]</t>
  </si>
  <si>
    <t>European Research Council (ERC) under the European Union(European Research Council (ERC))</t>
  </si>
  <si>
    <t>The research for this paper has received funding from the European Research Council (ERC) under the European Union's Horizon 2020 research and innovation program (research project FOLLOW: Following the Money from Transaction to Trial, Grant No. ERC-2015-CoG 682317). I would like to thank the whole FOLLOW team for the inspiring years of working together.</t>
  </si>
  <si>
    <t>DEC 6</t>
  </si>
  <si>
    <t>10.1108/JMLC-09-2022-0134</t>
  </si>
  <si>
    <t>7Y4LM</t>
  </si>
  <si>
    <t>WOS:000893984500001</t>
  </si>
  <si>
    <t>Correa, JC; Dakduk, S; van der Woude, D; Sandoval-Escobar, M; Lopez-Llamas, R</t>
  </si>
  <si>
    <t>Correa, Juan C.; Dakduk, Silvana; van der Woude, David; Sandoval-Escobar, Marithza; Lopez-Llamas, Rafael</t>
  </si>
  <si>
    <t>Low-income consumers' disposition to use automated banking services</t>
  </si>
  <si>
    <t>Automation; banking services; financial inclusion; low-income consumers; technology disposition</t>
  </si>
  <si>
    <t>FINANCIAL INCLUSION; INFORMATION-TECHNOLOGY; EMPIRICAL-EXAMINATION; UNIFIED THEORY; ACCEPTANCE; BEHAVIOR; ADOPTION; PSYCHOLOGY; COVID-19; BOTTOM</t>
  </si>
  <si>
    <t>Automated banking services rely on the so-called fintech technologies. These technologies, however, represent an opportunity to enhance financial inclusion indicators among low-income customers. This paper aims to develop a new conceptual framework to analyse low-income consumers' disposition to use automated banking services. The work consists of an omnibus study conducted in eight major cities of Colombia. A survey aiming to measure the disposition to use automated banking services as a function of technology disposition provided by bank firms was developed and validated with a sample of 483 Colombian low-income residents. An exploratory analysis was applied, estimating items variance and covariance matrices. Sampling adequacy and assumption evaluation were evaluated through the Kaiser-Meyer-Olkin test, Tau-equivalence test, and homogeneous items test. Robust parameters were estimated via Structural Equation Modelling following the standards of reproducible research. Statistical, robust, and significant relationships between technology disposition and use of automated banking services in low-income Colombian consumers were confirmed, suggesting the potential success of deploying these services as a means to boost financial inclusion in this segment. This study provides fresh conceptual insights on low-income customers' disposition to adopt and use ever-changing technologies for the financial and banking sector. It is among the first empirical studies that provide empirical evidence that breaks the stereotype that low-income customers are reluctant to use new technologies in the financial sector.</t>
  </si>
  <si>
    <t>[Correa, Juan C.] Colegio Estudios Super Adm CESA, CESA Business Sch, Casa Echavarria Diagonal 34 5A-23 Tercer Piso, Bogota, Colombia; [Dakduk, Silvana; van der Woude, David; Lopez-Llamas, Rafael] Univ Los Andes, Bogota, Colombia; [Sandoval-Escobar, Marithza] Fdn Univ Konrad Lorenz, Bogota, Colombia</t>
  </si>
  <si>
    <t>Universidad de los Andes (Colombia)</t>
  </si>
  <si>
    <t>Correa, JC (corresponding author), Colegio Estudios Super Adm CESA, CESA Business Sch, Casa Echavarria Diagonal 34 5A-23 Tercer Piso, Bogota, Colombia.</t>
  </si>
  <si>
    <t>juan.correan@cesa.edu.co; sm.dakduk@uniandes.edu.co; davidv@cesa.edu.co; marithza.sandoval@konradlorenz.edu.co; rafael@brandstrat.co</t>
  </si>
  <si>
    <t>van der Woude, David/ABI-2547-2020; Correa, Juan C/I-7201-2019</t>
  </si>
  <si>
    <t>van der Woude, David/0000-0003-1682-9481; Sandoval-Escobar, Marithza/0000-0003-1938-0675; Dakduk, Silvana/0000-0003-4700-5354; Correa, Juan C/0000-0002-0301-5641</t>
  </si>
  <si>
    <t>Colegio de Estudios Superiores de Administracion [11019]</t>
  </si>
  <si>
    <t>Colegio de Estudios Superiores de Administracion</t>
  </si>
  <si>
    <t>This work was supported by the Colegio de Estudios Superiores de Administracion under grant number [11019].</t>
  </si>
  <si>
    <t>10.1080/23311975.2022.2071099</t>
  </si>
  <si>
    <t>1H8DL</t>
  </si>
  <si>
    <t>WOS:000796770000001</t>
  </si>
  <si>
    <t>Zaidan, ES; Ehsan, MM</t>
  </si>
  <si>
    <t>Zaidan, Esmat; Ehsan, Muhammad Mubashir</t>
  </si>
  <si>
    <t>Women's labor and business participation in the GCC: a comparative analysis of Qatar, Bahrain, and the UAE</t>
  </si>
  <si>
    <t>Access to finance; gender inequality; labor market; law; Middle East region; states in transition; wage gap; Gender and Development; Development Studies; Culture and Development</t>
  </si>
  <si>
    <t>ENTREPRENEURS; ACCESS; IMPACT</t>
  </si>
  <si>
    <t>Over the past three decades, women's participation in the labor market has experienced significant shifts, yet structural and institutional challenges persist. This study examines the evolving trends in women's engagement in labor and business activities within the Gulf Cooperation Council (GCC), emphasizing changes in legal, financial, and entrepreneurial frameworks. The study provides data trends to highlight an overview of the Middle East and North Africa (MENA) region, using key financial access indicators as the basis of the analysis. The core objective of the paper is based on the comparative case study for Bahrain, UAE, and Qatar using the Women in Business and Law Index (WBL). Findings indicate that while notable progress has been made in enhancing legal frameworks supporting women's economic participation, challenges remain in translating policy advancements into tangible workplace equity. Despite Qatar's relatively high labor force participation, its lower WBL score highlights an inconsistency that merits further exploration through primary studies. To achieve gender parity and strengthen women's economic inclusion, this study underscores the need for comprehensive legislative reforms, effective enforcement mechanisms, and improved workplace policies. Addressing wage gaps, ensuring equal access to financial resources, and fostering an inclusive economic environment are critical steps toward sustainable progress in the region.</t>
  </si>
  <si>
    <t>[Zaidan, Esmat] Hamad Bin Khalifa Univ, Qatar Fdn, Coll Publ Policy, Doha 31140, Qatar; [Ehsan, Muhammad Mubashir] Qatar Fdn, Educ All EAA, Doha, Qatar</t>
  </si>
  <si>
    <t>Qatar Foundation (QF); Hamad Bin Khalifa University-Qatar; Qatar Foundation (QF)</t>
  </si>
  <si>
    <t>Zaidan, ES (corresponding author), Hamad Bin Khalifa Univ, Qatar Fdn, Coll Publ Policy, Doha 31140, Qatar.</t>
  </si>
  <si>
    <t>ezaidan@hbku.edu.qa</t>
  </si>
  <si>
    <t>Ehsan, Muhammad/I-6908-2013; Zaidan, Esmat/S-1290-2019</t>
  </si>
  <si>
    <t>Zaidan, Esmat/0000-0001-7813-3362</t>
  </si>
  <si>
    <t>NPRP grant, from the Qatar National Research Fund (a member of the Qatar Foundation) [12 C-0804-190009]</t>
  </si>
  <si>
    <t>NPRP grant, from the Qatar National Research Fund (a member of the Qatar Foundation)(Qatar National Research Fund (QNRF)Qatar Foundation (QF))</t>
  </si>
  <si>
    <t>This research was made possible by NPRP grant [#12 C-0804-190009], entitled SDG Education and Global Citizenship in Qatar: Enhancing Qatar's Nested Power in the Global Arena, from the Qatar National Research Fund (a member of the Qatar Foundation).</t>
  </si>
  <si>
    <t>10.1080/23311886.2025.2499900</t>
  </si>
  <si>
    <t>2PE5B</t>
  </si>
  <si>
    <t>WOS:001487998600001</t>
  </si>
  <si>
    <t>Vasylieva, T; Bilan, S; Didenko, I; Seliga, R</t>
  </si>
  <si>
    <t>Vasylieva, Tetyana; Bilan, Svitlana; Didenko, Iryna; Seliga, Robert</t>
  </si>
  <si>
    <t>New Public Management and Relationship with Business: Role of Financial Inclusion</t>
  </si>
  <si>
    <t>Financial Inclusion; New Public Management; Business Environment; Public Administration</t>
  </si>
  <si>
    <t>LITERACY; ENVIRONMENT; QUALITY; IMPACT</t>
  </si>
  <si>
    <t>Financial issues are one of the important factors influencing new public management and relations with stakeholders. The purpose of this study is identifying and formalization of hidden structural links between the level of financial inclusion and new public management in the context of a business environment. This was done through a two-step analysis of 22 World Bank indicators: G 20 Financial Inclusion Indicators (6), Worldwide Governance Indicators (6), Doing Business (10) for 93 countries with different levels of economic development in 2014. In the first phase, using the principal component method 9 most relevant indicators were selected, three in each group that participated in the next phase of the study. Financial Inclusion Indicators remained the following: Account, ATMs per 100,000 adults and POS terminals per 100,000; from the Worldwide Governance Indicators Control of Corruption, Government Effectiveness and Rule of Law; from the Doing Business-Global group: Ease of doing business, Paying taxes and Resolving insolvency. In the second phase of the study, two systems of simultaneous structural equations were built. They help to identify the hidden links between financial inclusion and new public management in the context of a business environment. It has been found that financial inclusion of the population has a stronger statistically significant direct impact on the business environment than on new public management. As the level of financial inclusion of the population per unit of business environment increases, it will improve 7,234 times, while new public management will improve 0,470 times.</t>
  </si>
  <si>
    <t>[Vasylieva, Tetyana; Didenko, Iryna] Sumy State Univ, Sumy, Ukraine; [Bilan, Svitlana] Natl Univ Water &amp; Environm Engn, Rivne, Ukraine; [Seliga, Robert] Univ Social Sci, Dept Digital Econ &amp; Logist, Warsaw, Poland</t>
  </si>
  <si>
    <t>Ministry of Education &amp; Science of Ukraine; Sumy State University; Ministry of Education &amp; Science of Ukraine; National University of Water &amp; Environmental Engineering; University of Social Sciences</t>
  </si>
  <si>
    <t>Vasylieva, T (corresponding author), Sumy State Univ, Sumy, Ukraine.</t>
  </si>
  <si>
    <t>tavasilyeva@fem.sumdu.edu.ua; s.bilan@prz.edu.pl; i.didenko@uabs.sumdu.edu.ua; rseliga@san.edu.pl</t>
  </si>
  <si>
    <t>Seliga, Robert/KBP-8533-2024; Bilan, Yuriy/ABC-6948-2021; Vasylieva, Tetiana/K-5592-2018; Didenko, Iryna/C-3076-2019</t>
  </si>
  <si>
    <t>Ministry of Education and Science of Ukraine [s/r 10117U003930, 0118U003574]</t>
  </si>
  <si>
    <t>Ministry of Education and Science of Ukraine</t>
  </si>
  <si>
    <t>This research was funded by the grant from the Ministry of Education and Science of Ukraine (No. s/r 10117U003930, 0118U003574).</t>
  </si>
  <si>
    <t>WOS:000661127409002</t>
  </si>
  <si>
    <t>Korir, L; Hack-Polay, D</t>
  </si>
  <si>
    <t>Korir, Lilian; Hack-Polay, Dieu</t>
  </si>
  <si>
    <t>Understanding generational differences for financial inclusion in Kenya</t>
  </si>
  <si>
    <t>AFRICAN JOURNAL OF ECONOMIC AND MANAGEMENT STUDIES</t>
  </si>
  <si>
    <t>Financial inclusion; Generational differences; Financial literacy; Financial services; Gender inclusivity; Kenya</t>
  </si>
  <si>
    <t>DETERMINANTS; GROWTH</t>
  </si>
  <si>
    <t>Purpose The purpose of this paper is to estimate the effect the five different generations and the key financial inclusion indicators of gender, education and location (rural-urban) in exacerbating disparities in financial inclusion in Kenya. This paper considers whether the five generational cohort groups in Kenya differ on the financial inclusion determinants and behaviour as predicted by common generational stereotypes.Design/methodology/approach The authors applied a multinomial logistic regression approach to nationally representative household survey data from Kenya to estimate the effect that key financial inclusion indicators have on belonging to one of the five generations: Z, Y, X, baby boomers and traditionalists.Findings The authors found significant links between all tested variables and financial inclusion. The authors found an access gap between Generations X and Y, with the latter being more prone to access and use financial services and products. These differences are compounded by gender and rurality. People in rural locations and women generally were found to have less access to financial services and products, thus causing significant exclusion of a large proportion of the population.Practical implications The research has important implications for governments, financial institutions and educational providers, notably on targeted policies and programmes that strategically aim to eliminate disparities and promote greater financial inclusion, denoting the value of such variables as generational differences and gender inclusivity.Originality/value This paper deepens the understanding of differences that can divide generations on financial inclusion.</t>
  </si>
  <si>
    <t>[Korir, Lilian; Hack-Polay, Dieu] Univ Lincoln, Lincoln, England; [Hack-Polay, Dieu] Crandall Univ, Moncton, NB, Canada</t>
  </si>
  <si>
    <t>University of Lincoln; Crandall University</t>
  </si>
  <si>
    <t>Korir, L (corresponding author), Univ Lincoln, Lincoln, England.</t>
  </si>
  <si>
    <t>lkorir@lincoln.ac.uk</t>
  </si>
  <si>
    <t>Hack-Polay, Dieu/V-2635-2017</t>
  </si>
  <si>
    <t>Hack-Polay, Dieu/0000-0002-1038-5018; Korir, Lilian/0000-0001-5923-319X</t>
  </si>
  <si>
    <t>2040-0705</t>
  </si>
  <si>
    <t>2040-0713</t>
  </si>
  <si>
    <t>AFR J ECON MANAG STU</t>
  </si>
  <si>
    <t>Afr. J. Econ. Manag. Stud.</t>
  </si>
  <si>
    <t>JUL 30</t>
  </si>
  <si>
    <t>10.1108/AJEMS-09-2022-0391</t>
  </si>
  <si>
    <t>ZZ0L7</t>
  </si>
  <si>
    <t>WOS:001103768400001</t>
  </si>
  <si>
    <t>Azmeh, C; Al-Raeei, M</t>
  </si>
  <si>
    <t>Azmeh, Chadi; Al-Raeei, Marwan</t>
  </si>
  <si>
    <t>Exploring the dual relationship between fintech and financial inclusion in developing countries and their impact on economic growth: Supplement or substitute?</t>
  </si>
  <si>
    <t>INNOVATION; PANEL</t>
  </si>
  <si>
    <t>This study rigorously examines the complex interplay between financial technology (Fintech), financial inclusion, and their collective effects on economic growth in developing nations. Employing a robust panel regression methodology enhanced by Panel-Corrected Standard Errors (PCSE) and Feasible Generalized Least Squares (FGLS) techniques, this research analyzes an extensive dataset comprising 108 countries categorized into low, lower-middle, and upper-middle income levels across four pivotal years (2011, 2014, 2017, and 2021). Our analysis focuses on two key dimensions of Fintech-specifically, the adoption of digital payments and e-commerce via mobile technologies-and traditional financial access indicators, including the density of ATMs, bank branches, and active banking accounts. The findings demonstrate a predominantly positive effect of Fintech variables on economic growth, particularly through improved digital payment systems. Conversely, traditional financial inclusion metrics frequently show a negative correlation with growth trajectories. Notably, our research underscores a significant positive interaction between digital payment usage and ATM density, indicating a synergistic relationship that enhances the performance of traditional banking systems. In contrast, a substitutability effect arises, where increased dependence on mobile technologies diminishes the relevance of traditional financial infrastructure, potentially obstructing broader economic growth. These findings carry critical policy implications, advocating for a cohesive strategy that fosters both Fintech innovations and traditional financial sectors to maximize economic growth and inclusivity. A deliberate emphasis on synchronizing innovative financial solutions with the strengthening of conventional banking is essential for promoting sustainable economic development in these resource-constrained regions.</t>
  </si>
  <si>
    <t>[Azmeh, Chadi] Int Univ Sci &amp; Technol, Dept Banking &amp; Financial Sci, Ghabageb, Daraa, Syria; [Azmeh, Chadi] Jinan Univ, Dept Business Adm, Tripoli, Lebanon; [Azmeh, Chadi] Univ Kalamoon, Dept Business Adm, Deir Atiyeh, Syria; [Al-Raeei, Marwan] Damascus Univ, Dept Phys, Damascus, Syria; [Al-Raeei, Marwan] Int Univ Sci &amp; Technol, Dept Univ Requirements, Ghabageb, Daraa, Syria</t>
  </si>
  <si>
    <t>International University Science &amp; Technology Syria; University of Kalamoon; Damascus University; International University Science &amp; Technology Syria</t>
  </si>
  <si>
    <t>Azmeh, C (corresponding author), Int Univ Sci &amp; Technol, Dept Banking &amp; Financial Sci, Ghabageb, Daraa, Syria.;Azmeh, C (corresponding author), Jinan Univ, Dept Business Adm, Tripoli, Lebanon.;Azmeh, C (corresponding author), Univ Kalamoon, Dept Business Adm, Deir Atiyeh, Syria.</t>
  </si>
  <si>
    <t>chadiazmeh@hotmail.com</t>
  </si>
  <si>
    <t>Azmeh, Chadi/L-3231-2019; Al-Raeei, Marwan/W-6391-2019</t>
  </si>
  <si>
    <t>DEC 5</t>
  </si>
  <si>
    <t>e0315174</t>
  </si>
  <si>
    <t>10.1371/journal.pone.0315174</t>
  </si>
  <si>
    <t>Q2K7C</t>
  </si>
  <si>
    <t>WOS:001383041800204</t>
  </si>
  <si>
    <t>Mossie, WA</t>
  </si>
  <si>
    <t>Mossie, Workineh Ayenew</t>
  </si>
  <si>
    <t>Financial inclusion drivers, motivations, and barriers: Evidence from Ethiopia</t>
  </si>
  <si>
    <t>Financial inclusion; Barriers; Motivations; Probit model; Ethiopia</t>
  </si>
  <si>
    <t>Financial inclusion is a cornerstone for economic growth. However, the area is not well explored in the developing world. Therefore, this paper is motivated to examine the drivers, barriers and motivations associated with financial inclusion in Ethiopia. We used formal accounts, formal savings, and formal credits as financial inclusion indicators and applied a probit regression model using data from the World Bank's 2017 Findex database. The result of the study showed that the determinants, barriers, saving and credit motivations are different across individual characteristics. Involuntary exclusion (such as distance to financial services and lack of documentation) and voluntary exclusion (lack of funds, a family member has an account,) are significant barriers to formal account ownership. The study also found that the motives for using financial accounts for saving and lending differ among people with different sociodemographic characteristics. To promote financial inclusion, the author suggests that the concerned body take actions toward social inclusion (the poor, women and the youngst) and improve financial education . To enhance further adoption and expansion of financial technologies such as mobile banking and mobile money, there should be mechanisms to ensure the accessibility and usage of financial services.</t>
  </si>
  <si>
    <t>[Mossie, Workineh Ayenew] Policy Studies Inst, Econ Policy Study Ctr, Addis Ababa, Ethiopia</t>
  </si>
  <si>
    <t>Mossie, WA (corresponding author), Policy Studies Inst, Econ Policy Study Ctr, Addis Ababa, Ethiopia.</t>
  </si>
  <si>
    <t>workinehayenew@gmail.com</t>
  </si>
  <si>
    <t>Mossie, Workineh Ayenew/AFN-6425-2022</t>
  </si>
  <si>
    <t>Mossie, Workineh Ayenew/0000-0001-8692-499X</t>
  </si>
  <si>
    <t>10.1080/23311975.2023.2167291</t>
  </si>
  <si>
    <t>7X3UN</t>
  </si>
  <si>
    <t>WOS:000914126800001</t>
  </si>
  <si>
    <t>Kumar, P; Reepu; Kaur, R</t>
  </si>
  <si>
    <t>Senjyu, T; So-In, C; Joshi, A</t>
  </si>
  <si>
    <t>Kumar, Pawan; Reepu; Kaur, Rajinder</t>
  </si>
  <si>
    <t>Economic and Urban Dynamics: Investigating Socioeconomic Status and Urban Density as Moderators of Mobile Wallet Adoption in Smart Cities</t>
  </si>
  <si>
    <t>SMART TRENDS IN COMPUTING AND COMMUNICATIONS, VOL 4, SMARTCOM 2024</t>
  </si>
  <si>
    <t>8th Smart Trends in Computing and Communications (SmartCom)</t>
  </si>
  <si>
    <t>JAN 12-13, 2024</t>
  </si>
  <si>
    <t>Pune, INDIA</t>
  </si>
  <si>
    <t>Mobile wallet; Smart cities; Socioeconomic; Urban density</t>
  </si>
  <si>
    <t>CITY; KNOWLEDGE</t>
  </si>
  <si>
    <t>This research paper examines the complex correlation between socioeconomic factors, urban density, and the acceptance of mobile wallet technology in smart cities. The study investigates how socioeconomic status and urban density influence the adoption of mobile wallets. Smart cities have experienced a significant increase in the adoption of mobile payment solutions such as Apple Pay and Google Pay, noted for their technological innovation and ability to enhance living standards. These digital payment platforms provide ease, security, and efficiency, revolutionising how individuals engage in financial transactions and navigate urban environments. The study examines the many aspects that impact this phenomenon, focusing on the significance of comprehending how socioeconomic status and urban density influence the acceptance of mobile wallets. The study utilises a meticulous research technique, which involves evaluating the reliability and validity of constructs, analysing heterotrait-monotrait (HTMT) ratios, conducting tests for discriminant validity, and doing variance inflation factor (VIF) analysis. These measures are taken to ensure the strength and reliability of the report's conclusions. The research's importance is further supported by model fit statistics and hypothesis testing conducted through bootstrapping. The results emphasise that the inclusion of mobile wallet functions, the legal framework, and the development of smart city infrastructure have a substantial influence on the acceptance of mobile wallets. However, the impact of urban density on mobile wallet adoption is more intricate and multifaceted. This study provides significant insights into the dynamic field of technology uptake in urban regions, with implications for politicians, entrepreneurs, and urban planners seeking to promote financial inclusion and technological integration in smart cities.</t>
  </si>
  <si>
    <t>[Kumar, Pawan; Reepu; Kaur, Rajinder] Chandigarh Univ, Mohali 140413, India</t>
  </si>
  <si>
    <t>Chandigarh University</t>
  </si>
  <si>
    <t>Kumar, P (corresponding author), Chandigarh Univ, Mohali 140413, India.</t>
  </si>
  <si>
    <t>pawan2006@gmail.com</t>
  </si>
  <si>
    <t>; Kumar, Pawan/HTQ-0644-2023</t>
  </si>
  <si>
    <t>Kaur, Rajinder/0000-0002-7049-0434; Kumar, Pawan/0000-0003-4892-6374; Not Applicable, Reepu/0000-0002-5607-9825</t>
  </si>
  <si>
    <t>978-981-97-1328-8; 978-981-97-1329-5</t>
  </si>
  <si>
    <t>10.1007/978-981-97-1329-5_33</t>
  </si>
  <si>
    <t>Computer Science, Artificial Intelligence; Computer Science, Cybernetics; Computer Science, Interdisciplinary Applications</t>
  </si>
  <si>
    <t>BX4LT</t>
  </si>
  <si>
    <t>WOS:001291179100033</t>
  </si>
  <si>
    <t>Elmaasrawy, HE; Tawfik, OI; Almashikhi, MAA</t>
  </si>
  <si>
    <t>Elmaasrawy, Hamada Elsaid; Tawfik, Omar Ikbal; Almashikhi, Mohammed Ali Ahmed</t>
  </si>
  <si>
    <t>The impact of Disclosing Digital Financial inclusion indicators through mobile banking on deposits, loans and sustainable growth rate</t>
  </si>
  <si>
    <t>Digital financial inclusion; total loans; total deposits; sustainable growth rate; mobile banking; financial services; Finance; Economics; Environmental Economics</t>
  </si>
  <si>
    <t>LITERACY; BARON</t>
  </si>
  <si>
    <t>Research on financial inclusion has recently spread to enrich the body of knowledge in this important field. The study examines the impact of the disclosure of digital financial inclusion through mobile phones on the sustainable growth rate in banks. In addition, the impact of disclosure of digital financial inclusion through mobile phones on both the volume of deposits and the volume of loans in banks in the Omani stock market during the comprehensive period from 2017 to 2023. The hypotheses were tested using the partial least square (PLS) method. The results showed a statistically significant negative association between disclosure of digital financial inclusion through mobile banking services and the total volume of deposits. In addition, there is a significant positive relationship between disclosure of digital financial inclusion through mobile banking services and the total volume of loans and the sustainable growth rate.</t>
  </si>
  <si>
    <t>[Elmaasrawy, Hamada Elsaid] Tanta Univ, Fac Commerce, Accounting Dept, Tanta, Egypt; [Tawfik, Omar Ikbal] Dhofar Univ, Dept Accounting, Salalah 211, Oman; Royal Court Affairs, Salalah, Oman</t>
  </si>
  <si>
    <t>Egyptian Knowledge Bank (EKB); Tanta University; Dhofar University</t>
  </si>
  <si>
    <t>Tawfik, OI (corresponding author), Dhofar Univ, Dept Accounting, Salalah 211, Oman.</t>
  </si>
  <si>
    <t>otawfik@du.edu.om</t>
  </si>
  <si>
    <t>Elmaasrawy, Hamada/CAI-6131-2022; Tawfik, Omar/ABI-3582-2020</t>
  </si>
  <si>
    <t>Research Council (TRC) in Sultanate of Oman</t>
  </si>
  <si>
    <t>Research Council (TRC) in Sultanate of Oman(Ministry of Higher Education, Research &amp; Innovation, OmanThe Research Council Oman)</t>
  </si>
  <si>
    <t>The Research Council (TRC) in Sultanate of Oman is the sponsors of this article.</t>
  </si>
  <si>
    <t>10.1080/23322039.2025.2457486</t>
  </si>
  <si>
    <t>W2M1L</t>
  </si>
  <si>
    <t>WOS:001416972100001</t>
  </si>
  <si>
    <t>Kumar, S; Pradhan, KC</t>
  </si>
  <si>
    <t>Kumar, Sumit; Pradhan, Kalandi Charan</t>
  </si>
  <si>
    <t>Socioeconomic and demographic determinants of financial inclusion in South Asia: Integrated policy for targeted groups of population</t>
  </si>
  <si>
    <t>Financial inclusion; South Asian countries; Socioeconomic characteristics; The global findex; Probit model</t>
  </si>
  <si>
    <t>ECONOMIC-GROWTH; INEQUALITY; LINKAGE</t>
  </si>
  <si>
    <t>This paper aims to analyze the individual's socioeconomic and demographic determinants of financial inclusion and its barriers among for South Asian countries in the lens of existing financial inclusion policy, using World Bank Global Findex database for the period 2011, 2014, 2017, and 2021. We use the Probit regression model to explore the main objective of this study. In addition, we also analyze the trend, pattern, and barriers of financial inclusion for the period 2011- 2021 to identify differences among south Asian countries. Our results reveal that Sri Lanka is the best performer in the inclusivity of financial products as well as removing barriers to financial inclusion in all four periods. While Pakistan and Afghanistan are the least financially included countries, also they failed to remove barriers to financial inclusion. Moreover, our empirical results suggest that individuals who are male, older, wealthier, and more educated are more likely to access financial services, with income and education exerting a higher influence. Further, age shows a non-linear (inverted U-shaped) relationship with financial inclusion indicators. Additionally, we found that individuals having a formal account are the most important indicators of financial inclusion. And the reasons for financial exclusion (i.e., not having an account) are mainly voluntary among South Asian individuals. In fact, it is found that policies like Pradhan Mantri Jan Dhan Yojana for India and National Financial Inclusion Strategy across all South Asian countries play a significant role in accelerating financial inclusion and helping in removing its barriers with different magnitudes. Therefore, our finding stresses the importance of heterogeneous integrated policy measures for the targeted groups of the population, particularly the most vulnerable group among South Asian countries. (c) 2024 The Society for Policy Modeling. Published by Elsevier Inc. All rights reserved.</t>
  </si>
  <si>
    <t>[Kumar, Sumit; Pradhan, Kalandi Charan] Indian Inst Technol, Sch Humanities &amp; Social Sci, Indore, India</t>
  </si>
  <si>
    <t>Kumar, S (corresponding author), Indian Inst Technol, Sch Humanities &amp; Social Sci, Indore, India.</t>
  </si>
  <si>
    <t>sumitkumargupta306@gmail.com</t>
  </si>
  <si>
    <t>Kumar, Sumit/0009-0009-8244-3940</t>
  </si>
  <si>
    <t>10.1016/j.jpolmod.2024.03.002</t>
  </si>
  <si>
    <t>UI1Q2</t>
  </si>
  <si>
    <t>WOS:001247340000001</t>
  </si>
  <si>
    <t>Joia, LA; dos Santos, RP</t>
  </si>
  <si>
    <t>Janssen, M; Axelsson, K; Glassey, O; Klievink, B; Krimmer, R; Lindgren, I; Parycek, P; Scholl, HJ; Trutnev, D</t>
  </si>
  <si>
    <t>Joia, Luiz Antonio; dos Santos, Ricardo Paschoeto</t>
  </si>
  <si>
    <t>ICT and Financial Inclusion in the Brazilian Amazon</t>
  </si>
  <si>
    <t>ELECTRONIC GOVERNMENT (EGOV 2017)</t>
  </si>
  <si>
    <t>16th IFIP WG 8.5 International Conference on Electronic Government (EGOV)</t>
  </si>
  <si>
    <t>SEP 04-07, 2017</t>
  </si>
  <si>
    <t>St Petersburg, RUSSIA</t>
  </si>
  <si>
    <t>IFIP WG 8 5</t>
  </si>
  <si>
    <t>Financial inclusion; Development; ICT for development; Agencia Barco; Marajo island</t>
  </si>
  <si>
    <t>The challenge of providing the infrastructure of public services in the less developed regions of Brazil has mobilized the Brazilian government in the quest for new and creative approaches that can reduce the major inter-regional disparities in the country. One of the initiatives implemented include access to the financial system, since, by way of example, such access is almost non-existent on Marajo Island in the state of Para in the Brazilian Amazon. To change this reality, an innovative e-government project is the itinerant bank branch installed in a boat, named Agencia Barco, to serve the riverine populations of regions with low population density, transportation difficulties and limitations in access to information and communication technology (ICT). Thus, the main objective of this research is to identify how the financial inclusion indicators have been influenced by the work of Agencia Barco on Marajo Island from the ICT standpoint. The results obtained led to the conclusion that Agencia Barco has been able to attend the needs of access to financial products and services demanded by the population of Marajo Island, as well as identify opportunities for broadening financial education and inclusion through this e-government venture.</t>
  </si>
  <si>
    <t>[Joia, Luiz Antonio; dos Santos, Ricardo Paschoeto] Getulio Vargas Fdn, Rua Jornalista Orlando Dantas 30,Room 205, BR-22231010 Rio De Janeiro, Brazil</t>
  </si>
  <si>
    <t>Getulio Vargas Foundation</t>
  </si>
  <si>
    <t>Joia, LA (corresponding author), Getulio Vargas Fdn, Rua Jornalista Orlando Dantas 30,Room 205, BR-22231010 Rio De Janeiro, Brazil.</t>
  </si>
  <si>
    <t>luiz.joia@fgv.br; ricardopas@bol.com.br</t>
  </si>
  <si>
    <t>978-3-319-64677-0; 978-3-319-64676-3</t>
  </si>
  <si>
    <t>10.1007/978-3-319-64677-0_17</t>
  </si>
  <si>
    <t>Computer Science, Information Systems; Computer Science, Interdisciplinary Applications; Computer Science, Theory &amp; Methods; Information Science &amp; Library Science; Public Administration</t>
  </si>
  <si>
    <t>Computer Science; Information Science &amp; Library Science; Public Administration</t>
  </si>
  <si>
    <t>BS8AR</t>
  </si>
  <si>
    <t>WOS:000769669600017</t>
  </si>
  <si>
    <t>Ali, J; Khan, MA; Khan, US; Wadood, M</t>
  </si>
  <si>
    <t>Ali, Jamshed; Khan, Muhammad Arshad; Khan, Usman Shaukat; Wadood, Misbah</t>
  </si>
  <si>
    <t>Issues and Misconceptions of Financial Inclusion Indices: Evidences from Selected Asian Economies</t>
  </si>
  <si>
    <t>Financial Inclusion; Indices; Dynamic Factor Model; Misconception; Fluctuation</t>
  </si>
  <si>
    <t>STABILITY; POVERTY; GROWTH; IMPACT</t>
  </si>
  <si>
    <t>This study aims to revisit the issues and misconceptions about financial inclusion (FI) indices. For indices construction, this study uses two approaches: one approach following the methodology of Sarma (2008) which is based on UNDP methodology, while the other is the Dynamic Factor Model (DFM)-based index of Stock and Watson (2002) and Rehman et al. (2021). The data of 18 economies of Asia from 1997 till 2017 is used for indices construction and analysis. The authors constructed macro and micro-level financial inclusion indices based on the different types of financial inclusion indicators. Second, the authors have critically evaluated two different approaches, and the results show that Sarma (2008)-based index show financial inclusion's level, while DFM-based index reveal fluctuation in the current year's financial inclusion level due to the prior variations. For measuring the level of financial inclusion, the Sarma (2008) index is effective, while for forecasting the level of financial inclusion, the DFM approach is more appropriate. Furthermore, the micro and macro aspects of financial inclusion should be reflected in separate indices for better understanding and in-depth insights.</t>
  </si>
  <si>
    <t>[Ali, Jamshed] COMSATS Univ, Dept Management Sci, Pk Rd, Islamabad 45550, Pakistan; [Khan, Muhammad Arshad] COMSATS Univ, Dept Econ, Islamabad, Pakistan; [Khan, Muhammad Arshad] Pakistan Inst Dev Econ, Islamabad, Pakistan; [Khan, Usman Shaukat] COMSATS Univ, Dept Management Sci, Islamabad, Pakistan; [Wadood, Misbah] Int Islam Univ Islamabad, Dept Business Adm, Fac Management Sci, Islamabad, Pakistan</t>
  </si>
  <si>
    <t>COMSATS University Islamabad (CUI); COMSATS University Islamabad (CUI); Pakistan Institute of Development Economics; COMSATS University Islamabad (CUI); International Islamic University, Pakistan; Quaid I Azam University</t>
  </si>
  <si>
    <t>Ali, J (corresponding author), COMSATS Univ, Dept Management Sci, Pk Rd, Islamabad 45550, Pakistan.</t>
  </si>
  <si>
    <t>jamshed_ali1991@yahoo.com; arshad@pide.org.pk; usmanshaukatkhan@gmail.com; misbah.wadood@iiu.edu.pk</t>
  </si>
  <si>
    <t>Ali, Jahed/ABI-7801-2020; khan, Usman Shaukat/ACH-2125-2022</t>
  </si>
  <si>
    <t>Ali, Jahed/0000-0002-5656-0256; khan, Usman Shaukat/0000-0002-4397-8725</t>
  </si>
  <si>
    <t>10.13106/jafeb.2021.vol8.no12.0363</t>
  </si>
  <si>
    <t>ZA5LD</t>
  </si>
  <si>
    <t>WOS:000756204000036</t>
  </si>
  <si>
    <t>Jain, P; Dwivedi, S; Alharbi, AR; Sureshbabu, R; Singh, DP; Jamal, SS; Krah, D</t>
  </si>
  <si>
    <t>Jain, Paras; Dwivedi, Sunita; Alharbi, Adel R.; Sureshbabu, R.; Singh, Devesh Pratap; Jamal, Sajjad Shaukat; Krah, Daniel</t>
  </si>
  <si>
    <t>Blockchain-Enabled Smart Surveillance System with Artificial Intelligence</t>
  </si>
  <si>
    <t>WIRELESS COMMUNICATIONS &amp; MOBILE COMPUTING</t>
  </si>
  <si>
    <t>Through the use of blockchain technology, sensitive information may be securely communicated without the need to replicate it, which can assist in decreasing medical record mistakes and saving time by eliminating the need to duplicate information. Furthermore, the information is timestamped, which further enhances the security of the data even further. The deployment of blockchain technology in a range of healthcare situations may enhance the security and efficiency of payment transactions. In this way, only those who have been allowed access to patient medical information can see or modify such information. It is proposed in this study that blockchain technology be used to provide an accessible data storage and retrieval mechanism for patients and healthcare professionals in a healthcare system that is both safe and efficient. As of 1970, a variety of traditional knowledge-based approaches such as Personal Identification Recognition Number (PIRN), passwords, and other similar methods have been made available; however, many token-based approaches such as drivers' licenses, passports, credit cards, bank accounts, ID cards, and keys have also been made available; however, they have all failed to establish a secure and reliable transaction channel. Because they are easily misplaced, stolen, or lost, they are usually unable to protect secrecy or authenticate the identity of a legitimate claimant. Aside from that, personally identifiable information such as passwords and PINs is very prone to fraud since they are easily forgotten or guessed by an imposter. Biometric identification and authentication (commonly known as biometrics) are attracting a great deal of attention these days, particularly in the realm of information security systems, due to its inherent potential and advantages over other conventional ways for identifying and authenticating. As a result of the device's unique biological characteristics, which include features such as fingerprints, facepalms, hand geometry (including the iris), and the device's iris, it can be used in a variety of contexts, such as consumer banking kiosks, airport security systems, international ports of entry, universities, office buildings, and forensics, to name a few. It is also used in several other contexts, including forensics and law enforcement. Consequently, every layer of the system-sensed data, computation, and processing of data, as well as the storage and administration of data-is susceptible to a broad variety of threats and weaknesses (cloud). There does not seem to be any suitable methods for dealing with the large volumes of data created by the fog computing architecture when normal data storage and security technologies are used. Because of this, the major objective of this research is to design security countermeasures against medical data mining vulnerabilities that originate from the sensing layer and data storage in the Internet of Things' cloud database, both of which are discussed in more depth further down. A key allows for the creation of a distributed ledger database and provides an immutable security solution, transaction transparency, and the prohibition of tampering with patient information. This mechanism is particularly useful in healthcare settings, where patient information must be kept confidential. When used in a hospital environment, this method is extremely beneficial. As a result of incorporating blockchain technology into the fog paradigm, it is possible to alleviate some of the current concerns associated with latency, centralization, and scalability.</t>
  </si>
  <si>
    <t>[Jain, Paras] VIT Bhopal Univ, Sch Comp Sci &amp; Engn, Sehore 466114, Madhya Pradesh, India; [Dwivedi, Sunita] Makhanlal Chaturvedi Natl Univ Journalism &amp; Commu, Dept Comp Sci &amp; Applicat, Bhopal 462011, Madhya Pradesh, India; [Alharbi, Adel R.] Univ Tabuk, Coll Comp &amp; Informat Technol, Tabuk 71491, Saudi Arabia; [Sureshbabu, R.] Kamaraj Coll Engn &amp; Technol, Dept ECE, Virudunagar, India; [Singh, Devesh Pratap] Graph Era Deemed Univ, Dept Comp Sci &amp; Engn, Dehra Dun 248002, Uttarakhand, India; [Jamal, Sajjad Shaukat] King Khalid Univ, Dept Math, Coll Sci, Abha, Saudi Arabia; [Krah, Daniel] Tamale Tech Univ, Tamale, Ghana</t>
  </si>
  <si>
    <t>VIT Bhopal University; University of Tabuk; Kamaraj College of Engineering &amp; Technology; Graphic Era University; King Khalid University</t>
  </si>
  <si>
    <t>Krah, D (corresponding author), Tamale Tech Univ, Tamale, Ghana.</t>
  </si>
  <si>
    <t>paras.jain@vitbhopal.ac.in; ddwivedi2001@gmail.com; aalharbi@ut.edu.sa; hodece@kamarajengg.edu.in; devesh.geu@gmail.com; shussain@kku.edu.sa; dkrah@tatu.edu.gh</t>
  </si>
  <si>
    <t>Singh, Devesh/KIC-3651-2024; Alharbi, Adel/GZN-2109-2022; Jamal, Sajjad/AHE-6498-2022; Jain, Paras/Y-5329-2018</t>
  </si>
  <si>
    <t>Jain, Paras/0000-0003-2990-3556</t>
  </si>
  <si>
    <t>Deanship of Scientific Research at King Khalid University [R. G. P. 1/85/42]</t>
  </si>
  <si>
    <t>Deanship of Scientific Research at King Khalid University(King Khalid UniversityKing Saud University)</t>
  </si>
  <si>
    <t>The authors extend their appreciation to the Deanship of Scientific Research at King Khalid University for funding this work through the research group program under grant number R. G. P. 1/85/42.</t>
  </si>
  <si>
    <t>WILEY-HINDAWI</t>
  </si>
  <si>
    <t>ADAM HOUSE, 3RD FL, 1 FITZROY SQ, LONDON, WIT 5HE, ENGLAND</t>
  </si>
  <si>
    <t>1530-8669</t>
  </si>
  <si>
    <t>1530-8677</t>
  </si>
  <si>
    <t>WIREL COMMUN MOB COM</t>
  </si>
  <si>
    <t>Wirel. Commun. Mob. Comput.</t>
  </si>
  <si>
    <t>MAY 6</t>
  </si>
  <si>
    <t>10.1155/2022/2792639</t>
  </si>
  <si>
    <t>1I9GL</t>
  </si>
  <si>
    <t>WOS:000797534900006</t>
  </si>
  <si>
    <t>Zeng, YH; Zhou, X</t>
  </si>
  <si>
    <t>Zeng, Yuhan; Zhou, Xia</t>
  </si>
  <si>
    <t>The dynamic relationship among digital inclusive finance, integration of industries in rural areas, and rural revitalization</t>
  </si>
  <si>
    <t>Digital inclusive finance; Integration of three industries in rural areas; Rural revitalization</t>
  </si>
  <si>
    <t>The implementation of China's Rural Revitalization Strategy has been substantially supported by two key factors: the development of digital financial inclusion and the convergence of three industries in rural regions. Utilizing panel data spanning from 2011 to 2023, this study investigates how these two factors collectively influence rural revitalization, with particular attention to their synergistic relationship and conditional effects. Empirical results demonstrate that digital financial inclusion exerts a statistically significant positive influence on rural development, while industrial integration similarly contributes to revitalization efforts. Notably, the convergence of rural industries serves as a crucial moderator that enhances digital finance's developmental impact, though this moderating influence varies across regions - being particularly pronounced in areas with advanced agricultural mechanization. To address potential endogeneity concerns, the analysis incorporates lagged digital financial inclusion indicators as instrumental variables, thereby robustly validating its beneficial role in rural transformation.</t>
  </si>
  <si>
    <t>[Zeng, Yuhan; Zhou, Xia] Shandong Agr Univ, Sch Econ &amp; Management, Tai An 271000, Shandong, Peoples R China</t>
  </si>
  <si>
    <t>Shandong Agricultural University</t>
  </si>
  <si>
    <t>Zeng, YH (corresponding author), Shandong Agr Univ, Sch Econ &amp; Management, Tai An 271000, Shandong, Peoples R China.</t>
  </si>
  <si>
    <t>18306442239@163.com; sofia612@163.com</t>
  </si>
  <si>
    <t>10.1016/j.frl.2025.107848</t>
  </si>
  <si>
    <t>4RL3Y</t>
  </si>
  <si>
    <t>WOS:001524902200010</t>
  </si>
  <si>
    <t>Gheorghe, A; Zaman, RU; Scott, M; Witter, S</t>
  </si>
  <si>
    <t>Gheorghe, Adrian; Zaman, Rashid Uz; Scott, Molly; Witter, Sophie</t>
  </si>
  <si>
    <t>Delivering reproductive health services through non-state providers in Pakistan: understanding the value for money of different approaches</t>
  </si>
  <si>
    <t>GLOBAL HEALTH RESEARCH AND POLICY</t>
  </si>
  <si>
    <t>Reproductive health; Social franchising (SF); Social marketing (SM); Value for money; Pakistan; Non-state providers</t>
  </si>
  <si>
    <t>BackgroundDelivering Reproductive Health Results(DRHR) programme used social franchising (SF) and social marketing (SM) approaches to increase the supply of high quality family planning services in underserved areas of Pakistan. We assessed the costs, cost-efficiency and cost-effectiveness of DRHR to understand the value for money of these approaches.MethodsFinancial and economic programme costs were calculated. Costs to individual users were captured in a pre-post survey. The cost per couple years of protection (CYP) and cost per new user were estimated as indicators of cost efficiency. For the cost-effectiveness analysis we estimated the cost per clinical outcome averted and the cost per disability-adjusted life year (DALY) averted.ResultsApproximately 20 million were spent through the DRHR programme between July 2012 and September 2015 on commodities and services representing nearly four million CYPs. Based on programme data, the cumulative cost-efficiency of the entire DRHR programme was 4.8 pound per CYP. DRHR activities would avert one DALY at the cost of pound 20. Financial access indicators generally improved in programme areas, but the magnitude of progress varies across indicators.Conclusions p id=Par The SF and SM approaches adopted in DRHR appear to be cost effective relative to comparable reproductive health programmes. This paper adds to the limited evidence on the cost-effectiveness of different models of reproductive health care provision in low- and middle-income settings. Further studies are needed to nuance the understanding of the determinants of impact and value for money of SF and SM.</t>
  </si>
  <si>
    <t>[Gheorghe, Adrian; Zaman, Rashid Uz; Scott, Molly] Oxford Policy Management, Level 3 Clarendon House,52 Cornmarket St, Oxford OX1 3HJ, England; [Witter, Sophie] Queen Margaret Univ, Inst Global Hlth &amp; Dev, Edinburgh, Midlothian, Scotland</t>
  </si>
  <si>
    <t>Queen Margaret University</t>
  </si>
  <si>
    <t>Gheorghe, A (corresponding author), Oxford Policy Management, Level 3 Clarendon House,52 Cornmarket St, Oxford OX1 3HJ, England.</t>
  </si>
  <si>
    <t>adrian.e.gheorghe@gmail.com</t>
  </si>
  <si>
    <t>Zaman, Rashid/AAM-5209-2020</t>
  </si>
  <si>
    <t>Zaman, Rashid/0000-0002-8556-4993</t>
  </si>
  <si>
    <t>UKaid from the UK government</t>
  </si>
  <si>
    <t>This study was funded by UKaid from the UK government. However, the views expressed do not necessarily reflect the UK government's official policies.</t>
  </si>
  <si>
    <t>2397-0642</t>
  </si>
  <si>
    <t>GLOB HEALTH RES POL</t>
  </si>
  <si>
    <t>Glob. Health Res. Policy</t>
  </si>
  <si>
    <t>DEC 4</t>
  </si>
  <si>
    <t>10.1186/s41256-018-0089-4</t>
  </si>
  <si>
    <t>VJ0TY</t>
  </si>
  <si>
    <t>WOS:000529112300001</t>
  </si>
  <si>
    <t>Mundi, HS</t>
  </si>
  <si>
    <t>Mundi, Hardeep Singh</t>
  </si>
  <si>
    <t>Complexity of gender to understand financial behavior. Financial behavior of transgender and cisgender individuals: evidence from India: a qualitative inquiry</t>
  </si>
  <si>
    <t>Financial behavior; Financial needs; Transgender individuals; Qualitative research</t>
  </si>
  <si>
    <t>LIFE SATISFACTION; SAVING BEHAVIOR; NEEDS; PEOPLE; GAY; EXPERIENCES; HOUSEHOLDS; INCLUSION; SURVIVORS; PARTNER</t>
  </si>
  <si>
    <t>PurposeThis study aims to understand the unique financial behavior of transgender individuals compared to cisgender individuals. Furthermore, this study aims to demonstrate that understanding the financial behavior of transgender people will help financial institutions, regulators and policymakers to include them in the formal financial sector. Design/methodology/approachThe qualitative approach to research aims at understanding a given phenomenon among the participants. Semi-structured interviews are conducted with 28 transgender and cisgender individuals each. Thematic analysis is used to understand the participants' financial behavior and propose future research directions and implications to regulators and practitioners. FindingsThe transgender participants (TP) earn no stable income compared to cisgender participants. Due to a lack of regular income, TP faces hardships covering their spending. No fixed spending or financial planning pattern is found among the TP, and they are found to be highly uncertain of their income and spending. The TP is found wholly excluded from the financial system, and not even a single participant with an active bank account or insurance is found. TP has not visited a bank in their lifetime, and financial literacy is found completely missing among them. No TP has ever taken a bank loan or credit from a financial institution. A zeal among TP to be financially included is found, and such participation will undoubtedly help them live a financially independent life. Cisgender people (CP) are found to be earning a stable income, have full-time jobs, save money, transact through a formal financial system and are financially more independent than TPs. Gender is shown to play a role in the financial behavior of the participants. Research limitations/implicationsThis study gathers information from transgender and CP and does not focus on the financial services providers; the decision not to interview the providers of financial services is a potential limitation of the present study. Another limitation is the small number of respondents who participated in the semi-structured interviews. Due to these limitations, the generalizability of the findings of this study regarding financial behavior will be restricted and require further evidence from future research. Practical implicationsThe present study has several practical implications. First, the requirement of understanding the financial behavior of transgender people from their perspective is missing in the literature, and studies focusing on their behavior are required to help them be financially independent. The present study has implications for regulators, policymakers and practitioners to help transgender people improve their financial conditions. Originality/valueThe existing literature does not include studies focusing on understanding the financial behavior of transgender people or drawing a comparison of the financial behavior of transgender or CP. The present study explores the financial behavior of transgender people and highlights the unique financial behavior of transgender individuals.</t>
  </si>
  <si>
    <t>[Mundi, Hardeep Singh] Inst Management Technol Ghaziabad, Dept Finance, Ghaziabad, India</t>
  </si>
  <si>
    <t>Institute of Management Technology, Ghaziabad</t>
  </si>
  <si>
    <t>Mundi, HS (corresponding author), Inst Management Technol Ghaziabad, Dept Finance, Ghaziabad, India.</t>
  </si>
  <si>
    <t>hardeep.sm@hotmail.com</t>
  </si>
  <si>
    <t>Singh, Hardeep/AAT-6606-2020</t>
  </si>
  <si>
    <t>10.1108/QRFM-02-2022-0027</t>
  </si>
  <si>
    <t>FEB 2023</t>
  </si>
  <si>
    <t>EZ8G3</t>
  </si>
  <si>
    <t>WOS:000939705800001</t>
  </si>
  <si>
    <t>Akanfe, O; Valecha, R; Rao, HR</t>
  </si>
  <si>
    <t>Akanfe, Oluwafemi; Valecha, Rohit; Rao, H. Raghav</t>
  </si>
  <si>
    <t>Design of an Inclusive Financial Privacy Index (INF-PIE): A Financial Privacy and Digital Financial Inclusion Perspective</t>
  </si>
  <si>
    <t>ACM TRANSACTIONS ON MANAGEMENT INFORMATION SYSTEMS</t>
  </si>
  <si>
    <t>Digital financial inclusion; inclusive privacy index; compliance score; GDPR; mobile wallet and remittance; digital payments systems</t>
  </si>
  <si>
    <t>INFORMATION; ONLINE</t>
  </si>
  <si>
    <t>Financial privacy is an important part of an individual's privacy, but efforts to enhance financial privacy have often not been given enough prominence by some countries when advancing financial inclusion. This impedes under-served communities from utilizing financial services. This article adopts a design science approach to create an INclusive Financial Privacy IndEx (INF-PIE) from the two perspectives of financial privacy and digital financial inclusion to help ensure financial services for a wide range of populations. This article first examines the privacy policies of Mobile Wallet and Remittance (MWR) apps (a digital financial solution), uses an analytics approach for extracting semi-structured information components; and based on text categorization and topic modeling, creates privacy policy compliance scores. In particular, it analyses the privacy policies using natural language processing techniques such as Term Frequency-Inverse Document Frequency (tf-idf) and Latent Dirichlet Allocation (LDA). This article then develops a digital financial inclusion score through a multivariate analysis of indexes extracted from the global findex dataset using Principal Component Analysis (PCA). Finally, the INF-PIE framework is established to analyze various countries and assess their financial privacy and digital financial inclusion practices. This framework can show how countries' relative data privacy compliance and digital financial inclusion practices underscore their inclusive financial privacy.</t>
  </si>
  <si>
    <t>[Akanfe, Oluwafemi; Valecha, Rohit] Univ Texas San Antonio, Dept Informat Syst &amp; Cybersecur, 1 UTSA Circle, San Antonio, TX 78249 USA; [Rao, H. Raghav] Univ Texas San Antonio, Dept Informat Syst &amp; Cybersecur, Distinguished Chair Infrastruct Assurance &amp; Secur, AT&amp;T, 1 UTSA Circle, San Antonio, TX 78249 USA</t>
  </si>
  <si>
    <t>University of Texas System; University of Texas at San Antonio; University of Texas System; University of Texas at San Antonio; AT&amp;T</t>
  </si>
  <si>
    <t>Akanfe, O (corresponding author), Univ Texas San Antonio, Dept Informat Syst &amp; Cybersecur, 1 UTSA Circle, San Antonio, TX 78249 USA.</t>
  </si>
  <si>
    <t>Oluwafemi.akanfe@utsa.edu; rohit.valecha@utsa.edu; hr.rao@utsa.edu</t>
  </si>
  <si>
    <t>Indo-US Science and Technology Forum [IUSSTF/AUG/WS/162/2019]</t>
  </si>
  <si>
    <t>Indo-US Science and Technology Forum</t>
  </si>
  <si>
    <t>This work is supported in part by the Indo-US Science and Technology Forum under grant IUSSTF/AUG/WS/162/2019.</t>
  </si>
  <si>
    <t>1601 Broadway, 10th Floor, NEW YORK, NY USA</t>
  </si>
  <si>
    <t>2158-656X</t>
  </si>
  <si>
    <t>2158-6578</t>
  </si>
  <si>
    <t>ACM TRANS MANAG INF</t>
  </si>
  <si>
    <t>ACM Trans. Manag. Inf. Syst.</t>
  </si>
  <si>
    <t>10.1145/3403949</t>
  </si>
  <si>
    <t>RA0HW</t>
  </si>
  <si>
    <t>WOS:000631101400007</t>
  </si>
  <si>
    <t>Shaikh, IM; Amin, H</t>
  </si>
  <si>
    <t>Shaikh, Imran Mehboob; Amin, Hanudin</t>
  </si>
  <si>
    <t>Consumers' innovativeness and acceptance towards use of financial technology in Pakistan: extension of the UTAUT model</t>
  </si>
  <si>
    <t>INFORMATION DISCOVERY AND DELIVERY</t>
  </si>
  <si>
    <t>Consumer behaviour; Financial systems; Consumer technologies; Business systems</t>
  </si>
  <si>
    <t>INFORMATION-TECHNOLOGY; PREDICTING INTENTION; PLANNED BEHAVIOR; UNIFIED THEORY; ADOPTION; ONLINE; BANKING; CHOOSE</t>
  </si>
  <si>
    <t>PurposeThis paper aims to examine the factors that influence bank customers' acceptance towards FinTech using the unified theory of acceptance and use of technology (UTAUT) model. Design/methodology/approachA survey was carried out, and a judgemental sampling method was used. Moreover, over 200 responses were gathered from individuals that were bank account holders. Besides, the literature on the factors that influence an individual acceptance towards FinTech using the UTAUT model was also reviewed as an effort to contribute towards the factors that are significant in predicting the acceptance of FinTech services. FindingsThe results of the study revealed that performance expectancy and effort expectancy are the main factors in determining the acceptance of FinTech services. Moreover, consumer innovativeness plays an important role in the acceptance of FinTech by bank users. In contrast, social influence and facilitating conditions were not the determinants of FinTech acceptance in Pakistan. Research limitations/implicationsThis study not only contributed to the theoretical extensions but also to practical implications, which would benefit the community of FinTech service providers in Pakistan. Practical implicationsThe limitations of this study were two but are not limited to, firstly, the respondents which were taken among bank customers in Pakistan, confining its contribution to the narrowed perspective of Pakistan. Besides, this study also considers its contributions towards the use of the UTAUT in which the factors examined were specific, which may elucidate that the generalization of the findings only includes FinTech, where the UTAUT comes into play. This study is an eye-opener for the merging perspective of both the UTAUT and FinTech. Originality/valueUTAUT is extended in the context of FinTech. Consumer innovativeness is incorporated in the context of the UTAUT model. Consumer innovativeness is yet to be tested and for that this study is a useful reference for academicians, policymakers and future researchers.</t>
  </si>
  <si>
    <t>[Shaikh, Imran Mehboob; Amin, Hanudin] Univ Malaysia Sabah, Labuan Fac Int Finance, Labuan, Malaysia</t>
  </si>
  <si>
    <t>Amin, H (corresponding author), Univ Malaysia Sabah, Labuan Fac Int Finance, Labuan, Malaysia.</t>
  </si>
  <si>
    <t>imranims800@gmail.com; hanudin@ums.edu.my</t>
  </si>
  <si>
    <t>Shaikh, Imran/AAI-7680-2021; Amin, Hanudin/I-1176-2017</t>
  </si>
  <si>
    <t>2398-6247</t>
  </si>
  <si>
    <t>INF DISCOV DELIV</t>
  </si>
  <si>
    <t>Inf. Discov. Deliv.</t>
  </si>
  <si>
    <t>JAN 15</t>
  </si>
  <si>
    <t>10.1108/IDD-08-2022-0080</t>
  </si>
  <si>
    <t>ES2H2</t>
  </si>
  <si>
    <t>WOS:000990584600001</t>
  </si>
  <si>
    <t>Nawi, NC; Husin, HS; Al-Jahwari, NS; Zainuddin, SA; Khan, NU; Hassan, AA; Ibrahim, WSAAW; Mohamed, AF; Nasir, NSM; Hasan, MZM</t>
  </si>
  <si>
    <t>Nawi, Noorshella Che; Husin, Husna Sarirah; Al-Jahwari, Noura Said; Zainuddin, Siti Afiqah; Khan, Noor Ullah; Hassan, Ariezal Afzan; Ibrahim, Wan Suzanna Aafanii Adeeba Wan; Mohamed, Amaal Fadhlini; Nasir, Nazatul Syima Mohd; Hasan, Md Zaki Muhamad</t>
  </si>
  <si>
    <t>The path to sustainability begins with going paperless: Antecedents of intention to use electronic wallet using serial mediation approach</t>
  </si>
  <si>
    <t>HELIYON</t>
  </si>
  <si>
    <t>Perceived ease to use; Perceived trust; Perceived risk; Compatibility; Perceived new technology; Intention to E-wallet and Indonesia</t>
  </si>
  <si>
    <t>PERCEIVED RISK; CONTINUANCE INTENTION; MOBILE WALLET; PERSONAL INNOVATIVENESS; BEHAVIORAL INTENTION; INTERNET BANKING; SELF-EFFICACY; ACCEPTANCE; ADOPTION; TECHNOLOGY</t>
  </si>
  <si>
    <t>The expansion of E-wallet service providers in Indonesia is quite encouraging. In its report, Bank of Indonesia indicated that 48 E-wallet services are lawful. This is consistent with the number of E-wallet transactions, where USD 1.5 billion were recorded in 2018 and this number is expected to increase in 2023. This statistic increases the researcher's motivation to investigate E-wallet acceptability in Indonesia. The intention to use e-wallets among Indonesian adults must be studied in order to comprehend adoption factors, identify user preferences, inform marketing strategies, promote financial inclusion, and inform policy and regulatory decisions. This crosssectional quantitative study conducted in Indonesia aimed to examine the factors influencing the formation of an intention to use electronic wallets (E-Wallets). It focused on perceived ease of use, perceived trust, perceived risk, perceived usefulness, social influence, compatibility, facilitating conditions, and perception of new technology. While previous studies have explored factors influencing users' intention to adopt electronic wallets, few have explicitly focused on mediating factors in the Indonesian context. This study fills this gap by investigating the mediating factors that affect Indonesian users' intention to adopt electronic wallets. It enhances the understanding of the direct factors influencing users' intention and sheds light on the complex relationships of other factors (mediators) that explain the underlying dynamics of this phenomenon. The study analyzed data from 384 valid participants using partial least squares and structural equation modeling with Smart PLS 4.0. The findings revealed that e-wallet facilitating conditions, perceived usefulness, perceived trust, compatibility, perception of risk, and perception of new technology positively and significantly influenced users' intention to use e-wallets in Indonesia. However, social influence and ease of use did not have a positive impact on e-wallet adoption intention among the Indonesian sample. The implications of this study suggest that e-wallet providers should prioritize balancing ease of use and security in their systems. If an e -wallet system is perceived as too easy to use, it may raise concerns about safety and unauthorized access, negatively affecting users' intention to adopt electronic wallets. Therefore, e -wallet providers should ensure user-friendly systems that address security concerns. Future research should explore other factors related to e -wallet adoption and assess their long-term effects on users' intention to use and adopt e -wallets. Despite its limitations, this study provides valuable insights for e -wallet providers, policymakers, and researchers in understanding electronic wallet adoption in Indonesia. It offers guidance for developing effective strategies and interventions to promote widespread adoption and use of electronic wallets.</t>
  </si>
  <si>
    <t>[Nawi, Noorshella Che; Khan, Noor Ullah] Univ Malaysia Kelantan, Malaysian Grad Sch Entrepreneurship &amp; Business, Kelantan, Malaysia; [Husin, Husna Sarirah] Taylors Univ, Sch Comp Sci, Subang Jaya, Malaysia; [Al-Jahwari, Noura Said] Sohar Univ, Fac Business, Sohar, Oman; [Nawi, Noorshella Che; Zainuddin, Siti Afiqah; Hasan, Md Zaki Muhamad] Univ Malaysia Kelantan, Fac Entrepreneurship &amp; Business, Kelantan, Malaysia; [Zainuddin, Siti Afiqah] European Univ Cyprus, Sch Business Adm, Dept Accounting Econ &amp; Finance, Engomi, Cyprus; [Khan, Noor Ullah] Natl Univ Sci &amp; Technol, Dept HRM, NUST Business Sch, Islamabad, Pakistan; [Hassan, Ariezal Afzan; Ibrahim, Wan Suzanna Aafanii Adeeba Wan; Mohamed, Amaal Fadhlini; Nasir, Nazatul Syima Mohd] Univ Malaysia Kelantan, Fac Language Studies &amp; Human Dev, Kelantan, Malaysia</t>
  </si>
  <si>
    <t>Universiti Malaysia Kelantan; Taylor's University; Sohar University; Universiti Malaysia Kelantan; European University Cyprus; National University of Sciences &amp; Technology - Pakistan; Universiti Malaysia Kelantan</t>
  </si>
  <si>
    <t>Husin, HS (corresponding author), Taylors Univ, Sch Comp Sci, Subang Jaya, Malaysia.</t>
  </si>
  <si>
    <t>husna.husin@taylors.edu.my</t>
  </si>
  <si>
    <t>Khan, Noor Ullah/GSI-7114-2022; Husin, Husna Sarirah/JYQ-2236-2024; Hassan, Ariezal/AAO-2444-2020; Zainuddin, Siti/AAY-1870-2021; Nawi, Noorshella/P-9320-2017; Mohamed, Amaal/ACF-4372-2022</t>
  </si>
  <si>
    <t>Khan, Noor Ullah/0000-0002-8766-7531; Jahwari, Noura Said/0000-0002-7109-6404;</t>
  </si>
  <si>
    <t>Universiti Malaysia Kelantan [FRGS/1/2019/SS01/UMK/02/2]; Taylor's University, Malaysia</t>
  </si>
  <si>
    <t>Universiti Malaysia Kelantan; Taylor's University, Malaysia</t>
  </si>
  <si>
    <t>This Research study was funded by Universiti Malaysia Kelantan under Fundamental Research Grant Scheme (FRGS) (Ref: FRGS/1/2019/SS01/UMK/02/2) ; and Taylor's University, Malaysia.</t>
  </si>
  <si>
    <t>CELL PRESS</t>
  </si>
  <si>
    <t>50 HAMPSHIRE ST, FLOOR 5, CAMBRIDGE, MA 02139 USA</t>
  </si>
  <si>
    <t>2405-8440</t>
  </si>
  <si>
    <t>Heliyon</t>
  </si>
  <si>
    <t>JAN 30</t>
  </si>
  <si>
    <t>e24127</t>
  </si>
  <si>
    <t>10.1016/j.heliyon.2024.e24127</t>
  </si>
  <si>
    <t>IE2Q0</t>
  </si>
  <si>
    <t>WOS:001164589200001</t>
  </si>
  <si>
    <t>Huang, YP; Wang, X; Wang, X</t>
  </si>
  <si>
    <t>Huang, Yiping; Wang, Xue; Wang, Xun</t>
  </si>
  <si>
    <t>Mobile Payment in China: Practice and Its Effects*</t>
  </si>
  <si>
    <t>ASIAN ECONOMIC PAPERS</t>
  </si>
  <si>
    <t>RISK; INSURANCE; MONEY; REMITTANCES</t>
  </si>
  <si>
    <t>This paper offers a comprehensive review and careful assessment of China's mobile payment business. With broad access, low costs, and reliable transactions, mobile payments are creating a revolution of financial inclusion, changing people's daily lives and commercial business models. This study also confirms that mobile payment improves risk sharing among individuals and increases entrepreneurial opportunities. These mobile payment successes can be traced to three key factors: supply shortages of alternative payment services, a friendly regulatory environment, and recent technological developments. A number of outstanding issues remain, however, including data ownership, data inequality, and regulatory shortcomings.</t>
  </si>
  <si>
    <t>[Huang, Yiping; Wang, Xue; Wang, Xun] Peking Univ, Inst Digital Finance, Natl Sch Dev, Beijing, Peoples R China</t>
  </si>
  <si>
    <t>Wang, X (corresponding author), Peking Univ, Inst Digital Finance, Natl Sch Dev, Beijing, Peoples R China.</t>
  </si>
  <si>
    <t>yhuang@nsd.pku.edu.cn; xwang2017@nsd.pku.edu.cn; xunwang@nsd.pku.edu.cn</t>
  </si>
  <si>
    <t>Huang, Yiping/JVN-4285-2024</t>
  </si>
  <si>
    <t>National Social Science Foundation of China [18ZDA091]</t>
  </si>
  <si>
    <t>National Social Science Foundation of China(National Office of Philosophy and Social Sciences)</t>
  </si>
  <si>
    <t>XunWang is the corresponding author. The authors are grateful for the financial support by National Social Science Foundation of China (project no. 18ZDA091) titled Innovation, Risk and Regulation of China's Digital Inclusive Finance. The authors also would like to thank the anonymous referees, Wing Thye Woo, Ninghua Zhong, and Iikka Korhonen as well as other participants at the AEP Meeting on 18 September 2019 at Keio University for their insightful discussions and comments. The authors declare that they do not have relevant or material financial interests related to the research reported in this paper.</t>
  </si>
  <si>
    <t>1535-3516</t>
  </si>
  <si>
    <t>1536-0083</t>
  </si>
  <si>
    <t>ASIAN ECON PAP</t>
  </si>
  <si>
    <t>Asian Econ. Pap.</t>
  </si>
  <si>
    <t>10.1162/asep_a_00779</t>
  </si>
  <si>
    <t>NR3HP</t>
  </si>
  <si>
    <t>WOS:000571453700001</t>
  </si>
  <si>
    <t>Ranjan, J; Rao, GTV; Padmaja, N; Rao, VS; Srinivas, J</t>
  </si>
  <si>
    <t>Peng, SL; Dey, N; Bundele, M</t>
  </si>
  <si>
    <t>Ranjan, Jayesh; Rao, G. T. Venkateswara; Padmaja, Naraharisetty; Rao, Vagvala Satyajit; Srinivas, Josyula</t>
  </si>
  <si>
    <t>Toward m-Governance: T-Wallet Application for Financial Inclusion</t>
  </si>
  <si>
    <t>COMPUTING AND NETWORK SUSTAINABILITY</t>
  </si>
  <si>
    <t>2nd International Research Symposium on Computing and Network Sustainability (IRSCNS)</t>
  </si>
  <si>
    <t>AUG 30-31, 2018</t>
  </si>
  <si>
    <t>Panaji, INDIA</t>
  </si>
  <si>
    <t>Global Knowledge Res Fdn,Goa Chamber Commerce &amp; Ind,Ctr Incubat &amp; Business Accelerat</t>
  </si>
  <si>
    <t>m-Governance; Financial inclusion; Mobile wallet; Digital payments; Security standards</t>
  </si>
  <si>
    <t>New digital platforms offer convenient and less expensive ways to make payments and transfer funds. Owing to the requirement of the citizens during demonetization period, Telangana State Government came out with a unique initiative called the T-Wallet, enabling its citizens in making cashless electronic payments to both government and private services. T-Wallet is the official digital wallet of Telangana State, available as an Any Time Any Where digital payment option. T-Wallet is distinctive as a digital payment system for the banked and unbanked citizens, customized for citizens with a smartphone, a feature phone or no phone. The paper describes T-Wallet case study, an initiative taken by the government to encourage digital financial inclusion.</t>
  </si>
  <si>
    <t>[Ranjan, Jayesh; Rao, G. T. Venkateswara] Govt Telangana, Informat Technol Dept, Hyderabad, India; [Padmaja, Naraharisetty; Rao, Vagvala Satyajit; Srinivas, Josyula] NISG, Hyderabad, India</t>
  </si>
  <si>
    <t>Padmaja, N (corresponding author), NISG, Hyderabad, India.</t>
  </si>
  <si>
    <t>dir_eseva@telangana.gov.in; secy_itc@telangana.gov.in; padmaja@nisg.org; satyajit@nisg.org; srinivas.j@nisg.org</t>
  </si>
  <si>
    <t>978-981-13-7150-9; 978-981-13-7149-3</t>
  </si>
  <si>
    <t>10.1007/978-981-13-7150-9_10</t>
  </si>
  <si>
    <t>Computer Science, Hardware &amp; Architecture; Computer Science, Theory &amp; Methods; Engineering, Electrical &amp; Electronic</t>
  </si>
  <si>
    <t>BN6EQ</t>
  </si>
  <si>
    <t>WOS:000485154100010</t>
  </si>
  <si>
    <t>Pal, A; Herath, T; De, R; Rao, HR</t>
  </si>
  <si>
    <t>Pal, Abhipsa; Herath, Tejaswini; De, Rahul; Rao, H. Raghav</t>
  </si>
  <si>
    <t>Contextual facilitators and barriers influencing the continued use of mobile payment services in a developing country: insights from adopters in India</t>
  </si>
  <si>
    <t>Mobile payment services; mobile wallets; continued usage; intention to use; developing countries; ICT4D</t>
  </si>
  <si>
    <t>INFORMATION-TECHNOLOGY; BANKING ADOPTION; PERCEIVED RISK; CONSUMER ADOPTION; EMPIRICAL-EXAMINATION; BEHAVIORAL INTENTION; USAGE INTENTION; UNIFIED THEORY; INITIAL TRUST; ACCEPTANCE</t>
  </si>
  <si>
    <t>Mobile payment services hold the potential for financial inclusion in developing economies. Low-income countries are characterized by distinctive conditions like price sensitivity, low digital penetration, high risk of failure, and competitive emerging markets, which further influence mobile payment usage. We develop a research model to identify the contextual facilitators (like price benefit, network externalities, trust, and habit) and barriers (like risk, lack of facilitating conditions, and operational constraints) driving mobile payment usage intention. We test the model using data from 298 survey respondents from India who had adopted and were currently using mobile payment services. The factors that facilitate or constrain users' intention to continue using mobile payments are essential in understanding the technology's sustenance and its future in enabling financial inclusion.</t>
  </si>
  <si>
    <t>[Pal, Abhipsa; De, Rahul] Indian Inst Management Bangalore, Informat Syst, Bannerghatta Rd, Bengaluru 560076, India; [Herath, Tejaswini] Brock Univ, Goodman Sch Business, Dept Finance Operat &amp; Informat Syst, St Catharines, ON, Canada; [Rao, H. Raghav] Univ Texas San Antonio, Coll Business, Dept Informat Syst &amp; Cyber Secur, San Antonio, TX USA</t>
  </si>
  <si>
    <t>Indian Institute of Management (IIM System); Indian Institute of Management Bangalore; Brock University; University of Texas System; University of Texas at San Antonio</t>
  </si>
  <si>
    <t>Pal, A (corresponding author), Indian Inst Management Bangalore, Informat Syst, Bannerghatta Rd, Bengaluru 560076, India.</t>
  </si>
  <si>
    <t>abhipsa.pal14@iimb.ac.in</t>
  </si>
  <si>
    <t>; De, Rahul/AFA-3904-2022</t>
  </si>
  <si>
    <t>Pal, Abhipsa/0000-0001-5907-0335;</t>
  </si>
  <si>
    <t>10.1080/02681102.2019.1701969</t>
  </si>
  <si>
    <t>JAN 2020</t>
  </si>
  <si>
    <t>WOS:000505450200001</t>
  </si>
  <si>
    <t>Singh, R; Mallick, H</t>
  </si>
  <si>
    <t>Singh, Rajalaxmi; Mallick, Hrushikesh</t>
  </si>
  <si>
    <t>Financial inclusion in India: an analysis from the user-side perspective</t>
  </si>
  <si>
    <t>Financial inclusion; Multidimensional financial inclusion index; Determinants; Probit estimation</t>
  </si>
  <si>
    <t>DETERMINANTS; INEQUALITY; ACCESS; GROWTH</t>
  </si>
  <si>
    <t>PurposeThe aim of the paper is to examine the status and determinants of financial inclusion in India by using the recent micro-level survey data.Design/methodology/approachThe authors construct a multidimensional financial inclusion index to measure the status of financial inclusion in the selected 17 states of India. Subsequently, the authors use the probit model estimation to examine the determinants of all financial inclusion indicators.FindingsThe authors find that southern and north-eastern states perform better in the overall financial inclusion index. In contrast, states like Odisha, Madhya Pradesh, Chhattisgarh, Rajasthan and Uttar Pradesh lag behind. The estimated result shows that the probability of being financially included is higher among urban, richer, educated and salaried individuals. Further, the findings indicate the lower penetration of bank branches and ATMs in the rural parts of the country.Originality/valueWhile numerous studies have explored financial inclusion from a macro-level perspective, there exists a notable gap in the literature at the micro-level. This paper aims to address this gap and contributes to the existing literature in two ways. Firstly, it uses the recent micro-level survey data to construct a multidimensional financial inclusion index for the selected Indian states. Secondly, it examines individual-level attributes as the determining factors of financial inclusion, which has been overlooked in India.Peer reviewThe peer review history for this article is available at: https://publons.com/publon/10.1108/IJSE-03-2023-0162</t>
  </si>
  <si>
    <t>[Singh, Rajalaxmi; Mallick, Hrushikesh] Ctr Dev Studies, Thiruvananthapuram, Kerala, India</t>
  </si>
  <si>
    <t>Singh, R (corresponding author), Ctr Dev Studies, Thiruvananthapuram, Kerala, India.</t>
  </si>
  <si>
    <t>rajalaxmisingh23@gmail.com</t>
  </si>
  <si>
    <t>; MALLICK, HRUSHIKESH/AAG-3741-2021</t>
  </si>
  <si>
    <t>Singh, Rajalaxmi/0000-0002-2548-6209;</t>
  </si>
  <si>
    <t>AUG 1</t>
  </si>
  <si>
    <t>10.1108/IJSE-03-2023-0162</t>
  </si>
  <si>
    <t>A3P0Y</t>
  </si>
  <si>
    <t>WOS:001143098800001</t>
  </si>
  <si>
    <t>Li, B; Hanna, SD; Kim, KT</t>
  </si>
  <si>
    <t>Li, Bin; Hanna, Sherman D.; Kim, Kyoung Tae</t>
  </si>
  <si>
    <t>Who Uses Mobile Payments: Fintech Potential in Users and Non-Users</t>
  </si>
  <si>
    <t>elderly; Fintech; financial literacy; mobile payments; mobile technology; National Financial Capability Study</t>
  </si>
  <si>
    <t>TECHNOLOGY ACCEPTANCE; FINANCIAL EDUCATION; AGE-DIFFERENCES; ADOPTION; DECISIONS; LITERACY; BEHAVIOR; COMMERCE; GENDER; USAGE</t>
  </si>
  <si>
    <t>This study used data from the 2015 National Financial Capability Study to analyze the adoption of mobile payments by U.S. households. While 24% of respondents used mobile payments, the mean rate for those under age 25 was 11 times the rate for those 65 and older State rates ranged from about 9% in Montana to 34% in Washington, DC. Based on a logistic regression, age and an objective financial knowledge score were negatively while risk tolerance and a subjective financial knowledge score were positively related to mobile payment use. The results have implications for marketing of Fintech applications for personal finance, especially in terms of the extremely low mobile payment use by older consumers.</t>
  </si>
  <si>
    <t>[Li, Bin] Miami Univ, Dept Stat, 311 Upham Hall,100 Bishop Circle, Oxford, OH 45056 USA; [Hanna, Sherman D.] Ohio State Univ, Dept Human Sci, 1787 Neil Ave, Columbus, OH 43210 USA; [Kim, Kyoung Tae] Univ Alabama, Dept Consumer Sci, 316 Adams Hall,Box 870158, Tuscaloosa, AL 35487 USA</t>
  </si>
  <si>
    <t>University System of Ohio; Miami University; University System of Ohio; Ohio State University; University of Alabama System; University of Alabama Tuscaloosa</t>
  </si>
  <si>
    <t>Li, B (corresponding author), Miami Univ, Dept Stat, 311 Upham Hall,100 Bishop Circle, Oxford, OH 45056 USA.</t>
  </si>
  <si>
    <t>libin.8256@gmail.com; hanna.1@osu.edu; ktkim@ches.ua.edu</t>
  </si>
  <si>
    <t>Kim, Kyoung Tae/0000-0002-0673-721X</t>
  </si>
  <si>
    <t>10.1891/JFCP-18-00083</t>
  </si>
  <si>
    <t>MD1LH</t>
  </si>
  <si>
    <t>WOS:000543736300007</t>
  </si>
  <si>
    <t>Onyejiaku, CC; Ngong, CA; Kum, FV; Nebasi, AW</t>
  </si>
  <si>
    <t>Onyejiaku, Chinyere C.; Ngong, Chi Aloysius; Kum, Fuein Vera; Nebasi, Akosso Wilfred</t>
  </si>
  <si>
    <t>Effect of digital financial inclusion on banking for the poor in African emerging economies</t>
  </si>
  <si>
    <t>Digital financial services; Financial inclusion; Mobile banking; ARDL</t>
  </si>
  <si>
    <t>POVERTY; ACCESS; GROWTH; COSTS</t>
  </si>
  <si>
    <t>PurposeThis paper studies the effect of digital financial inclusion in banking on the poor and deprived populations of African emerging economies from 1997 to 2023.Design/methodology/approachAutomated teller machines, mobile payments and mobile money transactions measure digital financial inclusion. Household consumption expenditure proxies poverty reduction. The autoregressive distributed lag analyzes the study.FindingsThe results indicate that automated teller machines, mobile money transactions and financial deepening positively affect poverty reduction, while mobile payments negatively affect poverty reduction. Digital financial inclusion decreases poverty via increased investment and empowerment.Research limitations/implicationsDigital financial products and services should be expanded to all population segments in the economies. The governments should improve the quality and quantity of institutions that guarantee the operation of digital financial activities through the enforcement of law and order. The quality and quantity of mobile money transactions and financial deepening should be increased. The costs and charges involved in using automated teller machines and mobile payments should be regulated to relieve the burden on the population. The government should facilitate access to digital financial services via power supply, transport and telecommunication networks. Banks and telecommunications service providers should improve the payment system network to ensure cost-effective, convenient and secure financial service delivery. The digital infrastructure and financial services markets should be enhanced to fully capture the gains of financial inclusion and reduce poverty.Originality/valueA literature review provides studies with conflicting findings on the effect of digital financial inclusion on poverty reduction. This study supports that digital financial inclusion decreases poverty.</t>
  </si>
  <si>
    <t>[Onyejiaku, Chinyere C.] Univ Nigeria, Dept Management, Nsukka, Nigeria; [Ngong, Chi Aloysius; Kum, Fuein Vera; Nebasi, Akosso Wilfred] Univ Bamenda, Dept Accounting, Bambili, Cameroon</t>
  </si>
  <si>
    <t>University of Nigeria</t>
  </si>
  <si>
    <t>Ngong, CA (corresponding author), Univ Bamenda, Dept Accounting, Bambili, Cameroon.</t>
  </si>
  <si>
    <t>aloyzih@yahoo.com</t>
  </si>
  <si>
    <t>2024 JUN 19</t>
  </si>
  <si>
    <t>10.1108/JEAS-02-2024-0062</t>
  </si>
  <si>
    <t>UN8V8</t>
  </si>
  <si>
    <t>WOS:001248839500001</t>
  </si>
  <si>
    <t>Rocha, JLM; Ticona, TL; Zela, MAC; Rojas, JTR; Medina, GS; Torres, NIV; Lope, CJL</t>
  </si>
  <si>
    <t>Rocha, Jose Luis Morales; Ticona, Teofilo Lauracio; Zela, Mario Aurelio Coyla; Rojas, Jarol Teofilo Ramos; Medina, Genciana Serruto; Torres, Nakaday Irazema Vargas; Lope, Claudia Jessica Lauracio</t>
  </si>
  <si>
    <t>Social programs and financial inclusion: instruments of biopolitics in Peru, 2000-2024</t>
  </si>
  <si>
    <t>FRONTIERS IN POLITICAL SCIENCE</t>
  </si>
  <si>
    <t>social programs; financial inclusion; biopolitics; Peru; human development</t>
  </si>
  <si>
    <t>Biopolitics refers to the set of public policies and state actions aimed at regulating the vital functions of individuals and societies, including areas such as public health, democracy, citizen security, and quality of life. This article analyzes the biopolitical instrumentalization of fiscal policies and financial governmentality in Peru between 2000 and 2024. The research is based on the hypothesis that Peruvian governments have used these tools to promote equitable human development. Using correlation and regression tests, we examined social programs, financial inclusion indicators, and variations in the Gross Domestic Product (GDP) in relation to the Human Development Index and other socioeconomic variables. The main conclusion indicates that the impact of social programs and financial inclusion is limited at the regional level. Only the percentage of financial debtors and the Juntos Program show a significant effect on human development indicators such as malnutrition, monetary poverty, and academic performance. Despite being considered essential for sustainable development, social programs and financial inclusion in Peru during this period were instrumentalized for biopolitical purposes, prioritizing capitalist reproduction and the exploitation of resources from less developed regions. Although economic growth was achieved, there was no corresponding promotion of equity, social inclusion, or comprehensive human development. Notably, the poverty rate in Peru increased to 29.0% in 2023, approaching the levels recorded during the 2020 pandemic (30.1%), according to the Peruvian Institute of Economics, and continued to rise in 2024, reflecting the inadequacy of the implemented policies.</t>
  </si>
  <si>
    <t>[Rocha, Jose Luis Morales; Zela, Mario Aurelio Coyla; Rojas, Jarol Teofilo Ramos; Medina, Genciana Serruto; Torres, Nakaday Irazema Vargas] Natl Univ Moquegua, Profess Sch Publ Management &amp; Social Dev, Moquegua, Peru; [Ticona, Teofilo Lauracio; Lope, Claudia Jessica Lauracio] Jose Carlos Mariategui Univ, Profess Sch Accounting, Moquegua, Peru</t>
  </si>
  <si>
    <t>Rocha, JLM (corresponding author), Natl Univ Moquegua, Profess Sch Publ Management &amp; Social Dev, Moquegua, Peru.</t>
  </si>
  <si>
    <t>jmoralesr@unam.edu.pe</t>
  </si>
  <si>
    <t>MORALES ROCHA, JOSE LUIS/AAS-4295-2021</t>
  </si>
  <si>
    <t>MORALES ROCHA, JOSE LUIS/0000-0001-5080-1701; RAMOS ROJAS, JAROL TEOFILO/0000-0002-9308-6469</t>
  </si>
  <si>
    <t>2673-3145</t>
  </si>
  <si>
    <t>FRONT POLIT SCI</t>
  </si>
  <si>
    <t>Front. Polit. Sci.</t>
  </si>
  <si>
    <t>APR 30</t>
  </si>
  <si>
    <t>10.3389/fpos.2025.1528337</t>
  </si>
  <si>
    <t>2OB0B</t>
  </si>
  <si>
    <t>WOS:001487227900001</t>
  </si>
  <si>
    <t>Sethy, SK</t>
  </si>
  <si>
    <t>Sethy, Susanta Kumar</t>
  </si>
  <si>
    <t>Towards Financial Inclusion in India: Progress so far, Issues and Challenges</t>
  </si>
  <si>
    <t>Financial inclusion; banking sector; inclusive growth</t>
  </si>
  <si>
    <t>Financial Inclusion is one of the yardsticks to measure the growth of an economy as well as human well-being. Financial sector inclusion helps in eliminating poverty, reducing inequality and eliminating unequal access to opportunities etc. The major findings of this study shows that financial inclusion indicators such as: Geographic branch penetration (Number of Schedule Commercial Banks branches per 1000 km(2) demographic branch penetration (Number of Schedule Commercial Banks branches per 100000 population), and demographic ATM penetration (Number of Schedule Commercial Banks ATMs per 100000 population) has been increasing in different census period (1991, 2001 and 2011) of India. The performance of Urban Cooperative Banks in case of deposits and advances are also increasing from 2001 to 2011. It is also revealed that the number of accounts of Public Sector Banks, Private Banks and Regional Rural Banks are more in rural area comparison to urban area in 2015. Overall the result of this study justifying progress of financial inclusion and some recent initiatives taken by the government of India.</t>
  </si>
  <si>
    <t>[Sethy, Susanta Kumar] Univ Hyderabad, Sch Econ, Hyderabad 500046, Andhra Pradesh, India</t>
  </si>
  <si>
    <t>Sethy, SK (corresponding author), Univ Hyderabad, Sch Econ, Hyderabad 500046, Andhra Pradesh, India.</t>
  </si>
  <si>
    <t>susanthu2010@gmail.com</t>
  </si>
  <si>
    <t>10.5958/2322-0430.2016.00187.6</t>
  </si>
  <si>
    <t>FD6YL</t>
  </si>
  <si>
    <t>WOS:000407673700004</t>
  </si>
  <si>
    <t>Hung, SW; Cheng, MJ; Tung, YJ</t>
  </si>
  <si>
    <t>Hung, Shiu-Wan; Cheng, Min-Jhih; Tung, Yu-Jou</t>
  </si>
  <si>
    <t>Following the herd? An empirical investigation into the adoption of mobile payment systems</t>
  </si>
  <si>
    <t>Mobile payment services; Herd effect; Inertia; Trust</t>
  </si>
  <si>
    <t>STATUS-QUO BIAS; PERCEIVED SECURITY; SWITCHING COSTS; CONSUMER TRUST; CONTINUANCE INTENTION; ELECTRONIC COMMERCE; SOCIAL-INFLUENCE; BEHAVIOR; INERTIA; WEB</t>
  </si>
  <si>
    <t>PurposeThe adoption of mobile payment remains low in certain regions, highlighting the need to identify the factors that enable and inhibit its adoption. This study aims to address this gap by investigating the role of information security, loss aversion and the moderating influence of the herd effect on Inertia and behavioral intentions in the adoption of mobile payment systems.Design/methodology/approachA structural equation model was developed and tested with 332 valid questionnaires to examine the proposed hypotheses.FindingsThe empirical results reveal that information security plays a significant role as an enabler, while loss aversion acts as an inhibitor of mobile payment adoption. Furthermore, the study uncovers the moderating influence of the herd effect on the relationship between Inertia and behavioral intentions.Research limitations/implicationsThis study was conducted in a specific region and may not be generalizable to other regions. Future studies could expand the sample size and scope to enhance the external validity of the findings.Practical implicationsThis study offers practical implications for mobile payment service providers. Understanding the key enabling and inhibiting factors identified in this study can guide providers in designing and improving their services. Strengthening information security measures can help build trust among potential adopters, while offering incentives can mitigate the impact of loss aversion and encourage early adoption.Social implicationsThe findings of this study have social implications as they contribute to promoting the adoption of mobile payment systems. Increased adoption can enhance financial inclusion and stimulate economic development.Originality/valueThis study provides novel insights into the enabling and inhibiting factors of mobile payment adoption and highlights the moderating role of the herd effect. By shedding light on the influence of social norms on individual behavior in the context of mobile payment adoption, this study contributes to the existing literature and advances our understanding of this phenomenon.</t>
  </si>
  <si>
    <t>[Hung, Shiu-Wan; Cheng, Min-Jhih; Tung, Yu-Jou] Natl Cent Univ, Dept Business Adm, Taoyuan, Taiwan</t>
  </si>
  <si>
    <t>National Central University</t>
  </si>
  <si>
    <t>Hung, SW (corresponding author), Natl Cent Univ, Dept Business Adm, Taoyuan, Taiwan.</t>
  </si>
  <si>
    <t>swh.research@gmail.com</t>
  </si>
  <si>
    <t>National Science and Technology Council, Taiwan R.O.C. [MOST 109-2410-H-008-026]</t>
  </si>
  <si>
    <t>National Science and Technology Council, Taiwan R.O.C.</t>
  </si>
  <si>
    <t>National Science and Technology Council, Taiwan R.O.C. under the grant MOST 109-2410-H-008-026, has supported this work financially.</t>
  </si>
  <si>
    <t>10.1108/IJBM-03-2023-0195</t>
  </si>
  <si>
    <t>XA0Z6</t>
  </si>
  <si>
    <t>WOS:001202492200001</t>
  </si>
  <si>
    <t>Machaca, AT; Castillo, FHG; Aliaga, BT; Ccoa, DMC; Quispe, RY; Sanchez, JHC; Ttito, CND; Yllpa, YM; Flores, LJS; Cueva, PCC</t>
  </si>
  <si>
    <t>Ticona Machaca, Alejandro; Gutierrez Castillo, Felix Henry; Turpo Aliaga, Bertelly; Cano Ccoa, Dominga Micaela; Yucra Quispe, Roger; Cahuana Sanchez, John Herbert; Duran Ttito, Corina Nanci; Malaga Yllpa, Yasser; Silva Flores, Lourdes Janet; Callupe Cueva, Paulo Cesar</t>
  </si>
  <si>
    <t>Peru's National Policy on Financial Inclusion and Its Alignment with Sustainable Development Goal I</t>
  </si>
  <si>
    <t>financial inclusion; poverty; financial services; vulnerable populations; public policies</t>
  </si>
  <si>
    <t>This article analyzes the implementation of the National Financial Inclusion Strategy (NFIS) and its alignment with Sustainable Development Goal (SDG) I: Eradicate poverty. Despite the progress achieved, structural gaps persist and substantially limit the NFIS's contribution to poverty reduction, especially among rural, indigenous, extreme poverty, and other vulnerable groups. The article employs a mixed methods approach combining qualitative and quantitative techniques. On the qualitative side, a hermeneutic documentary analysis of the NFIS and related regulations was carried out, with a critical textual interpretation supported by specialized software. Quantitatively, descriptive statistical techniques were applied to analyze official financial inclusion indicators-methodological integration was achieved through analytical triangulation under a concurrent mixed methods approach. The progress of initiatives under the NFIS was evaluated, identifying limitations such as the digital divide in rural areas, limited financing for Micro and Small Enterprises, gaps in financial education, and growing exposure to digital fraud. Although the NFIS promotes greater access to financial services, it does not explicitly focus on the poorest and most excluded populations. Therefore, it is recommended that the objectives and indicators of the NFIS be reformulated to focus on universal access and effective use of financial services by the population in extreme poverty and chronic exclusion. In addition, a strategic articulation with social protection policies is necessary, as well as promoting culturally relevant microfinance and inclusive finance models, strengthening consumer protection, and consolidating public-private alliances in high-poverty areas. Finally, strong monitoring and accountability are also key.</t>
  </si>
  <si>
    <t>[Ticona Machaca, Alejandro; Gutierrez Castillo, Felix Henry; Turpo Aliaga, Bertelly; Yucra Quispe, Roger] Univ Nacl Altiplano, Fac Adm &amp; Human Sci, Puno 21001, Peru; [Cano Ccoa, Dominga Micaela] Univ Nacl Juliaca, Profess Sch Publ Management &amp; Social Dev, Juliaca 21101, Peru; [Cahuana Sanchez, John Herbert] Univ Peruana Union, Fac Business Sci, Lima 15464, Peru; [Duran Ttito, Corina Nanci] Univ Nacl San Antonio Abad Cusco, Fac Management &amp; Tourism, Cuzco 08003, Peru; [Malaga Yllpa, Yasser] Univ Andina Cusco, Sch Econ Adm &amp; Accounting Sci, Cuzco 08000, Peru; [Silva Flores, Lourdes Janet] Univ Nacl San Martin, Postgrad Sch, Tarapoto 22201, Peru; [Callupe Cueva, Paulo Cesar] Univ Nacl Intercultural Selva Cent Juan Santos Ata, Fac Adm Sci, La Merced 12856, Peru</t>
  </si>
  <si>
    <t>Universidad Nacional del Altiplano; Universidad Nacional de Juliaca; Universidad Peruana Union; Universidad Nacional de San Antonio Abad del Cusco; Universidad Andina del Cusco; Universidad Nacional de San Martin Peru; Universidad Nacional Intercultural de la Selva Central Juan Santos Atahualpa</t>
  </si>
  <si>
    <t>Machaca, AT (corresponding author), Univ Nacl Altiplano, Fac Adm &amp; Human Sci, Puno 21001, Peru.</t>
  </si>
  <si>
    <t>altima@unap.edu.pe; fgutierrez@unap.edu.pe; bturpo@unap.edu.pe; dm.cano@unaj.edu.pe; roger.yucra@unap.edu.pe; john_@upeu.edu.pe; corina.duran@unsaac.edu.pe; ymalaga@uandina.edu.pe; ljsilva@unsm.edu.pe; pcallupe@uniscjsa.edu.pe</t>
  </si>
  <si>
    <t>; Gutierrez Castillo, Felix Henry/KPA-6532-2024; MALAGA YLLPA, YASSER/KSL-3487-2024</t>
  </si>
  <si>
    <t>DURAN TTITO, CORINA NANCI/0000-0002-2950-0223; CALLUPE CUEVA, PAULO CESAR/0000-0003-3404-8275; CANO CCOA, DOMINGA MICAELA/0000-0003-2146-3955; Gutierrez Castillo, Felix Henry/0000-0002-8095-1572; Silva Flores, Lourdes Janet/0000-0001-8796-5742; MALAGA YLLPA, YASSER/0000-0003-0220-8297; Ticona Machaca, Alejano/0000-0003-3297-358X</t>
  </si>
  <si>
    <t>10.3390/su16104151</t>
  </si>
  <si>
    <t>RY5K2</t>
  </si>
  <si>
    <t>WOS:001231229000001</t>
  </si>
  <si>
    <t>Hornuf, L; Safari, K; Voshaar, J</t>
  </si>
  <si>
    <t>Hornuf, Lars; Safari, Kulondwa; Voshaar, Johannes</t>
  </si>
  <si>
    <t>Mobile fintech adoption in Sub-Saharan Africa: A systematic literature review and meta-analysis</t>
  </si>
  <si>
    <t>RESEARCH IN INTERNATIONAL BUSINESS AND FINANCE</t>
  </si>
  <si>
    <t>Fintech; Mobile banking; Mobile money; E -wallet; Internet banking; Literature review; Meta-analysis</t>
  </si>
  <si>
    <t>INTERNET BANKING ADOPTION; E-WALLET PROGRAM; MONEY ADOPTION; FINANCIAL INCLUSION; USER ACCEPTANCE; DETERMINANTS; TECHNOLOGY; INTENTION; ATTITUDE; INNOVATION</t>
  </si>
  <si>
    <t>Financial technology (fintech) has become an important means of promoting financial inclusion in developing countries. Understanding why people use fintech services is crucial for improving financial inclusion and policy development. This study examines the drivers of mobile fintech service adoption in Sub-Saharan Africa, a region with the lowest financial inclusion rates in the world. We analyze the determinants of the use of mobile money, mobile banking, electronic wallets, and internet banking by summarizing the extensive empirical research through a systematic literature review. Based on a meta-analysis, we conclude that perceived ease of use and perceived usefulness are most important. We also find a lack of research on how the supply side drives fintech adoption. Finally, we find large-scale field experiments to be underrepresented in the literature. Policymakers should focus on enhancing digital and financial literacy and setting standards for technology compatibility to create a supportive regulatory environment for wider mobile fintech adoption in Sub-Saharan Africa.</t>
  </si>
  <si>
    <t>[Hornuf, Lars; Safari, Kulondwa] Tech Univ Dresden, Chair Business Adm Esp Finance &amp; Financial Technol, Helmholtzstr10, D-01069 Dresden, Germany; [Voshaar, Johannes] Univ Bremen, Chair Business Adm Accounting &amp; Control, Max von Laue Str 1, D-28359 Bremen, Germany</t>
  </si>
  <si>
    <t>Technische Universitat Dresden; University of Bremen</t>
  </si>
  <si>
    <t>Hornuf, L (corresponding author), Tech Univ Dresden, Chair Business Adm Esp Finance &amp; Financial Technol, Helmholtzstr10, D-01069 Dresden, Germany.</t>
  </si>
  <si>
    <t>lars.hornuf@tu-dresden.de; kulsaf2@gmail.com; johannes.voshaar@uni-bremen.de</t>
  </si>
  <si>
    <t>Voshaar, Johannes/JJF-1390-2023; Hornuf, Lars/AAF-7986-2020; SAFARI, KULONDWA/LOS-1077-2024</t>
  </si>
  <si>
    <t>Hornuf, Lars/0000-0002-0576-7759;</t>
  </si>
  <si>
    <t>Brot fur die Welt</t>
  </si>
  <si>
    <t>We thank Matthias Mattusch, Vincenzo Capizzi and the anonymous referee for their valuable comments. Further we thank all participants at the 2nd Cardiff Fintech Conference and the 8th ENTFIN Conference in Munich for their helpful comments and suggestions. Financial support from Brot fur die Welt is gratefully acknowledged by Kulondwa Safari.</t>
  </si>
  <si>
    <t>0275-5319</t>
  </si>
  <si>
    <t>1878-3384</t>
  </si>
  <si>
    <t>RES INT BUS FINANC</t>
  </si>
  <si>
    <t>Res. Int. Bus. Financ.</t>
  </si>
  <si>
    <t>10.1016/j.ribaf.2024.102529</t>
  </si>
  <si>
    <t>SEP 2024</t>
  </si>
  <si>
    <t>F4T5H</t>
  </si>
  <si>
    <t>WOS:001309759700001</t>
  </si>
  <si>
    <t>Alvarez, AM; Lic, TF; Acuña, D; González, MC; Mamani, ML; Martínez, YA; Neil, FPR</t>
  </si>
  <si>
    <t>Alvarez, Alejandra Mercedes; Lic, Teresa Fernandez; Acuna, Daniela; Gonzalez, Maria Camila; Mamani, Magali Ludmila; Martinez, Yamila Anahi; Neil, Florencia Patricia Rojel</t>
  </si>
  <si>
    <t>Youth and digital wallets in Southern Patagonia: Study of habits, preferences, and challenges in Rio Gallegos</t>
  </si>
  <si>
    <t>INFORMES CIENTIFICOS Y TECNICOS</t>
  </si>
  <si>
    <t>Digital Wallet; Payment Methods; Finance; Southern Patagonia</t>
  </si>
  <si>
    <t>Five years after the COVID-19 pandemic, the adoption of digital financial services has grown significantly, with digital wallets standing out as a key tool for purchasing goods and services without relying on cash. This shift reflects a global trend toward the digitization of payment methods, though challenges remain in ensuring equitable financial inclusion. In this context, this study aims to analyze the behavior of young people aged 15 to 35 in the city of Rio Gallegos regarding the use of digital wallets. Specifically, it seeks to describe their profile and explore their access, usage, habits, and knowledge related to these platforms. The methodological approach is quantitative, with an exploratory design. The theoretical framework was developed through a bibliographic and regulatory review, while primary data was collected via a structured digital survey. This technique allowed for the gathering of relevant information on young users' practices and perceptions regarding financial technology. The results reveal widespread use of digital wallets among young people in R &amp; iacute;o Gallegos, though barriers persist, such as limited financial literacy, perceived security risks, and unequal access to connected devices. The study recommends implementing training strategies, ensuring platform interoperability, and promoting incentives for local commerce adoption. Additionally, it highlights the need for territory-focused public policies to advance financial inclusion, as seen with the Santa Cruz digital wallet.</t>
  </si>
  <si>
    <t>[Alvarez, Alejandra Mercedes; Lic, Teresa Fernandez; Acuna, Daniela; Gonzalez, Maria Camila; Mamani, Magali Ludmila; Martinez, Yamila Anahi; Neil, Florencia Patricia Rojel] Univ Nacl Patagonia Austral, Unidad Academ Rio Gallegos, Av Piloto Lero Rivera S-N, Rio Gallegos, Santa Cruz, Argentina</t>
  </si>
  <si>
    <t>Universidad Nacional de la Patagonia San Juan Bosco</t>
  </si>
  <si>
    <t>Alvarez, AM (corresponding author), Univ Nacl Patagonia Austral, Unidad Academ Rio Gallegos, Av Piloto Lero Rivera S-N, Rio Gallegos, Santa Cruz, Argentina.</t>
  </si>
  <si>
    <t>aalvarez@uarg.unpa.edu; tfernandez@uarg.unpa.edu.ar; daniacu33@gmail.com; cg579922@gmail.com; magalimamani13@gmail.com; yamianimartinez@gmail.com; flor.rojel.24@gmail.co</t>
  </si>
  <si>
    <t>UNIV NAC PATAGONIA AUSTRAL</t>
  </si>
  <si>
    <t>SANTA CRUZ</t>
  </si>
  <si>
    <t>RIVADAVIA 265, RIO GALLEGOS, SANTA CRUZ, 9400, ARGENTINA</t>
  </si>
  <si>
    <t>1852-4516</t>
  </si>
  <si>
    <t>INF CIENTIF TECN</t>
  </si>
  <si>
    <t>Inf. Cientif. Tecn.</t>
  </si>
  <si>
    <t>10.22305/ict-unpa.v17.n3.1212</t>
  </si>
  <si>
    <t>8VB5N</t>
  </si>
  <si>
    <t>WOS:001598031200008</t>
  </si>
  <si>
    <t>Qureshi, F; Rea, SC; Johnson, KN</t>
  </si>
  <si>
    <t>Qureshi, Farah; Rea, Stephen C.; Johnson, Kristin N.</t>
  </si>
  <si>
    <t>(DIS)CREDITING CLAIMS OF FINANCIAL INCLUSION: THE INTEGRATION OF ARTIFICIAL INTELLIGENCE IN CONSUMER CREDIT MARKETS IN THE UNITED STATES AND KENYA</t>
  </si>
  <si>
    <t>JOURNAL OF INTERNATIONAL AND COMPARATIVE LAW</t>
  </si>
  <si>
    <t>financial inclusion; fintech; credit scoring; machine learning; artificial intelligence; mobile money; payment systems; financial regulation; credit; lending</t>
  </si>
  <si>
    <t>MOBILE MONEY; COMMUNICATION; COMMUNITIES; RETHINKING</t>
  </si>
  <si>
    <t>In recent decades, a financial inclusion assemblage led by international development agencies, private foundations, industry, regulators, governments and academia has invested in developing initiatives to expand global participation in the formal financial sector. Increasingly, financial technology (fintech) firms promise that their platforms provide the most expeditious path to democratic access to financial markets and, consequently, digital financial inclusion. This article discusses artificial intelligence tools integrated into consumer mobile payment platforms that facilitate micro-lending in Kenya and alternative lending in the United States. Proponents suggest that these digital platforms are more efficient and engender less bias than conventional approaches. Evidence increasingly demonstrates, however, that these technologies may not be neutral and may, in fact, replicate or amplify bias. In this article, we examine the myths and misperceptions of financial inclusion and the limitations of the fractured regulatory environment in many countries integrating fintech in underbanked communities. We explore how financial inclusion may not only create channels for prosperity and improvement but also engineer debilitating and sometimes precarious financial circumstances for users. Regulators have taken steps towards addressing concerns, but consumer protection requires greater focus to create lasting and significant welfare reforms. Arguably, the solution may not be a specific regulatory action, but rather reforms aimed to address the underlying causes of financial exclusion.</t>
  </si>
  <si>
    <t>[Qureshi, Farah] Univ Calif Irvine, Dept Anthropol, 3151 Social Sci Plaza, Irvine, CA 92697 USA; [Rea, Stephen C.] Colorado Sch Mines, Univ Honors &amp; Scholars Program, 1704 Illinois St, Golden, CO 80401 USA; [Johnson, Kristin N.] Emory Law Sch, 1301 Clifton Rd NE, Atlanta, GA 30322 USA</t>
  </si>
  <si>
    <t>University of California System; University of California Irvine; Colorado School of Mines</t>
  </si>
  <si>
    <t>Qureshi, F (corresponding author), Univ Calif Irvine, Dept Anthropol, 3151 Social Sci Plaza, Irvine, CA 92697 USA.</t>
  </si>
  <si>
    <t>farahq@uci.edu; srea@mines.edu; Kristin.Johnson@emory.edu</t>
  </si>
  <si>
    <t>; Rea, Stephen/KXR-4623-2024</t>
  </si>
  <si>
    <t>Johnson, Kristin/0000-0002-3879-6265;</t>
  </si>
  <si>
    <t>SWEET &amp; MAXWELL</t>
  </si>
  <si>
    <t>TAIKOO SHING</t>
  </si>
  <si>
    <t>16-F CITYPLAZA 3, TAIKOO SHING, 00000, HONG KONG</t>
  </si>
  <si>
    <t>2313-3775</t>
  </si>
  <si>
    <t>J INT COMP LAW</t>
  </si>
  <si>
    <t>J. Int. Comp. Law</t>
  </si>
  <si>
    <t>XU9BW</t>
  </si>
  <si>
    <t>WOS:000734552100005</t>
  </si>
  <si>
    <t>Le, LH; Duong, GH; Nguyen, SM</t>
  </si>
  <si>
    <t>Le, Long Hoang; Duong, Giang Huong; Nguyen, Sang Minh</t>
  </si>
  <si>
    <t>M-Wallet Adoption in Emerging Markets: A Combination of Technological, Behavioral and Financial Aspects in a Rational Choice Model</t>
  </si>
  <si>
    <t>PERSPECTIVES ON GLOBAL DEVELOPMENT AND TECHNOLOGY</t>
  </si>
  <si>
    <t>emerging markets; financial literacy; ICT adoption; mobile wallet; rational choice thery</t>
  </si>
  <si>
    <t>INTERNET BANKING ADOPTION; MOBILE BANKING; PERCEIVED RISK; CONSUMER ADOPTION; ACCEPTANCE; INFORMATION; LITERACY; TRUST; INNOVATIVENESS; SERVICES</t>
  </si>
  <si>
    <t>The adoption of mobile wallets can help to advance financial inclusion and human development in emerging countries. Current literature on mobile wallet (m-wallet) adoption focuses on technological and behavioral aspects, but neglects the financial aspect, which highly influences the decision-making of low-income people. This study identified the impacts of all three aspects on m-wallet adoption behavior by including behavioral technology acceptance factors and financial-related factors into a research framework derived from rational choice theory. Drawing data from 214 respondents across four emerging countries, the findings reveal the positive effects of perceived ease of use, perceived usefulness, and network externalities on m-wallet adopting intention. Regarding financial factors, while perceived risk negatively affects adopt-ing intention, the effect of price value on adopting intention is not confirmed. Finally, financial literacy is found to have both positively direct and moderating effects on the relationship of perceived risk and users' adopting intention.</t>
  </si>
  <si>
    <t>[Le, Long Hoang; Nguyen, Sang Minh] Banking Univ Ho Chi Minh City, Int Econ Fac, Ho Chi Minh City, Vietnam; [Duong, Giang Huong] Ho Chi Minh City Open Univ, Fac Business Adm, Ho Chi Minh City, Vietnam</t>
  </si>
  <si>
    <t>Ho Chi Minh University of Banking (HUB); Ho Chi Minh City Open University</t>
  </si>
  <si>
    <t>Le, LH (corresponding author), Banking Univ Ho Chi Minh City, Int Econ Fac, Ho Chi Minh City, Vietnam.</t>
  </si>
  <si>
    <t>longlh@buh.edu.vn; giang.dh@ou.edu.vn; sangnm@buh.edu.vn</t>
  </si>
  <si>
    <t>; Le Hoang, Long/B-7588-2015</t>
  </si>
  <si>
    <t>Sang, Nguyen Minh/0000-0002-4272-0247; Huong Giang, Duong/0000-0002-4533-6195; Le Hoang, Long/0000-0001-8618-2324</t>
  </si>
  <si>
    <t>PLANTIJNSTRAAT 2, P O BOX 9000, 2300 PA LEIDEN, NETHERLANDS</t>
  </si>
  <si>
    <t>1569-1500</t>
  </si>
  <si>
    <t>1569-1497</t>
  </si>
  <si>
    <t>PERSPECT GLOB DEV TE</t>
  </si>
  <si>
    <t>Perspect. Glob. Dev. Technol.</t>
  </si>
  <si>
    <t>10.1163/15691497-12341621</t>
  </si>
  <si>
    <t>4U3TF</t>
  </si>
  <si>
    <t>WOS:000858719800001</t>
  </si>
  <si>
    <t>Rout, B</t>
  </si>
  <si>
    <t>Rout, Baijayanti</t>
  </si>
  <si>
    <t>How did COVID-19 Pandemic Affect the Rural (Tribal) Livelihoods? A Case Study of Khaprakhol Block</t>
  </si>
  <si>
    <t>Covid-19; Lockdown; Livelihood; Rural</t>
  </si>
  <si>
    <t>The COVID-19 epidemic has devastated human existence over the planet, shocking people with the new sickness and almost bringing countries to their knees. It was a never-before-seen scene of limited human movements and changing behaviours. Although the good consequences benefit the environment and wild animals by reducing pollution, the adverse effects have a direct impact on the economic status of human beings. The situation was new to all living beings, and difficulties were generated globally, irrespective of rural and urban. The study attempts to discover the key problems of the rural people faced during the lockdown and the effects of the COVID-19 pandemic on their livelihoods. This article also aims to figure out the difficulties faced by rural living for their livelihood. This study is based on primary data and the data collected from the rural living of Balangir (khaprakhol block) district of Odisha. The data collection method was based on random sampling, and a total number of 100 rural living households were interviewed. The data were analysed by descriptive statistics and suitable statistical tools. The outcome of this study is that rural living has faced movement difficulties and trouble for getting work. It has been witnessed that they could not get the marketing facilities to sell their agricultural products. Moreover, rural households were paid higher prices for daily stuff in their locality or village shops. As a result, it was a terrible period for them since employment and money resources made it possible to cope with the increased market price of everyday items. Though the study area is near the forest area and situated in the foothill of Gandhamardan hill, most of the local people depend on forest products as their source of income. The collection of forest products is also affected badly during the collection season by the COVID-19 pandemic and lockdown. Regardless of the movement concerns, they were unable to work. Due to employment loss, the disturbance altered the dietary and nutrition profile of rural residents. At the same time, they claimed that MGNREGS work was ongoing but that it was not preferable to work owing to late payment to the bank account. Finally, this article focuses on the rural residents' livelihoods, which were negatively impacted by the lockdown, and job loss was a constraint for them during the lockdown.</t>
  </si>
  <si>
    <t>[Rout, Baijayanti] Cent Univ Gujarat, Ctr Studies Econ &amp; Planning, Sch Social Sci, Gandhinagar 382030, Gujarat, India</t>
  </si>
  <si>
    <t>Central University of Gujarat</t>
  </si>
  <si>
    <t>Rout, B (corresponding author), Cent Univ Gujarat, Ctr Studies Econ &amp; Planning, Sch Social Sci, Gandhinagar 382030, Gujarat, India.</t>
  </si>
  <si>
    <t>baijayantiecoresearch@gmail.com</t>
  </si>
  <si>
    <t>Rout, Dr Baijayanti/JKI-0036-2023</t>
  </si>
  <si>
    <t>2023 MAY 16</t>
  </si>
  <si>
    <t>10.1177/2455328X221150560</t>
  </si>
  <si>
    <t>I2FK2</t>
  </si>
  <si>
    <t>WOS:001000991400001</t>
  </si>
  <si>
    <t>Park, CY; Mercado, RJR</t>
  </si>
  <si>
    <t>Park, Cyn-Young; Mercado, Rogelio J. R.</t>
  </si>
  <si>
    <t>FINANCIAL INCLUSION, POVERTY, AND INCOME INEQUALITY</t>
  </si>
  <si>
    <t>SINGAPORE ECONOMIC REVIEW</t>
  </si>
  <si>
    <t>Financial inclusion; developing Asia; poverty; income inequality</t>
  </si>
  <si>
    <t>This paper extends the existing literature on financial inclusion by analyzing the factors affecting financial inclusion and assessing the impact of financial inclusion on poverty and income inequality in the world and Asia. We construct a new financial inclusion indicators to assess various macroeconomic and country-specific factors affecting the degree of financial inclusion for 176 economies, including 37 of which from developing Asia. We test the impact of financial inclusion, along with other control variables, on poverty and income inequality. We do so for full sample of countries and then for developing Asia sample to access which factors are relevant for full sample and for developing Asia specifically. The estimation results show that per capita income, rule of law, and demographic characteristics significantly affect financial inclusion for both world and Asia samples. However, primary education completion and literacy significantly increases financial inclusion only in the full sample, not for the Asian sample. The findings also indicate that financial inclusion is significantly correlated with lower poverty and income inequality levels for the full sample. For developing Asia, however, there appears to be no link between financial inclusion and income inequality.</t>
  </si>
  <si>
    <t>[Park, Cyn-Young] Asian Dev Bank, Ortigas Ctr Mandaluyong, 6 ADB Ave, Manila 1550, Philippines; [Mercado, Rogelio J. R.] SEACEN Ctr, Macroecon &amp; Monetary Policy Div, Kuala Lumpur, Malaysia</t>
  </si>
  <si>
    <t>Mercado, RJR (corresponding author), SEACEN Ctr, Macroecon &amp; Monetary Policy Div, Kuala Lumpur, Malaysia.</t>
  </si>
  <si>
    <t>cypark@adb.org; rogelio.mercado.jr@gmail.com</t>
  </si>
  <si>
    <t>; Park, Cyn-Young/E-7489-2015</t>
  </si>
  <si>
    <t>Mercado, Rogelio/0000-0002-9274-8301; Park, Cyn-Young/0000-0002-9634-219X; A Agyemang-Badu, Albert/0000-0003-3457-9615</t>
  </si>
  <si>
    <t>0217-5908</t>
  </si>
  <si>
    <t>1793-6837</t>
  </si>
  <si>
    <t>SINGAP ECON REV</t>
  </si>
  <si>
    <t>Singap. Econ. Rev.</t>
  </si>
  <si>
    <t>10.1142/S0217590818410059</t>
  </si>
  <si>
    <t>FV7BV</t>
  </si>
  <si>
    <t>WOS:000424737100011</t>
  </si>
  <si>
    <t>Hoang, MD; Le, L; Nguyen, AT; Le, T; Nguyen, HD</t>
  </si>
  <si>
    <t>Minh-Duc Hoang; Linh Le; Anh-Tuan Nguyen; Trang Le; Nguyen, Hoang D.</t>
  </si>
  <si>
    <t>Federated Artificial Intelligence for Unified Credit Assessment</t>
  </si>
  <si>
    <t>SOCIAL COMPUTING AND SOCIAL MEDIA. PARTICIPATION, USER EXPERIENCE, CONSUMER EXPERIENCE, AND APPLICATIONS OF SOCIAL COMPUTING, SCSM 2020, PT II</t>
  </si>
  <si>
    <t>Credit scoring; Artificial intelligence; Federated learning; Financial risk; Social reputation</t>
  </si>
  <si>
    <t>NEURAL-NETWORKS; MODELS</t>
  </si>
  <si>
    <t>With the rapid adoption of Internet technologies, digital footprints have become ubiquitous and versatile to revolutionise the financial industry in digital transformation. This paper takes initiatives to investigate a new paradigm of the unified credit assessment with the use of federated artificial intelligence. We conceptualised digital human representation which consists of social, contextual, financial and technological dimensions to assess the commercial creditworthiness and social reputation of both banked and unbanked individuals. A federated artificial intelligence platform is proposed with a comprehensive set of system design for efficient and effective credit scoring. The study considerably contributes to the cumulative development of financial intelligence and social computing. It also provides a number of implications for academic bodies, practitioners, and developers of financial technologies.</t>
  </si>
  <si>
    <t>[Minh-Duc Hoang] Univ New South Wales Sydney, Sydney, NSW, Australia; [Linh Le; Anh-Tuan Nguyen; Trang Le] BeU Res Grp, Hanoi, Vietnam; [Nguyen, Hoang D.] Univ Glasgow, Singapore, Singapore</t>
  </si>
  <si>
    <t>University of New South Wales Sydney</t>
  </si>
  <si>
    <t>Nguyen, HD (corresponding author), Univ Glasgow, Singapore, Singapore.</t>
  </si>
  <si>
    <t>MinhDuc.Hoang@student.unsw.edu.au; Linh.Le@beu.ai; Tuan.Nguyen@beu.ai; Trang.Le@beu.ai; HarryNguyen@glasgow.ac.uk</t>
  </si>
  <si>
    <t>Nguyen, Harry/0000-0003-2541-3269</t>
  </si>
  <si>
    <t>BeU AI research initiative</t>
  </si>
  <si>
    <t>This study is a part of the BeU AI research initiative.</t>
  </si>
  <si>
    <t>978-3-030-49575-6; 978-3-030-49576-3</t>
  </si>
  <si>
    <t>10.1007/978-3-030-49576-3_4</t>
  </si>
  <si>
    <t>Computer Science, Cybernetics; Computer Science, Information Systems; Computer Science, Interdisciplinary Applications; Social Sciences, Interdisciplinary</t>
  </si>
  <si>
    <t>BX5EP</t>
  </si>
  <si>
    <t>WOS:001297926500004</t>
  </si>
  <si>
    <t>Sengupta, R; Rooj, D</t>
  </si>
  <si>
    <t>Sengupta, Reshmi; Rooj, Debasis</t>
  </si>
  <si>
    <t>E-Wallet adoption and health insurance uptake in India: Evidence from a copula regression analysis</t>
  </si>
  <si>
    <t>Digital finance; Financial inclusion; Health insurance; E -Wallets; Endogeneity; Copula regression</t>
  </si>
  <si>
    <t>FINANCIAL LITERACY; MOBILE MONEY; MORAL HAZARD; DEMAND; IMPACT; IDENTIFICATION; PENETRATION; SELECTION; MODELS; SCALE</t>
  </si>
  <si>
    <t>India has made incredible progress in digitalization, particularly in adopting digital financial tools, including e-wallets. However, the behavioral implications of such a transition on household financial decisions are unexplored. In this study, we examine the impact of e-wallets on health insurance enrollment using data from a nationally representative survey. Employing a copula regression methodology that accounts for unobserved heterogeneity and nonlinear covariate effects, we find that households adopting e-wallets are more likely to enroll in voluntary health insurance. We further find support for greater financial literacy, enhanced household resilience to health shocks leading to lower medical loans, and greater social interactions as potential mechanisms through which e-wallets induce higher enrollment in voluntary health insurance. These findings provide policymakers with significant actionable insights, demonstrating how digital financial tools can enhance financial inclusion and improve healthcare investment through risk protection strategies in emerging economies.</t>
  </si>
  <si>
    <t>[Sengupta, Reshmi; Rooj, Debasis] Flame Univ, Dept Econ, Pune, Maharashtra, India</t>
  </si>
  <si>
    <t>Rooj, D (corresponding author), Flame Univ, Dept Econ, Pune, Maharashtra, India.</t>
  </si>
  <si>
    <t>reshmi.sengupta@flame.edu.in; roojdeb@gmail.com</t>
  </si>
  <si>
    <t>Rooj, Debasis/KMX-5217-2024</t>
  </si>
  <si>
    <t>Rooj, Debasis/0000-0001-7852-8284</t>
  </si>
  <si>
    <t>2204-2296</t>
  </si>
  <si>
    <t>10.1016/j.eap.2025.08.026</t>
  </si>
  <si>
    <t>7BF4T</t>
  </si>
  <si>
    <t>WOS:001566894000001</t>
  </si>
  <si>
    <t>Malik, S; Singh, KN; Thomas, A; Troise, C; Bresciani, S</t>
  </si>
  <si>
    <t>Malik, Shruti; Singh, Kamakhya Nr; Thomas, Asha; Troise, Ciro; Bresciani, Stefano</t>
  </si>
  <si>
    <t>Does financial inclusion build the financial resilience of elderly women?</t>
  </si>
  <si>
    <t>Financial inclusion; financial resilience; financial literacy; logistic regression; aged women</t>
  </si>
  <si>
    <t>LITERACY; EMPOWERMENT; LOOKING; SAVINGS; GROWTH</t>
  </si>
  <si>
    <t>As the global population of elderly women continues to grow, understanding their financial well-being has become increasingly important. Despite the growing attention on financial inclusion, limited research has focused on how it impacts the financial resilience of elderly women, a group particularly vulnerable to financial shocks. This study addresses this gap by exploring how financial inclusion contributes to elderly women's ability to cope with unexpected financial emergencies. Using survey data from 1,664 elderly women (above 60 years), the study investigates the role of various financial inclusion indicators - such as savings and insurance products, as well as reliance on family members for saving money - in enhancing financial resilience. Our findings show that financial inclusion plays a crucial role in strengthening the financial resilience of elderly women, with significant contributions from owning savings and insurance products. These insights have important implications for policymakers, regulators, and financial institutions seeking to design more inclusive financial services for elderly populations. By fostering financial inclusion, this study contributes to broader efforts toward achieving the United Nations' Sustainable Development Goals (SDGs), particularly those related to reducing inequality and promoting economic security for all.</t>
  </si>
  <si>
    <t>[Malik, Shruti] Univ Delhi, Shri Ram Coll Commerce SRCC, Delhi, India; [Singh, Kamakhya Nr] Amer Embassy Sch, Dept Finance Business &amp; Operat, Delhi, India; [Thomas, Asha] Wroclaw Univ Sci &amp; Technol, Dept Operat Res &amp; Business Intelligence, Wroclaw, Poland; [Troise, Ciro; Bresciani, Stefano] Univ Turin, Dept Management, Turin, Italy; [Bresciani, Stefano] Univ Nicosia, Gnosis Mediterranean Inst Management Sci, Sch Business, Nicosia, Cyprus</t>
  </si>
  <si>
    <t>University of Delhi; Wroclaw University of Science &amp; Technology; University of Turin; University of Nicosia</t>
  </si>
  <si>
    <t>Troise, C (corresponding author), Univ Turin, Dept Management, Turin, Italy.</t>
  </si>
  <si>
    <t>ciro.troise@unito.it</t>
  </si>
  <si>
    <t>Bresciani, Stefano/U-2802-2019; Troise, Ciro/GRO-0940-2022</t>
  </si>
  <si>
    <t>Bresciani, Stefano/0000-0003-0321-9174; Troise, Ciro/0000-0002-8899-8949</t>
  </si>
  <si>
    <t>2024 DEC 7</t>
  </si>
  <si>
    <t>10.1080/13691066.2024.2436911</t>
  </si>
  <si>
    <t>O6R8I</t>
  </si>
  <si>
    <t>WOS:001372382700001</t>
  </si>
  <si>
    <t>Zaja, MM; Sjaus, BT</t>
  </si>
  <si>
    <t>Druzic, G; Beg, M</t>
  </si>
  <si>
    <t>Zaja, Maja Mihelja; Sjaus, Branka Tuskan</t>
  </si>
  <si>
    <t>A CASHLESS SOCIETY - IS IT FEASIBLE? AN ANALYSIS OF PAYMENT TRENDS</t>
  </si>
  <si>
    <t>CONFERENCE PROCEEDINGS OF THE 5TH INTERNATIONAL CONFERENCE ON THE ECONOMICS OF THE DECOUPLING, ICED 2024</t>
  </si>
  <si>
    <t>International Conference on the Economics of the Decoupling</t>
  </si>
  <si>
    <t>5th International Conference on the ECONOMICS OF THE DECOUPLING-ICED</t>
  </si>
  <si>
    <t>NOV 30-DEC 01, 2023</t>
  </si>
  <si>
    <t>CROATIA</t>
  </si>
  <si>
    <t>Croatian Academy of Sciences &amp; Arts</t>
  </si>
  <si>
    <t>payment; digitalisation; cashless society; financial exclusion</t>
  </si>
  <si>
    <t>The recent crisis caused by the COVID-19 pandemic significantly changed the behaviour of individuals in many areas, including payment habits. Although the importance of digital transformation and non-cash payments became particularly evident in the pandemic, the trends toward a cashless society have been discernible for a long time. However, is a cashless society possible and feasible? This paper aims to present the results of analysing both the trends and the main determinants of cashless payment transactions worldwide. The purpose is to identify the main impact factors that lead to a higher share of non-cash transactions and towards a cashless society, but also to answer the question of what causes significant differences between countries concerning the level and speed of changes. For that purpose, in the empirical research presented in the paper, different cash and non-cash payment indicators, and digital inclusion and financial inclusion indicators were analysed by applying the comparative analysis and descriptive statistics methodology on the data from the decade leading to 2022 in five world regions. The results of the study indicate that despite the significant and continuous growth trend of some cashless payment indicators, cash is still prevalent in transactions. This is especially true in less developed countries, where the financial exclusion indicator is high, and cash payments remain relatively common. Despite advancements in digitalisation, digital transformation and technological innovation in payments and payment systems, payment behaviour in these countries differs from that in developed countries. Due to higher levels of financial exclusion and other unfavourable socioeconomic, technological and/or cultural indicators, consumers' behaviour, customs and payment habits significantly differ in less developed countries from those in more developed ones, which is an important factor in the observed slower progress toward a cashless society. The results emphasised the importance and the growing trend of non-cash payment transactions, but also pointed to identified problems in moving towards a cashless society, such as insufficient financial inclusion and the degree of economic development. The results may be a valuable source of information in order to better understand the importance and the role of offer and acceptance of innovation, digitalisation and digital transformation solutions in the field of payments.</t>
  </si>
  <si>
    <t>[Zaja, Maja Mihelja; Sjaus, Branka Tuskan] Univ Zagreb, Fac Econ &amp; Business, Trg J Kennedyja 6, Zagreb 10000, Croatia</t>
  </si>
  <si>
    <t>Zaja, MM (corresponding author), Univ Zagreb, Fac Econ &amp; Business, Trg J Kennedyja 6, Zagreb 10000, Croatia.</t>
  </si>
  <si>
    <t>mmiheljaz@net.efzg.hr; btuskan@net.efzg.hr</t>
  </si>
  <si>
    <t>Mihelja Žaja, Maja/H-7872-2018</t>
  </si>
  <si>
    <t>UNIV ZAGREB, FAC ECONOMICS &amp; BUSINESS</t>
  </si>
  <si>
    <t>Zagreb</t>
  </si>
  <si>
    <t>J. F. Kennedy sq 6, Zagreb, CROATIA</t>
  </si>
  <si>
    <t>2706-3801</t>
  </si>
  <si>
    <t>Econ of Decoupling</t>
  </si>
  <si>
    <t>Business; Business, Finance; Economics</t>
  </si>
  <si>
    <t>BY9KH</t>
  </si>
  <si>
    <t>WOS:001512885300015</t>
  </si>
  <si>
    <t>Li, Q; Xi, JY; Zhang, C; Zheng, Y</t>
  </si>
  <si>
    <t>Barukcic, I</t>
  </si>
  <si>
    <t>Li, Qian; Xi, Juying; Zhang, Chuang; Zheng, Yue</t>
  </si>
  <si>
    <t>Research on financial supervision in Northeast Asia Free Trade Zone - Based on the Regulatory Sandbox model</t>
  </si>
  <si>
    <t>2020 2ND INTERNATIONAL CONFERENCE ON COMPUTER SCIENCE COMMUNICATION AND NETWORK SECURITY (CSCNS2020)</t>
  </si>
  <si>
    <t>MATEC Web of Conferences</t>
  </si>
  <si>
    <t>2nd International Conference on Computer Science Communication and Network Security (CSCNS)</t>
  </si>
  <si>
    <t>DEC 22-23, 2020</t>
  </si>
  <si>
    <t>Sanya, PEOPLES R CHINA</t>
  </si>
  <si>
    <t>This paper analyzes the status quo of financial supervision in the Northeast Asia Free Trade Zone and finds that the coordination and cooperation of financial supervision in the Northeast Asia Free Trade Zone is in the exploratory stage. There is room for cooperation in financial supervision, which creates conditions for the implementation of the supervisory sandbox in the region. It demonstrates the significance of introducing the regulatory sandbox model in the Northeast Asia Free Trade Zone from three aspects: balancing financial innovation and supervision, promoting the realization of inclusive finance, and improving the global shared supervision database. Build a relatively complete supervision sandbox operation process design. Finally, the countermeasures and suggestions for the introduction of the supervisory sandbox model in the Northeast Asia Free Trade Zone are proposed.</t>
  </si>
  <si>
    <t>[Li, Qian; Xi, Juying; Zhang, Chuang; Zheng, Yue] Shenyang Univ Technol, Sch Econ, Shenyang, Liaoning, Peoples R China</t>
  </si>
  <si>
    <t>Shenyang University of Technology</t>
  </si>
  <si>
    <t>Li, Q (corresponding author), Shenyang Univ Technol, Sch Econ, Shenyang, Liaoning, Peoples R China.</t>
  </si>
  <si>
    <t>409861577@qq.com</t>
  </si>
  <si>
    <t>E D P SCIENCES</t>
  </si>
  <si>
    <t>CEDEX A</t>
  </si>
  <si>
    <t>17 AVE DU HOGGAR PARC D ACTIVITES COUTABOEUF BP 112, F-91944 CEDEX A, FRANCE</t>
  </si>
  <si>
    <t>2261-236X</t>
  </si>
  <si>
    <t>MATEC WEB CONF</t>
  </si>
  <si>
    <t>10.1051/matecconf/202133609026</t>
  </si>
  <si>
    <t>BR6UC</t>
  </si>
  <si>
    <t>WOS:000664122500201</t>
  </si>
  <si>
    <t>Poliakh, S</t>
  </si>
  <si>
    <t>Poliakh, Serhiy</t>
  </si>
  <si>
    <t>THE CONSUMER PROTECTION AS A DRIVER OF INNOVATIVE DEVELOPMENT: CASE STUDY FOR CONSUMERS OF FINANCIAL SERVICES</t>
  </si>
  <si>
    <t>innovation development; financial attraction of population; financial accessibility; financial stability; economic growth; state regulation; World Bank</t>
  </si>
  <si>
    <t>Today, there is a clear understanding of the concept of financial accessibility as a necessary condition for sustainable poverty reduction, innovation and economic growth. However, the relationship between financial availability and traditional for the financial sector to ensure the stability, integrity and protection of consumers of financial services has not been sufficiently studied and not considered in a single context. This situation began to be corrected and acquired a special urgency in the post-crisis period, when the study of this problem could help to understand the causes of the onset of financial structural changes. The purpose of the paper is a research of the nature of implicit connections between the level of protection of consumers interests of the financial services market as drivers of innovation development in the country, and three conditional sectors: general economic status, public administration and financial stability. The basis of the study was the statistical information of the IMF, CGAP and the World Bank on the Financial Access 2010 database, the Global Findex database and the G20 Financial Inclusion Indicators of the World Bank, the database of OECD/INFE on Adult Financial Literacy at the time of 2010 for 95 countries with different levels of economic development. The system of simultaneous structural equations was used as a method for calculations. 31 indicators were selected for formalizing the implicit structural links between the four contingent sectors: the general economic condition of the countries, public administration, financial stability of the countries and the level of protection of the interests of consumers of the financial services market, among which 12 major components were selected by the method of main analysis, included for further analysis. The formalization of the relationships between the latent variables introduced in the study allowed the following conclusion: with an increase in the level of protection of the interests of consumers of the financial services market, the level of public administration and the general economic state is growing. Thus, it was confirmed the thesis that the level of consumer protection in case of consumer financial services market fulfills the role of a locomotive for innovative development of the country as a whole.</t>
  </si>
  <si>
    <t>[Poliakh, Serhiy] SHEI Univ Banking, Cherkasy Educ &amp; Sci Inst, Finance &amp; Banking Dept, Cherkassy, Ukraine</t>
  </si>
  <si>
    <t>Poliakh, S (corresponding author), SHEI Univ Banking, Cherkasy Educ &amp; Sci Inst, Finance &amp; Banking Dept, Cherkassy, Ukraine.</t>
  </si>
  <si>
    <t>Poliakh, Sergii/AAG-4860-2019</t>
  </si>
  <si>
    <t>10.21272/mmi.2018.2-29</t>
  </si>
  <si>
    <t>GU6NW</t>
  </si>
  <si>
    <t>WOS:000445433200029</t>
  </si>
  <si>
    <t>Imbachi, JLC; Jacome, DLN; González, GR</t>
  </si>
  <si>
    <t>Ceron Imbachi, Jose Luis; Narvaez Jacome, Dario Leonardo; Ramirez Gonzalez, Gustavo</t>
  </si>
  <si>
    <t>Mobile payments system employing NFC technology under the Android operating system</t>
  </si>
  <si>
    <t>SISTEMAS &amp; TELEMATICA</t>
  </si>
  <si>
    <t>NFC; e-payment; rural development</t>
  </si>
  <si>
    <t>Today in Colombia most high-cost payments are made electronically. However, frequent and low-cost payments -equivalent to 42,000 million dollars per month-,have experienced just a tiny transition to electronic transfers, due to barriers such as low levels of inclusion, transactional taxes and a highly informal economy. Meanwhile, big companies have developed and implemented the NFC technology in mobile phones for payment systems. Motivated by the facts outlined above, the initiative to develop a proposal for a mobile payments system using NFC technology is gaining strength. This can be applied in areas of low financial inclusion, such as rural areas, basically in support of farming.</t>
  </si>
  <si>
    <t>[Ceron Imbachi, Jose Luis; Narvaez Jacome, Dario Leonardo; Ramirez Gonzalez, Gustavo] Univ Cauca, Dept Telemat, Popayan, Colombia</t>
  </si>
  <si>
    <t>Universidad del Cauca</t>
  </si>
  <si>
    <t>Imbachi, JLC (corresponding author), Univ Cauca, Dept Telemat, Popayan, Colombia.</t>
  </si>
  <si>
    <t>jocec@unicauca.edu.co; dlnarvaez@unicauca.edu.co; gramirez@unicauca.edu.co</t>
  </si>
  <si>
    <t>Ramirez-Gonzalez, Gustavo/P-6331-2019</t>
  </si>
  <si>
    <t>Ramirez-Gonzalez, Gustavo/0000-0002-1338-8820</t>
  </si>
  <si>
    <t>UNIV ICESI</t>
  </si>
  <si>
    <t>CALI</t>
  </si>
  <si>
    <t>CALLE 18 NO 122-135 PANCE, CALI, 00000, COLOMBIA</t>
  </si>
  <si>
    <t>1692-5238</t>
  </si>
  <si>
    <t>SIST TELEMAT</t>
  </si>
  <si>
    <t>Sist. Telemat.</t>
  </si>
  <si>
    <t>10.18046/syt.v13i33.2082</t>
  </si>
  <si>
    <t>V5Z3B</t>
  </si>
  <si>
    <t>WOS:000420075400006</t>
  </si>
  <si>
    <t>Al-Eitan, GN; Al-Own, B; Bani-Khalid, T</t>
  </si>
  <si>
    <t>Al-Eitan, Ghaith N.; Al-Own, Bassam; Bani-Khalid, Tareq</t>
  </si>
  <si>
    <t>Financial Inclusion Indicators Affect Profitability of Jordanian Commercial Banks: Panel Data Analysis</t>
  </si>
  <si>
    <t>ECONOMIES</t>
  </si>
  <si>
    <t>financial inclusion; commercial banks; financial services; profitability; financial leverage; Jordan</t>
  </si>
  <si>
    <t>INCOME INEQUALITY; ECONOMIC-GROWTH; TIME-SERIES; STABILITY; EXCLUSION; POVERTY; ACCESS; IMPACT</t>
  </si>
  <si>
    <t>Previous literature supports the view that the financial inclusion leads to economic growth and helps alleviate poverty; however, it is still unclear whether financial inclusion increases bank profitability. The study assumes that financial inclusion is significant in enhancing the economy and minimizing loan accounts, and along with this assumption, the deposit size decreases the Jordanian banks' profitability despite the fact that the financial services and access to them have no significant influence upon such profitability. The major profitability drivers examined in this study comprised financial inclusion and financial leverage. In this study, 13 Jordanian banks' data from 2009 to 2019 were examined to determine the above issue. The study applied fixed effects on a panel data regression model. The findings indicated that the number of loan accounts and size of deposits negatively and significantly impacted the profitability of the commercial banks in Jordan. However, the number of branches and ATMs had no significant effect on the bank's profitability. In sum, both leverage and bank size were the top two determinants of commercial banks' profitability in Jordan. Based on the findings, Jordanian policymakers can shift their focus to offering affordable financial services that support SMEs' loans and start-ups.</t>
  </si>
  <si>
    <t>[Al-Eitan, Ghaith N.; Al-Own, Bassam] Al al Bayt Univ, Sch Business, Dept Finance &amp; Banking, Mafraq 25113, Jordan; [Bani-Khalid, Tareq] Al al Bayt Univ, Sch Business, Dept Accounting, Mafraq 25113, Jordan</t>
  </si>
  <si>
    <t>Al al-Bayt University; Al al-Bayt University</t>
  </si>
  <si>
    <t>Al-Eitan, GN (corresponding author), Al al Bayt Univ, Sch Business, Dept Finance &amp; Banking, Mafraq 25113, Jordan.</t>
  </si>
  <si>
    <t>ghaith.eitan@aabu.edu.jo; bown@aabu.edu.jo; tareq_alkhaldi@aabu.edu.jo</t>
  </si>
  <si>
    <t>Bani-Khalid, Tareq/GQZ-2073-2022; Alown, Bassam/GLU-1966-2022; Al-Eitan, Ghaith/JGD-0561-2023</t>
  </si>
  <si>
    <t>Bani-Khalid, Tareq/0000-0001-9723-0600;</t>
  </si>
  <si>
    <t>2227-7099</t>
  </si>
  <si>
    <t>Economies</t>
  </si>
  <si>
    <t>10.3390/economies10020038</t>
  </si>
  <si>
    <t>D5IO2</t>
  </si>
  <si>
    <t>WOS:000969070600001</t>
  </si>
  <si>
    <t>Suárez, SL</t>
  </si>
  <si>
    <t>Suarez, Sandra L.</t>
  </si>
  <si>
    <t>Poor people's money: The politics of mobile money in Mexico and Kenya</t>
  </si>
  <si>
    <t>Mobile money; Mobile payments; MNO-led; Bank-led; Mobile payments; Financial inclusion; Unbanked</t>
  </si>
  <si>
    <t>The diffusion of mobile money (also mobile payments) has so far been uneven by country. While in Kenya upwards of 50 percent of the population uses mobile payments platforms, in Mexico the proportion is barely above 2 percent. Drawing on interviews and secondary sources, this paper finds that the actors and the politics surrounding diffusion are key to success. Specifically, regulatory capture sheds light on the extent to which a highly regulated financial sector may seek to protect itself from competition from the telecommunication sector via mobile payments regulation they advocate for and even help formulate. In Mexico, the bank-led regulatory model of mobile payments has limited the diffusion of the service to the unbanked population because of regulatory capture by the banking industry. In Kenya, by contrast, the Mobile Network Operator (MNO)-led model has resulted in much higher rates of diffusion and reflects the extent to which telecommunications firms have played a decisive role in designing the regulatory regime and the limiting the impact of financial industry capture in that country. The implications for policymaking and regulation are discussed. (C) 2016 Elsevier Ltd. All rights reserved.</t>
  </si>
  <si>
    <t>[Suarez, Sandra L.] Temple Univ, Dept Polit Sci, Philadelphia, PA 19122 USA</t>
  </si>
  <si>
    <t>Pennsylvania Commonwealth System of Higher Education (PCSHE); Temple University</t>
  </si>
  <si>
    <t>Suárez, SL (corresponding author), Temple Univ, Dept Polit Sci, Philadelphia, PA 19122 USA.</t>
  </si>
  <si>
    <t>suarez@temple.edu</t>
  </si>
  <si>
    <t>10-11</t>
  </si>
  <si>
    <t>10.1016/j.telpol.2016.03.001</t>
  </si>
  <si>
    <t>EF9GQ</t>
  </si>
  <si>
    <t>WOS:000390639100002</t>
  </si>
  <si>
    <t>Joshi, T; Gupta, SS; Rangaswamy, N</t>
  </si>
  <si>
    <t>Nielsen, P; Kimaro, HC</t>
  </si>
  <si>
    <t>Joshi, Tanmay; Gupta, Sharmistha Swasti; Rangaswamy, Nimmi</t>
  </si>
  <si>
    <t>Digital Wallets 'Turning a Corner' for Financial Inclusion: A Study of Everyday PayTM Practices in India</t>
  </si>
  <si>
    <t>INFORMATION AND COMMUNICATION TECHNOLOGIES FOR DEVELOPMENT: STRENGTHENING SOUTHERN-DRIVEN COOPERATION AS A CATALYST FOR ICT4D, PT II</t>
  </si>
  <si>
    <t>IFIP Advances in Information and Communication Technology</t>
  </si>
  <si>
    <t>15th IFIP WG 9.4 International Conference on Social Implications of Computers in Developing Countries (ICT4D)</t>
  </si>
  <si>
    <t>MAY 01-03, 2019</t>
  </si>
  <si>
    <t>Dar es Salaam, TANZANIA</t>
  </si>
  <si>
    <t>IFIP WG 9 4,ICT4D, Int Network Postgraduate Students,Univ Oslo,Univ Dar Salaam, Coll ICT,Tanzania Telecommunicat Corp Ltd,UNICEF Tanzania</t>
  </si>
  <si>
    <t>Financial inclusion; Digital wallet; PayTM; Ethnography; India</t>
  </si>
  <si>
    <t>SERVICES</t>
  </si>
  <si>
    <t>Financial transactions are intimately bound with social interactions and woven into everyday economic lives. In this paper we focus on PayTM, a digital wallet, and a specific set of users of PayTM, street vendors in urban India. Through an ethnographic investigation we offer to unpack two questions: 1. Can digital forms of money create financial inclusion by opening up access to the marginalized 2. Can digital platforms amplify socio-economic capacities of low literate users enhancing financial literacy? We argue that digital and financial literacy are an immersive component of digital wallet use acquiring `everyday life' in specific socio-economic ecosystems. Our study captures daily practices of digital money staking a claim in advancing the understanding of financial inclusion as a lived process accumulating habits, practices and stakes to expand socio-economic capabilities.</t>
  </si>
  <si>
    <t>[Joshi, Tanmay; Rangaswamy, Nimmi] Int Inst Informat Technol, Hyderabad, Telangana, India; [Gupta, Sharmistha Swasti] Indraprastha Inst Informat Technol, Delhi, India</t>
  </si>
  <si>
    <t>International Institute of Information Technology Hyderabad; Indraprastha Institute of Information Technology Delhi</t>
  </si>
  <si>
    <t>Rangaswamy, N (corresponding author), Int Inst Informat Technol, Hyderabad, Telangana, India.</t>
  </si>
  <si>
    <t>tanmay.joshi@research.iiit.ac.in; sharmistha16193@iiitd.ac.in; nimmir@iith.ac.in</t>
  </si>
  <si>
    <t>1868-4238</t>
  </si>
  <si>
    <t>1868-422X</t>
  </si>
  <si>
    <t>978-3-030-19115-3; 978-3-030-19114-6</t>
  </si>
  <si>
    <t>IFIP ADV INF COMM TE</t>
  </si>
  <si>
    <t>10.1007/978-3-030-19115-3_23</t>
  </si>
  <si>
    <t>Computer Science, Information Systems; Computer Science, Interdisciplinary Applications; Telecommunications</t>
  </si>
  <si>
    <t>BO0WB</t>
  </si>
  <si>
    <t>WOS:000493513600023</t>
  </si>
  <si>
    <t>Kirana, MY; Havidz, SAH</t>
  </si>
  <si>
    <t>Kirana, Maria Yohana; Havidz, Shinta Amalina Hazrati</t>
  </si>
  <si>
    <t>Financial Literacy and Mobile Payment Usage as Financial Inclusion Determinants</t>
  </si>
  <si>
    <t>PROCEEDINGS OF 2020 INTERNATIONAL CONFERENCE ON INFORMATION MANAGEMENT AND TECHNOLOGY (ICIMTECH)</t>
  </si>
  <si>
    <t>5th International Conference on Information Management and Technology (ICIMTech)</t>
  </si>
  <si>
    <t>AUG 13-14, 2020</t>
  </si>
  <si>
    <t>Bina Nusantara Univ, Sch Informat Syst, ELECTR NETWORK</t>
  </si>
  <si>
    <t>Bina Nusantara Univ,IEEE Indonesia Sect</t>
  </si>
  <si>
    <t>Bina Nusantara Univ, Sch Informat Syst</t>
  </si>
  <si>
    <t>financial technology; financial literacy; mobile payment usage; financial inclusion; multiple linear regression</t>
  </si>
  <si>
    <t>Indonesia is categorized as a low level of financial literacy and inclusion when it is being compared to the population. However, it could be risen by trending technology utilization, namely Financial Technology (Fintech), in which mobile payment (m-payment) is one of the instruments. Therefore, the objective of our research is to examine financial literacy and mobile payment usage as financial inclusion determinants. The model of this research involved three indicators of financial literacy and two variables of TAM to indicate m-payment usage as technology adoption. We used primary data by spreading the questionnaire to 100 respondents, in which using the Slovin formula to decide this research sample. Multiple linear regression is employed for data analysis using SPSS 23. The results proved that financial knowledge, financial behavior, perceived usefulness, and perceived ease of use of mobile payments have a positive impact and statistically significant to financial inclusion. Meanwhile, a negative impact and statistically insignificant financial attitudes to financial inclusion are proved as well. Overall, better financial literacy and high usage of mobile payment may increase financial inclusion, especially in the Jabodetabek area. Our research paper contributes valuable insights to the Indonesian government, financial technology association, and the users.</t>
  </si>
  <si>
    <t>[Kirana, Maria Yohana] Bina Nusantara Univ, Accounting Dept, Fac Econ &amp; Commun, Jakarta 11480, Indonesia; [Havidz, Shinta Amalina Hazrati] Bina Nusantara Univ, Accounting Dept, Fac Econ &amp; Commun, Finance Program, Jakarta 11480, Indonesia</t>
  </si>
  <si>
    <t>Universitas Bina Nusantara; Universitas Bina Nusantara</t>
  </si>
  <si>
    <t>Kirana, MY (corresponding author), Bina Nusantara Univ, Accounting Dept, Fac Econ &amp; Commun, Jakarta 11480, Indonesia.</t>
  </si>
  <si>
    <t>maria.kirana@binus.ac.id; shinta.h@binus.edu</t>
  </si>
  <si>
    <t>Havidz, Shinta Amalina Hazrati/ACG-0457-2022</t>
  </si>
  <si>
    <t>Havidz, Shinta Amalina Hazrati/0000-0001-9837-7233</t>
  </si>
  <si>
    <t>978-1-7281-7071-8</t>
  </si>
  <si>
    <t>10.1109/icimtech50083.2020.9211157</t>
  </si>
  <si>
    <t>BR1GY</t>
  </si>
  <si>
    <t>WOS:000632207600163</t>
  </si>
  <si>
    <t>Pedro, ZD; Carlos, BR; Franklin, GV</t>
  </si>
  <si>
    <t>Pedro, Zanzzi-Diaz; Carlos, Bonilla-Richero; Franklin, Gaibor-Vera</t>
  </si>
  <si>
    <t>The BCE Mobile Wallet, a state initiative against poverty: economic factors</t>
  </si>
  <si>
    <t>CIENCIA UNEMI</t>
  </si>
  <si>
    <t>economic development; poverty; social projects; e-money</t>
  </si>
  <si>
    <t>The mobile wallet (billetera movil) is a project designed by the Central Bank of Ecuador (BCE) to help people settled in low income areas to access the financial services. It's basically a mobile payment system, which is defined as a payment where a mobile device is used to initiate, authorize and confirm an exchange of economic value between goods and services. We calculate the increase in financial inclusion as a result of making real this project and based on this we calculated the impact on the economy of our country. You can see the results in productivity, savings, entrepreneurship, employment and other social indicators, too. Furthermore, we can see the importance of financial inclusion and how a small investment by the state can help the fight against poverty.</t>
  </si>
  <si>
    <t>[Pedro, Zanzzi-Diaz] ESPOL, Econ, Guayaquil, Ecuador; [Pedro, Zanzzi-Diaz] ESPOL, Escuela Super Politecn Litoral, Analisis Econ Areas Postgrad Econ &amp; Finanzas, Guayaquil, Ecuador; [Franklin, Gaibor-Vera] Univ Estatal Milagro, UNEMI, Proyectos Invers, Milagro, Ecuador</t>
  </si>
  <si>
    <t>Escuela Superior Politecnica del Litoral; Escuela Superior Politecnica del Litoral; Universidad Estatal de Milagro</t>
  </si>
  <si>
    <t>Pedro, ZD (corresponding author), ESPOL, Econ, Guayaquil, Ecuador.</t>
  </si>
  <si>
    <t>pzanzzi@espol.edu.ec; carlosbonilla@gmail.com; fgaiborv@unemi.edu.ec</t>
  </si>
  <si>
    <t>Zanzzi, Fabricio/HDM-8454-2022</t>
  </si>
  <si>
    <t>UNIV ESTATAL MILAGRO, DEPT INVESTIGACION DESARROLLO &amp; INNOVACION</t>
  </si>
  <si>
    <t>GUAYAS</t>
  </si>
  <si>
    <t>KM 1 5 VIRGEN FATIMA, MILAGROS, GUAYAS, 00000, ECUADOR</t>
  </si>
  <si>
    <t>1390-4272</t>
  </si>
  <si>
    <t>CIENC UNEMI</t>
  </si>
  <si>
    <t>CIENC. UNEMI</t>
  </si>
  <si>
    <t>V0A0O</t>
  </si>
  <si>
    <t>WOS:000216038900012</t>
  </si>
  <si>
    <t>Roy, P; Patro, B</t>
  </si>
  <si>
    <t>Roy, Priyanka; Patro, Binoti</t>
  </si>
  <si>
    <t>Effect of women's self-help group participation on their financial inclusion measured through a women-centric index: A study in North-East India</t>
  </si>
  <si>
    <t>Autonomy; CRITIC; Financial inclusion; IPWRA; PSM; Self-Help Groups; Women</t>
  </si>
  <si>
    <t>PROPENSITY SCORE; AGRICULTURAL CREDIT; CAUSAL INFERENCE; MICROFINANCE; GENDER; ACCESS; EMPOWERMENT; HOUSEHOLD; IMPACT; DETERMINANTS</t>
  </si>
  <si>
    <t>This study attempts to examine the effect of women's participation in self-help groups (SHGs) on their financial inclusion levels. A comprehensive financial inclusion index is created specifically suited to women by incorporating the concept of 'autonomy' in the usage of financial services. Adding this indicator with access and usage improves the practical effectiveness of women's financial inclusion as a means to a larger end. Further, objective weights have been assigned to the financial inclusion indicators through the application of the Criteria Importance through Inter-criteria Correlation (CRITIC) method. The effect estimation is examined using propensity score matching (PSM) to gauge a true effect assessment free from self-selection bias. The results are also checked for robustness using inverse probability weighted regression adjustment (IPWRA). Drawing primary data from 450 respondents from the Barak Valley region of Assam, the study establishes the importance of 'autonomy' in determining women's financial inclusion and finds SHG participation to be effective in enhancing the holistic financial inclusion of women. Underscoring the potential of SHGs in the upliftment of women, the study recommends regular monitoring of existing SHGs, besides expansion policies, to prevent group inactivity. To enhance women's financial autonomy, it is also suggested to conduct frequent training programmes on rights awareness, boosting self-efficacy for financial management and self-sufficiency in addressing financial challenges.</t>
  </si>
  <si>
    <t>[Roy, Priyanka] Dayananda Sagar Univ, Sch Commerce &amp; Management Studies, Bengaluru, Karnataka, India; [Patro, Binoti] Natl Inst Technol Silchar, Dept Management Studies, Silchar 788010, Assam, India</t>
  </si>
  <si>
    <t>National Institute of Technology (NIT System); National Institute of Technology Silchar</t>
  </si>
  <si>
    <t>Patro, B (corresponding author), Natl Inst Technol Silchar, Dept Management Studies, Silchar 788010, Assam, India.</t>
  </si>
  <si>
    <t>binotipatro@mba.nits.ac.in</t>
  </si>
  <si>
    <t>Patro, Binoti/AFU-1997-2022; Roy, Priyanka/ACQ-0225-2022</t>
  </si>
  <si>
    <t>Roy, Priyanka/0000-0003-4526-2576</t>
  </si>
  <si>
    <t>10.1111/apce.12496</t>
  </si>
  <si>
    <t>W9Z3X</t>
  </si>
  <si>
    <t>WOS:001419168200001</t>
  </si>
  <si>
    <t>Dong, Y; Song, SN; Zou, F</t>
  </si>
  <si>
    <t>Dong, Yan; Song, Sining; Zou, Fan</t>
  </si>
  <si>
    <t>Mobile Payment Services, Government Involvement and Mobile Network Operator Performance</t>
  </si>
  <si>
    <t>M&amp;SOM-MANUFACTURING &amp; SERVICE OPERATIONS MANAGEMENT</t>
  </si>
  <si>
    <t>mobile payment services; government involvement; G2P; P2G</t>
  </si>
  <si>
    <t>MANAGEMENT; INNOVATION; MONEY; INTERNATIONALIZATION; INFERENCE; ADOPTION</t>
  </si>
  <si>
    <t>Problem definition: Recent developments in mobile payment services (MPS) have shown an increasing role of mobile-government (m-government) initiatives in improving the market performance of mobile network operators (MNOs) and financial inclusion. High costs and operational challenges have discouraged MNOs from fully committing to the development of MPS, but government involvement under m-government may increase MNO user bases by providing the scale and scope necessary to incentivize MNOs. Academic/practical relevance: Extant research on mobile payment has ignored the role of governments as important stakeholders in the mobile financial ecosystem. Our research contributes to the literature by examining the role of governments as business partners in MPS launches and the effect of government involvement on MNO user bases. Methodology: Using a unique proprietary data set from the mobile network industry, we design a quasi-experiment to examine the causal effects of government involvement in MPS on MNOs' total mobile connections. More importantly, we adopt a changes-inchanges (CIC) estimation approach to further establish nonlinear treatment effects of government involvement based on MNO size and MPS type. Results: We find that government involvement expands MNO user bases beyond MPS launches. Such effects increase with MNO size and MPS variety, favoring larger MNOs and, to a certain degree, MNOs with diverse offerings of government-involved MPS. Government involvement in MPS launches also directly benefits MNOs with microloan services. In addition, government regulations and policies to encourage financial inclusion can also expand MNO user bases. Managerial implications: Governments play a critical role in promoting technologies and financial services both as a regulator and as a business partner. To improve market performance, MNOs should take advantage of the scale and scope of government services by partnering with government agencies in launching MPS. MNOs should also embrace government policies and regulations to increase user bases.</t>
  </si>
  <si>
    <t>[Dong, Yan; Zou, Fan] Univ South Carolina, Darla Moore Sch Business, Columbia, SC 29208 USA; [Song, Sining] Univ Tennessee, Haslam Coll Business, Knoxville, TN 37996 USA</t>
  </si>
  <si>
    <t>University of South Carolina System; University of South Carolina Columbia; University of Tennessee System; University of Tennessee Knoxville</t>
  </si>
  <si>
    <t>Dong, Y (corresponding author), Univ South Carolina, Darla Moore Sch Business, Columbia, SC 29208 USA.</t>
  </si>
  <si>
    <t>yan.dong@moore.sc.edu; sining.song@ulk.edu; fan.zou@grad.moore.sc.edu</t>
  </si>
  <si>
    <t>Zou, Fan/LGZ-3761-2024; Song, Sining/IUN-2267-2023</t>
  </si>
  <si>
    <t>Zou, Fan/0000-0001-6237-7549; Song, Sining/0000-0003-0212-320X</t>
  </si>
  <si>
    <t>1523-4614</t>
  </si>
  <si>
    <t>1526-5498</t>
  </si>
  <si>
    <t>M&amp;SOM-MANUF SERV OP</t>
  </si>
  <si>
    <t>M&amp;SOM-Manuf. Serv. Oper. Manag.</t>
  </si>
  <si>
    <t>10.1287/msom.2021.1068</t>
  </si>
  <si>
    <t>Z1WW4</t>
  </si>
  <si>
    <t>WOS:000742666800001</t>
  </si>
  <si>
    <t>Al-Okaily, M</t>
  </si>
  <si>
    <t>Al-Okaily, Manaf</t>
  </si>
  <si>
    <t>The influence of e-satisfaction on users' e-loyalty toward e-wallet payment apps: a mediated-moderated model</t>
  </si>
  <si>
    <t>Digital financial inclusion; FinTech; e-wallets; e-loyalty; e-satisfaction; e-WOM</t>
  </si>
  <si>
    <t>SOCIAL MEDIA; INFORMATION-TECHNOLOGY; BEHAVIORAL INTENTION; MOBILE BANKING; TRUST; ACCEPTANCE; INTERNET; ADOPTION; MOTIVATION; SECURITY</t>
  </si>
  <si>
    <t>Purpose - The purpose of this study is to investigate the antecedent factors influencing e-loyalty toward e-wallet payment apps in developing countries (e.g. Jordan). This study also investigates the mediating role of perceived usefulness (PU) and the moderating role of electronic word of mouth (e-WOM) toward these apps. Design/methodology/approach - An online questionnaire was used for data collection from 251 actual users of e-wallet payment apps. To estimate and test the research-proposed model, the partial least squares structural equation modeling (PLS-SEM) was employed. Findings - The results mainly confirm that perceived trust (PT), perceived financial cost (PFC) and perceived ease of use were found to be determinants of PU; perceived security (PS), PT, PFC, perceived ease of use and perceived enjoyment (PE) were found to be determinants of e-satisfaction, whereas e-satisfaction and e-WOM were found to be determinants of e-loyalty toward e-wallet payment apps. Likewise, the results support the significant effect of the moderating effect of e-WOM. Conversely, the direct and indirect impact of PU and perceived health benefits (PHB) on e-satisfaction is not supported; therefore, hypotheses H4, H5 and H9 were rejected. Originality/value - This study contributes to the understanding of the critical success factors underlying e-wallet apps during and post-COVID-19 era, which can help policymakers in banks and other financial institutions (service providers) to increase the diffusion rate of financial inclusion by the usage of e-wallet apps.</t>
  </si>
  <si>
    <t>[Al-Okaily, Manaf] Jadara Univ, Sch Business, Irbid, Jordan</t>
  </si>
  <si>
    <t>Al-Okaily, M (corresponding author), Jadara Univ, Sch Business, Irbid, Jordan.</t>
  </si>
  <si>
    <t>m.alokaily@jadara.edu.jo</t>
  </si>
  <si>
    <t>Al-Okaily, Manaf/ABI-8322-2020</t>
  </si>
  <si>
    <t>Al-Okaily, Manaf/0000-0002-1610-7385</t>
  </si>
  <si>
    <t>10.1108/IJOEM-08-2022-1313</t>
  </si>
  <si>
    <t>3FE4H</t>
  </si>
  <si>
    <t>WOS:001085785500001</t>
  </si>
  <si>
    <t>Yong, WK; Wong, SF; Mahmud, MM; Zhamgyrchiev, N</t>
  </si>
  <si>
    <t>IEEE Comp Soc</t>
  </si>
  <si>
    <t>Yong, Wooi Keong; Wong, Shiau Foong; Mahmud, Malissa Maria; Zhamgyrchiev, Nursultan</t>
  </si>
  <si>
    <t>Unveiling Gender Dynamics: Examining Gender Moderation Effects on the Relationship of Subjective Norms, Attitude, and Intention Towards E-Wallet Adoption in Tajikistan</t>
  </si>
  <si>
    <t>2023 INTERNATIONAL CONFERENCE ON ADVANCED ENTERPRISE INFORMATION SYSTEM, AEIS 2023</t>
  </si>
  <si>
    <t>3rd International Conference on Advanced Enterprise Information System (AEIS)</t>
  </si>
  <si>
    <t>DEC 01-03, 2023</t>
  </si>
  <si>
    <t>London, ENGLAND</t>
  </si>
  <si>
    <t>Theory of reasoned action; attitude; intention; subjective norms; e-wallets; Tajikistan; SmartPLS</t>
  </si>
  <si>
    <t>Progress for women is hampered in Tajikistan by enduring gender differences in earnings, political representation, and involvement in the labour force. Gender-specific problems continue because men earn more across all industries and there are a lot of young women who are Not in Education, Employment or Training (NEET). Given the potential of digital financial inclusion to improve economic opportunities for women, it is crucial to look into how these gender dynamics impact e-wallet usage. This study investigates how gender affects the relationship between e-wallet usage intention, attitude, and subjective norms in Tajikistan. Complete responses were given by 288 males and 127 women who took part in the survey. The results show that gender has an impact on the ways that attitude, intention, and subjective norms affect the use of e-wallets. The adoption of e-wallets by women is substantially influenced by their views, whereas male intention is driven by subjective norms. Stakeholders should give gender equality a high priority across all sectors, particularly finance, in light of the gender differences in Tajikistan's employment, compensation, and political landscape. Initiatives focused on financial education are advised to improve understanding of the advantages of e-wallets. It is recommended to adopt customized marketing strategies that consider how gender influences e-wallet use. Government, financial institutions, and civil society collaboration are essential for promoting the adoption of gender-inclusive e-wallets.</t>
  </si>
  <si>
    <t>[Yong, Wooi Keong; Wong, Shiau Foong] Sunway Univ, Sch Amer Educ, Selangor, Malaysia; [Mahmud, Malissa Maria] Sunway Univ, Sch Educ, Selangor, Malaysia; [Zhamgyrchiev, Nursultan] Ala Too Int Univ, Bishkek, Kyrgyzstan</t>
  </si>
  <si>
    <t>Sunway University; Sunway University</t>
  </si>
  <si>
    <t>Wong, SF (corresponding author), Sunway Univ, Sch Amer Educ, Selangor, Malaysia.</t>
  </si>
  <si>
    <t>wooikeongy@sunway.edu.my; janicew@sunway.edu.my; malissam@sunway.edu.my; nzhamgyrchiev@gmail.com</t>
  </si>
  <si>
    <t>Sunway University, Malaysia</t>
  </si>
  <si>
    <t>This work was financially supported by Sunway University, Malaysia. The authors acknowledge the contribution of Kasiet Ysmanova in the preparation of data for this manuscript.</t>
  </si>
  <si>
    <t>979-8-3503-5926-8</t>
  </si>
  <si>
    <t>10.1109/AEIS61544.2023.00029</t>
  </si>
  <si>
    <t>Computer Science, Artificial Intelligence; Computer Science, Theory &amp; Methods; Operations Research &amp; Management Science</t>
  </si>
  <si>
    <t>Computer Science; Operations Research &amp; Management Science</t>
  </si>
  <si>
    <t>BW8UF</t>
  </si>
  <si>
    <t>WOS:001207050400022</t>
  </si>
  <si>
    <t>Santoso, B; Ahmad, K</t>
  </si>
  <si>
    <t>Santoso, Bedjo; Ahmad, Khaliq</t>
  </si>
  <si>
    <t>Islamic Microfinance Branchless Banking Model in Indonesia</t>
  </si>
  <si>
    <t>INTELLECTUAL DISCOURSE</t>
  </si>
  <si>
    <t>Islamic Microfinance; Cooperatives; Branchless Banking; Financial Inclusion; ICT; Islamic finance</t>
  </si>
  <si>
    <t>ICT has been recently developed into a digital sustainable collaborative networking (DCN) platform, and it is expected to be capable of demonstrating the building of social and economic welfare, particularly in crafting innovations to facilitate marginal society. This research attempts to develop an innovative platform of an empirical ICT application a branchless banking form based on ICT Model. The application of Branchless banking model is expected to address the poverty problem which is significantly high in Indonesia. Indonesia is known for it's heterogeneous values in terms of its areas, ethics, traditions, customs, communities, and local wisdom. The newly introduced application of a mobile payment system is parallel to the vision, and mission upheld by the government. Currently, most literature and practices are just partial. The community model based on Islamic microfinance and Cooperatives is neglected. Therefore, this research aims to design branchless banking in terms of financial inclusion involving Islamic microfinance and Cooperatives. Furthermore, this paper also attempts to test to what extent the proposed model is viable in the current system. This study employs a qualitative approach by conducting an interview with the stakeholders and a deductive method is used to explore and design the proposed model. The finding exhibit that branchless banking based on an Islamic microfinance and a Cooperative model is more flexible and easily acceptable while crafting a deal with Indonesian. In addition, the proposed model is viable in the current system. By implementing this model, the economy can be strengthened toward national unity and a welfare state.</t>
  </si>
  <si>
    <t>[Santoso, Bedjo] UNISSULA Semarang, Fac Econ, Semarang, Indonesia; [Ahmad, Khaliq] Int Islamic Univ Malaysia, IIUM Inst Islamic Banking &amp; Finance IIiBF, Kuala Lumpur, Malaysia</t>
  </si>
  <si>
    <t>Kampus Unissula; International Islamic University Malaysia</t>
  </si>
  <si>
    <t>Ahmad, K (corresponding author), Int Islamic Univ Malaysia, IIUM Inst Islamic Banking &amp; Finance IIiBF, Kuala Lumpur, Malaysia.</t>
  </si>
  <si>
    <t>santosobedjo@unissula.ac.id; Khaliq@iium.edu.my</t>
  </si>
  <si>
    <t>Santoso, Bedjo/Z-5403-2019; Ahmad, Khaliq/AFA-8973-2022</t>
  </si>
  <si>
    <t>Ahmad, Khaliq/0000-0001-8129-5178</t>
  </si>
  <si>
    <t>INT ISLAMIC UNIV MALAYSIA, PRESS RESEARCH MANAGEMENT CENTER</t>
  </si>
  <si>
    <t>KUALA LUMPUR</t>
  </si>
  <si>
    <t>PO BOX 10, KUALA LUMPUR, 50728, MALAYSIA</t>
  </si>
  <si>
    <t>0128-4878</t>
  </si>
  <si>
    <t>2289-5639</t>
  </si>
  <si>
    <t>INTELLECT DISCOURSE</t>
  </si>
  <si>
    <t>Intellect. Discourse</t>
  </si>
  <si>
    <t>Religion</t>
  </si>
  <si>
    <t>FB4WY</t>
  </si>
  <si>
    <t>WOS:000406144000004</t>
  </si>
  <si>
    <t>Ankrah, ST; He, Z; Asare-Kyire, L; Ofori, KS</t>
  </si>
  <si>
    <t>Ankrah, Shadrach Twumasi; He, Zheng; Asare-Kyire, Lydia; Ofori, Kwame Simpe</t>
  </si>
  <si>
    <t>Beyond cash: a user-centric approach to mobile payment growth, service failure tolerance and continuance intention</t>
  </si>
  <si>
    <t>TOTAL QUALITY MANAGEMENT &amp; BUSINESS EXCELLENCE</t>
  </si>
  <si>
    <t>Co-production; M-payment; value co-creation; fsQCA; developing economies</t>
  </si>
  <si>
    <t>VALUE CO-CREATION; BRAND CREDIBILITY; SOCIAL-EXCHANGE; CUSTOMER; SATISFACTION; COPRODUCTION; LOYALTY; QUALITY; CONSEQUENCES; EXPERIENCE</t>
  </si>
  <si>
    <t>Mobile payment systems in developing economies face challenges in adoption and engagement, owing to infrastructural constraints, cultural affinity towards cash, and limited financial literacy. This study delves into the role of user-perceived co-production equity, which is a sense of fairness and influence in service development, in shaping user behaviour in mobile payment systems. We conducted the study on 436 mobile payment users through online and offline surveys, applying PROCESS and fuzzy set qualitative comparative analyses. The findings of this study underscore the importance of a fair co-production process, which positively influences service recommendations, resilience to disruptions, and sustained usage over time. User relationship satisfaction partially mediates these relationships, whereas service credibility strengthens them. Fuzzy set qualitative comparative analysis confirms that co-production equity is a necessary condition for user advocacy and continuance intention. We propose a strategic framework for service providers and policymakers, advocating for a shift towards genuine user co-production characterised by transparency, robust feedback mechanisms, and community engagement initiatives. This user-centric approach not only fosters trust and drives adoption but also significantly mitigates churn rates, navigates cultural barriers, and fosters sustained user engagement, thereby advancing financial inclusion in developing countries.</t>
  </si>
  <si>
    <t>[Ankrah, Shadrach Twumasi] Univ Elect Sci &amp; Technol China UESTC, Sch Management &amp; Econ, Chengdu, Peoples R China; [Ankrah, Shadrach Twumasi] Univ Elect Sci &amp; Technol China, Ctr West African Studies, Chengdu, Peoples R China; [He, Zheng] Univ Elect Sci &amp; Technol China, Sch Management &amp; Econ, Chengdu, Peoples R China; [Asare-Kyire, Lydia] Kumasi Tech Univ, Sch Entrepreneurship &amp; Finance, Kumasi, Ghana; [Ofori, Kwame Simpe] Int Univ Grand Bassam, Sch Business &amp; Social Sci, Abidjan, Cote Ivoire</t>
  </si>
  <si>
    <t>University of Electronic Science &amp; Technology of China; University of Electronic Science &amp; Technology of China; University of Electronic Science &amp; Technology of China</t>
  </si>
  <si>
    <t>Ankrah, ST (corresponding author), Univ Elect Sci &amp; Technol China, Ctr West African Studies, Sch Management &amp; Econ, 2006 Xiyuan Ave,West Hitech Zone, Chengdu 611731, Sichuan, Peoples R China.</t>
  </si>
  <si>
    <t>shadrach336@gmail.com</t>
  </si>
  <si>
    <t>Ofori, Kwame Simpe/J-5285-2019; Ankrah, shadrach/JUV-4529-2023; Zheng, He/O-3713-2019</t>
  </si>
  <si>
    <t>Ofori, Kwame Simpe/0000-0001-7725-9756; ASARE-KYIRE, LYDIA/0000-0002-0523-0863;</t>
  </si>
  <si>
    <t>Science and Technology Planning Fund of Sichuan Province, China [2020JDR0117]</t>
  </si>
  <si>
    <t>Science and Technology Planning Fund of Sichuan Province, China</t>
  </si>
  <si>
    <t>This work was supported by the Science and Technology Planning Fund of Sichuan Province, China [grant number 2020JDR0117].</t>
  </si>
  <si>
    <t>1478-3363</t>
  </si>
  <si>
    <t>1478-3371</t>
  </si>
  <si>
    <t>TOTAL QUAL MANAG BUS</t>
  </si>
  <si>
    <t>Total Qual. Manag. Bus. Excell.</t>
  </si>
  <si>
    <t>NOV 16</t>
  </si>
  <si>
    <t>15-16</t>
  </si>
  <si>
    <t>10.1080/14783363.2024.2407932</t>
  </si>
  <si>
    <t>O2L1O</t>
  </si>
  <si>
    <t>WOS:001321006700001</t>
  </si>
  <si>
    <t>Fung, DWH; Lee, BWY; Yeh, JJH; Yuen, KFL</t>
  </si>
  <si>
    <t>Bingzheng, C; Powers, MR</t>
  </si>
  <si>
    <t>Fung, Derrick W. H.; Lee, Becky W. Y.; Yeh, Jason J. H.; Yuen, Kevin F. L.</t>
  </si>
  <si>
    <t>Does the Marriage of Finance and Technology Disrupt Financial Stability? Empirical Evidence from the Introduction of FinTech Regulatory Sandboxes</t>
  </si>
  <si>
    <t>PROCEEDINGS OF 2019 CHINA INTERNATIONAL CONFERENCE ON INSURANCE AND RISK MANAGEMENT (CICIRM)</t>
  </si>
  <si>
    <t>10th China International Conference on Insurance and Risk Management (CICIRM)</t>
  </si>
  <si>
    <t>JUL 17-20, 2019</t>
  </si>
  <si>
    <t>SW Univ Finance &amp; Econ, Insurance Sch, Chengdu, PEOPLES R CHINA</t>
  </si>
  <si>
    <t>Tsinghua Univ, Sch Econ &amp; Management, China Ctr Insurance &amp; Risk Management,City Univ London, Cass Business Sch</t>
  </si>
  <si>
    <t>SW Univ Finance &amp; Econ, Insurance Sch</t>
  </si>
  <si>
    <t>FinTech; Financial stability; Sandboxes</t>
  </si>
  <si>
    <t>BANK PERFORMANCE; RISK; GOVERNANCE; IMPACT; INCOME</t>
  </si>
  <si>
    <t>Whether FinTech affects financial stability is a controversial issue. Opponents believe that FinTech could amplify contagion, procyclicality, and volatility in the market and undermine financial stability, while proponents argue that FinTech mitigates financial instability risk by decentralization, diversification, and enhanced transparency. In this paper, with a panel dataset which consists of international banks, we exploit the introduction of FinTech regulatory sandboxes as an exogenous shock and examine the effect of FinTech on financial stability. We find that (1) a shock to FinTech innovations has no net effect on financial stability when we ignore market characteristics, (2) promoting FinTech enhances (undermines) financial stability in markets with low (high) financial inclusion, and (3) FinTech affects financial stability through the channel of banks' profitability. Our findings have important policy implications for regulators regarding maintenance of financial stability and promotion of FinTech innovations.</t>
  </si>
  <si>
    <t>[Fung, Derrick W. H.; Lee, Becky W. Y.; Yuen, Kevin F. L.] Hang Seng Univ Hong Kong, Dept Math &amp; Stat, Shatin, Hong Kong, Peoples R China; [Yeh, Jason J. H.] Chinese Univ Hong Kong, Dept Finance, Shatin, Hong Kong, Peoples R China</t>
  </si>
  <si>
    <t>Hang Seng University of Hong Kong; Chinese University of Hong Kong</t>
  </si>
  <si>
    <t>Fung, DWH (corresponding author), Hang Seng Univ Hong Kong, Dept Math &amp; Stat, Shatin, Hong Kong, Peoples R China.</t>
  </si>
  <si>
    <t>derrickfung@hsu.edu.hk; beckylee@hsu.edu.hk; jasonyeh@baf.cuhk.edu.hk; kevinyuen@hsu.edu.hk</t>
  </si>
  <si>
    <t>TSINGHUA UNIV PRESS</t>
  </si>
  <si>
    <t>TSINGHUA UNIV HAIDIANQU, BEIJING 100084, PEOPLES R CHINA</t>
  </si>
  <si>
    <t>978-7-89511-195-0</t>
  </si>
  <si>
    <t>BO5YP</t>
  </si>
  <si>
    <t>WOS:000519108000021</t>
  </si>
  <si>
    <t>Kamalu, K; Ibrahim, WHBW; Bala, U</t>
  </si>
  <si>
    <t>Kamalu, Kabiru; Ibrahim, Wan Hakimah Binti Wan; Bala, Umar</t>
  </si>
  <si>
    <t>The Effects of Digital Financial Inclusion on Human Development in Developing Countries: Evidence from MM-QR with Fixed Effect</t>
  </si>
  <si>
    <t>INTERDISCIPLINARY JOURNAL OF MANAGEMENT STUDIES</t>
  </si>
  <si>
    <t>Digital financial inclusion; Human development; Remittances; Quality governance; Quantile regression</t>
  </si>
  <si>
    <t>TESTS</t>
  </si>
  <si>
    <t>This study examines the effect of digital financial inclusion on the conditional distribution of human development in 37 developing countries with available data from 2004 to 2021. The study uses the Method of Moment Quantile Regression (MM-QR) with a fixed effect that examines the effect of digital financial inclusion on the different levels of human development. The findings indicate that digital financial inclusion promotes human development, with a more significant impact in countries with very high human development. In addition, the findings indicate that high-quality governance enhances the positive effect of digital financial inclusion on human development. The results of this study were robust when we used the System Generalized Method of the Moment (SGMM) estimator. The study concludes that the effect of digital financial inclusion on human development varies in developing countries, depending on each country's level of human development. Policymakers should focus on policies that will speed up the digitalization process and increase access and coverage of digital financial services, such as mobile money, e-wallets, QR code payments, and blockchain technology, especially in countries with low and medium levels of human development.</t>
  </si>
  <si>
    <t>[Kamalu, Kabiru; Ibrahim, Wan Hakimah Binti Wan] Univ Sultan Zainal Abidin, Fac Business &amp; Management, Dept Management, Gong Badak 21300, Kuala Terengganu 21300, Malaysia; [Bala, Umar] Univ Putra Malaysia, Sch Business &amp; Econ, Dept Econ, Serdang, Malaysia</t>
  </si>
  <si>
    <t>Universiti Sultan Zainal Abidin; Universiti Putra Malaysia</t>
  </si>
  <si>
    <t>Ibrahim, WHBW (corresponding author), Univ Sultan Zainal Abidin, Fac Business &amp; Management, Dept Management, Gong Badak 21300, Kuala Terengganu 21300, Malaysia.</t>
  </si>
  <si>
    <t>kamalu.kabiru@ymail.com; wanhakimah@unisza.edu.my; umarbala@upm.edu.my</t>
  </si>
  <si>
    <t>Kamalu, Kabiru/JFB-2572-2023; Bala, Umar/AHD-2565-2022</t>
  </si>
  <si>
    <t>UNIV TEHRAN</t>
  </si>
  <si>
    <t>TEHRAN</t>
  </si>
  <si>
    <t>ENGHELAB AVE, PO BOX 13145-478, TEHRAN, 00000, IRAN</t>
  </si>
  <si>
    <t>2981-0795</t>
  </si>
  <si>
    <t>INTERD J MANAGE STUD</t>
  </si>
  <si>
    <t>Interdiscip. J. Manag. Stud.</t>
  </si>
  <si>
    <t>10.22059/ijms.2025.374206.676627</t>
  </si>
  <si>
    <t>AB4DI</t>
  </si>
  <si>
    <t>WOS:001644131400004</t>
  </si>
  <si>
    <t>Zhao, CK; Wu, YQ; Guo, JH</t>
  </si>
  <si>
    <t>Zhao, Chunkai; Wu, Yaqian; Guo, Jianhao</t>
  </si>
  <si>
    <t>Mobile payment and Chinese rural household consumption</t>
  </si>
  <si>
    <t>CHINA ECONOMIC REVIEW</t>
  </si>
  <si>
    <t>Mobile payment; Household consumption; Transaction costs; Liquidity constraints; Inclusive finance</t>
  </si>
  <si>
    <t>FINANCIAL INCLUSION; LIQUIDITY CONSTRAINTS; ELECTRONIC PAYMENTS; TRANSACTIONS COSTS; SOCIAL-SECURITY; LITERACY; CREDIT; MIGRATION; EDUCATION; POVERTY</t>
  </si>
  <si>
    <t>The problem of high savings and low consumption of Chinese rural households has long been a source of concern. The popularity of mobile payments may help alleviate this problem. This paper examines the impact of mobile payments on household consumption in rural China by using data from the China Household Finance Survey (CHFS). To overcome the potential endogeneity, we use the instrumental variable (IV) and difference-in-differences (DID) methods and find a significant positive effect of mobile payments on rural household consumption. Mechanism analysis indicates that the positive impact of mobile payments is partially explained by the reduction in transaction costs, the easing of liquidity constraints, and the decrease in mental accounting loss. Furthermore, we verify the inclusive function of mobile payments through heterogeneity analysis and find that they play a greater role in promoting rural household consumption, especially for socially vulnerable groups, such as the elderly, people on low incomes, and low education. Our findings contribute to the literature on consumer finance and inclusive finance and have important implications for other countries.</t>
  </si>
  <si>
    <t>[Zhao, Chunkai] Shanghai Univ Finance &amp; Econ, Inst Finance &amp; Econ Res, 777 Guoding Rd, Shanghai, Peoples R China; [Wu, Yaqian] Nanjing Agr Univ, Coll Finance, 1 Weigang, Nanjing, Jiangsu, Peoples R China; [Guo, Jianhao] Army Logist Univ PLA, Dept Mil Finance, Chongqing, Peoples R China</t>
  </si>
  <si>
    <t>Shanghai University of Finance &amp; Economics; Nanjing Agricultural University; Engineering University of the Joint Logistics Support Force, PLA</t>
  </si>
  <si>
    <t>Wu, YQ (corresponding author), Nanjing Agr Univ, Coll Finance, 1 Weigang, Nanjing, Jiangsu, Peoples R China.</t>
  </si>
  <si>
    <t>wuyaqian@njau.edu.cn</t>
  </si>
  <si>
    <t>; Zhao, Chunkai/AHE-3526-2022; Wu, Yaqian/OLR-7105-2025</t>
  </si>
  <si>
    <t>Guo, Jianhao/0000-0003-1470-5960; Wu, Yaqian/0000-0002-0938-0789; Zhao, Chunkai/0000-0003-1918-9598;</t>
  </si>
  <si>
    <t>Graduate Innovation Fund of Shanghai University of Finance and Economics [CXJJ-2019-434]; Fundamental Research Funds for the Central Universities [QCDC-2020-21]; Fund for Young Teachers of College of Finance, Nanjing Agricultural University; Research Start-up Fund for Nanjing Agricultural University [804023]</t>
  </si>
  <si>
    <t>Graduate Innovation Fund of Shanghai University of Finance and Economics; Fundamental Research Funds for the Central Universities(Fundamental Research Funds for the Central UniversitiesPrince of Songkla UniversityInstituto Politecnico Nacional - Mexico); Fund for Young Teachers of College of Finance, Nanjing Agricultural University; Research Start-up Fund for Nanjing Agricultural University</t>
  </si>
  <si>
    <t>This work was supported by the Graduate Innovation Fund of Shanghai University of Finance and Economics (No. CXJJ-2019-434), the Fundamental Research Funds for the Central Universities (No. QCDC-2020-21), the Fund for Young Teachers of College of Finance, Nanjing Agricultural University, and the Research Start-up Fund for Nanjing Agricultural University (No. 804023).</t>
  </si>
  <si>
    <t>1043-951X</t>
  </si>
  <si>
    <t>1873-7781</t>
  </si>
  <si>
    <t>CHINA ECON REV</t>
  </si>
  <si>
    <t>China Econ. Rev.</t>
  </si>
  <si>
    <t>10.1016/j.chieco.2021.101719</t>
  </si>
  <si>
    <t>2P7PV</t>
  </si>
  <si>
    <t>WOS:000819928900002</t>
  </si>
  <si>
    <t>Mohammed, F; Barrowclough, MJ; Kibler, ML; Boerngen, MA</t>
  </si>
  <si>
    <t>Mohammed, Fatima; Barrowclough, Michael J.; Kibler, Michelle L.; Boerngen, Maria A.</t>
  </si>
  <si>
    <t>Measuring usage of formal financial services as a proxy for financial inclusion A case of agricultural households in Ghana</t>
  </si>
  <si>
    <t>AGRICULTURAL FINANCE REVIEW</t>
  </si>
  <si>
    <t>Ghana; Farmers; Index; Usage; Financial inclusion; Multinomial logistic</t>
  </si>
  <si>
    <t>TECHNICAL EFFICIENCY; CREDIT ACCESS; IMPACT</t>
  </si>
  <si>
    <t>Purpose Financial inclusion is an issue of importance and increasing concern worldwide, particularly to policymakers across Africa and the rest of the developing world. The purpose of this paper is to investigate the level of usage of formal financial services among Ghanaian agricultural households as well as factors influencing these levels. Design/methodology/approach Financial inclusion indicators associated with the usage of formal financial services are selected from the 2017 Ghana Living Standard Survey. Using these indicators, an index measuring the level of usage of formal financial services is developed. A multinomial logistic regression model is implemented to analyze the possible effect that farm and household characteristics have on index measures. Findings Usage of formal financial services is very low among agricultural households, with many households using no financial products or services. Household expenditure, education, religion, geographic location, and the use of informal financial services were found to be consistent factors impacting household financial inclusion levels. Originality/value A household-level index measuring usage of formal financial services was developed and characteristics influencing said index measures were examined, providing a more holistic view and understanding of factors influencing usage decisions.</t>
  </si>
  <si>
    <t>[Mohammed, Fatima; Barrowclough, Michael J.; Kibler, Michelle L.; Boerngen, Maria A.] Illinois State Univ, Dept Agr, Normal, IL 61761 USA</t>
  </si>
  <si>
    <t>Illinois State University</t>
  </si>
  <si>
    <t>Barrowclough, MJ (corresponding author), Illinois State Univ, Dept Agr, Normal, IL 61761 USA.</t>
  </si>
  <si>
    <t>mjbarr4@ilstu.edu</t>
  </si>
  <si>
    <t>Mohammed, Fatima/JWO-6923-2024</t>
  </si>
  <si>
    <t>0002-1466</t>
  </si>
  <si>
    <t>2041-6326</t>
  </si>
  <si>
    <t>AGRIC FINANCE REV</t>
  </si>
  <si>
    <t>Agric. Finance Rev.</t>
  </si>
  <si>
    <t>AUG 3</t>
  </si>
  <si>
    <t>10.1108/AFR-09-2019-0096</t>
  </si>
  <si>
    <t>MG3QI</t>
  </si>
  <si>
    <t>WOS:000524798500001</t>
  </si>
  <si>
    <t>Ly, HTN; Khuong, NV; Son, TH</t>
  </si>
  <si>
    <t>Huynh Thi Ngoc Ly; Nguyen Vinh Khuong; Tran Hung Son</t>
  </si>
  <si>
    <t>DETERMINANTS AFFECT MOBILE WALLET CONTINUOUS USAGE IN COVID 19 PANDEMIC: EVIDENCE FROM VIETNAM</t>
  </si>
  <si>
    <t>Mobile wallet; UTAUT2; Behavioral intention; Continuance usage; COVID-19</t>
  </si>
  <si>
    <t>USER ACCEPTANCE; UNIFIED THEORY; INFORMATION-TECHNOLOGY; GENDER-DIFFERENCES; PLS-SEM; ADOPTION; MODEL; COMMERCE; BANKING</t>
  </si>
  <si>
    <t>Disruptive technology has been prominent as a spotlight with countless innovations that improve human's life efficiently. In Vietnam, COVID-19's outbreak has reinforced citizens to adopt other types of payment without using cash, which easily diffuses virus. Till now, the number of studies related to continuance usage of mobile wallets in Vietnam has been rare. Hence, our purpose in this research is to study continuance usage in COVID-19 through determinants. This paper concentrates on Millennials and Zillennials living Ho Chi Minh City. PLS-SEM with data collected from questionnaires assesses the conceptual model that indicates the correlation between UTAUT2's constructs, trust, price saving orientation, behavioral intention and continuance usage. As predicted, the findings show that there are positive relationships among all determinants. In the event of effort expectancy and social influence, despite unsatisfactory of statistical significance, they reflect current context. Besides, direct positive influences from two variables to behavioral intention lead to further research studies after the pandemic to conclude properly about their significance. From the study's result, business strategies together with security's policies have to be modified by providers as well as the government to motivate mobile wallet adoption in Vietnam, amplifying cashless society and financial inclusion targets.</t>
  </si>
  <si>
    <t>[Huynh Thi Ngoc Ly; Tran Hung Son] Univ Econ &amp; Law, Inst Dev &amp; Res Banking Technol, Ho Chi Minh City, Vietnam; [Huynh Thi Ngoc Ly; Nguyen Vinh Khuong; Tran Hung Son] Vietnam Natl Univ, Ho Chi Minh City, Vietnam; [Nguyen Vinh Khuong] Univ Econ &amp; Law, Fac Accounting &amp; Auditing, Ho Chi Minh City, Vietnam</t>
  </si>
  <si>
    <t>Vietnam National University Ho Chi Minh City (VNUHCM) System; VNU-HCM University of Economics &amp; Law (VNUHCM-UEL); Vietnam National University Ho Chi Minh City (VNUHCM) System; Vietnam National University Ho Chi Minh City (VNUHCM) System; VNU-HCM University of Economics &amp; Law (VNUHCM-UEL)</t>
  </si>
  <si>
    <t>Khuong, NV (corresponding author), Univ Econ &amp; Law, Ho Chi Minh City, Vietnam.</t>
  </si>
  <si>
    <t>lyhtn@uel.edu.vn; khuongnv@uel.edu.vn; sonth@uel.edu.vn</t>
  </si>
  <si>
    <t>Vinh Khuong, Nguyen/AAW-9651-2021; Tran, Son/AAF-8232-2021</t>
  </si>
  <si>
    <t>Vinh Khuong, Nguyen/0000-0002-7649-5113; Tran, Son/0000-0002-8923-4553</t>
  </si>
  <si>
    <t>University of Economics and Law, Vietnam National University, Ho Chi Minh City, Vietnam</t>
  </si>
  <si>
    <t>This research is funded by the University of Economics and Law, Vietnam National University, Ho Chi Minh City, Vietnam.</t>
  </si>
  <si>
    <t>10.1080/23311975.2022.2041792</t>
  </si>
  <si>
    <t>ZL5GG</t>
  </si>
  <si>
    <t>WOS:000763704800001</t>
  </si>
  <si>
    <t>Ozili, PK; Lay, SH; Syed, AA</t>
  </si>
  <si>
    <t>Ozili, Peterson K.; Lay, Sok Heng; Syed, Aamir Aijaz</t>
  </si>
  <si>
    <t>Impact of financial inclusion on economic growth in secular and religious countries</t>
  </si>
  <si>
    <t>Financial inclusion; Economic growth; ATMs per 100; 000 adults; Bank branches per 100; 000 adults; Poverty; Internet usage; Access of finance; Religion; Religious countries; Secular countries; Economic development; Financial intermediaries; Financial institutions</t>
  </si>
  <si>
    <t>GDP PER-CAPITA; INCOME INEQUALITY; DETERMINANTS; POVERTY; POPULATION; MODELS; NEXUS</t>
  </si>
  <si>
    <t>PurposeEmpirical research on the relationship between financial inclusion and economic growth has neglected the influence of religion or secularism. This study aims to investigate the effect of financial inclusion on economic growth in religious and secular countries. Design/methodology/approachThe financial inclusion indicators are the number of automated teller machines (ATMs)per 100,000 adults and the number of bank branches per 100,000 adults. These two indicators are the accessibility dimension of financial inclusion based on physical points of service. The two-stage least square (2SLS) regression method was used to analyze the effect of financial inclusion on real gross domestic product (GDP) per capita growth and real GDP growth in religious and secular countries. FindingsBank branch contraction significantly increases economic growth in secular countries. Bank branch expansion combined with greater internet usage increases economic growth in secular countries while high ATM supply combined with greater internet usage decreases economic growth in secular countries. This study also finds that bank branch expansion, in the midst of a widening poverty gap, significantly increases economic growth in religious countries, implying that financial inclusion through bank branch expansion is effective in promoting economic growth in poor religious countries. It was also found that internet usage is a strong determinant of economic growth in secular countries. Originality/valueFew studies in the literature examined the effect of financial inclusion on economic growth. But the literature has not examined how financial inclusion affects economic growth in religious and secular countries.</t>
  </si>
  <si>
    <t>[Ozili, Peterson K.] Governors Dept, Cent Bank Nigeria, Abuja, Nigeria; [Lay, Sok Heng] Natl Bank Cambodia, Econ Res &amp; Int Cooperat Dept, Phnom Penh, Cambodia; [Syed, Aamir Aijaz] Shri Ramswaroop Mem Univ, Inst Management Commerce &amp; Econ, Lucknow, India</t>
  </si>
  <si>
    <t>Central Bank of Nigeria; Shri Ramswaroop Memorial University</t>
  </si>
  <si>
    <t>Ozili, PK (corresponding author), Governors Dept, Cent Bank Nigeria, Abuja, Nigeria.</t>
  </si>
  <si>
    <t>petersonkitakogelu@yahoo.com; sokheng@nbc.org.kh; aamirank@gmail.com</t>
  </si>
  <si>
    <t>Syed, Aamir/AAF-3055-2020; Ozili, Peterson/A-8418-2015</t>
  </si>
  <si>
    <t>10.1108/JFRC-08-2022-0093</t>
  </si>
  <si>
    <t>N0AS2</t>
  </si>
  <si>
    <t>WOS:000927658400001</t>
  </si>
  <si>
    <t>Zhang, JP; Zhang, HR; Gong, XM</t>
  </si>
  <si>
    <t>Zhang, Jiaping; Zhang, Huirong; Gong, Xiaomei</t>
  </si>
  <si>
    <t>Mobile payment and rural household consumption: Evidence from China</t>
  </si>
  <si>
    <t>Rural household consumption; Mobile payment; Financial inclusion; Financial technology</t>
  </si>
  <si>
    <t>FINANCIAL INCLUSION; CREDIT CONSTRAINTS; LIQUIDITY CONSTRAINTS; INCOME INEQUALITY; PRODUCTIVITY; POVERTY; WEALTH; IMPACT; GROWTH; EDUCATION</t>
  </si>
  <si>
    <t>Exploring effective measures to promote rural household consumption is a challenge for developing countries, where rural areas often face severe financial exclusion and undeveloped commercial services. In this research, the influence of mobile payment, a popular payment method emerging in recent years, on rural household consumption is assessed by adopting China Household Finance Survey of 2017. Estimation results under the instrumental variable method suggest that mobile payment has a statistically significant and facilitating effect on rural household consumption in China. This positive effect is attributed to the benefits of mobile payment in improving financial inclusion and the convenience of consumption activities for rural areas, which is verified by performing several disaggregated analyses in our study. This work provides new evidence for the increasing literature on the economic impact of financial technology and several enlightenments for developing countries to improve the quality of public life through information intervention policies.</t>
  </si>
  <si>
    <t>[Zhang, Jiaping] East China Normal Univ, Fac Econ &amp; Management, Sch Publ Adm, Shanghai 200062, Peoples R China; [Zhang, Huirong] Shandong Management Univ, Sch Lab Relationship, Jinan 250357, Peoples R China; [Gong, Xiaomei] Shanghai Univ Finance &amp; Econ, Sch Publ Econ &amp; Adm, Shanghai 200433, Peoples R China</t>
  </si>
  <si>
    <t>East China Normal University; Shandong Management University; Shanghai University of Finance &amp; Economics</t>
  </si>
  <si>
    <t>Gong, XM (corresponding author), Shanghai Univ Finance &amp; Econ, Sch Publ Econ &amp; Adm, Shanghai 200433, Peoples R China.</t>
  </si>
  <si>
    <t>jpzhang@fem.ecnu.edu.cn; zh239@scarletmail.rutgers.edu; xiaom_gong06@163.sufe.edu.cn</t>
  </si>
  <si>
    <t>Gong, Xiaomei/0000-0001-7388-4028; Zhang, Jiaping/0000-0002-0595-7202; ZHANG, HUIRONG/0000-0002-7363-7278</t>
  </si>
  <si>
    <t>National Natural Science Foundation of China [71873095]; National Social Science Foundation of China [18BJY108]</t>
  </si>
  <si>
    <t>National Natural Science Foundation of China(National Natural Science Foundation of China (NSFC)); National Social Science Foundation of China(National Office of Philosophy and Social Sciences)</t>
  </si>
  <si>
    <t>This work was supported by National Natural Science Foundation of China (71873095) and National Social Science Foundation of China (18BJY108).</t>
  </si>
  <si>
    <t>10.1016/j.telpol.2021.102276</t>
  </si>
  <si>
    <t>2P6SN</t>
  </si>
  <si>
    <t>WOS:000819868300007</t>
  </si>
  <si>
    <t>Ouedraogo, H; Dianda, P; Topan, GJ</t>
  </si>
  <si>
    <t>Ouedraogo, Hamidou; Dianda, Pousbila; Topan, Guiro Jeudi</t>
  </si>
  <si>
    <t>Renewable energies in WAEMU countries: the role of financial inclusion</t>
  </si>
  <si>
    <t>INTERNATIONAL JOURNAL OF ENERGY SECTOR MANAGEMENT</t>
  </si>
  <si>
    <t>Renewable energies; Sustainable development; WAEMU; Financial inclusion; PSCE method; C33; G21; Q41; Q43</t>
  </si>
  <si>
    <t>PurposeThe sustainable development goals (SDGs), particularly SDG 7, highlight the importance of universal access to reliable, sustainable and affordable energy services. The development of renewable energies has thus become central to improving people's living conditions, particularly in developing countries. Identifying the factors driving this energy transition is crucial. This study aims to determine whether financial inclusion is an important lever for promoting renewable energy in seven WAEMU countries.Design/methodology/approachThis study uses data from seven WAEMU countries over the period 2007-2022. The authors estimate the models using the panel-corrected standard error method to account for heteroskedasticity, autocorrelation and possible serial correlations. The robustness of the results is enhanced by the use of the Driscoll-Kraay method.FindingsThe results of the estimates show that the financial inclusion indicators (geographical and demographic penetration rates of financial services and strict and extended bancarization rates) have a positive and significant effect on the production and consumption of renewable energies in WAEMU countries. In addition, the estimates indicate that forestry and mineral rents stimulate the production and consumption of renewable energy. These results remain robust to the Driscoll and Kraay tests.Research limitations/implicationsThe conclusions of this study highlight the need for WAEMU governments to strengthen financial and technological infrastructures, notably by developing mobile financial services, to improve access to financial services for the most vulnerable populations, particularly women and young people.Originality/valueThe originality of this research lies in the fact that it contributes to a better understanding of the relationship between financial inclusion and renewable energy by using four indicators of financial inclusion and two indicators of renewable energy production and consumption. In addition, the use of robust econometric methods ensures the robustness of the results.</t>
  </si>
  <si>
    <t>[Ouedraogo, Hamidou; Dianda, Pousbila; Topan, Guiro Jeudi] Univ Thomas SANKARA, Documentat &amp; Res Ctr CEDRES, Dept Econ Econ &amp; Social Studies, Ouagadougou, Burkina Faso</t>
  </si>
  <si>
    <t>Ouedraogo, H (corresponding author), Univ Thomas SANKARA, Documentat &amp; Res Ctr CEDRES, Dept Econ Econ &amp; Social Studies, Ouagadougou, Burkina Faso.</t>
  </si>
  <si>
    <t>ohamidou955@gmail.com; dpousbila@yahoo.com; gjtopan90@gmail.com</t>
  </si>
  <si>
    <t>DIANDA, Pousbila/MDT-3334-2025; OUEAOGO, Hamidou/MGV-0423-2025</t>
  </si>
  <si>
    <t>DIANDA, Pousbila/0009-0006-5419-0104; OUEAOGO, Hamidou/0009-0009-9467-0067</t>
  </si>
  <si>
    <t>1750-6220</t>
  </si>
  <si>
    <t>1750-6239</t>
  </si>
  <si>
    <t>INT J ENERGY SECT MA</t>
  </si>
  <si>
    <t>Int. J. Energy Sect. Manag.</t>
  </si>
  <si>
    <t>2025 MAR 24</t>
  </si>
  <si>
    <t>10.1108/IJESM-10-2024-0058</t>
  </si>
  <si>
    <t>0HS6R</t>
  </si>
  <si>
    <t>WOS:001447653400001</t>
  </si>
  <si>
    <t>Wauk, G; Chai, JW; Adjorlolo, G; Amouzou, EK; Bonney, B; N-yanyi, B</t>
  </si>
  <si>
    <t>Wauk, Gladys; Chai, Junwu; Adjorlolo, Gideon; Amouzou, Edem Koffi; Bonney, Belinda; N-yanyi, Benedict</t>
  </si>
  <si>
    <t>Antecedents of Sustainable Usage Behaviors Through Mobile Payment Technology for Digital Financial Inclusion in Ghana</t>
  </si>
  <si>
    <t>SYSTEMS</t>
  </si>
  <si>
    <t>mobile payment technology; sustainable consumer behavior; sustainable development; sustainability TPB; financial inclusion; Ghana</t>
  </si>
  <si>
    <t>PLANNED BEHAVIOR; METHOD BIAS; CONSUMER-BEHAVIOR; INTENTION; DETERMINANTS; PERFORMANCE; IMPACT; OPPORTUNITIES; METAANALYSIS; ATTITUDES</t>
  </si>
  <si>
    <t>Mobile payment technology (MPT) has emerged as a tool with the potential to advance financial inclusion and sustainable development. However, the existing literature inadequately explains how sustainability factors influence user behavior toward MPT adoption and how this behavior translates into financial inclusion especially under the influence of mobile transaction tax policies in African countries. This study addresses this gap by examining the antecedents of sustainable usage behaviors of MPT and their implications for digital financial inclusion in Ghana. Specifically, it integrates the triple bottom line (TBL) dimensions (economic, social, and environmental impact) with constructs from the theory of planned behavior (TPB) (attitude, perceived behavioral control, and subjective norms) into a unified sustainability-TPB framework. This study further investigates the moderating role of a mobile transaction tax policy (MTTP) on the relationship between sustainable usage behaviors and financial inclusion. The PLS-SEM method was utilized to analyze the theoretical model using the cross-sectional data of 320 respondents. The findings of this study supported that all TBL dimensions and TPB constructs influence behavioral intention and adoption through the usage of mobile payment technology and consequently financial inclusion. Notably, the mobile transaction tax policy negatively impacts the adoption of sustainable behaviors and financial inclusion. This study contributes to the current theoretical discourse on sustainable consumer behaviors and positions it on the broader sustainable development framework through financial inclusion by providing a shred of empirical evidence in the Ghanaian mobile payment industry perspective. The practical and policy implications are also suggested.</t>
  </si>
  <si>
    <t>[Wauk, Gladys; Chai, Junwu; Adjorlolo, Gideon; Amouzou, Edem Koffi] Univ Elect Sci &amp; Technol China, Sch Management &amp; Econ, Chengdu 611731, Peoples R China; [Wauk, Gladys; Chai, Junwu; Adjorlolo, Gideon; Amouzou, Edem Koffi] Univ Elect Sci &amp; Technol China, Ctr West Africa Studies, Chengdu 611731, Peoples R China; [Adjorlolo, Gideon] Univ Dev Studies, Directorate ICT, POB TL1350, Tamale, Ghana; [Bonney, Belinda] Univ Int Business &amp; Econ, Sch Govt, Beijing 100029, Peoples R China; [N-yanyi, Benedict] Univ Dev Studies, Fac Agr Food &amp; Consumer Sci, POB TL1882, Nyankpanla, Ghana</t>
  </si>
  <si>
    <t>University of Electronic Science &amp; Technology of China; University of Electronic Science &amp; Technology of China; University for Development Studies; University of International Business &amp; Economics; University for Development Studies</t>
  </si>
  <si>
    <t>Wauk, G (corresponding author), Univ Elect Sci &amp; Technol China, Sch Management &amp; Econ, Chengdu 611731, Peoples R China.;Wauk, G (corresponding author), Univ Elect Sci &amp; Technol China, Ctr West Africa Studies, Chengdu 611731, Peoples R China.</t>
  </si>
  <si>
    <t>gladyswauk1989@gmail.com; chaijw@uestc.edu.cn; gadjorlolo@uds.edu.gh; freddyedem177@gmail.com; bonney@uibe.edu.cn; benyaw1993@gmail.com</t>
  </si>
  <si>
    <t>WAUK, GLADYS/0000-0002-5060-2435; Adjorlolo, Gideon/0000-0001-7480-4448; AMOUZOU, EDEM KOFFI/0000-0002-7725-0767</t>
  </si>
  <si>
    <t>National Natural Science Foundation of China; Fundamental Research Funds for Central Universities of China [ZYGX2019F001]; [71872028]</t>
  </si>
  <si>
    <t>National Natural Science Foundation of China(National Natural Science Foundation of China (NSFC)); Fundamental Research Funds for Central Universities of China;</t>
  </si>
  <si>
    <t>The study was supported by the National Natural Science Foundation of China (71872028) and the Fundamental Research Funds for Central Universities of China (ZYGX2019F001).</t>
  </si>
  <si>
    <t>2079-8954</t>
  </si>
  <si>
    <t>SYSTEMS-BASEL</t>
  </si>
  <si>
    <t>Systems-Basel</t>
  </si>
  <si>
    <t>JUN 10</t>
  </si>
  <si>
    <t>10.3390/systems13060456</t>
  </si>
  <si>
    <t>4ES7C</t>
  </si>
  <si>
    <t>WOS:001516261400001</t>
  </si>
  <si>
    <t>Grzybowski, L; Lindlacher, V; Mothobi, O</t>
  </si>
  <si>
    <t>Grzybowski, Lukasz; Lindlacher, Valentin; Mothobi, Onkokame</t>
  </si>
  <si>
    <t>Mobile money and financial inclusion in Sub-Saharan Africa</t>
  </si>
  <si>
    <t>INFORMATION ECONOMICS AND POLICY</t>
  </si>
  <si>
    <t>Sub-Saharan Africa; Financial inclusion; Mobile money</t>
  </si>
  <si>
    <t>SELECTION BIAS; PHONES; ADOPTION; WELFARE; MODEL</t>
  </si>
  <si>
    <t>In this paper, we utilize survey data collected in 2017 from 12,735 individuals across nine Sub-Saharan African countries. We merge the survey data with geographic information related to the proximity of mobile network towers and banking facilities, based on the geo-locations of the respondents. Our estimation approach comprises a two-stage model. In the first stage, consumers make choices between adopting a feature phone or a smartphone. In the second stage, they make decisions regarding the use of mobile money services. Our findings reveal that network coverage significantly influences the adoption of mobile phones. Moreover, we observe that mobile money services are more favored by younger and relatively wealthier individuals for sending money, while older individuals and those with lower incomes tend to use mobile wallets for receiving money. Consequently, mobile money services facilitate younger migrant workers residing in areas with better infrastructure in providing support to their older relatives in less developed regions.</t>
  </si>
  <si>
    <t>[Grzybowski, Lukasz] Univ Warsaw, Fac Econ Sci, 44-50 Dluga St, PL-00241 Warsaw, Poland; [Grzybowski, Lukasz] Univ Cape Town, Sch Econ, ZA-7701 Cape Town, South Africa; [Lindlacher, Valentin] TUD Dresden Univ Technol, Fac Business &amp; Econ, Helmholtzstr 10, D-01069 Dresden, Germany; [Lindlacher, Valentin] Univ Munich, Ifo Inst, Leibniz Inst Econ Res, CESifo, Munich, Germany; [Mothobi, Onkokame] Univ Witwatersrand, Tayarisha Ctr, Sch Governance, 2 St Davids PI, Johannesburg, South Africa; [Mothobi, Onkokame] Univ Botswana, Gaborone, Botswana</t>
  </si>
  <si>
    <t>University of Warsaw; University of Cape Town; Leibniz Association; Ifo Institut; University of Munich; University of Witwatersrand; University of Botswana</t>
  </si>
  <si>
    <t>Grzybowski, L (corresponding author), Univ Warsaw, Fac Econ Sci, 44-50 Dluga St, PL-00241 Warsaw, Poland.</t>
  </si>
  <si>
    <t>lukasz.grzybowski@uct.ac.za; valentin.lindlacher@tu-dresden.de; mthonk003@gmail.com</t>
  </si>
  <si>
    <t>Mothobi, Onkokame/JTS-5777-2023; Lindlacher, Valentin/IXN-4234-2023; Grzybowski, Lukasz/MVT-9449-2025</t>
  </si>
  <si>
    <t>Mothobi, Onkokame/0000-0001-8699-1404; Lindlacher, Valentin/0000-0002-6526-9663; Grzybowski, Lukasz/0000-0002-2648-7158</t>
  </si>
  <si>
    <t>0167-6245</t>
  </si>
  <si>
    <t>1873-5975</t>
  </si>
  <si>
    <t>INF ECON POLICY</t>
  </si>
  <si>
    <t>Inf. Econ. Policy</t>
  </si>
  <si>
    <t>10.1016/j.infoecopol.2023.101064</t>
  </si>
  <si>
    <t>DL5S4</t>
  </si>
  <si>
    <t>WOS:001132217400001</t>
  </si>
  <si>
    <t>Chen, X</t>
  </si>
  <si>
    <t>Chen, Xin</t>
  </si>
  <si>
    <t>Privacy Protection in the Context of CBDC: Development Trends and China's Practice</t>
  </si>
  <si>
    <t>JOURNAL OF EAST ASIA AND INTERNATIONAL LAW</t>
  </si>
  <si>
    <t>CBDC; Privacy Protection; e-CNY; Digital Currency; Financial Technology</t>
  </si>
  <si>
    <t>PAYMENTS</t>
  </si>
  <si>
    <t>Central bank digital currency (CBDC) is generally defined as the digital form of a country's fiat currency. Based on the distributed ledger technology and other financial technology, CBDC could improve the efficiency of domestic and cross-border payments, increase payment safety and soundness, and promote financial inclusion. However, it is argued that the introduction of CBDC would threaten data security and invade personal privacy. Currently, this issue has received growing concern, and some recommendations are proposed by countries or international organizations, like privacy design, restrictions on public authorities and payment intermediaries, and establishing independent supervisory authority. Other suggestions include getting countries involved in international coordination and promoting the formation of unified standards. Among major economies, China is the first to launch CBDC, which is known as e-CNY. Based on an overview of the privacy protection legislation in China, this article attempts to describe the rules that should be followed when dealing with personal data generated in e-CNY circulation.</t>
  </si>
  <si>
    <t>[Chen, Xin] Xiamen Univ, Law Sch, Xiamen, Peoples R China</t>
  </si>
  <si>
    <t>Xiamen University</t>
  </si>
  <si>
    <t>Chen, X (corresponding author), Xiamen Univ, Law Sch, 422 Siming South Rd, Xiamen 361005, Fujian, Peoples R China.</t>
  </si>
  <si>
    <t>echoflying@xmu.edu.cn</t>
  </si>
  <si>
    <t>YIJUN INST INT LAW</t>
  </si>
  <si>
    <t>SEOUL</t>
  </si>
  <si>
    <t>562 GWANGNARURO, KWANGJIN-GU, NO 201 KYUNGWOO BD, SEOUL, 05033, SOUTH KOREA</t>
  </si>
  <si>
    <t>1976-9229</t>
  </si>
  <si>
    <t>J E ASIA INT LAW</t>
  </si>
  <si>
    <t>J. East Asia Int. Law</t>
  </si>
  <si>
    <t>10.14330/jeail.2023.16.2.01</t>
  </si>
  <si>
    <t>FA6U7</t>
  </si>
  <si>
    <t>WOS:001143070000002</t>
  </si>
  <si>
    <t>Hu, NN; Hou, GY</t>
  </si>
  <si>
    <t>Hu, Ningning; Hou, Guanyu</t>
  </si>
  <si>
    <t>Mobile payment, digital inclusive finance, and residents' consumption behavior research</t>
  </si>
  <si>
    <t>Based on the data of multiple Chinese household finance surveys, the interactive relationship between mobile payment, inclusive digital finance, and household consumption is discussed. It is found that mobile payment can directly and effectively improve household consumption, and the impact on hedonistic and developmental consumption is greater than survival consumption, which is conducive to upgrading household consumption. At the same time, mobile payment can indirectly promote basic and developmental consumer spending through digital inclusive financial mechanisms and weaken hedonistic consumer spending. The heterogeneity analysis found that the impact of mobile payment on household consumption was affected by income level, dependency structure, and regional attributes, and the low-income and high-income groups benefited more significantly, and the consumption promotion effect in the eastern and central regions was greater than that in the western and northeastern regions. Further research finds that with the improvement of income status, the promotion effect of mobile payment on consumption shows a marginal decreasing trend. It is recommended to continue to promote the popularization and application of mobile payment, accelerate the matching of supply and demand in the consumer market, formulate financial inclusion policies according to local conditions, and form a good interaction mechanism between mobile payment, digital finance, and household consumption.</t>
  </si>
  <si>
    <t>[Hu, Ningning] Chinese Acad Fiscal Sci, Grad Sch, Beijing, Peoples R China; [Hou, Guanyu] Northeastern Univ, Sch Marxism, Qinhuangdao, Peoples R China</t>
  </si>
  <si>
    <t>Chinese Academy of Fiscal Sciences; Northeastern University - China</t>
  </si>
  <si>
    <t>Hou, GY (corresponding author), Northeastern Univ, Sch Marxism, Qinhuangdao, Peoples R China.</t>
  </si>
  <si>
    <t>CUPL_hougy21@163.com</t>
  </si>
  <si>
    <t>JUL 22</t>
  </si>
  <si>
    <t>e0288679</t>
  </si>
  <si>
    <t>10.1371/journal.pone.0288679</t>
  </si>
  <si>
    <t>ZJ8Z4</t>
  </si>
  <si>
    <t>WOS:001275033300004</t>
  </si>
  <si>
    <t>Ha, D; Nguyen, K</t>
  </si>
  <si>
    <t>Ha, Dao; Nguyen, Kim</t>
  </si>
  <si>
    <t>Unlocking financial access in a developing country amidst COVID-19: the impacts of financial literacy and fintech</t>
  </si>
  <si>
    <t>JOURNAL OF THE ASIA PACIFIC ECONOMY</t>
  </si>
  <si>
    <t>G50; G51; G53; O14; O16; O53; Financial inclusion; Fintech; E-wallets; financial literacy; gender gap</t>
  </si>
  <si>
    <t>COMMON METHOD BIAS; INCLUSION; DETERMINANTS; SERVICES</t>
  </si>
  <si>
    <t>We examine the impacts of financial technology and financial literacy on the development of financial inclusion among the younger generation using data from a survey with 1288 students in Vietnam in the city and rural areas. We employ logistic regression and two-stage instrumental variable regression for our analysis, with location and financial shock caused by COVID-19 serving as the instruments. Vietnam is a fintech hub in Asia with the world-leading adaption of cryptocurrency and a significantly high rate of e-wallet use. The results indicate although there is a gap in access to financial services between urban and rural areas, the access rate is considerably high. Fintech and financial literacy play a significant role in facilitating this high level of financial inclusion development. Women have better access to financial services, showing the effectiveness of women's empowerment programs. Little evidence shows the negative impact of the pandemic on financial inclusion.</t>
  </si>
  <si>
    <t>[Ha, Dao] Ho Chi Minh Univ Banking, Grad Fac, Ho Chi Minh City, Vietnam; [Nguyen, Kim] Ho Chi Minh Univ Banking, Fac Finance, Ho Chi Minh City, Vietnam; [Nguyen, Kim] Univ Lincoln, Dept Accounting Finance &amp; Econ, Lincoln, England</t>
  </si>
  <si>
    <t>Ho Chi Minh University of Banking (HUB); Ho Chi Minh University of Banking (HUB); University of Lincoln</t>
  </si>
  <si>
    <t>Nguyen, K (corresponding author), Ho Chi Minh Univ Banking, Fac Finance, Ho Chi Minh City, Vietnam.;Nguyen, K (corresponding author), Univ Lincoln, Dept Accounting Finance &amp; Econ, Lincoln, England.</t>
  </si>
  <si>
    <t>kimnt@hub.edu.vn</t>
  </si>
  <si>
    <t>Dao, Ha/AAN-5595-2020; Nguyen, Kim/HTQ-6861-2023</t>
  </si>
  <si>
    <t>Nguyen, Kim/0000-0002-5892-5917</t>
  </si>
  <si>
    <t>Vietnam National Foundation for Science and Technology Development (NAFOSTED) [502.99-2020.333]</t>
  </si>
  <si>
    <t>Vietnam National Foundation for Science and Technology Development (NAFOSTED)(National Foundation for Science &amp; Technology Development (NAFOSTED))</t>
  </si>
  <si>
    <t>This project is funded by the Vietnam National Foundation for Science and Technology Development (NAFOSTED) under grant number 502.99-2020.333</t>
  </si>
  <si>
    <t>1354-7860</t>
  </si>
  <si>
    <t>1469-9648</t>
  </si>
  <si>
    <t>J ASIA PAC ECON</t>
  </si>
  <si>
    <t>J. Asia. Pac. Econ.</t>
  </si>
  <si>
    <t>10.1080/13547860.2024.2386825</t>
  </si>
  <si>
    <t>8ZY8H</t>
  </si>
  <si>
    <t>WOS:001287720800001</t>
  </si>
  <si>
    <t>Amin, MK; Azhar, A; Amin, A; Akter, A</t>
  </si>
  <si>
    <t>Amin, Md. Khaled; Azhar, Afrin; Amin, Afrina; Akter, Afia</t>
  </si>
  <si>
    <t>Applying the Technology Acceptance Model in examining Bangladeshi consumers' behavioral intention to use Mobile Wallet: PLS-SEM Approach</t>
  </si>
  <si>
    <t>2015 18TH INTERNATIONAL CONFERENCE ON COMPUTER AND INFORMATION TECHNOLOGY (ICCIT)</t>
  </si>
  <si>
    <t>18th International Conference on Computer and Information Technology (ICCIT)</t>
  </si>
  <si>
    <t>DEC 21-23, 2015</t>
  </si>
  <si>
    <t>Dhaka, BANGLADESH</t>
  </si>
  <si>
    <t>Mobile wallet; Technology Acceptance Model (TAM); Structural Equation Modeling (SEM); electronic money; behavioral intention</t>
  </si>
  <si>
    <t>Mobile based cash transaction services, also known as mobile wallet was first introduced by the BRAC bank in Bangladesh. Since its inception, it has been widely accepted by unbanked people of Bangladesh. This study examines consumers' behavioral intention to use mobile wallet services in Bangladesh in terms of applying, and analyzing TAM. Total 104 respondents who were chosen randomly within the sample extent and sample frame completed the structured survey questionnaires to know the perception about the services, and the motivation to use mobile wallet. Instead of using CovarianceBased tool of Structural Equation Modeling, Partial Least Squares Structural Equation modeling (PLS-SEM) tool was employed in order to analyze data which provides evidence of the reliability and validity of the Technology Acceptance Model (TAM) in this study. The result shows that all variables of the model, except perceived ease of use, significantly affect users' behavioral intention to use mobile wallet.</t>
  </si>
  <si>
    <t>[Amin, Md. Khaled; Azhar, Afrin; Akter, Afia] Northern Univ Bangladesh, Dept Business Adm, Dhaka 1209, Bangladesh; [Amin, Afrina] Rajshahi Univ Engn &amp; Technol, Dept Civil Engn, Rajshahi 6204, Bangladesh</t>
  </si>
  <si>
    <t>Rajshahi University of Engineering &amp; Technology (RUET)</t>
  </si>
  <si>
    <t>Amin, MK (corresponding author), Northern Univ Bangladesh, Dept Business Adm, Dhaka 1209, Bangladesh.</t>
  </si>
  <si>
    <t>imran_mkt@yahoo.com; afrinaamin47@gmail.com</t>
  </si>
  <si>
    <t>Amin, Khaled/J-4777-2014</t>
  </si>
  <si>
    <t>Amin, Khaled/0000-0002-3929-3088</t>
  </si>
  <si>
    <t>978-1-4673-9930-2</t>
  </si>
  <si>
    <t>BG5AT</t>
  </si>
  <si>
    <t>WOS:000389308000018</t>
  </si>
  <si>
    <t>Ghouse, SM; Shekhar, R; Chaudhary, M</t>
  </si>
  <si>
    <t>Ghouse, Suhail M.; Shekhar, Rishabh; Chaudhary, Monica</t>
  </si>
  <si>
    <t>Driving financial inclusion: exploring mobile wallet adoption among rural Omani millennials</t>
  </si>
  <si>
    <t>E-wallet; Self-efficacy; FinTech; Banking; TAM; SDG10: Reduced inequalities</t>
  </si>
  <si>
    <t>COMPUTER SELF-EFFICACY; INFORMATION-TECHNOLOGY; BEHAVIORAL INTENTION; PLANNED BEHAVIOR; PAYMENT SERVICES; HIGHER-EDUCATION; SOCIAL-INFLUENCE; USER ACCEPTANCE; UNIFIED THEORY; MODEL</t>
  </si>
  <si>
    <t>Purpose - This study aims to investigate the adoption of mobile wallet payment services among rural Omani millennials, with a focus on social factors, perceived security, trust considerations and the moderating role of technology self-efficacy in shaping attitudes and intentions towards adoption. It also explores the role of mobile wallets in advancing financial inclusion, aligned with Sustainable Development Goal 10 (Reduced inequalities). Design/methodology/approach - A survey method was used with 544 randomly selected participants from rural Oman. The study used partial least squares structural equation modelling (PLS-SEM) to analyse relationships among the constructs, including subjective norms, perceived security, trust and self-efficacy. Findings - The results support five hypotheses, confirming the influence of subjective norms, perceived security and technology self-efficacy on attitudes and intentions to adopt mobile wallets. Additionally, mobile wallet self-efficacy emerges as a significant moderator, enhancing the relationship between positive attitudes and behavioural intentions. Research limitations/implications - The study extends the technology acceptance model (TAM) by incorporating moderating variables such as technology self-efficacy and perceived security, offering theoretical contributions to digital payment adoption literature, especially in rural settings. Practical implications - The findings underscore the need for trust-building efforts by service providers and collaborative strategies involving government incentives and promotions to foster mobile wallet adoption. Strengthening digital literacy and addressing security concerns are critical for promoting financial inclusion in rural communities. Originality/value - This research contributes to promoting economic empowerment through mobile wallet adoption in rural Oman, offering valuable insights for policymakers and service providers aiming to reduce socioeconomic disparities. By addressing the digital divide and supporting financial inclusion, the study supports the advancement of SDG 10 (Reduced inequalities) and fosters inclusive growth in underserved communities.</t>
  </si>
  <si>
    <t>[Ghouse, Suhail M.] Dhofar Univ, Coll Commerce &amp; Business Adm, Dept Mkt &amp; Entrepreneurship, Dhofar, Oman; [Shekhar, Rishabh] Symbiosis Int, Symbiosis Ctr Management Studies, Dept Mkt, Nagpur Campus, Nagpur, India; [Chaudhary, Monica] Melbourne Inst Technol, Sch Business, Dept Mkt, Sydney, Australia</t>
  </si>
  <si>
    <t>Dhofar University; Symbiosis International University</t>
  </si>
  <si>
    <t>Ghouse, SM (corresponding author), Dhofar Univ, Coll Commerce &amp; Business Adm, Dept Mkt &amp; Entrepreneurship, Dhofar, Oman.</t>
  </si>
  <si>
    <t>sghouse@du.edu.om; rishabh.shekhar@yahoo.com; monicarana@gmail.com</t>
  </si>
  <si>
    <t>Shekhar, Rishabh/AET-7132-2022; Chaudhary, Monica/AAJ-2122-2020; Ghouse, Suhail Mohammad/AAW-3888-2021</t>
  </si>
  <si>
    <t>MAR 4</t>
  </si>
  <si>
    <t>10.1108/JIMA-02-2024-0073</t>
  </si>
  <si>
    <t>Y9I2F</t>
  </si>
  <si>
    <t>WOS:001357025400001</t>
  </si>
  <si>
    <t>McCallum, W; Aziakpono, MJ</t>
  </si>
  <si>
    <t>McCallum, Wendy; Aziakpono, Meshach J.</t>
  </si>
  <si>
    <t>Regulatory sandbox for FinTech regulation: Do the conditions for effective adoption exist in South Africa?</t>
  </si>
  <si>
    <t>Regulatory sandbox; FinTech; financial inclusion; financial regulation; South Africa</t>
  </si>
  <si>
    <t>A regulatory sandbox is an emerging approach used by financial sector regulators worldwide to respond to the rapid emergence of financial technologies (FinTech). In South Africa, the Intergovernmental FinTech Working Group launched its regulatory sandbox in 2020 and at the time of writing in 2021, seven firms had been permitted entry. While a regulatory sandbox may offer several promises, it may have adverse outcomes if the necessary conditions for successful implementation do not exist. Against this backdrop, this study seeks to determine if South Africa was ready to adopt a regulatory sandbox by exploring whether the necessary conditions for its implementation exist. The study triangulated results of interviews with individuals with secondary data to reach conclusions. The results show that a regulatory sandbox is an appropriate approach to FinTech regulation in South Africa, as most necessary conditions do exist. However, conditions that are not in place require remediation through appropriate interventions.</t>
  </si>
  <si>
    <t>[McCallum, Wendy; Aziakpono, Meshach J.] Univ Stellenbosch, Business Sch, Cape Town, South Africa</t>
  </si>
  <si>
    <t>Stellenbosch University</t>
  </si>
  <si>
    <t>Aziakpono, MJ (corresponding author), Univ Stellenbosch, Business Sch, Cape Town, South Africa.</t>
  </si>
  <si>
    <t>meshach@sun.ac.za</t>
  </si>
  <si>
    <t>; McCallum, Wendy/MSY-0383-2025</t>
  </si>
  <si>
    <t>Aziakpono, Meshach/0000-0002-5290-3311; McCallum, Wendy/0000-0003-3302-8416</t>
  </si>
  <si>
    <t>10.1080/0376835X.2023.2182759</t>
  </si>
  <si>
    <t>P1UO2</t>
  </si>
  <si>
    <t>WOS:000946746300001</t>
  </si>
  <si>
    <t>Nam, Y; Lee, ST; Kim, KT</t>
  </si>
  <si>
    <t>Nam, Youngwon; Lee, Sunwoo Tessa; Kim, Kyoung Tae</t>
  </si>
  <si>
    <t>Racial/ethnic differences in mobile payment usage: what do we know, and what do we need to know?</t>
  </si>
  <si>
    <t>Mobile payment; FinTech; Financial inclusion; Race and ethnicity; Technology acceptance</t>
  </si>
  <si>
    <t>USER ACCEPTANCE; ADOPTION; TECHNOLOGY; ANTECEDENTS; DIFFUSION; INTENTION</t>
  </si>
  <si>
    <t>Purpose The purpose of this study is to investigate the racial/ethnic differences in mobile payment use and to explore the contributing factors to the differences. Design/methodology/approach This study used the 2018 National Financial Capability Study (NFCS) dataset to examine racial/ethnic disparities in mobile payment use. Logistic regression analyses were conducted to confirm racial/ethnic differences, and Blinder-Oaxaca decomposition analyses were performed to identify which factors explain the differences among the groups. Findings The authors discovered that Whites use mobile payment less than Blacks, Hispanics and Asians/others. The results revealed that prior experiences with mobile financial services, including transfer, banking and budgeting applications, all play considerable roles in explaining the disparities between Whites and other racial/ethnic groups. Originality/value This is one of the few studies to examine racial/ethnic disparities in mobile payment use with a particular focus on the influence of users' past experience with technology. The results provide insights for researchers, professionals, educators and policymakers into ways to promote future use of mobile payment.</t>
  </si>
  <si>
    <t>[Nam, Youngwon] Seoul Natl Univ, Dept Consumer Sci, Seoul, South Korea; [Nam, Youngwon] Seoul Natl Univ, Res Inst Human Ecol, Seoul, South Korea; [Lee, Sunwoo Tessa] York Univ, Fac Liberal Arts &amp; Profess Studies, Sch Adm Studies, Toronto, ON, Canada; [Kim, Kyoung Tae] Univ Alabama, Dept Consumer Sci, Tuscaloosa, AL USA</t>
  </si>
  <si>
    <t>Seoul National University (SNU); Seoul National University (SNU); York University - Canada; University of Alabama System; University of Alabama Tuscaloosa</t>
  </si>
  <si>
    <t>Lee, ST (corresponding author), York Univ, Fac Liberal Arts &amp; Profess Studies, Sch Adm Studies, Toronto, ON, Canada.</t>
  </si>
  <si>
    <t>sunwool@yorku.ca</t>
  </si>
  <si>
    <t>Lee, Sunwoo/0000-0002-0887-5309; Kim, Kyoung Tae/0000-0002-0673-721X; Nam, Youngwon/0000-0001-7630-5896</t>
  </si>
  <si>
    <t>JAN 24</t>
  </si>
  <si>
    <t>10.1108/IJBM-11-2021-0516</t>
  </si>
  <si>
    <t>8F9CI</t>
  </si>
  <si>
    <t>WOS:000866311400001</t>
  </si>
  <si>
    <t>Pal, A; Herath, T; De', R; Rao, HR</t>
  </si>
  <si>
    <t>Pal, Abhipsa; Herath, Tejaswini; De', Rahul; Rao, H. Raghav</t>
  </si>
  <si>
    <t>Why do people use mobile payment technologies and why would they continue? An examination and implications from India</t>
  </si>
  <si>
    <t>RESEARCH POLICY</t>
  </si>
  <si>
    <t>Mobile payment technology; Payment apps; Information technology; Valence framework; Mobile banking</t>
  </si>
  <si>
    <t>SOCIAL MEDIA AFFORDANCES; INFORMATION-SYSTEMS; PERCEIVED RISK; SERVICES ADOPTION; BANKING ADOPTION; EMPIRICAL-EXAMINATION; DEVELOPING-COUNTRIES; FINANCIAL INCLUSION; INTENTION; INNOVATION</t>
  </si>
  <si>
    <t>Mobile payment technology continues to spread across the globe, but its diffusion has not been uniform. Its low usage in developing economies is of particular concern to policymakers since this technology has the potential to enable financial inclusion. In this study, in order to develop policy interventions for greater usage, we comparatively analyze factors impacting actual usage and future use intention. India, with its uneven trajectory of mobile payments, gives us an appropriate field to investigate citizens? usage behaviour. Considering users? perceptions of both positive and negative attributes of the technology, we develop research models under the umbrella of the valence framework. We utilize technology affordances and constraints theory (TACT) to refine the research models through an understanding of various innovative uses. To test the valence-TACT models, we collect survey responses of 551 citizens across four Indian cities. The results from the models show how certain factors, such as convenience, reflection, and security, have different impacts on actual usage and future use intention, respectively. These findings have implications for critical issues like security, risk, and digital literacy, and can help in the design of policy recommendations for enhancing the use of mobile payments, thereby impacting financial inclusion for all. The valence-TACT model provides a theoretical contribution to mobile payment and innovation literature and also offers several policy insights.</t>
  </si>
  <si>
    <t>[Pal, Abhipsa] Indian Inst Management Kozhikode, Informat Syst, IIMK Campus PO, Kozhikode 673570, Kerala, India; [Herath, Tejaswini] Brock Univ, Goodman Sch Business, Informat Syst, 1812 Sir Isaac Brock Way, St Catharines, ON L2S 3A1, Canada; [De', Rahul] Indian Inst Management Bangalore, Informat Syst, Bannerghatta Main Rd, Bengaluru 560076, Karnataka, India; [Rao, H. Raghav] Univ Texas San Antonio, Coll Business, Informat Syst &amp; Cyber Secur, Business Bldg,One UTSA Circle, San Antonio, TX 78249 USA</t>
  </si>
  <si>
    <t>Indian Institute of Management (IIM System); Indian Institute of Management Kozhikode; Brock University; Indian Institute of Management (IIM System); Indian Institute of Management Bangalore; University of Texas System; University of Texas at San Antonio</t>
  </si>
  <si>
    <t>Pal, A (corresponding author), Indian Inst Management Kozhikode, Informat Syst, IIMK Campus PO, Kozhikode 673570, Kerala, India.</t>
  </si>
  <si>
    <t>abhipsapal@iimk.ac.in; therath@brocku.ca; rahul@iimb.ac.in; mgmtrao@gmail.com</t>
  </si>
  <si>
    <t>Herath, Tejaswini/0000-0002-3653-5643;</t>
  </si>
  <si>
    <t>Indian Institute of Management Bangalore; University of Texas at San Antonio AT&amp;T research funding; Indo U.S. Science and Technology Forum (IUSSTF); National Science Foundation [2020252]; Div Of Civil, Mechanical, &amp; Manufact Inn; Directorate For Engineering [2020252] Funding Source: National Science Foundation</t>
  </si>
  <si>
    <t>Indian Institute of Management Bangalore; University of Texas at San Antonio AT&amp;T research funding; Indo U.S. Science and Technology Forum (IUSSTF); National Science Foundation(National Science Foundation (NSF)); Div Of Civil, Mechanical, &amp; Manufact Inn; Directorate For Engineering(National Science Foundation (NSF)NSF - Directorate for Engineering (ENG))</t>
  </si>
  <si>
    <t>The authors would like to thank the editor and the referees for their encouragement and critical comments that have greatly improved the paper. This research was supported by a research grant from the Indian Institute of Management Bangalore and the University of Texas at San Antonio AT&amp;T research funding. We would like to thank Ratan P Watal and B. N. Satpathy from NITI Aayog (the Planning commission of the Government of India) for their constructive comments that have helped in conducting this research. Finally, the last author would like to acknowledge funding from the Indo U.S. Science and Technology Forum (IUSSTF) . The last author is also supported in part by the National Science Foundation under Grant #2020252. The usual disclaimer applies. Prof Rao is Distinguished visiting faculty at Swansea University for Summer 2021.</t>
  </si>
  <si>
    <t>0048-7333</t>
  </si>
  <si>
    <t>1873-7625</t>
  </si>
  <si>
    <t>RES POLICY</t>
  </si>
  <si>
    <t>Res. Policy</t>
  </si>
  <si>
    <t>10.1016/j.respol.2021.104228</t>
  </si>
  <si>
    <t>MAR 2021</t>
  </si>
  <si>
    <t>RW1VB</t>
  </si>
  <si>
    <t>WOS:000646310500007</t>
  </si>
  <si>
    <t>Ezechukwu, NV</t>
  </si>
  <si>
    <t>Ezechukwu, Nwanneka Victoria</t>
  </si>
  <si>
    <t>Regulating Innovation for Financial Inclusion: Lessons from Nigeria</t>
  </si>
  <si>
    <t>JOURNAL OF AFRICAN LAW</t>
  </si>
  <si>
    <t>Mobile payments; financial inclusion; Central Bank of Nigeria; regulation; mobile network operators; m-pesa; payment service banks</t>
  </si>
  <si>
    <t>MOBILE PAYMENTS</t>
  </si>
  <si>
    <t>Innovative services such as mobile payments are potentially transformative because they can increase access to financial services, especially in developing countries. However, such innovations can disrupt the financial services ecosystem, prompting regulators to respond in different ways. These regulatory responses often have a significant impact on the success of such innovative services. Using Nigeria's regulatory approach as a case study, this article highlights specific lessons that should inform future attempts at regulating mobile payments.</t>
  </si>
  <si>
    <t>[Ezechukwu, Nwanneka Victoria] Univ Sheffield, Sheffield, S Yorkshire, England</t>
  </si>
  <si>
    <t>University of Sheffield</t>
  </si>
  <si>
    <t>Ezechukwu, NV (corresponding author), Univ Sheffield, Sheffield, S Yorkshire, England.</t>
  </si>
  <si>
    <t>n.v.ezechukwu@sheffield.ac.uk</t>
  </si>
  <si>
    <t>Ezechukwu, Nwanneka Victoria/0000-0002-9110-4547</t>
  </si>
  <si>
    <t>0021-8553</t>
  </si>
  <si>
    <t>1464-3731</t>
  </si>
  <si>
    <t>J AFR LAW</t>
  </si>
  <si>
    <t>J. Afr. Law.</t>
  </si>
  <si>
    <t>PII S0021855321000279</t>
  </si>
  <si>
    <t>10.1017/S0021855321000279</t>
  </si>
  <si>
    <t>XB4CY</t>
  </si>
  <si>
    <t>WOS:000721279400007</t>
  </si>
  <si>
    <t>Li, YH; Gong, XH; Zhang, JY; Xiang, ZW; Liao, CJ</t>
  </si>
  <si>
    <t>Li, Yuhua; Gong, Xiheng; Zhang, Jingyi; Xiang, Ziwei; Liao, Chengjun</t>
  </si>
  <si>
    <t>The Impact of Mobile Payment on Household Poverty Vulnerability: A Study Based on CHFS2017 in China</t>
  </si>
  <si>
    <t>INTERNATIONAL JOURNAL OF ENVIRONMENTAL RESEARCH AND PUBLIC HEALTH</t>
  </si>
  <si>
    <t>mobile payment; household poverty vulnerability; entrepreneurship; risk management capability; IVprobit model; electronic communication technology; inclusive finance</t>
  </si>
  <si>
    <t>BENEFIT</t>
  </si>
  <si>
    <t>Changes in digital technology have brought about new opportunities in the field of financial poverty alleviation in China, and mobile payment as a new digital financial model is important in helping families to lift themselves out of poverty effectively and prevent a return to poverty. This paper examines the impact of mobile payment on household poverty vulnerability and the mechanism of action using the China Household Finance Survey (CHFS) 2017 microsurvey data. After adopting the IVprobit model and a series of robustness tests, we found: (1) mobile payment significantly negatively impacts household poverty vulnerability; (2) the mechanism analysis indicates that promoting entrepreneurship and improving risk management capabilities are the main channels through which mobile payment mitigates household poverty vulnerability; (3) household entrepreneurship and entrepreneurial survival significantly reduce the probability of poverty vulnerability; and (4) the probit regression analysis explores how mobile payment has a greater negative impact on poverty vulnerability among low-income, homeless, and relatively backward households in rural or western areas. This work contributes to the literature on the use of electronic communication technology to eradicate poverty and on inclusive finance, providing vital results for other countries to use as an example.</t>
  </si>
  <si>
    <t>[Li, Yuhua; Gong, Xiheng; Zhang, Jingyi; Xiang, Ziwei; Liao, Chengjun] Shanghai Inst Technol, Sch Econ &amp; Management, Shanghai 201418, Peoples R China</t>
  </si>
  <si>
    <t>Shanghai Institute of Technology</t>
  </si>
  <si>
    <t>Zhang, JY (corresponding author), Shanghai Inst Technol, Sch Econ &amp; Management, Shanghai 201418, Peoples R China.</t>
  </si>
  <si>
    <t>m13731292480@163.com</t>
  </si>
  <si>
    <t>Xiang, Ziwei/NRB-6231-2025; Li, Yuhua/F-2430-2010</t>
  </si>
  <si>
    <t>Xiang, Ziwei/0000-0002-2513-2873;</t>
  </si>
  <si>
    <t>National Social Science Foundation of China, China [19BJY099]; Project of Shanghai Social Science Foundation, Shanghai [2020BJB015]</t>
  </si>
  <si>
    <t>National Social Science Foundation of China, China(National Office of Philosophy and Social Sciences); Project of Shanghai Social Science Foundation, Shanghai</t>
  </si>
  <si>
    <t>This research was funded by the National Social Science Foundation of China, China, grant number 19BJY099 and the Project of Shanghai Social Science Foundation, Shanghai, grant number 2020BJB015.</t>
  </si>
  <si>
    <t>1660-4601</t>
  </si>
  <si>
    <t>INT J ENV RES PUB HE</t>
  </si>
  <si>
    <t>Int. J. Environ. Res. Public Health</t>
  </si>
  <si>
    <t>10.3390/ijerph192114001</t>
  </si>
  <si>
    <t>Environmental Sciences; Public, Environmental &amp; Occupational Health</t>
  </si>
  <si>
    <t>Environmental Sciences &amp; Ecology; Public, Environmental &amp; Occupational Health</t>
  </si>
  <si>
    <t>6B6DY</t>
  </si>
  <si>
    <t>WOS:000881422600001</t>
  </si>
  <si>
    <t>Mtengwa, BB; Kandiero, A; Bigirimana, S</t>
  </si>
  <si>
    <t>Mtengwa, Bonnie Batsirai; Kandiero, Agripah; Bigirimana, Stanislas</t>
  </si>
  <si>
    <t>Drivers of Mobile Money Services Development in Zimbabwe: The Case of EcoCash</t>
  </si>
  <si>
    <t>INTERNATIONAL JOURNAL OF E-BUSINESS RESEARCH</t>
  </si>
  <si>
    <t>EcoCash; Econet Wireless; Internet Penetration; M-Pesa; Mobile Banking; Mobile Money Services; Mobile Phone Penetration; Mobile Wallet; Technology Adoption; Telephone Banking; Urban Rural Remittances</t>
  </si>
  <si>
    <t>TECHNOLOGY; ADOPTION; IMPACT; PAYMENTS; BANKING</t>
  </si>
  <si>
    <t>This study sought to identify the drivers of mobile money services development in Zimbabwe using Ecocash as a case study. Through purposive sampling, respondents were selected from financial institutions, regulatory bodies, customers, and agents. The research showed that in Zimbabwe the development of mobile money services is influenced by several factors such as a high mobile telephone penetration rate, a high number of unbanked people owing to poor access to traditional banking services, a lower level of internet penetration levels, customer awareness of the service because of aggressive branding, security and ease of use, and a dense networks of agents. Fast technology diffusion was also a factor that influenced the fast adoption of mobile money services in Zimbabwe. More research is needed to assess the impediments in countries where the adoption of mobile money services has not been as spectacular as in Zimbabwe or Kenya.</t>
  </si>
  <si>
    <t>[Mtengwa, Bonnie Batsirai] Post &amp; Telecommun Regulatory Author, Harare, Zimbabwe; [Kandiero, Agripah] Africa Univ, Mutare, Zimbabwe; [Bigirimana, Stanislas] Africa Univ, Coll Business Peace Leadership &amp; Governance, Mutare, Zimbabwe</t>
  </si>
  <si>
    <t>Mtengwa, BB (corresponding author), Post &amp; Telecommun Regulatory Author, Harare, Zimbabwe.</t>
  </si>
  <si>
    <t>; Bigirimana, Stanislas/HGB-1280-2022</t>
  </si>
  <si>
    <t>Kandiero, Agrippah/0000-0001-8201-864X; Bigirimana, Stanislas/0000-0002-3735-6102</t>
  </si>
  <si>
    <t>1548-1131</t>
  </si>
  <si>
    <t>1548-114X</t>
  </si>
  <si>
    <t>INT J E-BUS RES</t>
  </si>
  <si>
    <t>Int. J. E-Bus. Res.</t>
  </si>
  <si>
    <t>10.4018/IJEBR.2021010104</t>
  </si>
  <si>
    <t>PA4DB</t>
  </si>
  <si>
    <t>WOS:000595587300004</t>
  </si>
  <si>
    <t>Sowon, K; Luhanga, E; Cranor, LF; Fanti, G; Tucker, C; Gueye, A</t>
  </si>
  <si>
    <t>Sowon, Karen; Luhanga, Edith; Cranor, Lorrie Faith; Fanti, Giulia; Tucker, Conrad; Gueye, Assane</t>
  </si>
  <si>
    <t>The Role of User-Agent Interactions on Mobile Money Practices in Kenya and Tanzania</t>
  </si>
  <si>
    <t>45TH IEEE SYMPOSIUM ON SECURITY AND PRIVACY, SP 2024</t>
  </si>
  <si>
    <t>IEEE Symposium on Security and Privacy</t>
  </si>
  <si>
    <t>45th IEEE Symposium on Security and Privacy (SP)</t>
  </si>
  <si>
    <t>MAY 20-23, 2024</t>
  </si>
  <si>
    <t>San Francisco, CA</t>
  </si>
  <si>
    <t>IEEE,IEEE Comp Soc</t>
  </si>
  <si>
    <t>Mobile Money; user-agent interaction; digital financial systems; usable privacy and security; technology workarounds</t>
  </si>
  <si>
    <t>PRIVACY; SERVICES</t>
  </si>
  <si>
    <t>Digital financial services have catalyzed financial inclusion in Africa. Commonly implemented as a mobile wallet service referred to as mobile money (MoMo), the technology provides enormous benefits to its users, some of whom have long been unbanked. While the benefits of mobile money services have largely been documented, the challenges that arise-especially in the interactions between human stakeholders-remain relatively unexplored. In this study, we investigate the practices of mobile money users in their interactions with mobile money agents. We conduct 72 structured interviews in Kenya and Tanzania (n=36 per country). The results show that users and agents design workarounds in response to limitations and challenges that users face within the ecosystem. These include advances or loans from agents, relying on the user-agent relationships in place of legal identification requirements, and altering the intended transaction execution to improve convenience. Overall, the workarounds modify one or more of what we see as the core components of mobile money: the user, the agent, and the transaction itself. The workarounds pose new risks and challenges for users and the overall ecosystem. The results suggest a need for rethinking privacy and security of various components of the ecosystem, as well as policy and regulatory controls to safeguard interactions while ensuring the usability of mobile money.</t>
  </si>
  <si>
    <t>[Sowon, Karen; Cranor, Lorrie Faith; Fanti, Giulia; Tucker, Conrad] Carnegie Mellon Univ, Pittsburgh, PA 15213 USA; [Luhanga, Edith; Gueye, Assane] Carnegie Mellon Univ Africa, Kigali, Rwanda</t>
  </si>
  <si>
    <t>Carnegie Mellon University</t>
  </si>
  <si>
    <t>Sowon, K (corresponding author), Carnegie Mellon Univ, Pittsburgh, PA 15213 USA.</t>
  </si>
  <si>
    <t>Luhanga, Edith/0000-0002-0485-3647</t>
  </si>
  <si>
    <t>Bill &amp; Melinda Gates Foundation</t>
  </si>
  <si>
    <t>Bill &amp; Melinda Gates Foundation(Bill &amp; Melinda Gates FoundationBill &amp; Melinda Gates Foundation Grand Challenges Explorations InitiativeCGIAR)</t>
  </si>
  <si>
    <t>The authors gratefully thank Michael Bridges for his valuable inputs on the design of this study, and our anonymous reviewers and shepherd for their constructive comments and suggestions. We also thank Leora Klapper and Rafael Mazer for their feedback. We thank all our colleagues and student assistants who helped with translation of the study tools. This study was made possible by the generous support of the Bill &amp; Melinda Gates Foundation. The views and opinions expressed in this study, however, are those of the authors and do not necessarily reflect the views or positions of the sponsors.</t>
  </si>
  <si>
    <t>1081-6011</t>
  </si>
  <si>
    <t>979-8-3503-3131-8; 979-8-3503-3130-1</t>
  </si>
  <si>
    <t>P IEEE S SECUR PRIV</t>
  </si>
  <si>
    <t>10.1109/SP54263.2024.00184</t>
  </si>
  <si>
    <t>BX6LJ</t>
  </si>
  <si>
    <t>WOS:001310833900041</t>
  </si>
  <si>
    <t>An, T; Xiao, JJ; Porto, N; Cruz, L</t>
  </si>
  <si>
    <t>An, Ting; Xiao, Jing Jian; Porto, Nilton; Cruz, Luiz</t>
  </si>
  <si>
    <t>Mobile payment, financial behavior and financial anxiety: a multi-group structural equation modeling study</t>
  </si>
  <si>
    <t>Mobile payment; Financial anxiety; Overspending; Overindebtedness; Multi-group analysis</t>
  </si>
  <si>
    <t>ADOPTION; LITERACY</t>
  </si>
  <si>
    <t>Purpose - This study aims to examine the association between mobile payment usage and financial anxiety and explore the mediating role of financial behavior. Moreover, this research also compares the moderating effects of financial education and financial knowledge. Design/methodology/approach- A sample of 18,584 consumers from the 2021 National Financial Capability Study in the USA was analyzed. Structural equation modeling (SEM) was employed to explore indirect associations between mobile payment usage and financial anxiety. Two undesirable financial behaviors, overspending and overindebtedness, were used as mediators between mobile payment and financial anxiety. Moreover, multi-group analyses were conducted for two financial knowledge groups and two financial education groups to examine the heterogeneity. A robustness test is employed to ensure the reliability of the results. Findings - The SEM results showed that the positive association between mobile payment and financial anxiety was mediated by overspending and overindebtedness in a parallel multiple mediation relationship. In addition, financial knowledge moderated the relationships between financial behaviors (overspending or overborrowing) and financial anxiety, while financial education moderated the associations between mobile payment use and overspending and between overspending and financial anxiety. Research limitations/implications - This study is limited by its use of cross-sectional data, which restricts conclusions on causality and temporal dynamics. Additionally, the study does not account for the potential bidirectional relationship between financial anxiety and mobile payment usage, which warrants further exploration. The mediating variables examination focus mainly on overspending and overindebtedness, suggesting the need to explore other factors like budgeting and saving. Finally, the study's findings may not generalize to other populations, highlighting the need for research in diverse cultural contexts. Practical implications - Consumers should be cautious of increased financial anxiety linked to overspending and debt. Platforms can help by enabling spending limits, sending alerts and providing detailed expenditure analysis. Stricter controls on loans and government regulations may also be needed to curb overindebtedness. Additionally, financial knowledge does not mitigate these risks, so even knowledgeable users should be cautious. Financial education programs should address debt management alongside overspending to provide a more comprehensive understanding of financial well-being. Originality/value - This study explored the association between mobile payment use and financial anxiety and how undesirable financial behaviors like overspending and overindebtedness mediate this process. Furthermore, multi-group analyses were employed in financial education subsamples and financial knowledge subsamples. Based on the findings, implications were discussed for individual users, government regulation and education programs of mobile payment.</t>
  </si>
  <si>
    <t>[An, Ting] Renmin Univ China, Beijing, Peoples R China; [Xiao, Jing Jian; Porto, Nilton] Univ Rhode Isl, Dept Human Dev &amp; Family Sci, Kingston, RI USA; [Cruz, Luiz] Univ Estadual Ceara, Grad Program Business, Fortaleza, Brazil</t>
  </si>
  <si>
    <t>Renmin University of China; University of Rhode Island; Universidade Estadual do Ceara</t>
  </si>
  <si>
    <t>An, T (corresponding author), Renmin Univ China, Beijing, Peoples R China.</t>
  </si>
  <si>
    <t>anting@ruc.edu.cn; jjxiao@uri.edu; nilton_porto@uri.edu; luiz.alves@aluno.uece.br</t>
  </si>
  <si>
    <t>Xiao, Jing Jian/R-1415-2016; Porto, Nilton/AFR-4800-2022</t>
  </si>
  <si>
    <t>Xiao, Jing Jian/0000-0003-3252-5672; Porto, Nilton/0000-0002-7020-2279; Alves da Silva Cruz Neto, Luiz/0000-0002-6409-3117</t>
  </si>
  <si>
    <t>FEB 13</t>
  </si>
  <si>
    <t>10.1108/IJBM-07-2024-0402</t>
  </si>
  <si>
    <t>W3U3R</t>
  </si>
  <si>
    <t>WOS:001349802400001</t>
  </si>
  <si>
    <t>Chaix, L; Torre, D</t>
  </si>
  <si>
    <t>Chaix, Laetitia; Torre, Dominique</t>
  </si>
  <si>
    <t>THE DUAL ROLE OF MOBILE PAYMENT IN DEVELOPING COUNTRIES</t>
  </si>
  <si>
    <t>REVUE ECONOMIQUE</t>
  </si>
  <si>
    <t>French</t>
  </si>
  <si>
    <t>This paper analyzes the capacity of mobile-payment solutions to improve financial inclusion in developing countries. It elaborates from rural East African countries experiences where mobile payment services have developed rapidly. With a simple dynamic model which rationalizes traders' adoption process of distant mobile payment services, we analyze the role of telephonic operators in financial inclusion. We point out the interest of a diversified supply of m-payment services, including simplified solutions proposed by operators alone, in complement of more advanced services involving financial partners. We explain how such a diversified supply, including a frugal innovative component, can be more efficient to improve financial inclusion than the only elaborated solutions provided cooperatively by operators and banks.</t>
  </si>
  <si>
    <t>[Chaix, Laetitia; Torre, Dominique] Univ Nice Sophia Antipolis, GREDEG, CNRS, Nice, France</t>
  </si>
  <si>
    <t>Centre National de la Recherche Scientifique (CNRS); Universite Cote d'Azur</t>
  </si>
  <si>
    <t>Chaix, L (corresponding author), 250 Rue Albert Einstein, F-06560 Valbonne, France.</t>
  </si>
  <si>
    <t>laetitia.chaix@gredeg.cnrs.fr; dominique.torre@gredeg.cnrs.fr</t>
  </si>
  <si>
    <t>PRESSES FOND NAT SCI POLIT</t>
  </si>
  <si>
    <t>PARIS 07</t>
  </si>
  <si>
    <t>27 RUE SAINT-GUILLAUME, 75341 PARIS 07, FRANCE</t>
  </si>
  <si>
    <t>0035-2764</t>
  </si>
  <si>
    <t>1950-6694</t>
  </si>
  <si>
    <t>REV ECON-FR</t>
  </si>
  <si>
    <t>Rev. Econ.</t>
  </si>
  <si>
    <t>10.3917/reco.664.0703</t>
  </si>
  <si>
    <t>VH7EV</t>
  </si>
  <si>
    <t>WOS:000453992700004</t>
  </si>
  <si>
    <t>Song, K; Wu, PZ; Zou, SR</t>
  </si>
  <si>
    <t>Song, Ke; Wu, Peizhang; Zou, Sarah</t>
  </si>
  <si>
    <t>The adoption and use of mobile payment: Determinants and relationship with bank access**</t>
  </si>
  <si>
    <t>Mobile payment; Financial inclusion; Banking; FinTech; Consumer behavior</t>
  </si>
  <si>
    <t>INSTRUMENTS; MODEL</t>
  </si>
  <si>
    <t>This study aims to answer two questions: What determines the adoption and use of mobile payment? What is the relationship between mobile payment and access to traditional bank services? By using representative survey data in rural China, we apply a hurdle model with 2SLS and find that consumers with better access to bank services are more likely to adopt mobile payment. However, after adoption, the less often the consumers visit banks because of distance or social constraints, the more they use mobile payment to complement bank services. Younger, better educated households with higher income and more smart phones are more likely to adopt and use mobile payment. Among these characteristics, age has the largest marginal effect while income has the least. Households in the agricultural sector are least likely to adopt and use mobile payment. We also find that awareness of neighbors' use of non-cash payment has a substantial positive effect.</t>
  </si>
  <si>
    <t>[Song, Ke; Wu, Peizhang] Renmin Univ China, Sch Finance, Beijing, Peoples R China; [Song, Ke] Renmin Univ China, China Financial Policy Res Ctr, Beijing, Peoples R China; [Song, Ke; Zou, Sarah] Renmin Univ China, Int Monetary Inst, Beijing, Peoples R China; [Zou, Sarah] Renmin Univ China, Int Monetary Inst, Beijing 100872, Peoples R China</t>
  </si>
  <si>
    <t>Renmin University of China; Renmin University of China; Renmin University of China; Renmin University of China</t>
  </si>
  <si>
    <t>Zou, SR (corresponding author), Renmin Univ China, Int Monetary Inst, Beijing 100872, Peoples R China.</t>
  </si>
  <si>
    <t>xzou@imi.org.cn</t>
  </si>
  <si>
    <t>Zou, Sarah/0000-0003-2141-6809</t>
  </si>
  <si>
    <t>10.1016/j.chieco.2022.101907</t>
  </si>
  <si>
    <t>7U8OR</t>
  </si>
  <si>
    <t>WOS:000912386700001</t>
  </si>
  <si>
    <t>Ahn, SY; Nam, Y</t>
  </si>
  <si>
    <t>Ahn, Sun Young; Nam, Youngwon</t>
  </si>
  <si>
    <t>Does mobile payment use lead to overspending? The moderating role of financial knowledge</t>
  </si>
  <si>
    <t>COMPUTERS IN HUMAN BEHAVIOR</t>
  </si>
  <si>
    <t>Mobile payment; Overspending; Financial knowledge; Payment methods; Consumptions; Money management; Credit card behaviors</t>
  </si>
  <si>
    <t>ADOPTION; CARD; TECHNOLOGY; LITERACY; BEHAVIOR; ACCEPTANCE; DETERMINANTS; BENEFITS; SYSTEMS; DEBT</t>
  </si>
  <si>
    <t>Although consumers have increasingly adopted mobile payments as a new payment method, little academic attention has been given to the consequences of mobile payment use and whether the relationship may vary by individual factors. The purpose of this study was to investigate whether and how mobile payment use influences financial behaviors, particularly overspending behaviors. This study focuses on three aspects of overspending behaviors: consumption, money management, and credit card behaviors. Using a consumer sample (N = 21,457) from the 2018 National Financial Capability Study (NFCS), our results showed that mobile payment users are at a much higher risk of overspending than non-users. We further examined the moderating role of financial knowledge in the relationship and found that having more financial knowledge helps buffer the extent to which mobile payments exacerbate overconsumption and difficulty with money management. The findings contribute to the mobile payment literature by empirically examining the consequences of adopting a new payment method. The findings have practical implications for service providers in the mobile payment industry on how to design and develop interventions to reduce the unfavorable effects of mobile payment use among consumers.</t>
  </si>
  <si>
    <t>[Ahn, Sun Young] Univ Puget Sound, Sch Business &amp; Leadership, Tacoma, WA USA; [Nam, Youngwon] Seoul Natl Univ, Dept Consumer Sci, Seoul, South Korea; [Nam, Youngwon] Seoul Natl Univ, Res Inst Human Ecol, Seoul, South Korea; [Nam, Youngwon] Seoul Natl Univ, Dept Consumer Sci, Bldg 222,1Gwanak Ro, Seoul 08826, South Korea</t>
  </si>
  <si>
    <t>Seoul National University (SNU); Seoul National University (SNU); Seoul National University (SNU)</t>
  </si>
  <si>
    <t>Nam, Y (corresponding author), Seoul Natl Univ, Dept Consumer Sci, Bldg 222,1Gwanak Ro, Seoul 08826, South Korea.</t>
  </si>
  <si>
    <t>ywnam@snu.ac.kr</t>
  </si>
  <si>
    <t>Nam, Youngwon/0000-0001-7630-5896</t>
  </si>
  <si>
    <t>0747-5632</t>
  </si>
  <si>
    <t>1873-7692</t>
  </si>
  <si>
    <t>COMPUT HUM BEHAV</t>
  </si>
  <si>
    <t>Comput. Hum. Behav.</t>
  </si>
  <si>
    <t>10.1016/j.chb.2022.107319</t>
  </si>
  <si>
    <t>Psychology, Multidisciplinary; Psychology, Experimental</t>
  </si>
  <si>
    <t>1J8MJ</t>
  </si>
  <si>
    <t>WOS:000798167300001</t>
  </si>
  <si>
    <t>Chen, PF; Tran, ML</t>
  </si>
  <si>
    <t>Chen, Pei-Fen; Tran, My-Linh</t>
  </si>
  <si>
    <t>Assessing the impact of payment technology, financial inclusion and institutions on entrepreneurship: evidence from middle-income Asian Economies</t>
  </si>
  <si>
    <t>New business creation; financial technology; mobile payment; institutional quality; regulatory quality; middle-income countries; L26; M13; O35; L51</t>
  </si>
  <si>
    <t>GOVERNANCE</t>
  </si>
  <si>
    <t>The transformative impact of technology on the financial system has been widely acknowledged, yet the extent to which financial technology is redefining financial inclusion's role in driving economic growth remains largely unexplored. This research addresses the gap in the literature by examining the determinants of new-business entrepreneurship, specifically focusing on mobile payment, financial inclusion and institutional factors. Employing a panel regression model to analyse data from 25 middle-income Asian economies from 2014 to 2021, the results reveal a direct and positive effect of mobile payment systems and regulatory quality on entrepreneurship, as well as a negative effect of traditional financial inclusion. The study further uncovers the impact channels through which regulatory factors interact with mobile payment systems and significantly contributes to the literature by evaluating how financial innovations, especially mobile payment systems, stimulate entrepreneurship on a global scale. It expands the literature by investigating the impact of traditional financial inclusion on new-business entrepreneurship, sheds light on nuanced pathways through which institutional factors shape entrepreneurship and highlights the potential interaction effect of regulatory quality with mobile payment systems.</t>
  </si>
  <si>
    <t>[Chen, Pei-Fen] Natl Sun Yat sen Univ, Inst China &amp; Asia Pacific Studies, Kaohsiung, Taiwan; [Tran, My-Linh] Univ Econ &amp; Law, Fac Int Econ Relat, Ho Chi Minh City, Vietnam; [Tran, My-Linh] Vietnam Natl Univ, Ho Chi Minh City, Vietnam</t>
  </si>
  <si>
    <t>National Sun Yat Sen University; Vietnam National University Ho Chi Minh City (VNUHCM) System; VNU-HCM University of Economics &amp; Law (VNUHCM-UEL); Vietnam National University Ho Chi Minh City (VNUHCM) System</t>
  </si>
  <si>
    <t>Tran, ML (corresponding author), Univ Econ &amp; Law, Fac Int Econ Relat, Ho Chi Minh City, Vietnam.;Tran, ML (corresponding author), Vietnam Natl Univ, Ho Chi Minh City, Vietnam.</t>
  </si>
  <si>
    <t>linhtm@uel.edu.vn</t>
  </si>
  <si>
    <t>Tran, My-Linh/JXL-6150-2024</t>
  </si>
  <si>
    <t>Tran, My-Linh/0000-0001-8885-7858; Chen, Pei-Fen/0000-0001-6472-9579</t>
  </si>
  <si>
    <t>Ministry of Science and Technology [MOST 111-2410-H-110-051]; Vietnam National University Ho Chi Minh City/VNU-HCM</t>
  </si>
  <si>
    <t>Ministry of Science and Technology(Ministry of Science and Technology, Taiwan); Vietnam National University Ho Chi Minh City/VNU-HCM</t>
  </si>
  <si>
    <t>The work was supported by the Ministry of Science and Technology [MOST 111-2410-H-110-051]; Vietnam National University Ho Chi Minh City/VNU-HCM.</t>
  </si>
  <si>
    <t>2025 MAY 12</t>
  </si>
  <si>
    <t>10.1080/00036846.2025.2502174</t>
  </si>
  <si>
    <t>2MK4Q</t>
  </si>
  <si>
    <t>WOS:001486118300001</t>
  </si>
  <si>
    <t>Satyam, I; Mehra, A</t>
  </si>
  <si>
    <t>Satyam, Ishita; Mehra, Ankur</t>
  </si>
  <si>
    <t>Fintech adoption and economic growth: exploring the global landscape</t>
  </si>
  <si>
    <t>JOURNAL OF CREDIT RISK</t>
  </si>
  <si>
    <t>fintech; economic growth; cross-country comparison; fintech adoption; instrumental variable analysis</t>
  </si>
  <si>
    <t>Financial technology (fintech) has emerged as a transformative force reshaping the global economy by integrating finance and technology. This study investigates the causal impact of consumer-facing fintech advancements on economic growth using panel data from 112 countries between 2011 and 2021. Employing instrumental variable analysis, the study identifies a significant relationship between fintech adoption and economic development. The findings reveal that higher levels of fintech adoption lead to increased gross domestic product per capita, as demonstrated by a highly positive and statistically significant coefficient (beta = 1.092; p &lt; 0.01). Consumer-facing innovations, such as mobile payments, digital wallets and e-commerce platforms, have been particularly effective in reducing transaction costs, enhancing accessibility and promoting financial inclusion. These tools empower consumers and businesses, facilitating broader economic activity and fostering sustainable development. The study also highlights the importance of enabling regulatory frameworks and investments in digital infrastructure to maximize the benefits of fintech. By doing so, policy makers can harness fintech's potential to drive inclusive economic growth and bridge financial access gaps, particularly in underserved regions.</t>
  </si>
  <si>
    <t>[Satyam, Ishita; Mehra, Ankur] Shiv Nadar Univ Delhi NCR, NH91, Greater Noida 201314, Uttar Pradesh, India</t>
  </si>
  <si>
    <t>Satyam, I (corresponding author), Shiv Nadar Univ Delhi NCR, NH91, Greater Noida 201314, Uttar Pradesh, India.</t>
  </si>
  <si>
    <t>ishita.satyam14@gmail.com; ankur.mehra@snu.edu.in</t>
  </si>
  <si>
    <t>1744-6619</t>
  </si>
  <si>
    <t>1755-9723</t>
  </si>
  <si>
    <t>J CREDIT RISK</t>
  </si>
  <si>
    <t>J. Credit Risk</t>
  </si>
  <si>
    <t>10.21314/JCR.2025.006</t>
  </si>
  <si>
    <t>9GW8P</t>
  </si>
  <si>
    <t>WOS:001606063600001</t>
  </si>
  <si>
    <t>Gabor, D; Brooks, S</t>
  </si>
  <si>
    <t>Gabor, Daniela; Brooks, Sally</t>
  </si>
  <si>
    <t>The digital revolution in financial inclusion: international development in the fintech era</t>
  </si>
  <si>
    <t>International development; financial inclusion; fintech; digital technologies; financialisation; behavioural economics; governmentality</t>
  </si>
  <si>
    <t>EXCLUSION; MICROFINANCE; GEOGRAPHIES; PERFORMANCE; MARKETS</t>
  </si>
  <si>
    <t>This paper examines the growing importance of digital-based financial inclusion as a form of organising development interventions through networks of state institutions, international development organisations, philanthropic investment and fintech companies. The fintech-philanthropy-development complex generates digital ecosystems that map, expand and monetise digital footprints. Its know thy (irrational) customer' vision combines behavioural economics with predictive algorithms to accelerate access to, and monitor engagement with, finance. The digital revolution adds new layers to the material cultures of financial(ised) inclusion, offering the state new ways of expanding the inclusion of the legible', and global finance new forms of profiling' poor households into generators of financial assets.</t>
  </si>
  <si>
    <t>[Gabor, Daniela] Univ West England, Bristol Business Sch, Bristol, Avon, England; [Brooks, Sally] Univ York, Social Policy &amp; Social Work, York, N Yorkshire, England</t>
  </si>
  <si>
    <t>University of West England; University of York - UK</t>
  </si>
  <si>
    <t>Brooks, S (corresponding author), Univ York, Social Policy &amp; Social Work, York, N Yorkshire, England.</t>
  </si>
  <si>
    <t>sally.brooks@york.ac.uk</t>
  </si>
  <si>
    <t>Brooks, Sally/HTO-3725-2023</t>
  </si>
  <si>
    <t>Brooks, Sally/0000-0002-1005-1245</t>
  </si>
  <si>
    <t>Seventh Framework Programme [266800]; National Health and Medical Research Council (NHMRC) [266800] Funding Source: National Health and Medical Research Council (NHMRC)</t>
  </si>
  <si>
    <t>Seventh Framework Programme(European Union (EU)); National Health and Medical Research Council (NHMRC)(National Health &amp; Medical Research Council (NHMRC) of Australia)</t>
  </si>
  <si>
    <t>This work was supported by the Seventh Framework Programme [contract number 266800].</t>
  </si>
  <si>
    <t>10.1080/13563467.2017.1259298</t>
  </si>
  <si>
    <t>EW9TX</t>
  </si>
  <si>
    <t>WOS:000402863400006</t>
  </si>
  <si>
    <t>Al-Okaily, A; Shiyyab, FS; Al-Okaily, M; Jassem, S; Alkhwaldi, AF; Alsafadi, Y</t>
  </si>
  <si>
    <t>Al-Okaily, Aws; Shehab Shiyyab, Fadi; Al-Okaily, Manaf; Jassem, Suaad; Alkhwaldi, Abeer F.; Alsafadi, Yousef</t>
  </si>
  <si>
    <t>Factors influencing mobile wallet apps continuance usage intention: does personal interaction avoidance matter under the COVID-19 pandemic?</t>
  </si>
  <si>
    <t>INTERNATIONAL JOURNAL OF LAW AND MANAGEMENT</t>
  </si>
  <si>
    <t>Financial inclusion; FinTech; Mobile wallet apps; Avoidance of personal interaction</t>
  </si>
  <si>
    <t>USER ACCEPTANCE; CUSTOMER SATISFACTION; EXAMINING ADOPTION; TECHNOLOGY; INNOVATIVENESS; CONSUMERS; QUALITY; IMPACT; RISK</t>
  </si>
  <si>
    <t>PurposeThe purpose of this study is to examine the continuance intention to use m-wallets apps. This study also examines the moderating role of personal interaction avoidance.Design/methodology/approachA quantitative research approach with an online questionnaire was used to collect the empirical data from Jordanian users.FindingsThe data were analysed using structural equation modelling that largely supported the postulated hypotheses that citizens continued use of m-wallets apps is significantly and positively influenced by most factors proposed. Conversely, the impact of attitude and personal innovativeness was not supported.Originality/valueThis study presents empirical evidence on the vital dimensions that need to be taken into account by service providers, designers and developers in their endeavours to motivate users to use m-wallets apps.</t>
  </si>
  <si>
    <t>[Al-Okaily, Aws] Jadara Univ, Sch Business, FinTech Dept, Irbid, Jordan; [Shehab Shiyyab, Fadi] Hashemite Univ, Sch Business, Accounting Dept, Zarqa, Jordan; [Al-Okaily, Manaf] Jadara Univ, Sch Business, Accounting Dept, Irbid, Jordan; [Jassem, Suaad] Coll Banking &amp; Financial Studies, Finance &amp; Accounting Dept, Muscat, Oman; [Alkhwaldi, Abeer F.] Mutah Univ, Coll Business, Dept Business Intelligence &amp; Technol, Al Karak, Jordan; [Alsafadi, Yousef] Zarqa Univ, Fac Econ &amp; Adm Sci, Zarqa, Jordan</t>
  </si>
  <si>
    <t>Hashemite University; Mutah University; Zarqa University</t>
  </si>
  <si>
    <t>Al-Okaily, M (corresponding author), Jadara Univ, Sch Business, Accounting Dept, Irbid, Jordan.</t>
  </si>
  <si>
    <t>F.Shiyyab@gmail.com; m.alokaily@jadara.edu.jo; suaad@cbfs.edu.om; abeerkh@mutah.edu.jo; Yousef.Alsafadi@yahoo.com</t>
  </si>
  <si>
    <t>Al-Okaily, Aws/ABE-6244-2021; Alsafadi, Yousef/JJC-2391-2023; Jassem, suaad/AHD-7475-2022; Shiyyab, Fadi/KTI-2252-2024; Al-Okaily, Manaf/ABI-8322-2020; Alkhwaldi, Abeer/ONJ-1709-2025</t>
  </si>
  <si>
    <t>1754-243X</t>
  </si>
  <si>
    <t>1754-2448</t>
  </si>
  <si>
    <t>INT J LAW MANAG</t>
  </si>
  <si>
    <t>Int. J. Law Manag.</t>
  </si>
  <si>
    <t>2025 SEP 25</t>
  </si>
  <si>
    <t>10.1108/IJLMA-12-2024-0463</t>
  </si>
  <si>
    <t>7OP1L</t>
  </si>
  <si>
    <t>WOS:001575959500001</t>
  </si>
  <si>
    <t>Bommer, WH; Rana, S; Milevoj, E</t>
  </si>
  <si>
    <t>Bommer, William H.; Rana, Shailesh; Milevoj, Emil</t>
  </si>
  <si>
    <t>A meta-analysis of eWallet adoption using the UTAUT model</t>
  </si>
  <si>
    <t>Meta-analysis; Technology adoption; Intention to use; UTAUT2; eWallets; Relative weights analysis</t>
  </si>
  <si>
    <t>MOBILE PAYMENT; INFORMATION-TECHNOLOGY; FINANCIAL INCLUSION; UNIFIED THEORY; E-WALLET; ACCEPTANCE; INTENTION; SECURITY; BANKING; SERVICES</t>
  </si>
  <si>
    <t>Purpose This study aims to integrate extant research on eWallet adoption to better understand the key antecedents to eWallet use intention and examine whether the relationships differ across multiple moderators. Design/methodology/approach To integrate eWallet adoption findings, the unified theory of acceptance and use of technology (UTAUT) and its extensions were utilized. Meta-analyses estimated the relationships between eWallet use intention and seven antecedents and the intercorrelations between antecedents. A total of 28 effects were calculated, utilizing 48 studies and 444 individual effect sizes, using 14,802 subjects. Using meta-analytically derived values, regression and relative weight analysis then determined each antecedent's relative utility. Furthermore, moderator analyses examined whether eight theoretically based moderators influenced the relationships between the antecedents and eWallet use intention. Findings Price value, hedonic motivation, facilitating conditions and social influence had the strongest relationships with the intention to use eWallets, accounting for virtually all the unique variance. The three weakest antecedents, however, still explained a large percentage of variance. No relationships were significantly moderated. Research limitations/implications Due to the lack of data in primary studies, some UTAUT moderators could not be analyzed. Also, common method variance may impact the findings because the primary studies used cross-sectional surveys. Practical implications This study provides guidance regarding how companies can increase eWallet adoption rates, which have lagged in certain countries. These recommendations include specific techniques for tailoring messages and emphasizing features and benefits. Originality/value To the best of the authors' knowledge, this is the first integrative meta-analysis conducted on eWallet use. Combining meta-analysis, regression and relative weight analysis, this study provides an integration of what is currently known about eWallet use intentions.</t>
  </si>
  <si>
    <t>[Bommer, William H.; Milevoj, Emil] Calif State Univ Fresno, Dept Management, Fresno, CA 93740 USA; [Rana, Shailesh] Calif State Univ Fresno, Dept Accountancy, Fresno, CA 93740 USA</t>
  </si>
  <si>
    <t>California State University System; California State University Fresno; California State University System; California State University Fresno</t>
  </si>
  <si>
    <t>Bommer, WH (corresponding author), Calif State Univ Fresno, Dept Management, Fresno, CA 93740 USA.</t>
  </si>
  <si>
    <t>wbommer@csufresno.edu</t>
  </si>
  <si>
    <t>; Bommer, William/LDF-5201-2024</t>
  </si>
  <si>
    <t>Rana, Shailesh/0000-0002-8847-9540; Bommer, William/0000-0001-9800-623X; Milevoj, Emil/0000-0002-3936-2549</t>
  </si>
  <si>
    <t>APR 25</t>
  </si>
  <si>
    <t>10.1108/IJBM-06-2021-0258</t>
  </si>
  <si>
    <t>0U4LZ</t>
  </si>
  <si>
    <t>WOS:000767086100001</t>
  </si>
  <si>
    <t>Hoque, MM; Kummer, TF; Yigitbasioglu, O</t>
  </si>
  <si>
    <t>Hoque, Md Mahfuzul; Kummer, Tyge-F.; Yigitbasioglu, Ogan</t>
  </si>
  <si>
    <t>How can blockchain-based lending platforms support microcredit activities in developing countries? An empirical validation of its opportunities and challenges</t>
  </si>
  <si>
    <t>Blockchain; Financial inclusion; Microfinance; Microcredit; micro-lending; Mobile money; Unbanked population</t>
  </si>
  <si>
    <t>MICROFINANCE INSTITUTIONS; MOBILE BANKING; TECHNOLOGY; BANGLADESH; BENEFITS; POVERTY; IMPACT</t>
  </si>
  <si>
    <t>The aim of this paper is to explore the opportunities and challenges of using blockchain technology to support microcredit activities of microfinance institutions operating in developing countries. Microfinance is widely regarded as a tool for poverty alleviation and a means of integrating the unbanked population into the financial system. Using expert interviews from several industries including microfinance and blockchain, we explore the potential and challenges of blockchain-based platforms in microcredit settings. The findings suggest that blockchains could create credible financial profiles for lenders, automate contracting through smart contracts and attract funds at lower costs. However, coordination complexities, strategic issues, and privacy concerns are key challenges to blockchain implementation. The study advances the understanding of blockchain applicability in the microcredit space and carries practical significance for microfinance institutions as to how blockchain can - in combination with mobile money - improve operational efficiency and strengthen governance on micro- credit activities.</t>
  </si>
  <si>
    <t>[Hoque, Md Mahfuzul; Kummer, Tyge-F.; Yigitbasioglu, Ogan] Queensland Univ Technol, QUT Business Sch, 2 George St, Brisbane, Qld 4000, Australia</t>
  </si>
  <si>
    <t>Queensland University of Technology (QUT)</t>
  </si>
  <si>
    <t>Kummer, TF (corresponding author), Queensland Univ Technol, QUT Business Sch, 2 George St, Brisbane, Qld 4000, Australia.</t>
  </si>
  <si>
    <t>t.kummer@qut.edu.au</t>
  </si>
  <si>
    <t>Yigitbasioglu, Ogan/KDN-2954-2024</t>
  </si>
  <si>
    <t>Yigitbasioglu, Ogan/0000-0001-6297-1783</t>
  </si>
  <si>
    <t>10.1016/j.techfore.2024.123400</t>
  </si>
  <si>
    <t>D8V4B</t>
  </si>
  <si>
    <t>WOS:001298902200001</t>
  </si>
  <si>
    <t>Yang, CY; Chen, L; Li, Q; Wu, JW</t>
  </si>
  <si>
    <t>Yang, Cunyi; Chen, Li; Li, Qi; Wu, Junwei</t>
  </si>
  <si>
    <t>Digitalization of banks and inclusive finance: New insights from cultural industry's financing constraints</t>
  </si>
  <si>
    <t>FINANCIAL REVIEW</t>
  </si>
  <si>
    <t>cultural industry; digitalization of banks; financial innovation; financing constraints; inclusive finance</t>
  </si>
  <si>
    <t>LENDING RELATIONSHIPS; ENTREPRENEURSHIP; COMPETITION; INVESTMENT; GROWTH</t>
  </si>
  <si>
    <t>The emergence of digital financial technology emerges as a promising solution, allowing banks to leverage unique digital footprints to alleviate information asymmetry and mitigate the light asset company's financing constraints. Through a theoretical analysis, we reveal that the digital transformation of banks significantly increases loan allocations to SMEs within the cultural industry. This development toward inclusive finance is further substantiated by robust empirical evidence, indicating a notable alleviation of financing constraints, and confirming the quantitative and structural transmission pathways influenced by bank digitalization.</t>
  </si>
  <si>
    <t>[Yang, Cunyi; Chen, Li; Wu, Junwei] Sun Yat Sen Univ, Lingnan Coll, Guangzhou, Peoples R China; [Li, Qi] Xinghai Conservatory Mus, Guangzhou, Peoples R China</t>
  </si>
  <si>
    <t>Sun Yat Sen University; Xinghai Conservatory of Music</t>
  </si>
  <si>
    <t>Wu, JW (corresponding author), Sun Yat Sen Univ, Lingnan Coll, Guangzhou, Peoples R China.</t>
  </si>
  <si>
    <t>wujw79@mail2.sysu.edu.cn</t>
  </si>
  <si>
    <t>Yang, Cunyi/AAQ-8476-2021; Wu, Junwei/LQJ-7443-2024</t>
  </si>
  <si>
    <t>Yang, Cunyi/0000-0001-5420-1025;</t>
  </si>
  <si>
    <t>Excellent Young Team Project Natural Science Foundation of Guangdong Province of China; National Natural Science Foundation of China [71991474, 72371256]; Academic Innovation Project for Postgraduates of Sun Yat-Sen University; [2023B1515040001]</t>
  </si>
  <si>
    <t>Excellent Young Team Project Natural Science Foundation of Guangdong Province of China; National Natural Science Foundation of China(National Natural Science Foundation of China (NSFC)); Academic Innovation Project for Postgraduates of Sun Yat-Sen University;</t>
  </si>
  <si>
    <t>We would like to extend our gratitude to Dr. Mike Pagano from Villanova University, Dr. Tina Yang from the University of South Florida, and the anonymous reviewer for their invaluable comments. This paper is supported by the National Natural Science Foundation of China (No. 71991474, No. 72371256), the Excellent Young Team Project Natural Science Foundation of Guangdong Province of China (No. 2023B1515040001), The Academic Innovation Project for Postgraduates of Sun Yat-Sen University.</t>
  </si>
  <si>
    <t>0732-8516</t>
  </si>
  <si>
    <t>1540-6288</t>
  </si>
  <si>
    <t>FINANC REV</t>
  </si>
  <si>
    <t>FINANC. REV.</t>
  </si>
  <si>
    <t>10.1111/fire.12404</t>
  </si>
  <si>
    <t>1OZ9D</t>
  </si>
  <si>
    <t>WOS:001227488200001</t>
  </si>
  <si>
    <t>Wang, X</t>
  </si>
  <si>
    <t>Wang, Xue</t>
  </si>
  <si>
    <t>Mobile Payment and Informal Business: Evidence from China's Household Panel Data</t>
  </si>
  <si>
    <t>CHINA &amp; WORLD ECONOMY</t>
  </si>
  <si>
    <t>entrepreneurial activity; financial inclusion; mobile payment; small and micro-business</t>
  </si>
  <si>
    <t>MONEY; FINANCE; NETWORKS; POVERTY; ECONOMY; IMPACT</t>
  </si>
  <si>
    <t>This paper uses household panel data to explore the impact of mobile payments on China's household business activity. Using a difference-in-difference fixed effect specification, I find that mobile payment users are more likely to operate small-scale and self-employed informal businesses. The impact of using mobile payment primarily derives from the transition of agricultural families to business owners and the development of informal businesses. The paper illustrates an associated increase in employment and income for family members, with more pronounced effects on low-income and rural households. It also provides prima facie evidence of the increase in fund transfers, which is important for risk sharing that informal businesses may encounter.</t>
  </si>
  <si>
    <t>[Wang, Xue] Peking Univ, Natl Sch Dev, Beijing, Peoples R China; [Wang, Xue] Peking Univ, Inst Digital Finance, Beijing, Peoples R China</t>
  </si>
  <si>
    <t>Peking University; Peking University</t>
  </si>
  <si>
    <t>Wang, X (corresponding author), Peking Univ, Natl Sch Dev, Beijing, Peoples R China.;Wang, X (corresponding author), Peking Univ, Inst Digital Finance, Beijing, Peoples R China.</t>
  </si>
  <si>
    <t>xue.wang@pku.edu.cn</t>
  </si>
  <si>
    <t>This research was supported by the National Social Science Foundation of China (No. 18ZDA091). The author is very grateful to Zhichao Yin, Honghui Zhu, Xun Wang, Yang Ji and Yiping Huang for their helpful advice and comments.</t>
  </si>
  <si>
    <t>1671-2234</t>
  </si>
  <si>
    <t>1749-124X</t>
  </si>
  <si>
    <t>CHINA WORLD ECON</t>
  </si>
  <si>
    <t>China World Econ.</t>
  </si>
  <si>
    <t>10.1111/cwe.12334</t>
  </si>
  <si>
    <t>LR1MK</t>
  </si>
  <si>
    <t>WOS:000535459500005</t>
  </si>
  <si>
    <t>Matthews, BH</t>
  </si>
  <si>
    <t>Matthews, Brett Hudson</t>
  </si>
  <si>
    <t>Hidden constraints to digital financial inclusion: the oral-literate divide</t>
  </si>
  <si>
    <t>DEVELOPMENT IN PRACTICE</t>
  </si>
  <si>
    <t>Gender and diversity; Labour and livelihoods ? Microfinance; Technology; Sub-Saharan Africa; East Asia</t>
  </si>
  <si>
    <t>The vision that digital finance can achieve universal financial inclusion is premised on the rarely questioned assumption that the world is rapidly moving towards universal literacy and numeracy. In fact, text and arithmetic notation shape the relationship between formal finance and about a billion of the world?s poorest adults. This ?oral? population, stranded outside the reach of formal employment, have neither the capabilities nor the incentives to engage in digital finance as it is currently being offered. Empirical observation of the actual capabilities and incentives of oral adults can offer transformative solutions for mobile wallet providers, NGO projects, designers and governments.</t>
  </si>
  <si>
    <t>[Matthews, Brett Hudson] Oxfam Amer, Community Finance, Nairobi, Kenya; [Matthews, Brett Hudson] Alterna Credit Union, Ottawa, ON, Canada</t>
  </si>
  <si>
    <t>Matthews, BH (corresponding author), Oxfam Amer, Community Finance, Nairobi, Kenya.;Matthews, BH (corresponding author), Alterna Credit Union, Ottawa, ON, Canada.</t>
  </si>
  <si>
    <t>brett@myoralvillage.org</t>
  </si>
  <si>
    <t>Consultative Group to Assist the Poor (CGAP)</t>
  </si>
  <si>
    <t>The author is grateful for comments, questions and suggestions received from Margaret Hazlewood, David Myhre, Julia Arnold, the editors of this special issue, and an anonymous referee. Thanks are also offered to Heather Broughton and the Consultative Group to Assist the Poor (CGAP) for their financial and other support for the field research of My Oral Village. Errors and omissions are the sole responsibility of the author.</t>
  </si>
  <si>
    <t>0961-4524</t>
  </si>
  <si>
    <t>1364-9213</t>
  </si>
  <si>
    <t>DEV PRACT</t>
  </si>
  <si>
    <t>Dev. Pract.</t>
  </si>
  <si>
    <t>10.1080/09614524.2019.1654979</t>
  </si>
  <si>
    <t>AUG 2019</t>
  </si>
  <si>
    <t>JJ6WD</t>
  </si>
  <si>
    <t>WOS:000490690900001</t>
  </si>
  <si>
    <t>Chawla, I; Mokhtari, M</t>
  </si>
  <si>
    <t>Chawla, Isha; Mokhtari, Manouchehr</t>
  </si>
  <si>
    <t>Financial Overconfidence and High-Cost Borrowing: The Moderating Effect of Mobile Payments</t>
  </si>
  <si>
    <t>high-cost borrowing; mobile payments; pain of payments; financial confidence; bounded rationality; G50; G51; G53</t>
  </si>
  <si>
    <t>BOUNDED RATIONALITY; KNOWLEDGE; LITERACY; CONFIDENCE; GENDER</t>
  </si>
  <si>
    <t>Inadequate financial literacy and overconfidence in financial knowledge, coupled with the use of mobile payments (MPs), may contribute to harmful financial behaviors. While the relationship between financial knowledge confidence and financial behaviors is well documented, there is limited understanding of how financial confidence affects the use of alternative financial services (AFSs), such as payday loans, and how MPs moderate this relationship. This study examines the moderating effect of MPs on the association between financial knowledge confidence and the demand for AFS, utilizing data from U.S. adults surveyed in the 2018 National Financial Capability Study. The results show that individuals who use MPs are significantly more likely to engage with AFSs compared to non-users, with MPs increasing the likelihood of AFS usage by 92% (odds ratio: 1.92). Furthermore, overconfident individuals who use MPs are 94% more likely to rely on AFSs (odds ratio: 1.94). These findings highlight the need for targeted financial education and policymaking to mitigate the risks associated with financial overconfidence and MP usage.</t>
  </si>
  <si>
    <t>[Chawla, Isha] Univ Wyoming, Coll Business, Dept Accounting &amp; Finance, Laramie, WY 82071 USA; [Mokhtari, Manouchehr] Univ Maryland, Sch Publ Hlth, Dept Family Sci, College Pk, MD 20742 USA</t>
  </si>
  <si>
    <t>University of Wyoming; University System of Maryland; University of Maryland College Park</t>
  </si>
  <si>
    <t>Chawla, I (corresponding author), Univ Wyoming, Coll Business, Dept Accounting &amp; Finance, Laramie, WY 82071 USA.</t>
  </si>
  <si>
    <t>ichawla@uwyo.edu; mokhtari@umd.edu</t>
  </si>
  <si>
    <t>chawla, isha/GQP-9727-2022</t>
  </si>
  <si>
    <t>FEB 12</t>
  </si>
  <si>
    <t>10.3390/fintech4010009</t>
  </si>
  <si>
    <t>7JQ8T</t>
  </si>
  <si>
    <t>WOS:001572613900001</t>
  </si>
  <si>
    <t>Wamba, SF; Queiroz, MM; Blome, C; Sivarajah, U</t>
  </si>
  <si>
    <t>Wamba, Samuel Fosso; Queiroz, Maciel M.; Blome, Constantin; Sivarajah, Uthayasankar</t>
  </si>
  <si>
    <t>Fostering Financial Inclusion in a Developing Country: Predicting User Acceptance of Mobile Wallets in Cameroon</t>
  </si>
  <si>
    <t>JOURNAL OF GLOBAL INFORMATION MANAGEMENT</t>
  </si>
  <si>
    <t>Acceptance; Actual Use; Adoption; Cameroon; Cultural Factors; Financial Inclusion; Mobile Wallet; TAM</t>
  </si>
  <si>
    <t>BEHAVIORAL INTENTION; UNIFIED THEORY; INFORMATION-TECHNOLOGY; CULTURAL-DIFFERENCES; CONSUMER ACCEPTANCE; BANKING ADOPTION; SERVICES; MODEL; METAANALYSIS; INNOVATIVENESS</t>
  </si>
  <si>
    <t>Financial inclusion is a vital development priority for countries worldwide. Mobile wallet (m-wallet) is considered as a disruptive payment method that will substitute the traditional physical wallet to achieve the so-called cashless society and enables financial inclusion. This study aims at developing and testing a research model that integrates a set of technology factors (perceived usefulness, perceived ease of use, fun to use, monetary value), external factors (peer influence and perceived status benefit), and cultural factors (humane orientation and societal collectivism) to assess the intention to adopt and use m-wallet, for financial inclusion, in a developing country. The proposed conceptual model is tested using data collected from 621 m-wallet users in Cameroon. The model explains 47.5% of the variance of the actual use of m-wallet and 32.90% of the variance of financial inclusion. Eight out of the 10 proposed hypotheses were supported. Finally, implications for research and practice are discussed.</t>
  </si>
  <si>
    <t>[Wamba, Samuel Fosso] TBS Business Sch, Toulouse, France; [Queiroz, Maciel M.] Univ Paulista, Sao Paulo, Brazil; [Queiroz, Maciel M.] Univ Prebiteriana Mackenzie, Sao Paulo, Brazil; [Blome, Constantin] Univ Sussex, Business Sch, Brighton, E Sussex, England; [Sivarajah, Uthayasankar] Univ Bradford, Fac Management Law &amp; Social Sci, Bradford, W Yorkshire, England</t>
  </si>
  <si>
    <t>Universidade Paulista; Universidade Presbiteriana Mackenzie; University of Sussex; University of Bradford</t>
  </si>
  <si>
    <t>Wamba, SF (corresponding author), TBS Business Sch, Toulouse, France.</t>
  </si>
  <si>
    <t>Fosso Wamba, Samuel/AAB-4953-2019; Sivarajah, Uthayasankar/AAU-7065-2020; Blome, Constantin/ABE-5795-2020; M Queiroz, Maciel/F-1274-2014</t>
  </si>
  <si>
    <t>Fosso Wamba, Samuel/0000-0002-1073-058X; Sivarajah, Uthayasankar/0000-0002-6401-540X; Blome, Constantin/0000-0001-5927-7205; M Queiroz, Maciel/0000-0002-6025-9191</t>
  </si>
  <si>
    <t>1062-7375</t>
  </si>
  <si>
    <t>1533-7995</t>
  </si>
  <si>
    <t>J GLOB INF MANAG</t>
  </si>
  <si>
    <t>J. Glob. Inf. Manag.</t>
  </si>
  <si>
    <t>JUL-AUG</t>
  </si>
  <si>
    <t>10.4018/JGIM.20210701.oa9</t>
  </si>
  <si>
    <t>SA7KG</t>
  </si>
  <si>
    <t>WOS:000649479400009</t>
  </si>
  <si>
    <t>Vasilyeva, T; Ziolko, A; Kuzmenko, O; Kapinos, A; Humenna, Y</t>
  </si>
  <si>
    <t>Vasilyeva, Tetyana; Ziolko, Anna; Kuzmenko, Olha; Kapinos, Anna; Humenna, Yuliia</t>
  </si>
  <si>
    <t>IMPACT OF DIGITALIZATION AND THE COVID-19 PANDEMIC ON THE AML SCENARIO: DATA MINING ANALYSIS FOR GOOD GOVERNANCE</t>
  </si>
  <si>
    <t>digitalization; COVID-19; good governance; AML policy; financial inclusion; clustering; Basel AML Index</t>
  </si>
  <si>
    <t>SHADOW ECONOMY; TRANSFORMATION; INNOVATIONS; MANAGEMENT</t>
  </si>
  <si>
    <t>The article deals with the impact of digitalization and COVID-19 on the choice of AML scenarios for reforming the system of tactical and strategic monitoring of transactions carried out by economic entities based on providing good governance. The study period is 2011-2020; the objects of the study are 140 countries. Calculations are performed using Data-Mining methods, such as AML scenarios based on the classification tree method (one-dimensional CART branching method) and clustering of countries according to relevant AML scenarios based on agglomerative methods. There are three stages of research. The first builds a comprehensive system of indicators which involves financial inclusion indicators of the population, the ranking of countries on the Basel AML Index, and effectiveness of the AML policy implementation at the country level. The second stage considers countries' clustering according to the AML scenarios and formalizes the portraits of countries' clusters. The third stage examines the impact of digitalization and COVID-19 on the choice of AML scenarios. According to the empirical results, rapid, moderately rapid, slow and neutral adaptability to external factors are formalized in the possible scenarios as a result of such effects. Moreover, the countries' clustering proves that the money laundering risks relevant to the country lower and the implementation of the AML measures by the state grows more effective with higher financial inclusion for the population in the country. The study results can be helpful for authorized bodies in providing good governance while conducting financial monitoring and analysis of information on transactions carried out by economic entities.</t>
  </si>
  <si>
    <t>[Vasilyeva, Tetyana; Kuzmenko, Olha; Humenna, Yuliia] Sumy State Univ, Sumy, Ukraine; [Ziolko, Anna] Natl Med Inst, Warsaw, Poland; [Kapinos, Anna] Univ Technol Informat &amp; Management Rzeszow, Rzeszow, Poland</t>
  </si>
  <si>
    <t>Ministry of Education &amp; Science of Ukraine; Sumy State University; National Medicines Institute Lekow (NIL); University of Information Technology &amp; Management Rzeszow</t>
  </si>
  <si>
    <t>Vasilyeva, T (corresponding author), Sumy State Univ, Sumy, Ukraine.</t>
  </si>
  <si>
    <t>t.vasylieva@biem.sumdu.edu.ua; a.ziolko@nil.gov.pl; o.kuzmenko@biem.sumdu.edu.ua; akapinos@wsiz.edu.pl; y.humenna@biem.sumdu.edu.ua</t>
  </si>
  <si>
    <t>Vasylieva, Tetiana/K-5592-2018; Humenna, Yuliia/AAD-6227-2020; Kuzmenko, Olha/W-5504-2019</t>
  </si>
  <si>
    <t>National Research Fund of Ukraine Optimization and automation of financial monitoring processes to increase information security in Ukraine [0120U104810]</t>
  </si>
  <si>
    <t>National Research Fund of Ukraine Optimization and automation of financial monitoring processes to increase information security in Ukraine</t>
  </si>
  <si>
    <t>The article was prepared based on the results of a research funded by the National Research Fund of Ukraine Optimization and automation of financial monitoring processes to increase information security in Ukraine. (Registration number: 0120U104810).</t>
  </si>
  <si>
    <t>BOLESLAWA SMIALEGO STR 22-27, SZCZECIN, 70-347, POLAND</t>
  </si>
  <si>
    <t>10.14254/2071-789X.2021/14-4/19</t>
  </si>
  <si>
    <t>YK1VR</t>
  </si>
  <si>
    <t>WOS:000745009700019</t>
  </si>
  <si>
    <t>Gichuki, CN; Mulu-Mutuku, M</t>
  </si>
  <si>
    <t>Gichuki, Castro Ngumbu; Mulu-Mutuku, Milcah</t>
  </si>
  <si>
    <t>Determinants of awareness and adoption of mobile money technologies: Evidence from women micro entrepreneurs in Kenya</t>
  </si>
  <si>
    <t>Financial inclusion; Mobile money banking; Technology adoption</t>
  </si>
  <si>
    <t>DOUBLE-HURDLE MODEL; BANKING; CONSUMPTION; POVERTY; TRUST</t>
  </si>
  <si>
    <t>Over the last decade mobile phone based money services continue to expand in most of the developing countries. The spread of the technology is believed to reduce transaction costs and promote market integration. Even with the introduction of mobile money technologies, financial exclusion remains endemic especially with regard to gender aspect. This paper analyses women entrepreneur's adoption of mobile money services in Kenya. The results suggest that women's membership to table banking groups would easily influence awareness and consequently increase adoption of mobile payments services. Also, we established that women's control of enterprise finances and decision making significantly impact on awareness and usage of mobile money technologies. However, women are less likely to adopt mobile banking technology perceived to be out of reach for their communities and those that have hidden charges irrespective of having knowledge of their existence.</t>
  </si>
  <si>
    <t>[Gichuki, Castro Ngumbu] Nanjing Agr Univ, Coll Econ &amp; Management, Nanjing, Jiangsu, Peoples R China; [Mulu-Mutuku, Milcah] Egerton Univ, Dept Appl Community Dev Studies, Njoro, Kenya</t>
  </si>
  <si>
    <t>Nanjing Agricultural University; Egerton University</t>
  </si>
  <si>
    <t>Gichuki, CN (corresponding author), Nanjing Agr Univ, Coll Econ &amp; Management, Nanjing, Jiangsu, Peoples R China.</t>
  </si>
  <si>
    <t>mmutuku@egerton.ac.ke; mwmilcah@gmail.com</t>
  </si>
  <si>
    <t>Gichuki, Castro/0000-0003-3185-6285; Mulu-Mutuku, Milcah/0000-0002-5891-3326</t>
  </si>
  <si>
    <t>Institute for Money, Technology and Financial Inclusion (IMTFI) of the University of California, Irvine [2015-3249]</t>
  </si>
  <si>
    <t>Institute for Money, Technology and Financial Inclusion (IMTFI) of the University of California, Irvine</t>
  </si>
  <si>
    <t>This study was made possible through financial support provided by the Institute for Money, Technology and Financial Inclusion (IMTFI) of the University of California, Irvine (Grant number 2015-3249). The ideas expressed here are those of the authors' and do not necessarily reflect those of the IMTFI.</t>
  </si>
  <si>
    <t>10.1016/j.wsif.2017.11.013</t>
  </si>
  <si>
    <t>GD8OD</t>
  </si>
  <si>
    <t>WOS:000430770900003</t>
  </si>
  <si>
    <t>Coffie, CPK; Zhao, HJ; Mensah, IA</t>
  </si>
  <si>
    <t>Coffie, Cephas Paa Kwasi; Zhao, Hongjiang; Mensah, Isaac Adjei</t>
  </si>
  <si>
    <t>Panel Econometric Analysis on Mobile Payment Transactions and Traditional Banks Effort toward Financial Accessibility in Sub-Sahara Africa</t>
  </si>
  <si>
    <t>mobile payment; traditional banks; financial access; FinTech; sub-Sahara Africa</t>
  </si>
  <si>
    <t>TECHNOLOGY; INNOVATION; INCLUSION; ACCESS; TESTS; MONEY</t>
  </si>
  <si>
    <t>The financial landscape of sub-Sahara Africa is undergoing major changes due to the advent of FinTech, which has seen mobile payments boom in the region. This paper examines the salient role of mobile payments in traditional banks' drive toward financial accessibility in sub-Sahara Africa by using panel econometric approaches that consider the issues of independencies among cross-sectional residuals. Using data from the World Development Index (WDI) 2011-2017 on 11 countries in the region, empirical results from cross-sectional dependence (CD) tests, panel unit root test, panel cointegration test, and the fully modified ordinary least squares (FMOLS) approach indicates that (i) the panel time series data are cross-sectionally independent, (ii) the variables have the same order of integration and are cointegrated, and (iii) growth in mobile payment transactions had a significant positive relationship with formal account ownership, the number of ATMs, and number of new bank branches in the long-run. The paper therefore confirms that the institutional structure of traditional banks that makes them competitive, irrespective of emerging disruptive technologies, has stimulated overall financial accessibility in the region leading to overall sustainable growth in the financial sector. We conclude the paper with feasible policy suggestions.</t>
  </si>
  <si>
    <t>[Coffie, Cephas Paa Kwasi; Zhao, Hongjiang] Univ Elect Sci &amp; Technol China, Sch Management &amp; Econ, Chengdu 610054, Peoples R China; [Coffie, Cephas Paa Kwasi; Zhao, Hongjiang] Univ Elect Sci &amp; Technol China, Ctr West African Studies, Chengdu 610054, Peoples R China; [Mensah, Isaac Adjei] Jiangsu Univ, Fac Sci, IASA, Zhenjiang 212013, Jiangsu, Peoples R China</t>
  </si>
  <si>
    <t>University of Electronic Science &amp; Technology of China; University of Electronic Science &amp; Technology of China; Jiangsu University</t>
  </si>
  <si>
    <t>Zhao, HJ (corresponding author), Univ Elect Sci &amp; Technol China, Sch Management &amp; Econ, Chengdu 610054, Peoples R China.;Zhao, HJ (corresponding author), Univ Elect Sci &amp; Technol China, Ctr West African Studies, Chengdu 610054, Peoples R China.</t>
  </si>
  <si>
    <t>coffiecephas@gmail.com; zhaohj@uestc.edu.cn; isaacadjeimensah29@outlook.com</t>
  </si>
  <si>
    <t>ADJEI MENSAH, ISAAC/JNE-6384-2023; Coffie, Cephas Paa Kwasi/AAO-7607-2020</t>
  </si>
  <si>
    <t>ADJEI MENSAH, ISAAC/0000-0003-1491-0665; Coffie, Cephas Paa Kwasi/0000-0002-8644-1418</t>
  </si>
  <si>
    <t>Science &amp; Technology Department of Sichuan Province International Technology Cooperation Project/Hong Kong Macao Taiwan Technology Cooperation Project [2019YFH0004]</t>
  </si>
  <si>
    <t>Science &amp; Technology Department of Sichuan Province International Technology Cooperation Project/Hong Kong Macao Taiwan Technology Cooperation Project</t>
  </si>
  <si>
    <t>This research is financially supported by the Science &amp; Technology Department of Sichuan Province International Technology Cooperation Project/Hong Kong Macao Taiwan Technology Cooperation Project (2019YFH0004).</t>
  </si>
  <si>
    <t>10.3390/su12030895</t>
  </si>
  <si>
    <t>KT6PA</t>
  </si>
  <si>
    <t>WOS:000519135102051</t>
  </si>
  <si>
    <t>Vasishta, P; Dhiman, A; Smith, S; Singla, A</t>
  </si>
  <si>
    <t>Vasishta, Prihana; Dhiman, Ankita; Smith, Shagun; Singla, Anju</t>
  </si>
  <si>
    <t>How can DeFi improve the quality, affordability, access and usage of financial services? A systematic literature review</t>
  </si>
  <si>
    <t>Financial exclusion; Decentralized finance; Blockchain; Financial inclusion; Fintech; Financial literacy</t>
  </si>
  <si>
    <t>BLOCKCHAIN TECHNOLOGY; BANKS</t>
  </si>
  <si>
    <t>Purpose - This study systematically reviews the role of decentralized finance (DeFi) in enhancing the quality, affordability, access and usage of financial services, specifically targeting underserved populations. The aim is to investigate DeFi's potential in addressing financial exclusion and promoting global financial inclusion. Design/methodology/approach - A systematic literature review was conducted, analyzing 67 peer-reviewed articles. The review focused on extracting actionable insights and recommendations regarding DeFi's impact on financial inclusion. Findings - The study reveals that DeFi, through the utilization of blockchain technology, can significantly improve accessibility, affordability and usability of financial services. By eliminating intermediaries and reducing entry barriers, DeFi platforms democratize finance and support financial inclusion on a global scale. The research identifies specific mechanisms through which DeFi can enhance financial services for marginalized communities, including decentralized lending, digital wallets and blockchain-based remittances. Research limitations/implications - The study is constrained by the current literature and data availability on DeFi's impact on financial inclusion. Future research should explore the scalability, sustainability and long-term effects of DeFi solutions in diverse contexts. Originality/value - This research uniquely contributes to the literature by examining the intersection of DeFi and financial inclusion, providing innovative approaches to overcoming financial exclusion. The study highlights DeFi's potential to transform financial services and empower underserved populations economically.</t>
  </si>
  <si>
    <t>[Vasishta, Prihana; Dhiman, Ankita; Smith, Shagun; Singla, Anju] Punjab Engn Coll Deemed be Univ, Ctr Management &amp; Humanities CMH, Chandigarh, India</t>
  </si>
  <si>
    <t>Punjab Engineering College (Deemed University)</t>
  </si>
  <si>
    <t>Singla, A (corresponding author), Punjab Engn Coll Deemed be Univ, Ctr Management &amp; Humanities CMH, Chandigarh, India.</t>
  </si>
  <si>
    <t>info.prihana@gmail.com; ankitahry11@gmail.com; smith.shagun@gmail.com; anjusingla@pec.edu.in</t>
  </si>
  <si>
    <t>; Vasishta, Prihana/IST-9527-2023</t>
  </si>
  <si>
    <t>, Ankita Dhiman/0009-0002-9635-3064; Vasishta, Prihana/0000-0002-3833-4992</t>
  </si>
  <si>
    <t>2025 FEB 13</t>
  </si>
  <si>
    <t>10.1108/JEAS-07-2024-0243</t>
  </si>
  <si>
    <t>W7K3Z</t>
  </si>
  <si>
    <t>WOS:001420314700001</t>
  </si>
  <si>
    <t>Ismath, I; Kirupananda, A</t>
  </si>
  <si>
    <t>Ismath, Ifram; Kirupananda, Abarnah</t>
  </si>
  <si>
    <t>TrustCredit - An Individual Credit Scoring Mechanism Using Alternative Mobile Interaction Touchpoints</t>
  </si>
  <si>
    <t>2021 IEEE REGION 10 SYMPOSIUM (TENSYMP)</t>
  </si>
  <si>
    <t>IEEE Region 10 Symposium</t>
  </si>
  <si>
    <t>IEEE Region 10 Symposium (TENSYMP) - Good Technologies for Creating Future</t>
  </si>
  <si>
    <t>AUG 23-25, 2021</t>
  </si>
  <si>
    <t>Jeju, SOUTH KOREA</t>
  </si>
  <si>
    <t>IEEE,IEEE Reg 10</t>
  </si>
  <si>
    <t>Financial inclusion; Mobile interactions; Financial discipline; Credit score; Micro-loans; Risk assessment; Text analysis</t>
  </si>
  <si>
    <t>Financial Exclusion has resulted in 2.5 billion of the world's working adults excluded from formal financial services. Financial exclusion is a common phenomenon among emerging and developing countries and accounts for more than 60% of global poverty. The absence of documented income proof and lack of physical access to financial institutions are considered factors that fuel financial exclusion worldwide. The ability to understand and predict financial discipline among those that are financially excluded is of interest to financial institutions, and individuals themselves and is considered a vital part in enabling Financial Inclusion. This research proposes a methodology to address the issue of inaccessibility of financial services among individuals that do not possess the means to prove individual creditworthiness to financial service providers. The research project aims to leverage on the existing technology and communications infrastructure that has transformed how individuals use mobile phones and digital technology to fulfill daily needs. The project focuses on analyzing mobile phone interactions to derive a credit score that depicts an individual's financial discipline (creditworthiness) that would enable access to previously denied financial services. The solution leverages on mobile interactions where an individual's digital footprint is subject to analysis.</t>
  </si>
  <si>
    <t>[Ismath, Ifram; Kirupananda, Abarnah] Informat Inst Technol, Dept Business Sch, Colombo, Sri Lanka</t>
  </si>
  <si>
    <t>Ismath, I (corresponding author), Informat Inst Technol, Dept Business Sch, Colombo, Sri Lanka.</t>
  </si>
  <si>
    <t>iframismath@gmail.com; abarnah.k@iit.ac.lk</t>
  </si>
  <si>
    <t>2640-821X</t>
  </si>
  <si>
    <t>978-1-6654-0026-8</t>
  </si>
  <si>
    <t>IEEE REGION 10 SYMP</t>
  </si>
  <si>
    <t>10.1109/TENSYMP52854.2021.9550839</t>
  </si>
  <si>
    <t>Engineering, Electrical &amp; Electronic</t>
  </si>
  <si>
    <t>BT0BU</t>
  </si>
  <si>
    <t>WOS:000786502700030</t>
  </si>
  <si>
    <t>Memela, C; Chindenga, E</t>
  </si>
  <si>
    <t>Memela, Chuma; Chindenga, Edmore</t>
  </si>
  <si>
    <t>Emerging FinTech Models in Mobile Payments for Digital Finance in Rural Areas</t>
  </si>
  <si>
    <t>2023 IST-AFRICA CONFERENCE, IST-AFRICA</t>
  </si>
  <si>
    <t>IST-Africa</t>
  </si>
  <si>
    <t>IST-Africa Conference (IST-Africa)</t>
  </si>
  <si>
    <t>MAY 31-JUN 02, 2023</t>
  </si>
  <si>
    <t>Tshwane, SOUTH AFRICA</t>
  </si>
  <si>
    <t>IST Africa</t>
  </si>
  <si>
    <t>Industrial Revolution; digital finance; disruptive technology; financial inclusion; FinTech; m-payment; rural South Africa</t>
  </si>
  <si>
    <t>This paper investigates the disparities in financial inclusivity between rural and urban South Africa. South Africa has a unique history of segregation, which plagued the country into a dual economy. As a result, access to the formal economy and financial services are not equally available across the nation. Financial Technology (FinTech) being an emerging form of providing financial services seems to be promising to improve access and the lack thereof. The paper examines specifically FinTech mobile payment models, and how these FinTech mobile payment models can be used for digital finance in rural South Africa. This paper adopted the Organisational Creativity theoretical approach, to conduct a literature survey of prominent literature in FinTech mobile payments. Findings from the paper indicate that the use of FinTech promises to improve financial inclusivity in rural South Africa. Based on the findings, the paper proposes a model for FinTech mobile payments in rural South Africa.</t>
  </si>
  <si>
    <t>[Memela, Chuma; Chindenga, Edmore] Univ Ft Hare, Alice, South Africa</t>
  </si>
  <si>
    <t>Memela, C (corresponding author), Univ Ft Hare, Alice, South Africa.</t>
  </si>
  <si>
    <t>201927756@ufh.ac.za; echindenga@ufh.ac.za</t>
  </si>
  <si>
    <t>2576-8581</t>
  </si>
  <si>
    <t>978-1-905824-71-7</t>
  </si>
  <si>
    <t>ISTAfrica</t>
  </si>
  <si>
    <t>10.23919/IST-Africa60249.2023.10187800</t>
  </si>
  <si>
    <t>Computer Science, Interdisciplinary Applications; Computer Science, Theory &amp; Methods; Engineering, Multidisciplinary</t>
  </si>
  <si>
    <t>BV4WR</t>
  </si>
  <si>
    <t>WOS:001043065600029</t>
  </si>
  <si>
    <t>Kanjo, C; Phiri, Y; Mtumbuka, F; Manda, T</t>
  </si>
  <si>
    <t>Kanjo, Chipo; Phiri, Yamikani; Mtumbuka, Frank; Manda, Tiwonge</t>
  </si>
  <si>
    <t>ICT Solutions for Financial Inclusion: Reaching Out to the Unbanked in Low Resource Settings</t>
  </si>
  <si>
    <t>2017 IST-AFRICA WEEK CONFERENCE (IST-AFRICA)</t>
  </si>
  <si>
    <t>IST-Africa Week Conference (IST-Africa)</t>
  </si>
  <si>
    <t>MAY 30-JUN 02, 2017</t>
  </si>
  <si>
    <t>Windhoek, NAMIBIA</t>
  </si>
  <si>
    <t>Financial Inclusion; Banked; Unbanked; Low Resource Setting; Mobile Payments</t>
  </si>
  <si>
    <t>Most of the population in developing countries remains unbanked and financially excluded. On the other hand, mobile phones have proved to have the potential for mobile payments in developing countries. Mobile payment is financially inclusive, offering great potential for financial integration. Africa, by and large, is considered to be having a higher percentage of the unbanked. This paper concerns how the mobile payment potential can be leveraged in the context where most of the population is financially excluded. The paper reflects results of a study carried out in Malawi focusing on provision of ICT-based financial solutions to the unbanked in developing countries, particularly in the low resource settings of Africa using a technology called e-ticketing system. Mobile payments encompass a range of different payment types, some of which may not appeal in some contexts. In this study USSD communication mode was adopted, choice of which depended on its affordability, ease of use and responsiveness.</t>
  </si>
  <si>
    <t>[Kanjo, Chipo; Phiri, Yamikani; Manda, Tiwonge] Univ Malawi, Chancellor Coll, Box 280, Zomba, Malawi; [Mtumbuka, Frank] Baobab Hlth Trust, Box 31797, Lilongwe 3, Malawi</t>
  </si>
  <si>
    <t>Kanjo, C (corresponding author), Univ Malawi, Chancellor Coll, Box 280, Zomba, Malawi.</t>
  </si>
  <si>
    <t>ckanjo@cc.ac.mw; fmtumbuka@yahoo.com</t>
  </si>
  <si>
    <t>BJ6ON</t>
  </si>
  <si>
    <t>WOS:000426893600138</t>
  </si>
  <si>
    <t>Bhatia-Kalluri, A; Caraway, BR</t>
  </si>
  <si>
    <t>Bhatia-Kalluri, Aditi; Caraway, Brett R.</t>
  </si>
  <si>
    <t>Transformation of the Digital Payment Ecosystem in India: A Case Study of Paytm</t>
  </si>
  <si>
    <t>SOCIAL INCLUSION</t>
  </si>
  <si>
    <t>digital wallet; financial inclusion; multi-sided market; network effects; platforms</t>
  </si>
  <si>
    <t>FINANCIAL INCLUSION; PLATFORMIZATION; DEMONETIZATION</t>
  </si>
  <si>
    <t>Paytm is a payment app in India providing e-wallet services; it is also the most prominent mobile e-commerce app in the world's third-largest economy. This article uses Paytm as a case study to better understand the global platform economy and its implications for social and economic inequities. We contextualize the emergence of Paytm by drawing attention to its relationship with India's developing digital infrastructure and marginalized populations-many of whom are part of the platform's user base. We use a political economy lens to investigate Paytm's market structure, stakeholders, innovations, and beneficiaries. Our research is guided by the question: What resources, infrastructures, and policies have given rise to India's digital payment ecosystem, and how have these contributed to economic and social inequities? Accordingly, we audited the international and Indian business press and Paytm's corporate communications from 2016 to 2020. Our analysis points to the tensions between private and public interests in the larger platform ecosystem, dispelling notions of platforms as neutral arbiters of market transactions. We argue that Paytm is socially beneficial to the extent that it reduces transaction costs and makes digital payments more accessible for marginalized populations; it is detrimental to the time that it jeopardizes user data and privacy while suppressing competition in the platform economy.</t>
  </si>
  <si>
    <t>[Bhatia-Kalluri, Aditi] Univ Toronto, Fac Informat, Toronto, ON, Canada; [Caraway, Brett R.] Univ Toronto, Inst Commun Culture Informat &amp; Technol, Toronto, ON, Canada</t>
  </si>
  <si>
    <t>University of Toronto; University of Toronto</t>
  </si>
  <si>
    <t>Bhatia-Kalluri, A (corresponding author), Univ Toronto, Fac Informat, Toronto, ON, Canada.</t>
  </si>
  <si>
    <t>aditi.bhatia@mail.utoronto.ca</t>
  </si>
  <si>
    <t>COGITATIO PRESS</t>
  </si>
  <si>
    <t>LISBON</t>
  </si>
  <si>
    <t>RUA FIALHO ALMEIDA 14, 2 ESQ, LISBON, 1070-129, PORTUGAL</t>
  </si>
  <si>
    <t>2183-2803</t>
  </si>
  <si>
    <t>SOC INCL</t>
  </si>
  <si>
    <t>Soc. Incl.</t>
  </si>
  <si>
    <t>10.17645/si.v11i3.6687</t>
  </si>
  <si>
    <t>S4XM5</t>
  </si>
  <si>
    <t>WOS:001071213100008</t>
  </si>
  <si>
    <t>Nieborak, T</t>
  </si>
  <si>
    <t>Nieborak, Tomasz</t>
  </si>
  <si>
    <t>SUSTAINABLE DEVELOPMENT IN THE ERA OF FINTECH AND ARTIFICIAL INTELLIGENCE</t>
  </si>
  <si>
    <t>RUCH PRAWNICZY EKONOMICZNY I SOCJOLOGICZNY</t>
  </si>
  <si>
    <t>sustainable development; artificial intelligence (AI); FinTech; financial regulation; regulatory sandbox</t>
  </si>
  <si>
    <t>The paper concerns sustainable development in the context of the dynamic changes currently occurring in financial markets, driven by the advancements of artificial intelligence (AI) and financial technology (FinTech) applications. Innovative financial mechanisms, such as intelligent investment algorithms, AI-based credit scoring, and automated advisory systems, can support the achievement of sustainable development goals by enabling more effective risk management, directing capital toward green projects, and enhancing financial inclusion. The importance of appropriate financial regulation is emphasized, including the role of regulatory sandboxes that allow innovations to be tested in a safe environment, particularly with regards to mitigating systemic risk. The author argues that while the integration of AI with the FinTech sector has the potential to create a more sustainable financial system, it requires the development of regulatory frameworks that support innovation while protecting the public interest.</t>
  </si>
  <si>
    <t>[Nieborak, Tomasz] Adam Mickiewicz Univ, Poznan, Poland</t>
  </si>
  <si>
    <t>Adam Mickiewicz University</t>
  </si>
  <si>
    <t>Nieborak, T (corresponding author), Adam Mickiewicz Univ, Poznan, Poland.</t>
  </si>
  <si>
    <t>nieborak@amu.edu.pl</t>
  </si>
  <si>
    <t>ADAM MICKIEWICZ UNIV POZNAN</t>
  </si>
  <si>
    <t>POZNAN</t>
  </si>
  <si>
    <t>AL NIEPODLEGLOSCI 53, 61-714, POZNAN, 00000, POLAND</t>
  </si>
  <si>
    <t>0035-9629</t>
  </si>
  <si>
    <t>2543-9170</t>
  </si>
  <si>
    <t>RUCH PRAW EKON SOCJ</t>
  </si>
  <si>
    <t>Ruch Praw. Ekon. Socjol.</t>
  </si>
  <si>
    <t>10.14746/rpeis.2025.87.3.04</t>
  </si>
  <si>
    <t>Economics; Law; Sociology</t>
  </si>
  <si>
    <t>Business &amp; Economics; Government &amp; Law; Sociology</t>
  </si>
  <si>
    <t>W1645</t>
  </si>
  <si>
    <t>WOS:001639327000004</t>
  </si>
  <si>
    <t>Ghazali, MS; Leong, TP</t>
  </si>
  <si>
    <t>Ghazali, Mohd Safwan; Leong, Tan Peck</t>
  </si>
  <si>
    <t>Financial Profiling and Possible Financial Inclusion of Rohingya Refugees in Malaysia</t>
  </si>
  <si>
    <t>SUSTAINABLE FINANCE, DIGITALIZATION AND THE ROLE OF TECHNOLOGY, ICBT 2021</t>
  </si>
  <si>
    <t>Refugees; Rohingyas; Financial inclusion</t>
  </si>
  <si>
    <t>This article provides a critical examination of the current extensive promotion of 'financial inclusion for refugees'. The current system largely ignores refugees from the marketplace, and they are not very visible in their host country financial service providers, particularly in the Malaysia narrative. This article establishes financial profiling, examining the possible financial inclusion of unbanked refugees, particularly Rohingyas in Malaysia. Hence, this study distributed questionnaires to 306 Rohingya refugees registered in UNHCR. The findings reveal that some refugees are unaware of financial service providers, especially digital financial services such as E-wallet. However, they were fascinated by having access to affordable and suitable financial services. The paper further explores the possible financial and economic impact of extending financial services to unbanked refugees. This study is amongst the pioneer in Malaysia, exploring challenges in the financial inclusion of refugees. The results are relevant to governments, financial regulators, and central banks to structure the right interventions to counter the challenges of extending financial services to this group.</t>
  </si>
  <si>
    <t>[Ghazali, Mohd Safwan] Univ Malaysia Kelantan, Fac Entrepreneurship &amp; Business, Kota Baharu, Kelantan, Malaysia; [Leong, Tan Peck] Univ Teknol Mara, Arshad Ayub Grad Business Sch, Shah Alam, Selangor, Malaysia</t>
  </si>
  <si>
    <t>Universiti Malaysia Kelantan; Universiti Teknologi MARA</t>
  </si>
  <si>
    <t>Ghazali, MS (corresponding author), Univ Malaysia Kelantan, Fac Entrepreneurship &amp; Business, Kota Baharu, Kelantan, Malaysia.</t>
  </si>
  <si>
    <t>safwan.g@umk.edu.my; tanpe325@salam.uitm.edu.my</t>
  </si>
  <si>
    <t>Tan, Peck-Leong/ABA-7781-2020; ghazali, Safwan/ABG-8232-2020</t>
  </si>
  <si>
    <t>Ministry of Higher Education Malaysia through the Fundamental Research Grant Scheme (FRGS) [FRGS/1/2019/SS08/UITM/02/7]; Research Management Centre, Institute of Research Management &amp; Innovation (IRMI) Universiti Teknologi MARA, Shah Alam</t>
  </si>
  <si>
    <t>Ministry of Higher Education Malaysia through the Fundamental Research Grant Scheme (FRGS); Research Management Centre, Institute of Research Management &amp; Innovation (IRMI) Universiti Teknologi MARA, Shah Alam</t>
  </si>
  <si>
    <t>The authors would like to thank the Ministry of Higher Education Malaysia for the financial support through the Fundamental Research Grant Scheme (FRGS), File No: FRGS/1/2019/SS08/UITM/02/7 and the Research Management Centre, Institute of Research Management &amp; Innovation (IRMI) Universiti Teknologi MARA, Shah Alam for managing the fund.</t>
  </si>
  <si>
    <t>978-3-031-08084-5; 978-3-031-08083-8</t>
  </si>
  <si>
    <t>10.1007/978-3-031-08084-5_49</t>
  </si>
  <si>
    <t>BU3OS</t>
  </si>
  <si>
    <t>WOS:000892373200046</t>
  </si>
  <si>
    <t>Sinha, N; Paul, J; Singh, N</t>
  </si>
  <si>
    <t>Sinha, Neena; Paul, Justin; Singh, Nidhi</t>
  </si>
  <si>
    <t>Mobile payments for bottom of the pyramid: Towards a positive social change</t>
  </si>
  <si>
    <t>Mobile payments; Perceived value; Service quality; Perceived risk; Continued intention; India</t>
  </si>
  <si>
    <t>SERVICE QUALITY; PERCEIVED RISK; ADOPTION; INTENTIONS; COMMERCE; ANTECEDENTS; PERCEPTIONS; TECHNOLOGY; MODEL; TRUST</t>
  </si>
  <si>
    <t>Mobile payment systems are increasingly seen as the lifeline of an economy and recognized as a harbinger of financial inclusion for the bottom of the pyramid (BoP). The present study aims to examine key antecedents of continued intention to use mobile payments by the BoP segment, which has shown increased usage of mobile payments. Whether this trend will lead to continued usage of the same is a moot point. To explore this, we collected data from 387 BoP respondents (auto drivers, cab drivers, local food vendors, street vendors, and others) and analyzed the data using structural equation modeling (SEM). Following the attribute-consequencevalue approach of mean end theory (ACVMET), an empirical model is employed to test the effect of perceived value and service quality on continuance intention. We also examine the influence of perceived risk as a moderator in the relationship. Findings suggest that service quality is influenced by attribute-based variables that impact perceived value and continuance intention. The significant moderating role of perceived risk is also confirmed. The implications of the study for mobile payment service providers have been discussed.</t>
  </si>
  <si>
    <t>[Sinha, Neena] GGSIP Univ, Univ Sch Management Studies, Delhi, India; [Paul, Justin] Univ Puerto Rico, San Juan, PR 00931 USA; [Paul, Justin] Univ Econ &amp; Human Sci, Warsaw, Poland; [Paul, Justin] Lebanese Amer Univ, Adnan Kassar Sch Business, Byblos, Lebanon; [Paul, Justin] Univ Reading, Henley Business Sch, Reading, England; [Singh, Nidhi] Jaipuria Inst Management, Noida, India</t>
  </si>
  <si>
    <t>GGS Indraprastha University; University of Puerto Rico; Lebanese American University; University of Reading</t>
  </si>
  <si>
    <t>Paul, J (corresponding author), Univ Puerto Rico, San Juan, PR 00931 USA.</t>
  </si>
  <si>
    <t>j.paul@reading.ac.uk; nidhi.singh@jaipuria.ac.in</t>
  </si>
  <si>
    <t>Sinha, Neena/E-3278-2013; Singh, Nidhi/AAK-5435-2021</t>
  </si>
  <si>
    <t>Singh, Nidhi/0000-0003-3181-4077</t>
  </si>
  <si>
    <t>10.1016/j.techfore.2024.123313</t>
  </si>
  <si>
    <t>QD7D5</t>
  </si>
  <si>
    <t>WOS:001218996700001</t>
  </si>
  <si>
    <t>Dunbar, K; Treku, DN</t>
  </si>
  <si>
    <t>Dunbar, Kwamie; Treku, Daniel N.</t>
  </si>
  <si>
    <t>Examining the impact of a central bank digital currency on the access to banking</t>
  </si>
  <si>
    <t>Central bank digital currency; Unbanked; Underbanked; Seemingly unrelated regression</t>
  </si>
  <si>
    <t>RETAIL INVESTOR ATTENTION; PERFORMANCE; SEARCH; INDEX</t>
  </si>
  <si>
    <t>This study examines the potential social change associated with technological innovations such as a central bank digital currency (CBDC), via the CBDC's ability to reduce the level of a nation's unbanked and underbanked households. We use data on the United States' unbanked and underbanked populations from the Federal Deposit and Insurance Agency. Our results reveal that an increased public awareness in CBDCs is linked to a statistically significant and economically meaningful decrease in the number of unbanked individuals in the society. However, this reduction is not evenly distributed across age groups, with a more notable impact observed among individuals aged 34 - 64 years old. Furthermore, our findings demonstrate that an increased awareness of CBDCs correlates with reduced levels of unbanked and underbanked individuals across different levels of college education and income. It is noteworthy that awareness of CBDCs has a particularly significant impact on unbanked and underbanked populations among society's most vulnerable individuals.</t>
  </si>
  <si>
    <t>[Dunbar, Kwamie] Worcester Polytech Inst, Finance, 100 Inst Rd, Worcester, MA 01609 USA; [Treku, Daniel N.] Worcester Polytech Inst, Management Informat Syst, 100 Inst Rd, Worcester, MA 01609 USA</t>
  </si>
  <si>
    <t>Worcester Polytechnic Institute; Worcester Polytechnic Institute</t>
  </si>
  <si>
    <t>Dunbar, K (corresponding author), Worcester Polytech Inst, Finance, 100 Inst Rd, Worcester, MA 01609 USA.</t>
  </si>
  <si>
    <t>kdunbar@wpi.edu; dtreku@wpi.edu</t>
  </si>
  <si>
    <t>Dunbar, Kwamie/LTC-8329-2024; Treku, Daniel N/L-6847-2018</t>
  </si>
  <si>
    <t>Treku, Daniel N/0000-0002-9907-3407</t>
  </si>
  <si>
    <t>10.1016/j.irfa.2024.103220</t>
  </si>
  <si>
    <t>QA6P0</t>
  </si>
  <si>
    <t>WOS:001218201500001</t>
  </si>
  <si>
    <t>Kumar, D; Martin, D; O'Neill, J</t>
  </si>
  <si>
    <t>Kumar, Deepti; Martin, David; O'Neill, Jacki</t>
  </si>
  <si>
    <t>The Times They Are A-Changin': Mobile Payments in India</t>
  </si>
  <si>
    <t>29TH ANNUAL CHI CONFERENCE ON HUMAN FACTORS IN COMPUTING SYSTEMS</t>
  </si>
  <si>
    <t>29th Annual CHI Conference on Human Factors in Computing Systems</t>
  </si>
  <si>
    <t>MAY 07-12, 2011</t>
  </si>
  <si>
    <t>Assoc Comp Machinery,SIGCHI</t>
  </si>
  <si>
    <t>Mobile payments; ethnography; payment practices; India; interaction; ecosystem; services; financial inclusion</t>
  </si>
  <si>
    <t>We report on an ethnographic study of payment and banking practices in India. Currently a mobile payment mechanism is being developed in India and we were interested to see how it would fit with various current payment systems for various types of users. Therefore we studied a variety of current payment situations and gained an understanding of the banking and payment practices and needs of a diverse community. Our aim was to inform the development of interface elements, applications and services that would support the needs we uncovered. We describe our findings and the design ideas they provoked.</t>
  </si>
  <si>
    <t>[Kumar, Deepti] Dept Comp Sci &amp; Engn, Madras, Tamil Nadu, India; [Martin, David; O'Neill, Jacki] Xerox Res Ctr Europe, Grenoble, France</t>
  </si>
  <si>
    <t>Xerox</t>
  </si>
  <si>
    <t>Kumar, D (corresponding author), Dept Comp Sci &amp; Engn, Madras, Tamil Nadu, India.</t>
  </si>
  <si>
    <t>deepti@lantana.tenet.res.in; david.martin@xrce.xerox.com; jacki.o'neill@xrce.xerox.com</t>
  </si>
  <si>
    <t>978-1-4503-0228-9</t>
  </si>
  <si>
    <t>BH0IL</t>
  </si>
  <si>
    <t>WOS:000395171601055</t>
  </si>
  <si>
    <t>Rella, L</t>
  </si>
  <si>
    <t>Rella, Ludovico</t>
  </si>
  <si>
    <t>Blockchain Technologies and Remittances: From Financial Inclusion to Correspondent Banking</t>
  </si>
  <si>
    <t>remittances; formalization; correspondent banking; de-risking; blockchain technologies; cross-border payments; infrastructures; inclusion</t>
  </si>
  <si>
    <t>Since their emergence, blockchain technologies have shown potential for financial inclusion and the formalization of remittances. Recently, regulators and practitioners have studied the capabilities of blockchain technologies to streamline and, potentially, replace the infrastructure underpinning cross-border payments and remittances, i.e., correspondent banking. Correspondent Banking Relationships, also called Nostro-Vostro accounts, are continuous bilateral arrangements that enable banks to provide services in countries where they do not directly operate. After the Global Financial Crisis, this infrastructure has undergone de-risking, i.e., a reduction of correspondent accounts and their concentration in fewer financial institutions, with especially detrimental effects on costs and speed of retail cross-border remittances. The existing literature has mostly focused on the point of sale of remittances, often overlooking correspondent banking. This paper, in contrast, connects remittances, blockchain technologies, and correspondent banking with the growing interest of critical social science in the significance of payment infrastructures for the constitution and configuration of money, finance, and markets. By unpacking the critical case of Ripple, this paper shows that blockchain applications to remittances focus on profits, risks, costs, interoperability, trapped liquidity, and idle capital in correspondent banking accounts, rather than on financial inclusion per se. In so doing, this paper contributes to critical social studies literature on the formalization of remittances, understood as the transformation of remittances into a market frontier. Blockchain applications are shown to foster, rather than resist, remittances formalization, and they are presently being incorporated into existing infrastructures, business models, and regulatory structures. Rather than representing radically alternative monetary systems, blockchain technologies are the latest iteration of technologies heralding frictionless capitalism. Lastly, this paper shows the tensions and ambiguities inherent to interoperability and formalization. Blockchain technologies are dynamic in a way that problematizes dichotomies such formal-informal and mainstream-alternative. Hence, rather than providing a quantitative assessment of the impact of blockchain technologies, this paper investigates the ambiguities and tensions in the political economy and imaginaries inscribed in the materiality and design of blockchain-enabled payment systems.</t>
  </si>
  <si>
    <t>[Rella, Ludovico] Univ Durham, Dept Geog, Durham, England</t>
  </si>
  <si>
    <t>Durham University</t>
  </si>
  <si>
    <t>Rella, L (corresponding author), Univ Durham, Dept Geog, Durham, England.</t>
  </si>
  <si>
    <t>ludovico.rella@durham.ac.uk</t>
  </si>
  <si>
    <t>Rella, Ludovico/AAV-8732-2020</t>
  </si>
  <si>
    <t>Rella, Ludovico/0000-0001-5468-9526</t>
  </si>
  <si>
    <t>UK Economic and Social Research Council, North East; Northern Ireland Doctoral Training Partnership [ES/J500082/1]</t>
  </si>
  <si>
    <t>UK Economic and Social Research Council, North East; Northern Ireland Doctoral Training Partnership</t>
  </si>
  <si>
    <t>This doctoral research was funded by the UK Economic and Social Research Council, North East, and Northern Ireland Doctoral Training Partnership, grant number ES/J500082/1.</t>
  </si>
  <si>
    <t>OCT 17</t>
  </si>
  <si>
    <t>10.3389/fbloc.2019.00014</t>
  </si>
  <si>
    <t>VK3LP</t>
  </si>
  <si>
    <t>Green Accepted, gold</t>
  </si>
  <si>
    <t>WOS:000679372500001</t>
  </si>
  <si>
    <t>Gong, XM; Zhang, HR; Zhang, JP</t>
  </si>
  <si>
    <t>Gong, Xiaomei; Zhang, Huirong; Zhang, Jiaping</t>
  </si>
  <si>
    <t>Digital Wallet, Happy Heart: An Analysis Based on the Economic-Social-Environmental Perspective</t>
  </si>
  <si>
    <t>mobile payment; subjective well-being; economy; society; environment; sustainable development</t>
  </si>
  <si>
    <t>INTERNET USE; FINANCIAL INCLUSION; POVERTY REDUCTION; MOBILE PAYMENT; AIR-POLLUTION; LIFE-SATISFACTION; HAPPINESS; QUALITY; HEALTH; IMPACT</t>
  </si>
  <si>
    <t>While the prior mobile payment-subjective well-being (SWB) literature has mainly discussed its economic and social impacts, the present study supplements this body of research by introducing an economic-social-environmental perspective. Using two waves of representative Chinese national surveys, the instrumental variable (IV) estimator suggests that mobile payment is positively and statistically significantly correlated with SWB. Furthermore, the results reveal that the positive correlation comes from the compound influence of economic, social, and environmental channels. Specifically, it shows that mobile payment not only affects people's economic and social performance but also mitigates the adverse effects of poor environmental conditions on SWB. Additionally, a further disaggregated analysis shows that mobile payment exerts a stronger positive influence on SWB for people from underdeveloped areas within the economic-social-environmental framework. These findings shed light on the role of financial technology in facilitating sustainable development.</t>
  </si>
  <si>
    <t>[Gong, Xiaomei] Shanghai Univ Finance &amp; Econ, Sch Publ Econ &amp; Adm, Shanghai 200433, Peoples R China; [Zhang, Huirong] Shandong Management Univ, Sch Lab Relat, Jinan 250357, Peoples R China; [Zhang, Jiaping] East China Normal Univ, Sch Publ Management, Shanghai 200062, Peoples R China</t>
  </si>
  <si>
    <t>Shanghai University of Finance &amp; Economics; Shandong Management University; East China Normal University</t>
  </si>
  <si>
    <t>Zhang, JP (corresponding author), East China Normal Univ, Sch Publ Management, Shanghai 200062, Peoples R China.</t>
  </si>
  <si>
    <t>xiaom_gong06@163.sufe.edu.cn; 14438120140358@sdmu.edu.cn; jpzhang@fem.ecnu.edu.cn</t>
  </si>
  <si>
    <t>National Social Science Foundation of China [18BJY108]; Chinese Ministry of Education Youth Fund Project [23YJC630228]; The 2022 Shanghai Philosophy and Social Science Planning Project [2022ZJB007]; Shanghai Pujiang Program [22PJC042]; Fundamental Research Funds for the Central Universities [2023ECNU-YYJ040]</t>
  </si>
  <si>
    <t>National Social Science Foundation of China(National Office of Philosophy and Social Sciences); Chinese Ministry of Education Youth Fund Project; The 2022 Shanghai Philosophy and Social Science Planning Project; Shanghai Pujiang Program(Shanghai Pujiang Program); Fundamental Research Funds for the Central Universities(Fundamental Research Funds for the Central UniversitiesPrince of Songkla UniversityInstituto Politecnico Nacional - Mexico)</t>
  </si>
  <si>
    <t>This work was supported by the National Social Science Foundation of China (Grant numbers: 18BJY108), the Chinese Ministry of Education Youth Fund Project (Grant numbers: 23YJC630228),the 2022 Shanghai Philosophy and Social Science Planning Project (Grant numbers: 2022ZJB007); the Shanghai Pujiang Program (Grant numbers: 22PJC042), and the Fundamental Research Funds for the Central Universities (Grant numbers: 2023ECNU-YYJ040).</t>
  </si>
  <si>
    <t>10.3390/jtaer19020063</t>
  </si>
  <si>
    <t>WS1O5</t>
  </si>
  <si>
    <t>WOS:001256773400001</t>
  </si>
  <si>
    <t>Hou, XJ; Jin, M</t>
  </si>
  <si>
    <t>Hou, Xiaojuan; Jin, Ming</t>
  </si>
  <si>
    <t>Does the Inclusive Finance Index really represent the level of inclusive finance? - Evidence from P2P lending market</t>
  </si>
  <si>
    <t>Digital financial inclusion; P2P lending; Financial transactions environment</t>
  </si>
  <si>
    <t>INVESTMENT; CREDIT; CONSUMPTION; PLATFORMS; BORROWERS; QUALITY; IMPACT</t>
  </si>
  <si>
    <t>The digital financial inclusion index of Peking University is controversy over the validity. This study uses digital financial inclusion index of Peking University to investigate the impact of digital financial inclusion in the P2P market, exploring the effectiveness of this index in measuring digital financial inclusion. Results show that digital financial inclusion increases personal loan duration, lowers borrowing rates, and improves loan success rates, which reveals the digital financial inclusion index provides borrowers more inclusive financial services and this index is effective in measuring digital inclusive finance. Borrowers who are not-interprovincial migrants, males, younger, and non-government employees experience a broader range of inclusive finance benefits. Mechanism analysis indicates digital financial inclusion affects P2P lending by enhancing regional trust and financial development.</t>
  </si>
  <si>
    <t>[Hou, Xiaojuan] China Univ Geosci, Sch Econ &amp; Management, Beijing 100083, Peoples R China; [Jin, Ming] Zhejiang Univ Finance &amp; Econ, Sch Econ, Hangzhou 310018, Peoples R China</t>
  </si>
  <si>
    <t>China University of Geosciences; Zhejiang University of Finance &amp; Economics</t>
  </si>
  <si>
    <t>Jin, M (corresponding author), Zhejiang Univ Finance &amp; Econ, Sch Econ, Hangzhou 310018, Peoples R China.</t>
  </si>
  <si>
    <t>jinming_94@163.com</t>
  </si>
  <si>
    <t>Jin, Ming/HPE-4209-2023</t>
  </si>
  <si>
    <t>National Natural Science Foundation of China [72404251, 72403221]; Natural Science Foundation of Zhejiang Province [LQ23G030002]</t>
  </si>
  <si>
    <t>National Natural Science Foundation of China(National Natural Science Foundation of China (NSFC)); Natural Science Foundation of Zhejiang Province(Natural Science Foundation of Zhejiang Province)</t>
  </si>
  <si>
    <t>This work was supported by the National Natural Science Foundation of China [Grant No 72404251, 72403221] and the Natural Science Foundation of Zhejiang Province [Grant No LQ23G030002] .</t>
  </si>
  <si>
    <t>10.1016/j.eap.2025.07.017</t>
  </si>
  <si>
    <t>5LC6S</t>
  </si>
  <si>
    <t>WOS:001538261400002</t>
  </si>
  <si>
    <t>Zhu, SJ; Chen, H; Tang, YD</t>
  </si>
  <si>
    <t>Zhu, Shujin; Chen, He; Tang, Yiding</t>
  </si>
  <si>
    <t>From digital wallets to social dividends: How digital financial inclusion drives household prosocial behavior in China</t>
  </si>
  <si>
    <t>ECONOMIC MODELLING</t>
  </si>
  <si>
    <t>Digital financial inclusion; Prosocial preferences; Peer effect; Head of family</t>
  </si>
  <si>
    <t>EDUCATION; INEQUALITY; IMPACT; INCOME; LIFE</t>
  </si>
  <si>
    <t>This study examines how digital financial inclusion (DFI) triggers prosocial behavior, shifting focus from its well-documented economic impacts to its understudied societal implications. Using longitudinal data from the China Family Panel Studies and city-level DFI indices, we find a 1 % DFI increase raises household donations by 1.47 % via three channels: household financial gains, reduced inequality perceptions, and improved well-being. Geographic peer effects emerge, with prosociality clustering spatially but fading with distance. Married and older heads weaken this relationship: marital status prioritizes family needs over social giving, while older heads' limited digital skills hinder DFI adoption. These results position DFI as a dual tool-boosting economic engagement while fostering social cohesion-but reveal demographic constraints on its societal benefits. The findings inform policies balancing financial inclusion with social cohesion in developing contexts.</t>
  </si>
  <si>
    <t>[Zhu, Shujin; Chen, He] Hunan Univ, Sch Econ &amp; Trade, Changsha 410006, Peoples R China; [Tang, Yiding] Xiangtan Univ, Sch Business, Xiangtan 411105, Peoples R China</t>
  </si>
  <si>
    <t>Hunan University; Xiangtan University</t>
  </si>
  <si>
    <t>Chen, H (corresponding author), Hunan Univ, Sch Econ &amp; Trade, Changsha 410006, Peoples R China.</t>
  </si>
  <si>
    <t>shujin_zhu@126.com; ch1zzu@163.com; yd_tang@163.com</t>
  </si>
  <si>
    <t>zhu, shujin/JAC-2691-2023; Chen, He/OVY-9468-2025; Tang, Yiding/AHA-0224-2022</t>
  </si>
  <si>
    <t>National Social Science Fundation of China [22 ZD100]; National Natural Science Foundation of China [72173040]; Department of Education of Hunan Province [24B0146]; Natural Science Foundation of Hunan Province [2024JJ6440]; Postgraduate Scientific Research Innovation Project of Hunan Province [CX20240028]</t>
  </si>
  <si>
    <t>National Social Science Fundation of China; National Natural Science Foundation of China(National Natural Science Foundation of China (NSFC)); Department of Education of Hunan Province; Natural Science Foundation of Hunan Province(Natural Science Foundation of Hunan Province); Postgraduate Scientific Research Innovation Project of Hunan Province</t>
  </si>
  <si>
    <t>The authors extend their sincere thanks to Co-Editor Prof. Sushanta Mallick, Associate Editor, and two anonymous reviewers for their helpful and constructive comments. The authors are particularly grate-ful to Prof. Huashuai Chen of Xiangtan University for his valuable assistance with the CFPS data. This work was supported by the National Social Science Fundation of China [22 &amp; ZD100] , the National Natural Science Foundation of China [72173040] , the Scientific Research Pro-jects of the Department of Education of Hunan Province [24B0146] , the Natural Science Foundation of Hunan Province [2024JJ6440] , and the Postgraduate Scientific Research Innovation Project of Hunan Province [CX20240028] .</t>
  </si>
  <si>
    <t>0264-9993</t>
  </si>
  <si>
    <t>1873-6122</t>
  </si>
  <si>
    <t>ECON MODEL</t>
  </si>
  <si>
    <t>Econ. Model.</t>
  </si>
  <si>
    <t>10.1016/j.econmod.2025.107205</t>
  </si>
  <si>
    <t>4ZV2F</t>
  </si>
  <si>
    <t>WOS:001530596100001</t>
  </si>
  <si>
    <t>Yong, WK; Wong, SF; Mahmud, MM; Akmoldoev, K</t>
  </si>
  <si>
    <t>Yong, Wooi Keong; Wong, Shiau Foong; Mahmud, Malissa Maria; Akmoldoev, Kiyalbek</t>
  </si>
  <si>
    <t>Consumer Culture in Kyrgyzstan: Analyzing Gender Moderation Effects to Understand e-Wallet Adoption</t>
  </si>
  <si>
    <t>2024 15TH INTERNATIONAL CONFERENCE ON E-BUSINESS, MANAGEMENT AND ECONOMICS, ICEME 2024</t>
  </si>
  <si>
    <t>15th International Conference on E-business Management and Economics</t>
  </si>
  <si>
    <t>JUL 19-21, 2024</t>
  </si>
  <si>
    <t>Beijing, PEOPLES R CHINA</t>
  </si>
  <si>
    <t>Beijing University of Technology (BJUT)</t>
  </si>
  <si>
    <t>Theory of Reasoned Action; demographics; gender; e-wallet use; cashless payment; Kyrgyzstan</t>
  </si>
  <si>
    <t>INTENTION</t>
  </si>
  <si>
    <t>In modern day of Kyrgyzstan, gender relations are still strongly influenced by traditional beliefs. There is still a lack of empowerment of women, especially in the economic sector. The potential of digital financial inclusion to promote better economic opportunities for women is undeniable, therefore it is important to examine how the gender dynamics impact e-wallet adoption and usage in Kyrgyzstan. This study, which is based on the Theory of Reasoned Action (TRA), investigates how gender dynamics affect the relationship between attitude and subjective norms to intention to use e-wallets. A survey-based methodology collected 158 men and 161 women respondents in Kyrgyzstan giving 319 responses in total. By examining the factors impacting the use of e-wallets in Kyrgyzstan, this study intends to close this research gap. The adoption of e-wallets by the Kyrgyz men are influenced by their subjective norms, while Kyrgyz women adopt e-wallets influenced by their attitudes. This information offers helpful insights for marketers, companies, investors and other stakeholders looking to invest in the Kyrgyz e-wallet industry and gives the ability to customize their marketing strategies to encourage the adoption of gender-inclusive e-wallets.</t>
  </si>
  <si>
    <t>[Yong, Wooi Keong; Wong, Shiau Foong; Mahmud, Malissa Maria] Sunway Univ, Subang Jaya, Malaysia; [Akmoldoev, Kiyalbek] Ala Too Int Univ, Bishkek, Kyrgyzstan</t>
  </si>
  <si>
    <t>Sunway University</t>
  </si>
  <si>
    <t>Wong, SF (corresponding author), Sunway Univ, Subang Jaya, Malaysia.</t>
  </si>
  <si>
    <t>wooikeongy@sunway.edu.my; janicew@sunway.edu.my; malissam@sunway.edu.my; kiyalbek.akmoldoev@alatoo.edu.kg</t>
  </si>
  <si>
    <t>Akmoldoev, Kyialbek/0009-0003-2228-0349; Mahmud, Malissa Maria/0000-0001-6702-155X; Wong, Shiau Foong/0000-0002-3252-8163</t>
  </si>
  <si>
    <t>Sunway University, Malaysia; Sunway University</t>
  </si>
  <si>
    <t>This work was financially supported by Sunway University, Malaysia. We would like to express our sincere gratitude to Sunway University for their generous funding and support towards this research project and publication. Their financial assistance has been instrumental in enabling us to carry out this study and share our findings with the academic community.</t>
  </si>
  <si>
    <t>979-8-4007-1726-0</t>
  </si>
  <si>
    <t>10.1145/3691422.3691463</t>
  </si>
  <si>
    <t>Business, Finance; Computer Science, Interdisciplinary Applications; Economics; Management</t>
  </si>
  <si>
    <t>BY3XE</t>
  </si>
  <si>
    <t>WOS:001435012500023</t>
  </si>
  <si>
    <t>Nesse, PJ; Risnes, O; Hallingby, HS; Munch-Ellingsen, A; Canright, GSJ</t>
  </si>
  <si>
    <t>JardimGoncalves, R; Mendonca, JP; Pallot, M; Zarli, A; Martins, J; Marques, M</t>
  </si>
  <si>
    <t>Nesse, Per Jonny; Risnes, Oddvar; Hallingby, Hanne Stine; Munch-Ellingsen, Arne; Canright, Geoffrey St. John</t>
  </si>
  <si>
    <t>Growth Of Mobile Financial Services Key learnings from literature, industry analysis and cases</t>
  </si>
  <si>
    <t>2017 INTERNATIONAL CONFERENCE ON ENGINEERING, TECHNOLOGY AND INNOVATION (ICE/ITMC)</t>
  </si>
  <si>
    <t>International ICE Conference on Engineering Technology and Innovation</t>
  </si>
  <si>
    <t>23rd International Conference on Engineering, Technology and Innovation (ICE/ITMC)</t>
  </si>
  <si>
    <t>JUN 27-29, 2017</t>
  </si>
  <si>
    <t>PORTUGAL</t>
  </si>
  <si>
    <t>Univ Nova Lisboa, Fac Ciencias Tecnologia,UNINOVA,GRIS,Univ Minho</t>
  </si>
  <si>
    <t>mobile financial services; ecosystem management; OTC and mobile wallets/mWallet; Easypaisa; Pakistan</t>
  </si>
  <si>
    <t>Mobile Financial Services (MFS) represent an area of innovation and strategic importance for global initiatives against poverty, and telcos; the World Bank wants financial inclusion of the poor and telcos seek profit. Merely mobile payment services are not sufficient for any of these objectives, and there is a joint interest in enabling mobile credit and saving services. It is widely recognized that successful adoption of mobile saving and credit services is dependent on a digital solution; it requires a transition from current cash based over-the-counter (OTC) solutions to future digital accounts (mobile wallets/mWallets). Firstly, this paper reviews previous research on MFS, secondly it summarizes the global industry picture for MFS today, and thirdly, we provide key learnings from the successful Easypaisa case in Pakistan. MFS can also be characterized as implementations in complex ecosystems with lots of tension and dependent on local circumstances. The unique Easypasia case we present is a further proof of the complex processes and events that moves a MFS implementation from one state to another. It also shows how Easypaisa's significant jump from cash-based to digital mWallet solutions was triggered by a governmental regulation on ID requirements for mobile subscriptions. The ecosystem approach and significance of local conditions is vital to be aware of when the industry turns to new aspects of MFS and when technologies such as blockchain may disrupt the current situation.</t>
  </si>
  <si>
    <t>[Nesse, Per Jonny; Risnes, Oddvar; Hallingby, Hanne Stine; Munch-Ellingsen, Arne; Canright, Geoffrey St. John] Telenor Res, Trondheim, Norway</t>
  </si>
  <si>
    <t>Nesse, PJ (corresponding author), Telenor Res, Trondheim, Norway.</t>
  </si>
  <si>
    <t>2334-315X</t>
  </si>
  <si>
    <t>978-1-5386-0774-9</t>
  </si>
  <si>
    <t>INT ICE CONF ENG</t>
  </si>
  <si>
    <t>Computer Science, Interdisciplinary Applications; Engineering, Electrical &amp; Electronic</t>
  </si>
  <si>
    <t>BM4XD</t>
  </si>
  <si>
    <t>WOS:000464318300059</t>
  </si>
  <si>
    <t>Mishra, V; Walsh, I; Srivastava, A</t>
  </si>
  <si>
    <t>Mishra, Vishal; Walsh, Isabelle; Srivastava, Ankur</t>
  </si>
  <si>
    <t>Merchants' adoption of mobile payment in emerging economies: the case of unorganised retailers in India</t>
  </si>
  <si>
    <t>EUROPEAN JOURNAL OF INFORMATION SYSTEMS</t>
  </si>
  <si>
    <t>Developing countries; mobile payment; m-payment adoption; unorganised retailers; regulatory influence; inclusion</t>
  </si>
  <si>
    <t>GROUNDED THEORY METHOD; INFORMATION-SYSTEMS; DEVELOPING-COUNTRIES; TECHNOLOGY; INNOVATION</t>
  </si>
  <si>
    <t>A substantial body of literature shows that in addition to increased convenience, mobile payments may result in greater efficiency and contribute to digital and financial inclusion. Although researchers have paid a lot of attention to individual adoption of mobile payment, few studies investigate mobile adoption by businesses, especially unorganised businesses in developing countries. To address this research gap, we use an exploratory grounded theory approach to examine unorganised retailers in urban India. Using 56 semi-structured interviews with merchants, we highlight an emerging mobile payment ecosystem that includes technology value, regulatory bodies, non-regulatory bodies, and merchant dispositions. The data highlight power asymmetry in this ecosystem and show that time-varying interactions among its components determine merchants' behaviour and resulting (non-) adoption. We find that not only are Indian regulatory bodies the most powerful influencers in the diffusion of this technology; they are also important market actors. This study provides insights into the process of technology adoption by unorganised businesses in India. Moreover, this study sheds light on the important link unorganised retailers create between businesses and bottom-of-the-pyramid consumers, as well as between the state and its marginalised citizens, thereby confirming that such retailers are indispensable partners in economic growth and technology-driven inclusion.</t>
  </si>
  <si>
    <t>[Mishra, Vishal; Srivastava, Ankur] IFHE Deemed Univ, IBS, Hyderabad, India; [Walsh, Isabelle] Univ Cote Azur, SKEMA Business Sch, Nice, France</t>
  </si>
  <si>
    <t>The ICFAI Foundation for Higher Education (IFHE); ICFAI Business School (IBS); Universite Cote d'Azur; SKEMA Business School</t>
  </si>
  <si>
    <t>Mishra, V (corresponding author), IFHE Deemed Univ, IBS, Hyderabad, India.</t>
  </si>
  <si>
    <t>vmishra@ibsindia.org</t>
  </si>
  <si>
    <t>Mishra, Vishal/KIG-5438-2024; Srivastava, Ankur/AAQ-7459-2021; Walsh, Isabelle/O-7973-2019</t>
  </si>
  <si>
    <t>Srivastava, Ankur/0000-0003-3810-7738; Walsh, Isabelle/0000-0001-9702-9624</t>
  </si>
  <si>
    <t>ICFAI Foundation for Higher Education (IFHE) [IFHE/RC/JULY2017/31]</t>
  </si>
  <si>
    <t>ICFAI Foundation for Higher Education (IFHE)</t>
  </si>
  <si>
    <t>This work was supported by the ICFAI Foundation for Higher Education (IFHE, declared as a Deemed to be University, under Section 3 of UGC Act. 1956) [IFHE/RC/JULY2017/31].</t>
  </si>
  <si>
    <t>0960-085X</t>
  </si>
  <si>
    <t>1476-9344</t>
  </si>
  <si>
    <t>EUR J INFORM SYST</t>
  </si>
  <si>
    <t>Eur. J. Inform. Syst.</t>
  </si>
  <si>
    <t>10.1080/0960085X.2021.1978338</t>
  </si>
  <si>
    <t>SEP 2021</t>
  </si>
  <si>
    <t>Computer Science, Information Systems; Information Science &amp; Library Science; Management</t>
  </si>
  <si>
    <t>Computer Science; Information Science &amp; Library Science; Business &amp; Economics</t>
  </si>
  <si>
    <t>YP1KE</t>
  </si>
  <si>
    <t>WOS:000700463400001</t>
  </si>
  <si>
    <t>Devi, RS; Bibiyana, DJ; Mohanraj, P; Bagilesh, K; Salvius, JJJ; Babu, MD</t>
  </si>
  <si>
    <t>Devi, R. Sharmila; Bibiyana, D. Janis; Mohanraj, P.; Bagilesh, Kavitha; Salvius, J. Jeffrey Jim; Babu, M. Dinesh</t>
  </si>
  <si>
    <t>Sustaining engagement with digital finance: mobile payment adoption among marginalized women street vendors in an emerging market</t>
  </si>
  <si>
    <t>User satisfaction; Sustained engagement; Meta UTAUT; Mobile payment system; Financial inclusion; Marginalised street vendors</t>
  </si>
  <si>
    <t>INFORMATION-TECHNOLOGY; USER ACCEPTANCE; MODEL; DEMONETIZATION; ANTECEDENTS; INTENTION; SYSTEMS; INDIA</t>
  </si>
  <si>
    <t>This study investigates the factors influencing sustained engagement with QR code mobile payment systems (QRMPS) among marginalized women street vendors in India. Drawing on the Meta UTAUT model and Expectation Confirmation Theory (ECT), the research examines how performance expectancy, effort expectancy, social influence, facilitating conditions, personal innovativeness, perceived trust, and convenience influence user attitudes and satisfaction, which in turn drive sustained usage. The study uses a cross-sectional design and analyzes responses from 566 participants using Partial Least Squares Structural Equation Modeling (PLS-SEM). Results reveals that performance and effort expectancy significantly enhance user satisfaction. At the same time, personal innovativeness, perceived trust, and convenience are key drivers of long-term usage. The findings underscore the potential of QR payment technologies not just as transactional tools but as instruments for financial inclusion and empowerment, facilitating the integration of marginalized women into the digital economy. This study offers unique insights by focusing on an underrepresented demographic and applying a robust theoretical integration, contributing to the growing body of literature on digital financial inclusion. Practical implications include actionable recommendations for policymakers, financial institutions, and technology providers to: (1) develop icon-based and multilingual interfaces tailored to low-literacy users; (2) implement localized digital literacy training through NGOs and women-led self-help groups; (3) establish grievance redressal systems with bilingual support; and (4) ensure offline QR code payment functionality for areas with poor connectivity.</t>
  </si>
  <si>
    <t>[Devi, R. Sharmila; Bibiyana, D. Janis; Mohanraj, P.; Bagilesh, Kavitha; Salvius, J. Jeffrey Jim] SRM Inst Sci &amp; Technol Ramapuram Campus, Fac Management, Chennai, India; [Babu, M. Dinesh] Vels Inst Sci &amp; Technol &amp; Adv Studies, Div Management Studies, Chennai, India</t>
  </si>
  <si>
    <t>SRM Institute of Science &amp; Technology Chennai; Vels Institute of Science, Technology &amp; Advanced Studies</t>
  </si>
  <si>
    <t>Devi, RS (corresponding author), SRM Inst Sci &amp; Technol Ramapuram Campus, Fac Management, Chennai, India.</t>
  </si>
  <si>
    <t>sharmiladevi1705@gmail.com; janisbibi@gmail.com; drpmohanrajmba@gmail.com; kavithabagilesh@gmail.com; researchersalvius@gmail.com; ddinesh306.db@gmail.com</t>
  </si>
  <si>
    <t>R, Sharmila Devi/LUW-7315-2024; M, Dinesh Babu/K-8133-2019</t>
  </si>
  <si>
    <t>10.1007/s43621-025-01890-7</t>
  </si>
  <si>
    <t>8EV0H</t>
  </si>
  <si>
    <t>WOS:001586971300009</t>
  </si>
  <si>
    <t>Lutfi, A; Al-Okaily, M; Alshirah, MH; Alshira'h, AF; Abutaber, TA; Almarashdah, MA</t>
  </si>
  <si>
    <t>Lutfi, Abdalwali; Al-Okaily, Manaf; Alshirah, Malek Hamed; Alshira'h, Ahmad Farhan; Abutaber, Thaer Ahmad; Almarashdah, Manal Ali</t>
  </si>
  <si>
    <t>Digital Financial Inclusion Sustainability in Jordanian Context</t>
  </si>
  <si>
    <t>financial technology; digital financial; digital payment; financial inclusion; Central Bank of Jordan; financial sustainability; digital economy; TAM; MAT</t>
  </si>
  <si>
    <t>INFORMATION-TECHNOLOGY; USER ACCEPTANCE; MOBILE BANKING; ADOPTION; SYSTEM; EXTENSION</t>
  </si>
  <si>
    <t>Digital Financial Inclusion (DFI) refers to efforts to make digital financial services available and affordable to all individuals and institutions, regardless of their net expense or institution size and demographic location. Despite the immense benefits of DFI and DFI-based products and services such as mobile money and payment systems, users' acceptance is thin, limited, and disappointing in some developing countries as Jordan. Consequently, this study has investigated the factors influencing the acceptance of the mobile payment system in the Jordanian context. This study's research model synthesizes the Technology Acceptance Model (TAM) variables and extended the model with perceived financial cost as an independent variable. The research model has been empirically confirmed by fitting the model to data collected from 304 Jordanian citizens using a survey instrument. The data were analysed using Partial Least Squares-Structural Equation Modelling (PLS-SEM). The result has confirmed that behavioural intention to use the m-payment system is significantly and positively influenced by perceived usefulness and perceived financial cost; behavioural intention to use m-payment system was not found to be significantly and positively influenced by perceived ease of use and hence the related hypothesis was not supported. Finally, conclusions and recommendations are further discussed in the last section of this paper.</t>
  </si>
  <si>
    <t>[Lutfi, Abdalwali] King Faisal Univ, Coll Business, Dept Accounting, Al Hasa 31982, Saudi Arabia; [Al-Okaily, Manaf; Abutaber, Thaer Ahmad; Almarashdah, Manal Ali] Jadara Univ, Sch Business, Irbid 733, Jordan; [Alshirah, Malek Hamed] Al Al Bayt Univ, Fac Econ &amp; Adm Sci, Al Mafraq 130040, Jordan; [Alshira'h, Ahmad Farhan] Irbid Natl Univ, Fac Adm &amp; Financial Sci, Irbid 2600, Jordan</t>
  </si>
  <si>
    <t>King Faisal University; Al al-Bayt University</t>
  </si>
  <si>
    <t>Al-Okaily, M (corresponding author), Jadara Univ, Sch Business, Irbid 733, Jordan.</t>
  </si>
  <si>
    <t>aalkhassawneh@kfu.edu.sa; m.alokaily@jadara.edu.jo; shraamalek@gmail.com; alshraah.ahmad@yahoo.com; thaer@jadara.edu.jo; manal@jadara.edu.jo</t>
  </si>
  <si>
    <t>Al-Okaily, Manaf/ABI-8322-2020; Lutfi, Abdalwali/ABI-8321-2020; Shraa, Malek/GRJ-0978-2022; Alshirah, Ahmad/AAD-4336-2022</t>
  </si>
  <si>
    <t>Al-Okaily, Manaf/0000-0002-1610-7385; Lutfi, Abdalwali/0000-0002-3928-7497;</t>
  </si>
  <si>
    <t>10.3390/su13116312</t>
  </si>
  <si>
    <t>SR0AL</t>
  </si>
  <si>
    <t>WOS:000660708300001</t>
  </si>
  <si>
    <t>Sayyid, A; Grosman, A; Klarin, A</t>
  </si>
  <si>
    <t>Sayyid, Amir; Grosman, Anna; Klarin, Anton</t>
  </si>
  <si>
    <t>Central bank digital currencies and institutional systems: design choices based on institutional characteristics</t>
  </si>
  <si>
    <t>EUROPEAN JOURNAL OF INTERNATIONAL MANAGEMENT</t>
  </si>
  <si>
    <t>Central Bank Digital Currency; blockchain technology; digital currency adoption; cryptocurrency; distributed ledger technology; retail CBDC; wholesale CBDC; stablecoin; financial inclusion; programmable money; institutional innovation; fintech; financial technology; digital token; bitcoin; e-CNY; tokenisation; digital ID</t>
  </si>
  <si>
    <t>INTERNATIONAL-BUSINESS; CAPITALISM; ECONOMY; TRADE</t>
  </si>
  <si>
    <t>Central Bank Digital Currency (CBDC) is a state-issued digital currency. Most CBDCs are expected to be based on blockchain technology, delivering programmable digital money that is more efficient than current fiat money systems and streamlining international business transactions. This study offers a typology of (i) emerging market-driven tech-controlled, (ii) developed market-driven, (iii) entrepreneurial (innovation-centric), (iv) market-driven fintech-freedom, (v) emerging market mixed economy, (vi) emerging tech-freedom, (vii) interventionist (regulatory-intensive), and (viii) developed protectionist fintech-freedom states based on political, social, and economic dimensions for a better understanding of CBDC design choices. Factors such as the rule of law, international trade, CBDC development progress, GDP per capita, citizen trust and freedom (including digital freedom), and financial literacy (including internet connectivity and financial freedom) influence how CBDCs should be designed, using the USA and China as examples. This is the first study to link CBDCs to institutional innovation across a variety of institutional systems.</t>
  </si>
  <si>
    <t>[Sayyid, Amir; Grosman, Anna] Loughborough Univ, Inst Innovat &amp; Entrepreneurship, Loughborough, England; [Klarin, Anton] Curtin Univ, Sch Management &amp; Mkt, Perth, Australia</t>
  </si>
  <si>
    <t>Loughborough University; Curtin University</t>
  </si>
  <si>
    <t>Sayyid, A (corresponding author), Loughborough Univ, Inst Innovat &amp; Entrepreneurship, Loughborough, England.</t>
  </si>
  <si>
    <t>a.sayyid@lboro.ac.uk; a.grosman@lboro.ac.uk; anton.klarin@curtin.edu.au</t>
  </si>
  <si>
    <t>Klarin, Anton/IQS-6054-2023; Grosman, Anna/AAB-9290-2020</t>
  </si>
  <si>
    <t>1751-6757</t>
  </si>
  <si>
    <t>1751-6765</t>
  </si>
  <si>
    <t>EUR J INT MANAG</t>
  </si>
  <si>
    <t>Eur. J. Int. Manag.</t>
  </si>
  <si>
    <t>10.1504/EJIM.2025.148801</t>
  </si>
  <si>
    <t>7WH5J</t>
  </si>
  <si>
    <t>WOS:001581183700005</t>
  </si>
  <si>
    <t>Pal, A; De, R; Herath, T</t>
  </si>
  <si>
    <t>Pal, Abhipsa; De, Rahul; Herath, Tejaswini</t>
  </si>
  <si>
    <t>The Role of Mobile Payment Technology in Sustainable and Human-Centric Development: Evidence from the Post-Demonetization Period in India</t>
  </si>
  <si>
    <t>Mobile payments; Sustainable development; Schumacher; Sen's freedoms; ICT4D; Demonetization; Human empowerment</t>
  </si>
  <si>
    <t>DIGITAL DIVIDE; FUNCTIONAL AFFORDANCES; ECONOMIC-DEVELOPMENT; DEVELOPING-COUNTRIES; CAPABILITY APPROACH; ICT4D RESEARCH; SAMPLE-SIZE; INFORMATION; COMMUNICATION; ADOPTION</t>
  </si>
  <si>
    <t>Mobile payment technology has aided in socio-economic development through financial inclusion and protective security during crises. However, there is a gap in understanding whether this technology has the potential for sustainable development that encompasses individual emancipation and environmental growth beyond social and economic change. To evaluate mobile payments role in sustainable human-centric development, we develop a framework based on the theories by two influential development economists-Schumacher and Sen (Schumacher2011; Sen2001). The framework includes features like the low-cost technology, easy implementation and operability, usefulness to local people, and scope for creative appropriation. We conducted an in-depth field study through interviews with merchants and consumers to evaluate the framework. We triangulate our findings with publicly available secondary survey data. Our findings indicate that along with the features like low-cost, easy installation and operability, users reported that the mobile payment technology, unlike cash transactions, can also afford creative uses such as reflection on past expenses. The paper contributes to the field of ICT4D with the framework that can be used by future studies. The investigation reveals developmental implications towards the need for greater inclusion of local small-scale vendors.</t>
  </si>
  <si>
    <t>[Pal, Abhipsa; De, Rahul] Indian Inst Management Bangalore, Informat Syst Area, Bengaluru, India; [Herath, Tejaswini] Brock Univ, Dept Finance Operat &amp; Informat Syst, St Catharines, ON, Canada</t>
  </si>
  <si>
    <t>Indian Institute of Management (IIM System); Indian Institute of Management Bangalore; Brock University</t>
  </si>
  <si>
    <t>Pal, A (corresponding author), Indian Inst Management Bangalore, Informat Syst Area, Bengaluru, India.</t>
  </si>
  <si>
    <t>abhipsa.pal14@iimb.ac.in; rahul@iimb.ac.in; therath@brocku.ca</t>
  </si>
  <si>
    <t>10.1007/s10796-020-09982-7</t>
  </si>
  <si>
    <t>LZ5BA</t>
  </si>
  <si>
    <t>WOS:000541238200006</t>
  </si>
  <si>
    <t>Mvula, F; Phiri, J; Tembo, S</t>
  </si>
  <si>
    <t>Mvula, Fickson; Phiri, Jackson; Tembo, Simon</t>
  </si>
  <si>
    <t>A Blockchain based Mobile Money Interoperability Scheme</t>
  </si>
  <si>
    <t>INTERNATIONAL JOURNAL OF ADVANCED COMPUTER SCIENCE AND APPLICATIONS</t>
  </si>
  <si>
    <t>Blockchain; mobile money interoperability; clearing and settlement; blockchain security</t>
  </si>
  <si>
    <t>Developing Countries in Africa in general and Zambia in particular, have seen a rapid rise in use of mobile payment platforms. This has not only revolutionized access to finance for the poor but also allowed them access to other financial products such as savings or insurance. With a growing number of mobile money providers in Zambia, there is need for a solution that would enable integration of the mobile money provider's systems using a central clearinghouse for purposes of clearing and settlement to achieve mobile money interoperability. In this study, we first reviewed the technical landscape and features of mobile payment systems in Zambia and then assessed the feasibility of using blockchain technology in proposing a settlement and clearing system that would facilitate mobile money interoperability. A prototype system was then designed in which amounts being interchanged between providers are managed as assets on a permissioned blockchain. The system runs a distributed shared ledger, which provides non-repudiation, data privacy and data origin authentication, by leveraging the consistency features of blockchain technology.</t>
  </si>
  <si>
    <t>[Mvula, Fickson; Phiri, Jackson] UNZA, Dept Elect &amp; Elect Engn, Sch Engn, Lusaka, Zambia; [Tembo, Simon] UNZA, Dept Comp Sci, Sch Nat Sci, Lusaka, Zambia</t>
  </si>
  <si>
    <t>University of Zambia; University of Zambia</t>
  </si>
  <si>
    <t>Mvula, F (corresponding author), UNZA, Dept Elect &amp; Elect Engn, Sch Engn, Lusaka, Zambia.</t>
  </si>
  <si>
    <t>Phiri, Jackson/0000-0002-4430-1580; Tembo, Simon/0009-0007-6408-9701</t>
  </si>
  <si>
    <t>University of Zambia (UNZA) Department Of Computer Science and Department of Electronics and Electrical Engineering</t>
  </si>
  <si>
    <t>Acknowledgment of special thank you goes to the University of Zambia (UNZA) Department Of Computer Science and Department of Electronics and Electrical Engineering for the support and guidance during the study.</t>
  </si>
  <si>
    <t>SCIENCE &amp; INFORMATION SAI ORGANIZATION LTD</t>
  </si>
  <si>
    <t>WEST YORKSHIRE</t>
  </si>
  <si>
    <t>19 BOLLING RD, BRADFORD, WEST YORKSHIRE, 00000, ENGLAND</t>
  </si>
  <si>
    <t>2158-107X</t>
  </si>
  <si>
    <t>2156-5570</t>
  </si>
  <si>
    <t>INT J ADV COMPUT SC</t>
  </si>
  <si>
    <t>Int. J. Adv. Comput. Sci. Appl.</t>
  </si>
  <si>
    <t>KS7DY</t>
  </si>
  <si>
    <t>WOS:000518467600017</t>
  </si>
  <si>
    <t>Ba, K; Dieng, SA</t>
  </si>
  <si>
    <t>Ba, Khadim; Dieng, Seydi Ababacar</t>
  </si>
  <si>
    <t>Digital Financial Inclusion: Socioeconomic and Demographic Factors of Access and Usage in Senegal</t>
  </si>
  <si>
    <t>access to finance; digital financial inclusion; Senegal</t>
  </si>
  <si>
    <t>INTERNET</t>
  </si>
  <si>
    <t>Digital financial services (DFSs) have emerged as a pivotal instrument for enhancing access to essential financial services. In Senegal, despite significant progress, persistent inequalities continue to limit access to DFS. This study aims to contribute to the understanding of the socioeconomic and demographic determinants of digital financial inclusion. Utilizing the Global Findex data from the World Bank's 2021 edition for Senegal and a Probit model, the study's findings indicate that socioeconomic and demographic factors significantly influence access to and utilization of DFS. Specifically, women are less likely to access and use DFS. Furthermore, individuals aged 25-50 demonstrate a higher propensity for possessing mobile money accounts and debit cards, as well as a greater inclination to utilize DFS compared to young adults aged 15-24. Additionally, access to and utilization of digital DFS are influenced by place of residence (urban or rural), educational attainment, and income level. The findings of this study suggest that promoting financial education, adapting financial services to the needs of target populations, establishing a favorable regulatory framework, and developing digital infrastructures are essential mechanisms for enhancing access to and use of DFS.</t>
  </si>
  <si>
    <t>[Ba, Khadim; Dieng, Seydi Ababacar] Univ Cheikh Anta Diop, Fac Econ &amp; Management Sci, Lab Econ &amp; Monetary Res LAREM, Dakar, Senegal</t>
  </si>
  <si>
    <t>University Cheikh Anta Diop Dakar</t>
  </si>
  <si>
    <t>Ba, K (corresponding author), Univ Cheikh Anta Diop, Fac Econ &amp; Management Sci, Lab Econ &amp; Monetary Res LAREM, Dakar, Senegal.</t>
  </si>
  <si>
    <t>bakhadim18@gmail.com</t>
  </si>
  <si>
    <t>DIENG, SEYDI ABABACAR/0000-0003-1429-783X; BA, Khadim/0000-0001-9155-9034</t>
  </si>
  <si>
    <t>e70015</t>
  </si>
  <si>
    <t>10.1111/1467-8268.70015</t>
  </si>
  <si>
    <t>3PR3S</t>
  </si>
  <si>
    <t>WOS:001506037100007</t>
  </si>
  <si>
    <t>Tsai, CH; Peng, KJ</t>
  </si>
  <si>
    <t>Tsai, Chang-Hsien; Peng, Kuan-Jung</t>
  </si>
  <si>
    <t>The FinTech Revolution and Financial Regulation: The Case of Online Supply-Chain Financing</t>
  </si>
  <si>
    <t>ASIAN JOURNAL OF LAW AND SOCIETY</t>
  </si>
  <si>
    <t>financial disintermediation; financial inclusion; principles-based regulation; regulatory sandbox; light-touch/humble regulation; financial technology</t>
  </si>
  <si>
    <t>Online supply-chain financing has been a relatively novel funding channel for suppliers as smalland medium-sized enterprises (SMEs) to obtain loans in that the revolution of financial technology (FinTech) transforms traditional supply-chain financing, which used to be administered only by official banks, to an online model also used by electronic commerce platforms (e-commerce platform). Endeavours towards financial inclusion of the underserved SMEs could rationalize why we should allow for or encourage FinTech innovations exemplified by the online supply-chain financing mentioned above. What would be an adaptive regulatory regime for such innovative FinTech-enabled financial services as the online supply-chain financing? Within our conceptual framework to regulate the FinTech industry at the early stage, rather than rigorous rules traditionally placed on large financial institutions, a principles-based strategy should be adopted to strike a balance between financial stability and access to financial services advanced by disruptive innovations. As a necessary complement, regulatory sandboxes would be needed to spur a shift in institutional philosophy to a principles-based regulatory regime. In other words, the regulatory attitude of FinTech regulation should be humble and light-touch to promote innovation for improving digital financial inclusion, albeit on the premise of containing potential systemic risk and protecting consumer interest in the meantime.</t>
  </si>
  <si>
    <t>[Tsai, Chang-Hsien] Natl Tsing Hua Univ, Inst Law Sci &amp; Technol, Hsinchu, Taiwan; [Peng, Kuan-Jung] Erasmus Univ, Rotterdam, Netherlands; [Peng, Kuan-Jung] Univ Hamburg, Hamburg, Germany; [Peng, Kuan-Jung] Univ Bologna, Bologna, Italy</t>
  </si>
  <si>
    <t>National Tsing Hua University; Erasmus University Rotterdam - Excl Erasmus MC; Erasmus University Rotterdam; University of Hamburg; University of Bologna</t>
  </si>
  <si>
    <t>Tsai, CH (corresponding author), Natl Tsing Hua Univ, Inst Law Sci &amp; Technol, Hsinchu, Taiwan.</t>
  </si>
  <si>
    <t>2052-9015</t>
  </si>
  <si>
    <t>2052-9023</t>
  </si>
  <si>
    <t>ASIAN J LAW SOC</t>
  </si>
  <si>
    <t>ASIAN J. LAW SOC.</t>
  </si>
  <si>
    <t>10.1017/als.2016.65</t>
  </si>
  <si>
    <t>ET7SQ</t>
  </si>
  <si>
    <t>WOS:000400498900004</t>
  </si>
  <si>
    <t>Zhang, Y; Fan, L</t>
  </si>
  <si>
    <t>Zhang, Yu; Fan, Lu</t>
  </si>
  <si>
    <t>The nexus of financial education, literacy and mobile fintech: unraveling pathways to financial well-being</t>
  </si>
  <si>
    <t>Mobile fintech; Financial literacy; Financial behaviors; Financial well-being; Financial education</t>
  </si>
  <si>
    <t>TECHNOLOGY; INCLUSION</t>
  </si>
  <si>
    <t>PurposeThis study examines the antecedents and outcomes of using mobile fintech applications, including mobile banking, mobile payments, mobile transfer and mobile financial money management tools.Design/methodology/approachThis paper examines the antecedents (i.e. financial education and financial literacy) and outcomes (i.e. desirable financial behaviors and financial well-being) of the utilization of mobile fintech. Using data from the 2018 National Financial Capability Study and structural equation modeling techniques, this study provides empirical evidence to show significant direct and indirect relationships among these factors.FindingsThe structural equation modeling results revealed that financial education was positively associated with both financial literacy and mobile fintech utilization. Interestingly, financial literacy was negatively associated with mobile fintech utilization and served as a negative mediator between financial education and mobile fintech utilization, while it positively correlated with desirable financial behaviors, enhancing financial well-being. Utilization of mobile fintech was negatively associated with desirable financial behaviors and indirectly and negatively associated with financial well-being. The alternative model highlighted a direct and negative association between mobile fintech usage and financial well-being, and a direct positive association between financial literacy and financial well-being.Originality/valueThis study makes contributions to the literature on financial well-being by examining pathways of antecedents and outcomes of mobile fintech utilization. The findings provide new insights into the rapid evolution of mobile fintech innovations and provide important policy and practical implications.</t>
  </si>
  <si>
    <t>[Zhang, Yu] Kansas State Univ, Dept Personal Financial Planning, Manhattan, KS 66506 USA; [Fan, Lu] Univ Georgia, Dept Financial Planning Housing &amp; Consumer Econ, Athens, GA USA</t>
  </si>
  <si>
    <t>Kansas State University; University System of Georgia; University of Georgia</t>
  </si>
  <si>
    <t>Zhang, Y (corresponding author), Kansas State Univ, Dept Personal Financial Planning, Manhattan, KS 66506 USA.</t>
  </si>
  <si>
    <t>yuliazhang@ksu.edu</t>
  </si>
  <si>
    <t>Zhang, Yu/JFJ-5805-2023</t>
  </si>
  <si>
    <t>NOV 20</t>
  </si>
  <si>
    <t>10.1108/IJBM-09-2023-0531</t>
  </si>
  <si>
    <t>M9D3E</t>
  </si>
  <si>
    <t>WOS:001251325800001</t>
  </si>
  <si>
    <t>Abidin, WZ; Maarop, N; Rivera, O; Hassan, NH</t>
  </si>
  <si>
    <t>Abidin, Wardah Zainal; Maarop, Nurazean; Rivera, Oliver; Hassan, Noor Hafizah</t>
  </si>
  <si>
    <t>Mobile Payment Framework for the Unbanked Filipinos</t>
  </si>
  <si>
    <t>2017 5TH INTERNATIONAL CONFERENCE ON RESEARCH AND INNOVATION IN INFORMATION SYSTEMS (ICRIIS 2017): SOCIAL TRANSFORMATION THROUGH DATA SCIENCE</t>
  </si>
  <si>
    <t>International Conference on Research and Innovation in Information Systems</t>
  </si>
  <si>
    <t>5th International Conference on Research and Innovation in Information Systems (ICRIIS) - Social Transformation through Data Science</t>
  </si>
  <si>
    <t>JUL 16-17, 2017</t>
  </si>
  <si>
    <t>Langkawi, MALAYSIA</t>
  </si>
  <si>
    <t>unbanked; mobile payment; style; Filipinos, UTAUT2</t>
  </si>
  <si>
    <t>PLS-SEM; ADOPTION; ACCEPTANCE; INTENTION; SERVICES; TRUST; USERS; MODEL</t>
  </si>
  <si>
    <t>One of the best methods to reach geographically remote and unbanked population is through mobile services. With the prevalent use of mobile phones, most parts of the ASEAN countries can be reached and this is a promising setting for mobile payment growth. One such country is the Philippines. This study conducted a quantitative research via online survey among the unbanked Filipinos to determine the factors that influence the intention to use mobile payment services. The motivation for this quest is the extremely low usage of mobile payment services reported by the World Bank Global Findex which indicated that only four percent of the adult population have an active mobile payment account. A new theoretical framework is suggested to study this phenomenon using adaptations of the UTAUT2.</t>
  </si>
  <si>
    <t>[Abidin, Wardah Zainal; Maarop, Nurazean; Rivera, Oliver; Hassan, Noor Hafizah] Univ Teknol Malaysia, Adv Informat Sch, Jalan Sultan Yahya Petra, Kuala Lumpur, Malaysia</t>
  </si>
  <si>
    <t>Universiti Teknologi Malaysia</t>
  </si>
  <si>
    <t>Abidin, WZ (corresponding author), Univ Teknol Malaysia, Adv Informat Sch, Jalan Sultan Yahya Petra, Kuala Lumpur, Malaysia.</t>
  </si>
  <si>
    <t>wardah@utm.my; nurazean.kl@utm.my; oliverrivera@gmail.com; noorpja@yahoo.com</t>
  </si>
  <si>
    <t>Maarop, Nurazean/A-2730-2014</t>
  </si>
  <si>
    <t>2324-8149</t>
  </si>
  <si>
    <t>978-1-5090-3035-4</t>
  </si>
  <si>
    <t>INT CONF RES INNOV</t>
  </si>
  <si>
    <t>BJ5IP</t>
  </si>
  <si>
    <t>WOS:000425930700041</t>
  </si>
  <si>
    <t>Uwamariya, M; Loebbecke, C</t>
  </si>
  <si>
    <t>Uwamariya, Marthe; Loebbecke, Claudia</t>
  </si>
  <si>
    <t>Learning from the mobile payment role model: lessons from Kenya for neighboring Rwanda</t>
  </si>
  <si>
    <t>ICT4D; Mobile payment; emerging markets; Rwanda; Kenya; M-Pesa; technological; organizational and environmental (TOE) framework</t>
  </si>
  <si>
    <t>USER ACCEPTANCE; ADOPTION; TECHNOLOGY; COMMERCE; USAGE; MONEY; ORGANIZATIONS; ASSIMILATION; INFORMATION; INNOVATION</t>
  </si>
  <si>
    <t>Nationwide adoption of mobile payment (m-payment) has been a key driver for the socio-economic development in emerging markets. The Rwandan m-payment adoption lags behind the one in neighboring Kenya and its own ambition. This explorative study examines the factors that could enhance m-payment adoption in Rwanda. We extend the Technological, Organizational, and Environmental (TOE) framework (Tornatzky, L., &amp; Fleischer, M. (1990). The process of technology innovation. Lexington, MA: Lexington Books) and apply it first to Kenya's success story of M-Pesa and then to Rwanda's main m-payment service. Based on our analysis, we determine several anchor points where Rwanda - to improve its economic situation and national welfare - could learn from M-Pesa. Further, we offer country-specific recommendations to enhance Rwanda's national welfare via m-payment adoption also among the formerly unbanked population.</t>
  </si>
  <si>
    <t>[Uwamariya, Marthe; Loebbecke, Claudia] Univ Cologne, Dept Media &amp; Technol Management, Pohligstr 1, D-50969 Cologne, Germany</t>
  </si>
  <si>
    <t>University of Cologne</t>
  </si>
  <si>
    <t>Loebbecke, C (corresponding author), Univ Cologne, Dept Media &amp; Technol Management, Pohligstr 1, D-50969 Cologne, Germany.</t>
  </si>
  <si>
    <t>claudia.loebbecke@uni-koeln.de</t>
  </si>
  <si>
    <t>10.1080/02681102.2018.1564725</t>
  </si>
  <si>
    <t>KA2FM</t>
  </si>
  <si>
    <t>WOS:000505613200005</t>
  </si>
  <si>
    <t>Hegde, PR; Guruprasad, LS</t>
  </si>
  <si>
    <t>Hegde, Pramath Ramesh; Guruprasad, Leena S.</t>
  </si>
  <si>
    <t>Nexus between digital financial inclusion and economic growth: a panel data investigation of Asian economies</t>
  </si>
  <si>
    <t>Digital financial inclusion; Asian countries; Economic growth; Panel data model; Global Findex report; O47; O16; C23; C58</t>
  </si>
  <si>
    <t>PurposeThis study aims to investigate the relationship between digital financial inclusion and economic growth in specific Asian countries, emphasizing the exploration of how digital financial inclusion dynamics impact gross domestic per capita income.Design/methodology/approachThe study creates a digital financial inclusion composite index (DFII) by incorporating essential metrics from the Global Findex report. Economic growth is measured using Gross Domestic Product per capita income in its natural logarithmic form (LnPCI), with three control variables- employment-to-population ratio; population growth and inflation. The analysis utilizes a fixed-effect dummy variable model to examine the relationship, considering unobserved country-specific heterogeneity. 30 Asian countries have been selected for the study for the periods 2014, 2017 and 2021 based on their availability, as outlined in Table 4.FindingsThe research revealed a robust positive correlation between the Digital Financial Inclusion Index (DFII) and logarithmic GDP per capita income (LnPCI), indicating higher per capita income with enhanced digital financial inclusion. Employment and population exhibited minimal influence, whereas inflation had a notable negative effect on per capita income. Population growth showed a limited impact. The model demonstrated a high explanatory power for the dependent variable (high R-squared), and the residuals displayed low autocorrelation (Durbin-Watson of 1.96).Originality/valueThis study adds to the existing literature by examining the intricate connection between digital financial inclusion (DFI) and economic growth in 30 Asian countries, employing a comprehensive composite index for analysis.</t>
  </si>
  <si>
    <t>[Guruprasad, Leena S.] BMS Coll Engn, Dept Management Studies &amp; Res Ctr, Bangalore, India</t>
  </si>
  <si>
    <t>BMS College of Engineering</t>
  </si>
  <si>
    <t>Guruprasad, LS (corresponding author), BMS Coll Engn, Dept Management Studies &amp; Res Ctr, Bangalore, India.</t>
  </si>
  <si>
    <t>leena.guruprasad@gmail.com</t>
  </si>
  <si>
    <t>; Guruprasad, Leena S/ADS-5656-2022</t>
  </si>
  <si>
    <t>S, Leena/0000-0001-7422-3926;</t>
  </si>
  <si>
    <t>2024 MAR 26</t>
  </si>
  <si>
    <t>10.1108/JEAS-09-2023-0253</t>
  </si>
  <si>
    <t>LU6U8</t>
  </si>
  <si>
    <t>WOS:001189362300001</t>
  </si>
  <si>
    <t>Ozili, PK</t>
  </si>
  <si>
    <t>Ozili, Peterson K.</t>
  </si>
  <si>
    <t>CBDC, Fintech and cryptocurrency for financial inclusion and financial stability</t>
  </si>
  <si>
    <t>DIGITAL POLICY REGULATION AND GOVERNANCE</t>
  </si>
  <si>
    <t>CBDC; Fintech; Cryptocurrency; Financial inclusion; Financial stability; Blockchain; Central bank digital currency</t>
  </si>
  <si>
    <t>INNOVATION</t>
  </si>
  <si>
    <t>Purpose The purpose of this study is to discuss the role of central bank digital currency (CBDC), Fintech and cryptocurrency for financial inclusion and financial stability. Design/methodology/approach This study used critical discourse analysis to identify the benefits and risks of CBDC, Fintech and cryptocurrency for financial inclusion and financial stability. Findings Fintech, CBDC and cryptocurrency can increase financial inclusion by providing an alternative channel through which unbanked adults can access formal financial services. CBDC and Fintech services have the potential to preserve financial stability, while cryptocurrency presents financial stability risks that can be mitigated through effective regulation. This paper also identified some problems of CBDC, Fintech and cryptocurrency for financial inclusion and financial stability. This paper offered some insight about the future of financial inclusion and the future of financial stability. Practical implications Although CBDC, Fintech or cryptocurrency can extend financial services to unbanked adults and offer cost-efficient advantages, there are risk considerations that need to be taken into account when using CBDC, Fintech and cryptocurrency to increase financial inclusion and to preserve financial stability. Originality/value The literature has not identified the combined role of CBDC, Fintech and cryptocurrency for financial inclusion and financial stability. To the best of the author's knowledge, this paper is the first paper to assess the combined role of CBDC, Fintech and cryptocurrency for financial inclusion and financial stability.</t>
  </si>
  <si>
    <t>[Ozili, Peterson K.] Cent Bank Nigeria, Governors Dept, Abuja, Nigeria</t>
  </si>
  <si>
    <t>Central Bank of Nigeria</t>
  </si>
  <si>
    <t>Ozili, PK (corresponding author), Cent Bank Nigeria, Governors Dept, Abuja, Nigeria.</t>
  </si>
  <si>
    <t>petersonkitakogelu@yahoo.com</t>
  </si>
  <si>
    <t>Ozili, Peterson/A-8418-2015</t>
  </si>
  <si>
    <t>2398-5038</t>
  </si>
  <si>
    <t>2398-5046</t>
  </si>
  <si>
    <t>DIGIT POLICY REGUL G</t>
  </si>
  <si>
    <t>Digit. Policy Regul. Gov.</t>
  </si>
  <si>
    <t>JAN 31</t>
  </si>
  <si>
    <t>10.1108/DPRG-04-2022-0033</t>
  </si>
  <si>
    <t>8B0OB</t>
  </si>
  <si>
    <t>WOS:000888980600001</t>
  </si>
  <si>
    <t>Singh, CR; Malik, A</t>
  </si>
  <si>
    <t>Singh, Ca Richa; Malik, Ashish</t>
  </si>
  <si>
    <t>Analysis of FinTech's Role in Financial Inclusion: Mediating Effects of Digital Literacy and Technology Adoption among Users</t>
  </si>
  <si>
    <t>FinTech; Financial Inclusion; Digital Literacy; Financial Literacy; Financial Technology Adoption; Economic Growth</t>
  </si>
  <si>
    <t>SERVICES; SECURITY; IMPACTS</t>
  </si>
  <si>
    <t>Principal objective of this study was to examine how financial technology (FinTech) promotes financial inclusion, focusing on the mediating role of digital financial literacy and technology adoption among users. To explore the various dimensions of the study data was collected from 1210 FinTech users of Rajasthan, in India was analysed using structural equation modelling (SEM) and predictive analytics. The findings reveal that trust, service quality, perceived security, user experience, and technological compatibility significantly enhance FinTech adoption. Digital financial literacy and technology adoption emerge as critical mediators, strengthening the relationship between FinTech usage and financial inclusion. These mediators empower users to leverage digital platforms effectively, addressing gaps in access to formal financial services. The study also highlighted the role of demographic and behavioral factors in shaping FinTech adoption. The results underscored the transformative potential of FinTech innovations like mobile money, digital wallets, and blockchain-enabled solutions in overcoming infrastructural barriers, reducing transaction costs, and expanding access to financial services in underserved regions. The study contributes to theoretical frameworks by integrating novel variables and advanced methodologies, providing actionable insights for policymakers, regulators, and FinTech companies. These findings support the design of inclusive financial ecosystems, emphasizing the need for targeted digital literacy programs, user-centric platform designs, and supportive regulatory environments to drive financial inclusion and economic empowerment. This research advances theoretical frameworks and provides actionable strategies to foster financial inclusion through technology-driven solutions in developing economies.</t>
  </si>
  <si>
    <t>[Singh, Ca Richa; Malik, Ashish] Axis Coll, Kanpur, India</t>
  </si>
  <si>
    <t>Singh, CR (corresponding author), Axis Coll, Kanpur, India.</t>
  </si>
  <si>
    <t>carichasingh@hotmail.com; drashishmalik81@gmail.com</t>
  </si>
  <si>
    <t>X7900</t>
  </si>
  <si>
    <t>WOS:001640960000006</t>
  </si>
  <si>
    <t>Hasan, M; Le, T; Hoque, A</t>
  </si>
  <si>
    <t>Hasan, Morshadul; Le, Thi; Hoque, Ariful</t>
  </si>
  <si>
    <t>How does financial literacy impact on inclusive finance?</t>
  </si>
  <si>
    <t>Financial knowledge; Financial literacy; Bank; Microfinance; FinTech; Financial inclusion; Inclusive finance; Bangladesh; Knowledge economy</t>
  </si>
  <si>
    <t>MICROFINANCE; EDUCATION; YOUTH</t>
  </si>
  <si>
    <t>Inclusive finance is a core concept of finance that makes various financial products and services accessible and affordable to all individuals and businesses, especially those excluded from the formal financial system. One of the leading forces affecting people's ability to access financial services in rural areas is financial literacy. This study investigated the impacts of financial knowledge on financial access through banking, microfinance, and fintech access using the Bangladesh rural population data. We employed three econometrics models: logistic regression, probit regression, and complementary log-log regression to examine whether financial literacy significantly affects removing the barriers that prevent people from participating and using financial services to improve their lives. The empirical findings showed that knowledge regarding various financial services factors had significant impacts on getting financial access. Some variables such as profession, income level, knowledge regarding depositing and withdrawing money, and knowledge regarding interest rate highly affected the overall access to finance. The study's results provide valuable recommendations for the policymaker to improve financial inclusion in the developing country context. A comprehensive and long-term education program should be delivered broadly to the rural population to make a big stride in financial inclusion, a key driver of poverty reduction and prosperity boosting.</t>
  </si>
  <si>
    <t>[Hasan, Morshadul; Le, Thi; Hoque, Ariful] Murdoch Univ, Murdoch Business Sch, Perth, WA 6150, Australia</t>
  </si>
  <si>
    <t>Murdoch University</t>
  </si>
  <si>
    <t>Hasan, M (corresponding author), Murdoch Univ, Murdoch Business Sch, Perth, WA 6150, Australia.</t>
  </si>
  <si>
    <t>arif.morshad@gmail.com</t>
  </si>
  <si>
    <t>Hasan, Mohammad/AAK-2185-2020; Hoque, Ariful/ABB-2497-2020</t>
  </si>
  <si>
    <t>Thi Ngoc Quynh, Le/0000-0001-8907-0213</t>
  </si>
  <si>
    <t>JUN 3</t>
  </si>
  <si>
    <t>10.1186/s40854-021-00259-9</t>
  </si>
  <si>
    <t>SM6PX</t>
  </si>
  <si>
    <t>WOS:000657726000001</t>
  </si>
  <si>
    <t>Sait, MA; Ali, MA; Almunawar, MN; Masri, HMH</t>
  </si>
  <si>
    <t>Sait, Muhammad Azmi; Ali, Muhammad Anshari; Almunawar, Mohammad Nabil; Masri, Haji Masairol Haji</t>
  </si>
  <si>
    <t>Understanding factors to digital wallet discontinuance intention among past users: an exploratory study</t>
  </si>
  <si>
    <t>Digital wallet; Financial technology; Discontinuance intention; Developing economy; Brunei Darussalam</t>
  </si>
  <si>
    <t>PurposeThis exploratory study aims to investigate and identify the factors influencing discontinuance intention among past users of local digital wallets in Brunei Darussalam.Design/methodology/approachThis study uses a mixed-method approach that integrates quantitative and qualitative research method. An online survey is distributed via widely used social media platforms, using purposive sampling to target previous users of local digital wallets. Structured questionnaires capture demographic data, whereas open-ended inquiries delve into reasons for discontinuation. Descriptive analysis will extract the demographic profiles of the samples. Inductive thematic analysis, guided by Braun and Clarke's framework, will extract and analyze qualitative responses to unveil emergent themes. Data saturation, anticipated beyond 12 responses, will signify sample adequacy.FindingsDemographic profiles based on gender, age and payment preferences of discontinuers supplement the justification for identified themes influencing digital wallet discontinuation in Brunei Darussalam. These themes include Acceptability Challenge, highlighting limited vendor acceptance; Financial Management and Security Issues, revealing concerns over impulsive buying behavior and security robustness; Limited Benefits, referring to short-term interest driven by promotional benefits; Technological Inertia, emphasizing reluctance to change from conventional payment methods and Technical Challenges, encompassing internet connectivity and operational functionality issues.Research limitations/implicationsThis study acknowledges few limitations, including a limited number of respondents, comprising majorly of the younger age groups and females. Self-reported data usage introduces potential response bias, impacting result validity. The qualitative approach limits comprehensive understanding, suggesting validation through quantitative correlational studies. Additionally, the cross-sectional design restricts insight into the dynamic nature of digital wallet discontinuance in Brunei, suggesting the need for longitudinal studies.Practical implicationsThe findings of this study offer valuable insights for digital wallet providers, policymakers and businesses operating within the realm of Brunei Darussalam. By tackling pertinent issues such as vendor acceptance, financial security and promotional incentives, stakeholders can effectively improve user experiences and mitigate intentions of discontinuing usage. Recommended strategies encompass the enlargement of vendor networks, the implementation of stringent security measures and the customization of promotional campaigns. Furthermore, comprehending demographic inclinations enables the tailoring of offerings, thereby fostering enduring adoption rates.Social implicationsThis study's findings hold social significance for financial inclusion, technological literacy and consumer empowerment in Brunei Darussalam. Overcoming barriers to digital wallet adoption, such as limited vendor acceptance, promotes financial inclusion in the long run. Improved understanding of digital wallets enhances technological literacy and empowers users to make informed decisions. By catering to diverse demographic needs, stakeholders can promote social equity and ensure widespread access to digital payment benefits, thus positively impacting Brunei Darussalam's socioeconomic landscape.Originality/valueThis study contributes to the existing knowledge gap on digital wallet discontinuance in Brunei Darussalam. By uncovering key themes and factors influencing past users' decisions, it advances understanding in the context of postadoption dynamics. The study provides valuable insights for local and global fintech adoption strategies.</t>
  </si>
  <si>
    <t>[Sait, Muhammad Azmi; Ali, Muhammad Anshari; Almunawar, Mohammad Nabil; Masri, Haji Masairol Haji] Univ Brunei Darussalam, Sch Business &amp; Econ, Bandar Seri Begawan, Brunei</t>
  </si>
  <si>
    <t>Sait, MA (corresponding author), Univ Brunei Darussalam, Sch Business &amp; Econ, Bandar Seri Begawan, Brunei.</t>
  </si>
  <si>
    <t>muhammadazmisait@gmail.com</t>
  </si>
  <si>
    <t>; Anshari, Muhammad/N-5268-2017</t>
  </si>
  <si>
    <t>Sait, Muhammad Azmi/0000-0002-5175-6436; Anshari, Muhammad/0000-0002-8160-6682</t>
  </si>
  <si>
    <t>2024 MAR 22</t>
  </si>
  <si>
    <t>10.1108/JSTPM-01-2024-0005</t>
  </si>
  <si>
    <t>LO4N8</t>
  </si>
  <si>
    <t>WOS:001187732600001</t>
  </si>
  <si>
    <t>Aduba, J Jr; Asgari, B</t>
  </si>
  <si>
    <t>Aduba, Joseph Junior; Asgari, Behrooz</t>
  </si>
  <si>
    <t>Analysing and forecasting the diffusion of electronic payments system in Nigeria</t>
  </si>
  <si>
    <t>TECHNOLOGY ANALYSIS &amp; STRATEGIC MANAGEMENT</t>
  </si>
  <si>
    <t>Diffusion models; EPS; fintech; technological innovations; technology forecasting; G17; O31; 033; O35; Q55</t>
  </si>
  <si>
    <t>FINANCIAL INCLUSION; GROWTH-CURVES; ADOPTION; COMPETITION; INNOVATION; MODELS</t>
  </si>
  <si>
    <t>The electronic payments system is among recent service innovations that have transformed access to finance in developing and emerging economies. This paper analyses and forecasts the diffusions of four major electronic payment technologies in Nigeria, namely, ATM, PoS, Mobile and Web payments. Diffusion was measured by the volume of financial payments transacted on these technologies. First, we applied two growth models to evaluate the diffusion and to forecast the future trajectories of these payment technologies. Second, we applied the logistics substitution model to evaluate how these technologies compete in the Nigerian payments market. The findings show that like many technological innovations the diffusions of electronic payment technologies are characterised by growth, maturity, saturation, and decline. In addition, the mobile payment system was forecast to emerge as the most diffused payment technology given the volume of financial exchange that will occur on this platform. These findings have implications for innovators, regulators and service providers within the Nigerian payment ecosystems. The findings also have practical implication for achieving the cashless economy and the financial inclusion projects of the Nigerian state which rely on the successful diffusions of these technologies.</t>
  </si>
  <si>
    <t>[Aduba, Joseph Junior] Ritsumeikan Univ, Ritsumeikan Grad Sch Econ, Kusatsu, Shiga 5258577, Japan; [Asgari, Behrooz] Ritsumeikan Asia Pacific Univ APU, Grad Sch Management, Beppu, Oita, Japan</t>
  </si>
  <si>
    <t>Ritsumeikan University; Ritsumeikan Asia Pacific University</t>
  </si>
  <si>
    <t>Aduba, J Jr (corresponding author), Ritsumeikan Univ, Ritsumeikan Grad Sch Econ, Kusatsu, Shiga 5258577, Japan.</t>
  </si>
  <si>
    <t>adubajj@gmail.com</t>
  </si>
  <si>
    <t>ADUBA, Joseph/AAW-4999-2021; Asgari, Behrooz/GNW-6476-2022</t>
  </si>
  <si>
    <t>ADUBA, Joseph/0000-0001-7871-3666;</t>
  </si>
  <si>
    <t>0953-7325</t>
  </si>
  <si>
    <t>1465-3990</t>
  </si>
  <si>
    <t>TECHNOL ANAL STRATEG</t>
  </si>
  <si>
    <t>Technol. Anal. Strateg. Manage.</t>
  </si>
  <si>
    <t>OCT 3</t>
  </si>
  <si>
    <t>10.1080/09537325.2021.1950675</t>
  </si>
  <si>
    <t>JUL 2021</t>
  </si>
  <si>
    <t>Management; Multidisciplinary Sciences</t>
  </si>
  <si>
    <t>4Q3BP</t>
  </si>
  <si>
    <t>WOS:000673063000001</t>
  </si>
  <si>
    <t>Liu, Y; Zhao, HR; Sun, JG; Tang, YH</t>
  </si>
  <si>
    <t>Liu, Ying; Zhao, Haoran; Sun, Jieguang; Tang, Yahui</t>
  </si>
  <si>
    <t>Digital Inclusive Finance and Family Wealth: Evidence from LightGBM Approach</t>
  </si>
  <si>
    <t>family wealth; machine learning; Digital Inclusive Finance</t>
  </si>
  <si>
    <t>HOUSEHOLD WEALTH; DECISION-MAKING; ACCUMULATION</t>
  </si>
  <si>
    <t>With the rapid development of digital technology in China, Digital Inclusive Finance, which uses digital financial services to promote financial inclusion, is developing rapidly. This paper uses the Peking University Digital Financial Inclusion index of China and China Family Panel Studies (CFPS) data to construct a predictive model using the LightGBM machine learning algorithm to study whether Digital Inclusive Finance can predict household wealth and analyze the characteristics of strong predictive ability for household wealth. They found that: (1) the introduction of the Digital Financial Inclusion index can improve the prediction performance of the household wealth model; (2) financial literacy and age characteristics are the key characteristics of household wealth accumulation; (3) the coverage and depth of Digital Inclusive Finance has a significant effect on family wealth accumulation, but the degree of digitization acts as a disincentive factor. This paper not only uses machine learning methods to do research on Digital Inclusive Finance and family wealth from a more comprehensive perspective, but also provides effective theoretical support for the key factors that enhance family wealth.</t>
  </si>
  <si>
    <t>[Liu, Ying; Zhao, Haoran] Jilin Univ Finance &amp; Econ, Sch Management Sci &amp; Informat Engn, Changchun 130117, Peoples R China; [Liu, Ying; Sun, Jieguang; Tang, Yahui] Key Lab Financial Technol Jilin Prov, Changchun 130117, Peoples R China; [Liu, Ying] Business Big Data Res Ctr Jilin Prov, Changchun 130117, Peoples R China</t>
  </si>
  <si>
    <t>Jilin University of Finance &amp; Economics</t>
  </si>
  <si>
    <t>Sun, JG (corresponding author), Key Lab Financial Technol Jilin Prov, Changchun 130117, Peoples R China.</t>
  </si>
  <si>
    <t>401065@jlufe.edu.cn</t>
  </si>
  <si>
    <t>National Social Science Foundation of China [20BTJ062]</t>
  </si>
  <si>
    <t>This research was funded by the National Social Science Foundation of China, grant number 20BTJ062.</t>
  </si>
  <si>
    <t>10.3390/su142215363</t>
  </si>
  <si>
    <t>6K7KW</t>
  </si>
  <si>
    <t>WOS:000887677100001</t>
  </si>
  <si>
    <t>Chen, FZ; Du, X; Wang, WT</t>
  </si>
  <si>
    <t>Chen, Fuzhong; Du, Xin; Wang, Wenting</t>
  </si>
  <si>
    <t>Can FinTech Applied to Payments Improve Consumer Financial Satisfaction? Evidence from the USA</t>
  </si>
  <si>
    <t>MATHEMATICS</t>
  </si>
  <si>
    <t>mobile payments; consumer financial satisfaction; mediating effects; financial education; financial capability; ordered probit regression</t>
  </si>
  <si>
    <t>CAPABILITY; EDUCATION; LITERACY</t>
  </si>
  <si>
    <t>The rapid development of financial technology (FinTech) has profoundly affected consumers' financial life, especially their financial satisfaction. The advancement of FinTech has given momentum to the development of mobile payments to some extent. The objective of this study is to investigate the effects of FinTech applied to payments on consumer financial satisfaction utilizing data from the U.S. 2015 and 2018 National Financial Capability Study (NFCS). The method of probit regression is utilized to perform more accurate estimates since the variable of consumer financial satisfaction is non-continuous and ordered. The empirical results of this study indicate that FinTech positively contributes to consumer financial satisfaction. In addition, this study selects financial education and financial capability as mediating variables to explore the possible influence channels between the development of mobile payments and the increase in consumer financial satisfaction. The mediating effects analysis demonstrates that FinTech positively affects financial education and financial capability, ultimately increasing consumer financial satisfaction. These findings have implications for consumer policymakers when promoting FinTech to consumers and helping them increase their financial satisfaction through mobile payments.</t>
  </si>
  <si>
    <t>[Chen, Fuzhong] Univ Int Business &amp; Econ, Acad China Open Econ Studies, Beijing 100029, Peoples R China; [Chen, Fuzhong; Du, Xin] Univ Int Business &amp; Econ, Sch Int Trade &amp; Econ, Beijing 100029, Peoples R China; [Wang, Wenting] Shenzhen Technol Univ, Dept Big Data &amp; Internet, Shenzhen 518118, Peoples R China</t>
  </si>
  <si>
    <t>University of International Business &amp; Economics; University of International Business &amp; Economics; Shenzhen Technology University</t>
  </si>
  <si>
    <t>Chen, FZ (corresponding author), Univ Int Business &amp; Econ, Acad China Open Econ Studies, Beijing 100029, Peoples R China.;Chen, FZ (corresponding author), Univ Int Business &amp; Econ, Sch Int Trade &amp; Econ, Beijing 100029, Peoples R China.;Wang, WT (corresponding author), Shenzhen Technol Univ, Dept Big Data &amp; Internet, Shenzhen 518118, Peoples R China.</t>
  </si>
  <si>
    <t>uibesitechen@uibe.edu.cn; wangwenting@sztu.edu.cn</t>
  </si>
  <si>
    <t>Chen, Fuzhong/AAE-6103-2022</t>
  </si>
  <si>
    <t>General Research Fund of The Academy of China Open Economy Studies at the University of International Business and Economics [2022GK10]</t>
  </si>
  <si>
    <t>General Research Fund of The Academy of China Open Economy Studies at the University of International Business and Economics</t>
  </si>
  <si>
    <t>This research was funded by the General Research Fund of The Academy of China Open Economy Studies at the University of International Business and Economics (Grant No. 2022GK10).</t>
  </si>
  <si>
    <t>2227-7390</t>
  </si>
  <si>
    <t>MATHEMATICS-BASEL</t>
  </si>
  <si>
    <t>10.3390/math11020363</t>
  </si>
  <si>
    <t>8A6WM</t>
  </si>
  <si>
    <t>WOS:000916377400001</t>
  </si>
  <si>
    <t>Norta, A; Leiding, B; Lane, A</t>
  </si>
  <si>
    <t>Norta, Alex; Leiding, Benjamin; Lane, Alexi</t>
  </si>
  <si>
    <t>Lowering Financial Inclusion Barriers With a Blockchain-Based Capital Transfer System</t>
  </si>
  <si>
    <t>IEEE CONFERENCE ON COMPUTER COMMUNICATIONS WORKSHOPS (IEEE INFOCOM 2019 WKSHPS)</t>
  </si>
  <si>
    <t>IEEE Conference on Computer Communications Workshops</t>
  </si>
  <si>
    <t>IEEE Conference on Computer Communications (IEEE INFOCOM)</t>
  </si>
  <si>
    <t>APR 29-MAY 02, 2019</t>
  </si>
  <si>
    <t>Paris, FRANCE</t>
  </si>
  <si>
    <t>Financial inclusion; lending; remittance; blockchain; smart contract; mobile payment; stablecoin</t>
  </si>
  <si>
    <t>Transferring money and gaining access to credit across international borders, is still complicated, time consuming and expensive. Existing money transfer systems suffer furthermore from long lines, exchange rate losses, counter-party risks, bureaucracy and extensive paperwork. An estimate two billion adults are unbanked and with no, or limited access to financial services. Providing workable financial services to this population is often tagged as a key step towards eliminating world poverty and bootstrapping local economies. The Everex application focuses on easing the financial inclusion problem by applying blockchain technology for cross-border remittance, online payment, currency exchange and micro lending, without the volatility issues of existing, non-stablecoin cryptocurrencies. Finally, the Everex wallet facilitates a fiat-to-cryptocurrency gateway that eases access to cryptocurrencies, thereby enabling our users to instantly buy and sell tokens without having to visit an exchange. This paper fills the gap in the state of the art by presenting a blockchain-based capital transfer system that aims to lower financial inclusion barriers and provide financial services to the unbanked. We present the advantages of the system, outline the requirements and goals, as well as the architecture of the Everex financial eco-system.</t>
  </si>
  <si>
    <t>[Norta, Alex] Blockchain Technol Grp, Akad Tee 21-1, EE-12618 Tallinn, Estonia; [Leiding, Benjamin] Univ Gottingen, Inst Comp Sci, Gottingen, Germany; [Lane, Alexi] Everex Io, Singapore, Singapore</t>
  </si>
  <si>
    <t>Norta, A (corresponding author), Blockchain Technol Grp, Akad Tee 21-1, EE-12618 Tallinn, Estonia.</t>
  </si>
  <si>
    <t>alex.norta.phd@ieee.org; benjamin.leiding@cs.uni-goettingen.de; team@everex.io</t>
  </si>
  <si>
    <t>; Norta, Alex/I-2347-2018</t>
  </si>
  <si>
    <t>Leiding, Benjamin/0000-0002-9191-7548; Norta, Alex/0000-0003-0593-8244</t>
  </si>
  <si>
    <t>2159-4228</t>
  </si>
  <si>
    <t>978-1-7281-1878-9</t>
  </si>
  <si>
    <t>IEEE CONF COMPUT</t>
  </si>
  <si>
    <t>10.1109/infcomw.2019.8845177</t>
  </si>
  <si>
    <t>BO7XY</t>
  </si>
  <si>
    <t>WOS:000526051100054</t>
  </si>
  <si>
    <t>Lazo, BB; Correa, IG</t>
  </si>
  <si>
    <t>Lazo, Bernardo Batiz; Correa, Ignacio Gonzalez</t>
  </si>
  <si>
    <t>From the telegraph to the app: The evolution and current status of remittance providers from the United States to Mexico, ca. 1980-2020</t>
  </si>
  <si>
    <t>TRIMESTRE ECONOMICO</t>
  </si>
  <si>
    <t>Remittances; financial technology; fintech; cross-border payments; Mexico; United States of America</t>
  </si>
  <si>
    <t>INTERNATIONAL MIGRATION; FIELD EXPERIMENT; MIGRANTS; SAVINGS</t>
  </si>
  <si>
    <t>This paper offers the first approach to the evolution of the structure and the participants in the remittances market of the United States-Mexico corridor. We identify three different layers in the structure and specify the agents that involve clients, remittance providers, and correspondent banks from 1980 to 2020. We show the structural limitations of the market and suggest how the digital economy and financial technology (fintech) could help to reduce the average cost of cross-border payments. The potential benefits from fintech to the remittances market are especially relevant for Mexico since it has a high proportion of unbanked population. Furthermore, the reduction to 3% of the remittance fees has been defined as one of the United Nations' 2030 Sustainable Development Goals. A better and deeper understanding of the characteristics of this market could help to achieve this goal.</t>
  </si>
  <si>
    <t>[Lazo, Bernardo Batiz] Newcastle Business Sch, Newcastle Upon Tyne, England; [Lazo, Bernardo Batiz] Univ Northumbria, Newcastle Upon Tyne, England; [Lazo, Bernardo Batiz] Univ Anahuac, Fac Econ &amp; Negocios, Naucalpan, Mexico; [Correa, Ignacio Gonzalez] Univ Calif Davis, Dept Econ, Davis, CA USA</t>
  </si>
  <si>
    <t>Newcastle University - UK; Northumbria University; Universidad Anahuac; University of California System; University of California Davis</t>
  </si>
  <si>
    <t>Lazo, BB (corresponding author), Newcastle Business Sch, Newcastle Upon Tyne, England.;Lazo, BB (corresponding author), Univ Northumbria, Newcastle Upon Tyne, England.;Lazo, BB (corresponding author), Univ Anahuac, Fac Econ &amp; Negocios, Naucalpan, Mexico.</t>
  </si>
  <si>
    <t>bernardo.batiz-lazo@northumbria.ac.uk; igonz@ucdavis.edu</t>
  </si>
  <si>
    <t>FONDO CULTURA ECONOMICA</t>
  </si>
  <si>
    <t>TLALPAN</t>
  </si>
  <si>
    <t>AVE PICACHO AJUSCO, NO 227, TLALPAN CP 14200, MEXICO</t>
  </si>
  <si>
    <t>0041-3011</t>
  </si>
  <si>
    <t>TRIMEST ECON</t>
  </si>
  <si>
    <t>Trimest. Econ.</t>
  </si>
  <si>
    <t>10.20430/ete.v91i364.2516</t>
  </si>
  <si>
    <t>J3F9C</t>
  </si>
  <si>
    <t>WOS:001335965800006</t>
  </si>
  <si>
    <t>Asongu, SA; Odhiambo, NM</t>
  </si>
  <si>
    <t>Asongu, Simplice A.; Odhiambo, Nicholas M.</t>
  </si>
  <si>
    <t>Mobile technology supply factors and mobile money innovation: thresholds for complementary policies</t>
  </si>
  <si>
    <t>E-WALLET PROGRAM; MARKET POWER; INFORMATION ASYMMETRY; FINANCIAL INCLUSION; BANKING; DIFFUSION; SERVICES; ICT; INEQUALITY; ADOPTION</t>
  </si>
  <si>
    <t>This study complements the extant literature by assessing how enhancing supply factors of mobile technologies affect mobile money innovations for financial inclusion in developing countries. The mobile money innovation outcome variables are: mobile money accounts, the mobile phone used to send money and the mobile phone used to receive money. The mobile technology supply factors are: unique mobile subscription rate, mobile connectivity performance, mobile connectivity coverage and telecommunications (telecom) sector regulation. The empirical evidence is based on quadratic Tobit regressions, and the following findings are established. There are Kuznets or inverted-shaped nexuses between three of the four supply factors and mobile money innovations from which thresholds for complementary policies are provided as follows: (i) unique adults' mobile subscription rates of 128.500%, 121.500% and 77.750% for mobile money accounts, the mobile used to send money and the mobile used to receive money, respectively; (ii) the average share of the population covered by 2G, 3G and 4G mobile data networks of 61.250% and 51.833% for the mobile used to send money and the mobile used to receive money, respectively; and (iii) a telecom sector regulation index of 0.409, 0.283 and 0.283 for mobile money accounts, the mobile phone used to send money and the mobile phone used to receive money, respectively. Some complementary policies are discussed, because at the attendant thresholds, the engaged supply factors of mobile money technologies become necessary, but not sufficient conditions of mobile money innovations for financial inclusion.</t>
  </si>
  <si>
    <t>[Asongu, Simplice A.; Odhiambo, Nicholas M.] Univ South Africa, Dept Econ, POB 392, ZA-0003 Pretoria Unisa, South Africa</t>
  </si>
  <si>
    <t>University of South Africa</t>
  </si>
  <si>
    <t>Asongu, SA (corresponding author), Univ South Africa, Dept Econ, POB 392, ZA-0003 Pretoria Unisa, South Africa.</t>
  </si>
  <si>
    <t>asongusimplice@yahoo.com; odhianm@unisa.ac.za</t>
  </si>
  <si>
    <t>Asongu, Simplice/K-3436-2014</t>
  </si>
  <si>
    <t>10.1057/s41261-021-00167-z</t>
  </si>
  <si>
    <t>JUN 2021</t>
  </si>
  <si>
    <t>3P7BN</t>
  </si>
  <si>
    <t>WOS:000663489500001</t>
  </si>
  <si>
    <t>Dluhopolskyi, O; Pakhnenko, O; Lyeonov, S; Semenog, A; Artyukhova, N; Cholewa-Wiktor, M; Jastrzebski, W</t>
  </si>
  <si>
    <t>Dluhopolskyi, Oleksandr; Pakhnenko, Olena; Lyeonov, Serhiy; Semenog, Andrii; Artyukhova, Nadiia; Cholewa-Wiktor, Marta; Jastrzebski, Winczyslaw</t>
  </si>
  <si>
    <t>Digital Financial Inclusion: COVID-19 Impacts and Opportunities</t>
  </si>
  <si>
    <t>financial inclusion; financial access; digitalization; digital inclusion; digital payments; COVID-19; pandemic</t>
  </si>
  <si>
    <t>The COVID-19 pandemic has caused the acceleration of digitization and the consideration of digital financial inclusion as a means to minimize negative economic consequences and increase the resilience of households and SMEs. The purpose of this article was to assess the impact of the COVID-19 pandemic on digital financial inclusion by constructing and calculating an integral index of digital financial inclusion (DFI) based on Global Findex Database indicators. The approach to calculating the DFI index and two sub-indices that characterized passive participation in financial relations and active use of digital technologies was based on a linear mathematical model of the integrated indicator and on the use of the Fishburn formula to calculate the weight coefficients. The obtained results proved the acceleration of digital financial inclusion in 2021 and revealed significant differences in DFI between countries and groups of countries according to income level as well as problems of financial exclusion of the most vulnerable groups of population, especially in developing countries. The obtained results regarding the level of DFI are discussed from the point of view of COVID-19 impacts: both directly by influencing consumer behavior and decisions regarding digital financial services and from a broader perspective by influencing business entities, financial service providers, and regulation.</t>
  </si>
  <si>
    <t>[Dluhopolskyi, Oleksandr; Jastrzebski, Winczyslaw] WSEI Univ, Fac Publ Adm &amp; Business, PL-20209 Lublin, Poland; [Dluhopolskyi, Oleksandr] West Ukrainian Natl Univ, Fac Econ &amp; Management, UA-46027 Ternopol, Ukraine; [Pakhnenko, Olena; Semenog, Andrii] Sumy State Univ, Dept Financial Technol &amp; Entrepreneurship, UA-40000 Sumy, Ukraine; [Lyeonov, Serhiy] Univ Social Sci, Fac Management &amp; Secur Studies, 9 Sienkiewicza Str, PL-90113 Lodz, Poland; [Artyukhova, Nadiia] Sumy State Univ, Dept Mkt, UA-40000 Sumy, Ukraine; [Cholewa-Wiktor, Marta] Lublin Univ Technol, Fac Management, PL-20618 Lublin, Poland</t>
  </si>
  <si>
    <t>Ministry of Education &amp; Science of Ukraine; West Ukrainian National University; Ministry of Education &amp; Science of Ukraine; Sumy State University; University of Social Sciences; Ministry of Education &amp; Science of Ukraine; Sumy State University; Lublin University of Technology</t>
  </si>
  <si>
    <t>Dluhopolskyi, O (corresponding author), WSEI Univ, Fac Publ Adm &amp; Business, PL-20209 Lublin, Poland.;Dluhopolskyi, O (corresponding author), West Ukrainian Natl Univ, Fac Econ &amp; Management, UA-46027 Ternopol, Ukraine.</t>
  </si>
  <si>
    <t>dlugopolsky77@gmail.com</t>
  </si>
  <si>
    <t>; Pakhnenko, Olena/P-3394-2014; Dluhopolskyi, Oleksan/H-2339-2017; Semenog, Andrii/AAD-6243-2021; Lyeonov, Serhiy/A-9659-2017</t>
  </si>
  <si>
    <t>Cholewa-Wiktor, Marta/0000-0001-8457-472X; Pakhnenko, Olena/0000-0002-4703-4078; Jastrzęki, Wińczysław/0000-0002-1236-7470; Dluhopolskyi, Oleksan/0000-0002-2040-8762; Artyukhova, Nadiia/0000-0002-2408-5737;</t>
  </si>
  <si>
    <t>Ministry of Education and Science of Ukraine [0122U000778]</t>
  </si>
  <si>
    <t>This research was funded by the Ministry of Education and Science of Ukraine within the framework of state budget research No. 0122U000778: Socio-economic recovery after COVID-19: modelling the implications for macroeconomic stability, national security and local community resilience.</t>
  </si>
  <si>
    <t>10.3390/su15032383</t>
  </si>
  <si>
    <t>8V8IA</t>
  </si>
  <si>
    <t>WOS:000930869400001</t>
  </si>
  <si>
    <t>Asongu, S</t>
  </si>
  <si>
    <t>Asongu, Simplice</t>
  </si>
  <si>
    <t>Telecommunications regulation, mobile money innovations and financial inclusion</t>
  </si>
  <si>
    <t>Mobile money; Technology diffusion; Financial inclusion; Inclusive innovation; D10; D14; D31; D60; O30</t>
  </si>
  <si>
    <t>E-WALLET PROGRAM; BANKING; INFORMATION; SERVICES; ADOPTION; ACCESS; ICT; INEQUALITY; TELEPHONY; DIFFUSION</t>
  </si>
  <si>
    <t>PurposeThis study aims to assess how corporate telecommunication (telecom) policies follow telecom sector regulation in mobile money innovation for financial inclusion in developing countries. Design/methodology/approachTelecom policies are understood in terms of mobile subscriptions, mobile connectivity coverage and mobile connectivity performance, whereas mobile money innovations represent mobile money accounts, the mobile used to send money and the mobile used to receive money. The empirical evidence is based on Tobit regressions. FindingsTelecom sector regulation positively influences mobile money innovations. From net influences, mobile subscriptions and connectivity policies moderate telecom sector regulation to positively influence mobile money innovations, exclusively within the remit of mobile money accounts because the corresponding net influences on the mobile used to send money and the mobile used to receive money are negative. The interactive influences are consistently negative, and hence, thresholds for complementary policies are provided to maintain the positive influence of telecom sector regulation on mobile money innovations. Originality/valueThis study has complemented the extant literature by assessing how corporate telecommunication policies follow telecommunication sector regulation in mobile money innovations for financial inclusion.</t>
  </si>
  <si>
    <t>[Asongu, Simplice] Univ South Africa, Dept Econ, Pretoria, South Africa</t>
  </si>
  <si>
    <t>Asongu, S (corresponding author), Univ South Africa, Dept Econ, Pretoria, South Africa.</t>
  </si>
  <si>
    <t>asongusimplice@yahoo.com</t>
  </si>
  <si>
    <t>10.1108/JFRC-01-2023-0003</t>
  </si>
  <si>
    <t>WOS:000974890900001</t>
  </si>
  <si>
    <t>Hassouba, TA</t>
  </si>
  <si>
    <t>Hassouba, Taghreed Abdelaziz</t>
  </si>
  <si>
    <t>Financial inclusion in Egypt: the road ahead</t>
  </si>
  <si>
    <t>REVIEW OF ECONOMICS AND POLITICAL SCIENCE</t>
  </si>
  <si>
    <t>Financial inclusion; Central bank of Egypt; CBE financial inclusion initiatives; Financial inclusion indicators; In-depth interviews</t>
  </si>
  <si>
    <t>PurposeThe literature review stated that financial inclusion (FI) influences economic growth through different channels. Hence, this paper aims to investigate the underlying process of FI in Egypt theoretically, and to derive some policy implications for promoting the process and achieving more improvement in different financial and economic aspects, that is basically through discussing the opinions of FI's main stockholders in Egypt.Design/methodology/approachThe analysis used secondary data from the Global Findex and FAS Database, namely, automated teller machines, outstanding deposits and loans with commercial banks, debit and credit cards ownership. The research particularly used scientific methods as method of deduction, methods of graphical and tabular representation of data, comparative analysis and synthesis of partial knowledge. The paper is also based on a descriptive approach in addition to in-depth interviews with the main stakeholders of the financial inclusion process in Egypt.FindingsThe analyzed results of interviews revealed that new FI vision should have a deep understanding of the financial lives of the poor and low-income groups, including how they acquire, manage and use their money. However, the impact is becoming more prominent for the efficiency of the banking system and hence economic growth rather a regulatory and sound institutional framework enhances it. This finding supported the fact that Egypt can design an appropriate FI strategy, but the main challenge is how to implement it with the required speed and outreach capacity, especially in underprivileged communities.Research limitations/implicationsThe result of this study has interesting implications for Egypt's ability to attain effective FI initiatives that promote sound financial choices and behavior which in turn help to stimulate financial and economic growth.Originality/valueThe study contributes to the literature by assessing the FI level in Egypt, its implications and how it should be enhanced for better performance and results in the future. It addresses the deep fact of this process through inclusive surveys and interviews that help in determining the road ahead.</t>
  </si>
  <si>
    <t>[Hassouba, Taghreed Abdelaziz] Cairo Univ, Fac Econ &amp; Polit Sci, Giza, Egypt</t>
  </si>
  <si>
    <t>Egyptian Knowledge Bank (EKB); Cairo University</t>
  </si>
  <si>
    <t>Hassouba, TA (corresponding author), Cairo Univ, Fac Econ &amp; Polit Sci, Giza, Egypt.</t>
  </si>
  <si>
    <t>taghreedhassouba@feps.edu.eg</t>
  </si>
  <si>
    <t>2356-9980</t>
  </si>
  <si>
    <t>2631-3561</t>
  </si>
  <si>
    <t>REV ECON POLIT SCI-R</t>
  </si>
  <si>
    <t>Rev. Econ. Polit. Sci.</t>
  </si>
  <si>
    <t>APR 4</t>
  </si>
  <si>
    <t>10.1108/REPS-06-2022-0034</t>
  </si>
  <si>
    <t>JAN 2023</t>
  </si>
  <si>
    <t>Economics; Political Science</t>
  </si>
  <si>
    <t>0VL1L</t>
  </si>
  <si>
    <t>WOS:000916090000001</t>
  </si>
  <si>
    <t>Liana, P; Jaensson, JE; Mmari, G</t>
  </si>
  <si>
    <t>Liana, Pamela; Jaensson, Jan-Erik; Mmari, Goodluck</t>
  </si>
  <si>
    <t>The mediating effect of customer experience on word of mouth and repurchase behaviours in mobile payment services in Tanzania</t>
  </si>
  <si>
    <t>Customer experiences; service quality; word of mouth; repurchase behaviours; mobile payment; Kaouther Kooli, Bournemouth University, United Kingdom of Great Britain and Northern Ireland; Marketing; Consumer Behaviour; Internet / Digital Marketing / e-Marketing</t>
  </si>
  <si>
    <t>QUALITY; LOYALTY; BANKING; IMPACT; MODEL; SATISFACTION; SCALE</t>
  </si>
  <si>
    <t>One of the biggest drivers of Tanzania's economy, inclusion in the digital financial system, and reaching the unbanked population nationwide is mobile payment services. Due to the development of mobile banks and the dynamics of digital technology advances, which make it challenging to comprehend consumer behaviours, the sector, which is served by telecom firms, suffers intense competition. Unfortunately, the topic hasn't received much attention from marketing professionals, thus this study will focus on examining the connection between service quality and word-of-mouth mediated by customer experience. The second is to investigate how customer experience, through service quality, influences repurchases behaviour. With a sample of 379 Dar Es Salaam residents who utilize mobile payments, the study took a positivist stance. Moreover, the study employed convenient sampling techniques, and the data were analysed with Smart PLS 4. The analysis involved a reflective-formative measure of constructs in lower- and higher-order models and a bootstrapping method for the mediating analysis. The hypotheses were tested and revealed a significant positive relationship between the specific indirect effects of service quality and positive word of mouth and repurchasing intention. The study contributes to the digital financial service marketing sector and recommends that policymakers and managers substantiate customer experience for better communication and marketing strategies.</t>
  </si>
  <si>
    <t>[Liana, Pamela; Mmari, Goodluck] Moshi Cooperat Univ MoCU, Dept Mkt &amp; Enterprise Management, Moshi, Kilimanjaro, Tanzania; [Jaensson, Jan-Erik] Umea Univ, Dept Mkt, Umea, Sweden</t>
  </si>
  <si>
    <t>Umea University</t>
  </si>
  <si>
    <t>Liana, P (corresponding author), Dept Mkt &amp; Enterprise Management, POB 474,Sokoine Rd, Moshi, Kilimanjaro, Tanzania.</t>
  </si>
  <si>
    <t>LIANA, PAMELA/NDT-2244-2025</t>
  </si>
  <si>
    <t>LIANA, PAMELA/0000-0001-6437-3285</t>
  </si>
  <si>
    <t>The author would like to thank all the anonymous reviewers and the editors for their insightful comments.</t>
  </si>
  <si>
    <t>10.1080/23311975.2024.2365426</t>
  </si>
  <si>
    <t>XM7E0</t>
  </si>
  <si>
    <t>WOS:001262158700001</t>
  </si>
  <si>
    <t>Rahman, SU; Nguyen-Viet, B; Nguyen, YTH; Kamran, S</t>
  </si>
  <si>
    <t>Rahman, Saleem ur; Nguyen-Viet, Bang; Nguyen, Yen Thi Hoang; Kamran, Sohail</t>
  </si>
  <si>
    <t>Promoting fintech: driving developing country consumers' mobile wallet use through gamification and trust</t>
  </si>
  <si>
    <t>M-wallets; Gamification; Trust; Consumers; Continued use; Fintech</t>
  </si>
  <si>
    <t>INFORMATION-TECHNOLOGY; CONTINUANCE; ACCEPTANCE; SATISFACTION; BEHAVIOR; ADOPTION; SERVICES; SYSTEMS; USAGE</t>
  </si>
  <si>
    <t>PurposeM-wallets have emerged as one of the most important financial innovations of the 21st century, enabling users to carry digital cash by securely storing payment methods on their mobile devices. However, the continued use of m-wallets varies among people for several reasons. This study used the technology continuation theory (TCT), gamification and trust factors to examine the variables affecting consumers' intentions to continue using mobile wallets.Design/methodology/approachThe SmartPLS partial least squares software was used to analyze data from 431 m-wallet users in Vietnam using the structural equation modeling technique.FindingsThe data revealed that the research model can predict users' intentions to continue using mobile wallets. TCT constructs demonstrated strong exploratory power in explaining consumer satisfaction and attitudes towards m-wallets. Furthermore, the study confirmed the direct effect of the perceived effectiveness of gamification on perceived ease of use and attitude, as well as its indirect effect on consumers' continued use intentions of mobile wallets via attitude. In addition, the trust negatively influenced consumers' intentions to continue using m-wallets.Practical implicationsThe findings of this study can help researchers, practitioners and policymakers improve m-wallet design, development and adoption, as well as advance financial technology and define the future of digital payments in terms of consumer attraction, engagement and financial inclusion.Originality/valueBased on TCT theory, this study enriches m-wallet research by examining two important factors, gamification and trust, and thus provides insights into how to improve consumers' intentions to continue using m-wallets in developing countries. This study offers timely insights into theory and practice regarding these factors. It therefore paves the way for researchers and practitioners to learn how easy, enjoyable and secure the end-user experience should be to keep users engaged with m-wallets.</t>
  </si>
  <si>
    <t>[Rahman, Saleem ur] Vaasan Yliopisto, Sch Mkt &amp; Commun, Vaasa, Finland; [Nguyen-Viet, Bang] Univ Econ Ho Chi Minh City, Sch Management, Ho Chi Minh City, Vietnam; [Kamran, Sohail] Fatima Jinnah Women Univ, Dept Business Adm, Rawalpindi, Pakistan; [Kamran, Sohail] Univ Brighton, Sch Business &amp; Law, Brighton, England</t>
  </si>
  <si>
    <t>University of Economics Ho Chi Minh City; Fatima Jinnah Women University (FJWU), Rawalpindi; University of Brighton</t>
  </si>
  <si>
    <t>Rahman, SU (corresponding author), Vaasan Yliopisto, Sch Mkt &amp; Commun, Vaasa, Finland.</t>
  </si>
  <si>
    <t>imsaleemur@gmail.com</t>
  </si>
  <si>
    <t>Nguyen, Yen Thi Hoang/MHP-8814-2025; Nguyen-Viet, Bang/AAN-9013-2021</t>
  </si>
  <si>
    <t>Nguyen, Yen Thi Hoang/0000-0001-9479-4996; Kamran, Sohail/0000-0002-8263-0908; Nguyen-Viet, Bang/0000-0001-9395-1937; Rahman, Saleem ur/0000-0002-5348-9781</t>
  </si>
  <si>
    <t>10.1108/IJBM-01-2023-0033</t>
  </si>
  <si>
    <t>WOS:001150756300001</t>
  </si>
  <si>
    <t>Central bank digital currency research around the world: a review of literature</t>
  </si>
  <si>
    <t>Digital currency; Money; Central bank; Central bank digital currency; CBDC; Digital finance; Cryptocurrency; Financial inclusion; CBDC design; Blockchain; Distributed ledger technology; E42; E44; E52; E58</t>
  </si>
  <si>
    <t>Purpose The purpose of this paper is to gain some insight into central bank digital currency research by reviewing the recent advances in central bank digital currency (CBDC) research in a way that would help researchers, policy makers and practitioners to take a closer look at CBDC. Design/methodology/approach The paper uses a systematic literature review methodology. Findings The review shows a general consensus that a CBDC is a liability of the central bank and it has cash-like attributes. The review also presents the motivation and benefits of issuing a CBDC such as the need to increase financial inclusion, the need to improve the conduct of monetary policy and to foster efficient digital payments. The review also shows that many central banks are researching the potential to issue CBDCs due to its many benefits. However, a number of studies have called for caution against over-optimism about the potential benefits of CBDC due to the limiting nature of CBDC design and its inability to meet multiple competing goals. Suggested areas for future research are identified such as the need to find the optimal CBDC design that meets all competing objectives, the need for empirical evidence on the effect of CBDC on the cost of credit and financial stability, and the need to find a balance between limiting the CBDC holdings of users and allowing users to hold as much CBDC as they want, and there is a need to undertake country-specific and regional case studies of CBDC design. Originality/value This review paper offers new areas for further research in central bank digital currencies.</t>
  </si>
  <si>
    <t>[Ozili, Peterson K.] Cent Bank Nigeria, Abuja, Nigeria</t>
  </si>
  <si>
    <t>Ozili, PK (corresponding author), Cent Bank Nigeria, Abuja, Nigeria.</t>
  </si>
  <si>
    <t>MAR 2</t>
  </si>
  <si>
    <t>10.1108/JMLC-11-2021-0126</t>
  </si>
  <si>
    <t>9M9EF</t>
  </si>
  <si>
    <t>WOS:000739862300001</t>
  </si>
  <si>
    <t>Gupta, KP; Manrai, R; Goel, U</t>
  </si>
  <si>
    <t>Gupta, Kriti Priya; Manrai, Rishi; Goel, Utkarsh</t>
  </si>
  <si>
    <t>Factors influencing adoption of payments banks by Indian customers: extending UTAUT with perceived credibility</t>
  </si>
  <si>
    <t>JOURNAL OF ASIA BUSINESS STUDIES</t>
  </si>
  <si>
    <t>UTAUT; Mobile financial services; Behavioural intention; Indian unbanked customers; Payments banks</t>
  </si>
  <si>
    <t>MOBILE CREDIT CARD; INTERNET BANKING; USER ACCEPTANCE; BEHAVIORAL INTENTION; INFORMATION-TECHNOLOGY; INITIAL TRUST; CONSUMER ACCEPTANCE; ONLINE; DETERMINANTS; SERVICES</t>
  </si>
  <si>
    <t>Purpose The purpose of this paper is to investigate the factors influencing the behavioral intention to adopt payments banks services by Indian underbanked and unbanked population. Design/methodology/approach The proposed model has assimilated factors from the Unified Theory of Acceptance and Use of Technology (UTAUT) along with perceived credibility. The factors of UTAUT include performance expectancy, effort expectancy, facilitation of conditions and social influence. Apart from testing the direct relationships of the model constructs with the behavioral intention to adopt payments banks services, the study has also explored mediating and moderating effects of certain constructs. The research model has been empirically tested using 660 responses from a field survey conducted in New Delhi - the capital city of India - by using the structured equation modeling (SEM) technique. The target respondents of the study are small businessmen and migrant laborers who are either underbanked or unbanked. Findings The findings of the study reveal that the model is able to explain 67.5 per cent of the variance in behavioral intention. The results indicate that all the factors are direct determinants of behavioral intention. Perceived credibility is found to be the strongest influencer of behavioral intention. The findings also indicate that perceived credibility partially mediates the relationships between social influence and behavioral intention and performance expectancy and behavioral intention. The relationship between performance expectancy and behavioral intention is also found to be moderated by facilitating conditions and effort expectancy. Originality/value The study represents a substantial contribution to the existing knowledge regarding mobile payment channels in particular and technology acceptance area in general. In fact, this study presents a worthwhile direction by examining payments banks services, which, so far, have not been well evaluated in the Indian context. To the best of the authors' knowledge, this is an early attempt toward a holistic and integrative approach to explain adoption of payments banks in India. Although prior studies have addressed mobile banking and mobile payment adoption, the strength of this research lies in combining the UTAUT constructs with perceived credibility. This is evidenced by the high explanatory power (67.5 per cent) of the research model adopted in this study.</t>
  </si>
  <si>
    <t>[Gupta, Kriti Priya] Symbiosis Ctr Management Studies, Management Studies, Noida, Uttar Pradesh, India; [Manrai, Rishi] Symbiosis Ctr Management Studies, Noida, Uttar Pradesh, India; [Goel, Utkarsh] Indian Inst Informat Technol Allahabad, Management Studies, Allahabad, Uttar Pradesh, India</t>
  </si>
  <si>
    <t>Symbiosis International University; Symbiosis Centre for Management Studies Noida; Symbiosis International University; Symbiosis Centre for Management Studies Noida; Indian Institute of Information Technology Allahabad</t>
  </si>
  <si>
    <t>Manrai, R (corresponding author), Symbiosis Ctr Management Studies, Noida, Uttar Pradesh, India.</t>
  </si>
  <si>
    <t>rishiman7@gmail.com</t>
  </si>
  <si>
    <t>Gupta, Kriti Priya/F-9053-2019</t>
  </si>
  <si>
    <t>Gupta, Kriti Priya/0000-0001-9285-860X; Manrai, Rishi/0000-0002-7675-3354</t>
  </si>
  <si>
    <t>1558-7894</t>
  </si>
  <si>
    <t>1559-2243</t>
  </si>
  <si>
    <t>J ASIA BUS STUD</t>
  </si>
  <si>
    <t>J Asia Bus. Stud.</t>
  </si>
  <si>
    <t>MAR 21</t>
  </si>
  <si>
    <t>10.1108/JABS-07-2017-0111</t>
  </si>
  <si>
    <t>IO2XQ</t>
  </si>
  <si>
    <t>WOS:000479245500001</t>
  </si>
  <si>
    <t>Asongu, SA</t>
  </si>
  <si>
    <t>Asongu, Simplice A.</t>
  </si>
  <si>
    <t>Financial Access and Productivity Dynamics in Sub-Saharan Africa</t>
  </si>
  <si>
    <t>Economic output; financial development; Sub-Saharan Africa</t>
  </si>
  <si>
    <t>E-WALLET PROGRAM; ECONOMIC-GROWTH; SOUTH-AFRICA; INFORMATION ASYMMETRY; INEQUALITY; DETERMINANTS; TECHNOLOGY; OUTPUT; BANKS; PARTICIPATION</t>
  </si>
  <si>
    <t>The purpose of this study is to investigate whether enhancing financial access influences productivity in Sub-Saharan Africa. The research focuses on 25 countries in the region with data for the period 1980-2014. The adopted empirical strategy is the Generalised Method of Moments. The credit channel of financial access is considered and proxied by private domestic credit while four main total factor productivity (TFP) dynamics are adopted for the study, namely: TFP, real TFP, welfare TFP and real welfare TFP. It is apparent from the findings that enhancing financial access positively affects welfare TFP whereas the effect is not significant on TFP, real TFP and welfare TFP. Policy implications are discussed. The study complements the extant literature by engaging hitherto unemployed dynamics of TFP in Sub-Saharan Africa.</t>
  </si>
  <si>
    <t>[Asongu, Simplice A.] African Governance &amp; Dev Inst, Res Dept, POB 8413, Yaounde, Cameroon</t>
  </si>
  <si>
    <t>African Governance &amp; Development Institute</t>
  </si>
  <si>
    <t>Asongu, SA (corresponding author), African Governance &amp; Dev Inst, Res Dept, POB 8413, Yaounde, Cameroon.</t>
  </si>
  <si>
    <t>Simplice, Asongu/K-3436-2014</t>
  </si>
  <si>
    <t>SEP 9</t>
  </si>
  <si>
    <t>10.1080/01900692.2019.1664570</t>
  </si>
  <si>
    <t>MZ7GP</t>
  </si>
  <si>
    <t>WOS:000559296100002</t>
  </si>
  <si>
    <t>Asongu, SA; Biekpe, N; Cassimon, D</t>
  </si>
  <si>
    <t>Asongu, Simplice A.; Biekpe, Nicholas; Cassimon, Danny</t>
  </si>
  <si>
    <t>On the diffusion of mobile phone innovations for financial inclusion</t>
  </si>
  <si>
    <t>SMALLHOLDER MAIZE FARMERS; E-WALLET PROGRAM; GOVERNANCE; BANKING; GROWTH; REPLICATION; ADOPTION; ICT; INEQUALITY; EDUCATION</t>
  </si>
  <si>
    <t>This article investigates nexuses between innovations in mobile money and financial inclusion. Demand and supply factors that affect the diffusion of mobile services as well as macro-level institutional and economic factors are taken in account. The focus is on 148 countries with data mostly consisting of 2010-2014 averages. The empirical evidence is based on Tobit regressions. The study finds that when the empirical analysis is robust to multicollinearity, two main tendencies are apparent: the significant findings of Lashitew et al. (2019) [1] are confirmed and many new significant estimated coefficients emerge. While this study confirms the findings of the underlying research, it also goes further to improve the harmony in narratives between the predictors and the outcome variables. Accordingly, by accounting for multicollinearity, the earlier findings are now more consistent across the set of predictors (i.e. demand and supply factors) and the attendant financial inclusion outcomes (i.e. mobile money accounts, mobile used to send money and mobile used to receive money).</t>
  </si>
  <si>
    <t>[Asongu, Simplice A.] Univ South Africa, Dept Econ, UNISA, POB 392, ZA-0003 Pretoria, South Africa; [Biekpe, Nicholas] Univ Cape Town, Grad Sch Business, Dev Finance Ctr, Cape Town, South Africa; [Cassimon, Danny] Univ Antwerp, Inst Dev Policy Stadscampus, Lange Sint Annastr 7, B-2000 Antwerp, Belgium</t>
  </si>
  <si>
    <t>University of South Africa; University of Cape Town; University of Antwerp</t>
  </si>
  <si>
    <t>asongusimplice@yahoo.com; nicholas.biekpe@gsb.uct.ac.za; danny.cassimon@uantwerpen.be</t>
  </si>
  <si>
    <t>Asongu, Simplice/K-3436-2014; Biekpe, Prof Nicholas/AHB-9529-2022; Cassimon, Danny/D-8609-2016</t>
  </si>
  <si>
    <t>Cassimon, Danny/0000-0002-0460-3488</t>
  </si>
  <si>
    <t>10.1016/j.techsoc.2021.101542</t>
  </si>
  <si>
    <t>FEB 2021</t>
  </si>
  <si>
    <t>SR5YB</t>
  </si>
  <si>
    <t>WOS:000661118100018</t>
  </si>
  <si>
    <t>Yu, L; Wu, ZW; Cai, TC; Liu, ZQ; Zhang, ZQ; Gu, LH; Zeng, XD; Gu, JJ</t>
  </si>
  <si>
    <t>Assoc Advancement Artificial Intelligence</t>
  </si>
  <si>
    <t>Yu, Li; Wu, Zhengwei; Cai, Tianchi; Liu, Ziqi; Zhang, Zhiqiang; Gu, Lihong; Zeng, Xiaodong; Gu, Jinjie</t>
  </si>
  <si>
    <t>Joint Incentive Optimization of Customer and Merchant in Mobile Payment Marketing</t>
  </si>
  <si>
    <t>THIRTY-FIFTH AAAI CONFERENCE ON ARTIFICIAL INTELLIGENCE, THIRTY-THIRD CONFERENCE ON INNOVATIVE APPLICATIONS OF ARTIFICIAL INTELLIGENCE AND THE ELEVENTH SYMPOSIUM ON EDUCATIONAL ADVANCES IN ARTIFICIAL INTELLIGENCE</t>
  </si>
  <si>
    <t>AAAI Conference on Artificial Intelligence</t>
  </si>
  <si>
    <t>35th AAAI Conference on Artificial Intelligence / 33rd Conference on Innovative Applications of Artificial Intelligence / 11th Symposium on Educational Advances in Artificial Intelligence</t>
  </si>
  <si>
    <t>FEB 02-09, 2021</t>
  </si>
  <si>
    <t>NEURAL-NETWORKS</t>
  </si>
  <si>
    <t>In the mobile Internet era, mobile payment service becomes the foundation of inclusive finance, which brings convenience and security to people. Various marketing strategies are designed to encourage mobile payment activities by allocating incentives such as coupons or commissions to customers or merchants. We summary two significant issues. First, there is a phenomenon of mutual influence between merchants and customers, i.e., bipartite influence issue, thus making the independent optimization of customers and merchants non-optimal. Second, the redemptions of coupons are partially observed, as we can only observe that the customer redeems the coupon or not at a specific incentive value, but cannot observe that at other incentive value, i.e., data censorship issue. In this paper, we propose a novel joint incentive optimization framework to address the above two issues. We propose to use a graph neural network to represent customers and merchants jointly by modeling the underlying bipartite influences. We then formulate the response model under the hazard regression setting and model the hazard rate with a piecewise nonlinear function to capture the changes of responses to different incentive values. Finally, we propose a linear programming method to allocate approximated optimal incentive values to customers and merchants in real-time. Extensive offline and online experimental results demonstrate the effectiveness of our proposed approach.</t>
  </si>
  <si>
    <t>[Yu, Li; Wu, Zhengwei; Cai, Tianchi; Liu, Ziqi; Zhang, Zhiqiang; Gu, Lihong; Zeng, Xiaodong; Gu, Jinjie] Ant Grp, Hangzhou, Zhejiang, Peoples R China</t>
  </si>
  <si>
    <t>Ant Group</t>
  </si>
  <si>
    <t>Yu, L (corresponding author), Ant Grp, Hangzhou, Zhejiang, Peoples R China.</t>
  </si>
  <si>
    <t>jinli.yl@antgroup.com; zejun.wzw@antgroup.com; tianchi.ctc@antgroup.com; ziqiliu@antgroup.com; lingyao.zzq@antgroup.com; lihong.glh@antgroup.com; xiaodong.zxd@antgroup.com; jinjie.gujj@antgroup.com</t>
  </si>
  <si>
    <t>Zeng, Xiaodong/AAC-8674-2020</t>
  </si>
  <si>
    <t>ASSOC ADVANCEMENT ARTIFICIAL INTELLIGENCE</t>
  </si>
  <si>
    <t>2275 E BAYSHORE RD, STE 160, PALO ALTO, CA 94303 USA</t>
  </si>
  <si>
    <t>2159-5399</t>
  </si>
  <si>
    <t>2374-3468</t>
  </si>
  <si>
    <t>978-1-57735-866-4</t>
  </si>
  <si>
    <t>AAAI CONF ARTIF INTE</t>
  </si>
  <si>
    <t>Computer Science, Artificial Intelligence; Computer Science, Interdisciplinary Applications; Education, Scientific Disciplines</t>
  </si>
  <si>
    <t>Computer Science; Education &amp; Educational Research</t>
  </si>
  <si>
    <t>BS0DR</t>
  </si>
  <si>
    <t>WOS:000681269806077</t>
  </si>
  <si>
    <t>Elouaourti, Z; Ibourk, A</t>
  </si>
  <si>
    <t>Elouaourti, Zakaria; Ibourk, Aomar</t>
  </si>
  <si>
    <t>Unveiling the drivers of Africa's digital financial inclusion journey</t>
  </si>
  <si>
    <t>Africa; digital financial inclusion; IV probit model; microlevel data</t>
  </si>
  <si>
    <t>This study aimed to unveil the evolving landscape of digital financial inclusion in African countries during the post-COVID-19 era. We examined factors influencing the access and usage of digital financial services and identified population segments facing increased exclusion due to the digital divide. First, by applying principal component analysis to data collected at the country level from 39 African countries in 2014, 2017, and 2022, we developed a digital financial inclusion index. Second, the empirical research utilized a microlevel dataset of 29,042 adults from 29 countries, sourced from the World Bank's Global Findex 2021 database, employing the instrumental variable probit methodology. Comparative analysis showed improvements in digital financial inclusion rankings for Kenya, Lesotho, and Botswana, while Egypt, Sudan, Tunisia, and Niger experienced declines, indicating limited access. Our empirical findings suggest that certain groups, such as women and individuals with limited education and lower incomes, encounter obstacles in accessing digital financial services. Factors such as education level, labor market participation and access to technology and internet infrastructure emerged as crucial in promoting digital financial inclusion. Our sample's representative nature enhances the study's practical implications, guiding public policies and international institutions to accelerate digital financial inclusion in Africa.</t>
  </si>
  <si>
    <t>[Elouaourti, Zakaria] Mohammed V Univ, Fac Law &amp; Econ, Dept Econ, Res Lab Appl Econ, Rabat, Morocco; [Ibourk, Aomar] Cadi Ayyad Univ, Res Lab Social &amp; Solidar Econ Governance &amp; Dev, Marrakech, Morocco; [Ibourk, Aomar] Mohammed VI Polytech Univ, Afr Inst Res Econ &amp; Social Sci, Rabat, Morocco; [Ibourk, Aomar] Policy Ctr New South, Rabat, Morocco</t>
  </si>
  <si>
    <t>Mohammed V University in Rabat; Cadi Ayyad University of Marrakech; Mohammed VI Polytechnic University</t>
  </si>
  <si>
    <t>Elouaourti, Z (corresponding author), Mohammed V Univ, Fac Law &amp; Econ, Dept Econ, Res Lab Appl Econ, Rabat, Morocco.</t>
  </si>
  <si>
    <t>zakariaelouaourti@gmail.com</t>
  </si>
  <si>
    <t>ELOUAOURTI, Zakaria/ABE-4789-2021</t>
  </si>
  <si>
    <t>ELOUAOURTI, Zakaria/0000-0001-6986-3849; Ibourk, Aomar/0000-0002-3066-8138</t>
  </si>
  <si>
    <t>10.1111/1467-8268.12733</t>
  </si>
  <si>
    <t>KI4K4</t>
  </si>
  <si>
    <t>WOS:001148334100001</t>
  </si>
  <si>
    <t>Espinoza, FXD; de Valgas, DGAF</t>
  </si>
  <si>
    <t>Espinoza, Francisco Xavier Duenas; de Valgas, Diana Gardenia Alcivar Flores</t>
  </si>
  <si>
    <t>Financial Inclusion in artisanal businesses: a look from the Global Findex Index</t>
  </si>
  <si>
    <t>REVISTA SAN GREGORIO</t>
  </si>
  <si>
    <t>Financial inclusi &amp; oacute;n; artisans; Global Findex Index; financial education</t>
  </si>
  <si>
    <t>Financial inclusion seeks to ensure that all people or organizations, regardless of their economic situation or geographic location, have access to basic financial services. In this context, this study aims to analyze financial inclusion (FI) in artisanal businesses in the Montecristi canton, Ecuador, using the Findex Global Index as a reference framework. Surveys were conducted among local artisans to determine the penetration and use of various financial services, such as savings accounts, digital means of collection and payment, credit and insurance. The results show a high rate of savings account ownership, which suggests good penetration of these basic services; However, low utilization of insurance and credit was identified, indicating a significant gap in financial protection and access to formal financing. The perception of artisans about the importance of transactionality and savings products highlights the need to improve financial education and infrastructure to optimize the use of these services.</t>
  </si>
  <si>
    <t>[Espinoza, Francisco Xavier Duenas] Univ San Gregorio Portoviejo, Portoviejo, Ecuador; [de Valgas, Diana Gardenia Alcivar Flores] Direcc Dist Educ Portoviejo, Portoviejo, Ecuador</t>
  </si>
  <si>
    <t>Universidad San Gregorio de Portoviejo USGP</t>
  </si>
  <si>
    <t>Espinoza, FXD (corresponding author), Univ San Gregorio Portoviejo, Portoviejo, Ecuador.</t>
  </si>
  <si>
    <t>UNIV SAN GREGORIO PORTOVIEJO</t>
  </si>
  <si>
    <t>PORTOVIEJO</t>
  </si>
  <si>
    <t>AVENIDA METROPOLITANA NO 2005 &amp; AVE OLIMPIC, PORTOVIEJO, MANABI 130105, ECUADOR</t>
  </si>
  <si>
    <t>1390-7247</t>
  </si>
  <si>
    <t>2528-7907</t>
  </si>
  <si>
    <t>REV SAN GREGORIO</t>
  </si>
  <si>
    <t>Rev. San Gregorio</t>
  </si>
  <si>
    <t>10.36097/rsan.v1i59.2911</t>
  </si>
  <si>
    <t>O1S5G</t>
  </si>
  <si>
    <t>WOS:001369011100003</t>
  </si>
  <si>
    <t>Eka, PI</t>
  </si>
  <si>
    <t>Eka, Pratiwi Ira</t>
  </si>
  <si>
    <t>FINANCIAL INCLUSION IN INDONESIA: DOES EDUCATION MATTER?</t>
  </si>
  <si>
    <t>financial inclusion; education; Indonesia</t>
  </si>
  <si>
    <t>LITERACY; ACCESS</t>
  </si>
  <si>
    <t>This study attempts to examine education as a critical proxy for financial inclusion in Indonesia using the Global Findex 2017 database from the World Bank survey. The results showed low financial inclusion in Indonesia, indicated by the low score of the financial inclusion index. Further analysis also suggests that education attainment significantly affects financial inclusion, whose indicators include the financial inclusion index (FII), account ownership, mobile or internet banking, and borrowing from financial institutions in the past 12 months. These four indicators show that financial inclusion increases with education. The findings confirm that highly educated people are considered financially included, and the great difference in educational level may create a significant gap in financial inclusion. Therefore, more people should attain higher education to increase financial inclusion and contribute to national development.</t>
  </si>
  <si>
    <t>[Eka, Pratiwi Ira] Kyung Hee Univ, Grad Sch Pan Pacific, Int Dev &amp; Cooperat, Seoul, South Korea</t>
  </si>
  <si>
    <t>Kyung Hee University</t>
  </si>
  <si>
    <t>Eka, PI (corresponding author), Kyung Hee Univ, Grad Sch Pan Pacific, Int Dev &amp; Cooperat, Seoul, South Korea.</t>
  </si>
  <si>
    <t>pratiwi.iraeka@khu.ac.kr</t>
  </si>
  <si>
    <t>Pratiwi, Ira/OYE-8325-2025</t>
  </si>
  <si>
    <t>10.14254/2071-789X.2023/16-2/16</t>
  </si>
  <si>
    <t>L6BU2</t>
  </si>
  <si>
    <t>WOS:001024105500015</t>
  </si>
  <si>
    <t>Güz, T; Poyraz, G</t>
  </si>
  <si>
    <t>Guz, Tugba; Poyraz, Gulden</t>
  </si>
  <si>
    <t>DIGITAL FINANCIAL INCLUSION AND ITS DETERMINANTS: EVI DENCE FROM TÜRKİYE</t>
  </si>
  <si>
    <t>EKONOMI POLITIKA &amp; FINANS ARASTIRMALARI DERGISI</t>
  </si>
  <si>
    <t>Digital; Financial; Inclusion; Technologies; Finance; Banking; Sector</t>
  </si>
  <si>
    <t>Facilitating participation in the financial system through digital technologies became important to identify the determinants of Digital Financial Inclusion (DFI). In this context, the study aims to examine the use and accessibility of DFI and measure it specifically for T &amp; uuml;rkiye. The data is divided into two categories: demographic variables (gender, age, income, and education level) and variables related to DFI (account ownership, ownership of mobile money account, saving, and borrowing) and was compiled from the Global Findex Database 2021. AConsidering the binary structure of the dependent variable, the probit model was used in the study. Although our model findings indicate that demographic characteristics such as gender, education, and income have a significant effect on account ownership and savings, when marginal effects are taken into account, education is the strongest determinant of DFI. Regarding the income level, the coefficient estimates for the four income quintiles were found statistically significant. However, for lower-income quintiles, particularly the poorest 20 percent and the second 20 percent, the probability of being financially included was found to be significantly lower. When all variables are taken into consideration, women are more financially excluded than men, and there is significant gender inequality, especially in terms of account ownership.</t>
  </si>
  <si>
    <t>[Guz, Tugba] Istanbul Yeni Yuzyil Univ, Fac Hlth Sci, Dept Healthcare, Istanbul, Turkiye; [Poyraz, Gulden] Bandirma Onyedi Eylul Univ, Dept Foreign Trade, Bandirma, Turkiye</t>
  </si>
  <si>
    <t>Istanbul Yeni Yuzyil University; Bandirma Onyedi Eylul University</t>
  </si>
  <si>
    <t>Güz, T (corresponding author), Istanbul Yeni Yuzyil Univ, Fac Hlth Sci, Dept Healthcare, Istanbul, Turkiye.</t>
  </si>
  <si>
    <t>tugbaguz@gmail.com; poyrazgulden06@gmail.com</t>
  </si>
  <si>
    <t>poyraz, gulden/0000-0002-8324-6270</t>
  </si>
  <si>
    <t>Economic and Financial Research Assoc - EFAD</t>
  </si>
  <si>
    <t>Ankara</t>
  </si>
  <si>
    <t>100 Yil Mahallesi, Nenehatun Caddesi 42/2, Ankara, Turkiye</t>
  </si>
  <si>
    <t>2587-151X</t>
  </si>
  <si>
    <t>EKON POLIT FINANS AR</t>
  </si>
  <si>
    <t>Ekon. Polit. Finans. Arastirmalari Derg.</t>
  </si>
  <si>
    <t>10.30784/epfad.1517200</t>
  </si>
  <si>
    <t>R3I0X</t>
  </si>
  <si>
    <t>WOS:001390416100004</t>
  </si>
  <si>
    <t>Wamba-Taguimdje, SL; Kamdjoug, JRK</t>
  </si>
  <si>
    <t>Wamba-Taguimdje, Serge-Lopez; Kamdjoug, Jean Robert Kala</t>
  </si>
  <si>
    <t>Mobile payments and money technologies in sustainable development: a systematic literature review and computer-assisted interpretive analysis</t>
  </si>
  <si>
    <t>Mobile money; mobile payments; ICT4D; sustainable development goals; systematic literature review; LDA</t>
  </si>
  <si>
    <t>FINANCIAL INCLUSION; MICRO-ENTREPRENEURS; ADOPTION; SERVICES; COLLABORATION; INFORMATION; COMPETITION; ACCEPTANCE; MANAGEMENT; INNOVATION</t>
  </si>
  <si>
    <t>Mobile Money (MM) and Mobile Payments (MP) have become levers of growth. They drive economic, social, and Sustainable Development (SD). Despite the rich literature on MM and MP, we need more synthesis that cover their contributions as forms of Information and Communications Technologies for Development (ICT4D). We explored MM/MP as ICT4D through a systematic literature review coupled with a Latent Dirichlet Allocation (LDA) approach. The data analyses revealed that publications have increased significantly since 2018. Financial inclusion is the most studied area. It's studied for its contribution to SD. We also need to study these technologies' effects on SD. This includes their effects on society and the environment. We propose a research agenda regarding these technologies at individual, organizational, country, regional, and global levels of analysis. It can help to find how these ICT4D improve people's lives and foster sustainable development.</t>
  </si>
  <si>
    <t>[Wamba-Taguimdje, Serge-Lopez] Univ Cote Azur, Grp Rech Droit Econ Gest GREDEG, 28 Ave Valrose, F-06103 Nice 2, France; [Kamdjoug, Jean Robert Kala] ESSCA Sch Management, Paris, France</t>
  </si>
  <si>
    <t>Universite Cote d'Azur; ESSCA School of Management</t>
  </si>
  <si>
    <t>Wamba-Taguimdje, SL (corresponding author), Univ Cote Azur, Grp Rech Droit Econ Gest GREDEG, 28 Ave Valrose, F-06103 Nice 2, France.</t>
  </si>
  <si>
    <t>serge-lopez.wamba-taguimdje@etu.univ-cotedazur.fr</t>
  </si>
  <si>
    <t>Robert, Kala/Z-4688-2019</t>
  </si>
  <si>
    <t>Wamba-Taguije, Serge-Lopez/0000-0002-4493-4695</t>
  </si>
  <si>
    <t>Dear Reviewers and Editor, we would like to express our sincere thanks for the time and effort you have devoted to reviewing this article. Your comments and suggestions were precious in improving the quality and clarity of our work. We are grateful for your expertise and commitment to academic excellence, which have greatly enhanced the rigor and relevance of our research.</t>
  </si>
  <si>
    <t>10.1080/02681102.2024.2377279</t>
  </si>
  <si>
    <t>1XL9O</t>
  </si>
  <si>
    <t>WOS:001271386300001</t>
  </si>
  <si>
    <t>Demir, A; Pesqué-Cela, V; Altunbas, Y; Murinde, V</t>
  </si>
  <si>
    <t>Demir, Ayse; Pesque-Cela, Vanesa; Altunbas, Yener; Murinde, Victor</t>
  </si>
  <si>
    <t>Fintech, financial inclusion and income inequality: a quantile regression approach</t>
  </si>
  <si>
    <t>EUROPEAN JOURNAL OF FINANCE</t>
  </si>
  <si>
    <t>FinTech; financial inclusion; income inequality; quantile regression</t>
  </si>
  <si>
    <t>MICROFINANCE EVIDENCE; ECONOMIC-DEVELOPMENT; MICROCREDIT EVIDENCE; MOBILE TELEPHONY; LONG-RUN; IMPACTS; SAVINGS; POVERTY; ICT; CONSUMPTION</t>
  </si>
  <si>
    <t>Although theory suggests that financial market imperfections - mainly information asymmetries, market segmentation and transaction costs - prevent poor people from escaping poverty by limiting their access to formal financial services, new financial technologies (FinTech) are seen as key enablers of financial inclusion. Indeed, the UN 2030 Agenda for Sustainable Development (UN-2030-ASD) and the G20 High-Level Principles for Digital Financial Inclusion (G20-HLP-DFI) highlight the importance of harnessing the potential of FinTech to reduce financial exclusion and income inequality. This paper investigates the interrelationship between FinTech, financial inclusion and income inequality for a panel of 140 countries using the Global Findex waves of survey data for 2011, 2014 and 2017. We posit that FinTech affects inequality directly and indirectly through financial inclusion. We invoke quantile regression analysis to investigate whether such effects differ across countries with different levels of income inequality. We uncover new evidence that financial inclusion is a key channel through which FinTech reduces income inequality. We also find that while financial inclusion significantly reduces inequality at all quantiles of the inequality distribution, these effects are primarily associated with higher-income countries. Overall, our results support the aspirations of the UN-2030-ASD and G20-HLP-DFI.</t>
  </si>
  <si>
    <t>[Demir, Ayse; Pesque-Cela, Vanesa; Murinde, Victor] SOAS Univ London, Sch Finance &amp; Management, London, England; [Pesque-Cela, Vanesa] Stockholm Sch Econ, SCERI, Stockholm, Sweden; [Altunbas, Yener] Bangor Univ, Bangor Business Sch, Bangor, Gwynedd, Wales</t>
  </si>
  <si>
    <t>University of London; University of London School Oriental &amp; African Studies (SOAS); Stockholm School of Economics; Bangor University</t>
  </si>
  <si>
    <t>Pesqué-Cela, V (corresponding author), SOAS Univ London, Sch Finance &amp; Management, London, England.;Pesqué-Cela, V (corresponding author), Stockholm Sch Econ, SCERI, Stockholm, Sweden.</t>
  </si>
  <si>
    <t>vc6@soas.ac.uk</t>
  </si>
  <si>
    <t>Murinde, Victor/0000-0003-4113-5860</t>
  </si>
  <si>
    <t>ESRC-NSFC [ES/P005241/1]; DFID-ESRC [ES/N013344/2]; AXA Research Fund; Department for International Development; Economic and Social Research Council; Economic and Social Research Council [ES/N013344/1, ES/N013344/2] Funding Source: researchfish; ESRC [ES/P005241/2, ES/N013344/1, ES/P005241/1, ES/N013344/2] Funding Source: UKRI</t>
  </si>
  <si>
    <t>ESRC-NSFC(UK Research &amp; Innovation (UKRI)Economic &amp; Social Research Council (ESRC)); DFID-ESRC(UK Research &amp; Innovation (UKRI)Economic &amp; Social Research Council (ESRC)); AXA Research Fund(AXA Research Fund); Department for International Development; Economic and Social Research Council(UK Research &amp; Innovation (UKRI)Economic &amp; Social Research Council (ESRC)); Economic and Social Research Council(UK Research &amp; Innovation (UKRI)Economic &amp; Social Research Council (ESRC)); ESRC(UK Research &amp; Innovation (UKRI)Economic &amp; Social Research Council (ESRC))</t>
  </si>
  <si>
    <t>We acknowledge financial support from the ESRC-NSFC [ES/P005241/1] Research Grant on 'Developing financial systems to support sustainable growth in China - The role of innovation, diversity and financial regulation', the DFID-ESRC [ES/N013344/2] Research Grant on 'Delivering Inclusive Financial Development and Growth' under the Growth Research Programme (DEGRP) Call 3, and the AXA Research Fund; Department for International Development; Economic and Social Research Council.</t>
  </si>
  <si>
    <t>1351-847X</t>
  </si>
  <si>
    <t>1466-4364</t>
  </si>
  <si>
    <t>EUR J FINANC</t>
  </si>
  <si>
    <t>Eur. J. Financ.</t>
  </si>
  <si>
    <t>10.1080/1351847X.2020.1772335</t>
  </si>
  <si>
    <t>0S6ZO</t>
  </si>
  <si>
    <t>WOS:000541982200001</t>
  </si>
  <si>
    <t>Sinha, GR; Mehta, RC; Kaittila, A; Viitasalo, K</t>
  </si>
  <si>
    <t>Sinha, Gaurav R.; Mehta, Raj Chirag; Kaittila, Anniina; Viitasalo, Katri</t>
  </si>
  <si>
    <t>Factors and patterns in mobile banking and payment services use in the United States</t>
  </si>
  <si>
    <t>Financial services; Mobile banking; Mobile payments; Consumer behavior; Financial technology</t>
  </si>
  <si>
    <t>TECHNOLOGY ACCEPTANCE MODEL; BEHAVIORS; USAGE</t>
  </si>
  <si>
    <t>This study seeks to identify factors and patterns affecting mobile banking and payment services use in the US. We used data from the National Financial Capacity Study, a triennial survey assessing the financial capabilities of U.S. adults. The survey was conducted between June and October 2021 using non-probability quota sampling from established online panels that recruit millions of participants for survey research, yielding a sample of over 25,000 respondents. For this study, we analyzed a subset of 20,758 respondents who provided a positive response to the main question of interest on mobile banking and payments. Using quantitative approaches, we first examined associations between financial knowledge, behaviors, and mobile banking and payment services use. Higher objective financial literacy was associated with lower mobile banking use, while subjective financial literacy and positive financial behaviors increased the likelihood of use. We then used latent class analysis to identify three distinct user groups with varying financial behaviors and mobile banking and payment services use patterns. Class 1 represents users with high financial behaviors and low MBPS users (45.4%), class 2 involves users who are low on financial behaviors and moderate MBPS users, and class 3 includes mixed financial behaviors and high MBPS users (19.7%). Our findings contribute to the literature by showing behavioral heterogeneity among mobile banking and payment services users; insights which can help policymakers, financial institutions, and service providers seeking to improve financial services access and promote financial inclusion.</t>
  </si>
  <si>
    <t>[Sinha, Gaurav R.] Univ Georgia, 279 Williams St, Athens, GA 30605 USA; [Mehta, Raj Chirag] Georgia Inst Technol, Coll Comp, 801 Atlantic Dr NW, Atlanta, GA 30332 USA; [Kaittila, Anniina] Univ Turku, Dept Social Res, Turku 20014, Finland; [Viitasalo, Katri] Univ Helsinki, Dept Social Work, Helsinki, Finland</t>
  </si>
  <si>
    <t>University System of Georgia; University of Georgia; University System of Georgia; Georgia Institute of Technology; University of Turku; University of Helsinki</t>
  </si>
  <si>
    <t>Sinha, GR (corresponding author), Univ Georgia, 279 Williams St, Athens, GA 30605 USA.</t>
  </si>
  <si>
    <t>grsinha@uga.edu; rajmehta@gatech.edu; anniina.kaittila@utu.fi; katri.viitasalo@helsinki.fi</t>
  </si>
  <si>
    <t>Sinha, Gaurav R/HJP-1105-2023</t>
  </si>
  <si>
    <t>Viitasalo, Katri/0000-0001-9216-2506; Kaittila, Anniina/0000-0001-8322-3688</t>
  </si>
  <si>
    <t>OCT 10</t>
  </si>
  <si>
    <t>10.1057/s41264-025-00319-6</t>
  </si>
  <si>
    <t>8KJ2R</t>
  </si>
  <si>
    <t>WOS:001590747300001</t>
  </si>
  <si>
    <t>Lemberg-Pedersen, M; Haioty, E</t>
  </si>
  <si>
    <t>Lemberg-Pedersen, Martin; Haioty, Eman</t>
  </si>
  <si>
    <t>Re-assembling the surveillable refugee body in the era of data-craving</t>
  </si>
  <si>
    <t>CITIZENSHIP STUDIES</t>
  </si>
  <si>
    <t>Biometrics; humanitarianism; the unbanked; displacement data; surveillance capitalism; UNHCR; Accenture; World Bank Group</t>
  </si>
  <si>
    <t>HUMANITARIAN; POLITICS; INFRASTRUCTURE; TECHNOLOGY; QUESTION; DESIGN</t>
  </si>
  <si>
    <t>This article traces the travel of biometric data of Syrian refugees in Jordan through a hastily evolving political economy characterized by a pervasive craving for the extraction, storage and brokering of displacement data. It analyzes iris-enrollment as problematic acts of quasi-citizenship for the displaced requiring the performance of social and economic docility in order to attain identity, cash and service provision. Quasi-objects in the form of digital footprints are fashioned through infrastructures that simultaneously seek to model, yet fail to capture, socioeconomic existence in displacement contexts. Discourses of anti-fraud, donor dictates, upward accountability and strategies of financial inclusion of 'the unbanked', facilitate the marketization of the creation of data-doubles in laboratories of displacement and loopholes for externalization. Driven by increasingly blurred lines between technological, humanitarian and financial interests, this development has transformative effects on both those displaced, and on a humanitarian sector tasked with safeguarding their rights.</t>
  </si>
  <si>
    <t>[Lemberg-Pedersen, Martin] Aalborg Univ, Dept Polit Sci, Global Refugee Studies, Copenhagen, Denmark</t>
  </si>
  <si>
    <t>Aalborg University</t>
  </si>
  <si>
    <t>Lemberg-Pedersen, M (corresponding author), Aalborg Univ, Dept Polit Sci, Global Refugee Studies, Copenhagen, Denmark.</t>
  </si>
  <si>
    <t>lemberg@dps.aau.dk</t>
  </si>
  <si>
    <t>Det Frie Forskningsrad [DFF - 6107-00393]</t>
  </si>
  <si>
    <t>Det Frie Forskningsrad(Det Frie Forskningsrad (DFF))</t>
  </si>
  <si>
    <t>Part of this work was supported by Det Frie Forskningsrad: [grant number DFF - 6107-00393].</t>
  </si>
  <si>
    <t>1362-1025</t>
  </si>
  <si>
    <t>1469-3593</t>
  </si>
  <si>
    <t>CITIZENSHIP STUD</t>
  </si>
  <si>
    <t>Citizensh. Stud.</t>
  </si>
  <si>
    <t>10.1080/13621025.2020.1784641</t>
  </si>
  <si>
    <t>MK9FF</t>
  </si>
  <si>
    <t>WOS:000547395100001</t>
  </si>
  <si>
    <t>Lee, DKC; Yan, L; Wang, Y</t>
  </si>
  <si>
    <t>Lee, David Kuo Chuen; Yan, Li; Wang, Yu</t>
  </si>
  <si>
    <t>A global perspective on central bank digital currency</t>
  </si>
  <si>
    <t>Central Bank Digital Currency (CBDC); Digital Currency Electronic Payment (DCEP); Cryptocurrency; Distributed Ledger Technology; Token; Inclusive Finance</t>
  </si>
  <si>
    <t>This paper discusses the key considerations of CBDC design to balance benefits and risks and presents best practices in CBDC design from a global perspective. Using China's CBDC as an illustration, this paper discusses two-tier or multi-tier ledger design and proposes ten enablers of mass adoption and successful implementation. This proposed design allows central banks to manage the process flow, focus on the monitoring and control, without bearing all the load or exposing to over-centralized risks. It concludes that CBDC will be the primary tool in the future digital economy, and countries that are conversant with the technology will have a competitive advantage. Learning from the implementation, continuously reviewing the existing regulation, and improvising whenever international dynamics change the landscape are vital attributes of a successful implementation.</t>
  </si>
  <si>
    <t>[Lee, David Kuo Chuen; Wang, Yu] Singapore Univ Social Sci SUSS, Singapore, Singapore; [Lee, David Kuo Chuen] Shanghai Univ Finance &amp; Econ, Shanghai, Peoples R China; [Lee, David Kuo Chuen] Natl Univ Singapore, Business SUSS, Singapore, Singapore; [Yan, Li] Nanyang Technol Univ NTU, Nanyang Business Sch NBS, Singapore, Singapore</t>
  </si>
  <si>
    <t>Singapore University of Social Sciences (SUSS); Shanghai University of Finance &amp; Economics; National University of Singapore; Nanyang Technological University</t>
  </si>
  <si>
    <t>Lee, DKC (corresponding author), Singapore Univ Social Sci SUSS, Singapore, Singapore.;Lee, DKC (corresponding author), Shanghai Univ Finance &amp; Econ, Shanghai, Peoples R China.;Lee, DKC (corresponding author), Natl Univ Singapore, Singapore, Singapore.</t>
  </si>
  <si>
    <t>davidleekc@suss.edu.sg</t>
  </si>
  <si>
    <t>10.1080/17538963.2020.1870279</t>
  </si>
  <si>
    <t>JAN 2021</t>
  </si>
  <si>
    <t>RO8PF</t>
  </si>
  <si>
    <t>WOS:000610586000001</t>
  </si>
  <si>
    <t>Arauz, A; Garratt, R; Ramos, FDF</t>
  </si>
  <si>
    <t>Arauz, Andres; Garratt, Rodney; Ramos, F. Diego F.</t>
  </si>
  <si>
    <t>Dinero Electrónico: The rise and fall of Ecuador's central bank digital currency</t>
  </si>
  <si>
    <t>LATIN AMERICAN JOURNAL OF CENTRAL BANKING</t>
  </si>
  <si>
    <t>TECHNOLOGY ADOPTION</t>
  </si>
  <si>
    <t>Dinero Electr &amp; oacute;nico was a mobile payment system developed by the Banco Central del Ecuador that allowed citizens to transfer USD balances in real-time from person to person using basic cell phones. The program operated between 2014 and 2018. Key drivers of the program were increasing financial inclusion and reducing the need for the central bank to hold and distribute large quantities of USD notes. We discuss reasons why the program was ultimately discontinued, including opposition to the program from private banks, and outline lessons learned.</t>
  </si>
  <si>
    <t>[Arauz, Andres] Univ Nacl Autonoma Mexico, Fac Econ, Div Estudios Posgrad, Mexico City, Mexico; [Garratt, Rodney] Univ Calif Santa Barbara, Santa Barbara, CA 93106 USA; [Ramos, F. Diego F.] Escuela Politecn Ejercito ESPE, Dept Ciencias Econ Adm &amp; Comercio, Sangolqui, Ecuador</t>
  </si>
  <si>
    <t>Universidad Nacional Autonoma de Mexico; University of California System; University of California Santa Barbara; Escuela Politecnica Superior del Ejercito</t>
  </si>
  <si>
    <t>Garratt, R (corresponding author), Univ Calif Santa Barbara, Santa Barbara, CA 93106 USA.</t>
  </si>
  <si>
    <t>andres.arauz@comunidad.unam.mx; garratt@ucsb.edu; dframos5@espe.edu.ec</t>
  </si>
  <si>
    <t>Arauz, Andrés/0000-0003-2261-2035; Ramos Flor, Diego Fernando/0000-0002-4235-5091</t>
  </si>
  <si>
    <t>2666-1438</t>
  </si>
  <si>
    <t>LAT AM J CENT BANK</t>
  </si>
  <si>
    <t>Lat. Am. J. Cent. Bank.</t>
  </si>
  <si>
    <t>10.1016/j.latcb.2021.100030</t>
  </si>
  <si>
    <t>J3O9E</t>
  </si>
  <si>
    <t>WOS:001336200200003</t>
  </si>
  <si>
    <t>Akeju, KF</t>
  </si>
  <si>
    <t>Akeju, Kemi Funlayo</t>
  </si>
  <si>
    <t>Household financial behaviour: the role of financial inclusion instruments in Nigeria</t>
  </si>
  <si>
    <t>Financial inclusion; household savings; borrowing; emergency fund; global Findex</t>
  </si>
  <si>
    <t>MOBILE MONEY; SAVINGS; IMPACTS</t>
  </si>
  <si>
    <t>The importance of financial inclusion is emphasised in the Sustainable Development Goal 2030. This paper investigates the role of financial inclusion on household savings and borrowing behaviour towards building resilience against predicted and unforeseen life events in Nigeria. Using the World Bank Financial Inclusion Survey 2017 (Findex) household data, key drivers of financial inclusion were considered and findings revealed the importance of financial inclusion in encouraging saving consciousness. Result reveals that the average probability of saving is 29.3% which is lower than that of 30.8% probability of borrowing informally from friends and family and 51.8% probability of borrowing from a financial institution. Ownership of financial accounts increases the savings probability by 37% while mobile money account owners have a 3% probability of borrowing from a financial institution than those without, and the influence of gender was found on savings with a financial institution and borrowing informally. Female has a 5% negative relationship with savings formally at a financial institution, and the probability of coming up with an emergency fund was positive with the opening of an account in a financial institution, using mobile money account and having savings. This paper suggests that efforts to promote financial inclusion at the micro-level must consider women across households. The overall result reveals the need to support the financial inclusion agenda with the concentration of financial technology services by policymakers for unbanked and marginalised groups in areas with limited financial access.</t>
  </si>
  <si>
    <t>[Akeju, Kemi Funlayo] Ekiti State Univ, Fac Social Sci, Dept Econ, Ado Ekiti, Ekiti State, Nigeria</t>
  </si>
  <si>
    <t>Akeju, KF (corresponding author), Ekiti State Univ, Fac Social Sci, Dept Econ, Ado Ekiti, Ekiti State, Nigeria.</t>
  </si>
  <si>
    <t>kemi.akeju@eksu.edu.ng</t>
  </si>
  <si>
    <t>AKEJU, KEMI/0000-0002-1719-4388</t>
  </si>
  <si>
    <t>2022 FEB 10</t>
  </si>
  <si>
    <t>10.1080/20430795.2022.2034595</t>
  </si>
  <si>
    <t>YX2IM</t>
  </si>
  <si>
    <t>WOS:000753931600001</t>
  </si>
  <si>
    <t>Song, XL; Qin, X; Feng, XM</t>
  </si>
  <si>
    <t>Song, Xiaoling; Qin, Xuan; Feng, XiaoMeng</t>
  </si>
  <si>
    <t>Creating financial inclusion in Belt and Road countries in Europe, Asia and Africa: regulation, technology and financial literacy</t>
  </si>
  <si>
    <t>Financial inclusion; Influence mechanism; Belt and Road initiative; Regulation; Financial literacy; Financial exclusion; Neighboring county spillover</t>
  </si>
  <si>
    <t>ECONOMIC-GROWTH; CHINA</t>
  </si>
  <si>
    <t>PurposeThis study aims to comparatively measure the impact factors of financial inclusion and their spillover effects for Belt and Road countries using panel data from 57 countries in 2011, 2014, 2017 and 2021 and relevant indicators from three dimensions: availability, usage and quality to construct a digital empowerment index of financial inclusion.Design/methodology/approachA spatial Durbin panel model is constructed to empirically test the impact mechanism of financial inclusion under digital empowerment.FindingsResults reveal that improving a country's quality of regulation, technology and residents' financial literacy significantly contributes to the development of its financial inclusion, while improving its neighboring countries' financial literacy also boosts its financial inclusion development. This study provides theoretical support for evaluating the development level of inclusive finance in Belt and Road countries, promoting the development of inclusive finance and alleviating the problem of financial exclusion.Originality/valueThis study is original as it creates a research paradigm for Belt and Road countries, enabling systematic testing and comparative analysis of inclusive finance development. It incorporates traditional and digital services, evaluating them based on sharing, fairness, convenience and specific group benefits. An inclusive financial index is constructed using the coefficient of variation and arithmetic weighted average methods. Additionally, it introduces a more rational analysis approach for the influence mechanism and spatial effect, using an economic geography nested matrix and spatial Durbin model to explore spatial effects in inclusive finance.</t>
  </si>
  <si>
    <t>[Song, Xiaoling; Qin, Xuan; Feng, XiaoMeng] Beijing Language &amp; Culture Univ, Business Sch, Beijing, Peoples R China</t>
  </si>
  <si>
    <t>Beijing Language &amp; Culture University</t>
  </si>
  <si>
    <t>Feng, XM (corresponding author), Beijing Language &amp; Culture Univ, Business Sch, Beijing, Peoples R China.</t>
  </si>
  <si>
    <t>songxiaoling@blcu.edu.cn; q879546@163.com; xm0107f@163.com</t>
  </si>
  <si>
    <t>SONG, XIAOLING/HZL-7030-2023</t>
  </si>
  <si>
    <t>National Social Science Foundation Project Multi-dimensional research on the comparative evaluation [21BJL087]</t>
  </si>
  <si>
    <t>National Social Science Foundation Project Multi-dimensional research on the comparative evaluation</t>
  </si>
  <si>
    <t>This research project is supported by the National Social Science Foundation Project Multi-dimensional research on the comparative evaluation and enhancement mechanism of financial inclusion under digital empowerment (Project No.: 21BJL087).</t>
  </si>
  <si>
    <t>JUL 18</t>
  </si>
  <si>
    <t>10.1108/JFRC-11-2023-0180</t>
  </si>
  <si>
    <t>YN0M9</t>
  </si>
  <si>
    <t>WOS:001209320000001</t>
  </si>
  <si>
    <t>Coffie, CPK; Zhao, HJ</t>
  </si>
  <si>
    <t>Coffie, Cephas Pao Kwasi; Zhao, Hongjiang</t>
  </si>
  <si>
    <t>Semi-Systematic Review of the Perceived Cost of Mobile Payment in Sub-Saharan Africa</t>
  </si>
  <si>
    <t>financial inclusion; mobile money; mobile payment; semi-systematic review</t>
  </si>
  <si>
    <t>FINANCIAL INCLUSION; ICT; DIFFUSION; SERVICES; ACCESS; MONEY</t>
  </si>
  <si>
    <t>Financial technology offers convenience, security, and affordability. In sub-Saharan Africa, mobile money is the flagship offering hypothesized to promote financial inclu-sion. Nonetheless, the persistent complaints from end-users about the cost associated with mobile money usage in the sub-region have gone under the radar. Therefore, using the semi-systematic review of news articles and blogs' in direct content anal-ysis, we explore the cost of mobile money usage in the sub-region. We examine the state of mobile charges and how it potentially reverses the original purpose of FinTech. Results indicate that governments and other stakeholders find mobile money charges to be high. The imposition of mobile money tax and the regressive structure of mobile money charges affect the poor. The effort of policymakers to reduce the cost of mobile money in the sub-region is ineffective because the FinTech market is dominated by few foreign-owned telecommunication companies. Thus, the creation and promotion of a domestic FinTech market are necessary to promote greater finan-cial inclusion.</t>
  </si>
  <si>
    <t>[Coffie, Cephas Pao Kwasi; Zhao, Hongjiang] Univ Elect Sci &amp; Technol China, Sch Management &amp; Econ, Chengdu, Peoples R China; [Coffie, Cephas Pao Kwasi; Zhao, Hongjiang] Univ Elect Sci &amp; Technol China, Ctr West African Studies, Chengdu, Peoples R China; [Coffie, Cephas Pao Kwasi] All Nations Univ, All Nations Univ Coll, Business Sch, Koforidua, Ghana</t>
  </si>
  <si>
    <t>University of Electronic Science &amp; Technology of China; University of Electronic Science &amp; Technology of China</t>
  </si>
  <si>
    <t>Coffie, CPK (corresponding author), Univ Elect Sci &amp; Technol China, Sch Management &amp; Econ, Chengdu, Peoples R China.;Coffie, CPK (corresponding author), Univ Elect Sci &amp; Technol China, Ctr West African Studies, Chengdu, Peoples R China.;Coffie, CPK (corresponding author), All Nations Univ, All Nations Univ Coll, Business Sch, Koforidua, Ghana.</t>
  </si>
  <si>
    <t>Coffieeephas@gmail.com; zhaohj@uestc.edu.cn</t>
  </si>
  <si>
    <t>Coffie, Cephas Paa Kwasi/AAO-7607-2020</t>
  </si>
  <si>
    <t>Coffie, Cephas Paa Kwasi/0000-0002-8644-1418</t>
  </si>
  <si>
    <t>10.1163/15691497-12341592</t>
  </si>
  <si>
    <t>UA6CE</t>
  </si>
  <si>
    <t>WOS:000685247000002</t>
  </si>
  <si>
    <t>Tripathi, S; Rajeev, M</t>
  </si>
  <si>
    <t>Tripathi, Sabyasachi; Rajeev, Meenakshi</t>
  </si>
  <si>
    <t>Gender-Inclusive Development through Fintech: Studying Gender-Based Digital Financial Inclusion in a Cross-Country Setting</t>
  </si>
  <si>
    <t>digital financial inclusion; gender-based financial inclusion; inclusive growth; gender development index</t>
  </si>
  <si>
    <t>OCCUPATIONAL CHOICE; TECHNOLOGY; INFORMATION; ACCEPTANCE; INEQUALITY</t>
  </si>
  <si>
    <t>Financial inclusion (FI) for vulnerable populations, such as women, is critical for achieving gender equality, women's empowerment, and thereby, inclusive growth. Sustainable development goal 5 considers gender equality as a fundamental right and views the empowerment of women as a necessary step. Access to finance is a significant means to empower a person. In this regard, the use of digital financial services is of particular significance for women as it allows them easier access to financial products for business and household needs. For implementing policies to reduce financial exclusion of women, it is necessary to first measure the extent of FI in society. While there are several attempts to measure FI for the general population, there is limited literature on the gender-based measurement of FI. This paper fills this important research gap by developing a gender-based FI index (GFII) focusing particularly on digital services and evaluating the performance of countries across the globe (by considering 109 countries based on data availability) in terms of a gender-based FI measure developed by us. This index is developed using two separate indices, a digital financial service usage index (DFI) and a conventional financial service usage index (CFI). We calculate it for different countries for 2011, 2014, 2017, and 2021 using the Global Findex databaseIt helps us to investigate the performance of different countries over the years in ensuring the financial inclusion of women and how digital services are penetrating over the years. One contribution of the paper is to relate the Gender Development Index (GDI) and Gender Inequality Index (GII) of countries, two well-known measures of inclusive and sustainable development, with GFII and DFI for female (DFIF). This exercise shows that while there is a positive correlation between these two sets of indicators, there are a number of countries that are high (or low) in gender development (or inequality) that need to improve their digital FI. Interestingly, using the Global Findex database and the Feasible Generalized Least Squares (FGLS) and instrumental variable panel data model, we show that health, education, labour force participation rate, and political empowerment of women significantly impact the digital financial inclusion of women. The paper brings out relevant policy suggestions for improving women's digital financial access and thereby enhancing gender empowerment for faster and more inclusive growth.</t>
  </si>
  <si>
    <t>[Tripathi, Sabyasachi] Adamas Univ, Dept Econ, Kolkata 700126, India; [Rajeev, Meenakshi] Inst Social &amp; Econ Change, Bengaluru 560072, India</t>
  </si>
  <si>
    <t>Tripathi, S (corresponding author), Adamas Univ, Dept Econ, Kolkata 700126, India.</t>
  </si>
  <si>
    <t>sabya.tripathi@gmail.com; meenakshi@isec.ac.in</t>
  </si>
  <si>
    <t>Tripathi, Sabyasachi/G-2722-2016</t>
  </si>
  <si>
    <t>Tripathi, Sabyasachi/0000-0003-1980-5477</t>
  </si>
  <si>
    <t>Asian Development Bank Institute, Japan</t>
  </si>
  <si>
    <t>This research was funded by the Asian Development Bank Institute, Japan.</t>
  </si>
  <si>
    <t>10.3390/su151310253</t>
  </si>
  <si>
    <t>M6DF6</t>
  </si>
  <si>
    <t>WOS:001031095800001</t>
  </si>
  <si>
    <t>Ky, SS</t>
  </si>
  <si>
    <t>Ky, Serge Stephane</t>
  </si>
  <si>
    <t>Empowering Sub-Saharan farmers: The transformative effect of mobile money in agriculture</t>
  </si>
  <si>
    <t>Digital finance; Mobile money; Financial inclusion; Farmer; Sub-saharan Africa</t>
  </si>
  <si>
    <t>ADOPTION; SAVINGS; CREDIT</t>
  </si>
  <si>
    <t>This study investigates the adoption of digital financial services among farmers in 25 Sub-Saharan African economies using data from the World Bank's Global Findex 2021. Applying a logit model, we find that farmers are more likely to adopt mobile money accounts than non-farmers, particularly in rural areas. However, the adoption rate remains below 30 %, highlighting the limited transformative effect of mobile money on financial inclusion. Moreover, we find that farmers primarily use mobile money for saving, borrowing, receiving remittances, and digital payments. Additionally, disadvantaged groups such as female and less educated individuals are likely to use mobile money for borrowing and remittances, offering pathways to strengthen agricultural livelihoods. Interestingly, our results show that mobile money adoption and usage are higher in countries that introduced the service more recently, suggesting that late adopters leverage mobile money services more intensively. These findings, robust to propensity score matching and inverse-probability-weighted regression adjustment methods, provide actionable insights for policymakers to promote digital financial inclusion and agricultural resilience across the region.</t>
  </si>
  <si>
    <t>[Ky, Serge Stephane] Univ Ledea Bernard OUEDRAOGO, Dept Econ, 01 BP 346, Ouahigouya, Burkina Faso</t>
  </si>
  <si>
    <t>Ky, SS (corresponding author), Univ Ledea Bernard OUEDRAOGO, Dept Econ, 01 BP 346, Ouahigouya, Burkina Faso.</t>
  </si>
  <si>
    <t>kysserge@gmail.com</t>
  </si>
  <si>
    <t>Ky, Serge Stéphane/0000-0002-0288-1759</t>
  </si>
  <si>
    <t>10.1016/j.jrurstud.2025.103637</t>
  </si>
  <si>
    <t>0VR9Y</t>
  </si>
  <si>
    <t>WOS:001457143300001</t>
  </si>
  <si>
    <t>Ehret, M; Olaniyan, R</t>
  </si>
  <si>
    <t>Ehret, Michael; Olaniyan, Rotimi</t>
  </si>
  <si>
    <t>Banking the unbanked. Constitutive rules and the institutionalization of mobile payment systems in Nigeria</t>
  </si>
  <si>
    <t>JOURNAL OF BUSINESS RESEARCH</t>
  </si>
  <si>
    <t>Constitutive Rules; Emerging Economies; Social Action; Mobile payment services; Institutional Theory</t>
  </si>
  <si>
    <t>EMERGING MARKETS; CO-CREATION; SAMPLE-SIZE; SERVICE; ECOSYSTEMS; PARTICIPATION; PERSPECTIVES; COMMUNITIES; INNOVATIONS; STRATEGIES</t>
  </si>
  <si>
    <t>Researchers identify institutional voids as serious roadblocks to economic development. Mobile payment systems offer a promise to fill institutional voids in emerging economies. Financial technology companies can help to bank the unbanked by leapfrogging financial services found in more developed economies. However, both, economic regulations as well as technological solutions for institution building, such as cryptocurrencies, show mixed results. Institutional Theory extends institutional voids research by acknowledging the social dimension of institutions. Constitutive rules help to conceptualize the cultural-cognitive dimension of payment institutions. The study of Paga, the premier mobile payment platform of Nigeria, reveals the emergence of constitutive rules through the interplay of technology development and social action. Constitutive rules are vital for financial technology innovation, and more generally in the institutionalization of service ecosystems. The case demonstrates the central role of partner-networks in establishing mobile payment institutions.</t>
  </si>
  <si>
    <t>[Ehret, Michael] Karl Franzens Univ Graz, Dept Mkt, Elisabethstr 50b, A-8010 Graz, Austria; [Olaniyan, Rotimi] Nottingham Trent Univ, Nottingham Business Sch, Dept Mkt, 50 Shakespeare St, Nottingham NG1 4PQ, England</t>
  </si>
  <si>
    <t>University of Graz; Nottingham Trent University; University of Nottingham</t>
  </si>
  <si>
    <t>Ehret, M (corresponding author), Karl Franzens Univ Graz, Dept Mkt, Elisabethstr 50b, A-8010 Graz, Austria.</t>
  </si>
  <si>
    <t>michael.ehret@uni-graz.at; rotimi.olaniyan02@ntu.ac.uk</t>
  </si>
  <si>
    <t>Ehret, Michael/HMV-2679-2023</t>
  </si>
  <si>
    <t>Ehret, Michael/0000-0002-2478-8889</t>
  </si>
  <si>
    <t>0148-2963</t>
  </si>
  <si>
    <t>1873-7978</t>
  </si>
  <si>
    <t>J BUS RES</t>
  </si>
  <si>
    <t>J. Bus. Res.</t>
  </si>
  <si>
    <t>10.1016/j.jbusres.2023.113845</t>
  </si>
  <si>
    <t>F0JN3</t>
  </si>
  <si>
    <t>WOS:000979296900001</t>
  </si>
  <si>
    <t>Kamara, AK; Oppong, EO</t>
  </si>
  <si>
    <t>Kamara, Abdul Karim; Oppong, Emmanuel Owusu</t>
  </si>
  <si>
    <t>Mobile FinTech and financial inclusion in sub-Saharan Africa: A comparative analysis</t>
  </si>
  <si>
    <t>FinTech; mobile; financial inclusion; economic growth; sub-Saharan Africa</t>
  </si>
  <si>
    <t>INFORMATION-TECHNOLOGY; ECONOMIC-DEVELOPMENT; MONEY; PHONES; IMPACT; ACCEPTANCE; INFLATION; SERVICES; POVERTY; ACCESS</t>
  </si>
  <si>
    <t>This paper examines the impact of mobile FinTech on financial inclusion in sub-Saharan Africa. The analysis used data from the Global Findex database in 2014, 2017, and 2021 and from the World Development Indicators database. For mobile FinTech, the study employed two instruments as proxies and applied the principal components analysis approach to create an index for financial inclusion. The researchers employed random effect, fixed effect, PCSE, and GMM models. The results of the study revealed that mobile FinTech impacts financial inclusion positively and significantly. The result additionally notes that the payments aspect of mobile FinTech is more impactful than mobile money accounts. This research extends the body of knowledge by examining two components of mobile FinTech and their impact on financial inclusion. As a result, the development of mobile FinTech that collectively serves a larger market should be a priority for policymakers. Because mobile payments play a significant role, investing in mobile payment technologies would create broader ripple effects throughout the economy. Therefore, policymakers should leverage the payment dimension to foster transparency. Mobile FinTech systems must be integrated into broader economic sectors in SSA and beyond to ensure long-term financial inclusion.</t>
  </si>
  <si>
    <t>[Kamara, Abdul Karim; Oppong, Emmanuel Owusu] Univ Int Business &amp; Econ, Sch Insurance &amp; Econ, Beijing, Peoples R China</t>
  </si>
  <si>
    <t>University of International Business &amp; Economics</t>
  </si>
  <si>
    <t>Kamara, AK (corresponding author), Univ Int Business &amp; Econ, Sch Insurance &amp; Econ, Beijing, Peoples R China.</t>
  </si>
  <si>
    <t>abdulkarimkamara270@gmail.com</t>
  </si>
  <si>
    <t>NOV 10</t>
  </si>
  <si>
    <t>10.1080/20421338.2025.2582927</t>
  </si>
  <si>
    <t>Q4946</t>
  </si>
  <si>
    <t>WOS:001629105900001</t>
  </si>
  <si>
    <t>Tikku, SR; Singh, AK</t>
  </si>
  <si>
    <t>Tikku, Sonal Raina; Singh, Anjani K.</t>
  </si>
  <si>
    <t>Financial Disruption and Microentrepreneurs: Empirical Study on Adoption of E-Wallet Among Micro-Entrepreneurs in India</t>
  </si>
  <si>
    <t>INTERNATIONAL JOURNAL OF E-COLLABORATION</t>
  </si>
  <si>
    <t>COVID-19; Digitalization; E-Wallets; Financial Inclusion; Micro Entrepreneurs; NCR</t>
  </si>
  <si>
    <t>CUSTOMER SATISFACTION</t>
  </si>
  <si>
    <t>The COVID-19 pandemic is expeditiously stirring the global economy. The impact of this pandemic has implications on the sustenance of industries worldwide. This study investigates the influence of various endogenous and exogenous factors affecting e-wallet adoption among micro entrepreneurs in India. A sample of 287 micro enterprises were identified in NCR (National Capital Region) region on the basis of random sampling. Structured questionnaires were administered to the respondents. Structural equation modelling was used to analyse the data with the help of Smart PLS 3. The main findings of the study show that self-belief, personal innovativeness, and satisfaction are the key indicators affecting the e-wallet adoption among the microentrepreneurs. Microentrepreneurs contribute greatly to economic development in developed and developing nations. Digitalisation of this segment of industry can turn India into a cashless country, thereby reducing the cash burden of the economy. Microentrepreneurs can also act as a catalyst for financial inclusion.</t>
  </si>
  <si>
    <t>[Tikku, Sonal Raina; Singh, Anjani K.] Amity Univ, Amity Business Sch, Noida, India</t>
  </si>
  <si>
    <t>Amity University Noida</t>
  </si>
  <si>
    <t>Tikku, SR (corresponding author), Amity Univ, Amity Business Sch, Noida, India.</t>
  </si>
  <si>
    <t>Tikku, Sonal/0000-0002-1366-985X</t>
  </si>
  <si>
    <t>1548-3673</t>
  </si>
  <si>
    <t>1548-3681</t>
  </si>
  <si>
    <t>INT J E-COLLAB</t>
  </si>
  <si>
    <t>Int. J. e-Collab.</t>
  </si>
  <si>
    <t>10.4018/IJeC.315780</t>
  </si>
  <si>
    <t>9Y7XX</t>
  </si>
  <si>
    <t>WOS:000950668800007</t>
  </si>
  <si>
    <t>Sun, MS; Li, ZW</t>
  </si>
  <si>
    <t>Sun, Mingshan; Li, Zhongwu</t>
  </si>
  <si>
    <t>Percepción y Aceptación por Parte de los Usuarios de la Moneda Digital del Banco Central en los Países Desarrollados y en Desarrollo: un Estudio Empírico Utilizando el Modelo de Aceptación de la Tecnología</t>
  </si>
  <si>
    <t>UCJC BUSINESS AND SOCIETY REVIEW</t>
  </si>
  <si>
    <t>Digital currencies; CBDC; mobile payments; financial inclusion; technology acceptance model; monetary policy; China</t>
  </si>
  <si>
    <t>TECHNOLOGY ACCEPTANCE MODEL; INFORMATION-TECHNOLOGY; PERCEPTIONS; FUTURE</t>
  </si>
  <si>
    <t>This study aims to investigate the factors influencing individuals' intention to use Central Bank Digital Currencies (CBDC) in the digital economy era from an individual perspective using the Technology Acceptance Model (TAM) as a framework. The study contributes academically by examining individual intention to use CBDC from the user's perspective, filling a research gap, expanding the TAM's application area and theoretical sources, testing the validity of hypotheses, and introducing technology into behavioral research in social psychology. Managerially, the study provides recommendations for the government and central bank on improving individuals' intention to use CBDC, formulating effective development paths and promotion plans, and enhancing public interest while reducing confusion and worry. The study finds that the technical characteristics and economic attributes of CBDC, such as offline trading, non-forgery, no double spending, irrevocability, and controlled anonymity, have a positive impact on individuals' intention to use CBDC. It also identifies new factors influencing human behavior patterns in the digital economy, such as perceived usefulness, perceived ease of use, perceived security, perceived trust, perceived privacy, perceived social influence, and perceived compatibility. Furthermore, the study highlights the importance of understanding individuals' intention to use CBDC in the digital economy era. The growth rate of mobile payments in China has been significant over the past decade, indicating the increasing importance of mobile payments and digital currencies in the Chinese economy and the potential for further growth in the future. The introduction of CBDCs can help facilitate transactions, enhance financial inclusion, and support the growth of the digital economy. In summary, this study provides valuable insights for governments, central banks, and other stakeholders in developing and promoting CBDCs effectively. The findings have significant implications for policy-makers, industry practitioners, and academic researchers interested in digital currencies, mobile payments, and the future of money in the digital economy era.</t>
  </si>
  <si>
    <t>[Sun, Mingshan; Li, Zhongwu] Natl Inst Dev Adm, Bangkok, Thailand</t>
  </si>
  <si>
    <t>National Institute of Development Administration - Thailand</t>
  </si>
  <si>
    <t>Sun, MS (corresponding author), Natl Inst Dev Adm, Bangkok, Thailand.</t>
  </si>
  <si>
    <t>cliff13697@163.com; zhongwu.li@nida.ac.th</t>
  </si>
  <si>
    <t>LI, ZHONGWU/JJC-8813-2023</t>
  </si>
  <si>
    <t>UNIV CAMILO JOSE CELA</t>
  </si>
  <si>
    <t>MADRID</t>
  </si>
  <si>
    <t>C/ CASTILLO ALARCON, 49 URB VILLAFRANCA CASTILLO, MADRID, 28692, SPAIN</t>
  </si>
  <si>
    <t>2659-3270</t>
  </si>
  <si>
    <t>UCJC BUS SOC REV</t>
  </si>
  <si>
    <t>UCJC Bus. Soc. Rev.</t>
  </si>
  <si>
    <t>10.3232/UBR.2024.V21.N1.11</t>
  </si>
  <si>
    <t>FM0K4</t>
  </si>
  <si>
    <t>WOS:001146094500013</t>
  </si>
  <si>
    <t>Wang, XH; Guan, J</t>
  </si>
  <si>
    <t>Wang, Xiuhua; Guan, Jian</t>
  </si>
  <si>
    <t>Financial inclusion: measurement, spatial effects and influencing factors</t>
  </si>
  <si>
    <t>Financial inclusion; financial inclusion index; international comparison; spatial econometrics</t>
  </si>
  <si>
    <t>ACCESS; GEOGRAPHY; SERVICES</t>
  </si>
  <si>
    <t>Using the index of financial inclusion and the World Bank Global Findex database, this study measures the level of financial inclusion across countries. The results reveal a geographical spatial aggregation distribution in which developed European and North American countries enjoy higher levels of financial inclusion than the less developed countries of Africa and most of Asia. Accordingly, our spatial analysis proves our hypothesis and reveals dependence and aggregation effects among countries. Then, we employ spatial econometric research to identify those factors significantly associated with financial inclusion. The results show that an individual's income, education and use of communications equipment are important factors that explain the level of financial inclusion, while financial depth and banking health status are the main determinants. Building an inclusive financial system is an important means for most countries to achieve the Millennium Development Goals.</t>
  </si>
  <si>
    <t>[Wang, Xiuhua; Guan, Jian] Hunan Univ, Coll Finance &amp; Stat, Changsha 410082, Hunan, Peoples R China</t>
  </si>
  <si>
    <t>Hunan University</t>
  </si>
  <si>
    <t>Guan, J (corresponding author), Hunan Univ, Coll Finance &amp; Stat, Changsha 410082, Hunan, Peoples R China.</t>
  </si>
  <si>
    <t>gj_hnu@hnu.edu.cn</t>
  </si>
  <si>
    <t>Guan, Jian/0000-0002-1052-0136</t>
  </si>
  <si>
    <t>National Natural Science Foundation of China [71303077]</t>
  </si>
  <si>
    <t>This work was supported by the National Natural Science Foundation of China: [Grant Number 71303077].</t>
  </si>
  <si>
    <t>10.1080/00036846.2016.1226488</t>
  </si>
  <si>
    <t>EL0ZM</t>
  </si>
  <si>
    <t>WOS:000394350300002</t>
  </si>
  <si>
    <t>Bajakic, I</t>
  </si>
  <si>
    <t>Duic, D; Petrasevic, T; Novokmet, A</t>
  </si>
  <si>
    <t>Bajakic, Ivana</t>
  </si>
  <si>
    <t>TRANSFORMATION OF FINANCIAL REGULATORY GOVERNANCE THROUGH INNOVATION FACILITATORS - CASE STUDY OF INNOVATION HUB IN CROATIAN CAPITAL MARKETS</t>
  </si>
  <si>
    <t>EU 2020 - LESSONS FROM THE PAST AND SOLUTIONS FOR THE FUTURE</t>
  </si>
  <si>
    <t>EU and Comparative Law Issues and Challenges Series - ECLIC</t>
  </si>
  <si>
    <t>International Scientific Conference on Lessons from the Past and Solutions for the Future (EU)</t>
  </si>
  <si>
    <t>SEP 10-11, 2020</t>
  </si>
  <si>
    <t>Josip Juraj Strossmayer Univ Osijek, Faculty of Law, Osijek, CROATIA</t>
  </si>
  <si>
    <t>Josip Juraj Strossmayer Univ Osijek, Faculty of Law</t>
  </si>
  <si>
    <t>FinTech; financial regulatory governance; Innovation hub; capital markets</t>
  </si>
  <si>
    <t>FinTechs have attracted great attention for their potentially disruptive impact on financial ecosystem. They represent a great opportunity for democratisation of financial systems and better access to finance, but also a possible risk for financial stability. Regulatory framework is trailing behind fast-moving technological advancements. Innovation facilitators, i.e. innovation hubs and regulatory sandboxes have been designed as new governance models to promote technological innovations and regulatory efficiency in financial services. The UK is a global pioneer in this area with Project Innovation that started in 2014, while other Member States followed. Croatia has established its first innovation facilitator in a form of Innovation hub in May 2019. The purpose of this paper is to examine the level of financial regulatory innovation and potential for transformation of regulatory governance from command and control system to more alternative and collaborative approach characteristic for innovation facilitators. Research methodology combines secondary data, semi-structured interviews and comparative assessment of UK's and Croatia's approach to financial regulatory governance, using the most different case method. Results point to incremental changes in governance culture, nonetheless a positive step forward in promoting a culture of dialogue and better policy-making.</t>
  </si>
  <si>
    <t>[Bajakic, Ivana] Univ Zagreb, Fac Law, Trg Republike Hrvatske 14, Zagreb 10000, Croatia</t>
  </si>
  <si>
    <t>Bajakic, I (corresponding author), Univ Zagreb, Fac Law, Trg Republike Hrvatske 14, Zagreb 10000, Croatia.</t>
  </si>
  <si>
    <t>ivana.bajakic@pravo.hr</t>
  </si>
  <si>
    <t>JOSIP JURAJ STROSSMAYER UNIV OSIJEK</t>
  </si>
  <si>
    <t>OSIJEK</t>
  </si>
  <si>
    <t>FAC LAW OSIJEK, STJEPANA RADICA 13, OSIJEK, 31000, CROATIA</t>
  </si>
  <si>
    <t>2459-9425</t>
  </si>
  <si>
    <t>978-953-8109-33-1</t>
  </si>
  <si>
    <t>EU COMP L ISS CHALL</t>
  </si>
  <si>
    <t>BR9FI</t>
  </si>
  <si>
    <t>WOS:000675380500037</t>
  </si>
  <si>
    <t>Sun, SC; Chen, YC; Ansong, D; Huang, J; Sherraden, MS</t>
  </si>
  <si>
    <t>Sun, Sicong; Chen, Yu-Chih; Ansong, David; Huang, Jin; Sherraden, Margaret S.</t>
  </si>
  <si>
    <t>Household Financial Capability and Economic Hardship: An Empirical Examination of the Financial Capability Framework</t>
  </si>
  <si>
    <t>Financial access; Financial literacy; Financial behavior; Material hardship; Financial inclusion</t>
  </si>
  <si>
    <t>INCOME; LITERACY; EDUCATION; INSTITUTIONS; PROPENSITY; AGE</t>
  </si>
  <si>
    <t>This study investigates the components and mechanisms of the financial capability framework using national representative data from the 2015 National Financial Capability Study with the structural equation modeling approach. We find financial socialization and financial education are significantly associated with both financial access and financial literacy, which are associated with positive financial behavior and negatively associated with economic hardship. We further find that financial access plays a more pronounced role in the mediation effects decomposition compared to financial literacy. Our findings demonstrate that financial capability lies in both the opportunity to act and the ability to act-with opportunity relatively more important than ability-and that financial capability is strongly associated with household experiences of economic hardship. Policies and programs should provide accessible and affordable financial products as well as enhance effective financial education and guidance to promote financial inclusion.</t>
  </si>
  <si>
    <t>[Sun, Sicong; Sherraden, Margaret S.] Washington Univ, Brown Sch, CB 1196, St Louis, MO 63130 USA; [Chen, Yu-Chih] Univ Hong Kong, Dept Social Work &amp; Social Adm, Hong Kong, Peoples R China; [Ansong, David] Univ North Carolina Chapel Hill, Sch Social Work, Chapel Hill, NC USA; [Huang, Jin] St Louis Univ, Coll Publ Hlth &amp; Social Justice, St Louis, MO 63103 USA</t>
  </si>
  <si>
    <t>Washington University (WUSTL); University of Hong Kong; University of North Carolina; University of North Carolina Chapel Hill; University of North Carolina School of Medicine; Saint Louis University</t>
  </si>
  <si>
    <t>Sun, SC (corresponding author), Washington Univ, Brown Sch, CB 1196, St Louis, MO 63130 USA.</t>
  </si>
  <si>
    <t>sicong.sun@wustl.edu; yuchih@hku.hk; ansong@email.unc.edu; jin.huang@slu.edu; msherraden@wustl.edu</t>
  </si>
  <si>
    <t>Sun, Sicong/JXL-9420-2024; Ansong, David/P-6162-2016; Chen, Yu-Chih/J-9529-2019</t>
  </si>
  <si>
    <t>Sun, Sicong/0000-0003-4508-604X; Ansong, David/0000-0002-4624-3337; Chen, Yu-Chih/0000-0002-5678-5850</t>
  </si>
  <si>
    <t>10.1007/s10834-022-09816-5</t>
  </si>
  <si>
    <t>WOS:000745752100001</t>
  </si>
  <si>
    <t>Sabbaghii, O</t>
  </si>
  <si>
    <t>Sabbaghii, Omid</t>
  </si>
  <si>
    <t>Mobile money, digital financial inclusion, and evidence on saving and borrowing</t>
  </si>
  <si>
    <t>Mobile money services; Financial inclusion; Sustainability; Financial planning; Digital finance; Household finance; D14; G20; G51; G53; O16</t>
  </si>
  <si>
    <t>PurposeThis study aims to investigate access to mobile money services and its relationship to financial planning for adults with mobile phones across different countries in different income groups.Design/methodology/approachUsing new survey data from the Global Findex Database over the 2021-2022 time period, this study applies traditional cross-sectional regressions in investigating the relationship between access to mobile money accounts and the proportion of adults that save and borrow across different countries in different income groups.FindingsThis study provides findings on population dynamics, the percentage of adults who own mobile phones, the percentage of adults that own mobile money accounts, and the percentage of adults who save and borrow through mobile money accounts across different countries in different income groups. Results of the cross-sectional regressions indicate a positive relationship between saving and borrowing in relation to access to mobile money accounts across different countries in different income groups. The empirical results are robust after controlling for financial literacy, and moreover, suggest a relatively stronger effect for saving relative to borrowing.Originality/valueThis study proposes a novel approach toward examining the relationship between access to mobile money accounts and the proportion of adults that save and borrow. This study quantifies the aggregate impact of mobile money access on saving and borrowing based on a new cross-sectional data set for different countries in different income groups.</t>
  </si>
  <si>
    <t>[Sabbaghii, Omid] Univ Detroit Mercy, Coll Business Adm, Detroit, MI 48221 USA</t>
  </si>
  <si>
    <t>University of Detroit Mercy</t>
  </si>
  <si>
    <t>Sabbaghii, O (corresponding author), Univ Detroit Mercy, Coll Business Adm, Detroit, MI 48221 USA.</t>
  </si>
  <si>
    <t>sabbagom@udmercy.edu</t>
  </si>
  <si>
    <t>The author is grateful for useful comments and suggestions provided by the Editor and anonymous reviewers. The author would like to thank participants at the Joint Conference of the British Accounting and Finance Association Corporate Finance and Asset Pricing SIG and the Northern Area Group (13-15 December 2023) for useful comments and discussions.</t>
  </si>
  <si>
    <t>APR 24</t>
  </si>
  <si>
    <t>10.1108/DPRG-04-2024-0060</t>
  </si>
  <si>
    <t>1SO5Z</t>
  </si>
  <si>
    <t>WOS:001306234600001</t>
  </si>
  <si>
    <t>Mavela, P; Tsibolane, P</t>
  </si>
  <si>
    <t>Chigona, W; Kabanda, S; Seymour, LF</t>
  </si>
  <si>
    <t>Mavela, Phakamani; Tsibolane, Pitso</t>
  </si>
  <si>
    <t>Overcoming Marginalization: Mobile Payment Domestication by Underserved South African Microentrepreneurs</t>
  </si>
  <si>
    <t>IMPLICATIONS OF INFORMATION AND DIGITAL TECHNOLOGIES FOR DEVELOPMENT, PT I, ICT4D 2024</t>
  </si>
  <si>
    <t>18th International Conference on Implications of Information and Digital Technologies for Development (ICT4D)</t>
  </si>
  <si>
    <t>MAY 20-22, 2024</t>
  </si>
  <si>
    <t>Cape Town, SOUTH AFRICA</t>
  </si>
  <si>
    <t>Mobile Payments; Microenterprises; Payment Service Provide</t>
  </si>
  <si>
    <t>PERSPECTIVE; ADOPTION</t>
  </si>
  <si>
    <t>Mobile payment technology has become widespread among businesses globally, offering an alternative to traditional payment systems. However, existing literature does not adequately explore the underlying factors influencing how underserved microentrepreneurs appropriate, objectify and incorporate mobile payments into their business processes and lives. This study, guided by Technology Domestication and Actor-Network Theory, qualitatively examines the motivations, contextual factors, and design features that enable mobile payment domestication among twenty (N = 20) underserved South African microentrepreneurs. Thematic analysis of the in-depth interviews revealed persisting financial exclusion, growth optimism, and risk reduction as primary motives for long-term mobile payment use, while the spider network community practices, payment service provider and consumer culture dynamics, infrastructural and regulatory landscape are influential contextual conditions. Inclusive and flexible design, affordability, and trust emerged as key mobile payment design considerations impacting overall mobile payment domestication. Policymakers and payment platforms can contribute positively by participating directly in local microenterprise-centered development initiatives. Further research is needed to explore the evolving needs and expectations of microentrepreneurs and understand the developmental impacts of these technologies.</t>
  </si>
  <si>
    <t>[Mavela, Phakamani; Tsibolane, Pitso] Univ Cape Town, Dept Informat Syst, Cape Town, South Africa</t>
  </si>
  <si>
    <t>University of Cape Town</t>
  </si>
  <si>
    <t>Mavela, P (corresponding author), Univ Cape Town, Dept Informat Syst, Cape Town, South Africa.</t>
  </si>
  <si>
    <t>mvlpha001@uct.ac.za; pitso.tsibolane@uct.ac.za</t>
  </si>
  <si>
    <t>Tsibolane, Pitso/AAB-7518-2022</t>
  </si>
  <si>
    <t>Tsibolane, Pitso/0000-0002-7888-1181</t>
  </si>
  <si>
    <t>978-3-031-66984-2; 978-3-031-66982-8; 978-3-031-66981-1</t>
  </si>
  <si>
    <t>10.1007/978-3-031-66982-8_8</t>
  </si>
  <si>
    <t>Computer Science, Interdisciplinary Applications; Social Issues</t>
  </si>
  <si>
    <t>Computer Science; Social Issues</t>
  </si>
  <si>
    <t>BX6BH</t>
  </si>
  <si>
    <t>WOS:001307344800008</t>
  </si>
  <si>
    <t>Sun, JW; Zhang, J</t>
  </si>
  <si>
    <t>Sun, Jingwen; Zhang, Jie</t>
  </si>
  <si>
    <t>Digital Financial Inclusion and Innovation of MSMEs</t>
  </si>
  <si>
    <t>digital inclusive finance; firm innovation; firm financing constraints; consumption</t>
  </si>
  <si>
    <t>DEMAND</t>
  </si>
  <si>
    <t>Digital inclusive finance is a new type of financial service that combines digital finance with inclusive finance. It is of great significance for improving the accessibility of financial services for small- and medium-sized enterprises and promoting their development. In this paper, we merge the Peking University Digital Financial Inclusion Index of China with the innovation data of micro-, small-, and medium-sized enterprises (MSMEs) from the National Bureau of Statistics, verify the facilitating effect of the development of digital financial inclusion on the technological innovation of MSMEs, and explain the mechanism of the influence of digital finance on the innovation of MSMEs from the perspective of alleviating financing constraints and promoting consumption. Digital inclusive finance has a promoting effect on the technological innovation of enterprises of different technological levels, but the support for high-tech enterprises is still insufficient. The heterogeneity analysis found that there are significant differences in the regional effects of digital financial inclusion; the central and western regions compared to the eastern region have better performance of digital inclusive finance to promote enterprise innovation.</t>
  </si>
  <si>
    <t>[Sun, Jingwen; Zhang, Jie] Renmin Univ China, Sch Econ, Beijing 100872, Peoples R China</t>
  </si>
  <si>
    <t>Renmin University of China</t>
  </si>
  <si>
    <t>Sun, JW (corresponding author), Renmin Univ China, Sch Econ, Beijing 100872, Peoples R China.</t>
  </si>
  <si>
    <t>ahabbh@163.com</t>
  </si>
  <si>
    <t>10.3390/su16041404</t>
  </si>
  <si>
    <t>JH7O0</t>
  </si>
  <si>
    <t>WOS:001172340500001</t>
  </si>
  <si>
    <t>Nagaaba, N; Batamuriza, R; Basuta, J; Owomugisha, M</t>
  </si>
  <si>
    <t>Nagaaba, Nickson; Batamuriza, Rehema; Basuta, James; Owomugisha, Maryvian</t>
  </si>
  <si>
    <t>Conceptualizing digital finance as a precursor for financial inclusion and financial service usage in Uganda</t>
  </si>
  <si>
    <t>Digital finance; mobile banking; mobile money; agent banking; financial inclusion; financial services; Finance; Banking; Economics; Business, Management and Accounting</t>
  </si>
  <si>
    <t>MOBILE BANKING</t>
  </si>
  <si>
    <t>This study conceptualizes digital finance as mobile banking, mobile money, and agent banking in the context of Uganda, and quantifies their influence on the usage levels of financial services. Data were collected from 290 lead households from 15 districts of Uganda, benefiting from the Uganda Multi-Sectoral Food Security and Nutritional Project (UMFSNP). Confirmatory factor procedures confirmed the digital finance structure, and individual path coefficients were determined to explain their relationship with financial inclusion and usage of financial services. These results indicate that mobile money and agent banking are significantly associated with financial inclusion. The results indicate that only agent banking influences the usage of financial services. Mobile banking does not impact financial inclusion and the usage of financial services. This study implicates financial institutions, funding interventions, and the government of Uganda to embrace the appropriate financial services that are affordable to vulnerable people.</t>
  </si>
  <si>
    <t>[Nagaaba, Nickson; Batamuriza, Rehema; Basuta, James; Owomugisha, Maryvian] Muni Univ, Fac Management Sci, Arua City, Uganda</t>
  </si>
  <si>
    <t>Muni University</t>
  </si>
  <si>
    <t>Nagaaba, N (corresponding author), Muni Univ, Fac Management Sci, Arua City, Uganda.</t>
  </si>
  <si>
    <t>nagaabanickson@gmail.com</t>
  </si>
  <si>
    <t>Owomugisha, Maryvian/0009-0004-6578-2098</t>
  </si>
  <si>
    <t>10.1080/23311975.2024.2448285</t>
  </si>
  <si>
    <t>R1E2T</t>
  </si>
  <si>
    <t>WOS:001388964900001</t>
  </si>
  <si>
    <t>Do, AD; Ha, DL; Nguyen, AT; Le, MD; Nguyen, MHN; Dang, AQ</t>
  </si>
  <si>
    <t>Do, Anh Duc; Ha, Dieu Linh; Nguyen, Anh Tue; Le, Minh Duc; Nguyen, Minh Hoang Ngoc; Dang, Anh Quynh</t>
  </si>
  <si>
    <t>Digital transformation of online payments: interface design and customer service roles in E-wallet adoption in Vietnam</t>
  </si>
  <si>
    <t>Mobile Technology Acceptance Model; E-wallets; Gen Z; Intention; Vietnam; Asian Studies; General Psychology; Education - Social Sciences</t>
  </si>
  <si>
    <t>USER ACCEPTANCE; PERCEIVED EASE; TECHNOLOGY; INTENTION; MODEL; SECURITY; ATTITUDE; PRIVACY; IMPACT</t>
  </si>
  <si>
    <t>In the context of advancing financial inclusion in developing economies, e-wallets have emerged as essential enablers of user access and engagement. This study examines the factors influencing Generation Z's intention to adopt e-wallets, a digitally native cohort likely to drive the future of financial technology adoption. Based on a structured survey of 480 Gen Z respondents from four major cities in Vietnam, the research utilizes Partial Least Squares Structural Equation Modeling (PLS-SEM) to assess the impact of key determinants, including mobile ease of use (MEOU), mobile usefulness (MU), privacy and security (PS), interface design (ID), customer service (CS), and preferential treatment (PF). The findings indicate that MEOU, MU, PS, and PF significantly influence Gen Z's intention to use e-wallets. Moreover, ID and CS, which have received limited attention in prior models, also exhibit statistically significant effects, albeit of lesser magnitude. These results extend the Mobile Technology Acceptance Model by incorporating emerging experiential and service-related factors, providing both theoretical insights and practical recommendations for designing e-wallet platforms that meet the needs of digitally native users in emerging economies.</t>
  </si>
  <si>
    <t>[Do, Anh Duc] Natl Econ Univ, Sch Trade &amp; Int Econ, Hanoi, Vietnam; [Ha, Dieu Linh] Natl Econ Univ, Fac Econ &amp; Human Resource Management, Hanoi, Vietnam; [Nguyen, Anh Tue; Le, Minh Duc; Nguyen, Minh Hoang Ngoc; Dang, Anh Quynh] Natl Econ Univ, Sch Adv Educ Programs, Hanoi, Vietnam</t>
  </si>
  <si>
    <t>National Economics University - Vietnam; National Economics University - Vietnam; National Economics University - Vietnam</t>
  </si>
  <si>
    <t>Ha, DL (corresponding author), Natl Econ Univ, Fac Econ &amp; Human Resource Management, Hanoi, Vietnam.</t>
  </si>
  <si>
    <t>linhhd@neu.edu.vn</t>
  </si>
  <si>
    <t>Nguyen, Tuan/AAC-8994-2021</t>
  </si>
  <si>
    <t>Ha, Dieu Linh/0000-0002-6978-7409</t>
  </si>
  <si>
    <t>National Economics University, Vietnam</t>
  </si>
  <si>
    <t>This research is funded by National Economics University, Vietnam.</t>
  </si>
  <si>
    <t>10.1080/23311975.2025.2557966</t>
  </si>
  <si>
    <t>7FP4T</t>
  </si>
  <si>
    <t>WOS:001569864200001</t>
  </si>
  <si>
    <t>Shahen, AM; Sharaf, MF</t>
  </si>
  <si>
    <t>Shahen, Abdelhalem Mahmoud; Sharaf, Mesbah Fathy</t>
  </si>
  <si>
    <t>The Role of Digital Payment Technologies in Promoting Financial Inclusion: A Systematic Literature Review</t>
  </si>
  <si>
    <t>digital payment technology; financial inclusion; FinTech; mobile payment; payment; blockchain payments; systematic review; G20; O33; E42; G21; O16</t>
  </si>
  <si>
    <t>In this study, we review recent research on how digital payment technologies (DPTs) promote financial inclusion (FI) across the world. Drawing on empirical studies from the past decade, we show that digital payment systems have helped reduce financial exclusion-particularly in developing economies-by expanding access to essential financial services for underserved groups. The paper also highlights the role of demographic factors such as age and gender, with evidence of higher adoption among youth and women. We identify the main indicators used to measure digital payment adoption and FI, providing a foundation for future empirical analysis. To deepen understanding, we call for combining macroeconomic data with rigorous econometric approaches to better capture how DPTs contribute to inclusive financial systems. The paper further discusses how emerging innovations-including blockchain, artificial intelligence, cloud computing, and biometric authentication-are improving the efficiency, security, and accessibility of digital payments. Together, these technologies are likely to accelerate the transition toward fully digital financial ecosystems and expand the potential for inclusive and sustainable growth.</t>
  </si>
  <si>
    <t>[Shahen, Abdelhalem Mahmoud] Imam Mohammad Ibn Saud Islamic Univ IMSIU, Coll Business, Dept Finance, Riyadh 11432, Saudi Arabia; [Sharaf, Mesbah Fathy] Univ Alberta, Fac Arts, Dept Econ, Edmonton, AB T6G 2H4, Canada</t>
  </si>
  <si>
    <t>Imam Mohammad Ibn Saud Islamic University (IMSIU); University of Alberta</t>
  </si>
  <si>
    <t>Sharaf, MF (corresponding author), Univ Alberta, Fac Arts, Dept Econ, Edmonton, AB T6G 2H4, Canada.</t>
  </si>
  <si>
    <t>amshahen@imamu.edu.sa; sharaf@ualberta.ca</t>
  </si>
  <si>
    <t>Sharaf, Mesbah/AGV-8732-2022</t>
  </si>
  <si>
    <t>Deanship of Scientific Research at Imam Mohammad Ibn Saud Islamic University (IMSIU) [IMSIU-DDRSP2504]</t>
  </si>
  <si>
    <t>Deanship of Scientific Research at Imam Mohammad Ibn Saud Islamic University (IMSIU)(Imam Mohammad Ibn Saud Islamic University (IMSIU))</t>
  </si>
  <si>
    <t>This work was supported and funded by the Deanship of Scientific Research at Imam Mohammad Ibn Saud Islamic University (IMSIU) (grant number IMSIU-DDRSP2504).</t>
  </si>
  <si>
    <t>OCT 31</t>
  </si>
  <si>
    <t>10.3390/fintech4040059</t>
  </si>
  <si>
    <t>AF9ZA</t>
  </si>
  <si>
    <t>WOS:001647231800001</t>
  </si>
  <si>
    <t>Bui, MT; Luong, TNO</t>
  </si>
  <si>
    <t>Bui, MinhTam Thi; Luong, Thi Ngoc Oanh</t>
  </si>
  <si>
    <t>Financial inclusion for the elderly in Thailand and the role of information communication technology</t>
  </si>
  <si>
    <t>BORSA ISTANBUL REVIEW</t>
  </si>
  <si>
    <t>Aging; Digital banking; Financial inclusion; Global findex; ICT; Mobile money; Thailand</t>
  </si>
  <si>
    <t>One of the financially vulnerable groups is older people, who receive little attention in the financial inclusion literature. The elderly is financially excluded in Thailand, an emerging economy with high financial inclusion and rapid aging of the population. Using the Findex survey data 2017, we construct financial inclusion (FI) scores with five measures and explore the influence of aging, mobile phones, and mobile money, controlling for individual characteristics. Among non-account holders, more than half are older than 55 years old. A significantly negative association between FI and age/age group is confirmed. We also prove the positive effect of mobile phones and mobile money on FI scores, by 0.48-0.49 percentage points. This study sheds light on the drivers of mobile banking among the elderly with Thai ICT data, showing that low internet access and mobile phone use are the biggest barriers to financial inclusion. No gender disparity in FI is found. Copyright &amp; COPY; 2023 Borsa Istanbul Anonim S, irketi. Published by Elsevier B.V. This is an open access article under the CC BY-NC-ND license (http://creativecommons.org/licenses/by-nc-nd/4.0/).</t>
  </si>
  <si>
    <t>[Bui, MinhTam Thi] Srinakharinwirot Univ, Fac Econ, 114 Sukhumvit 23, Bangkok 10110, Thailand; [Luong, Thi Ngoc Oanh] Foreign Trade Univ, Fac Int Econ, 91 Chua Lang St, Hanoi 10000, Vietnam</t>
  </si>
  <si>
    <t>Srinakharinwirot University; Foreign Trade University FTU</t>
  </si>
  <si>
    <t>Bui, MT (corresponding author), Srinakharinwirot Univ, Fac Econ, 114 Sukhumvit 23, Bangkok 10110, Thailand.</t>
  </si>
  <si>
    <t>buithiminh@g.swu.ac.th; luongngoc.oanh@ftu.edu.vn</t>
  </si>
  <si>
    <t>BUI, MinhTam/GRR-7131-2022</t>
  </si>
  <si>
    <t>Faculty of Economics, Srinakhairnwirot University</t>
  </si>
  <si>
    <t>This research received a seed grant from the Faculty of Economics, Srinakhairnwirot University for which we are very grateful. We thank the National Statistical Office of Thailand and the Global Findex World Bank for data provision. Comments and suggestions from the anonymous reviewers on the previous version of this paper are highly appreciated. A usual disclaimer applies.</t>
  </si>
  <si>
    <t>2214-8450</t>
  </si>
  <si>
    <t>2214-8469</t>
  </si>
  <si>
    <t>BORSA ISTANB REV</t>
  </si>
  <si>
    <t>Borsa Istanb. Rev.</t>
  </si>
  <si>
    <t>10.1016/j.bir.2023.02.003</t>
  </si>
  <si>
    <t>P0BA3</t>
  </si>
  <si>
    <t>WOS:001047366500001</t>
  </si>
  <si>
    <t>Bekele, WD</t>
  </si>
  <si>
    <t>Bekele, Wuddasie Dereje</t>
  </si>
  <si>
    <t>Determinants of Financial Inclusion: A Comparative Study of Kenya and Ethionia</t>
  </si>
  <si>
    <t>Financial inclusion; index of financial inclusion; comparative study; transaction cost; mobile money; financial freedom</t>
  </si>
  <si>
    <t>This study conducts a comparative analysis of the factors affecting financial inclusion in Kenya and Ethiopia at macro and micro levels. A generalized linear model is used to examine the determinants of and barriers to financial inclusion using the 2017 Global Findex Database, whereas a descriptive analysis is used to explore their macro-level differences. Kenya has a higher level of financial inclusion than Ethiopia. Differences in financial liberalization policy, gross domestic product, percentage of rural population, and mobile money service expansion are some macro-level differences that explain this variation. Differences in literacy rates and means of receiving payments such as government transfers explain some of the micro-level variations between the two countries. In addition, gender, age, employment status, and owning a mobile phone have significant and positive effects on financial inclusion. However, lack of documentation, lack of trust, and lack of money are significant barriers to financial inclusion.</t>
  </si>
  <si>
    <t>[Bekele, Wuddasie Dereje] Norwegian Univ Life Sci, Sch Econ &amp; Business, POB 5003, N-1432 As, Norway</t>
  </si>
  <si>
    <t>Norwegian University of Life Sciences</t>
  </si>
  <si>
    <t>Bekele, WD (corresponding author), Norwegian Univ Life Sci, Sch Econ &amp; Business, POB 5003, N-1432 As, Norway.</t>
  </si>
  <si>
    <t>wuddasie.dereje.bekele@nmbu.no</t>
  </si>
  <si>
    <t>Bekele, Wuddasie/0000-0001-6858-4258</t>
  </si>
  <si>
    <t>Norges Miljo-og Biovitenskapelige Universitet</t>
  </si>
  <si>
    <t>This work was supported by Norges Miljo-og Biovitenskapelige Universitet;</t>
  </si>
  <si>
    <t>2022 MAY 20</t>
  </si>
  <si>
    <t>10.1080/15228916.2022.2078938</t>
  </si>
  <si>
    <t>1N8AQ</t>
  </si>
  <si>
    <t>WOS:000800872000001</t>
  </si>
  <si>
    <t>Wang, J; Yu, XH; Lyu, KY; Feil, JH</t>
  </si>
  <si>
    <t>Wang, Jing; Yu, Xiaohua; Lyu, Kaiyu; Feil, Jan-Henning</t>
  </si>
  <si>
    <t>The Impact of Mobile Finance Use on Livelihoods of Farmers in Rural China</t>
  </si>
  <si>
    <t>Mobile finance; financial inclusion; household livelihood; China</t>
  </si>
  <si>
    <t>M-PESA; MONEY; RISK; CONSUMPTION; TRANSITION; POVERTY; PAYMENT; REGION</t>
  </si>
  <si>
    <t>Mobile finance plays an important role in supporting productive activities and improving the basic livelihoods of rural households. Using three-round panel data and employing control function approach to address the self-selection bias issue, this study shows that mobile finance use significantly increases farmers' livelihoods, measured by farm income and per capita consumption in China, with a larger marginal effect for smallholders and credit-constrained farmers. We further divide mobile finance into two types and reveal that the mobile payment use plays a larger role in farm income, while the mobile banking use has a larger impact on household consumption.</t>
  </si>
  <si>
    <t>[Wang, Jing; Lyu, Kaiyu] Chinese Acad Agr Sci, Inst Agr Econ &amp; Dev, Beijing, Peoples R China; [Yu, Xiaohua] Georg August Univ Gottingen, Dept Agr Econ &amp; Rural Dev, Gottingen, Germany; [Feil, Jan-Henning] South Westphalia Univ Appl Sci, Dept Agr, Lubecker Ring 2,Room 01-207, D-59494 Soest, Germany</t>
  </si>
  <si>
    <t>Chinese Academy of Agricultural Sciences; Institute of Agricultural Economics &amp; Development, CAAS; University of Gottingen</t>
  </si>
  <si>
    <t>Feil, JH (corresponding author), South Westphalia Univ Appl Sci, Dept Agr, Lubecker Ring 2,Room 01-207, D-59494 Soest, Germany.</t>
  </si>
  <si>
    <t>feil.jan-henningi@fh-swf.de</t>
  </si>
  <si>
    <t>lyu, kaiyu/JWA-2751-2024; Yu, Xiaohua/LYO-0402-2024</t>
  </si>
  <si>
    <t>Yu, Xiaohua/0000-0003-4257-8081</t>
  </si>
  <si>
    <t>China Scholarship Council [201903250084]; National Natural Science Foundation of China [71573262, 71761147004, 71973138]; Agricultural Science and Technology Innovation Program of Chinese Academy of Agricultural Sciences [ASTIP-IAED-2021-03]</t>
  </si>
  <si>
    <t>China Scholarship Council(China Scholarship CouncilInstituto Politecnico Nacional - Mexico); National Natural Science Foundation of China(National Natural Science Foundation of China (NSFC)); Agricultural Science and Technology Innovation Program of Chinese Academy of Agricultural Sciences</t>
  </si>
  <si>
    <t>This work was supported by the China Scholarship Council [201903250084]; National Natural Science Foundation of China [71573262,71761147004,71973138]; Agricultural Science and Technology Innovation Program of Chinese Academy of Agricultural Sciences [ASTIP-IAED-2021-03].</t>
  </si>
  <si>
    <t>AUG 9</t>
  </si>
  <si>
    <t>10.1080/1540496X.2021.2013195</t>
  </si>
  <si>
    <t>2E0UK</t>
  </si>
  <si>
    <t>WOS:000736035100001</t>
  </si>
  <si>
    <t>Menon, P</t>
  </si>
  <si>
    <t>Menon, Priyanka</t>
  </si>
  <si>
    <t>Financial inclusion, banking the unbanked: Concepts, issues, and policies for India</t>
  </si>
  <si>
    <t>We use the data from World Bank Global Findex for the year 2011 , 2014 and 2017 to understand financial inclusion in India, at the same time we compare India's situation with the other BRICS nations. We fathom the fact that financial inclusion is definitely the way forward for an economy to achieve inclusive growth. Financial inclusion is just not an economic concept rather it is termed as a socio-economic concept, as it helps people have a security for future life through access to education and health facility, a secure future and better standard of living. In India we see the barriers to inclusion are predominately caused by voluntary exclusion, and though policies will help to reach out but the ultimate goal of financial inclusion could be only achieved through improving awareness and financial literacy in India. Thus financial inclusion should be backed by financial literacy to get the best results.</t>
  </si>
  <si>
    <t>[Menon, Priyanka] Inst Financial Management &amp; Res, Dept Econ, 24 Kothari Rd, Chennai 600034, Tamil Nadu, India</t>
  </si>
  <si>
    <t>KREA University; IFMR - Graduate School of Business (GSB)</t>
  </si>
  <si>
    <t>Menon, P (corresponding author), Inst Financial Management &amp; Res, Dept Econ, 24 Kothari Rd, Chennai 600034, Tamil Nadu, India.</t>
  </si>
  <si>
    <t>priyanka.hmenon@gmail.com</t>
  </si>
  <si>
    <t>menon, priyanka/0000-0002-6420-7823</t>
  </si>
  <si>
    <t>e1911</t>
  </si>
  <si>
    <t>10.1002/pa.1911</t>
  </si>
  <si>
    <t>HZ4SH</t>
  </si>
  <si>
    <t>WOS:000468839500025</t>
  </si>
  <si>
    <t>Stapleton, T</t>
  </si>
  <si>
    <t>Stapleton, Tim</t>
  </si>
  <si>
    <t>UNLOCKING THE TRANSFORMATIVE POTENTIAL OF BRANCHLESS BANKING IN INDONESIA</t>
  </si>
  <si>
    <t>BULLETIN OF INDONESIAN ECONOMIC STUDIES</t>
  </si>
  <si>
    <t>financial inclusion; branchless banking; mobile money; network effects</t>
  </si>
  <si>
    <t>Branchless banking has the potential to significantly enhance financial inclusion among Indonesia's large and geographically disparate unbanked population and to connect Indonesia's micro, small and medium enterprises to the global economy. Why has the branchless-banking revolution not yet materialised? Constrained by regulation, deployments have failed to attract a critical mass of users. Indonesia's fragmented telecommunications sector has made it difficult for providers to emulate the success stories in other countries, in which dominant providers are competing for the market with a proprietary platform. In Indonesia, it is likely that a considerable degree of interoperability will be required for providers to unleash network effects and attract users. Indonesia's providers are experimenting in this space. Recognising branchless banking's potential to accelerate financial inclusion, Bank Indonesia appears committed to improving the regulatory framework. This article identifies the components of an enabling regulatory environment. Success in Indonesia would provide a model for a more widespread uptake of transformative branchless banking.</t>
  </si>
  <si>
    <t>Australian Natl Univ, Crawford Sch Publ Policy, Canberra, ACT 0200, Australia</t>
  </si>
  <si>
    <t>Australian National University</t>
  </si>
  <si>
    <t>Stapleton, T (corresponding author), Australian Natl Univ, Crawford Sch Publ Policy, Canberra, ACT 0200, Australia.</t>
  </si>
  <si>
    <t>0007-4918</t>
  </si>
  <si>
    <t>1472-7234</t>
  </si>
  <si>
    <t>B INDONES ECON STUD</t>
  </si>
  <si>
    <t>Bull. Indones. Econ. Stud.</t>
  </si>
  <si>
    <t>10.1080/00074918.2013.850633</t>
  </si>
  <si>
    <t>268TH</t>
  </si>
  <si>
    <t>WOS:000328192900006</t>
  </si>
  <si>
    <t>Nandru, P; Chendragiri, M; Arulmurugan, V</t>
  </si>
  <si>
    <t>Nandru, Prabhakar; Chendragiri, Madhavaiah; Arulmurugan, Velayutham</t>
  </si>
  <si>
    <t>Socioeconomic determinants of ownership of payment cards, mobile money account, and government remittances of digital financial services: evidence from India</t>
  </si>
  <si>
    <t>COVID-19; Digital financial services; Digital financial inclusion; Digital payments; Digital receipts; Mobile money account</t>
  </si>
  <si>
    <t>INCLUSION; ADOPTION</t>
  </si>
  <si>
    <t>PurposeThis paper aims to measure the extent of digital financial inclusion (DFI) and examine the effect of socioeconomic characteristics on using government remittances and the adoption of digital financial services (DFS) during the COVID-19 pandemic.Design/methodology/approachThe World Bank Global Financial Inclusion (Global Findex) database 2021 is used in this study, with a sample size of 3,000 Indian individuals. The study measured the demand-side analysis of DFI, namely, accessibility and usage of DFS with selected socioeconomic characteristics such as gender, age, income, education, being in the workforce and residential status of respondents. The dependent variable is binary in nature; therefore, the logistic regression model is used for the data analysis.FindingsThe results of the study reveal that individuals' socioeconomic factors, such as female, all the age groups, tertiary education, third- and fourth-income quintile and workforce, are found to have a significant association with accessibility, an exogenous variable of DFS. Besides, respondents' socioeconomic attributes, namely, female, tertiary education, income for all quintiles and workforce, are more likely to use DFSs in the COVID-19 pandemic. The study also finds the residential status of individuals is influencing the accessibility and usage of DFS.Practical implicationsThe findings of the study provide valuable insights to the service providers and policymakers regarding the rapid expansion of DFS by digital infrastructure, simplifying the banking procedures and highlighting the importance of digital financial literacy to accomplish government goals through serving the unbanked population and also design strategies for achieving the objectives of Digital India: Faceless, Paperless, and Cashless of DFI across the country.Originality/valueNotable studies used World Bank Findex survey data to explore the determinants of financial inclusion in general. This research is one among the few studies to explore the determinants of India's DFI. Moreover, this study measured the effect of individual socioeconomic attributes on the adoption of DFSs during the COVID-19 pandemic, which has not been included in prior studies. Therefore, this study has added value to the existing literature on financial technology innovation and DFS for the sustainable development of emerging nations.</t>
  </si>
  <si>
    <t>[Nandru, Prabhakar; Chendragiri, Madhavaiah] Pondicherry Univ, Dept Management, Karaikal, India; [Arulmurugan, Velayutham] Pondicherry Univ, Dept Commerce, Karaikal, India</t>
  </si>
  <si>
    <t>Pondicherry University; Pondicherry University</t>
  </si>
  <si>
    <t>Nandru, P (corresponding author), Pondicherry Univ, Dept Management, Karaikal, India.</t>
  </si>
  <si>
    <t>prabhakarnandru2020@gmail.com; drcmadhavaiah@gmail.com; drvamcs@gmail.com</t>
  </si>
  <si>
    <t>Chendragiri, Madhavaiah/ABF-5225-2020; Arulmurugan, Velayutham/HJA-9615-2022</t>
  </si>
  <si>
    <t>World Bank</t>
  </si>
  <si>
    <t>World Bank(The World Bank India)</t>
  </si>
  <si>
    <t>The authors acknowledge the World Bank for using its Global Findex Database 2021 in this study.</t>
  </si>
  <si>
    <t>FEB 22</t>
  </si>
  <si>
    <t>10.1108/JFEP-07-2023-0176</t>
  </si>
  <si>
    <t>JS2L1</t>
  </si>
  <si>
    <t>WOS:001130137300001</t>
  </si>
  <si>
    <t>Peng, P; Mao, H</t>
  </si>
  <si>
    <t>Peng, Peng; Mao, Hui</t>
  </si>
  <si>
    <t>The Effect of Digital Financial Inclusion on Relative Poverty Among Urban Households: A Case Study on China</t>
  </si>
  <si>
    <t>Digital financial inclusion; Entrepreneurship; Financial market; Relative poverty; Urban households</t>
  </si>
  <si>
    <t>POOR; REDUCTION; ISSUES; HEALTH</t>
  </si>
  <si>
    <t>This study examines the effect of digital financial inclusion on relative poverty among urban households in China. Based on the data of the China Family Panel Studies and the Peking University Digital Financial Inclusion Index of China, using the weak relative poverty line to identify relative poverty among urban households, we use a probit model, a mediating effect model, and an instrumental variable method to conduct empirical research. The results reveal that digital financial inclusion helps reduce the probability that urban households will fall into relative poverty. Digital financial inclusion not only promotes entrepreneurship by urban households but also increases their participation in the financial market. The increase in their income flow can be translated into an improvement in the stock of wealth, enabling them to avoid falling into relative poverty. But this effect is heterogeneous. Digital investment and digital credit play more important roles than digital payment. It is also more pronounced in households with higher financial literacy and households in smaller cities. In addition, regardless of how the relative poverty line and digital financial inclusion are calculated, our results are robust. The research in this study is important for a comprehensive understanding of the development of digital financial inclusion and urban relative poverty in developing countries such as China.</t>
  </si>
  <si>
    <t>[Peng, Peng] Nanjing Agr Univ, Coll Finance, Nanjing, Peoples R China; [Mao, Hui] Shaanxi Normal Univ, Northwest Inst Hist Environm &amp; Socioecon Dev, Xian, Peoples R China</t>
  </si>
  <si>
    <t>Nanjing Agricultural University; Shaanxi Normal University</t>
  </si>
  <si>
    <t>Mao, H (corresponding author), Shaanxi Normal Univ, Northwest Inst Hist Environm &amp; Socioecon Dev, Xian, Peoples R China.</t>
  </si>
  <si>
    <t>pengpeng@njau.edu.cn</t>
  </si>
  <si>
    <t>National Natural Science Foundation of China [72103115]; National Social Science Fund of China [19ZDA117]; Special Project of National Natural Science Foundation of China [72141011]</t>
  </si>
  <si>
    <t>National Natural Science Foundation of China(National Natural Science Foundation of China (NSFC)); National Social Science Fund of China; Special Project of National Natural Science Foundation of China(National Natural Science Foundation of China (NSFC))</t>
  </si>
  <si>
    <t>This work was supported by the National Natural Science Foundation of China (72103115); the National Social Science Fund of China (19ZDA117); the Special Project of National Natural Science Foundation of China (72141011).</t>
  </si>
  <si>
    <t>10.1007/s11205-022-03019-z</t>
  </si>
  <si>
    <t>G4ZU5</t>
  </si>
  <si>
    <t>WOS:000869229400001</t>
  </si>
  <si>
    <t>Canatan, B; Akboz-Caner, A; Özbilge, G</t>
  </si>
  <si>
    <t>Canatan, Behice; Akboz-Caner, Ayse; Ozbilge, Gokhan</t>
  </si>
  <si>
    <t>Dynamics of Digital Financial Inclusion in Türkiye</t>
  </si>
  <si>
    <t>ISTANBUL BUSINESS RESEARCH</t>
  </si>
  <si>
    <t>Digital financial inclusion; Financial behaviours; Socioeconomic factors; Ordered logit; Global findex</t>
  </si>
  <si>
    <t>This study examined the dynamics of different levels of digital financial inclusion (DFI) in T &amp; uuml;rkiye within the framework of individuals' basic financial behaviours and socioeconomic conditions and investigated factors that may affect the utilisa-tion rate of DFI. Accordingly, findings from the 2017-2021 World Bank Global Findex dataset were estimated using the ordered logit model. The concept of DFI, which is becoming increasingly important, underscores that financial systems should have two basic conditions. First, the ability of those who can access financial systems digitally should be as high as possible. Second, these actors with access to financial systems should also have sufficient utilisation rates of the relevant financial instruments. In this respect, by focusing on the determinants of this second condition, the study fills a gap in the literature and provides clues for policy recommendations. These findings provide empirical evidence for our motivation. In this respect, the results clearly show that socioeconomic factors, such as education level and income level, as well as financial behaviours, such as formal savings and borrowing, should be taken into account when expanding DFI.</t>
  </si>
  <si>
    <t>[Canatan, Behice; Akboz-Caner, Ayse] Tarsus Univ, Dept Finance &amp; Banking, Mersin, Turkiye; [Ozbilge, Gokhan] Istanbul Gelisim Univ, Dept Int Trade &amp; Finance, Istanbul, Turkiye</t>
  </si>
  <si>
    <t>Tarsus University; Istanbul Gelisim University</t>
  </si>
  <si>
    <t>Canatan, B (corresponding author), Tarsus Univ, Dept Finance &amp; Banking, Mersin, Turkiye.</t>
  </si>
  <si>
    <t>behice_canatan@tarsus.edu.tr; ayse_akboz@tarsus.edu.tr; gozbilge@gelisim.edu.tr</t>
  </si>
  <si>
    <t>Caner, Ayse/PFQ-9162-2025; Özbilge, Gökhan/HZL-5779-2023</t>
  </si>
  <si>
    <t>Canatan, Behice/0000-0001-9588-386X; Özbilge, Gökhan/0000-0002-9060-091X</t>
  </si>
  <si>
    <t>ISTANBUL UNIV, SCH BUSINESS</t>
  </si>
  <si>
    <t>ISTANBUL UNIV, SCH BUSINESS, ISTANBUL, 34322, Turkiye</t>
  </si>
  <si>
    <t>2630-5488</t>
  </si>
  <si>
    <t>ISTANB BUS RES</t>
  </si>
  <si>
    <t>Istanb. Bus. Res.</t>
  </si>
  <si>
    <t>10.26650/ibr.2024.53.1232448</t>
  </si>
  <si>
    <t>I9W8M</t>
  </si>
  <si>
    <t>WOS:001333691100003</t>
  </si>
  <si>
    <t>FINANCIAL INCLUSION: GLOBALLY IMPORTANT DETERMINANTS</t>
  </si>
  <si>
    <t>financial inclusion; determinants; unbanked adults; access to finance; digital finance; financial literacy</t>
  </si>
  <si>
    <t>SERVICES; LITERACY; POLICIES; POOR</t>
  </si>
  <si>
    <t>This paper highlights the globally-important determinants of financial inclusion. The determinants identified in this paper are formal account ownership; demand for formal savings; demand for formal borrowing; financial literacy and education; debit and credit card usage; the need to receive remittances from family and friends; size of the financial system; number of automated teller machines (ATMs); number of bank branches; proximity to a bank; availability and access to mobile phones; availability of digital financial products and services; technology infrastructure; government policy; culture and traditional belief systems; national financial inclusion strategy and implementation; and direct legislation.</t>
  </si>
  <si>
    <t>Ozili, Peterson K/A-8418-2015</t>
  </si>
  <si>
    <t>Ozili, Peterson K/0000-0001-6292-1161</t>
  </si>
  <si>
    <t>10.2478/fiqf-2021-0023</t>
  </si>
  <si>
    <t>YE4AT</t>
  </si>
  <si>
    <t>WOS:000741070400001</t>
  </si>
  <si>
    <t>Cuenca-Enrique, C; Elvira-Cruz, I; Del-Río-Carazo, L; Iglesias-Pradas, S</t>
  </si>
  <si>
    <t>Morales-Alonso, G; Schiuma, G</t>
  </si>
  <si>
    <t>Cuenca-Enrique, Carlos; Elvira-Cruz, Ignacio; Del-Rio-Carazo, Laura; Iglesias-Pradas, Santiago</t>
  </si>
  <si>
    <t>Development of a Framework to Select Mobile Payment Systems for the Bottom of the Pyramid</t>
  </si>
  <si>
    <t>19TH INTERNATIONAL FORUM ON KNOWLEDGE ASSET DYNAMICS, IFKAD 2024</t>
  </si>
  <si>
    <t>Proceedings IFKAD</t>
  </si>
  <si>
    <t>19th International Forum on Knowledge Assets Dynamics-IFKAD</t>
  </si>
  <si>
    <t>JUN 12-14, 2024</t>
  </si>
  <si>
    <t>Madrid, SPAIN</t>
  </si>
  <si>
    <t>Mobile payments; Bottom of the pyramid; Technology selection</t>
  </si>
  <si>
    <t>This study addresses the challenge of enhancing financial inclusion for the Bottom of the Pyramid (BOP) population through the selection of appropriate mobile payment technologies. Despite the increasing digitization of banking processes, a significant portion of adults in developing countries remains excluded from the formal banking system. This research aims to develop a robust methodology for selecting mobile payment technologies tailored to the unique needs and constraints of the BOP demographic. Building upon existing research, the proposed methodology outlines a systematic process for evaluating and prioritizing mobile payment technologies for BOP communities. The methodology begins with a comprehensive user characterization, followed by technology identification and user base analysis. The prioritization step involves assessing each technology against predefined criteria, including ease of integration, scalability, security, and provider trustworthiness. Cost assessment and usability evaluation further refine the selection process, ensuring affordability and user-friendliness. The study offers valuable insights for stakeholders seeking to promote financial inclusion.</t>
  </si>
  <si>
    <t>[Cuenca-Enrique, Carlos; Elvira-Cruz, Ignacio; Del-Rio-Carazo, Laura; Iglesias-Pradas, Santiago] Univ Politecn Madrid, Dept Ingn Org Adm Empresas &amp; Estadist, Ave Complutense 30, Madrid 28040, Spain</t>
  </si>
  <si>
    <t>Universidad Politecnica de Madrid</t>
  </si>
  <si>
    <t>Cuenca-Enrique, C (corresponding author), Univ Politecn Madrid, Dept Ingn Org Adm Empresas &amp; Estadist, Ave Complutense 30, Madrid 28040, Spain.</t>
  </si>
  <si>
    <t>Iglesias-Pradas, Santiago/K-4319-2014; del Rio Carazo, Laura/ABG-9840-2020; Cuenca, Carlos/OZF-5759-2025</t>
  </si>
  <si>
    <t>IKAM-INST KNOWLEDGE ASSET MANAGEMENT</t>
  </si>
  <si>
    <t>MATERA</t>
  </si>
  <si>
    <t>VIA D SCHIAVONE 1, MATERA, MT 75100, ITALY</t>
  </si>
  <si>
    <t>2280-787X</t>
  </si>
  <si>
    <t>978-88-96687-17-8</t>
  </si>
  <si>
    <t>PR IFKAD</t>
  </si>
  <si>
    <t>Business; Computer Science, Interdisciplinary Applications; Information Science &amp; Library Science</t>
  </si>
  <si>
    <t>Business &amp; Economics; Computer Science; Information Science &amp; Library Science</t>
  </si>
  <si>
    <t>BZ0FK</t>
  </si>
  <si>
    <t>WOS:001524978800181</t>
  </si>
  <si>
    <t>Hou, ZK; Xu, J; Choi, Y; Ma, Y</t>
  </si>
  <si>
    <t>Hou, Zaikun; Xu, Jing; Choi, Yongrok; Ma, Yunning</t>
  </si>
  <si>
    <t>The Impact of Digital Financial Inclusion on Household Commercial Insurance for Sustainable Governance Mechanisms under Regional Group Differences</t>
  </si>
  <si>
    <t>governance; digital financial inclusion; business insurance; financial literacy; human interest spending</t>
  </si>
  <si>
    <t>AIR-POLLUTION; DEMAND; RISK</t>
  </si>
  <si>
    <t>This study explores the nexus between digital financial inclusion and household participation in commercial insurance, utilizing data from the Peking University Digital Financial Inclusion Index and the 2018 CFPS database. Using Probit and Logit models, our research uncovers significant regional and risk -preference variations, emphasizing the influence of governance mechanisms. The study underscores the pivotal role of digital participation in a sustainable governance mechanism in shaping financial behavior, as well as the importance of advocating for regulatory interventions, enhanced financial literacy, and infrastructure development to foster equitable insurance access. Moreover, positive determinants, such as education level and social insurance participation, are identified, while discretionary spending emerges as a barrier. This study advocates for expedited digital financial inclusion initiatives to increase financial literacy with strengthened regulatory oversight and governance mechanisms which would ensure sustainable regional development and insurance market resilience.</t>
  </si>
  <si>
    <t>[Hou, Zaikun] Shandong Univ, Inst Blue &amp; Green Dev, Weihai 264209, Peoples R China; [Xu, Jing] Shandong Univ Finance &amp; Econ, Dongfang Coll, Tai An 271000, Peoples R China; [Choi, Yongrok; Ma, Yunning] Inha Univ, Program Ind Secur Governance, Incheon 22212, South Korea</t>
  </si>
  <si>
    <t>Shandong University; Inha University</t>
  </si>
  <si>
    <t>Choi, Y; Ma, Y (corresponding author), Inha Univ, Program Ind Secur Governance, Incheon 22212, South Korea.</t>
  </si>
  <si>
    <t>202221121@mail.sdu.edu.cn; b1901570@helplive.edu.my; yrchoi@inha.ac.kr; mayunning666@inha.edu</t>
  </si>
  <si>
    <t>Choi, Yongrok/GRJ-6248-2022; MA, YUNNING/JDM-5137-2023</t>
  </si>
  <si>
    <t>Choi, Yongrok/0000-0003-1935-2172; Xu, Jing/0009-0007-3825-2173;</t>
  </si>
  <si>
    <t>Inha University Research Grant</t>
  </si>
  <si>
    <t>This research was supported by an Inha University Research Grant.</t>
  </si>
  <si>
    <t>10.3390/su16093596</t>
  </si>
  <si>
    <t>QG9N9</t>
  </si>
  <si>
    <t>WOS:001219845300001</t>
  </si>
  <si>
    <t>Desai, R; Bhatt, K</t>
  </si>
  <si>
    <t>Desai, Rajesh; Bhatt, Kedar</t>
  </si>
  <si>
    <t>Digital finance and personality traits interplay in determining central bank digital currency adoption: extending the technology acceptance perspective</t>
  </si>
  <si>
    <t>CBDC; Digital financial literacy; Digital financial inclusion; Personality traits; Technology acceptance model (TAM)</t>
  </si>
  <si>
    <t>SELF-SERVICE; PERCEIVED USEFULNESS; COMPUTER ANXIETY; MODEL; ATTITUDES; VARIABLES; EFFICACY; IMPACT; EASE</t>
  </si>
  <si>
    <t>Purpose- The study investigates how individual differences, in terms of users' digital financial profiles and personality traits, affect their technological perceptions of the central banking digital currency (CBDC). In addition to examining direct effects, the study also assesses the moderating role of personality traits and digital financial profiles. Design/methodology/approach-The study developed a structured questionnaire to collect users' responses on key constructs incorporated in the model. The measurement items for the constructs were adopted from existing literature and modified to fit the context of CBDC. Data were collected from 657 users of financial services. The proposed relationships were tested using structural equation modelling (SEM) with Analysis of Moment Structures (AMOS) 20, and a multi-group moderation approach was employed to examine the moderating effects. Findings-The findings indicate that digital financial literacy (DFLT) and financial inclusion significantly influence users' perception of ease of use and usefulness of CBDC, respectively. Further, perceived usefulness has a significant effect on users' intention to use CBDC for financial transactions. The results also supported the moderating effect of personality traits and digital financial profile in the relationship between perception and usage intention toward CBDC. Practical implications-The findings on the role of core technology acceptance model variables in CBDC adoption bear important implications. Moreover, the influence of users' digital financial profiles suggests that policymakers should prioritize enhancing DFLT and digital financial inclusion (DFIN) to promote CBDC adoption. The moderating role of personality traits signifies the need to consider individual differences when strategizing initiatives to accelerate CBDC adoption. Originality/value-No previous study has provided a comprehensive measure of users' digital financial profiles or assessed their role in CBDC adoption. This study fills this gap by conceptualizing a digital financial profile in terms of DFLT and DFIN and examining its impact on CBDC adoption. Moreover, it explores the moderating role of personality traits in CBDC adoption-an area that has remained unexplored in existing literature.</t>
  </si>
  <si>
    <t>[Desai, Rajesh] Pandit Deendayal Energy Univ, Sch Liberal Studies, Dept Business Adm &amp; Commerce, Gandhinagar, India; [Bhatt, Kedar] Narayana Business Sch, Ahmadabad, India</t>
  </si>
  <si>
    <t>Pandit Deendayal Energy University</t>
  </si>
  <si>
    <t>Bhatt, K (corresponding author), Narayana Business Sch, Ahmadabad, India.</t>
  </si>
  <si>
    <t>rajesh.desai8@gmail.com; bhattkedar06@gmail.com</t>
  </si>
  <si>
    <t>Desai, Rajesh/AAZ-6277-2021; Bhatt, Kedar/ABX-4804-2022</t>
  </si>
  <si>
    <t>2025 OCT 9</t>
  </si>
  <si>
    <t>10.1108/IJBM-02-2025-0154</t>
  </si>
  <si>
    <t>OCT 2025</t>
  </si>
  <si>
    <t>8JL5I</t>
  </si>
  <si>
    <t>WOS:001590124400001</t>
  </si>
  <si>
    <t>Understanding the greater diffusion of mobile money innovations in Africa</t>
  </si>
  <si>
    <t>E-WALLET PROGRAM; FINANCIAL INCLUSION; BANKING; REPLICATION; SERVICES; GROWTH; BENCHMARKING; INEQUALITY; TELEPHONY; EDUCATION</t>
  </si>
  <si>
    <t>The present research extends Lashitew et al. (2019, RP) in order to understand the greater diffusion of mobile money innovations in Africa. To make this assessment, a comparative analysis is engaged between sampled African countries and the corresponding sampled developing countries. Three main types of predictor groups are used for the study, namely: demand, supply and macro-level factors. The empirical evidence is based on Tobit regressions. The tested hypothesis is confirmed because from a comparative analysis between African-specific estimates and those of the sampled countries, not all factors driving mobile money innovations in Africa are apparent in the findings of Lashitew et al. (2019). An extended analysis is also performed to take on board the concern of multicollinearity from which, the best estimators from the study are derived. Comparative findings from correlation analysis show that an African specificity is largely traceable to the `unique mobile subscription rate' variable. An in-depth empirical analysis further confirms an African specificity in the outcome variables (especially in the mobile used to send/ receive money) which, may be traceable to informal sector variables not documented in Lashitew et al. (2019). Scholarly and policy implications are discussed.</t>
  </si>
  <si>
    <t>[Asongu, Simplice A.] Univ South Africa, Dept Econ, POB 392,UNISA 0003, Pretoria, South Africa; [Biekpe, Nicholas] Univ Cape Town, Dev Finance Ctr, Grad Sch Business, Cape Town, South Africa; [Cassimon, Danny] Univ Antwerp, Inst Dev Policy Stadscampus, Lange Sint Annastr 7, B-2000 Antwerp, Belgium</t>
  </si>
  <si>
    <t>Asongu, SA (corresponding author), Univ South Africa, Dept Econ, POB 392,UNISA 0003, Pretoria, South Africa.</t>
  </si>
  <si>
    <t>Cassimon, Danny/D-8609-2016; Biekpe, Nicholas/AHB-9529-2022; Asongu, Simplice/K-3436-2014</t>
  </si>
  <si>
    <t>Cassimon, Danny/0000-0002-0460-3488; Biekpe, Nicholas/0000-0002-9702-1232;</t>
  </si>
  <si>
    <t>10.1016/j.telpol.2020.102000</t>
  </si>
  <si>
    <t>NX7VD</t>
  </si>
  <si>
    <t>WOS:000575913000004</t>
  </si>
  <si>
    <t>Su, FF; Tao, SM; Ying, RY</t>
  </si>
  <si>
    <t>Su, Fangfang; Tao, Sumin; Ying, Ruiyao</t>
  </si>
  <si>
    <t>Agricultural transformation in the digital age: Digital inclusive finance and the development of new agricultural business entities</t>
  </si>
  <si>
    <t>Digital financial inclusion; New agricultural business entities; Credit constraints; Financial Service Accessibility; Agricultural Transformation</t>
  </si>
  <si>
    <t>LAND RIGHTS</t>
  </si>
  <si>
    <t>Capital and land are two critical production factors for the development of new agricultural business entities. However, existing research has paid relatively little attention to the impact of capital on the development of these entities. This paper integrates survey data from the Chinese Thousand Villages Survey (CTVS) with the Digital Financial Inclusion Index to examine the effects of digital financial inclusion on the development of new agricultural business entities. The study finds that the improvement in digital financial inclusion significantly promotes the development of new agricultural business entities, and digital inclusive finance has a significantly positive effect on family farms, while it does not exert a significant influence on the development of specialized large households or farmers' cooperatives. The mechanism analysis reveals that digital financial inclusion alleviates farmers' credit constraints and increases the availability of both formal and informal financial services, thus fostering the development of new agricultural business entities.</t>
  </si>
  <si>
    <t>[Su, Fangfang] Shanghai Univ Finance &amp; Econ, Shanghai, Peoples R China; [Tao, Sumin; Ying, Ruiyao] Nanjing Agr Univ, 1 Weigang, Nanjing 210095, Jiangsu, Peoples R China</t>
  </si>
  <si>
    <t>Shanghai University of Finance &amp; Economics; Nanjing Agricultural University</t>
  </si>
  <si>
    <t>Tao, SM (corresponding author), Nanjing Agr Univ, 1 Weigang, Nanjing 210095, Jiangsu, Peoples R China.</t>
  </si>
  <si>
    <t>1935446045@qq.com</t>
  </si>
  <si>
    <t>Su, Fangfang/0000-0002-3700-369X</t>
  </si>
  <si>
    <t>10.1016/j.frl.2024.106614</t>
  </si>
  <si>
    <t>Q6R6X</t>
  </si>
  <si>
    <t>WOS:001385929800001</t>
  </si>
  <si>
    <t>Chin, GT</t>
  </si>
  <si>
    <t>Chin, Gregory T.</t>
  </si>
  <si>
    <t>China's 'digital renminbi' (e-CNY) as financial inclusion: the global frontier of central bank digital currency</t>
  </si>
  <si>
    <t>GLOBAL PUBLIC POLICY AND GOVERNANCE</t>
  </si>
  <si>
    <t>Central bank digital currency; Digital RMB; e-CNY; China; Financial inclusion; People's Bank of China</t>
  </si>
  <si>
    <t>China has made significant progress in developing its central bank digital currency (CBDC), the 'digital renminbi' (e-CNY), racing out to the world lead. This article examines China's motivations and goals in developing the e-CNY and how the central bank, the People's Bank of China (PBOC), and its corporate partners have gone about successfully developing the e-CNY and its associated payments technology and e-infrastructure to pay for consumer, retail and service transactions, the wages of civil servants and bank staff, utilities bills, and company to company exchanges. Particular attention is given to why and how, amid the roll-out of the e-CNY pilot programs, the PBOC has directed the design and development of its CBDC toward supporting the financial inclusion of financially marginalized and vulnerable segments of Chinese society, specifically elderly citizens and inhabitants in remote rural areas, and the 'unbanked' in rural and urban areas.</t>
  </si>
  <si>
    <t>[Chin, Gregory T.] York Univ, Dept Polit, Ross Bldg,South 672,4700 Keele St, Toronto, ON M3J 1P3, Canada; [Chin, Gregory T.] York Univ, Fac Grad Studies, Ross Bldg,South 672,4700 Keele St, Toronto, ON M3J 1P3, Canada</t>
  </si>
  <si>
    <t>York University - Canada; York University - Canada</t>
  </si>
  <si>
    <t>Chin, GT (corresponding author), York Univ, Dept Polit, Ross Bldg,South 672,4700 Keele St, Toronto, ON M3J 1P3, Canada.;Chin, GT (corresponding author), York Univ, Fac Grad Studies, Ross Bldg,South 672,4700 Keele St, Toronto, ON M3J 1P3, Canada.</t>
  </si>
  <si>
    <t>gtchin@yorku.ca</t>
  </si>
  <si>
    <t>Institute for Global Public Policy; School of International Relations and Public Affairs at Fudan University; University Turin (Italy); Institut national des langues et civilisations orientales</t>
  </si>
  <si>
    <t>I especially thank Jing Yijia, Hongyi Chen, Eva-Maria Nag, Patrick Hess and Heiwai Tang for their excellent suggestions. My gratitude for Jing Yijia, Zheng Yu, Zhu Jiejin, the Institute for Global Public Policy, and the School of International Relations and Public Affairs at Fudan University, and Kathryn Hochstetler, The London School of Economics and Political Science for supporting my participation at The Shanghai Forum session, Inclusive Development: China's Practices and Global Frontiers, October 29, 2023, where the original version of this article was presented, and thanks to Zhang Huawei, and two anonymous reviewers for their comments. An earlier version was also presented in March 2024 at the Erasmus (EU) Blended Intensive Program, co-hosted by the University Turin (Italy), Institut national des langues et civilisations orientales (INALCO, Paris, France) and University of Ljubljana, Slovenia, and I thank Giuseppe Gabusi and the graduate students for their comments and questions.</t>
  </si>
  <si>
    <t>2730-6291</t>
  </si>
  <si>
    <t>2730-6305</t>
  </si>
  <si>
    <t>GLOB PUBLIC POLICY G</t>
  </si>
  <si>
    <t>Glob. Public Policy Gov.</t>
  </si>
  <si>
    <t>10.1007/s43508-025-00112-0</t>
  </si>
  <si>
    <t>Political Science; Public Administration</t>
  </si>
  <si>
    <t>Government &amp; Law; Public Administration</t>
  </si>
  <si>
    <t>2HL7Y</t>
  </si>
  <si>
    <t>WOS:001470073300001</t>
  </si>
  <si>
    <t>Lu, XM; Lai, YL; Zhang, Y</t>
  </si>
  <si>
    <t>Lu, Xiaomeng; Lai, Yali; Zhang, Yong</t>
  </si>
  <si>
    <t>Digital financial inclusion and investment diversification: Evidence from China</t>
  </si>
  <si>
    <t>ACCOUNTING AND FINANCE</t>
  </si>
  <si>
    <t>digital financial inclusion; individual investors; investment diversification</t>
  </si>
  <si>
    <t>LITERACY; TRANSFORMATION; PERFORMANCE; INNOVATION; BEHAVIOR; ADOPTION; COSTS; LONG</t>
  </si>
  <si>
    <t>We examine the impact of digital financial inclusion on the diversification of individual stock investments in China using nationwide data from the Chinese Stock Market Individual Investor Survey and the Peking University Digital Financial Inclusion Index of China. We show that digital financial inclusion significantly increases the diversification of individual stock investments, primarily by reducing investors' perceived transaction costs and mitigating investors' limited attention. It also plays a more significant role among investors with lower conventional financial development, lower financial literacy, below 45 years old, shorter investment experience and females. We recommend the continued promotion of digital financial inclusion to optimise asset allocation in Chinese households.</t>
  </si>
  <si>
    <t>[Lu, Xiaomeng] Southwestern Univ Finance &amp; Econ, Survey &amp; Res Ctr China Household Finance, Chengdu, Peoples R China; [Lai, Yali] Southwestern Univ Finance &amp; Econ, Sch Econ, Chengdu, Peoples R China; [Zhang, Yong] Sichuan Bank Co Ltd, Chengdu, Peoples R China</t>
  </si>
  <si>
    <t>Southwestern University of Finance &amp; Economics - China; Southwestern University of Finance &amp; Economics - China</t>
  </si>
  <si>
    <t>Lai, YL (corresponding author), Southwestern Univ Finance &amp; Econ, Sch Econ, Chengdu, Peoples R China.;Zhang, Y (corresponding author), Sichuan Bank Co Ltd, Chengdu, Peoples R China.</t>
  </si>
  <si>
    <t>337665217@qq.com; zy253z@163.com</t>
  </si>
  <si>
    <t>Youth Program of National Natural Science Foundation of China [72003149]</t>
  </si>
  <si>
    <t>Youth Program of National Natural Science Foundation of China</t>
  </si>
  <si>
    <t>Youth Program of National Natural Science Foundation of China, Grant/Award Number: 72003149</t>
  </si>
  <si>
    <t>0810-5391</t>
  </si>
  <si>
    <t>1467-629X</t>
  </si>
  <si>
    <t>ACCOUNT FINANC</t>
  </si>
  <si>
    <t>Account . Financ.</t>
  </si>
  <si>
    <t>10.1111/acfi.13043</t>
  </si>
  <si>
    <t>K5JM1</t>
  </si>
  <si>
    <t>WOS:000904002200001</t>
  </si>
  <si>
    <t>Bongomin, GOC; Malinga, CA; Amani, AM; Balinda, R</t>
  </si>
  <si>
    <t>Bongomin, George Okello Candiya; Malinga, Charles Akol; Amani, Alain Manzi; Balinda, Rebecca</t>
  </si>
  <si>
    <t>Recalibrating the scope of financial inclusion through financial technologies in the digital age: the role of digital literacy as a moderator in rural Uganda</t>
  </si>
  <si>
    <t>INFORMATION TECHNOLOGY &amp; PEOPLE</t>
  </si>
  <si>
    <t>Mobile money; Digital literacy; Biometrics identification; Financial technology; Digital financial inclusion; Digital financial services</t>
  </si>
  <si>
    <t>BANKING SERVICES; MOBILE MONEY; ACCESS; MEDIATOR; POVERTY</t>
  </si>
  <si>
    <t>PurposeThe main purpose of this study is to test for the interaction effect of digital literacy in the relationship between financial technologies (FinTechs) of biometrics and mobile money and digital financial inclusion among the unbanked poor women, youth and persons with disabilities (PWDs) in rural Uganda.Design/methodology/approachCovariance-based structural equation modeling was used to construct the interaction effect using data collected from the unbanked poor women, youth and PWDs located in the four regions in Uganda as prescribed by Hair et al. (2022).FindingsThe findings from this study are threefold: first; the results revealed a positive interaction effect of digital literacy between FinTechs of biometrics and mobile money and digital financial inclusion. Second; the results also confirmed that biometrics identification positively promotes digital financial inclusion. Lastly; the results showed that mobile money positively promotes digital financial inclusion. A combination of FinTechs of biometrics and mobile money together with digital literacy explain 29% variation in digital financial inclusion among the unbanked poor women, youth and PWDs in rural Uganda.Research limitations/implicationsThe data for this study were collected mainly from the unbanked poor women, youth and PWDs. Further studies may look at data from other sections of the vulnerable population in under developed financial markets. Additionally, the data for this study were collected only from Uganda as a developing country. Thus, more data may be obtained from other developing countries to draw conclusive and generalized empirical evidence. Besides, the current study used cross sectional design to collect the data. Therefore, future studies may adopt longitudinal research design to investigate the impact of FinTechs on digital financial inclusion in the presence of digital literacy across different time range.Practical implicationsThe governments in developing countries like Uganda should support women, youth, PWDs and other equally vulnerable groups, especially in the rural communities to understand and use FinTechs. This can be achieved through digital literacy that can help them to embrace digital financial services and competently navigate and perform digital transactions over digital platforms like mobile money without making errors. Besides, governments in developing countries like Uganda can use this finding to advocate for the design of appropriate digital infrastructures to reach remote areas and ensure last mile connectivity for digital financial services' users. The use of off-line solutions can complement the absence or loss of on-line network connectivity for biometrics and mobile money to close the huge digital divide gap in rural areas. This can scale-up access to and use of financial services by the unbanked rural population.Originality/valueThis paper sheds more light on the importance of digital literacy in the ever complex and dynamic global FinTech ecosystem in the presence of rampant cyber risks. To the best of the authors' knowledge, limited studies currently exist that integrate digital literacy as a moderator in the relationship between FinTechs and digital financial inclusion, especially among vulnerable groups in under-developed digital financial markets in developing countries. This is the novelty of the paper with data obtained from the unbanked poor women, youth and PWDs in rural Uganda.</t>
  </si>
  <si>
    <t>[Bongomin, George Okello Candiya] Makerere Univ, Fac Grad Studies &amp; Res, Business Sch, Kampala, Uganda; [Bongomin, George Okello Candiya; Malinga, Charles Akol] Makerere Univ, Business Sch, Finance Dept, Kampala, Uganda; [Balinda, Rebecca] Kigali Independent Univ, Finance Dept, Kigali, Rwanda</t>
  </si>
  <si>
    <t>Bongomin, GOC (corresponding author), Makerere Univ, Fac Grad Studies &amp; Res, Business Sch, Kampala, Uganda.;Bongomin, GOC (corresponding author), Makerere Univ, Business Sch, Finance Dept, Kampala, Uganda.</t>
  </si>
  <si>
    <t>abaikol3@yahoo.co.uk</t>
  </si>
  <si>
    <t>Okello Candiya Bongomin, George/0000-0001-9758-1646</t>
  </si>
  <si>
    <t>Government of Uganda through Makerere University Research and Innovations Fund [MAK-RIF/2]</t>
  </si>
  <si>
    <t>Government of Uganda through Makerere University Research and Innovations Fund</t>
  </si>
  <si>
    <t>This work was funded by the Government of Uganda through Makerere University Research and Innovations Fund (Grant Number: MAK-RIF/2).</t>
  </si>
  <si>
    <t>0959-3845</t>
  </si>
  <si>
    <t>1758-5813</t>
  </si>
  <si>
    <t>INFORM TECHNOL PEOPL</t>
  </si>
  <si>
    <t>Inf. Technol. People</t>
  </si>
  <si>
    <t>APR 7</t>
  </si>
  <si>
    <t>10.1108/ITP-09-2022-0732</t>
  </si>
  <si>
    <t>0YF4W</t>
  </si>
  <si>
    <t>WOS:001186591900001</t>
  </si>
  <si>
    <t>Ren, PY; Moumbark, T; Appiah, E; Koudalo, YMA</t>
  </si>
  <si>
    <t>Ren, Pengyu; Moumbark, Toure; Appiah, Ebenezer; Koudalo, Yawovi M. A.</t>
  </si>
  <si>
    <t>Financial Inclusion, Mobile Money, and Tax Revenue in Africa</t>
  </si>
  <si>
    <t>SAGE OPEN</t>
  </si>
  <si>
    <t>African economy; tax revenue; financial inclusion; mobile money; Global Findex</t>
  </si>
  <si>
    <t>Financial inclusion (FI) could create vast sums of revenue in the African economy, generating numerous chances and difficulties for countries. As the population becomes more financially included, their income rises over time, increasing government tax contributions. This paper investigates whether tax revenue changes are related to the evolution of financial inclusion (FI) in Africa. The paper employed panel microdata from 36 African countries from 2011 to 2017. The data was sourced from the Global Findex database. The paper uses Fixed Effects (FE) and Generalized Method of Moment (GMM) strategies. The empirical results indicate that the relationship between financial inclusion (FI) and tax revenue is significant and positive, proving that more access to financial services defined by credit card ownership (% age 15+) increases government tax revenue. The result using different tax proxies and other FI proxies is robust. The paper also unearths that mobile money, an alternative for FI, decreases tax revenue. Governments should prioritize policies that promote access to basic banking services, such as savings and checking accounts and consider providing tax incentives for mobile money operators who facilitate transactions that contribute to formal economic activity.JEL Classification: E62, H24, O16, G20</t>
  </si>
  <si>
    <t>[Ren, Pengyu] Zhongnan Univ Econ &amp; Law, Wuhan, Peoples R China; [Moumbark, Toure; Koudalo, Yawovi M. A.] Southwestern Univ Finance &amp; Econ, Chengdu, Peoples R China; [Appiah, Ebenezer] Univ Elect Sci &amp; Technol China, Chengdu, Peoples R China</t>
  </si>
  <si>
    <t>Zhongnan University of Economics &amp; Law; Southwestern University of Finance &amp; Economics - China; University of Electronic Science &amp; Technology of China</t>
  </si>
  <si>
    <t>Appiah, E (corresponding author), Univ Elect Sci &amp; Technol China, Sch Management &amp; Econ, Chengdu 611731, Sichuan, Peoples R China.</t>
  </si>
  <si>
    <t>ebenezerkojoappiah@gmail.com</t>
  </si>
  <si>
    <t>2158-2440</t>
  </si>
  <si>
    <t>SAGE Open</t>
  </si>
  <si>
    <t>10.1177/21582440251315222</t>
  </si>
  <si>
    <t>X7D9D</t>
  </si>
  <si>
    <t>WOS:001426919900001</t>
  </si>
  <si>
    <t>Krah, EFM; de Kruijf, JG</t>
  </si>
  <si>
    <t>Krah, E. F. M.; de Kruijf, J. G.</t>
  </si>
  <si>
    <t>An Ethnographic Assessment of Electronic Cash Transfers in Ghana's Remote Rural North</t>
  </si>
  <si>
    <t>E-payments; Cash Transfers; Banking of the Unbanked; Ethnography</t>
  </si>
  <si>
    <t>STRUCTURAL ADJUSTMENT; MOBILE BANKING; ADOPTION</t>
  </si>
  <si>
    <t>The study concerns the qualitative assessment of three e-payment methods that are tested to optimize cash transfers for the sake of social protection and poverty alleviation throughout Ghana. These methods include: (e-Zwich) smartcards with biometric identification; e-wallets using mobile phones; and cards with PIN to access a bank count 'in the cloud'. The pilot is joint venture of the government of Ghana, the United Kingdom's Department For International Development (DFID) and UNICEF. Besides the innovative use of technology, a unique trait of the project is the initiators acknowledgement of the crucial importance of a thorough and holistic understanding of the context and conditions of implementation. As a result, ethnographic fieldwork is conducted to maximize chances of success. Our presentation in Cape Town involves some reflections on the fieldwork as well as a contemplation of the potential of such applied anthropology in the field of ICTD, both contextualized by means of the ethnographic depiction of the complex transition from unbanked to e-banked in northern Ghana.</t>
  </si>
  <si>
    <t>[Krah, E. F. M.; de Kruijf, J. G.] Univ Utrecht, Padualaan 14, NL-3584 CH Utrecht, Netherlands</t>
  </si>
  <si>
    <t>Utrecht University</t>
  </si>
  <si>
    <t>Krah, EFM (corresponding author), Univ Utrecht, Padualaan 14, NL-3584 CH Utrecht, Netherlands.</t>
  </si>
  <si>
    <t>e.f.m.krah@students.uu.nl; j.g.dekruijf@uu.nl</t>
  </si>
  <si>
    <t>10.1145/2517899.2517910</t>
  </si>
  <si>
    <t>WOS:000372068700017</t>
  </si>
  <si>
    <t>Xie, XW</t>
  </si>
  <si>
    <t>Xie, Xiaowen</t>
  </si>
  <si>
    <t>Analyzing the Impact of Digital Inclusive Finance on Poverty Reduction: A Study Based on System GMM in China</t>
  </si>
  <si>
    <t>digital financial inclusion; system GMM; poverty reduction; financial poverty reduction</t>
  </si>
  <si>
    <t>PANEL-DATA; INEQUALITY; GROWTH</t>
  </si>
  <si>
    <t>This study investigates the potential of digital financial inclusion to reduce regional poverty in China, an issue that has received varying opinions from the academic community. Using panel data from 31 provinces, municipalities, and autonomous regions (2011-2020) and employing the system GMM, this paper analyzes the dynamic relationship between regional poverty and the growth of digital financial inclusion, as measured by the 'Peking University Digital Financial Inclusion Index'. Controlling for factors such as the Gini coefficient, industrial structure, financial support for agriculture and education, and economic openness, this research finds that digital financial inclusion has a marked ability to reduce poverty rates. Moreover, our results indicate an intergenerational transmission characteristic in poverty, where prior levels significantly influence current poverty incidence. The study concludes that the recent acceleration of digital financial inclusion can be harnessed for meaningful poverty reduction. This study's policy recommendations highlight the need for financial development to foster industrial and social growth and stress the importance of financial education for low-income populations. Additionally, it calls for increased management and oversight of inclusive and agricultural digital financial products and services.</t>
  </si>
  <si>
    <t>[Xie, Xiaowen] Natl Inst Dev Adm, Grad Sch Dev Econ, 148 Serithai Rd, Bangkok 10240, Thailand; [Xie, Xiaowen] Krirk Univ, Int Coll, Bangkok 10220, Thailand</t>
  </si>
  <si>
    <t>National Institute of Development Administration - Thailand; Krirk University</t>
  </si>
  <si>
    <t>Xie, XW (corresponding author), Natl Inst Dev Adm, Grad Sch Dev Econ, 148 Serithai Rd, Bangkok 10240, Thailand.;Xie, XW (corresponding author), Krirk Univ, Int Coll, Bangkok 10220, Thailand.</t>
  </si>
  <si>
    <t>xiaowen.xi@stu.nida.ac.th</t>
  </si>
  <si>
    <t>XIE, XIAOWEN/IYT-3974-2023</t>
  </si>
  <si>
    <t>10.3390/su151813331</t>
  </si>
  <si>
    <t>S9IR3</t>
  </si>
  <si>
    <t>WOS:001074234600001</t>
  </si>
  <si>
    <t>Alfonso, CV; Kamin, S; Zampolli, F</t>
  </si>
  <si>
    <t>Alfonso, C. Viviana; Kamin, Steven; Zampolli, Fabrizio</t>
  </si>
  <si>
    <t>Central bank digital currencies (CBDCs) in Latin America and the Caribbean</t>
  </si>
  <si>
    <t>Central bank digital currency; CBDC; Payment systems; Central banking; Digital currency</t>
  </si>
  <si>
    <t>The pros and cons of CBDCs have been examined in numerous writings but much less research has focused on specific economies or regions. This paper attempts to fill that gap for the Latin American and Caribbean (LAC) economies. It first examines the views of central banks in the region toward CBDCs, drawing on a BIS survey conducted in late 2020 and early 2021. It finds that a large share of LAC central banks are engaged in CBDC research, as in other regions, and that their interest is primarily centred around financial inclusion, efficiency, and safety of the domestic payments system. Second, the paper examines whether the engagement of LAC central banks with CBDCs can be explained by the structural characteristics of their economies. It finds higher engagement in countries with strong innovation, fast payment systems, high government effectiveness, high financial development, and strong interest in CBDCs by the public. LAC jurisdictions are generally weaker in these areas than in advanced economies but are broadly comparable to other EMDEs. Third, the paper identifies potential benefits of CBDCs that are particularly relevant for LAC economies: promotion of financial inclusion; reduction of informality; increasing the resilience of the payment system in the face of natural disasters; increasing competition in the payments system; and reducing the cost of cross-border payments. The paper also discusses the costs and risks of CBDCs but argues that these can be addressed through proper design and implementation. Finally, the paper reviews the design choices made by a number of central banks in the region and the associated implementation issues. Common features of CBDCs in use include a two-tier architecture, offline capabilities, restriction to be used only by residents, and safeguards for privacy, but they differ in their approach to ledger management.</t>
  </si>
  <si>
    <t>[Alfonso, C. Viviana] Cent Bank Colombia, Bogota, Colombia; [Kamin, Steven] Amer Enterprise Inst Publ Policy Res, Washington, DC USA; [Zampolli, Fabrizio] Bank Int Settlements, Basel, Switzerland</t>
  </si>
  <si>
    <t>Banco de la Republica Colombia; American Enterprise Institute for Public Policy Research; Bank for International Settlements (BIS)</t>
  </si>
  <si>
    <t>Zampolli, F (corresponding author), Bank Int Settlements, Basel, Switzerland.</t>
  </si>
  <si>
    <t>fabrizio.zampolli@bis.org</t>
  </si>
  <si>
    <t>Kamin, Steven/0000-0002-3909-4046</t>
  </si>
  <si>
    <t>10.1016/j.latcb.2024.100140</t>
  </si>
  <si>
    <t>Z6V6R</t>
  </si>
  <si>
    <t>WOS:001440261200001</t>
  </si>
  <si>
    <t>Song, XL; Qin, X; Wang, WM; Li, RYM</t>
  </si>
  <si>
    <t>Song, Xiaoling; Qin, Xuan; Wang, Wanmeng; Li, Rita Yi Man</t>
  </si>
  <si>
    <t>Financial inclusion, technologies, and worldwide economic development: A spatial Durbin model approach</t>
  </si>
  <si>
    <t>JOURNAL OF FINANCE AND DATA SCIENCE</t>
  </si>
  <si>
    <t>Financial inclusion; Digital enabling; Spatial spillover effect; Influence mechanism</t>
  </si>
  <si>
    <t>MOBILE BANKING; LITERACY; GROWTH; DETERMINANTS; INNOVATION; SERVICES; ADOPTION; ACCESS</t>
  </si>
  <si>
    <t>Using panel data from 144 countries, this study constructed an inclusive financial evaluation index and depicted the inclusive finance development worldwide under digital empowerment through classification. It reviewed the spatial effect of financial inclusion in developed and developing countries by throwing light on demand, supply, and regulatory factors via the spatial Durbin model. The mediating and regulatory effects model examines the transmission mechanism of financial inclusion with a focus on financial literacy, scientific and technological levels, and regulatory quality. The results show that the level of financial inclusion in developed countries is significantly higher than in developing countries. The economic level of developed countries positively impacts financial inclusion in their countries and neighbouring ones. Enhancing financial literacy, science and technological level, and supervision quality improve the development of inclusive finance. While the economic level and urbanization rate in developing countries inhibit the development of financial inclusion, countries with lower economic development and urbanization rates have a greater incentive to develop digital financial inclusion. The improved economic development in developing countries favours financial inclusion in countries nearby. Moreover, financial literacy plays a positive moderating role in the effect of digital finance on financial inclusion. The technology level can exert a transmission effect on financial inclusion through an elevated level of digital finance. The impact of regulatory quality on financial inclusion can be conveyede by creating a stable economic and financial environment and improving economic development levels. This study expands the theoretical research on constructing an inclusive finance evaluation system and its impact mechanism. It provides essential decision-making references for governments, relevant decision-making departments, financial institutions and financial technology enterprises to develop inclusive finance.</t>
  </si>
  <si>
    <t>[Song, Xiaoling; Qin, Xuan; Wang, Wanmeng] Beijing Language &amp; Culture Univ, Business Sch, Beijing 100083, Peoples R China; [Li, Rita Yi Man] Hong Kong Shue Van Univ, Sustainable Real Estate Res Ctr, Hong Kong, Peoples R China</t>
  </si>
  <si>
    <t>Li, RYM (corresponding author), Hong Kong Shue Van Univ, Sustainable Real Estate Res Ctr, Hong Kong, Peoples R China.</t>
  </si>
  <si>
    <t>songxiaoling@blcu.edu.cn; q879546@163.com; blcuwwm@126.com; ymli@hksyu.edu</t>
  </si>
  <si>
    <t>Li, Rita/E-7110-2010</t>
  </si>
  <si>
    <t>National Social Science Foundation Project [21BJL087]</t>
  </si>
  <si>
    <t>National Social Science Foundation Project</t>
  </si>
  <si>
    <t>The National Social Science Foundation Project Multi-dimensional research on the comparative evaluation and enhancement mechanism of financial inclusion under digital empowerment(Project No. 21BJL087).</t>
  </si>
  <si>
    <t>2405-9188</t>
  </si>
  <si>
    <t>J FINANCE DATA SCI</t>
  </si>
  <si>
    <t>J. Financ. Data Sci.</t>
  </si>
  <si>
    <t>10.1016/j.jfds.2025.100155</t>
  </si>
  <si>
    <t>0HT7K</t>
  </si>
  <si>
    <t>WOS:001447681500001</t>
  </si>
  <si>
    <t>Sinha, M; Majra, H; Hutchins, J; Saxena, R</t>
  </si>
  <si>
    <t>Sinha, Mona; Majra, Hufrish; Hutchins, Jennifer; Saxena, Rajan</t>
  </si>
  <si>
    <t>Mobile payments in India: the privacy factor</t>
  </si>
  <si>
    <t>India; Technology readiness; Emerging markets; Privacy concerns; Adoption readiness; Mobile payments</t>
  </si>
  <si>
    <t>SELF-SERVICE TECHNOLOGIES; INFORMATION PRIVACY; CONSUMER ACCEPTANCE; USAGE INTENTION; BEHAVIORAL INTENTIONS; COMMERCE ADOPTION; USER ACCEPTANCE; READINESS; ONLINE; SATISFACTION</t>
  </si>
  <si>
    <t>Purpose - The purpose of this paper is to understand Indian consumers' intention to use mobile payments by examining their adoption readiness (AR) in the larger context of their technology readiness (TR) and their privacy concerns (PCs). Design/methodology/approach - A four-city, three language, paper and pencil survey yielded a sample of 600 respondents from India. Data were analyzed using structural equations modeling. Findings - This study finds that AR positively mediates the relationship between TR and intention to adopt (IA) mobile payments. More importantly, PCs negatively moderate the relationship between AR and IA. Research limitations/implications -Results will vary depending on country and other variables outside the scope of this study such as perceived risk, trust, etc. The sample was large but mainly comprised males, between 18 and 35 years of age. Practical implications - The cash shortage due to a recent demonetization move in India had spurred mobile payment adoption but usage and retention remained low. Many other banking self-service technologies had not been successful and digitization was critical for easing payments and potentially paving the way for mobile banking. However, using mobile phones for financial transactions raises PCs that attenuate the positive impact of AR. Also, understanding overall attitudes with TR is important in a rapidly digitizing country with relatively novice users. Social implications - Adoption of mobile payment technology can help address social and economic challenges in India, such as financial inclusion, corruption and tax evasion. Given the increasing awareness of privacy issues in India, mobile payment adoption, which already faces acquisition and retention challenges, will likely to face greater resistance in the future. Originality/value - The findings add to the literature on emerging markets and marketing of technology products by identifying the critical role of privacy in the adoption of financial technology services. Moreover, the authors demonstrate that given the rapid introduction of technology in India, consumers' overarching TR has to be considered along with AR for mobile payments. Thus, the authors offer a tripartite, customer-technology-transaction view of the mobile payment adoption process in India.</t>
  </si>
  <si>
    <t>[Sinha, Mona] Kennesaw State Univ, Mkt &amp; Profess Sales, Michael J Coles Coll Business, Kennesaw, GA 30144 USA; [Majra, Hufrish] Chetanas Inst Management &amp; Res, Mumbai, Maharashtra, India; [Hutchins, Jennifer] Kennesaw State Univ, Dept Mkt &amp; Profess Sales, Michael J Coles Coll Business, Kennesaw, GA 30144 USA; [Saxena, Rajan] Narsee Monjee Inst Management Studies Univ, Mumbai, Maharashtra, India</t>
  </si>
  <si>
    <t>University System of Georgia; Kennesaw State University; University System of Georgia; Kennesaw State University; SVKM's NMIMS (Deemed to be University)</t>
  </si>
  <si>
    <t>Sinha, M (corresponding author), Kennesaw State Univ, Mkt &amp; Profess Sales, Michael J Coles Coll Business, Kennesaw, GA 30144 USA.</t>
  </si>
  <si>
    <t>; Sinha, Mona/F-8377-2019</t>
  </si>
  <si>
    <t>Majra, Hufrish/0000-0003-1033-0137;</t>
  </si>
  <si>
    <t>10.1108/IJBM-05-2017-0099</t>
  </si>
  <si>
    <t>JB4KU</t>
  </si>
  <si>
    <t>WOS:000488526000010</t>
  </si>
  <si>
    <t>Neelam; Bhattacharya, S</t>
  </si>
  <si>
    <t>Neelam; Bhattacharya, Sonali</t>
  </si>
  <si>
    <t>Financial Technology Solutions for Financial Inclusion: A review and future agenda</t>
  </si>
  <si>
    <t>Digital technology; financial technology; financial inclusion; Digital payment; literature review; Mobile payment; financial literacy; conceptual framework</t>
  </si>
  <si>
    <t>INTERNET FINANCE; MOBILE MONEY; ACCEPTANCE; SERVICES; ACCESS; EXCLUSION; PAYMENTS; BANKING; GENDER; POLICY</t>
  </si>
  <si>
    <t>Objective-This research aims to review the extant literature and the contribution of digital technology (DT) in financial inclusion (FI). In this study, researchers attempted to suggest some directions to policymakers towards furthering the initiatives for financial inclusion. The objectives are to explore user behaviour for technology adaptation of financial transactions.Design/ Methodology-A systematic literature review was conducted by using a method suggested by Cook and West (2012). The articles were selected between 2001 to 2020. Keywords such as 'digital technology' and Financial Inclusion (FI) were chosen for study. Full text articles in English language from SCOPUS, Web of Science and Google scholar were considered. A conceptual framework has been suggested based on the literature review, which can help future researchers to examine the current issues and challenges in the financial technology and digital technology field. Findings/Conclusion-The overall review of existing literature available on the topic signifies that digital technology is the driver of FI and economic growth. However, there are some gaps noted on which future studies can focus. Originality/Contribution/Value-In the literature review, research papers deal with problems, factors, and gaps in the use of digital technology. Thus, there is a need for more research on this topic. It is a unique study in the context of emerging economies.</t>
  </si>
  <si>
    <t>[Neelam] Symbiosis Int, Pune 412115, India; [Bhattacharya, Sonali] Symbiosis Int SIU, Symbiosis Ctr Management &amp; Human Resource Dev, Pune, India</t>
  </si>
  <si>
    <t>Symbiosis International University; Symbiosis International University; Symbiosis Centre for Management &amp; Human Resource Development (SCMHRD)</t>
  </si>
  <si>
    <t>Bhattacharya, S (corresponding author), Symbiosis Int SIU, Symbiosis Ctr Management &amp; Human Resource Dev, Pune, India.</t>
  </si>
  <si>
    <t>Neelam_spcji2008@rediffmail.com; sonali_bhattacharya@scmhrd.edu</t>
  </si>
  <si>
    <t>Bhattacharya, Sonali/R-3226-2016</t>
  </si>
  <si>
    <t>7Y1LH</t>
  </si>
  <si>
    <t>WOS:000914649300011</t>
  </si>
  <si>
    <t>Golaido, IM; Grigorieva, ES; Kapitonov, AG</t>
  </si>
  <si>
    <t>Grigorieva, E; Bystrakov, A; Vukovic, D</t>
  </si>
  <si>
    <t>Golaido, I. M.; Grigorieva, E. S.; Kapitonov, A. G.</t>
  </si>
  <si>
    <t>Methodological Approaches to Assessing the Level of Digitalisation of the Financial Market</t>
  </si>
  <si>
    <t>PROCEEDINGS OF THE INTERNATIONAL SCIENTIFIC AND PRACTICAL CONFERENCE DIGITAL FINANCE 2020 (DF2020)</t>
  </si>
  <si>
    <t>International Scientific and Practical Conference on Digital Finance (DF)</t>
  </si>
  <si>
    <t>FEB 07, 2020</t>
  </si>
  <si>
    <t>Moscow, RUSSIA</t>
  </si>
  <si>
    <t>digitalisation of the financial market; indexes for assessing the digitalisation of the economy and society</t>
  </si>
  <si>
    <t>There are several threats and opportunities in the context of digitalisation of the economy as a whole and as a financial market. Mega regulators need to consider these conditions to increase the competitive position of national financial markets. Evaluation and ranking are a well-proven management tool for making strategic decisions. In this regard, it is necessary to form a methodological basis for forming an assessment of the digitalisation level of the financial market. Based on the comparative approach the authors compared the most famous world indices, those are presenting the digitalisation level of the economy and society. The authors proposed an approach to forming a methodology for assessing the digitalisation level of the financial market. At the same time, the view of the Basel Committee on Banking Supervision on the significant impact of fin-tech &amp; big-tech on the risks of the financial market was considered there. Although, the authors examined the materials of the G20 Global Partnership for Financial Inclusion (GPFI), Alliance for Financial Inclusion (AFI), the World Bank and considered the Financial Inclusion Indicators developed by the Bank of Russia. The author's approach consists of three integrated groups of indicators included in the Final Index of the digitalisation level on the financial market: Digital infrastructure of the financial market, Customer loyalty related to financial products and services within digital form, Level of the financial market risk.</t>
  </si>
  <si>
    <t>[Golaido, I. M.] Orel State Univ Econ &amp; Trade, Oryol, Russia; [Grigorieva, E. S.; Kapitonov, A. G.] RUDN Univ, Moscow, Russia</t>
  </si>
  <si>
    <t>Orel State University of Economics &amp; Trade; Peoples Friendship University of Russia</t>
  </si>
  <si>
    <t>Golaido, IM (corresponding author), Orel State Univ Econ &amp; Trade, Oryol, Russia.</t>
  </si>
  <si>
    <t>fdoogiet@mail.ru; evgeniya.gri@yandex.ru; andrei.kapitonov@mail.ru</t>
  </si>
  <si>
    <t>Grigoryeva, Evgeniya/C-8571-2012</t>
  </si>
  <si>
    <t>FILODIRITTO PUBLISHER</t>
  </si>
  <si>
    <t>BOLOGNA</t>
  </si>
  <si>
    <t>INFOROMATICA SRL, VIA CASTIGLIONE, 81, BOLOGNA, 40124, ITALY</t>
  </si>
  <si>
    <t>978-88-85813-89-2</t>
  </si>
  <si>
    <t>Business; Business, Finance; Computer Science, Interdisciplinary Applications; Economics</t>
  </si>
  <si>
    <t>BS3XR</t>
  </si>
  <si>
    <t>WOS:000716862700008</t>
  </si>
  <si>
    <t>Hong, MY; Tian, MJ; Wang, J</t>
  </si>
  <si>
    <t>Hong, Mingyong; Tian, Mengjie; Wang, Ji</t>
  </si>
  <si>
    <t>Digital Inclusive Finance, Agricultural Industrial Structure Optimization and Agricultural Green Total Factor Productivity</t>
  </si>
  <si>
    <t>digital financial inclusion; agricultural green total factor productivity; agricultural industrial structure optimization; structural effect; mediation effect</t>
  </si>
  <si>
    <t>CONSTRAINTS; EFFICIENCY; GROWTH; IMPACT</t>
  </si>
  <si>
    <t>Based on the Peking University Digital Financial Inclusion Index and 2011-2018 provincial panel data, this paper discusses the mechanism of digital financial inclusion on agricultural green total factor productivity from both theoretical and empirical perspectives. The result shows that digital financial inclusion can significantly increase China's agricultural green total factor productivity, and the optimization of the agricultural industry structure can bring a significant structural growth effect. A total of 8.42% of the positive effects of digital financial inclusion on agricultural green total factor productivity are realized through the intermediary effect of agricultural industrial structure optimization. Through further research, it is found that digital financial inclusion has regional heterogeneity in the improvement of agricultural green total factor productivity. At the same time, digital financial inclusion of different dimensions will also have a differential impact on the improvement of agricultural green total factor productivity. In order to promote the green development of agriculture, it is necessary to further improve the financial development environment, optimize the structure of the agricultural industry, and formulate development policies for digital inclusive finance in accordance with local conditions.</t>
  </si>
  <si>
    <t>[Hong, Mingyong; Tian, Mengjie; Wang, Ji] Guizhou Univ, Sch Econ, Guiyang 550025, Peoples R China</t>
  </si>
  <si>
    <t>Guizhou University</t>
  </si>
  <si>
    <t>Tian, MJ (corresponding author), Guizhou Univ, Sch Econ, Guiyang 550025, Peoples R China.</t>
  </si>
  <si>
    <t>tianmj1224@163.com</t>
  </si>
  <si>
    <t>王, 极/0000-0002-2737-9490; Tian, Mengjie/0000-0001-5769-3221</t>
  </si>
  <si>
    <t>National Natural Science Foundation of China [72163003]; Foundation of Postgraduate of Guizhou Province [YJSKYJJ[2021]]</t>
  </si>
  <si>
    <t>National Natural Science Foundation of China(National Natural Science Foundation of China (NSFC)); Foundation of Postgraduate of Guizhou Province</t>
  </si>
  <si>
    <t>This research was funded by the National Natural Science Foundation of China, grant number 72163003, and the Foundation of Postgraduate of Guizhou Province, grant number YJSKYJJ[2021]</t>
  </si>
  <si>
    <t>10.3390/su141811450</t>
  </si>
  <si>
    <t>4R3PR</t>
  </si>
  <si>
    <t>WOS:000856680700001</t>
  </si>
  <si>
    <t>Ozili, PK; Mhlanga, D</t>
  </si>
  <si>
    <t>Ozili, Peterson K.; Mhlanga, David</t>
  </si>
  <si>
    <t>Why is financial inclusion so popular? An analysis of development buzzwords</t>
  </si>
  <si>
    <t>buzzword; development; digital finance; financial exclusion; financial inclusion; fintech; inclusive finance; microfinance</t>
  </si>
  <si>
    <t>DEVELOPMENT POLICY; POVERTY; REMITTANCES</t>
  </si>
  <si>
    <t>We analyse the popularity of the term 'financial inclusion' in relation to other development buzzwords. We extract trend data for multiple development buzzwords across countries and cities from 2004 to 2022, and we run a series of empirical analyses. We find that the 'financial inclusion' buzzword is popular because the term 'financial inclusion' is correlated with other development buzzwords, particularly 'microfinance', 'digital finance', 'inclusive finance', 'financial exclusion' and 'Fintech' buzzwords. Financial inclusion buzzword is more popular in developing countries than in developed countries. Financial inclusion buzzword is also popular in major cities in developing countries. We also observe that the financial inclusion buzzword was more popular during the second wave of the COVID-19 pandemic. There is uni-directional causality between interest in financial inclusion and interest in fintech and inclusive finance, indicating that interest in financial inclusion buzzword causes interest in fintech and inclusive finance buzzword. There is also uni-directional causality between interest in financial exclusion and interest in financial inclusion. Finally, there is a significant correlation between interest in the 'financial inclusion', 'digital finance', 'inclusive finance' and 'Fintech' buzzwords.</t>
  </si>
  <si>
    <t>[Ozili, Peterson K.] Cent Bank Nigeria, Abuja, Nigeria; [Mhlanga, David] Univ Johannesburg, Johannesburg, South Africa</t>
  </si>
  <si>
    <t>Central Bank of Nigeria; University of Johannesburg</t>
  </si>
  <si>
    <t>pkozili@cbn.gov.ng</t>
  </si>
  <si>
    <t>Ozili, Peterson/A-8418-2015; Mhlanga, David/AAV-8754-2020</t>
  </si>
  <si>
    <t>10.1002/jid.3812</t>
  </si>
  <si>
    <t>FA4K6</t>
  </si>
  <si>
    <t>WOS:001027258300001</t>
  </si>
  <si>
    <t>Mhlanga, D</t>
  </si>
  <si>
    <t>Mhlanga, David</t>
  </si>
  <si>
    <t>Block chain technology for digital financial inclusion in the industry 4.0, towards sustainable development?</t>
  </si>
  <si>
    <t>block chain technology; digital financial inclusion; industry 4.0; sustainable development</t>
  </si>
  <si>
    <t>FRAMEWORK</t>
  </si>
  <si>
    <t>There is a lot of hope that blockchain technology may be used to standardize money transactions and increase access to banking. It is believed that regulators and industry professionals have looked into the possibility of using blockchain technology to modernize and even replace the infrastructure that currently supports international payments and remittances, such as correspondent banking, in order to ensure that transactions can be verified and recorded using blockchain technology in a distributed ledger. The purpose of this study was to analyze how blockchain technology has helped to include previously underserved populations in the mainstream financial system, and to remark on the best practices and lessons learned from sustainable development. Using a systematic literature review, the study discovered the many ways in which blockchain technology can facilitate digital financial inclusion, including its application in financial transactions, its utility as a tool for increasing financial savings, its use in the provision of credit, and its application in the provision of insurance. According to the findings, even though the global goals do not specifically target financial inclusion, providing access to financial services for the majority of the population is a critical enabler for several of the global goals. Therefore, the study concluded that sustainable development can be ensured on many fronts if the technology behind blockchains can be successfully used to improve financial inclusion. If governments, especially in developing countries, are serious about increasing citizens' access to financial services, they must prioritize blockchain investment.</t>
  </si>
  <si>
    <t>[Mhlanga, David] Univ Johannesburg, Coll Business &amp; Econ, Johannesburg, South Africa</t>
  </si>
  <si>
    <t>Mhlanga, D (corresponding author), Univ Johannesburg, Coll Business &amp; Econ, Johannesburg, South Africa.</t>
  </si>
  <si>
    <t>dmhlanga67@gmail.com</t>
  </si>
  <si>
    <t>Mhlanga, David/AAV-8754-2020</t>
  </si>
  <si>
    <t>FEB 6</t>
  </si>
  <si>
    <t>10.3389/fbloc.2023.1035405</t>
  </si>
  <si>
    <t>9D2TN</t>
  </si>
  <si>
    <t>WOS:000935955100001</t>
  </si>
  <si>
    <t>Tavera-Mesías, JF; van Klyton, A; Collazos, AZ</t>
  </si>
  <si>
    <t>Fernando Tavera-Mesias, Juan; van Klyton, Aaron; Zuniga Collazos, Alexander</t>
  </si>
  <si>
    <t>Technology readiness, mobile payments and gender- a reflective-formative second order approach</t>
  </si>
  <si>
    <t>BEHAVIOUR &amp; INFORMATION TECHNOLOGY</t>
  </si>
  <si>
    <t>Urban consumers; gender; reflective-formative second-order construct; m-payments; financial inclusion; mobile banking</t>
  </si>
  <si>
    <t>PLS-SEM; INFORMATION-TECHNOLOGY; DISCRIMINANT VALIDITY; SOCIAL MEDIA; LEAD USERS; ACCEPTANCE; ADOPTION; CONSUMERS; MODELS; COMMERCE</t>
  </si>
  <si>
    <t>This study examines the formation of technology readiness among lower-income urban consumers and its influence on the acceptance of mpayment apps for digital money. Using Partial Least Squares-Structural Equation Modeling (PLS-SEM), we analysed 625 survey responses collected in four Colombian cities. We found that perceived usefulness is the main direct antecedent of intention to use, but gender differences were observed. For women, two hypotheses were not significant: TR's influence over perceived ease of use and perceived ease of use over the intention to use, leaving a more straightforward but narrow pathway for influencing intention to use. Men presented a more comprehensive range of pathways, with all hypotheses significant. This is an important finding because women from lower-income households are the main target of government financial inclusion strategies. Innovatively, we evaluated the technology readiness construct in an aggregated way, isolating the importance of each dimension. We found optimism to be more relevant, which indicates that the users are less insecure about technology, akin to the Rogerian concept of innovators. Therefore, managers should develop market penetration strategies based on optimism rather than security conditions and develop app attributes that are link to perceived ease of use before focusing on usefulness.</t>
  </si>
  <si>
    <t>[Fernando Tavera-Mesias, Juan] Univ Antioquia, Fac Ciencias Econom, Dept Ciencias Adm, Medellin, Colombia; [van Klyton, Aaron] Ramapo Coll, Anisfield Sch Business, 505 Ramapo Valley Rd, Mahwah, NJ 07430 USA; [Zuniga Collazos, Alexander] Univ San Buenaventura, Fac Ciencias Econom, Cali, Colombia</t>
  </si>
  <si>
    <t>Universidad de Antioquia; Ramapo College New Jersey (RCNJ)</t>
  </si>
  <si>
    <t>van Klyton, A (corresponding author), Ramapo Coll, Anisfield Sch Business, 505 Ramapo Valley Rd, Mahwah, NJ 07430 USA.</t>
  </si>
  <si>
    <t>vanklyton@gmail.com</t>
  </si>
  <si>
    <t>Zuñiga-Collazos, Alexander/AAA-7521-2021; Tavera-Mesías, Juan Fernando/V-5429-2018; van Klyton, Aaron/AAM-9108-2021</t>
  </si>
  <si>
    <t>Zuñiga-Collazos, Alexander/0000-0002-0337-6113; Tavera-Mesías, Juan Fernando/0000-0002-1392-9535; van Klyton, Aaron/0000-0003-4663-9849</t>
  </si>
  <si>
    <t>British Council</t>
  </si>
  <si>
    <t>British Council(The British Council in India)</t>
  </si>
  <si>
    <t>This work was supported by British Council.</t>
  </si>
  <si>
    <t>0144-929X</t>
  </si>
  <si>
    <t>1362-3001</t>
  </si>
  <si>
    <t>BEHAV INFORM TECHNOL</t>
  </si>
  <si>
    <t>Behav. Inf. Technol.</t>
  </si>
  <si>
    <t>10.1080/0144929X.2022.2054729</t>
  </si>
  <si>
    <t>Computer Science, Cybernetics; Ergonomics</t>
  </si>
  <si>
    <t>G2ZD8</t>
  </si>
  <si>
    <t>WOS:000774878300001</t>
  </si>
  <si>
    <t>Mugume, R; Bulime, EWN</t>
  </si>
  <si>
    <t>Mugume, Regean; Bulime, Enock W. N.</t>
  </si>
  <si>
    <t>Post-COVID-19 recovery for African economies: Lessons for digital financial inclusion from Kenya and Uganda</t>
  </si>
  <si>
    <t>econometrics; economic development; international economics &amp; trade</t>
  </si>
  <si>
    <t>MOBILE MONEY ADOPTION; ACCEPTANCE</t>
  </si>
  <si>
    <t>As coronavirus disease-2019 (COVID-19) and other restrictions intensified, individuals, businesses and governments turned to mobile digital platforms to reduce the financial costs and mitigate the risk of spreading the virus within the population. Drawing on lessons from Kenya and Uganda, our study examines the drivers of digital financial inclusion as a pathway for financing post-COVID-19 recovery. We find that digital financial inclusion is higher in middle-aged male digital users with more SIM cards registered in their names. Results also show that users who trust mobile money agents were likely to use more digital financial platforms than others. Based on these results, we recommend the need for government to strengthen the National Identification Systems and consumer protection policies to increase trust in digital financial services. Additionally, financial sector players such as mobile network operators and commercial banks need to innovate and roll out customized digital financial products for the marginalized/unbanked population such as women, the elderly and the youth.</t>
  </si>
  <si>
    <t>[Mugume, Regean; Bulime, Enock W. N.] Makerere Univ, Econ Policy Res Ctr, Kampala, Uganda</t>
  </si>
  <si>
    <t>Makerere University</t>
  </si>
  <si>
    <t>Mugume, R (corresponding author), Makerere Univ, Econ Policy Res Ctr, Kampala, Uganda.</t>
  </si>
  <si>
    <t>rmugume@eprcug.org</t>
  </si>
  <si>
    <t>Bulime, Enock/LPP-9865-2024</t>
  </si>
  <si>
    <t>S161</t>
  </si>
  <si>
    <t>S176</t>
  </si>
  <si>
    <t>10.1111/1467-8268.12652</t>
  </si>
  <si>
    <t>4D5OL</t>
  </si>
  <si>
    <t>WOS:000828496800001</t>
  </si>
  <si>
    <t>Reddy, CV</t>
  </si>
  <si>
    <t>Reddy, C. Viswanatha</t>
  </si>
  <si>
    <t>GLOBAL FINANCIAL INCLUSION ENVIRONMENT THE NEXUS TO INDIA</t>
  </si>
  <si>
    <t>JIMS8M-THE JOURNAL OF INDIAN MANAGEMENT &amp; STRATEGY</t>
  </si>
  <si>
    <t>Financial Inclusion; Financial Exclusion; Inclusive Growth; Global Financial Inclusion Index (Findex); 'No-frills' Accounts</t>
  </si>
  <si>
    <t>Financial inclusion can really pick up the financial conditions and standards of living of the disadvantaged groups. Various countries are promoting financial inclusion across the world. The list includes Peru, Colombia, Philippines, Pakistan, Chile, Tanzania, Bolivia, Mexico, Bangladesh, South Africa, Kenya and Brazil. Particularly, Brazil has succeeded in financial inclusion using Business Correspondent Model. India also has a similar demographic profile can emulate the policies as successfully as implemented by Brazil. Financial inclusion has been accorded high importance by the Reserve Bank to aid the inclusive growth process of the economy. There have been formidable challenges in this area such as bringing sections of society that are financially excluded within the ambit of the formal financial system, providing financial literacy and strengthening credit delivery mechanisms. The present paper explains the Financial Inclusion: Global Scenario, Financial Inclusion Environment Ranking Methodology, Region-wise trend analysis of Average Financial Inclusion Index, Current Scenario of Financial Inclusion in India, Key Parameters of Financial Inclusion in India, Trends in India's overall Financial Inclusion Index Score, Challenges of Financial Inclusion in India and the measures to overcome such challenges.</t>
  </si>
  <si>
    <t>[Reddy, C. Viswanatha] Sree Vidyanikethan Inst Management, Tirupati, Andhra Pradesh, India</t>
  </si>
  <si>
    <t>Reddy, CV (corresponding author), Sree Vidyanikethan Inst Management, Tirupati, Andhra Pradesh, India.</t>
  </si>
  <si>
    <t>, C Viswanatha Reddy/AAW-4789-2020</t>
  </si>
  <si>
    <t>, C Viswanatha Reddy/0000-0002-2716-0624</t>
  </si>
  <si>
    <t>JAGANNATH INT MANAGEMENT SCH</t>
  </si>
  <si>
    <t>OCF POCKET 9, SECTOR-B, VASANT KUNJ, NEW DELHI, 110 070, INDIA</t>
  </si>
  <si>
    <t>0973-9335</t>
  </si>
  <si>
    <t>0973-9343</t>
  </si>
  <si>
    <t>JIMS8M-J INDIAN MANA</t>
  </si>
  <si>
    <t>JIMS8M-J. Indian Manag. Strategy</t>
  </si>
  <si>
    <t>10.5958/0973-9343.2016.00034.X</t>
  </si>
  <si>
    <t>EF0JF</t>
  </si>
  <si>
    <t>WOS:000390011000008</t>
  </si>
  <si>
    <t>Vasishta, P; Singla, A</t>
  </si>
  <si>
    <t>Vasishta, Prihana; Singla, Anju</t>
  </si>
  <si>
    <t>Emerging trends in FinTech and financial inclusion: A review and bibliometric analysis</t>
  </si>
  <si>
    <t>financial inclusion; financial technology; financial literacy; bibliometric analysis</t>
  </si>
  <si>
    <t>LITERACY; TRANSFORMATION; CAPABILITIES; REVOLUTION; INNOVATION; ACCESS</t>
  </si>
  <si>
    <t>FinTech has enabled various financial institutions to reach a larger and more diverse customer base, thus making the unbanked population financially inclusive. This paper aims to systematically review academic papers on Financial Inclusion and FinTech. A combination of these two themes, followed by a bibliometric and network analysis, is carried out for the period ranging from 2012 to 2021, encompassing 219 Scopus publications. The analysis shows that this topic has recently acquired interest and has sufficient potential to grow in the future. Further, the cluster analysis highlights five themes for FinTech researchers, namely: Financial Digital Technologies and MSMEs; Financial Innovation and Sustainable Development; Information Systems and Regulation of Mobile Money; FinTech and Digital Financial Inclusion; FinTech Adoption and Financial Literacy. Moreover, it is observed that a study evaluating the influence of Financial Literacy on FinTech Adoption, which leads to Financial Inclusion, would fill other research gaps in this study.</t>
  </si>
  <si>
    <t>[Vasishta, Prihana; Singla, Anju] Punjab Engn Coll, Ctr Management &amp; Humanities, Chandigarh, India</t>
  </si>
  <si>
    <t>Singla, A (corresponding author), Punjab Engn Coll, Ctr Management &amp; Humanities, Chandigarh, India.</t>
  </si>
  <si>
    <t>anjusingla@pec.edu.in</t>
  </si>
  <si>
    <t>Singla, Anju/0000-0002-8350-7872; Vasishta, Prihana/0000-0002-3833-4992</t>
  </si>
  <si>
    <t>JUL 28</t>
  </si>
  <si>
    <t>10.1080/20421338.2024.2353428</t>
  </si>
  <si>
    <t>H9P1S</t>
  </si>
  <si>
    <t>WOS:001249806400001</t>
  </si>
  <si>
    <t>Adjei, JK; Odei-Appiah, S; Tobbin, PE</t>
  </si>
  <si>
    <t>Adjei, Joseph Kwame; Odei-Appiah, Solomon; Tobbin, Peter Ebo</t>
  </si>
  <si>
    <t>Explaining the determinants of continual use of mobile financial services</t>
  </si>
  <si>
    <t>Expectation confirmation theory; Expectation; Good agent quality; IS continuance model; MFS; Mobile financial services; Technology acceptance</t>
  </si>
  <si>
    <t>INFORMATION-SYSTEMS CONTINUANCE; BEHAVIORAL INTENTIONS; PERCEIVED USEFULNESS; TECHNOLOGY USAGE; SATISFACTION; ACCEPTANCE; ADOPTION; MODEL; ANTECEDENTS; COMMERCE</t>
  </si>
  <si>
    <t>Purpose Information system continuance model has been used in a number of studies to explain information system continuance in different contexts. However, very little research attention has been given to continuous use of mobile financial services (MFS). The purpose of this study is to fill this research gap by identifying the main factors that influence the continual use of MFS. Design/methodology/approach A sample was randomly taken from MFS registered accounts or mobile wallets. A five-point Likert scale survey was conducted in Ghana. Structural equation modelling was used to test the data. Constructs such as continual use, satisfaction, perceived usefulness and confirmation were adapted from information system continuance model to suit the requirement of MFS. A pilot study was then carried out after the questionnaire was developed to gauge the appropriateness of the survey questions. Findings Results from the survey indicated that user satisfaction has the greatest impact on the continual use of mobile financial services. Good agent quality and satisfaction were the second most influential determinant. Satisfaction was, in turn, confirmed to be determined by perceived usefulness. Another important contributor to MFS continual use was found to be perceived ease of use (PEOU) with an impact surprisingly higher than that of perceived usefulness. There was a significant impact of good agent quality on satisfaction, which could be attributed to the characteristics of the technology for the study. Social implications This study contributes to ensuring financial inclusion such that the unbanked can have access to financial services and also improve digital inclusion. Originality/value The study provides empirical evidence to support the substantive differences between acceptance and continual use behaviours, integrating the constructs of good agent quality and PEOU into our understanding of information system continual use literature. The authors also theorized and evaluated a model of MFS continual use.</t>
  </si>
  <si>
    <t>[Adjei, Joseph Kwame; Odei-Appiah, Solomon; Tobbin, Peter Ebo] Ghana Inst Management &amp; Publ Adm, Sch Technol, Accra, Ghana</t>
  </si>
  <si>
    <t>Adjei, JK (corresponding author), Ghana Inst Management &amp; Publ Adm, Sch Technol, Accra, Ghana.</t>
  </si>
  <si>
    <t>jadjei@gimpa.edu.gh</t>
  </si>
  <si>
    <t>Tobbin, Peter/0009-0000-9633-3931</t>
  </si>
  <si>
    <t>DEC 16</t>
  </si>
  <si>
    <t>10.1108/DPRG-09-2019-0074</t>
  </si>
  <si>
    <t>DEC 2019</t>
  </si>
  <si>
    <t>KD8AB</t>
  </si>
  <si>
    <t>WOS:000506225000001</t>
  </si>
  <si>
    <t>Xu, F; Kasperskaya, Y; Sagarra, M</t>
  </si>
  <si>
    <t>Xu, Feng; Kasperskaya, Yuliya; Sagarra, Marti</t>
  </si>
  <si>
    <t>The impact of FinTech on bank performance: A systematic literature review</t>
  </si>
  <si>
    <t>DIGITAL BUSINESS</t>
  </si>
  <si>
    <t>FinTech; Bank performance; Bibliometric analysis; Digital banking; Financial inclusion; Peer-to-peer lending; Risk management; Mobile payments; Blockchain; Customer experience; Regulatory frameworks; Financial stability</t>
  </si>
  <si>
    <t>MOBILE MONEY SERVICES; ADOPTION; EFFICIENCY; KEYWORD; TOOL</t>
  </si>
  <si>
    <t>This paper investigates the impact of financial technology (FinTech) on bank performance through a comprehensive bibliometric analysis of publications from the Web of Science Core Collection Database published between 2015 and July 2024. The study employs the R-package litsearchr for keyword search string development and uses VosViewer and Bibliometrix for science mapping and network analysis. The research addresses five key questions, including research trends, influential authors and sources, geographical influences, notable research clusters, and the aspects of bank performance affected by FinTech. The paper proposes four future research directions, suggesting the exploration of alternative bank performance metrics, greater regional focus, the investigation of emerging themes such as financial inclusion and the role of entrepreneurship, and advances in methodologies. This article contributes to significantly enhancing the understanding of how FinTech is reshaping the banking industry and providing a robust foundation for future research to build upon, making it a valuable resource for both academics and practitioners interested in the intersection of technology and finance.</t>
  </si>
  <si>
    <t>[Xu, Feng; Kasperskaya, Yuliya; Sagarra, Marti] Univ Barcelona, Barcelona, Spain</t>
  </si>
  <si>
    <t>University of Barcelona</t>
  </si>
  <si>
    <t>Xu, F (corresponding author), Univ Barcelona, Business Dept, Avda Diagonal 690, Barcelona 08034, Spain.</t>
  </si>
  <si>
    <t>fxuxuxxx29@alumnes.ub.edu</t>
  </si>
  <si>
    <t>2666-9544</t>
  </si>
  <si>
    <t>DIGIT BUS</t>
  </si>
  <si>
    <t>Digit. Bus.</t>
  </si>
  <si>
    <t>10.1016/j.digbus.2025.100131</t>
  </si>
  <si>
    <t>3KA0Z</t>
  </si>
  <si>
    <t>WOS:001502186900001</t>
  </si>
  <si>
    <t>Banerjee, S; Sinha, M</t>
  </si>
  <si>
    <t>Banerjee, Srijanie; Sinha, Manish</t>
  </si>
  <si>
    <t>Promoting Financial Inclusion through Central Bank Digital Currency: An Evaluation of in India</t>
  </si>
  <si>
    <t>Central Bank Digital Currency; Financial Inclusion; Payment System; India</t>
  </si>
  <si>
    <t>QUANTILE REGRESSION</t>
  </si>
  <si>
    <t>The Reserve Bank of India (RBI) is considering introducing a Central Bank Digital Currency (CBDC). According to studies, India's financial system plays a significant role in the execution of the CBDC. India is at the forefront of technological advancements in digital payment methods. The central banks that support CBDC's design concept are susceptible to adaptations to the evolution of economic and financial systems. This study will highlight the potential of CBDC to boost financial inclusion. Quantitative regression analysis is being used to quantify the potential drivers of financial sector efficiency and stability to measure the impact of CBDC implementation on financial inclusion. The central bank should build the CBDC utilizing the Structural Vector Auto-Regression model while considering payment system visibility. The proposed study can help to identify the lags in attaining financial inclusion in India and to design CBDC. The proposed study can also establish the policymakers' role in maximizing benefits to the consumers. The study establishes the potential role of RBI in the smooth functionality of implementing CBDC. The study brings out the trend of the payment system in India that opens up the possibility of positive implementation of CBDC and its welfare to percolate among consumers.</t>
  </si>
  <si>
    <t>[Banerjee, Srijanie] Symbiosis Int Deemed Univ, Pune 412115, India; [Sinha, Manish] Symbiosis Int Deemed Univ, Symbiosis Ctr Management &amp; Human Resource Dev, Pune 411057, India</t>
  </si>
  <si>
    <t>Banerjee, S (corresponding author), Symbiosis Int Deemed Univ, Pune 412115, India.</t>
  </si>
  <si>
    <t>srijanie_banerjee@scmhrd.edu; manish_sinha@scmhrd.edu</t>
  </si>
  <si>
    <t>BANERJEE, SRIJANIE/0000-0002-6840-9190</t>
  </si>
  <si>
    <t>G0ZA6</t>
  </si>
  <si>
    <t>WOS:000986530100003</t>
  </si>
  <si>
    <t>Understanding financial inclusion in Ethiopia</t>
  </si>
  <si>
    <t>Ethiopia; financial inclusion; global findex; logit model</t>
  </si>
  <si>
    <t>SUB-SAHARAN AFRICA; DETERMINANTS; ACCESS</t>
  </si>
  <si>
    <t>The main objective of this paper is to examine the drivers, barriers of financial inclusion, and saving and credit behaviour in Ethiopia. We used the World Bank 2017 Findex database to carry out logit estimations. We found that being educated, richer, a man, and older associated with greater level of financial inclusion with a strong influence of income and education. We found that the existing gender gaps in the financial inclusion is mainly due to women exclusion from the non-financial sector. While younger and poor adults do not access formal accounts due to involuntary exclusion (distance to the nearest financial access point, affordability, and lack of documentation), older and richer individuals are constrained by voluntary barriers (lack of money, family member has account). Women are less likely to save for farm or business and old age security purposes, while educated individuals in the wealthiest 20% quintile save for old age security purposes. The rich and the poor seek formal credit primarily for farm/business and asset purchase. Our work confirms that the determinants, barriers, saving, and credit behaviour are different across individual characteristics. We strongly recommend that policies that aim to foster financial inclusion should target the vulnerable (the poor, young, less educated, and women) population groups. Authorities and policymakers should strive to improve women participation in the formal real sector of the economy, financial institutions should adopt technologies such as mobile banking and mobile money to ensure the accessibility of financial services.</t>
  </si>
  <si>
    <t>[Mossie, Workineh Ayenew] Debre Berhan Univ, Dept Econ, Amhara, Ethiopia</t>
  </si>
  <si>
    <t>Mossie, WA (corresponding author), Debre Berhan Univ, Dept Econ, Amhara, Ethiopia.</t>
  </si>
  <si>
    <t>10.1080/23322039.2022.2071385</t>
  </si>
  <si>
    <t>0Y7JV</t>
  </si>
  <si>
    <t>WOS:000790563800001</t>
  </si>
  <si>
    <t>Otchia, C; Asongu, S</t>
  </si>
  <si>
    <t>Otchia, Christian; Asongu, Simplice</t>
  </si>
  <si>
    <t>Industrial growth in sub-Saharan Africa: evidence from machine learning with insights from nightlight satellite images</t>
  </si>
  <si>
    <t>Industrial growth; Machine learning; Africa; I32; O15; O40; O55</t>
  </si>
  <si>
    <t>E-WALLET PROGRAM; FINANCIAL ACCESS; NIGHTTIME-LIGHT; INEQUALITY; POVERTY; ICT; SMALLHOLDERS; EMISSIONS; CONFLICT; FARMERS</t>
  </si>
  <si>
    <t>Purpose This study uses machine machine learning techniques to assess industrial development in Africa. Design/methodology/approach This study uses nightlight time data and machine learning techniques to assess industrial development in Africa. Findings This study provides evidence on how machine learning techniques and nightlight data can be used to assess economic development in places where subnational data are missing or not precise. Taken together, the research confirms four groups of important determinants of industrial growth: natural resources, agriculture growth, institutions and manufacturing imports. Our findings indicate that Africa should follow a more multisector approach for development, putting natural resources and agriculture productivity growth at the forefront. Originality/value Studies on the use of machine learning (with insights from nightlight satellite images) to assess industrial development in Africa are sparse.</t>
  </si>
  <si>
    <t>[Otchia, Christian] Kwansei Gakuin Univ, Nishinomiya, Hyogo, Japan; [Asongu, Simplice] Univ South Africa, Pretoria, South Africa</t>
  </si>
  <si>
    <t>Kwansei Gakuin University; University of South Africa</t>
  </si>
  <si>
    <t>Asongu, S (corresponding author), Univ South Africa, Pretoria, South Africa.</t>
  </si>
  <si>
    <t>cotchia@gmail.com; asongusimplice@yahoo.com</t>
  </si>
  <si>
    <t>OTCHIA, Christian/0000-0003-1471-8630</t>
  </si>
  <si>
    <t>OCT 29</t>
  </si>
  <si>
    <t>10.1108/JES-05-2020-0201</t>
  </si>
  <si>
    <t>WN7WE</t>
  </si>
  <si>
    <t>WOS:000592906400001</t>
  </si>
  <si>
    <t>Hu, L; Ji, LH; Zhu, T; Yang, CY; Wang, DS</t>
  </si>
  <si>
    <t>Hu, Lian; Ji, Luhan; Zhu, Ting; Yang, Chengyu; Wang, Dianshuang</t>
  </si>
  <si>
    <t>Does Mobile Payment Raise the Poverty-Alleviation Resilience of Chinese Households?</t>
  </si>
  <si>
    <t>development resilience; mobile payment; poverty-alleviation resilience; poverty-eradication resilience</t>
  </si>
  <si>
    <t>ENTREPRENEURSHIP; TRANSFERS; KENYA</t>
  </si>
  <si>
    <t>Considering the complex environment facing the future poverty reduction process in China, and it is increasingly urgent to shift the conversation from the poverty vulnerability to poverty-alleviation resilience of households. Coinciding with poverty-alleviation progress, mobile payment has experienced explosive growth, resulting in significant and far-reaching influences on production and lifestyle. This study constructs a theoretical framework to analyze the impact of mobile payment on poverty-alleviation resilience (splitting into poverty-eradication resilience and development resilience). Meanwhile, the impact is empirically investigated using the China Household Finance Survey for 2017 and 2019. The findings reveal that, first, mobile payment significantly increases both poverty-eradication resilience and development resilience. According to the quantile regression results, mobile payment has a larger contribution to households with a lower poverty-alleviation resilience, with the contribution diminishing as poverty-alleviation resilience improves; second, mobile payment significantly increases poverty-alleviation resilience by increasing self-insurance capacity and participation in commercial insurance (ex ante), alleviating financial exclusion (ex interim), and promoting entrepreneurship and improving entrepreneurial performance (ex post); and third, social trust significantly improves the effect of mobile payment on poverty-alleviation resilience, whereas the age of the household head has the reverse effect. Since risk and shocks play a more pronounced role in the persistence of poverty, our research helps to understand poverty alleviation and offers insights into how to eradicate poverty in all its forms and dimensions, thus realizing the 2030 Agenda for Sustainable Development.</t>
  </si>
  <si>
    <t>[Hu, Lian; Ji, Luhan; Zhu, Ting; Yang, Chengyu; Wang, Dianshuang] Anhui Univ Finance &amp; Econ, Sch Econ, Bengbu, Peoples R China</t>
  </si>
  <si>
    <t>Anhui University of Finance &amp; Economics</t>
  </si>
  <si>
    <t>Wang, DS (corresponding author), Anhui Univ Finance &amp; Econ, Sch Econ, Bengbu, Peoples R China.</t>
  </si>
  <si>
    <t>wangds55@aufe.edu.cn</t>
  </si>
  <si>
    <t>MOE (Ministry of Education in China) Project of Humanities and Social Sciences; Scientific Research Program for Universities in Anhui Province [2022AH040083]; Anhui Provincial Natural Science Foundation [2308085QG237]; [23YJA790030]</t>
  </si>
  <si>
    <t>MOE (Ministry of Education in China) Project of Humanities and Social Sciences; Scientific Research Program for Universities in Anhui Province; Anhui Provincial Natural Science Foundation(Natural Science Foundation of Anhui Province);</t>
  </si>
  <si>
    <t>Lian Hu is supported by Scientific Research Program for Universities in Anhui Province (2022AH040083), Anhui Provincial Natural Science Foundation (Grant No. 2308085MG233), and MOE (Ministry of Education in China) Project of Humanities and Social Sciences (Grant/Award Number: 23YJA790030). Dianshuang Wang is supported by the Anhui Provincial Natural Science Foundation (Grant No. 2308085QG237).</t>
  </si>
  <si>
    <t>10.1111/rode.13166</t>
  </si>
  <si>
    <t>8SN2V</t>
  </si>
  <si>
    <t>WOS:001322614100001</t>
  </si>
  <si>
    <t>Ankrah, DA; Asante, BO; Prah, S; Boateng, FK</t>
  </si>
  <si>
    <t>Ankrah, Daniel Adu; Asante, Bright Owusu; Prah, Stephen; Boateng, Forster K.</t>
  </si>
  <si>
    <t>Impact of digital financial inclusion on the participation in farmer-based organisations, structured market and off-farm work in Ghana</t>
  </si>
  <si>
    <t>mobile money; recursive bivariate probit; smallholder maize farmers; southern Ghana</t>
  </si>
  <si>
    <t>MOBILE MONEY ADOPTION; COOPERATIVE MEMBERSHIP; PANEL EVIDENCE; PRODUCTIVITY; INFORMATION; CREDIT; ACCESS; INCOME; ICT</t>
  </si>
  <si>
    <t>This paper examines the impact of mobile money account ownership on farmers' participation in farmer-based organisations (FBOs), structured market and off-farm work. Relying on recursive bivariate probit model, our results reveal that owning a mobile money account increases the likelihood of farmers' participating in an FBO, structured market and off-farm work by 15.4%, 33.3% and 37.5%, respectively. Furthermore, mobile money account ownership is influenced by socioeconomic and institutional factors as well as the presence of mobile money vendors within a community. Our finding calls for sustained efforts to deepen digital financial inclusion for increased participation in FBOs, structured market and off-farm work.</t>
  </si>
  <si>
    <t>[Ankrah, Daniel Adu] Univ Ghana, Coll Basic &amp; Appl Sci CBAS, Sch Agr, Dept Agr Extens, Accra, Ghana; [Asante, Bright Owusu; Prah, Stephen] Kwame Nkrumah Univ Sci &amp; Technol KNUST, Dept Agr Econ Agribusiness &amp; Extens, Kumasi, Ghana; [Boateng, Forster K.] Tree Crops Dev Author TCDA, Kumasi, Ghana</t>
  </si>
  <si>
    <t>University of Ghana; Kwame Nkrumah University Science &amp; Technology</t>
  </si>
  <si>
    <t>Asante, BO (corresponding author), Kwame Nkrumah Univ Sci &amp; Technol KNUST, Dept Agr Econ Agribusiness &amp; Extens, Kumasi, Ghana.</t>
  </si>
  <si>
    <t>brightasante2024@yahoo.com</t>
  </si>
  <si>
    <t>Asante, Bright/Y-8510-2019; Prah, Stephen/IAR-7260-2023; Ankrah, Daniel/ABC-9929-2021</t>
  </si>
  <si>
    <t>Prah, Stephen/0000-0002-0482-087X; Ankrah, Daniel/0000-0001-9360-0854</t>
  </si>
  <si>
    <t>10.1002/jid.3863</t>
  </si>
  <si>
    <t>LD9G5</t>
  </si>
  <si>
    <t>WOS:001106075300001</t>
  </si>
  <si>
    <t>Jiang, W; Hu, YH; Cao, HJ</t>
  </si>
  <si>
    <t>Jiang, Wei; Hu, Yanhui; Cao, Hongjie</t>
  </si>
  <si>
    <t>Does Digital Financial Inclusion Increase the Household Consumption? Evidence from China</t>
  </si>
  <si>
    <t>Digital financial inclusion; Household consumption; Financial asset; Financial literacy; Happiness; Moderating effect</t>
  </si>
  <si>
    <t>Digital financial inclusion has emerged as a crucial means to enhance consumer consumption. This study utilizes provincial data from the China Household Finance Survey (CHFS) in 2017 and 2019, along with the digital financial inclusion index developed by Peking University, to investigate the impact of digital financial inclusion (DFI) on household consumption. Moreover, this research delves into the micro-level mechanisms through which DFI influences consumption. By examining these factors, we aim to shed light on the heterogeneous effects of DFI on households with varying consumption levels. The findings of this study provide compelling evidence that digital financial inclusion significantly benefits household consumption. Notably, the effects of DFI vary across different regions and consumption levels. Heterogeneity analysis reveals that DFI has a more pronounced impact on consumption in eastern and rural areas. Furthermore, at the individual level, digital financial inclusion is particularly conducive to the consumption levels of individuals under 60 years old and married individuals. Its promotion effect is achieved by increasing the proportion of household financial assets, improving residents' financial literacy, and improving overall life satisfaction. Additionally, our analysis of moderating effects demonstrates that family social relations and family age structure positively influence the process. This paper holds significant implications for understanding and enhancing the promotion effect of digital financial inclusion on household consumption levels.</t>
  </si>
  <si>
    <t>[Jiang, Wei] Qingdao Univ, Sch Econ, Qingdao, Shandong, Peoples R China; [Hu, Yanhui] Jinan Univ, Sch Econ, Guangzhou, Guangdong, Peoples R China; [Cao, Hongjie] Qingdao Univ, Sch Econ, Qingdao, Shandong, Peoples R China</t>
  </si>
  <si>
    <t>Qingdao University; Jinan University; Qingdao University</t>
  </si>
  <si>
    <t>Jiang, W (corresponding author), Qingdao Univ, Sch Econ, Qingdao, Shandong, Peoples R China.</t>
  </si>
  <si>
    <t>xy072281@pku.edu.cn</t>
  </si>
  <si>
    <t>Jiang, Wei/ACO-1069-2022</t>
  </si>
  <si>
    <t>Jiang, Wei/0000-0002-2611-3682</t>
  </si>
  <si>
    <t>2024 FEB 15</t>
  </si>
  <si>
    <t>10.1007/s13132-024-01821-3</t>
  </si>
  <si>
    <t>HU7T1</t>
  </si>
  <si>
    <t>WOS:001162091900001</t>
  </si>
  <si>
    <t>Shi, XL</t>
  </si>
  <si>
    <t>Wang, T; Patnaik, S; Jack, WCH; Varela, MLR</t>
  </si>
  <si>
    <t>Shi, Xiuli</t>
  </si>
  <si>
    <t>The Impact of Digital Financial Inclusion on Residents' Income</t>
  </si>
  <si>
    <t>APPLICATIONS OF DECISION SCIENCE IN MANAGEMENT, ICDSM 2022</t>
  </si>
  <si>
    <t>Smart Innovation Systems and Technologies</t>
  </si>
  <si>
    <t>4th International Conference on Decision Science and Management (ICDSM)</t>
  </si>
  <si>
    <t>JAN 07-09, 2022</t>
  </si>
  <si>
    <t>Changsha, PEOPLES R CHINA</t>
  </si>
  <si>
    <t>Hunan Int Econ Univ,IRNet Int Acad Commun Ctr</t>
  </si>
  <si>
    <t>Digital financial inclusion; Residents' income; Social equity; Income gap; Rural</t>
  </si>
  <si>
    <t>The popularization of digital finance is conducive to promoting economic growth and increasing residents' income. This article uses 2016 and 2018 cfps data and the Peking University Financial Inclusion Index to find that when the financial inclusion index increases by one point, household income increases by 0.3%. The development of digital financial inclusion is different for different groups, urban and rural areas, and different regions. Under the same conditions, the financial inclusion index has a slightly greater impact on rural residents at 0.4%; the results of distinguishing eastern, central, and western regions show that for every one point increase in the western region's financial inclusion index, household income will increase by 0.6%. Digital financial inclusion has a greater impact on rural residents and western urban areas, indicating that the development of digital financial inclusion is also conducive to social equity. The development of digital financial inclusion is of guiding significance for narrowing the income gap.</t>
  </si>
  <si>
    <t>[Shi, Xiuli] Shanghai Univ, Sch Econ, Shanghai, Peoples R China</t>
  </si>
  <si>
    <t>Shanghai University</t>
  </si>
  <si>
    <t>Shi, XL (corresponding author), Shanghai Univ, Sch Econ, Shanghai, Peoples R China.</t>
  </si>
  <si>
    <t>s1912104757@163.com</t>
  </si>
  <si>
    <t>2190-3018</t>
  </si>
  <si>
    <t>2190-3026</t>
  </si>
  <si>
    <t>978-981-19-2768-3; 978-981-19-2767-6</t>
  </si>
  <si>
    <t>SMART INNOV SYST TEC</t>
  </si>
  <si>
    <t>10.1007/978-981-19-2768-3_43</t>
  </si>
  <si>
    <t>BT9WW</t>
  </si>
  <si>
    <t>WOS:000865739200043</t>
  </si>
  <si>
    <t>Nathan, RJ; Setiawan, B; Quynh, MN</t>
  </si>
  <si>
    <t>Nathan, Robert Jeyakumar; Setiawan, Budi; Mac Nhu Quynh</t>
  </si>
  <si>
    <t>Fintech and Financial Health in Vietnam during the COVID-19 Pandemic: In-Depth Descriptive Analysis</t>
  </si>
  <si>
    <t>JOURNAL OF RISK AND FINANCIAL MANAGEMENT</t>
  </si>
  <si>
    <t>fintech adoption; financial literacy; digitization in finance; financial inclusion; low income group; poverty alleviation; ASEAN</t>
  </si>
  <si>
    <t>INTERNET BANKING ADOPTION; USER ACCEPTANCE; TRUST; TECHNOLOGY; SERVICES; POOR</t>
  </si>
  <si>
    <t>The growing popularity of smartphones and the proliferation of technology have accelerated the development of the digital payment industry. Fintech enables customers to access financial services more efficiently and faster than traditional business, especially during the COVID-19 pandemic due to health protocols, including restrictions on physical contact. This study investigates financial literacy, fintech adoption, and the impact of the COVID-19 crisis on the financial health of consumers in Vietnam. The relatively higher level of the unbanked population in Vietnam and the lower level of adult financial literacy compared with the ASEAN region motivated this study. Based on judgment sampling, participants were approached using the mall intercept technique, and those familiar with fintech were selected for the research interview. Thirty participants were interviewed and were given a survey form to be filled online using their mobile phones. Data analysis was conducted using IBM SPSS software version 23. Perceived ease of use, perceived usefulness, trust, brand image, government support, user innovativeness, and attitude are found to be significantly correlated with fintech adoption in Vietnam, while financial literacy was found to be not significantly correlated with fintech adoption. Furthermore, further analysis using multiple linear regression revealed user innovativeness and attitude have a positive impact towards fintech adoption, and in contrast, financial literacy showed significant negative impact on fintech. This inverse relationship could indicate that in Vietnam, fintech may play a role of bringing financial inclusion where people with lower financial literacy are able to use technology for financial transactions, which was previously inaccessible to them. This could also mean that Vietnamese with higher financial literacy do not see fintech as an important tool for their financial transactions, as they may already have strong access to traditional financial facilities. This research contributes to knowledge in the field of Fintech adoption in Vietnam at the time of the COVID-19 outbreak. To foster greater financial inclusivity and access for the Vietnamese consumers, policy makers could promote the development of fintech business infrastructure and regulatory sandboxes to foster fintech startups.</t>
  </si>
  <si>
    <t>[Nathan, Robert Jeyakumar] Multimedia Univ, Fac Business, Melaka 75450, Malaysia; [Setiawan, Budi] Univ Indo Global Mandiri, Fac Econ, Palembang 30129, Indonesia; [Setiawan, Budi] Hungarian Univ Agr &amp; Life Sci, Doctoral Sch Econ &amp; Reg Sci, H-2100 Godollo, Hungary; [Mac Nhu Quynh] Vietnam Chamber Commerce &amp; Ind, Dept Planning &amp; Gen Affairs, Hanoi 10000, Vietnam</t>
  </si>
  <si>
    <t>Multimedia University; Hungarian University of Agriculture &amp; Life Sciences</t>
  </si>
  <si>
    <t>Nathan, RJ (corresponding author), Multimedia Univ, Fac Business, Melaka 75450, Malaysia.;Setiawan, B (corresponding author), Univ Indo Global Mandiri, Fac Econ, Palembang 30129, Indonesia.;Setiawan, B (corresponding author), Hungarian Univ Agr &amp; Life Sci, Doctoral Sch Econ &amp; Reg Sci, H-2100 Godollo, Hungary.</t>
  </si>
  <si>
    <t>robert.jeyakumar@mmu.edu.my; budi.setiawan@uigm.ac.id; quynhmn@vcci.com.vn</t>
  </si>
  <si>
    <t>Setiawan, Budi/ABE-5530-2021; Nathan, Robert Jeyakumar/E-3294-2010; Setiawan, Budi/ABE-5530-2021</t>
  </si>
  <si>
    <t>Setiawan, Budi/0000-0001-8707-9126; Nathan, Robert Jeyakumar/0000-0002-0897-0015; Setiawan, Budi/0000-0003-4297-0649</t>
  </si>
  <si>
    <t>Fundamental Research Grant Scheme (FRGS), Ministry of Higher Education, Malaysia [FRGS/1/2020/SS0/MMU/02/7 (MMUE/190256), 18086]; Research Management Centre (RMC) of Multimedia University, Malaysia</t>
  </si>
  <si>
    <t>Fundamental Research Grant Scheme (FRGS), Ministry of Higher Education, Malaysia(Ministry of Education, Malaysia); Research Management Centre (RMC) of Multimedia University, Malaysia</t>
  </si>
  <si>
    <t>This research is funded by the Fundamental Research Grant Scheme (FRGS), Ministry of Higher Education, Malaysia FRGS/1/2020/SS0/MMU/02/7 (MMUE/190256) Project ID: 18086; and supported by the Research Management Centre (RMC) of Multimedia University, Malaysia. The data presented, statements made and views expressed are solely the responsibility of the authors.</t>
  </si>
  <si>
    <t>1911-8066</t>
  </si>
  <si>
    <t>1911-8074</t>
  </si>
  <si>
    <t>J RISK FINANC MANAG</t>
  </si>
  <si>
    <t>J. Risk Financ. Manag.</t>
  </si>
  <si>
    <t>10.3390/jrfm15030125</t>
  </si>
  <si>
    <t>0E0CK</t>
  </si>
  <si>
    <t>WOS:000776354000001</t>
  </si>
  <si>
    <t>Mavilia, R; Pisani, R</t>
  </si>
  <si>
    <t>Mavilia, Roberto; Pisani, Roberta</t>
  </si>
  <si>
    <t>Blockchain and catching-up in developing countries: The case of financial inclusion in Africa</t>
  </si>
  <si>
    <t>blockchain; catching-up; developing countries; Africa; financial inclusion; innovation management</t>
  </si>
  <si>
    <t>Blockchain technology, born as a tool to support Bitcoins (the most popular and controversial cryptocurrency in the world) has set itself in a very short time as a disruptive technology able not only to revolutionize existing businesses but also to create new ones. This work illustrates the main characteristics of the blockchain and its functioning, and then focuses on the potential applications that can be implemented for developing countries. More specifically, the work, considers the case of financial inclusion in Africa, on the basis of the Global Findex 2017 data, the World Bank Survey on financial inclusion. The empirical analysis identifies the weaknesses in the current financial system in Africa and constitues the basis to discuss potential blockchain solutions to reduce the current level of financial exclusion and pursue sustainable development for African countries.</t>
  </si>
  <si>
    <t>[Mavilia, Roberto] Bocconi Univ, Invernizzi Ctr Res Innovat Org Strategy &amp; Entrepr, ICRIOS, Via Sarfatti 25, I-20136 Milan, Italy; [Mavilia, Roberto; Pisani, Roberta] Res Ctr Mediterranean Relat, MEDAl, Via Torr 95, I-89125 Reggio Di Calabria, Italy; [Mavilia, Roberto; Pisani, Roberta] Bocconi Univ, Dept Management &amp; Technol, Via Sarfatti 25, I-20136 Milan, Italy</t>
  </si>
  <si>
    <t>Bocconi University; Bocconi University</t>
  </si>
  <si>
    <t>Mavilia, R (corresponding author), Bocconi Univ, Invernizzi Ctr Res Innovat Org Strategy &amp; Entrepr, ICRIOS, Via Sarfatti 25, I-20136 Milan, Italy.;Mavilia, R (corresponding author), Res Ctr Mediterranean Relat, MEDAl, Via Torr 95, I-89125 Reggio Di Calabria, Italy.;Mavilia, R (corresponding author), Bocconi Univ, Dept Management &amp; Technol, Via Sarfatti 25, I-20136 Milan, Italy.</t>
  </si>
  <si>
    <t>roberto.mavilia@unibocconi.it</t>
  </si>
  <si>
    <t>; Mavilia, Roberto/ABG-4445-2021</t>
  </si>
  <si>
    <t>Pisani, Roberta/0000-0002-4869-0448; Mavilia, Roberto/0000-0002-9030-0079</t>
  </si>
  <si>
    <t>FEB 23</t>
  </si>
  <si>
    <t>10.1080/20421338.2019.1624009</t>
  </si>
  <si>
    <t>KX4DI</t>
  </si>
  <si>
    <t>WOS:000479810800001</t>
  </si>
  <si>
    <t>Gupta, S; Dhingra, S</t>
  </si>
  <si>
    <t>Gupta, Shelly; Dhingra, Sanjay</t>
  </si>
  <si>
    <t>Past, present and future of mobile financial services: A critique, review and future agenda</t>
  </si>
  <si>
    <t>mobile banking; mobile financial services; mobile money; mobile payment; systematic literature review</t>
  </si>
  <si>
    <t>M-BANKING ADOPTION; CONSUMER ADOPTION; PAYMENT SERVICES; PERCEIVED RISK; INFORMATION-TECHNOLOGY; BEHAVIORAL INTENTIONS; EMPIRICAL-EVIDENCE; CUSTOMER ADOPTION; USER ACCEPTANCE; DETERMINANTS</t>
  </si>
  <si>
    <t>Mobile financial services (MFS) have been a powerful innovation to provide cost-effective services and wide coverage to the unbanked population of the world. The topic has gained considerable attention from researchers but lacks a clear guideline or directions for future prospects. Therefore, this article presents a systematic literature review on MFS adoption. Using the Web of Science database, the paper reviewed 118 articles and revealed significant models, conceptual frameworks, antecedents and variables that explain consumers' adoption of MFS. The paper also outlines highly cited authors, studies and journals utilizing international platforms such as Google Scholar, ResearchGate and SCImago Journal Ranking. The findings of the systematic literature review indicate the technology acceptance model (TAM) followed by the unified theory of acceptance and use of technology (UTAUT) as the leading conceptual framework, and MFS adoption antecedents can be organized into six different categories, viz. Cognitive determinants, affective determinants, social-based determinants, trust-based determinants, barrier-based determinants and consumer-based determinants. The paper concluded with an agenda for future studies with corresponding gaps in the literature.</t>
  </si>
  <si>
    <t>[Gupta, Shelly; Dhingra, Sanjay] Guru Gobind Singh Indraprastha Univ, Univ Sch Management Studies, Dwarka Sect 16-C, New Delhi 110078, India</t>
  </si>
  <si>
    <t>GGS Indraprastha University</t>
  </si>
  <si>
    <t>Gupta, S; Dhingra, S (corresponding author), Guru Gobind Singh Indraprastha Univ, Univ Sch Management Studies, Dwarka Sect 16-C, New Delhi 110078, India.</t>
  </si>
  <si>
    <t>singlashelly1502@gmail.com; sdhingra342003@yahoo.com</t>
  </si>
  <si>
    <t>Gupta, Shelly/AEB-5279-2022</t>
  </si>
  <si>
    <t>Gupta, Shelly/0000-0001-7962-6476</t>
  </si>
  <si>
    <t>10.1111/ijcs.12855</t>
  </si>
  <si>
    <t>5L2OL</t>
  </si>
  <si>
    <t>WOS:000839362900001</t>
  </si>
  <si>
    <t>Khando, K; Islam, MS; Gao, S</t>
  </si>
  <si>
    <t>Khando, Khando; Islam, M. Sirajul; Gao, Shang</t>
  </si>
  <si>
    <t>The Emerging Technologies of Digital Payments and Associated Challenges: A Systematic Literature Review</t>
  </si>
  <si>
    <t>FUTURE INTERNET</t>
  </si>
  <si>
    <t>digital payment technology; digital payment system; mobile payment; e-payment; cryptocurrency; card payment; challenges; systematic review</t>
  </si>
  <si>
    <t>FUTURE</t>
  </si>
  <si>
    <t>The interplay between finance and technology with the use of the internet triggered the emergence of digital payment technologies. Such technological innovation in the payment industry is the foundation for financial inclusion. However, despite the continuous progress and potential of moving the payment landscape towards digital payments and connecting the population to the ubiquitous digital environment, some critical issues need to be addressed to achieve a more harmonious inclusive and sustainable cashless society. The study aims to provide a comprehensive literature review on the emerging digital payment technologies and associated challenges. By systematically reviewing existing empirical studies, this study puts forward the state-of-the-art classification of digital payment technologies and presents four categories of digital payment technologies: card payment, e-payment, mobile payment and cryptocurrencies. Subsequently, the paper presents the key challenges in digital payment technologies categorized into broad themes: social, economic, technical, awareness and legal. The classification and categorization of payment technologies and associated challenges can be useful to both researchers and practitioners to understand, elucidate and develop a coherent digital payment strategy.</t>
  </si>
  <si>
    <t>[Khando, Khando; Islam, M. Sirajul; Gao, Shang] Orebro Univ, Sch Business, Dept Informat, S-70182 Orebro, Sweden</t>
  </si>
  <si>
    <t>Orebro University</t>
  </si>
  <si>
    <t>Gao, S (corresponding author), Orebro Univ, Sch Business, Dept Informat, S-70182 Orebro, Sweden.</t>
  </si>
  <si>
    <t>shang.gao@oru.se</t>
  </si>
  <si>
    <t>Gao, Shang/AAZ-6489-2020; Islam, M Sirajul/AHA-8275-2022; khando, khando/ABZ-0050-2022</t>
  </si>
  <si>
    <t>Gao, Shang/0000-0002-3722-6797; Islam, M Sirajul/0000-0002-7907-6037;</t>
  </si>
  <si>
    <t>1999-5903</t>
  </si>
  <si>
    <t>Future Internet</t>
  </si>
  <si>
    <t>10.3390/fi15010021</t>
  </si>
  <si>
    <t>7Y9KT</t>
  </si>
  <si>
    <t>WOS:000915189200001</t>
  </si>
  <si>
    <t>Chowdhury, MAM; Labib, T; Hossain, A; Hossain, MB; Rengasamy, D; Atiullah, M</t>
  </si>
  <si>
    <t>Chowdhury, Mohammad Abdul Matin; Labib, Tahmid; Hossain, Anwar; Hossain, Mohammad Belayet; Rengasamy, Dhanuskodi; Atiullah, Md</t>
  </si>
  <si>
    <t>Socio-economic determinants of digital financial inclusion in SAARC countries</t>
  </si>
  <si>
    <t>INTERNATIONAL JOURNAL OF SOCIOLOGY AND SOCIAL POLICY</t>
  </si>
  <si>
    <t>Digital finance; Digital financial inclusion; Digital finance index; SAARC countries; South Asian countries; Mobile financial services; Mobile money accounts; Any digital payments; Buying online</t>
  </si>
  <si>
    <t>PurposeThe purpose of this study is to examine the effects of individuals' socio-economic factors on digital financial inclusion in the South Asian Association for Regional Cooperation (SAARC) countries.Design/methodology/approachThis study employs a quantitative research methodology following secondary data gathered from the World Bank. This study employs the Tobit and logistic regression models on the Global Findex Survey data comprising SAARC countries. In this study, a total of six indicators were considered for the development of a digital finance index.FindingsThe findings substantiate significant effects of socio-economic characteristics in the adoption of digital financial services in SAARC countries. This study reveals that digital financial inclusion remains low in SAARC countries, and a gender gap exists in digital financial services. Additionally, the levels of low education and income, unemployment and rural areas contribute to the deterioration in SAARC countries. The findings further prove that the impact of individuals' socio-economic characteristics varies across SAARC economies, implying regional differences.Research limitations/implicationsThe present study examines the determinants of digital financial inclusion by focussing exclusively on six socio-economic characteristics of individuals. Secondly, the present study did not account for the impact of digital finance inclusion on individuals' socio-economic well-being. This study also did not consider the barriers to accessibility and usage of digital financial inclusion. Besides, this study only considers a single period to identify socio-economic determinants of digital financial inclusion in SAARC countries.Practical implicationsPractitioners should improve the accessibility of digital financial services for individuals regarding the ownership of debit and credit cards and mobile money accounts. Besides, practitioners should also facilitate the execution of payments and the receipt of services through card-based, internet-based, and mobile-based financial transactions in remote areas. Furthermore, the findings underscore the necessity for broader participation of financial institutions and financial technology service providers in rural areas, owing to geographical inequities that lead to the financial exclusion of the marginalised rural individuals in SAARC countries compared to urban residents. This gap can be realised through a robust support system, sufficient technology infrastructure and competitive user fees. Besides, financial institutions are anticipated to consider users' satisfaction and easy operational processes while developing new products and services.Originality/valueThis study develops a digital finance index comprising six indicators and examined the effect of socio-economic factors, including demographic factors, on DFI in South Asian countries. Based on the author's knowledge, a scarcity of studies has been considered to measure DFI and the effects of socio-economic and demographic factors in the South Asian region, collectively.</t>
  </si>
  <si>
    <t>[Chowdhury, Mohammad Abdul Matin; Hossain, Mohammad Belayet; Rengasamy, Dhanuskodi] Curtin Univ Malaysia, Dept Accounting &amp; Finance, Miri, Malaysia; [Labib, Tahmid] Uttara Univ, Dept Business Adm, Dhaka, Bangladesh; [Hossain, Anwar] East Delta Univ, Sch Business Adm, Chittagong, Bangladesh; [Atiullah, Md] Univ Malaya, Fac Business &amp; Econ, Kuala Lumpur, Malaysia</t>
  </si>
  <si>
    <t>Curtin University Malaysia; Uttara University; Universiti Malaya</t>
  </si>
  <si>
    <t>Chowdhury, MAM (corresponding author), Curtin Univ Malaysia, Dept Accounting &amp; Finance, Miri, Malaysia.</t>
  </si>
  <si>
    <t>matinchy@curtin.edu.my; tahmid.labib@uttarauniversity.edu.bd; anwarhossain.acc.cu@gmail.com; belayet.hossain@curtin.edu.my; dhanuskodi@curtin.edu.my; atiullahiium90@gmail.com</t>
  </si>
  <si>
    <t>Hossain, Mohammad Belayet/AAA-6501-2022; Chowdhury, Mohammad Abdul Matin/AAT-7907-2021</t>
  </si>
  <si>
    <t>0144-333X</t>
  </si>
  <si>
    <t>1758-6720</t>
  </si>
  <si>
    <t>INT J SOCIOL SOC POL</t>
  </si>
  <si>
    <t>Int. J. Sociol. Soc. Policy</t>
  </si>
  <si>
    <t>2025 NOV 20</t>
  </si>
  <si>
    <t>10.1108/IJSSP-01-2025-0071</t>
  </si>
  <si>
    <t>9WD3O</t>
  </si>
  <si>
    <t>WOS:001616450700001</t>
  </si>
  <si>
    <t>Shen, LH; Li, ZR; Wang, S</t>
  </si>
  <si>
    <t>Shen, Lihao; Li, Zhengrong; Wang, Shuo</t>
  </si>
  <si>
    <t>The development of digital inclusive finance and rural residents' subjective well-being</t>
  </si>
  <si>
    <t>Digital inclusive finance; Rural residents; Subjective well-being</t>
  </si>
  <si>
    <t>RELATIVE INCOME; HAPPINESS</t>
  </si>
  <si>
    <t>This paper examines the impact of digital inclusive finance (DIF) on the subjective well-being (SWB) of rural residents, using 2010-2022 China Family Panel Studies (CFPS) data and the Peking University Digital Financial Inclusion Index of China. We find that DIF significantly enhances the SWB of rural residents, a result that remains robust after accounting for a comprehensive set of individual, household, and regional covariates and addressing endogeneity. The analysis reveals two primary channels for this effect: improving job satisfaction and raising economic benefits. The positive effect is more pronounced among low-income groups and less-educated residents, highlighting DIF's role in alleviating financial exclusion and promoting social equity. This study provides micro-level evidence of digital finance's role in rural revitalization and public well-being. JEL classifications: 300, 390, 410, 490, 810</t>
  </si>
  <si>
    <t>[Shen, Lihao] Univ Calif Los Angeles, Coll Social Sci, 106 Tom Bradley Int Hall, 417 Charles E Young Dr W, Los Angeles, CA 90095 USA; [Li, Zhengrong] Cent Univ Finance &amp; Econ, Sch Econ, Shahe Higher Educ Pk, Beijing 102206, Peoples R China; [Wang, Shuo] Shanghai Univ Finance &amp; Econ, Sch Finance, Natl Rd 777, Shanghai 200433, Peoples R China</t>
  </si>
  <si>
    <t>University of California System; University of California Los Angeles; Central University of Finance &amp; Economics; Shanghai University of Finance &amp; Economics</t>
  </si>
  <si>
    <t>Li, ZR (corresponding author), Cent Univ Finance &amp; Econ, Sch Econ, Shahe Higher Educ Pk, Beijing 102206, Peoples R China.</t>
  </si>
  <si>
    <t>LihaoShen1998@126.com; zhengrong.c.li@email.cufe.edu.cn; 83191119ws@163.com</t>
  </si>
  <si>
    <t>Li, Zhengrong/OLP-7542-2025</t>
  </si>
  <si>
    <t>Beijing Outstanding Young Scientist Program [BJJWZYJH01201910034034]</t>
  </si>
  <si>
    <t>Beijing Outstanding Young Scientist Program</t>
  </si>
  <si>
    <t>Acknowledgement This work was supported by the Beijing Outstanding Young Scientist Program [BJJWZYJH01201910034034] .</t>
  </si>
  <si>
    <t>10.1016/j.frl.2025.108530</t>
  </si>
  <si>
    <t>8HP9G</t>
  </si>
  <si>
    <t>WOS:001588880000001</t>
  </si>
  <si>
    <t>Mertzanis, C; Ahmed, MS; Faisal, R; Al Suwaidi, RA</t>
  </si>
  <si>
    <t>Mertzanis, Charilaos; Ahmed, Mohamed Shaker; Faisal, Rouhi; Al Suwaidi, Reem Ahmed</t>
  </si>
  <si>
    <t>Does financial literacy drive digital currency innovation? cross-country evidence on CBDC adoption</t>
  </si>
  <si>
    <t>Central bank digital currency; Financial literacy; Digital financial innovation; CBDC adoption; Human capital; Cross-country analysis</t>
  </si>
  <si>
    <t>This study examines whether financial literacy influences the adoption of Central Bank Digital Currencies (CBDCs) across countries. While existing literature emphasizes technological, macroeconomic, and institutional factors, this paper introduces financial literacy as a novel determinant shaping public readiness for sovereign digital money. This work uses a unique panel dataset of 65 nations from 2020 to 2024 and nonlinear models with fixed effects to detect the causal influence, which is backed by instrumental variable estimation, propensity score matching, and robustness tests. Results indicate that higher national financial literacy significantly increases the probability of advancing in CBDC adoption stages. The effect is stronger for knowledge of inflation and risk diversification, buhed t it is moderated by internet infrastructure, financial instability, and cryptocurrency dynamics. The findings underscore the importance of financial capability in driving digital monetary innovation and suggest that enhancing financial literacy should be a strategic component of CBDC design and implementation policies across diverse national contexts.</t>
  </si>
  <si>
    <t>[Mertzanis, Charilaos; Al Suwaidi, Reem Ahmed] Abu Dhabi Univ, Abu Dhabi, U Arab Emirates; [Mertzanis, Charilaos] Natl &amp; Kapodistrian Univ Athens, Athens, Greece; [Ahmed, Mohamed Shaker] Cairo Univ, Dept Business Adm, Giza, Egypt; [Faisal, Rouhi] Liwa Univ, Coll Business, Abu Dhabi, U Arab Emirates; [Ahmed, Mohamed Shaker] Al Ain Univ, Sch Business, Abu Dhabi, U Arab Emirates</t>
  </si>
  <si>
    <t>Abu Dhabi University; National &amp; Kapodistrian University of Athens; Egyptian Knowledge Bank (EKB); Cairo University</t>
  </si>
  <si>
    <t>Mertzanis, C (corresponding author), Abu Dhabi Univ, Abu Dhabi, U Arab Emirates.</t>
  </si>
  <si>
    <t>charilaos.mertzanis@adu.ac.ae; mashaker@cu.edu.eg; rouhi.faisal@lu.ac.ae; suwaidi.reem@gmail.com</t>
  </si>
  <si>
    <t>; Shaker Ahmed, Mohamed Ahmed/ABM-5614-2022; Faisal, Rouhi/PDW-1271-2025; Mertzanis, Charilaos/OJV-5282-2025</t>
  </si>
  <si>
    <t>MERTZANIS, CHARILAOS/0000-0002-9028-5585; Shaker Ahmed, Mohamed Ahmed/0000-0002-4858-3626;</t>
  </si>
  <si>
    <t>10.1016/j.bir.2025.08.006</t>
  </si>
  <si>
    <t>T7863</t>
  </si>
  <si>
    <t>WOS:001637944900002</t>
  </si>
  <si>
    <t>Gopane, TJ</t>
  </si>
  <si>
    <t>Gopane, Thabo J.</t>
  </si>
  <si>
    <t>An Enquiry into Digital Inequality Implications for Central Bank Digital Currency</t>
  </si>
  <si>
    <t>2019 IST-AFRICA WEEK CONFERENCE (IST-AFRICA)</t>
  </si>
  <si>
    <t>MAY 08-10, 2019</t>
  </si>
  <si>
    <t>Nairobi, KENYA</t>
  </si>
  <si>
    <t>Central Bank; Digital Currency; Digital Inequality; Financial Inclusion</t>
  </si>
  <si>
    <t>Central banks around the world have pondered the possibility of a central bank digital currency (CBDC). Advantages of such a currency are perceived technological catch-up, and financial inclusion, inter alia. This paper evaluates the implications of digital inequality on CBDC. The paper finds that indeed digital access, a proxy of CBDC, is positively correlated with financial inclusion but is afflicted by digital inequalities with different or contradictory impacts. For example, an increase in digital access benefits financial inclusion, but owing to inequalities, the increase is at a lower level for older people than for young adults. Further, when the income gap worsens, financial inclusion deteriorates at a higher level for the poor than for the rich. The study concludes that CBDC will be vulnerable to the inheritable e-burdens of digital inequalities. The policy implication is that the baffling risk-averse rigidities of older people towards digital access should be addressed in support of CBDC-linked financial inclusion.</t>
  </si>
  <si>
    <t>[Gopane, Thabo J.] Univ Johannesburg, Kingsway &amp; Univ Rd,Auckland Pk, ZA-2006 Johannesburg, South Africa</t>
  </si>
  <si>
    <t>Gopane, TJ (corresponding author), Univ Johannesburg, Kingsway &amp; Univ Rd,Auckland Pk, ZA-2006 Johannesburg, South Africa.</t>
  </si>
  <si>
    <t>tjgopane@uj.ac.za</t>
  </si>
  <si>
    <t>Gopane, Thabo J/ABD-5156-2020</t>
  </si>
  <si>
    <t>Gopane, Thabo J/0000-0002-4182-7149</t>
  </si>
  <si>
    <t>978-1-905824-63-2</t>
  </si>
  <si>
    <t>10.23919/istafrica.2019.8764838</t>
  </si>
  <si>
    <t>BO0FQ</t>
  </si>
  <si>
    <t>WOS:000490550800023</t>
  </si>
  <si>
    <t>Rapih, S; Wahyono, B</t>
  </si>
  <si>
    <t>Rapih, Subroto; Wahyono, Budi</t>
  </si>
  <si>
    <t>The relative impact of traditional and digital financial inclusion on economic growth: a threshold regression-based comparative analysis</t>
  </si>
  <si>
    <t>INTERNATIONAL REVIEW OF APPLIED ECONOMICS</t>
  </si>
  <si>
    <t>Digital financial inclusion; financial inclusion; economic growth; threshold effect; G21; O4; O47; C31</t>
  </si>
  <si>
    <t>MOBILE MONEY; ACCESS</t>
  </si>
  <si>
    <t>This study examines the effect of traditional and digital financial inclusion on economic growth in 130 developed and developing countries in 2014 and 2017. The motivation behind this study emerges from the critical need to discern not only how traditional and digital financial inclusion individually influence economic growth, but also to compare their relative contributions. In addition, there exists a potential non-linear relationship between traditional and digital financial inclusion, wherein both forms of financial inclusion can exert a positive influence on economic growth up to a specific threshold. For this purpose, traditional and digital financial inclusion indices were developed as distinct measures to investigate the relative contribution of each to economic growth. Cross-sectional sample splitting and threshold estimation were utilised to analyse whether the effects of each financial inclusion index on economic growth varied across different levels of digital and traditional financial inclusion. This study yielded two notable findings. First, the effect of traditional financial inclusion on economic growth is pronounced in countries with low levels of inclusion. Second, digital financial inclusion has a greater positive impact on economic growth in countries with higher levels of digital financial inclusion.</t>
  </si>
  <si>
    <t>[Rapih, Subroto] Univ Sebelas Maret, Dept Off Adm Educ, Surakarta, Indonesia; [Rapih, Subroto] Univ Sebelas Maret, Entrepreneurship Dev Ctr, Surakarta, Indonesia; [Wahyono, Budi] Univ Sebelas Maret, Dept Econ Educ, Surakarta, Indonesia</t>
  </si>
  <si>
    <t>Sebelas Maret University; Sebelas Maret University; Sebelas Maret University</t>
  </si>
  <si>
    <t>Rapih, S (corresponding author), Univ Sebelas Maret, Dept Off Adm Educ, Surakarta, Indonesia.;Rapih, S (corresponding author), Univ Sebelas Maret, Entrepreneurship Dev Ctr, Surakarta, Indonesia.</t>
  </si>
  <si>
    <t>subrotorapih_89@staff.uns.ac.id</t>
  </si>
  <si>
    <t>Wahyono, Budi/AAN-3024-2021; Rapih, Subroto/AAQ-9516-2021</t>
  </si>
  <si>
    <t>Wahyono, Budi/0000-0002-2631-6746; Rapih, Subroto/0000-0002-4166-698X</t>
  </si>
  <si>
    <t>We would like to thank the Editor Jonathan Michie and the anonymous referees for their highly constructive comments.</t>
  </si>
  <si>
    <t>0269-2171</t>
  </si>
  <si>
    <t>1465-3486</t>
  </si>
  <si>
    <t>INT REV APPL ECON</t>
  </si>
  <si>
    <t>Int. Rev. Appl. Econ.</t>
  </si>
  <si>
    <t>10.1080/02692171.2023.2281460</t>
  </si>
  <si>
    <t>HG6O1</t>
  </si>
  <si>
    <t>WOS:001100924000001</t>
  </si>
  <si>
    <t>Nisha, N; Nawrin, K; Bushra, A</t>
  </si>
  <si>
    <t>Nisha, Nabila; Nawrin, Kashfiya; Bushra, Anika</t>
  </si>
  <si>
    <t>Agent Banking and Financial Inclusion: The Case of Bangladesh</t>
  </si>
  <si>
    <t>INTERNATIONAL JOURNAL OF ASIAN BUSINESS AND INFORMATION MANAGEMENT</t>
  </si>
  <si>
    <t>Agent Banking; Agents; Bangladesh; Banks; Financial Access; Financial Inclusion; Rural Poor; Unbanked Population</t>
  </si>
  <si>
    <t>Access to financial services has always been limited in Bangladesh. The need for financial inclusion has thus largely surfaced in the country. As a result, agent banking services were implemented via an inclusive digital financial program across rural and unbanked areas of Bangladesh. Despite having a significant impact upon financial inclusion across developing countries, literature in this realm lacks in-depth investigations on agent banking and its impact on financial inclusion. This study thus aims to represent the overall aspect of agent banking and its association with financial inclusion in the setting of the developing country of Bangladesh. For this research, a case study approach has been employed. The study highlights that agent banking is an effective and credible way of entrenching financial deepening across the unbanked areas of Bangladesh. Moreover, the study emphasizes that agent banking can secure access to financial services for the rural poor and generate wholesome development for Bangladesh.</t>
  </si>
  <si>
    <t>[Nisha, Nabila; Nawrin, Kashfiya] North South Univ, Dhaka, Bangladesh; [Bushra, Anika] Johns Hopkins Univ, Baltimore, MD USA</t>
  </si>
  <si>
    <t>North South University (NSU); Johns Hopkins University</t>
  </si>
  <si>
    <t>Nisha, N (corresponding author), North South Univ, Dhaka, Bangladesh.</t>
  </si>
  <si>
    <t>1947-9638</t>
  </si>
  <si>
    <t>1947-9646</t>
  </si>
  <si>
    <t>INT J ASIAN BUS INF</t>
  </si>
  <si>
    <t>Int. J. Asian Bus. Inf. Manag.</t>
  </si>
  <si>
    <t>10.4018/IJABIM.2020010108</t>
  </si>
  <si>
    <t>KE1WI</t>
  </si>
  <si>
    <t>WOS:000508349900008</t>
  </si>
  <si>
    <t>Bonhoure, E</t>
  </si>
  <si>
    <t>Bonhoure, Emilie</t>
  </si>
  <si>
    <t>Indigenous knowledge and digital financial inclusion: a comparison between Europe and Sub-Saharan Africa</t>
  </si>
  <si>
    <t>Indigenous knowledge; digital financial inclusion; mobile money; fintech; bigtech; cryptocurrency</t>
  </si>
  <si>
    <t>MOBILE MONEY SERVICES; GROWTH; PHONES; IMPACT; KENYA; RISK</t>
  </si>
  <si>
    <t>M-Pesa is one leading example of mobile money services. It reveals the importance of digital financial inclusion (DFI) in countries still largely unbanked, and of institutional factors in shaping DFI. Yet, extant research has not investigated the combined effect of these factors, informal (indigenous knowledge) and formal (regulatory) institutions, on DFI. This study intends to do so leveraging the institutional theory and applying regression techniques to data from 1000 digital-finance users. It reveals different effects of institutional factors across regions. In Europe, strong formal institutions shape DFI. In Sub-Saharan Africa (SSA), weak institutions combined with high indigenous knowledge increase DFI. These findings are crucial for countries' development, as financial inclusion is considered a key enabler of several SDGs (Sustainable Development Goals). They could help adapt financial-inclusion programs by including the indigenous-knowledge component in countries facing weak formal institutions, to maximize their chances of success in fostering development and growth.</t>
  </si>
  <si>
    <t>[Bonhoure, Emilie] Kedge Business Sch, 680 Cours Liberat, F-33405 Talence, France</t>
  </si>
  <si>
    <t>Kedge Business School</t>
  </si>
  <si>
    <t>Bonhoure, E (corresponding author), Kedge Business Sch, 680 Cours Liberat, F-33405 Talence, France.</t>
  </si>
  <si>
    <t>emilie.bonhoure@kedgebs.com</t>
  </si>
  <si>
    <t>10.1080/02681102.2024.2384716</t>
  </si>
  <si>
    <t>WOS:001282168900001</t>
  </si>
  <si>
    <t>Diniz, E; Birochi, R; Pozzebon, M</t>
  </si>
  <si>
    <t>Diniz, Eduardo; Birochi, Rene; Pozzebon, Marlei</t>
  </si>
  <si>
    <t>Triggers and barriers to financial inclusion: The use of ICT-based branchless banking in an Amazon county</t>
  </si>
  <si>
    <t>Banking technology; Branchless banking; Case study; Correspondent banking; Developing economies; Financial inclusion; Information and communication technologies; Microfinance; Socio-technical perspective; Structuration theory</t>
  </si>
  <si>
    <t>STRUCTURATION THEORY; TECHNOLOGY; ACCESS</t>
  </si>
  <si>
    <t>Financial inclusion can be defined as the access to formal financial services at an affordable cost for all members of an economy, favoring mainly low-income groups. It has been recognized as a critical element in policies for poverty reduction and economic growth. Some successful experiences with financial inclusion reported in developing countries are associated with the use of information and communication technology (ICT)-based branchless banking. One of these experiences is the Brazilian correspondent model, an ICT-based network responsible for delivering financial services to tens of millions of poor Brazilians, most of them having no other way to access banking services. This article presents a case study of financial inclusion in Autazes, a county in the Amazon region not served by banks until 2002, when a correspondent started its operations there. Since then, Autazes has experienced economic and social changes, due in part to government social benefits and other banking services delivered at the local level. The results of our field study in Autazes suggest that financial inclusion through the correspondents' process positively contributes to local socio-economic development but, at the same time, presents clear negative signs such as low-income population over-indebtedness, reproduction of social exclusion practices and reinforcement of power asymmetries. We conclude that although access to financial resources is a fundamental way to promote local development to low-income population, such access should be accompanied by other inclusive mechanisms like financial education in order to be effective. (C) 2011 Elsevier B.V. All rights reserved.</t>
  </si>
  <si>
    <t>[Diniz, Eduardo; Birochi, Rene] Fundacao Getulio Vargas, Escola Adm Empresas Sao Paulo, BR-01311200 Sao Paulo, Brazil; [Pozzebon, Marlei] HEC Montreal, Montreal, PQ H3T 2A7, Canada</t>
  </si>
  <si>
    <t>Getulio Vargas Foundation; Universite de Montreal; HEC Montreal</t>
  </si>
  <si>
    <t>Diniz, E (corresponding author), Fundacao Getulio Vargas, Escola Adm Empresas Sao Paulo, Ave Paulista,1471 1 Andar, BR-01311200 Sao Paulo, Brazil.</t>
  </si>
  <si>
    <t>eduardo.diniz@fgv.br; birochi@usp.br; marlei.pozzebon@hec.ca</t>
  </si>
  <si>
    <t>POZZEBON, MARLEI/MXM-3035-2025; Birochi, Rene/D-6398-2013</t>
  </si>
  <si>
    <t>Birochi, Rene/0000-0003-0690-0870; Diniz, Eduardo H/0000-0002-7950-9146</t>
  </si>
  <si>
    <t>SSHRC (The Social Sciences and Humanities Research Council); IDRC (The International Development Research Centre); CNPq (Conselho Nacional de Conselho Nacional de Desenvolvimento Cientifico e Tecnologico - National Counsel of Technological and Scientific Development)</t>
  </si>
  <si>
    <t>SSHRC (The Social Sciences and Humanities Research Council)(CERIC - Advancing Career Development in Canada); IDRC (The International Development Research Centre)(International Development Research Centre - IDRC); CNPq (Conselho Nacional de Conselho Nacional de Desenvolvimento Cientifico e Tecnologico - National Counsel of Technological and Scientific Development)(Conselho Nacional de Desenvolvimento Cientifico e Tecnologico (CNPQ)Fundacao de Apoio a Pesquisa do Distrito Federal (FAPDF))</t>
  </si>
  <si>
    <t>We also would like to include Special thanks for SSHRC (The Social Sciences and Humanities Research Council), IDRC (The International Development Research Centre) and CNPq (Conselho Nacional de Conselho Nacional de Desenvolvimento Cientifico e Tecnologico - National Counsel of Technological and Scientific Development) for financial support.</t>
  </si>
  <si>
    <t>SEP-OCT</t>
  </si>
  <si>
    <t>10.1016/j.elerap.2011.07.006</t>
  </si>
  <si>
    <t>042UL</t>
  </si>
  <si>
    <t>WOS:000311496700004</t>
  </si>
  <si>
    <t>Cuenca-Enrique, C; Del-Río-Carazo, L; Elvira-Cruz, I; Fisac-García, R</t>
  </si>
  <si>
    <t>Cuenca-Enrique, Carlos; Del-Rio-Carazo, Laura; Elvira-Cruz, Ignacio; Fisac-Garcia, Ramon</t>
  </si>
  <si>
    <t>Selection of mobile payment systems for the bottom of the pyramid: methodology and application to the payment of energy provision in Ngabe-Bugle</t>
  </si>
  <si>
    <t>Mobile payments; bottom of the pyramid; technology selection; analytic hierarchy process; case study</t>
  </si>
  <si>
    <t>Financial inclusion remains a significant challenge, particularly in developing countries and among low-income populations. Mobile payments present a potential solution by offering affordable and secure financial services. This study investigates the selection of mobile payment technologies for the bottom-of-the-pyramid population and introduces a methodology tailored to their specific needs. The proposed approach includes a detailed analysis of user characteristics, geographic constraints, and a hierarchy of selection criteria. These criteria consist of three main decision elements-user base, technical features, and economic costs-along with five technical sub-elements: ease of integration, scalability, real-time operation capabilities, security, and provider trustworthiness. The methodology's practical application is demonstrated through a case study in Panama's Ngabe-Bugle region, where mobile payments are being considered for energy provision services. The case study employs the analytic hierarchy process to prioritize criteria using responses from four different stakeholder groups. The findings highlight that while economic factors are critical, the size of the user base and technical aspects, such as solution scalability, also influence decision-making.</t>
  </si>
  <si>
    <t>[Cuenca-Enrique, Carlos; Del-Rio-Carazo, Laura; Elvira-Cruz, Ignacio] Univ Politecn Madrid, Dept Ingn Org Adm Empresas &amp; Estadist, Av Complutense 30, Madrid 28040, Spain; [Fisac-Garcia, Ramon] ESCP Business Sch Madrid, Dept Sustainabil, Madrid, Spain</t>
  </si>
  <si>
    <t>Cuenca-Enrique, C (corresponding author), Univ Politecn Madrid, Dept Ingn Org Adm Empresas &amp; Estadist, Av Complutense 30, Madrid 28040, Spain.</t>
  </si>
  <si>
    <t>carlos.cuenca@upm.es</t>
  </si>
  <si>
    <t>; Del-Río-Carazo, Laura/ABG-9840-2020; Cuenca, Carlos/OZF-5759-2025</t>
  </si>
  <si>
    <t>Cuenca-Enrique, Carlos/0000-0002-2024-7284; Del-Río-Carazo, Laura/0000-0002-0947-3539; Elvira Cruz, Ignacio/0009-0007-5286-503X; Fisac-Garcia, Ramon/0000-0002-5024-827X;</t>
  </si>
  <si>
    <t>10.1080/23311975.2025.2466814</t>
  </si>
  <si>
    <t>X8N4T</t>
  </si>
  <si>
    <t>WOS:001427845300001</t>
  </si>
  <si>
    <t>Lyons, AC; Kass-Hanna, J</t>
  </si>
  <si>
    <t>Lyons, Angela C.; Kass-Hanna, Josephine</t>
  </si>
  <si>
    <t>Financial Inclusion, Financial Literacy and Economically Vulnerable Populations in the Middle East and North Africa</t>
  </si>
  <si>
    <t>economically vulnerable populations; financial inclusion; financial institutions; financial literacy; Middle East and North Africa; refugees</t>
  </si>
  <si>
    <t>ACCESS; SERVICES; COUNTRY; IMPACT; INEQUALITY; KNOWLEDGE; BANKING</t>
  </si>
  <si>
    <t>Using microdata from the 2014 Global Findex, along with macroeconomic indicators, we investigate financial inclusion for the MENA region. We find that economically vulnerable populations are significantly less likely to be financially included. Households living in MENA countries with higher levels of financial literacy are more likely to be engaged in positive savings behaviors and less likely to be borrowing, especially from informal sources. Financial literacy and other macro characteristics, however, do not relate to all individuals equally, especially for those most vulnerable. The findings have important implications for policies in the MENA region, where prolonged conflicts make financial inclusion an even more urgent, yet challenging, goal.</t>
  </si>
  <si>
    <t>[Lyons, Angela C.] Univ Illinois, Dept Agr &amp; Consumer Econ, 440 Mumford Hall,1301 W Gregory Dr, Urbana, IL 61801 USA; [Kass-Hanna, Josephine] St Joseph Univ Beirut, Fac Business Adm &amp; Management, Beirut, Lebanon</t>
  </si>
  <si>
    <t>University of Illinois System; University of Illinois Urbana-Champaign</t>
  </si>
  <si>
    <t>Lyons, AC (corresponding author), Univ Illinois, Dept Agr &amp; Consumer Econ, 440 Mumford Hall,1301 W Gregory Dr, Urbana, IL 61801 USA.</t>
  </si>
  <si>
    <t>anglyons@illinois.edu</t>
  </si>
  <si>
    <t>Kass-Hanna, Josephine/AAC-7972-2021</t>
  </si>
  <si>
    <t>Kass-Hanna, Josephine/0000-0003-3498-2703</t>
  </si>
  <si>
    <t>2019 APR 21</t>
  </si>
  <si>
    <t>10.1080/1540496X.2019.1598370</t>
  </si>
  <si>
    <t>APR 2019</t>
  </si>
  <si>
    <t>IB6SC</t>
  </si>
  <si>
    <t>WOS:000470398400001</t>
  </si>
  <si>
    <t>Jiang, TF; Li, W; Sun, WJ; Yang, ZH</t>
  </si>
  <si>
    <t>Jiang, Tingfeng; Li, Wen; Sun, Wenjie; Yang, Zunhui</t>
  </si>
  <si>
    <t>Digital Financial Inclusion and Diversity of Household Financial Asset Allocation: Evidence From China</t>
  </si>
  <si>
    <t>AUSTRALIAN ECONOMIC PAPERS</t>
  </si>
  <si>
    <t>asset diversity; digital financial inclusion; financial literacy; household financial asset allocation; liquidity constraints</t>
  </si>
  <si>
    <t>MARKET PARTICIPATION; FINTECH</t>
  </si>
  <si>
    <t>Using panel data from the China Household Finance Survey (CHFS) and the Digital Financial Inclusion Index (DFII) of Peking University, this paper investigates the impacts of DFI development on household financial asset allocation. The results show that DFI development significantly increases the diversity of household financial assets and enhances the breadth and depth of household participation in the investment of stocks, funds, and internet finance products. These effects remain robust to various tests, including the use of instrumental variables, reconstructing the dependent variable, and adopting different regression models. Specifically, DFI increases household asset diversity through two main channels: improving financial literacy and alleviating liquidity constraints. Additionally, the heterogeneity analyses indicate that the promotive effect of DFI is stronger for households with younger heads, higher risk aversion, and greater income uncertainty or those located in rural areas. This research underscores the importance of digital financial inclusion in fostering a more diverse asset allocation landscape in China, with potential implications for other economies as well..</t>
  </si>
  <si>
    <t>[Jiang, Tingfeng; Li, Wen; Sun, Wenjie; Yang, Zunhui] Univ Int Business &amp; Econ, China Sch Banking &amp; Finance, Beijing, Peoples R China</t>
  </si>
  <si>
    <t>Yang, ZH (corresponding author), Univ Int Business &amp; Econ, China Sch Banking &amp; Finance, Beijing, Peoples R China.</t>
  </si>
  <si>
    <t>yangzunhui2016@foxmail.com</t>
  </si>
  <si>
    <t>Jiang, Tingfeng/M-7956-2019</t>
  </si>
  <si>
    <t>National Natural Science Foundation of China; Beijing Office of Philosophy and Social Science [20JJC021]; [72003031]</t>
  </si>
  <si>
    <t>National Natural Science Foundation of China(National Natural Science Foundation of China (NSFC)); Beijing Office of Philosophy and Social Science;</t>
  </si>
  <si>
    <t>This study was supported by the National Natural Science Foundation of China (grant number: 72003031) and Beijing Office of Philosophy and Social Science (grant number: 20JJC021).</t>
  </si>
  <si>
    <t>0004-900X</t>
  </si>
  <si>
    <t>1467-8454</t>
  </si>
  <si>
    <t>AUST ECON PAP</t>
  </si>
  <si>
    <t>Aust. Econ. Pap.</t>
  </si>
  <si>
    <t>10.1111/1467-8454.12382</t>
  </si>
  <si>
    <t>3KL2S</t>
  </si>
  <si>
    <t>WOS:001306072500001</t>
  </si>
  <si>
    <t>Oehler-Sincai, IM</t>
  </si>
  <si>
    <t>Oehler-Sincai, Iulia Monica</t>
  </si>
  <si>
    <t>The Digital Euro Project. A Preliminary Assessment</t>
  </si>
  <si>
    <t>ROMANIAN JOURNAL OF EUROPEAN AFFAIRS</t>
  </si>
  <si>
    <t>digital currencies; central bank digital currency; digital euro</t>
  </si>
  <si>
    <t>The decrease in physical cash usage, the excessive market power of BigTech companies, the largely unregulated market of crypto assets which poses risks to financial stability, as well as the need for more financial inclusion and for lower-cost cross-border payments are just as many arguments in favour of a central bank digital currency (CBDC). However, there are as many points urging caution. In this context, the purpose of the present paper is to analyse the specificity of the potential digital euro as part of the international payments' architecture. The European Central Bank (ECB) is focusing on the digital euro project, running the investigation phase until October 2023. The debate on the digital euro adoption is in line with the international one, but there are several distinctive aspects. Various scenarios are taken into account, starting from general principles for retail CBDCs, results of the public consultation of a digital euro, experts' opinions regarding privacy, security, usability, costs, offline use, acceptance, potential disintermediation, standards and international implications of the digital euro. The research also outlines the relations between major actors involved, while identifying the prerequisites for a swift functioning of the Eurozone payment system with digital euro at its core.</t>
  </si>
  <si>
    <t>[Oehler-Sincai, Iulia Monica] Romanian Acad, Inst World Econ, Bucharest, Romania</t>
  </si>
  <si>
    <t>Romanian Academy</t>
  </si>
  <si>
    <t>Oehler-Sincai, IM (corresponding author), Romanian Acad, Inst World Econ, Bucharest, Romania.</t>
  </si>
  <si>
    <t>oehler.sincai@gmail.com</t>
  </si>
  <si>
    <t>Oehler-Sincai, Iulia/AAV-6377-2020</t>
  </si>
  <si>
    <t>EUROPEAN INST ROMANIA</t>
  </si>
  <si>
    <t>7-9 BD REGINA ELISABETA, SECTOR 3, BUCHAREST, 030016, ROMANIA</t>
  </si>
  <si>
    <t>1582-8271</t>
  </si>
  <si>
    <t>1841-4273</t>
  </si>
  <si>
    <t>ROM J EUR AFF</t>
  </si>
  <si>
    <t>Rom. J. Eur. Aff.</t>
  </si>
  <si>
    <t>International Relations</t>
  </si>
  <si>
    <t>2A6WB</t>
  </si>
  <si>
    <t>WOS:000809638800004</t>
  </si>
  <si>
    <t>Jin, L; Liu, MY</t>
  </si>
  <si>
    <t>Jin, Lei; Liu, Mingyang</t>
  </si>
  <si>
    <t>Unlocking Financial Opportunities: The Substantial Alleviation of Financing Constraints on Small and Micro Enterprises Through Digital Inclusive Finance</t>
  </si>
  <si>
    <t>Small and micro enterprises; Digital inclusive finance; Financing challenges; Empirical analysis; Financial limitations; Financial inclusion</t>
  </si>
  <si>
    <t>BLOCKCHAIN TECHNOLOGY; INNOVATION</t>
  </si>
  <si>
    <t>In today's economic landscape, the challenges faced by small and micro enterprises (SMEs) in securing finance have significant implications for their growth and expansion prospects. The emergence of digital financial inclusion has introduced a transformative framework to address this critical issue, offering new avenues for SMEs to access capital. This paper explores the dynamic relationship between digital financial inclusion and the funding constraints encountered by SMEs. Governments, recognizing the importance of SME expansion, have actively promoted regulations to incentivize financial institutions to adopt innovative service models and directly support SMEs. This paper delves into the multifaceted landscape of policy dynamics and its impact on SMEs, underscoring their pivotal role in the broader economic fabric. Recent developments in digital financial inclusion have combined technological innovation and deliberate policy measures. Incorporating artificial intelligence and machine learning algorithms has significantly enhanced the accuracy of financial services, enabling tailored solutions for SMEs. The widespread adoption of mobile banking apps and digital payment platforms has expanded financial access, especially in historically underserved areas. Blockchain technology has introduced transparency and security to financial transactions. While existing research has highlighted the potential benefits of digital financial inclusion for SMEs, there remains a need for a comprehensive empirical understanding of the intricate relationship between these initiatives and the specific funding challenges faced by SMEs. This paper addresses this gap by conducting a thorough empirical analysis, shedding light on unexplored aspects, and providing valuable insights for policymakers and financial institutions. Our study's objectives are multifaceted. We aim to assess the impact of digital financial inclusion on SME funding constraints through a comprehensive empirical study. By examining pilot projects in specific geographic areas, we seek to uncover nuanced observations and disparities. Furthermore, our research enriches the theoretical framework by exploring the complex interplay between digital financial inclusion and SME financial viability. The findings reveal that while digital financial inclusion has the potential to alleviate funding constraints for SMEs, it faces challenges related to technical assistance, information disparities, and limitations in the magnitude and duration of funding. This complexity underscores the need for a nuanced approach to policy development and intervention, considering socio-economic factors and demographic variations. This study contributes to the evolving landscape of digital financial inclusion and its impact on SME finance. It provides valuable insights for SME managers and policymakers, emphasizing the importance of closing information gaps and offering a range of financing options. Ultimately, it calls for a strategic equilibrium between immediate and long-term funding choices to cater to diverse SME growth trajectories. This research aims to facilitate informed decision-making and promote a more inclusive and resilient economic environment for SMEs.</t>
  </si>
  <si>
    <t>[Jin, Lei] Univ Malaya, Sch Econ &amp; Management, Jln Prof Diraja Ungku Aziz,Seksyen 13, Kuala Lumpur 50603, Malaysia; [Liu, Mingyang] Henan Agr Univ, Machinery, Zhengdong New Area, 218 Pingan Ave, Zhengzhou, Peoples R China</t>
  </si>
  <si>
    <t>Universiti Malaya; Henan Agricultural University</t>
  </si>
  <si>
    <t>Jin, L (corresponding author), Univ Malaya, Sch Econ &amp; Management, Jln Prof Diraja Ungku Aziz,Seksyen 13, Kuala Lumpur 50603, Malaysia.</t>
  </si>
  <si>
    <t>jinlei2000@tju.edu.cn</t>
  </si>
  <si>
    <t>2024 MAY 22</t>
  </si>
  <si>
    <t>10.1007/s13132-024-01863-7</t>
  </si>
  <si>
    <t>RQ9K3</t>
  </si>
  <si>
    <t>WOS:001229242800007</t>
  </si>
  <si>
    <t>Barcia, LS</t>
  </si>
  <si>
    <t>Barcia, Lucia Suarez</t>
  </si>
  <si>
    <t>Administrative Instruments for the Promotion of Technological Innovation in the Peruvian Financial Sector</t>
  </si>
  <si>
    <t>DERECHO PUCP</t>
  </si>
  <si>
    <t>Innovation hubs; innovation facilitators; digitalization; financial disruption; fintech; financial inclusion; financial innovation; financial markets; regulatory policy; regulatory sandbox</t>
  </si>
  <si>
    <t>This document strives to analyze the new approaches to regulatory supervision (innovation facilitators) that are being developed worldwide because of the fintech phenomenon, evaluating whether they would be beneficial for Peru, especially in relation to financial inclusion. For this reason, we have proceeded to a review of initiatives to promote fintech innovation worldwide, studying their characteristics. This analysis has a teleological nature of reviewing administrative supervision policies, grouping them into three large taxonomies: innovation centers, sandbox and others, such as innovation accelerators, studying in greater detail the sandboxes due to their relevance and potential impact. Specifically, the article explains the concept of sandbox, including the objectives for which they are designed, their main benefits and risks. Afterwards, the paper specifies the phases that these projects usually go through and their timelines. Two particular cases of sandbox are also described, the Mexican, which requires a new model license; and the Israeli, focused on data. Subsequently, the potential benefits and challenges of applying this type of public policy in Peru are evaluated. Finally, a model is proposed for the country, aligned with the financial inclusion strategy, which allows the open participation of all types of entities, including those called fintech, for the greater benefit of society and the markets.</t>
  </si>
  <si>
    <t>[Barcia, Lucia Suarez] Univ Camilo Jose Cela, Ciencias Jurid &amp; Econ, Madrid, Spain</t>
  </si>
  <si>
    <t>Camilo Jose Cela University</t>
  </si>
  <si>
    <t>Barcia, LS (corresponding author), Univ Camilo Jose Cela, Ciencias Jurid &amp; Econ, Madrid, Spain.</t>
  </si>
  <si>
    <t>lucia.suarezb@alumno.ucjc.edu</t>
  </si>
  <si>
    <t>PONTIFICIA UNIV CATOLICA PERU, FAC DERECHO</t>
  </si>
  <si>
    <t>LIMA</t>
  </si>
  <si>
    <t>AVE UNIVERSITARIA 1801, SAN MIGUEL, LIMA, 32, PERU</t>
  </si>
  <si>
    <t>0251-3420</t>
  </si>
  <si>
    <t>2305-2546</t>
  </si>
  <si>
    <t>Derecno PUCP</t>
  </si>
  <si>
    <t>DEC-MAY</t>
  </si>
  <si>
    <t>10.18800/derechopucp.202102.006</t>
  </si>
  <si>
    <t>YJ0OE</t>
  </si>
  <si>
    <t>WOS:000744237800005</t>
  </si>
  <si>
    <t>Podkolzina, IA</t>
  </si>
  <si>
    <t>Podkolzina, Inna A.</t>
  </si>
  <si>
    <t>THE UK'S GOVERNMENT AND REGULATORY POLICY RESPONSES TO FINTECH</t>
  </si>
  <si>
    <t>MIROVAYA EKONOMIKA I MEZHDUNARODNYE OTNOSHENIYA</t>
  </si>
  <si>
    <t>UK; fintech; regulation; financial inclusion; open banking; regulatory sandbox; cryptoassets; token; cryptocurrency; Bank of England</t>
  </si>
  <si>
    <t>The financial landscape is being transformed by technological innovations. This trend can be observed clearly in the UK where fintech is developing within the context of the ongoing digitalization of the economy. This paper examines the role of the British government and regulatory authorities in sparking innovation to improve the way financial services are provided. At the conceptual level, fintech-specific policy presumes the existence of complex trade-offs between competition, market integrity, and financial stability. The special consideration is given to Open Banking initiative as a key driver of competition in financial services sector. By removing barriers to entry and grow for fintech firms the policy enablers try to solve the longstanding problems of financial exclusion. Particular attention is paid to key approaches to fintech regulation. The Financial Conduct Authority undertakes the constant review of regulatory perimeter as a means of mitigating risks to market integrity and ensuring consumer protection. The Bank of England is rethinking the notion of financial stability and reviewing the approaches to managing systemic risks. The paper regards the initiatives implemented by regulatory authorities to support innovator businesses as a way to ensure the world leading position of the UK's financial sector. It is argued that the supportive government policy and progressive regulation are the overriding factors of fintech development in the UK.</t>
  </si>
  <si>
    <t>[Podkolzina, Inna A.] Russian Acad Sci IMEMO, Primakov Natl Res Inst World Econ &amp; Int Relat, 23 Profsoyuznaya Str, Moscow 117997, Russia</t>
  </si>
  <si>
    <t>Russian Academy of Sciences; Primakov National Research Institute of World Economy &amp; International Relations of the Russian Academy of Sciences</t>
  </si>
  <si>
    <t>Podkolzina, IA (corresponding author), Russian Acad Sci IMEMO, Primakov Natl Res Inst World Econ &amp; Int Relat, 23 Profsoyuznaya Str, Moscow 117997, Russia.</t>
  </si>
  <si>
    <t>inna.a.podkolzina@gmail.com</t>
  </si>
  <si>
    <t>NAUKA PUBLISHING HOUSE</t>
  </si>
  <si>
    <t>PROFSOYUZNAYA UL 90, MOSCOW, 117864, RUSSIA</t>
  </si>
  <si>
    <t>0131-2227</t>
  </si>
  <si>
    <t>MIROVAYA EKON MEZHD</t>
  </si>
  <si>
    <t>Mirovaya Ekon. Mezhdunarodyne Otnosheniya</t>
  </si>
  <si>
    <t>10.20542/0131-2227-2021-65-2-45-52</t>
  </si>
  <si>
    <t>QW6YF</t>
  </si>
  <si>
    <t>WOS:000628793100005</t>
  </si>
  <si>
    <t>Duarte, PD</t>
  </si>
  <si>
    <t>Duarte, Paula da Cunha</t>
  </si>
  <si>
    <t>Digital financial inclusion and women: a case study of Pix, the Brazilian instant payment system</t>
  </si>
  <si>
    <t>EURASIAN ECONOMIC REVIEW</t>
  </si>
  <si>
    <t>Digital financial inclusion; Gender; Instant payment system; Pix; Central Bank of Brazil; G1; G2; G5; O3</t>
  </si>
  <si>
    <t>This paper has two objectives. First, it aims to analyze the regulatory framework of Pix whether and how this tool can contribute to the digital financial inclusion of women in Brazil. Second, it seeks to discuss the role of the Central Bank in developing a gender-sensitive approach regarding pix. This discussion will be framed through the lens of two key themes: (1) financial literacy and digital financial literacy; and (2) consumer protection (particularly in relation to cybersecurity issues). Based on official Brazilian and international reports, as well as the Brazilian legislative framework on the subject, the research revealed that Pix has a significant potential to enhance the digital financial inclusion of women. The research also revealed that the Central Bank, although attentive to the digital financial inclusion of Brazil's population, has not adopted a gender-sensitive regulatory framework. Therefore, this article advocates for a change in the agenda of this financial regulator to ensure that gender-sensitive measures are implemented to advance the digital financial inclusion of women through Pix.</t>
  </si>
  <si>
    <t>[Duarte, Paula da Cunha] Getulio Vargas Fdn FGV, Law Sch, Rio De Janeiro, Brazil</t>
  </si>
  <si>
    <t>Duarte, PD (corresponding author), Getulio Vargas Fdn FGV, Law Sch, Rio De Janeiro, Brazil.</t>
  </si>
  <si>
    <t>pcduarte12@gmail.com</t>
  </si>
  <si>
    <t>da Cunha Duarte, Paula/0000-0001-6176-5056</t>
  </si>
  <si>
    <t>Coordenacao de Aperfeicoamento de Pessoal de Nivel Superior - Brasil (CAPES) [001]</t>
  </si>
  <si>
    <t>Coordenacao de Aperfeicoamento de Pessoal de Nivel Superior - Brasil (CAPES)(Coordenacao de Aperfeicoamento de Pessoal de Nivel Superior (CAPES))</t>
  </si>
  <si>
    <t>This study was financed in part by the Coordenacao de Aperfeicoamento de Pessoal de Nivel Superior - Brasil (CAPES) - Finance Code 001.</t>
  </si>
  <si>
    <t>1309-422X</t>
  </si>
  <si>
    <t>2147-429X</t>
  </si>
  <si>
    <t>EURASIAN ECON REV</t>
  </si>
  <si>
    <t>Eurasian Econ. Rev.</t>
  </si>
  <si>
    <t>10.1007/s40822-024-00300-z</t>
  </si>
  <si>
    <t>3YS6N</t>
  </si>
  <si>
    <t>WOS:001415186700001</t>
  </si>
  <si>
    <t>Sakyi-Nyarko, C; Ahmad, AH; Green, CJ</t>
  </si>
  <si>
    <t>Sakyi-Nyarko, Carlos; Ahmad, Ahmad Hassan; Green, Christopher J.</t>
  </si>
  <si>
    <t>The Gender-Differential Effect of Financial Inclusion on Household Financial Resilience</t>
  </si>
  <si>
    <t>Financial inclusion; Mobile Money; Savings; Gender; Financial resilience</t>
  </si>
  <si>
    <t>PROPENSITY-SCORE; MOBILE MONEY; EMPOWERMENT; WOMEN; POOR; SAVINGS; CREDIT; MICROFINANCE; MICROCREDIT; POVERTY</t>
  </si>
  <si>
    <t>This paper applies the kernel propensity score matching difference-in-differences method to examine gender-differential effects of financial inclusion on household financial resilience, using repeated cross-sectional data from two successive large-scale surveys of Ghanaian households. Applying standardised indices for financial inclusion and financial resilience, we find that financial inclusion significantly improves household financial resilience. Results from gender and locality disaggregated analyses suggest that the effect of financial inclusion on household resilience does not significantly vary by gender or locality. Results from different measures of financial inclusion show that savings and formal account ownership yield more pronounced resilience effect, with mobile money (m-money) exerting the least impact. Remittances via m-money - sending and receiving (a proxy for social capital) - provide significant financial resilience effects, with generally stronger effects in rural than in urban areas, especially for females.</t>
  </si>
  <si>
    <t>[Sakyi-Nyarko, Carlos; Ahmad, Ahmad Hassan; Green, Christopher J.] Loughborough Univ, Sch Business &amp; Econ, Loughborough LE11 3TU, Leics, England</t>
  </si>
  <si>
    <t>Loughborough University</t>
  </si>
  <si>
    <t>Ahmad, AH (corresponding author), Loughborough Univ, Sch Business &amp; Econ, Loughborough LE11 3TU, Leics, England.</t>
  </si>
  <si>
    <t>A.H.Ahmad@lboro.ac.Uk</t>
  </si>
  <si>
    <t>; Ahmad, Ahmad Hassan/S-7906-2019</t>
  </si>
  <si>
    <t>Sakyi-Nyarko, Carlos/0000-0002-5168-8402; Ahmad, Ahmad Hassan/0000-0002-6004-0181</t>
  </si>
  <si>
    <t>Loughborough University Graduate School Studentships; Economic and Social Research Council; UK's Foreign, Commonwealth and Development Office as part of the DFID-ESRC Growth Research Programme [ES/N013344/1]; Ghana Education Trust Fund</t>
  </si>
  <si>
    <t>Loughborough University Graduate School Studentships; Economic and Social Research Council(UK Research &amp; Innovation (UKRI)Economic &amp; Social Research Council (ESRC)); UK's Foreign, Commonwealth and Development Office as part of the DFID-ESRC Growth Research Programme; Ghana Education Trust Fund</t>
  </si>
  <si>
    <t>This research is funded by Loughborough University Graduate School Studentships, Ghana Education Trust Fund &amp; a grant by the Economic and Social Research Council and the UK's Foreign, Commonwealth and Development Office as part of the DFID-ESRC Growth Research Programme Call 3, under grant no. ES/N013344/1: Delivering Inclusive Financial Development and Growth.</t>
  </si>
  <si>
    <t>10.1080/00220388.2021.2013467</t>
  </si>
  <si>
    <t>2A1MK</t>
  </si>
  <si>
    <t>WOS:000741205200001</t>
  </si>
  <si>
    <t>Shehu, AY</t>
  </si>
  <si>
    <t>Shehu, Abdullahi Y.</t>
  </si>
  <si>
    <t>Promoting financial inclusion for effective anti-money laundering and counter financing of terrorism (AML/CFT)</t>
  </si>
  <si>
    <t>CRIME LAW AND SOCIAL CHANGE</t>
  </si>
  <si>
    <t>Financial inclusion is the delivery of financial services at affordable costs, especially to the disadvantaged and low income populations. Financial inclusion has gained some importance in the last few decades as a result of findings on the impact of financial exclusion on development and especially its correlation to poverty. This paper arguesthat access to financial services contributes to human and economic development; and that financial inclusion and effective AML/CFT are complementary to ensure the safety, integrity and soundness of the financial system and the protection of depositors. It calls for the recognition of country specific characteristics of the derived segments of the society, the risks and national priorities in the application of AML/CFT measures, as well as how financial inclusion has been applied with flexible AML/CFT principles. It concludes that inclusive finance does not necessarily mean that everyone who is eligible uses each of the services, but they should be able to choose to use such services if they wish.</t>
  </si>
  <si>
    <t>GIABA, Dakar, Senegal</t>
  </si>
  <si>
    <t>Shehu, AY (corresponding author), GIABA, Dakar, Senegal.</t>
  </si>
  <si>
    <t>ayshehu@giaba.org</t>
  </si>
  <si>
    <t>0925-4994</t>
  </si>
  <si>
    <t>CRIME LAW SOCIAL CH</t>
  </si>
  <si>
    <t>Crime Law Soc. Change</t>
  </si>
  <si>
    <t>10.1007/s10611-011-9351-0</t>
  </si>
  <si>
    <t>Criminology &amp; Penology; Social Sciences, Interdisciplinary</t>
  </si>
  <si>
    <t>Criminology &amp; Penology; Social Sciences - Other Topics</t>
  </si>
  <si>
    <t>953GC</t>
  </si>
  <si>
    <t>WOS:000304853900006</t>
  </si>
  <si>
    <t>Khera, P; Ng, S; Ogawa, S; Sahay, R</t>
  </si>
  <si>
    <t>Khera, Purva; Ng, Stephanie; Ogawa, Sumiko; Sahay, Ratna</t>
  </si>
  <si>
    <t>Measuring Digital Financial Inclusion in Emerging Market and Developing Economies: A New Index</t>
  </si>
  <si>
    <t>ASIAN ECONOMIC POLICY REVIEW</t>
  </si>
  <si>
    <t>digital financial services; electronic money; financial inclusion; fintech; mobile money; C38; G10; G20; O30</t>
  </si>
  <si>
    <t>Adoption of technology in the financial services industry has been accelerating in recent years. To assess its contribution to financial inclusion, we develop a novel digital financial inclusion index covering 52 emerging market and developing economies. We find that (i) the adoption of digital financial services has been a key driver of financial inclusion; and (ii) there is wide variation across countries and regions, with the greatest progress recorded in Africa and Asia. Given the accelerated adoption of digital payments during the COVID-19 pandemic, policies are needed to close the digital divide to ensure continued progress in financial inclusion and safeguard trust in financial services.</t>
  </si>
  <si>
    <t>[Khera, Purva; Ng, Stephanie; Ogawa, Sumiko; Sahay, Ratna] Int Monetary Fund, Washington, DC 20431 USA</t>
  </si>
  <si>
    <t>Ogawa, S (corresponding author), Int Monetary Fund, Monetary &amp; Capital Markets Dept, 700 19th St NW, Washington, DC 20431 USA.</t>
  </si>
  <si>
    <t>sogawa@imf.org</t>
  </si>
  <si>
    <t>1832-8105</t>
  </si>
  <si>
    <t>1748-3131</t>
  </si>
  <si>
    <t>ASIAN ECON POLICY R</t>
  </si>
  <si>
    <t>Asian Econ. Policy. Rev.</t>
  </si>
  <si>
    <t>10.1111/aepr.12377</t>
  </si>
  <si>
    <t>2P9NR</t>
  </si>
  <si>
    <t>WOS:000744859600001</t>
  </si>
  <si>
    <t>Compaore, ED; Maiga, B; Guira, A</t>
  </si>
  <si>
    <t>Compaore, Eugene Dimaviya; Maiga, Boukare; Guira, Asmo</t>
  </si>
  <si>
    <t>Determinants and Drivers of Financial Inclusion in the West African Economic and Monetary Union (WAEMU): A Multidimensional Analysis</t>
  </si>
  <si>
    <t>ECONOMIC PAPERS</t>
  </si>
  <si>
    <t>multidimensional financial inclusion; determinants; WAEMU</t>
  </si>
  <si>
    <t>GENDER-GAP; POVERTY</t>
  </si>
  <si>
    <t>Using data from the Global Findex surveys conducted in 2017 and 2021, this study assesses the extent and determinants of multidimensional financial inclusion in the West African Economic and Monetary Union (WAEMU) over these two periods. A multidimensional financial inclusion index was constructed using the methodology of Alkire and Foster (2011). To analyse the determinants and drivers of multidimensional financial inclusion, a probit model and Fairlie's (2005) decomposition were employed. Although the results indicate an increase in the level of multidimensional financial inclusion in the WAEMU, the rate of multidimensional financial exclusion remains high. This improvement in financial inclusion between the two periods can be attributed to changes in individuals' socio-economic characteristics. The findings also reveal significant disparities in financial inclusion between men and women, as well as among WAEMU member countries. In addition, significant relationships were observed between individuals' socio-economic characteristics and their multidimensional financial inclusion status. Policies aimed at promoting better economic opportunities and improving education levels are essential for increasing the rate of financial inclusion in the WAEMU.</t>
  </si>
  <si>
    <t>[Compaore, Eugene Dimaviya] Thomas SANKARA Univ, 12 BP 417, Saaba, Burkina Faso; [Maiga, Boukare; Guira, Asmo] Thomas SANKARA Univ, Ctr Econ &amp; Social Studies Documentat &amp; Res CEDRES, Saaba, Burkina Faso</t>
  </si>
  <si>
    <t>Compaore, ED (corresponding author), Thomas SANKARA Univ, 12 BP 417, Saaba, Burkina Faso.</t>
  </si>
  <si>
    <t>cdimaviyae@gmail.com</t>
  </si>
  <si>
    <t>MAIGA, Boukaré/0000-0002-9155-7095; Dimaviya Eugène, COMPAORE/0000-0003-1732-2578</t>
  </si>
  <si>
    <t>0812-0439</t>
  </si>
  <si>
    <t>1759-3441</t>
  </si>
  <si>
    <t>ECON PAP</t>
  </si>
  <si>
    <t>Econ. Pap.</t>
  </si>
  <si>
    <t>10.1111/1759-3441.70000</t>
  </si>
  <si>
    <t>Z0401</t>
  </si>
  <si>
    <t>WOS:001546182700001</t>
  </si>
  <si>
    <t>Apiors, EK; Suzuki, A</t>
  </si>
  <si>
    <t>Apiors, Emmanuel Kwablah; Suzuki, Aya</t>
  </si>
  <si>
    <t>Effects of Mobile Money Education on Mobile Money Usage: Evidence from Ghana</t>
  </si>
  <si>
    <t>Mobile money education; Technology adoption; Financial literacy; Financial inclusion; Payments; Ghana; Africa</t>
  </si>
  <si>
    <t>FINANCIAL EDUCATION; LITERACY</t>
  </si>
  <si>
    <t>This study conducts a randomised control trial to offer a technical workshop and examine whether providing information about the full range of services on the mobile money platform would increase mobile money usage, by taking a case of the Ashanti Region, Ghana. We find a significant positive impact of mobile money education on the recent usage of mobile money for transactions. However, no significant evidence of the workshop was found on new mobile money account ownership, or on the share of transactions transmitted through mobile money. Furthermore, weak and volatile outcomes were observed as impacts on remittances after the interventions. We discuss potential reasons behind the weak effects found.</t>
  </si>
  <si>
    <t>[Apiors, Emmanuel Kwablah; Suzuki, Aya] Univ Tokyo, Dept Int Studies, Kashiwa, Chiba 2770882, Japan</t>
  </si>
  <si>
    <t>University of Tokyo</t>
  </si>
  <si>
    <t>Apiors, EK (corresponding author), Univ Tokyo, Dept Int Studies, Kashiwa, Chiba 2770882, Japan.</t>
  </si>
  <si>
    <t>emmanuel.apiors@s.k.u-tokyo.ac.jp; ayaszk@k.u-tokyo.ac.jp</t>
  </si>
  <si>
    <t>Apiors, Emmanuel/AAU-8987-2021</t>
  </si>
  <si>
    <t>Apiors, Emmanuel/0000-0003-2095-6862</t>
  </si>
  <si>
    <t>KDDI foundation</t>
  </si>
  <si>
    <t>KDDI foundation(KDDI Corporation)</t>
  </si>
  <si>
    <t>We appreciate the generosity of KDDI foundation for the grant for this study. Thank you KDDI. We thank Settor Amediku and Stephen Sasu-Yeboah of Bank of Ghana; Berthold Gadagbui and George Ofosu Boateng of Ecobank; Adu Danso, Confidence Amegashitsi, Yaw Antwi-Boasiako, and Kwame Amoako Agyeman of VODAFONE Cash; Alexander Oti Boateng and Isaac Kwadwo Bediakor of AIRTEL Money; Eli, Hini, Gabriel Agana, Steven Asare, Charity Darko, Richmond Darfar, Anthony Kweinin, Aboagye Mizhack, and Deladem of MTN Mobile Money; Bernard Frimpong and Alexander Alordeppey and the survey team for their support during fieldwork.</t>
  </si>
  <si>
    <t>1743-9728</t>
  </si>
  <si>
    <t>10.1057/s41287-022-00529-x</t>
  </si>
  <si>
    <t>APR 2022</t>
  </si>
  <si>
    <t>H2IY2</t>
  </si>
  <si>
    <t>WOS:000782343900001</t>
  </si>
  <si>
    <t>Wang, F; Zhang, XX; Ye, CW; Cai, QH</t>
  </si>
  <si>
    <t>Wang, Fang; Zhang, Xixi; Ye, Chuwen; Cai, Qihua</t>
  </si>
  <si>
    <t>The Household Multidimensional Poverty Reduction Effects of Digital Financial Inclusion: A Financial Environment Perspective</t>
  </si>
  <si>
    <t>Digital financial inclusion; Household multidimensional poverty; Poverty reduction; Financial environment; Heterogeneity; Threshold effect</t>
  </si>
  <si>
    <t>INCOME INEQUALITY; DYNAMICS; PATTERNS; FARMERS; CREDIT; ACCESS; HEALTH; CHINA; MONEY</t>
  </si>
  <si>
    <t>The poverty alleviation effects of digital financial inclusion are widely recognized, while these effects are dependent on the financial environment. However, little is known about how the financial environment influences digital financial inclusion, which leads to a reduction in household multidimensional poverty. Using matching data from Peking University Digital Financial Inclusion Index of China and Chinese Family Panel Studies for 2012, 2014, 2016, and 2018, this paper estimates the impact of digital financial inclusion on household multidimensional poverty, considering the financial environment. The results show that: (1) Digital financial inclusion alleviates household multidimensional poverty and has significant alleviation effects on different dimensions of poverty. (2) Digital financial inclusion plays a particularly significant role in reducing household multidimensional poverty in China's rural areas and central-western regions. (3) Credit availability, social capital, and non-agricultural employment are important channels through which digital financial inclusion reduces household multidimensional poverty. (4) A single threshold effect governs the influence of the financial environment on the impact of digital financial inclusion on household multidimensional poverty. When the financial environment crosses the threshold value, the poverty reduction effect of digital financial inclusion is enhanced. For the components of the financial environment, a single threshold effect governs the influence of both traditional financial foundations and household financial literacy on the impact of digital financial inclusion on multidimensional poverty, whereas government financial supervision does so via a double threshold effect.</t>
  </si>
  <si>
    <t>[Wang, Fang; Cai, Qihua] Zhengzhou Univ, Sch Business, Zhengzhou, Peoples R China; [Zhang, Xixi] Hohai Univ, Business Sch, Nanjing, Peoples R China; [Ye, Chuwen] Zhongnan Univ Econ &amp; Law, Educ Ctr Master Laws, Wuhan, Peoples R China</t>
  </si>
  <si>
    <t>Zhengzhou University; Hohai University; Zhongnan University of Economics &amp; Law</t>
  </si>
  <si>
    <t>Cai, QH (corresponding author), Zhengzhou Univ, Sch Business, Zhengzhou, Peoples R China.</t>
  </si>
  <si>
    <t>qihua_cai2017@zzu.edu.cn</t>
  </si>
  <si>
    <t>Cai, Qihua/GSN-4001-2022</t>
  </si>
  <si>
    <t>Cai, Qihua/0000-0003-4617-4682</t>
  </si>
  <si>
    <t>Philosophy and Social Science Planning Program of He'nan Province [2021BJJ092]; Philosophy and Social Science Planning Program of Henan Province [24B790026]; Plan for Key Research Projects of Henan Province Higher Education Institutions</t>
  </si>
  <si>
    <t>Philosophy and Social Science Planning Program of He'nan Province; Philosophy and Social Science Planning Program of Henan Province; Plan for Key Research Projects of Henan Province Higher Education Institutions</t>
  </si>
  <si>
    <t>The authors wish to acknowledge support from Philosophy and Social Science Planning Program of Henan Province (No. 2021BJJ092); the Plan for Key Research Projects of Henan Province Higher Education Institutions (No. 24B790026).</t>
  </si>
  <si>
    <t>10.1007/s11205-023-03298-0</t>
  </si>
  <si>
    <t>LK5Z0</t>
  </si>
  <si>
    <t>WOS:001157446300001</t>
  </si>
  <si>
    <t>Coulibaly, SS</t>
  </si>
  <si>
    <t>Coulibaly, Sionfou Seydou</t>
  </si>
  <si>
    <t>A study of the factors affecting mobile money penetration rates in the West African Economic and Monetary Union (WAEMU) compared with East Africa</t>
  </si>
  <si>
    <t>Financial inclusion; Mobile money; Probit; Multinomial logit; East Africa; WAEMU</t>
  </si>
  <si>
    <t>According to the 2017 Global Financial Inclusion (Global Findex) database, the average penetration rate of mobile money accounts in East Africa is higher than that of the WAEMU. This study attempts to understand the factors driving the adoption and the use of mobile financial services in the WAEMU compared to East Africa. To achieve this, micro-level data from the 2017 Global Findex database are used to perform probit and multinomial logit estimations. The findings reveal that the same determinants influence the adoption and use of mobile money accounts across the populations of both groups of countries, specifically those related to the least vulnerable social categories (i.e., males, older, more educated, richer and part of the workforce). Therefore, in comparison to East Africa, the delay in the penetration of mobile money accounts observed in the WAEMU may be attributed to insufficient policies for increasing the awareness of the benefits of mobile financial services. The study recommends that governments in WAEMU countries promote the use of mobile money accounts among the working-age population (adults aged between 25 and 64) through the improvement of individual income level, and the introduction of incentives into the education system to encourage their population to attain higher levels of education.</t>
  </si>
  <si>
    <t>[Coulibaly, Sionfou Seydou] Univ Felix Houphouet Boigny Abidjan, Dept Econ &amp; Management, POB 01 BP 974 Abidjan 01, Abidjan, Cote Ivoire</t>
  </si>
  <si>
    <t>Universite Felix Houphouet-Boigny</t>
  </si>
  <si>
    <t>Coulibaly, SS (corresponding author), Univ Felix Houphouet Boigny Abidjan, Dept Econ &amp; Management, POB 01 BP 974 Abidjan 01, Abidjan, Cote Ivoire.</t>
  </si>
  <si>
    <t>coulsionfseyd@yahoo.fr</t>
  </si>
  <si>
    <t>AERC (African Economic Research Consortium); AERC</t>
  </si>
  <si>
    <t>This study received a grant from the AERC (African Economic Research Consortium). The funding received from AERC covered all the steps of this research from the research proposal stage to the final report stage.</t>
  </si>
  <si>
    <t>APR 12</t>
  </si>
  <si>
    <t>10.1186/s40854-021-00238-0</t>
  </si>
  <si>
    <t>RM1TV</t>
  </si>
  <si>
    <t>WOS:000639443800001</t>
  </si>
  <si>
    <t>Dar, AB; Ahmed, F</t>
  </si>
  <si>
    <t>Dar, Arif Billah; Ahmed, Farid</t>
  </si>
  <si>
    <t>Financial inclusion determinants and impediments in India: insights from the global financial inclusion index</t>
  </si>
  <si>
    <t>Financial institutions and services; Financial markets and institutions</t>
  </si>
  <si>
    <t>Purpose The purpose of this paper is to understand the determinants of financial inclusion and the determinants of barriers to financial inclusion in India. Also, the purpose is to ascertain the determinants of informal financial activities in India. Design/methodology/approach The data have been collected from the Global Findex Database (Findex) 2017. Various measures of financial inclusion, namely, ownership formal accounts, use of accounts for saving and borrowing, ownership and use of the debit card are used. The independent variables used are: age, income, education and gender. Given the binary nature of dependent variables, this paper uses the Probit model to draw the inferences. Findings The results show that gender, age, education and income have a significant impact on the various measures of financial inclusion. Additionally, these factors have a significant impact on the informal saving and borrowing. Research limitations/implications The given study uses the deferent measures of financial inclusion. An index of financial inclusion created using all the financial inclusion measures would be a better indicator of financial inclusion. Practical implications The results of this study would be useful for policymakers to identify the determinants and barriers of financial inclusion in India. The results show that policymakers should focus on the female population, in particular, and education and income enhancing measures, in general, to make financial inclusion more inclusive. Originality/value The study is the first of its kind to analyze financial inclusion in India using the Findex. Unlike previous studies, variables such as education and income are constructed more pragmatically. In particular, the study tries to understand the socio-economic determinants of financial inclusion measured as ownership of formal accounts, formal saving, formal credit, ownership of debit cards and use of debit cards. The study also analyzes the determinants of barriers to financial inclusion, savings (formal and informal) and borrowing (formal and informal).</t>
  </si>
  <si>
    <t>[Dar, Arif Billah; Ahmed, Farid] Shri Mata Vaishno Devi Univ, Sch Econ, Katra, India</t>
  </si>
  <si>
    <t>Shri Mata Vaishno Devi University</t>
  </si>
  <si>
    <t>Ahmed, F (corresponding author), Shri Mata Vaishno Devi Univ, Sch Econ, Katra, India.</t>
  </si>
  <si>
    <t>arifbillahpcu@gmail.com; faridahmed431@gmail.com</t>
  </si>
  <si>
    <t>Dar, Arif/AAL-9688-2020</t>
  </si>
  <si>
    <t>Indian council of Social Science Research under IMPRESS [IMPRESS/P65/38/2018-19/ICSSR]</t>
  </si>
  <si>
    <t>Indian council of Social Science Research under IMPRESS</t>
  </si>
  <si>
    <t>The substantial part of this work was supported by the Indian council of Social Science Research under IMPRESS (Grant No. : IMPRESS/P65/38/2018-19/ICSSR</t>
  </si>
  <si>
    <t>floor 5, Northspring 21-23 Wellington Street, Leeds, W YORKSHIRE, ENGLAND</t>
  </si>
  <si>
    <t>MAY 20</t>
  </si>
  <si>
    <t>10.1108/JFEP-11-2019-0227</t>
  </si>
  <si>
    <t>SF3GN</t>
  </si>
  <si>
    <t>WOS:000572393400001</t>
  </si>
  <si>
    <t>Jafri, J</t>
  </si>
  <si>
    <t>Jafri, Juvaria</t>
  </si>
  <si>
    <t>Financial citizenship and shadow banking in Pakistan: a study of two deposit-taking microfinance banks</t>
  </si>
  <si>
    <t>EURASIAN GEOGRAPHY AND ECONOMICS</t>
  </si>
  <si>
    <t>Development; financial inclusion; financial citizenship; financialization; inclusive finance; Pakistan; shadow banking</t>
  </si>
  <si>
    <t>GEOGRAPHIES; EXCLUSION</t>
  </si>
  <si>
    <t>I apply a financial citizenship lens to the Pakistani banking sector to consider how inclusive finance resolves the issue of uneven financial access. For this, I draw attention to how inclusive finance is a form of shadow banking. The case of Pakistan shows that policies of inclusive finance create a heterogeneous formal financial space. Institutionalized forms of inclusive finance result in a banking system that offers uneven access to finance because it contains separate parts for different clients. Such a system is defined by mainstream commercial banks based on a traditional bank intermediation model on the one hand, and inclusive finance based on a disintermediated, or shadow banking model, on the other. My study uses the example of two deposit-taking microfinance banks to show how contemporary financial systems in the Global South tend to contain an outside as well as an inside. As such, I draw attention to how shadow banks shape inclusive finance and limit financial citizenship, causing uneven access to finance, characterized by inequities in (1) rates, (2) requirements, and (3) surveillance. These inequities complicate and limit financial citizenship in spaces where shadow banking subsumes inclusive finance.</t>
  </si>
  <si>
    <t>[Jafri, Juvaria] Univ Cambridge, Judge Business Sch, Trumpington St, Cambridge CB2 1AG, England</t>
  </si>
  <si>
    <t>University of Cambridge</t>
  </si>
  <si>
    <t>Jafri, J (corresponding author), Univ Cambridge, Judge Business Sch, Trumpington St, Cambridge CB2 1AG, England.</t>
  </si>
  <si>
    <t>j.jafri@jbs.cam.ac.uk</t>
  </si>
  <si>
    <t>Jafri, Juvaria/ADO-5505-2022</t>
  </si>
  <si>
    <t>Jafri, Juvaria/0000-0002-4457-5098</t>
  </si>
  <si>
    <t>1538-7216</t>
  </si>
  <si>
    <t>1938-2863</t>
  </si>
  <si>
    <t>EURASIAN GEOGR ECON</t>
  </si>
  <si>
    <t>Eurasian Geogr. Econ.</t>
  </si>
  <si>
    <t>FEB 17</t>
  </si>
  <si>
    <t>10.1080/15387216.2021.1980074</t>
  </si>
  <si>
    <t>Area Studies; Geography</t>
  </si>
  <si>
    <t>9K7HR</t>
  </si>
  <si>
    <t>WOS:000696451800001</t>
  </si>
  <si>
    <t>Ali, J; Ghildiyal, AK</t>
  </si>
  <si>
    <t>Ali, Jabir; Ghildiyal, Archana Kumari</t>
  </si>
  <si>
    <t>Socio-economic characteristics, mobile phone ownership and banking behaviour of individuals as determinants of digital financial inclusion in India</t>
  </si>
  <si>
    <t>Socio-economics; Mobile banking; Financial inclusion; Digital services; India</t>
  </si>
  <si>
    <t>INTERNET; DEMONETIZATION; DIFFUSION; ADOPTION; IMPACT</t>
  </si>
  <si>
    <t>Purpose -This paper aims at analysing the socio-economic characteristics, mobile phone ownership and banking behaviour as key determinants of digital financial inclusion in India.Design/methodology/approach - This study is based on the Global Findex Survey of the World Bank covering 3,000 adult individuals in India. Simple statistical tools such as descriptive statistics, chi-square test and regression analysis with a marginal effect have been used for the data analysis.Findings - About 35.2% of respondents have reported using digital financial services in the country. There is a significant association between the socio-economic profiles of individuals with the adoption of digital financial services in terms of gender, age, education, occupation and income. The marginal effect indicates that socio-economic factors, mobile phone ownership and banking behaviour of individuals towards borrowings and savings have indicated significant influence on digital financial inclusion. The analysis depicts that male with higher age, education, working status and higher income are more likely to adopt digital financial services. Further, individuals with mobile phone ownership and utilising banking in terms of borrowings and savings are more likely to adopt digital financial services.Practical implications - As digital banking services have emerged as a preferred channel for financial service delivery, this study provides timely insights on developing user driven-strategies for promoting digital financial services.Originality/value - Socio-economic characteristics, mobile phone ownership and banking behaviour are critical determinants of financial inclusion, so assessing its implications in the era of digitisation becomes imperative.Peer review - The peer review history for this article is available at: .</t>
  </si>
  <si>
    <t>[Ali, Jabir] Indian Inst Management Jammu, Econ &amp; Business Environm Area, Jammu, India; [Ghildiyal, Archana Kumari] Galgotias Univ, Sch Business, Dept Finance, Greater Noida, India</t>
  </si>
  <si>
    <t>Indian Institute of Management (IIM System); Indian Institute of Management Jammu; Galgotias University</t>
  </si>
  <si>
    <t>Ali, J (corresponding author), Indian Inst Management Jammu, Econ &amp; Business Environm Area, Jammu, India.</t>
  </si>
  <si>
    <t>jabirali@live.in; archana25ghildiyal@gmail.com</t>
  </si>
  <si>
    <t>Ghildiyal, Archana/0000-0001-7815-6871</t>
  </si>
  <si>
    <t>10.1108/IJSE-10-2022-0673</t>
  </si>
  <si>
    <t>T9RT3</t>
  </si>
  <si>
    <t>WOS:000964223600001</t>
  </si>
  <si>
    <t>Natile, S</t>
  </si>
  <si>
    <t>Natile, Serena</t>
  </si>
  <si>
    <t>Digital Finance Inclusion and the Mobile Money Social Enterprise: A Socio-Legal Critique of M-Pesa in Kenya</t>
  </si>
  <si>
    <t>HISTORICAL SOCIAL RESEARCH-HISTORISCHE SOZIALFORSCHUNG</t>
  </si>
  <si>
    <t>Fintech; mobile money; philanthrocapitalism; development; socio-legal studies; Africa; Kenya; social entrepreneurship; digital financial inclusion</t>
  </si>
  <si>
    <t>BUSINESS</t>
  </si>
  <si>
    <t>Financial technology or fintech initiatives are gaining increasing global attention as instruments for financial inclusion and economic and social development. Among such initiatives, mobile-phone-enabled money transfer systems, or mobile money, have been particularly acclaimed for facilitating access to financial services and creating opportunities for the so-called unbanked poor. One of the first and most-discussed mobile money projects to date is M-Pesa in Kenya, a digital payment system which is now used by over 70 per cent of the Kenyan population across a variety of sectors including finance, commerce, education, health, and social welfare. M-Pesa is premised on a narrative of social entrepreneurship and has increasingly embraced the idea of philanthrocapitalism, promoting the logic that digital financial inclusion can simultaneously address social problems and produce profit. This paper brings together socio-legal enquiry and international political economy analysis to illustrate the institutional arrangements underpinning the development of M-Pesa and examine some of the projects built on its infrastructure. It argues that social entrepreneurship promotes a logic of opportunity rather than a politics of redistribution, favouring mobile money providers and the institutions involved in the mobile money social business over improving the lives of the intended beneficiaries, namely the unbanked poor.</t>
  </si>
  <si>
    <t>[Natile, Serena] Brunel Univ London, Brunel Law Sch, Uxbridge UB8 3PH, Middx, England</t>
  </si>
  <si>
    <t>Brunel University</t>
  </si>
  <si>
    <t>Natile, S (corresponding author), Brunel Univ London, Brunel Law Sch, Uxbridge UB8 3PH, Middx, England.</t>
  </si>
  <si>
    <t>Serena.Natile@brunel.ac.uk</t>
  </si>
  <si>
    <t>Natile, Serena/0000-0002-8236-3299</t>
  </si>
  <si>
    <t>GESIS LEIBNIZ INST SOCIAL SCIENCES</t>
  </si>
  <si>
    <t>COLOGNE</t>
  </si>
  <si>
    <t>UNTER SACHSENHAUSEN 6-8, COLOGNE, D-50667, GERMANY</t>
  </si>
  <si>
    <t>0172-6404</t>
  </si>
  <si>
    <t>HIST SOC RES</t>
  </si>
  <si>
    <t>Hist. Soc. Res.</t>
  </si>
  <si>
    <t>10.12759/hsr.45.2020.3.74-94</t>
  </si>
  <si>
    <t>History; History Of Social Sciences; Industrial Relations &amp; Labor; Social Sciences, Interdisciplinary</t>
  </si>
  <si>
    <t>History; Social Sciences - Other Topics; Business &amp; Economics</t>
  </si>
  <si>
    <t>MT6LG</t>
  </si>
  <si>
    <t>WOS:000555083800004</t>
  </si>
  <si>
    <t>Sharaf, MF; Shahen, AM; Alharaib, MA</t>
  </si>
  <si>
    <t>Sharaf, Mesbah Fathy; Shahen, Abdelhalem Mahmoud; Alharaib, Mansour Abdullateef</t>
  </si>
  <si>
    <t>Digital financial inclusion and socioeconomic sustainability in Saudi Arabia examining drivers disparities and policy pathways</t>
  </si>
  <si>
    <t>Digital Financial Inclusion (DFI); Saudi Arabia; Probit model; Socio-demographic characteristics; Saudi Vision 2030</t>
  </si>
  <si>
    <t>This study explores the evolution, determinants, and disparities of digital financial inclusion (DFI) in Saudi Arabia from 2011 to 2021, including the initial post-COVID-19 phase. Although our data are cross-sectional, we infer changes over time by comparing results across four waves of the World Bank's Global Findex surveys (2011, 2014, 2017, and 2021). Using multiple Probit regressions, we examine the drivers of DFI across demographic, socioeconomic, and infrastructural dimensions. While Saudi Arabia has made notable progress in digital finance, gaps persist among women, individuals with lower education, low-income groups, and the unemployed. Access to mobile phones and internet connectivity significantly enhances DFI, highlighting the importance of digital infrastructure. To ensure the reliability of our findings, we conduct two sets of robustness checks. First, we use seemingly unrelated estimation (SUEST) to jointly test the equality of coefficients across probit models. Second, we construct a latent DFI index via Multiple Correspondence Analysis (MCA) and re-estimate the model using both OLS and probit frameworks. These robustness checks confirm the consistency and direction of the main effects, particularly the gender gap and the role of income, education, and mobile access. As one of the first systematic analyses of DFI in Saudi Arabia using Global Findex data, this study offers timely insights into the country's inclusive digital transformation. It emphasizes how expanding equitable access to digital financial services can support broader goals of socioeconomic sustainability, reduce structural inequalities, and contribute to the Vision 2030 agenda. The findings offer practical guidance for policymakers seeking to build inclusive and sustainable digital financial ecosystems.</t>
  </si>
  <si>
    <t>[Sharaf, Mesbah Fathy] Univ Alberta, Fac Arts, Dept Econ, Edmonton, AB, Canada; [Shahen, Abdelhalem Mahmoud; Alharaib, Mansour Abdullateef] Imam Mohammad Ibn Saud Islamic Univ IMSIU, Coll Business, Dept Econ, Riyadh, Saudi Arabia</t>
  </si>
  <si>
    <t>University of Alberta; Imam Mohammad Ibn Saud Islamic University (IMSIU)</t>
  </si>
  <si>
    <t>Alharaib, MA (corresponding author), Imam Mohammad Ibn Saud Islamic Univ IMSIU, Coll Business, Dept Econ, Riyadh, Saudi Arabia.</t>
  </si>
  <si>
    <t>sharaf@ualberta.ca; AmShahen@imamu.edu.sa; malharaib@imamu.edu.sa</t>
  </si>
  <si>
    <t>This work was supported and funded by the Deanship of Scientific Research at Imam Mohammad Ibn Saud Islamic University (IMSIU) (grant number IMSIU-DDRSP2504) [grant number IMSIU-DDRSP2504]</t>
  </si>
  <si>
    <t>This work was supported and funded by the Deanship of Scientific Research at Imam Mohammad Ibn Saud Islamic University (IMSIU) (grant number IMSIU-DDRSP2504)</t>
  </si>
  <si>
    <t>10.1007/s43621-025-02372-6</t>
  </si>
  <si>
    <t>AR9CM</t>
  </si>
  <si>
    <t>WOS:001655300600004</t>
  </si>
  <si>
    <t>Beck, T; Senbet, L; Simbanegavi, W</t>
  </si>
  <si>
    <t>Beck, Thorsten; Senbet, Lemma; Simbanegavi, Witness</t>
  </si>
  <si>
    <t>Financial Inclusion and Innovation in Africa: An Overview</t>
  </si>
  <si>
    <t>JOURNAL OF AFRICAN ECONOMIES</t>
  </si>
  <si>
    <t>African-Economic-Research-Consortium (AERC) Biannual Research Workshop</t>
  </si>
  <si>
    <t>DEC 01-05, 2013</t>
  </si>
  <si>
    <t>African Econ Res Consortium</t>
  </si>
  <si>
    <t>Africa; cross-border banking; financial innovation; access to finance; gender</t>
  </si>
  <si>
    <t>Financial inclusion is gaining attention in African policy circles in view of the recent African growth renaissance, but which has been characterised as non-inclusive. While not conclusively documented in the literature, financial inclusion is viewed among the drivers of inclusive growth. This special issue takes a stock of the extent of, and the factors affecting financial inclusion; the role of cross-border banking in financial deepening and access across Africa and the impacts of financial innovation on access as well as monetary policy. While Africa's banking systems are still shallow relative to peers, substantial progress has been made over the past two decades both in terms of financial inclusion and financial innovation, as well as cross-border banking. While access to finance has improved, the evidence based on the Global Findex database points to substantial heterogeneity within sub-regions of Africa and demographic characteristics. The evidence also suggests that foreign banks from emerging markets, including Africa, have contributed to financial access, but the opposite is the case for foreign banks from Europe and USA. However, challenges remain, including the gap between financial deepening and financial inclusion.</t>
  </si>
  <si>
    <t>[Beck, Thorsten] City Univ London, Cass Business Sch, London EC1V 0HB, England; [Beck, Thorsten] CEPR, London, England; [Senbet, Lemma; Simbanegavi, Witness] AERC, Nairobi, Kenya; [Senbet, Lemma] Univ Maryland, College Pk, MD 20742 USA</t>
  </si>
  <si>
    <t>City St Georges, University of London; Centre for Economic Policy Research - UK; African Economic Research Consortium (AERC); University System of Maryland; University of Maryland College Park</t>
  </si>
  <si>
    <t>Simbanegavi, W (corresponding author), AERC, Nairobi, Kenya.</t>
  </si>
  <si>
    <t>witness.simbanegavi@aercafrica.org</t>
  </si>
  <si>
    <t>Beck, Thorsten/GRX-3987-2022</t>
  </si>
  <si>
    <t>Simbanegavi, Witness/0000-0003-3109-9528</t>
  </si>
  <si>
    <t>0963-8024</t>
  </si>
  <si>
    <t>1464-3723</t>
  </si>
  <si>
    <t>J AFR ECON</t>
  </si>
  <si>
    <t>J. Afr. Econ.</t>
  </si>
  <si>
    <t>I3</t>
  </si>
  <si>
    <t>I11</t>
  </si>
  <si>
    <t>10.1093/jae/eju031</t>
  </si>
  <si>
    <t>CE2AY</t>
  </si>
  <si>
    <t>WOS:000351616100002</t>
  </si>
  <si>
    <t>Analyzing the progress and prospects of financial inclusion in India</t>
  </si>
  <si>
    <t>Taking data from Financial Access Survey, Global Findex and Reserve Bank of India bulletin, this paper tries to analyze the progress occurred and the future prospect of financial inclusion in India. Our analysis depicts that India has witnessed a quick progress in financial inclusion. Though there is long way to go to achieve the dream of universal financial inclusion, there is no doubt that tremendous progress has been achieved in the recent time. Specifically, after the implementation Pradhan Mantri Jan Dhan Yojana in August 2014, much improvement has happened in opening of bank deposit accounts. Similarly, the post-dimerization period has seen a rapid growth of digital finance in India. Despite high growth of digital transaction, digital payment among the women, rural people, elderly people, and less educated people is much less than other groups of people. The provision of good digital infrastructure to the remote area, opening of more financial literacy centers and extension of credit to the marginalized people can help to fulfill the true essence of financial inclusion in India.</t>
  </si>
  <si>
    <t>[Barik, Rajesh; Sharma, Pritee] Indian Inst Technol Indore, Sch Humanities &amp; Social Sci, Discipline Econ, Simrol 453552, India</t>
  </si>
  <si>
    <t>Barik, R (corresponding author), Indian Inst Technol Indore, Sch Humanities &amp; Social Sci, Discipline Econ, Simrol 453552, India.</t>
  </si>
  <si>
    <t>Sharma, Pritee/0000-0002-0526-9258; Barik, Rajesh/0000-0002-8658-0207</t>
  </si>
  <si>
    <t>e1948</t>
  </si>
  <si>
    <t>10.1002/pa.1948</t>
  </si>
  <si>
    <t>JS0HV</t>
  </si>
  <si>
    <t>WOS:000499996000014</t>
  </si>
  <si>
    <t>Hasan, R; Ashfaq, M; Parveen, T; Gunardi, A</t>
  </si>
  <si>
    <t>Hasan, Rashedul; Ashfaq, Muhammad; Parveen, Tamiza; Gunardi, Ardi</t>
  </si>
  <si>
    <t>Financial inclusion - does digital financial literacy matter for women entrepreneurs?</t>
  </si>
  <si>
    <t>Digital financial literacy; Financial inclusion; Women; Entrepreneurs; Fintech</t>
  </si>
  <si>
    <t>SOCIALIZATION; CHALLENGES; ACCESS; IMPACT</t>
  </si>
  <si>
    <t>Purpose - Women's financial inclusion has become a global research agenda, and past studies provide mixed evidence on the determinants of financial inclusion among women entrepreneurs across the globe. However, the impact of digital financial literacy on women's financial inclusion has seldom been addressed in the past literature.Design/methodology/approach - The authors perform a cross-sectional analysis of 144 countries using the World Bank Global Findex Database.Findings - This study's probabilistic regression results indicate that women entrepreneurs with a higher degree of digital financial literacy are more likely to engage in formal banking channels.Practical implications - The study findings have practical implications in terms of allowing regulators and banks to draw effective policies to attract women customers. Lack of effective regulatory intervention could lead to women exploring financial crimes, such as money laundering, due to their lack of involvement with the formal banking channel.Originality/value - The authors explore the impact of digital financial literacy on women's financial inclusion. Such evidence is rare in the existing literature.</t>
  </si>
  <si>
    <t>[Hasan, Rashedul] Coventry Univ, Coventry, England; [Ashfaq, Muhammad] Wittenborg Univ Appl Sci, Apeldoorn, Netherlands; [Parveen, Tamiza] Int Islamic Univ Malaysia, Dept Business Adm, Kuala Lumpur, Malaysia; [Gunardi, Ardi] Pasundan Univ, Fac Econ &amp; Business, Bandung, Indonesia</t>
  </si>
  <si>
    <t>Coventry University; International Islamic University Malaysia; Pasundan University</t>
  </si>
  <si>
    <t>Hasan, R (corresponding author), Coventry Univ, Coventry, England.</t>
  </si>
  <si>
    <t>ad6284@coventry.ac.uk; Ashfaq8585@hotmail.com; mithilaiub@gmail.com; ardigunardi@unpas.ac.id</t>
  </si>
  <si>
    <t>Hasan, Rashedul/AAE-8116-2021; Gunardi, Ardi/E-7051-2016</t>
  </si>
  <si>
    <t>Hasan, Rashedul/0000-0003-0130-0665; Gunardi, Ardi/0000-0002-0372-7067</t>
  </si>
  <si>
    <t>AUG 4</t>
  </si>
  <si>
    <t>10.1108/IJSE-04-2022-0277</t>
  </si>
  <si>
    <t>O3NL2</t>
  </si>
  <si>
    <t>WOS:000898521200001</t>
  </si>
  <si>
    <t>Miglionico, A</t>
  </si>
  <si>
    <t>Miglionico, Andrea</t>
  </si>
  <si>
    <t>Digital payments system and market disruption</t>
  </si>
  <si>
    <t>LAW AND FINANCIAL MARKETS REVIEW</t>
  </si>
  <si>
    <t>Digital banking; decentralised intermediation; distributed ledger technology; financial inclusion; automated decision-making process; crypto asset-based payment system</t>
  </si>
  <si>
    <t>ARTIFICIAL-INTELLIGENCE; RISK; TECHNOLOGIES; REGTECH; FINANCE; RULES</t>
  </si>
  <si>
    <t>The traditional banking functions of lending, deposit-taking and payment intermediation are being unbundled in the new frontiers of money that extend from virtual currencies to crypto-assets and from shadow payments to quasi-money. The possibility for digital-centred change in the financial industry is illustrated by distributed ledger technology, of which 'blockchain' is the most prominent example of automated decision-making. Other forms of decentralised supply of money, payment services, and funding processes may allow households and businesses to obtain loans and pool risks without having recourse to financial intermediaries. This article examines the alternative provision of access to low-cost zero-friction payments from the perspective of the underbanked. Promoting innovation through alternatives to credit means integrating vulnerable and excluded customers into mainstream financial systems. Blockchain technology backed by a possible modification of the law on the recognition and transfer of property rights might prove instrumental in unlocking the value of the assets possessed by the underbanked or even the unbanked.</t>
  </si>
  <si>
    <t>[Miglionico, Andrea] Univ Reading, Sch Law, Reading, England; [Miglionico, Andrea] Sch Law, Foxhill House,Whiteknights Rd, Reading RG6 7BA, England</t>
  </si>
  <si>
    <t>University of Reading</t>
  </si>
  <si>
    <t>Miglionico, A (corresponding author), Sch Law, Foxhill House,Whiteknights Rd, Reading RG6 7BA, England.</t>
  </si>
  <si>
    <t>a.miglionico@reading.ac.uk</t>
  </si>
  <si>
    <t>Miglionico, Anea/0000-0002-2114-6709</t>
  </si>
  <si>
    <t>1752-1440</t>
  </si>
  <si>
    <t>1752-1459</t>
  </si>
  <si>
    <t>LAW FINANC MARK REV</t>
  </si>
  <si>
    <t>Law Financ. Mark. Rev.</t>
  </si>
  <si>
    <t>10.1080/17521440.2023.2215481</t>
  </si>
  <si>
    <t>MU0U3</t>
  </si>
  <si>
    <t>WOS:000995850500001</t>
  </si>
  <si>
    <t>Gallego-Losada, MJ; Montero-Navarro, A; Garcia-Abajo, E; Gallego-Losada, R</t>
  </si>
  <si>
    <t>Gallego-Losada, Maria-Jesus; Montero-Navarro, Antonio; Garcia-Abajo, Elisa; Gallego-Losada, Rocio</t>
  </si>
  <si>
    <t>Digital financial inclusion. Visualizing the academic literature</t>
  </si>
  <si>
    <t>Financial inclusion; ICTs; Digitalization; Mobile-money; Fintech</t>
  </si>
  <si>
    <t>MOBILE MONEY; BIBLIOMETRIC ANALYSIS; DECISION-MAKING; MICROFINANCE; SERVICES; ACCESS; ECOSYSTEM; BANKING; NETWORK; POVERTY</t>
  </si>
  <si>
    <t>Financial inclusion, which requires granting an affordable, adequate and widespread access to a sufficient range of financial products and services, has often been considered one of the corner-stones of social development, as it can contribute to poverty reduction, narrow the income gap, lead to wiser financial decisions, help to enlarge savings, increase the productive investment and foster a greater gender equality. Information and communication technologies have shown a major potential to contribute to financial inclusion, giving birth to digital financial inclusion. Using bibliometric techniques, this paper disentangles the intellectual structure of the research on digital financial inclusion, revealing the most influential sources, authors and areas inside this research stream. The results of this paper show that we are dealing with a critical demand of current society, which is attracting a growing attention of the academic literature and should be in the spotlight of both private and public institutions.</t>
  </si>
  <si>
    <t>[Gallego-Losada, Maria-Jesus; Garcia-Abajo, Elisa; Gallego-Losada, Rocio] Univ Rey Juan Carlos, Fac Ciencias Econ &amp; Empresa, Dept Financial Econ &amp; Accountancy, Paseo Artilleros,S-N, Madrid 28032, Spain; [Montero-Navarro, Antonio] Univ Rey Juan Carlos, Dept Business Econ adm Dir &amp; Org, Applied Econ 2 &amp; Fdn Econ Anal, Fac Ciencias Econ &amp; Empresa, Paseo Artilleros,S-N, Madrid 28032, Spain</t>
  </si>
  <si>
    <t>Universidad Rey Juan Carlos; Universidad Rey Juan Carlos</t>
  </si>
  <si>
    <t>Gallego-Losada, R (corresponding author), Univ Rey Juan Carlos, Fac Ciencias Econ &amp; Empresa, Dept Financial Econ &amp; Accountancy, Paseo Artilleros,S-N, Madrid 28032, Spain.</t>
  </si>
  <si>
    <t>mariajesus.losada@urjc.es; antonio.montero@urjc.es; mariaelisa.garcia@urjc.es; rocio.gallego@urjc.es</t>
  </si>
  <si>
    <t>Gallego-Losada, Rocio/Q-2094-2017; Montero-Navarro, Antonio/AAP-7895-2020</t>
  </si>
  <si>
    <t>Gallego-Losada, Rocio/0000-0003-2470-6860; Montero-Navarro, Antonio/0000-0001-8096-5352</t>
  </si>
  <si>
    <t>10.1016/j.ribaf.2022.101862</t>
  </si>
  <si>
    <t>8I0MY</t>
  </si>
  <si>
    <t>WOS:000921423300001</t>
  </si>
  <si>
    <t>Choung, Y; Pak, TY; Chatterjee, S</t>
  </si>
  <si>
    <t>Choung, Youngjoo; Pak, Tae-Young; Chatterjee, Swarn</t>
  </si>
  <si>
    <t>Digital Financial Literacy and Life Satisfaction: Evidence from South Korea</t>
  </si>
  <si>
    <t>BEHAVIORAL SCIENCES</t>
  </si>
  <si>
    <t>digital financial literacy; digital financial capability; digital financial inclusion; financial literacy; life satisfaction</t>
  </si>
  <si>
    <t>ROLES</t>
  </si>
  <si>
    <t>Digital financial literacy is an emerging concept that refers to the ability to effectively use digital tools, platforms, and services to manage personal finances. While previous studies have explored the behavioral effects of digital financial literacy, less is known about its broader well-being implications for financial consumers. In this study, we aim to examine the association between digital financial literacy and life satisfaction in a developed country context. Digital financial literacy was measured using a multidimensional scale that encompasses financial knowledge, digital literacy, digital financial service awareness, practical know-how of digital financial services, and self-protection against digital financial fraud. Using data of 1615 Korean adults who currently use digital financial services, this study estimated a series of regressions linking life satisfaction to digital financial literacy and covariates. The results showed a significant association between digital financial literacy and life satisfaction, with self-protection against fraud being the most influential subdimension. Notably, financial knowledge was not associated with life satisfaction when other dimensions of digital financial literacy were independently included in the regression models. These findings highlight the importance of digital skills and knowledge in navigating digital financial services. They also emphasize the need for targeted policies, financial education initiatives, and consumer protection measures to address the lack of digital financial literacy among marginalized populations.</t>
  </si>
  <si>
    <t>[Choung, Youngjoo] Inha Univ, Dept Consumer Sci, Incheon 22212, South Korea; [Pak, Tae-Young] Sungkyunkwan Univ, Dept Consumer Sci, Seoul 03063, South Korea; [Pak, Tae-Young] Sungkyunkwan Univ, Convergence Program Social Innovat, Seoul 03063, South Korea; [Chatterjee, Swarn] Univ Georgia, Dept Financial Planning Housing &amp; Consumer Econ, Athens, GA 30602 USA</t>
  </si>
  <si>
    <t>Inha University; Sungkyunkwan University (SKKU); Sungkyunkwan University (SKKU); University System of Georgia; University of Georgia</t>
  </si>
  <si>
    <t>Chatterjee, S (corresponding author), Univ Georgia, Dept Financial Planning Housing &amp; Consumer Econ, Athens, GA 30602 USA.</t>
  </si>
  <si>
    <t>joo@inha.ac.kr; typak@skku.edu; swarn@uga.edu</t>
  </si>
  <si>
    <t>Chatterjee, Swarn/D-7114-2016; Pak, Tae-Young/HZJ-0213-2023</t>
  </si>
  <si>
    <t>choung, youngjoo/0000-0003-1722-3705; Pak, Tae-Young/0000-0003-2380-7256</t>
  </si>
  <si>
    <t>INHA UNIVERSITY Research Grant; [69879-1]</t>
  </si>
  <si>
    <t>INHA UNIVERSITY Research Grant;</t>
  </si>
  <si>
    <t>This work was supported by the INHA UNIVERSITY Research Grant (No. 69879-1).</t>
  </si>
  <si>
    <t>2076-328X</t>
  </si>
  <si>
    <t>BEHAV SCI-BASEL</t>
  </si>
  <si>
    <t>Behav. Sci.</t>
  </si>
  <si>
    <t>10.3390/bs15010094</t>
  </si>
  <si>
    <t>T4F1G</t>
  </si>
  <si>
    <t>WOS:001404574900001</t>
  </si>
  <si>
    <t>Basnayake, D; Naranpanawa, A; Selvanathan, S; Bandara, JS</t>
  </si>
  <si>
    <t>Basnayake, Dananjani; Naranpanawa, Athula; Selvanathan, Saroja; Bandara, Jayatilleke S.</t>
  </si>
  <si>
    <t>Financial inclusion through digitalization and economic growth in Asia-Pacific countries</t>
  </si>
  <si>
    <t>Digital financial inclusion index; Panel threshold model; Economic growth; Two-stage least square method; Asia-Pacific region</t>
  </si>
  <si>
    <t>Digital technology for financial inclusion tends to bring more benefits to people at the bottom of the economic pyramid across the Asia-Pacific region; therefore, financial inclusion is crucial for sustainable development and economic growth in this region. Digital financial services, based on technology-driven innovation, contribute to enhanced financial inclusion at affordable prices, which potentially reaches many new people who are unbanked or underbanked. This paper examines the impact of digital financial inclusion (DFI) on economic growth in 30 Asia-Pacific countries based on panel data for 2014, 2017, and 2021. A three-stage principal component analysis is used to develop the DFI index for the Asia-Pacific region, capturing both the digital and traditional aspects. We use fixed effect regression to examine the linear effect of DFI on economic growth, and results show a significant positive impact, contributing to the Theory of Finance and Growth, System Theory, and Diffusion Theory of Innovation. . Given the different roles of DFI in different countries and the wide digital divide across the region, this paper employs a panel threshold regression model to identify any non-monotonic influence of DFI on economic growth. The results show a significant threshold effect of DFI, indicating the non-linear effect of financial inclusion on economic growth. The paper brings evidence-based policy implications to boost DFI to achieve inclusive growth.</t>
  </si>
  <si>
    <t>[Basnayake, Dananjani; Naranpanawa, Athula; Selvanathan, Saroja; Bandara, Jayatilleke S.] Griffith Univ, Griffith Business Sch, Dept Accounting Finance &amp; Econ, 170 Kessels Rd, Brisbane, Qld, Australia; [Basnayake, Dananjani] Univ Kelaniya, Fac Commerce &amp; Management Studies, Dept Finance, Dalugama, Sri Lanka</t>
  </si>
  <si>
    <t>Griffith University; University Kelaniya</t>
  </si>
  <si>
    <t>Basnayake, D (corresponding author), Griffith Univ, Griffith Business Sch, Dept Accounting Finance &amp; Econ, 170 Kessels Rd, Brisbane, Qld, Australia.</t>
  </si>
  <si>
    <t>dananjani.basnayake@griffithuni.edu.au; a.naranpanawa@griffith.edu.au; selvanathan@griffith.edu.au; j.bandaralage@griffith.edu.au</t>
  </si>
  <si>
    <t>Basnayake, Dananjani/ADE-2277-2022; Naranpanawa, Athula/AAD-2533-2021</t>
  </si>
  <si>
    <t>10.1016/j.irfa.2024.103596</t>
  </si>
  <si>
    <t>H7G7V</t>
  </si>
  <si>
    <t>WOS:001325094900001</t>
  </si>
  <si>
    <t>Financial Inclusion of Women and Gender Gap in Access to Finance: A Systematic Literature Review</t>
  </si>
  <si>
    <t>VISION-THE JOURNAL OF BUSINESS PERSPECTIVE</t>
  </si>
  <si>
    <t>Access to Finance; Financial Inclusion; Gender Gap; Sustainable Development Goals (SDGs); Systematic Review; Women</t>
  </si>
  <si>
    <t>FEMALE ENTREPRENEURS; MICROFINANCE; POVERTY; COUNTRY; CREDIT; DETERMINANTS; ALLEVIATION; CONSTRAINTS; INEQUALITY; MARKETS</t>
  </si>
  <si>
    <t>The consistent gender gap in financial inclusion over time is postulated by World Bank Findex data despite an increase in the overall financial inclusion level around the globe. Women's financial inclusion is significant in line with the promotion of gender equality- one of the 17 Sustainable Development Goals adopted by the United Nations. Academic literatures have fragmented studies on women's financial inclusion and there is a dearth of systematic literature review to comprehend the overall literature landscape in analyzing research gaps. This article is an attempt to conduct a structured systematic literature review to identify factors impacting women's financial inclusion, the associated gender gap and importance of promoting greater financial inclusion for women. Literature reviews are important to map the existing landscape of a study problem and develop further knowledge. This study reviews 75 peer reviewed articles from 2000 to 2021 and presents the findings in a comprehensive manner following a conceptual model. Synthesized evidence reveal the existence of gendered financial inclusion mainly due to demand side factors. Various socio-economic and cultural factors are also seen to influence women's financial exclusion. Based on the mapping of existing findings the study suggests future research directions where emerging themes lie in the areas related to digital finance, financial self-efficacy and financial literacy which are important for enhancing women's financial inclusion.</t>
  </si>
  <si>
    <t>[Roy, Priyanka; Patro, Binoti] Natl Inst Technol, Dept Management Studies, Silchar 788010, Assam, India</t>
  </si>
  <si>
    <t>Patro, B (corresponding author), Natl Inst Technol, Dept Management Studies, Silchar 788010, Assam, India.</t>
  </si>
  <si>
    <t>priyanka_rs@mba.nits.ac.in; binotipatro@mba.nits.ac.in</t>
  </si>
  <si>
    <t>patro, binoti/AFU-1997-2022; Roy, Priyanka/GXM-5243-2022</t>
  </si>
  <si>
    <t>patro, binoti/0000-0002-9703-6071; Roy, Priyanka/0000-0003-4526-2576</t>
  </si>
  <si>
    <t>0972-2629</t>
  </si>
  <si>
    <t>2249-5304</t>
  </si>
  <si>
    <t>VISION-INDIA</t>
  </si>
  <si>
    <t>Vision</t>
  </si>
  <si>
    <t>10.1177/09722629221104205</t>
  </si>
  <si>
    <t>4D5HY</t>
  </si>
  <si>
    <t>WOS:000847172400002</t>
  </si>
  <si>
    <t>Elouardighi, I; Oubejja, K</t>
  </si>
  <si>
    <t>Elouardighi, Imane; Oubejja, Kenza</t>
  </si>
  <si>
    <t>Can Digital Financial Inclusion Promote Women's Labor Force Participation? Microlevel Evidence from Africa</t>
  </si>
  <si>
    <t>digital financial inclusion; labor force participation; woman; probit model; Africa</t>
  </si>
  <si>
    <t>COVID-19</t>
  </si>
  <si>
    <t>Our study analyzes the relationship between digital financial inclusion and women's labor force participation, as well as shedding light on the barriers to women's digital financial inclusion. We have mobilized a microeconomic database that covers 15,192 African women. Our database is extracted from the Global Findex database, 2021 edition, based on nationally representative surveys of 29 African countries. The Probit model estimation methodology is used to examine the empirical results. Our findings reveal that financial inclusion via the digital channel is positively associated with women's labor force participation more than the traditional channel. A significant and positive impact of formal financial services channels on the level of women's participation in the labor market was uncovered. Our research has shown that women face a variety of obstacles when it comes to accessing financial services, both through traditional channels and digital means. These barriers include nonvoluntary obstacles in traditional financial inclusion channels. However, as a woman's income level increases, the intensity of these barriers decreases. When it comes to digital financial inclusion, women often face a unique set of obstacles, such as the high cost of mobile financial services, lack of money, and lack of access to a cellphone. The study contributes to the existing literature by investigating the impact of digital financial inclusion on women's labor force participation in African countries and identifying barriers that hinder women's digital financial inclusion based on individual-level data. It suggests that African policymakers should increase women's financial inclusion through digital channels to improve their participation in the labor market.</t>
  </si>
  <si>
    <t>[Elouardighi, Imane; Oubejja, Kenza] Mohammed V Univ, Fac Law &amp; Econ, Dept Econ, Lab Appl Econ, Rabat 10000, Morocco</t>
  </si>
  <si>
    <t>Mohammed V University in Rabat</t>
  </si>
  <si>
    <t>Elouardighi, I (corresponding author), Mohammed V Univ, Fac Law &amp; Econ, Dept Econ, Lab Appl Econ, Rabat 10000, Morocco.</t>
  </si>
  <si>
    <t>elouardighi.imanee@gmail.com</t>
  </si>
  <si>
    <t>ELOUARDIGHI, Imane/LBH-1094-2024</t>
  </si>
  <si>
    <t>10.3390/ijfs11030087</t>
  </si>
  <si>
    <t>T5SU2</t>
  </si>
  <si>
    <t>WOS:001078593900001</t>
  </si>
  <si>
    <t>Mukalayi, NM; Inglesi-Lotz, R</t>
  </si>
  <si>
    <t>Mukalayi, Nancy Muvumbu; Inglesi-Lotz, Roula</t>
  </si>
  <si>
    <t>Digital financial inclusion and energy and environment: Global positioning of Sub-Saharan African countries</t>
  </si>
  <si>
    <t>RENEWABLE &amp; SUSTAINABLE ENERGY REVIEWS</t>
  </si>
  <si>
    <t>Digital financial inclusion; Sustainable developing goals (SDG); Energy usage; Sub-Saharan Africa</t>
  </si>
  <si>
    <t>ECONOMIC-GROWTH; ELECTRICITY CONSUMPTION; RENEWABLE ENERGY; COMMUNICATION TECHNOLOGY; OECD; DETERMINANTS; INFORMATION; EMISSIONS; AMERICA; DEMAND</t>
  </si>
  <si>
    <t>The Bretton Woods institutions and the G20 have undertaken the initiative to promote financial inclusion in SubSaharan Africa and South Asia to reduce the high rate of economic poverty. Due to advanced technology in financial services, Sub-Saharan Africa and South Africa have included a lot of people in the financial system. Thereby digital financial inclusion influences energy consumption and the environment by their pass-through effect on economic growth. This paper evaluates the expansion of innovative digital services and financial inclusion on energy consumption and the environment in different countries according to their geographical position. Regarding socio-economic indicators and the proportion of people who claim to be owners of an account at a bank or financial institution, SSA is still stagnating in poverty and has the lowest percentage compared to other regions. Using the Global Findex data, we find that higher financial inclusion proxies are related to higher energy consumption and CO2 emission. At the same time, the relationship is not always linear between technology, energy consumption and CO2 emission.</t>
  </si>
  <si>
    <t>[Mukalayi, Nancy Muvumbu; Inglesi-Lotz, Roula] Univ Pretoria, Dept Econ, Pretoria, South Africa</t>
  </si>
  <si>
    <t>University of Pretoria</t>
  </si>
  <si>
    <t>Mukalayi, NM (corresponding author), Univ Pretoria, Dept Econ, Pretoria, South Africa.</t>
  </si>
  <si>
    <t>nancymukalayi@gmail.com</t>
  </si>
  <si>
    <t>Inglesi-Lotz, Roula/I-6910-2012</t>
  </si>
  <si>
    <t>Inglesi-Lotz, Roula/0000-0001-7509-4687</t>
  </si>
  <si>
    <t>1364-0321</t>
  </si>
  <si>
    <t>1879-0690</t>
  </si>
  <si>
    <t>RENEW SUST ENERG REV</t>
  </si>
  <si>
    <t>Renew. Sust. Energ. Rev.</t>
  </si>
  <si>
    <t>10.1016/j.rser.2022.113069</t>
  </si>
  <si>
    <t>Green &amp; Sustainable Science &amp; Technology; Energy &amp; Fuels</t>
  </si>
  <si>
    <t>Science &amp; Technology - Other Topics; Energy &amp; Fuels</t>
  </si>
  <si>
    <t>7F4VH</t>
  </si>
  <si>
    <t>WOS:000901846700004</t>
  </si>
  <si>
    <t>Reaves, B; Bowers, J; Scaife, N; Bates, A; Bhartiya, A; Traynor, P; Butler, KRB</t>
  </si>
  <si>
    <t>Reaves, Bradley; Bowers, Jasmine; Scaife, Nolen; Bates, Adam; Bhartiya, Arnav; Traynor, Patrick; Butler, Kevin R. B.</t>
  </si>
  <si>
    <t>Mo(bile) Money, Mo(bile) Problems: Analysis of Branchless Banking Applications</t>
  </si>
  <si>
    <t>ACM TRANSACTIONS ON PRIVACY AND SECURITY</t>
  </si>
  <si>
    <t>Mobile money; branchless banking</t>
  </si>
  <si>
    <t>Mobile money, also known as branchless banking, leverages ubiquitous cellular networks to bring much-needed financial services to the unbanked in the developing world. These services are often deployed as smartphone apps, and although marketed as secure, these applications are often not regulated as strictly as traditional banks, leaving doubt about the truth of such claims. In this article, we evaluate these claims and perform the first in-depth measurement analysis of branchless banking applications. We first perform an automated analysis of all 46 known Android mobile money apps across the 246 known mobile money providers from 2015. We then perform a comprehensive manual teardown of the registration, login, and transaction procedures of a diverse 15% of these apps. We uncover pervasive vulnerabilities spanning botched certification validation, do-it-yourself cryptography, and other forms of information leakage that allow an attacker to impersonate legitimate users, modify transactions, and steal financial records. These findings show that the majority of these apps fail to provide the protections needed by financial services. In an expanded re-evaluation one year later, we find that these systems have only marginally improved their security. Additionally, we document our experiences working in this sector for future researchers and provide recommendations to improve the security of this critical ecosystem. Finally, through inspection of providers' terms of service, we also discover that liability for these problems unfairly rests on the shoulders of the customer, threatening to erode trust in branchless banking and hinder efforts for global financial inclusion.</t>
  </si>
  <si>
    <t>[Reaves, Bradley; Bowers, Jasmine; Scaife, Nolen; Bhartiya, Arnav; Traynor, Patrick; Butler, Kevin R. B.] Univ Florida, Dept Comp &amp; Informat Sci &amp; Engn, E301 CSE Bldg,POB 116120, Gainesville, FL 32611 USA; [Bates, Adam] Univ Illinois, 4306 Siebel Ctr,201 N Goodwin Ave, Urbana, IL 61801 USA</t>
  </si>
  <si>
    <t>State University System of Florida; University of Florida; University of Illinois System; University of Illinois Urbana-Champaign</t>
  </si>
  <si>
    <t>Reaves, B (corresponding author), Univ Florida, Dept Comp &amp; Informat Sci &amp; Engn, E301 CSE Bldg,POB 116120, Gainesville, FL 32611 USA.</t>
  </si>
  <si>
    <t>reaves@ufl.edu; jdbowers@ufl.edu; scaife@ufl.edu; batesa@illinois.edu; arnavbhartiya@ufl.edu; traynor@cise.ufl.edu; butler@ufl.edu</t>
  </si>
  <si>
    <t>Traynor, Patrick/AAS-9543-2021; Scaife, Nolen/AAA-1701-2019</t>
  </si>
  <si>
    <t>Scaife, Nolen/0000-0003-2305-299X; Butler, Kevin/0000-0002-7498-4239</t>
  </si>
  <si>
    <t>US National Science Foundation [CNS-1526718, CNS-1540217, CNS-1617474]</t>
  </si>
  <si>
    <t>US National Science Foundation(National Science Foundation (NSF))</t>
  </si>
  <si>
    <t>This work was supported in part by the US National Science Foundation under grant numbers CNS-1526718, CNS-1540217, and CNS-1617474.</t>
  </si>
  <si>
    <t>2 PENN PLAZA, STE 701, NEW YORK, NY 10121-0701 USA</t>
  </si>
  <si>
    <t>2471-2566</t>
  </si>
  <si>
    <t>2471-2574</t>
  </si>
  <si>
    <t>ACM T PRIV SECUR</t>
  </si>
  <si>
    <t>ACM Trans. Priv. Secur.</t>
  </si>
  <si>
    <t>10.1145/3092368</t>
  </si>
  <si>
    <t>Computer Science, Information Systems; Fisheries</t>
  </si>
  <si>
    <t>Computer Science; Fisheries</t>
  </si>
  <si>
    <t>FF1OK</t>
  </si>
  <si>
    <t>WOS:000408668600005</t>
  </si>
  <si>
    <t>Inequality and gender inclusion: Minimum ICT policy thresholds for promoting female employment in Sub-Saharan Africa</t>
  </si>
  <si>
    <t>Africa; ICT; Gender; Inclusive development</t>
  </si>
  <si>
    <t>MOBILE PHONE PENETRATION; E-WALLET PROGRAM; FINANCIAL INCLUSION; POVERTY; GROWTH; INFORMATION; TECHNOLOGY; ACCESS; INCOME; PARTICIPATION</t>
  </si>
  <si>
    <t>The study assesses how ICT modulates the effect of inequality on female economic participation in a panel of 42 countries in sub-Saharan Africa over the period 2004-2014. Three inequality indicators are used, namely: the Gini coefficient, the Atkinson index and the Palma ratio. The adopted ICT indicators are mobile phone penetration, internet penetration and fixed broadband subscriptions. Three gender economic inclusion indicators are also used for the analysis, namely: female labour force participation, female unemployment and female employment. The Generalised Method of Moments is employed as empirical strategy. The findings show that enhancing ICT beyond certain thresholds is necessary for ICT to mitigate inequality in order to enhance gender economic participation. First, for female labour force participation, a minimum threshold of 165.714 mobile phone penetration per 100 people is required for the Palma ratio. Second, minimum ICT thresholds for the reduction of female unemployment are: (i) 87.783, 107.486 and 152.500 mobile phone penetration per 100 people for respectively, the Gini coefficient, the Atkinson index and the Palma ratio; (ii) 39.618 internet penetration per 100 people for the Atkinson index and (iii) 4.500 fixed broadband subscritptions for the Palma ratio. Third, the corresponding ICT thresholds for the promotion of female employment are: (i) 120.369 and 85.533 mobile phone penetration per 100 people for respectively, the Gini coefficient and the Atkinson index and (ii) 30.005 internet penetration per 100 people for the Gini coefficient. The established thresholds make economic sense and can be feasibly implemented by policy makers in order to induce favourable effects on gender economic inclusion dynamics.</t>
  </si>
  <si>
    <t>[Asongu, Simplice A.; Odhiambo, Nicholas M.] Univ South Africa, Dept Econ, UNISA, POB 392, Pretoria 0003, South Africa</t>
  </si>
  <si>
    <t>Asongu, SA (corresponding author), Univ South Africa, Dept Econ, UNISA, POB 392, Pretoria 0003, South Africa.</t>
  </si>
  <si>
    <t>; Simplice, Asongu/K-3436-2014</t>
  </si>
  <si>
    <t>Odhiambo, Nicholas M/0000-0003-4988-0259; Simplice, Asongu/0000-0001-5227-5135</t>
  </si>
  <si>
    <t>10.1016/j.telpol.2019.101900</t>
  </si>
  <si>
    <t>LK8BK</t>
  </si>
  <si>
    <t>WOS:000531085100003</t>
  </si>
  <si>
    <t>Ab Razak, MI; Dali, NAM; Dhillon, G; Manaf, AWA</t>
  </si>
  <si>
    <t>Ab Razak, Muhammad Ilyas; Dali, Nur Akma Mohd; Dhillon, Guru; Manaf, Azwina Wati Abdull</t>
  </si>
  <si>
    <t>Fintech In Malaysia: An Appraisal to the Need of Shariah-Compliant Regulation</t>
  </si>
  <si>
    <t>PERTANIKA JOURNAL OF SOCIAL SCIENCE AND HUMANITIES</t>
  </si>
  <si>
    <t>Appraisal; Fintech; Islamic finance; Malaysia; Shariah-compliant regulation</t>
  </si>
  <si>
    <t>The implementation of financial technology (Fintech) in the Islamic finance industry has created a totally new phenomenon of banking and financial behaviour for the stakeholders, particularly in Malaysia. As part of the financial revolution, the Islamic finance sector ought to embrace Fintech to diversify the services/products offered as the digitalisation process is taking place in the Fourth Industrial Revolution era. In order to safeguard the assimilation of the technology into the existing traditional practice of Islamic finance, Shariah-compliant regulation is, therefore, necessary for governing the potential risks associated throughout the process of financial activities. Hence, this paper intends to analyse the need for Shariahcompliant regulation to govern Fintech-related activity in the Islamic finance industry. The article emphasises the need from several aspects such as the non-comprehensiveness of the Islamic Financial Services Act (IFSA) 2013; the increasing rate of financial inclusion and; the qualifications of the Shariah Advisory Council's (SAC) members in Malaysia. It also provides recommendations through the introduction of subsidiary legislation pursuant to IFSA; production of regulatory sandbox framework especially for Islamic Fintech firms; and emphasis on the importance of SAC members possessing knowledge in technological aspect in order to ensure the need for Shariah-compliant regulation in the Islamic finance industry is properly satisfied.</t>
  </si>
  <si>
    <t>[Ab Razak, Muhammad Ilyas; Dali, Nur Akma Mohd; Dhillon, Guru; Manaf, Azwina Wati Abdull] Multimedia Univ MMU, Fac Law, Melaka 75450, Malaysia</t>
  </si>
  <si>
    <t>Multimedia University</t>
  </si>
  <si>
    <t>Ab Razak, MI (corresponding author), Multimedia Univ MMU, Fac Law, Melaka 75450, Malaysia.</t>
  </si>
  <si>
    <t>muhammadilyas2101@gmail.com; nurakma.dali@mmu.edu.my; guru.dhillon@mmu.edu.my; azwina.manaf@mmu.edu.my</t>
  </si>
  <si>
    <t>Dhillon, Guru/B-3553-2010</t>
  </si>
  <si>
    <t>Dhillon, Guru/0000-0001-7549-1519</t>
  </si>
  <si>
    <t>Ministry of Higher Education (MOHE) [FRGS/1/2018/SSI10/MMU]</t>
  </si>
  <si>
    <t>Ministry of Higher Education (MOHE)(Ministry of Higher Education &amp; Scientific Research (MHESR))</t>
  </si>
  <si>
    <t>The authors would like to thank the Ministry of Higher Education (MOHE) for sponsoring this work under the project (FRGS/1/2018/SSI10/MMU) and the Faculty of Law, Multimedia University, Melaka (MMU) for the moral support throughout the research.</t>
  </si>
  <si>
    <t>UNIV PUTRA MALAYSIA PRESS</t>
  </si>
  <si>
    <t>SELANGOR</t>
  </si>
  <si>
    <t>SERDANG, SELANGOR, 00000, MALAYSIA</t>
  </si>
  <si>
    <t>0128-7702</t>
  </si>
  <si>
    <t>2231-8534</t>
  </si>
  <si>
    <t>PERTANIKA J SOC SCI</t>
  </si>
  <si>
    <t>Pertanika J. Soc. Sci. Humanit.</t>
  </si>
  <si>
    <t>10.47836/pjssh.28.4.40</t>
  </si>
  <si>
    <t>PM2CK</t>
  </si>
  <si>
    <t>WOS:000603613900041</t>
  </si>
  <si>
    <t>Dong, Z; Umar, M; Yousaf, UB; Muhammad, S</t>
  </si>
  <si>
    <t>Dong, Zhao; Umar, Muhammad; Yousaf, Umair Bin; Muhammad, Sagheer</t>
  </si>
  <si>
    <t>Determinants of central bank digital currency adoption - a study of 85 countries</t>
  </si>
  <si>
    <t>JOURNAL OF ECONOMIC POLICY REFORM</t>
  </si>
  <si>
    <t>Central Bank Digital Currency; CBDC; development factors; E44; E51; E63</t>
  </si>
  <si>
    <t>CRYPTOCURRENCY</t>
  </si>
  <si>
    <t>This study attempts to explore the macroeconomic development factors that determine countries' decisions to implement CBDCs. The study uses data regarding CBDC adoption and macroeconomic variables from 85 countries spanning the 2013-2021 period. The results of the probit regression analysis show that higher levels of financial inclusion, net foreign assets, remittances, and income are associated with a higher probability of CBDC adoption. In contrast, higher values for the Human Development Index, manufacturing value added, and population growth rate are inversely correlated with the probability of CBDC adoption. The findings of the study have implications for both investors and policymakers.</t>
  </si>
  <si>
    <t>[Dong, Zhao] Jiangxi Univ Finance &amp; Econ, Sch Int Trade &amp; Econ, Nanchang, Jiangxi, Peoples R China; [Dong, Zhao] East China Jiaotong Univ, Sch Foreign Languages, Nanchang, Jiangxi, Peoples R China; [Umar, Muhammad] East China Jiaotong Univ, Sch Econ &amp; Management, Nanchang, Jiangxi, Peoples R China; [Yousaf, Umair Bin] Dongbei Univ Finance &amp; Econ, Sch Accounting, Dalian, Liaoning, Peoples R China; [Muhammad, Sagheer] Univ Sci &amp; Technol, Sch Econ &amp; Management, Beijing, Peoples R China</t>
  </si>
  <si>
    <t>Jiangxi University of Finance &amp; Economics; East China Jiaotong University; East China Jiaotong University; Dongbei University of Finance &amp; Economics; University of Science &amp; Technology Beijing</t>
  </si>
  <si>
    <t>Umar, M (corresponding author), East China Jiaotong Univ, Sch Econ &amp; Management, Nanchang, Jiangxi, Peoples R China.</t>
  </si>
  <si>
    <t>umare_umare@yahoo.com</t>
  </si>
  <si>
    <t>Muhammad, Sagheer/HKP-0550-2023; Yousaf, Umair Bin/AIA-4995-2022; Umar, Muhammad/O-7387-2014</t>
  </si>
  <si>
    <t>Muhammad, Sagheer/0009-0004-3943-3484; Yousaf, Umair Bin/0000-0002-6321-1329; Umar, Muhammad/0000-0002-0591-5950</t>
  </si>
  <si>
    <t>1748-7870</t>
  </si>
  <si>
    <t>1748-7889</t>
  </si>
  <si>
    <t>J ECON POLICY REFORM</t>
  </si>
  <si>
    <t>J. Econ. Policy Reform.</t>
  </si>
  <si>
    <t>10.1080/17487870.2023.2275036</t>
  </si>
  <si>
    <t>ZZ8B1</t>
  </si>
  <si>
    <t>WOS:001102716100001</t>
  </si>
  <si>
    <t>Vaskövi, A; Garamszegi, A</t>
  </si>
  <si>
    <t>Scarpa, M; Cavalieri, S; Serrano, S; DeVita, F</t>
  </si>
  <si>
    <t>Vaskovi, Agnes; Garamszegi, Anna</t>
  </si>
  <si>
    <t>CHARTING FINANCIAL INCLUSION IN THE VISEGRAD COUNTRIES: A Comparative Cluster Analysis of Global Findex Data (2017-2021)</t>
  </si>
  <si>
    <t>PROCEEDINGS OF THE 39TH ECMS INTERNATIONAL CONFERENCE ON MODELLING AND SIMULATION ECMS 2025</t>
  </si>
  <si>
    <t>Communications of the ECMS</t>
  </si>
  <si>
    <t>39th ECMS International Conference on Modelling and Simulation-ECMS-Annual</t>
  </si>
  <si>
    <t>JUN 24-27, 2025</t>
  </si>
  <si>
    <t>Catania, ITALY</t>
  </si>
  <si>
    <t>University of Messina,University of Catania</t>
  </si>
  <si>
    <t>financial inclusion; Visegrad Countries; Global Findex; digital financial services; cluster analysis</t>
  </si>
  <si>
    <t>This study examines the improvement of financial inclusion in the Visegrad countries Czech Republic, Hungary, Poland, and Slovakia using World Bank Global Findex data for 2017 and 2021. We use hierarchical cluster analysis to identify patterns across key dimensions, including bank card ownership, savings, credit use, and digital service adoption. The findings indicate substantial progress from 2017 to 2021. While respondents in 2017 primarily relied on basic banking services, by 2021, near universal bank card access was achieved alongside marked increases in digital transactions and remittance activity. Comparative analysis shows that Slovakia and the Czech Republic lead in financial integration, whereas Poland and Hungary lag. Socio-demographic factors, such as age, income, and employment, significantly influence financial inclusion, with younger, economically active groups more likely to embrace digital financial tools. These results offer critical insights for policy makers aiming to enhance inclusive financial growth in Central and Eastern Europe.</t>
  </si>
  <si>
    <t>[Vaskovi, Agnes; Garamszegi, Anna] Corvinus Univ Budapest, Inst Finance, Budapest, Hungary</t>
  </si>
  <si>
    <t>Vaskövi, A (corresponding author), Corvinus Univ Budapest, Inst Finance, Budapest, Hungary.</t>
  </si>
  <si>
    <t>agnes.vaskovi@uni-corvinus.hu; garam.anna97@gmail.com</t>
  </si>
  <si>
    <t>EUROPEAN COUNCIL MODELLING &amp; SIMULATION</t>
  </si>
  <si>
    <t>NOTTINGHAM</t>
  </si>
  <si>
    <t>SCHOOL COMPUTING &amp; MATHEMATICS, NOTTINGHAM TRENT UNIV, BURTON STREET, NOTTINGHAM, NG1 4BU, ENGLAND</t>
  </si>
  <si>
    <t>2522-2414</t>
  </si>
  <si>
    <t>2522-2422</t>
  </si>
  <si>
    <t>978-3-937436-86-9</t>
  </si>
  <si>
    <t>COMMUN ECMS</t>
  </si>
  <si>
    <t>Computer Science, Interdisciplinary Applications; Operations Research &amp; Management Science; Mathematics, Interdisciplinary Applications</t>
  </si>
  <si>
    <t>Computer Science; Operations Research &amp; Management Science; Mathematics</t>
  </si>
  <si>
    <t>BZ3WV</t>
  </si>
  <si>
    <t>WOS:001572352000017</t>
  </si>
  <si>
    <t>Michael, B; Koroleska, N; Tai, A; Wong, DWH</t>
  </si>
  <si>
    <t>Michael, Bryane; Koroleska, Nataliya; Tai, Andy; Wong, David Wai Ho</t>
  </si>
  <si>
    <t>A critical look at using financial technology policy to promote the sustainable development goals</t>
  </si>
  <si>
    <t>financial inclusion; financial regulation; financial technology; FinTech; SDGs; sustainable development</t>
  </si>
  <si>
    <t>New financial technologies (FinTech) may not represent a new era for sustainable development-at least not as currently conceived. Many of the gains espoused by the UN and other cheerleaders come from rebranding the online equivalents of traditional savings, investment and tax payment activities. Most of these claims have no supporting evidence, beyond ad hoc anecdotes and stories. The existing evidence hardly forms a reliable basis for the very specific technologies and services recommended by international organizations. We show that abstract and nebulous advice on changing countries' payments, banking, securities, and others' laws helps explain why such advice will likely have little effect on promoting financial inclusion, saving, mobile payments, and the UN's Sustainable Development Goals.</t>
  </si>
  <si>
    <t>[Michael, Bryane] Univ Hong Kong, Pokfulam Rd, Hong Kong, Peoples R China; [Koroleska, Nataliya] Odessa Acad Law, Odessa, Ukraine; [Koroleska, Nataliya] Parliament Ukraine, Odessa, Ukraine; [Tai, Andy] Hong Kong Polytech Univ PolyU, Kowloon, Hong Kong, Peoples R China; [Wong, David Wai Ho] Hang Seng Univ Hong Kong, Siu Lek Yuen, Hong Kong, Peoples R China</t>
  </si>
  <si>
    <t>University of Hong Kong; Ministry of Education &amp; Science of Ukraine; National University Odesa Law Academy; Hong Kong Polytechnic University; Hang Seng University of Hong Kong</t>
  </si>
  <si>
    <t>Michael, B (corresponding author), Univ Hong Kong, Pokfulam Rd, Hong Kong, Peoples R China.</t>
  </si>
  <si>
    <t>bryane.michael@eueconomics.org</t>
  </si>
  <si>
    <t>Michael, Bryane/I-1544-2019</t>
  </si>
  <si>
    <t>Research Impact Fund Balancing the Opportunities and Risks of Financial Technology: FinTech Regulation and Policy [R7054-18]</t>
  </si>
  <si>
    <t>Research Impact Fund Balancing the Opportunities and Risks of Financial Technology: FinTech Regulation and Policy</t>
  </si>
  <si>
    <t>We gratefully acknowledge the support of the Research Impact Fund Balancing the Opportunities and Risks of Financial Technology: FinTech Regulation and Policy (Grant number R7054-18).</t>
  </si>
  <si>
    <t>10.1002/sd.2358</t>
  </si>
  <si>
    <t>6Z2ZU</t>
  </si>
  <si>
    <t>WOS:000819650900001</t>
  </si>
  <si>
    <t>Benlemlih, Y; El Hiri, A; Amina, H</t>
  </si>
  <si>
    <t>Motahhir, S; Bossoufi, B</t>
  </si>
  <si>
    <t>Benlemlih, Youssef; El Hiri, Abderrazak; Amina, Haoudi</t>
  </si>
  <si>
    <t>Central Bank Digital Currencies in the Global Economy: Lessons from China's Digital Yuan for the Development of the European Central Bank's Digital Euro</t>
  </si>
  <si>
    <t>DIGITAL TECHNOLOGIES AND APPLICATIONS, ICDTA 2024, VOL 2</t>
  </si>
  <si>
    <t>4th International Conference on Digital Technologies and Applications (ICDTA)</t>
  </si>
  <si>
    <t>MAY 10-11, 2024</t>
  </si>
  <si>
    <t>Benguerir, MOROCCO</t>
  </si>
  <si>
    <t>Bank of France; CBDC adoption; Central banks; Central Bank Digital Currency (CBDC)</t>
  </si>
  <si>
    <t>The primary objective of this article is to provide a comprehensive examination of the Central Bank Digital Currency (CBDC), its potential benefits and the risks it might pose to traditional banking systems. To fulfil this objective, the article offers a holistic analysis of Central Bank Digital Currency (CBDC), examining risks inherent in traditional banking and the merits of CBDC adoption. It delves into the motivation behind increasing CBDC adoption by central banks and outlines various experimental programs. It mainly explores the digitalization of the Euro and the transformative potential of CBDCs on aspects like financial inclusion and monetary policy. Included within is an exploration of the wholesale CBDC with Bank of France followed by a practical example of the digital yuan within the Chinese economy. The research methodology encompasses a rigorous literature review, analysis of the research context, and retrieval of pertinent studies. The results and discussions section reveal critical findings and potential global financial impacts of CBDC. The article concludes with prospects and challenges of CBDC implementation, underlining its importance in financial systems' evolution.</t>
  </si>
  <si>
    <t>[Benlemlih, Youssef; El Hiri, Abderrazak; Amina, Haoudi] Sidi Mohamed Ben Abdellah Univ Fez, Fes, Morocco</t>
  </si>
  <si>
    <t>Sidi Mohamed Ben Abdellah University of Fez</t>
  </si>
  <si>
    <t>Benlemlih, Y (corresponding author), Sidi Mohamed Ben Abdellah Univ Fez, Fes, Morocco.</t>
  </si>
  <si>
    <t>benlemly@tcd.ie</t>
  </si>
  <si>
    <t>978-3-031-68652-8; 978-3-031-68653-5</t>
  </si>
  <si>
    <t>10.1007/978-3-031-68653-5_20</t>
  </si>
  <si>
    <t>BX8AZ</t>
  </si>
  <si>
    <t>WOS:001329109200020</t>
  </si>
  <si>
    <t>Chamboko, R; Cull, R; Giné, X; Heitmann, S; Reitzug, F; van der Westhuizen, M</t>
  </si>
  <si>
    <t>Chamboko, Richard; Cull, Robert; Gine, Xavier; Heitmann, Soren; Reitzug, Fabian; van der Westhuizen, Morne</t>
  </si>
  <si>
    <t>The role of gender in agent banking: Evidence from the Democratic Republic of Congo</t>
  </si>
  <si>
    <t>Gender; Agent banking; Mobile money; Microfinance institutions; Financial inclusion</t>
  </si>
  <si>
    <t>WOMEN</t>
  </si>
  <si>
    <t>This paper uses a unique data set with 1.1 million customer transactions from a microfinance institution in the Democratic Republic of Congo from 2017 to 2018. Regression analysis of individual-level transaction behavior and customer-agent dyads provides evidence of assortative gender matching in agent banking transactions, as clients prefer to transact with agents of their own gender. Female clients show a robust preference for female agents even when they are less available, particularly when making high-value transactions and when they have higher account balances. We also replicate the analysis with a second microfinance institution in Senegal and find similar patterns. The underrepresentation of female agents may contribute to the persistent gender gap in financial access and usage in Sub-Saharan Africa. (c) 2021 The International Bank for Reconstruction and Development/The World Bank. Published by Elsevier Ltd. All rights reserved.</t>
  </si>
  <si>
    <t>[Chamboko, Richard; Heitmann, Soren; Reitzug, Fabian; van der Westhuizen, Morne] Int Finance Corp, Washington, DC USA; [Cull, Robert; Gine, Xavier] World Bank, 1818 H St NW, Washington, DC 20433 USA</t>
  </si>
  <si>
    <t>Giné, X (corresponding author), World Bank, 1818 H St NW, Washington, DC 20433 USA.</t>
  </si>
  <si>
    <t>xgine@worldbank.org</t>
  </si>
  <si>
    <t>Chamboko, Richard/0000-0002-0870-2352; Reitzug, Fabian/0000-0002-8087-8539</t>
  </si>
  <si>
    <t>Mastercard Foundation-IFC Partnership for Financial Inclusion; World Bank</t>
  </si>
  <si>
    <t>Mastercard Foundation-IFC Partnership for Financial Inclusion; World Bank(The World Bank India)</t>
  </si>
  <si>
    <t>We thank participants at the NOVAFRICA conference in Lisbon for feedback and Bernardo Ribeiro and Santiago Rodrigo Cesteros for superb research assistance. Support for this project was provided by the Mastercard Foundation-IFC Partnership for Financial Inclusion and the World Bank. All remaining errors are our own.</t>
  </si>
  <si>
    <t>10.1016/j.worlddev.2021.105551</t>
  </si>
  <si>
    <t>TU7KI</t>
  </si>
  <si>
    <t>WOS:000681210900018</t>
  </si>
  <si>
    <t>Ngaba, M</t>
  </si>
  <si>
    <t>Ngaba, Manuela</t>
  </si>
  <si>
    <t>How does mobile money affect the use of informal remittance channels in Sub-Saharan Africa?</t>
  </si>
  <si>
    <t>REGION ET DEVELOPPEMENT</t>
  </si>
  <si>
    <t>Mobile Money; Informal Remittances; Sub-Saharan Africa</t>
  </si>
  <si>
    <t>INTERNATIONAL REMITTANCES; FINANCIAL INCLUSION; POVERTY; IMPACT; MIGRATION; INEQUALITY; CHOICE; COSTS</t>
  </si>
  <si>
    <t>The use of informal remittance channels remains significant in sub-Saharan Africa. However, the importance of mobile money has been growing in the region which is not without effect on the use of informal remittance channels by individuals. Therefore, this study examines the impact of mobile money on the use of informal domestic remittance channels in Sub-Saharan Africa using data from the 2017 Global Findex. The results show that individuals who own and use a mobile money account are less likely to send remittances through an informal channel. This indicates the relevance of digitizing remittances to attract more flows and achieve greater formalization of remittances in Sub-Saharan Africa.</t>
  </si>
  <si>
    <t>[Ngaba, Manuela] Univ Sorbonne Paris Nord, UMR CNRS 7234, CEPN, Ctr Econ Paris Nord, Paris, France</t>
  </si>
  <si>
    <t>Ngaba, M (corresponding author), Univ Sorbonne Paris Nord, UMR CNRS 7234, CEPN, Ctr Econ Paris Nord, Paris, France.</t>
  </si>
  <si>
    <t>ngabaaboudi@univ-paris13.fr</t>
  </si>
  <si>
    <t>EDITIONS L HARMATTAN</t>
  </si>
  <si>
    <t>5-7 RUE L ECOLE POLYTECHNIQUE, PARIS, 75005, FRANCE</t>
  </si>
  <si>
    <t>1267-5059</t>
  </si>
  <si>
    <t>2117-0843</t>
  </si>
  <si>
    <t>REG DEV</t>
  </si>
  <si>
    <t>Reg. Dev.</t>
  </si>
  <si>
    <t>XL6EQ</t>
  </si>
  <si>
    <t>WOS:000728237300006</t>
  </si>
  <si>
    <t>Parvathy, VK; Kumar, J</t>
  </si>
  <si>
    <t>Parvathy, V. K.; Kumar, Jyothi</t>
  </si>
  <si>
    <t>Driving Financial Inclusion: Technology as an Indicator of Financial Ecosystem Development During the COVID-19 Pandemic in India</t>
  </si>
  <si>
    <t>COVID-19; Financial Access; Financial Inclusion; ICT; Pandemic</t>
  </si>
  <si>
    <t>INFORMATION; ACCEPTANCE; IMPACT</t>
  </si>
  <si>
    <t>This paper examines India's level of digital access to financial services as compared to other Asian countries. The study also intends to analyse whether COVID-19 has influenced the usage trend of the selected digital payment indicators in India. Data has been collected from the World Bank Global Findex Database and RBI bulletins. Cross country descriptive analysis was used for studying India's digital financial access against the other Asian countries. Event study methodology followed by trend analysis was employed to examine whether COVID-19 has impacted the digital payment indicators' usage in India. The findings of the study indicated that India's position in digital financial access needs to be improved. It was further identified that COVID-19 has increased the usage of digital modes for financial transactions in India. There has been a significant increase in the usage volume of mobile banking after the declaration of the pandemic. Govt. can frame its action plans to make use of the opportunity created through the pandemic to improve digital financial access in India.</t>
  </si>
  <si>
    <t>[Parvathy, V. K.; Kumar, Jyothi] CHRIST Univ, Sch Business &amp; Management, Bangalore, Karnataka, India</t>
  </si>
  <si>
    <t>Christ University</t>
  </si>
  <si>
    <t>Parvathy, VK (corresponding author), CHRIST Univ, Sch Business &amp; Management, Bangalore, Karnataka, India.</t>
  </si>
  <si>
    <t>Parvathy, V K/0000-0002-3752-7602</t>
  </si>
  <si>
    <t>10.4018/IJEBR.316147</t>
  </si>
  <si>
    <t>CD4D7</t>
  </si>
  <si>
    <t>WOS:001123290200005</t>
  </si>
  <si>
    <t>The Association of Alternative Financial Services Usage and Financial Access: Evidence from the National Financial Capability Study</t>
  </si>
  <si>
    <t>Financial access; Unbanked; Nonbank; Informal financial sector; Alternative financial services (AFS)</t>
  </si>
  <si>
    <t>This study examined the association of financial access and alternative financial services (AFS) using a nationally representative sample from the 2012 National Financial Capability Study (N = 25,509). Structural equation modeling was used to examine the relationship between financial access and AFS usage. Ordinary least squares regression was used to estimate the relationship between banked status and the overall AFS usage as a latent variable while controlling for sociodemographic variables, financial education, financial knowledge, and home ownership. Results suggested that being unbanked was positively associated with AFS usage after controlling for other covariates. Financial education and knowledge, age, gender, marital status, education, household income, and homeownership were significantly associated with AFS usage. These findings have implications for public policy and programs that work with the unbanked.</t>
  </si>
  <si>
    <t>[Birkenmaier, Julie] St Louis Univ, Sch Social Work, Coll Publ Hlth &amp; Social Justice, 3550 Lindell Blvd, St Louis, MO 63103 USA; [Fu, Qiang] St Louis Univ, Sch Publ Hlth, Coll Publ Hlth &amp; Social Justice, 3545 Lafayette Ave, St Louis, MO 63104 USA</t>
  </si>
  <si>
    <t>birkenjm@slu.edu; qifu@slu.edu</t>
  </si>
  <si>
    <t>10.1007/s10834-015-9463-2</t>
  </si>
  <si>
    <t>DX2NY</t>
  </si>
  <si>
    <t>WOS:000384208500011</t>
  </si>
  <si>
    <t>Bongomin, GOC; Ntayi, JM; Munene, J</t>
  </si>
  <si>
    <t>Bongomin, George Okello Candiya; Ntayi, Joseph Mpeera; Munene, John</t>
  </si>
  <si>
    <t>Institutional frames for financial inclusion of poor households in Sub-Saharan Africa Evidence from rural Uganda</t>
  </si>
  <si>
    <t>Frames; Institutions; Financial inclusion; Unbanked; Financial exclusion; Poor households</t>
  </si>
  <si>
    <t>BANKING SERVICES; ACCESS; BARRIERS; POLICY</t>
  </si>
  <si>
    <t>Purpose - The purpose of this paper is to examine institutional frames for financial inclusion of poor households in a Sub-Saharan Africa context and provide policy implications in solving the persistent problem of limited inclusion of poor households into mainstream formal financial services in Uganda. Design/methodology/approach - Cross-sectional research design was used in this study. Data were collected from a randomly selected sample of 200 poor households located in Mukono District. Statistical program for Social Scientists and Analysis of Moment Structures were used to generate results. Findings - Results have revealed the presence of regulative, normative, and procedural and declarative cognitive institutional frames, which affect financial inclusion of poor households in rural rural Uganda. The findings and policy implications are discussed in detail in the paper. Originality/value - This study parallels the World Bank Global Findex survey (2012) on general aspects of financial inclusion around the world. It examines frames, which structure behaviours and actions of poor households towards their financial decisions and choices in attempting to improve financial inclusion with a major focus on rural Uganda.</t>
  </si>
  <si>
    <t>[Bongomin, George Okello Candiya] Makerere Univ, Sch Business, Dept Finance, Kampala, Uganda; [Ntayi, Joseph Mpeera] Makerere Univ, Sch Business, Dept Management Sci, Kampala, Uganda; [Munene, John] Makerere Univ, Sch Business, Grad &amp; Res Ctr, Kampala, Uganda</t>
  </si>
  <si>
    <t>Makerere University; Makerere University; Makerere University</t>
  </si>
  <si>
    <t>Bongomin, GOC (corresponding author), Makerere Univ, Sch Business, Dept Finance, Kampala, Uganda.</t>
  </si>
  <si>
    <t>; Ntayi, Joseph/HKW-6871-2023</t>
  </si>
  <si>
    <t>Okello Candiya Bongomin, George/0000-0001-9758-1646;</t>
  </si>
  <si>
    <t>10.1108/IJSE-06-2014-0110</t>
  </si>
  <si>
    <t>EB1HB</t>
  </si>
  <si>
    <t>WOS:000387099100002</t>
  </si>
  <si>
    <t>Sun, YH; Lu, T; Wang, C; Li, Y; Fu, HY; Dong, JR; Xu, YJ</t>
  </si>
  <si>
    <t>Sun, Yiheng; Lu, Tian; Wang, Cong; Li, Yuan; Fu, Huaiyu; Dong, Jingran; Xu, Yunjie</t>
  </si>
  <si>
    <t>TransBoost: A Boosting-Tree Kernel Transfer Learning Algorithm for Improving Financial Inclusion</t>
  </si>
  <si>
    <t>THIRTY-SIXTH AAAI CONFERENCE ON ARTIFICIAL INTELLIGENCE / THIRTY-FOURTH CONFERENCE ON INNOVATIVE APPLICATIONS OF ARTIFICIAL INTELLIGENCE / TWELVETH SYMPOSIUM ON EDUCATIONAL ADVANCES IN ARTIFICIAL INTELLIGENCE</t>
  </si>
  <si>
    <t>36th AAAI Conference on Artificial Intelligence / 34th Conference on Innovative Applications of Artificial Intelligence / 12th Symposium on Educational Advances in Artificial Intelligence</t>
  </si>
  <si>
    <t>FEB 22-MAR 01, 2022</t>
  </si>
  <si>
    <t>The prosperity of mobile and financial technologies has bred and expanded various kinds of financial products to a broader scope of people, which contributes to financial inclusion. It brings non-trivial social benefits of diminishing financial inequality. However, the technical challenges in individual financial risk evaluation exacerbated by the unforeseen user characteristic distribution and limited credit history of new users, as well as the inexperience of newly-entered companies in handling complex data and obtaining accurate labels, impede further promotion of financial inclusion. To tackle these challenges, this paper develops a novel transfer learning algorithm (i.e., TransBoost) that combines the merits of tree-based models and kernel methods. The TransBoost is designed with a parallel tree structure and efficient weights updating mechanism with theoretical guarantee, which enables it to excel in tackling real-world data with high dimensional features and sparsity in 0(n) time complexity. We conduct extensive experiments on two public datasets and a unique large-scale dataset from Tencent Mobile Payment. The results show that the TransBoost outperforms other state-of-the-art benchmark transfer learning algorithms in terms of prediction accuracy with superior efficiency, demonstrate stronger robustness to data sparsity, and provide meaningful model interpretation. Besides, given a financial risk level, the TransBoost enables financial service providers to serve the largest number of users including those who would otherwise be excluded by other algorithms. That is, the TransBoost improves financial inclusion.</t>
  </si>
  <si>
    <t>[Sun, Yiheng; Dong, Jingran] Tencent Weixin Grp, Shenzhen, Peoples R China; [Lu, Tian] Arizona State Univ, WP Carey Sch Business, Tempe, AZ 85287 USA; [Wang, Cong] Peking Univ, Guanghua Sch Management, Beijing, Peoples R China; [Li, Yuan] IEEE, New York, NY USA; [Fu, Huaiyu; Xu, Yunjie] Fudan Univ, Sch Management, Shanghai, Peoples R China; [Li, Yuan] Google, Mountain View, CA USA</t>
  </si>
  <si>
    <t>Arizona State University; Arizona State University-Tempe; Peking University; Fudan University; Alphabet Inc.; Google Incorporated</t>
  </si>
  <si>
    <t>Lu, T (corresponding author), Arizona State Univ, WP Carey Sch Business, Tempe, AZ 85287 USA.;Wang, C (corresponding author), Peking Univ, Guanghua Sch Management, Beijing, Peoples R China.</t>
  </si>
  <si>
    <t>elisun@tencent.com; lutian@asu.edu; wangcong@gsm.pku.edu.cn; Liyuanlp@google.com; hyfu20@fudan.edu.cn; jingrandong@tencent.com; yunjiexu@fudan.edu.cn</t>
  </si>
  <si>
    <t>Wang, Cong/0000-0002-5300-0122</t>
  </si>
  <si>
    <t>[71872050]; [72101007]; [92046021]; [71531006]</t>
  </si>
  <si>
    <t>; ; ;</t>
  </si>
  <si>
    <t>T. Lu, C. Wang, and Y. Xu thank the National Natural Science Foundation of China of Grants No. 71872050, 72101007, 92046021, and 71531006.</t>
  </si>
  <si>
    <t>978-1-57735-876-3</t>
  </si>
  <si>
    <t>BU3UW</t>
  </si>
  <si>
    <t>WOS:000893639105023</t>
  </si>
  <si>
    <t>Cullen, J</t>
  </si>
  <si>
    <t>Cullen, Jay</t>
  </si>
  <si>
    <t>Economically inefficient and legally untenable: constitutional limitations on the introduction of central bank digital currencies in the EU</t>
  </si>
  <si>
    <t>CBDC; Central bank digital currency; EU; Constitution; Market neutrality; Financial stability</t>
  </si>
  <si>
    <t>ECB officials have recently poured scorn on the notion that the ECB could introduce a central bank digital currency (CBDC) in the Eurozone, with one labelling such an initiative as economically inefficient and legally untenable. This article assesses the justifications for these claims from legal and economic perspectives. It finds that, based upon prevailing ECB policies and the myriad options available for CBDC design, such claims are flawed. The article further explains that the ECB's reticence to consider the introduction of CBDC may impair the development of payments systems and obstruct financial inclusion.</t>
  </si>
  <si>
    <t>[Cullen, Jay] Univ York, York, N Yorkshire, England; [Cullen, Jay] Univ Oslo, Fac Law, Oslo, Norway</t>
  </si>
  <si>
    <t>University of York - UK; University of Oslo</t>
  </si>
  <si>
    <t>Cullen, J (corresponding author), Univ York, York, N Yorkshire, England.;Cullen, J (corresponding author), Univ Oslo, Fac Law, Oslo, Norway.</t>
  </si>
  <si>
    <t>jay.cullen@york.ac.uk</t>
  </si>
  <si>
    <t>Cullen, Jay/0000-0003-3149-3816</t>
  </si>
  <si>
    <t>10.1057/s41261-021-00162-4</t>
  </si>
  <si>
    <t>ZI0OH</t>
  </si>
  <si>
    <t>WOS:000664397300001</t>
  </si>
  <si>
    <t>Lin, JL; Chen, XX; Yan, GQ</t>
  </si>
  <si>
    <t>Lin, Jinlong; Chen, Xiaoxiao; Yan, Guiquan</t>
  </si>
  <si>
    <t>How Smart City Construction Affects Digital Inclusive Finance in China: From the Perspective of the Relationship between Government and Large Private Capital</t>
  </si>
  <si>
    <t>smart city policy (SCP); financial services; large private capital's behavioral logic; China's financial market; digital inclusive finance (DIF); Digital Financial Inclusion Index (DFII)</t>
  </si>
  <si>
    <t>CITIES; STATE; SERVICES; POLICY; PERFORMANCE; INNOVATION</t>
  </si>
  <si>
    <t>In China, the relationship between smart city policy (SCP) and the development of digital inclusive finance (DIF) partially mirrors the connection between the Chinese government and large private capital. This study examines this relationship using data from the Peking University Digital Financial Inclusion Index of China (PKU-DFIIC) and a difference-in-differences method. Results indicate that SCP may indirectly promote DIF in pilot cities, exhibiting statistically significant growth compared to non-SCP pilot cities. This promotion effect appears indirect, as negligible DIF digitization growth in SCP pilot cities suggests that the government's objective is not to enhance large private capital-related digital infrastructure construction. Moreover, DIF in SCP pilot cities demonstrates a statistically significant increase only in the depth of use, not in coverage. This study implies that, in China, large private capital's behavioral logic is profit-seeking, and SCP may be employed to facilitate digital financial services development. These findings uncover SCP's complex impact on DIF in China and the strained government-capital relationship. The Chinese government should prudently manage its relationship with capital in public policies and direct capital toward a more constructive role.</t>
  </si>
  <si>
    <t>[Lin, Jinlong] Tsinghua Univ, Sch Marxism, Beijing 100084, Peoples R China; [Chen, Xiaoxiao] Tsinghua Univ, Sch Publ Policy &amp; Management, Beijing 100084, Peoples R China; [Yan, Guiquan] Huazhong Agr Univ, Sch Econ &amp; Management, Wuhan 430070, Peoples R China</t>
  </si>
  <si>
    <t>Tsinghua University; Tsinghua University; Huazhong Agricultural University</t>
  </si>
  <si>
    <t>Chen, XX (corresponding author), Tsinghua Univ, Sch Publ Policy &amp; Management, Beijing 100084, Peoples R China.;Yan, GQ (corresponding author), Huazhong Agr Univ, Sch Econ &amp; Management, Wuhan 430070, Peoples R China.</t>
  </si>
  <si>
    <t>linjl22@mails.tsinghua.edu.cn; cxx21@mails.tsinghua.edu.cn; otayu@webmail.hzau.edu.cn</t>
  </si>
  <si>
    <t>; Chen, xiaoxiao/GRS-0925-2022</t>
  </si>
  <si>
    <t>陈, 陈笑啸/0009-0004-9690-8482;</t>
  </si>
  <si>
    <t>JUN 2</t>
  </si>
  <si>
    <t>10.3390/su15119035</t>
  </si>
  <si>
    <t>I9EI3</t>
  </si>
  <si>
    <t>WOS:001005735500001</t>
  </si>
  <si>
    <t>Han, LH; Lv, Q; Zhang, Q</t>
  </si>
  <si>
    <t>Han, Lihong; Lv, Qi; Zhang, Qi</t>
  </si>
  <si>
    <t>Digital financial inclusion, credit access and non-farm employment</t>
  </si>
  <si>
    <t>Digital financial inclusion; Credit access; Non-farm employment</t>
  </si>
  <si>
    <t>In this study, we have integrated data from the China Labor-force Dynamics Survey (CLDS) with the China Digital Financial Inclusion Index to empirically examine the extent and mechanisms through which digital financial inclusion influences non-farm employment. The findings reveal that the advancement of digital financial inclusion significantly boosts the enhancement of nonfarm employment. Specifically, digital financial inclusion fosters non-farm employment by facilitating rural laborers' access to credit, thereby stimulating entrepreneurial activities. Furthermore, it stabilizes employment positions and promotes non-farm employment by enhancing credit accessibility for micro and small enterprises.</t>
  </si>
  <si>
    <t>[Han, Lihong; Lv, Qi] Northeast Forestry Univ, Coll Econ &amp; Management, Harbin 150040, Peoples R China; [Zhang, Qi] Hunan Univ Technol &amp; Business, Sch Finance, Changsha 410205, Peoples R China</t>
  </si>
  <si>
    <t>Northeast Forestry University - China; Hunan University of Technology &amp; Business</t>
  </si>
  <si>
    <t>Zhang, Q (corresponding author), Hunan Univ Technol &amp; Business, Sch Finance, Changsha 410205, Peoples R China.</t>
  </si>
  <si>
    <t>hanlihong2014@163.com; yimu19971124@163.com; zhang80022024@126.com</t>
  </si>
  <si>
    <t>National Social Science Foundation of China [20BJY154]</t>
  </si>
  <si>
    <t>The author gratefully acknowledge the financial support provided by the National Social Science Foundation of China (20BJY154) .</t>
  </si>
  <si>
    <t>10.1016/j.frl.2024.106510</t>
  </si>
  <si>
    <t>O4M0H</t>
  </si>
  <si>
    <t>WOS:001370876100001</t>
  </si>
  <si>
    <t>Sarmiento, A</t>
  </si>
  <si>
    <t>Sarmiento, Adolfo</t>
  </si>
  <si>
    <t>Seven lessons from the e-Peso pilot plan: The possibility of a Central Bank Digital Currency ☆</t>
  </si>
  <si>
    <t>Central bank digital currency; CBDC; Central banking; Digital currency; Digital money; Payment systems</t>
  </si>
  <si>
    <t>The decision to introduce a central bank digital currency (CBDC) is part of the new challenges that central banks are facing as technology keeps moving. The e-Peso pilot plan, implemented between 2017 and 2018, could provide some key findings for central banks. In this sense, we can learn seven lessons from the e-Peso pilot plan: (i) reputation is key for central banks' decision to introduce a CBDC; (ii) financial inclusion and cultural reasons are the main motivations; (iii) the technological solution as simple as possible; (iv) security aspects and traceable transfers are central for operational risk problems; (v) a token was a good solution for CBDC implementation; (vi) digital money was used for small payments and transfers; and (vii) CBDCs complement the existing means of payment. The conclusions highlight that CBDC choices are based not only on technical considerations but also on the cultural implications money use. The adoption of this new means of payment will be incremental but not reversible.</t>
  </si>
  <si>
    <t>[Sarmiento, Adolfo] Cent Bank Uruguay, Diag Fabini 777, Montevideo 11100, Uruguay</t>
  </si>
  <si>
    <t>Sarmiento, A (corresponding author), Cent Bank Uruguay, Diag Fabini 777, Montevideo 11100, Uruguay.</t>
  </si>
  <si>
    <t>adolfos@bcu.gub.uy</t>
  </si>
  <si>
    <t>? All the views expressed in this paper are the authors sole responsibility and do not represent the opinions of the institutions for which he works or is affiliated. For comments and fruitful discussion, I thank Jon Frost, Raphael Auer, Giulio Cornelli and Tara Rice from the Bank for International Settlements; John Kiff from the International Monetary Fund; Francisco Rivadeneyra from the Bank of Canada.</t>
  </si>
  <si>
    <t>10.1016/j.latcb.2022.100062</t>
  </si>
  <si>
    <t>E5O4K</t>
  </si>
  <si>
    <t>WOS:001303492200002</t>
  </si>
  <si>
    <t>Loaba, S</t>
  </si>
  <si>
    <t>Loaba, Salamata</t>
  </si>
  <si>
    <t>The impact of mobile banking services on saving behavior in West Africa</t>
  </si>
  <si>
    <t>GLOBAL FINANCE JOURNAL</t>
  </si>
  <si>
    <t>Mobile banking services; Saving; West Africa</t>
  </si>
  <si>
    <t>FINANCIAL INCLUSION; ADOPTION; MONEY; ACCESS; POOR; KNOWLEDGE; LITERACY; INCOME</t>
  </si>
  <si>
    <t>This study analyzes the impact of the use of mobile banking services on saving behavior in West Africa. Using the Global Findex Database, 2017 and jointly estimating a multinomial logit model and a probit model, we find that the use of mobile banking services increases the likelihood of formal and informal saving by 2.4% and 0.83% respectively. Women are likelier to have informal savings, but their likelihood of having formal savings increases if they use mobile banking ser-vices. Greater education, employment (especially in the public sector), and income increase the likelihood of adopting mobile banking services. These results suggest that the partnership be-tween mobile phone structures and financial institutions should be strengthened.</t>
  </si>
  <si>
    <t>[Loaba, Salamata] Univ Ouaga II, 03 BP 7164,Ouaga 03, Ouaga, Burkina Faso</t>
  </si>
  <si>
    <t>Loaba, S (corresponding author), Univ Ouaga II, 03 BP 7164,Ouaga 03, Ouaga, Burkina Faso.</t>
  </si>
  <si>
    <t>loabasali@yahoo.fr</t>
  </si>
  <si>
    <t>1044-0283</t>
  </si>
  <si>
    <t>1873-5665</t>
  </si>
  <si>
    <t>GLOB FINANC J</t>
  </si>
  <si>
    <t>Glob. Financ. J.</t>
  </si>
  <si>
    <t>10.1016/j.gfj.2021.100620</t>
  </si>
  <si>
    <t>3Q1MM</t>
  </si>
  <si>
    <t>WOS:000837998200001</t>
  </si>
  <si>
    <t>Reaves, B; Scaife, N; Bates, A; Traynor, P; Butler, KRB</t>
  </si>
  <si>
    <t>USENIX Assoc</t>
  </si>
  <si>
    <t>Reaves, Bradley; Scaife, Nolen; Bates, Adam; Traynor, Patrick; Butler, Kevin R. B.</t>
  </si>
  <si>
    <t>Mo(bile) Money, Mo(bile) Problems: Analysis of Branchless Banking Applications in the Developing World</t>
  </si>
  <si>
    <t>PROCEEDINGS OF THE 24TH USENIX SECURITY SYMPOSIUM</t>
  </si>
  <si>
    <t>24th USENIX Security Symposium</t>
  </si>
  <si>
    <t>AUG 12-14, 2015</t>
  </si>
  <si>
    <t>USENIX Assoc,Facebook,Symantec,NSF,Google,IEEE Cyber Secur,Craigslist,Qualcomm,Oxford Univ Press</t>
  </si>
  <si>
    <t>Mobile money, also known as branchless banking, brings much-needed financial services to the unbanked in the developing world. Leveraging ubiquitous cellular networks, these services are now being deployed as smart phone apps, providing an electronic payment infrastructure where alternatives such as credit cards generally do not exist. Although widely marketed as a more secure option to cash, these applications are often not subject to the traditional regulations applied in the financial sector, leaving doubt as to the veracity of such claims. In this paper, we evaluate these claims and perform the first in-depth measurement analysis of branchless banking applications. We first perform an automated analysis of all 46 known Android mobile money apps across the 246 known mobile money providers and demonstrate that automated analysis fails to provide reliable insights. We subsequently perform comprehensive manual teardown of the registration, login, and transaction procedures of a diverse 15% of these apps. We uncover pervasive and systemic vulnerabilities spanning botched certification validation, do-it-yourself cryptography, and myriad other forms of information leakage that allow an attacker to impersonate legitimate users, modify transactions in flight, and steal financial records. These findings confirm that the majority of these apps fail to provide the protections needed by financial services. Finally, through inspection of providers' terms of service, we also discover that liability for these problems unfairly rests on the shoulders of the customer, threatening to erode trust in branchless banking and hinder efforts for global financial inclusion.</t>
  </si>
  <si>
    <t>[Reaves, Bradley; Scaife, Nolen; Bates, Adam; Traynor, Patrick; Butler, Kevin R. B.] Univ Florida, Gainesville, FL 32611 USA</t>
  </si>
  <si>
    <t>State University System of Florida; University of Florida</t>
  </si>
  <si>
    <t>Reaves, B (corresponding author), Univ Florida, Gainesville, FL 32611 USA.</t>
  </si>
  <si>
    <t>reaves@ufl.edu; scaife@ufl.edu; adammbates@ufl.edu; traynor@cise.ufl.edu; butler@ufl.edu</t>
  </si>
  <si>
    <t>Butler, Kevin/0000-0002-7498-4239</t>
  </si>
  <si>
    <t>US National Science Foundation [CNS-1526718, CNS-1540217, CNS-1464087]; Division Of Computer and Network Systems; Direct For Computer &amp; Info Scie &amp; Enginr [1526718] Funding Source: National Science Foundation</t>
  </si>
  <si>
    <t>US National Science Foundation(National Science Foundation (NSF)); Division Of Computer and Network Systems; Direct For Computer &amp; Info Scie &amp; Enginr(National Science Foundation (NSF)NSF - Directorate for Computer &amp; Information Science &amp; Engineering (CISE))</t>
  </si>
  <si>
    <t>This work was supported in part by the US National Science Foundation under grant numbers CNS-1526718, CNS-1540217, and CNS-1464087. Any opinions, findings, and conclusions or recommendations expressed in this material are those of the authors and do not necessarily reflect the views of the National Science Foundation.</t>
  </si>
  <si>
    <t>978-1-939133-11-3</t>
  </si>
  <si>
    <t>BP4II</t>
  </si>
  <si>
    <t>WOS:000552616300002</t>
  </si>
  <si>
    <t>Zins, A; Weill, L</t>
  </si>
  <si>
    <t>Zins, Alexandra; Weill, Laurent</t>
  </si>
  <si>
    <t>The determinants of financial inclusion in Africa</t>
  </si>
  <si>
    <t>REVIEW OF DEVELOPMENT FINANCE</t>
  </si>
  <si>
    <t>Financial inclusion; Financial institutions; Africa</t>
  </si>
  <si>
    <t>The objective of this paper is to examine the determinants of financial inclusion in Africa. We use the World Bank's Global Findex database on 37 African countries to perform probit estimations. We find that being a man, richer, more educated and older favor financial inclusion with a higher influence of education and income. Mobile banking is driven by the same determinants than traditional banking. We observe that the determinants of informal finance differ from those of formal finance. Our work therefore contains findings to design policies to foster financial inclusion in African countries. (C) 2016 Africagrowth Institute. Production and hosting by Elsevier B.V. All rights reserved.</t>
  </si>
  <si>
    <t>[Zins, Alexandra] Univ Strasbourg, Strasbourg, France; [Weill, Laurent] Univ Strasbourg, EM Strasbourg Business Sch, Strasbourg, France</t>
  </si>
  <si>
    <t>Universites de Strasbourg Etablissements Associes; Universite de Strasbourg; Universites de Strasbourg Etablissements Associes; Universite de Strasbourg</t>
  </si>
  <si>
    <t>Weill, L (corresponding author), Univ Strasbourg, Inst Etud Polit, 47 Ave Foret Noire, F-67082 Strasbourg, France.</t>
  </si>
  <si>
    <t>laurent.weill@unistra.fr</t>
  </si>
  <si>
    <t>1879-9337</t>
  </si>
  <si>
    <t>REV DEV FINANC</t>
  </si>
  <si>
    <t>Rev. Dev. Financ.</t>
  </si>
  <si>
    <t>10.1016/j.rdf.2016.05.001</t>
  </si>
  <si>
    <t>EJ7MD</t>
  </si>
  <si>
    <t>WOS:000393404900004</t>
  </si>
  <si>
    <t>Zhao, X; Wang, S; Chen, YW</t>
  </si>
  <si>
    <t>Zhao, Xyv; Wang, Su; Chen, Yuwen</t>
  </si>
  <si>
    <t>Digital inclusion finance, government subsidies and R&amp;D investment-empirical evidence based on listed Chinese pharmaceutical firms</t>
  </si>
  <si>
    <t>FRONTIERS IN PUBLIC HEALTH</t>
  </si>
  <si>
    <t>digital inclusive finance; R&amp;D investment; traditional financial development level; pharmaceutical industry; moderating effect</t>
  </si>
  <si>
    <t>Digital inclusive finance, with 'universality' as its core feature, can stimulate enterprises to increase capital investment in research and development (R&amp;D) through diversified channels. Using the digital financial inclusion index of 337 prefecture-level cities in China and the empirical data of Shanghai and Shenzhen A-share-listed pharmaceutical manufacturing enterprises from 2011 to 2022, the article empirically examines the impact mechanism of digital financial inclusion on R&amp;D investment of pharmaceutical manufacturing enterprises from the perspective of government subsidy by using a high-dimensional fixed-effects model, a two-stage systematic GMM, and a moderated-effects test method. It is found that digital financial inclusion has a positive incentive effect on pharmaceutical manufacturing enterprises to increase R&amp;D investment, and this positive effect still holds after the endogeneity test and robustness test. The results of the moderating effect test indicate that government subsidies play a positive moderating role in the process of digital financial inclusion affecting enterprises' R&amp;D investment. Further analyses show that digital financial inclusion has a more significant role in promoting the intensity of R&amp;D investment in pharmaceutical enterprises in private enterprises, small and medium-sized enterprises, and regions with lower levels of traditional financial development. Finally, policy suggestions are put forward according to the conclusion. Including the government to promote digital infrastructure and policy support, financial institutions to build data platforms to support pharmaceutical innovation, and enterprises to increase investment in research and development and expand financing channels to jointly promote the transformation and upgrading of the industry.</t>
  </si>
  <si>
    <t>[Zhao, Xyv; Wang, Su; Chen, Yuwen] Shenyang Pharmaceut Univ, Sch Business Adm, Shenyang, Peoples R China; [Wang, Su; Chen, Yuwen] Shenyang Pharmaceut Univ, Res Inst Drug Regulatory Sci, Drug Regulatory Res Base NMPA, Shenyang, Peoples R China</t>
  </si>
  <si>
    <t>Shenyang Pharmaceutical University; Shenyang Pharmaceutical University</t>
  </si>
  <si>
    <t>Wang, S; Chen, YW (corresponding author), Shenyang Pharmaceut Univ, Sch Business Adm, Shenyang, Peoples R China.;Wang, S; Chen, YW (corresponding author), Shenyang Pharmaceut Univ, Res Inst Drug Regulatory Sci, Drug Regulatory Res Base NMPA, Shenyang, Peoples R China.</t>
  </si>
  <si>
    <t>wangsu414@163.com; chenyuwen@syphu.edu.cn</t>
  </si>
  <si>
    <t>2296-2565</t>
  </si>
  <si>
    <t>FRONT PUBLIC HEALTH</t>
  </si>
  <si>
    <t>Front. Public Health</t>
  </si>
  <si>
    <t>APR 9</t>
  </si>
  <si>
    <t>10.3389/fpubh.2025.1545215</t>
  </si>
  <si>
    <t>1SU4X</t>
  </si>
  <si>
    <t>WOS:001472807000001</t>
  </si>
  <si>
    <t>Hanu, C; Dzandu, MD; Amegbe, H</t>
  </si>
  <si>
    <t>Hanu, Charles; Dzandu, Michael D.; Amegbe, Hayford</t>
  </si>
  <si>
    <t>Understanding Consumers' Continuous use of Fintech Solutions in Emerging Economies: A Blended Theory Approach (2024)</t>
  </si>
  <si>
    <t>IEEE TRANSACTIONS ON ENGINEERING MANAGEMENT</t>
  </si>
  <si>
    <t>Antecedent-behavior-consequence (A-B-C) model; fintech; gender schema theory; mobile money payment; theory of planned behavior (TPB)</t>
  </si>
  <si>
    <t>INFORMATION-SYSTEMS; TECHNOLOGY; ACCEPTANCE; ADOPTION; GENDER; DETERMINANTS; INTENTION; DECISIONS; SERVICES; BEHAVIOR</t>
  </si>
  <si>
    <t>This study explores the continuous use of financial technology (Fintech) solutions in an emerging economy, integrating insights from the theory of planned behavior, the antecedent-behavior-consequence (A-B-C) model, and the gender schema theory. Using longitudinal data from a two-wave quantitative study (Study 1, n = 777 and Study 2, n = 515) alongside qualitative data from 28 (Study 3) mobile money service users in Ghana, the results show a significant relationship between behavioral attitudes and subjective norms on intention to use mobile payments across both waves. This intention aligns with the A-B-C model, predicting actual user behavior in Study 2 but not in Study 1. Over time, however, actual usage was observed to lead to the continued use of mobile money services. Furthermore, gender significantly moderated the relationship between intention and actual usage, supporting the gender schema theory in driving financial inclusion in developing economies but only in Study 1. As time progressed, the disparity in Fintech usage related to age and educational levels became evident. By integrating concepts from marketing, psychology, and social theory, this study contributes novel findings to enrich the understanding of consumer's continuous use of Fintech in emerging economies.</t>
  </si>
  <si>
    <t>[Hanu, Charles] Univ Int Rabat, Rabat Business Sch, Dept Human Resources &amp; Org Behav, Rabat 11103, Morocco; [Dzandu, Michael D.] Univ Westminster, Sch Appl Management, Westminster Business Sch, London NW15LS, England; [Dzandu, Michael D.] Univ Westminster, Ctr Digital Business Res, Westminster Business Sch, London NW15LS, England; [Amegbe, Hayford] Univ Int Rabat, Rabat Business Sch, Dept Mkt &amp; Strategy, Rabat 11103, Morocco</t>
  </si>
  <si>
    <t>Universite Internationale de Rabat; University of Westminster; University of Westminster; Universite Internationale de Rabat</t>
  </si>
  <si>
    <t>Hanu, C (corresponding author), Univ Int Rabat, Rabat Business Sch, Dept Human Resources &amp; Org Behav, Rabat 11103, Morocco.</t>
  </si>
  <si>
    <t>charles.hanu@uir.ac.ma; dzandum@westminster.ac.uk; amegbe.hayford@uir.ac.ma</t>
  </si>
  <si>
    <t>Dzandu, Michael/AAL-9593-2021; Hanu, Charles/ABF-9159-2021; Amegbe, Hayford/ABG-6083-2021</t>
  </si>
  <si>
    <t>Dzandu, Michael/0000-0002-3486-7150;</t>
  </si>
  <si>
    <t>0018-9391</t>
  </si>
  <si>
    <t>1558-0040</t>
  </si>
  <si>
    <t>IEEE T ENG MANAGE</t>
  </si>
  <si>
    <t>IEEE Trans. Eng. Manage.</t>
  </si>
  <si>
    <t>10.1109/TEM.2024.3401095</t>
  </si>
  <si>
    <t>Business; Engineering, Industrial; Management</t>
  </si>
  <si>
    <t>Business &amp; Economics; Engineering</t>
  </si>
  <si>
    <t>UW8C4</t>
  </si>
  <si>
    <t>WOS:001251183400004</t>
  </si>
  <si>
    <t>Carè, R; Boitan, IA; Stoian, AM; Fatima, R</t>
  </si>
  <si>
    <t>Care, Rosella; Boitan, Iustina Alina; Stoian, Andreea Maria; Fatima, Rabia</t>
  </si>
  <si>
    <t>Exploring the landscape of financial inclusion through the lens of financial technologies: A review</t>
  </si>
  <si>
    <t>Financial inclusion; Financial technology; Sustainable development goals; Bibliometric analysis</t>
  </si>
  <si>
    <t>MOBILE MONEY; INNOVATION; LITERACY; FINTECH</t>
  </si>
  <si>
    <t>The intersection of financial technology (FinTech) and financial inclusion is increasingly recognized in both academic research and policy as a powerful tool for addressing global challenges and supporting sustainable development. Financial inclusion is essential for achieving the United Nations' sustainable development goals (SDGs), with access to formal financial services playing a critical role in fostering economic growth and improving the livelihoods of underserved populations. FinTech innovations, including mobile money, blockchain, and digital banking, have transformed the financial landscape by providing scalable, cost-effective solutions to bridge the gap between the unbanked and formal financial services. This paper presents a bibliometric analysis of the intersection between FinTech and financial inclusion, identifying five distinct research clusters. The findings reveal the significant role of mobile money and blockchain in enhancing financial access in developing countries, the impact of digital banking in reducing transaction costs and expanding credit access, and the growing relevance of blockchain for transparency and security in financial systems. This study also highlights emerging research areas, such as FinTech's impact on gender disparities in financial inclusion and the role of artificial intelligence (AI) in financial services, offering a foundation for future research.</t>
  </si>
  <si>
    <t>[Care, Rosella] Univ Waterloo, Sch Environm Enterprise &amp; Dev SEED, 200 Univ Ave West, Waterloo, ON, Canada; [Care, Rosella] Magna Graecia Univ Catanzaro, Dept Law Econ &amp; Sociol, Catanzaro, Italy; [Boitan, Iustina Alina] Bucharest Univ Econ Studies Piata Romana, Fac Finance &amp; Banking, Dept Money &amp; Banking, Bucharest 6, Romania; [Stoian, Andreea Maria] Bucharest Univ Econ Studies Piata Romana, Fac Finance &amp; Banking, Dept Finance &amp; CEFIMO, Bucharest 6, Romania; [Fatima, Rabia] HAN Univ Appl Sci, Int Sch Business, Ruitenberglaan 31, NL-6826 CC Arnhem, Netherlands</t>
  </si>
  <si>
    <t>University of Waterloo; Magna Graecia University of Catanzaro</t>
  </si>
  <si>
    <t>Carè, R (corresponding author), Univ Waterloo, Sch Environm Enterprise &amp; Dev SEED, 200 Univ Ave West, Waterloo, ON, Canada.;Carè, R (corresponding author), Magna Graecia Univ Catanzaro, Dept Law Econ &amp; Sociol, Catanzaro, Italy.</t>
  </si>
  <si>
    <t>rcare@uwaterloo.ca</t>
  </si>
  <si>
    <t>boitan, iustina/A-2326-2015; Carè, Rosella/AAZ-3666-2020; Stoian, Aneea/D-7626-2012</t>
  </si>
  <si>
    <t>Stoian, Aneea/0000-0002-1115-5986</t>
  </si>
  <si>
    <t>10.1016/j.frl.2024.106500</t>
  </si>
  <si>
    <t>O6F0C</t>
  </si>
  <si>
    <t>WOS:001372047700001</t>
  </si>
  <si>
    <t>Kocisova, K; Petriková, T</t>
  </si>
  <si>
    <t>Kocisova, Kristina; Petrikova, Tamara</t>
  </si>
  <si>
    <t>Can Digitalisation Mitigate Financial Exclusion? Investigation of Regional Disparities</t>
  </si>
  <si>
    <t>JOURNAL OF CENTRAL BANKING THEORY AND PRACTICE</t>
  </si>
  <si>
    <t>digitisation; barriers of financial inclusion; Findex; probit model; G21; O16; P34</t>
  </si>
  <si>
    <t>CUSTOMER SATISFACTION; BANKING SERVICES; INCLUSION</t>
  </si>
  <si>
    <t>In this study, we use data from the World Bank Global Findex database for 2021 to investigate both voluntary and involuntary reasons for financial exclusion in an era of increasing digitalisation. Our analysis reveals that socio-demographic characteristics play a significant role in determining the reasons for financial exclusion. The results confirmed that increased access to the Internet could mitigate involuntary reasons for financial exclusion, mainly in middle- and low-income countries where the digitalisation boom has occurred in the last few years. The findings also highlight significant regional disparities: involuntary reasons for exclusion dominate in regions such as Sub-Saharan Africa, Latin America, and the Caribbean, while voluntary are more prevalent in areas like the Middle East and North Africa. These results underscore the issue's complexity, showing that applying a single policy universally applicable to all countries is impossible. Each government and its regulators must consider regional specificities when defining policies to eliminate financial exclusion. Such targeted policies are crucial for reducing social inequalities, fostering broader financial inclusion, and promoting sustainable economic development.</t>
  </si>
  <si>
    <t>[Kocisova, Kristina; Petrikova, Tamara] Tech Univ Kosice, Fac Econ, Kosice, Slovakia</t>
  </si>
  <si>
    <t>Technical University Kosice</t>
  </si>
  <si>
    <t>Kocisova, K (corresponding author), Tech Univ Kosice, Fac Econ, Kosice, Slovakia.</t>
  </si>
  <si>
    <t>Kristina.Kocisova@tuke.sk; Tamara.Petrikova@tuke.sk</t>
  </si>
  <si>
    <t>Kocisova, Kristina/AAA-5401-2020</t>
  </si>
  <si>
    <t>MINEDU of Slovak Republic [1/0444/23]</t>
  </si>
  <si>
    <t>MINEDU of Slovak Republic</t>
  </si>
  <si>
    <t>Supported by grant No. 1/0444/23 of the MINEDU of Slovak Republic.</t>
  </si>
  <si>
    <t>1800-9581</t>
  </si>
  <si>
    <t>2336-9205</t>
  </si>
  <si>
    <t>J CENT BANK THEOR PR</t>
  </si>
  <si>
    <t>J. Cent. Bank Theor. Pract.</t>
  </si>
  <si>
    <t>SEP 1</t>
  </si>
  <si>
    <t>10.2478/jcbtp-2025-0024</t>
  </si>
  <si>
    <t>6WK4Q</t>
  </si>
  <si>
    <t>WOS:001563624400007</t>
  </si>
  <si>
    <t>Shollapur, MR; Hulagabali, SC; Kolle, SR</t>
  </si>
  <si>
    <t>Shollapur, M. R.; Hulagabali, Santosh C.; Kolle, Shankar Reddy</t>
  </si>
  <si>
    <t>Global Research on Financial Literacy: A Bibliometric Analysis</t>
  </si>
  <si>
    <t>DESIDOC JOURNAL OF LIBRARY &amp; INFORMATION TECHNOLOGY</t>
  </si>
  <si>
    <t>Financial literacy; Financial education; Bibliometrics; Financial inclusion; Financial capability; Scopus</t>
  </si>
  <si>
    <t>CITATION; EDUCATION; SCIENCE</t>
  </si>
  <si>
    <t>The paper presents bibliometric analysis of financial literacy for the year (2011-2020). A sum of 2227 was found using the Scopus database. The findings indicate gradual increase in research over the years articles. The Journal of Financial Counselling and Planning has produced more articles followed by the Journal of Consumer Affairs and Sustainability (Switzerland). The research on financial literacy appears in multidisciplinary journals, including consumer studies, social and economic education, extension, and sustainability. Lusardi A of George Washington University has contributed the highest articles. The USA has emerged as the leading contributing country in financial literacy research. The keywords that appeared the most frequently were financial literacy, financial education, financial inclusion, and financial capability. This work would provide an overview of financial literacy research.</t>
  </si>
  <si>
    <t>[Shollapur, M. R.] KLE Technol Univ, Sch Management Studies &amp; Res, Hubli 580027, Karnataka, India; [Hulagabali, Santosh C.] Cent Univ Haryana, Mahendragarh 123031, Haryana, India; [Kolle, Shankar Reddy] Indira Gandhi Natl Tribal Univ, Amarkantak 484886, Madhya Pradesh, India</t>
  </si>
  <si>
    <t>KLE Technological University; Central University of Haryana; Indira Gandhi National Tribal University</t>
  </si>
  <si>
    <t>Shollapur, MR (corresponding author), KLE Technol Univ, Sch Management Studies &amp; Res, Hubli 580027, Karnataka, India.</t>
  </si>
  <si>
    <t>stkolle@igntu.ac.in</t>
  </si>
  <si>
    <t>DEFENCE SCIENTIFIC INFORMATION DOCUMENTATION CENTRE</t>
  </si>
  <si>
    <t>DELHI</t>
  </si>
  <si>
    <t>METCALFE HOUSE, DELHI 110054, INDIA</t>
  </si>
  <si>
    <t>0974-0643</t>
  </si>
  <si>
    <t>0976-4658</t>
  </si>
  <si>
    <t>DESIDOC J LIB INF TE</t>
  </si>
  <si>
    <t>DESIDOC J. Lib. Inf. Technol.</t>
  </si>
  <si>
    <t>10.14429/djlit.43.3.18436</t>
  </si>
  <si>
    <t>M0PP2</t>
  </si>
  <si>
    <t>WOS:001027230100003</t>
  </si>
  <si>
    <t>Sunar, A; Krishna, A; Pal, A</t>
  </si>
  <si>
    <t>Sunar, Aditi; Krishna, Aparna; Pal, Abhipsa</t>
  </si>
  <si>
    <t>Multi-Dimensional Herding Behavior of Mobile Payment Users</t>
  </si>
  <si>
    <t>JOURNAL OF COMPUTER INFORMATION SYSTEMS</t>
  </si>
  <si>
    <t>Rational and irrational herding; self-herding; mobile money; mobile payment usage; financial inclusion</t>
  </si>
  <si>
    <t>NETWORK EXTERNALITIES; INFORMATION-TECHNOLOGY; CONTINUED USE; ADOPTION; SYSTEMS; INTENTION; MODEL; SERVICES; ROLES; SATISFACTION</t>
  </si>
  <si>
    <t>The swift advancement of technology and the convenience of mobile payment use have significantly contributed to its growth, impacting financial inclusion in developing regions. However, continuity remains a challenge for users in these regions favoring cash. To address this, we investigate how users often exhibit herding behavior that influences mobile payment usage and not just techno-behavioral factors, as suggested by past literature. We propose that users frequently imitate others' actions owing to the networked nature of mobile payment technology and design a research model comprising multiple dimensions of both rational and irrational herding behavior affecting its continued usage. With 507 user survey responses, we confirmed our model's validity. Results reveal a balancing impact of both rational and irrational herding on continuance intention, providing insights for enhancing the technology's popularity in financial inclusion efforts. This study enhances mobile payment literature by integrating theoretical aspects of herding behavior.</t>
  </si>
  <si>
    <t>[Sunar, Aditi; Krishna, Aparna] Indian Inst Technol ISM, Dhanbad, India; [Pal, Abhipsa] Indian Inst Management Calcutta, Kolkata, India</t>
  </si>
  <si>
    <t>Indian Institute of Technology System (IIT System); Indian Institute of Technology (Indian School of Mines) Dhanbad; Indian Institute of Management (IIM System); Indian Institute of Management Calcutta</t>
  </si>
  <si>
    <t>Sunar, A (corresponding author), Indian Inst Technol ISM, Dept Management Studies &amp; Ind Engn DMS&amp;IE, Dhanbad 826004, Jharkhand, India.</t>
  </si>
  <si>
    <t>aditisunar.20dr0168@ms.iitism.ac.in</t>
  </si>
  <si>
    <t>Krishna, Aparna/NIS-6504-2025; Sunar, Aditi/OQL-3478-2025</t>
  </si>
  <si>
    <t>Krishna, Aparna/0000-0001-7329-7907; Sunar, Aditi/0000-0002-1888-9544</t>
  </si>
  <si>
    <t>0887-4417</t>
  </si>
  <si>
    <t>2380-2057</t>
  </si>
  <si>
    <t>J COMPUT INFORM SYST</t>
  </si>
  <si>
    <t>J. Comput. Inf. Syst.</t>
  </si>
  <si>
    <t>2024 JUL 6</t>
  </si>
  <si>
    <t>10.1080/08874417.2024.2375378</t>
  </si>
  <si>
    <t>YR9L5</t>
  </si>
  <si>
    <t>WOS:001270326300001</t>
  </si>
  <si>
    <t>Anakpo, G; Xhate, Z; Mishi, S</t>
  </si>
  <si>
    <t>Anakpo, Godfred; Xhate, Zizipho; Mishi, Syden</t>
  </si>
  <si>
    <t>The Policies, Practices, and Challenges of Digital Financial Inclusion for Sustainable Development: The Case of the Developing Economy</t>
  </si>
  <si>
    <t>digital financial inclusion; policy; practices; challenges; developing economy; Africa</t>
  </si>
  <si>
    <t>Globally, over 1.4 billion adult people remain unbanked. This worrisome phenomenon was exacerbated by the outbreak of the COVID-19 pandemic, which further created a new dimension of inequality in accessing financial services. Digital financial inclusion promises to be an effective tool for addressing this socioeconomic ill and propelling economic development. Given the limited studies on the subject in the context of developing economies, it is imperative to understand the existing policies, practices, and barriers to digital financial inclusion in developing economies so as to provide cutting-edge interventions for redress. It is against this background that this study seeks to address the following research questions: (1) What is the state of digital financial inclusion in the developing economy? (2) What are the policies and practices regarding digital financial inclusion in the developing economy? (3) What are the barriers to digital financial inclusion and innovative interventions for redress? Findings reveal that about 44% of the adult population in developing countries does not have access to financial services, with only a few countries that have made significant progress and gains through policy and practice, such as mobile financial services, mobile money interoperability, native connectivity, human capital development, and the digitalization of public services for digital financial inclusion. Our findings also identify challenges and implications with recommendations, which are discussed in detail in this paper.</t>
  </si>
  <si>
    <t>[Anakpo, Godfred; Xhate, Zizipho; Mishi, Syden] Nelson Mandela Univ, Dept Econ, ZA-6001 Gqeberha, South Africa</t>
  </si>
  <si>
    <t>Anakpo, G (corresponding author), Nelson Mandela Univ, Dept Econ, ZA-6001 Gqeberha, South Africa.</t>
  </si>
  <si>
    <t>godfred.anakpo@mandela.ac.za</t>
  </si>
  <si>
    <t>; MISHI, SYDEN/AAT-2567-2021</t>
  </si>
  <si>
    <t>Taj, Sahrish/0009-0004-0487-3236;</t>
  </si>
  <si>
    <t>10.3390/fintech2020019</t>
  </si>
  <si>
    <t>7JR4A</t>
  </si>
  <si>
    <t>WOS:001572627600001</t>
  </si>
  <si>
    <t>Tunzina, T; Chayon, MAK; Jitu, PG; Ankon, MU; Joy, SN; Shaha, RK; Islam, MM; Hussain, MS; Hassan, MM; Pham, PH</t>
  </si>
  <si>
    <t>Tunzina, Tayrin; Chayon, Md Asif Karim; Jitu, Pritam Gupta; Ankon, Mosammed Upnan; Joy, Sheikh Nahiduzzaman; Shaha, Redoy Kumar; Islam, Md. Motaharul; Hussain, Muhammad Shakhawat; Hassan, Mohammad Mehedi; Pham, Phuoc Hung</t>
  </si>
  <si>
    <t>Blockchain-Based Central Bank Digital Currency: Empowering Centralized Oversight With Decentralized Transactions</t>
  </si>
  <si>
    <t>Blockchains; Security; Online banking; Stability criteria; Ecosystems; Costs; Prototypes; Gold; Databases; Cryptocurrency; Central bank digital currency; and blockchain; and digital currency; and P2P payments; and KYC; and consensus; and ethereum; and smart contracts</t>
  </si>
  <si>
    <t>The advent of Central Bank Digital Currencies (CBDCs) represents a significant evolution in monetary systems, enhancing transparency, efficiency, and resilience in financial transactions. This research presents a comprehensive CBDC framework that integrates centralized databases with decentralized blockchain technology, aimed at strengthening monetary oversight and tackling challenges such as money laundering and financial irregularities. By employing blockchain's immutable ledger, the proposed system supports secure and transparent digital transactions, thereby fostering trust and accountability in the financial ecosystem. Furthermore, the framework promotes financial inclusion by offering various transaction methods, such as internet-based payments, smart cards, and offline One-Time Password (OTP) systems. This diverse approach helps users in areas with limited internet access, effectively bridging critical gaps in digital accessibility and ensuring that everyone can participate in the digital economy. Through prototype development and empirical evaluation using tools like Ethereum, Geth, and web3.js, the study explores CBDC's potential for sustainable economic development, offering insights into practical applications and future scalability.</t>
  </si>
  <si>
    <t>[Tunzina, Tayrin; Chayon, Md Asif Karim; Jitu, Pritam Gupta; Ankon, Mosammed Upnan; Joy, Sheikh Nahiduzzaman; Shaha, Redoy Kumar; Islam, Md. Motaharul] United Int Univ, Dept Comp Sci &amp; Engn, Dhaka 1212, Bangladesh; [Hussain, Muhammad Shakhawat] AFI Ventures, Dubai, U Arab Emirates; [Hassan, Mohammad Mehedi] King Saud Univ, Coll Comp &amp; Informat Sci, Dept Informat Syst, Riyadh 11543, Saudi Arabia; [Pham, Phuoc Hung] Providence Coll, Dept Math &amp; Comp Sci, Providence, RI 02918 USA</t>
  </si>
  <si>
    <t>United International University (UIU); King Saud University; Providence College</t>
  </si>
  <si>
    <t>Islam, MM (corresponding author), United Int Univ, Dept Comp Sci &amp; Engn, Dhaka 1212, Bangladesh.</t>
  </si>
  <si>
    <t>motaharul@cse.uiu.ac.bd</t>
  </si>
  <si>
    <t>Hassan, Mohammad Mehedi/D-4946-2016; Islam, Motaharul/ABG-1308-2021</t>
  </si>
  <si>
    <t>Hassan, Mohammad Mehedi/0000-0002-3479-3606; Tunzina, Tayrin/0009-0002-1023-5025; , Asif Karim Chayon/0009-0000-0621-4657; , Pritam Gupta Jitu/0009-0001-4027-6699; Islam, Motaharul/0000-0002-8030-3225</t>
  </si>
  <si>
    <t>Institute for Advanced Research Publication Grant of United International University [IAR-2024-Pub-037]; King Saud University [RSP2025R18]</t>
  </si>
  <si>
    <t>Institute for Advanced Research Publication Grant of United International University; King Saud University(King Saud UniversityInstituto Politecnico Nacional - Mexico)</t>
  </si>
  <si>
    <t>10.1109/ACCESS.2024.3517147</t>
  </si>
  <si>
    <t>Q2L4P</t>
  </si>
  <si>
    <t>WOS:001383061300010</t>
  </si>
  <si>
    <t>Al Ghunaimi, H; Almaqtari, FA; Wesonga, R; Elmashtawy, A</t>
  </si>
  <si>
    <t>Al Ghunaimi, Hisham; Almaqtari, Faozi A.; Wesonga, Ronald; Elmashtawy, Ahmed</t>
  </si>
  <si>
    <t>The Rise of FinTech and the Journey Toward a Cashless Society: Investigating the Use of Mobile Payments by SMEs in Oman in the Context of Vision 2040</t>
  </si>
  <si>
    <t>FinTech; mobile payment; Apple Pay; Google Pay; Oman Vision 2040; small and medium-sized enterprises (SMEs)</t>
  </si>
  <si>
    <t>This study investigates the factors that affect the adoption of mobile payment systems in Oman, focusing specifically on small and medium-sized enterprises (SMEs) within the expanding FinTech landscape. By utilizing secondary sources of data from the Central Bank of Oman and global FinTech reports, this research identifies essential enablers, such as security features and ease of use, which are propelled by developments in FinTech solutions. It also addresses the obstacles, such as high transaction fees and issues with authentication, that impede SMEs from embracing these technologies. Through an examination of worldwide FinTech adoption patterns, this research offers perspectives on Oman's progress toward becoming a cashless society. This study employs sophisticated statistical techniques, including histograms and correlation analysis, to reveal significant trends in the rates of mobile payment adoption. The results emphasize the necessity for cooperative efforts among regulators, financial entities, and FinTech developers to minimize costs, strengthen digital infrastructure, and enhance user experiences. These findings are consistent with Oman's Vision 2040, which aims to foster financial inclusion and propel the country's shift toward a robust, digitally oriented economy powered by FinTech innovation.</t>
  </si>
  <si>
    <t>[Al Ghunaimi, Hisham; Almaqtari, Faozi A.] ASharqiyah Univ, Coll Business Adm, Accounting &amp; Finance Dept, Ibra 400, Oman; [Wesonga, Ronald] Sultan Qaboos Univ, Coll Sci, Dept Stat, Al Khoud 123, Oman; [Elmashtawy, Ahmed] Menoufia Univ, Fac Commerce, Accounting Dept, Shebin ElKoum 32511, Egypt</t>
  </si>
  <si>
    <t>Sultan Qaboos University; Egyptian Knowledge Bank (EKB); Menofia University</t>
  </si>
  <si>
    <t>Almaqtari, FA (corresponding author), ASharqiyah Univ, Coll Business Adm, Accounting &amp; Finance Dept, Ibra 400, Oman.</t>
  </si>
  <si>
    <t>hisham9934@gmail.com; faozi.almaqtari@asu.edu.om; wesonga@squ.edu.om; elmashtawy.ahmed@gmail.com</t>
  </si>
  <si>
    <t>Almaqtari, Faozi A/V-7135-2018; Wesonga, Ronald/E-9373-2016; Al Ghunaimi, Hisham/GSI-5217-2022</t>
  </si>
  <si>
    <t>Almaqtari, Faozi A/0000-0002-5625-3643; Wesonga, Ronald/0000-0003-4887-9088; Al Ghunaimi, Hisham/0000-0002-5494-2242; Elmashtawy, Ahmed/0000-0002-1305-8565</t>
  </si>
  <si>
    <t>A'Sharqiyah University, Internal Research Grant (IRG) Program; Fintech on Sustainability Performance in Oman [2024]; Culture Humanities and Basic Sciences (CBS); Innovation and Technology Transfer Centre, Academic Affairs and Research office [ASU/IRG/23/24/02]</t>
  </si>
  <si>
    <t>A'Sharqiyah University, Internal Research Grant (IRG) Program; Fintech on Sustainability Performance in Oman; Culture Humanities and Basic Sciences (CBS); Innovation and Technology Transfer Centre, Academic Affairs and Research office</t>
  </si>
  <si>
    <t>This research was funded by A'Sharqiyah University, Internal Research Grant (IRG) Program, under the project titled The Influence of Board Characteristics, Industry 4.0, and Fintech on Sustainability Performance in Oman: The Moderating Role of IT. Call number: 2024, sector: Culture Humanities and Basic Sciences (CBS). Research, Innovation and Technology Transfer Centre, Academic Affairs and Research office: ASU/IRG/23/24/02. The APC was funded by A'Sharqiyah University.</t>
  </si>
  <si>
    <t>MAY 14</t>
  </si>
  <si>
    <t>10.3390/admsci15050178</t>
  </si>
  <si>
    <t>3AU1B</t>
  </si>
  <si>
    <t>WOS:001495896700001</t>
  </si>
  <si>
    <t>Panos, GA; Wilson, JOS</t>
  </si>
  <si>
    <t>Panos, Georgios A.; Wilson, John O. S.</t>
  </si>
  <si>
    <t>Financial literacy and responsible finance in the FinTech era: capabilities and challenges</t>
  </si>
  <si>
    <t>Financial literacy; financial capability; responsible finance; FinTech</t>
  </si>
  <si>
    <t>A growing body of evidence suggests that financial literacy plays an important role in financial well-being, and that differences in financial knowledge acquired early in life can explain a significant part of financial and more general well-being in adult life. Financial technology (FinTech) is revolutionising the financial services industry at an unrivalled pace. Views differ regarding the likely impact that FinTech is likely to have on personal financial planning, well-being and societal welfare. In an era of mounting student debt, increased (digital) financial inclusion, and threats arising from instances of (online) financial fraud, financial education and enlightened financial advising appropriate policy interventions that enhance financial and overall well-being. This special issue engages in this important academic and policy agenda by presenting a set of seven new papers emanating from four parallel streams of literature related to financial literacy and responsible finance.</t>
  </si>
  <si>
    <t>[Panos, Georgios A.] Univ Glasgow, Adam Smith Business Sch, Glasgow, Lanark, Scotland; [Wilson, John O. S.] Univ St Andrews, Management Sch, St Andrews, Fife, Scotland</t>
  </si>
  <si>
    <t>University of Glasgow; University of St Andrews</t>
  </si>
  <si>
    <t>Panos, GA (corresponding author), Univ Glasgow, Adam Smith Business Sch, Glasgow, Lanark, Scotland.</t>
  </si>
  <si>
    <t>Wilson, John OS/0000-0002-9554-9332</t>
  </si>
  <si>
    <t>PROFIT project; EuropeanUnion's Horizon 2020 Framework Programme for Research and Innovation [687895]; H2020 - Industrial Leadership [687895] Funding Source: H2020 - Industrial Leadership</t>
  </si>
  <si>
    <t>PROFIT project; EuropeanUnion's Horizon 2020 Framework Programme for Research and Innovation(Horizon 2020); H2020 - Industrial Leadership(European Union (EU)H2020 - Industrial Leadership)</t>
  </si>
  <si>
    <t>Panos gratefully acknowledges funding fromthe PROFIT project. Project PROFIT has received funding fromthe EuropeanUnion's Horizon 2020 Framework Programme for Research and Innovation under grant agreement no. 687895.</t>
  </si>
  <si>
    <t>MAR 23</t>
  </si>
  <si>
    <t>4-5</t>
  </si>
  <si>
    <t>10.1080/1351847X.2020.1717569</t>
  </si>
  <si>
    <t>KK3MV</t>
  </si>
  <si>
    <t>WOS:000512651300001</t>
  </si>
  <si>
    <t>Asongu, S; Nnanna, J; Acha-Anyi, P</t>
  </si>
  <si>
    <t>Asongu, Simplice; Nnanna, Joseph; Acha-Anyi, Paul</t>
  </si>
  <si>
    <t>Inclusive education for inclusive economic participation: the financial access channel</t>
  </si>
  <si>
    <t>GENDER IN MANAGEMENT</t>
  </si>
  <si>
    <t>Africa; Gender; Inclusive development; G20; I10; I32; O40; O55</t>
  </si>
  <si>
    <t>SUB-SAHARAN AFRICA; E-WALLET PROGRAM; INCOME INEQUALITY; INFORMATION ASYMMETRY; MOBILE PHONES; GROWTH; DIFFUSION; TECHNOLOGY; EMPLOYMENT; KNOWLEDGE</t>
  </si>
  <si>
    <t>Purpose The purpose of this study is to assess how inclusive education affects inclusive economic participation through the financial access channel. Design/methodology/approach The focus is on 42 sub-Saharan African countries with data for the period 2004-2014. The empirical evidence is based on the generalised method of moments. Findings The following findings are established. First, inclusive secondary education moderates financial access to exert a positive net effect on female labour force participation. Second, inclusive primary and secondary school education and inclusive tertiary education modulate financial access for a negative net effect on female unemployment. Third, inclusive secondary education and inclusive tertiary education both moderate financial access for an overall positive net effect on female employment. To provide more gender macroeconomic management policy options, inclusive education thresholds for complementary policies are provided and discussed. Originality/value Policy implications are discussed in the light of challenges of economic development in the sub-region and sustainable development goals.</t>
  </si>
  <si>
    <t>[Asongu, Simplice] Univ South Africa, Dept Econ, Pretoria, South Africa; [Nnanna, Joseph] Dev Bank Nigeria, Off Chief Economist, Abuja, Nigeria; [Acha-Anyi, Paul] Walter Sisulu Univ, Dept Tourism Hospitality &amp; Sports Management, Buffalo, NY USA</t>
  </si>
  <si>
    <t>asongusimplice@yahoo.com; jnnanna@devbankng.com; achasinstitute@gmail.com</t>
  </si>
  <si>
    <t>ACHA-ANYI, PAUL/HLW-1357-2023; Asongu, Simplice/K-3436-2014</t>
  </si>
  <si>
    <t>ACHA-ANYI, PAUL/0000-0003-1632-1717;</t>
  </si>
  <si>
    <t>1754-2413</t>
  </si>
  <si>
    <t>1754-2421</t>
  </si>
  <si>
    <t>GEND MANAG</t>
  </si>
  <si>
    <t>Gend. Manag.</t>
  </si>
  <si>
    <t>10.1108/GM-08-2019-0146</t>
  </si>
  <si>
    <t>Business; Management; Women's Studies</t>
  </si>
  <si>
    <t>Business &amp; Economics; Women's Studies</t>
  </si>
  <si>
    <t>MA3WZ</t>
  </si>
  <si>
    <t>WOS:000532270200001</t>
  </si>
  <si>
    <t>Senou, MM; Houensou, DA</t>
  </si>
  <si>
    <t>Senou, Melain Modeste; Houensou, Denis Acclassato</t>
  </si>
  <si>
    <t>From expanding financial services to tackling poverty in West African Economic and Monetary Union: The accelerating role of mobile money</t>
  </si>
  <si>
    <t>digital financial inclusion; poverty; recursive bivariate probit; WAEMU</t>
  </si>
  <si>
    <t>PROBIT MODELS; INCLUSION; REMITTANCES</t>
  </si>
  <si>
    <t>This paper aims to assess the accelerating role of digital technology in fighting poverty through financial inclusion in the countries of West African Economic and Monetary Union (WAEMU). Based on a sample of the adult population from the World Bank's Findex database, we estimate a recursive bivariate probit model that addresses endogeneity. The findings show that the regular usage of mobile money as well as the purpose of mobile money usage including saving, borrowing, remittance and their combinations increase diversely and significantly the probability of short-term poverty alleviation in WAEMU. In addition, the change in poverty status can be indirectly due to certain driving factors of mobile money usage including mainly the ownership of mobile phones.</t>
  </si>
  <si>
    <t>[Senou, Melain Modeste] African Ctr Excellence Inequal Res ACEIR, Accra, Ghana; [Houensou, Denis Acclassato] Ctr Res Econ CRE UAC, Cotonou, Benin</t>
  </si>
  <si>
    <t>Senou, MM (corresponding author), African Ctr Excellence Inequal Res ACEIR, Accra, Ghana.</t>
  </si>
  <si>
    <t>senoumod@gmail.com</t>
  </si>
  <si>
    <t>SENOU, Melain/AAS-6687-2021</t>
  </si>
  <si>
    <t>African Economics Research Consortium; African Economics Research Consortium under the 'Collaborative PhD Program'</t>
  </si>
  <si>
    <t>This research was supported by the African Economics Research Consortium under the 'Collaborative PhD Program'.</t>
  </si>
  <si>
    <t>10.1002/jid.3881</t>
  </si>
  <si>
    <t>NE3T9</t>
  </si>
  <si>
    <t>WOS:001144153600001</t>
  </si>
  <si>
    <t>Uduji, JI; Okolo-Obasi, EN; Asongu, SA</t>
  </si>
  <si>
    <t>Uduji, Joseph I.; Okolo-Obasi, Elda N.; Asongu, Simplice A.</t>
  </si>
  <si>
    <t>The Impact of Corporate Social Responsibility Interventions on Female Education Development in the Rural Niger Delta Region of Nigeria</t>
  </si>
  <si>
    <t>PROGRESS IN DEVELOPMENT STUDIES</t>
  </si>
  <si>
    <t>Gender equality; female education; corporate social responsibility; multinational oil companies; logit model; sub-Saharan Africa</t>
  </si>
  <si>
    <t>E-WALLET PROGRAM; GENDER JUSTICE; DEVELOPING-COUNTRIES; FINANCIAL ACCESS; INEQUALITY; FARMERS; REFLECTIONS; EMPOWERMENT; STRATEGIES; GROWTH</t>
  </si>
  <si>
    <t>The objective of this investigation was to assess the impact of multinational oil companies' (MOCs) corporate social responsibility (CSR) interventions in female education programmes in the Niger Delta region of Nigeria. A total of 800 rural women were sampled across the region. The results from the logit model showed that rural women depended on CSR interventions of MOCs to address some of the logistical and cultural challenges associated with women's access to post-secondary education in local communities. However, despite the significant success in supporting education initiatives generally, none of the scholarships target females specifically, and compared to men, the low level of human capital in rural women has persisted. This implies that, if CSR interventions are not tailored to enhance gender diversity and promote economic opportunities for women alongside education, they may perpetuate the obstruction of women's participation in economic, political and social development. By extension, this could delay the reduction of poverty and attainment of the Sustainable Development Goals (SDGs) in the Niger Delta region.</t>
  </si>
  <si>
    <t>[Uduji, Joseph I.] Univ Nigeria, Fac Business Adm, Dept Mkt, Enugu Campus, Nsukka, Nigeria; [Okolo-Obasi, Elda N.] Univ Nigeria, Inst Dev Studies, Enugu Campus, Nsukka, Nigeria; [Asongu, Simplice A.] African Governance &amp; Dev Inst, Yaounde, Cameroon</t>
  </si>
  <si>
    <t>University of Nigeria; University of Nigeria; African Governance &amp; Development Institute</t>
  </si>
  <si>
    <t>Uduji, JI (corresponding author), Univ Nigeria, Fac Business Adm, Dept Mkt, Enugu Campus, Nsukka, Nigeria.</t>
  </si>
  <si>
    <t>Simplice, Asongu/K-3436-2014; Okolo-obasi, Nduka Elda/HSE-7728-2023</t>
  </si>
  <si>
    <t>Simplice, Asongu/0000-0001-5227-5135;</t>
  </si>
  <si>
    <t>1464-9934</t>
  </si>
  <si>
    <t>1477-027X</t>
  </si>
  <si>
    <t>PROG DEV STUD</t>
  </si>
  <si>
    <t>Prog. Dev. Stud.</t>
  </si>
  <si>
    <t>10.1177/1464993420902593</t>
  </si>
  <si>
    <t>KG7JI</t>
  </si>
  <si>
    <t>WOS:000510123800003</t>
  </si>
  <si>
    <t>Klapper, L; Singer, D</t>
  </si>
  <si>
    <t>Klapper, Leora; Singer, Dorothe</t>
  </si>
  <si>
    <t>The Role of Informal Financial Services in Africa</t>
  </si>
  <si>
    <t>household finance; financial inclusion; Global Findex; gender; Africa</t>
  </si>
  <si>
    <t>This paper uses data from the Global Financial Inclusion (Global Findex) database to document the state of financial inclusion in Africa. The data show that less than a quarter of adults in Africa have an account at a formal financial institution and many adults in Africa use informal methods to save and borrow. The data also show deep disparities across sub-regions and individual characteristics in how adults use financial services. The database can be used to track financial inclusion policies within the region and to develop a deeper and more nuanced understanding of how Africans save, borrow, make payments and manage risk.</t>
  </si>
  <si>
    <t>[Klapper, Leora; Singer, Dorothe] World Bank, Dev Res Grp, Washington, DC 20433 USA</t>
  </si>
  <si>
    <t>Singer, D (corresponding author), World Bank, Dev Res Grp, 1818 H St NW, Washington, DC 20433 USA.</t>
  </si>
  <si>
    <t>dsinger@worldbank.org</t>
  </si>
  <si>
    <t>Bill &amp; Melinda Gates Foundation; African Economic Research Consortium (AERC)</t>
  </si>
  <si>
    <t>Bill &amp; Melinda Gates Foundation(Bill &amp; Melinda Gates FoundationBill &amp; Melinda Gates Foundation Grand Challenges Explorations InitiativeCGIAR); African Economic Research Consortium (AERC)</t>
  </si>
  <si>
    <t>We are grateful for comments from participants of the AERC December 2013 Biannual Research Workshop on Financial Inclusion and Innovation in Africa, especially our discussant Issouf Soumare. We thank Gallup, Inc. for the excellent survey execution and related support. We are grateful to the Bill &amp; Melinda Gates Foundation for providing financial support making the collection and dissemination of the data possible and to the African Economic Research Consortium (AERC) for providing financial support for the preparation and presentation of this paper. This paper's findings, interpretations and conclusions are entirely those of the authors and do not necessarily represent the views of the World Bank, their Executive Directors or the countries they represent.</t>
  </si>
  <si>
    <t>I12</t>
  </si>
  <si>
    <t>I31</t>
  </si>
  <si>
    <t>10.1093/jae/eju027</t>
  </si>
  <si>
    <t>WOS:000351616100003</t>
  </si>
  <si>
    <t>Razzaq, A; Qin, SZ; Zhou, YW; Mahmood, I; Alnafissa, M</t>
  </si>
  <si>
    <t>Razzaq, Amar; Qin, Shengze; Zhou, Yewang; Mahmood, Irfan; Alnafissa, Mohamad</t>
  </si>
  <si>
    <t>Determinants of financial inclusion gaps in Pakistan and implications for achieving SDGs</t>
  </si>
  <si>
    <t>SCIENTIFIC REPORTS</t>
  </si>
  <si>
    <t>Women's financial inclusion; Gender equality; Digital financial services; Pakistan; Socio-economic development; Financial literacy; SDG#5</t>
  </si>
  <si>
    <t>GENDER; WOMEN; POVERTY</t>
  </si>
  <si>
    <t>This study investigates the determinants of gender disparities in financial inclusion in Pakistan using Global Findex 2021 survey data. We aim to quantify gender gaps in financial access and use, and to analyze the socio-economic factors influencing these disparities. Grounded in Sen's capability approach and behavioral economics, we employ logistic regression to examine how gender influences the ownership and usage of financial products. Our results reveal significant gender gaps: only 13% of Pakistani women have financial accounts compared to 34% of men, with similar disparities in digital finance. Socio-economic variables like education, income, and employment are found to influence financial inclusion differently for men and women. While generally supportive of financial inclusion, these factors have a weaker effect for women, suggesting deeper societal barriers. This study adds to the global financial inclusion discourse by providing a comprehensive analysis of gender disparities in Pakistan. Our findings highlight the need for gender-sensitive policies that address these disparities to achieve Sustainable Development Goals related to gender equality and economic empowerment.</t>
  </si>
  <si>
    <t>[Razzaq, Amar; Zhou, Yewang] Huanggang Normal Univ, Business Sch, 146 Xinggang 2nd Rd, Huanggang 438000, Peoples R China; [Qin, Shengze] Wuhan Business Univ, Sch Tourism Management, 300 Dongfeng Blvd, Wuhan 430118, Peoples R China; [Mahmood, Irfan] Huazhong Agr Univ, Coll Econ &amp; Management, 1 Shizishan St, Wuhan 430070, Peoples R China; [Mahmood, Irfan] Pakistan Agr Res Council, 1 Ataturk Ave,G-5-1, Islamabad 44050, Pakistan; [Alnafissa, Mohamad] King Saud Univ, Coll Food &amp; Agr Sci, Dept Agr Econ, POB 2460, Riyadh 11451, Saudi Arabia</t>
  </si>
  <si>
    <t>Huanggang Normal University; Wuhan Business University; Huazhong Agricultural University; National Agricultural Research Council - Pakistan; King Saud University</t>
  </si>
  <si>
    <t>Zhou, YW (corresponding author), Huanggang Normal Univ, Business Sch, 146 Xinggang 2nd Rd, Huanggang 438000, Peoples R China.;Qin, SZ (corresponding author), Wuhan Business Univ, Sch Tourism Management, 300 Dongfeng Blvd, Wuhan 430118, Peoples R China.</t>
  </si>
  <si>
    <t>shengzeqin@foxmail.com; zhouyewang@hgnu.edu.cn</t>
  </si>
  <si>
    <t>zhou, yewang/LTD-4954-2024; Alnafissa, Mohamad/AAX-4266-2021; Razzaq, Amar/L-1471-2019; Ali, Muhammad/JPA-5372-2023</t>
  </si>
  <si>
    <t>King Saud University; Huanggang Normal University</t>
  </si>
  <si>
    <t>King Saud University(King Saud UniversityInstituto Politecnico Nacional - Mexico); Huanggang Normal University</t>
  </si>
  <si>
    <t>The authors acknowledge the support provided by Huanggang Normal University during the process of this research.</t>
  </si>
  <si>
    <t>NATURE PORTFOLIO</t>
  </si>
  <si>
    <t>HEIDELBERGER PLATZ 3, BERLIN, 14197, GERMANY</t>
  </si>
  <si>
    <t>2045-2322</t>
  </si>
  <si>
    <t>SCI REP-UK</t>
  </si>
  <si>
    <t>Sci Rep</t>
  </si>
  <si>
    <t>JUN 13</t>
  </si>
  <si>
    <t>10.1038/s41598-024-63445-6</t>
  </si>
  <si>
    <t>UP5L2</t>
  </si>
  <si>
    <t>WOS:001249273400078</t>
  </si>
  <si>
    <t>Tram, TXH; Lai, TD; Nguyen, TTH</t>
  </si>
  <si>
    <t>Tram, Thi Xuan Huong; Lai, Tien Dinh; Nguyen, Thi Truc Huong</t>
  </si>
  <si>
    <t>Constructing a composite financial inclusion index for developing economies</t>
  </si>
  <si>
    <t>QUARTERLY REVIEW OF ECONOMICS AND FINANCE</t>
  </si>
  <si>
    <t>Financial inclusion; Measuring financial inclusion; Financial inclusion index; (FI index)</t>
  </si>
  <si>
    <t>STABILITY; POLICY</t>
  </si>
  <si>
    <t>This study measures financial inclusion for developing countries. Given that financial inclusion is deter-mined by three dimensions: penetration, availability, and use of financial services, this study develops a composite financial inclusion index (FI index) by adding mobile money-related indicators to the three dimensions to correspond to the degree of financial inclusion in these economies. To address the main research question, a measure of financial inclusion is constructed using a two-stage princi-pal component analysis (PCA) method by assigning weights endogenously. Data were collected through secondary sources, including the World Bank (WB) and International Monetary Fund (IMF) reports for 2012-2018International Monetary Fund, 2020International Monetary Fund (IMF) reports for 2012-2018. A new detailed index of financial inclusion measurement termed overall FI index was built based on the study. It is a useful tool for policymaking and evaluation. Our composite FI index is easy to calculate and comparable across economies over time. Particularly, this approach can address the criticism of arbitrary weight selection and comprehensively reflects the degree of financial inclusion.(c) 2021 Board of Trustees of the University of Illinois. Published by Elsevier Inc. All rights reserved.</t>
  </si>
  <si>
    <t>[Tram, Thi Xuan Huong; Lai, Tien Dinh; Nguyen, Thi Truc Huong] Univ Econ Ho Chi Minh City, Ho Chi Minh City, Vietnam; [Tram, Thi Xuan Huong] Univ Econ Ho Chi Minh, Sch Banking, 279 Nguyen Tri Phuong,Ward 5,Dist 10, Ho Chi Minh City, Vietnam</t>
  </si>
  <si>
    <t>University of Economics Ho Chi Minh City</t>
  </si>
  <si>
    <t>Tram, TXH (corresponding author), Univ Econ Ho Chi Minh City, Ho Chi Minh City, Vietnam.;Tram, TXH (corresponding author), Univ Econ Ho Chi Minh, Sch Banking, 279 Nguyen Tri Phuong,Ward 5,Dist 10, Ho Chi Minh City, Vietnam.</t>
  </si>
  <si>
    <t>txhuong@ueh.edu.vn</t>
  </si>
  <si>
    <t>1062-9769</t>
  </si>
  <si>
    <t>1878-4259</t>
  </si>
  <si>
    <t>Q REV ECON FINANC</t>
  </si>
  <si>
    <t>Q. Rev. Econ. Financ.</t>
  </si>
  <si>
    <t>10.1016/j.qref.2021.01.003</t>
  </si>
  <si>
    <t>G7OR3</t>
  </si>
  <si>
    <t>WOS:000991012700001</t>
  </si>
  <si>
    <t>Mohamed, TS; Elgammal, MM</t>
  </si>
  <si>
    <t>Mohamed, Toka S.; Elgammal, Mohammed M.</t>
  </si>
  <si>
    <t>Does the extent of branchless banking adoption enhance the social and financial performance of microfinance institutions?</t>
  </si>
  <si>
    <t>Branchless banking; microfinance; financial inclusion; financial performance</t>
  </si>
  <si>
    <t>CREDIT RISK; PANEL-DATA; GMM</t>
  </si>
  <si>
    <t>We examine the impact of the extent of branchless banking adoption on the social and financial performance of an international sample of microfinance institutions (MFIs). We find that increasing the number of branchless banking points of service in MFIs is associated with productivity enhancements and improved social outreach. However, this occurs at the expense of adverse credit risk and profitability outcomes. Our results are robust to alternative measures of social and financial performance and the use of multiple methodologies including generalized method of moments, two and three-stage least squares. By introducing a quadratic specification, we unveil a parabolic relationship between the extent of branchless banking adoption and MFIs' credit risk and profitability, which indicates that positive profitability and risk outcomes can eventually be achieved in MFIs with extensive branchless banking networks. This presents an important contribution to explaining the variations in insight in extant literature. These findings are relevant to policy makers as they indicate that investments in branchless banking present promising outcomes by encouraging financial inclusion, enhancing productivity and efficiency, and improving long-term profitability and repayment rates among MFIs. However, the initial adversity to profitability and credit risk may be a sufficient deterrent from BB investments for financially-oriented MFIs.</t>
  </si>
  <si>
    <t>[Mohamed, Toka S.] Qatar Univ, Coll Business &amp; Econ, Doha, Qatar; [Mohamed, Toka S.] Georgetown Univ Qatar, Econ Dept, Doha, Qatar; [Elgammal, Mohammed M.] Qatar Univ, Ctr Entrepreneurship &amp; Org Excellence, CBE, Doha, Qatar</t>
  </si>
  <si>
    <t>Qatar University; Qatar Foundation (QF); Georgetown University in Qatar; Qatar University</t>
  </si>
  <si>
    <t>Elgammal, MM (corresponding author), Qatar Univ, Ctr Entrepreneurship &amp; Org Excellence, CBE, Doha, Qatar.</t>
  </si>
  <si>
    <t>m.elgammal@qu.edu.qa</t>
  </si>
  <si>
    <t>Elgammal, Mohammed/I-2167-2016</t>
  </si>
  <si>
    <t>Elgammal, Mohammed/0000-0002-1931-5534</t>
  </si>
  <si>
    <t>10.1080/00036846.2023.2177595</t>
  </si>
  <si>
    <t>GL8K2</t>
  </si>
  <si>
    <t>WOS:000937831300001</t>
  </si>
  <si>
    <t>Hidayat, P; Sari, RL</t>
  </si>
  <si>
    <t>Hidayat, Paidi; Sari, Raina Linda</t>
  </si>
  <si>
    <t>Linkage between financial inclusion and Indonesian welfare: a recent evidence</t>
  </si>
  <si>
    <t>Financial inclusion; financial literacy; welfare; generalized least square</t>
  </si>
  <si>
    <t>IMPACT; GROWTH</t>
  </si>
  <si>
    <t>This paper provides the linkage between financial inclusion and welfare in Indonesia. This paper analyzes the level of financial inclusion Indonesian welfare using provincial data during 2015-2018. Index of Financial Inclusion (IFI) is calculated based on the dimensions of accessibility, availability, and usage of financial services. We employ the generalized least square (GLS) method for panel data estimation. Evidence showed that financial inclusion in Indonesia which mostly determined by the dimensions of the use and availability of financial services, while the accessibility dimension was relatively low in Indonesia. Based on the financial inclusion index, 25 provinces were grouped in the low financial inclusion, 8 provinces in the medium category and only DKI Jakarta Province categorized as high financial inclusion. The panel data estimation results show that the financial inclusion index has a positive and significant effect on the welfare of the Indonesian people as proxied by the human development index. The level of financial inclusion remains uneven between province in Indonesia. The lowest level of financial inclusion related to accessibility. The government should provide socialization and education of financial products to the public community, especially formal financial services such as banks. Financial literacy played an important role to improve welfare as a whole.</t>
  </si>
  <si>
    <t>[Hidayat, Paidi; Sari, Raina Linda] Univ Sumatera Utara, Fac Econ &amp; Business, Jl Prof TM Hanafiah,Kampus USU, Medan, Sumatera Utara, Indonesia</t>
  </si>
  <si>
    <t>University of North Sumatra</t>
  </si>
  <si>
    <t>Hidayat, P (corresponding author), Univ Sumatera Utara, Fac Econ &amp; Business, Jl Prof TM Hanafiah,Kampus USU, Medan, Sumatera Utara, Indonesia.</t>
  </si>
  <si>
    <t>paidi@usu.ac.id; raina.linda@usu.ac.id</t>
  </si>
  <si>
    <t>Sari, Raina Linda/HLQ-0175-2023; Hidayat, Paidi/GPS-7640-2022</t>
  </si>
  <si>
    <t>Sari, Raina Linda/0000-0001-5507-3184; , Paidi/0000-0001-6035-6998</t>
  </si>
  <si>
    <t>Universitas Sumatera Utara on TALENTA 2019 [123/UN5.2.3.1/PPM/KP-TALENTA USU/2019]</t>
  </si>
  <si>
    <t>Universitas Sumatera Utara on TALENTA 2019</t>
  </si>
  <si>
    <t>Authors stated that this research was funded by Universitas Sumatera Utara on TALENTA 2019 with Contract Number: 123/UN5.2.3.1/PPM/KP-TALENTA USU/2019 dated 2 April 2019.</t>
  </si>
  <si>
    <t>10.1080/23311975.2022.2108299</t>
  </si>
  <si>
    <t>3Q6MI</t>
  </si>
  <si>
    <t>WOS:000838342500001</t>
  </si>
  <si>
    <t>Bongomin, GOC; Malinga, CA; Manzi, AA; Balinda, R</t>
  </si>
  <si>
    <t>Bongomin, George Okello Candiya; Akol Malinga, Charles; Amani Manzi, Alain; Balinda, Rebecca</t>
  </si>
  <si>
    <t>Agent liquidity: A catalyst for mobile money banking among the unbanked poor population in rural sub-Saharan Africa</t>
  </si>
  <si>
    <t>mobile money agents; financial inclusion; unbanked rural population; Uganda; agent liquidity; cash floats</t>
  </si>
  <si>
    <t>FINANCIAL SERVICES; M-PESA</t>
  </si>
  <si>
    <t>A large body of research shows that mobile money through its agent networks can potentially increase financial inclusion, especially in the unbanked rural regions of the developing world. This study intends to establish whether agent liquidity has a significant moderating effect in the relationship between mobile money services and financial inclusion of the unbanked poor population in rural sub-Saharan Africa. The data were collected from mobile money users through a cross-sectional approach using a semi-structured quantitative questionnaire and Analysis of Moment Structures was used to test for the moderating effect of agent liquidity between mobile money services and financial inclusion. The results revealed a significant moderating effect of agent liquidity in the relationship between mobile money services and financial inclusion of the unbanked poor population in rural sub-Saharan Africa with data collected from rural Uganda. Agent liquidity enhances access to and usage of mobile money services by 27 percentage points to spur financial inclusion among the unbanked rural poor population. Similarly, agent liquidity has a direct significant effect on access to and usage of mobile money services among the unbanked rural poor population. Overall, the results showed that agent liquidity plays a significant and positive moderating role between mobile money services and financial inclusion. The findings from this study can help mobile money providers to increase cash float amounts to boost agent liquidity to meet instant cash-in and cash-out demands of customers. Besides, regulations on mobile money agents should be loosen to allow more village dukas (small village shops) to offer mobile money financial services to crowd-in more unbanked rural poor population.</t>
  </si>
  <si>
    <t>[Bongomin, George Okello Candiya; Akol Malinga, Charles] Makerere Univ, Business Sch, Fac Grad Studies &amp; Res, POB 1337, Kampala, Uganda; [Amani Manzi, Alain; Balinda, Rebecca] Kigali Independent Univ ULK, Finance &amp; Accounting, Kigali, Rwanda</t>
  </si>
  <si>
    <t>Makerere University; Kigali Independent University</t>
  </si>
  <si>
    <t>Bongomin, GOC (corresponding author), Makerere Univ, Business Sch, Fac Grad Studies &amp; Res, POB 1337, Kampala, Uganda.</t>
  </si>
  <si>
    <t>10.1080/23322039.2023.2203435</t>
  </si>
  <si>
    <t>I7SL3</t>
  </si>
  <si>
    <t>WOS:001004746900001</t>
  </si>
  <si>
    <t>Jayasekara, SD</t>
  </si>
  <si>
    <t>Jayasekara, Sisira Dharmasri</t>
  </si>
  <si>
    <t>Deficient regimes of anti-money laundering and countering the financing of terrorism: agenda of digital banking and financial inclusion</t>
  </si>
  <si>
    <t>Financial inclusion; AML; CFT compliance index; Digital banking; Entrepreneurial regulation</t>
  </si>
  <si>
    <t>Purpose The purpose of this paper is to discuss the dilemma of digital banking and the financial inclusion agenda of countries with the level of strength of the anti-money laundering and countering the financing of terrorism (AML/CFT) regime. Design/methodology/approach This study develops an AML/CFT compliance index using the assessment data of FATF to measure the level compliance strength of countries to measure the impact of the strength of the AML/CFT regime on the financial inclusion. Financial literacy, literacy, number of bank branches and income level of countries are used as other control variables in regression analysis, which is used to test the developed model. Findings The results suggest that the AML/CFT compliance level of a country is a significant factor in determining the level of financial inclusion. Besides, the number of bank branches for 100,000 people, literacy and financial literacy are significant factors in financial inclusion. However, the results reveal that financial literacy is significant over literacy in determining financial inclusion. Therefore, having considered the importance of the AML/CFT regime for financial inclusion, regulators are required to strengthen the AML/CFT regime and make clarity on the AML/CFT regulations. This clarity will promote the digitalization and financial inclusion over time. Practical implications Most of the studies related to financial inclusion and AML/CFT aspects are qualitative. Therefore, this is only the start of measuring the strength of an AML/CFT regime. More appropriate measures will be developed in the future based on this foundation. Originality/value This paper is an original work done by the author, which discusses the issues of digital banking and financial inclusion agenda of countries with the compliance strength of the AML/CFT regime. The AML/CFT compliance index is the original idea of the author, which can be used as a quantitative measure to capture the strength of the AML/CFT regimes in future studies.</t>
  </si>
  <si>
    <t>[Jayasekara, Sisira Dharmasri] Cent Bank Sri Lanka, Financial Intelligence Unit, Colombo, Sri Lanka</t>
  </si>
  <si>
    <t>Jayasekara, SD (corresponding author), Cent Bank Sri Lanka, Financial Intelligence Unit, Colombo, Sri Lanka.</t>
  </si>
  <si>
    <t>sisiradj@cbsl.lk</t>
  </si>
  <si>
    <t>; Jayasekara, Sisira/ABE-1652-2021</t>
  </si>
  <si>
    <t>Jayasekara, Seelaman Gamaralalage Sisira Dharmasri/0000-0001-8006-3252;</t>
  </si>
  <si>
    <t>MAY 25</t>
  </si>
  <si>
    <t>10.1108/JMLC-04-2020-0035</t>
  </si>
  <si>
    <t>SJ4PZ</t>
  </si>
  <si>
    <t>WOS:000558197600001</t>
  </si>
  <si>
    <t>Dostov, V; Shust, P; Leonova, A; Krivoruchko, S</t>
  </si>
  <si>
    <t>Dostov, Victor; Shust, Pavel; Leonova, Anna; Krivoruchko, Svetlana</t>
  </si>
  <si>
    <t>Regulatory and Institutional Factors in Digital Financial Inclusion: A Comparative Study</t>
  </si>
  <si>
    <t>VISION 2025: EDUCATION EXCELLENCE AND MANAGEMENT OF INNOVATIONS THROUGH SUSTAINABLE ECONOMIC COMPETITIVE ADVANTAGE</t>
  </si>
  <si>
    <t>34th International-Business-Information-Management-Association (IBIMA) Conference</t>
  </si>
  <si>
    <t>NOV 13-14, 2019</t>
  </si>
  <si>
    <t>Financial inclusion; Kenya; Nigeria; mobile money; regulation</t>
  </si>
  <si>
    <t>The article aims to identify infrastructural and institutional factors that affect the financial inclusion. To identify the most important factors of financial inclusion improvement, a comparative analysis of two Sub-Saharan countries - Nigeria and Kenya - was conducted. The analysis shows that differences in Nigeria and Kenya financial inclusion levels can be attributed not only to the economic development but also to the difference in regulatory approaches. The analysis also confirms the hypothesis that usage of digital financial services depends more on 'general' literacy rather than financial literacy in particular.</t>
  </si>
  <si>
    <t>[Dostov, Victor; Shust, Pavel] St Petersburg State Univ, Fed State Budgetary Educ Inst Higher Educ, 7-9 Univ Emb, St Petersburg 199034, Russia; [Dostov, Victor; Shust, Pavel; Leonova, Anna] Russian Elect Money &amp; Remittance Assoc, 5-2 Orlikov Per, Moscow 107078, Russia; [Krivoruchko, Svetlana] Financial Univ Govt Russian Federat, 53-1 Leningradsky Pr, Moscow 125993, Russia</t>
  </si>
  <si>
    <t>Saint Petersburg State University; Financial University Under the Government of Russian Federation</t>
  </si>
  <si>
    <t>Dostov, V (corresponding author), St Petersburg State Univ, Fed State Budgetary Educ Inst Higher Educ, 7-9 Univ Emb, St Petersburg 199034, Russia.;Dostov, V (corresponding author), Russian Elect Money &amp; Remittance Assoc, 5-2 Orlikov Per, Moscow 107078, Russia.</t>
  </si>
  <si>
    <t>dostov@npaed.ru; shoust@npaed.ru; leonova@npaed.ru; krivoruchko.sv@gmail.com</t>
  </si>
  <si>
    <t>Shust, Pavel/P-1632-2018; Krivoruchko, Svetlana/HGC-9502-2022</t>
  </si>
  <si>
    <t>978-0-9998551-3-3</t>
  </si>
  <si>
    <t>BP5MP</t>
  </si>
  <si>
    <t>WOS:000556337404069</t>
  </si>
  <si>
    <t>Nyarko, ES; Amoateng, K; Aboagye, AQQ</t>
  </si>
  <si>
    <t>Nyarko, Eunice Stella; Amoateng, Kofi; Aboagye, Anthony Qabitoo Quame</t>
  </si>
  <si>
    <t>Financial inclusion and poverty: evidence from developing economies</t>
  </si>
  <si>
    <t>&amp; nbsp;Financial inclusion; Financial access; Financial usage and poverty</t>
  </si>
  <si>
    <t>PANEL-DATA; ACCESS; DETERMINANTS; REDUCTION; GROWTH; IMPACT; BANKS</t>
  </si>
  <si>
    <t>Purpose - This paper examines the impact of financial inclusion on poverty through access to mobile money in developing economies.Design/methodology/approach - The authors employ the principal component analysis to construct an index of financial inclusion using demand and supply indicators, including mobile accounts. The authors use the two-step system GMM estimator for the analysis because of its efficiency and robustness in addressing heteroscedasticity and autocorrelation.Findings - The main finding is that financial inclusion generally increased and significantly reduces poverty in the sample period. Furthermore, income inequality worsens poverty.Research limitations/implications - This study has few limitations. First, the empirical analysis of the study is restricted to macroeconomic factors only because of limited Household Finance Survey data set and time availability. Second, the study is limited to developing countries and the results cannot be generalized.Practical implications - Financial inclusion is a significant policy tool for poverty reduction. There is the need to enhance strategies that further improve financial inclusion by expanding and improving the use of mobile money accounts.Social implications - The paper sheds light on how developing countries can harness financial inclusion to reduce poverty.Originality/value - The paper differs from the previous studies in two ways. Firstly, mobile money account is included in the computation of financial inclusion index over the sample period. It also determines the impact of financial inclusion on poverty for short-run and long-run periods.Peer review - The peer review history for this article is available at:</t>
  </si>
  <si>
    <t>[Nyarko, Eunice Stella] Methodist Univ Coll Ghana, Fac Business Adm, Dept Accounting &amp; Finance, Accra, Ghana; [Nyarko, Eunice Stella] Univ Ghana, Dept Finance, Accra, Ghana; [Amoateng, Kofi] North Carolina Cent Univ, Sch Business, Durham, NC 27707 USA; [Aboagye, Anthony Qabitoo Quame] Univ Ghana, Accra, Ghana</t>
  </si>
  <si>
    <t>University of Ghana; University of North Carolina; North Carolina Central University; University of Ghana</t>
  </si>
  <si>
    <t>Amoateng, K (corresponding author), North Carolina Cent Univ, Sch Business, Durham, NC 27707 USA.</t>
  </si>
  <si>
    <t>enyarko@mucg.edu.gh; amoateng@nccu.edu; aaaboagye@ug.edu.gh</t>
  </si>
  <si>
    <t>NOV 23</t>
  </si>
  <si>
    <t>10.1108/IJSE-11-2021-0690</t>
  </si>
  <si>
    <t>JUN 2023</t>
  </si>
  <si>
    <t>Y5YO1</t>
  </si>
  <si>
    <t>WOS:001019189300001</t>
  </si>
  <si>
    <t>Mahalle, A; Yong, JM; Tao, XH</t>
  </si>
  <si>
    <t>Shen, W; Barthes, JP; Luo, J; Shi, Y; Zhang, J</t>
  </si>
  <si>
    <t>Mahalle, Abhishek; Yong, Jianming; Tao, Xiaohui</t>
  </si>
  <si>
    <t>Regulatory Challenges and Mitigation for Account Services Offered by FinTech</t>
  </si>
  <si>
    <t>PROCEEDINGS OF THE 2021 IEEE 24TH INTERNATIONAL CONFERENCE ON COMPUTER SUPPORTED COOPERATIVE WORK IN DESIGN (CSCWD)</t>
  </si>
  <si>
    <t>International Conference on Computer Supported Cooperative Work in Design</t>
  </si>
  <si>
    <t>24th IEEE International Conference on Computer Supported Cooperative Work in Design (IEEE CSCWD)</t>
  </si>
  <si>
    <t>MAY 05-07, 2021</t>
  </si>
  <si>
    <t>Dalian, PEOPLES R CHINA</t>
  </si>
  <si>
    <t>IEEE,Dalian Univ Technol,Int Working Grp Comp Supported Cooperat Work in Design,IEEE Syst Man &amp; Cybernet Soc,Dalian Jiaotong Univ</t>
  </si>
  <si>
    <t>FinTech; Regulations; Banking Services; Big data; Peer-to-peer lending</t>
  </si>
  <si>
    <t>With an innovation to offer in product &amp; services in the Banking and Financial Services Industry, FinTech has received both attention from investors and regulatory bodies across globe. With a primary objective to improve financial inclusion for unbanked population in emerging economies through mobile devices, Fintech have become new commercial entities that promise to deliver millennium goals of World Bank and G20 nations. The availability of huge user data due to use of mobile devices and its use to generate sales of financial products, FinTech companies and solutions are constantly changing and are unique to each Fintech company. Fintech have devised a business model to provide financial services in the form of payment services, wealth management, crowd funding, lending services, forex services for remittance, digital wallets and digital currencies. The data driven business model, connected customers over mobile phones and several financial services demand new regulatory framework that also protects consumers and prevents systemic risk in the economy. In this paper, we have identified the regulatory guidelines issued for various financial product for customers and challenges Fintech will need to solve to provide innovative services. The paper aims to cover the life cycle of products, scope of innovation for Fintech and methods to meet requirements by regulatory bodies. This paper covers the requirements by products in Account Services offered by Banking and Financial Services Industry.</t>
  </si>
  <si>
    <t>[Mahalle, Abhishek; Yong, Jianming] Univ Southern Queensland, Sch Management &amp; Enterprise, Toowoomba, Qld, Australia; [Tao, Xiaohui] Univ Southern Queensland, Sch Agr Computat &amp; Environm Sci, Toowoomba, Qld, Australia</t>
  </si>
  <si>
    <t>University of Southern Queensland; University of Southern Queensland</t>
  </si>
  <si>
    <t>Mahalle, A (corresponding author), Univ Southern Queensland, Sch Management &amp; Enterprise, Toowoomba, Qld, Australia.</t>
  </si>
  <si>
    <t>u1104050@usq.edu.au; Jianming.Yong@usq.edu.au; Xiaohui.tao@usq.edu.au</t>
  </si>
  <si>
    <t>Tao, Xiaohui/JKI-2330-2023</t>
  </si>
  <si>
    <t>978-1-7281-6597-4</t>
  </si>
  <si>
    <t>INT C COMP SUPP COOP</t>
  </si>
  <si>
    <t>10.1109/CSCWD49262.2021.9437631</t>
  </si>
  <si>
    <t>Computer Science, Interdisciplinary Applications; Computer Science, Theory &amp; Methods; Operations Research &amp; Management Science</t>
  </si>
  <si>
    <t>BS3XQ</t>
  </si>
  <si>
    <t>WOS:000716858200048</t>
  </si>
  <si>
    <t>Mishra, S; Sahoo, CK</t>
  </si>
  <si>
    <t>Mishra, Samanwita; Sahoo, Chandan Kumar</t>
  </si>
  <si>
    <t>Impact of Sustainable Financial Literacy and Digital Financial Inclusion on Women's Sustainable Entrepreneurial Intention</t>
  </si>
  <si>
    <t>CORPORATE SOCIAL RESPONSIBILITY AND ENVIRONMENTAL MANAGEMENT</t>
  </si>
  <si>
    <t>digital financial inclusion; sustainable entrepreneurial intentions; sustainable financial literacy; women</t>
  </si>
  <si>
    <t>FIRM RESOURCES; COMPETITIVE ADVANTAGE; VARIANCE; CAPABILITIES; ORIENTATION; SERVICES</t>
  </si>
  <si>
    <t>This study draws upon resource-based theory to explore the effect of sustainable financial literacy on women's intentions to engage in sustainable entrepreneurship, focusing on digital financial inclusion as a mediating factor. Empirical data was collected from 266 female students from various esteemed Indian Institutes, and the research hypotheses were tested using partial least square structural equation modeling with the help of SmartPLS 4 software. The study revealed that sustainable financial literacy significantly impacts women's intention toward sustainable entrepreneurship. Additionally, digital financial inclusion partially mediates the relationship between sustainable financial literacy and entrepreneurial intent. These findings provide policymakers with a constructive model for implementing sustainability literacy to enhance generating intention among women to be involved in sustainable businesses that consider social and environmental aspects and not just profitability, contributing to achieving SDG and enhancing the nation's economic development.</t>
  </si>
  <si>
    <t>[Mishra, Samanwita; Sahoo, Chandan Kumar] Natl Inst Technol, Sch Management, Rourkela, Odisha, India</t>
  </si>
  <si>
    <t>National Institute of Technology (NIT System); National Institute of Technology Rourkela</t>
  </si>
  <si>
    <t>Mishra, S (corresponding author), Natl Inst Technol, Sch Management, Rourkela, Odisha, India.</t>
  </si>
  <si>
    <t>mishrasamanwita89777@gmail.com</t>
  </si>
  <si>
    <t>, Samanwita Mishra/MSZ-2249-2025</t>
  </si>
  <si>
    <t>, Samanwita Mishra/0009-0000-9000-7414</t>
  </si>
  <si>
    <t>1535-3958</t>
  </si>
  <si>
    <t>1535-3966</t>
  </si>
  <si>
    <t>CORP SOC RESP ENV MA</t>
  </si>
  <si>
    <t>Corp. Soc. Responsib. Environ. Manag.</t>
  </si>
  <si>
    <t>10.1002/csr.3174</t>
  </si>
  <si>
    <t>Business; Environmental Studies; Management</t>
  </si>
  <si>
    <t>Business &amp; Economics; Environmental Sciences &amp; Ecology</t>
  </si>
  <si>
    <t>2JH3G</t>
  </si>
  <si>
    <t>WOS:001444769100001</t>
  </si>
  <si>
    <t>Loubere, N</t>
  </si>
  <si>
    <t>Loubere, Nicholas</t>
  </si>
  <si>
    <t>China's Internet Finance Boom and Tyrannies of Inclusion</t>
  </si>
  <si>
    <t>CHINA PERSPECTIVES</t>
  </si>
  <si>
    <t>Internet finance; Digital finance; Financial inclusion; Digital financial inclusion; Microfinance; Microcredit; Social credit; China</t>
  </si>
  <si>
    <t>MICROFINANCE; ECONOMY</t>
  </si>
  <si>
    <t>One of the main drivers of China's e-commerce boom is the dramatic expansion of the country's Internet finance industry, which has grown and diversified at a staggering rate over the past decade. The emergence of Chinese Internet finance has been discussed in largely positive terms as facilitating commercial activity. It has also been linked to the wider developmental goal of promoting financial inclusion through the provision of financial services to previously excluded populations. Emerging from the global microfinance movement, the concept of financial inclusion depicts increased access to financial services (particularly credit) as an inherently beneficial means of empowering the poor and driving bottom-up economic development. This article challenges this dominant narrative of beneficial digital financial inclusion in China. It draws on the growing body of literature critiquing the global financial inclusion movement, and examines examples of exploitation. fraud, instability, and extraction related to expanded digital financial coverage in contemporary China. I t then demonstrates that digital financial inclusion is part and parcel of the Chinese government's plans to create a social credit system in an attempt to construct a trustworthy society. In this way, digital financial inclusion can be seen as a key element in a wider project of expanding surveillance through big data in order to close down spaces for those seeking to contest the hegemonic socioeconomic order. The article argues that these examples illuminate fundamental processes implicit in the expansion of the commercial Internet finance industry. In this way, while the extension of digital financial inclusion in China benefits certain groups, it also necessarily serves to reproduce patterns of inequality and exploitation.</t>
  </si>
  <si>
    <t>[Loubere, Nicholas] Lund Univ, Ctr East &amp; South East Asian Studies, Solvegatan 18, S-22362 Lund, Sweden</t>
  </si>
  <si>
    <t>Lund University</t>
  </si>
  <si>
    <t>Loubere, N (corresponding author), Lund Univ, Ctr East &amp; South East Asian Studies, Solvegatan 18, S-22362 Lund, Sweden.</t>
  </si>
  <si>
    <t>ndloubere@gmail.com</t>
  </si>
  <si>
    <t>Loubere, Nicholas/0000-0002-2386-5643</t>
  </si>
  <si>
    <t>FRENCH CENTRE RESEARCH CONTEMPORARY CHINA</t>
  </si>
  <si>
    <t>CLEAR WATER BAY</t>
  </si>
  <si>
    <t>RM 3029, ACADEMIC BLDG, HONG KONG UNIV SCI &amp; TECHNOLOGY, CLEAR WATER BAY, N T 00000, HONG KONG</t>
  </si>
  <si>
    <t>2070-3449</t>
  </si>
  <si>
    <t>1996-4617</t>
  </si>
  <si>
    <t>CHINA PERSPECT</t>
  </si>
  <si>
    <t>China Perspect.</t>
  </si>
  <si>
    <t>GB6GX</t>
  </si>
  <si>
    <t>WOS:000429168400002</t>
  </si>
  <si>
    <t>Liu, JH; Chen, Y; Chen, XY; Chen, B</t>
  </si>
  <si>
    <t>Liu, Jianhe; Chen, Yuan; Chen, Xuanyu; Chen, Bin</t>
  </si>
  <si>
    <t>Digital financial inclusion and household financial vulnerability: An empirical analysis of rural and urban disparities in China</t>
  </si>
  <si>
    <t>Household financial vulnerability; Digital financial inclusion; Financial vulnerability; Financial risk</t>
  </si>
  <si>
    <t>DETERMINANTS; CONSTRAINTS; PAYMENT</t>
  </si>
  <si>
    <t>In recent times, a notable increase in the leverage ratios among numerous households across China has been witnessed, culminating in heightened household financial vulnerability. Concurrently, the sphere of digital inclusive finance has witnessed rapid advancement, establishing itself as a crucial mechanism for Chinese households to counteract financial risk shocks. This research article meticulously constructs an ordered regression model, anchored in microlevel data from household surveys, to delve into the influence and operative mechanisms of digital inclusive finance on the vulnerability of household finances. Empirical findings from this study robustly indicate that the evolution of digital inclusive finance significantly mitigates the household financial vulnerability. A thorough mechanism analysis reveals that digital inclusive finance primarily curtails household financial vulnerability through several avenues: it notably enhances financial literacy, augments the income derived from household financial assets, and elevates contributions to commercial insurance. Intriguingly, a heterogeneity analysis underscores that the impact of digital inclusive finance is more pronounced in reducing financial vulnerability amongst households registered in rural areas and those with lower income levels. This article contributes to the expansion of the theoretical framework concerning household financial vulnerability, offering insightful guidance and policy implications for addressing financial vulnerability concerns and forestalling macro-financial risks.</t>
  </si>
  <si>
    <t>[Liu, Jianhe; Chen, Yuan; Chen, Xuanyu; Chen, Bin] Zhejiang Univ Finance &amp; Econ, Sch Finance, Hangzhou, Peoples R China</t>
  </si>
  <si>
    <t>Zhejiang University of Finance &amp; Economics</t>
  </si>
  <si>
    <t>Chen, XY (corresponding author), Zhejiang Univ Finance &amp; Econ, Sch Finance, Hangzhou, Peoples R China.</t>
  </si>
  <si>
    <t>bruceliu@zufe.edu.cn; 1197613949@qq.com; 1304957185@qq.com; 1514806440@qq.com</t>
  </si>
  <si>
    <t>AUG 15</t>
  </si>
  <si>
    <t>e35540</t>
  </si>
  <si>
    <t>10.1016/j.heliyon.2024.e35540</t>
  </si>
  <si>
    <t>C5C8L</t>
  </si>
  <si>
    <t>WOS:001289551700001</t>
  </si>
  <si>
    <t>Lan, JJ; Pan, YH; Yu, YJ</t>
  </si>
  <si>
    <t>Lan, Jiajun; Pan, Yinghao; Yu, Yingjie</t>
  </si>
  <si>
    <t>The role of digital financial inclusion in increasing fertility intentions: evidence from China</t>
  </si>
  <si>
    <t>Digital financial inclusion; liquidity constraints; fertility intention; financial development</t>
  </si>
  <si>
    <t>DECLINE</t>
  </si>
  <si>
    <t>Digital financial inclusion is essential for promoting regional development, but its impact on demographic change requires further investigation. Using data from the Chinese General Social Survey (CGSS) between 2012 and 2017, this study provides empirical evidence on how the growth of digital financial inclusion affects fertility intentions in China. The results indicate that a one percent increase in the provincial-level digital financial inclusion index is associated with a 0.136% increase in fertility intentions. These findings hold across different components of digital financial inclusion and are robust to instrumental variable approaches. Moreover, the study shows that the expansion of digital financial inclusion has a more significant effect on households in low-income groups, central and western regions of China, and women with low educational attainment. These results underscore the importance of digital financial inclusion in addressing population declines worldwide.</t>
  </si>
  <si>
    <t>[Lan, Jiajun] Huaqiao Univ, Sch Econ &amp; Finance, Quanzhou, Peoples R China; [Pan, Yinghao] Renmin Univ China, Natl Acad Dev &amp; Strategy, Beijing, Peoples R China; [Yu, Yingjie] Jinan Univ, Inst Econ &amp; Social Res, Guangzhou, Peoples R China</t>
  </si>
  <si>
    <t>Huaqiao University; Renmin University of China; Jinan University</t>
  </si>
  <si>
    <t>Pan, YH (corresponding author), Renmin Univ China, Natl Acad Dev &amp; Strategy, Beijing, Peoples R China.</t>
  </si>
  <si>
    <t>panyinghao@ruc.edu.cn</t>
  </si>
  <si>
    <t>Pan, Yinghao/AAM-8200-2021; Lan, Jiajun/MBG-8340-2025</t>
  </si>
  <si>
    <t>Pan, Yinghao/0000-0002-4363-9619;</t>
  </si>
  <si>
    <t>National Natural Science Foundation of China [72003072]; Social Science Planning Project of Fujian Province [FJ2023MGCA015]; National Social Science Foundation of China [21CJY045]</t>
  </si>
  <si>
    <t>National Natural Science Foundation of China(National Natural Science Foundation of China (NSFC)); Social Science Planning Project of Fujian Province; National Social Science Foundation of China(National Office of Philosophy and Social Sciences)</t>
  </si>
  <si>
    <t>Jiajun Lan acknowledges financial support from the National Natural Science Foundation of China (No. 72003072) and the Social Science Planning Project of Fujian Province (No. FJ2023MGCA015). Yinghao Pan acknowledges financial support from the National Social Science Foundation of China (No. 21CJY045). The main data is from the Chinese General Social Survey, conducted by the National Survey Research Center and the Renmin University of China, and The Peking University Digital Financial Inclusion Index of China. We appreciate the granting of the data access.</t>
  </si>
  <si>
    <t>FEB 19</t>
  </si>
  <si>
    <t>10.1080/00036846.2023.2244249</t>
  </si>
  <si>
    <t>DJ4M3</t>
  </si>
  <si>
    <t>WOS:001044249600001</t>
  </si>
  <si>
    <t>Dhar, BK; Roshid, MM; Dissanayake, S; Chawla, U; Faheem, M</t>
  </si>
  <si>
    <t>Dhar, Bablu Kumar; Roshid, Md. Mustaqim; Dissanayake, Sulochana; Chawla, Udit; Faheem, Muhammad</t>
  </si>
  <si>
    <t>Leveraging FinTech and GreenTech for long-term sustainability in South Asia: Strategic pathways toward Agenda 2050</t>
  </si>
  <si>
    <t>GREEN TECHNOLOGIES AND SUSTAINABILITY</t>
  </si>
  <si>
    <t>FinTech; GreenTech; Digital sustainability; Climate innovation; Financial inclusion; South Asia</t>
  </si>
  <si>
    <t>As the global community moves beyond the 2030 horizon, long-term sustainability goals such as climate neutrality, digital equity, and resilient infrastructure are determining the emerging Agenda 2050-a forwardlooking framework for deep sustainability transitions. This study explores how the synergistic integration of Financial Technology (FinTech) and Green Technology (GreenTech) can be used as transformative enablers of sustainable development across South Asia over the coming decades. Utilizing a qualitative thematic analysis of secondary data drawn from peer-reviewed literature, institutional reports, and country case evidence, the research identifies scalable FinTech solutions-including blockchain, digital wallets, RegTech, and green insurance-and complementary GreenTech applications such as solar energy systems, hydropower, green architecture, and sustainable mobility. The analysis highlights how FinTech can catalyze GreenTech diffusion by improving financial access, mobilizing green investments, and enabling real-time sustainability tracking. By assessing current technological trends and institutional readiness across Bangladesh, India, Pakistan, and Sri Lanka, the study provides strategic insights into building integrated digital-environmental ecosystems for Agenda 2050. Key innovations of this study include the application of a dual theoretical framework, Technology Organization Environment (TOE) and Sociotechnical Systems Theory, to analyze FinTech-GreenTech synergies, and a forward-oriented policy roadmap for long-term sustainability in low- and middle-income countries The findings are particularly relevant for policymakers, central banks, private innovators, and development agencies seeking to operationalize long-term sustainability through cross-sectoral technology pathways.</t>
  </si>
  <si>
    <t>[Dhar, Bablu Kumar] Mahidol Univ, Mahidol Univ Int Coll, Business Adm Div, Salaya, Thailand; [Roshid, Md. Mustaqim] Univ Rajshahi, Dept Management Studies, Rajshahi 6205, Bangladesh; [Dissanayake, Sulochana] Queensland Univ Technol, Fac Business &amp; Law, Sch Accountancy, Brisbane, Australia; [Dissanayake, Sulochana] Rajarata Univ Sri Lanka, Fac Management Studies, Dept Accountancy &amp; Finance, Mihintale, Sri Lanka; [Chawla, Udit] Sch Univ Engn &amp; Management, Inst Engn &amp; Management, Dept Business Adm, Kolkata, W Bengal, India; [Faheem, Muhammad] Bahauddin Zakariya Univ, Sch Econ, Multan, Pakistan; [Roshid, Md. Mustaqim] Varendra Univ, Dept Business Adm, Rajshahi 6204, Bangladesh</t>
  </si>
  <si>
    <t>Mahidol University; University of Rajshahi; Queensland University of Technology (QUT); Rajarata University of Sri Lanka; Institute of Engineering &amp; Management (IEM), Kolkata; Bahauddin Zakariya University</t>
  </si>
  <si>
    <t>Dhar, BK (corresponding author), Mahidol Univ, Mahidol Univ Int Coll, Business Adm Div, Salaya, Thailand.</t>
  </si>
  <si>
    <t>bablu.kum@mahidol.ac.th; mustaqimroshid@gmail.com; sulochana@mgt.rjt.ac.lk; udit.chawla@uem.edu.in; faheem@bzu.edu.pk</t>
  </si>
  <si>
    <t>Dhar, Bablu Kumar/ABA-2055-2020; , Mustaqim Roshid/IYJ-2246-2023; Dissanayake, Sulochana/LZI-2301-2025; CHAWLA, UDIT/HOC-5217-2023; Faheem, Muhammad/HHS-6412-2022</t>
  </si>
  <si>
    <t>Dhar, Bablu Kumar/0000-0001-8768-8634; , Mustaqim Roshid/0000-0001-8517-6336; Dissanayake, Sulochana/0000-0002-7457-0976; CHAWLA, UDIT/0000-0002-1017-5635;</t>
  </si>
  <si>
    <t>2949-7361</t>
  </si>
  <si>
    <t>GREEN TECHNOL SUST</t>
  </si>
  <si>
    <t>Green Technol. Sustain.</t>
  </si>
  <si>
    <t>10.1016/j.grets.2025.100263</t>
  </si>
  <si>
    <t>Green &amp; Sustainable Science &amp; Technology</t>
  </si>
  <si>
    <t>D4016</t>
  </si>
  <si>
    <t>WOS:001621495400001</t>
  </si>
  <si>
    <t>N'dri, LM; Kakinaka, M</t>
  </si>
  <si>
    <t>N'dri, Lasme Mathieu; Kakinaka, Makoto</t>
  </si>
  <si>
    <t>Financial inclusion, mobile money, and individual welfare: The case of Burkina Faso</t>
  </si>
  <si>
    <t>Financial inclusion; Mobile money; Individual welfare; Poverty reduction; Burkina Faso</t>
  </si>
  <si>
    <t>MICROFINANCE EVIDENCE; MICROCREDIT EVIDENCE; IMPACTS; BANKING; POVERTY; ACCESS; GROWTH; ENTREPRENEURSHIP; SERVICES; SAVINGS</t>
  </si>
  <si>
    <t>Access to financial services promotes investment and facilitates consumption smoothing by enhancing resource mobilization. Over 60 percent of Burkinabe adults are excluded from financial services by banks and other nonbank financial institutions, so mobile money is expected to bridge this gap. Accounting for the importance of financial inclusion with the rapid prevalence of mobile money, this paper assesses the effects of financial inclusion and mobile money use on an individual's nonmonetary welfare in Burkina Faso by applying matching methods. The results confirm the significant role of financial inclusion in alleviating poverty. More importantly, our analysis shows that once individuals access financial services through mobile money, such favorable effects on poverty alleviation become more substantial. Financial regulators in Burkina Faso should promote financial inclusion with mobile money to ensure the efficient enhancement of individual welfare with poverty reduction.</t>
  </si>
  <si>
    <t>[N'dri, Lasme Mathieu] Hiroshima Univ, Grad Sch Int Dev &amp; Cooperat, 1-5-1 Kagamiyama, Higashihiroshima, Hiroshima 7398529, Japan; [N'dri, Lasme Mathieu] Univ Felix Houphouet Boigny, 01 BPV 34, Abidjan 01, Cote Ivoire; [Kakinaka, Makoto] Hiroshima Univ, Network Educ &amp; Res Peace &amp; Sustainabil NERPS, 1-3-1 Kagamiyama, Higashihiroshima, Hiroshima 7398530, Japan</t>
  </si>
  <si>
    <t>Hiroshima University; Universite Felix Houphouet-Boigny; Hiroshima University</t>
  </si>
  <si>
    <t>N'dri, LM (corresponding author), Hiroshima Univ, Grad Sch Int Dev &amp; Cooperat, 1-5-1 Kagamiyama, Higashihiroshima, Hiroshima 7398529, Japan.</t>
  </si>
  <si>
    <t>lasmemathieu@hiroshima-u.ac.jp; kakinaka@hiroshima-u.ac.jp</t>
  </si>
  <si>
    <t>Kakinaka, Makoto/O-2150-2015</t>
  </si>
  <si>
    <t>Kakinaka, Makoto/0000-0003-2349-1976</t>
  </si>
  <si>
    <t>10.1016/j.telpol.2020.101926</t>
  </si>
  <si>
    <t>LK8BH</t>
  </si>
  <si>
    <t>WOS:000531084800006</t>
  </si>
  <si>
    <t>Bylander, M; Res, P</t>
  </si>
  <si>
    <t>Bylander, Maryann; Res, Phasy</t>
  </si>
  <si>
    <t>'If You Fall, Stand Up Again': The Moral Nature of Financial Literacy in the Global South</t>
  </si>
  <si>
    <t>DEVELOPMENT AND CHANGE</t>
  </si>
  <si>
    <t>OVER-INDEBTEDNESS; RURAL-DEVELOPMENT; MICROFINANCE; MICROCREDIT; CREDIT; GENDER; RISK; NEOLIBERALISM; POLICY</t>
  </si>
  <si>
    <t>Over the past decade a range of development actors have begun to implement financial literacy training in low-income countries. These programmes have become a key pillar of financial inclusion projects targeting the rural poor but, to date, they have received little scholarly attention. This article draws on ethnographic observation of two financial literacy programmes implemented by microfinance institutions in Cambodia to examine the current practices of financial education in the global South. The findings highlight that while financial literacy training purports to be a technical, skill-building intervention aimed at enabling knowledge, its practices work primarily to impress upon borrowers moral lessons associated with creditworthiness, while also stressing individual responsibility for debt stress. In this way, it furthers the goals of financial providers, but fails to address the complex and real problems of debt stress. The authors suggest that financial literacy, at least where it is enacted by microfinance providers, is unlikely to moderate the problems of over-indebtedness faced by rural borrowers.</t>
  </si>
  <si>
    <t>[Bylander, Maryann] Lewis &amp; Clark Coll, Sociol, Portland, OR 97219 USA; [Res, Phasy] Univ Paris 1 Pantheon Sorbonne, Sociol, Paris, France</t>
  </si>
  <si>
    <t>Lewis &amp; Clark College</t>
  </si>
  <si>
    <t>Bylander, M (corresponding author), Lewis &amp; Clark Coll, Sociol, Portland, OR 97219 USA.</t>
  </si>
  <si>
    <t>bylander@lclark.edu; Phasy.Res@etu.univ-paris1.fr</t>
  </si>
  <si>
    <t>0012-155X</t>
  </si>
  <si>
    <t>1467-7660</t>
  </si>
  <si>
    <t>DEV CHANGE</t>
  </si>
  <si>
    <t>Dev. Change</t>
  </si>
  <si>
    <t>10.1111/dech.12627</t>
  </si>
  <si>
    <t>NOV 2020</t>
  </si>
  <si>
    <t>PS2EQ</t>
  </si>
  <si>
    <t>WOS:000589533400001</t>
  </si>
  <si>
    <t>Ezzahid, E; Elouaourti, Z</t>
  </si>
  <si>
    <t>Ezzahid, Elhadj; Elouaourti, Zakaria</t>
  </si>
  <si>
    <t>Financial inclusion, mobile banking, informal finance and financial exclusion: micro-level evidence from Morocco</t>
  </si>
  <si>
    <t>Financial inclusion; Financial inclusion index; Financial exclusion; Mobile banking; Informal finance; Probit model; Principal component analysis; Morocco; C35; G2</t>
  </si>
  <si>
    <t>Purpose This study has a dual purpose. The first is constructing a financial inclusion index to investigate if the reforms implemented during the last decades at the macroeconomic and sectoral levels have contributed to increase the financial inclusion level in Morocco. The second is to deepen the investigation to explore the impact of these reforms at the microeconomic level, by focusing on six major issues: determinants of financial inclusion, links between individual characteristics and barriers to financial inclusion, determinants of mobile banking use, motivations for saving, credit objectives and determinants of resorting to informal finance. Design/methodology/approach First, the principal component analysis methodology is mobilized to construct a financial inclusion index for Morocco. Second, the probit model methodology on a micro-level database of 5,110 Moroccan adults is used. Findings First, the financial inclusion index shows that financial inclusion in Morocco over the last two decades has followed different trends. The first period (1999-2004) was characterized by a slight upswing in the level of financial inclusion. In the second period (2004-2012), the level of financial inclusion increased significantly. During the third period (2012-2019), the financial inclusion maintained almost the same level. Second, empirical results showed that the determinants of formal finance and mobile banking are different from those of informal finance. Having a high educational attainment and being a participant in the labor market fosters financial inclusion. Concerning financial exclusion determinants, the results emphasized that a high educational attainment reduces the barriers leading to voluntary exclusion. As income level increases, barriers of involuntary exclusion such as lack of money become surmountable. Although remoteness and high cost are the major barriers to financial inclusion of all Moroccan social classes, the development of mobile banking allows to eliminate, smoothen and/or loosen all barriers sources of involuntary exclusion. As for the barriers causing voluntary exclusion, the Islamic finance model constitutes a lever for the inclusion of population segments excluded for religious reasons. As for the determinants of the recourse to informal finance, being a woman, an older person and having a low educational level (no more than secondary education) increase the probability to turn to informal finance. Research limitations/implications The main limitation of this study is the non-availability of data on the two dimensions (quality and welfare) of financial inclusion. The composite index is constructed on the basis of two dimensions (access and use) for which data are available. Practical implications This study has three main implications. In practice, with the launching of the National Strategy for Financial Inclusion, this work provides empirical grounded evidence that contributes to design financial inclusion policies in Morocco. In research, while the debate on financial inclusion, mobile banking and informal finance has been raging in recent years, Morocco, like many other African countries, has not received coverage on these topics at the household level. Social implications For society, this study provides considerable insight about the segments of population that are financially excluded and the main reasons for their exclusion. Originality/value This study enriches the existing literature with four essential contributions. First, it analyzes the evolution of the level of financial inclusion in the Moroccan economy through the development of a synthetic index. Second, it is the first to study the Moroccan population's financial behavior on the basis of micro-level data, which will help understand more precisely their financial behavior and the main obstacles to their inclusion. Third, this study explores the determinants of the use of mobile banking. Fourth, it sheds some light on the main determinants of the recourse to informal finance.</t>
  </si>
  <si>
    <t>[Ezzahid, Elhadj; Elouaourti, Zakaria] Mohammed V Univ Rabat, Rabat, Morocco</t>
  </si>
  <si>
    <t>Elouaourti, Z (corresponding author), Mohammed V Univ Rabat, Rabat, Morocco.</t>
  </si>
  <si>
    <t>ezzahidelhadj@gmail.com; zakariaelouaourti@gmail.com</t>
  </si>
  <si>
    <t>ELOUAOURTI, Zakaria/0000-0001-6986-3849; EZZAHID, ELHADJ/0000-0002-7116-4702</t>
  </si>
  <si>
    <t>JUN 22</t>
  </si>
  <si>
    <t>10.1108/IJSE-11-2020-0747</t>
  </si>
  <si>
    <t>SW6ZQ</t>
  </si>
  <si>
    <t>WOS:000644934700001</t>
  </si>
  <si>
    <t>Catalini, C; de Gortari, A; Shah, N</t>
  </si>
  <si>
    <t>Catalini, Christian; de Gortari, Alonso; Shah, Nihar</t>
  </si>
  <si>
    <t>Some Simple Economics of Stablecoins</t>
  </si>
  <si>
    <t>ANNUAL REVIEW OF FINANCIAL ECONOMICS</t>
  </si>
  <si>
    <t>cryptocurrency; Bitcoin; blockchain; stablecoins; CBDC; central bank digital currency; digital currency</t>
  </si>
  <si>
    <t>Stablecoins have the potential to drastically increase competition and innovation in financial services by reducing our reliance on traditional intermediaries. But they also introduce new challenges, as regulators rely on intermediaries to ensure financial stability, market integrity, and consumer protection. Because they operate at the interface between traditional banking and cryptocurrencies, stablecoins also represent an ideal setting for understanding the key trade-offs cryptocurrencies involve, and insights from robust stablecoin design and regulation are highly relevant for related innovations in decentralized finance (DeFi), nonfungible tokens, and Web3 protocols. In this review, we describe the following: key stablecoin design choices, from reserve composition to stability mechanism; legal claim against the issuer; noninterference with macroeconomic stability; and interoperability with public sector payment rails and central bank digital currencies. Last, we cover the key benefits of stablecoins in the context of real-time, low-cost programmable payments, financial inclusion, and DeFi.</t>
  </si>
  <si>
    <t>[Catalini, Christian] MIT, Sloan Sch Management, 77 Massachusetts Ave, Cambridge, MA 02139 USA; [Catalini, Christian] Diem Assoc, Washington, DC 20405 USA; [de Gortari, Alonso; Shah, Nihar] Novi Financial Inc, Menlo Pk, CA USA</t>
  </si>
  <si>
    <t>Catalini, C (corresponding author), MIT, Sloan Sch Management, 77 Massachusetts Ave, Cambridge, MA 02139 USA.;Catalini, C (corresponding author), Diem Assoc, Washington, DC 20405 USA.</t>
  </si>
  <si>
    <t>catalini@mit.edu</t>
  </si>
  <si>
    <t>4139 EL CAMINO WAY, PO BOX 10139, PALO ALTO, CA 94303-0139 USA</t>
  </si>
  <si>
    <t>1941-1367</t>
  </si>
  <si>
    <t>1941-1375</t>
  </si>
  <si>
    <t>ANNU REV FINANC ECON</t>
  </si>
  <si>
    <t>Annu. Rev. Financ. Econ.</t>
  </si>
  <si>
    <t>10.1146/annurev-financial-111621-101151</t>
  </si>
  <si>
    <t>5X5NR</t>
  </si>
  <si>
    <t>WOS:000878646900008</t>
  </si>
  <si>
    <t>Lwesya, F; Mwakalobo, ABS</t>
  </si>
  <si>
    <t>Lwesya, Francis; Mwakalobo, Adam Beni Swebe</t>
  </si>
  <si>
    <t>Frontiers in microfinance research for small and medium enterprises (SMEs) and microfinance institutions (MFIs): a bibliometric analysis</t>
  </si>
  <si>
    <t>Microfinance; Microfinance institutions; SMEs; Microcredit; Bibliometric analysis</t>
  </si>
  <si>
    <t>FINANCIAL INCLUSION; BUSINESS; CREDIT; PERFORMANCE; ENTREPRENEURSHIP; MICROCREDIT; POVERTY; DETERMINANTS; BANKING; ACCESS</t>
  </si>
  <si>
    <t>This article aims to present current research trends in microfinance for small and medium enterprises (SMEs) and microfinance institutions (MFIs), as microfinance plays an increasingly role in entrepreneurship development and poverty alleviation. The study uses a bibliometric analysis, in this work, we performed citation, bibliographic coupling, and keyword evolution analyses. The results show that research in microfinance for SMEs and microfinance institutions continue to grow. The authors found that recent research in microfinance for SMEs and microfinance institutions has evolved around eight thematic clusters, covering (1) access to and constraints on microcredit for SMEs (2) microfinance and economic empowerment, (3) sustainability of MFIs, (4) creditworthiness, microfinance technology infrastructure and financing patterns, (5) Islamic financial inclusion, (6) credit assessment models for microcredit, (7) microfinance and innovative business models, and (8) gender and equity crowdfunding. Research gaps in each of the thematic clusters are identified. Topics related to COVID-19, Islamic social finance, microfinance institutions, credit scoring models, crowdfunding, and entrepreneurial finance are likely to feature in the domain of microfinance and sustainability of MFIs in future.</t>
  </si>
  <si>
    <t>[Lwesya, Francis] Univ Dodoma, Dept Business Adm &amp; Management, Dodoma, Tanzania; [Mwakalobo, Adam Beni Swebe] Univ Dodoma, Dept Econ &amp; Stat, Dodoma, Tanzania</t>
  </si>
  <si>
    <t>Lwesya, F (corresponding author), Univ Dodoma, Dept Business Adm &amp; Management, Dodoma, Tanzania.</t>
  </si>
  <si>
    <t>flwesya@yahoo.com</t>
  </si>
  <si>
    <t>Lwesya, Francis/0000-0002-0415-1215</t>
  </si>
  <si>
    <t>APR 20</t>
  </si>
  <si>
    <t>10.1186/s43093-023-00195-3</t>
  </si>
  <si>
    <t>D8DD5</t>
  </si>
  <si>
    <t>WOS:000970969300001</t>
  </si>
  <si>
    <t>Davlatov, E; Sági, J</t>
  </si>
  <si>
    <t>Davlatov, Elyor; Sagi, Judit</t>
  </si>
  <si>
    <t>The Transmission Mechanism of Monetary Policy and Central Bank Digital Currency: A New Monetary Order?</t>
  </si>
  <si>
    <t>Digital currency; inventions; transmission channels; industry; E52</t>
  </si>
  <si>
    <t>Over the last decade, monetary policy frameworks and instruments have undergone significant modifications. In this regard, Central Bank Digital Currency (CBDC) has emerged as a new money invention to offset the advancement of cryptocurrencies and maintain central ability to distribute cash as a common good. Thus, the purpose of this study is to examine how the adoption of CBDC can change monetary policy transmission mechanism. CBDC can disintermediate the conventional banking industry and produce inflationary pressure through the money supply unless central banks adopt suitable regulatory frameworks to facilitate a seamless transition. On the other hand, a well-structured CBDC can encourage increased financial inclusion, resulting in a favourable outcome on the interest rate pass-through of monetary policy. Meanwhile, since interest-bearing CBDC can affect bank reserves, deposit rates and lending policies, it can also have an impact on the credit channel.</t>
  </si>
  <si>
    <t>[Davlatov, Elyor] Univ Szeged, Szeged, Hungary; [Sagi, Judit] Budapest Business Univ, Budapest, Hungary</t>
  </si>
  <si>
    <t>Szeged University; Budapest University of Economics &amp; Business (BUEB)</t>
  </si>
  <si>
    <t>Davlatov, E (corresponding author), Univ Szeged, Szeged, Hungary.</t>
  </si>
  <si>
    <t>davlatov.elyor@o365.u-szeged.hu; sagi.judit@uni-bge.hu</t>
  </si>
  <si>
    <t>Davlatov, Elyor/OSI-4988-2025; Sági, Judit/AAL-9052-2020</t>
  </si>
  <si>
    <t>Davlatov, Elyor/0000-0002-9467-430X;</t>
  </si>
  <si>
    <t>10.2478/jcbtp-2025-0006</t>
  </si>
  <si>
    <t>S8M4G</t>
  </si>
  <si>
    <t>WOS:001400694200010</t>
  </si>
  <si>
    <t>Mao, FF; Wang, YF; Zhu, MS</t>
  </si>
  <si>
    <t>Mao, Fengfu; Wang, Yuanfan; Zhu, Mengsi</t>
  </si>
  <si>
    <t>Digital financial inclusion, traditional finance system and household entrepreneurship</t>
  </si>
  <si>
    <t>Digital financial inclusion; Traditional finance system; Household entrepreneurship; Willingness to borrow; Financial literacy</t>
  </si>
  <si>
    <t>LITERACY; GROWTH</t>
  </si>
  <si>
    <t>This study examines the impact of digital financial inclusion (DFI) on household entrepreneurship and the role of the traditional finance system (TFS). The results show that a 1% increase in DFI increases entrepreneurship by 0.264%. Improved willingness to borrow and financial literacy enhance DFI's effect. DFI and TFS have a willingness to borrow competitive relationship but a financial literacy synergistic relationship. The DFI-TFS relationship exhibits heterogeneity based on the rural-urban divide, bank types, and entrepreneurial motivations. These findings offer insights into the interplay between DFI and TFS in promoting household entrepreneurship.</t>
  </si>
  <si>
    <t>[Mao, Fengfu; Wang, Yuanfan; Zhu, Mengsi] Zhejiang Gongshang Univ, Sch Econ, Hangzhou, Peoples R China; [Wang, Yuanfan] Zhejiang Gongshang Univ, 18 Xuezheng St, Hangzhou 310018, Peoples R China</t>
  </si>
  <si>
    <t>Zhejiang Gongshang University; Zhejiang Gongshang University</t>
  </si>
  <si>
    <t>Wang, YF (corresponding author), Zhejiang Gongshang Univ, 18 Xuezheng St, Hangzhou 310018, Peoples R China.</t>
  </si>
  <si>
    <t>ff-mao@163.com; wangyfa11@126.com</t>
  </si>
  <si>
    <t>Wang, Yuanfan/GXW-1852-2022</t>
  </si>
  <si>
    <t>National Natural Science Foundation of China [72004202]; Zhejiang Provincial National Natural Science Foundation [LY19G030005]; Anhui Provincial National Natural Science Foundation [2108085QG303]</t>
  </si>
  <si>
    <t>National Natural Science Foundation of China(National Natural Science Foundation of China (NSFC)); Zhejiang Provincial National Natural Science Foundation; Anhui Provincial National Natural Science Foundation</t>
  </si>
  <si>
    <t>Acknowledgments This research was supported by the National Natural Science Foundation of China (Grant No. 71974174) , the National Natural Science Foundation of China (Grant No. 72004202) , the Zhejiang Provincial National Natural Science Foundation (Grant No. LY19G030005) , and the Anhui Provincial National Natural Science Foundation (Grant No. 2108085QG303) .</t>
  </si>
  <si>
    <t>10.1016/j.pacfin.2023.102076</t>
  </si>
  <si>
    <t>M8HO3</t>
  </si>
  <si>
    <t>WOS:001032572900001</t>
  </si>
  <si>
    <t>Shen, Y; Hueng, CJ; Hu, WX</t>
  </si>
  <si>
    <t>Shen, Yan; Hueng, C. James; Hu, Wenxiu</t>
  </si>
  <si>
    <t>Measurement and spillover effect of digital financial inclusion: a cross-country analysis</t>
  </si>
  <si>
    <t>APPLIED ECONOMICS LETTERS</t>
  </si>
  <si>
    <t>Financial inclusion index; digital financial inclusion; Moran’ s I; regional aggregation</t>
  </si>
  <si>
    <t>Measures of national financial inclusion mostly focus on traditional financial services and ignore the role of digital finance. We incorporate several digital elements of financial inclusion and construct a comprehensive index of digital financial inclusion for 101 countries in 2017. The spatial distribution of the index shows a strong geographical aggregation and a clustered pattern in national income groups. Regions with higher-income countries tend to have better digital financial inclusion. However, digital technology has helped several low-income countries to improve their financial inclusion. But this improvement does not spillover to other low-income countries in the region.</t>
  </si>
  <si>
    <t>[Shen, Yan; Hu, Wenxiu] Xian Univ Technol, Dept Accounting &amp; Finance, Xian 710054, Shaanxi, Peoples R China; [Hueng, C. James] Changsha Univ Sci Technol, Sch Econ &amp; Management, Changsha 410077, Hunan, Peoples R China; [Hueng, C. James] Western Michigan Univ, Dept Econ, Kalamazoo, MI 49008 USA</t>
  </si>
  <si>
    <t>Xi'an University of Technology; Changsha University of Science &amp; Technology; Western Michigan University</t>
  </si>
  <si>
    <t>Hueng, CJ (corresponding author), Changsha Univ Sci Technol, Sch Econ &amp; Management, Changsha 410077, Hunan, Peoples R China.</t>
  </si>
  <si>
    <t>James.Hueng@wmich.edu</t>
  </si>
  <si>
    <t>Hu, Wenxiu/OAJ-8711-2025; Hueng, C James/AAL-9428-2020</t>
  </si>
  <si>
    <t>Hu, Wenxiu/0009-0004-7445-4782; Hueng, C James/0000-0002-9135-532X</t>
  </si>
  <si>
    <t>1350-4851</t>
  </si>
  <si>
    <t>1466-4291</t>
  </si>
  <si>
    <t>APPL ECON LETT</t>
  </si>
  <si>
    <t>Appl. Econ. Lett.</t>
  </si>
  <si>
    <t>NOV 28</t>
  </si>
  <si>
    <t>10.1080/13504851.2020.1853663</t>
  </si>
  <si>
    <t>WK8VF</t>
  </si>
  <si>
    <t>WOS:000596634500001</t>
  </si>
  <si>
    <t>Kattan-Rodríguez, GE; Galindo-Manrique, AF</t>
  </si>
  <si>
    <t>Kattan-Rodriguez, Gerardo Enrique; Galindo-Manrique, Alicia Fernanda</t>
  </si>
  <si>
    <t>From Access to Impact: How Digital Financial Inclusion Drives Sustainable Development</t>
  </si>
  <si>
    <t>digital financial inclusion; economic growth; sustainable development goals; data panel; quantile regression; simultaneous equation model</t>
  </si>
  <si>
    <t>ECONOMIC-GROWTH; QUANTILE REGRESSION; INEQUALITY; EDUCATION; TEACHERS; STUDENTS; PANEL</t>
  </si>
  <si>
    <t>This study examines the combined impact of fintech and financial inclusion on achieving the United Nations' Sustainable Development Goals (SDGs). Previous research has emphasized the role of financial inclusion in reducing poverty, strengthening resilience, and promoting economic stability; however, its interaction with fintech in advancing sustainability remains less examined. Using four composite indices incorporating updated variables, expanded country coverage, and a broader temporal scope, this analysis evaluates digital financial channels, including formal access, mobile money, digital credit, transfers, and rural finance, across SDGs 3, 4, 8, and 9. The findings indicate that formal access is associated with lower maternal mortality (SDG 3) and contributes positively to decent work and economic growth (SDG 8), as well as industry, innovation, and infrastructure (SDG 9). Digital credit and transfers help ease liquidity constraints in high-inequality regions, while mobile money enhances education outcomes (SDG 4) under robust governance, supporting informal labor markets. Rural finance strengthens innovation and infrastructure development in underserved areas, reinforcing SDG 9. A simultaneous equation model provides evidence of bidirectional relationships among financial inclusion, fintech adoption, and sustainable development, underscoring their mutual reinforcement rather than strict causality. Overall, the study highlights the systemic interconnection between finance and sustainability and emphasizes the importance of governance, infrastructure, and regulation in maximizing developmental benefits.</t>
  </si>
  <si>
    <t>[Kattan-Rodriguez, Gerardo Enrique; Galindo-Manrique, Alicia Fernanda] Inst Tecnol &amp; Estudios Super Monterrey, EGADE Business Sch, Monterrey 64700, Mexico</t>
  </si>
  <si>
    <t>Tecnologico de Monterrey</t>
  </si>
  <si>
    <t>Galindo-Manrique, AF (corresponding author), Inst Tecnol &amp; Estudios Super Monterrey, EGADE Business Sch, Monterrey 64700, Mexico.</t>
  </si>
  <si>
    <t>gerardo.kattan@tec.mx; alicia.galindo@tec.mx</t>
  </si>
  <si>
    <t>Galindo Manrique, Alicia/ACV-7887-2022</t>
  </si>
  <si>
    <t>10.3390/su172310799</t>
  </si>
  <si>
    <t>R1928</t>
  </si>
  <si>
    <t>WOS:001635345400001</t>
  </si>
  <si>
    <t>Infante, S; Kim, K; Orlik, A; Silva, AF; Tetlow, R</t>
  </si>
  <si>
    <t>Infante, Sebastian; Kim, Kyungmin; Orlik, Anna; Silva, Andre F.; Tetlow, Robert</t>
  </si>
  <si>
    <t>Retail CBDC: Implications for Banking and Financial Stability</t>
  </si>
  <si>
    <t>central bank digital currency; bank disintermediation; financial stability; central bank balance sheet; payment system</t>
  </si>
  <si>
    <t>MONETARY-POLICY; LIQUIDITY; ADVANTAGE; INSURANCE; DEMAND; RISE; TERM</t>
  </si>
  <si>
    <t>This article reviews the literature examining how the introduction of a retail central bank digital currency (CBDC) would affect a modern economy, focusing on the implications for the banking sector and for financial stability. A CBDC can improve welfare by reducing financial frictions, countering market power in deposit markets, encouraging financial inclusion, and enhancing the payment system. However, a CBDC also entails noteworthy risks, including the possibility of bank disintermediation and associated contraction in bank credit, as well as potential adverse effects on financial stability. The recycling of the new CBDC liability through asset purchases or lending by the central bank plays an important role in determining the economic consequences of the introduction of a CBDC, raising fundamental questions about the footprint of central banks in the financial system. Ultimately, the effects of a CBDC depend critically on its design features, particularly remuneration.</t>
  </si>
  <si>
    <t>[Infante, Sebastian; Kim, Kyungmin; Orlik, Anna; Silva, Andre F.; Tetlow, Robert] Board Governors Fed Reserve Syst, Washington, DC 20001 USA</t>
  </si>
  <si>
    <t>Federal Reserve System - USA; Federal Reserve System Board of Governors</t>
  </si>
  <si>
    <t>Tetlow, R (corresponding author), Board Governors Fed Reserve Syst, Washington, DC 20001 USA.</t>
  </si>
  <si>
    <t>robert.j.tetlow@frb.gov</t>
  </si>
  <si>
    <t>10.1146/annurev-financial-082123-105958</t>
  </si>
  <si>
    <t>L2U7S</t>
  </si>
  <si>
    <t>WOS:001349328500009</t>
  </si>
  <si>
    <t>Pauli, M</t>
  </si>
  <si>
    <t>Pauli, Markus</t>
  </si>
  <si>
    <t>Market for 33 percent interest loans: Financial inclusion and microfinance in India</t>
  </si>
  <si>
    <t>INDIA REVIEW</t>
  </si>
  <si>
    <t>Financial inclusion is the process of building viable institutions that provide financial services to those hitherto excluded. These may include savings, insurances, remittances, and credit. Microfinance became the most dominant method for achieving financial inclusion. However, different microfinance schools of thought recommend opposite ways for attaining financial integration. India is a particularly insightful case study due to the sheer number of people excluded from formal financial services, as well as the spectrum of actors and approaches. The aim of this article is threefold. The first aim is to define financial inclusion, depicting its status quo in India and comparing it to its South Asian and Brazil, Russia, India, China, and South Africa (BRICS) peers using recently released data from the Global Findex database. The second aim is to focus on microfinance as the dominant vehicle for achieving financial inclusion by scrutinizing its definitions, contrasting its two leading schools of thought, and analyzing the central role of its dominant group-based approach. The third aim of the article will examine why people opt to take micro-credit at 33 percent interest rates.</t>
  </si>
  <si>
    <t>[Pauli, Markus] Natl Univ Singapore, Polit Sci Dept, Singapore, Singapore</t>
  </si>
  <si>
    <t>Pauli, M (corresponding author), Natl Univ Singapore, Polit Sci Dept, Singapore, Singapore.</t>
  </si>
  <si>
    <t>markus.f.pauli@gmail.com</t>
  </si>
  <si>
    <t>Pauli, Markus/AGW-5101-2022</t>
  </si>
  <si>
    <t>Pauli, Markus/0000-0003-0799-280X</t>
  </si>
  <si>
    <t>1473-6489</t>
  </si>
  <si>
    <t>1557-3036</t>
  </si>
  <si>
    <t>INDIA REV</t>
  </si>
  <si>
    <t>India Rev.</t>
  </si>
  <si>
    <t>10.1080/14736489.2019.1576988</t>
  </si>
  <si>
    <t>IB4UQ</t>
  </si>
  <si>
    <t>WOS:000470268000005</t>
  </si>
  <si>
    <t>Albert, JF; Gómez-Fernández, N</t>
  </si>
  <si>
    <t>Albert, Juan-Francisco; Gomez-Fernandez, Nerea</t>
  </si>
  <si>
    <t>Is the Eurozone an optimal area to suppress cash? An analysis of financial inclusion and cash use</t>
  </si>
  <si>
    <t>Blockchain; Cryptocurrency; Eurozone; Financial inclusion; Cash; Global Findex</t>
  </si>
  <si>
    <t>CURRENCY</t>
  </si>
  <si>
    <t>In recent years blockchain technology is revolutionizing the current international payment system. This paper argues that the gradual substitution of cash in the Eurozone for a cryptocurrency based on blockchain technology, could lead to great microeconomic and macroeconomic advantages. However, to carry out a political decision of this magnitude, it is necessary to ensure that all agents will have the necessary means to carry out their transactions. Therefore, this paper analyzes the financial inclusion and use of cash in the Eurozone - using microdata from the Global Findex survey of the World Bank - in order to discern whether a proposal to substitute cash for virtual money would be timely or advisable. The descriptive and econometric results show a lower financial inclusion and a greater use of cash in the Eurozone than in monetary areas of similar level of development, although there is great heterogeneity among countries. Likewise, it is observed that the probability of using cash is greater for individuals with tower income and education levels. Based on the results, it is concluded that the possible proposals that advocate the total elimination of cash in the Eurozone should be carried out gradually and with strong public support to the sectors of the population with lower levels of income and education.</t>
  </si>
  <si>
    <t>[Albert, Juan-Francisco] Univ Valencia, Dept Econ Aplicada, Valencia, Spain; [Gomez-Fernandez, Nerea] Univ Politecn Valencia, Ctr Gest Calidad &amp; Cambio, Valencia, Spain</t>
  </si>
  <si>
    <t>University of Valencia; Universitat Politecnica de Valencia</t>
  </si>
  <si>
    <t>Albert, JF (corresponding author), Univ Valencia, Dept Econ Aplicada, Valencia, Spain.</t>
  </si>
  <si>
    <t>juan.f.albert@uv.es; negofer@upv.es</t>
  </si>
  <si>
    <t>Gómez-Fernández, Nerea/R-2595-2017; Albert, Juan-Francisco/AAY-8105-2021</t>
  </si>
  <si>
    <t>Gómez-Fernández, Nerea/0000-0001-7342-5729; Albert, Juan-Francisco/0000-0002-2014-6387</t>
  </si>
  <si>
    <t>ASOC CUADERNOS ECONOMIA, DEPT ECONOMIC ANALYSIS</t>
  </si>
  <si>
    <t>FAC CIENCIAS ECON &amp; EMPRESARIALES, UNIV AUTONOMA MADRID, C/FRANCISCOS TOMAS &amp; VALIENTE 5, MADRID, CANTOBLANCO 28049, SPAIN</t>
  </si>
  <si>
    <t>10.32826/cude.v43i121.107</t>
  </si>
  <si>
    <t>JP1LS</t>
  </si>
  <si>
    <t>WOS:000498034300001</t>
  </si>
  <si>
    <t>Zakaria, S; Manaf, SMA; Amron, MT</t>
  </si>
  <si>
    <t>Zakaria, Shahsuzan; Manaf, Suhaily Maizan Abdul; Amron, Mohd Talmizie</t>
  </si>
  <si>
    <t>Fintech Frenzy: An engaging review of the transforming financial services</t>
  </si>
  <si>
    <t>ENVIRONMENT-BEHAVIOUR PROCEEDINGS JOURNAL</t>
  </si>
  <si>
    <t>5th Advances in Business Research Conference (ABRIC)</t>
  </si>
  <si>
    <t>SEP 27, 2023</t>
  </si>
  <si>
    <t>MALAYSIA</t>
  </si>
  <si>
    <t>UiTM Puncak Alam, Fac Business &amp; Management</t>
  </si>
  <si>
    <t>financial technology; fintech opportunities; fintech challenges; innovation acceptance</t>
  </si>
  <si>
    <t>Advancements, opportunities, and challenges in financial technology (fintech) are comprehensively reviewed in this paper. Fintech, powered by AI and blockchain, revolutionises access to financial services. The narrative review analyses academic databases and industry reports, highlighting fintech themes like mobile payments, peer -to -peer lending, robo-advisors, and blockchain. Opportunities include accessible services, efficiency, and cost savings. However, challenges like cybersecurity, regulation, financial inclusion, resistance to change, and data privacy must be addressed. Responsible and ethical fintech practices are crucial for security, regulation compliance, inclusion, and confidentiality. Fintech's potential to transform finance and enhance lives worldwide is emphasised.</t>
  </si>
  <si>
    <t>[Zakaria, Shahsuzan; Manaf, Suhaily Maizan Abdul] Univ Teknol MARA, Fac Business &amp; Management, Shah Alam, Malaysia; [Amron, Mohd Talmizie] Univ Teknol MARA, Coll Comp Informat &amp; Math, Kuala Terengganu, Malaysia</t>
  </si>
  <si>
    <t>Universiti Teknologi MARA</t>
  </si>
  <si>
    <t>Amron, MT (corresponding author), Univ Teknol MARA, Coll Comp Informat &amp; Math, Kuala Terengganu, Malaysia.</t>
  </si>
  <si>
    <t>shah81@uitm.edu.my; suhailymaizan@uitm.edu.my; talmizie@uitm.edu.my</t>
  </si>
  <si>
    <t>E-IPH LTD UK</t>
  </si>
  <si>
    <t>SHEFFIELD</t>
  </si>
  <si>
    <t>THE LEADMILL, 6 LEADMILL RD, PO BOX STUDIO 7, SHEFFIELD, S1 4SE, ENGLAND</t>
  </si>
  <si>
    <t>2398-4287</t>
  </si>
  <si>
    <t>ENVIRON-BEHAV PROC J</t>
  </si>
  <si>
    <t>Environ.-Behav. Proc. J.</t>
  </si>
  <si>
    <t>10.21834/e-bpj.v9iSI%2019.5775</t>
  </si>
  <si>
    <t>Environmental Studies</t>
  </si>
  <si>
    <t>LG4C7</t>
  </si>
  <si>
    <t>WOS:001185607600011</t>
  </si>
  <si>
    <t>Yang, XL; Huang, YD; Gao, M</t>
  </si>
  <si>
    <t>Yang, Xiaolan; Huang, Yidong; Gao, Mei</t>
  </si>
  <si>
    <t>Can digital financial inclusion promote female entrepreneurship? Evidence and mechanisms</t>
  </si>
  <si>
    <t>Digital financial inclusion; Female entrepreneurship; CFPS</t>
  </si>
  <si>
    <t>FORCE PARTICIPATION EVIDENCE; WOMEN ENTREPRENEURSHIP; GENDER-DIFFERENCES; CONSTRAINTS; ACCESS; GROWTH</t>
  </si>
  <si>
    <t>Female entrepreneurship is important for business and economic development. However, women face greater obstacles than men in accessing financing and information, making it more difficult for them to engage in entrepreneurship. This paper examines the impact of digital financial inclusion on female entrepreneurship by using a national sample consisting of matched data from a digital financial inclusion index and a nationally representative survey. The results show that digital financial inclusion significantly promotes women's entrepreneurial behavior. We find that digital financial inclusion can ease women's financing constraints and provide business information to alleviate their information constraints. Furthermore, the development of digital financial inclusion improves women's work flexibility, inspiring them to engage in entrepreneurship. In addition, digital financial inclusion has a greater effect on entrepreneurship among vulnerable women, such as those with less education or a lack of financial autonomy and those living in areas with high gender inequality, which supports the idea that digital financial inclusion can empower women.</t>
  </si>
  <si>
    <t>[Yang, Xiaolan; Huang, Yidong; Gao, Mei] Shanghai Int Studies Univ, 1550 Wenxiang Rd, Shanghai 201620, Peoples R China</t>
  </si>
  <si>
    <t>Shanghai International Studies University</t>
  </si>
  <si>
    <t>Gao, M (corresponding author), Shanghai Int Studies Univ, Sch Business &amp; Management, 1550 Wenxiang Rd, Shanghai 201620, Peoples R China.</t>
  </si>
  <si>
    <t>0194101314@shisu.edu.cn; mgao@shisu.edu.cn</t>
  </si>
  <si>
    <t>Gao, Mei/HDO-5462-2022</t>
  </si>
  <si>
    <t>National Natural Science Foundation of China [72173088]</t>
  </si>
  <si>
    <t>The first author is supported by the National Natural Science Foundation of China [Grant number 72173088].</t>
  </si>
  <si>
    <t>10.1016/j.najef.2022.101800</t>
  </si>
  <si>
    <t>6G2MV</t>
  </si>
  <si>
    <t>WOS:000884592200011</t>
  </si>
  <si>
    <t>Azergun, N</t>
  </si>
  <si>
    <t>Azergun, Nazli</t>
  </si>
  <si>
    <t>The Exclusionary Politics of Digital Financial Inclusion: Mobile Money, Gendered Walls</t>
  </si>
  <si>
    <t>JOURNAL OF CULTURAL ECONOMY</t>
  </si>
  <si>
    <t>Book Review</t>
  </si>
  <si>
    <t>[Azergun, Nazli] Univ Virginia, Charlottesville, VA 22903 USA</t>
  </si>
  <si>
    <t>University of Virginia</t>
  </si>
  <si>
    <t>Azergun, N (corresponding author), Univ Virginia, Charlottesville, VA 22903 USA.</t>
  </si>
  <si>
    <t>hna2bt@virginia.edu</t>
  </si>
  <si>
    <t>1753-0350</t>
  </si>
  <si>
    <t>1753-0369</t>
  </si>
  <si>
    <t>J CULT ECON-UK</t>
  </si>
  <si>
    <t>J. Cult. Econ.</t>
  </si>
  <si>
    <t>10.1080/17530350.2021.1879213</t>
  </si>
  <si>
    <t>Cultural Studies; Economics; Sociology</t>
  </si>
  <si>
    <t>Cultural Studies; Business &amp; Economics; Sociology</t>
  </si>
  <si>
    <t>SW2CU</t>
  </si>
  <si>
    <t>WOS:000616190000001</t>
  </si>
  <si>
    <t>Asongu, S; Agyemang-Mintah, P</t>
  </si>
  <si>
    <t>Asongu, Simplice; Agyemang-Mintah, Peter</t>
  </si>
  <si>
    <t>The relationship between inequality and poverty in developing countries: mitigating role of virtual social network and internet access in schools</t>
  </si>
  <si>
    <t>Information technology; Inequality; Poverty; D10; D14; D31; D60; O30</t>
  </si>
  <si>
    <t>E-WALLET PROGRAM; FINANCIAL INCLUSION; MOBILE TELEPHONY; ENHANCING ICT; INFORMATION; PARTICIPATION; TECHNOLOGY; INNOVATION; EDUCATION; FARMERS</t>
  </si>
  <si>
    <t>PurposeThis research complements the extant literature on poverty and inequality by assessing the role of virtual social networks and internet access in schools in mitigating the incidence of inequality on poverty.Design/methodology/approachUsing secondary data, the focus of the study is on developing countries and the empirical evidence is based on Tobit regressions.FindingsThe study shows that inequality unconditionally increases poverty while virtual social networks and internet access in schools negatively moderate the effect of inequality on poverty. An extended analysis provides thresholds of virtual social networks and internet access in schools at which, the unconditional positive effect of inequality on poverty is completely dampened and above which, negative incidences on poverty are apparent. These attendant information technology thresholds are below average levels in the sampled countries.Originality/valueThe study complements that extant literature by assessing the role of virtual social networks and internet access in schools in mitigating the incidence of inequality on poverty in developing countries. Policy implications are discussed in the light of Sustainable Development Goals.Peer reviewThe peer review history for this article is available at: https://publons.com/publon/10.1108/IJSE-09-2023-0695</t>
  </si>
  <si>
    <t>[Asongu, Simplice] Univ South Africa, Pretoria, South Africa; [Agyemang-Mintah, Peter] Zayed Univ, Abu Dhabi Campus, Abu Dhabi, U Arab Emirates</t>
  </si>
  <si>
    <t>University of South Africa; Zayed University</t>
  </si>
  <si>
    <t>Agyemang-Mintah, P (corresponding author), Zayed Univ, Abu Dhabi Campus, Abu Dhabi, U Arab Emirates.</t>
  </si>
  <si>
    <t>JAN 22</t>
  </si>
  <si>
    <t>10.1108/IJSE-09-2023-0695</t>
  </si>
  <si>
    <t>S8O9U</t>
  </si>
  <si>
    <t>WOS:001250182400001</t>
  </si>
  <si>
    <t>GENDER PLACE AND CULTURE</t>
  </si>
  <si>
    <t>[Jafri, Juvaria] City Univ London, Dept Int Polit, London EC1V 0HB, England</t>
  </si>
  <si>
    <t>City St Georges, University of London</t>
  </si>
  <si>
    <t>Jafri, J (corresponding author), City Univ London, Dept Int Polit, London EC1V 0HB, England.</t>
  </si>
  <si>
    <t>juvaria.jafri.2@city.ac.uk</t>
  </si>
  <si>
    <t>0966-369X</t>
  </si>
  <si>
    <t>1360-0524</t>
  </si>
  <si>
    <t>GENDER PLACE CULT</t>
  </si>
  <si>
    <t>Gend. Place Cult.</t>
  </si>
  <si>
    <t>10.1080/0966369X.2020.1767886</t>
  </si>
  <si>
    <t>Geography; Women's Studies</t>
  </si>
  <si>
    <t>RG2HP</t>
  </si>
  <si>
    <t>WOS:000540077700001</t>
  </si>
  <si>
    <t>Chipere, M</t>
  </si>
  <si>
    <t>Chipere, Mike</t>
  </si>
  <si>
    <t>The exclusionary politics of digital financial inclusion: mobile money, gendered walls</t>
  </si>
  <si>
    <t>REVIEW OF AFRICAN POLITICAL ECONOMY</t>
  </si>
  <si>
    <t>[Chipere, Mike] Univ Pretoria, Human Econ Program, Pretoria, South Africa</t>
  </si>
  <si>
    <t>Chipere, M (corresponding author), Univ Pretoria, Human Econ Program, Pretoria, South Africa.</t>
  </si>
  <si>
    <t>mikechipere@gmail.com</t>
  </si>
  <si>
    <t>ScienceOpen</t>
  </si>
  <si>
    <t>Berlin</t>
  </si>
  <si>
    <t>Pappelallee 78/79, Berlin, GERMANY</t>
  </si>
  <si>
    <t>0305-6244</t>
  </si>
  <si>
    <t>1740-1720</t>
  </si>
  <si>
    <t>REV AFR POLIT ECON</t>
  </si>
  <si>
    <t>Rev. Afr. Polit. Econ.</t>
  </si>
  <si>
    <t>10.1080/03056244.2021.1972580</t>
  </si>
  <si>
    <t>YY5TZ</t>
  </si>
  <si>
    <t>WOS:000693068000001</t>
  </si>
  <si>
    <t>Shankar, A</t>
  </si>
  <si>
    <t>Shankar, Amit</t>
  </si>
  <si>
    <t>Reaching out to the bottom of the pyramid to achieve financial inclusion</t>
  </si>
  <si>
    <t>JOURNAL OF GLOBAL RESPONSIBILITY</t>
  </si>
  <si>
    <t>Mobile payment; Sustainable development goals; Financial inclusion; Bottom of the pyramid</t>
  </si>
  <si>
    <t>CONSUMERS; ADOPTION; INTERNET; YOUNG; BASE</t>
  </si>
  <si>
    <t>Purpose - This study aims to explore the factors influencing the bottom of the pyramid (BOP) consumers' adoption and usage intention towards mobile payment (m-payment) to achieve financial inclusion and sustainable development goals. Design/methodology/approach - A qualitative research design is used to explore the enablers and inhibitors that influence BOP consumers' m-payment adoption and usage intention. To collect the qualitative responses, semi-structured in-depth interviews with BOP respondents were conducted. The thematic analysis using the text mining technique will be used to analyse qualitative data for exploring the predominant factors affecting m-payment adoption intention and usage. Findings - The results suggested awareness, social influences and self-efficacy as crucial enablers and privacy and security risks and vulnerability concerns as crucial inhibitors towardsm-payment adoption and usage. Originality/value - As a novel contribution to the BOP, financial inclusion, sustainable development goals and m-payment literature, this study unfolds several unknown perceived benefits andperceived sacrifices that influence the BOP consumers' m-payment adoption intention and usage. The study's findings help the government and banks formulate and implement strategies to achieve financial inclusion among BOP consumers.</t>
  </si>
  <si>
    <t>[Shankar, Amit] Indian Inst Management Visakhapatnam, Dept Mkt, Visakhapatnam, India</t>
  </si>
  <si>
    <t>Indian Institute of Management (IIM System); Indian Institute of Management Visakhapatnam</t>
  </si>
  <si>
    <t>Shankar, A (corresponding author), Indian Inst Management Visakhapatnam, Dept Mkt, Visakhapatnam, India.</t>
  </si>
  <si>
    <t>ashankar@iimv.ac.in</t>
  </si>
  <si>
    <t>Shankar, Amit/AAU-6860-2020</t>
  </si>
  <si>
    <t>Indian Council of Social Science Research (ICSSR) Major Research Project [02/31/2021-22/ICSSR/MJ/RP]; ICSSR</t>
  </si>
  <si>
    <t>Indian Council of Social Science Research (ICSSR) Major Research Project; ICSSR</t>
  </si>
  <si>
    <t>The author is the awardee of the Indian Council of Social Science Research (ICSSR) Major Research Project (F. No.02/31/2021-22/ICSSR/MJ/RP). This paper largely results from the Research Project sponsored by the ICSSR. However, the responsibility for the facts stated, opinions expressed, and the conclusions drawn is entirely that of the author.</t>
  </si>
  <si>
    <t>2041-2568</t>
  </si>
  <si>
    <t>2041-2576</t>
  </si>
  <si>
    <t>J GLOB RESPONSIB</t>
  </si>
  <si>
    <t>J. Glob. Responsib.</t>
  </si>
  <si>
    <t>10.1108/JGR-04-2023-0065</t>
  </si>
  <si>
    <t>MZ7P8</t>
  </si>
  <si>
    <t>WOS:001062418200001</t>
  </si>
  <si>
    <t>Ahunov, M; Van Hove, L</t>
  </si>
  <si>
    <t>Ahunov, Muzaffarjon; Van Hove, Leo</t>
  </si>
  <si>
    <t>National culture and (dis)trust in banks: Cross-country evidence</t>
  </si>
  <si>
    <t>distrust; financial exclusion; Hofstede; national culture; trust in banks</t>
  </si>
  <si>
    <t>RISK-TAKING; TRUST; OPACITY</t>
  </si>
  <si>
    <t>We examine to what extent a specific aspect of national culture-uncertainty avoidance-can explain cross-country variations in (dis)trust in banks. Relying on data from the World Values Survey, we find that trust in banks is lower in countries that score high for Hofstede's uncertainty avoidance index. Similarly, with Global Findex data, we find that financial exclusion due to a lack of trust in banks is high in high uncertainty avoidance cultures. These results highlight the need for a more culturally aware approach when designing consumer protection measures for the banking sector.</t>
  </si>
  <si>
    <t>[Ahunov, Muzaffarjon] Woosong Univ, Endicott Coll Int Studies, Daejeon 300718, South Korea; [Van Hove, Leo] Vrije Univ Brussel, Dept Appl Econ APEC, Brussels, Belgium; [Van Hove, Leo] Nicolaus Copernicus Univ, Fac Econ Sci &amp; Management, Torun, Poland</t>
  </si>
  <si>
    <t>Woosong University; Vrije Universiteit Brussel; Nicolaus Copernicus University</t>
  </si>
  <si>
    <t>Ahunov, M (corresponding author), Woosong Univ, Endicott Coll Int Studies, Daejeon 300718, South Korea.</t>
  </si>
  <si>
    <t>mahunov@endicott.ac.kr</t>
  </si>
  <si>
    <t>Van Hove, Leo/Q-2129-2018; Ahunov, Muzaffarjon/AAF-9375-2020</t>
  </si>
  <si>
    <t>Van Hove, Leo/0000-0001-7546-7746; Ahunov, Muzaffarjon/0000-0003-2073-3220</t>
  </si>
  <si>
    <t>e12165</t>
  </si>
  <si>
    <t>10.1111/ecno.12165</t>
  </si>
  <si>
    <t>OB6YZ</t>
  </si>
  <si>
    <t>WOS:000558367800001</t>
  </si>
  <si>
    <t>Osuma, G; Nzimande, N; Simon-Ilogho, B</t>
  </si>
  <si>
    <t>Osuma, Godswill; Nzimande, Ntokozo; Simon-Ilogho, Busola</t>
  </si>
  <si>
    <t>Examining microfinance and financial inclusion nexus in poverty alleviation and sustainable development in Sub-Saharan Africa</t>
  </si>
  <si>
    <t>JOURNAL OF CLEANER PRODUCTION</t>
  </si>
  <si>
    <t>SDG 1; Financial inclusion; Microfinance; Sustinability; Unemployment; Digital financial services</t>
  </si>
  <si>
    <t>NOBEL PEACE PRIZE; LOAN ASSOCIATIONS; MICRO-ENTERPRISES; INSTITUTIONS; REDUCTION; IMPACT; YUNUS</t>
  </si>
  <si>
    <t>This study explores the critical role of microfinance and financial inclusion in addressing poverty and promoting sustainable development in 10 Sub-Saharan African countries from 2000 to 2023. It addresses two key objectives: first, to investigate how microfinance influences poverty reduction and sustainable development through the moderating role of financial inclusion, and second, to determine the threshold levels at which financial inclusion variables, such as ATMs and mobile banking, significantly affect poverty alleviation and economic growth. The findings reveal that ATM penetration significantly reduces poverty and enhances GDP growth. Mobile banking also reduces poverty and contributes to economic growth. Threshold analysis shows that ATM access must exceed 36.65 units per 100,000 adults, while mobile penetration must reach 19.13 units to achieve significant impacts. The study emphasises the need for collaborative, sustainable strategies that align with the Sustainable Development Goals to maximise the impact of microfinance on poverty reduction and economic resilience. It recommends investing in digital infrastructure, such as ATMs and mobile banking, to improve accessibility. Policymakers should focus on partnerships, financial literacy programs, and tackling macroeconomic challenges like inflation and unemployment to ensure long-term stability.</t>
  </si>
  <si>
    <t>[Osuma, Godswill; Nzimande, Ntokozo] Univ Johannesburg, Sch Econ, Johannesburg, South Africa; [Simon-Ilogho, Busola] Univ Johannesburg, Dept Accountancy, Johannesburg, South Africa</t>
  </si>
  <si>
    <t>University of Johannesburg; University of Johannesburg</t>
  </si>
  <si>
    <t>Osuma, G (corresponding author), Univ Johannesburg, Sch Econ, Johannesburg, South Africa.</t>
  </si>
  <si>
    <t>gosuma@uj.ac.za; ntokozon@uj.ac.za; bsimon-ilogho@uj.ac.za</t>
  </si>
  <si>
    <t>Nzimande, Ntokozo/AAS-7530-2020; Osuma, Godswill/AAX-7393-2021; Kehinde, Busola/AAO-6365-2021</t>
  </si>
  <si>
    <t>Nzimande, Ntokozo/0000-0002-4801-0895; Simon-Ilogho, Busola E/0000-0001-5735-1539; Osuma, Godswill/0000-0001-9242-5265;</t>
  </si>
  <si>
    <t>0959-6526</t>
  </si>
  <si>
    <t>1879-1786</t>
  </si>
  <si>
    <t>J CLEAN PROD</t>
  </si>
  <si>
    <t>J. Clean Prod.</t>
  </si>
  <si>
    <t>10.1016/j.jclepro.2025.146135</t>
  </si>
  <si>
    <t>Green &amp; Sustainable Science &amp; Technology; Engineering, Environmental; Environmental Sciences</t>
  </si>
  <si>
    <t>Science &amp; Technology - Other Topics; Engineering; Environmental Sciences &amp; Ecology</t>
  </si>
  <si>
    <t>4YC2P</t>
  </si>
  <si>
    <t>WOS:001529419800009</t>
  </si>
  <si>
    <t>Tran, TTH; De Koker, L</t>
  </si>
  <si>
    <t>Thu Thi Hoai Tran; De Koker, Louis</t>
  </si>
  <si>
    <t>Aligning financial inclusion and financial integrity Regulating and supervising microfinance in Vietnam</t>
  </si>
  <si>
    <t>Microfinance; Vietnam; Developing country; Financial inclusion; Risk-based approach; AML; CFT</t>
  </si>
  <si>
    <t>Purpose This study aims to consider the anti-money laundering/combating of financing of terrorism (AML/CFT) regime that applies to microfinance institutions (MFIs) and microfinance programmes and projects (MFPs) in Vietnam to identify ways in which to improve the alignment between financial inclusion and financial integrity objectives in relation to this sector. Design/methodology/approach This doctrinal study is informed by the Financial Action Task Force mutual evaluation methodology. Findings The AML/CFT regulatory framework for MFIs/MFPs is inadequate but improving. The money laundering and terrorist financing risks posed by microfinance are low and so is the capacity of many providers to comply with AML/CFT obligations. Given the low risk, there is space to simplify AML/CFT requirements for this sector in a manner that will better align financial inclusion and financial integrity policy objectives. Research limitations/implications - This paper considers the implementation of AML/CFT obligations of MFIs/MFPs based on existing studies as well as own research relating to compliance and supervisory practices. Further empirical studies to determine for the whole microfinance sector could provide a more granular understanding of crime risks and compliance capacities in the sector. Practical implications - AML/CFT regulators in Vietnam can take concrete steps to simplify the AML/ CFT due diligence obligations of MFIs/MFPs and support these institutions to formalise and implement appropriate AML/CFTmeasures. Social implications MFIs/MFPs play a vital socio-economic role by providing financial services to the poor. Appropriate AML/CFT control measures can enable these providers to continue providing these services while strengthening economic formalisation and integrity goals of the government. Originality/value The paper provides novel supervisory perspectives on the AML/CFT regime in relation to MFIs/MFPs.</t>
  </si>
  <si>
    <t>[Thu Thi Hoai Tran] State Bank Vietnam, Dept Antimoney Laundering, Hanoi, Vietnam; [De Koker, Louis] La Trobe Univ, Sch Law, Bundoora, Vic, Australia</t>
  </si>
  <si>
    <t>De Koker, L (corresponding author), La Trobe Univ, Sch Law, Bundoora, Vic, Australia.</t>
  </si>
  <si>
    <t>L.DeKoker@latrobe.edu.au</t>
  </si>
  <si>
    <t>de Koker, Louis/GXV-5535-2022</t>
  </si>
  <si>
    <t>de Koker, Louis/0000-0003-0120-6150; tran, thu/0000-0002-9266-3359</t>
  </si>
  <si>
    <t>10.1108/JMLC-01-2019-0004</t>
  </si>
  <si>
    <t>JM6FY</t>
  </si>
  <si>
    <t>WOS:000496309200002</t>
  </si>
  <si>
    <t>Senou, MM; Ouattara, W; Houensou, DA</t>
  </si>
  <si>
    <t>Senou, Melain Modeste; Ouattara, Wautabouna; Houensou, Denis Acclassato</t>
  </si>
  <si>
    <t>Is there a bottleneck for mobile money adoption in WAEMU?</t>
  </si>
  <si>
    <t>Mobile money; cluster analysis; dendrogram; clogit; WAEMU</t>
  </si>
  <si>
    <t>USER ACCEPTANCE; FINANCIAL INCLUSION; BANKING SERVICES; DETERMINANTS; TECHNOLOGY; INTENTIONS; INNOVATION; ONLINE</t>
  </si>
  <si>
    <t>The main vision of governments in the countries of the West African Economic and Monetary Union (WAEMU) is to include financially the unbanked adult populations by developing digital financial services. This paper aims then at investigating the driving factors of mobile money adoption and the policies package that may alleviate the bottlenecks of the low digital financial inclusion in that area. Using both country and individual-level data from the World Bank database, we made first, a cluster analysis and thereafter a logistic regression to investigate both the macroeconomic and microeconomic driven factors of mobile money adoption. We found that country characteristic including literacy rate, labour force, mobile infrastructure and banking infrastructure in terms of numbers of ATM per 1,00,000 people are the main macroeconomic determinants of mobile money adoption. In addition, being young, man, educated, relatively richer and even banked increases the likelihood of adopting mobile money in WAEMU.</t>
  </si>
  <si>
    <t>[Senou, Melain Modeste] Felix Houphouet Boigny Univ, AERC, Dept Econ, Abidjan, Cote Ivoire; [Ouattara, Wautabouna] Felix Houphouet Boigny Univ, Dept Econ, Abidjan, Cote Ivoire; [Houensou, Denis Acclassato] Univ Abomey Calavi, Dept Econ, Cotonou, Benin</t>
  </si>
  <si>
    <t>Universite Felix Houphouet-Boigny; Universite Felix Houphouet-Boigny; University of Abomey Calavi</t>
  </si>
  <si>
    <t>Senou, MM (corresponding author), Felix Houphouet Boigny Univ, Dept Econ, Abidjan, Cote Ivoire.</t>
  </si>
  <si>
    <t>senoumod@yahoo.fr</t>
  </si>
  <si>
    <t>ACCLASSATO, Denis/0000-0002-7237-5069</t>
  </si>
  <si>
    <t>10.1080/19186444.2019.1641393</t>
  </si>
  <si>
    <t>IS8GH</t>
  </si>
  <si>
    <t>WOS:000482387400005</t>
  </si>
  <si>
    <t>Mwaseba, SL; Mwang'onda, ES; Ngwilizi, D</t>
  </si>
  <si>
    <t>Mwaseba, Steven Lee; Mwang'onda, Emmanuel Simon; Ngwilizi, David</t>
  </si>
  <si>
    <t>Decomposing rural-urban inequalities in financial inclusion in Tanzania</t>
  </si>
  <si>
    <t>Financial inclusion; inequalities; tanzania; rural; urban; RIF; Oaxaca; decomposition; Economics; Finance; Business, Management and Accounting; African Studies; Economic Psychology; Development Studies; Economics and Development; Political Economy</t>
  </si>
  <si>
    <t>Financial inclusion is a cornerstone for both individual welfare and national economic prosperity; however, persistent rural-urban inequalities in Tanzania continue to limit equitable access to and utilisation of financial services and products. Employing 2021 Global Findex data, this study applies the Recentered Influence Function (RIF)-Oaxaca decomposition analysis, supported by Erreygers concentration index to examine the factors associated with these inequalities. The results show financial inclusion is predominantly concentrated among wealthier individuals, which also leaves rural communities at a disadvantage. The significant factors associated with rural-urban inequalities in financial inclusion in Tanzania are financial literacy, mobile phone ownership, individual income and internet access, while being in the workplace plays a comparatively weaker role. The findings align with the global and national agenda of empowering underprivileged groups, particularly rural areas, and enhancing financial inclusion for all. These findings suggest that policy interventions should prioritise rural-targeted financial literacy programmes, expansion of digital infrastructure and inclusive product design to ensure equitable financial inclusion.</t>
  </si>
  <si>
    <t>[Mwaseba, Steven Lee; Mwang'onda, Emmanuel Simon; Ngwilizi, David] Inst Rural Dev Planning, Dept Rural Dev &amp; Reg Planning, Dodoma, Tanzania; [Mwaseba, Steven Lee] Stellenbosch Univ, Dept Econ, Stellenbosch, South Africa; [Mwang'onda, Emmanuel Simon] Stellenbosch Univ, Business Sch, Dept Business Management, Stellenbosch, South Africa; [Ngwilizi, David] Univ Dar es Salaam Sch Econ, Dept Econ, Dar es Salaam, Tanzania</t>
  </si>
  <si>
    <t>Mwaseba, SL (corresponding author), Inst Rural Dev Planning, Dept Rural Dev &amp; Reg Planning, Dodoma, Tanzania.</t>
  </si>
  <si>
    <t>stevenmwaseba@gmail.com</t>
  </si>
  <si>
    <t>; Mwaseba, Steven/HJY-6474-2023; Mwaseba, Steven Lee/HJY-6474-2023</t>
  </si>
  <si>
    <t>Ngwilizi, David/0000-0002-2019-037X; Mwang'onda, Emmanuel Simon/0000-0002-2464-0198; Mwaseba, Steven Lee/0000-0001-6949-3948</t>
  </si>
  <si>
    <t>10.1080/23322039.2025.2537185</t>
  </si>
  <si>
    <t>5KJ7L</t>
  </si>
  <si>
    <t>WOS:001537767700001</t>
  </si>
  <si>
    <t>Asongu, S; Nting, R</t>
  </si>
  <si>
    <t>Asongu, Simplice; Nting, Rexon</t>
  </si>
  <si>
    <t>The comparative economics of financial access in gender economic inclusion</t>
  </si>
  <si>
    <t>Inequality; Gender inclusion; Financial development; Africa; I30; L96; O16; O55</t>
  </si>
  <si>
    <t>E-WALLET PROGRAM; INCOME INEQUALITY; ENVIRONMENTAL DEGRADATION; QUALITY; INFORMATION; GROWTH; AFRICA; ICT; PARTICIPATION; DETERMINANTS</t>
  </si>
  <si>
    <t>Purpose The study has investigated the comparative importance of financial access in promoting gender inclusion in African countries. Design/methodology/approach Gender inclusion is proxied by the female labour participation rate while financial channels include: financial system deposits and private domestic credit. The empirical evidence is based on non-contemporary fixed effects regressions. Findings In order to provide more implications on comparative relevance, the dataset is categorised into income levels (middle income versus (vs.) low income); legal origins (French civil law vs. English common law); religious domination (Islam vs. Christianity); openness to sea (coastal vs. landlocked); resource-wealth (oil-poor vs. oil-rich) and political stability (stable vs. unstable). Six main hypotheses are tested, notably, that middle income, English common law, Christianity, coastal, oil-rich and stable countries enjoy better levels of financial access-induced gender inclusion compared to respectively, low income, French civil law, Islam, landlocked, oil-poor and unstable countries. All six tested hypotheses are validated. Originality/value This is the first study on the comparative importance of financial access in gender economic participation.</t>
  </si>
  <si>
    <t>[Asongu, Simplice] African Governance &amp; Dev Inst, Yaounde, Cameroon; [Nting, Rexon] Univ Wales Trinity St David, Carmarthen, Dyfed, Wales</t>
  </si>
  <si>
    <t>African Governance &amp; Development Institute; University of Wales Trinity St David</t>
  </si>
  <si>
    <t>Asongu, S (corresponding author), African Governance &amp; Dev Inst, Yaounde, Cameroon.</t>
  </si>
  <si>
    <t>Simplice, Asongu/K-3436-2014; Nting, Rexon/ABF-6389-2020</t>
  </si>
  <si>
    <t>10.1108/AJEMS-06-2020-0268</t>
  </si>
  <si>
    <t>SI9CV</t>
  </si>
  <si>
    <t>WOS:000599361800001</t>
  </si>
  <si>
    <t>Zhu, HJ; Zhu, JL; Zhu, YL</t>
  </si>
  <si>
    <t>Zhu, Huanjun; Zhu, Jialiang; Zhu, Yulin</t>
  </si>
  <si>
    <t>Quantifying change: The impact of digital financial inclusion across income quantiles in China</t>
  </si>
  <si>
    <t>Digital financial inclusion; Income inequality; Spatial dynamic panel quantile model; Interactive fixed effects</t>
  </si>
  <si>
    <t>ENTREPRENEURSHIP; INEQUALITY; POVERTY; NUMBER</t>
  </si>
  <si>
    <t>This study examines the impact of digital financial inclusion on household income in China employing a novel approach: a spatial dynamic panel quantile model with interactive fixed effects. Utilizing data from the China Family Panel Studies spanning 2010 to 2020, we analyze how digital financial inclusion influences income across various quantiles. Our results indicate that digital financial inclusion significantly boosts household income, with the most substantial effects observed at the 25 % household income quantile-where a 1 % increase in the digital financial inclusion index corresponds to a 0.12 % rise in household income. Further analysis reveals that while lower quantiles primarily benefit from increases in labor income, higher quantiles experience greater gains from property income, highlighting a potential new form of inequality in the digital era. This paper contributes significantly to the literature by accurately estimating the impact of digital financial inclusion on household income and delineating the mechanisms across various quantiles.</t>
  </si>
  <si>
    <t>[Zhu, Huanjun] Xiamen Univ, Wang Yanan Inst Studies Econ, Xiamen 361005, Fujian, Peoples R China; [Zhu, Huanjun] Xiamen Univ, Sch Econ, Xiamen 361005, Fujian, Peoples R China; [Zhu, Jialiang] Xiamen Univ, Inst Econ, Sch Econ, Xiamen 361005, Fujian, Peoples R China; [Zhu, Jialiang] Xiamen Univ, Wang Yanan Inst Studies Econ, Xiamen 361005, Fujian, Peoples R China; [Zhu, Huanjun; Zhu, Jialiang; Zhu, Yulin] Xiamen Univ, Key Lab Econometr, Minist Educ, Xiamen, Peoples R China</t>
  </si>
  <si>
    <t>Xiamen University; Xiamen University; Xiamen University; Xiamen University; Xiamen University</t>
  </si>
  <si>
    <t>Zhu, JL (corresponding author), Xiamen Univ, Inst Econ, Sch Econ, Xiamen 361005, Fujian, Peoples R China.;Zhu, JL (corresponding author), Xiamen Univ, Wang Yanan Inst Studies Econ, Xiamen 361005, Fujian, Peoples R China.;Zhu, JL (corresponding author), Xiamen Univ, Key Lab Econometr, Minist Educ, Xiamen, Peoples R China.</t>
  </si>
  <si>
    <t>hzhu928@xmu.edu.cn; jialiang@xmu.edu.cn; zhuyulin0314@163.com</t>
  </si>
  <si>
    <t>Zhu, Jialiang/GLR-7258-2022</t>
  </si>
  <si>
    <t>Zhu, Jialiang/0000-0003-4231-1803</t>
  </si>
  <si>
    <t>National Natural Science Foundation of China [71988101, 72173104, 72133004, 72473120]; Natural Science Foundation of Fujian Province of China [2024J08016]</t>
  </si>
  <si>
    <t>National Natural Science Foundation of China(National Natural Science Foundation of China (NSFC)); Natural Science Foundation of Fujian Province of China(Natural Science Foundation of Fujian Province)</t>
  </si>
  <si>
    <t>Huanjun Zhu acknowledges support from the National Natural Science Foundation of China for this work, under grant number 71988101 and 72173104, the Natural Science Foundation of Fujian Province of China for this work under grant number 2024J08016. Jialiang Zhu acknowledges support from the National Natural Science Foundation of China for this work, under grant number 72133004 and 72473120.</t>
  </si>
  <si>
    <t>10.1016/j.chieco.2025.102399</t>
  </si>
  <si>
    <t>0XU8X</t>
  </si>
  <si>
    <t>WOS:001458575600001</t>
  </si>
  <si>
    <t>Bhatt, A; Joshipura, M; Joshipura, N</t>
  </si>
  <si>
    <t>Bhatt, Amola; Joshipura, Mayank; Joshipura, Nehal</t>
  </si>
  <si>
    <t>Decoding the trinity of Fintech, digitalization and financial services: An integrated bibliometric analysis and thematic literature review approach</t>
  </si>
  <si>
    <t>artificial intelligence; blockchain; digital currency; digital transformation; financial inclusion; mobile money; mobile banking; cryptocurrency; P2P lending; crowdfunding</t>
  </si>
  <si>
    <t>MOBILE PAYMENTS; ARTIFICIAL-INTELLIGENCE; START-UPS; BLOCKCHAIN; BANKING; TECHNOLOGY; IMPACT; OPPORTUNITIES; INFORMATION; PERFORMANCE</t>
  </si>
  <si>
    <t>Technology has reshaped how financial services are designed, delivered, and consumed over the past decade. The increased mobile and internet penetration and availability of cheap data combined with the advent of Fintech, digitalization, blockchain technology, machine learning, and artificial intelligence have fast-tracked the digital transformation of economies worldwide. Covid19-induced lockdowns accelerated the digitalization of financial services. This study identifies the main areas and current dynamics of Fintech, digitalization, and financial services and suggests future research directions. Using a bibliometric analysis followed by a thematic literature review, the study examines a sample of 583 journal articles from the Scopus database from 1984 to 2021. Based on the bibliometric analysis, we identified four dominant themes. These themes are further explored through a thematic literature review to gain further insights. We conclude by suggesting potential directions for future research in the field.</t>
  </si>
  <si>
    <t>[Bhatt, Amola] Nirma Univ, Inst Management, Ahmadabad, Gujarat, India; [Joshipura, Mayank] NMIMS Univ, Sch Business Management, Mumbai, Maharashtra, India; [Joshipura, Nehal] Durgadevi Saraf Inst Management Studies, Dept Finance, Mumbai, Maharashtra, India</t>
  </si>
  <si>
    <t>Nirma University; SVKM's NMIMS (Deemed to be University)</t>
  </si>
  <si>
    <t>Joshipura, N (corresponding author), Durgadevi Saraf Inst Management Studies, Dept Finance, Mumbai, Maharashtra, India.</t>
  </si>
  <si>
    <t>amola@nirmauni.ac.in; mayank.joshipura@sbm.nmims.edu; nehal.joshipura@dsims.org.in</t>
  </si>
  <si>
    <t>Joshipura, Mayank/AAH-6478-2021; Joshipura, Nehal/IAN-2714-2023; Bhatt, Amola/HJY-4706-2023</t>
  </si>
  <si>
    <t>Joshipura, Mayank/0000-0001-7711-6229; Joshipura, Nehal/0000-0001-7150-2751;</t>
  </si>
  <si>
    <t>10.1080/23322039.2022.2114160</t>
  </si>
  <si>
    <t>4I6NS</t>
  </si>
  <si>
    <t>WOS:000850692900001</t>
  </si>
  <si>
    <t>Kim, M; Duvendack, M</t>
  </si>
  <si>
    <t>Kim, Minjin; Duvendack, Maren</t>
  </si>
  <si>
    <t>Digital credit for all? An empirical analysis of mobile loans for financial inclusion in Kenya</t>
  </si>
  <si>
    <t>Financial inclusion; digital credit; mobile loan; FinTech; mobile money; digital financial services</t>
  </si>
  <si>
    <t>BANKING; MONEY</t>
  </si>
  <si>
    <t>Digital credit has shown considerable success in Kenya and is expected to provide opportunities for individuals excluded from formal loans because of their lower socioeconomic status. However, evidence supporting the greater positive impact of digital credit on financial inclusion than that of traditional loans is lacking. This study employs a multinomial logistic regression to investigate the impact of digital credit services, particularly mobile banking and FinTech loans (MBLs and FTLs), on financial inclusion in Kenya. MBLs appear to be less accessible to vulnerable populations, such as women, low-educated groups, and casual workers although both MBLs and FTLs are equally accessible to rural populations. In contrast, FTL services show no such constraints in terms of accessibility for women and low-income workers. This disparity indicates the relative inaccessibility of MBLs to vulnerable groups compared to that of FTLs; however, note that greater loan access does not always benefit vulnerable groups.</t>
  </si>
  <si>
    <t>[Kim, Minjin] Yonsei Univ, Barun ICT Res Ctr, Seoul, South Korea; [Duvendack, Maren] Univ East Anglia, Sch Global Dev, Norwich, England</t>
  </si>
  <si>
    <t>Yonsei University; University of East Anglia</t>
  </si>
  <si>
    <t>Kim, M (corresponding author), Yonsei Univ, Barun ICT Res Ctr, 50 Yonsei Ro, Seoul, South Korea.</t>
  </si>
  <si>
    <t>minjin.kim89@yonsei.ac.kr</t>
  </si>
  <si>
    <t>Kim, Minjin/OIS-8420-2025</t>
  </si>
  <si>
    <t>Duvendack, Maren/0000-0002-8125-9115</t>
  </si>
  <si>
    <t>10.1080/02681102.2024.2402996</t>
  </si>
  <si>
    <t>3YJ1H</t>
  </si>
  <si>
    <t>WOS:001310458700001</t>
  </si>
  <si>
    <t>Raval, Z; Tidake, VM; Nagvadia, J; Kureshi, F; Lala, R</t>
  </si>
  <si>
    <t>Raval, Zankruti; Tidake, Vishal M.; Nagvadia, Jigar; Kureshi, Farana; Lala, Rohit</t>
  </si>
  <si>
    <t>Examine the factors affecting the acceptance of mobile banking payments: a study of Gen Z</t>
  </si>
  <si>
    <t>mobile banking; digital payments; acceptance of Gen Z; technology acceptance</t>
  </si>
  <si>
    <t>PUBLIC-PRIVATE PARTNERSHIP; CONSUMER ACCEPTANCE; UNIFIED THEORY; INFORMATION-TECHNOLOGY; ADOPTION; PROJECTS; UTAUT; INDIA; BRAND; PRICE</t>
  </si>
  <si>
    <t>This research examines how Generation Z in India accepts mobile payments (m-payments). Generation Z, the youngest and most tech-savvy consumer generation, shapes payment system futures. This study examines their attitudes, beliefs, and adoption behaviours about m-payments in India to determine their acceptance determinants. Using quantitative surveys and qualitative interviews, a representative sample of Generation Z from across India will be surveyed. The research will analyse data using technology acceptance theories. The research utilised 381 generation Z mobile banking users from Gujarat. Structural equation modelling tested the theory. Performance expectation, effort expectancy, social influence, enabling circumstance, hedonic incentive, and perceived value promote Gen Z M-Banking acceptance in India. This research illuminates Generation Z's adoption of m-payments in India's main drivers and constraints for academics, business, and government. These insights will help design targeted m-payment adoption strategies to promote financial inclusion and digital transformation in the nation.</t>
  </si>
  <si>
    <t>[Raval, Zankruti] Karnavati Univ, Gandhinagar, Gujarat, India; [Tidake, Vishal M.] Savitribai Phule Pune Univ, Sanjivani Coll Engn, Pune, Maharashtra, India; [Nagvadia, Jigar] RB Inst Management Studies, Ahmadabad, Gujarat, India; [Kureshi, Farana] Kaushalya The Skill Univ, Sch Management &amp; Finance, Ahmadabad, India; [Lala, Rohit] Marwadi Univ, Fac Management Studies, Rajkot, Gujarat, India</t>
  </si>
  <si>
    <t>Savitribai Phule Pune University; Marwadi University</t>
  </si>
  <si>
    <t>Kureshi, F (corresponding author), Kaushalya The Skill Univ, Sch Management &amp; Finance, Ahmadabad, India.</t>
  </si>
  <si>
    <t>zankruti@karnavatiuniversity.edu.in; tidkevishalmba@sanjivani.org.in; jigarn@rbi.edu.in; farana.kureshi15@gmail.com; rohit.lala@marwadieducation.edu.in</t>
  </si>
  <si>
    <t>10.1504/IJICBM.2023.10060189</t>
  </si>
  <si>
    <t>6AQ6C</t>
  </si>
  <si>
    <t>WOS:001548827500005</t>
  </si>
  <si>
    <t>Lopera, FG; Palomo, DR; Vázquez, MA; Gómez, AL</t>
  </si>
  <si>
    <t>Garcia Lopera, Francisca; Ruiz Palomo, Daniel; Asensio Vazquez, Marina; Leon Gomez, Ana</t>
  </si>
  <si>
    <t>Financial education as a strategy to promote financial inclusion and financial capabilities of the population in Honduras</t>
  </si>
  <si>
    <t>RAZON HISTORICA-REVISTA HISPANOAMERICANA DE HISTORIA DE LAS IDEAS</t>
  </si>
  <si>
    <t>Financial education, Financial inclusion, Gender gap, Financial literacy, Financial attitude, Financial behavior</t>
  </si>
  <si>
    <t>The concern for promoting the financial competence of the population is an aspect that is becoming increasingly important nowadays. In general, improving financial competencies enriches society, especially when the majority of its population faces a problem of financial exclusion. Consequently, financial education programs should be a constant concern for everyone. For this reason, this paper analyzes the effect of economic literacy on financial inclusion, attitude and financial behavior in Honduras. Our results suggest that economic literacy has a positive effect on the level of financial inclusion, attitude and financial behavior. Thus, this study aims to encourage governments and international organizations to implement programs to improve the global financial literacy of men and women, whose levels are alarmingly low in developing countries.</t>
  </si>
  <si>
    <t>Ruiz Palomo, Daniel/C-1549-2019; Cámara-Vázquez, Miguel/AAE-6598-2019</t>
  </si>
  <si>
    <t>Ruiz Palomo, Daniel/0000-0003-4404-8017;</t>
  </si>
  <si>
    <t>INST POLITICA SOCIAL</t>
  </si>
  <si>
    <t>MURCIA</t>
  </si>
  <si>
    <t>ALGUANZAS, MURCIA, 30560, SPAIN</t>
  </si>
  <si>
    <t>1989-2659</t>
  </si>
  <si>
    <t>RAZON HIST</t>
  </si>
  <si>
    <t>Razon Hist.</t>
  </si>
  <si>
    <t>WD0PT</t>
  </si>
  <si>
    <t>WOS:000704650500005</t>
  </si>
  <si>
    <t>Forgor, AT; Julie, KA</t>
  </si>
  <si>
    <t>Nazarov, AD</t>
  </si>
  <si>
    <t>Forgor, Alhassan Tijani; Julie, Kouadio Ahou</t>
  </si>
  <si>
    <t>Innovation and Growth Dynamics in Sub-Saharan Africa</t>
  </si>
  <si>
    <t>PROCEEDINGS OF THE 2ND INTERNATIONAL SCIENTIFIC AND PRACTICAL CONFERENCE - MODERN MANAGEMENT TRENDS AND THE DIGITAL ECONOMY: FROM REGIONAL DEVELOPMENT TO GLOBAL ECONOMIC GROWTH (MTDE 2020)</t>
  </si>
  <si>
    <t>2nd International Scientific and Practical Conference on Modern Management Trends and the Digital Economy - from Regional Development to Global Economic Growth (MTDE)</t>
  </si>
  <si>
    <t>APR 16-17, 2020</t>
  </si>
  <si>
    <t>Yekaterinburg, INDONESIA</t>
  </si>
  <si>
    <t>Inst Digital Econ</t>
  </si>
  <si>
    <t>innovation; financial innovation; growth; financial development; mobile banking; mobile money; sub-Saharan Africa</t>
  </si>
  <si>
    <t>FINANCIAL INNOVATION; SYSTEMS; POLICY</t>
  </si>
  <si>
    <t>This paper examined the relationship between financial innovation (mobile banking) variables of sub-Saharan Africa. Mobile banking (also known as mobile money) is a major financial innovation in the sub-Saharan region, and the system serves a medium through the unbanked and underbanked residents get financial services. The overall importance of financial innovation in the current digital and knowledge-based economy, for that matter innovation development inspired this study. Using partial linear regression model, a dataset from the International Monetary Fund (IMF), World Bank National Economic data and the mobile banking data were explored from GSMA for the period between 2011 and 2017 were analyzed. A negative correlation was found between the mobile money variables and growth as well as financial development, however, a positive relationship was established between financial development and growth. This positive link again supports the position that financial development influences economic growth. It is encouraged that policymakers develop and implement the necessary policy instruments capable of facilitating this form of financial innovation, and thus link its benefits with the national economy in general.</t>
  </si>
  <si>
    <t>[Forgor, Alhassan Tijani; Julie, Kouadio Ahou] Peoples Friendship Univ Russia, Moscow 117198, Russia</t>
  </si>
  <si>
    <t>Peoples Friendship University of Russia</t>
  </si>
  <si>
    <t>Forgor, AT (corresponding author), Peoples Friendship Univ Russia, Moscow 117198, Russia.</t>
  </si>
  <si>
    <t>atijaniforgor@yahoo.com</t>
  </si>
  <si>
    <t>Alhassan, Tijani Forgor/AAY-7567-2020</t>
  </si>
  <si>
    <t>978-94-6252-962-5</t>
  </si>
  <si>
    <t>Business; Computer Science, Interdisciplinary Applications; Economics; Education &amp; Educational Research; Law</t>
  </si>
  <si>
    <t>Business &amp; Economics; Computer Science; Education &amp; Educational Research; Government &amp; Law</t>
  </si>
  <si>
    <t>BR9OA</t>
  </si>
  <si>
    <t>WOS:000679077600046</t>
  </si>
  <si>
    <t>Zhang, L; Liu, JK; Li, ZH; Yu, JY; Ding, CJ</t>
  </si>
  <si>
    <t>Zhang, Liang; Liu, Jian-kun; Li, Zi-hang; Yu, Jun-yan; Ding, Chante Jian</t>
  </si>
  <si>
    <t>Inclusive or Fraudulent: Digital Inclusive Finance and Urban-Rural Income Gap</t>
  </si>
  <si>
    <t>ASIA-PACIFIC FINANCIAL MARKETS</t>
  </si>
  <si>
    <t>Digital inclusive finance; Farmers' income; Urban-rural income gap; Agricultural technology progress</t>
  </si>
  <si>
    <t>TECHNOLOGICAL-CHANGE; INEQUALITY; GROWTH; CONSUMPTION; INSTRUMENTS; REFORMS; CREDIT; MATTER; BANKS</t>
  </si>
  <si>
    <t>This study aims to evaluate the influence of digital inclusive finance on the income levels of farmers and elucidate its operational mechanism. Using statistical data spanning from 2011 to 2020 across 281 prefecture-level cities in mainland China, our findings establish a significant positive correlation between the developmental stage of digital inclusive finance and farmers' income levels. Additionally, digital inclusive finance plays a constructive role in reducing income disparity between urban and rural areas, primarily through advancing agricultural technological innovations. Heterogeneity analysis reveals that the beneficial impact of digital inclusive finance is more pronounced in regions with higher human capital and lower levels of digital development. Furthermore, we observe a mutually reinforcing relationship between traditional financial development and digital financial inclusion. While affirming the fostering of inclusive and balanced development to some extent, this paper underscores the imperative of addressing the digital divide. The favorable effects of digital inclusive finance are diminished for individuals with low human capital and limited financial literacy, highlighting the necessity of enhancing financial literacy and education among rural residents as pivotal factors for digital inclusive finance to effectively fulfill its inclusive role.</t>
  </si>
  <si>
    <t>[Zhang, Liang] China Acad Fiscal Sci CAFS, Beijing 100080, Peoples R China; [Liu, Jian-kun] Harbin Engn Univ, Sch Humanities &amp; Social Sci, Dept Sociol, Harbin, Peoples R China; [Li, Zi-hang] Beijing Informat Sci &amp; Technol Univ, Sch Econ &amp; Management, Beijing, Peoples R China; [Yu, Jun-yan] Ctr Monetary &amp; Financial Studies, Madrid, Spain; [Ding, Chante Jian] Univ Malaya, Fac Business &amp; Econ, Kuala Lumpur 50603, Malaysia</t>
  </si>
  <si>
    <t>Harbin Engineering University; Beijing Information Science &amp; Technology University; Universiti Malaya</t>
  </si>
  <si>
    <t>Ding, CJ (corresponding author), Univ Malaya, Fac Business &amp; Econ, Kuala Lumpur 50603, Malaysia.</t>
  </si>
  <si>
    <t>zlxtu971018@163.com; jkliu@hrbeu.edu.cn; 3360612248@qq.com; junyan.yu@cemfi.edu.es; s2043187@siswa.um.edu.my</t>
  </si>
  <si>
    <t>Zhang, Liang/NJT-0760-2025; Ding, Jian/GQH-0106-2022</t>
  </si>
  <si>
    <t>Ding, Jian/0000-0002-5823-1069</t>
  </si>
  <si>
    <t>Hubei Provincial Department of Economy and Information Technology Scientific Research Project [GXCZ-C-23130484]; Heilongjiang Province Philosophy and Social Science Research Planning Program [23JYA266]; Heilongjiang Provincial Natural Science Foundation Program [LH2022G008]</t>
  </si>
  <si>
    <t>Hubei Provincial Department of Economy and Information Technology Scientific Research Project; Heilongjiang Province Philosophy and Social Science Research Planning Program; Heilongjiang Provincial Natural Science Foundation Program</t>
  </si>
  <si>
    <t>We miss our dear friend Dr. Oiao Ping, who unfortunately passed away in Milan last May. The DOIs of related papers published by Dr. Qiao Ping ((sic)(sic)) are as follows: https://doi.org/10.1016/j.jclepro.2021.126763; https://doi.org/10.1016/j.jclepro.2021.126857; https://doi.org/10.3390/jrfm1 40401 62. We are very grateful to every scholar who cites Dr. Qiao Ping's article. We are very grateful to the reviewers and journal editors for their efforts in getting this paper published. During the preparation of this work the author(s) used Chatgpt 3.5 in order to sprucing up language and correcting grammatical problems. After using this tool/service, the author(s) reviewed and edited the content as needed and take(s) full responsibility for the content of the publication. This work was supported by Hubei Provincial Department of Economy and Information Technology Scientific Research Project (Grant Number: GXCZ-C-23130484); Heilongjiang Province Philosophy and Social Science Research Planning Program (No. 23JYA266); Heilongjiang Provincial Natural Science Foundation Program (No. LH2022G008). Corresponding author Chante Jian Ding would like to thank his fiancee, Chenxiao Zhang, for her encouragement and support during the research process and looks forward to spending the rest of his life with Ms. Chenxiao Zhang.</t>
  </si>
  <si>
    <t>1387-2834</t>
  </si>
  <si>
    <t>1573-6946</t>
  </si>
  <si>
    <t>ASIA-PAC FINANC MARK</t>
  </si>
  <si>
    <t>Asia-Pac. Financ. Mark.</t>
  </si>
  <si>
    <t>10.1007/s10690-024-09472-9</t>
  </si>
  <si>
    <t>7MZ8D</t>
  </si>
  <si>
    <t>WOS:001246791500001</t>
  </si>
  <si>
    <t>Meki, M; Quinn, S</t>
  </si>
  <si>
    <t>Meki, Muhammad; Quinn, Simon</t>
  </si>
  <si>
    <t>Microfinance: an overview</t>
  </si>
  <si>
    <t>OXFORD REVIEW OF ECONOMIC POLICY</t>
  </si>
  <si>
    <t>microfinance; financial inclusion; digital finance; consumer protection; low-income countries</t>
  </si>
  <si>
    <t>This paper presents a summary of this issue of the Oxford Review of Economic Policy, on microfinance. The paper explores the evolving landscape of microfinance, with particular emphasis on its broadening scope. It summarizes the four parts of this journal issue, focusing on: (i) microfinance and its providers; (ii) the challenges of taking microfinance to scale; (iii) microfinance and digital credit; and (iv) microfinance and repayment flexibility.</t>
  </si>
  <si>
    <t>[Meki, Muhammad] Univ Oxford, Oxford Ctr Islamic Studies, Oxford, England; [Meki, Muhammad] Oxford Ctr Islamic Studies, Oxford, England; [Quinn, Simon] Imperial Coll Business Sch, London, England</t>
  </si>
  <si>
    <t>University of Oxford; University of Oxford; Imperial College London</t>
  </si>
  <si>
    <t>Quinn, S (corresponding author), Imperial Coll Business Sch, London, England.</t>
  </si>
  <si>
    <t>muhammad.meki@qeh.ox.ac.uk; simon.quinn@imperial.ac.uk</t>
  </si>
  <si>
    <t>0266-903X</t>
  </si>
  <si>
    <t>1460-2121</t>
  </si>
  <si>
    <t>OXFORD REV ECON POL</t>
  </si>
  <si>
    <t>Oxf. Rev. Econ. Policy</t>
  </si>
  <si>
    <t>MAR 18</t>
  </si>
  <si>
    <t>10.1093/oxrep/grae004</t>
  </si>
  <si>
    <t>LJ4K0</t>
  </si>
  <si>
    <t>WOS:001186414700007</t>
  </si>
  <si>
    <t>Xiao, JJ; O'Neill, B</t>
  </si>
  <si>
    <t>Xiao, Jing Jian; O'Neill, Barbara</t>
  </si>
  <si>
    <t>Consumer financial education and financial capability</t>
  </si>
  <si>
    <t>Financial behaviour; financial capability; financial education; financial literacy; U; S; National Financial Capability Study</t>
  </si>
  <si>
    <t>LITERACY EDUCATION; BEHAVIOR; KNOWLEDGE</t>
  </si>
  <si>
    <t>The purpose of this study was to explore potential effects of financial education on the financial capability of American consumers. Data from the 2012 National Financial Capability Study were used to test the hypothesis that financial education is positively associated with financial capability. Four financial literacy and behaviour variables were used to form a financial capability index. Multivariate linear regression results showed that, after controlling for demographic and financial variables, respondents who ever received financial education had higher scores in all financial capability indicators (objective financial literacy, subjective financial literacy, desirable financial behaviour, perceived financial capability and the financial capability index). In addition, high school, college and workplace financial education variables showed positive associations with these financial capability indicators. Additional state comparison analyses provided evidence suggesting high school financial education may have direct impacts and spillover effects on consumer financial capability.</t>
  </si>
  <si>
    <t>[Xiao, Jing Jian] Univ Rhode Isl, Dept Human Dev &amp; Family Studies, Coll Hlth Sci &amp; Serv, Transit Ctr,Family Finance, 2 Lower Coll Rd, Kingston, RI 02881 USA; [O'Neill, Barbara] Financial Resource Management, New Brunswick, NJ USA; [O'Neill, Barbara] Rutgers Cooperat Extens, New Brunswick, NJ USA</t>
  </si>
  <si>
    <t>University of Rhode Island; Rutgers University System; Rutgers University New Brunswick</t>
  </si>
  <si>
    <t>Xiao, JJ (corresponding author), Univ Rhode Isl, Dept Human Dev &amp; Family Studies, Coll Hlth Sci &amp; Serv, Transit Ctr,Family Finance, 2 Lower Coll Rd, Kingston, RI 02881 USA.</t>
  </si>
  <si>
    <t>xiao@uri.edu</t>
  </si>
  <si>
    <t>Xiao, Jing Jian/R-1415-2016</t>
  </si>
  <si>
    <t>Xiao, Jing Jian/0000-0003-3252-5672</t>
  </si>
  <si>
    <t>10.1111/ijcs.12285</t>
  </si>
  <si>
    <t>DZ7FV</t>
  </si>
  <si>
    <t>WOS:000386031200010</t>
  </si>
  <si>
    <t>Wei, YL; Wang, LQ; Zhang, HS</t>
  </si>
  <si>
    <t>Wei, Yueling; Wang, Lingqi; Zhang, Hongsheng</t>
  </si>
  <si>
    <t>Digital Finance and Pollution: Firm-Level Evidence From China</t>
  </si>
  <si>
    <t>Digital Finance; Financial Constraints; Innovation; Pollution</t>
  </si>
  <si>
    <t>ENVIRONMENTAL PERFORMANCE EVIDENCE; FOREIGN DIRECT-INVESTMENT; CLIMATE-CHANGE; GROWTH; CONSTRAINTS; EMISSIONS</t>
  </si>
  <si>
    <t>Using combined data from the 2011-2013 China Industrial Firm Database, China Industrial Firm Pollution Emission Database, and provincial-level digital financial inclusion index, this paper investigates the impact of digital finance on firm pollution. The authors find that digital finance significantly reduces firm SO2 emission intensity. The inclusive finance attribute of digital finance is conducive to alleviating firm financing constraints and promoting firm transformation and emission reduction. Furthermore, digital finance reduces pollution through innovation compensation. Digital finance mainly affects private firms and small and medium-sized firms, while it mainly plays its role through depth of use, digital payments, and digital credit. The basic conclusions of this paper are verified by using the Internet development level and the spherical distance from Hangzhou, as instrumental variables. This paper has important policy implications for developing countries using digital financial tools to promote green economic transformation and high-quality development.</t>
  </si>
  <si>
    <t>[Wei, Yueling] Hangzhou Normal Univ, Sch Econ, Hangzhou, Peoples R China; [Wang, Lingqi] Pricewaterhousecooper Consultants Shenzhen Co Ltd, Shenzhen, Peoples R China; [Zhang, Hongsheng] Zhejiang Univ, China Acad Digital Trade, Hangzhou, Peoples R China</t>
  </si>
  <si>
    <t>Hangzhou Normal University; Zhejiang University</t>
  </si>
  <si>
    <t>Zhang, HS (corresponding author), Zhejiang Univ, China Acad Digital Trade, Hangzhou, Peoples R China.</t>
  </si>
  <si>
    <t>Project of Humanities and Social Sciences of the Ministry of Education of China [20YJC790146]; National Natural Science Foundation of China [72273125, 71973120, 71803173]; Zhejiang Provincial Natural Science Foundation of China [LY20G030019]; Zhejiang Provincial Philosophy and Social Sciences Planning Project [22NDQN203YB, 22ZJQN13YB]; Start-up Foundation of Hangzhou Normal University (Project Name: Research on the Emission Reduction Effect and Mechanism of Green Credit); Fundamental Research Funds for the Central Universities</t>
  </si>
  <si>
    <t>Project of Humanities and Social Sciences of the Ministry of Education of China; National Natural Science Foundation of China(National Natural Science Foundation of China (NSFC)); Zhejiang Provincial Natural Science Foundation of China(Natural Science Foundation of Zhejiang Province); Zhejiang Provincial Philosophy and Social Sciences Planning Project; Start-up Foundation of Hangzhou Normal University (Project Name: Research on the Emission Reduction Effect and Mechanism of Green Credit); Fundamental Research Funds for the Central Universities(Fundamental Research Funds for the Central UniversitiesPrince of Songkla UniversityInstituto Politecnico Nacional - Mexico)</t>
  </si>
  <si>
    <t>This work is financially supported by the Project of Humanities and Social Sciences of the Ministry of Education of China (No. 20YJC790146) , the National Natural Science Foundation of China (No. 72273125, 71973120 and 71803173) , the Zhejiang Provincial Natural Science Foundation of China (No. LY20G030019) , the Zhejiang Provincial Philosophy and Social Sciences Planning Project (No. 22NDQN203YB and 22ZJQN13YB) , the Start-up Foundation of Hangzhou Normal University (Project Name: Research on the Emission Reduction Effect and Mechanism of Green Credit) , and the Fundamental Research Funds for the Central Universities. We thank two anonymous reviewers for their valuable comments and suggestions. All remaining errors are our own.</t>
  </si>
  <si>
    <t>10.4018/JGIM.321183</t>
  </si>
  <si>
    <t>HJ9V3</t>
  </si>
  <si>
    <t>WOS:001159260400015</t>
  </si>
  <si>
    <t>Uwamariya, M; Loebbecke, C; Cremer, S</t>
  </si>
  <si>
    <t>Uwamariya, Marthe; Loebbecke, Claudia; Cremer, Stefan</t>
  </si>
  <si>
    <t>Mobile Banking Impacting the Performance of Microfinance Institutions: A Case Study from Rwanda</t>
  </si>
  <si>
    <t>INTERNATIONAL JOURNAL OF INNOVATION AND TECHNOLOGY MANAGEMENT</t>
  </si>
  <si>
    <t>Microfinance; mobile banking; IT for development; transaction costs; loan defaults</t>
  </si>
  <si>
    <t>TRANSACTION COST; MICROCREDIT; FRAMEWORK; AGENCY; SIZE</t>
  </si>
  <si>
    <t>Globally, high costs and loan defaults are the biggest threats to microfinance profitability and sustainability. This explorative study investigates how and to what extent mobile banking can foster the performance of microfinance institutions (MFIs). It expands the traditional dimensions of Transaction Cost Economics (TCE) by adding a loan default aspect. The study offers an explorative case study on Urwego Opportunity Bank (UOB) - Rwanda's first commercial mobile service. Based on qualitative data collected through semi-structured interviews from the bank's staff and its customers, the case shows how mobile banking allows for reducing transaction costs and loan defaults and thereby increases eficiency of MFIs. Further, it identifies high agent visibility, and sufficient savings to drive the usage of mobile banking - which, in turn, promotes the deployment of financial services to still unbanked parts of the population in emerging economies.</t>
  </si>
  <si>
    <t>[Uwamariya, Marthe; Loebbecke, Claudia; Cremer, Stefan] Univ Cologne, Dept Media &amp; Technol Management, Cologne, Germany</t>
  </si>
  <si>
    <t>Uwamariya, M (corresponding author), Univ Cologne, Dept Media &amp; Technol Management, Cologne, Germany.</t>
  </si>
  <si>
    <t>uwamarim@smail.uni-koeln.de; claudia.loebbecke@uni-koeln.de; stefan_cremer@uni-koeln.de</t>
  </si>
  <si>
    <t>0219-8770</t>
  </si>
  <si>
    <t>1793-6950</t>
  </si>
  <si>
    <t>INT J INNOV TECHNOL</t>
  </si>
  <si>
    <t>Int. J. Innov. Technol. Manag.</t>
  </si>
  <si>
    <t>10.1142/S0219877020500017</t>
  </si>
  <si>
    <t>KW4LN</t>
  </si>
  <si>
    <t>WOS:000521137600001</t>
  </si>
  <si>
    <t>Hussain, J; Mahmood, S; Scott, J</t>
  </si>
  <si>
    <t>Hussain, Javed; Mahmood, Samia; Scott, Jonathan</t>
  </si>
  <si>
    <t>Gender, Microcredit and Poverty Alleviation in a Developing Country: The Case of Women Entrepreneurs in Pakistan</t>
  </si>
  <si>
    <t>microfinance; gender; entrepreneurs; poverty reduction; Pakistan; human poverty; financial poverty</t>
  </si>
  <si>
    <t>SUSTAINABLE DEVELOPMENT; CREDIT PROGRAMS; MICRO-CREDIT; FINANCIAL INCLUSION; MICROFINANCE; IMPACT; REDUCTION; GROWTH; EDUCATION; BUSINESS</t>
  </si>
  <si>
    <t>The paper explores the impact of financial exclusion on financial and human poverty amongst women in Pakistan. The findings suggest that persistent financial exclusion, gender discrimination and conservative religious values adversely impact women's empowerment. There is an inverse correlation between the size of microcredit and women's financial poverty, which is not the case for human poverty. Larger families experienced higher rates of poverty reduction than smaller families. The study offers evidence and supports theories on the impact of microcredit upon poverty alleviation. These findings inform policy makers, women entrepreneurs and microfinance institutions. (c) 2018 John Wiley &amp; Sons, Ltd.</t>
  </si>
  <si>
    <t>[Hussain, Javed] Birmingham City Univ, Birmingham City Business Sch, 15 Bartholomew Row, Birmingham B5 5JU, W Midlands, England; [Mahmood, Samia] Univ Wolverhampton, Business Sch, Wolverhampton, W Midlands, England; [Scott, Jonathan] Northumbria Univ, Newcastle Business Sch, City Campus East, Newcastle Upon Tyne, Tyne &amp; Wear, England</t>
  </si>
  <si>
    <t>Birmingham City University; University of Wolverhampton; Northumbria University; Newcastle University - UK</t>
  </si>
  <si>
    <t>Hussain, J (corresponding author), Birmingham City Univ, Birmingham City Business Sch, 15 Bartholomew Row, Birmingham B5 5JU, W Midlands, England.</t>
  </si>
  <si>
    <t>javed.hussain@bcu.ac.uk</t>
  </si>
  <si>
    <t>Scott, Jonathan/E-3829-2017; Mahmood, Samia/AAG-1455-2021</t>
  </si>
  <si>
    <t>Scott, Jonathan/0000-0003-3387-5412; Mahmood, Samia/0000-0002-6103-1578</t>
  </si>
  <si>
    <t>10.1002/jid.3403</t>
  </si>
  <si>
    <t>HR5SJ</t>
  </si>
  <si>
    <t>WOS:000463206900003</t>
  </si>
  <si>
    <t>Osakwe, CN; Ogunmokun, OA; Elgammal, I; Kwarteng, MA</t>
  </si>
  <si>
    <t>Osakwe, Christian Nedu; Ogunmokun, Oluwatobi A.; Elgammal, Islam; Kwarteng, Michael Adu</t>
  </si>
  <si>
    <t>Individuals' attitudes and their adoption intentions of central bank digital currency: Combining theories and analytics for deeper insights</t>
  </si>
  <si>
    <t>Digital currency; Fintech; fsQCA; PLS-SEM; Social cognitive theory; Theory of reasoned action; Valence theory; Complexity theory</t>
  </si>
  <si>
    <t>INTERNET BANKING; MODEL; TRUST; SERVICES; METAANALYSIS; TECHNOLOGY; MEDIA; TIME; SEM; QCA</t>
  </si>
  <si>
    <t>Leveraging a multi-theoretical and multi-method approach, this study investigated the factors influencing individuals' attitudes and intentions towards adopting central bank digital currency (CBDC). Data from Nigeria, a pioneering CBDC nation, were analysed using partial least squares structural equation modelling, which revealed that affordance-based positive valences, including seamless transactions, time convenience, and the societal positive valence of financial inclusion, are the strongest predictors of positive attitudes and, subsequently, usage intentions. Perceived financial cost emerged as the most significant barrier. Lifestyle compatibility demonstrated a moderate positive association with attitude. Further, fuzzy-set qualitative comparative analysis identified four necessary conditions for high usage intentions: seamless transactions, trust in the central bank, positive attitude, and the societal positive valence of financial inclusion. Additionally, six alternative configurations sufficient for high usage intentions were also revealed. These findings offer valuable insights for both theoretical research and policymakers, informing strategies to facilitate early CBDC adoption.</t>
  </si>
  <si>
    <t>[Osakwe, Christian Nedu] Int Univ Rabat, Rabat Business Sch, Parc Technopolis, Rabat 11100, Morocco; [Ogunmokun, Oluwatobi A.] Univ Chester, Chester Business Sch, Chester, England; [Elgammal, Islam] Univ Jeddah, Alfayslayia, King Fahd Rd, Jeddah, Saudi Arabia; [Kwarteng, Michael Adu] Tomas Bata Univ, Fac Management &amp; Econ, Zlin, Czech Republic; [Osakwe, Christian Nedu] Univ Pretorias, Gordon Inst Business Sci, Johannesburg, South Africa; [Elgammal, Islam] Suez Canal Univ, Tourism Studies Dept, Ismailia, Egypt; [Kwarteng, Michael Adu] Univ Chem &amp; Technol, Sch Business, Prague, Czech Republic</t>
  </si>
  <si>
    <t>Universite Internationale de Rabat; University of Chester; University of Jeddah; Tomas Bata University Zlin; Egyptian Knowledge Bank (EKB); Suez Canal University; University of Chemistry &amp; Technology, Prague</t>
  </si>
  <si>
    <t>Osakwe, CN (corresponding author), Int Univ Rabat, Rabat Business Sch, Parc Technopolis, Rabat 11100, Morocco.</t>
  </si>
  <si>
    <t>chris.osakwe12@outlook.com; imelgammal@uj.edu.sa; kwarteng@utb.cz</t>
  </si>
  <si>
    <t>Ogunmokun, Oluwatobi A/AGB-5178-2022; Osakwe, Chris/AAN-6706-2020; Elgammal, Islam/ACS-6123-2022</t>
  </si>
  <si>
    <t>Ogunmokun, Oluwatobi A/0000-0002-0095-1522; Elgammal, Islam/0000-0001-7442-7240</t>
  </si>
  <si>
    <t>10.1016/j.techfore.2024.123857</t>
  </si>
  <si>
    <t>L6A8C</t>
  </si>
  <si>
    <t>WOS:001351532100001</t>
  </si>
  <si>
    <t>Musah, I</t>
  </si>
  <si>
    <t>Musah, Ibrahim</t>
  </si>
  <si>
    <t>Microcredit as a catalyst for microbusiness growth: a myth or reality; a case of Asante-Akim Central Municipality, Ghana</t>
  </si>
  <si>
    <t>Microfinance; Microcredit; Micro enterprises; MSMEs (micro, small, and medium enterprises); Financial inclusion; Microenterprise growth</t>
  </si>
  <si>
    <t>PERFORMANCE; ACCESS</t>
  </si>
  <si>
    <t>This study investigates the effect of microcredit on the growth of microenterprises in the Asante-Akim Central Municipal Area of Ghana. The analysis reveals that while larger loan amounts positively influence business growth, high interest rates and rigid repayment terms impede these benefits. Entrepreneurs with higher education levels report better growth outcomes, emphasizing the significance of financial literacy and management skills. However, the evidence indicates that microcredit alone is insufficient to consistently drive sustainable growth for microenterprises, as structural challenges persist. Practical implications suggest that microfinance institutions (MFIs) should revise loan structures to include lower interest rates, extended grace periods, and flexible repayment options. Additionally, integrating financial literacy programs into microfinance services could enhance loan utilization and business outcomes. These findings challenge the universal applicability of microcredit as a growth catalyst, advocating for tailored approaches to better align financial products with the needs of microenterprises in emerging markets.</t>
  </si>
  <si>
    <t>[Musah, Ibrahim] Kwame Nkrumah Univ Sci &amp; Technol, Dept Planning, Kumasi, Ghana; [Musah, Ibrahim] Natl Dev Planning Commiss, Dev Policy &amp; Planning Div, Accra, Ghana; [Musah, Ibrahim] Ghana Inst Planners, Accra, Ghana</t>
  </si>
  <si>
    <t>Kwame Nkrumah University Science &amp; Technology</t>
  </si>
  <si>
    <t>Musah, I (corresponding author), Kwame Nkrumah Univ Sci &amp; Technol, Dept Planning, Kumasi, Ghana.;Musah, I (corresponding author), Natl Dev Planning Commiss, Dev Policy &amp; Planning Div, Accra, Ghana.;Musah, I (corresponding author), Ghana Inst Planners, Accra, Ghana.</t>
  </si>
  <si>
    <t>imusah2730@gmail.com</t>
  </si>
  <si>
    <t>Musah, Ibrahim/0000-0002-0027-5704</t>
  </si>
  <si>
    <t>Asante-Akim Central Municipality</t>
  </si>
  <si>
    <t>The author would like to thank the microloan recipients in Asante-Akim Central Municipality for their participation in the survey.</t>
  </si>
  <si>
    <t>10.1186/s43093-025-00426-9</t>
  </si>
  <si>
    <t>T3Q4E</t>
  </si>
  <si>
    <t>WOS:001404192500002</t>
  </si>
  <si>
    <t>Fang, GL; Wang, ZZ; Zheng, JW; Pan, X</t>
  </si>
  <si>
    <t>Fang, Guangliang; Wang, Zizhen; Zheng, Jianwen; Pan, Xia</t>
  </si>
  <si>
    <t>Criminal shadows on digital finance: Organized crime and digital finance inclusion in China</t>
  </si>
  <si>
    <t>Criminal shadows; Digital finance; Social trust</t>
  </si>
  <si>
    <t>TRUST</t>
  </si>
  <si>
    <t>This study examines whether organized crime hinders digital financial inclusion in China. Using the digital financial inclusion index from 31 provinces and prosecution data from China's anticrime campaign, organized crime significantly impedes digital finance development. Provinces with higher organized crime rates exhibit lower digital financial inclusion. Social trust moderates this relationship, with strong social capital attenuating the negative impact. The effect is most pronounced in economically developed regions where digital economies are vulnerable to criminal disruption.</t>
  </si>
  <si>
    <t>[Fang, Guangliang] Shandong Jiaotong Univ, Law Sch, Jinan, Peoples R China; [Wang, Zizhen] Qingdao Univ Sci &amp; Technol, Law Sch, Qingdao, Peoples R China; [Zheng, Jianwen] Xian Jiaotong Liverpool Univ, Int Business Sch Suzhou, Suzhou, Peoples R China; [Pan, Xia] Ocean Univ China, Law Sch, Qingdao, Peoples R China</t>
  </si>
  <si>
    <t>Shandong Jiaotong University; Qingdao University of Science &amp; Technology; Xi'an Jiaotong-Liverpool University; Ocean University of China</t>
  </si>
  <si>
    <t>Pan, X (corresponding author), Ocean Univ China, Law Sch, Qingdao, Peoples R China.</t>
  </si>
  <si>
    <t>217015@sdjtu.edu.cn; jianwen.zheng02@xjtlu.edu.cn; panxia@ouc.edu.cn</t>
  </si>
  <si>
    <t>National Social Science Fund Project Judicial Research on Measuring the Interests of Vulnerable Groups under Reverse Discrimination Inspection [22BFX115]</t>
  </si>
  <si>
    <t>National Social Science Fund Project Judicial Research on Measuring the Interests of Vulnerable Groups under Reverse Discrimination Inspection</t>
  </si>
  <si>
    <t>National Social Science Fund Project Judicial Research on Measuring the Interests of Vulnerable Groups under Reverse Discrimination Inspection (NO.22BFX115) .</t>
  </si>
  <si>
    <t>10.1016/j.frl.2025.108988</t>
  </si>
  <si>
    <t>J0349</t>
  </si>
  <si>
    <t>WOS:001627145000002</t>
  </si>
  <si>
    <t>Wang, JC; Zhang, DH; Wang, ZR</t>
  </si>
  <si>
    <t>Wang, Jiancheng; Zhang, Donghao; Wang, Zerong</t>
  </si>
  <si>
    <t>Digital finance, stock market participation and asset allocation of Chinese households</t>
  </si>
  <si>
    <t>Digital finance; stock market participation; asset allocation; Chinese households</t>
  </si>
  <si>
    <t>LIFETIME PORTFOLIO SELECTION</t>
  </si>
  <si>
    <t>In this paper, we analyse the relation between the development of digital inclusive finance (DIF) and household stock market participation, as well as asset allocation. Using the digital financial inclusion index developed by Peking University and data from the 2019 China Household Finance Survey, we find that DIF significantly facilitates the probability of stock market participation and the proportion of assets allocating to equities of Chinese households. We use an instrumental variable approach to alleviate the endogeneity problem and find that the benchmark findings remain robust.</t>
  </si>
  <si>
    <t>[Wang, Jiancheng] Sun Yat Sen Univ, Int Sch Business &amp; Finance, Zhuhai, Peoples R China; [Zhang, Donghao] Southwestern Univ Finance &amp; Econ, Sch Insurance, Chengdu, Peoples R China; [Wang, Zerong] Zhejiang Univ Finance &amp; Econ, Sch Econ, Hangzhou 310018, Peoples R China</t>
  </si>
  <si>
    <t>Sun Yat Sen University; Southwestern University of Finance &amp; Economics - China; Zhejiang University of Finance &amp; Economics</t>
  </si>
  <si>
    <t>Wang, ZR (corresponding author), Zhejiang Univ Finance &amp; Econ, Sch Econ, Hangzhou 310018, Peoples R China.</t>
  </si>
  <si>
    <t>wongzerong@gmail.com</t>
  </si>
  <si>
    <t>; Wang, Jiancheng/AAT-4248-2021</t>
  </si>
  <si>
    <t>wang, Zerong/0000-0002-0191-7641;</t>
  </si>
  <si>
    <t>National Natural Science Foundation of China [7210030694]; Youth Fund for Humanities and Social Sciences Research of the Chinese Ministry of Education [21YJC790112]</t>
  </si>
  <si>
    <t>National Natural Science Foundation of China(National Natural Science Foundation of China (NSFC)); Youth Fund for Humanities and Social Sciences Research of the Chinese Ministry of Education</t>
  </si>
  <si>
    <t>This work was supported by the National Natural Science Foundation of China (No. 7210030694) and the Youth Fund for Humanities and Social Sciences Research of the Chinese Ministry of Education [No. 21YJC790112].</t>
  </si>
  <si>
    <t>10.1080/13504851.2022.2083556</t>
  </si>
  <si>
    <t>L2KU5</t>
  </si>
  <si>
    <t>WOS:000806094700001</t>
  </si>
  <si>
    <t>Desai, R</t>
  </si>
  <si>
    <t>Desai, Rajesh</t>
  </si>
  <si>
    <t>Analysing consumer switching behaviour and financial antecedents to determine the intention to use central bank digital currency: evidence from the Indian economy</t>
  </si>
  <si>
    <t>ASIA PACIFIC JOURNAL OF MARKETING AND LOGISTICS</t>
  </si>
  <si>
    <t>CBDC; Digital currency; Adoption; Push-pull-mooring; Switching; UTAUT</t>
  </si>
  <si>
    <t>INFORMATION-TECHNOLOGY; ACCEPTANCE; LITERACY; ADOPTION; MODEL; INCLUSION</t>
  </si>
  <si>
    <t>PurposeThe present research aims to study the behavioural intention to use the digital currencies issued by the central bank through the lens of technology acceptance and switching behaviour perspective. The study also proposes to analyse the role of financial constructs to explain the adoption intention.Design/methodology/approachThe current study develops a model by integrating the unified theory of acceptance and use of technology (UTAUT) and the push-pull-mooring (PPM) theory of switching behaviour. It amends the same by including financial literacy, financial inclusion and trust. A sample data of 419 respondents has been collected through a structured questionnaire and the PLS-SEM approach has been used for data analysis.FindingsThe findings suggest that UTAUT and PPM models can significantly predict individuals' readiness to adopt the central bank digital currency (CBDC). More precisely, performance expectancy, social influence, government support, relative advantage and task-technology fit jointly determine the adoption behaviour. Besides, the financial constructs also affect the intention to use CBDC.Research limitations/implicationsThe study is largely based on a quantitative approach with cross-sectional data from an Indian sample. Thus, the findings may benefit from a longitudinal approach with mixed-method data analysis. However, the study elaborates on several implications for policymakers and research scholars.Originality/valueThe present study uniquely integrates the technology adoption perspective with switching behaviour applied to the migration studies. Given the nascent stage of CBDC implementation in many countries, the current study uses a triangulation approach to enhance the understanding of its adoption behaviour.</t>
  </si>
  <si>
    <t>[Desai, Rajesh] Pandit Deendayal Energy Univ, Sch Liberal Studies, Dept Business Adm &amp; Commerce, Gandhinagar, India</t>
  </si>
  <si>
    <t>Desai, R (corresponding author), Pandit Deendayal Energy Univ, Sch Liberal Studies, Dept Business Adm &amp; Commerce, Gandhinagar, India.</t>
  </si>
  <si>
    <t>rajesh.desai8@gmail.com</t>
  </si>
  <si>
    <t>Desai, Rajesh/AAZ-6277-2021</t>
  </si>
  <si>
    <t>Desai, Rajesh/0000-0003-3611-8409</t>
  </si>
  <si>
    <t>RBI Scholarship Scheme for Faculty Members of Academic Institutions 2023</t>
  </si>
  <si>
    <t>The present research has been undertaken as a part of the RBI Scholarship Scheme for Faculty Members of Academic Institutions 2023 and the views expressed in the paper are solely of the author and not of Reserve Bank of India.</t>
  </si>
  <si>
    <t>1355-5855</t>
  </si>
  <si>
    <t>1758-4248</t>
  </si>
  <si>
    <t>ASIA PAC J MARKET LO</t>
  </si>
  <si>
    <t>Asia Pac. J. Market. Logist.</t>
  </si>
  <si>
    <t>OCT 13</t>
  </si>
  <si>
    <t>10.1108/APJML-05-2024-0669</t>
  </si>
  <si>
    <t>8KF6E</t>
  </si>
  <si>
    <t>WOS:001367515700001</t>
  </si>
  <si>
    <t>Asongu, S; Odhiambo, NM</t>
  </si>
  <si>
    <t>Asongu, Simplice; Odhiambo, Nicholas M.</t>
  </si>
  <si>
    <t>Enhancing ICT for female economic participation in sub-Saharan Africa</t>
  </si>
  <si>
    <t>Africa; Gender; ICT; Inclusive development; Technology; G20; I10; I32; O40; O55</t>
  </si>
  <si>
    <t>MOBILE PHONE PENETRATION; E-WALLET PROGRAM; SUSTAINABLE DEVELOPMENT; INCOME INEQUALITY; FINANCIAL ACCESS; POVERTY; INFORMATION; GROWTH; PRODUCTIVITY; TECHNOLOGY</t>
  </si>
  <si>
    <t>PurposeThis study investigates how enhancing information and communication technology (ICT) affects female economic participation in sub-Saharan African nations.Design/methodology/approachThree female economic participation indicators are used, namely female labour force participation, female unemployment and female employment rates. The engaged ICT variables are fixed broadband subscriptions, mobile phone penetration and Internet penetration. The Generalized Method of Moments is used for the empirical analysis.FindingsThe following main findings are established: First, there is a (1) negative net effect in the relevance of fixed broadband subscriptions in female labour force participation and female unemployment and (2) positive net effects from the importance of fixed broadband subscriptions on the female employment rate. Secondly, an extended analysis is used to establish thresholds at which the undesirable net negative effect on female labour force participation can be avoided. From the corresponding findings, a fixed broadband subscription rate of 9.187 per 100 people is necessary to completely dampen the established net negative effect. Hence, the established threshold is the critical mass necessary for the enhancement of fixed broadband subscriptions to induce an overall positive net effect on the female labour force participation rate.Originality/valueThis study complements the extant literature by assessing how increasing penetration levels of ICT affect female economic inclusion and by extension, thresholds necessary for the promotion of ICT to increase female economic inclusion.</t>
  </si>
  <si>
    <t>[Asongu, Simplice; Odhiambo, Nicholas M.] Univ South Africa, Dept Econ, Pretoria, South Africa</t>
  </si>
  <si>
    <t>JUN 24</t>
  </si>
  <si>
    <t>10.1108/AJEMS-11-2022-0443</t>
  </si>
  <si>
    <t>WB8U7</t>
  </si>
  <si>
    <t>WOS:000994834400001</t>
  </si>
  <si>
    <t>Fine, S</t>
  </si>
  <si>
    <t>Fine, Saul</t>
  </si>
  <si>
    <t>Psychometric Credit Scoring in Latin America: Replicated Samples Across Five Countries</t>
  </si>
  <si>
    <t>REVIEW OF BEHAVIORAL ECONOMICS</t>
  </si>
  <si>
    <t>Credit scoring; psychometrics; financial inclusion</t>
  </si>
  <si>
    <t>FINANCIAL LITERACY; PERSONALITY-TRAITS; PROFILES; PATTERNS</t>
  </si>
  <si>
    <t>Psychometric credit scoring models tap relevant behavioral data associated with borrowers' personal character traits. Despite the increased application of psychometric models in recent years, this topic remains largely understudied. In addition, given their behavioral nature, the efficacy of psychometric models may differ across culturally diverse geographic regions, making it difficult to generalize findings from individual local studies alone. The purpose of this study, therefore, was to provide empirical evidence for psychometric scoring in Latin America, based on a total of 26,638 borrowers from five different countries. The results found the psychometric model to be consistently and similarly correlated with loan defaults across all samples. AUCs ranged from 0.629 to 0.767, KSs from 0.201 to 0.416, and default rates decreased monotonically along the score bands. Overall, the results support the usage of psychometric credit solutions in Latin America, particularly with respect to improving financial inclusion among underbanked consumers.</t>
  </si>
  <si>
    <t>[Fine, Saul] Innovat Assessments Int Ltd, 25 Hamered St, Tel Aviv, Israel; [Fine, Saul] Univ Haifa, Dept Psychol, Haifa, Israel</t>
  </si>
  <si>
    <t>University of Haifa</t>
  </si>
  <si>
    <t>Fine, S (corresponding author), Innovat Assessments Int Ltd, 25 Hamered St, Tel Aviv, Israel.;Fine, S (corresponding author), Univ Haifa, Dept Psychol, Haifa, Israel.</t>
  </si>
  <si>
    <t>saul@iassessments.com</t>
  </si>
  <si>
    <t>NOW PUBLISHERS INC</t>
  </si>
  <si>
    <t>HANOVER</t>
  </si>
  <si>
    <t>PO BOX 1024, HANOVER, MA 02339, UNITED STATES</t>
  </si>
  <si>
    <t>2326-6198</t>
  </si>
  <si>
    <t>2326-6201</t>
  </si>
  <si>
    <t>REV BEHAV ECON</t>
  </si>
  <si>
    <t>Rev. Behav. Econ.</t>
  </si>
  <si>
    <t>10.1561/105.00000206</t>
  </si>
  <si>
    <t>0OY0U</t>
  </si>
  <si>
    <t>WOS:001452544900001</t>
  </si>
  <si>
    <t>Mouna, A; Jarboui, A</t>
  </si>
  <si>
    <t>Mouna, Aman; Jarboui, Anis</t>
  </si>
  <si>
    <t>Understanding the link between government cashless policy, digital financial services and socio-demographic characteristics in the MENA countries</t>
  </si>
  <si>
    <t>Financial inclusion; ICT; Government; Mobile; Probit; D12; G21</t>
  </si>
  <si>
    <t>MOBILE PHONES; INCLUSION</t>
  </si>
  <si>
    <t>Purpose To help inform the debate over whether socio-demographic characteristics are related to the use of digital technologies, the authors investigated the effects of age, gender, education, income and being in the workforce on changes in using financial digital services using panel data collected in the MENA countries during 2017. Design/methodology/approach This study aims to identify the impact of government policy on the determinants of financial inclusion and digital payment services in the MENA region. The authors use microdata from the 2017 Global Findex database on MENA countries to perform probit estimations. The paper focuses on the role of technology adoption by government authorities in extending financial inclusion and digital payment around different people. Findings The authors find that poorer people (and, by association, less educated people) and the young (but less so the elderly) are disproportionately excluded from the financial system. Results confirm that better collaboration between the government and the financial sector can help to develop digital financial inclusion through the technology adoption channels. The study confirms the significant impact of the government cashless policy in advancing financial inclusion in the MENA countries, with potentially wider applicability to other developed economies. Practical implications Policies to advance mobile money innovations could stimulate financial inclusion by promoting digital transaction services. The role of government authorities is imperative to harness the beneficial and sustainable gains from digitizing remittances and transfers to promote a cashless economy. Originality/value Financial inclusion promotes equality through a broadening of the system and government cashless policy can be a major catalyst for greater financial inclusion. It helps in the overall economic development of the underprivileged population and contributes to poverty reduction.</t>
  </si>
  <si>
    <t>[Mouna, Aman] Univ Gabes, Higher Inst Management, Gabes, Tunisia; [Jarboui, Anis] Univ Sfax, Finance &amp; Accounting, Sfax, Tunisia</t>
  </si>
  <si>
    <t>Universite de Gabes; Universite de Sfax</t>
  </si>
  <si>
    <t>Mouna, A (corresponding author), Univ Gabes, Higher Inst Management, Gabes, Tunisia.</t>
  </si>
  <si>
    <t>amarimouna86@gmail.com</t>
  </si>
  <si>
    <t>JARBOUI, Anis/AAX-3227-2021</t>
  </si>
  <si>
    <t>JARBOUI, Anis/0000-0002-4811-6729</t>
  </si>
  <si>
    <t>MAY 10</t>
  </si>
  <si>
    <t>5/6</t>
  </si>
  <si>
    <t>10.1108/IJSSP-12-2020-0544</t>
  </si>
  <si>
    <t>1A3JI</t>
  </si>
  <si>
    <t>WOS:000646275000001</t>
  </si>
  <si>
    <t>Cicchiello, AF; Kazemikhasragh, A; Fellegara, AM; Monferrà, S</t>
  </si>
  <si>
    <t>Cicchiello, Antonella Francesca; Kazemikhasragh, Amirreza; Fellegara, Anna Maria; Monferra, Stefano</t>
  </si>
  <si>
    <t>Gender disparity effect among financially included (and excluded) women in the Middle East and North Africa</t>
  </si>
  <si>
    <t>ECONOMICS AND BUSINESS LETTERS</t>
  </si>
  <si>
    <t>Gender; Financial inclusion; Discrimination; Emerging markets</t>
  </si>
  <si>
    <t>INCLUSION</t>
  </si>
  <si>
    <t>Using the 2017 World Bank's Global Findex database, this study aims to investigate the effect of gender disparity on the financial inclusion (and exclusion) of women in a sample of 16 countries in the Middle East and North Africa (MENA) region. The results of the probit models suggest the existence of significant gender gaps in the access to and use of formal and informal financial services such as the ownership of financial institution accounts, mobile money accounts, credit card, and the usage of savings and credit products. Being a woman reduces the probability of having an account at a financial institution or through a mobile money provider, of formally saving at a financial institution, and of taking loans regardless of purpose. However, being a woman increases the probability of owning a credit card and saving semi-formally, by using a savings club or a person outside the family. Our analysis also highlights that the lack of enough money, religious concerns, and the fact that a family member already has an account are the most relevant factors in explaining the financial exclusion of women in the countries analysed. The findings of this study are beneficial for policymakers to promote financial inclusion for women and remove the barriers they face to access and use financial services. Reducing gender disparity in financial inclusion is crucial to enhance women's economic empowerment and promote inclusive development across emerging markets and developing economies of the MENA region.</t>
  </si>
  <si>
    <t>[Cicchiello, Antonella Francesca; Fellegara, Anna Maria; Monferra, Stefano] Univ Cattolica Sacro Cuore, Milan, Italy; [Kazemikhasragh, Amirreza] Natl Autonomous Univ Mexico UNAM, Mexico City, DF, Mexico</t>
  </si>
  <si>
    <t>Catholic University of the Sacred Heart; Universidad Nacional Autonoma de Mexico</t>
  </si>
  <si>
    <t>Cicchiello, AF (corresponding author), Univ Cattolica Sacro Cuore, Milan, Italy.</t>
  </si>
  <si>
    <t>antonella.cicchiello@unicatt.it</t>
  </si>
  <si>
    <t>Cicchiello, Antonella Francesca/AAF-9191-2021; Kazemikhasragh, Amirreza/AAD-9634-2021</t>
  </si>
  <si>
    <t>Cicchiello, Antonella Francesca/0000-0003-3367-1620; Kazemikhasragh, Amirreza/0000-0001-9257-2505</t>
  </si>
  <si>
    <t>UNIV OVIEDO</t>
  </si>
  <si>
    <t>OVIEDO</t>
  </si>
  <si>
    <t>CAMPUS HUMANIDADES, EDIFICIO SERVICIOS,, OVIEDO, ASTURIAS 33011, SPAIN</t>
  </si>
  <si>
    <t>2254-4380</t>
  </si>
  <si>
    <t>ECON BUS LETT</t>
  </si>
  <si>
    <t>Econ. Bus. Lett.</t>
  </si>
  <si>
    <t>10.17811/ebl.10.4.2021.342-348</t>
  </si>
  <si>
    <t>YJ0DQ</t>
  </si>
  <si>
    <t>WOS:000744210200002</t>
  </si>
  <si>
    <t>Fan, C; Mao, QD; Sun, JH</t>
  </si>
  <si>
    <t>Fan, Cong; Mao, Qingduo; Sun, Jinghua</t>
  </si>
  <si>
    <t>Does digital financial inclusion promote elderly consumption? An empirical test based on Chinese survey data</t>
  </si>
  <si>
    <t>Digital financial inclusion; Elderly; Consumption expenditure</t>
  </si>
  <si>
    <t>This study investigates the impact of Digital Financial Inclusion (DFI) on elderly consumption expenditure in China, aiming to provide a novel perspective on enhancing the elderly's participation in the digital economy. Utilizing data from the China Family Panel Studies and the Peking University Digital Financial Inclusion Index, the research employs empirical testing methods, including OLS regression and instrumental variable estimation, to analyze the relationship between DFI and consumption expenditures among the elderly. The findings reveal that DFI enhances the elderly's access to finance by breaking down barriers, improving financial acumen, personalizing fintech solutions, and stimulating their consumption capacity. It also shows that poorer health increases consumption, while marriage and family size reduce spending. Household income significantly predicts consumption levels, with wealthier elderly consuming more. DFI optimizes consumption patterns, boosting living standards and enjoyment activities and elevating the elderly's quality of life. This study uses the latest data from China to reveal the impact of DFI on the consumption expenditure and consumption structure of elderly people, offering insights for policymakers to develop targeted strategies that leverage digital finance for improving elderly living standards and stimulating the silver economy. The research holds value for academic and practical domains, presenting evidence-based recommendations for financial institutions and regulators to enhance digital financial services for the elderly demographic.</t>
  </si>
  <si>
    <t>[Fan, Cong; Mao, Qingduo] Ocean Univ China, Sch Int Affairs &amp; Publ Adm, Qingdao 266100, Peoples R China; [Sun, Jinghua] Shandong Univ Finance &amp; Econ, Sch Publ Adm &amp; policy, Jinan 250014, Peoples R China</t>
  </si>
  <si>
    <t>Ocean University of China; Shandong University of Finance &amp; Economics</t>
  </si>
  <si>
    <t>Mao, QD (corresponding author), Ocean Univ China, Sch Int Affairs &amp; Publ Adm, Qingdao 266100, Peoples R China.</t>
  </si>
  <si>
    <t>mqd@ouc.edu.cn</t>
  </si>
  <si>
    <t>Mao, Qingduo/IXW-7487-2023</t>
  </si>
  <si>
    <t>National Social Science Foundation of China [22CSH019]</t>
  </si>
  <si>
    <t>This study was supported by the National Social Science Foundation of China [22CSH019].</t>
  </si>
  <si>
    <t>2024 DEC 13</t>
  </si>
  <si>
    <t>10.1007/s10660-024-09940-4</t>
  </si>
  <si>
    <t>P4F7I</t>
  </si>
  <si>
    <t>WOS:001377493100001</t>
  </si>
  <si>
    <t>Xue, L; Zhang, XM</t>
  </si>
  <si>
    <t>Xue, Long; Zhang, Xuemang</t>
  </si>
  <si>
    <t>Can Digital Financial Inclusion Promote Green Innovation in Heavily Polluting Companies?</t>
  </si>
  <si>
    <t>digital financial inclusion; green innovation; financing constraints; life cycle</t>
  </si>
  <si>
    <t>This paper takes the China A-shares listed companies in heavy polluting industries from 2011 to 2020 as samples, combines the digital financial inclusion index to empirically examine the impacts of digital financial inclusion development on the green technology innovation of heavily polluting companies, and reveals its mechanism of action and its heterogeneity of the impacts of enterprises' green technology innovation in different development stages. The empirical research results show that the development of digital financial inclusion is able to promote the green innovation of heavy-polluting enterprises. Its main manifestation is that the development of digital financial inclusion helps the increase of green patent applications of heavy-polluting enterprises. This conclusion is validated through the endogeneity and robustness tests. The test results of the mechanism of action show that digital financial inclusion promotes green innovation of enterprises by alleviating corporate financing constraints and financial mismatch problems. Further research results show that the role of digital financial inclusion in promoting green technology innovation in heavy-polluting enterprises is more pronounced in mature enterprises. Therefore, this study provides a theoretical basis for the development of digital financial inclusion to promote heavy-polluting enterprises to achieve green transition through green technology innovation, thus achieving the dual carbon goal.</t>
  </si>
  <si>
    <t>[Xue, Long; Zhang, Xuemang] Zhengzhou Univ Light Ind, Sch Econ &amp; Management, Sci Ave 136, Zhengzhou 450000, Peoples R China</t>
  </si>
  <si>
    <t>Zhengzhou University of Light Industry</t>
  </si>
  <si>
    <t>Xue, L (corresponding author), Zhengzhou Univ Light Ind, Sch Econ &amp; Management, Sci Ave 136, Zhengzhou 450000, Peoples R China.</t>
  </si>
  <si>
    <t>xl2017018@sina.com; xuemang_z@163.com</t>
  </si>
  <si>
    <t>Key scientific research projects of colleges and universities of Henan Province [22A790024]</t>
  </si>
  <si>
    <t>Key scientific research projects of colleges and universities of Henan Province</t>
  </si>
  <si>
    <t>This work was supported by the Key scientific research projects of colleges and universities of Henan Province (22A790024).</t>
  </si>
  <si>
    <t>10.3390/ijerph19127323</t>
  </si>
  <si>
    <t>2K6NU</t>
  </si>
  <si>
    <t>WOS:000816450800001</t>
  </si>
  <si>
    <t>Keerthikumara, SM; Kumari, DSS</t>
  </si>
  <si>
    <t>Keerthikumara, S. M.; Kumari, D. Sujatha Susanna</t>
  </si>
  <si>
    <t>Access and usage of financial products in India: A gender gap analysis</t>
  </si>
  <si>
    <t>Financial inclusion; gender gap; financial products; digital financial inclusion</t>
  </si>
  <si>
    <t>This paper examines the status and determinants of the gender gap in access and usage of financial products and services using 3000 sample of Findex survey data 2021 in India. The results provide evidence to support the gender gap in access and usage of financial services. Particularly they are prominent in access to Mobile Money Accounts (MMAs; 12.03%), debit card (16.27%), and credit card (4.91%). At the same time, a remarkable gender gap was also found in the usage of financial products, specifically in MMA savings (4.25%), deposits (11.52%), withdrawal from accounts (6.83%), debit cards (13.27%) and credit cards (3.94%) usage. Finally, this paper documented the gender gap in access and use of financial products explained by a lower level of education, income, employment, mobile phone ownership, and internet access. The findings suggest that increasing traditional and digital financial literacy and employment opportunity among women are essential. It is also recommended to expand internet connectivity and mobile devices to all socio-economic categories of women.</t>
  </si>
  <si>
    <t>[Keerthikumara, S. M.; Kumari, D. Sujatha Susanna] Cent Univ Karnataka, Sch Business Studies, Dept Commerce, Kalaburagi, Karnataka, India</t>
  </si>
  <si>
    <t>Central University of Karnataka</t>
  </si>
  <si>
    <t>Keerthikumara, SM (corresponding author), Cent Univ Karnataka, Sch Business Studies, Dept Commerce, Kalaburagi, Karnataka, India.</t>
  </si>
  <si>
    <t>kumarkeerthi196@gmail.com</t>
  </si>
  <si>
    <t>; S M, Keerthikumara/JQW-6941-2023</t>
  </si>
  <si>
    <t>, Keerthikumara S M/0000-0003-2421-2326;</t>
  </si>
  <si>
    <t>10.1142/S2424786323500226</t>
  </si>
  <si>
    <t>CJ4Z3</t>
  </si>
  <si>
    <t>WOS:001039213700001</t>
  </si>
  <si>
    <t>Fu, QL; Zhang, Y; Yang, ZY; Zhang, XY</t>
  </si>
  <si>
    <t>Fu, Qiaoling; Zhang, Ying; Yang, Zeyun; Zhang, Xiangyu</t>
  </si>
  <si>
    <t>Analysis of Spatial Evolution of Inclusive Finance at the County Level: A Comparative Study of Traditional and Digital Finance</t>
  </si>
  <si>
    <t>county; digital inclusive finance; spatial convergence; spatial difference; traditional inclusive finance</t>
  </si>
  <si>
    <t>In light of the increasing relevance of inclusive finance in reducing economic inequality, this study explores the developmental patterns of both traditional and digital inclusive finance at the county level within China. Utilising panel data from 1867 counties from 2014 to 2020, alongside the 'Peking University Digital Financial Inclusion Index', the paper examines the progression of these two forms of finance. By applying the Thiel index model and spatial econometric model, the research analyses the convergence and divergence between traditional and digital inclusive finance. The findings reveal: (1) Between 2014 and 2020, both traditional and digital inclusive finance experienced notable growth. The digital finance index surged by 147.64% at its median, surpassing the 71.21% growth of traditional finance. Nevertheless, a regional imbalance persists, with eastern areas showing more advancement than western ones. (2) Over 70% of regional disparities are attributed to factors within provinces. While digital inclusive finance saw fast convergence until 2016, its pace decelerated sharply thereafter. (3) Significant spatial clustering and correlation are observed in county-level inclusive finance. In 2020, Moran's I index for digital finance was 0.215, indicating stronger spatial interdependence compared to traditional finance. Convergence is notably quicker in the western regions and poorer counties, with rates of 0.195 for traditional finance and 0.161 for digital finance in these areas. This study stands out by offering a detailed comparison of the spatial evolution and convergence of both types of inclusive finance, with particular attention to the influence of neighbouring regions. This approach sheds light on the spatial and temporal dynamics of financial inclusion in China, providing key insights for policymakers aiming to foster balanced regional growth and improve financial inclusion.</t>
  </si>
  <si>
    <t>[Fu, Qiaoling; Yang, Zeyun; Zhang, Xiangyu] Beijing Union Univ, Beijing, Peoples R China; [Zhang, Ying] China Univ Polit Sci &amp; Law, Beijing, Peoples R China</t>
  </si>
  <si>
    <t>Beijing Union University; China University of Political Science &amp; Law</t>
  </si>
  <si>
    <t>Yang, ZY (corresponding author), Beijing Union Univ, Beijing, Peoples R China.</t>
  </si>
  <si>
    <t>leovs6cam@mail.com</t>
  </si>
  <si>
    <t>National Social Science Fund of China (NSSFC) Research on Inclusive Financial Measures to Support the Transformation and Development of Farmers in the Context of Urban Rural Integration [20BJY155]</t>
  </si>
  <si>
    <t>National Social Science Fund of China (NSSFC) Research on Inclusive Financial Measures to Support the Transformation and Development of Farmers in the Context of Urban Rural Integration</t>
  </si>
  <si>
    <t>This paper is supported by the National Social Science Fund of China (NSSFC) 'Research on Inclusive Financial Measures to Support the Transformation and Development of Farmers in the Context of Urban Rural Integration' (20BJY155).</t>
  </si>
  <si>
    <t>2025 SEP 23</t>
  </si>
  <si>
    <t>10.1002/ijfe.70063</t>
  </si>
  <si>
    <t>7PQ5M</t>
  </si>
  <si>
    <t>WOS:001576676200001</t>
  </si>
  <si>
    <t>Bongomin, GOC; Ntayi, JM; Malinga, CA</t>
  </si>
  <si>
    <t>Okello Candiya Bongomin, George; Mpeera Ntayi, Joseph; Akol Malinga, Charles</t>
  </si>
  <si>
    <t>Analyzing the relationship between financial literacy and financial inclusion by microfinance banks in developing countries: social network theoretical approach</t>
  </si>
  <si>
    <t>Social network theory; Financial inclusion; Financial education; Rural poor households; Rural Uganda; Microfinance banks</t>
  </si>
  <si>
    <t>KNOWLEDGE; SERVICES; ACCESS; MODELS; POWER</t>
  </si>
  <si>
    <t>Purpose The main purpose of this study is to establish the mediating effect of social network in the relationship between financial literacy and financial inclusion of the poor by microfinance banks in developing countries. Design/methodology/approach The study adopted a cross-sectional research design and data were collected from the poor who resides in rural Uganda. Structural equation modelling (SEM) through analysis of moment structures (AMOS) was used to analyze the data. Bootstrap approach with 5,000 samples was run to establish the mediating effect of social network in the relationship between financial literacy and financial inclusion of the poor by microfinance banks in developing countries. Findings The results showed that social network significantly and positively mediate the relationship between financial literacy and financial inclusion of the poor by microfinance banks in developing countries. In addition, financial literacy also has a direct significant and positive effect on financial inclusion. Overall, the findings suggest that the presence of social network fully mediate the effect of financial literacy on financial inclusion of the poor by microfinance banks in developing countries. Research limitations/implications This study adopted a cross-sectional research design and data were collected using a semi-structured questionnaire. Future studies could adopt longitudinal research design to establish the dynamic characteristics of the samples under study over time. Besides, this study collected data from only poor households who were clients of microfinance banks located in rural Uganda. It ignored the other section of the population who were not the poor. Therefore, future studies could use the other section of the population who are clients of commercial banks. Practical implications The advocates of financial literacy and managers of microfinance banks in developing countries should ensure using existing local structures such as community and village associations to conduct financial literacy training. The village associations help in mobilizing members who are close-knit based on the existing societal ties that can be used as a channel for disseminating vital financial literacy information. Indeed, financial literacy workshops, seminars, and business clinics can be easily conducted to individuals who are members of the village associations. Originality/value This paper integrates social network theory in the relationship between financial literacy and financial inclusion of the poor by microfinance banks in developing countries. Social network acts as a conduit through which financial knowledge and skills flow to increase the scope of financial inclusion of the poor in developing countries.</t>
  </si>
  <si>
    <t>[Okello Candiya Bongomin, George; Mpeera Ntayi, Joseph; Akol Malinga, Charles] Makerere Univ, Sch Business, Kampala, Uganda</t>
  </si>
  <si>
    <t>Bongomin, GOC (corresponding author), Makerere Univ, Sch Business, Kampala, Uganda.</t>
  </si>
  <si>
    <t>abaikol3@yahoo.co.uk; ntayius@gmail.com; camalinga@gmail.com</t>
  </si>
  <si>
    <t>Ntayi, Joseph/HKW-6871-2023</t>
  </si>
  <si>
    <t>11-12</t>
  </si>
  <si>
    <t>10.1108/IJSSP-12-2019-0262</t>
  </si>
  <si>
    <t>PE5NK</t>
  </si>
  <si>
    <t>WOS:000544427000001</t>
  </si>
  <si>
    <t>Bongomin, GOC; Yourougou, P; Balinda, R; Lubega, JBY</t>
  </si>
  <si>
    <t>Bongomin, George Okello Candiya; Yourougou, Pierre; Balinda, Rebecca; Lubega, Joseph Baleke Yiga</t>
  </si>
  <si>
    <t>Customized financial literacy: a boon for universal financial inclusion of PWDs post COVID-19 pandemic in developing countries</t>
  </si>
  <si>
    <t>Financial market regulation; Customized financial literacy; Consumer protection; Financial inclusion; Social learning theory; PWDs in financial market place</t>
  </si>
  <si>
    <t>CONSUMER-PROTECTION</t>
  </si>
  <si>
    <t>PurposeCurrently, consumers of financial products and services have become more vulnerable to predatory financial institutions, especially in the aftermath of Covid-19 pandemic. Therefore, financial consumers like the persons with disabilities (PWDs) should be equipped with knowledge and skills to help them to evaluate complex financial products on offer in financial markets, especially in developing countries to avoid being victims of fraudulent lending. The purpose of this study is to establish whether customized financial literacy mediates the relationship between financial consumer protection and financial inclusion of PWDs' owned MSMEs in rural Uganda post Covid-19 pandemic.Design/methodology/approachSmartPLS 4.0 was used to construct the measurement and structural equation models to test whether customized financial literacy significantly mediates the relationship between financial consumer protection and financial inclusion of PWDs' owned MSMEs in rural Uganda post Covid-19 pandemic.FindingsThe results revealed a partial mediating effect of customized financial literacy in the relationship between financial consumer protection and financial inclusion of PWDs' owned MSMEs in rural Uganda post Covid-19 pandemic. Conducting customized financial literacy increases financial consumer protection by 12 percentage points to promote financial inclusion of PWDs' owned MSMEs in rural Uganda post Covid-19 pandemic.Research limitations/implicationsThis study focused only on customized financial literacy and financial consumer protection to promote universal financial inclusion of PWDs' owned MSMEs post Covid-19 pandemic. Future studies may use data collected from other vulnerable groups amongst the unbanked population in developing countries, Uganda inclusive. In addition, this study also collected only quantitative data from the selected population. Further studies can be conducted using key informant interviews and focused group discussion to get the perceptions of the PWDs on being protected from exploitation by unscrupulous financial institutions.Practical implicationsThe findings from this study can help policymakers in developing countries like Uganda to revise the existing consumer protection law to include strong clauses on protection of people with special needs like the PWDs. The law must ensure that they are not exploited by financial institutions because of their conditions. The law ought to make sure that the PWDs are educated about their rights in the financial market place and all information on financial products offered by financial institutions should be simplified and interpreted to them before they make consumption decisions.Originality/valueTo the best of the authors' knowledge, the present study is amongst the first few studies to provide a meticulous and unique discourse on the ever increasing role of financial literacy combined with consumer protection to reduce consumption risks within the financial markets, especially in developing countries in the aftermath of global pandemic shocks. This study uses the social learning theory, theory of reasoned action and theory of planned behaviour to elucidate how customized financial literacy can enhance consumer protection to increase financial inclusion of groups with special needs like the PWDs who have become more susceptible to exploitation by unscrupulous financial institutions in under-developed financial markets, especially in post Covid-19 pandemic.</t>
  </si>
  <si>
    <t>[Bongomin, George Okello Candiya] Makerere Univ, Business Sch, Kampala, Uganda; [Bongomin, George Okello Candiya] Makerere Univ, Business Sch, Finance Dept, Kampala, Uganda; [Yourougou, Pierre] Inst Natl Polytech Felix Houphouet Boigny, Yamoussoukro, Cote Ivoire; [Balinda, Rebecca] Kigali Independent Univ, Finance Dept, Kigali, Rwanda; [Lubega, Joseph Baleke Yiga] Ndejje Univ, Finance Dept, Kampala, Uganda</t>
  </si>
  <si>
    <t>Makerere University; Makerere University; Institut National Polytechnique Felix Houphouet-Boigny</t>
  </si>
  <si>
    <t>Bongomin, GOC (corresponding author), Makerere Univ, Business Sch, Kampala, Uganda.;Bongomin, GOC (corresponding author), Makerere Univ, Business Sch, Finance Dept, Kampala, Uganda.</t>
  </si>
  <si>
    <t>The authors would like to thank the anonymous reviewers for the exceptional and constructive comments and the editors for the attention and feedback given to this manuscript, which have helped to significantly improve it to publishable standard. The corresponding author acknowledges great support from Prof. Issouf Soumare and the excellent academic environment at Laboratory for Financial Engineering at FSA, Laval University.</t>
  </si>
  <si>
    <t>10.1108/JFRC-07-2023-0109</t>
  </si>
  <si>
    <t>MQ1C9</t>
  </si>
  <si>
    <t>WOS:001177386400001</t>
  </si>
  <si>
    <t>Alvarez-Franco, PB; Castañeda, VC; Zuluaga, DIA; Diaz, JM</t>
  </si>
  <si>
    <t>Alvarez-Franco, Pilar Beatriz; Castaneda, Vivian Cruz; Agudelo Zuluaga, Daniela I.; Diaz, Juan Manuel</t>
  </si>
  <si>
    <t>Determinants of digital financial inclusion in Latin America and the Caribbean</t>
  </si>
  <si>
    <t>Financial inclusion; Digital financial inclusion; Financial services; Access to financial markets; Digital payments; Latin America; E23; E44; E69; G18; O11; O16; O57</t>
  </si>
  <si>
    <t>USER ACCEPTANCE</t>
  </si>
  <si>
    <t>PurposeThis study investigates the determinants of digital financial inclusion (DFI) in Latin America and the Caribbean (LAC), focusing on the influence of sociodemographic factors on the accessibility and use of digital financial services. The analysis is based on the World Bank's Global Financial Inclusion Database from 2021.Design/methodology/approachAn index variable was created by grouping all questions related to the accessibility and use of digital financial services into a single measure, which draws on information from the Global Findex Survey covering 15 countries from LAC. In addition, a probit model was employed to assess the demographic determinants of DFI.FindingsThe findings indicate that sociodemographic factors such as age, education, gender, income, employment status and country of origin significantly influence DFI.Research limitations/implicationsThe study primarily examines sociodemographic factors, potentially overlooking other crucial determinants, including infrastructure, regulatory frameworks and cultural influences that are likely to play significant roles.Practical implicationsPolicymakers should develop inclusive policies to address barriers such as digital literacy and internet access while enhancing fintech innovation and infrastructure in countries with lower adoption rates, thereby promoting broader financial inclusion across the region.Social implicationsThe findings offer valuable insights for policymakers and service providers in LAC to enhance DFI, especially among marginalized population groups, namely women or people with lower income and education levels.Originality/valueThis study contributes original insights into the understanding of DFI in LAC by highlighting the influence of sociodemographic factors within the context of a rapidly evolving digital landscape.</t>
  </si>
  <si>
    <t>[Alvarez-Franco, Pilar Beatriz; Castaneda, Vivian Cruz; Agudelo Zuluaga, Daniela I.; Diaz, Juan Manuel] Univ EAFIT, Escuela Finanzas Econ &amp; Gobierno, Medellin, Colombia; [Castaneda, Vivian Cruz] Univ Pacif, Dept Academ Finanzas, Lima, Peru</t>
  </si>
  <si>
    <t>Universidad EAFIT</t>
  </si>
  <si>
    <t>Castañeda, VC (corresponding author), Univ EAFIT, Escuela Finanzas Econ &amp; Gobierno, Medellin, Colombia.;Castañeda, VC (corresponding author), Univ Pacif, Dept Academ Finanzas, Lima, Peru.</t>
  </si>
  <si>
    <t>palvare6@eafit.edu.co; v.cruzca@up.edu.pe; diagudeloz@eafit.edu.co; jdiazla@eafit.edu.co</t>
  </si>
  <si>
    <t>2025 OCT 17</t>
  </si>
  <si>
    <t>10.1108/JEFAS-09-2024-0280</t>
  </si>
  <si>
    <t>8PJ9I</t>
  </si>
  <si>
    <t>WOS:001594159500001</t>
  </si>
  <si>
    <t>Liu, RY; Wang, Z; Sindakis, S; Showkat, S</t>
  </si>
  <si>
    <t>Liu, Ruoyun; Wang, Zhan; Sindakis, Stavros; Showkat, Saloome</t>
  </si>
  <si>
    <t>Unlocking Financial Inclusion Through ICT and Mobile Banking: A Knowledge-Based Analysis of Microfinance Institutions in Ghana</t>
  </si>
  <si>
    <t>Microfinance institutions; Developing countries; ICT; Banking/money adoption; Financial inclusion; Customer satisfaction; Performance; Ghana</t>
  </si>
  <si>
    <t>COMMUNICATION TECHNOLOGY; INFORMATION; GOVERNANCE; SUSTAINABILITY; PERFORMANCE; MECHANISMS; ADOPTION; OUTREACH; FUTURE; PHONES</t>
  </si>
  <si>
    <t>Microfinance institutions (MFIs) are critical in providing financial services to low-income individuals in developing countries, but challenges such as inadequate infrastructure, limited resources, and low financial literacy have affected effective service delivery. In Ghana, MFIs have adopted information and communication technology (ICT) and mobile banking/money solutions to address these challenges. This study uses qualitative and quantitative research methods to explore the impact of integrating ICT and mobile banking/money adoption on the efficiency, growth, and outreach of MFIs in Ghana. The findings reveal that the integration of ICT and mobile banking/money adoption positively impacts the efficiency, growth, and outreach of MFIs, loan repayment rates, and financial inclusion. However, effective utilization and adoption of these technologies face barriers such as limited ICT infrastructure, a lack of technical expertise, and insufficient awareness of the benefits of these technologies. Furthermore, the study shows that integrating ICT solutions into microfinance operations has a significant positive relationship with MFIs' growth and customer satisfaction rates. The study contributes to the literature on the adoption of ICT solutions in microfinance operations and provides insights into how MFIs can integrate ICT solutions into their operations to enhance their performance.</t>
  </si>
  <si>
    <t>[Liu, Ruoyun] Wuhan Univ, Sch Foreign Languages &amp; Literature, Wuhan, Peoples R China; [Wang, Zhan] Guangdong Univ Foreign Studies, Yunshan Studio, Guangzhou, Peoples R China; [Sindakis, Stavros] Hellenic Open Univ, Sch Social Sci, 18 Aristotelous St, Patras 26335, Greece; [Showkat, Saloome] Inst Strategy Entrepreneurship &amp; Educ Growth, Athens, Greece</t>
  </si>
  <si>
    <t>Wuhan University; Guangdong University of Foreign Studies; Hellenic Open University</t>
  </si>
  <si>
    <t>Wang, Z (corresponding author), Guangdong Univ Foreign Studies, Yunshan Studio, Guangzhou, Peoples R China.</t>
  </si>
  <si>
    <t>ruoyunliu@whu.edu.cn; 202070005@oamail.gdufs.edu.cn; sindakis.stavros@ac.eap.gr</t>
  </si>
  <si>
    <t>Sindakis, Stavros/D-2296-2012</t>
  </si>
  <si>
    <t>Sindakis, Stavros/0000-0002-3542-364X</t>
  </si>
  <si>
    <t>10.1007/s13132-023-01460-0</t>
  </si>
  <si>
    <t>C6L5F</t>
  </si>
  <si>
    <t>WOS:001064654800003</t>
  </si>
  <si>
    <t>Chinoda, T; Kapingura, FM</t>
  </si>
  <si>
    <t>Chinoda, Tough; Kapingura, Forget Mingiri</t>
  </si>
  <si>
    <t>The Impact of Digital Financial Inclusion and Bank Competition on Bank Stability in Sub-Saharan Africa</t>
  </si>
  <si>
    <t>bank stability; bank competition; digital financial inclusion; Sub-Saharan Africa</t>
  </si>
  <si>
    <t>The last few years have witnessed a rapid development in digital finance that may threaten the manner in which traditional financial services are being used. It opens up new opportunities for low-income groups and small businesses that have limited or no access to formal financial services. Thus, digital financial inclusion plays a vital role in boosting a country's financial inclusion, fulfilling some sustainable development goals and achieving higher economic growth. This study builds on a new measure of digital financial inclusion to examine the impact of digital financial inclusion and bank competition on bank stability in Sub-Saharan Africa for the period 2014 to 2020 using the two-step System Generalised Method of Moments. An index of digital financial inclusion, z-score, Herfindahl-Hirschman Index (HHI), and non-performing loans were used as data variables. The study findings reveal that digital financial inclusion has a significant positive relationship with bank stability (z-score) and a negative relationship with non-performing loans. The study also found a significant negative effect of bank competition (HHI) on bank stability in line with the competition-fragility view. Policymakers should ensure digital financial literacy for all since it feeds into bank stability and also reduces bank insolvency. They should also find ways of enhancing bank competition which reduces non-performing loans and bank insolvency. On practical implications, the study calls for strategic measures to preserve bank stability, such as complementing digital financial inclusion with financial literacy and enhancing bank competition.</t>
  </si>
  <si>
    <t>[Chinoda, Tough; Kapingura, Forget Mingiri] Univ Ft Hare, Dept Econ, Private Bag X9083, ZA-5200 East London, South Africa</t>
  </si>
  <si>
    <t>Chinoda, T (corresponding author), Univ Ft Hare, Dept Econ, Private Bag X9083, ZA-5200 East London, South Africa.</t>
  </si>
  <si>
    <t>toughchinoda@gmail.com</t>
  </si>
  <si>
    <t>Kapingura, Forget Mingiri/W-1804-2017</t>
  </si>
  <si>
    <t>Kapingura, Forget Mingiri/0000-0002-5808-5612; Chinoda, Tough/0000-0003-0091-6812</t>
  </si>
  <si>
    <t>10.3390/economies11010015</t>
  </si>
  <si>
    <t>7Y7DN</t>
  </si>
  <si>
    <t>WOS:000915035200001</t>
  </si>
  <si>
    <t>López-Sánchez, P; Urquia-Grande, E</t>
  </si>
  <si>
    <t>Lopez-Sanchez, Pilar; Urquia-Grande, Elena</t>
  </si>
  <si>
    <t>Mind the Gap in Financial Inclusion! Microcredit Institutions fieldwork in Peru</t>
  </si>
  <si>
    <t>REVISTA DE CONTABILIDAD-SPANISH ACCOUNTING REVIEW</t>
  </si>
  <si>
    <t>Financial inclusion; Microfinance Institutions; Economic Development; Financial Education</t>
  </si>
  <si>
    <t>MICROFINANCE INSTITUTIONS; OVER-INDEBTEDNESS; LOW-INCOME; IMPACT; PERFORMANCE; SAVINGS; POOR; DETERMINANTS; INFORMATION; EDUCATION</t>
  </si>
  <si>
    <t>Financial inclusion remains a key political issue. Since microcredit first captured public attention, Microfin-ance Institutions (MFIs) have expanded rapidly all around the world. Although much economic and fin-ancial literature has highlighted the importance of microfinance as a factor of development, there is also an intense debate about its effectiveness as a development tool. This paper is a descriptive analysis of the microcredit state of the art contrasted with the fieldwork done in Peru. A qualitative research methodo-logy was used; 29 in-depth face-to-face interviews were done with different microfinance agents: MFIs, NPOs, microfinance associations, and microfinance customers in Peru. Peru has been chosen because it has a dynamic and well-regulated microfinance sector with more than 70 entities specialized in microfin-ance. Though statistical generalization is not possible, interview data provided rich and contextual evidence, which is often missing from a quantitative research approach. This paper highlights the importance of fin-ancial and accounting education in microcredit beneficiaries and how can it be enhanced in the digital age. The COVID-19 pandemic has forced vulnerable population to embrace new digital technologies and has highlighted the digital gap that still exists in Latin America although this situation presents opportunities and challenges. This present study contributes to the debate over how to improve microcredit interventions ' impact on the more vulnerable and identifies some unique insights into the interrelationships of financial education and financial inclusion. The results of the present study confirm that financial and accounting education are key elements in financial inclusion. (c) 2023 ASEPUC. Published by EDITUM -Universidad de Murcia. This is an open access article under the CC BY-NC-ND license (http://creativecommons.org/licenses/by-nc-nd/4.0/).</t>
  </si>
  <si>
    <t>[Lopez-Sanchez, Pilar] Univ Francisco de Vitoria, Business Finance &amp; Accounting Dept, Madrid, Spain; [Urquia-Grande, Elena] Univ Complutense Madrid, Accounting &amp; Finance Dept, Madrid, Spain</t>
  </si>
  <si>
    <t>Universidad Francisco de Vitoria; Complutense University of Madrid</t>
  </si>
  <si>
    <t>López-Sánchez, P (corresponding author), Univ Francisco de Vitoria, Business Finance &amp; Accounting Dept, Madrid, Spain.</t>
  </si>
  <si>
    <t>p.lopez.prof@ufz.es</t>
  </si>
  <si>
    <t>Urquía-Grande, Elena/AAK-3465-2021</t>
  </si>
  <si>
    <t>Urquía-Grande, Elena/0000-0003-4724-7185; López Sánchez, Pilar/0000-0002-6236-0090</t>
  </si>
  <si>
    <t>UNIV MURCIA</t>
  </si>
  <si>
    <t>Murcia</t>
  </si>
  <si>
    <t>Edificio Pleiades Campus de Espinardo, Murcia, 30071, SPAIN</t>
  </si>
  <si>
    <t>1138-4891</t>
  </si>
  <si>
    <t>1988-4672</t>
  </si>
  <si>
    <t>REV CONTAB</t>
  </si>
  <si>
    <t>Rev. Contab.</t>
  </si>
  <si>
    <t>10.6018/rcsar.432671</t>
  </si>
  <si>
    <t>7O9WF</t>
  </si>
  <si>
    <t>WOS:000908364500003</t>
  </si>
  <si>
    <t>Wenner, G; Bram, JT; Marino, M; Obeysekare, E; Mehta, K</t>
  </si>
  <si>
    <t>Wenner, Greg; Bram, Joshua T.; Marino, Martin; Obeysekare, Eric; Mehta, Khanjan</t>
  </si>
  <si>
    <t>Organizational models of mobile payment systems in low-resource environments</t>
  </si>
  <si>
    <t>Mobile payments; m-payments; ICTD; mobile phones; organizational model</t>
  </si>
  <si>
    <t>The rapid growth and diffusion of mobile phones in the developing world has created an inclusive and dynamic platform to address a smorgasbord of socio-economic challenges. The uptake of mobile payment (m-payment) systems is a compelling example of how such a platform can be leveraged to democratize access to online banking and financial services. M-payment systems encompass mobile phone-based applications that enable the transfer of value while affording users' security, accessibility, and efficiency and helping organizations reduce overheads and foster transparency. While M-Pesa and a few other systems are well documented, the literature is sparse on the different methods of using m-payment systems in developing countries. Based on a comprehensive literature review that includes 64 different m-payment applications from around the world, this article synthesizes 12 organizational models. The presentation of each of these models includes an explanatory visual, brief description, and several examples to illustrate its opportunities and benefits. This article culminates with a discussion of common implementation challenges, best practices, and gaps in the extant ecosystem. This will inform innovators and entrepreneurs seeking to strengthen, design, and implement m-payment systems that bridge the last-mile challenge of financial inclusion.</t>
  </si>
  <si>
    <t>[Wenner, Greg; Bram, Joshua T.; Marino, Martin; Obeysekare, Eric; Mehta, Khanjan] Penn State Univ, SEDTAPP, Humanitarian Engn &amp; Social Entrepreneurship HESE, University Pk, PA 16802 USA; [Mehta, Khanjan] Lehigh Univ, Bethlehem, PA 18015 USA</t>
  </si>
  <si>
    <t>Pennsylvania Commonwealth System of Higher Education (PCSHE); Pennsylvania State University; Pennsylvania State University - University Park; Lehigh University</t>
  </si>
  <si>
    <t>Mehta, K (corresponding author), 27 Mem Dr West Bethlehem, Bethlehem, PA 18015 USA.;Mehta, K (corresponding author), Lehigh Univ, Bethlehem, PA 18015 USA.</t>
  </si>
  <si>
    <t>krm716@lehigh.edu</t>
  </si>
  <si>
    <t>; BRAM, JOSHUA/GMX-1411-2022</t>
  </si>
  <si>
    <t>Mehta, Khanjan/0000-0002-7016-4815;</t>
  </si>
  <si>
    <t>10.1080/02681102.2017.1311830</t>
  </si>
  <si>
    <t>GZ5YQ</t>
  </si>
  <si>
    <t>WOS:000449507900003</t>
  </si>
  <si>
    <t>Bhatt, PC; Hsu, YC; Lai, KK; Drave, VA</t>
  </si>
  <si>
    <t>Bhatt, Priyanka C.; Hsu, Yu-Chun; Lai, Kuei-Kuei; Drave, Vinayak A.</t>
  </si>
  <si>
    <t>From Transactions to Transformations: A Bibliometric Study on Technology Convergence in E-Payments</t>
  </si>
  <si>
    <t>APPLIED SYSTEM INNOVATION</t>
  </si>
  <si>
    <t>e-payment technology; technology convergence; scientometrics; financial inclusion; technology evolution</t>
  </si>
  <si>
    <t>ELECTRONIC COMMERCE; MOBILE PAYMENTS; ADOPTION; TRUST; EVOLUTION; INTENTION; SECURITY; UTAUT; MODEL; RISK</t>
  </si>
  <si>
    <t>This study investigates the convergence of blockchain, artificial intelligence (AI), near-field communication (NFC), and mobile technologies in electronic payment (e-payment) systems, proposing an innovative integrative framework to deconstruct the systemic innovations and transformative impacts driven by such technological synergy. Unlike prior research, which often focuses on single-technology adoption, this study uniquely adopts a cross-technology convergence perspective. To our knowledge, this is the first study to empirically map the multi-technology convergence landscape in e-payment using scientometric techniques. By employing bibliometric and thematic network analysis methods, the research maps the intellectual evolution and key research themes of technology convergence in e-payment systems. Findings reveal that while the integration of these technologies holds significant promise, improving transparency, scalability, and responsiveness, it also presents challenges, including interoperability barriers, privacy concerns, and regulatory complexity. Furthermore, this study highlights the potential for convergent technologies to unintentionally deepen the digital divide if not inclusively designed. The novelty of this study is threefold: (1) theoretical contribution-this study expands existing frameworks of technology adoption and digital governance by introducing an integrated perspective on cross-technology adoption and regulatory responsiveness; (2) practical relevance-it offers actionable, stakeholder-specific recommendations for policymakers, financial institutions, developers, and end-users; (3) methodological innovation-it leverages scientometric and topic modeling techniques to capture the macro-level trajectory of technology convergence, complementing traditional qualitative insights. In conclusion, this study advances the theoretical foundations of digital finance and provides forward-looking policy and managerial implications, paving the way for a more secure, inclusive, and innovation-driven digital payment ecosystem.</t>
  </si>
  <si>
    <t>[Bhatt, Priyanka C.] Natl Tsing Hua Univ, Innovat Incubat Ctr, Hsinchu 300044, Taiwan; [Hsu, Yu-Chun; Lai, Kuei-Kuei; Drave, Vinayak A.] Chaoyang Univ Technol, Dept Business Adm, Taichung 413310, Taiwan; [Drave, Vinayak A.] OP Jindal Global Univ, Jindal Global Business Sch, Sonipat 131001, Haryana, India</t>
  </si>
  <si>
    <t>National Tsing Hua University; Chaoyang University of Technology; O.P. Jindal Global University</t>
  </si>
  <si>
    <t>Lai, KK (corresponding author), Chaoyang Univ Technol, Dept Business Adm, Taichung 413310, Taiwan.</t>
  </si>
  <si>
    <t>bhattpriyanka88@gmail.com; sir1819@hotmail.com; laikk@cyut.edu.tw; vadrave@jgu.edu.tw</t>
  </si>
  <si>
    <t>; Bhatt, Priyanka Chand/ABC-7570-2020</t>
  </si>
  <si>
    <t>, Yu-Jin/0009-0006-5434-6498; Bhatt, Priyanka Chand/0000-0001-5638-6844</t>
  </si>
  <si>
    <t>2571-5577</t>
  </si>
  <si>
    <t>APPL SYST INNOV</t>
  </si>
  <si>
    <t>Appl. Syst. Innov.</t>
  </si>
  <si>
    <t>JUN 28</t>
  </si>
  <si>
    <t>10.3390/asi8040091</t>
  </si>
  <si>
    <t>6MV7K</t>
  </si>
  <si>
    <t>WOS:001557123900001</t>
  </si>
  <si>
    <t>Chen, Y; Yang, SP; Li, Q</t>
  </si>
  <si>
    <t>Chen, Yang; Yang, Shengping; Li, Quan</t>
  </si>
  <si>
    <t>How does the development of digital financial inclusion affect the total factor productivity of listed companies? Evidence from China</t>
  </si>
  <si>
    <t>Digital financial inclusion; Total factor productivity; Financing constraints</t>
  </si>
  <si>
    <t>FIRM-LEVEL; GROWTH; CONSTRAINTS; INNOVATION; FINTECH</t>
  </si>
  <si>
    <t>Since 2010, the Chinese government has focused on supporting the development of financial inclusion through various policies. New technological advances have led to the vigorous development of digital financial inclusion, which has a broad impact on market participants. We examine how digital financial inclusion affects the total factor productivity of listed companies in China. Using data on listed companies and the Digital Financial Inclusion Index from 2011 to 2020, our empirical results show that the development of digital financial inclusion has no positive impact on the total factor productivity of listed companies. Although previous studies have shown that digital financial inclusion can solve the financing constraints of small and micro enterprises, our results prove that it cannot play a similar role in the sample of listed companies. We find this negative effect to be significant for state-owned enterprises, but not for a separate sample of non-state-owned enterprises. However, in large cities with concentrated financial resources, digital financial inclusion can greatly improve the productivity of listed companies, which indicates that the development of digital finance requires the solid foundation of traditional financial systems to be fully effective.</t>
  </si>
  <si>
    <t>[Chen, Yang; Li, Quan] Nankai Univ, Sch Finance, Tianjin 300350, Peoples R China; [Yang, Shengping] China Secur Regulatory Commiss, Dept Fund &amp; Intermediary Supervis, Beijing 100033, Peoples R China</t>
  </si>
  <si>
    <t>Nankai University</t>
  </si>
  <si>
    <t>Li, Q (corresponding author), Nankai Univ, Sch Finance, Tianjin 300350, Peoples R China.</t>
  </si>
  <si>
    <t>yangshp@csrc.gov.cn; nkdale@126.com</t>
  </si>
  <si>
    <t>10.1016/j.frl.2022.102956</t>
  </si>
  <si>
    <t>1Q4RS</t>
  </si>
  <si>
    <t>WOS:000802677200005</t>
  </si>
  <si>
    <t>Sustaining cultural tourism through higher female participation in Nigeria: The role of corporate social responsibility in oil host communities</t>
  </si>
  <si>
    <t>INTERNATIONAL JOURNAL OF TOURISM RESEARCH</t>
  </si>
  <si>
    <t>corporate social responsibility; gender inequality; logit model; multinational oil companies; Nigeria; sustainable cultural tourism</t>
  </si>
  <si>
    <t>E-WALLET PROGRAM; DEVELOPING-COUNTRIES; FINANCIAL ACCESS; EMPOWERING WOMEN; GENDER; DELTA; INEQUALITY; EMPLOYMENT; STRATEGIES; INDUSTRY</t>
  </si>
  <si>
    <t>This paper adds to the gender discourse in sustainable African tourism development from the corporate social responsibility (CSR) perspective. Specifically, we examine the impact of CSR on the development of rural women in cultural tourism. A total of 600 rural women were sampled across the Niger Delta. Results from the use of a logit model indicate a significant relationship between CSR and cultural tourism development in oil host communities in Nigeria. This implies that CSR of a multinational oil company is a critical factor for sustaining cultural tourism. The findings suggest increased female participation in General Memorandum of Understanding interventions of multinational oil company and the need to pay close attention to which extent the participation of rural women in the General Memorandum of Understanding projects may be limited by cultural and traditional obstacles.</t>
  </si>
  <si>
    <t>[Uduji, Joseph I.] Univ Nigeria, Dept Mkt, Fac Business Adm, Enugu Campus, Nsukka, Nigeria; [Okolo-Obasi, Elda N.] Univ Nigeria, Inst Dev Studies, Enugu Campus, Nsukka, Nigeria; [Asongu, Simplice A.] Univ South Africa, Dept Econ, Pretoria, South Africa</t>
  </si>
  <si>
    <t>University of Nigeria; University of Nigeria; University of South Africa</t>
  </si>
  <si>
    <t>Uduji, JI (corresponding author), Univ Nigeria, Dept Mkt, Fac Business Adm, Enugu Campus, Nsukka, Nigeria.</t>
  </si>
  <si>
    <t>joseph.uduji@gmail.com</t>
  </si>
  <si>
    <t>Okolo-obasi, Nduka Elda/HSE-7728-2023; Simplice, Asongu/K-3436-2014</t>
  </si>
  <si>
    <t>Simplice, Asongu/0000-0001-5227-5135; Uduji, Joseph Ikechukwu/0000-0002-2715-5411</t>
  </si>
  <si>
    <t>1099-2340</t>
  </si>
  <si>
    <t>1522-1970</t>
  </si>
  <si>
    <t>INT J TOUR RES</t>
  </si>
  <si>
    <t>Int. J. Tour. Res.</t>
  </si>
  <si>
    <t>10.1002/jtr.2323</t>
  </si>
  <si>
    <t>Hospitality, Leisure, Sport &amp; Tourism</t>
  </si>
  <si>
    <t>KA8LV</t>
  </si>
  <si>
    <t>WOS:000483059200001</t>
  </si>
  <si>
    <t>Macharia, J</t>
  </si>
  <si>
    <t>Macharia, Jimmy</t>
  </si>
  <si>
    <t>Mobile Banking Influence on Wealth Creation and Poverty Reduction for the Unbanked</t>
  </si>
  <si>
    <t>2013 IST-AFRICA CONFERENCE AND EXHIBITION (IST-AFRICA)</t>
  </si>
  <si>
    <t>IST-Africa Conference and Exhibition</t>
  </si>
  <si>
    <t>MAY 29-31, 2013</t>
  </si>
  <si>
    <t>Mobile; Money; Unbanked; Wealth Creation; Development</t>
  </si>
  <si>
    <t>The rapid spread of mobile phones and services such as mobile money transactions means that the number of mobile users may already have exceeded the number of banked people in many low income countries. Although policy makers, newspapers, and mobile phone companies have speculation and optimism regarding mobile money effect on individual saving and wealth creation, it is only evidence from research that can confirm their optimism. Therefore the purpose of this paper is to empirically investigate the influence of mobile money on wealth creation of the unbanked. The study examines the particular case of selected unbanked populations in Kenya, and the role of mobile banking in uplifting their livelihood.</t>
  </si>
  <si>
    <t>United States Int Univ, Nairobi, Kenya</t>
  </si>
  <si>
    <t>United States International University Africa</t>
  </si>
  <si>
    <t>Macharia, J (corresponding author), United States Int Univ, POB 14634-00800, Nairobi, Kenya.</t>
  </si>
  <si>
    <t>Kmacharia@usiu.ac.ke</t>
  </si>
  <si>
    <t>macharia, jimmy/AAE-4820-2019</t>
  </si>
  <si>
    <t>978-1-905824-38-0</t>
  </si>
  <si>
    <t>Medical Informatics</t>
  </si>
  <si>
    <t>BC0XE</t>
  </si>
  <si>
    <t>WOS:000349785100052</t>
  </si>
  <si>
    <t>Ebong, J; George, B</t>
  </si>
  <si>
    <t>Ebong, Jimmy; George, Babu</t>
  </si>
  <si>
    <t>Financial Inclusion through Digital Financial Services (DFS): A Study in Uganda</t>
  </si>
  <si>
    <t>financial services; inclusion; innovation; digital assets; Africa; Uganda</t>
  </si>
  <si>
    <t>ECONOMIC-GROWTH; MOBILE MONEY; CHANNEL; BANKING</t>
  </si>
  <si>
    <t>This study unravels trends and momentum in banking and mobile money channels and uptake of select services and thereafter draws implications for enhancing financial inclusion through Digital Financial Services (DFS). The Rate of Change (ROC) approach was applied to analyze the growth momentum in banking and mobile money channels in Uganda. Implications for growth momentum in banking and mobile money channels for DFS and financial inclusion was drawn from observing and making informed interpretation of such observed trends and momentum. The findings of this study imply that banks must innovate to increase their contribution towards enhancing financial inclusion. Additional channel innovations, which may infuse banking and mobile money channels, are needed for banking to leverage on growth of mobile money and regain its role in enhancing financial inclusion. Leveraging the application of digital innovations in services such as payments and digitizing alternative channels such as agent banking are likely to increase efficiencies in physical channels and the provision of banking services and thereby increase overall reach and penetration of banking. The fast pace of mobile money penetration is good for speeding up financial inclusion. However, this calls for better regulatory approaches for DFS risk reduction, consumer protection, and protecting mobile money against integrity and financial crimes.</t>
  </si>
  <si>
    <t>[Ebong, Jimmy] Financial Sect Deepening Uganda, POB 608, Kampala, Uganda; [George, Babu] Christian Bros Univ, Sch Business, 650 East Pkwy South, Memphis, TN 38104 USA</t>
  </si>
  <si>
    <t>George, B (corresponding author), Christian Bros Univ, Sch Business, 650 East Pkwy South, Memphis, TN 38104 USA.</t>
  </si>
  <si>
    <t>ebongjimmie@yahoo.co.uk; bgeorge@cbu.edu</t>
  </si>
  <si>
    <t>George, Babu/AAS-8685-2020</t>
  </si>
  <si>
    <t>George, Babu/0000-0002-2791-828X</t>
  </si>
  <si>
    <t>10.3390/jrfm14090393</t>
  </si>
  <si>
    <t>UV5JO</t>
  </si>
  <si>
    <t>WOS:000699514700001</t>
  </si>
  <si>
    <t>Velazquez, PV; Bobek, V; Vide, RK; Horvat, T</t>
  </si>
  <si>
    <t>Velazquez, Patricia Vilcanqui; Bobek, Vito; Vide, Romana Korez; Horvat, Tatjana</t>
  </si>
  <si>
    <t>Lessons from Remarkable FinTech Companies for the Financial Inclusion in Peru</t>
  </si>
  <si>
    <t>FinTech's; Nubank; M-PESA; GCASH; Easypaisa; financial inclusion; mobile money; remittances emerging markets; international business; business economics</t>
  </si>
  <si>
    <t>Financial inclusion, defined as the adequate access and usage of formal financial services to improve people's lives, is a crucial area for the economic development of a country through its various angles. This paper analyzes the impact of selected FinTech companies on financial inclusion in their respective countries to obtain lessons of their business models and country environments that can help Peruvian financial inclusion. The selected FinTechs are M-PESA in Kenya, Nubank in Brazil, GCASH in the Philippines, and Easypaisa in Pakistan, which revolutionized the financial sector in their respective countries. However, a comparative study of their impact on financial inclusion in their respective country has not been conducted yet; therefore, the lessons obtained are helpful for the Peruvian situation due to their practical implications and because they raise possible areas for further and deeper research. The approach of this study considered a qualitative and quantitative method (to find a Pearson correlation between the percentage of the population of Country (A) that are users of FinTech (a) and the six selected demand-side indicators per country retrieved from the Global Findex Database) analysis to understand the results obtained. The results obtained indicate that M-PESA and GCASH, companies specialized in providing basic mobile money transactions such as remittances and withdrawals, did not impact the provision of other financial services such as savings or credit cards. In Easypaisa's case, this company positively impacts the studied indicators, probably due to its original partnership with a microfinance institution. Regarding Nubank, despite its remarkable growth in the last years, the company does not affect financial inclusion in Brazil yet. Nonetheless, after its recent expansion to provide more financial services, future research could assess the impact of this company on Brazilian financial inclusion.</t>
  </si>
  <si>
    <t>[Velazquez, Patricia Vilcanqui; Bobek, Vito] Univ Appl Sci FH Joanneum, Inst Int Management, A-8020 Graz, Austria; [Vide, Romana Korez] Univ Maribor, Fac Econ &amp; Business, Maribor 2000, Slovenia; [Horvat, Tatjana] Univ Primorska, Fac Management, Koper 6101, Slovenia</t>
  </si>
  <si>
    <t>University of Maribor; University of Primorska</t>
  </si>
  <si>
    <t>Bobek, V (corresponding author), Univ Appl Sci FH Joanneum, Inst Int Management, A-8020 Graz, Austria.</t>
  </si>
  <si>
    <t>patricia.vilcanquivelazquez@edu.fh-joanneum.at; vito.bobek@fh-joanneum.at; romana.korez@um.si; tatjana.horvat@fm-kp.si</t>
  </si>
  <si>
    <t>Korez Vide, Romana/0000-0003-3345-5215; bobek, vito/0000-0003-4019-2433</t>
  </si>
  <si>
    <t>10.3390/jrfm15020062</t>
  </si>
  <si>
    <t>ZU2VA</t>
  </si>
  <si>
    <t>Green Submitted, Green Published, hybrid</t>
  </si>
  <si>
    <t>WOS:000769701200001</t>
  </si>
  <si>
    <t>Marquardt, Z; Ikeda, Y</t>
  </si>
  <si>
    <t>Marquardt, Zelda; Ikeda, Yuichi</t>
  </si>
  <si>
    <t>Network Analysis of the Gender Gap in International Remittances by Migrants</t>
  </si>
  <si>
    <t>REVIEW OF SOCIONETWORK STRATEGIES</t>
  </si>
  <si>
    <t>Financial inclusion; Gender gap; International Migration; International Remittances; Complex network; SVD; Bow-tie structure; Community detection</t>
  </si>
  <si>
    <t>FINANCIAL INCLUSION</t>
  </si>
  <si>
    <t>Financial inclusion is considered a key enabler of international development goals. Despite the expansion of financial access overall, the gender inequalities in basic access have remained consistent. This research investigates the predictive power of global remittance and migration flows on the gender gap in financial inclusion. First, singular value decomposition is applied to the World Bank's 2017 Global Findex data to identify the financial inclusion variables that most contribute to the gender gap in financial inclusion. We find that indicators pertaining to account ownership, emergency funding, and receiving payments are especially significant. Based on the identified variables, a novel Financial Inclusion Gender Gap Score is calculated for 143 economies. The score is then incorporated into a complex network analysis of global remittance and migration networks. We analyze how network features such as node attributes, community membership, and bow-tie structure can be used to make inferences about the magnitude of a financial inclusion gender gap. Our findings suggest that weaker linkages in the network, characterized by lower node strength and peripheral positions in the bow-tie structure, are determinants of a notable financial inclusion gender gap. We also highlight communities in the remittance and migration networks with a more substantial gender imbalance, and discuss the the social- and cultural-leaning factors driving community formation in the migration network that seem to predicate a greater gap.</t>
  </si>
  <si>
    <t>[Marquardt, Zelda; Ikeda, Yuichi] Kyoto Univ, Grad Sch Adv Integrated Studies Human Survivabil, 606-8303 1 Nakaadachi Cho,Sakyo Ku, Kyoto, Japan</t>
  </si>
  <si>
    <t>Kyoto University</t>
  </si>
  <si>
    <t>Marquardt, Z (corresponding author), Kyoto Univ, Grad Sch Adv Integrated Studies Human Survivabil, 606-8303 1 Nakaadachi Cho,Sakyo Ku, Kyoto, Japan.</t>
  </si>
  <si>
    <t>marquardt.nakata.55x@st.kyoto-u.ac.jp; ikeda.yuichi.2w@kyoto-u.ac.jp</t>
  </si>
  <si>
    <t>Marquardt, Zelda/0000-0001-7145-0998</t>
  </si>
  <si>
    <t>SPRINGER JAPAN KK</t>
  </si>
  <si>
    <t>TOKYO</t>
  </si>
  <si>
    <t>SHIROYAMA TRUST TOWER 5F, 4-3-1 TORANOMON, MINATO-KU, TOKYO, 105-6005, JAPAN</t>
  </si>
  <si>
    <t>2523-3173</t>
  </si>
  <si>
    <t>1867-3236</t>
  </si>
  <si>
    <t>REV SOCIONETWORK STR</t>
  </si>
  <si>
    <t>Rev. Socionetwork Strateg.</t>
  </si>
  <si>
    <t>10.1007/s12626-022-00125-9</t>
  </si>
  <si>
    <t>5S1MI</t>
  </si>
  <si>
    <t>WOS:000862524800001</t>
  </si>
  <si>
    <t>Policy implications and mobile money regulatory approaches to promote financial inclusion of the poor in Zimbabwe after the COVID-19 pandemic</t>
  </si>
  <si>
    <t>DE JURE LAW JOURNAL</t>
  </si>
  <si>
    <t>Risk-based approach; digital financial services; mobile money; financial inclusion; the poor</t>
  </si>
  <si>
    <t>The increased usage of digital financial products and financial services such as mobile money brought various challenges and opportunities in Zimbabwe during the coronavirus (COVID-19) pandemic. This has also increased the responsibilities of the regulatory authorities in the Zimbabwean financial sector. The financial regulators were inadequately prepared for the regulatory demands of financial technology (fintech) products in Zimbabwe. For instance, they struggled to cope with the increased responsibilities of overseeing mobile money operators and have adequate resources to efficiently monitor and manage such operators to ensure compliance with the relevant laws. Most Zimbabwean financial regulators did not have sufficient resources to employ persons with the relevant skills and expertise to fulfil their responsibilities. Despite this, the widespread use of mobile money has considerably improved the financial inclusion of the poor and previously unbanked persons, particularly during the COVID-19 pandemic in Zimbabwe. Consequently, various policy implications and mobile money regulatory approaches that were considered by policymakers during and after the COVID-19 pandemic in Zimbabwe in a bid to provide adequate supervision of mobile money operators and related digital financial services to curb the financial exclusion of the poor and unbanked persons are investigated. It is against this background that this article discusses the challenges, policy implications, and flaws affecting the adoption of viable mobile money regulatory approaches to promote financial inclusion of the poor in Zimbabwe after the COVID-19 pandemic.</t>
  </si>
  <si>
    <t>[Chitimira, Howard] North West Univ, Secur &amp; Financial Markets Law, Fac Law, Potchefstroom, South Africa; [Torerai, Elfas] North West Univ, Fac Law, Potchefstroom, South Africa</t>
  </si>
  <si>
    <t>Chitimira, H (corresponding author), North West Univ, Secur &amp; Financial Markets Law, Fac Law, Potchefstroom, South Africa.</t>
  </si>
  <si>
    <t>PRETORIA UNIV LAW PRESS</t>
  </si>
  <si>
    <t>PRETORIA</t>
  </si>
  <si>
    <t>FAC LAW, OFFICE NO 2-3 1, PRETORIA, 0002, SOUTH AFRICA</t>
  </si>
  <si>
    <t>1466-3597</t>
  </si>
  <si>
    <t>2225-7160</t>
  </si>
  <si>
    <t>DE JURE LAW J</t>
  </si>
  <si>
    <t>De Jure Law J</t>
  </si>
  <si>
    <t>10.17159/2225-7160/2023/v56a17</t>
  </si>
  <si>
    <t>T0PG0</t>
  </si>
  <si>
    <t>WOS:001075087900017</t>
  </si>
  <si>
    <t>Ma, YC; Ding, YB; Bu, ZW; Li, SY</t>
  </si>
  <si>
    <t>Ma, Yechi; Ding, Yibing; Bu, Ziwen; Li, Suyang</t>
  </si>
  <si>
    <t>Political freedom and financial inclusion: Unraveling social trust and political rent-seeking</t>
  </si>
  <si>
    <t>Financial inclusion; Government policy and regulation; Political institution; Political right</t>
  </si>
  <si>
    <t>GOVERNMENT OWNERSHIP; CORRUPTION; SERVICES; BANKING; SAVINGS; ACCESS; RISK; INSTITUTIONS; IMPACT; MONEY</t>
  </si>
  <si>
    <t>This paper delves into the role of political rights in shaping financial inclusion. Despite the acknowledged significance of political institutions in influencing financial systems, there remains limited understanding of the economic origins of the impact of political institutions on financial inclusion. Utilizing data from the 2021 Global Findex database, the study finds that weak political rights significantly reduce the likelihood of individuals possessing financial accounts and using digital financial services. Robustness tests employing an instrumental variable and the differencein-differences framework confirm that inadequate political rights have a detrimental effect on financial inclusion. By exploring the reasons for financial exclusion and moderating factors, this study provides supportive evidence for the mechanisms of eroded social trust and political rent-seeking as the key constraints that hinder inclusiveness in providing mainstream financial products and services.</t>
  </si>
  <si>
    <t>[Ma, Yechi] Northeast Normal Univ, Sch Business, Changchun 130024, Peoples R China; [Ding, Yibing] Jilin Univ, Sch Econ, Changchun 130012, Peoples R China; [Bu, Ziwen] Univ Birmingham, Birmingham Business Sch, Birmingham B15 2TT, England; [Li, Suyang] Swansea Univ, Sch Management, Swansea SA1 8EN, Wales</t>
  </si>
  <si>
    <t>Northeast Normal University - China; Jilin University; University of Birmingham; Swansea University</t>
  </si>
  <si>
    <t>Ding, YB (corresponding author), Jilin Univ, Sch Econ, Changchun 130012, Peoples R China.</t>
  </si>
  <si>
    <t>mayc557@nenu.edu.cn; dingyb@jlu.edu.cn; Z.Bu.1@bham.ac.uk; Suyang.Li.6@outlook.com</t>
  </si>
  <si>
    <t>Li, Suyang/LIG-5143-2024</t>
  </si>
  <si>
    <t>Li, Suyang/0000-0002-4057-3394</t>
  </si>
  <si>
    <t>National Natural Science Foundation of China [72302238]; Guangdong Philosophy and Social Science Planning Project [GD23YYJ30]</t>
  </si>
  <si>
    <t>National Natural Science Foundation of China(National Natural Science Foundation of China (NSFC)); Guangdong Philosophy and Social Science Planning Project</t>
  </si>
  <si>
    <t>Ziwen Bu is grateful for financial support from the National Natural Science Foundation of China (72302238) and the Guangdong Philosophy and Social Science Planning Project (GD23YYJ30) .</t>
  </si>
  <si>
    <t>10.1016/j.jebo.2024.01.024</t>
  </si>
  <si>
    <t>NF8K6</t>
  </si>
  <si>
    <t>WOS:001199127700001</t>
  </si>
  <si>
    <t>He, CY; Qiu, WS; Yu, JL</t>
  </si>
  <si>
    <t>He, Chunyan; Qiu, Weisong; Yu, Junlin</t>
  </si>
  <si>
    <t>Climate Change Adaptation: A Study of Digital Financial Inclusion and Consumption Among Rural Residents in China</t>
  </si>
  <si>
    <t>FRONTIERS IN ENVIRONMENTAL SCIENCE</t>
  </si>
  <si>
    <t>climate change adaptation; digital financial inclusion; rural; consumption; China household finance survey</t>
  </si>
  <si>
    <t>ECONOMIC CONSEQUENCES; CREDIT; VULNERABILITY; VARIABILITY; DECISIONS; IMPACTS; ACCESS; RISK</t>
  </si>
  <si>
    <t>Climate change impacts agricultural production negatively. Therefore, rural residents experience large income and consumption fluctuations when dealing with climate change risks. However, little is known about whether digital financial inclusion can help rural residents improve their ability to resist climate change. This study uses the Peking University Digital Financial Inclusion Index of China and China Household Finance Survey data, together with historical temperature data from major cities, to study the impact of digital financial inclusion on Chinese rural residents' consumption in response to climate change. The results suggest that digital financial inclusion significantly promotes rural households' total consumption and consumption upgrades. Heterogeneity analyses also show that digital financial inclusion predominantly affects low-income households, low-asset households, and households living in China's central and western regions. The instrumental variable and control function methods were used for robustness, and our main conclusions are robust and reliable. Although climate change reduces rural residents' consumption and increases their risks, digital finance inclusion significantly mitigates this negative effect. The government can increase the usage depth of digital financial inclusion in rural areas by promoting the construction of digital financial inclusion facilities. The government should strive to deepen the impact of digital financial inclusion on rural household income and consumption to further improve their ability to resist climate risks.</t>
  </si>
  <si>
    <t>[He, Chunyan] Xihua Univ, Sch Econ, Chengdu, Peoples R China; [Qiu, Weisong] Zhejiang Gongshang Univ, Tailong Finance Sch, Hangzhou, Peoples R China; [Yu, Junlin] Yonsei Univ, Sch Business Adm, Seoul, South Korea</t>
  </si>
  <si>
    <t>Xihua University; Zhejiang Gongshang University; Yonsei University</t>
  </si>
  <si>
    <t>Qiu, WS (corresponding author), Zhejiang Gongshang Univ, Tailong Finance Sch, Hangzhou, Peoples R China.</t>
  </si>
  <si>
    <t>qiuweisong1992@163.com</t>
  </si>
  <si>
    <t>Yu, JunLin/OJV-0759-2025</t>
  </si>
  <si>
    <t>Research Center of Scientific Finance and Entrepreneurial Finance of the Ministry of Education of Sichuan Province [KJJR 2021-004]</t>
  </si>
  <si>
    <t>Research Center of Scientific Finance and Entrepreneurial Finance of the Ministry of Education of Sichuan Province</t>
  </si>
  <si>
    <t>The Research Center of Scientific Finance and Entrepreneurial Finance of the Ministry of Education of Sichuan Province (No. KJJR 2021-004).</t>
  </si>
  <si>
    <t>2296-665X</t>
  </si>
  <si>
    <t>FRONT ENV SCI-SWITZ</t>
  </si>
  <si>
    <t>Front. Environ. Sci.</t>
  </si>
  <si>
    <t>10.3389/fenvs.2022.889869</t>
  </si>
  <si>
    <t>3L7XK</t>
  </si>
  <si>
    <t>WOS:000834976700001</t>
  </si>
  <si>
    <t>David-West, O; Oni, O; Ashiru, F</t>
  </si>
  <si>
    <t>David-West, Olayinka; Oni, Oluwasola; Ashiru, Folajimi</t>
  </si>
  <si>
    <t>Diffusion of Innovations: Mobile Money Utility and Financial Inclusion in Nigeria. Insights from Agents and Unbanked Poor End Users</t>
  </si>
  <si>
    <t>Mobile money; Financial inclusion; Financial services; Unbanked; Diffusion; Adoption</t>
  </si>
  <si>
    <t>ECONOMIC-DEVELOPMENT; BANKING ADOPTION; PHONES; TELEPHONY; INTENTION; ACCESS; IMPACT; GROWTH</t>
  </si>
  <si>
    <t>Despite a rigorous policy drive towards financial inclusion in Nigeria, and although the country has a high tele-density ratio, the vast unbanked largely poor remain excluded from the financial sector. Adopting a mixed method approach of the supplier and consumer sides of mobile money, using documentary analysis, focus groups, interviews, and surveys; this article relies on the diffusion of innovations theoretical framework to explore the utility of mobile money with a view to not only assess its application in the enhancement of financial inclusion, but also better tailor the current applications for these low-income users. We identify 4 factors (lack of customer demand and experimenters, lack of integration in the ecosystem, lack of trust and preference for effective local savings scheme and policy short-termism resulting in mobile money operational unsustainability) that are responsible for non-diffusion of mobile money. Our paper reveals interest dynamics that can advance a more long-term mobile money regulatory policy which takes care of the concerns of the unbanked poor.</t>
  </si>
  <si>
    <t>[David-West, Olayinka] Pan Atlantic Univ, Lagos Business Sch, 20 Lekki Epe Expressway, Lagos, Nigeria; [Oni, Oluwasola] Pan Atlantic Univ, Sch Management &amp; Social Sci, 52 Lekki Epe Expressway, Lagos, Nigeria; [Ashiru, Folajimi] Coventry Univ, Sch Strategy &amp; Leadership, Fac Business &amp; Law, Coventry CV1 5DL, W Midlands, England</t>
  </si>
  <si>
    <t>Coventry University</t>
  </si>
  <si>
    <t>Ashiru, F (corresponding author), Coventry Univ, Sch Strategy &amp; Leadership, Fac Business &amp; Law, Coventry CV1 5DL, W Midlands, England.</t>
  </si>
  <si>
    <t>ydavid-west@lbs.edu.ng; ooni@pau.edu.ng; folajimi.ashiru@coventry.ac.uk</t>
  </si>
  <si>
    <t>David-West, Olayinka/B-4754-2009</t>
  </si>
  <si>
    <t>ashiru, folajimi/0000-0001-7497-0825</t>
  </si>
  <si>
    <t>10.1007/s10796-021-10196-8</t>
  </si>
  <si>
    <t>6Z9MU</t>
  </si>
  <si>
    <t>WOS:000693524400001</t>
  </si>
  <si>
    <t>Perrin, C; Hyland, M</t>
  </si>
  <si>
    <t>Perrin, Caroline; Hyland, Marie</t>
  </si>
  <si>
    <t>Gendered laws and Women's financial inclusion</t>
  </si>
  <si>
    <t>Law; Gender; Discrimination; Financial inclusion</t>
  </si>
  <si>
    <t>SUB-SAHARAN AFRICA; ACCESS; NORMS; ENTREPRENEURSHIP; CULTURE; RIGHTS; LEGAL; DETERMINANTS; BANKING; TRENDS</t>
  </si>
  <si>
    <t>This paper documents the relationship between legal gender equality and the use of financial services, using individual-level data from 148 developed and developing economies. The analysis, which combines data from the Global Findex and Women, Business and the Law databases, highlights the existence of a significant and positive correlation between gender equality in the law and women's access to financial products. The results show that greater legal equality alleviates women's involuntary financial exclusion. The findings also suggest that prevailing adverse social norms can nullify the beneficial effects of legal equality, and that better implementation of the law can facilitate a stronger relationship between legal frameworks and women's financial inclusion.</t>
  </si>
  <si>
    <t>[Perrin, Caroline] Univ Strasbourg, Strasbourg Business Sch, Strasbourg, France; [Perrin, Caroline; Hyland, Marie] World Bank, Women Business &amp; Law, DECIG, Washington, DC 20433 USA</t>
  </si>
  <si>
    <t>Universites de Strasbourg Etablissements Associes; Universite de Strasbourg; The World Bank</t>
  </si>
  <si>
    <t>Perrin, C (corresponding author), Univ Strasbourg, Strasbourg Business Sch, Strasbourg, France.;Perrin, C (corresponding author), World Bank, Women Business &amp; Law, DECIG, Washington, DC 20433 USA.</t>
  </si>
  <si>
    <t>cperrin@worldbank.org; Marie.Hyland@eurofound.europa.eu</t>
  </si>
  <si>
    <t>10.1016/j.worlddev.2025.107234</t>
  </si>
  <si>
    <t>9TW5C</t>
  </si>
  <si>
    <t>WOS:001614906400001</t>
  </si>
  <si>
    <t>Hanur, AE; Habteyesus, DG</t>
  </si>
  <si>
    <t>Hanur, Abdrohman Ebrahim; Habteyesus, Degye Goshu</t>
  </si>
  <si>
    <t>Gender Finance Gap and Women's Economic Empowerment in Ethiopia</t>
  </si>
  <si>
    <t>Gender finance gap; financial inclusion; women's economic empowerment; time use; labor supply</t>
  </si>
  <si>
    <t>SUB-SAHARAN AFRICA; CREDIT; MICROCREDIT; ALLOCATION; RETURNS; SAVINGS</t>
  </si>
  <si>
    <t>This study analyses the gender finance gap and the economic impact of financial inclusion for women's empowerment in Ethiopia, utilizing nationally representative data from the Global Findex and Living Standards Measurement Surveys (LSMS). It estimates a persistent gender gap in formal account ownership of 12% to 16% in recent years. It identifies key drivers of this disparity, including gaps in educational attainment, income levels, employment status, and savings behaviour. The study finds that financial inclusion has a significant positive effect on women's economic agency. Access to formal accounts increases a woman's supply of paid labour by over four hours per week. Furthermore, the presence of at least one financially included woman in a household generates positive welfare spillovers, significantly boosting household asset accumulation and expenditures on nondurable goods. The Average Treatment Effects (ATE) of financial inclusion is about 240 Ethiopian Birr (ETB) in monthly non-food spending and a rise of 1.3 units on a standardized asset index. The results underscore that policies specifically designed to promote women's ownership and active use of transaction accounts can catalyse women's empowerment by strengthening labour force participation and enhancing household consumption capacity and resilience, contributing directly to broader development goals in Ethiopia.</t>
  </si>
  <si>
    <t>[Hanur, Abdrohman Ebrahim] Univ Cape Town, Sch Econ, ZA-7701 Cape Town, South Africa; [Habteyesus, Degye Goshu] Ethiopian Econ Assoc, Addis Ababa, Ethiopia</t>
  </si>
  <si>
    <t>Hanur, AE (corresponding author), Univ Cape Town, Sch Econ, ZA-7701 Cape Town, South Africa.</t>
  </si>
  <si>
    <t>hnrabd001@myuct.ac.za</t>
  </si>
  <si>
    <t>Global Foundational Analysis project to close the Gender Profitability Gap; Bill &amp; Melinda Gates Foundation [INV-015825]; summer school modality; Ethiopian Economics Association; Bill and Melinda Gates Foundation [INV-015825] Funding Source: Bill and Melinda Gates Foundation</t>
  </si>
  <si>
    <t>Global Foundational Analysis project to close the Gender Profitability Gap; Bill &amp; Melinda Gates Foundation(Bill &amp; Melinda Gates FoundationBill &amp; Melinda Gates Foundation Grand Challenges Explorations InitiativeCGIARInstituto Politecnico Nacional - Mexico); summer school modality; Ethiopian Economics Association; Bill and Melinda Gates Foundation(Bill &amp; Melinda Gates Foundation)</t>
  </si>
  <si>
    <t>This study was conducted as part of the Global Foundational Analysis project to close the Gender Profitability Gap (GPG) under a summer school modality. It was funded by the Bill &amp; Melinda Gates Foundation (INV-015825) and managed by the Ethiopian Economics Association (EEA).</t>
  </si>
  <si>
    <t>2025 DEC 25</t>
  </si>
  <si>
    <t>10.1080/15228916.2025.2597686</t>
  </si>
  <si>
    <t>AD3SK</t>
  </si>
  <si>
    <t>WOS:001645456400001</t>
  </si>
  <si>
    <t>Xu, QW; Liu, C; Gong, XY; Ma, X; Liu, D</t>
  </si>
  <si>
    <t>Xu, Qingwen; Liu, Chun; Gong, Xingyu; Ma, Xiang; Liu, Ding</t>
  </si>
  <si>
    <t>Digital financial inclusion as a safety net: Empowering households against health shocks</t>
  </si>
  <si>
    <t>Health shocks; Consumption smoothing; Digital financial inclusion; China</t>
  </si>
  <si>
    <t>ECONOMIC CONSEQUENCES; MOBILE MONEY; CONSUMPTION; RISK; INSURANCE; CONSTRAINTS; NETWORKS; CREDIT</t>
  </si>
  <si>
    <t>This study provides the first empirical evidence on how digital financial inclusion enables households to better smooth consumption following health shocks. Leveraging panel data from the China Family Panel Studies (2014-2020), we find that health shocks significantly increase medical expenses and reduce household income, leading to lower non-medical consumption. Digital financial inclusion-encompassing online transfers, digital lending, and mobile wealth management-substantially mitigates these negative effects by expanding informal risk-sharing and enhancing self-insurance, especially for households with limited access to traditional insurance. Our analysis further reveals that digital financial inclusion offers more effective consumption smoothing than traditional bank credit. These findings highlight the critical role of digital financial inclusion in strengthening household resilience, promoting economic stability, and advancing inclusive growth.</t>
  </si>
  <si>
    <t>[Xu, Qingwen] Xi An Jiao Tong Univ, Jinhe Ctr Econ Res, Xian, Peoples R China; [Liu, Chun; Ma, Xiang] Southwestern Univ Finance &amp; Econ, Sch Econ, Chengdu, Peoples R China; [Gong, Xingyu] Xihua Univ, Sch Econ, Chengdu, Peoples R China; [Liu, Ding] Chongqing Univ, Sch Econ &amp; Business Adm, Chongqing, Peoples R China</t>
  </si>
  <si>
    <t>Xi'an Jiaotong University; Southwestern University of Finance &amp; Economics - China; Xihua University; Chongqing University</t>
  </si>
  <si>
    <t>Liu, D (corresponding author), Chongqing Univ, Sch Econ &amp; Business Adm, Chongqing, Peoples R China.</t>
  </si>
  <si>
    <t>liuding@cqu.edu.cn</t>
  </si>
  <si>
    <t>Liu, Chun/HJH-7003-2023</t>
  </si>
  <si>
    <t>Liu, Chun/0000-0002-7396-6450</t>
  </si>
  <si>
    <t>Humanity and Social Science Foundation of China's Ministry of Education for Young Researcher [22YJC790074]; Chongqing Natural Science Foundation Program [CSTB2024NSCQ-MSX0718]; Chongqing Philosophy and Social Science Planning Project [2024NDYB056]</t>
  </si>
  <si>
    <t>Humanity and Social Science Foundation of China's Ministry of Education for Young Researcher; Chongqing Natural Science Foundation Program; Chongqing Philosophy and Social Science Planning Project</t>
  </si>
  <si>
    <t>We thank the editor Sushanta Mallick, the guest editor and two anonymous referees for their helpful comments and suggestions. We thank the participants of the 2nd Annual Conference on Financial Inclusion, FinTech and Financial Sustainability (FITS 2024) hosted by Tailong Finance School at Zhejiang Gongshang University for comments. However, all errors remain our own. Ding Liu would like to thank the financial support from the Humanity and Social Science Foundation of China's Ministry of Education for Young Researcher (22YJC790074) , Chongqing Natural Science Foundation Program (CSTB2024NSCQ-MSX0718) , and Chongqing Philosophy and Social Science Planning Project (No. 2024NDYB056) .</t>
  </si>
  <si>
    <t>10.1016/j.econmod.2025.107194</t>
  </si>
  <si>
    <t>4NW1T</t>
  </si>
  <si>
    <t>WOS:001522467000001</t>
  </si>
  <si>
    <t>Yan, Z; Xiao, JJ; Sun, Q</t>
  </si>
  <si>
    <t>Yan, Zhu; Xiao, Jing Jian; Sun, Qiong</t>
  </si>
  <si>
    <t>Moving up toward sustainable development: Digital finance and income mobility</t>
  </si>
  <si>
    <t>digital finance; equality of opportunity; financial capability; income inequality; income mobility; sustainable development</t>
  </si>
  <si>
    <t>INTERGENERATIONAL MOBILITY; SOCIAL NETWORKS; INEQUALITY; OPPORTUNITY; INCLUSION; CAPABILITY; GROWTH; NEIGHBORHOODS; ACCUMULATION; INVESTMENT</t>
  </si>
  <si>
    <t>The fact that financial exclusion leads to income inequality is detrimental to sustainable economic growth. Digital finance facilitates the provision of financial services to poor people and has the potential to promote income mobility so that to reduce income inequality. This study uses the Digital Financial Inclusion Index and household data from the China Household Finance Survey to examine the association between digital finance and households' income mobility. Results show a significantly positive association between digital finance and upward income mobility. Underlying mechanism analyses suggest that digital finance is positively associated with upward mobility through the channels of equal opportunity and financial capability. Further heterogeneous analyses find that asset, education, and age can be moderators in the relationship between digital finance and income mobility. The findings demonstrate the importance of digital finance in promoting the income mobility of disadvantaged people and achieving the goal of inclusive and sustainable development.</t>
  </si>
  <si>
    <t>[Yan, Zhu] Minzu Univ China, Sch Econ, Beijing, Peoples R China; [Xiao, Jing Jian] Univ Rhode Isl, Dept Human Dev &amp; Family Sci, Kingston, RI USA; [Sun, Qiong] Beijing Technol &amp; Business Univ, Sch Econ, Beijing, Peoples R China; [Sun, Qiong] Beijing Technol &amp; Business Univ, Sch Econ, Fucheng Rd 11, Beijing 100048, Peoples R China</t>
  </si>
  <si>
    <t>Minzu University of China; University of Rhode Island; Beijing Technology &amp; Business University; Beijing Technology &amp; Business University</t>
  </si>
  <si>
    <t>Sun, Q (corresponding author), Beijing Technol &amp; Business Univ, Sch Econ, Fucheng Rd 11, Beijing 100048, Peoples R China.</t>
  </si>
  <si>
    <t>sunqiong@btbu.edu.cn</t>
  </si>
  <si>
    <t>National Natural Science Foundation of China</t>
  </si>
  <si>
    <t>10.1002/sd.2996</t>
  </si>
  <si>
    <t>I1X4G</t>
  </si>
  <si>
    <t>WOS:001198925600001</t>
  </si>
  <si>
    <t>Li, YN; Zhong, QQ; Xie, LW</t>
  </si>
  <si>
    <t>Li, Yaning; Zhong, Qingqing; Xie, Liwei</t>
  </si>
  <si>
    <t>Has Inclusive Finance Narrowed the Income Gap between Urban and Rural Areas? An Empirical Analysis Based on Coastal and Noncoastal Regions' Panel Data</t>
  </si>
  <si>
    <t>JOURNAL OF COASTAL RESEARCH</t>
  </si>
  <si>
    <t>Inclusive finance; income gap; index of financial inclusion; panel data</t>
  </si>
  <si>
    <t>By lowering the threshold effect of financial services, inclusive finance has eliminated financial exclusion and improved the opportunities for rural economic entities to obtain financial services and to increase their income, which has an important impact on improving the pattern of the urban-rural income gap. By constructing the inclusive financial development index and using the coefficient of variation method, this paper measures the development level of inclusive finance in 30 provinces of China from 2010 to 2016 and uses panel data to analyze the impact of the inclusive financial development level on the urban-rural income gap. The conclusions reveal that the development level of inclusive finance shows great regional differences and that the development level of inclusive finance in coastal regions is higher than that of noncoastal regions. Inclusive financial development has a significant impact on narrowing the income gap between urban and rural areas.</t>
  </si>
  <si>
    <t>[Li, Yaning; Xie, Liwei] Beijing Union Univ, Management Coll, Beijing 100101, Peoples R China; [Zhong, Qingqing] China Construct Bank, Nanchang Branch, Nanchang 330006, Jiangxi, Peoples R China</t>
  </si>
  <si>
    <t>Beijing Union University; China Construction Bank</t>
  </si>
  <si>
    <t>Li, YN (corresponding author), Beijing Union Univ, Management Coll, Beijing 100101, Peoples R China.</t>
  </si>
  <si>
    <t>gltyaning@buu.edu.cn</t>
  </si>
  <si>
    <t>Xie, Liwei/GMW-9963-2022</t>
  </si>
  <si>
    <t>Humanities and Social Science Research Project of Chinese Ministry of Education: Research on Sustainable Development and Institutional Optimization of Micro-financial Institutions from the Perspective of Inclusive Finance [17YJC790082]; Youth Project of Beijing Social Science Foundation: Study on the Internal Mechanism and Influencing Factors of the Sustainable Development about Microfinance Institutions in Beijing [14JGC096]; Premium Funding Project for Academic Human Resources Development in Beijing Union University [BPHR2017CS18, BPHR2018ES01]; major projects of Beijing Social Science Foundation: Research on the Impact and Countermeasures of Artificial Intelligence on Employment in Beijing from the Perspective of Dynamic Matching [18ZDA09]</t>
  </si>
  <si>
    <t>Humanities and Social Science Research Project of Chinese Ministry of Education: Research on Sustainable Development and Institutional Optimization of Micro-financial Institutions from the Perspective of Inclusive Finance; Youth Project of Beijing Social Science Foundation: Study on the Internal Mechanism and Influencing Factors of the Sustainable Development about Microfinance Institutions in Beijing; Premium Funding Project for Academic Human Resources Development in Beijing Union University; major projects of Beijing Social Science Foundation: Research on the Impact and Countermeasures of Artificial Intelligence on Employment in Beijing from the Perspective of Dynamic Matching</t>
  </si>
  <si>
    <t>The authors would like to thank the Humanities and Social Science Research Project of Chinese Ministry of Education: Research on Sustainable Development and Institutional Optimization of Micro-financial Institutions from the Perspective of Inclusive Finance (17YJC790082); the Youth Project of Beijing Social Science Foundation: Study on the Internal Mechanism and Influencing Factors of the Sustainable Development about Microfinance Institutions in Beijing (14JGC096); the Premium Funding Project for Academic Human Resources Development in Beijing Union University (BPHR2017CS18; BPHR2018ES01); and the major projects of Beijing Social Science Foundation: Research on the Impact and Countermeasures of Artificial Intelligence on Employment in Beijing from the Perspective of Dynamic Matching (18ZDA09).</t>
  </si>
  <si>
    <t>COASTAL EDUCATION &amp; RESEARCH FOUNDATION</t>
  </si>
  <si>
    <t>Charlotte</t>
  </si>
  <si>
    <t>9034 Twilight Hill Court, Charlotte, NC, UNITED STATES</t>
  </si>
  <si>
    <t>0749-0208</t>
  </si>
  <si>
    <t>1551-5036</t>
  </si>
  <si>
    <t>J COASTAL RES</t>
  </si>
  <si>
    <t>J. Coast. Res.</t>
  </si>
  <si>
    <t>10.2112/SI106-071.1</t>
  </si>
  <si>
    <t>Environmental Sciences; Geography, Physical; Geosciences, Multidisciplinary</t>
  </si>
  <si>
    <t>Environmental Sciences &amp; Ecology; Physical Geography; Geology</t>
  </si>
  <si>
    <t>MN2NY</t>
  </si>
  <si>
    <t>WOS:000550684000071</t>
  </si>
  <si>
    <t>Hu, DB; Guo, F; Shang, JN; Zhang, XY</t>
  </si>
  <si>
    <t>Hu, Debao; Guo, Fang; Shang, Jianing; Zhang, Xinyue</t>
  </si>
  <si>
    <t>Does digital finance increase household risk-taking? Evidence from China</t>
  </si>
  <si>
    <t>Digital finance; Household risk -taking; Financial literacy; Financial availability; Background risk mitigation</t>
  </si>
  <si>
    <t>PORTFOLIO; INVESTMENT; LITERACY</t>
  </si>
  <si>
    <t>The risk -taking behavior of economic participants has long attracted scholarly attention. Existing research focuses on the risk -taking of corporations, while studies on households are scarce. Using data from the China Household Finance Survey and the Digital Financial Inclusion Index of China, we explore the impact of digital finance on household risk -taking. We find that digital finance increases household risk -taking, and our results are robust against potential endogeneity concerns. We determine that financial literacy, financial availability, and background risk mitigation are effective mechanisms through which digital finance impacts household risk -taking. Our results imply that policymakers could shape household risk -taking with the aid of digital finance.</t>
  </si>
  <si>
    <t>[Hu, Debao; Shang, Jianing] Renmin Univ China, Int Coll, 58 Zhongguancun St, Beijing 100872, Peoples R China; [Guo, Fang] Guangdong Univ Finance, Sch Insurance, 527 Yingfu Rd, Guangzhou 510521, Guangdong, Peoples R China; [Zhang, Xinyue] Xian Jiaotong Liverpool Univ, Acad Future Educ, 111 Renai Rd,Suzhou Ind Pk, Suzhou 215123, Jiangsu, Peoples R China</t>
  </si>
  <si>
    <t>Renmin University of China; Guangdong University of Finance; Xi'an Jiaotong-Liverpool University</t>
  </si>
  <si>
    <t>Guo, F (corresponding author), Guangdong Univ Finance, Sch Insurance, 527 Yingfu Rd, Guangzhou 510521, Guangdong, Peoples R China.</t>
  </si>
  <si>
    <t>hdb@ruc.edu.cn; guofang@gduf.edu.cn; sjn20001105@ruc.edu.cn; Xinyue.Zhang@xjtlu.edu.cn</t>
  </si>
  <si>
    <t>Hu, Debao/AFR-4583-2022; Zhang, Xinyue/NFT-9917-2025</t>
  </si>
  <si>
    <t>Humanities and Social Sciences Research Planning Fund of the Ministry of Education of China [22YJA790023]</t>
  </si>
  <si>
    <t>Humanities and Social Sciences Research Planning Fund of the Ministry of Education of China</t>
  </si>
  <si>
    <t>The study is supported by the Humanities and Social Sciences Research Planning Fund of the Ministry of Education of China (Grant No. 22YJA790023) .</t>
  </si>
  <si>
    <t>10.1016/j.iref.2024.03.073</t>
  </si>
  <si>
    <t>RH7B0</t>
  </si>
  <si>
    <t>WOS:001226828200001</t>
  </si>
  <si>
    <t>Chen, LS; Bai, JL; Xu, SW; Cheng, ZR; Chen, JH; Chen, YJ</t>
  </si>
  <si>
    <t>Chen, Lingsheng; Bai, Jianli; Xu, Shiwei; Cheng, Zhengrong; Chen, Jiahui; Chen, Yingjie</t>
  </si>
  <si>
    <t>Study on the influence of digital inclusive finance on the development of provincial fishery economy and regional economic convergence in China</t>
  </si>
  <si>
    <t>ISRAELI JOURNAL OF AQUACULTURE-BAMIDGEH</t>
  </si>
  <si>
    <t>In recent years, the rapid development of digital inclusive finance in China has affected many aspects of social development, especially economic development, which has a good driving force. At the same time, the development of the fishery economy has been challenged by many aspects, and digital inclusive finance may inject new development momentum into the development of the fishery economy. Using the digital financial inclusion index and relevant data on the fishery economic development of 31 provinces, autonomous regions, and municipalities in China from 2013 to 2020, this paper empirically analyzes the impact of digital financial inclusion on provincial fishery economic development through the dual fixed effect panel data econometric model of controlled region and time. The main conclusions are as follows: The benchmark regression results show that digital inclusive finance can positively promote the development of the fishery economy at the significance level of 1%, and the digital development degree of digital inclusive finance also has a significant role in promoting the development of the fishery economy. After the endogeneity test of the system GMM model and a series of robustness tests, the model results are still significant. The results of the moderating effect model show that technological innovation plays a positive moderating role in the impact of digital inclusive finance on the development of the fishery economy, while the upgrading of the industrial structure plays an inhibitory role. Based on the results of the beta convergence model, it can be found that there is no convergence in the level of fishery economic development among provinces. The development of digital inclusive finance will play a greater role in promoting areas with better fisheries and economic development, thus widening the development gap between regions. Finally, the paper discusses the effect of the conclusion and the improvement, which is of reference significance for the coordinated development of the fishery</t>
  </si>
  <si>
    <t>[Chen, Lingsheng; Bai, Jianli; Xu, Shiwei; Chen, Yingjie] Shanghai Ocean Univ, Coll Econ &amp; Management, Shanghai, Peoples R China; [Cheng, Zhengrong] Shanghai Business Sch, Fac Business Informat, Shanghai, Peoples R China; [Chen, Jiahui] Univ Minnesota, Dept Econ, Minneapolis, MN USA</t>
  </si>
  <si>
    <t>Shanghai Ocean University; Shanghai Business School; University of Minnesota System; University of Minnesota Twin Cities</t>
  </si>
  <si>
    <t>Xu, SW (corresponding author), Shanghai Ocean Univ, Coll Econ &amp; Management, Shanghai, Peoples R China.;Cheng, ZR (corresponding author), Shanghai Business Sch, Fac Business Informat, Shanghai, Peoples R China.</t>
  </si>
  <si>
    <t>swxu@shou.edu.cn; 21200003@sbs.edu.cn</t>
  </si>
  <si>
    <t>chen, jiahui/KGL-6250-2024</t>
  </si>
  <si>
    <t>AquacultureHub Inc</t>
  </si>
  <si>
    <t>Austin</t>
  </si>
  <si>
    <t>9204 Brown Ln Ste D, Austin, Texas, UNITED STATES</t>
  </si>
  <si>
    <t>0792-156X</t>
  </si>
  <si>
    <t>ISR J AQUACULT-BAMID</t>
  </si>
  <si>
    <t>Isr. J. Aquac.-Bamidgeh</t>
  </si>
  <si>
    <t>10.46989/001c.125727</t>
  </si>
  <si>
    <t>Fisheries</t>
  </si>
  <si>
    <t>R0T4E</t>
  </si>
  <si>
    <t>WOS:001388682600017</t>
  </si>
  <si>
    <t>Lu, XM; Guo, JJ; Zhou, HL</t>
  </si>
  <si>
    <t>Lu, Xiaomeng; Guo, Jiaojiao; Zhou, Hailing</t>
  </si>
  <si>
    <t>Digital financial inclusion development, investment diversification, and household extreme portfolio risk</t>
  </si>
  <si>
    <t>Extreme portfolio risk; Digital inclusion; Diversification; Traditional financial development</t>
  </si>
  <si>
    <t>LITERACY; TRANSFORMATION; FINTECH; CONSUMPTION; INNOVATION; ADOPTION; BIAS</t>
  </si>
  <si>
    <t>Most Chinese households are exposed to extreme portfolio risks; the findings show that digital financial inclusion significantly mitigates this phenomenon. Using a panel of nation-wide data from the China Household Finance Survey, we find digital financial inclusion significantly reduces the probability of households taking extreme portfolio risks by promoting diversification. It also plays a greater role among households with low levels of wealth and financial literacy, located in areas where traditional finance has been slow to develop. These findings suggest that Internet-based financial products are needed that are better suited to households with low levels of wealth and financial literacy.</t>
  </si>
  <si>
    <t>[Lu, Xiaomeng] Southwestern Univ Finance &amp; Econ, Survey &amp; Res Ctr China Household Finance, Chengdu, Peoples R China; [Guo, Jiaojiao] Guotai Junan Secur, Shanghai, Peoples R China; [Zhou, Hailing] Shandong Univ, Sch Polit Sci &amp; Publ Adm, Jinan, Peoples R China</t>
  </si>
  <si>
    <t>Southwestern University of Finance &amp; Economics - China; Shandong University</t>
  </si>
  <si>
    <t>Zhou, HL (corresponding author), Shandong Univ, Sch Polit Sci &amp; Publ Adm, Jinan, Peoples R China.</t>
  </si>
  <si>
    <t>tianxielingling@163.com</t>
  </si>
  <si>
    <t>10.1111/acfi.12863</t>
  </si>
  <si>
    <t>XL5MO</t>
  </si>
  <si>
    <t>WOS:000700957700001</t>
  </si>
  <si>
    <t>Roa, MJ; Villegas, A</t>
  </si>
  <si>
    <t>Roa, Maria Jose; Villegas, Alejandra</t>
  </si>
  <si>
    <t>Financial exclusion and financial literacy: Evidence from Mexico</t>
  </si>
  <si>
    <t>LATIN AMERICAN ECONOMIC REVIEW</t>
  </si>
  <si>
    <t>financial inclusion; financial literacy; trust; personality traits</t>
  </si>
  <si>
    <t>INSTRUMENTS; ACCESS</t>
  </si>
  <si>
    <t>This study seeks to contribute to the understanding of the underlying factors that can explain the high levels of financial exclusion that persist in Mexico, with focus on the role of financial literacy. Our analysis is based on the 2018 National Survey of Financial Inclusion in Mexico (ENIF). To address the potential endogeneity between financial inclusion and financial literacy we use an instrumental variable probit model. The findings reveal that low levels of financial literacy, socioeconomic vulnerabilities, personality traits, and lack of trust in financial institutions hamper financial inclusion in Mexico.</t>
  </si>
  <si>
    <t>[Roa, Maria Jose] Inst Invest Econ &amp; Sociales Francisco Vitoria, Pozuelo De Alarcon, Spain; [Villegas, Alejandra] Univ Iberoamer, Mexico City, Mexico</t>
  </si>
  <si>
    <t>Universidad Iberoamericana Ciudad de Mexico</t>
  </si>
  <si>
    <t>Roa, MJ (corresponding author), Inst Invest Econ &amp; Sociales Francisco Vitoria, Pozuelo De Alarcon, Spain.</t>
  </si>
  <si>
    <t>maria-joroa@gmail.com; maria.villegas@ibero.mx</t>
  </si>
  <si>
    <t>CENTRO INVESTIGACION &amp; DOCENCIA ECONOMICAS-CIDE</t>
  </si>
  <si>
    <t>CIUDAD DE MEXICO</t>
  </si>
  <si>
    <t>CARR MEXICO-TOLUCA 3655, SANTA FE, ALTAVISTA, CIUDAD DE MEXICO, ALVARO OBREGON, MEXICO</t>
  </si>
  <si>
    <t>2198-3526</t>
  </si>
  <si>
    <t>2196-436X</t>
  </si>
  <si>
    <t>LAT AM ECON REV</t>
  </si>
  <si>
    <t>Latin. Am. Econ. Rev.</t>
  </si>
  <si>
    <t>DEC 26</t>
  </si>
  <si>
    <t>10.47872/laer.v31.103</t>
  </si>
  <si>
    <t>H6YQ8</t>
  </si>
  <si>
    <t>WOS:000997398500001</t>
  </si>
  <si>
    <t>Chipunza, KJ; Fanta, A</t>
  </si>
  <si>
    <t>Chipunza, Kudakwashe Joshua; Fanta, Ashenafi</t>
  </si>
  <si>
    <t>Quality financial inclusion and its determinants in South Africa: evidence from survey data</t>
  </si>
  <si>
    <t>Quality financial inclusion; Polychoric principal component analysis; South Africa</t>
  </si>
  <si>
    <t>Purpose The study measured quality financial inclusion, a more comprehensive measure of financial inclusion, and examined its determinants at a consumer level in South Africa. Design/methodology/approach This study leveraged on FinScope 2015 survey data to compute a quality financial inclusion index using polychoric principal component analysis. Subsequently, a heteroscedasticity consistent ordinary least squares regression model was employed to assess determinants of quality financial inclusion. Findings The empirical findings indicated that gender, education, financial literacy, income, location and geographical proximity determine quality financial inclusion. These findings could inform policymakers and financial services providers on how quality financial inclusion can be promoted through tailoring financial products for various socio-demographic groups. Research limitations/implications Due to data limitations, the study was confined to South Africa and did not capture digital financial inclusion. Hence, future studies could replicate the study in Sub-Saharan Africa's context and compute an index that captures digital financial inclusion. Practical implications These findings could inform policymakers and financial services providers on how quality financial inclusion can be promoted through tailoring financial products for various socio-demographic groups. Originality/value This study proposed a more comprehensive measure of quality financial inclusion from a demand-side perspective by accounting for important dimensions that include diversity, affordability, appropriateness and flexibility of financial products and services.</t>
  </si>
  <si>
    <t>[Chipunza, Kudakwashe Joshua; Fanta, Ashenafi] Stellenbosch Univ, Univ Stellenbosch Business Sch, Cape Town, South Africa</t>
  </si>
  <si>
    <t>Chipunza, KJ (corresponding author), Stellenbosch Univ, Univ Stellenbosch Business Sch, Cape Town, South Africa.</t>
  </si>
  <si>
    <t>joshuachipunz@gmail.com</t>
  </si>
  <si>
    <t>Fanta, Ashenafi/AAN-6375-2021</t>
  </si>
  <si>
    <t>Chipunza, Kudakwashe Joshua/0000-0002-3549-363X</t>
  </si>
  <si>
    <t>MAY 24</t>
  </si>
  <si>
    <t>10.1108/AJEMS-06-2021-0290</t>
  </si>
  <si>
    <t>1V8NB</t>
  </si>
  <si>
    <t>WOS:000736215600001</t>
  </si>
  <si>
    <t>Madapana, K; Rao, N</t>
  </si>
  <si>
    <t>Madapana, Karteek; Rao, N. V. J.</t>
  </si>
  <si>
    <t>Empowering women's SHGs through blockchain: a microfinance perspective</t>
  </si>
  <si>
    <t>RAJAGIRI MANAGEMENT JOURNAL</t>
  </si>
  <si>
    <t>Blockchain technology; Self-help groups (SHGs); Microfinance; Economic empowerment; Financial inclusion</t>
  </si>
  <si>
    <t>PurposeThis paper aims to make microfinance transparent, effective and secure with the help of the decentralized nature of blockchain technology. In doing so, it guarantees that microfinance enhances greater financial inclusion along with the economic empowerment of women. The research conducted a pilot implementation of a blockchain-based microfinance platform with respect to some metrics: access to financial resources, average income per month, repayment of the loan, fraud incidents and financial literacy scores. The pilot results, primarily, are likely to suggest that improvement is statistically significantly different for all these metrics.Design/methodology/approachThe research conducted a pilot implementation of a blockchain-based microfinance platform with respect to some metrics: access to financial resources, average income per month, repayment of the loan, fraud incidents and financial literacy scores. The pilot results, primarily, are likely to suggest that improvement is statistically significantly different for all these metrics. The percentage of SHG members that had access to financial resources doubled, with similar dynamics (increase of 197%) in the average monthly incomes of the actors being witnessed.FindingsBlockchain's transparent and immutable ledger system has addressed one of the key challenges in traditional microfinance - lack of trust. By ensuring that all transactions are securely recorded and easily verifiable, blockchain technology has built confidence among SHG members. This increased trust has encouraged greater participation in microfinance programmes, thereby expanding financial inclusion. The operational efficiency of the blockchain-based platform has significantly reduced the time required for transaction processing and loan disbursement. Traditional microfinance systems often involve lengthy processes with multiple intermediaries, leading to delays and higher operational costs. In contrast, the blockchain platform has streamlined these processes through automation and smart contracts, enabling real-time verification and execution of transactions. This efficiency not only improves the user experience but also reduces costs for microfinance institutions, making financial services more accessible and affordable. Moreover, the integration of AI-driven tools with the blockchain platform has enhanced financial literacy and inclusion. Personalized financial advice and educational resources provided by AI have empowered SHG members to better understand and manage their finances.Originality/valueThe pilot project in Rayagada has revealed the transformative potential of blockchain technology in the microfinance sector. By integrating the blockchain, the project has successfully enhanced transparency, operational efficiency and financial literacy among self-help group (SHG) members. These improvements have fostered a more inclusive and trustworthy financial environment, which is critical for the empowerment of marginalized communities.</t>
  </si>
  <si>
    <t>[Madapana, Karteek; Rao, N. V. J.] Gandhi Inst Engn &amp; Technol Univ, Gunupur, India</t>
  </si>
  <si>
    <t>GIET University</t>
  </si>
  <si>
    <t>Madapana, K (corresponding author), Gandhi Inst Engn &amp; Technol Univ, Gunupur, India.</t>
  </si>
  <si>
    <t>m.kar3k@gmail.com; drnvj.rao@gmail.com</t>
  </si>
  <si>
    <t>0972-9968</t>
  </si>
  <si>
    <t>2633-0091</t>
  </si>
  <si>
    <t>RAJAGIRI MANAGE J</t>
  </si>
  <si>
    <t>Rajagiri Manag. J.</t>
  </si>
  <si>
    <t>DEC 10</t>
  </si>
  <si>
    <t>10.1108/RAMJ-07-2024-0189</t>
  </si>
  <si>
    <t>P0655</t>
  </si>
  <si>
    <t>WOS:001618308800001</t>
  </si>
  <si>
    <t>Burns, S</t>
  </si>
  <si>
    <t>Burns, Scott</t>
  </si>
  <si>
    <t>M-PESA AND THE 'MARKET-LED' APPROACH TO FINANCIAL INCLUSION</t>
  </si>
  <si>
    <t>ECONOMIC AFFAIRS</t>
  </si>
  <si>
    <t>financial deepening; financial development; financial inclusion; fintech; M-Pesa; mobile banking; mobile money</t>
  </si>
  <si>
    <t>Inclusive financial systems play a critical role in fostering economic growth and development However, the question of what is the best means of achieving this has long been a puzzle. In this article, I use the mobile money revolution in Sub-Saharan Africa to show that the greatest examples of financial development have come from nations embracing a market-led approach that removes repressive regulations and gives entrepreneurs the freedom to discover innovative ways to access the unbanked. Comparing the successes and failures of mobile money across the continent over the past decade, I argue that the best predictor of whether a country will reap the benefits of these transformative innovations is whether its government embraces a laissez-faire, or 'enabling', regulatory approach that encourages entrepreneurship and experimentation.</t>
  </si>
  <si>
    <t>[Burns, Scott] Ursinus Coll, Collegeville, PA 19426 USA</t>
  </si>
  <si>
    <t>Burns, S (corresponding author), Ursinus Coll, Collegeville, PA 19426 USA.</t>
  </si>
  <si>
    <t>sburns@ursinus.edu</t>
  </si>
  <si>
    <t>0265-0665</t>
  </si>
  <si>
    <t>1468-0270</t>
  </si>
  <si>
    <t>ECON AFFA</t>
  </si>
  <si>
    <t>Econ. Affa.</t>
  </si>
  <si>
    <t>10.1111/ecaf.12321</t>
  </si>
  <si>
    <t>GX3QE</t>
  </si>
  <si>
    <t>WOS:000447640500009</t>
  </si>
  <si>
    <t>van Thiel, D; Elliott, K; Goedee, J; Leenders, R</t>
  </si>
  <si>
    <t>van Thiel, Diederick; Elliott, Karen; Goedee, John; Leenders, Roger</t>
  </si>
  <si>
    <t>Responsible access to credit for sole-traders and micro-organizations under unstable market conditions with psychometrics</t>
  </si>
  <si>
    <t>Small business lending; financial inclusion; innovative credit scoring; COVID-pandemic; psychometrics</t>
  </si>
  <si>
    <t>PERSONALITY-FACTORS; FINANCIAL BEHAVIOR; SCALE DEVELOPMENT; MONEY ATTITUDES; SELF-CONTROL; SMALL FIRMS; MATERIALISM; GROWTH; MODELS; SMES</t>
  </si>
  <si>
    <t>In a context of market volatility, the growing complexity of financial products, and a shift towards self-employment, there is an increasing demand for inclusive financial services for sole traders and micro-organizations. To address this need, we conducted a study using real-time data from a Fintech lender in the Czech Republic to assess the effectiveness of a new financial literacy based psychometric credit scoring model (PSM) in improving access to finance for micro, small and medium sized enterprises (MSME) sector, particularly sole traders, and micro-organizations, during volatile market conditions. This study affirms that PSMs play a significant role in responsibly including this underserved sector. Specifically, we observed a 30% higher approval rate and a 23% lower default rate when utilizing the PSM versus the traditional credit scoring model (TCSM). Moreover, during the period of substantial market volatility and instability, such as the state-of-emergency during the COVID-19 pandemic, the PSM exhibited a 13% higher approval rate at a 20% lower default rate than the TCSM. This evidence supports the proposition that PSMs offer a viable option for promoting financial inclusion and targeted financial education among MSMEs in the face of instable financial markets.</t>
  </si>
  <si>
    <t>[van Thiel, Diederick] AdviceRobo &amp; Tilburg Univ, Tilburg Sch Social &amp; Behav Sci, Tilburg, Netherlands; [Elliott, Karen] Univ Birmingham, Dept Finance, Birmingham, England; [Goedee, John] Tilburg Univ, Dept Org Studies, Tilburg, Netherlands; [Leenders, Roger] Tilburg Univ, Jheronimus Acad Data Sci, Tilburg, Netherlands</t>
  </si>
  <si>
    <t>Tilburg University; University of Birmingham; Tilburg University; Tilburg University</t>
  </si>
  <si>
    <t>van Thiel, D (corresponding author), AdviceRobo &amp; Tilburg Univ, Tilburg Sch Social &amp; Behav Sci, Tilburg, Netherlands.</t>
  </si>
  <si>
    <t>diederick@advicerobo.com</t>
  </si>
  <si>
    <t>; Elliott, Karen/N-1788-2018; Leenders, Roger/C-5723-2011</t>
  </si>
  <si>
    <t>van Thiel, Diederick/0000-0003-0099-4247; Elliott, Karen/0000-0002-2455-0475;</t>
  </si>
  <si>
    <t>10.1080/1351847X.2024.2357569</t>
  </si>
  <si>
    <t>UJ6C5</t>
  </si>
  <si>
    <t>WOS:001247719200001</t>
  </si>
  <si>
    <t>Nizam, R; Abd Karim, Z; Rahman, AA; Sarmidi, T</t>
  </si>
  <si>
    <t>Nizam, Rosmah; Abd Karim, Zulkefly; Rahman, Aisyah Abdul; Sarmidi, Tamat</t>
  </si>
  <si>
    <t>FINANCIAL INCLUSION INDEX IN DEVELOPING COUNTRIES USING NON-PARAMETRIC AND PARAMETRIC METHOD</t>
  </si>
  <si>
    <t>JOURNAL OF NUSANTARA STUDIES-JONUS</t>
  </si>
  <si>
    <t>Malay</t>
  </si>
  <si>
    <t>Financial inclusion index; fintech; multidimensional; non-parametric; parametric; Principle Component Analysis (PCA)</t>
  </si>
  <si>
    <t>Background and Purpose: This paper aims to improve the construction of the index of financial inclusion with digital financial technology (fintech) dimensions, using supply-side and demand-side data from selected developing countries for 2014 and 2017 (68 countries). Methodology: To measure the index of financial inclusion, this study combines non-parametric methods through the multidimensional measurement model proposed by Mandira Sarma (2012) and the Principle Component Analysis (PCA) as a parametric method. Findings: The empirical findings of the study using PCA analysis found that improvement on proposed index of financial inclusion using fintech dimensions has a relative importance and significant relationship to the level of financial inclusiveness. This study shows that the higher index value reflecting the more inclusive of financial inclusion, while the lower index value is vice versa. Contributions: This study concludes that it is important for policy makers to shape policies and strategies within the context of financial inclusion in a country. In addition, access to digital financial technology services should be expanded to increase the level of financial inclusiveness and achieve complete financial inclusion.</t>
  </si>
  <si>
    <t>[Nizam, Rosmah; Abd Karim, Zulkefly; Rahman, Aisyah Abdul; Sarmidi, Tamat] Univ Kebangsaan Malaysia, Fak Ekon &amp; Pengurusan, Pusat Kelestarian &amp; Pembangunan Inklusif SID, Bangi 43600, Selangor, Malaysia</t>
  </si>
  <si>
    <t>Universiti Kebangsaan Malaysia</t>
  </si>
  <si>
    <t>Nizam, R (corresponding author), Univ Kebangsaan Malaysia, Fak Ekon &amp; Pengurusan, Pusat Kelestarian &amp; Pembangunan Inklusif SID, Bangi 43600, Selangor, Malaysia.</t>
  </si>
  <si>
    <t>roses_173@yahoo.com.my</t>
  </si>
  <si>
    <t>Nizam, Rosmah/MIQ-7452-2025; Sarmidi, Tamat/E-8470-2017; KARIM, ZULKEFLY/W-3726-2018; Abdul-Rahman, Aisyah/H-7345-2016</t>
  </si>
  <si>
    <t>UNIV SULTAN ZAINAL ABIDIN</t>
  </si>
  <si>
    <t>TERENGGANU DARUL IMAN</t>
  </si>
  <si>
    <t>21300 KUALA NERUS, TERENGGANU DARUL IMAN, 00000, MALAYSIA</t>
  </si>
  <si>
    <t>0127-9319</t>
  </si>
  <si>
    <t>0127-9386</t>
  </si>
  <si>
    <t>J NUSANT STUD-JONUS</t>
  </si>
  <si>
    <t>J. Nusant. Stud.-JONUS</t>
  </si>
  <si>
    <t>10.24200/jonus.vol5iss1pp80-103</t>
  </si>
  <si>
    <t>KH7OR</t>
  </si>
  <si>
    <t>WOS:000510840000004</t>
  </si>
  <si>
    <t>Effect of CO2 emissions on financial inclusion through physical financial access points</t>
  </si>
  <si>
    <t>MANAGEMENT OF ENVIRONMENTAL QUALITY</t>
  </si>
  <si>
    <t>Climate change; CO2 emissions; Financial inclusion; Institutional quality; Inflation; Interest rate; Financial access points; Bank branch; ATM; Africa; Asia; Europe; Developing countries</t>
  </si>
  <si>
    <t>PurposeThis study examines the effect of CO2 emissions from gaseous fuel consumption on financial inclusion through physical financial access points in non-crisis years.Design/methodology/approachTwenty-two countries were analyzed. The estimation methods are the median quantile and two-stage least squares regression methods. CO2 emissions were measured by CO2 emissions from gaseous fuel consumption. Financial inclusion was measured using a financial inclusion index. The control variables are institutional quality, monetary policy action, bank stability, inflation and the level of unemployment.FindingsHigher CO2 emissions are associated with a high level of financial inclusion in European, Asian and developing countries, implying that CO2 emissions do not decrease the level of financial inclusion. CO2 emissions decrease the level of financial inclusion in African countries that have strong institutions and a high lending rate. CO2 emissions also decrease the level of financial inclusion in developing countries that have a high lending rate.Practical implicationsPolicymakers and banks in European, African and Asian countries should reduce their reliance on physical financial access points to increase financial inclusion. They should adopt digital financial inclusion strategies to mitigate the adverse effect of CO2 emissions on the physical financial access points provided by banks to increase financial inclusion.Originality/valueThis study is unique and different from existing studies in that it focuses on the effect of CO2 emissions on financial inclusion in non-crisis years.</t>
  </si>
  <si>
    <t>1477-7835</t>
  </si>
  <si>
    <t>1758-6119</t>
  </si>
  <si>
    <t>MANAG ENVIRON QUAL</t>
  </si>
  <si>
    <t>Manag. Environ. Qual.</t>
  </si>
  <si>
    <t>2025 MAY 9</t>
  </si>
  <si>
    <t>10.1108/MEQ-11-2024-0518</t>
  </si>
  <si>
    <t>2IM4T</t>
  </si>
  <si>
    <t>WOS:001483451900001</t>
  </si>
  <si>
    <t>Bongomin, GOC; Ntayi, JM; Munene, JC; Nabeta, IN</t>
  </si>
  <si>
    <t>Bongomin, George Okello Candiya; Ntayi, Joseph Mpeera; Munene, John C.; Nabeta, Isaac Nkote</t>
  </si>
  <si>
    <t>Financial Inclusion in Rural Uganda: Testing Interaction Effect of Financial Literacy and Networks</t>
  </si>
  <si>
    <t>Financial inclusion; financial literacy; microfinance; social networks; social ties</t>
  </si>
  <si>
    <t>ACCESS; MICROFINANCE; KNOWLEDGE; SERVICES; CREDIT</t>
  </si>
  <si>
    <t>Based on the premise that financial literacy take place in networks to influence the level of financial inclusion, the study examined whether networks moderate in the relationship between financial literacy and financial inclusion among poor households in rural Uganda. Studies have revealed that financial literacy affects the level of financial inclusion. However, these studies have failed to incorporate the moderating role of networks in the relationship between financial literacy and financial inclusion. The results showed that networks positively and significantly moderates in the relationship between financial literacy and financial inclusion with both financial literacy and networks having direct and significant effects.</t>
  </si>
  <si>
    <t>[Bongomin, George Okello Candiya; Ntayi, Joseph Mpeera; Munene, John C.; Nabeta, Isaac Nkote] Makerere Univ, Sch Business, Kampala, Uganda</t>
  </si>
  <si>
    <t>Bongomin, GOC (corresponding author), Makerere Univ, Sch Business, Finance, POB 1337, Kampala, Uganda.</t>
  </si>
  <si>
    <t>10.1080/15228916.2016.1117382</t>
  </si>
  <si>
    <t>DW9ZY</t>
  </si>
  <si>
    <t>WOS:000384022500007</t>
  </si>
  <si>
    <t>Mitha, Y; Venter, HS</t>
  </si>
  <si>
    <t>Mitha, Yusuf; Venter, H. S.</t>
  </si>
  <si>
    <t>Digital Forensic Readiness for Branchless Banking</t>
  </si>
  <si>
    <t>2015 IST-AFRICA CONFERENCE</t>
  </si>
  <si>
    <t>2015 1ST-Africa Conference</t>
  </si>
  <si>
    <t>MAY 06-08, 2015</t>
  </si>
  <si>
    <t>Lilongwe, MALAWI</t>
  </si>
  <si>
    <t>branchless banking; m-money; fraud; digital forensic readiness; SMS</t>
  </si>
  <si>
    <t>Mobile phone's short message services technology is being leveraged to provide branchless banking in developed countries. These SMS-based services reach areas where bank branches or auto telling machines would not be feasible thereby enabling financial inclusion among the unbanked and low-income earners. However, the vulnerability of its service delivery platform makes it attractive to fraudsters. Lack of digital forensic readiness (DFR) scheme, specifically designed for BB, to capture and preserve potential evidence for further investigation of fraud remains a challenge in this domain. The availability of digital evidence maximises the potential of an organisation to successfully conduct investigation at a reduced cost. Therefore, branchless banking service providers should consider incorporating digital forensic readiness in their security strategies. In this paper, the authors propose a digital forensic readiness scheme that addresses the problem of fraud in branchless banking.</t>
  </si>
  <si>
    <t>[Mitha, Yusuf; Venter, H. S.] Univ Pretoria, Dept Comp Sci, Informat &amp; Comp Secur Architecture Res Grp, ZA-0002 Pretoria, South Africa</t>
  </si>
  <si>
    <t>Mitha, Y (corresponding author), Univ Pretoria, Dept Comp Sci, Informat &amp; Comp Secur Architecture Res Grp, ZA-0002 Pretoria, South Africa.</t>
  </si>
  <si>
    <t>ymitha06@gmail.com; hventer@cs.up.ac.za</t>
  </si>
  <si>
    <t>Venter, H./N-2724-2017</t>
  </si>
  <si>
    <t>978-1-9058-2451-9</t>
  </si>
  <si>
    <t>Computer Science, Hardware &amp; Architecture; Computer Science, Interdisciplinary Applications; Computer Science, Software Engineering; Telecommunications</t>
  </si>
  <si>
    <t>BF1YW</t>
  </si>
  <si>
    <t>WOS:000380446500063</t>
  </si>
  <si>
    <t>Pan, Y; Ma, L; Wang, YZ</t>
  </si>
  <si>
    <t>Pan, Yu; Ma, Li; Wang, Yanzhen</t>
  </si>
  <si>
    <t>How and what kind of cities benefit from the development of digital inclusive finance? Evidence from the upgrading of export in Chinese cities</t>
  </si>
  <si>
    <t>Digital inclusive finance; export upgrading; city heterogeneity; innovation effect; market effect</t>
  </si>
  <si>
    <t>INTERNATIONAL-TRADE; DEVELOPING-COUNTRIES; CREDIT CONSTRAINTS; INTERNET; SOPHISTICATION; INNOVATION; FIRMS; PRODUCTIVITY; INFORMATION; TECHNOLOGY</t>
  </si>
  <si>
    <t>Employing Chinese customs data and the Peking University Digital Financial Inclusion Index of China, this paper studies the impact of China's digital finance development on the upgrading of export at the city level and further explores the heterogeneity across cities and the mechanisms through which digital finance influences export upgrading. Benchmark results suggest that digital inclusive finance can significantly promote the upgrading of export. The heterogeneity analysis shows that cities with a smaller size, lower wage, higher human capital level, and better location advantage experience greater facilitating effects of digital inclusive finance on promoting export upgrading. It suggests that, compared with 'icing on the cake', the digital inclusive finance plays a better role in 'offering fuel in snowy weather', whereas full exertion of the inclusiveness of digital finance requires higher human capital and location advantage. Further mechanism analysis shows that innovation effect and market effect are the main channels where digital inclusive finance promotes the upgrading of a city's export.</t>
  </si>
  <si>
    <t>[Pan, Yu; Wang, Yanzhen] Jinan Univ, Sch Econ, Guangzhou, Peoples R China; [Ma, Li] Foshan Polytech, Coll Business Adm, Foshan, Peoples R China</t>
  </si>
  <si>
    <t>Jinan University</t>
  </si>
  <si>
    <t>Wang, YZ (corresponding author), Jinan Univ, Sch Econ, Guangzhou, Peoples R China.</t>
  </si>
  <si>
    <t>wangyanzhen@jnu.edu.cn</t>
  </si>
  <si>
    <t>Wang, Yanzhen/GLT-5430-2022</t>
  </si>
  <si>
    <t>Wang, Yanzhen/0000-0002-8309-4828</t>
  </si>
  <si>
    <t>China Postdoctoral Science Foundation [2021M691253]</t>
  </si>
  <si>
    <t>China Postdoctoral Science Foundation(China Postdoctoral Science Foundation)</t>
  </si>
  <si>
    <t>This work was supported by the China Postdoctoral Science Foundation under Grant &lt; 2021M691253 &gt;.</t>
  </si>
  <si>
    <t>10.1080/1331677X.2021.2007414</t>
  </si>
  <si>
    <t>4E7DD</t>
  </si>
  <si>
    <t>WOS:000729036000001</t>
  </si>
  <si>
    <t>Cai, DS; Kou, JH; He, Y</t>
  </si>
  <si>
    <t>Cai, Dongsong; Kou, Junhao; He, Yao</t>
  </si>
  <si>
    <t>The impact of digital finance on households' financial literacy</t>
  </si>
  <si>
    <t>Digital finance; Financial literacy; Learning-by-doing; Human capital externality; China</t>
  </si>
  <si>
    <t>CONSUMPTION; INCLUSION</t>
  </si>
  <si>
    <t>We construct a dynamic general equilibrium model with endogenous financial literacy accumulation to investigate the impact of digital finance on households' financial literacy. The model predicts that digital finance is able to raise households' financial literacy through the channels of learning-by-doing (LBD) and human capital externality (HCE). Then, we employ data from the 2017 and 2019 China Household Finance Survey (CHFS) to empirically test the impact of digital finance on household's financial literacy. The empirical results show that digital financial usage (DFU) can raise household's financial literacy level through the LBD channel, and the effect is stronger on the households with young and old and high educated household head, and on low income and low asset households. Furthermore, digital financial inclusion index (DFII) can increase household's financial literacy through the HCE channel, and the effect is stronger on the households who use digital financial services and products. This paper extends the literatures that study the impact of digital finance on household economic behavior.</t>
  </si>
  <si>
    <t>[Cai, Dongsong] Jilin Univ, Sch Business &amp; Management, Changchun 130012, Peoples R China; [Kou, Junhao] Jilin Univ, Northeast Asian Studies Coll, Changchun 130012, Peoples R China; [He, Yao] Civil Aviat Flight Univ China, Deyang 618300, Sichuan, Peoples R China</t>
  </si>
  <si>
    <t>Jilin University; Jilin University; Civil Aviation Flight University of China</t>
  </si>
  <si>
    <t>He, Y (corresponding author), Civil Aviat Flight Univ China, Deyang 618300, Sichuan, Peoples R China.</t>
  </si>
  <si>
    <t>heyaooo@foxmail.com</t>
  </si>
  <si>
    <t>10.1016/j.eap.2025.10.009</t>
  </si>
  <si>
    <t>8MZ1C</t>
  </si>
  <si>
    <t>WOS:001592519800001</t>
  </si>
  <si>
    <t>Banking on personality: psychometrics and consumer creditworthiness</t>
  </si>
  <si>
    <t>financial inclusion; psychometrics; credit scoring; personality; alternative data; unbanked</t>
  </si>
  <si>
    <t>SELF-CONTROL; CREDIT; BIODATA; CHILDHOOD</t>
  </si>
  <si>
    <t>Psychometric data taps into personality traits that can potentially augment traditional credit models. So far, few studies have investigated this topic empirically. In this study, 3564 borrowers, from five independent samples and geographies, completed an online psychometrics-based credit assessment, and their scores were analyzed against traditional credit scores and loan defaults. The results found the psychometric solution to be a consistently effective and incremental identifier of loan defaults, with monotonic decreases in default rates across score bands. The study provides support for the influence of personality on financial behaviors, and for the potential use of psychometric data in loan underwriting. The study also provides new validity evidence for samples of consumer borrowers; for generalizability across multiple geographies; and for lift and applicability above and beyond traditional credit models. Overall, the findings may be of particular importance to lenders who wish to leverage psychometric scores to facilitate financial inclusion and approve more loans among the underbanked.</t>
  </si>
  <si>
    <t>[Fine, Saul] Innovat Assessments, 45 Rothschild Blvd, IL-6520216 Tel Aviv, Israel</t>
  </si>
  <si>
    <t>Fine, S (corresponding author), Innovat Assessments, 45 Rothschild Blvd, IL-6520216 Tel Aviv, Israel.</t>
  </si>
  <si>
    <t>10.21314/JCR.2023.001</t>
  </si>
  <si>
    <t>J9ZM8</t>
  </si>
  <si>
    <t>WOS:001013135200003</t>
  </si>
  <si>
    <t>Prasad, V; Jacob, JK; Shebalkova, Y</t>
  </si>
  <si>
    <t>Prasad, Vishnu; Jacob, Jukeshias Kurumattathil; Shebalkova, Yelyzaveta</t>
  </si>
  <si>
    <t>Data-driven analysis of the sustainability of digital banking and mobile money based on EU countries</t>
  </si>
  <si>
    <t>Sustainability; SDG 1; Poverty; Financial inclusion; EU economies</t>
  </si>
  <si>
    <t>While the European Union generally has a significant amount of financial penetration, the levels differ widely, especially in the eastern and southern areas of the EU, where there is poorer financial literacy and more limited opportunities for extensive digital banking solutions. This research examines this nuanced panorama, using OLS, Ridge Regression, and random forest model evaluation to consider the impact of digital financial inclusion on poverty reduction and sustainable economic development across a range of EU countries from 2011 to 2021. We can build a comparative modelling evaluation using innovative models to examine this complex relationship in a unique and meaningful context, allowing for an analysis of digital financial inclusion with the socio-economic and political characteristics of different EU member states. The findings can provide key policy implications for making digital financial solutions useful as a means of poverty reduction and equal development across EU countries.</t>
  </si>
  <si>
    <t>[Prasad, Vishnu; Jacob, Jukeshias Kurumattathil; Shebalkova, Yelyzaveta] Inst Technol &amp; Business Ceske Budejovice, Sch Expertness &amp; Valuat, Okruzni 517-10, Ceske Budejovice 37001, Czech Republic</t>
  </si>
  <si>
    <t>Institute of Technology &amp; Business, Ceske Budejovice</t>
  </si>
  <si>
    <t>Prasad, V (corresponding author), Inst Technol &amp; Business Ceske Budejovice, Sch Expertness &amp; Valuat, Okruzni 517-10, Ceske Budejovice 37001, Czech Republic.</t>
  </si>
  <si>
    <t>vishnu@mail.vstecb.cz; juke@mail.vstecb.cz; 31377@mail.vstecb.cz</t>
  </si>
  <si>
    <t>Shebalkova, Yelyzaveta/GSN-9876-2022</t>
  </si>
  <si>
    <t>Institute of Technology and Business in Ceske Budejovice</t>
  </si>
  <si>
    <t>The authors thank the Institute of Technology and Business in Ceske Budejovice for providing financial support for this research, and they especially thank the Department of Economics for their assistance and support throughout the study. We also appreciate the contributions of our colleagues at Technology and Business for their insightful discussions and encouragement during the development of this manuscript.</t>
  </si>
  <si>
    <t>10.1007/s43621-025-01993-1</t>
  </si>
  <si>
    <t>I3928</t>
  </si>
  <si>
    <t>WOS:001626502300013</t>
  </si>
  <si>
    <t>Widyastuti, U; Respati, DK; Dewi, VI; Soma, AM</t>
  </si>
  <si>
    <t>Widyastuti, Umi; Respati, Dwi Kismayanti; Dewi, Vera Intanie; Soma, Abdul Mukti</t>
  </si>
  <si>
    <t>The nexus of digital financial inclusion, digital financial literacy and demographic factors: lesson from Indonesia</t>
  </si>
  <si>
    <t>Digital financial inclusion; digital financial literacy; demographic factors; binary logistic regression; Wright Len Tiu, De Montfort University Faculty of Business and Law, United Kingdom; Asian Studies; Finance; Business, Management and Accounting</t>
  </si>
  <si>
    <t>This study aims to answer the impact of digital financial literacy (DFL) and the demographic factors on digital financial inclusion (DFI). This model employed the independent variables that consist of digital financial literacy and demographic factors including gender, age, occupation, marital status, income. By applying purposive sampling, this study collected the data from 160 households who have minimum one banks' accounts. To answer the research hypotheses, this study analyzed the data using binary logistic regression that categorized sample into DFI or otherwise. Based on the model fit test, the findings showed that DFL and demographic factors affect DFI. The effect of gender and marital status showed an insignificant effect on DFI. Conversely, DFL and other demographic factors including age, income, occupation significantly explain DFI in Indonesian household. The model can predict 84.4% respondents in a correct classification as DFI or otherwise. This study highlights the impact of digital financial literacy (DFL) and demographic factors on digital financial inclusion (DFI) among Indonesian households. It contributes in filling the research gap which is conducted using entrepreneurial households. DFI has become a crucial factor to accelerate the economic growth especially for society who are financially excluded. Therefore, DFI is needed to support entrepreneurial household business activities. These findings underscore the importance of tailored financial literacy initiatives and inclusive policies to promote broader access to digital financial services, driving socioeconomic development in Indonesia and beyond.</t>
  </si>
  <si>
    <t>[Widyastuti, Umi] Univ Negeri Jakarta, Management, Jakarta, Indonesia; [Respati, Dwi Kismayanti] Univ Negeri Jakarta, Accounting Educ, Jakarta, Indonesia; [Dewi, Vera Intanie] Univ Katolik Parahyangan, Management, Bandung, Indonesia; [Soma, Abdul Mukti] Univ Teknol Muhammadiyah Jakarta, Management, Jakarta, Indonesia</t>
  </si>
  <si>
    <t>Universitas Negeri Jakarta; Universitas Negeri Jakarta; Universitas Katolik Parahyangan</t>
  </si>
  <si>
    <t>Widyastuti, U (corresponding author), Univ Negeri Jakarta, Management, Jakarta, Indonesia.</t>
  </si>
  <si>
    <t>umiwidyastuti_feunj@unj.ac.id</t>
  </si>
  <si>
    <t>Soma, Mukti/LLM-5662-2024; Respati, Dwi Kismayanti/ABG-2978-2021; Dewi, Vera/AAD-4726-2021; Widyastuti, Umi/E-1011-2019</t>
  </si>
  <si>
    <t>Respati, Dwi Kismayanti/0000-0001-5374-6162; Widyastuti, Umi/0000-0002-5871-3578</t>
  </si>
  <si>
    <t>10.1080/23311975.2024.2322778</t>
  </si>
  <si>
    <t>LB3H2</t>
  </si>
  <si>
    <t>WOS:001184273000001</t>
  </si>
  <si>
    <t>Borjigin, W; He, S; Xu, HX</t>
  </si>
  <si>
    <t>Borjigin, Wuyunzhaola; He, Sarula; Xu, Huixian</t>
  </si>
  <si>
    <t>The role of digital financial inclusion in promoting common prosperity: Evidence from Inner Mongolia</t>
  </si>
  <si>
    <t>Digital financial inclusion; Common prosperity; Spatial effect; Heterogeneity</t>
  </si>
  <si>
    <t>RURAL PROSPERITY</t>
  </si>
  <si>
    <t>Inner Mongolia is a multiethnic border region in China that faces challenges in achieving common social prosperity due to regional developmental imbalances and cultural differences. Digital financial inclusion, which leverages digital technology to break down regional barriers, offers a feasible method of addressing these issues, but little-to-no research has been produced in this area. Hence, this study uses digital financial inclusion index data from 12 cities, spanning 2013-2022, to construct a regional common prosperity index. Then, spatial econometric methods are applied to systematically analyze the impact of digital financial inclusion and its subdimensions on common prosperity. The findings indicate that a significant positive impact is provided, along with positive spatial spillover effects. Heterogeneity analysis reveals that the impact varies across dimensions and regions, which allows for strategy recommendations for strengthening cross-regional integration and sharing digital financial services. Thus, practical insights and policy recommendations are provided.</t>
  </si>
  <si>
    <t>[Borjigin, Wuyunzhaola; He, Sarula; Xu, Huixian] Inner Mongolia Univ Finance &amp; Econ, Sch Finance, North Second Rd 185, Hohhot 010010, Inner Mongolia, Peoples R China</t>
  </si>
  <si>
    <t>Inner Mongolia University of Finance &amp; Economics</t>
  </si>
  <si>
    <t>Borjigin, W (corresponding author), Inner Mongolia Univ Finance &amp; Econ, Sch Finance, North Second Rd 185, Hohhot 010010, Inner Mongolia, Peoples R China.</t>
  </si>
  <si>
    <t>wyzl@imufe.edu.cn; sarula1216@126.com; huixianxu@126.com</t>
  </si>
  <si>
    <t>BORJIGIN, WUYUNZHAOLA/0000-0002-7969-2892</t>
  </si>
  <si>
    <t>National Natural Science Foundation of China [72463023]; Natural Science Foundation of the Inner Mongolia Autonomous Region [2022MS07003]; Key Laboratory for Economic Data Analysis and Mining of Inner Mongolia [SZ23006]; Inner Mongolia University of Finance and Economics [NCXWD2471]</t>
  </si>
  <si>
    <t>National Natural Science Foundation of China(National Natural Science Foundation of China (NSFC)); Natural Science Foundation of the Inner Mongolia Autonomous Region; Key Laboratory for Economic Data Analysis and Mining of Inner Mongolia; Inner Mongolia University of Finance and Economics</t>
  </si>
  <si>
    <t>The work was supported by the National Natural Science Foundation of China (72463023) , the Natural Science Foundation of the Inner Mongolia Autonomous Region (2022MS07003) , the Key Laboratory for Economic Data Analysis and Mining of Inner Mongolia (SZ23006) , and the Five Tasks research special topic of the Inner Mongolia University of Finance and Economics (NCXWD2471) .</t>
  </si>
  <si>
    <t>10.1016/j.irfa.2025.103996</t>
  </si>
  <si>
    <t>Y0O2E</t>
  </si>
  <si>
    <t>WOS:001429221600001</t>
  </si>
  <si>
    <t>Esomar, MJF; Sumiati; Wijayanti, R; Aisjah, S</t>
  </si>
  <si>
    <t>Esomar, Maria Josefa Fabiana; Sumiati; Wijayanti, Risna; Aisjah, Siti</t>
  </si>
  <si>
    <t>The Mediating Role of Financial Behavior on Financial Literacy/Inclusion, and Financial Well-being among SMEs Owners in Indonesian Marine and Fisheries Industry</t>
  </si>
  <si>
    <t>JOURNAL OF BEHAVIORAL SCIENCE</t>
  </si>
  <si>
    <t>Behavioral finance; digital economy; financial management; Behavioral finance; digital economy; financial management; small and medium enterprises; sustainable development</t>
  </si>
  <si>
    <t>Background/ problem: Rapid advancement of digital technology and financial innovation has created new opportunities for small and medium-sized enterprises (SMEs). However, limited financial literacy and the digital divide continue to hinder the financial well-being of business actors, especially in archipelagic regions on Indonesia. Objective/ purpose: This study examined the inter-relations between financial literacy, digital financial inclusion, financial behavior, and financial well-being of maritime SME owners in Eastern Indonesia according to the theories of social learning and planned behavior. Design and Methodology: A survey of n = 303 SME owners was conducted using a quantitative approach. All constructs demonstrated acceptable reliability (alpha &gt; .70). Data were analyzed using partial least squares structural equation modelling. Results: Financial literacy significantly influenced financial behavior (beta = .28, p &lt; .001) and financial well-being (beta = .49, p&lt; .001). Digital financial inclusion also significantly affected financial behavior (beta = .26, p&lt; .001) and financial well-being (beta = .16, p = .01). Financial behavior predicted financial well-being (beta = .13, p = .009) and mediated the effects of financial literacy (beta = .04, p = .04) and digital financial inclusion (beta = .03, p = .03). Conclusion and Implications: The findings confirm that financial literacy and digital financial inclusion promote SME owners' financial well-being through behavioral change. From a behavioral science perspective, interventions must expand literacy and digital tools while shaping attitudes, intentions, and habits. Policies integrating literacy, digital access, and community learning can foster resilience and financial well-being in coastal and island contexts.</t>
  </si>
  <si>
    <t>[Esomar, Maria Josefa Fabiana; Sumiati; Wijayanti, Risna; Aisjah, Siti] Brawijaya Univ, Fac Econ &amp; Business, Malang, Indonesia</t>
  </si>
  <si>
    <t>Brawijaya University</t>
  </si>
  <si>
    <t>Esomar, MJF (corresponding author), Brawijaya Univ, Fac Econ &amp; Business, Malang, Indonesia.</t>
  </si>
  <si>
    <t>maria07@student.ub.ac.id</t>
  </si>
  <si>
    <t>Aisjah, Siti/JLM-6449-2023</t>
  </si>
  <si>
    <t>BEHAVIORAL SCIENCE RESEARCH INST, SRINAKHARINWIROT UNIV</t>
  </si>
  <si>
    <t>BANGKOK</t>
  </si>
  <si>
    <t>114 SUKHUMVIT 23, WATTANA, BANGKOK, 10110, THAILAND</t>
  </si>
  <si>
    <t>1906-4675</t>
  </si>
  <si>
    <t>J BEHAV SCI</t>
  </si>
  <si>
    <t>J. Behav. Sci.</t>
  </si>
  <si>
    <t>10.69523/tjbs.2025.287119</t>
  </si>
  <si>
    <t>C3320</t>
  </si>
  <si>
    <t>WOS:001620417600002</t>
  </si>
  <si>
    <t>Asante, BO; Ankrah, DA; Agyei-Holmes, A; Prah, S</t>
  </si>
  <si>
    <t>Asante, Bright Owusu; Ankrah, Daniel Adu; Agyei-Holmes, Andrew; Prah, Stephen</t>
  </si>
  <si>
    <t>Gendered distributional impacts of ownership of mobile money account on farm input expenditures: A micro perspective from rural maize farmers in Ghana</t>
  </si>
  <si>
    <t>female-headed household; fertilizer; instrumental variable quantile regression; male-headed household; pesticide</t>
  </si>
  <si>
    <t>COOPERATIVES; ADOPTION; MEMBERSHIP; FERTILIZER; KENYA; WORK</t>
  </si>
  <si>
    <t>This article investigates the distributional impact of mobile money account ownership on farm input expenditures among maize farmers in southern Ghana. Using cross-sectional data from 1044 farm households, we employed an instrumental variable quantile regression to account for endogeneity and selection bias. We find that socioeconomic, spatial location, and institutional factors significantly influence male and female-headed household decisions to own mobile money accounts. The empirics show that male-headed households spend more on fertilizer and pesticide relative to female-headed households. Mobile money account ownership increases fertilizer expenditure in male-headed households more than female-headed households. Male-headed families with mobile money accounts spend 13.9% and 6.5% more on fertilizer at the 40th and 60th quantiles. High 80th quantile female-headed households spend 4.3% more on fertilizer. For male-headed households, farming experience and education positively influence mobile money account ownership on fertilizer expenditure, while off-farm activity at the 40th quantile positively influences female-headed households. Our results distill useful policy implications that call for concerted efforts targeted at digital financial inclusion with an eye to bridging differential gender gaps.</t>
  </si>
  <si>
    <t>[Asante, Bright Owusu] Kwame Nkrumah Univ Sci &amp; Technol KNUST, Dept Agr Econ Agribusiness &amp; Extens, Kumasi, Ghana; [Ankrah, Daniel Adu] Univ Ghana, Coll Basic &amp; Appl Sci CBAS, Sch Agr, Dept Agr Extens, POB LG 68, Accra, Ghana; [Agyei-Holmes, Andrew] Univ Ghana, Inst Stat Social &amp; Econ Res ISSER, Coll Humanities, Accra, Ghana; [Prah, Stephen] North Carolina A&amp;T State Univ, Dept Agribusiness Appl Econ &amp; Agrisci Educ, Greensboro, NC USA</t>
  </si>
  <si>
    <t>Kwame Nkrumah University Science &amp; Technology; University of Ghana; University of Ghana; University of North Carolina; North Carolina A&amp;T State University</t>
  </si>
  <si>
    <t>Ankrah, DA (corresponding author), Univ Ghana, Coll Basic &amp; Appl Sci CBAS, Sch Agr, Dept Agr Extens, POB LG 68, Accra, Ghana.</t>
  </si>
  <si>
    <t>dankrah@ug.edu.gh</t>
  </si>
  <si>
    <t>Ankrah, Daniel/ABC-9929-2021; Prah, Stephen/IAR-7260-2023; Agyei-Holmes, Andrew/JCD-5457-2023; Asante, Bright/Y-8510-2019</t>
  </si>
  <si>
    <t>Ankrah, Daniel/0000-0001-9360-0854; Prah, Stephen/0000-0002-0482-087X;</t>
  </si>
  <si>
    <t>We acknowledge the assistance offered by the district directors of agriculture in the districts where the data were collected. Additionally, we thank all smallholder maize farmers who provided valuable information for our article.</t>
  </si>
  <si>
    <t>10.1111/rode.13155</t>
  </si>
  <si>
    <t>1BG6F</t>
  </si>
  <si>
    <t>WOS:001303951700001</t>
  </si>
  <si>
    <t>Bajakic, I; Branica, V</t>
  </si>
  <si>
    <t>Bajakic, Ivana; Branica, Vanja</t>
  </si>
  <si>
    <t>Reshaping regulatory governance: leveraging Fintech to enhance financial inclusion for persons living with a mental health condition</t>
  </si>
  <si>
    <t>Fintech; financial inclusion; social policies; mental health; financial regulatory governance; Development Policy; Sustainable Development; Regulatory Policy; Social Work and Social Policy; Banking &amp; Finance Law; Financial Services Industry</t>
  </si>
  <si>
    <t>Mental health has gained significant attention, especially post-COVID-19, as many face emotional or psychosocial difficulties. Individuals struggling with mental health issues are more likely to encounter challenges in managing finances. Fortunately, technological development in the financial sector, namely Fintech, has facilitated the transformation of modern finance. Research indicates that the Fintech sector significantly enhances financial inclusion in EU countries through regulatory innovation. This paper uses a case study approach focused on Croatia, where the financial needs of persons living with a mental health condition are often overlooked in national health and policy frameworks. By drawing on the experiences of innovation leaders and leveraging the potential of regulatory sandboxes, it proposes an alternative route for catching up with advanced EU Member States. The paper argues for the development of intersectoral networks among stakeholders - financial authorities, private sector innovators, social and health care providers, and NGOs - through an innovation facilitator model to enhance regulatory governance and promote financial inclusion. The study offers specific policy recommendations for improving financial inclusion for persons living with a mental health condition in Croatia, advocating for supportive regulatory frameworks and participatory actions. Ultimately, it calls for an economic regulatory framework that recognizes vulnerable groups and fosters a more inclusive approach.</t>
  </si>
  <si>
    <t>[Bajakic, Ivana] Law Univ Zagreb, Dept Econ Sci, Zagreb, Croatia; [Branica, Vanja] Law Univ Zagreb, Dept Social Work, Zagreb, Croatia</t>
  </si>
  <si>
    <t>Bajakic, I (corresponding author), Law Univ Zagreb, Dept Econ Sci, Zagreb, Croatia.</t>
  </si>
  <si>
    <t>Bajakic, Ivana/0000-0002-4109-0597</t>
  </si>
  <si>
    <t>10.1080/23311886.2025.2474193</t>
  </si>
  <si>
    <t>2CD4T</t>
  </si>
  <si>
    <t>WOS:001479140300001</t>
  </si>
  <si>
    <t>Meng, KX; Xiao, JJ</t>
  </si>
  <si>
    <t>Meng, Kexin; Xiao, Jing Jian</t>
  </si>
  <si>
    <t>Digital finance and happiness: evidence from China</t>
  </si>
  <si>
    <t>Debt burden; digital finance; financial capability; happiness; human development; overspending</t>
  </si>
  <si>
    <t>MOBILE MONEY; INTERNET USE; USER ACCEPTANCE; HOUSEHOLD DEBT; SOCIAL SUPPORT; PERCEIVED EASE; LIFE EVENTS; TECHNOLOGY; WELL; CAPABILITY</t>
  </si>
  <si>
    <t>Digital finance is an innovative business that applies information technology in the financial industry. Although empirical research on digital finance for development has grown enormously during the last decade, studies about the relationship between digital finance and human development remain limited. To fill this gap, this study uses data from the China Household Financial Survey and Peking University Digital Financial Inclusion Index to examine the association between digital finance and happiness. Results show that the association between digital finance and happiness is negative. Mechanism analyzes suggest that digital finance is negatively associated with happiness through the increasing debt burden and overspending behavior. Further heterogeneous analyzes find that age, debt level, and trust degree can be moderators in the relationship between digital finance and happiness. The results have both academic and practical implications for improving digital finance business and human development.</t>
  </si>
  <si>
    <t>[Meng, Kexin] Renmin Univ China, Business Sch, 59 Zhongguancun St, Beijing 100872, Peoples R China; [Xiao, Jing Jian] Univ Rhode Isl, Dept Human Dev &amp; Family Sci, Kingston, RI 02881 USA</t>
  </si>
  <si>
    <t>Renmin University of China; University of Rhode Island</t>
  </si>
  <si>
    <t>Meng, KX (corresponding author), Renmin Univ China, Business Sch, 59 Zhongguancun St, Beijing 100872, Peoples R China.</t>
  </si>
  <si>
    <t>kexin_meng@uri.edu</t>
  </si>
  <si>
    <t>Meng, Kexin/AEU-0343-2022; Xiao, Jing Jian/R-1415-2016</t>
  </si>
  <si>
    <t>China Scholarship Council</t>
  </si>
  <si>
    <t>China Scholarship Council(China Scholarship CouncilInstituto Politecnico Nacional - Mexico)</t>
  </si>
  <si>
    <t>Kexin Meng received support from China Scholarship Council Ph.D. Joint Training Scholarship when she conducted this research during her visit to the University of Rhode Island in 2021-2022.</t>
  </si>
  <si>
    <t>10.1080/02681102.2022.2097622</t>
  </si>
  <si>
    <t>9S4GG</t>
  </si>
  <si>
    <t>WOS:000827078100001</t>
  </si>
  <si>
    <t>Morsy, H</t>
  </si>
  <si>
    <t>Morsy, Hanan</t>
  </si>
  <si>
    <t>Access to finance - Mind the gender gap</t>
  </si>
  <si>
    <t>Gender gap; Financial inclusion; Access to finance</t>
  </si>
  <si>
    <t>BANKING SERVICES; CONSTRAINTS</t>
  </si>
  <si>
    <t>Studies on financial inclusion have focused on the determinants of access to finance but only a few s attempted to examine the impediments that women face trying to access finance. This paper contributes to this literature by understanding the underlying factors of gender gaps in accessing finance using the World Bank Global Findex database for 141 countries over time. We also construct a database combining bank-level data with other variables to examine the association between banking system ownership structure and concentration, the regulatory framework and other socio-economic variables reflecting women's participation in the labour market and gender disparities in education, income and access to property across countries. Our results suggest that women are more likely to be excluded from the financial sector in countries where: (i) foreign-owned banks have smaller presence; (ii) state-owned banks have a bigger share in the banking system; and (iii) credit information is less available through public and private credit registries, and (iv) gaps between women and men in educational attainment are large. The results are robust to different specifications and alternative measures of financial inclusion. (C) 2020 Board of Trustees of the University of Illinois. Published by Elsevier Inc. All rights reserved.</t>
  </si>
  <si>
    <t>[Morsy, Hanan] African Dev Bank, Macroecon Policy &amp; Res, 6 Ave Joseph Anoma,01 BP 1387, Abidjan 01, Cote Ivoire</t>
  </si>
  <si>
    <t>Morsy, H (corresponding author), African Dev Bank, Macroecon Policy &amp; Res, 6 Ave Joseph Anoma,01 BP 1387, Abidjan 01, Cote Ivoire.</t>
  </si>
  <si>
    <t>h.morsy@afdb.org</t>
  </si>
  <si>
    <t>Morsy, Hanan/0000-0001-7224-810X</t>
  </si>
  <si>
    <t>10.1016/j.qref.2020.02.005</t>
  </si>
  <si>
    <t>OX1LS</t>
  </si>
  <si>
    <t>WOS:000593335800002</t>
  </si>
  <si>
    <t>Saeed, MM; Donkoh, E</t>
  </si>
  <si>
    <t>Saeed, Musah Mohammed; Donkoh, Evans</t>
  </si>
  <si>
    <t>Mobile banking services and financial inclusion among customers of commercial banks: Evidence from an emerging economy</t>
  </si>
  <si>
    <t>BUSINESS STRATEGY AND DEVELOPMENT</t>
  </si>
  <si>
    <t>financial inclusion; Ghana; mobile banking account management; mobile banking payment; mobile banking services; mobile banking transfer; the diffusion of innovations theory</t>
  </si>
  <si>
    <t>The study is set against the backdrop of rapid technological advancements in the banking sector, specifically in the adoption of mobile banking. Over the last three decades, the banking industry in Ghana, like many others in emerging economies, has transitioned from traditional, branch-based banking services to more automated and digital solutions. This transformation has been largely driven by increasing internet penetration, mobile phone adoption, and the need to reach underserved populations. Despite these advances, a significant proportion of the population remains financially excluded, with limited access to formal financial services. Thus, mobile banking offers an opportunity to enhance financial inclusion, particularly for marginalised communities in Ghana. The study aims to investigate the factors influencing mobile banking services and assess how they impact financial inclusion among customers of commercial banks in an emerging economy. The study through the use of a structured questionnaire gathered 65 primary data from managers and supervisors within 13 commercial banks in Ghana. The study employed a purposive sampling technique to select the 13 commercial banks whilst using convenience sampling to gather data from managers and supervisors within these banks. The results show that mobile banking transfer has a significant negative relationship with financial inclusion, but mobile account management has a significant positive relationship with financial inclusion. Furthermore, the results depict that Mobile banking payment and financial inclusion have no significant relationship. Policy development should focus on increasing financial inclusion among unbanked individuals, enabling access to banking services. Commercial banks should innovate mobile money connections and expand motivation for technical financial inclusion to provide value-added services and improve access to financial services, ultimately promoting financial inclusion. The study shed light on the impact of mobile banking transfer, mobile banking payment, and mobile account management on financial inclusion in Ghana. The study further provides implications for commercial banks and policymakers in sub-Saharan Africa.</t>
  </si>
  <si>
    <t>[Saeed, Musah Mohammed] SRM Univ AP, Paari Sch Business PSB, Amaravati, Andhra Prades, India; [Donkoh, Evans] Kwame Nkrumah Univ Sci &amp; Technol Kumasi KNUST, KNUST Sch Business KSB, Kumasi, Ghana</t>
  </si>
  <si>
    <t>SRM University-AP</t>
  </si>
  <si>
    <t>Saeed, MM (corresponding author), SRM Univ AP, Paari Sch Business PSB, Amaravati, Andhra Prades, India.</t>
  </si>
  <si>
    <t>musahmohammed_saeed@srmap.edu.in</t>
  </si>
  <si>
    <t>Donkoh, Evans/0009-0005-3119-7541</t>
  </si>
  <si>
    <t>2572-3170</t>
  </si>
  <si>
    <t>BUS STRATEGY DEV</t>
  </si>
  <si>
    <t>Bus. Strategy Dev.</t>
  </si>
  <si>
    <t>NOV 22</t>
  </si>
  <si>
    <t>e70035</t>
  </si>
  <si>
    <t>10.1002/bsd2.70035</t>
  </si>
  <si>
    <t>Business; Environmental Studies</t>
  </si>
  <si>
    <t>O3C0R</t>
  </si>
  <si>
    <t>WOS:001369939500001</t>
  </si>
  <si>
    <t>Alassaf, D; Daim, T; Dabic, M; Alzahrani, S</t>
  </si>
  <si>
    <t>Alassaf, Deemah; Daim, Tugrul; Dabic, Marina; Alzahrani, Saeed</t>
  </si>
  <si>
    <t>Fintech and Entrepreneurship: An Assessment Model to Evaluate Policy Instruments for Fintech Adoption by Small and Medium Enterprises</t>
  </si>
  <si>
    <t>Instruments; Technological innovation; Entrepreneurship; Finance; Regulators; Government; Faces; Decision making in technology management; entrepreneurship; Fintech; small and medium enterprises (SMEs); technology assessment; technology entrepreneurship</t>
  </si>
  <si>
    <t>TECHNOLOGY; FIRMS; SIZE</t>
  </si>
  <si>
    <t>Small and medium enterprises (SMEs) are the engines that drive economic development. However, they face inferior conditions and challenges when it comes to their access to broad financing channels. Hence, financial technologies (Fintech) solutions offer promising potential for improving SMEs' access to finance. While researchers and practitioners have been promoting Fintech as a potential financial safeguard for SMEs' needs, evidence shows an inadequate adoption rate of SMEs to such solutions and a lack of a comprehensive view of the Fintech adoption. Therefore, this research aims to provide a comprehensive examination of Fintech policy instruments and analyze their effectiveness in increasing the adoption of Fintech by SMEs through evaluating the essential policy targets impacting the adoption of Fintech and assessing their weights and priorities. This research is built upon a comprehensive literature review and experts' insights. The hierarchical decision modeling methodology is used to identify the relative importance of those factors proposing a policy evaluation tool to assess the effectiveness of policy instruments on increasing Fintech adoption. This research presents the identification of 17 distinct policy targets that fall within four main perspectives along with their relative weights. To test the practicality and value of the research, a case study of the policy instrument effectiveness, the Saudi Arabian regulatory sandbox, was conducted to illustrate how the model could be used to identify the policy instrument's actual performance in terms of influencing SMEs adoption of Fintech, identify the instrument's strengths and weaknesses, and offer recommendations on how to improve to increase the policy instrument's effectiveness in increasing the adoption of Fintech by SMEs.</t>
  </si>
  <si>
    <t>[Alassaf, Deemah] King Saud Univ, Dept Management Informat Syst, Riyadh 12372, Saudi Arabia; [Daim, Tugrul] Portland State Univ, Portland, OR 97201 USA; [Daim, Tugrul] Chaoyang Univ Technol, Taichung 41281, Taiwan; [Daim, Tugrul] Yildiz Tech Univ, TR-34349 Istanbul, Turkiye; [Dabic, Marina] Univ Zagreb, Fac Econ &amp; Business, Zagreb, Croatia; [Dabic, Marina] Univ Dubrovnik, Dubrovnik 20000, Croatia; [Dabic, Marina] Univ Ljubljana, Sch Econ &amp; Business, Ljubljana 1000, Slovenia; [Alzahrani, Saeed] King Saud Univ, Dept Management Informat Syst, Riyadh 12372, Saudi Arabia</t>
  </si>
  <si>
    <t>King Saud University; Portland State University; Chaoyang University of Technology; Yildiz Technical University; University of Zagreb; University of Dubrovnik; University of Ljubljana; King Saud University</t>
  </si>
  <si>
    <t>Daim, T (corresponding author), Portland State Univ, Portland, OR 97201 USA.;Daim, T (corresponding author), Chaoyang Univ Technol, Taichung 41281, Taiwan.;Daim, T (corresponding author), Yildiz Tech Univ, TR-34349 Istanbul, Turkiye.</t>
  </si>
  <si>
    <t>dassaf.csu@gmail.com; tugrul.u.daim@pdx.edu; mdabic@efzg.hr; salhariri@ksu.edu.sa</t>
  </si>
  <si>
    <t>; Daim, Tugrul/JFJ-5740-2023; Dabic, Marina/E-6728-2014</t>
  </si>
  <si>
    <t>Alzahrani, Saeed/0000-0001-9003-1094; Daim, Tugrul/0000-0003-1432-8958; Dabic, Marina/0000-0001-8374-9719</t>
  </si>
  <si>
    <t>Saudi Arabian Cultural Mission (SACM); Researchers Supporting Project, King Saud University, Riyadh, Saudi Arabia [RSPD2024R867]</t>
  </si>
  <si>
    <t>Saudi Arabian Cultural Mission (SACM)(Saudi Arabian Cultural Mission); Researchers Supporting Project, King Saud University, Riyadh, Saudi Arabia</t>
  </si>
  <si>
    <t>This work was supported by Saudi Arabian Cultural Mission (SACM). The work of Saeed Alzahrani was supported by the Researchers Supporting Project, King Saud University, Riyadh, Saudi Arabia, under Grant RSPD2024R867.</t>
  </si>
  <si>
    <t>10.1109/TEM.2024.3435919</t>
  </si>
  <si>
    <t>D2B3E</t>
  </si>
  <si>
    <t>WOS:001294284200002</t>
  </si>
  <si>
    <t>Wodaje, MN; Olaleye, SA</t>
  </si>
  <si>
    <t>Wodaje, Mulugeta Negash; Olaleye, Sunday Adewale</t>
  </si>
  <si>
    <t>Unlocking Financial Inclusion: Factors Shaping the Future of Agent Banking in Ethiopia</t>
  </si>
  <si>
    <t>Agent banking; Adoption; influential factors; Ethiopia; Financial inclusion; Branchless Banking</t>
  </si>
  <si>
    <t>PERCEIVED USEFULNESS; ACCEPTANCE; ADOPTION; EASE</t>
  </si>
  <si>
    <t>This research aims to understand the factors influencing the adoption of agent banking in Ethiopia, specifically focusing on the Commercial Bank of Ethiopia branches in Gondar City. The study collected primary data through a questionnaire survey with 395 customers selected through purposive sampling. Descriptive and inferential statistical analyses, including linear regression, were used to analyze the data. The study found that perceived usefulness, risk, trust, social influence, and subjective norms are significant determinants in adopting agent banking. However, the study has limitations, as it only focuses on one city and employs a cross-sectional design. The study made a theoretical contribution and suggested that enhancing the functionality of agent banking in terms of perceived usefulness, risk, trust, social influence, and subjective norms can increase adoption rates. The findings have implications for policymakers, financial institutions, and stakeholders working towards financial inclusion.</t>
  </si>
  <si>
    <t>[Wodaje, Mulugeta Negash] Univ Gondar, Dept Mkt Management, Gondar, Ethiopia; [Olaleye, Sunday Adewale] Jamk Univ Appl Sci, Business Sch, Jyvaskyla, Finland; [Olaleye, Sunday Adewale] Univ Gondar, Mkt Management Dept, Gondar, Ethiopia</t>
  </si>
  <si>
    <t>University of Gondar; Jyvaskyla University of Applied Sciences; University of Gondar</t>
  </si>
  <si>
    <t>Wodaje, MN (corresponding author), Univ Gondar, Dept Mkt Management, Gondar, Ethiopia.</t>
  </si>
  <si>
    <t>mulugetanw@gmail.com; Sunday.olaleye@jamk.fi</t>
  </si>
  <si>
    <t>Olaleye, Sunday/AAH-2285-2019</t>
  </si>
  <si>
    <t>7ZE3N</t>
  </si>
  <si>
    <t>WOS:001583135200010</t>
  </si>
  <si>
    <t>Medhi, I; Gautama, SNN; Toyama, K</t>
  </si>
  <si>
    <t>Greenberg, S; Hudson, SE; Hinkley, K; RingelMorris, M; Olsen, DR</t>
  </si>
  <si>
    <t>Medhi, Indrani; Gautama, S. N. Nagasena; Toyama, Kentaro</t>
  </si>
  <si>
    <t>A Comparison of Mobile Money-Transfer UIs for Non-Literate and Semi-Literate Users</t>
  </si>
  <si>
    <t>CHI2009: PROCEEDINGS OF THE 27TH ANNUAL CHI CONFERENCE ON HUMAN FACTORS IN COMPUTING SYSTEMS, VOLS 1-4</t>
  </si>
  <si>
    <t>27th Annual CHI Conference on Human Factors in Computing Systems</t>
  </si>
  <si>
    <t>APR 04-09, 2009</t>
  </si>
  <si>
    <t>Boston, MA</t>
  </si>
  <si>
    <t>ACM SIGCHI,Autodesk,Google,Microsoft,NSF,eLearn Magazine,interations,Yahoo</t>
  </si>
  <si>
    <t>Mobile banking; mobile interfaces; illiteracy</t>
  </si>
  <si>
    <t>Due to the increasing penetration of mobile phones even into poor communities, mobile payment schemes could bring formal financial services to the unbanked. However, because poverty for the most part also correlates with low levels of formal education, there are questions as to whether electronic access to complex financial services is enough to bridge the gap, and if so, what sort of UI is best. In this paper, we present two studies that provide preliminary answers to these questions. We first investigated the usability of existing mobile payment services, through an ethnographic study involving 90 subjects in India, Kenya, the Philippines and South Africa. This was followed by a usability study with another 58 subjects in India, in which we compared non-literate and semi-literate subjects on three systems: text-based, spoken dialog (without text), and rich multimedia (also without text). Results confirm that non-text designs are strongly preferred over text-based designs and that while task-completion rates are better for the rich multimedia UI, speed is faster and less assistance is required on the spoken-dialog system.</t>
  </si>
  <si>
    <t>[Medhi, Indrani; Gautama, S. N. Nagasena; Toyama, Kentaro] Microsoft Res India, Bangalore 560080, Karnataka, India</t>
  </si>
  <si>
    <t>Microsoft; Microsoft India</t>
  </si>
  <si>
    <t>indranim@microsoft.com; gunit_mack@yahoo.co.in; kentoy@microsoft.com</t>
  </si>
  <si>
    <t>978-1-60558-246-7</t>
  </si>
  <si>
    <t>Computer Science, Artificial Intelligence; Computer Science, Information Systems; Computer Science, Theory &amp; Methods; Information Science &amp; Library Science; Management; Social Issues</t>
  </si>
  <si>
    <t>Computer Science; Information Science &amp; Library Science; Business &amp; Economics; Social Issues</t>
  </si>
  <si>
    <t>BJG76</t>
  </si>
  <si>
    <t>WOS:000265679301070</t>
  </si>
  <si>
    <t>Khobragade, A; Balachandran, R; Gupta, B; Saroy, R; Awasthy, S; Singh, G; Misra, R; Dhal, S</t>
  </si>
  <si>
    <t>Khobragade, Ashish; Balachandran, Rakhe; Gupta, Barkha; Saroy, Rajas; Awasthy, Sakshi; Singh, Gunveer; Misra, Rekha; Dhal, Sarat</t>
  </si>
  <si>
    <t>Mobile banking adoption for financial inclusion: insights from rural West Bengal</t>
  </si>
  <si>
    <t>Digital banking; Mobile banking; Financial inclusion; Financial literacy; Digital financial literacy; Economic development; G20; O30; O33; O10</t>
  </si>
  <si>
    <t>TECHNOLOGY; ACCEPTANCE; ATTITUDES</t>
  </si>
  <si>
    <t>Mobile banking is promoted as a powerful channel for reaching out to the masses for their banking needs, yet its adoption remains slow. Existing studies identify perceived safety, perceived ease of use, perceived usefulness, financial literacy, and demographic characteristics as key determinants of mobile banking adoption. However, given the low financial literacy of rural adults, handholding, defined as the provision of support to adopt mobile banking, could be an important component of 'facilitating conditions' as recognised under the UTAUT framework. To empirically examine this relationship, partial least square structural equation modelling (PLS-SEM) was employed using data from a primary survey conducted in eight villages in West Bengal, India. After controlling for all the variables traditionally identified, the findings confirm the role of handholding, both institutional and informal, in catalysing the transition to mobile banking in rural areas. Focussing on tech-savvy youngsters during financial literacy programmes may help in increasing the migration to mobile banking through the informal handholding channel.</t>
  </si>
  <si>
    <t>[Khobragade, Ashish; Balachandran, Rakhe; Saroy, Rajas; Awasthy, Sakshi; Misra, Rekha; Dhal, Sarat] Reserve Bank India, Dept Econ &amp; Policy Res, Mumbai, India; [Singh, Gunveer] Reserve Bank India, Dept Payment &amp; Settlement Syst, Mumbai, India; [Gupta, Barkha] Reserve Bank India, Human Resource Management Dept, Kolkata, India</t>
  </si>
  <si>
    <t>Reserve Bank of India; Reserve Bank of India; Reserve Bank of India</t>
  </si>
  <si>
    <t>Khobragade, A (corresponding author), Reserve Bank India, Dept Econ &amp; Policy Res, Mumbai, India.</t>
  </si>
  <si>
    <t>ashishkhobragade@rbi.org.in; rbalachandran@rbi.org.in; barkhagupta@rbi.org.in; rajassaroy@rbi.org.in; sakshiawasthy@rbi.org.in; gunveersingh@rbi.org.in; rekhamisra@rbi.org.in; scdhal@rbi.org.in</t>
  </si>
  <si>
    <t>Dhal, Sarat/0000-0002-7183-5449</t>
  </si>
  <si>
    <t>10.1007/s40847-024-00376-y</t>
  </si>
  <si>
    <t>5LU7Z</t>
  </si>
  <si>
    <t>WOS:001306540200001</t>
  </si>
  <si>
    <t>Han, HY; Gu, XM</t>
  </si>
  <si>
    <t>Han, Huiyuan; Gu, Xiaomin</t>
  </si>
  <si>
    <t>Linkage Between Inclusive Digital Finance and High-Tech Enterprise Innovation Performance: Role of Debt and Equity Financing</t>
  </si>
  <si>
    <t>inclusive digital finance; external financing; innovation performance; digital economy; sustainability; information communication technology; equity financing</t>
  </si>
  <si>
    <t>ACCESS; BANKS</t>
  </si>
  <si>
    <t>This study investigates the relationship between digital financial inclusion, external financing, and the innovation performance of high-tech enterprises in China. The choice of corporate financing methods is an important part of organizational behavioral psychology, and different financing models will have a certain effect on organizational performance, especially in the digital economy environment. Therefore, based on resource dependence theory and financing constraint theory, the present study utilizes the panel data collected from the China Stock Market &amp; Accounting Research (CSMAR) database from 2011 to 2020 of 112 companies in the Yangtze River Delta region and the The Peking University Digital Financial Inclusion Index of China (PKU-DFIIC) released by the Peking University Digital Finance Research Center and Ant Financial Group. The results show that the Digital Financial Inclusion Index (DFIIC) has a significant positive correlation with the innovation performance of high-tech enterprises. The higher the level of debt financing, the stronger the role of digital financial inclusion in promoting innovation performance. Investigating the DFIIC in terms of coverage breadth and usage depth, we find that usage depth does not significantly encourage innovation performance. The effect of the interaction between coverage breadth and external financing is consistent with the results for the DFIIC. The study suggests that equity financing promotes the usage depth of the DFIIC in state-owned enterprises. In contrast, debt financing promotes the coverage breadth of non-state-owned enterprises. Finally, we propose relevant policy recommendations based on the research results. It includes in-depth popularization of inclusive finance in the daily operations of enterprises at the technical level, refinement of external financing policy incentives for enterprises based on the characteristics of ownership, and strengthening the research of technologies such as big data, artificial intelligence (AI), and cloud computing. The paper presents a range of theoretical and practical implications for practitioners and academics relevant to high-tech enterprises.</t>
  </si>
  <si>
    <t>[Han, Huiyuan; Gu, Xiaomin] Donghua Univ, Glorious Sun Sch Business Management, Shanghai, Peoples R China; [Gu, Xiaomin] Shanghai Lixin Univ Accounting &amp; Finance, Financial Technol Coll, Shanghai, Peoples R China</t>
  </si>
  <si>
    <t>Donghua University; Shanghai Lixin University of Accounting &amp; Finance</t>
  </si>
  <si>
    <t>Gu, XM (corresponding author), Donghua Univ, Glorious Sun Sch Business Management, Shanghai, Peoples R China.;Gu, XM (corresponding author), Shanghai Lixin Univ Accounting &amp; Finance, Financial Technol Coll, Shanghai, Peoples R China.</t>
  </si>
  <si>
    <t>guxiaomin@lixin.edu.cn</t>
  </si>
  <si>
    <t>National Social Science Foundation Youth Project Research on Tax Incentive Policies Supported by Inclusive Enterprise Innovation [17CGL045]; National Social Science Foundation General Project Research on the Impact Path of Equity Incentives on Manufacturing Innovation-driven Upgrade under the Trend of Economic Financialization [19BGL069]; Shanghai Plateau Subject Management Science and Engineering Construction Project (Phase 2) [GYXK1201]</t>
  </si>
  <si>
    <t>National Social Science Foundation Youth Project Research on Tax Incentive Policies Supported by Inclusive Enterprise Innovation; National Social Science Foundation General Project Research on the Impact Path of Equity Incentives on Manufacturing Innovation-driven Upgrade under the Trend of Economic Financialization; Shanghai Plateau Subject Management Science and Engineering Construction Project (Phase 2)</t>
  </si>
  <si>
    <t>National Social Science Foundation Youth Project Research on Tax Incentive Policies Supported by Inclusive Enterprise Innovation (17CGL045). National Social Science Foundation General Project Research on the Impact Path of Equity Incentives on Manufacturing Innovation-driven Upgrade under the Trend of Economic Financialization (19BGL069). Shanghai Plateau Subject Management Science and Engineering Construction Project (Phase 2) (GYXK1201).</t>
  </si>
  <si>
    <t>DEC 28</t>
  </si>
  <si>
    <t>10.3389/fpsyg.2021.814408</t>
  </si>
  <si>
    <t>YL2LA</t>
  </si>
  <si>
    <t>WOS:000745727200001</t>
  </si>
  <si>
    <t>Wale, LE; Makina, D</t>
  </si>
  <si>
    <t>Wale, Letenah Ejigu; Makina, Daniel</t>
  </si>
  <si>
    <t>Account ownership and use of financial services among individuals Evidence from selected Sub-Saharan African economies</t>
  </si>
  <si>
    <t>Sub-Saharan Africa; Financial inclusion; Account ownership; Individual attributes</t>
  </si>
  <si>
    <t>Purpose - The purpose of this paper is to understand the effect of individual characteristics (such as sex, age, education and income) on the likelihood of account ownership and use in selected Sub- Saharan African (SSA) economies. Account use is operationalized into two constructs namely the use of account to save and the frequency of account use. Design/methodology/approach - Data from 18,000 individuals from 18 SSA economies are used for the analysis. These data are sourced from the World Bank's Global Findex database. Simple probit and selection models are employed as econometric tools. Findings - Account ownership and use is found to be higher among males, middle aged, high income and educated individuals. The marginal effect of income and education is most pronounced suggesting more policy attention is required in respect of the two factors. Practical implications - Due to causality issues between financial inclusion and income, addressing the plight of the poor in financial inclusion projects will be a continuing challenge for policy makers. Originality/value - It supplements the dearth of econometric studies conducted on the topic. Furthermore, regional specific factors affect the generality of results which calls for such type of studies.</t>
  </si>
  <si>
    <t>[Wale, Letenah Ejigu; Makina, Daniel] Univ South Africa, Dept Finance Risk Management &amp; Banking, Pretoria, South Africa</t>
  </si>
  <si>
    <t>Wale, LE (corresponding author), Univ South Africa, Dept Finance Risk Management &amp; Banking, Pretoria, South Africa.</t>
  </si>
  <si>
    <t>etalem2000@yahoo.com</t>
  </si>
  <si>
    <t>Makina, Daniel/P-2903-2014</t>
  </si>
  <si>
    <t>10.1108/AJEMS-03-2017-146</t>
  </si>
  <si>
    <t>EO2VG</t>
  </si>
  <si>
    <t>WOS:000396553500003</t>
  </si>
  <si>
    <t>Zulfiqar, G</t>
  </si>
  <si>
    <t>Zulfiqar, Ghazal</t>
  </si>
  <si>
    <t>Financializing the poor: dead capital', women's gold and microfinance in Pakistan</t>
  </si>
  <si>
    <t>ECONOMY AND SOCIETY</t>
  </si>
  <si>
    <t>microcredit; financialization; financial inclusion; patriarchy; agency; Pakistan</t>
  </si>
  <si>
    <t>GENDER; AGENCY</t>
  </si>
  <si>
    <t>This study examines how Pakistani microfinance banks' (MFBs) collateralized microcredit arrangements take advantage of the cultural centrality of gold in women's lives. In so doing, it contributes to the wider debate on financial inclusion and financialization. The product, processes and narratives examined are a local manifestation of global finance's emphasis on engaging commercially viable means to bring previously unbanked' populations within its fold. Based on fieldwork in Lahore and Karachi, two of Pakistan's largest cities, this paper highlights how the financial inclusion' agenda of microfinance has effectively financialized the lives of poor Pakistani women. Our analysis finds that Pakistani MFBs draw on patriarchy's hierarchical norms and the precariousness of low-income living in ways which bolster their own financial positions. This is supported by the country's central bank, which has granted collateralized microfinance products a risk-free' rating, easing the path to the financialization of jewellery which in a South Asian context is directly associated with women's social standing and economic security. The outcome is a deepening of deep-seated vulnerabilities.</t>
  </si>
  <si>
    <t>[Zulfiqar, Ghazal] Lahore Univ Management Sci, Suleman Dawood Sch Business, DHA, Room 327,3rd Floor, Lahore Cantt 54792, Pakistan</t>
  </si>
  <si>
    <t>Lahore University of Management Sciences</t>
  </si>
  <si>
    <t>Zulfiqar, G (corresponding author), Lahore Univ Management Sci, Suleman Dawood Sch Business, DHA, Room 327,3rd Floor, Lahore Cantt 54792, Pakistan.</t>
  </si>
  <si>
    <t>ghazal.zulfiqar@lums.edu.pk</t>
  </si>
  <si>
    <t>0308-5147</t>
  </si>
  <si>
    <t>1469-5766</t>
  </si>
  <si>
    <t>ECON SOC</t>
  </si>
  <si>
    <t>Econ. Soc.</t>
  </si>
  <si>
    <t>10.1080/03085147.2017.1412643</t>
  </si>
  <si>
    <t>Economics; Sociology</t>
  </si>
  <si>
    <t>Business &amp; Economics; Sociology</t>
  </si>
  <si>
    <t>FU9HJ</t>
  </si>
  <si>
    <t>WOS:000424166300008</t>
  </si>
  <si>
    <t>Mashoene, M; Tweneboah, G; Schaling, E</t>
  </si>
  <si>
    <t>Mashoene, Motlanalo; Tweneboah, George; Schaling, Eric</t>
  </si>
  <si>
    <t>FinTech and financial inclusion in emerging and developing economies: a system GMM model</t>
  </si>
  <si>
    <t>Financial inclusion; FinTech; emerging and developing economies; system generalized method of moments; Economics; Finance; Business; Management and Accounting; C33; G00; G21; O31; O53; O54; O55</t>
  </si>
  <si>
    <t>USER ACCEPTANCE; PANEL-DATA; TECHNOLOGY</t>
  </si>
  <si>
    <t>This study explores the role of financial technology (FinTech) in promoting financial inclusion across 28 emerging and developing economies (EMDEs) from 2011 to 2021. While financial inclusion has been widely studied, limited research focuses on the concurrent impact of FinTech on financial access in multiple EMDEs. Using Principal Component Analysis (PCA), a new financial inclusion index was constructed, incorporating two dimensions: access and usage. A System Generalized Method of Moments (GMM) model was applied to examine the relationship between FinTech and financial inclusion, while the Ordinary Least Squares (OLS) technique was used to assess factors influencing barriers to inclusion. The results reveal that a 1% increase in FinTech leads to a 0.1772 unit rise in the financial inclusion index. Additionally, education, GNI per capita, and broad money to GDP were found to affect barriers to financial inclusion. This study underscores the importance of FinTech in achieving the United Nations' Sustainable Development Goals (SDGs) and G20 principles for digital financial inclusion, recommending investment in digital infrastructure and stronger regulatory frameworks for FinTech development.</t>
  </si>
  <si>
    <t>[Mashoene, Motlanalo] South African Reserve Bank, Financial Markets Dept, Johannesburg, South Africa; [Tweneboah, George; Schaling, Eric] Univ Witwatersrand, Grad Sch Business Adm, Johannesburg, South Africa; [Tweneboah, George] Univ Cape Coast, Sch Business Adm, Cape Coast, Ghana</t>
  </si>
  <si>
    <t>University of Witwatersrand; University of Cape Coast</t>
  </si>
  <si>
    <t>Mashoene, M (corresponding author), South African Reserve Bank, Financial Markets Dept, Johannesburg, South Africa.</t>
  </si>
  <si>
    <t>358743@students.wits.ac.za</t>
  </si>
  <si>
    <t>; Tweneboah, George/AAN-8615-2020</t>
  </si>
  <si>
    <t>Schaling, Eric/0000-0001-7699-2913; Mashoene, Motlanalo Kgodisho/0009-0001-4228-9004; Tweneboah, George/0000-0001-7992-7340</t>
  </si>
  <si>
    <t>10.1080/23311886.2025.2491701</t>
  </si>
  <si>
    <t>1KJ3S</t>
  </si>
  <si>
    <t>WOS:001467095900001</t>
  </si>
  <si>
    <t>Figart, DM</t>
  </si>
  <si>
    <t>Figart, Deborah M.</t>
  </si>
  <si>
    <t>Institutionalist Policies for Financial Inclusion</t>
  </si>
  <si>
    <t>capability approach; community development; financial inclusion; financial institutions; low-income households</t>
  </si>
  <si>
    <t>BANKING</t>
  </si>
  <si>
    <t>Using an institutionalist reading of the capability approach, I advocate policies for enhancing financial capabilities via financial inclusion. There are 34 million unbanked and underbanked households in the USA (with 68 million adults), many of whom rely on alternative financial services providers (AFSPs). Rather than castigate AFSPs for the predatory practices of some in the industry, this paper argues that a regulated industry can be integral to meeting needs of lower-to-moderate income communities. A typology of existing financial services in the USA is the basis for presenting these proposals. The policies I evaluate concern the economy's structures and institutions rather than focusing on an individual's or a household's financial literacy.</t>
  </si>
  <si>
    <t>[Figart, Deborah M.] Richard Stockton Coll New Jersey, Sch Educ, Pomona, NJ 08240 USA; [Figart, Deborah M.] Richard Stockton Coll New Jersey, Stockton Ctr Econ &amp; Financial Literacy, Pomona, NJ USA</t>
  </si>
  <si>
    <t>Stockton University; Stockton University</t>
  </si>
  <si>
    <t>Figart, DM (corresponding author), Richard Stockton Coll New Jersey, Sch Educ, Pomona, NJ 08240 USA.</t>
  </si>
  <si>
    <t>10.2753/JEI0021-3624470404</t>
  </si>
  <si>
    <t>269SX</t>
  </si>
  <si>
    <t>WOS:000328263300004</t>
  </si>
  <si>
    <t>Choung, Y; Chatterjee, S; Pak, TY</t>
  </si>
  <si>
    <t>Choung, Youngjoo; Chatterjee, Swarn; Pak, Tae-Young</t>
  </si>
  <si>
    <t>Digital financial literacy and financial well-being</t>
  </si>
  <si>
    <t>Digital finance; Financial literacy; Digital literacy; Financial inclusion; Financial well-being; South Korea</t>
  </si>
  <si>
    <t>MOBILE MONEY</t>
  </si>
  <si>
    <t>Digital financial literacy is an emerging concept that emphasizes necessary knowledge and skills to carry out financial transactions on digital platforms. In this study, we aim to examine the link between digital financial literacy and financial well-being among Korean adults. Using online survey data, this study shows that digital financial literacy is associated with financial well-being, and this association is largely due to financial knowledge and the ability to protect against digital fraud. Digital financial literacy carried larger marginal effects on financial well-being compared to financial knowledge, and demonstrated significant effects across sociodemographic groups. Implications for financial education were discussed.</t>
  </si>
  <si>
    <t>[Choung, Youngjoo] Inha Univ, Dept Consumer Sci, Incheon, South Korea; [Chatterjee, Swarn] Univ Georgia, Dept Financial Planning Housing &amp; Consumer Econ, Athens, GA USA; [Pak, Tae-Young] Sungkyunkwan Univ, Dept Consumer Sci, Seoul, South Korea; [Pak, Tae-Young] Sungkyunkwan Univ, Convergence Program Social Innovat, Seoul, South Korea</t>
  </si>
  <si>
    <t>Inha University; University System of Georgia; University of Georgia; Sungkyunkwan University (SKKU); Sungkyunkwan University (SKKU)</t>
  </si>
  <si>
    <t>Pak, TY (corresponding author), Sungkyunkwan Univ, Dept Consumer Sci, Seoul, South Korea.;Pak, TY (corresponding author), Sungkyunkwan Univ, Convergence Program Social Innovat, Seoul, South Korea.</t>
  </si>
  <si>
    <t>typak@skku.edu</t>
  </si>
  <si>
    <t>; Pak, Tae-Young/HZJ-0213-2023; Chatterjee, Swarn/D-7114-2016</t>
  </si>
  <si>
    <t>choung, youngjoo/0000-0003-1722-3705; Pak, Tae-Young/0000-0003-2380-7256; Chatterjee, Swarn/0000-0003-4916-1369</t>
  </si>
  <si>
    <t>10.1016/j.frl.2023.104438</t>
  </si>
  <si>
    <t>T5XN4</t>
  </si>
  <si>
    <t>WOS:001078718100001</t>
  </si>
  <si>
    <t>Guermond, V</t>
  </si>
  <si>
    <t>Guermond, Vincent</t>
  </si>
  <si>
    <t>Whose money? Digital remittances, mobile money and fintech in Ghana</t>
  </si>
  <si>
    <t>Digital remittances; fintech; mobile money</t>
  </si>
  <si>
    <t>NORTHERN GHANA; MIGRATION; ECONOMIZATION; CREDIT</t>
  </si>
  <si>
    <t>This articles explores the intertwining of the digitalisation of remittances with the behavioural turn in development and, more specifically, the advancement of digital financial inclusion. It sheds light on the intricate ways in which state, civil society and private sector actors seek to leverage digital remittances as a way to expand financial inclusion. Drawing upon qualitative field research undertaken in Ghana, this paper traces the emergence and take up of digital financial services - including digital remittances - and argues that the advancement of digital financial inclusion runs the risk of increasing the capacity of commercial and financial institutions to curtail migrants' and remittance recipients' essential strategies of social reproduction. By providing a grounded account of the concerted efforts that must be made in order for the 'behavioural turn' in international development to materialise, this article contributes to the development of a geography of marketisation framework that is attuned to this behavioural shift. It also advances a burgeoning literature that critically unpacks the often-celebrated turn to fintech and digital financial inclusion in international development.</t>
  </si>
  <si>
    <t>[Guermond, Vincent] Royal Holloway Univ London, Egham, Surrey, England</t>
  </si>
  <si>
    <t>Guermond, V (corresponding author), Royal Holloway Univ London, Egham, Surrey, England.</t>
  </si>
  <si>
    <t>Vincent.guermond@rhul.ac.uk</t>
  </si>
  <si>
    <t>Guermond, Vincent/0000-0002-0137-6451</t>
  </si>
  <si>
    <t>10.1080/17530350.2021.2018347</t>
  </si>
  <si>
    <t>3Y7HJ</t>
  </si>
  <si>
    <t>WOS:000756166700001</t>
  </si>
  <si>
    <t>Oz-Yalaman, G</t>
  </si>
  <si>
    <t>Oz-Yalaman, Gamze</t>
  </si>
  <si>
    <t>Financial inclusion and tax revenue</t>
  </si>
  <si>
    <t>CENTRAL BANK REVIEW</t>
  </si>
  <si>
    <t>Financial inclusion; Tax revenue; Panel data; Global findex</t>
  </si>
  <si>
    <t>POVERTY REDUCTION; DEVELOPING-COUNTRIES; IMPACT; INEQUALITY; GROWTH; LEVEL</t>
  </si>
  <si>
    <t>Financial inclusion might bring huge amounts of income into the global economy, which creates different opportunities and challenges for countries. As people become more financially included and their incomes grow over time, this might in turn increase their tax contributions to the government. Thus, this paper seeks an answer to the primary question of whether the changes in tax revenue is associated with the change in financial inclusion for countries around the world by using an extensive dataset of 137 countries over the years between 2011 and 2017. For this, the paper uses the Global Findex database and panel data methodology. The empirical findings show that there is a significant and positive relationship between financial inclusion and tax revenues and it is one of determinants of tax revenues. The results are robust in terms of different sources of taxation such as corporate tax revenue, income tax revenue and direct tax revenue. Policy-makers around the world could take advantage of this significant opportunity in order to raise tax revenues by considering ways of increasing financial inclusion. (C) 2019 Central Bank of The Republic of Turkey. Production and hosting by Elsevier B.V.</t>
  </si>
  <si>
    <t>[Oz-Yalaman, Gamze] Eskisehir Osmangazi Univ, Iktisadi &amp; Idari Bilimler Fak, Maliye Bolumu, A Blok 3,Meselik Kampusu, TR-26480 Eskisehir, Turkey</t>
  </si>
  <si>
    <t>Eskisehir Osmangazi University</t>
  </si>
  <si>
    <t>Oz-Yalaman, G (corresponding author), Eskisehir Osmangazi Univ, Iktisadi &amp; Idari Bilimler Fak, Maliye Bolumu, A Blok 3,Meselik Kampusu, TR-26480 Eskisehir, Turkey.</t>
  </si>
  <si>
    <t>gamze.ozyalaman@gmail.com</t>
  </si>
  <si>
    <t>CENTRAL BANK REPUBLIC TURKEY</t>
  </si>
  <si>
    <t>ANKARA</t>
  </si>
  <si>
    <t>ISTIKLAL CAD 10 ULUS, ANKARA, 06100, TURKEY</t>
  </si>
  <si>
    <t>1303-0701</t>
  </si>
  <si>
    <t>1305-8800</t>
  </si>
  <si>
    <t>CENT BANK REV</t>
  </si>
  <si>
    <t>Cent. Bank Rev.</t>
  </si>
  <si>
    <t>10.1016/j.cbrev.2019.08.004</t>
  </si>
  <si>
    <t>KH4ZG</t>
  </si>
  <si>
    <t>WOS:000510656900003</t>
  </si>
  <si>
    <t>Wu, YQ; Zhao, CK; Guo, JH</t>
  </si>
  <si>
    <t>Wu, Yaqian; Zhao, Chunkai; Guo, Jianhao</t>
  </si>
  <si>
    <t>Mobile payment and subjective well-being in rural China</t>
  </si>
  <si>
    <t>mobile payment; subjective well-being (S; W; B; ); rural China; inclusive finance</t>
  </si>
  <si>
    <t>CONSUMPTION MICRO-EVIDENCE; ECONOMIC-GROWTH; REMITTANCES; URBAN; MONEY; INTENTION; HAPPINESS; WELFARE</t>
  </si>
  <si>
    <t>We explore the impact of mobile payment usage on the subjective well-being (S.W.B.) of rural residents in China using unique data from the China Household Finance Survey (C.H.F.S.). The estimated results show that using mobile payment has increased the S.W.B. of rural residents, and this finding still holds through several robust checks. The mechanism analysis suggests that the positive effect of mobile payment is partially explained by the reduction in transaction costs, the promotion in consumption upgrade, and the increase in social networks. Additionally, the inclusive financial attributes of mobile payment are verified through several heterogeneity analyses. Results show that the positive impact of mobile payment on S.W.B. is more pronounced in socially vulnerable groups such as the elderly, people with lower income, or lower education. Our study enriches the research on the fields of happiness effect of rural financial convenience and function of inclusive finance and has practical significance for other developing countries.</t>
  </si>
  <si>
    <t>[Wu, Yaqian] Nanjing Agr Univ, Coll Finance, Nanjing, Jiangsu, Peoples R China; [Zhao, Chunkai] South China Agr Univ, Coll Econ &amp; Management, Guangzhou, Guangdong, Peoples R China; [Guo, Jianhao] Army Logist Univ PLA, Dept Mil Finance, Suizhou, Hubei, Peoples R China</t>
  </si>
  <si>
    <t>Nanjing Agricultural University; South China Agricultural University; Engineering University of the Joint Logistics Support Force, PLA</t>
  </si>
  <si>
    <t>Zhao, CK (corresponding author), South China Agr Univ, Coll Econ &amp; Management, Guangzhou, Guangdong, Peoples R China.</t>
  </si>
  <si>
    <t>ckz_zhao@163.com</t>
  </si>
  <si>
    <t>Fundamental Research Funds for the Central Universities [QCDC-2020-21]; Fund for Young Teachers of College of Finance, Nanjing Agricultural University; Humanities and Social Science Fund Project of Fundamental Research Funds for the Central Universities, Nanjing Agricultural University [SKYC2022006]; Nanjing Agricultural University [804023]</t>
  </si>
  <si>
    <t>Fundamental Research Funds for the Central Universities(Fundamental Research Funds for the Central UniversitiesPrince of Songkla UniversityInstituto Politecnico Nacional - Mexico); Fund for Young Teachers of College of Finance, Nanjing Agricultural University; Humanities and Social Science Fund Project of Fundamental Research Funds for the Central Universities, Nanjing Agricultural University; Nanjing Agricultural University</t>
  </si>
  <si>
    <t>This work was supported by the Fundamental Research Funds for the Central Universities (No. QCDC-2020-21); the Fund for Young Teachers of College of Finance, Nanjing Agricultural University; the Humanities and Social Science Fund Project of Fundamental Research Funds for the Central Universities, Nanjing Agricultural University (SKYC2022006) and the Research Start-up Fund for Nanjing Agricultural University (No. 804023).</t>
  </si>
  <si>
    <t>2022 JUL 8</t>
  </si>
  <si>
    <t>10.1080/1331677X.2022.2097103</t>
  </si>
  <si>
    <t>3B6MR</t>
  </si>
  <si>
    <t>WOS:000828053000001</t>
  </si>
  <si>
    <t>Mangudhla, T; Dodoo, RNA; Boadi, EB; Mbona, RM; Donkor, M</t>
  </si>
  <si>
    <t>Mangudhla, Tinashe; Dodoo, Regina Naa Amua; Boadi, Emmanuel Bosompem; Mbona, Reginald Masimba; Donkor, Mary</t>
  </si>
  <si>
    <t>FINANCIAL LITERACY AND FINANCIAL WELL-BEING OF RURAL FARMERS: DOES FINANCIAL INCLUSION MATTER?</t>
  </si>
  <si>
    <t>financial literacy; financial well-being; financial inclusion; agriculture; Zimbabwe</t>
  </si>
  <si>
    <t>PLS-SEM</t>
  </si>
  <si>
    <t>Financial literacy empowers individuals to make better financial decisions to stabilize their financial well-being while positively contributing to the economy. This study examined the link between financial literacy and financial well-being and added the mediating effect of financial inclusion among Zimbabwean farmers in three major districts in two provinces. This study utilized a questionnaire survey to retrieve answers from 526 Zimbabwean farmers recruited via convenience sampling. The partial least squares-structural equation modelling (PLS-SEM) was used to examine the information. The study's outcome revealed that financial inclusion and literacy significantly impact farmers' financial well-being. The study showed that financial inclusion plays a complementary mediating role in the connection between financial literacy and financial well-being. Our study suggests that financial literacy policies be implemented alongside programs and strategies to promote inclusive finance to enhance farmers' financial well-being and sustainability. In addition, financial institutions should base their services on strengthening financial education programs to enhance the financial behaviors of farmers. The novelty of our manuscript lies in using PLS-SEM approach as a method, the participants being farmers, a population with limited literature in finance. Also, the study is the first to assess the mediating role of financial inclusion on the financial well-being of Zimbabwean farmers.</t>
  </si>
  <si>
    <t>[Mangudhla, Tinashe] Univ Sci &amp; Technol China, Hefei, Peoples R China; [Dodoo, Regina Naa Amua] Hohai Univ, Nanjing, Peoples R China; [Boadi, Emmanuel Bosompem] Univ Memphis, Memphis, TN USA; [Mbona, Reginald Masimba; Donkor, Mary] Jiangsu Univ, Zhenjiang, Peoples R China</t>
  </si>
  <si>
    <t>Chinese Academy of Sciences; University of Science &amp; Technology of China, CAS; Hohai University; University of Memphis; Jiangsu University</t>
  </si>
  <si>
    <t>Mangudhla, T (corresponding author), Univ Sci &amp; Technol China, Hefei, Peoples R China.</t>
  </si>
  <si>
    <t>timangu@mail.ustc.edu.cn; lx20210613004@hhu.edu.cn; eboadi@memphis.edu; rmmbona@yahoo.com; mdonkor34@gmail.com</t>
  </si>
  <si>
    <t>Mangudhla, Tinashe/GPX-6997-2022; Donkor, Mary/GWC-4700-2022; Boadi, Emmanuel/LQJ-8981-2024</t>
  </si>
  <si>
    <t>10.14254/2071-789X.2025/18-3/2</t>
  </si>
  <si>
    <t>8XW9D</t>
  </si>
  <si>
    <t>WOS:001599946000002</t>
  </si>
  <si>
    <t>Schwittay, AF</t>
  </si>
  <si>
    <t>Schwittay, Anke F.</t>
  </si>
  <si>
    <t>The financial inclusion assemblage: Subjects, technics, rationalities</t>
  </si>
  <si>
    <t>CRITIQUE OF ANTHROPOLOGY</t>
  </si>
  <si>
    <t>ethnographic research; financial inclusion; microfinance; mobile money; monetary practices; poor-appropriate financial services</t>
  </si>
  <si>
    <t>GRAMEEN-BANK; CREDIT; NEOLIBERALISM; MICROFINANCE; MICROCREDIT; EXPERTISE; POLITICS</t>
  </si>
  <si>
    <t>This article introduces financial inclusion as a global assemblage of subjects, technics, and rationalities that aim to develop poor-appropriate financial products and services. Microfinance forms the foundation, but also the boundary of the assemblage, which is premised on the assumption that the 2.7 billion poor people in the world who do not currently have access to formal loan, savings, and insurance products are in need of such offerings. The work of the Institute for Money, Technology and Financial Inclusion at the University of California, Irvine, with its emphasis on ethnographic research into culturally grounded monetary practices and logics, is presented as an alternative to the quantitative, economic, and financial logics that drive the assemblage.</t>
  </si>
  <si>
    <t>Univ Auckland, Ctr Dev Studies, Auckland 1142, New Zealand</t>
  </si>
  <si>
    <t>University of Auckland</t>
  </si>
  <si>
    <t>Schwittay, AF (corresponding author), Univ Auckland, Ctr Dev Studies, Private Bag 92019, Auckland 1142, New Zealand.</t>
  </si>
  <si>
    <t>a.schwittay@auckland.ac.nz</t>
  </si>
  <si>
    <t>0308-275X</t>
  </si>
  <si>
    <t>1460-3721</t>
  </si>
  <si>
    <t>CRIT ANTHROPOL</t>
  </si>
  <si>
    <t>Crit. Anthropol.</t>
  </si>
  <si>
    <t>10.1177/0308275X11420117</t>
  </si>
  <si>
    <t>855VY</t>
  </si>
  <si>
    <t>WOS:000297595400006</t>
  </si>
  <si>
    <t>Ruiz, DEC; Alzate, MCH; Saavedra-Caballero, F</t>
  </si>
  <si>
    <t>Cardona Ruiz, Daniel Elifonso; Hoyos Alzate, Maria Camila; Saavedra-Caballero, Fabiola</t>
  </si>
  <si>
    <t>Gender and financial inclusion in Colombia</t>
  </si>
  <si>
    <t>ECOS DE ECONOMIA</t>
  </si>
  <si>
    <t>Financial inclusion; gender; Colombia; Global Findex Database</t>
  </si>
  <si>
    <t>The access to the formal financial system allows people to be organized financially, save money and plan for the future. However, there is still a high percentage of the Colombian population that is outside the financial system, especially women. The objective of this paper is to measure, through an econometric model based on the data of the World Bank's 2014 Global Findex Database, the difference in gender regarding the financial inclusion in Colombia during 2014. In order to do so, three categories are taken into account and they measure (i) the access to services from a formal financial institution, (ii) their active use, and (iii) the active use of informal financial services. The latter is relevant because it takes into account that segment of the population that is marginalized from the formal services of the financial sector. Overall, it is shown that being a woman has a negative impact regarding inclusion on the formal financial system, understanding this inclusion as the access, and effective use of formal financial services.</t>
  </si>
  <si>
    <t>[Cardona Ruiz, Daniel Elifonso] Avery Dennison, Medellin, Colombia; [Hoyos Alzate, Maria Camila] Grp SURA, Medellin, Colombia; [Saavedra-Caballero, Fabiola] Catholic Univ Louvain, Louvain, Belgium</t>
  </si>
  <si>
    <t>Avery Dennison; Universite Catholique Louvain</t>
  </si>
  <si>
    <t>Ruiz, DEC (corresponding author), Avery Dennison, Medellin, Colombia.</t>
  </si>
  <si>
    <t>daniel.cardona@averydennison.com; mchoyos@gruposura.com.co; fabiola.saavedra@uclouvain.be</t>
  </si>
  <si>
    <t>UNIV EAFIT</t>
  </si>
  <si>
    <t>MEDELLIN</t>
  </si>
  <si>
    <t>CARRERA 49 N 7, BLOQUE 38, OFICINA 331, MEDELLIN, SURAMERICA SUR-50, COLOMBIA</t>
  </si>
  <si>
    <t>1657-4206</t>
  </si>
  <si>
    <t>ECOS ECON-MEDELLIN</t>
  </si>
  <si>
    <t>Ecos Econ.</t>
  </si>
  <si>
    <t>10.17230/ecos.2018.46.3</t>
  </si>
  <si>
    <t>GM3RH</t>
  </si>
  <si>
    <t>Green Submitted, Green Accepted, gold</t>
  </si>
  <si>
    <t>WOS:000438024600003</t>
  </si>
  <si>
    <t>De Jong, A; Shahriar, AZ; Shazia, F</t>
  </si>
  <si>
    <t>De Jong, Abe; Shahriar, Abu Zafar; Shazia, Farhan</t>
  </si>
  <si>
    <t>Reaching out to the unbanked: The role of political ideology in financial inclusion</t>
  </si>
  <si>
    <t>JOURNAL OF INTERNATIONAL MONEY AND FINANCE</t>
  </si>
  <si>
    <t>Financial inclusion; Government ideology; Political ideology; Mobile banking</t>
  </si>
  <si>
    <t>GOVERNMENT IDEOLOGY; TRADE-POLICY; INEQUALITY; PARTIES; ECONOMY; MICROFINANCE; IMPACTS; MATTER; BANKS</t>
  </si>
  <si>
    <t>This paper studies the effect of political ideology on household financial inclusion. Financial inclusion is the access to formal financial services and provides an entry key for people to participate in the economy. Using granular data of 65 countries, we find that financial inclusion is higher under right-wing regimes than under left-wing governments. We use regression discontinuity design and propensity-score matching to address endo-geneity issues. We investigate multiple channels for the effect and conclude that right-wing market-oriented policies are more successful in enhancing financial inclusion than left-wing societal policies. (C) 2022 Elsevier Ltd. All rights reserved.</t>
  </si>
  <si>
    <t>[De Jong, Abe; Shahriar, Abu Zafar; Shazia, Farhan] Monash Univ, Dept Banking &amp; Finance, Melbourne, Vic, Australia; [De Jong, Abe] Univ Groningen, Dept Econ Econometr &amp; Finance, Groningen, Netherlands</t>
  </si>
  <si>
    <t>Monash University; University of Groningen</t>
  </si>
  <si>
    <t>De Jong, A (corresponding author), Monash Business Sch, 900 Dandenong Rd, Caulfield, Vic 3145, Australia.</t>
  </si>
  <si>
    <t>abe.dejong@monash.edu</t>
  </si>
  <si>
    <t>de Jong, Abe/0000-0002-2809-5465; Shazia, Farhan/0000-0003-2162-6451</t>
  </si>
  <si>
    <t>0261-5606</t>
  </si>
  <si>
    <t>1873-0639</t>
  </si>
  <si>
    <t>J INT MONEY FINANC</t>
  </si>
  <si>
    <t>J. Int. Money Finan.</t>
  </si>
  <si>
    <t>10.1016/j.jimonfin.2022.102678</t>
  </si>
  <si>
    <t>6G5AM</t>
  </si>
  <si>
    <t>Green Published, Bronze</t>
  </si>
  <si>
    <t>WOS:000884767200004</t>
  </si>
  <si>
    <t>Obiora, KI; Ozili, PK</t>
  </si>
  <si>
    <t>Obiora, Kingsley I.; Ozili, Peterson K.</t>
  </si>
  <si>
    <t>Comparative Analysis of Financial Inclusion in Nigeria, Sub-Saharan Africa, and the World</t>
  </si>
  <si>
    <t>financial inclusion; Nigeria; Sub; Saharan Africa</t>
  </si>
  <si>
    <t>Using six widely accepted indicators, this study compares the progress made in financial inclusion in Nigeria, Sub-Saharan Africa, and the rest of the World, with a view to deducing lessons that each entity can improve upon. We find that Nigeria outperformed Sub-Saharan Africa in three indicators of financial inclusion while Sub-Saharan Africa did better than Nigeria in one metric. Nigeria and Sub-Saharan Africa exceeded the world average in informal borrowings. We also constructed an index of financial inclusion and found that financial institution account ownership, formal borrowing, informal borrowing, and debit or credit card ownership are significant positive determinants of the financial inclusion index. These findings indicate that policymakers in Nigeria and Sub-Saharan Africa have significant room for improving their financial inclusion standings towards the global average. We make recommendations on the aspects where policymakers can place their focus in pursuit of this goal.</t>
  </si>
  <si>
    <t>[Obiora, Kingsley I.] Cent Bank Nigeria, Abuja, Nigeria; [Ozili, Peterson K.] Cent Bank Nigeria, Governors Dept, Abuja, Nigeria</t>
  </si>
  <si>
    <t>Central Bank of Nigeria; Central Bank of Nigeria</t>
  </si>
  <si>
    <t>Obiora, KI (corresponding author), Cent Bank Nigeria, Abuja, Nigeria.</t>
  </si>
  <si>
    <t>skiobiora@yahoo.com; pkozili@cbn.gov.ng</t>
  </si>
  <si>
    <t>10.1163/15691497-12341659</t>
  </si>
  <si>
    <t>UH8S6</t>
  </si>
  <si>
    <t>WOS:001247262900004</t>
  </si>
  <si>
    <t>Moghadam, HE; Karami, A</t>
  </si>
  <si>
    <t>Moghadam, Hadi Esmaeilpour; Karami, Arezou</t>
  </si>
  <si>
    <t>Financial inclusion through FinTech and women's financial empowerment</t>
  </si>
  <si>
    <t>Women's financial empowerment; FinTech; Financial inclusion; Gender discrimination</t>
  </si>
  <si>
    <t>ECONOMIC-GROWTH; MOBILE MONEY; LABOR-FORCE; PARTICIPATION; POVERTY; BANKING; ENTREPRENEURSHIP; FEMINIZATION; ALLOCATION; BLOCKCHAIN</t>
  </si>
  <si>
    <t>PurposeWomen's financial empowerment (WFE) is one of the sustainable development goals. This research examines the effect of financial inclusion through FinTech (FIF) on WFE at the international level. The purpose of this paper is to address this issue.Design/methodology/approachThe authors analyze the dataset of 113 countries from the Global Findex (2017) and World Bank databases using principal component analysis (PCA) and cross-sectional data methodology. Initially, they calculate the overall index for FIF with PCA. Then, they investigate the effect of FIF on WFE in two groups of countries classified by low and high levels of gender discrimination.FindingsThe results show that the relationship between FIF and WFE is positive and significant in countries classified by low levels of gender discrimination. However, this effect is insignificant in countries with high gender discrimination. Hence, gender inequality is a barrier and denies financial independence to women.Research limitations/implicationsGiven these results, it seems unlikely that FinTech will be able to eliminate the gender gap in financial inclusion on its own for women's empowerment. To directly address the gender gap and alter attitudes and social norms across demographics, FinTech development may need to be supplemented with focused policy initiatives.Originality/valueThis study provides evidence of FIF's impact on WFE at the international level.</t>
  </si>
  <si>
    <t>[Moghadam, Hadi Esmaeilpour; Karami, Arezou] Ferdowsi Univ Mashhad, Fac Econ &amp; Adm Sci, Mashhad, Iran</t>
  </si>
  <si>
    <t>Ferdowsi University Mashhad</t>
  </si>
  <si>
    <t>Moghadam, HE (corresponding author), Ferdowsi Univ Mashhad, Fac Econ &amp; Adm Sci, Mashhad, Iran.</t>
  </si>
  <si>
    <t>esmaeilpour@um.ac.ir; arezoo.karami@mail.um.ac.ir</t>
  </si>
  <si>
    <t>Esmaeilpour Moghadam, Hadi/L-9521-2016</t>
  </si>
  <si>
    <t>10.1108/IJSE-04-2022-0246</t>
  </si>
  <si>
    <t>WOS:000939604600001</t>
  </si>
  <si>
    <t>Mier-Goyes, HF; Ruales-Suárez, KJ</t>
  </si>
  <si>
    <t>Mier-Goyes, Harleth Fabricio; Ruales-Suarez, Katherin Julieth</t>
  </si>
  <si>
    <t>Financial Inclusion and Gender Gap: An Analysis for Latin America and the Caribbean during the Period 2011-2021</t>
  </si>
  <si>
    <t>REVISTA FINANZAS Y POLITICA ECONOMICA</t>
  </si>
  <si>
    <t>Financial inclusion; gender gap; banking; poverty; public policy</t>
  </si>
  <si>
    <t>This article analyzes the gender gap in financial inclusion (FI) in Latin America and the Caribbean (LAC) from 2011 to 2021, based on a literature review and the estimation of logistic models using data from Global Findex for LAC. The results show a negative association between FI and gender, keeping other variables constant (age, education, income level, country, and year). In other words, women are less likely to access and use formal financial products, suggesting that gender social norms reinforce both supply and demand barriers in women's FI. Additionally, financial digitalization is identified as a key factor in increasing FI in the region. However, this di-gitalization appears to have a more pronounced impact on financial account ownership, as well as on the possession and use of debit cards by women.</t>
  </si>
  <si>
    <t>[Mier-Goyes, Harleth Fabricio; Ruales-Suarez, Katherin Julieth] Univ Narino, Finanzas, Pasto, Colombia; [Mier-Goyes, Harleth Fabricio] Gobernac Narino, Pasto, Colombia; [Ruales-Suarez, Katherin Julieth] Univ Narino, Pasto, Colombia</t>
  </si>
  <si>
    <t>Mier-Goyes, HF (corresponding author), Univ Narino, Finanzas, Pasto, Colombia.;Mier-Goyes, HF (corresponding author), Gobernac Narino, Pasto, Colombia.</t>
  </si>
  <si>
    <t>fabriciomiergoyes@gmail.com; juliethrs2320@gmail.com</t>
  </si>
  <si>
    <t>UNIV CATOLICA COLOMBIA, FAC ECONOMIA</t>
  </si>
  <si>
    <t>BOGOTA</t>
  </si>
  <si>
    <t>AV CARACAS 46-72, BOGOTA, 00000, COLOMBIA</t>
  </si>
  <si>
    <t>2248-6046</t>
  </si>
  <si>
    <t>2011-7663</t>
  </si>
  <si>
    <t>REV FINANZAS POLITIC</t>
  </si>
  <si>
    <t>Rev. Finanzas Politica Econ.</t>
  </si>
  <si>
    <t>10.14718/revfinanzpolitecon.v17.2025.9</t>
  </si>
  <si>
    <t>8PS5B</t>
  </si>
  <si>
    <t>WOS:001594384200005</t>
  </si>
  <si>
    <t>Mapurita, CK; Mayoukou, C</t>
  </si>
  <si>
    <t>Mapurita, Christian Kamenga; Mayoukou, Celestin</t>
  </si>
  <si>
    <t>Contribution to the measurement of digital financial inclusion in Sub-Saharan Africa</t>
  </si>
  <si>
    <t>Digital financial services; Digital financial inclusion; COVID-19; Financial development; Inequality; Principal component analysis; Panel data</t>
  </si>
  <si>
    <t>Despite the notable progress made in the development of digital financial services in sub-Saharan Africa, no comprehensive measure is currently available to quantify this progress. Therefore, we constructed a digital financial inclusion index using a parametric approach. Our findings show an upward trend in digital financial inclusion from 2014 to 2021, with a notable increase observed in this index in 2021. Based on the instrumental variable approach, we found that COVID-19, growth product per capita, and quality of governance were the main drivers of digital financial inclusion. Furthermore, findings reveal that not all sub-Saharan African countries have benefited equally from the digital financial revolution. Some countries, including Kenya, Ghana, and Cote d'Ivoire, have benefited substantially because of their high degree of digital financial inclusion. However, other countries-such as Malawi, Guinea, Burkina Faso, and Mali-have fallen behind in terms of digital financial inclusion and are reaping fewer benefits from the revolution in digital banking. We interpreted this observation as symptomatic of inequality. Using the Shapley decomposition analysis, we found that 33% of the disparities in digital financial inclusion among the examined countries were attributable to differences in the use of digital financial services and 13% to the differences in access to those services. We identified the legal origin as a driver of inequality in both access to and use of digital financial services. Moreover, access to the internet has contributed to inequality in the use of digital financial services. In terms of economic implications, countries with the lowest digital financial inclusion must revise their legal systems and invest in internet infrastructure.</t>
  </si>
  <si>
    <t>[Mapurita, Christian Kamenga; Mayoukou, Celestin] Normandie Univ, Univ Rouen Normandie, LERN UR 4702, F-76000 Rouen, France; [Mapurita, Christian Kamenga] Univ Nouveaux Horizons, Lubumbashi, DEM REP CONGO</t>
  </si>
  <si>
    <t>Universite de Rouen Normandie</t>
  </si>
  <si>
    <t>Mapurita, CK (corresponding author), Normandie Univ, Univ Rouen Normandie, LERN UR 4702, F-76000 Rouen, France.</t>
  </si>
  <si>
    <t>christiankamenga@gmail.com; celestin.mayouku@univ-rouen.fr</t>
  </si>
  <si>
    <t>kamenga, christian/0000-0002-0389-6776</t>
  </si>
  <si>
    <t>Laboratoire d'Economie Rouen Normandie (LERN); French Embassy in the Democratic Republic of the Congo, as part of the digital money, microfinance and financial inclusion in DR Congo project</t>
  </si>
  <si>
    <t>We are grateful for the financial assistance provided by the Laboratoire d'Economie Rouen Normandie (LERN) . The French Embassy in the Democratic Republic of the Congo, as part of the digital money, microfinance and financial inclusion in DR Congo project, has also provided funding for this research.</t>
  </si>
  <si>
    <t>10.1016/j.bir.2024.07.007</t>
  </si>
  <si>
    <t>N9Q4V</t>
  </si>
  <si>
    <t>WOS:001367594500001</t>
  </si>
  <si>
    <t>Kálmán, BG; Malatyinszki, S; Bárczi, J; Zéman, Z</t>
  </si>
  <si>
    <t>Kalman, Botond Geza; Malatyinszki, Szilard; Barczi, Judit; Zeman, Zoltan</t>
  </si>
  <si>
    <t>Corruption and Financial Inclusion in Hungary and Mexico</t>
  </si>
  <si>
    <t>Corruption; Public policy; Financial literacy; Transparency; Cashless transactions</t>
  </si>
  <si>
    <t>LITERACY; MODEL</t>
  </si>
  <si>
    <t>The research examines the relationship between corruption and financial inclusion in Hungary and Mexico using public databases. The corruption situation is presented by Transparency International's Corruption Perceptions Index, and financial inclusion by data from the World Bank's Global Findex report. From the time series (2012-2022) data of Hungary and Mexico, statistical methods (Welch test, cluster analysis) can be used to examine the development of performances and the relationship between the two indices. Financial inclusion slowed down in both countries during the period under review, and the perception of corruption also decreased. This suggests that there maybe a correlation between the two indicators, which is also supported by literature data. The two countries have not been compared in this way before. The fact that the study only focuses on two countries limits the usability of the results. The present investigation was a pilot study, the purpose of which was to lay the foundation for an international study.</t>
  </si>
  <si>
    <t>[Kalman, Botond Geza; Malatyinszki, Szilard] Kodolany Jan Univ, Rakoczi U 25, HU-8000 Szekesfehervar, Hungary; [Barczi, Judit; Zeman, Zoltan] John Von Neumann Univ, Kecskemet, Hungary</t>
  </si>
  <si>
    <t>John von Neumann University</t>
  </si>
  <si>
    <t>Kálmán, BG (corresponding author), Kodolany Jan Univ, Rakoczi U 25, HU-8000 Szekesfehervar, Hungary.</t>
  </si>
  <si>
    <t>kalman.botond.geza@kodolanyi.hu; mszilard@kodolanyi.hu; barczi.judit@uni-neumann.hu; zeman.zoltan@uni-neumann.hu</t>
  </si>
  <si>
    <t>Zéman, Zoltán/ACG-7168-2022; Kálmán, Botond/AAN-2437-2020; Barczi, Judit/GNW-2402-2022; Malatyinszki, Szilárd/KHU-1059-2024</t>
  </si>
  <si>
    <t>Malatyinszki, Szilárd/0000-0002-1624-4902</t>
  </si>
  <si>
    <t>e1015</t>
  </si>
  <si>
    <t>10.21919/remef.v19i2.1015</t>
  </si>
  <si>
    <t>R9941</t>
  </si>
  <si>
    <t>WOS:001636150000005</t>
  </si>
  <si>
    <t>Bongomin, GOC; Ntayi, JM</t>
  </si>
  <si>
    <t>Okello Candiya Bongomin, George; Ntayi, Joseph Mpeera</t>
  </si>
  <si>
    <t>Mobile money adoption and usage and financial inclusion: mediating effect of digital consumer protection</t>
  </si>
  <si>
    <t>Mobile money services; Digital consumer protection; Financial innovation; Financial inclusion; Cyber insecurity; Fintech ecosystem</t>
  </si>
  <si>
    <t>PLS-SEM; POVERTY; ACCESS; GROWTH</t>
  </si>
  <si>
    <t>Purpose Drawing from the argument that mobile money services have a significant potential to provide a wide range of affordable, convenient and secure financial services, there have been rampant frauds on consumers of financial products over the digital financial platform. Thus, this study aims to establish the mediating effect of digital consumer protection in the relationship between mobile money adoption and usage and financial inclusion with data collected from micro small and medium enterprises (MSMEs) in northern Uganda. Design/methodology/approach To achieve the main objective of this study, a research model was developed to test for the mediating effect of digital consumer protection in the relationship between mobile money adoption and usage and financial inclusion. The data were collected from MSMEs and structural equation modelling in partial least square (PLS) combined with bootstrap was applied to analyze and test the hypotheses of this study. The direct and indirect effect of mobile money adoption and usage on financial inclusion was tested through digital consumer protection as a mediator variable. Findings The findings from the PLS-structural equation modelling (SEM) showed that mobile money adoption and usage has both direct and indirect effect on financial inclusion. Moreover, financial inclusion is influenced by both mobile money adoption and usage and digital consumer protection. Research limitations/implications The study used partial least square (PLS-SEM) combined with bootstrap confidence intervals through a formative approach to establish the mediating effect of the mediator variable. Hence, it ignored the use of covariance-based SEM and the MedGraph programme. Furthermore, data were collected from samples located in Gulu district, northern Uganda and specifically from MSMEs. This limits generalization of the study findings to other population who also use mobile money services. Practical implications Promoters of digital financial services, managers of telecommunication companies, and financial inclusion advocates should consider strengthening the existing digital consumer protection laws on the mobile money platform. A collaborative approach between the mobile network operators, financial institutions and regulators should tighten the existing laws against mobile money fraudsters and an efficient mechanism for recourse, compensation and remedy should be set up to benefit the victims of frauds and cybercrime on the Fintech ecosystem. Originality/value The current study gives a useful insight into the critical mediating role of digital consumer protection as a cushion for promoting financial inclusion through mobile phones over the Fintech that face great threat and risk from cyber insecurity.</t>
  </si>
  <si>
    <t>[Okello Candiya Bongomin, George] Makerere Univ, Sch Business, Fac Grad Studies &amp; Res, Kampala, Uganda; [Ntayi, Joseph Mpeera] Makerere Univ, Sch Business, Dept Management Sci, Kampala, Uganda</t>
  </si>
  <si>
    <t>Bongomin, GOC (corresponding author), Makerere Univ, Sch Business, Fac Grad Studies &amp; Res, Kampala, Uganda.</t>
  </si>
  <si>
    <t>abaikol3@yahoo.co.uk; ntayius@gmail.com</t>
  </si>
  <si>
    <t>AUG 31</t>
  </si>
  <si>
    <t>10.1108/DPRG-01-2019-0005</t>
  </si>
  <si>
    <t>NP0MT</t>
  </si>
  <si>
    <t>WOS:000535213500001</t>
  </si>
  <si>
    <t>Tan, LZ; Tian, NL; Li, XX; Chen, H</t>
  </si>
  <si>
    <t>Tan, Lingzhi; Tian, Nuolan; Li, Xiaxuan; Chen, Huan</t>
  </si>
  <si>
    <t>Can digital financial inclusion converge the regional agricultural carbon emissions intensity gap?</t>
  </si>
  <si>
    <t>To explore whether digital finance can reduce agricultural carbon emissions, promote regional convergence, and foster inclusivity in rural revitalization and shared prosperity, this paper uses the provincial-level index of digital financial inclusion to analyze the impact of digital financial inclusion on the intensity of agricultural carbon emissions and the Degum Gini coefficient (D-Gini coefficient) of regional carbon emission intensity in 30 sample provinces from 2010 to 2020. It examines the mechanism of the impact of digital financial inclusion on both variables to understand the underlying factors better. The main conclusions are as follows: (1) Digital financial inclusion significantly reduces the intensity of agricultural carbon emissions and narrows the gap in carbon emission intensity between regions. (2) The unconditional quantile regression coefficients show that the negative coefficients of the digital financial inclusion index and the three-dimensional indices decrease with increasing quantiles. However, the significant effects vary significantly at different quantiles. (3) Technological progress and the government's ability to allocate financial resources play a significant mediating role, and the income gap between urban and rural areas can be further narrowed, as well as the carbon emission intensity gap between provinces. The empirical results are robust and proven by replacing the econometric analysis method, changing the core variables, and other methods.</t>
  </si>
  <si>
    <t>[Tan, Lingzhi] Chongqing Technol &amp; Business Univ, Sch Publ Affairs, Chongqing, Peoples R China; [Tian, Nuolan; Li, Xiaxuan; Chen, Huan] Chongqing Technol &amp; Business Univ, Sch Law &amp; Sociol, Chongqing, Peoples R China</t>
  </si>
  <si>
    <t>Chongqing Technology &amp; Business University; Chongqing Technology &amp; Business University</t>
  </si>
  <si>
    <t>Tan, LZ (corresponding author), Chongqing Technol &amp; Business Univ, Sch Publ Affairs, Chongqing, Peoples R China.</t>
  </si>
  <si>
    <t>wgytlz@126.com</t>
  </si>
  <si>
    <t>Tan, Lingzhi/0009-0001-7477-0484</t>
  </si>
  <si>
    <t>Chongqing Philosophy and Social Science Project [2021NDYB087]; National Social Science Fund of China [22CGL034]</t>
  </si>
  <si>
    <t>Chongqing Philosophy and Social Science Project; National Social Science Fund of China</t>
  </si>
  <si>
    <t>This work was supported by the Chongqing Philosophy and Social Science Project to LZT (2021NDYB087); The National Social Science Fund of China to CZW (22CGL034). The fundersof the ChongqingPhilosophyand SocialScienceProjectto LZT was involvedin the researchdesign,data collectionand analysis,and decisionto publishor preparethe manuscript.The fundersof The NationalSocialScienceFundof ChinatoCZWhad no role in studydesign,data collectionand analysis,decisionto publish,or preparationofthe manuscript.</t>
  </si>
  <si>
    <t>JUL 16</t>
  </si>
  <si>
    <t>e0307328</t>
  </si>
  <si>
    <t>10.1371/journal.pone.0307328</t>
  </si>
  <si>
    <t>ZC9Y4</t>
  </si>
  <si>
    <t>WOS:001273222600033</t>
  </si>
  <si>
    <t>Ogundana, OM; Umoru, U; Udeozor, V; Verdie, J-F</t>
  </si>
  <si>
    <t>Ogundana, Oyedele Martins; Umoru, Ugbede; Udeozor, Victor; Verdie, Jean-francois</t>
  </si>
  <si>
    <t>Women's Adoption of Mobile Money: An fsQCA Analysis of National Financial Inclusion Strategies, Entrepreneurship, Mobility, Marriage, Parenthood, and Asset Ownership</t>
  </si>
  <si>
    <t>STRATEGIC CHANGE-BRIEFINGS IN ENTREPRENEURIAL FINANCE</t>
  </si>
  <si>
    <t>financial inclusion; fsQCA; gender-based policies; MOMO; NFIS</t>
  </si>
  <si>
    <t>CONTEXT; IMPACT</t>
  </si>
  <si>
    <t>This study examines gender disparities in mobile money (MOMO) adoption in Sub-Saharan Africa (SSA), focusing on how National Financial Inclusion Strategies (NFIS) interact with gender-based policies on entrepreneurship, mobility, marriage, parenthood, and asset ownership. Using fuzzy-set qualitative comparative analysis across 16 SSA countries, we identify five policy configurations that generate high MOMO adoption among women. Findings reveal that no single factor is sufficient; instead, NFIS and gender-based policies operate interdependently to drive inclusion. Notably, in some contexts, NFIS are unnecessary, with policies on entrepreneurship and asset ownership proving more influential in enabling women's participation in MOMO ecosystems. By adopting a configurational perspective, this study advances understanding of the institutional and policy conditions underpinning digital financial inclusion. It contributes to debates on strategic change by highlighting how integrated, gender-responsive policies can transform financial access for women, reduce systemic inequalities, and foster more inclusive economic development in SSA.</t>
  </si>
  <si>
    <t>[Ogundana, Oyedele Martins; Umoru, Ugbede; Udeozor, Victor] Nottingham Trent Univ, Nottingham Business Sch, Nottingham, England; [Verdie, Jean-francois] TBS Business Sch, Dept Econ &amp; Finance, Toulouse, France</t>
  </si>
  <si>
    <t>Nottingham Trent University; University of Nottingham</t>
  </si>
  <si>
    <t>Ogundana, OM (corresponding author), Nottingham Trent Univ, Nottingham Business Sch, Nottingham, England.</t>
  </si>
  <si>
    <t>oyedele.ogundana@ntu.ac.uk</t>
  </si>
  <si>
    <t>Udeozor, Victor/JNS-6829-2023; Ogundana, Oyedele/R-9840-2018</t>
  </si>
  <si>
    <t>We are grateful to the World Bank for the data utilized.</t>
  </si>
  <si>
    <t>JOHN WILEY &amp; SONS LTD</t>
  </si>
  <si>
    <t>CHICHESTER</t>
  </si>
  <si>
    <t>THE ATRIUM, SOUTHERN GATE, CHICHESTER PO19 8SQ, W SUSSEX, ENGLAND</t>
  </si>
  <si>
    <t>1086-1718</t>
  </si>
  <si>
    <t>1099-1697</t>
  </si>
  <si>
    <t>STRATEG CHANG</t>
  </si>
  <si>
    <t>Strateg. Chang.</t>
  </si>
  <si>
    <t>2025 NOV 26</t>
  </si>
  <si>
    <t>10.1002/jsc.70035</t>
  </si>
  <si>
    <t>G5803</t>
  </si>
  <si>
    <t>WOS:001624685300001</t>
  </si>
  <si>
    <t>Léon, F; Zins, A</t>
  </si>
  <si>
    <t>Leon, Florian; Zins, Alexandra</t>
  </si>
  <si>
    <t>Regional foreign banks and financial inclusion: Evidence from Africa</t>
  </si>
  <si>
    <t>Credit access; Foreign banks; Africa; Financial inclusion; Information asymmetries</t>
  </si>
  <si>
    <t>CROSS-BORDER BANKING; ACCESS; CREDIT; COUNTRIES; CONSTRAINTS; COMPETITION; OWNERSHIP; EXPANSION; SERVICES; IMPACT</t>
  </si>
  <si>
    <t>Regional foreign banks expanded quickly over the past decade in developing and emerging countries and have a growing influence in banking systems. We question whether the development of African regional foreign banks, also called Pan-African banks, influences financial inclusion of firms and households. To this end, we combine the World Bank Global Findex database and the World Bank Enterprise Surveys with a hand-collected database on the presence of regional foreign banks. We find that Pan-African banks presence increases firms' access to credit and limited evidence that they favor financial access of the middle class by restoring confidence in banks. We suggest that this impact is related to the adoption of an aggressive strategy aiming at gaining market shares rather than through the exploitation of informational and technological advantages.</t>
  </si>
  <si>
    <t>[Leon, Florian] Univ Luxembourg, CREA, 162a Ave Faiencerie, L-1511 Luxembourg, Luxembourg; [Zins, Alexandra] Univ Strasbourg, Inst Etud Polit, 47 Ave Foret Noire, F-67082 Strasbourg, France</t>
  </si>
  <si>
    <t>University of Luxembourg; Universites de Strasbourg Etablissements Associes; Universite de Strasbourg</t>
  </si>
  <si>
    <t>Zins, A (corresponding author), Univ Strasbourg, Inst Etud Polit, 47 Ave Foret Noire, F-67082 Strasbourg, France.</t>
  </si>
  <si>
    <t>florian.leon@uni.lu; azins@unistra.fr</t>
  </si>
  <si>
    <t>LEON, Florian/0000-0002-6969-7278</t>
  </si>
  <si>
    <t>10.1016/j.econmod.2019.03.012</t>
  </si>
  <si>
    <t>JW8RH</t>
  </si>
  <si>
    <t>WOS:000503313700009</t>
  </si>
  <si>
    <t>Dang, JN; Niu, XQ; Lei, HP</t>
  </si>
  <si>
    <t>Dang, Jiana; Niu, Xiaoqin; Lei, Haopu</t>
  </si>
  <si>
    <t>Out-of-pocket health expenditure, social protection, and life expectancy of female-headed households in China</t>
  </si>
  <si>
    <t>AFRICAN JOURNAL OF REPRODUCTIVE HEALTH</t>
  </si>
  <si>
    <t>health interventions; social protection programs; life expectancy; financial inclusion</t>
  </si>
  <si>
    <t>UNDER-5 MORTALITY</t>
  </si>
  <si>
    <t>This study explores the relationship between out-of-pocket health expenditure, social protection interventions, and life expectancy of female-headed households in China. The study was based on data extracted from the World Bank (2021) Global Financial Inclusion Index (Global Findex) and applied the descriptive statistics and the Ordinary Least Squares Regression (OLS). The results show that there is a significant positive coefficient for social protection in total households, females, and males, indicating a beneficial link between social protection programs and life expectancy in female-headed households in China. Conversely, negative coefficients for out-of-pocket health expenditure suggest that higher healthcare costs are associated with lower life expectancy, highlighting the financial strain on these households. These submissions justify the necessity for social protection interventions in improving health outcomes and addressing financial barriers to healthcare access for female-headed households in China. (Afr J Reprod Health 2024; 28 [10]: 160-166).</t>
  </si>
  <si>
    <t>[Dang, Jiana] Natl Acad Governance, Party Sch, Dept Econ, Cent Comm CPC, Beijing 100091, Peoples R China; [Dang, Jiana] Shaanxi Acad Governance, Shaanxi Prov Comm CPC, Dept Econ, Party Sch, Xian 710061, Peoples R China; [Niu, Xiaoqin] Shanghai Inst Technol, Sch Econ &amp; Management, Shanghai 201418, Peoples R China; [Lei, Haopu] Shaanxi Satellite Applicat Technol Ctr Nat Resourc, Gen Off, Xian 710002, Peoples R China</t>
  </si>
  <si>
    <t>Central Party School of the Chinese Communist Party; Shanghai Institute of Technology</t>
  </si>
  <si>
    <t>Niu, XQ (corresponding author), Shanghai Inst Technol, Sch Econ &amp; Management, Shanghai 201418, Peoples R China.</t>
  </si>
  <si>
    <t>niuxiaoqin1986@sina.com</t>
  </si>
  <si>
    <t>Ministry of Education Humanities and Social Sciences Youth Fund Project [20YJC630107]</t>
  </si>
  <si>
    <t>Ministry of Education Humanities and Social Sciences Youth Fund Project</t>
  </si>
  <si>
    <t>This work was sponsored in part by The Ministry of Education Humanities and Social Sciences Youth Fund Project (20YJC630107) .</t>
  </si>
  <si>
    <t>WOMENS HEALTH &amp; ACTION RESEARCH CENTRE</t>
  </si>
  <si>
    <t>BENIN CITY</t>
  </si>
  <si>
    <t>IGUE-IHEYA VILLAGE, BENIN-LAGOS EXPRESS RD, PO BOX 10231, UGBOWO, BENIN CITY, EDO STATE 00000, NIGERIA</t>
  </si>
  <si>
    <t>1118-4841</t>
  </si>
  <si>
    <t>2141-3606</t>
  </si>
  <si>
    <t>AFR J REPROD HEALTH</t>
  </si>
  <si>
    <t>Afr. J. Reprod. Health</t>
  </si>
  <si>
    <t>10.29063/ajrh2024/v28i10.16</t>
  </si>
  <si>
    <t>L5G6X</t>
  </si>
  <si>
    <t>WOS:001351003500016</t>
  </si>
  <si>
    <t>Wang, Y; Qi, Y; Li, Y</t>
  </si>
  <si>
    <t>Wang, Yan; Qi, Yin; Li, Yi</t>
  </si>
  <si>
    <t>How does digital inclusive finance influence non-agricultural employment among the rural labor force? --Evidence from micro-data in China</t>
  </si>
  <si>
    <t>Digital inclusive finance; Rural labor force; Non-agricultural employment; Internet usage; Social trust</t>
  </si>
  <si>
    <t>In the context of the integration and development of inclusive finance and digital technology, exploring the relationship between digital inclusive finance and non-farm employment of rural laborers is of great significance in promoting rural economic development and realizing common prosperity for all. Based on data from the 2018 and 2020 China Family Tracking Survey (CFPS) and Peking University's Digital Financial Inclusion Index, this paper investigates the impact of digital inclusive finance on the non-farm employment of rural labor and its transmission mechanism. The results of the study show that both digital inclusive finance and its sub-dimensions can promote the non-farm employment of rural laborers, and have stronger inclusion and inclusiveness compared with traditional inclusive finance. Mechanism analysis shows that both Internet use and social trust can positively moderate the relationship between digital inclusive finance and non-farm employment of rural laborers, and that digital inclusive finance can promote non-farm employment of rural laborers by alleviating financing constraints and enhancing risk preferences. Further heterogeneity analysis shows that digital inclusive finance promotes employed non-farm employment more significantly than entrepreneurial non-farm employment, and on this basis, there are also differences for different employment groups and different regions. The findings of this study aim to provide theoretical reference and support for relevant departments to formulate policies to realize higher quality full employment of rural labor.</t>
  </si>
  <si>
    <t>[Wang, Yan] Chongqing Technol &amp; Business Univ, Sch Econ, Chongqing 400067, Peoples R China; [Qi, Yin; Li, Yi] Chongqing Technol &amp; Business Univ, Sch Finance, Chongqing 400067, Peoples R China</t>
  </si>
  <si>
    <t>Qi, Y (corresponding author), Chongqing Technol &amp; Business Univ, Sch Finance, Chongqing 400067, Peoples R China.</t>
  </si>
  <si>
    <t>qiyin0801@163.com</t>
  </si>
  <si>
    <t>Chongqing Social Science Planning Fund [2022YC008]; National Social Science Fund of China [19BJY131]; China Postdoctoral Science Foundation [2021M692332]</t>
  </si>
  <si>
    <t>Chongqing Social Science Planning Fund; National Social Science Fund of China; China Postdoctoral Science Foundation(China Postdoctoral Science Foundation)</t>
  </si>
  <si>
    <t>Acknowledgements This work was supported by the Chongqing Social Science Planning Fund (2022YC008) , National Social Science Fund of China (19BJY131) and China Postdoctoral Science Foundation (2021M692332) .</t>
  </si>
  <si>
    <t>e33717</t>
  </si>
  <si>
    <t>10.1016/j.heliyon.2024.e33717</t>
  </si>
  <si>
    <t>C0L2R</t>
  </si>
  <si>
    <t>WOS:001286354500001</t>
  </si>
  <si>
    <t>Meli, SD; Kamga, BF; Meli, CN</t>
  </si>
  <si>
    <t>Meli, Steve Douanla; Kamga, Benjamin Fomba; Meli, Clement Nodem</t>
  </si>
  <si>
    <t>Analysis of the Determinants of Mobile Money Adoption and Use: Evidence from Togo with Simple and Multivariate Probit Approaches</t>
  </si>
  <si>
    <t>Adoption; Use; Mobile money; Togo; O16; O32; G20</t>
  </si>
  <si>
    <t>FINANCIAL INCLUSION; TECHNOLOGY; ACCEPTANCE; BANKING; GENDER; MODEL</t>
  </si>
  <si>
    <t>This study analyzes both the adoption and the use of mobile money (MM) services in Togo. More precisely, based on the Global Findex survey conducted in 2017 by the World Bank, it first attempts to profile MM adopters, then to identify the explanatory factors of the different uses of MM services. Thus, using a Probit model, it highlights the explanatory factors of MM adoption in Togo. And through a multivariate regression, it identifies the determinants of the use of MM services. Then, the estimates of three independent Probit, under the assumption of non-simultaneity of the different uses of MM services, are carried out to test the reliability and robustness of the results. The results of the analyses reveal that socioeconomic factors such as age, education level, standard of living, and cell phone ownership affect both MM adoption and MM service use in Togo.</t>
  </si>
  <si>
    <t>[Meli, Steve Douanla; Kamga, Benjamin Fomba] Univ Yaounde II, Fac Econ &amp; Management, Soa, Cameroon; [Meli, Steve Douanla] Res Lab Appl Microecon, Yaounde, Cameroon; [Meli, Clement Nodem] Minist Sci Res &amp; Innovat, Yaounde, Cameroon</t>
  </si>
  <si>
    <t>Meli, SD (corresponding author), Univ Yaounde II, Fac Econ &amp; Management, Soa, Cameroon.;Meli, SD (corresponding author), Res Lab Appl Microecon, Yaounde, Cameroon.</t>
  </si>
  <si>
    <t>douanlamelisteve@yahoo.com; fomba1@yahoo.fr; nodemmeliclement@yahoo.fr</t>
  </si>
  <si>
    <t>2024 JAN 23</t>
  </si>
  <si>
    <t>10.1007/s13132-024-01748-9</t>
  </si>
  <si>
    <t>FP1C5</t>
  </si>
  <si>
    <t>WOS:001146943200003</t>
  </si>
  <si>
    <t>Kumari, D; Giri, AK</t>
  </si>
  <si>
    <t>Kumari, Diksha; Giri, Arun Kumar</t>
  </si>
  <si>
    <t>Can digital financial inclusion (DFI) effectively alleviate poverty? Evidence from Asian countries</t>
  </si>
  <si>
    <t>Digital financial inclusions; Poverty alleviation; CS-ARDL; Driscoll-Kraay standard error approach; Asian economies</t>
  </si>
  <si>
    <t>PANEL; COINTEGRATION; REDUCTION; IMPACT; TESTS</t>
  </si>
  <si>
    <t>PurposeThis paper studies the effect of digital financial inclusion in alleviating poverty in Asian economies from 2000 to 2023.Design/methodology/approachThe study constructed a digital financial inclusion index using principal component analysis (PCA). To determine the long-run relationship among the identified variables, this study uses various panel econometric techniques such as cross-sectional dependence (CSD) tests; second-generation unit root tests including CIPS and CADF; Pedroni, Kao and Westerlund cointegration tests; CS-ARDL, Driscoll-Kraay (DK) standard error approach and Dumitrescu and Hurlin (D&amp;H) causality tests.FindingsThe co-integration test confirmed a long-term relationship between digital financial inclusion and poverty alleviation in selected Asian countries. The study revealed that digital financial inclusion supports the trickle-down hypothesis in both the short and long run for Asian economies. Inflation showed a negative relation with poverty reduction, as inflation reduces the purchasing power of consumers. In addition, the D&amp;H causality test confirmed the bi-directional causality between DFI and poverty reduction.Originality/valueA literature review provides studies with findings on the effect of financial inclusion on poverty reduction. This study proposes how digital financial inclusion is related to poverty reduction in Asian economies with the help of appropriate panel econometric techniques.</t>
  </si>
  <si>
    <t>[Kumari, Diksha; Giri, Arun Kumar] Birla Inst Technol &amp; Sci, Dept Econ &amp; Finance, Pilani Campus, Pilani, India</t>
  </si>
  <si>
    <t>Giri, AK (corresponding author), Birla Inst Technol &amp; Sci, Dept Econ &amp; Finance, Pilani Campus, Pilani, India.</t>
  </si>
  <si>
    <t>p20220421@pilani.bits-pilani.ac.in; akgiri.bits@gmail.com</t>
  </si>
  <si>
    <t>Giri, Arun Kumar/ABD-1519-2020</t>
  </si>
  <si>
    <t>Giri, Arun Kumar/0000-0002-7122-4517</t>
  </si>
  <si>
    <t>2025 JUN 12</t>
  </si>
  <si>
    <t>10.1108/IJOEM-09-2024-1525</t>
  </si>
  <si>
    <t>3QN5R</t>
  </si>
  <si>
    <t>WOS:001506618500001</t>
  </si>
  <si>
    <t>Anyangwe, T; Vanroose, A; Fanta, A</t>
  </si>
  <si>
    <t>Anyangwe, Tony; Vanroose, Annabel; Fanta, Ashenafi</t>
  </si>
  <si>
    <t>Determinants of financial inclusion: does culture matter?</t>
  </si>
  <si>
    <t>credit; culture; financial inclusion; Hofstede; (In)formal institutions; saving</t>
  </si>
  <si>
    <t>This study aims to assess the role of culture as a determinant of financial inclusion, defined with respect to formal account ownership, saving and credit in/from formal financial institutions. A sample of 85 countries, comprising 50 developing and 35 developed countries from the World Bank's Global Findex database is used to perform probit estimations. Hofstede's cultural dimensions, namely power distance, individualism/collectivism, masculinity/femininity, uncertainty avoidance, short/long-term orientation, and indulgence/restraint are used as culture measures. Our findings indicate that living in high power distance, more masculine, and high uncertainty avoidance cultures reduces the likelihood for financial inclusion. Meanwhile, living in more individualistic, long-term oriented, and more indulgent cultures increases the likelihood for financial inclusion. These findings are relevant for the design of policies to foster financial inclusion across the developing world, especially as financial inclusion affects poverty levels and reduction strategies, and economic development as a whole. We provide evidence which dismisses the global one size fits all strategy applied to development-related initiatives like the global provision of funds towards financial inclusion, and argue for a more customised approach given country-level differences conditioned by different cultural frameworks.</t>
  </si>
  <si>
    <t>[Anyangwe, Tony; Vanroose, Annabel; Fanta, Ashenafi] Stellenbosch Business Sch, Dept Dev Finance, Cape Town, South Africa; [Vanroose, Annabel] Univ Libre Bruxelles, Ctr Res Microfinance, Brussels, Belgium</t>
  </si>
  <si>
    <t>Universite Libre de Bruxelles</t>
  </si>
  <si>
    <t>Anyangwe, T (corresponding author), Stellenbosch Business Sch, Cape Town, South Africa.</t>
  </si>
  <si>
    <t>tndakoh@gmail.com</t>
  </si>
  <si>
    <t>; Fanta, Ashenafi/AAN-6375-2021</t>
  </si>
  <si>
    <t>Anyangwe Ndakoh, Tony/0000-0003-0649-9167;</t>
  </si>
  <si>
    <t>10.1080/23322039.2022.2073656</t>
  </si>
  <si>
    <t>1D1BD</t>
  </si>
  <si>
    <t>WOS:000793542500001</t>
  </si>
  <si>
    <t>INDIVIDUAL'S BEHAVIOR AND ACCESS TO FINANCE: EVIDENCE FROM PALESTINE</t>
  </si>
  <si>
    <t>Financial inclusion; Palestine; individual behavior; access to finance; Islamic services</t>
  </si>
  <si>
    <t>Governments and global institutions are working to enhance economic development as a key for sustainability by including disadvantaged people (including the poor, women, youth, and illiterate) in the financial system. This paper uses the World Bank Global Findex Database (2014) for 1000 Palestinians to examine the influence of individual behavior on financial inclusion in Palestine. This study used empirical methods to determine whether individual socioeconomic characteristics influence financial inclusion in Palestine. The results indicated that females were less likely to be included in financial transactions, especially transactions involving borrowing and formal accounts. Further, we learned that borrowing behavior in Palestine leans toward informal sources. Formal institutions have made remarkable efforts to develop an inclusive financial infrastructure in Palestine. However, the country's unstable political climate continues to impede economic stability and individuals' motivation to use formal financial resources such as credit. More efforts to specifically encourage youth, the poor, and women to use formal banking could enhance their access to financial services. Adopting Islamic financial services, and online banking would also improve financial inclusion for all of Palestine's citizens and drive sustainable development. Further, theoretical and empirical studies of Palestine's economic development are recommended.</t>
  </si>
  <si>
    <t>[Shihadeh, Fadi Hassan] Palestine Tech Univ, Kadoorie, West Bank, Palestine</t>
  </si>
  <si>
    <t>Palestine Technical University - Kadoorie</t>
  </si>
  <si>
    <t>Shihadeh, FH (corresponding author), Palestine Tech Univ, Kadoorie, West Bank, Palestine.</t>
  </si>
  <si>
    <t>Fadih20@gmail.com</t>
  </si>
  <si>
    <t>10.1142/S0217590819420025</t>
  </si>
  <si>
    <t>ZU9HH</t>
  </si>
  <si>
    <t>WOS:000770148600005</t>
  </si>
  <si>
    <t>Fungácová, Z; Weill, L</t>
  </si>
  <si>
    <t>Fungacova, Zuzana; Weill, Laurent</t>
  </si>
  <si>
    <t>Understanding financial inclusion in China</t>
  </si>
  <si>
    <t>Financial inclusion; Financial institutions; China</t>
  </si>
  <si>
    <t>SAVINGS</t>
  </si>
  <si>
    <t>We use data from the World Bank Global Findex database for 2011 to analyze financial inclusion in China, including comparisons with the other BRICS countries. We find a high level of financial inclusion in China manifested by greater use of formal account and formal savings than in the other BRICS. Financial exclusion, i.e., not having a formal account, is mainly voluntary. The use of formal credit is however less frequent in China than in the other BRICS. Borrowing through family or friends is the most common way of obtaining credit in all the BRICS countries, but other channels for borrowing are not very commonly used by individuals in China. We find that higher income, better education, being a man, and being older are associated with greater use of formal accounts and formal credit in China. Income and education influence the use of alternative sources of borrowing. Overall financial inclusion does not constitute a major problem in China, but such limited use of formal credit can create a challenge for further economic development. (C) 2014 Elsevier Inc. All rights reserved.</t>
  </si>
  <si>
    <t>[Fungacova, Zuzana; Weill, Laurent] Bank Finland Inst Econ Transit BOFIT, FI-00101 Helsinki, Finland; [Weill, Laurent] Univ Strasbourg, EM Strasbourg Business Sch, F-67082 Strasbourg, France; [Fungacova, Zuzana] Charles Univ Prague, Inst Econ Studies, Prague, Czech Republic</t>
  </si>
  <si>
    <t>Universites de Strasbourg Etablissements Associes; Universite de Strasbourg; Charles University Prague</t>
  </si>
  <si>
    <t>Fungácová, Z (corresponding author), Bank Finland Inst Econ Transit BOFIT, POB 160, FI-00101 Helsinki, Finland.</t>
  </si>
  <si>
    <t>zuzana.fungacova@bof.fi; laurent.weill@unistra.fr</t>
  </si>
  <si>
    <t>10.1016/j.chieco.2014.12.004</t>
  </si>
  <si>
    <t>CL5IK</t>
  </si>
  <si>
    <t>WOS:000356992800015</t>
  </si>
  <si>
    <t>Tay, LY; Tai, HT; Tan, GS</t>
  </si>
  <si>
    <t>Tay, Lee-Ying; Tai, Hen-Toong; Tan, Gek-Siang</t>
  </si>
  <si>
    <t>Digital financial inclusion: A gateway to sustainable development</t>
  </si>
  <si>
    <t>Digital financial inclusion; Development; Mechanism; Systematic literature review</t>
  </si>
  <si>
    <t>STABILITY; ACCESS</t>
  </si>
  <si>
    <t>The covid-19 pandemic revolutionises digital financial services, and hence digital financial inclusion is essential to ensure everyone can access digital financial services and thus promote sustainable economic growth. The development and activities promoting digital financial inclusion must align and help attain 2030 Sustainable Development Goals (SDGs). While the pandemic is anticipated to increase the usage of digital financial services, it has also created challenges for certain countries. Hence, a systematic literature review explores digital financial inclusion across countries. This research finds that developing countries, mainly Asian countries, embrace and improve digital financial inclusion to help reduce poverty. However, the results indicate that in developing countries, a persistent divide exists between gender, the wealthy and the poor, and urban and rural areas regarding access to and usage of digital financial services. At the end of the study, we propose a few recom-mendations, focusing on improving digital infrastructure, simplifying the complicated banking procedures, and stressing the importance of financial education, enabling the smooth implication of digital financial inclusion across countries.</t>
  </si>
  <si>
    <t>[Tay, Lee-Ying; Tai, Hen-Toong; Tan, Gek-Siang] Multimedia Univ, Fac Business, Jalan Ayer Keroh Lama, Melaka 75450, Malaysia</t>
  </si>
  <si>
    <t>Tay, LY (corresponding author), Multimedia Univ, Fac Business, Jalan Ayer Keroh Lama, Melaka 75450, Malaysia.</t>
  </si>
  <si>
    <t>lytay@mmu.edu.my</t>
  </si>
  <si>
    <t>Multimedia University [MMUI/120046]</t>
  </si>
  <si>
    <t>MS LEE YING TAY was supported by Multimedia University [MMUI/120046].</t>
  </si>
  <si>
    <t>e09766</t>
  </si>
  <si>
    <t>10.1016/j.heliyon.2022.e09766</t>
  </si>
  <si>
    <t>3E8QY</t>
  </si>
  <si>
    <t>WOS:000830244500009</t>
  </si>
  <si>
    <t>Lee, CC; Chen, PF; Chu, PJ</t>
  </si>
  <si>
    <t>Lee, Chien-Chiang; Chen, Pei -Fen; Chu, Pin-Jie</t>
  </si>
  <si>
    <t>Green recovery through financial inclusion of mobile payment: A study of low- and middle-income Asian countries</t>
  </si>
  <si>
    <t>Mobile payment; Financial inclusion; Panel data; Low-and middle-income countries; Green recovery; Green investment</t>
  </si>
  <si>
    <t>POVERTY; IMPACTS</t>
  </si>
  <si>
    <t>The financial industry has been affected by the rise of informational technology and is actively developing digital finance. The use of technology has become an alternative resolution to improve global financial inclusion. This research discusses whether the development of mobile payment systems promotes financial inclusion and improves green environment in 29 low-and middle-income countries in Asia from 2014 to 2018. We utilize the outstanding bank deposit ratio and bank loan ratio as measures of financial inclusion and three measures for mobile payment. This study considers green recovery under an education indicator that shows awareness about the implementation of green recovery technologies. We find that some amount from loans is also useful when spent on green recovery in the move towards a clean environment. The empirical investigation notes a significant impact from mobile payment to financial inclusion development with the effect from mobile payment to financial inclusion more critical for lower-than higher-income countries in the sample. The empirical findings offer concrete evidence to encourage mobile payment ecosystems through the cooperation of government, financial institutions, and technology companies. A few policy implications are presented at the end of the study.(c) 2022 Economic Society of Australia, Queensland. Published by Elsevier B.V. All rights reserved.</t>
  </si>
  <si>
    <t>[Lee, Chien-Chiang] Nanchang Univ, Sch Econ &amp; Management, Nanchang, Peoples R China; [Chen, Pei -Fen; Chu, Pin-Jie] Natl Sun Yat Sen Univ, Inst China &amp; Asia Pacific Studies, Kaohsiung, Taiwan</t>
  </si>
  <si>
    <t>Nanchang University; National Sun Yat Sen University</t>
  </si>
  <si>
    <t>Chen, PF (corresponding author), Natl Sun Yat Sen Univ, Inst China &amp; Asia Pacific Studies, Kaohsiung, Taiwan.</t>
  </si>
  <si>
    <t>pfchen@mail.nsysu.edu.tw</t>
  </si>
  <si>
    <t>; Lee, Chien-Chiang/AAZ-9983-2020</t>
  </si>
  <si>
    <t>Chen, Pei-Fen/0000-0001-6472-9579; Lee, Chien-Chiang/0000-0003-0037-4347</t>
  </si>
  <si>
    <t>National Science and Technology Council of Taiwan [MOST 111-2410-H-110-051]</t>
  </si>
  <si>
    <t>National Science and Technology Council of Taiwan</t>
  </si>
  <si>
    <t>Pei-Fen Chen thanks National Science and Technology Council of Taiwan for the funding to support this research. The project number is MOST 111-2410-H-110-051.</t>
  </si>
  <si>
    <t>10.1016/j.eap.2022.12.012</t>
  </si>
  <si>
    <t>8O9KA</t>
  </si>
  <si>
    <t>WOS:000926148700001</t>
  </si>
  <si>
    <t>Didenko, AN; Buckley, RP</t>
  </si>
  <si>
    <t>Didenko, Anton N.; Buckley, Ross P.</t>
  </si>
  <si>
    <t>Central bank digital currencies as a potential response to some particularly Pacific problems</t>
  </si>
  <si>
    <t>ASIA PACIFIC LAW REVIEW</t>
  </si>
  <si>
    <t>CBDC; central bank digital currency; Pacific Island Countries; financial inclusion</t>
  </si>
  <si>
    <t>Despite years of effort, financial inclusion persists as a major challenge in the Pacific Island Countries (PICs), with many in the region still lacking access to financial services. This article argues that central bank digital currencies (CBDCs) offer a potentially highly efficacious solution to (i) the financial inclusion challenges of the PICs and (ii) the problem of high remittance costs that currently serve as a tax on the earnings of Pacific Islanders abroad. We identify the key challenges that may inhibit the rollout of CBDCs in PICs but argue that in time such a rollout is nonetheless highly likely - since the key drivers of CBDC development in the region are likely to be external to PICs themselves. While their potential is very significant, we conclude that now is not the time to issue a CBDC in the region, but it is the time to begin laying the groundwork for this innovation by developing the expertise required within the region's central banks.</t>
  </si>
  <si>
    <t>[Didenko, Anton N.; Buckley, Ross P.] UNSW Law &amp; Justice, Fac Law &amp; Justice, Sydney, NSW, Australia</t>
  </si>
  <si>
    <t>Didenko, AN (corresponding author), UNSW Law &amp; Justice, Fac Law &amp; Justice, Sydney, NSW, Australia.</t>
  </si>
  <si>
    <t>anton.didenko@unsw.edu.au</t>
  </si>
  <si>
    <t>; Didenko, Anton/AAX-2134-2020</t>
  </si>
  <si>
    <t>buckley, ross/0000-0003-4522-0210; Didenko, Anton/0000-0003-0320-3404</t>
  </si>
  <si>
    <t>Australian Research Council Laureate Fellowship [FL200100007]; Australian Research Council [FL200100007] Funding Source: Australian Research Council</t>
  </si>
  <si>
    <t>Australian Research Council Laureate Fellowship(Australian Research Council); Australian Research Council(Australian Research Council)</t>
  </si>
  <si>
    <t>Ross Buckley is the recipient of an Australian Research Council Laureate Fellowship [grant number FL200100007]. This Australian government funding has supported this research. The views herein are of the authors and not necessarily of the Australian government or Research Council.</t>
  </si>
  <si>
    <t>1019-2557</t>
  </si>
  <si>
    <t>1875-8444</t>
  </si>
  <si>
    <t>ASIA PAC LAW REV</t>
  </si>
  <si>
    <t>Asia. Pac. Law. Rev.</t>
  </si>
  <si>
    <t>10.1080/10192557.2022.2045706</t>
  </si>
  <si>
    <t>0I5EU</t>
  </si>
  <si>
    <t>WOS:000767622800001</t>
  </si>
  <si>
    <t>Esquivias, MA; Sethi, N; Ramandha, MD; Jayanti, AD</t>
  </si>
  <si>
    <t>Esquivias, Miguel A.; Sethi, Nayaran; Ramandha, Muhammad Daffa; Jayanti, Ari Dwi</t>
  </si>
  <si>
    <t>Financial inclusion dynamics in Southeast Asia: An empirical investigation on three countries</t>
  </si>
  <si>
    <t>financial inclusion; financial institutions; gender; Indonesia; rural; the Philippines; Vietnam</t>
  </si>
  <si>
    <t>ACCESS; SERVICES; SAVINGS; GENDER; CONSTRAINTS; CREDIT</t>
  </si>
  <si>
    <t>This paper examines the determinants of financial inclusion in Vietnam, Indonesia, and the Philippines (VIP). We employ a probit model to the World Bank's Global Findex Dataset of 2017. The analysis compares individuals' access to formal and informal financial services, savings, and credit tools, considering individual socioeconomic characteristics. The study finds significant gaps in financial access between individuals based on gender, age, income, education, location, and job status. Indonesia made more considerable improvements in financial inclusion than the Philippines and Vietnam. Access to savings and credit in the VIP remain low, mainly favoring adults, higher earners, formally employed, and the more educated ones. Females in the VIP have a higher likelihood to be financially included than males, they are more likely to hold savings accounts, to participate in informal finance, while they perceived fewer barriers to formal banking. Formal and informal services coexist in the VIP, while formal financial services often exclude the less privileged. Lack of money, high cost of finance, and perception of financial services as unnecessary are the largest obstacles to inclusion in the VIP, being more burdensome for low-income and less-educated people. Mobile banking services have developed yet leave the less-fortunate people unserved. Age plays a vital role in savings and credit behavior, with the VIP missing to ensure access for young people to services.</t>
  </si>
  <si>
    <t>[Esquivias, Miguel A.; Ramandha, Muhammad Daffa; Jayanti, Ari Dwi] Univ Airlangga, Fac Econ &amp; Business, Jl Airlangga 4-6, Surabaya 60285, East Java, Indonesia; [Sethi, Nayaran] Natl Inst Technol Rourkela, Dept Humanities &amp; Social Sci, Rourkela, India</t>
  </si>
  <si>
    <t>Airlangga University; National Institute of Technology (NIT System); National Institute of Technology Rourkela</t>
  </si>
  <si>
    <t>Esquivias, MA (corresponding author), Univ Airlangga, Fac Econ &amp; Business, Jl Airlangga 4-6, Surabaya 60285, East Java, Indonesia.</t>
  </si>
  <si>
    <t>miguel@feb.unair.ac.id</t>
  </si>
  <si>
    <t>Esquivias, Miguel Angel/M-2485-2019; Sethi, Narayan/AAE-3534-2020</t>
  </si>
  <si>
    <t>Esquivias, Miguel Angel/0000-0002-1282-6163; Sethi, Narayan/0000-0003-4298-4928</t>
  </si>
  <si>
    <t>Universitas Airlangga, Surabaya, Indonesia</t>
  </si>
  <si>
    <t>This work was supported by Universitas Airlangga, Surabaya, Indonesia, through the Research Grant (Hibah Penelitian) Riset Mandat 2020.</t>
  </si>
  <si>
    <t>10.1002/bsd2.139</t>
  </si>
  <si>
    <t>SM7LU</t>
  </si>
  <si>
    <t>WOS:000568473700001</t>
  </si>
  <si>
    <t>Chen, YC; Sun, SC</t>
  </si>
  <si>
    <t>Chen, Yu-Chih; Sun, Sicong</t>
  </si>
  <si>
    <t>Gender Differences in the Relationship Between Financial Capability and Health in Later Life: Evidence From Hong Kong</t>
  </si>
  <si>
    <t>INNOVATION IN AGING</t>
  </si>
  <si>
    <t>Financial capability; Gender differences; Social determinants of health; Well-being</t>
  </si>
  <si>
    <t>SOCIAL DETERMINANTS; LITERACY; EDUCATION; GAP; AGE</t>
  </si>
  <si>
    <t>Background and Objectives Financial capability, comprising financial literacy, access, and behavior, can influence an individual's ability to effectively use financial resources, thus affecting their health and well-being. However, studies have predominantly focused on financial literacy and overlooked a more comprehensive measure of financial capability and its health impacts. Furthermore, although financial capability is shaped profoundly by gender, there is limited knowledge of the role of gender in these associations. Research Design and Methods This study investigated how gender may moderate the links between financial capability and health. The study recruited 1,109 community-dwelling adults (aged 45+) in Hong Kong to take part in an online survey employing multivariate linear and logistic regression to examine the gender differences in the associations between financial capability and physical (perceived health and mobility limitations), mental (life satisfaction and depression), and financial (retirement worry and financial satisfaction) health. Results The results showed that financial access and behavior had a more significant influence on health outcomes than financial literacy. Gender differences in financial capability were identified through simple slope analyses. Financial literacy was more important for men's self-rated health and life satisfaction, whereas financial behavior was more critical for women. Additionally, although financial access was not related to retirement worry among men, it was significantly associated with lower retirement worry among women. Discussion and Implications The findings suggest that gender-specific pathways to financial capability may lead to health disparities. Policies and programs to improve population health and well-being, particularly for women, should target financial literacy, strengthen financial inclusion, and encourage responsible financial behavior.</t>
  </si>
  <si>
    <t>[Chen, Yu-Chih] Univ Hong Kong, Dept Social Work &amp; Social Adm, Hong Kong, Peoples R China; [Chen, Yu-Chih] Washington Univ St Louis, Social Policy Inst, St Louis, MO 63130 USA; [Sun, Sicong] Univ Kansas, Sch Social Welf, Lawrence, KS USA</t>
  </si>
  <si>
    <t>University of Hong Kong; Washington University (WUSTL); University of Kansas</t>
  </si>
  <si>
    <t>Chen, YC (corresponding author), Univ Hong Kong, Dept Social Work &amp; Social Adm, Hong Kong, Peoples R China.;Chen, YC (corresponding author), Washington Univ St Louis, Social Policy Inst, St Louis, MO 63130 USA.</t>
  </si>
  <si>
    <t>yuchih@hku.hk</t>
  </si>
  <si>
    <t>Chen, Yu-Chih/J-9529-2019; Sun, Sicong/JXL-9420-2024</t>
  </si>
  <si>
    <t>Chen, Yu-Chih/0000-0002-5678-5850;</t>
  </si>
  <si>
    <t>2399-5300</t>
  </si>
  <si>
    <t>INNOV AGING</t>
  </si>
  <si>
    <t>Innov. Aging</t>
  </si>
  <si>
    <t>JUL 25</t>
  </si>
  <si>
    <t>igad072</t>
  </si>
  <si>
    <t>10.1093/geroni/igad072</t>
  </si>
  <si>
    <t>Geriatrics &amp; Gerontology; Gerontology</t>
  </si>
  <si>
    <t>Geriatrics &amp; Gerontology</t>
  </si>
  <si>
    <t>O5FE8</t>
  </si>
  <si>
    <t>WOS:001044059700001</t>
  </si>
  <si>
    <t>Kurniasari, F</t>
  </si>
  <si>
    <t>Kurniasari, Florentina</t>
  </si>
  <si>
    <t>The Effect of Financial Literacy on Financial Inclusion in Sustaining Indonesia SMEs Growth</t>
  </si>
  <si>
    <t>INDONESIAN JOURNAL OF SUSTAINABILITY ACCOUNTING AND MANAGEMENT</t>
  </si>
  <si>
    <t>financial literacy; knowledge; skill; attitude; behavior; financial inclusion.</t>
  </si>
  <si>
    <t>MEDIATOR</t>
  </si>
  <si>
    <t>As stated in UN Sustainable Development Goals (SDGs), financial inclusion is one strategy to reduce poverty in one country, including Indonesia. The Indonesian government was facing a problem in experiencing a relatively low financial inclusion index. Many Indonesians are reluctant to have business with the financial institution. Increasing the financial literacy rate among Indonesians was expected to get a higher financial inclusion index. Therefore, the main objective of this research was to analyze the effect of financial literacy with all its dimensions included: knowledge, skill, attitude, and behavior on financial inclusion. The Indonesian government had a serious commitment to accelerating economic growth by supporting the role of SMEs as the backbone of the country's economic development. In fact, many SMEs had some difficulties in getting access to formal financial institutions to support their business growth. As quantitative research, the study distributed questionnaires to 150 SMEs in culinary businesses located in South Tangerang. All data were statistically analyzed. The data collection was further processed statistically using the Structural Equation Method (SEM). The study showed that all variables of financial literacy, including knowledge, skill, attitude, and behavior had a significant effect on financial inclusion. Knowledge had the highest effect on financial inclusion. Therefore, it was an urgency to educate people and provide necessary information related to the financial products and services.</t>
  </si>
  <si>
    <t>[Kurniasari, Florentina] Univ Multimedia Nusantara, Tangerang, Indonesia</t>
  </si>
  <si>
    <t>Multimedia Nusantara University</t>
  </si>
  <si>
    <t>Kurniasari, F (corresponding author), Univ Multimedia Nusantara, Tangerang, Indonesia.</t>
  </si>
  <si>
    <t>florentina@umn.ac.id</t>
  </si>
  <si>
    <t>Kurniasari, Florentina/AAR-6990-2021</t>
  </si>
  <si>
    <t>Kurniasari, Florentina/0000-0001-5528-247X</t>
  </si>
  <si>
    <t>UNIV PASUNDAN</t>
  </si>
  <si>
    <t>BANDUNG</t>
  </si>
  <si>
    <t>JL DR SETIABUDI NO 193, GEGERKALONG, KEC SUKASARI, KOTA, BANDUNG, JAWA BARAT 40153, INDONESIA</t>
  </si>
  <si>
    <t>2597-6214</t>
  </si>
  <si>
    <t>2597-6222</t>
  </si>
  <si>
    <t>INDONES J SUSTAIN AC</t>
  </si>
  <si>
    <t>Indones. J. Sustain. Account. Manag.</t>
  </si>
  <si>
    <t>10.28992/ijsam.v7i2.169</t>
  </si>
  <si>
    <t>X0G4V</t>
  </si>
  <si>
    <t>WOS:001422241900015</t>
  </si>
  <si>
    <t>Morales-Resendiz, R; Ponce, J; Picardo, P; Velasco, A; Chen, BBY; Sanz, L; Guiborg, G; Segendorff, B; Vasquez, JL; Arroyo, J; Aguirre, I; Haynes, N; Panton, N; Griffiths, M; Pieterz, C; Hodge, A</t>
  </si>
  <si>
    <t>Morales-Resendiz, Raul; Ponce, Jorge; Picardo, Pablo; Velasco, Andres; Chen, Bobby; Sanz, Leon; Guiborg, Gabriela; Segendorff, Bjorn; Vasquez, Jose Luis; Arroyo, John; Aguirre, Illich; Haynes, Natalie; Panton, Novelette; Griffiths, Mario; Pieterz, Cedric; Hodge, Allister</t>
  </si>
  <si>
    <t>Implementing a retail CBDC: Lessons learned and key insights</t>
  </si>
  <si>
    <t>DISEASE</t>
  </si>
  <si>
    <t>Motivations for introducing a retail central bank digital currency (CBDC) could range from a rapid decline in the use of physical cash or financial inclusion strategies to an underdeveloped retail payment market. The COVID-19 pandemic and the emergence of global stablecoins proposals have heightened the interest in exploring the introduction of a rCBDC. With the aim of informing these efforts before, during and after its potential implementation, we explore recently launched pilots in three jurisdictions. We aim to provide relevant lessons on the design, operation and implementation of such a new digital form of fiat money. Notably, despite differences among jurisdictions and CBDC pilots, a series of key insights emerge from these experiences that could be useful for those thinking to launch a rCBDC.</t>
  </si>
  <si>
    <t>[Morales-Resendiz, Raul] CEMLA, Mexico City, Mexico; [Ponce, Jorge; Picardo, Pablo] Banco Cent Uruguay, Montevideo, Uruguay; [Velasco, Andres] Banco Republ, Bogota, Colombia; [Chen, Bobby] Cent Bank Bahamas, Nassau, Bahamas; [Sanz, Leon] Banco Cent Chile, Santiago, Chile; [Guiborg, Gabriela; Segendorff, Bjorn] Sveriges Riksbank, Brunkebergstorg, Sweden; [Vasquez, Jose Luis] Banco Cent Reserva Peru, Piura, Peru; [Arroyo, John; Aguirre, Illich] Banco Cent Ecuador, Ibarra, Ecuador; [Haynes, Natalie; Panton, Novelette; Griffiths, Mario] Bank Jama, Kingston, Jamaica; [Pieterz, Cedric] Cent Bank van Curacao Sint Maarten, Willemstad, Curacao; [Hodge, Allister] Eastern Caribbean Cent Bank, Basseterre, St Kitts &amp; Nevi</t>
  </si>
  <si>
    <t>Banco de la Republica Colombia</t>
  </si>
  <si>
    <t>Morales-Resendiz, R (corresponding author), CEMLA, Mexico City, Mexico.</t>
  </si>
  <si>
    <t>mmorales@cemla.org</t>
  </si>
  <si>
    <t>Velasco Santiago, Andrés/JGM-0485-2023</t>
  </si>
  <si>
    <t>Ponce, Jorge/0000-0001-7717-092X</t>
  </si>
  <si>
    <t>10.1016/j.latcb.2021.100022</t>
  </si>
  <si>
    <t>J3O8P</t>
  </si>
  <si>
    <t>WOS:001336198700005</t>
  </si>
  <si>
    <t>Niang, CT; Andrianaivo, M; Diaz, KS; Zekri, S</t>
  </si>
  <si>
    <t>Niang, CT</t>
  </si>
  <si>
    <t>Niang, Cecile T.; Andrianaivo, Mihasonirina; Diaz, Katherine S.; Zekri, Sarah</t>
  </si>
  <si>
    <t>Financial Literacy, Financial Inclusion, and Consumer Protection</t>
  </si>
  <si>
    <t>CONNECTING THE DISCONNECTED: COPING STRATEGIES OF THE FINANCIALLY EXCLUDED IN BHUTAN</t>
  </si>
  <si>
    <t>Directions in Development</t>
  </si>
  <si>
    <t>[Niang, Cecile T.; Andrianaivo, Mihasonirina] World Bank, South Asia Reg Finance &amp; Private Sect Dev Unit, Washington, DC 20433 USA; [Andrianaivo, Mihasonirina] Gen Secretariat France Telecom Orange, Paris, France; [Zekri, Sarah] World Bank, Washington, DC 20433 USA; [Zekri, Sarah] United Nations Econ Commiss Latin Amer &amp; Caribbea, Santiago, Chile</t>
  </si>
  <si>
    <t>Niang, CT (corresponding author), World Bank, South Asia Reg Finance &amp; Private Sect Dev Unit, Washington, DC 20433 USA.</t>
  </si>
  <si>
    <t>WORLD BANK INST</t>
  </si>
  <si>
    <t>1818 H ST NW, WASHINGTON, DC 20433 USA</t>
  </si>
  <si>
    <t>978-0-8213-9871-5; 978-0-8213-9834-0</t>
  </si>
  <si>
    <t>DIR DEV</t>
  </si>
  <si>
    <t>10.1596/978-0-8213-9834-0</t>
  </si>
  <si>
    <t>BC6RM</t>
  </si>
  <si>
    <t>WOS:000354440000004</t>
  </si>
  <si>
    <t>Xiao, JJ; Porto, N</t>
  </si>
  <si>
    <t>Xiao, Jing Jian; Porto, Nilton</t>
  </si>
  <si>
    <t>Financial education and financial satisfaction Financial literacy, behavior, and capability as mediators</t>
  </si>
  <si>
    <t>Behaviour; Personal finance</t>
  </si>
  <si>
    <t>COLLEGE-STUDENTS; CURRICULUM MANDATES; UNITED-STATES; KNOWLEDGE; WORKPLACE; WEALTH; INCOME; AGE</t>
  </si>
  <si>
    <t>Purpose - The purpose of this paper is to investigate roles of financial literacy, financial behavior, and financial capability as mediating factors between financial education and financial satisfaction. Design/methodology/approach - Data are from the 2012 National Financial Capability Study, a large national data set with detailed information on financial satisfaction, education, literacy, behavior, capability, and related variables. Mediation analyses are used to answer research questions. Findings - Financial education may affect financial satisfaction, a subjective measure of financial well-being, through financial literacy, financial behavior, and financial capability variables. Results show that subjective financial literacy, desirable financial behavior and a financial capability index (a sum of Z-scores of objective financial literacy, subjective financial literacy, desirable financial behavior, and perceived financial capability) are strong mediators between financial education and financial satisfaction. Research limitations/implications - The study has used cross sectional data that can only document associations between financial education and satisfaction and the mediators between them. Future research could use relevant longitudinal data to verify multiple benefits of financial education. Practical implications - The findings have implications for financial service professionals to take advantages of multiple benefits of financial education in content acquisition, confidence in knowledge and ability, and action taking when they communicate with their clients. Social implications - Policy makers on consumer financial education may use the information to advocate and promote effective education programs to improve consumer financial well-being. Originality/value - This study is the first of this kind to examine the association between financial education and financial satisfaction and several financial capability variables as mediating factors.</t>
  </si>
  <si>
    <t>[Xiao, Jing Jian; Porto, Nilton] Univ Rhode Isl, Dept Human Dev &amp; Family Studies, Consumer Finance, Kingston, RI 02881 USA</t>
  </si>
  <si>
    <t>University of Rhode Island</t>
  </si>
  <si>
    <t>Xiao, JJ (corresponding author), Univ Rhode Isl, Dept Human Dev &amp; Family Studies, Consumer Finance, Kingston, RI 02881 USA.</t>
  </si>
  <si>
    <t>XIAO@URI.EDU</t>
  </si>
  <si>
    <t>Porto, Nilton/AFR-4800-2022; Xiao, Jing Jian/R-1415-2016</t>
  </si>
  <si>
    <t>Porto, Nilton/0000-0002-7020-2279;</t>
  </si>
  <si>
    <t>10.1108/IJBM-01-2016-0009</t>
  </si>
  <si>
    <t>FC6RY</t>
  </si>
  <si>
    <t>WOS:000406970300004</t>
  </si>
  <si>
    <t>Liang, CA; Du, GM; Cui, ZD; Faye, B</t>
  </si>
  <si>
    <t>Liang, Chang'an; Du, Guoming; Cui, Zhaoda; Faye, Bonoua</t>
  </si>
  <si>
    <t>Does Digital Inclusive Finance Enhance the Creation of County Enterprises? Taking Henan Province as a Case Study</t>
  </si>
  <si>
    <t>digital inclusive finance; micro and small enterprises; financing constraints; mobile payments; rural revitalization</t>
  </si>
  <si>
    <t>ENTREPRENEURSHIP; CONSTRAINTS; MATTER; CHINA</t>
  </si>
  <si>
    <t>The broad inclusiveness of digital inclusive finance is essential for promoting coordinated regional development. This paper focuses on the impact of digital inclusive finance on creating county enterprises, discussing its heterogeneity in terms of region and type of entrepreneurship and revealing the mechanisms by which this set of impacts works. The methodology integrates the 2015-2020 Peking University Digital Inclusive Finance Index, business registration data from the industrial and commercial sectors and statistics from counties in Henan Province. The results show that digital inclusive finance can significantly promote the creation of county enterprises. All secondary dimension indices show positive effects; this result remains when replacing the core explanatory variables and lagged terms. Heterogeneity analysis finds no significant heterogeneity in the entrepreneurial effect of digital inclusive finance between urban and rural areas and types of entrepreneurship. The mechanism analysis finds that digital inclusive finance can promote the creation of county enterprises through two paths: improved financing and mobile payment. These findings reveal that we should use digital inclusive finance to improve the breadth and depth of financial services within the county and take advantage of its mobile payments to promote micro and small businesses.</t>
  </si>
  <si>
    <t>[Liang, Chang'an; Du, Guoming; Cui, Zhaoda; Faye, Bonoua] Northeast Agr Univ, Sch Econ &amp; Management, Harbin 150030, Peoples R China; [Du, Guoming] Northeast Agr Univ, Sch Publ Adm &amp; Law, Harbin 150030, Peoples R China</t>
  </si>
  <si>
    <t>Northeast Agricultural University - China; Northeast Agricultural University - China</t>
  </si>
  <si>
    <t>Du, GM (corresponding author), Northeast Agr Univ, Sch Econ &amp; Management, Harbin 150030, Peoples R China.;Du, GM (corresponding author), Northeast Agr Univ, Sch Publ Adm &amp; Law, Harbin 150030, Peoples R China.</t>
  </si>
  <si>
    <t>nmgdgm@126.com</t>
  </si>
  <si>
    <t>; Faye, Bonoua/IAQ-3021-2023</t>
  </si>
  <si>
    <t>liang, changan/0009-0008-2606-165X; Du, Guoming/0009-0004-7028-8852; Faye, Bonoua/0000-0003-4465-6792</t>
  </si>
  <si>
    <t>National Social Science Foundation of China [21BJY209]</t>
  </si>
  <si>
    <t>This work was supported by National Social Science Foundation of China, No.21BJY209.</t>
  </si>
  <si>
    <t>10.3390/su142114542</t>
  </si>
  <si>
    <t>6I4VZ</t>
  </si>
  <si>
    <t>WOS:000886127500001</t>
  </si>
  <si>
    <t>Shaikh, AA; Glavee-Geo, R; Karjaluoto, H; Hinson, RE</t>
  </si>
  <si>
    <t>Shaikh, Aijaz A.; Glavee-Geo, Richard; Karjaluoto, Heikki; Hinson, Robert Ebo</t>
  </si>
  <si>
    <t>Mobile money as a driver of digital financial inclusion</t>
  </si>
  <si>
    <t>Stimulus-organism-response theory; Empowerment; Mobile money agent; Mobile money technology; Continuous usage; Africa</t>
  </si>
  <si>
    <t>SERVICE QUALITY; CONSUMER EMPOWERMENT; SOURCE CREDIBILITY; SOCIAL MEDIA; CONTINUANCE INTENTION; CUSTOMER ENGAGEMENT; BRAND ENGAGEMENT; ONLINE; IMPACT; MODEL</t>
  </si>
  <si>
    <t>Meeting the mobile money needs of the less privileged in developing and emerging markets opens up enormous possibilities for banks and newly emerged financial-technology firms. Many consider mobile money services a separate domain within the banking and payment sector, different from its siblings: automated teller machines, net banking, point-of-sale banking, etc. This study was conducted to investigate how mobile money services act as a reliable driver of digital financial inclusion and to determine the role of mobile money agents in the transformation from the traditional services to mobile money services. This paper presents a conceptual model based on the stimulus-organism-response paradigm. We propose that the mobile money agent characteristics are the stimuli, that the mobile money customer is the organism, and that the response of the organism to the stimuli is continuous usage, which leads to financial inclusion in the developing country of Ghana. The continuous usage of mobile money services by customers encourages more engagement experiences and advocacy intentions. We provide empirical evidence suggesting that mobile money agent credibility and service quality stimulate customer empowerment. Furthermore, we argue that for the less financially empowered customer segment, mobile money agent credibility provides the needed impetus for the continuous usage of mobile money services.</t>
  </si>
  <si>
    <t>[Shaikh, Aijaz A.; Karjaluoto, Heikki] Univ Jyvaskyla, Jyvaskyla Univ Sch Business &amp; Econ, PO B35, Jyvaskyla 40014, Finland; [Glavee-Geo, Richard] Norwegian Univ Sci &amp; Technol, Fac Econ &amp; Management, Dept Int Business, Alesund, Norway; [Hinson, Robert Ebo] Ghana Commun Technol Univ, Accra, Ghana; [Hinson, Robert Ebo] Univ Free State Business Sch, Bloemfontein, South Africa</t>
  </si>
  <si>
    <t>University of Jyvaskyla; Norwegian University of Science &amp; Technology (NTNU)</t>
  </si>
  <si>
    <t>Shaikh, AA (corresponding author), Univ Jyvaskyla, Jyvaskyla Univ Sch Business &amp; Econ, PO B35, Jyvaskyla 40014, Finland.</t>
  </si>
  <si>
    <t>aijaz.a.shaikh@jyu.fi; rigl@ntnu.no; heikki.karjaluoto@jyu.fi; rehinson@gctu.edu.gh</t>
  </si>
  <si>
    <t>Karjaluoto, Heikki/M-4488-2014; Shaikh, Aijaz/ABG-8448-2021</t>
  </si>
  <si>
    <t>Karjaluoto, Heikki/0000-0002-5696-7355;</t>
  </si>
  <si>
    <t>10.1016/j.techfore.2022.122158</t>
  </si>
  <si>
    <t>N3AU1</t>
  </si>
  <si>
    <t>Green Accepted, hybrid</t>
  </si>
  <si>
    <t>WOS:001035789900001</t>
  </si>
  <si>
    <t>Boitano, G; Abanto, DF</t>
  </si>
  <si>
    <t>Boitano, Guillermo; Franco Abanto, Deyvi</t>
  </si>
  <si>
    <t>Challenges of financial inclusion policies in Peru</t>
  </si>
  <si>
    <t>Financial inclusion; poverty; financial education; financial exclusion; bank concentration</t>
  </si>
  <si>
    <t>DETERMINANTS; BANKING; INEQUALITY</t>
  </si>
  <si>
    <t>The purpose of the research is to identify the main determinants of financial inclusion in Peru at the department level (without Lima) from 2010 to 2017, aiming to analyze the challenges faced by financial inclusion policies. A two-stage GMM method was used to estimate a panel data model where the endogenous variable is Sarma's financial inclusion index (2008). The results indicate that bank concentration is the main variable affecting financial inclusion. At the same time, although the effect of technology is positive, it is diminishing over time due to the inefficient deployment of such technology and, in many cases, a lack of knowledge on how to use it, especially in the remote areas of Peru.</t>
  </si>
  <si>
    <t>[Boitano, Guillermo] Univ Lima, Fac Management Sci &amp; Econ, Business Adm &amp; Management, Lima, Peru; [Boitano, Guillermo] Univ Lima, Fac Management Sci &amp; Econ, Area Banking &amp; Finance, Lima, Peru; [Franco Abanto, Deyvi] Ctr Studies Banking &amp; Finance CEByF, Econ Observ, Lima, Peru</t>
  </si>
  <si>
    <t>Universidad de Lima; Universidad de Lima</t>
  </si>
  <si>
    <t>Boitano, G (corresponding author), Univ Lima, Fac Management Sci &amp; Econ, Business Adm &amp; Management, Lima, Peru.;Boitano, G (corresponding author), Univ Lima, Fac Management Sci &amp; Econ, Area Banking &amp; Finance, Lima, Peru.</t>
  </si>
  <si>
    <t>gboitano@ulima.edu.pe; 20072097@aloe.ulima.edu.pe</t>
  </si>
  <si>
    <t>BOITANO, GUILLERMO/0000-0001-7159-4318; Abanto Aranda, Deyvi/0000-0002-9524-9145</t>
  </si>
  <si>
    <t>JAN-JUN</t>
  </si>
  <si>
    <t>10.14718/revfinanzpolitecon.v12.n1.2020.3177</t>
  </si>
  <si>
    <t>PZ8QU</t>
  </si>
  <si>
    <t>WOS:000613013600004</t>
  </si>
  <si>
    <t>Samreth, S; Aiba, D; Phal, V</t>
  </si>
  <si>
    <t>Samreth, Sovannroeun; Aiba, Daiju; Phal, Vandy</t>
  </si>
  <si>
    <t>Financial Literacy Among Microfinance Borrowers: Its Importance and Determinants From a Household Survey in Cambodia</t>
  </si>
  <si>
    <t>financial literacy; microfinance; social capital</t>
  </si>
  <si>
    <t>Financial inclusion can play an important role in reducing poverty and improving people's living standards in developing countries. Microfinance has significantly contributed to financial inclusion in Cambodia, but issues like the high debt burden among borrowers, especially those with inadequate financial literacy, have emerged. Borrowers with inadequate financial literacy often underestimate loan repayments and borrow at high interest rates for consumption and other unproductive uses. Understanding the level of financial literacy and the factors that influence it among microfinance borrowers in Cambodia is important for policy making. Using data and information from a household survey in 2021, our study examines the financial literacy landscape among microfinance borrowers in Cambodia and explores the factors influencing their financial literacy levels, focusing on personal and household characteristics. The findings provide insights for enhancing financial literacy and financial inclusion in Cambodia. From our analysis, we confirm (1) the importance of financial literacy in reducing access to informal finance, (2) a positive correlation between years of general education and financial literacy, (3) an association between poor households and lower financial literacy, and (4) a positive relationship between higher social capital (the social network within a community) and higher financial literacy.</t>
  </si>
  <si>
    <t>[Samreth, Sovannroeun] Saitama Univ, Grad Sch Humanities &amp; Social Sci, Saitama, Japan; [Samreth, Sovannroeun; Aiba, Daiju] JICA Ogata Sadako Res Inst Peace &amp; Dev, Tokyo, Japan; [Aiba, Daiju] Natl Bank Cambodia, Phnom Penh, Cambodia</t>
  </si>
  <si>
    <t>Saitama University</t>
  </si>
  <si>
    <t>Samreth, S (corresponding author), Saitama Univ, Grad Sch Humanities &amp; Social Sci, Saitama, Japan.;Samreth, S (corresponding author), JICA Ogata Sadako Res Inst Peace &amp; Dev, Tokyo, Japan.</t>
  </si>
  <si>
    <t>roeun99@mail.saitama-u.ac.jp</t>
  </si>
  <si>
    <t>JICA Research Institute; JSPS KAKENHI Grant [22K01474]</t>
  </si>
  <si>
    <t>JICA Research Institute; JSPS KAKENHI Grant(Ministry of Education, Culture, Sports, Science and Technology, Japan (MEXT)Japan Society for the Promotion of ScienceGrants-in-Aid for Scientific Research (KAKENHI))</t>
  </si>
  <si>
    <t>This research is part of the project The Study on the Promotion of Financial Inclusion in Cambodia by the JICA Ogata Research Institute. It is supported in part by JSPS KAKENHI Grant Number 22K01474. We are grateful to the Cambodia Microfinance Association's assistance with the survey. We also wish to acknowledge the constructive comments and suggestions provided by an anonymous reviewer of this journal, as well as by participants in the conference organized by the Cambodia Microfinance Association on October 28, 2022. Any errors are solely our responsibility. The views expressed in this study are those of the authors and do not necessarily reflect those of the institutions with which we are affiliated.</t>
  </si>
  <si>
    <t>2025 NOV 3</t>
  </si>
  <si>
    <t>10.1111/rode.70073</t>
  </si>
  <si>
    <t>9GZ8S</t>
  </si>
  <si>
    <t>WOS:001606143100001</t>
  </si>
  <si>
    <t>Urooj, S; Luo, G; Ullah, A</t>
  </si>
  <si>
    <t>Urooj, Shama; Luo, Guang; Ullah, Atta</t>
  </si>
  <si>
    <t>Empowering sustainable future in the wake of COVID-19 and beyond: insights from a novel gender equality financial inclusion and its determinants in Asia and Africa</t>
  </si>
  <si>
    <t>Financial inclusion; Women empowerment; Education; Economic growth; Gender inequality; Sustainable development goals (SDGs); D31; G53; I24; I31</t>
  </si>
  <si>
    <t>INEQUALITY; MICROFINANCE; COUNTRY</t>
  </si>
  <si>
    <t>Considering how important financial inclusion and gender equality is in the United Nations' 2030 sustainable development goals (SDGs), we formulate a new gender equality-based financial inclusion index by incorporating its three dimensions: access, use, and quality. Using panel data for year 2020 and 2021 observations from 55 countries in Asia and Africa, we explore whether education, the use of mobile banking technology, and access to credit (borrowing) are related to the financial inclusion index. Additionally, we use the interaction effects of the stringency index to represent the restrictions introduced by the governments during COVID-19. This study employed a Two stage least square instrumental variable (2SLS IV) regression econometric approach. Considering the endogeneity issue and confirming its robustness, this research supports that education, borrowing (access to credit), income distribution inequality, use of technology (mobile banking), and the human development index are all factors that influence financial inclusion based on gender equality in Asia and African region. The majority of women in Asia and African regions, due to their lack of education, face problems of access to and actual use of financial services. However, several plans are underway to enhance their accessibility for financial products. Specific plans regarding financial inclusion may be changed to make it easier to use technology and get loans. The study findings are helpful for designing and executing education promotional and women empowering specific policies.</t>
  </si>
  <si>
    <t>[Urooj, Shama; Luo, Guang; Ullah, Atta] Huazhong Univ Sci &amp; Technol, Wuhan, Peoples R China</t>
  </si>
  <si>
    <t>Huazhong University of Science &amp; Technology</t>
  </si>
  <si>
    <t>Ullah, A (corresponding author), Huazhong Univ Sci &amp; Technol, Wuhan, Peoples R China.</t>
  </si>
  <si>
    <t>Shama_urooj123@hotmail.com; attaullah142@gmail.com</t>
  </si>
  <si>
    <t>Ullah, Atta/NHQ-3671-2025</t>
  </si>
  <si>
    <t>10.1057/s41264-025-00299-7</t>
  </si>
  <si>
    <t>S1C6K</t>
  </si>
  <si>
    <t>WOS:001395695300001</t>
  </si>
  <si>
    <t>Yang, L; Zhang, YT</t>
  </si>
  <si>
    <t>Yang, Liu; Zhang, Youtang</t>
  </si>
  <si>
    <t>Digital Financial Inclusion and Sustainable Growth of Small and Micro Enterprises-Evidence Based on China's New Third Board Market Listed Companies</t>
  </si>
  <si>
    <t>digital financial inclusion; small and micro enterprises; sustainable growth; Emerging economies</t>
  </si>
  <si>
    <t>CONSTRAINTS; COSTS</t>
  </si>
  <si>
    <t>The United Nations' 2030 Agenda for Sustainable Development aims to promote inclusive and sustainable economic growth and encourage the formalization and growth of micro, small, and medium enterprises through access to financial services. This study examines the impact and mechanism of the digital financial inclusion on the sustainable growth of small and micro enterprises in China. For this purpose, it uses the data from China's New Third Board Market listed companies from 2011 to 2018 and the digital financial inclusion index of Peking University. The results show that the development of digital financial inclusion helps promote the sustainable growth of small and micro businesses, particularly in private, high-tech industries, and competitive markets. The impact mechanism of this development prevents any financial crisis caused by the capital structure imbalance and capital liquidity problems of small and micro enterprises by alleviating the financing constraints, thus promoting their sustainable growth. The research results show that, under the background of high-quality development of China's economy, continuous promotion of digital financial inclusion and reshaping of the ecological pattern of the financial industry can provide steady financial support for the sustainable growth of small and micro enterprises, and realize the healthy development of micro enterprises and macro economy.</t>
  </si>
  <si>
    <t>[Yang, Liu; Zhang, Youtang] Wuhan Univ Technol, Sch Management, Wuhan 430070, Peoples R China</t>
  </si>
  <si>
    <t>Wuhan University of Technology</t>
  </si>
  <si>
    <t>Yang, L (corresponding author), Wuhan Univ Technol, Sch Management, Wuhan 430070, Peoples R China.</t>
  </si>
  <si>
    <t>yangliu199114@126.com; zyt@whut.edu.cn</t>
  </si>
  <si>
    <t>Chinese National Funding of Social Sciences [15AGL008]</t>
  </si>
  <si>
    <t>Chinese National Funding of Social Sciences</t>
  </si>
  <si>
    <t>This research was funded by Chinese National Funding of Social Sciences, grant number No.15AGL008.</t>
  </si>
  <si>
    <t>10.3390/su12093733</t>
  </si>
  <si>
    <t>LU0TK</t>
  </si>
  <si>
    <t>WOS:000537476200231</t>
  </si>
  <si>
    <t>Omotubora, A</t>
  </si>
  <si>
    <t>Omotubora, Adekemi</t>
  </si>
  <si>
    <t>Same Naira, More Possibilities! Assessing the Legal Status of the eNaira and Its Potential for Privacy and Inclusion</t>
  </si>
  <si>
    <t>central bank digital currency (CBDC); central banks; Central Bank of Nigeria (CBN); financial inclusion; privacy; data protection; legal tender</t>
  </si>
  <si>
    <t>On 25 October 2021, Nigeria became the second country in the world, and the first in Africa, to launch a central bank digital currency. Launched with the tag line Same Naira. More possibilities, the Central Bank of Nigeria publicized the eNaira as having the capability to deepen financial inclusion, reduce the cost of financial transactions and support a more efficient payment system. However, more than one year after its launch, its usage is yet to gain a critical mass. This article identifies the significant challenges that make the eNaira unacceptable and potentially ineffective. First, its status as legal tender is questionable; secondly, it undermines privacy, a critical component of physical cash. Thirdly, it is incapable of wide acceptance by individuals and entities across Nigeria. The article explains each of these challenges and proposes a roadmap to the eNaira's acceptance and effectiveness.</t>
  </si>
  <si>
    <t>[Omotubora, Adekemi] Univ Lagos, Dept Commercial &amp; Ind Law, Lagos, Nigeria</t>
  </si>
  <si>
    <t>University of Lagos</t>
  </si>
  <si>
    <t>Omotubora, A (corresponding author), Univ Lagos, Dept Commercial &amp; Ind Law, Lagos, Nigeria.</t>
  </si>
  <si>
    <t>aomotubora@unilag.edu.ng</t>
  </si>
  <si>
    <t>Omotubora, Adekemi/KGL-4326-2024</t>
  </si>
  <si>
    <t>Omotubora, Adekemi/0000-0002-5297-1816</t>
  </si>
  <si>
    <t>10.1017/S0021855324000044</t>
  </si>
  <si>
    <t>TA1N6</t>
  </si>
  <si>
    <t>WOS:001192270500001</t>
  </si>
  <si>
    <t>Nefla, D; Hassan, R; Jellouli, S; Ben Thabet, S</t>
  </si>
  <si>
    <t>Nefla, Dhouha; Hassan, Rohail; Jellouli, Sana; Ben Thabet, Safa</t>
  </si>
  <si>
    <t>Financial Inclusion as a Sustainable Development Imperative in Africa: Trends, Gaps, and Future Directions</t>
  </si>
  <si>
    <t>Review; Early Access</t>
  </si>
  <si>
    <t>African countries; bibliometric analysis; climate resilience; digital financial services; financial inclusion; financial resilience; innovation; poverty; sustainable development</t>
  </si>
  <si>
    <t>BIBLIOMETRIC ANALYSIS; MOBILE MONEY; ACCESS; MICROFINANCE; DETERMINANTS; SERVICES; IMPACT; TRUST; WOMEN; TOOL</t>
  </si>
  <si>
    <t>Financial inclusion is vital for sustainable development across Africa, where digital innovations are transforming access to finance and sparking growing research attention. This paper conducts a bibliometric and content analysis of African financial inclusion research, drawing on 554 articles from the Web of Science Core Collection, renowned for its reliable and comprehensive coverage, to map the field's evolution from its first publication (2011-2025). Using performance indicators, co-citation networks, and thematic mapping, our analysis reveals a rapidly expanding research field. South Africa and Ghana are the leading contributors, with research concentrated around four key themes: the socio-economic effects of financial inclusion, digital finance adoption, linkages to sustainable development, and financial resilience in the face of climate change. By integrating these research streams into a conceptual framework, the study provides a foundation for four strategic policy priorities: expanding inclusion in the poorest countries, improving cross-border financial regulation, supporting context-specific digital innovation, and strengthening financial literacy. These findings deliver robust empirical and practical guidance to guide policymakers and financial institutions in building inclusive, evidence-based financial systems aligned with Africa's SDGs.</t>
  </si>
  <si>
    <t>[Nefla, Dhouha] Univ Tunis, Higher Sch Econ &amp; Business Sci Tunis, LARIME Lab, Tunis, Tunisia; [Hassan, Rohail] Univ Utara Malaysia, Othman Yeop Abdullah Grad Sch Business OYAGSB, Kuala Lumpur, Malaysia; [Hassan, Rohail] VIZJA Univ, Sch Business, Warsaw, Poland; [Jellouli, Sana] Univ Carthage, Carthage High Commercial Studies Inst, PRESTIGE Lab, Tunis, Tunisia; [Ben Thabet, Safa] Univ Tunis El Manar, Fac Econ &amp; Management Tunis, IFGT Lab, Tunis, Tunisia</t>
  </si>
  <si>
    <t>Universite de Tunis; Universiti Utara Malaysia; Universite de Carthage; Universite de Tunis-El-Manar</t>
  </si>
  <si>
    <t>Hassan, R (corresponding author), Univ Utara Malaysia, Othman Yeop Abdullah Grad Sch Business OYAGSB, Kuala Lumpur, Malaysia.;Hassan, R (corresponding author), VIZJA Univ, Sch Business, Warsaw, Poland.</t>
  </si>
  <si>
    <t>rohail.hassan@uum.edu.my</t>
  </si>
  <si>
    <t>Hassan, Rohail/G-1213-2015; JELLOULI, Sana/KLY-4879-2024; Nefla, Dhouha/NRY-8896-2025; Benthabet, Safa/IAR-0386-2023</t>
  </si>
  <si>
    <t>2025 NOV 30</t>
  </si>
  <si>
    <t>10.1002/sd.70491</t>
  </si>
  <si>
    <t>I7887</t>
  </si>
  <si>
    <t>WOS:001626898200001</t>
  </si>
  <si>
    <t>Enhancing farmers' resilience to climate change-induced impacts through financial inclusion in Sidama region, southern Ethiopia</t>
  </si>
  <si>
    <t>CLIMATE AND DEVELOPMENT</t>
  </si>
  <si>
    <t>Financial inclusion; climate resilience; mobile money services; account ownership; access to credit</t>
  </si>
  <si>
    <t>CHANGE ADAPTATION; MICROFINANCE; VARIABILITY</t>
  </si>
  <si>
    <t>Building climate resilience is vital owing to the potentially severe effect of climate change. However, there is limited empirical evidence on the contribution of financial inclusion to climate resilience using household-level data. This paper adds to the literature by examining the potential role of financial inclusion in building farm households' climate resilience. The study uses semi-structured interviews and structured questionnaires to collect relevant data from the Sidama region in southern Ethiopia. Principal component analysis is used to estimate a climate resilience index, and multiple linear regression is used to show the effect of financial inclusion on climate resilience. The results show that financial inclusion significantly and positively affects households' climate resilience by increasing their asset ownership and diversification of income. Ownership of bank and microfinance institution accounts, mobile money services, and access to credit are the major financial services that contribute to climate resilience. However, there are certain factors limiting farm households' level of financial inclusion. Thus, if the full potential of financial inclusion in building climate resilience is to be achieved, different strategies should be devised to increase its level and outreach.</t>
  </si>
  <si>
    <t>[Bekele, Wuddasie Dereje] Norwegian Univ Life Sci, Sch Econ &amp; Business, As, Norway</t>
  </si>
  <si>
    <t>Bekele, WD (corresponding author), Norwegian Univ Life Sci, Sch Econ &amp; Business, As, Norway.</t>
  </si>
  <si>
    <t>1756-5529</t>
  </si>
  <si>
    <t>1756-5537</t>
  </si>
  <si>
    <t>CLIM DEV</t>
  </si>
  <si>
    <t>Clim. Dev.</t>
  </si>
  <si>
    <t>FEB 7</t>
  </si>
  <si>
    <t>10.1080/17565529.2023.2203675</t>
  </si>
  <si>
    <t>Development Studies; Environmental Studies</t>
  </si>
  <si>
    <t>Development Studies; Environmental Sciences &amp; Ecology</t>
  </si>
  <si>
    <t>EZ3O5</t>
  </si>
  <si>
    <t>WOS:000976097300001</t>
  </si>
  <si>
    <t>Rini, AN; Rahadiantino, L</t>
  </si>
  <si>
    <t>Rini, Ariska Nurfajar; Rahadiantino, Lienggar</t>
  </si>
  <si>
    <t>FINANCIAL INCLUSION OF HOUSEHOLDS IN INDONESIA</t>
  </si>
  <si>
    <t>mobile phone; financial inclusion; Indonesia</t>
  </si>
  <si>
    <t>MICROFINANCE; POVERTY</t>
  </si>
  <si>
    <t>There is extensive attention on financial inclusion and its benefits, recently strategy to stimulate financial inclusion has focused on innovation and technology penetration. This paper analyzes the effect of financial inclusion on a household's income and the role of cellphone and internet access in household financial inclusion in Indonesia. We develop the financial deprivation of each household to calculate financial exclusion. The Indonesia Family Life Survey year 2014 data are utilized in this paper. Our methodology is Ordinary Least Square (OLS) to examine how the role of financial institutions affects a household's income. In the second model, we use Probit estimation to determine the likelihood of household financial deprivation due to cellphone and internet access. We also check the robustness of previous models using Propensity Score Matching (PSM) estimation. Our estimation results found that financial exclusion has a highly significant impact on a specific group of households. With middle-level income households, the financial exclusion would deprive income of almost 80 percent. This finding explains that middle welfare households benefited more from financial inclusion than households in the poorest and the wealthiest group. Another result found that cellphone and mobile banking significantly impact decreasing financial deprivation, respectively.</t>
  </si>
  <si>
    <t>[Rini, Ariska Nurfajar] Univ Diponegoro, Fac Econ &amp; Business, Semarang 50275, Central Java, Indonesia; [Rahadiantino, Lienggar] Inst Teknol Sepuluh Nopember, Fac Business &amp; Technol Management, Surabaya, Indonesia</t>
  </si>
  <si>
    <t>Diponegoro University; Institut Teknologi Sepuluh Nopember</t>
  </si>
  <si>
    <t>Rini, AN (corresponding author), Univ Diponegoro, Fac Econ &amp; Business, Semarang 50275, Central Java, Indonesia.</t>
  </si>
  <si>
    <t>ariskanurfajarrini@lecturer.undip.ac.id</t>
  </si>
  <si>
    <t>Rini, Ariska Nurfajar/0000-0002-8259-3326</t>
  </si>
  <si>
    <t>10.33736/ijbs.5967.2023</t>
  </si>
  <si>
    <t>HP5A2</t>
  </si>
  <si>
    <t>WOS:001160709300015</t>
  </si>
  <si>
    <t>Bongomin, GOC; Munene, JC; Yourougou, P</t>
  </si>
  <si>
    <t>Okello Candiya Bongomin, George; Munene, John C.; Yourougou, Pierre</t>
  </si>
  <si>
    <t>Examining the role of financial intermediaries in promoting financial literacy and financial inclusion among the poor in developing countries: Lessons from rural Uganda</t>
  </si>
  <si>
    <t>microfinance banks; financial literacy programs; financial inclusion; developing countries; poor households; financial decisions and choices</t>
  </si>
  <si>
    <t>KNOWLEDGE; SERVICES; GROWTH; ACCESS</t>
  </si>
  <si>
    <t>The main purpose of this study is to establish the mediating role of financial intermediaries in the relationship between financial literacy and financial inclusion of the poor in developing countries with data from rural Uganda. The data for this study were analyzed using Partial Least Square (PLS). The results revealed that financial intermediaries significantly mediates the relationship between financial literacy and financial inclusion. The presence of financial intermediaries such as microfinance banks enhance financial literacy to increase the scope of financial inclusion of the poor in rural Uganda. Thus, policy makers and advocates of financial literacy, especially in developing countries should use financial intermediaries such as microfinance banks to roll out financial literacy programs. This can be achieved through provision of financial literacy clinics, workshops and seminars where the poor can learn about personal finance using hands-on approach. This will help them to make wise financial decisions and choices towards consumption of complex financial products offered by the rural-based financial institutions.</t>
  </si>
  <si>
    <t>[Okello Candiya Bongomin, George; Munene, John C.] Makerere Univ, Sch Business, Fac Grad Studies &amp; Res, Kampala, Uganda; [Yourougou, Pierre] Natl Polytech Inst Felix Houphouet Boigny, Yamoussoukro, Cote Ivoire</t>
  </si>
  <si>
    <t>Makerere University; Institut National Polytechnique Felix Houphouet-Boigny</t>
  </si>
  <si>
    <t>abaikol3@yahoo.co.uk; kigozimunene@gmail.com; pyourougou@msn.com</t>
  </si>
  <si>
    <t>10.1080/23322039.2020.1761274</t>
  </si>
  <si>
    <t>ME2FB</t>
  </si>
  <si>
    <t>WOS:000544474100001</t>
  </si>
  <si>
    <t>Yurtkur, AK; Kilic, Y; Bugan, MF; Dibooglu, S; Cevik, EI</t>
  </si>
  <si>
    <t>Yurtkur, Asuman Koc; Kilic, Yunus; Bugan, Mehmet Fatih; Dibooglu, Sel; Cevik, Emrah I.</t>
  </si>
  <si>
    <t>The impact of financial literacy on financial development: A cross-country analysis</t>
  </si>
  <si>
    <t>Financial literacy; Financial development; Financial education; Cross-country analysis</t>
  </si>
  <si>
    <t>MARKET PARTICIPATION; ECONOMIC LITERACY; BEHAVIOR; CONSEQUENCES; INVESTMENT; COGNITION; ACCESS</t>
  </si>
  <si>
    <t>This study investigates the impact of financial literacy on financial development across a large set of countries, utilizing data from the Global Financial Inclusion and Consumer Protection (GFICP) surveys conducted in 2017 and 2022. Using baseline OLS regressions, the results reveal that financial literacy significantly enhances financial development, particularly in upper-middle-, lower-middle-, and low-income countries. The study also highlights regional variations, with the East Asia and Pacific region demonstrating the most substantial positive relationship. Additionally, the quantile regression analysis indicates that the effect of financial literacy on financial development is more pronounced in countries with either highly developed or underdeveloped financial systems. These results underscore the importance of designing context-specific financial education policies, particularly in developing economies, where improvements in foundational financial knowledge can play a catalytic role in strengthening financial systems.</t>
  </si>
  <si>
    <t>[Yurtkur, Asuman Koc] Zonguldak Bulent Ecevit Univ, Dept Econ, Zonguldak, Turkiye; [Kilic, Yunus] Akdeniz Univ, Dept Insurance, Antalya, Turkiye; [Bugan, Mehmet Fatih] Gaziantep Univ, Dept Publ Finance, Gaziantep, Turkiye; [Dibooglu, Sel] Missouri Western State Univ, Craig Sch Business, 4525 Downs Dr, St Joseph, MO 64507 USA; [Cevik, Emrah I.] Tekirdag Namik Kemal Univ, Dept Econ, Tekirdag, Turkiye</t>
  </si>
  <si>
    <t>Zonguldak Bulent Ecevit University; Akdeniz University; Gaziantep University; Namik Kemal University</t>
  </si>
  <si>
    <t>Dibooglu, S (corresponding author), Missouri Western State Univ, Craig Sch Business, 4525 Downs Dr, St Joseph, MO 64507 USA.</t>
  </si>
  <si>
    <t>asuman.ky@beun.edu.tr; yunuskilic@akdeniz.edu.tr; mfbugan@gantep.edu.tr; sdibooglu@missouriwestern.edu; eicevik@nku.edu.tr</t>
  </si>
  <si>
    <t>Dibooglu, Sel/AAJ-4102-2020; Cevik, Emrah/K-1967-2019; Kılıç, Yunus/AAD-2513-2019; yurtkur, asuman/AAC-8497-2019; Bugan, Mehmet/L-5579-2019</t>
  </si>
  <si>
    <t>10.1016/j.bir.2025.10.017</t>
  </si>
  <si>
    <t>WOS:001637944900009</t>
  </si>
  <si>
    <t>Johnen, C; Mader, A; Nsengumuremyi, A; Musshoff, O</t>
  </si>
  <si>
    <t>Johnen, Constantin; Mader, Anna; Nsengumuremyi, Albert; Musshoff, Oliver</t>
  </si>
  <si>
    <t>Financial inclusion along the Rural-Urban Continuum: Empirical evidence from a decomposition analysis in Kenya between 2012 and 2021</t>
  </si>
  <si>
    <t>Inequality; Financial inclusion; Mobile money; Conventional banking; Rurality</t>
  </si>
  <si>
    <t>MOBILE MONEY; POVERTY; INFRASTRUCTURE; DETERMINANTS; CREDIT; ACCESS; IMPACT; COSTS; ROADS; LONG</t>
  </si>
  <si>
    <t>People in extremely rural areas may face substantially higher levels of financial exclusion than rural averages suggest. Formulating efficient policy measures hence requires a more nuanced understanding of spatial differences in financial inclusion beyond mere averages of rural-urban differences. This study is the first to investigate inequality of financial inclusion along a rural-urban continuum. Using two nationally representative surveys from Kenya collected in 2012 and 2021, we first quantify the overall levels of spatial inequality for both conventional and digital financial inclusion. To do so, we calculate concentration indices (CIs) and make pairwise comparisons between the most rural and most urban areas. We then investigate the spatial inequality across 12 variables, which were previously identified to be important determinants of financial inclusion. Lastly, we estimate which variables are the most important contributors to spatial inequality. We find that both conventional and digital financial inclusion are statistically significantly concentrated among more urban areas compared to more rural areas. These inequality estimates are similar for both types of financial inclusion and persistent over time. Average rural-urban differences are substantially lower than differences between the most urban and most rural quintile of the continuum. Important determinants of both financial inclusion types, such as education, wealth, mobile phone ownership, and trust exhibit persistent and high levels of spatial inequality. Congruently, we find that to decrease spatial inequality in financial inclusion, policy makers should prioritize decreasing spatial inequality of all four aforementioned variables. Researchers should consider the degree of rurality on a continuum rather than a binary rural-urban definition. Results are robust against different econometric strategies, different measurements of inequality, and different specifications of both financial inclusion and the rural-urban continuum.</t>
  </si>
  <si>
    <t>[Johnen, Constantin; Mader, Anna; Nsengumuremyi, Albert; Musshoff, Oliver] Univ Goettingen, Dept Agr Econ &amp; Rural Dev, Gottingen, Germany</t>
  </si>
  <si>
    <t>Johnen, C (corresponding author), Univ Goettingen, Dept Agr Econ &amp; Rural Dev, Gottingen, Germany.</t>
  </si>
  <si>
    <t>Constantin.johnen@uni-goettingen.de; anna.mader@uni-goettingen.de; albert.nsengumuremyi@uni-goettingen.de; Oliver.Musshoff@agr.uni-goettingen.de</t>
  </si>
  <si>
    <t>Mußhoff, Oliver/AAZ-1868-2021</t>
  </si>
  <si>
    <t>, Albert Nsengumuremyi/0009-0005-4456-6668</t>
  </si>
  <si>
    <t>10.1016/j.worlddev.2025.107073</t>
  </si>
  <si>
    <t>3JK2P</t>
  </si>
  <si>
    <t>WOS:001501773100001</t>
  </si>
  <si>
    <t>Rozalinda; Afrida, Y; Abdullah, I; Prasojo, ZH; Ulfah, M; Saka, PA; Nelli, J</t>
  </si>
  <si>
    <t>Rozalinda, Yenti; Afrida, Yenti; Abdullah, Irwan; Prasojo, Zaenuddin Hudi; Ulfah, Muthia; Saka, Putri Ananda; Nelli, Jumni</t>
  </si>
  <si>
    <t>Economic empowerment of unbanked women through financial inclusion in Indonesia</t>
  </si>
  <si>
    <t>Financial inclusion; economic empowerment; unbanked women; Economics; Business; Management; Finance</t>
  </si>
  <si>
    <t>DETERMINANTS; STABILITY</t>
  </si>
  <si>
    <t>This study aims to elucidate the economic empowerment of unbanked women within the National Pension Savings Bank (BTPN) Sharia, focusing on the role of financial inclusion. It investigates how enhanced access to financing impacts the income and savings of the womenfolk operating home-based businesses in West Sumatra, Indonesia, using a qualitative methodology to delve into the empowerment pattern of unbanked women at BTPN Sharia. Data collection consisted of in-depth interviews and questionnaires, sourced from various stakeholders, such as customers, community officers, and BTPN Sharia leaders, followed by a thorough qualitative and descriptive analysis. The findings showed that the economic empowerment of unbanked women, driven by financial inclusion, is achieved through an initial membership training program consisting of financial literacy, management, and savings. This program also offers convenient access to financing and subsequent assistance, all conducted in a participatory manner referred to as 'baropok', where women gather in a circle, facing the community officer. The financial inclusion-based empowerment model, emphasizing easy access to financing, has a positive impact on the income and savings of women engaged in home industry businesses in West Sumatra. These findings hold significant implications for the academic discourse on the economic empowerment of unbanked women within the framework of financial inclusion in Islamic Commercial banks. Gender inequality in the financial industry must be reduced by increasing women's financial inclusion. The primary objective of the financial inclusion policy is to narrow the gender gap in financial access to financial institutions. The economic empowerment of unbanked women is of significant importance as they serve as financial managers within households and play a crucial role in managing family expenses. BTPN Sharia empowerment of unbanked women based on financial inclusion had a positive impact on increasing the savings of females.</t>
  </si>
  <si>
    <t>[Rozalinda, Yenti; Afrida, Yenti; Ulfah, Muthia] State Islamic Univ Imam Bonjol, Fac Islamic Econ &amp; Business, Padang, Indonesia; [Abdullah, Irwan; Saka, Putri Ananda] Gadjah Mada Univ, Fac Cultural Sci, Yogyakarta, Indonesia; [Prasojo, Zaenuddin Hudi] State Islamic Inst IAIN West Borneo, Kediri, West Borneo, Indonesia; [Nelli, Jumni] State Islamic Univ Sultan Syarif Kasim Riau, Fac Sharia, Pekanbaru, Indonesia</t>
  </si>
  <si>
    <t>Rozalinda (corresponding author), State Islamic Univ Imam Bonjol, Fac Islamic Econ &amp; Business, Padang, Indonesia.</t>
  </si>
  <si>
    <t>rozalinda@uinib.ac.id</t>
  </si>
  <si>
    <t>; Abdullah, Irwan/AAF-1276-2020; Prasojo, Zaenuddin Hudi/AAE-4432-2020</t>
  </si>
  <si>
    <t>Rozalinda, Rozalinda/0000-0002-5514-287X; Prasojo, Zaenuddin Hudi/0000-0002-2663-076X; Saka, Putri Ananda/0000-0003-4657-7297</t>
  </si>
  <si>
    <t>The authors extend their gratitude to the Rector of UIN, Imam Bonjol Padang, for providing support for implementing this study. The authors also appreciate the willingness of both the management and customers of BTPN Sharia to participate as informants, contributing to the depth and quality of the study. Special thanks are also due to the Irwan Abdullah Scholar Foundation (IAS) team, whose continuous assistance was instrumental in refining the study for publication. Finally, the authors are thankful to the dedicated reviewers whose insights and feedback contributed to enhancing the quality of this study.</t>
  </si>
  <si>
    <t>10.1080/23311975.2024.2407921</t>
  </si>
  <si>
    <t>H1H1S</t>
  </si>
  <si>
    <t>WOS:001321011400001</t>
  </si>
  <si>
    <t>Adetunji, OM; David-West, O</t>
  </si>
  <si>
    <t>Adetunji, Olubanjo Michael; David-West, Olayinka</t>
  </si>
  <si>
    <t>The Relative Impact of Income and Financial Literacy on Financial Inclusion in Nigeria</t>
  </si>
  <si>
    <t>income; financial literacy; financial services; financial access; financial inclusion</t>
  </si>
  <si>
    <t>ECONOMIC-GROWTH; DETERMINANTS; ACCESS</t>
  </si>
  <si>
    <t>This study uses survey data of over 22 000 respondents in Nigeria, to provide evidence for the impact of two key drivers of financial inclusion: financial literacy and income levels. The study shows that financial literacy significantly determines savings patterns with formal and informal financial institutions; however, income only drives the frequency of informal savings. The results also highlight the demographic groups suitable for financial literacy and other interventions aimed at improving financial access. The findings will support the market segmentation capabilities of financial services providers and also guide regulators in formulating policies that will improve and deepen financial access. (c) 2019 John Wiley &amp; Sons, Ltd.</t>
  </si>
  <si>
    <t>[Adetunji, Olubanjo Michael] Pan Atlantic Univ, Lagos Business Sch, Sustainable &amp; Inclus Digital Financial Serv SIDFS, Km 22, Lagos, Nigeria; [David-West, Olayinka] Pan Atlantic Univ, Lagos Business Sch, Management Informat Syst Dept, Lagos, Nigeria</t>
  </si>
  <si>
    <t>Adetunji, OM (corresponding author), Pan Atlantic Univ, Lagos Business Sch, Sustainable &amp; Inclus Digital Financial Serv SIDFS, Km 22, Lagos, Nigeria.</t>
  </si>
  <si>
    <t>oadetunji@lbs.edu.ng</t>
  </si>
  <si>
    <t>; David-West, Olayinka/B-4754-2009</t>
  </si>
  <si>
    <t>Adetunji, Olubanjo/0000-0002-4609-5135;</t>
  </si>
  <si>
    <t>Bill &amp; Melinda Gates Foundation [OPP1133684]; Bill and Melinda Gates Foundation [OPP1133684] Funding Source: Bill and Melinda Gates Foundation</t>
  </si>
  <si>
    <t>Bill &amp; Melinda Gates Foundation(Bill &amp; Melinda Gates FoundationBill &amp; Melinda Gates Foundation Grand Challenges Explorations InitiativeCGIAR); Bill and Melinda Gates Foundation(Bill &amp; Melinda Gates Foundation)</t>
  </si>
  <si>
    <t>This work was supported by the Bill &amp; Melinda Gates Foundation under grant OPP1133684.</t>
  </si>
  <si>
    <t>10.1002/jid.3407</t>
  </si>
  <si>
    <t>HU0EV</t>
  </si>
  <si>
    <t>WOS:000464945100002</t>
  </si>
  <si>
    <t>Lyu, W; Hao, CL; Yu, L</t>
  </si>
  <si>
    <t>Lyu, Wenyi; Hao, Chenlu; Yu, Leng</t>
  </si>
  <si>
    <t>Digital Financial Inclusion and Entrepreneurship: A Spatial Analysis of Rural China</t>
  </si>
  <si>
    <t>business growth; digital financial inclusion; entrepreneurship; spatial interactions</t>
  </si>
  <si>
    <t>AGGLOMERATION EVIDENCE; MICROCREDIT EVIDENCE; IMPACTS; MODELS</t>
  </si>
  <si>
    <t>This paper examines how digital financial inclusion (DFI) in both local and neighboring regions contributes to entrepreneurial activities in China, with a focus on spatial interactions. The findings reveal that DFI significantly boosts business creation within local counties and promotes growth in neighboring areas through synergies with the transportation network. Marginal effects analysis shows a 1.21% direct effect and a 0.74% indirect effect on enterprise growth. DFI particularly supports businesses in agriculture, forestry, animal husbandry, and fisheries, with the Eastern region experiencing the greatest benefits.</t>
  </si>
  <si>
    <t>[Lyu, Wenyi] Shanghai Univ, Dept Econ, Shanghai, Peoples R China; [Hao, Chenlu; Yu, Leng] Shanghai Jiao Tong Univ, Antai Coll Econ &amp; Management, Dept Appl Econ, Shanghai, Peoples R China</t>
  </si>
  <si>
    <t>Shanghai University; Shanghai Jiao Tong University</t>
  </si>
  <si>
    <t>Lyu, W (corresponding author), Shanghai Univ, Dept Econ, Shanghai, Peoples R China.</t>
  </si>
  <si>
    <t>lyuwenyi@shu.edu.cn</t>
  </si>
  <si>
    <t>Lyu, Wenyi/MTC-2209-2025; Hao, Chenlu/OMN-1701-2025</t>
  </si>
  <si>
    <t>Lyu, Wenyi/0009-0005-2811-3511; HAO, CHENLU/0000-0003-2701-7593</t>
  </si>
  <si>
    <t>2025 SEP 29</t>
  </si>
  <si>
    <t>10.1111/rode.70064</t>
  </si>
  <si>
    <t>7ZL6J</t>
  </si>
  <si>
    <t>WOS:001583325500001</t>
  </si>
  <si>
    <t>Islam, KJ; Simpson, W</t>
  </si>
  <si>
    <t>Islam, Khan Jahirul; Simpson, Wayne</t>
  </si>
  <si>
    <t>PAYDAY LENDING AND MICROCREDIT: TWO FACES OF THE SAME PROBLEM?</t>
  </si>
  <si>
    <t>financial exclusion; payday loan; microcredit; endogeneity; ivprobit</t>
  </si>
  <si>
    <t>Despite large differences in socio-economic, geographical and political background, this study finds noteworthy similarities in the determinants of financial exclusion in Canada and Bangladesh. Household income, education, regional differences and respondent age are common significant determinants of payday loan borrowing in Canada and microcredit borrowing in Bangladesh. Financial knowledge has been identified as a significant determinant of payday loan borrowing in Canada. Our results suggest the need for paying more attention to the causes of financial exclusion and to improving financial literacy because the regulatory policies on interest rates in both countries do not seem to be effective. Copyright (C) 2017 John Wiley &amp; Sons, Ltd.</t>
  </si>
  <si>
    <t>[Islam, Khan Jahirul] Univ British Columbia, Dept Econ Philosophy &amp; Polit Sci, Kelowna, BC, Canada; [Simpson, Wayne] Univ Manitoba, Dept Econ, Winnipeg, MB, Canada</t>
  </si>
  <si>
    <t>University of British Columbia; University of Manitoba</t>
  </si>
  <si>
    <t>Islam, KJ (corresponding author), Univ British Columbia, Dept Econ, Kelowna, BC V1V 1V7, Canada.</t>
  </si>
  <si>
    <t>khan.islam@ubc.ca</t>
  </si>
  <si>
    <t>10.1002/jid.3339</t>
  </si>
  <si>
    <t>GF0ZO</t>
  </si>
  <si>
    <t>WOS:000431660900003</t>
  </si>
  <si>
    <t>Tandilino, C; Pontoh, GT; Darmawati, D; Indrijawati, A</t>
  </si>
  <si>
    <t>Tandilino, Charles; Pontoh, Grace T.; Darmawati, Darmawati; Indrijawati, Aini</t>
  </si>
  <si>
    <t>Digital Financial Inclusion as a Mediator of Digital Financial Literacy and Government Support in MSME Performance</t>
  </si>
  <si>
    <t>performance; digital financial inclusion; digital financial literacy; government support; micro, small, and medium enterprises (MSMEs)</t>
  </si>
  <si>
    <t>RESOURCE-BASED VIEW</t>
  </si>
  <si>
    <t>The digital economy creates new opportunities for micro, small, and medium enterprises (MSMEs) in Indonesia to enhance their competitiveness through the adoption of financial technology. This study examines how digital financial inclusion (DFI) mediates the effects of digital financial literacy (DFL) and government support (GS) on MSME performance. This mediating relationship remains underexplored in developing countries, offering new insights into how it drives business advancement. A quantitative approach was applied using partial least squares structural equation modeling (PLS-SEM) based on survey data from 260 culinary MSME owners. The results indicate that knowledge-based resources and institutional support positively influence performance through DFI. DFI drives improvement by expanding market reach, increasing operational efficiency, facilitating transactions, optimizing the value of financial activities, and broadening access to financing. These findings underline the importance of policies that promote inclusive digital ecosystems and strengthen digital capability. Future research approaches should emphasize the integration of behavioral factors, institutional support, and business performance within the evolving MSME ecosystem and can be further developed through longitudinal or cross-sectoral studies to understand the sustainable dynamics of digital transformation.</t>
  </si>
  <si>
    <t>[Tandilino, Charles] Minist Finance, Directorate Gen Taxes, Jakarta 10110, Indonesia; [Pontoh, Grace T.; Darmawati, Darmawati; Indrijawati, Aini] Hasanuddin Univ, Fac Econ &amp; Business, Makassar 90245, Indonesia</t>
  </si>
  <si>
    <t>Ministry of Finance of Republic of Indonesia; Universitas Hasanuddin</t>
  </si>
  <si>
    <t>Pontoh, GT (corresponding author), Hasanuddin Univ, Fac Econ &amp; Business, Makassar 90245, Indonesia.</t>
  </si>
  <si>
    <t>charlestandilino@kemenkeu.go.id; gracetpontoh@fe.unhas.ac.id; darma.ak@unhas.ac.id; ainindri@fe.unhas.ac.id</t>
  </si>
  <si>
    <t>Pontoh, Grace/AAD-6400-2021; Darmawati, Darmawati/AAB-7762-2021</t>
  </si>
  <si>
    <t>Indonesia Endowment Fund for Education (LPDP RI) [202401110400041]</t>
  </si>
  <si>
    <t>Indonesia Endowment Fund for Education (LPDP RI)</t>
  </si>
  <si>
    <t>This research was funded by the Indonesia Endowment Fund for Education (LPDP RI), grant number 202401110400041.</t>
  </si>
  <si>
    <t>OCT 24</t>
  </si>
  <si>
    <t>10.3390/ijfs13040199</t>
  </si>
  <si>
    <t>AF1WB</t>
  </si>
  <si>
    <t>WOS:001646683300001</t>
  </si>
  <si>
    <t>Financial inclusion and institutional quality: Catalysts for economic growth in Asia-Pacific countries</t>
  </si>
  <si>
    <t>Financial inclusion index; Economic growth; Institutional quality; Asia-Pacific region</t>
  </si>
  <si>
    <t>With 24% of unbanked people living in developing countries, policymakers nowadays pay attention to enhancing financial inclusion in poor segments of those countries. Advancing financial inclusion is a crucial challenge but holds prominence, given the minimal use of formal finance in Asia-Pacific countries. Moreover, institutions are pivotal in driving both financial and economic development. However, the effect of institutional quality on the financial sector has recently become a debatable topic with inconsistent empirical evidence. This paper examines the impact of financial inclusion on economic growth and how institutional quality affects the nexus between financial inclusion and economic growth in 37 Asia-Pacific countries from 2004 to 2021. The financial inclusion index and the institutional quality index are constructed using principal component analysis. Fixed-effect regression is used to find the effect of financial inclusion on economic growth and the impact of institutional quality on the nexus between financial inclusion and economic growth. The paper further examines the robustness of baseline results by adding more control variables, employing the system generalised method of moment, two-stage least square method, and panel quantile regression. The study findings show that the Asia-Pacific countries with inclusive finance promote economic growth, which is more pronounced with strong institutional quality contributing to the Theory of Finance and Growth and Institutional Theory. This study contributes to the new empirical evidence that financial inclusion improves economic growth in the Asia-Pacific countries while it is stronger with the presence of institutional quality.</t>
  </si>
  <si>
    <t>10.1016/j.wdp.2025.100670</t>
  </si>
  <si>
    <t>0DS8M</t>
  </si>
  <si>
    <t>WOS:001444938500001</t>
  </si>
  <si>
    <t>Su, Z</t>
  </si>
  <si>
    <t>DEStech Publicat, Inc</t>
  </si>
  <si>
    <t>Su, Zhen</t>
  </si>
  <si>
    <t>Mobile Banking Is Not a Successful Tool for Financial Inclusion</t>
  </si>
  <si>
    <t>2016 INTERNATIONAL CONFERENCE ON MANAGEMENT, ECONOMICS AND SOCIAL DEVELOPMENT (ICMESD 2016)</t>
  </si>
  <si>
    <t>International Conference on Management, Economics and Social Development (ICMESD)</t>
  </si>
  <si>
    <t>MAY 13-15, 2016</t>
  </si>
  <si>
    <t>Wuhan, PEOPLES R CHINA</t>
  </si>
  <si>
    <t>Mobile banking; Mobile money; Finance; Risk-management; Insurance</t>
  </si>
  <si>
    <t>In modern society, mobile banking plays a positive role in improving lives and reducing inequity, but it also brings some inconvenient. It is demonstrated in this paper that mobile banking is not a successful tool for financial inclusion in four ways: the finiteness of scope, risk management, the trouble of the seasonal deficiencies, and the financial needs of SMEs. Some constructive advice are proposed for improvement.</t>
  </si>
  <si>
    <t>[Su, Zhen] Univ Strathclyde, Dept Accounting &amp; Finance, Strathclyde Business Sch, Glasgow, Lanark, Scotland</t>
  </si>
  <si>
    <t>University of Strathclyde</t>
  </si>
  <si>
    <t>Su, Z (corresponding author), Univ Strathclyde, Dept Accounting &amp; Finance, Strathclyde Business Sch, Glasgow, Lanark, Scotland.</t>
  </si>
  <si>
    <t>pqb15194@uni.strath.ac.uk</t>
  </si>
  <si>
    <t>DESTECH PUBLICATIONS, INC</t>
  </si>
  <si>
    <t>LANCASTER</t>
  </si>
  <si>
    <t>439 DUKE STREET, LANCASTER, PA 17602-4967 USA</t>
  </si>
  <si>
    <t>978-1-60595-349-6</t>
  </si>
  <si>
    <t>BG6TY</t>
  </si>
  <si>
    <t>WOS:000390843100109</t>
  </si>
  <si>
    <t>Collins, JM; Halpern-Meekin, S; Harvey, M; Hoiting, J</t>
  </si>
  <si>
    <t>Collins, J. Michael; Halpern-Meekin, Sarah; Harvey, Melody; Hoiting, Jill</t>
  </si>
  <si>
    <t>If I don't have credit, I don't have anything: Perspectives on the credit scoring system among mothers with low incomes</t>
  </si>
  <si>
    <t>credit access; financial inclusion; poverty; qualitative interviews</t>
  </si>
  <si>
    <t>FINANCIAL LITERACY; CONSUMER; KNOWLEDGE; ACCURACY</t>
  </si>
  <si>
    <t>This mixed-methods study examines consumer perspectives on the credit scoring system drawn from in-depth interviews with 72 mothers with low incomes and national survey data from the National Financial Capability Study. Interviewees express strong awareness of credit scoring and a desire to have good credit. National survey data corroborate these findings, showing that most mothers with low incomes are knowledgeable about their credit scores. They know what behaviors improve credit standing and recognize the tradeoffs between present consumption and longer run goals. They do not reject the credit scoring system's legitimacy and seek to work within this system to pursue their financial goals, despite obstacles to success. This evidence enriches our understanding of the perspectives and values that motivate consumer financial behaviors and highlights the systemic challenges to people's financial well-being that are embedded in a seemingly widely accepted credit scoring system.</t>
  </si>
  <si>
    <t>[Collins, J. Michael; Halpern-Meekin, Sarah; Harvey, Melody] Univ Wisconsin, Sch Human Ecol, Madison, WI USA; [Hoiting, Jill] Univ Wisconsin, Sandra Rosenbaum Sch Social Work, Madison, WI USA; [Collins, J. Michael] Univ Wisconsin, La Follette Sch Publ Affairs, Madison, WI 53706 USA</t>
  </si>
  <si>
    <t>University of Wisconsin System; University of Wisconsin Madison; University of Wisconsin System; University of Wisconsin Madison; University of Wisconsin System; University of Wisconsin Madison</t>
  </si>
  <si>
    <t>Collins, JM (corresponding author), Univ Wisconsin, La Follette Sch Publ Affairs, Madison, WI 53706 USA.</t>
  </si>
  <si>
    <t>; Collins, J Michael/G-3428-2013</t>
  </si>
  <si>
    <t>Harvey, Melody/0000-0003-3984-0501; Collins, J Michael/0000-0002-2280-2130; Hoiting, Jill/0000-0001-5989-4270; Halpern-Meekin, Sarah/0000-0002-2142-5097</t>
  </si>
  <si>
    <t>Administration for Children and Families; Heising Simons Foundation; Russell Sage Foundation; Eunice Kennedy Shriver National Institute of Child Health and Human Development [R01HD087384] Funding Source: NIH RePORTER; NIH Office of the Director [R01HD087384] Funding Source: NIH RePORTER</t>
  </si>
  <si>
    <t>Administration for Children and Families(United States Department of Health &amp; Human Services); Heising Simons Foundation; Russell Sage Foundation; Eunice Kennedy Shriver National Institute of Child Health and Human Development(United States Department of Health &amp; Human ServicesNational Institutes of Health (NIH) - USANIH Eunice Kennedy Shriver National Institute of Child Health &amp; Human Development (NICHD)); NIH Office of the Director(United States Department of Health &amp; Human ServicesNational Institutes of Health (NIH) - USANIH Office of the Director)</t>
  </si>
  <si>
    <t>Administration for Children and Families; Heising Simons Foundation;Russell Sage Foundation</t>
  </si>
  <si>
    <t>10.1111/joca.12561</t>
  </si>
  <si>
    <t>CF0G6</t>
  </si>
  <si>
    <t>WOS:001086755000001</t>
  </si>
  <si>
    <t>Trust and financial inclusion: A cross-country study</t>
  </si>
  <si>
    <t>Economic development; Financial inclusions; Social capital; Trust</t>
  </si>
  <si>
    <t>This study examines the role of social trust in financial inclusion around the world, using financial inclusion measures from Global Findex database and measure of trust from the World Values Survey. After controlling for individual characteristics, and country level differences in institutions and financial markets, social trust remains a significant and positive determinant for various aspects of financial inclusion. Trust is further found to supplement weak formal institutions and low educational levels. The role of limited trust is also examined in the study.</t>
  </si>
  <si>
    <t>[Xu, Xiaoyan] San Jose State Univ, Dept Accounting &amp; Finance, Lucas Coll, One Washington Sq, San Jose, CA 95192 USA; [Xu, Xiaoyan] San Jose State Univ, Grad Sch Business, One Washington Sq, San Jose, CA 95192 USA</t>
  </si>
  <si>
    <t>California State University System; San Jose State University; California State University System; San Jose State University</t>
  </si>
  <si>
    <t>Xu, XY (corresponding author), San Jose State Univ, Dept Accounting &amp; Finance, Lucas Coll, One Washington Sq, San Jose, CA 95192 USA.;Xu, XY (corresponding author), San Jose State Univ, Grad Sch Business, One Washington Sq, San Jose, CA 95192 USA.</t>
  </si>
  <si>
    <t>10.1016/j.frl.2019.101310</t>
  </si>
  <si>
    <t>MB5YK</t>
  </si>
  <si>
    <t>WOS:000542678200048</t>
  </si>
  <si>
    <t>Hedvicakova, M; Svobodová, L</t>
  </si>
  <si>
    <t>Nguyen, NT; Pimenidis, E; Khan, Z; Trawinski, B</t>
  </si>
  <si>
    <t>Hedvicakova, Martina; Svobodova, Libuse</t>
  </si>
  <si>
    <t>Web Portals to Support Financial Literacy in Blended Learning in the Czech Republic</t>
  </si>
  <si>
    <t>COMPUTATIONAL COLLECTIVE INTELLIGENCE, ICCCI 2018, PT II</t>
  </si>
  <si>
    <t>Lecture Notes in Artificial Intelligence</t>
  </si>
  <si>
    <t>10th International Conference on Computational Collective Intelligence (ICCCI)</t>
  </si>
  <si>
    <t>SEP 05-07, 2018</t>
  </si>
  <si>
    <t>Bristol, ENGLAND</t>
  </si>
  <si>
    <t>Univ W England,Wroclaw Univ Sci &amp; Technol</t>
  </si>
  <si>
    <t>Financial literacy; Web portals; Education; Money; Blended learning</t>
  </si>
  <si>
    <t>Financial literacy now appears to be a key component of a successful national financial education strategy. Financial education, financial consumer protection and financial inclusion are the goals of top country policies. For these reasons, it is necessary to assess the levels of financial literacy in each country. The emphasis on financial literacy is already devoted to small children and includes the entire population. The aim of the paper is the OECD international comparison, which focuses on three key areas: financial knowledge, attitudes and behavior. Based on this questionnaire, the situation in the Czech Republic was analyzed. Subsequently, web portals of Czech state institutions (Czech National Bank, The Ministry of Finance of the Czech Republic, Czech Banking Association) focused on financial education were presented. The individual portals are evaluated and checked to see if they meet the standards of financial literacy. These portals are useful for teaching using blended learning which is gaining increasing attention in the Czech Republic. Primary and secondary sources were used in the paper.</t>
  </si>
  <si>
    <t>[Hedvicakova, Martina; Svobodova, Libuse] Univ Hradec Kralove, Fac Informat &amp; Management, Rokitanskeho 62, Hradec Kralove 50003, Czech Republic</t>
  </si>
  <si>
    <t>Hedvicakova, M; Svobodová, L (corresponding author), Univ Hradec Kralove, Fac Informat &amp; Management, Rokitanskeho 62, Hradec Kralove 50003, Czech Republic.</t>
  </si>
  <si>
    <t>Martina.hedvicakova@uhk.cz; Libuse.svobodova@uhk.cz</t>
  </si>
  <si>
    <t>Hedvicakova, Martina/G-4603-2019; Svobodova, Libuse/K-7650-2019</t>
  </si>
  <si>
    <t>Hedvicakova, Martina/0000-0001-9751-8292; Svobodova, Libuse/0000-0001-9071-7213</t>
  </si>
  <si>
    <t>University of Hradec Kralove, Czech Republic [6/2018]</t>
  </si>
  <si>
    <t>University of Hradec Kralove, Czech Republic</t>
  </si>
  <si>
    <t>The paper was written with the support of the specific project 6/2018 grant Determinants of cognitive processes impacting the work performance granted by the University of Hradec Kralove, Czech Republic. Thank for help student Conkova Eliska.</t>
  </si>
  <si>
    <t>978-3-319-98446-9; 978-3-319-98445-2</t>
  </si>
  <si>
    <t>LECT NOTES ARTIF INT</t>
  </si>
  <si>
    <t>10.1007/978-3-319-98446-9_38</t>
  </si>
  <si>
    <t>Computer Science, Artificial Intelligence; Computer Science, Theory &amp; Methods</t>
  </si>
  <si>
    <t>BM0KF</t>
  </si>
  <si>
    <t>WOS:000458812900038</t>
  </si>
  <si>
    <t>Kumari, D; Giri, AK; Malesios, C</t>
  </si>
  <si>
    <t>Kumari, Diksha; Giri, Arun Kumar; Malesios, Chrisovalantis</t>
  </si>
  <si>
    <t>Impact of digital financial inclusion on environmental sustainability in Asian economies</t>
  </si>
  <si>
    <t>Digital financial inclusion index; CO2 emissions; Economic growth; Energy consumption; GMM; Panel quantile regression</t>
  </si>
  <si>
    <t>CARBON EMISSIONS; PANEL-DATA; ENERGY; DEGRADATION; CONSUMPTION; GROWTH</t>
  </si>
  <si>
    <t>Digital financial inclusion (DFI) is essential to ensure that everyone has access to financial services and insurance products thus promoting sustainable development. It helps to achieve the UN SDGs goals by 2030. However, this study uncovers a paradox: while DFI aims to promote sustainability, our empirical analysis of selected Asian economies from 2000 to 2023 reveals that greater DFI is associated with increased carbon dioxide (CO2) emissions. Utilizing the generalized method of moments (GMM) and panel quantile regression, we find that economic growth, foreign direct investment, and energy consumption further exacerbate emissions, supporting the pollution-haven hypothesis. In contrast, inflation and technological advancement contribute positively to environmental sustainability. Thus, policymakers in the Asian economies should align their strategies in such a way as to prevent the unintended consequences of increased carbon emissions associated with higher digital financial inclusion. The financial services and digital infrastructure should be improved to fully capture DFI's gains and enhance economic growth and environmental sustainability.</t>
  </si>
  <si>
    <t>[Kumari, Diksha; Giri, Arun Kumar] Birla Inst Technol &amp; Sci BITS Pilani, Dept Econ &amp; Finance, Pilani Campus, Jhunjhunu, Rajasthan, India; [Malesios, Chrisovalantis] Agr Univ Athens, Dept Agr Econ &amp; Rural Dev, Athens, Greece</t>
  </si>
  <si>
    <t>Birla Institute of Technology &amp; Science Pilani (BITS Pilani); Agricultural University of Athens</t>
  </si>
  <si>
    <t>Kumari, D (corresponding author), Birla Inst Technol &amp; Sci BITS Pilani, Dept Econ &amp; Finance, Pilani Campus, Jhunjhunu, Rajasthan, India.</t>
  </si>
  <si>
    <t>p20220421@pilani.bits-pilani.ac.in; akgiri@pilani.bits-pilani.ac.in; malesios@aua.gr</t>
  </si>
  <si>
    <t>Giri, A./ABD-1519-2020</t>
  </si>
  <si>
    <t>OCT 21</t>
  </si>
  <si>
    <t>10.1007/s43621-025-01922-2</t>
  </si>
  <si>
    <t>8VH7G</t>
  </si>
  <si>
    <t>WOS:001598193700001</t>
  </si>
  <si>
    <t>The role of financial inclusion in improving household well-being</t>
  </si>
  <si>
    <t>financial inclusion; living standard; poverty; well-being</t>
  </si>
  <si>
    <t>MOBILE MONEY; MICROFINANCE; EMPOWERMENT; MICROCREDIT; HEALTH; IMPACT; REMITTANCES; INSURANCE; POVERTY; INCOME</t>
  </si>
  <si>
    <t>Using a nationally representative household survey data collected from Ghana, this paper investigates the relationship between financial inclusion and household well-being. The paper computes a comprehensive index for financial inclusion incorporating all its dimensions: availability, accessibility, usage and quality. Our econometric analyses employ both discrete and continuous models to produce robust results. The main result indicates that there are significant welfare gains from increased financial inclusion irrespective of its measure and control for endogeneity. The results also suggest that enhanced financial inclusion increases the likelihood of improving food consumption, medical treatment, cash income and school attendance outcomes. Thus, there is a clear policy implication: increasing financial inclusion will significantly contribute to the attainment of some key Sustainable Development Goals (SDGs).</t>
  </si>
  <si>
    <t>a.h.ahmad@lboro.ac.uk</t>
  </si>
  <si>
    <t>Loughborough University Graduate School Studentships; Ghana Education Trust Fund; Economic and Social Research Council [ES/ N013344/1]; UK Foreign, Commonwealth &amp; Development Office</t>
  </si>
  <si>
    <t>Loughborough University Graduate School Studentships; Ghana Education Trust Fund; Economic and Social Research Council(UK Research &amp; Innovation (UKRI)Economic &amp; Social Research Council (ESRC)); UK Foreign, Commonwealth &amp; Development Office</t>
  </si>
  <si>
    <t>Loughborough University Graduate School Studentships, Ghana Education Trust Fund &amp; UK Foreign, Commonwealth &amp; Development Office and the Economic and Social Research Council, Grant/Award Number: ES/ N013344/1</t>
  </si>
  <si>
    <t>10.1002/jid.3661</t>
  </si>
  <si>
    <t>6A2OG</t>
  </si>
  <si>
    <t>WOS:000787780700001</t>
  </si>
  <si>
    <t>Lee, JY; Yang, JHY; Anderson, ET</t>
  </si>
  <si>
    <t>Lee, Jung Youn; Yang, Joonhyuk; Anderson, Eric T.</t>
  </si>
  <si>
    <t>Who Benefits from Alternative Data for Credit Scoring? Evidence from Peru</t>
  </si>
  <si>
    <t>JOURNAL OF MARKETING RESEARCH</t>
  </si>
  <si>
    <t>alternative data; financial inclusion; consumer finance; credit cards market</t>
  </si>
  <si>
    <t>MARKET OUTCOMES EVIDENCE; LIQUIDITY CONSTRAINTS; MICROFINANCE EVIDENCE; ACCESS; PRIVACY; INFORMATION; PERFORMANCE; STRATEGIES; DECISIONS; CONSUMERS</t>
  </si>
  <si>
    <t>The World Bank estimates that 1.4 billion individuals worldwide are unbanked, lacking access to credit due to the absence of traditional credit scores. In this article, the authors demonstrate how retail transaction data can be used to construct an alternative credit score, potentially expanding credit access for these individuals. The study utilizes a unique dataset obtained through a partnership with a Peruvian company. The authors merge customer loyalty data and credit card repayment data with administrative records from the Peruvian financial system that provide individuals' detailed financial histories. This comprehensive dataset allows the authors to construct credit scores for people both with and without a credit history. Through simulations of credit card approval decisions, they find that incorporating retail data increases approval rates for individuals without a credit history, from 16% to between 31% and 48%. In contrast, for those with an established credit history, approval rates remain largely unchanged, at around 88%. The authors investigate why retail data particularly benefits people without a credit history and discuss the broader implications of this credit scoring methodology for consumers, firms, and policy makers. The findings highlight the methodology's potential to transform credit access for millions of previously unbanked individuals.</t>
  </si>
  <si>
    <t>[Lee, Jung Youn] Rice Univ, Jones Grad Sch Business, Mkt, Houston, TX 77005 USA; [Yang, Joonhyuk] Univ Notre Dame, Mendoza Coll Business, Mkt, Notre Dame, IN USA; [Anderson, Eric T.] Northwestern Univ, Kellogg Sch Management, Mkt, Evanston, IL USA</t>
  </si>
  <si>
    <t>Rice University; University of Notre Dame; Northwestern University</t>
  </si>
  <si>
    <t>Lee, JY (corresponding author), Rice Univ, Jones Grad Sch Business, Mkt, Houston, TX 77005 USA.</t>
  </si>
  <si>
    <t>jungyoun.lee@rice.edu; joonhyuk.yang@nd.edu; eric-anderson@kellogg.northwestern.edu</t>
  </si>
  <si>
    <t>Yang, Joonhyuk/A-5483-2009; Anderson, Eric/KCX-9279-2024</t>
  </si>
  <si>
    <t>Kemper Foundation; Texas Christian University, Hong Kong Polytechnic University</t>
  </si>
  <si>
    <t>The authors thank the anonymous data provider and Wharton AI &amp; Analytics Initiative for their support in sharing data and providing domain expertise. Special thanks to Naiwen Pang for exceptional research assistance, and Yang thanks the Kemper Foundation for its support of his research. The authors have benefited from the comments of Keyan Li, Andrey Simonov, and seminar participants at Georgetown University, Northwestern University, University of Chicago, Texas Christian University, Hong Kong Polytechnic University, and TPM 2024 Conference. The usual disclaimer applies.</t>
  </si>
  <si>
    <t>0022-2437</t>
  </si>
  <si>
    <t>1547-7193</t>
  </si>
  <si>
    <t>J MARKETING RES</t>
  </si>
  <si>
    <t>J. Mark. Res.</t>
  </si>
  <si>
    <t>10.1177/00222437251360996</t>
  </si>
  <si>
    <t>AN6NL</t>
  </si>
  <si>
    <t>WOS:001593689200001</t>
  </si>
  <si>
    <t>Pei, PP; Zhang, SY; Zhou, GX</t>
  </si>
  <si>
    <t>Pei, Panpan; Zhang, Shunyi; Zhou, Guangxia</t>
  </si>
  <si>
    <t>Digital Inclusive Finance, Spatial Spillover Effects and Relative Rural Poverty Alleviation: Evidence from China</t>
  </si>
  <si>
    <t>APPLIED SPATIAL ANALYSIS AND POLICY</t>
  </si>
  <si>
    <t>Digital inclusive finance; Relative rural poverty; Spatial spillover effect; Spatial heterogeneity</t>
  </si>
  <si>
    <t>GROWTH; ABSOLUTE; MODEL</t>
  </si>
  <si>
    <t>How to govern relative rural poverty is the key and difficulty in eliminating poverty and achieving common prosperity in China. With the rapid development of digital economy, digital inclusive finance is playing an increasingly fundamental role in poverty alleviation. As an important new financial form, whether and how digital inclusive finance affects relative rural poverty is not yet known. Based on new economic geography, this paper empirically tests the direct and spatial impacts of digital financial inclusion on relative rural poverty alleviation by constructing spatial econometric models and using panel data from 31 provinces (autonomous regions and municipalities directly under the central government) in China from 2012 to 2019. The study found that there is a significant positive spatial correlation in relative rural poverty; the development of digital inclusive finance has a significant inhibitory effect on relative rural poverty. Meanwhile, the development of digital inclusive finance in the local province also has a negative spatial spillover effect on rural relative poverty in surrounding areas. Therefore, it is necessary to boost the development of digital inclusive finance, improve the coordination of inclusive finance between regions, and promote inter-regional economic cooperation in the future. Poverty alleviation remains a challenge in the world, especially in developing countries. Digital inclusive finance, which is a new form of inclusive finance and digital economy widely applied in China, could play an increasingly fundamental role in poverty alleviation in rural areas. In this study, a spatial econometric model (SAR) is constructed based on the new economic geography, and the digital financial inclusion index is integrated with macro-economic data at a provincial level in China from 2012 to 2019. The direct and spatial impacts of digital inclusive finance on poverty reduction in rural areas were accessed using the developed model. Results show that digital inclusive finance can significantly reduce relative poverty in rural areas in China. More importantly, it is indicated that there is a significant positive spatial correlation in relative rural poverty, and digital inclusive finance has a negative spatial spillover effect on relative rural poverty, which is supported by a series of endogeneity and robustness tests, such as substitution of relative poverty, replacing models, and using alternative specifications. Recommendations on implementations in poverty alleviation are proposed based on the results of this study. This paper further complements the hot research field on finance development and income inequality. Our findings offer insights into the development of inclusive financial policies for relative rural poverty alleviation in other countries, especially in developing countries with similar backgrounds to China.</t>
  </si>
  <si>
    <t>[Pei, Panpan; Zhang, Shunyi; Zhou, Guangxia] Qilu Univ Technol, Shandong Acad Sci, Sch Finance, Jinan 250353, Peoples R China</t>
  </si>
  <si>
    <t>Qilu University of Technology</t>
  </si>
  <si>
    <t>Zhou, GX (corresponding author), Qilu Univ Technol, Shandong Acad Sci, Sch Finance, Jinan 250353, Peoples R China.</t>
  </si>
  <si>
    <t>10431210923@stu.qlu.edu.cn; 10431220921@stu.qlu.edu.cn; zhougx@qlu.edu.cn</t>
  </si>
  <si>
    <t>Humanities and Social Sciences Youth Foundation, Ministry of Education of the People's Republic of China [20YJA790096]; Humanities and Social Sciences Research Planning Fund of the Ministry of Education [JNSK22B18]; Jinan Philosophy and Social Science Project [2023RCKY259]; Qilu University of Technology (Shandong Academy of Sciences)</t>
  </si>
  <si>
    <t>Humanities and Social Sciences Youth Foundation, Ministry of Education of the People's Republic of China; Humanities and Social Sciences Research Planning Fund of the Ministry of Education; Jinan Philosophy and Social Science Project; Qilu University of Technology (Shandong Academy of Sciences)</t>
  </si>
  <si>
    <t>This study was supported by the Humanities and Social Sciences Research Planning Fund of the Ministry of Education (No. 20YJA790096), the Jinan Philosophy and Social Science Project (No. JNSK22B18), and the First Batch of Talent Research Project Research on the Impact of Digital Inclusive Finance on Relative Poverty of Rural Floating Population by Qilu University of Technology (Shandong Academy of Sciences) in 2023 (No. 2023RCKY259).</t>
  </si>
  <si>
    <t>1874-463X</t>
  </si>
  <si>
    <t>1874-4621</t>
  </si>
  <si>
    <t>APPL SPAT ANAL POLIC</t>
  </si>
  <si>
    <t>Appl. Spat. Anal. Policy</t>
  </si>
  <si>
    <t>10.1007/s12061-024-09580-z</t>
  </si>
  <si>
    <t>Environmental Studies; Geography; Regional &amp; Urban Planning</t>
  </si>
  <si>
    <t>Environmental Sciences &amp; Ecology; Geography; Public Administration</t>
  </si>
  <si>
    <t>C5C8X</t>
  </si>
  <si>
    <t>WOS:001227392700001</t>
  </si>
  <si>
    <t>Song, XL</t>
  </si>
  <si>
    <t>Hou, Y; Zheng, W</t>
  </si>
  <si>
    <t>Song, Xiaoling</t>
  </si>
  <si>
    <t>Mobile Community Inclusive Finance: Demand analysis and promotion strategy</t>
  </si>
  <si>
    <t>PROCEEDINGS OF THE 2017 3RD INTERNATIONAL CONFERENCE ON ECONOMICS, SOCIAL SCIENCE, ARTS, EDUCATION AND MANAGEMENT ENGINEERING (ESSAEME 2017)</t>
  </si>
  <si>
    <t>Advances in Social Science Education and Humanities Research</t>
  </si>
  <si>
    <t>3rd International Conference on Economics, Social Science, Arts, Education and Management Engineering (ESSAEME)</t>
  </si>
  <si>
    <t>JUL 29-30, 2017</t>
  </si>
  <si>
    <t>Huhhot, PEOPLES R CHINA</t>
  </si>
  <si>
    <t>Commercial bank; Community finance; Mobile inclusive finance</t>
  </si>
  <si>
    <t>Rapid growth of mobile internet customers, flourish of mobile payment and transformation of traditional physical community finance towards mobile community bank create a good external environment for the development of mobile finance. Customer demand promotes rapid development of mobile community inclusive finance. The analysis on composition of household consumption expenditures of residents shows that consumption expenditures around family daily life of community residents are closely related to mobile financial service. The analysis on demands for community inclusive finance subdivided based on mobile financial application shows that mobile banking users prefer online shopping, video, tourism and travel and users in first-tier, second-tier and third-tier cities prefer different application types. China needs to use mobile finance + inclusive finance product design and marketing plan according to market environment and customer demand features, shape community bank + mobile finance service channel, strengthen innovation of mobile financial products of mid-and low-end community residents, enhance risk control of mobile community financial service and promote long-term development of mobile community inclusive finance.</t>
  </si>
  <si>
    <t>[Song, Xiaoling] Beijing Language &amp; Culture Univ, Business Sch, Beijing 100083, Peoples R China</t>
  </si>
  <si>
    <t>Song, XL (corresponding author), Beijing Language &amp; Culture Univ, Business Sch, Beijing 100083, Peoples R China.</t>
  </si>
  <si>
    <t>Science Foundation of Beijing Language and Culture University (Fundamental Research Funds for the Central Universities) [17YJ04004]</t>
  </si>
  <si>
    <t>Science Foundation of Beijing Language and Culture University (Fundamental Research Funds for the Central Universities)</t>
  </si>
  <si>
    <t>This research project is supported by Science Foundation of Beijing Language and Culture University (supported by the Fundamental Research Funds for the Central Universities) (Approval number: 17YJ04004).</t>
  </si>
  <si>
    <t>2352-5398</t>
  </si>
  <si>
    <t>978-94-6252-367-8</t>
  </si>
  <si>
    <t>ADV SOC SCI EDUC HUM</t>
  </si>
  <si>
    <t>BJ1WZ</t>
  </si>
  <si>
    <t>WOS:000418340700091</t>
  </si>
  <si>
    <t>Siqueira, ES; Diniz, EH; Pozzebon, M</t>
  </si>
  <si>
    <t>Siqueira, Erica S.; Diniz, Eduardo H.; Pozzebon, Marlei</t>
  </si>
  <si>
    <t>Surveilled Inclusion and the Pitfalls of Social Fintech Platforms</t>
  </si>
  <si>
    <t>JOURNAL OF THE ASSOCIATION FOR INFORMATION SYSTEMS</t>
  </si>
  <si>
    <t>Financial Inclusion; Digital Platform; Social Fintech; Surveillance Capitalism; Platform Capitalism</t>
  </si>
  <si>
    <t>INFORMATION; FINANCIALIZATION; REFLECTIONS; CAPITALISM; ICT4D</t>
  </si>
  <si>
    <t>While most studies on digital financial inclusion highlight its positive aspects, we focus on the surveillance phenomenon by investigating the role played by microcredit agents who operate digital financial platforms. We combine the concepts of surveillance capitalism and platform capitalism within the digital financial inclusion process and propose a surveilled inclusion model that considers the role of human agents interacting with clients to expand the network effects and control of the digital platform in a dialectic interplay. We combine an instrumental/in-depth case study and critical hermeneutics as methodological strategies to produce results that help to uncover the hidden agenda of social fintech organizations that use digital platforms to provide microcredit. In addition, we expand Zuboff's concept of surveillance capitalism by including the role of microcredit agents who reinforce the imprisonment of clients in endless cycles of payment and credit renewal.</t>
  </si>
  <si>
    <t>[Siqueira, Erica S.; Diniz, Eduardo H.; Pozzebon, Marlei] FGV EAESP, Sao Paulo, SP, Brazil; [Diniz, Eduardo H.] Univ Fed Rio de Janeiro, COPPEAD, Rio De Janeiro, Brazil; [Pozzebon, Marlei] HEC Montreal, Montreal, PQ, Canada</t>
  </si>
  <si>
    <t>Getulio Vargas Foundation; Universidade Federal do Rio de Janeiro; Universite de Montreal; HEC Montreal</t>
  </si>
  <si>
    <t>Siqueira, ES (corresponding author), FGV EAESP, Sao Paulo, SP, Brazil.</t>
  </si>
  <si>
    <t>erica.siqueira@fgv.br; eduardo.diniz@fgv.br; marlei.pozzebon@hec.ca</t>
  </si>
  <si>
    <t>; Siqueira, Erica/AAF-3396-2020; POZZEBON, MARLEI/MXM-3035-2025</t>
  </si>
  <si>
    <t>Diniz, Eduardo H/0000-0002-7950-9146;</t>
  </si>
  <si>
    <t>ASSOC INFORMATION SYSTEMS</t>
  </si>
  <si>
    <t>ATLANTA</t>
  </si>
  <si>
    <t>GEORGIA STATE UNIV, 35 BROAD STREET, STE 916-917, ATLANTA, GA 30303 USA</t>
  </si>
  <si>
    <t>1536-9323</t>
  </si>
  <si>
    <t>1558-3457</t>
  </si>
  <si>
    <t>J ASSOC INF SYST</t>
  </si>
  <si>
    <t>J. Assoc. Inf. Syst.</t>
  </si>
  <si>
    <t>10.17705/1jais.00815</t>
  </si>
  <si>
    <t>Computer Science, Information Systems; Information Science &amp; Library Science</t>
  </si>
  <si>
    <t>Computer Science; Information Science &amp; Library Science</t>
  </si>
  <si>
    <t>S6OS1</t>
  </si>
  <si>
    <t>WOS:001072341600006</t>
  </si>
  <si>
    <t>Rahayu, SK; Budiarti, I; Firdauas, DW; Onegina, V</t>
  </si>
  <si>
    <t>Rahayu, Siti Kurnia; Budiarti, Isniar; Firdauas, Dony Waluya; Onegina, Viktoria</t>
  </si>
  <si>
    <t>DIGITALIZATION AND INFORMAL MSME DIGITAL FINANCIAL INCLUSION FOR MSME DEVELOPEMENT IN THE FORMAL ECONOMY</t>
  </si>
  <si>
    <t>JOURNAL OF EASTERN EUROPEAN AND CENTRAL ASIAN RESEARCH</t>
  </si>
  <si>
    <t>digitalization; financial inclusion; micro small and midium enterprises (MSME; innovation; loans</t>
  </si>
  <si>
    <t>This study examines digital financial inclusion and uses Fintech for informal micro small and medium enterprises (MSMEs) to overcome the financing gap. The researchers used primarily qualitative methods, namely a qualitative analysis strategy verification through inductive analysis. The results show that Indonesia's fintech landscape makes MSME a driver of the digital economy so that they can overcome the financing gap in the informal sector. The challenges faced by Fintech in encouraging MSME business efficiency in the form of unbalanced agency distribution, data security, data access problems, low digital financial literacy, low connectivity, and interoperability can be overcome by taking advantage of existing opportunities. These opportunities include the role of MFIs and cooperatives in promoting financial inclusion and the development of telecommunications infrastructure networks in Indonesia. The novelty of this research is the comprehensive evaluation of achieved progress in digital financial inclusion for MSMEs in Indonesia and the developed recommendation for regulations by relevant authorities to encourage the business efficiency of MSMEs through facilitating digital financial inclusion.</t>
  </si>
  <si>
    <t>[Rahayu, Siti Kurnia] Dept Accounting, Komputer Indonesia, Bandung, Indonesia; [Budiarti, Isniar] Univ Komputer Indonesia, Dept Management, Bandung, Indonesia; [Firdauas, Dony Waluya] Univ Komputer Indonesia, Dept Accounting Computerizat, Bandung, Indonesia; [Onegina, Viktoria] ESC Clermont Business Sch, Dept Finance Econ law &amp; Informat Syst, Clermont Ferrand, France; [Onegina, Viktoria] State Biotechnol Univ, Dept Global Econ, Lvov, Ukraine</t>
  </si>
  <si>
    <t>Rahayu, SK (corresponding author), Dept Accounting, Komputer Indonesia, Bandung, Indonesia.</t>
  </si>
  <si>
    <t>Budiarti, Isniar/0000-0002-6337-0733</t>
  </si>
  <si>
    <t>INST EASTERN EUROPE &amp; CENTAL ASIA</t>
  </si>
  <si>
    <t>MINNEAPOLIS</t>
  </si>
  <si>
    <t>1600 UNIVERSITY AVE NE, MINNEAPOLIS, MN, UNITED STATES</t>
  </si>
  <si>
    <t>2328-8272</t>
  </si>
  <si>
    <t>2328-8280</t>
  </si>
  <si>
    <t>J E EUR CENT ASIAN R</t>
  </si>
  <si>
    <t>J. E. Eur. Cent. Asian Res.</t>
  </si>
  <si>
    <t>10.15549/jeecar.v10i1.1056</t>
  </si>
  <si>
    <t>8G3CC</t>
  </si>
  <si>
    <t>WOS:000920223500001</t>
  </si>
  <si>
    <t>Khan, AS; Shahid, S</t>
  </si>
  <si>
    <t>Khan, Asma Shahid; Shahid, Subhan</t>
  </si>
  <si>
    <t>Gender and social inclusion: impact of mobile payment system on micro-entrepreneurs' perceived success and subjective well-being</t>
  </si>
  <si>
    <t>ASLIB JOURNAL OF INFORMATION MANAGEMENT</t>
  </si>
  <si>
    <t>Technology acceptance model (TAM); Perceived entrepreneurial success; Subjective well-being; Gender; COVID-19</t>
  </si>
  <si>
    <t>INFORMATION-TECHNOLOGY; ACCEPTANCE; ADOPTION; INNOVATION; BUSINESS</t>
  </si>
  <si>
    <t>PurposeThe study examines how adopting e-paisa technology (a mobile payment system) enhances micro-entrepreneurs' perceived success and subjective well-being during the COVID-19 global pandemic. The study also theorizes the moderating effects of gender through a moderated-mediation model.Design/methodology/approachThe data are collected from 282 micro-entrepreneurs in Pakistan using a two-week time-lagged approach to test the hypothesized framework. The analysis was conducted using the PROCESS macro moderated-mediation method.FindingsThe results affirm that adopting e-paisa technology positively relates to perceived entrepreneurial success, ultimately increasing the entrepreneur's subjective well-being. Furthermore, in hypothesized moderated-mediation paths, the moderation effect of gender was stronger for women than men.Practical implicationsFrom the perspective of diversity, equality and inclusion, adopting a digital mobile payment system can be regarded as a catalyst for the inclusion of women entrepreneurs in marginalized communities, enabling them to continue their micro-businesses in times of global crises. Further, it is also suggested that public-private sector partnerships are essential for promoting a sustainable entrepreneurial ecosystem that subsequently leads to social and financial inclusion in marginalized communities.Originality/valueThe mediating role of perceived entrepreneurial success contributes to understanding the importance of psychological functioning among technology acceptance model (TAM) attributes and entrepreneurs' subjective well-being. In addition, theorizing gender differences in TAM and subjective well-being relationships revealed women's advantages, challenging the prevailing belief that women are less fortunate in entrepreneurial endeavors. This raises the need to reconsider and maybe change the perspective to consider women as a disadvantaged group in entrepreneurship.</t>
  </si>
  <si>
    <t>[Khan, Asma Shahid] Univ Grenoble Alpes, Grad Sch Management, Grenoble IAE, St Martin Dheres, France; [Shahid, Subhan] Kedge Business Sch, Dept Strategy Sustainabil &amp; Entrepreneurship, Talence, France</t>
  </si>
  <si>
    <t>Communaute Universite Grenoble Alpes; Universite Grenoble Alpes (UGA); Kedge Business School</t>
  </si>
  <si>
    <t>Shahid, S (corresponding author), Kedge Business Sch, Dept Strategy Sustainabil &amp; Entrepreneurship, Talence, France.</t>
  </si>
  <si>
    <t>subhan.shahid@kedgebs.com</t>
  </si>
  <si>
    <t>Shahid, Subhan/AGG-4889-2022</t>
  </si>
  <si>
    <t>Shahid, Subhan/0000-0002-5533-2825</t>
  </si>
  <si>
    <t>2050-3806</t>
  </si>
  <si>
    <t>1758-3748</t>
  </si>
  <si>
    <t>ASLIB J INFORM MANAG</t>
  </si>
  <si>
    <t>Aslib J. Inf. Manag.</t>
  </si>
  <si>
    <t>JUN 4</t>
  </si>
  <si>
    <t>10.1108/AJIM-08-2023-0321</t>
  </si>
  <si>
    <t>3IA8L</t>
  </si>
  <si>
    <t>WOS:001179092300001</t>
  </si>
  <si>
    <t>Bacher, U; Ciftci, K</t>
  </si>
  <si>
    <t>Barkovic, D; Dernoscheg, KH; Erceg, A; Glavas, J; Pap, N; Runzheimer, B; Wentzel, D</t>
  </si>
  <si>
    <t>Bacher, Urban; Ciftci, Kardelen</t>
  </si>
  <si>
    <t>THE DIEM PAYMENT SYSTEM - A FIRST ANALYSIS OF THE NEW WORLD CURRENCY</t>
  </si>
  <si>
    <t>INTERDISCIPLINARY MANAGEMENT RESEARCH XVII (IMR 2021)</t>
  </si>
  <si>
    <t>Interdisciplinary Management Research-Interdisziplinare Managementforschung</t>
  </si>
  <si>
    <t>Interdisciplinary Management Research XVII Conference</t>
  </si>
  <si>
    <t>MAY 13-15, 2021</t>
  </si>
  <si>
    <t>Opatija, CROATIA</t>
  </si>
  <si>
    <t>Josip Juraj Strossmayer Univ Osijek, Fac Econ Osijek,Hochschule Pforzheim Univ, Postgraduate Doctoral Study Program Management,Croatian Acad Sci &amp; Arts</t>
  </si>
  <si>
    <t>Diem; Libra; Diem Association; digital money; digital currency, digital central bank money, CBDC Central Bank Digital Currency, virtual money, virtual currency, government-free money, cryptocurrency, cryptotoken, cryptoasset, currency system, payment system, coin, stablecoin, basket of currencies, multi-currency coin, single-currency coin, token, bitcoin, blockchain, BFT process, Facebook</t>
  </si>
  <si>
    <t>In 2019, Facebook introduced a global digital currency called Libra, which was renamed Diem in late 2020. The goal of the new money and payment system is financial inclusion and equality for all people by means of a global and digital payment system via smartphone. The focus is particularly on some 2 billion people from developing countries who have no or insufficient access to a bank. The article describes the functioning and special features of the Diem payment system and identifies its advantages and disadvantages.</t>
  </si>
  <si>
    <t>[Bacher, Urban; Ciftci, Kardelen] Hsch Pforzheim, Pforzheim, Germany</t>
  </si>
  <si>
    <t>Bacher, U (corresponding author), Hsch Pforzheim, Pforzheim, Germany.</t>
  </si>
  <si>
    <t>urban.bacher@hs-pforzheim.de; ciftcika@hs-pforzheim.de</t>
  </si>
  <si>
    <t>UNIV APPLIED SCIENCES, FAC ECONOMIC OSIJEK, HOCHSCHULE PFORZHEIM, TRG SV, TROJSTVA 3, OSIJEK, 31000, CROATIA</t>
  </si>
  <si>
    <t>1847-0408</t>
  </si>
  <si>
    <t>INTERDISC MANAG RES</t>
  </si>
  <si>
    <t>BS0DJ</t>
  </si>
  <si>
    <t>WOS:000681139700045</t>
  </si>
  <si>
    <t>Magau, P</t>
  </si>
  <si>
    <t>Magau, Phemelo</t>
  </si>
  <si>
    <t>The regulatory nexus between the promotion of financial education and financial inclusion in enhancing consumer protection in South Africa</t>
  </si>
  <si>
    <t>DEBT RELIEF; LITERACY; SERVICES; SAVINGS; POOR</t>
  </si>
  <si>
    <t>This paper seeks to share some insights on the regulatory aspects of the promotion of financial education and financial inclusion to enhance consumer protection in South Africa. In recent years, policymakers in different countries, including South Africa, have made various efforts to regulate financial inclusion and integrate financial consumers into the financial sector. Similarly, policymakers and other relevant stakeholders have made efforts to promote financial education to empower financial consumers to make sound financial choices and decisions. Notwithstanding these efforts, the promotion of financial education and financial inclusion has been done in isolation, overlooking the policy synergies between these objectives and/or financial sector outcomes in enhancing consumer protection in South Africa. Given the recent COVID-19 pandemic, both financial education and financial inclusion have become increasingly important policy considerations to negotiate the chasm from the challenges that financial consumers faced before the pandemic and move towards safeguarding the economic interests of financial consumers post-pandemic. Accordingly, this paper explores the interrelationship between the effective promotion of financial education and financial inclusion to enhance consumer protection. Moreover, this paper examines the adequacy of the regulation of financial education and financial inclusion under the National Credit Act 34 of 2005 (NCA); the Consumer Protection Act 68 of 2008 (CPA), the Financial Sector Regulation Act 9 of 2017 (FSR Act) and the proposed Conduct of Financial Institutions Bill (CoFI Bill) in relation to strengthening consumer protection. Put differently, this article focuses on the regulatory nexus of the promotion of financial education and financial inclusion to enhance consumer protection in South Africa. In the end, this article will provide some recommendations and enforcement approaches that could be incorporated into the regulatory framework of the promotion of financial education and financial inclusion to enhance consumer protection in South Africa.</t>
  </si>
  <si>
    <t>[Magau, Phemelo] Univ Pretoria, Dept Mercantile Law, Pretoria, South Africa</t>
  </si>
  <si>
    <t>Magau, P (corresponding author), Univ Pretoria, Dept Mercantile Law, Pretoria, South Africa.</t>
  </si>
  <si>
    <t>10.17159/2225-7160/2023/v56a16</t>
  </si>
  <si>
    <t>WOS:001075087900016</t>
  </si>
  <si>
    <t>Chen, L; Zheng, YL; Chen, PX</t>
  </si>
  <si>
    <t>Chen, Li; Zheng, Yingli; Chen, Pingxing</t>
  </si>
  <si>
    <t>Digital Inclusive Finance and Rural Industrial Prosperity in Western China: Effects, Heterogeneity and Mechanisms of Action</t>
  </si>
  <si>
    <t>PROCEEDINGS OF 2024 3RD INTERNATIONAL CONFERENCE ON CYBER SECURITY, ARTIFICIAL INTELLIGENCE AND DIGITAL ECONOMY, CSAIDE 2024</t>
  </si>
  <si>
    <t>3rd International Conference on Cyber Security, Artificial Intelligence and Digital Economy (CSAIDE)</t>
  </si>
  <si>
    <t>MAR 01-03, 2024</t>
  </si>
  <si>
    <t>Nanjing, PEOPLES R CHINA</t>
  </si>
  <si>
    <t>digital financial inclusion; rural industrial prosperity; panel regression; heterogeneity; mediation effect</t>
  </si>
  <si>
    <t>The article empirically tests the influences as well as mechanism of digital inclusive finance on the prosperity of rural industries of 12 provinces from year 2011 to year 2022 in western China. The results show that: the digital inclusive finance can affect the development of rural industries in the west, and the empirical results still stands after the robustness test; the analysis of heterogeneity shows that the depth of usage of digital financial has the most significant impact on rural industries in the southwestern of China; while it fails to produce a significant effect of promotion in the northwestern part of the country; the analysis of the mechanism shows that digital inclusive finance can indirectly improve the prosperity of the rural industries by promoting economic development of western region, and there also exists regional differences between southwest and northwest. The findings of the study provide decision-making references for the state to further accelerate the construction of digital infrastructure in China's western region, implement differentiated digital development in the southwest and northwest, and enhance the financial literacy of western rural residents.</t>
  </si>
  <si>
    <t>[Chen, Li; Zheng, Yingli; Chen, Pingxing] Dianchi Coll, Kunming 650001, Yunnan, Peoples R China</t>
  </si>
  <si>
    <t>Chen, L (corresponding author), Dianchi Coll, Kunming 650001, Yunnan, Peoples R China.</t>
  </si>
  <si>
    <t>lilly881225@126.com; 457788753@qq.com; 617017107@qq.com</t>
  </si>
  <si>
    <t>Chen, Li/0009-0007-4305-6417</t>
  </si>
  <si>
    <t>Digital finance empowers industrial prosperity in rural Yunnan: trust mechanisms, risk taking and path optimization [2024J1159]</t>
  </si>
  <si>
    <t>Digital finance empowers industrial prosperity in rural Yunnan: trust mechanisms, risk taking and path optimization</t>
  </si>
  <si>
    <t>Digital finance empowers industrial prosperity in rural Yunnan: trust mechanisms, risk taking and path optimization.(Project No. 2024J1159).</t>
  </si>
  <si>
    <t>979-8-4007-1821-2</t>
  </si>
  <si>
    <t>10.1145/3672919.3673022</t>
  </si>
  <si>
    <t>BX5WI</t>
  </si>
  <si>
    <t>WOS:001304341100102</t>
  </si>
  <si>
    <t>Suhrab, M; Pinglu, C; Qian, N</t>
  </si>
  <si>
    <t>Suhrab, Muhammad; Pinglu, Chen; Qian, Ningyu</t>
  </si>
  <si>
    <t>Constructing Tech-driven Multidimensional Financial Inclusion Index in the Digital Era: A Data-Driven Analysis for BRICS Nations</t>
  </si>
  <si>
    <t>Tech-driven multidimensional financial inclusion; Financial access; Financial usage; Principal component analysis (PCA); BRICS nations</t>
  </si>
  <si>
    <t>SERVICES; ACCESS; IMPACT</t>
  </si>
  <si>
    <t>This study constructs a tech-driven multidimensional financial inclusion (MFI) index to evaluate financial inclusion in the BRICS nations. Drawing on data from 2004 to 2023 sourced from the IMF Financial Access Survey (FAS), this study uses a two-stage Principal Component Analysis (PCA) to integrate the dimensions of financial access (FAI) and financial usage (FUI). This approach overcomes the limitations of conventional methods, which often rely on arbitrary weights and simplistic indices. The framework incorporates digital financial services, such as mobile money and digital transactions, to reflect their transformative effects on modern financial systems. The results indicate varied financial inclusion patterns among the BRICS countries: Brazil and Russia display robust financial access, while India and China show notable advancements in financial usage, largely due to digital transformation. South Africa's moderate performance across these dimensions suggests the need for more balanced policies. The reliability of the index is further strengthened by robust methodologies, including pre- and post-pandemic analyses and factor loadings. By introducing a technology-integrated, empirically based measurement framework, this study contributes to the advancement of financial inclusion research. It offers policymakers a precise tool for cross-country comparisons, performance evaluations, and formulating targeted digital finance policies in emerging markets.</t>
  </si>
  <si>
    <t>[Suhrab, Muhammad; Qian, Ningyu] Huazhong Univ Sci &amp; Technol HUST, Sch Management, Wuhan, Peoples R China; [Pinglu, Chen] Huazhong Univ Sci &amp; Technol HUST, Inst Poverty Reduct &amp; Dev, Sch Management, Wuhan, Peoples R China</t>
  </si>
  <si>
    <t>Huazhong University of Science &amp; Technology; Huazhong University of Science &amp; Technology</t>
  </si>
  <si>
    <t>Suhrab, M (corresponding author), Huazhong Univ Sci &amp; Technol HUST, Sch Management, Wuhan, Peoples R China.</t>
  </si>
  <si>
    <t>writetosohrab@gmail.com; chen.penglu@mail.hust.edu.cn; qianningyuhust@163.com</t>
  </si>
  <si>
    <t>Suhrab, Muhammad/JJD-3629-2023</t>
  </si>
  <si>
    <t>Qian, Ningyu/0000-0001-7969-4540; Suhrab, muhammad/0000-0002-6680-7494</t>
  </si>
  <si>
    <t>Liberal arts double world-class project of Huazhong University of Science and Technology (The major discipline platform construction Rural Development Research Center of Huazhong University of Science and Technology)</t>
  </si>
  <si>
    <t>The paper is supported by the liberal arts double world-class project of Huazhong University of Science and Technology (The major discipline platform construction Rural Development Research Center of Huazhong University of Science and Technology).</t>
  </si>
  <si>
    <t>2025 SEP 30</t>
  </si>
  <si>
    <t>10.1007/s10690-025-09561-3</t>
  </si>
  <si>
    <t>8CW4A</t>
  </si>
  <si>
    <t>WOS:001585649900001</t>
  </si>
  <si>
    <t>Xu, QY; Sun, W</t>
  </si>
  <si>
    <t>Xu, Qiuyan; Sun, Wu</t>
  </si>
  <si>
    <t>Does financial inclusion promote investment and affect residents' happiness?-Evidence from China</t>
  </si>
  <si>
    <t>financial inclusion; investment; residents' happiness; China; CGSS</t>
  </si>
  <si>
    <t>With the rapid development of inclusive finance, the popularity of financial services is increasing, and the level of financial literacy of residents has gained. Using data from the years 2013, 2015, and 2017 China General Social Surveys (CGSS) and the China Digital Inclusive Finance Development Index to analyze residents' investment behavior in China, this study finds that inclusive finance significantly increased residents' investment participation and decrease their sense of happiness at the same time. This study demonstrates the effectiveness of China's financial inclusion policy and provides ideas for its further improvement.</t>
  </si>
  <si>
    <t>[Xu, Qiuyan; Sun, Wu] Shihezi Univ, Sch Econ &amp; Management, Dept Econ, Shihezi, Peoples R China; [Sun, Wu] Shandong Technol &amp; Business Univ, Int Business Coll, Dept Finance, Yantai, Peoples R China</t>
  </si>
  <si>
    <t>Shihezi University; Shandong Technology &amp; Business University</t>
  </si>
  <si>
    <t>Sun, W (corresponding author), Shihezi Univ, Sch Econ &amp; Management, Dept Econ, Shihezi, Peoples R China.;Sun, W (corresponding author), Shandong Technol &amp; Business Univ, Int Business Coll, Dept Finance, Yantai, Peoples R China.</t>
  </si>
  <si>
    <t>sunwu@sdtbu.edu.cn</t>
  </si>
  <si>
    <t>AUG 22</t>
  </si>
  <si>
    <t>10.3389/fpsyg.2022.988312</t>
  </si>
  <si>
    <t>4Q5TE</t>
  </si>
  <si>
    <t>WOS:000856144600001</t>
  </si>
  <si>
    <t>Thanaawathphuvaphan, T</t>
  </si>
  <si>
    <t>Thanaawathphuvaphan, Theerananda</t>
  </si>
  <si>
    <t>Exploring the Financial Behaviors and Barriers of Low-Wage Workers in Thailand: Implications for E-Banking Application Design</t>
  </si>
  <si>
    <t>E-banking; financial inclusion; HCI design; low-wage workers; mobile banking</t>
  </si>
  <si>
    <t>Financial inclusion remains a significant challenge for Thailand's low-wage workers, who often struggle to access traditional banking services. While E-banking applications offer potential solutions, their design must address the specific needs of this vulnerable population. This study investigates the financial behaviors and challenges of low-wage workers in Thailand to inform the development of more inclusive E-banking applications. Through semi-structured interviews with 25 low-wage workers across various sectors and 10 stakeholders including bank representatives and financial inclusion experts, we identified four key themes: (1) Income Volatility and Cash Flow Management, (2) Limited Financial Literacy and Access to Information, (3) Barriers to Formal Banking, and (4) Reliance on Social Networks and Informal Financial Practices. Based on our findings, we propose five essential design implications for inclusive E-banking applications: tiered KYC requirements, visual and voice-based interfaces, integrated budgeting tools, micro-transaction capabilities, and community-based financial support networks. These recommendations aim to bridge the gap between traditional banking services and the needs of low-wage workers, contributing to the literature on inclusive financial technologies while providing practical guidance for financial institutions and policymakers in Thailand.</t>
  </si>
  <si>
    <t>[Thanaawathphuvaphan, Theerananda] Kasetsart Univ, Fac Liberal Arts &amp; Sci, Dept Computat Sci &amp; Digital Technol, Kamphaeng Saen Campus, Nakhon Pathom, Thailand</t>
  </si>
  <si>
    <t>Kasetsart University</t>
  </si>
  <si>
    <t>Thanaawathphuvaphan, T (corresponding author), Kasetsart Univ, Fac Liberal Arts &amp; Sci, Dept Computat Sci &amp; Digital Technol, Kamphaeng Saen Campus, Nakhon Pathom, Thailand.</t>
  </si>
  <si>
    <t>thee.thanaawathphuvaphan@gmail.com</t>
  </si>
  <si>
    <t>e70042</t>
  </si>
  <si>
    <t>10.1002/isd2.70042</t>
  </si>
  <si>
    <t>9SR2M</t>
  </si>
  <si>
    <t>WOS:001614092100001</t>
  </si>
  <si>
    <t>The Digital Financial Inclusion Index: A Cross-Country Comparison</t>
  </si>
  <si>
    <t>JOURNAL OF ECONOMIC POLICY RESEARCHES-IKTISAT POLITIKASI ARASTIRMALARI DERGISI</t>
  </si>
  <si>
    <t>Turkish</t>
  </si>
  <si>
    <t>Digital financial inclusion index; Digitization; Digital finance; Finance; Financial inclusion</t>
  </si>
  <si>
    <t>The increasing impact of digitalization on the financial system and widespread use of technological devices such as smartphones that facilitate participation and access to the financial system in almost every segment of society have been this study's motivating factor for creating a Digital Financial Inclusion Index (DFII). By following the methodology the Organisation for Economic Co-operation and Development used to create a combined index, the study examines the DFI levels and developments of 75 countries whose data can be accessed over a DFII calculated for the years 2017 and 2021 in comparison with current data. Within three years, the index values of the countries included in the DFII are seen to have increased or remained the same. High-income countries are seen to rank at the top of the DFII while the less developed countries with low income levels are found at the bottom. In addition, in order to compare the DFII values of the 75 countries covered in the index according to their income levels, the study divided the countries into four groups based on the World Bank income group classifications of high-income, upper-middle-income, lower-middle-income, and low-income brackets. Within three years, no significant difference was seen to have occurred between the average index values of countries in each income group, with very small increases occurring in their index values. In this process, lower-middle-income countries increased their average DFII values by a very small margin of 0.02 compared to the high-income countries and of 0.01 compared to the upper-middle-income countries.</t>
  </si>
  <si>
    <t>[Guz, Tugba] Istanbul Yeni Yuzyil Univ, Saglik Yonetimi Bolumu, Istanbul, Turkiye; [Poyraz, Gulden] Bandirma Onyedi Eylul Univ, Dis Ticaret Bolumu, Balikesir, Turkiye</t>
  </si>
  <si>
    <t>Güz, T (corresponding author), Istanbul Yeni Yuzyil Univ, Saglik Yonetimi Bolumu, Istanbul, Turkiye.</t>
  </si>
  <si>
    <t>melis.esenyel@istanbul.edu.tr</t>
  </si>
  <si>
    <t>ISTANBUL UNIV</t>
  </si>
  <si>
    <t>Rektorlugu, Beyazit, Fatih, ISTANBUL, 34452, Turkiye</t>
  </si>
  <si>
    <t>2148-3876</t>
  </si>
  <si>
    <t>J ECON POLICY RES-IK</t>
  </si>
  <si>
    <t>J. Econ. Policy Res.-Iktisat Polit. Arastirmalari Derg.</t>
  </si>
  <si>
    <t>10.26650/JEPR1180972</t>
  </si>
  <si>
    <t>J3P4I</t>
  </si>
  <si>
    <t>WOS:001336213700008</t>
  </si>
  <si>
    <t>Mohammed, MA; De-Pablos-Heredero, C; Botella, JLM</t>
  </si>
  <si>
    <t>Mohammed, Medina Ayta; De-Pablos-Heredero, Carmen; Botella, Jose Luis Montes</t>
  </si>
  <si>
    <t>The Role of Financial Sanctions and Financial Development Factors on Central Bank Digital Currency Implementation</t>
  </si>
  <si>
    <t>central bank digital currencies; financial development; financial access; financial stability; CBDC; E42; E58</t>
  </si>
  <si>
    <t>IMPACT; INTERNATIONALIZATION; OWNERSHIP; CRISIS</t>
  </si>
  <si>
    <t>This study investigates the influence of a country's financial access and stability and the adoption of retail central bank digital currencies (CBDCs) across 71 countries. Using an ordinal logit model, we examine how individual financial access, the ownership of credit cards, financing accessibility by firms, offshore loans, financial sanctions, and the ownership structure of financial institutions influence the probability of CBDC adoption in nations. These findings reveal that nations facing financial sanctions and those with substantial offshore bank loans are more inclined to adopt CBDCs. Furthermore, a significant relationship is observed in countries where many people have restricted financial access, indicating heightened interest in CBDC adoption. Interestingly, no statistically significant relationship was found between the adoption of CBDCs and the percentage of foreign-owned banks in each country. The results show that countries with low financial stability and financial access adopt CBDCs faster. This study expands our knowledge of how a nation's financial situation influences its adoption of CBDCs. The results provide important and relevant insights into the current discussion of the direction of global finance.</t>
  </si>
  <si>
    <t>[Mohammed, Medina Ayta; De-Pablos-Heredero, Carmen] Univ Rey Juan Carlos, Dept Business Econ Adm Management &amp; Org, Appl Econ &amp; Fundamentals Econ Anal 2, Paseo Artilleros S-N, Madrid 28032, Spain; [Botella, Jose Luis Montes] Univ Rey Juan Carlos, Dept Appl Econ 1, Paseo Los Artilleros S-N, Madrid 28032, Spain</t>
  </si>
  <si>
    <t>Mohammed, MA (corresponding author), Univ Rey Juan Carlos, Dept Business Econ Adm Management &amp; Org, Appl Econ &amp; Fundamentals Econ Anal 2, Paseo Artilleros S-N, Madrid 28032, Spain.</t>
  </si>
  <si>
    <t>medina.mohammed@urjc.es; carmen.depablos@urjc.es; joseluis.montes@urjc.es</t>
  </si>
  <si>
    <t>Mohammed, Medina/LTC-8815-2024; De Pablos, Carmen/A-3519-2014</t>
  </si>
  <si>
    <t>Universidad Rey Juan Carlos; [PREDOC22-001]</t>
  </si>
  <si>
    <t>Universidad Rey Juan Carlos;</t>
  </si>
  <si>
    <t>The study was supported by the Universidad Rey Juan Carlos (Ref: PREDOC22-001).</t>
  </si>
  <si>
    <t>FEB 15</t>
  </si>
  <si>
    <t>10.3390/fintech3010009</t>
  </si>
  <si>
    <t>7JR5J</t>
  </si>
  <si>
    <t>WOS:001572631100001</t>
  </si>
  <si>
    <t>Pailman, WL; Kruger, W; Prasad, G</t>
  </si>
  <si>
    <t>Cape Peninsula Univ Technology</t>
  </si>
  <si>
    <t>Pailman, Whitney Lisa; Kruger, Wikus; Prasad, Gisela</t>
  </si>
  <si>
    <t>Mobile Payment Innovation for Sustainable Energy Access</t>
  </si>
  <si>
    <t>PROCEEDINGS OF THE TWENTY-THIRD CONFERENCE ON THE DOMESTIC USE OF ENERGY</t>
  </si>
  <si>
    <t>Proceedings of the Twenty-Third Conference on the Domestic Use of Energy</t>
  </si>
  <si>
    <t>MAR 31-APR 01, 2015</t>
  </si>
  <si>
    <t>Cape Peninsula Univ Technol,IEEE: Chapters IAS, IES, PELS Power Energy Soc,South African Assoc Energy Serv Co,South African Inst Elect Engineers,Assoc Municipal Elect Undertakings,Southern Assoc Energy Efficiency,Sustainable Energy Soc Southern Africa,Natl Energy Efficiency Agency,Univ Stellenbosch,Univ Cape Town,Noth-West Univ,City Cape Town,Eskom</t>
  </si>
  <si>
    <t>Sustainable energy access; business model innovation; renewable energy mobile payment mechanisms; mobile telephony infrastructure; decentralised solar products and services</t>
  </si>
  <si>
    <t>The emergence of new and innovative mobile payment mechanisms marks a significant breakthrough in the pursuit of affordable and sustainable energy access for poor households. The integration of mobile telephony infrastructure in energy service payment mechanisms enables rural and urban households to access decentralised renewable energy products and services. These include mini-grids, solar home systems (SHSs) and, more recently, pico-solar systems including solar lanterns. In Africa, energy delivery business models that use Pay-As-You-Go (PAYG) mobile payment systems have been developed by several businesses, including M-KOPA Solar in Kenya, Off Grid Electric in Tanzania and Econet Solar in Zimbabwe. Business model innovation enables greater affordability and choice for energy poor households through frequent, incremental and flexible payment options that mirror the income patterns of indigent households. Furthermore the unbanked urban and rural populations are reached and offered an alternative form of micro-financing for energy services and simple mobile money payment options through cellphones. Payment mechanisms that address affordability and payment flexibility could significantly contribute to the scaling up of modem energy access. This paper analyses the application of mobile payment mechanisms that could enable energy access in terms of billing, payment and usage monitoring. It furthermore explores critical success factors for the upscaling of effective mobile enabled payment mechanisms for energy services in other countries.</t>
  </si>
  <si>
    <t>[Pailman, Whitney Lisa; Kruger, Wikus; Prasad, Gisela] Univ Cape Town, Energy Res Ctr, ZA-7700 Rondebosch, South Africa</t>
  </si>
  <si>
    <t>Pailman, WL (corresponding author), Univ Cape Town, Energy Res Ctr, ZA-7700 Rondebosch, South Africa.</t>
  </si>
  <si>
    <t>wlpailman@gmail.com; wikus.kruger@uct.ac.za; Gisela.prasad@uct.ac.za</t>
  </si>
  <si>
    <t>Kruger, Wikus/0000-0002-0979-8181</t>
  </si>
  <si>
    <t>CAPE PENINSULA UNIV TECHNOLOGY</t>
  </si>
  <si>
    <t>CAPE TOWN</t>
  </si>
  <si>
    <t>CAPE TOWN CAMPUS, PO BOX 652, CAPE TOWN, 8000, SOUTH AFRICA</t>
  </si>
  <si>
    <t>978-0-9922-0419-8</t>
  </si>
  <si>
    <t>BF2BC</t>
  </si>
  <si>
    <t>WOS:000380452100005</t>
  </si>
  <si>
    <t>Jonker, N; Kosse, A</t>
  </si>
  <si>
    <t>Jonker, Nicole; Kosse, Anneke</t>
  </si>
  <si>
    <t>The interplay of financial education, financial inclusion and financial stability and the role of Big Tech</t>
  </si>
  <si>
    <t>CONTEMPORARY ECONOMIC POLICY</t>
  </si>
  <si>
    <t>Big Tech; financial education; financial inclusion; financial literacy; financial stability; fintech</t>
  </si>
  <si>
    <t>DEBT LITERACY; CURRICULUM</t>
  </si>
  <si>
    <t>The entry of Big Techs in the financial ecosystem might affect financial stability, among others through the opportunities and challenges they create for financial inclusion. We survey the literature to determine the effectiveness of financial education in improving financial literacy and inclusion and assess the impact of financial inclusion on financial stability. We argue for new research to determine whether financial education can help people to reap the financial-inclusion benefits that Big Tech may bring. We also conclude that financial-inclusion opportunities created by Big Tech might introduce financial stability risks and underline the importance of proper supervision and regulation.</t>
  </si>
  <si>
    <t>[Jonker, Nicole] Nederlandsche Bank, Payments &amp; Market Infrastruct Dept, Amsterdam, Netherlands; [Kosse, Anneke] Bank Canada, Ottawa, ON, Canada</t>
  </si>
  <si>
    <t>European Central Bank; De Nederlandsche Bank NV; Bank of Canada</t>
  </si>
  <si>
    <t>Kosse, A (corresponding author), Bank Int Settlements, Comm Payments &amp; Market Infrastruct, Cent Bahnpl 2, CH-4051 Basel, Switzerland.</t>
  </si>
  <si>
    <t>anneke.kosse@bis.org</t>
  </si>
  <si>
    <t>1074-3529</t>
  </si>
  <si>
    <t>1465-7287</t>
  </si>
  <si>
    <t>CONTEMP ECON POLICY</t>
  </si>
  <si>
    <t>Contemp. Econ. Policy</t>
  </si>
  <si>
    <t>10.1111/coep.12578</t>
  </si>
  <si>
    <t>Economics; Public Administration</t>
  </si>
  <si>
    <t>4G7GE</t>
  </si>
  <si>
    <t>WOS:000821391000001</t>
  </si>
  <si>
    <t>Makina, D</t>
  </si>
  <si>
    <t>Makina, Daniel</t>
  </si>
  <si>
    <t>Introduction to the financial services in Africa special issue</t>
  </si>
  <si>
    <t>Africa; Mobile money; Financial services; Financial inclusion; Access to credit</t>
  </si>
  <si>
    <t>ENDOGENOUS GROWTH; INTERMEDIATION; MARKETS; CHOICE</t>
  </si>
  <si>
    <t>Purpose - The purpose of this paper is to explore the landscape of financial services in Africa through the prism of a selection of research papers. Design/methodology/approach - This is a review of literature that focusses on access to financial services (i.e. financial inclusion) and empirical findings from research papers in this issue of the journal. Findings - The landscape of financial services in Africa is as heterogeneous as the countries comprising the continent. Common features include low levels of financial inclusion, low financial literacy, constrained access to credit, costly credit when available, gender discrimination in account ownership, and use and inefficient foreign exchange markets. Nevertheless, there are promising innovations, especially the mobile money innovation, which have the potential to foster more inclusive financial systems. Originality/value - All the papers in this volume are based on original research shedding new insights on various aspects of financial services in Africa.</t>
  </si>
  <si>
    <t>[Makina, Daniel] Univ South Africa, Dept Finance Risk Management &amp; Banking, Pretoria, South Africa</t>
  </si>
  <si>
    <t>Makina, D (corresponding author), Univ South Africa, Dept Finance Risk Management &amp; Banking, Pretoria, South Africa.</t>
  </si>
  <si>
    <t>makind@unisa.ac.za</t>
  </si>
  <si>
    <t>10.1108/AJEMS-03-2017-149</t>
  </si>
  <si>
    <t>WOS:000396553500001</t>
  </si>
  <si>
    <t>Alhassan, A; Li, L; Reddy, K; Duppati, G</t>
  </si>
  <si>
    <t>Alhassan, Abidin; Li, Leon; Reddy, Krishna; Duppati, Geeta</t>
  </si>
  <si>
    <t>The impact of formal financial inclusion on informal financial intermediation and cash preference: evidence from Africa</t>
  </si>
  <si>
    <t>Financial intermediation; informal; formal; cash preference; ROSCAs; Tontines</t>
  </si>
  <si>
    <t>CREDIT MARKETS; ROTATING SAVINGS; MICROFINANCE; ACCESS; POOR</t>
  </si>
  <si>
    <t>This paper examines the effect of formal financial intermediation (inclusion) on informal financial intermediation and the use of cash for economic activities. Using data from the Global Findex 2014, we examine whether the use of formal financial intermediaries reduces cash preference and the use of informal financial intermediaries. Our empirical results show that informal financial intermediation is positively associated with formal financial inclusion. This indicates that the relationship between informal and formal financial intermediation is complementary rather than a trade-off, which demonstrates the importance of informal finance plays in the financial system of Africa. Moreover, the use of formal financial intermediaries significantly reduces the preference for holding cash, implying that a robust financial system infrastructure has the potential of mobilizing excess liquidity in the informal economy of Africa for growth and development.</t>
  </si>
  <si>
    <t>[Alhassan, Abidin; Li, Leon; Duppati, Geeta] Univ Waikato, Waikato Management Sch, Hamilton, New Zealand; [Reddy, Krishna] Toi Ohomai Inst Technol, Postgrad Business, Tauranga, New Zealand</t>
  </si>
  <si>
    <t>University of Waikato; Toi Ohomai Institute of Technology</t>
  </si>
  <si>
    <t>Li, L (corresponding author), Univ Waikato, Waikato Management Sch, Hamilton, New Zealand.</t>
  </si>
  <si>
    <t>leonli@waikato.ac.nz</t>
  </si>
  <si>
    <t>Li, Leon/H-9013-2016; Duppati, Geeta/H-9504-2015; Reddy, Krishna/S-2704-2019</t>
  </si>
  <si>
    <t>Duppati, Geeta/0000-0002-7429-6057; Reddy, Krishna/0000-0002-7812-9141</t>
  </si>
  <si>
    <t>10.1080/00036846.2019.1593316</t>
  </si>
  <si>
    <t>IG0VH</t>
  </si>
  <si>
    <t>WOS:000473508000003</t>
  </si>
  <si>
    <t>Choudhary, P; Thenmozhi, M</t>
  </si>
  <si>
    <t>Choudhary, Priya; Thenmozhi, M.</t>
  </si>
  <si>
    <t>Fintech and financial sector: ADO analysis and future research agenda</t>
  </si>
  <si>
    <t>Fintech; Financial sector; Systematic literature review; Thematic analysis; ADO framework</t>
  </si>
  <si>
    <t>BIG DATA; STABILITY; INNOVATION; COMPETITION; INVESTMENT; PLATFORMS; BORROWERS; ECOSYSTEM; BANKING; DEFAULT</t>
  </si>
  <si>
    <t>This study provides a comprehensive systematic literature review on fintech and adds valuable insights to the growing fintech knowledge. Based on PRISMA, we identified 141 research papers published in A and A* Journal categories from 2008 to 2022. The review shows that the fintech literature could be classified into four major thematic areas: inter-dynamics between banks and fintech, fintech business model, disruptive technology and footprints of fintech. Based on the ADO framework, the antecedents include the key drivers of fintech growth: disruptive technology, transparency, speed, cost-effectiveness, the improved credit assessment, government support, regulatory sandboxes and bank-fintech collaborations. Fintech companies make multifaceted business model decisions involving customer risk profiles, wealth advisory services, balancing tech-driven solutions with risk management, loan rates, investor protection and competitive returns. Fintech's impact extends to financial inclusion, support for consumption and entrepreneurship, risk reduction for SMEs and lower bankruptcy costs. Overall, fintech companies serve as complements and substitutes for traditional finance providers. The study further highlights the need for future research on the drivers of bank-fintech collaboration and mutual value creation and explores fintech's role in sustainable finance practices.</t>
  </si>
  <si>
    <t>[Choudhary, Priya] Indian Inst Technol Madras, Dept Management Studies, Chennai 600036, India; [Thenmozhi, M.] Indian Inst Technol Madras, Dept Management Studies, CAMS IITM Fintech Innovat Lab, Chennai 600036, India</t>
  </si>
  <si>
    <t>Indian Institute of Technology System (IIT System); Indian Institute of Technology (IIT) - Madras; Indian Institute of Technology System (IIT System); Indian Institute of Technology (IIT) - Madras</t>
  </si>
  <si>
    <t>Thenmozhi, M (corresponding author), Indian Inst Technol Madras, Dept Management Studies, CAMS IITM Fintech Innovat Lab, Chennai 600036, India.</t>
  </si>
  <si>
    <t>priya.choudhary241099@gmail.com; mtm@iitm.ac.in</t>
  </si>
  <si>
    <t>; M, Thenmozhi/AAP-4888-2020</t>
  </si>
  <si>
    <t>Choudhary, Priya/0009-0006-8687-4025;</t>
  </si>
  <si>
    <t>CAMS IITM Fintech Innovation Lab (CIFIL) , Indian Institute of Technology Madras, Chennai</t>
  </si>
  <si>
    <t>We acknowledge the funding from CAMS IITM Fintech Innovation Lab (CIFIL) , Indian Institute of Technology Madras, Chennai.</t>
  </si>
  <si>
    <t>10.1016/j.irfa.2024.103201</t>
  </si>
  <si>
    <t>QP0Z9</t>
  </si>
  <si>
    <t>WOS:001221970600001</t>
  </si>
  <si>
    <t>Li, ZH; Jin, S; Wu, J</t>
  </si>
  <si>
    <t>Li, Zhaohua; Jin, Shan; Wu, Jie</t>
  </si>
  <si>
    <t>Family entrepreneurship and regional digital finance access: evidence from household entrepreneurship in China</t>
  </si>
  <si>
    <t>Household entrepreneurship; digital finance access; bank outlet networks; commercial insurance; financial literacy; L26; D10</t>
  </si>
  <si>
    <t>INNOVATION; LITERACY; IMPACT</t>
  </si>
  <si>
    <t>Using data from the China Household Finance Survey (CHFS) conducted in 2015, 2017, and 2019, in conjunction with the regional digital financial inclusion index developed by Peking University, we investigate the influence of regional digital finance accessibility on Chinese household entrepreneurship. The findings reveal that households in regions with better digital finance access exhibit a greater inclination towards household entrepreneurship. Among the - sub-indicators, the breadth of coverage and the use of credit exert the most significant influence. Furthermore, by employing casual mediation analysis in instrumental variable settings, we find that the physical bank outlet networks act as a negative transmission mechanism in the relationship between regional digital finance access and household entrepreneurship. This negative mediation effect amplifies with the proliferation of bank outlets. Heterogeneity analysis shows that the positive impact of regional digital finance access is particularly significant among households without commercial insurance and financial literacy. We recommend that governments advocate broader commercial insurance access and promote financial literacy in communities.</t>
  </si>
  <si>
    <t>[Li, Zhaohua; Jin, Shan] Lincoln Univ, Fac Agribusiness &amp; Commerce, Christchurch, New Zealand; [Wu, Jie] UNIV ABERDEEN, Kings Coll, Business Sch, ABERDEEN, Scotland</t>
  </si>
  <si>
    <t>Lincoln University - New Zealand; University of Aberdeen</t>
  </si>
  <si>
    <t>Jin, S (corresponding author), Lincoln Univ, Fac Agribusiness &amp; Commerce, Christchurch, New Zealand.</t>
  </si>
  <si>
    <t>Shan.Jin@lincolnuni.ac.nz</t>
  </si>
  <si>
    <t>wu, jie/LCE-7752-2024; Li, Zhaohua/AAF-2737-2020</t>
  </si>
  <si>
    <t>wu, jie/0000-0002-4289-4204; Li, Zhaohua/0000-0002-4732-7997; Jin, Shan/0000-0001-8707-4624</t>
  </si>
  <si>
    <t>10.1080/00036846.2025.2449854</t>
  </si>
  <si>
    <t>T0221</t>
  </si>
  <si>
    <t>WOS:001391811700001</t>
  </si>
  <si>
    <t>Wang, XQ; Mao, ZH</t>
  </si>
  <si>
    <t>Wang, Xingqi; Mao, Zhenhua</t>
  </si>
  <si>
    <t>Research on the Impact of Digital Inclusive Finance on the Financial Vulnerability of Aging Families</t>
  </si>
  <si>
    <t>aging; digital inclusive finance; family financial fragility</t>
  </si>
  <si>
    <t>FRAGILITY</t>
  </si>
  <si>
    <t>In recent years, the issue of population aging has been a challenge for China's economic and social development. Due to factors such as the imperfect pension security system, the financial vulnerability of families has been greatly impacted by population aging. Digital inclusive finance is a financial model that utilizes digital technology and innovative approaches to provide financial services to low-income groups and impoverished areas. With the rapid development of the concept of digital inclusive finance, an increasing number of households are beginning to use digital inclusive finance products. It is worth exploring whether this financial model can help alleviate the financial vulnerability of aging families. Therefore, it is of both theoretical and practical significance to study the role of digital inclusive finance in improving the financial vulnerability of aging families. This study assembled unbalanced panel data using both 2016 and 2018 China Household Tracking Survey (CFPS) data and the digital financial inclusion index. An empirical analysis was conducted using the ordered probit panel model. The research findings indicate the following: First, the increasing elderly population intensifies the financial vulnerability of families. Second, digital inclusive finance plays a significant role in improving the financial stability of aging families. Third, digital inclusive finance helps alleviate the impact of population aging on family financial vulnerability by mitigating credit constraints and increasing household income. Fourth, a heterogeneity analysis suggests that in female-headed households, the financial vulnerability caused by population aging is more severe, and the role of digital inclusive finance in improving family financial vulnerability is more prominent. Additionally, the purchase of commercial insurance can effectively alleviate the financial vulnerability of families caused by population aging.</t>
  </si>
  <si>
    <t>[Wang, Xingqi; Mao, Zhenhua] Wuhan Univ, Dong Fureng Inst Econ &amp; Social Dev, Wuhan 430072, Peoples R China; [Mao, Zhenhua] Univ Hong Kong, Fac Business &amp; Econ, Hong Kong 999077, Peoples R China</t>
  </si>
  <si>
    <t>Wuhan University; University of Hong Kong</t>
  </si>
  <si>
    <t>Wang, XQ (corresponding author), Wuhan Univ, Dong Fureng Inst Econ &amp; Social Dev, Wuhan 430072, Peoples R China.</t>
  </si>
  <si>
    <t>wangxingqi@whu.edu.cn; zhmao@hku.hk</t>
  </si>
  <si>
    <t>10.3390/risks11120209</t>
  </si>
  <si>
    <t>DG9M8</t>
  </si>
  <si>
    <t>WOS:001130994400001</t>
  </si>
  <si>
    <t>Abdullahi, IS; Sharofiddin, A; Kasim, S</t>
  </si>
  <si>
    <t>Abdullahi, Ismaila Sabi; Sharofiddin, Ashurov; Kasim, Salina</t>
  </si>
  <si>
    <t>REDUCING FINANCIAL EXCLUSION AND ENHANCING CONTRIBUTION OF NON-INTEREST (ISLAMIC) BANKS IN NIGERIA</t>
  </si>
  <si>
    <t>INTERNATIONAL JOURNAL OF ECONOMICS MANAGEMENT AND ACCOUNTING</t>
  </si>
  <si>
    <t>Financial inclusion strategy; Islamic banks; Financial exclusion; Supply-side analysis; Nigeria</t>
  </si>
  <si>
    <t>INCLUSION; DETERMINANTS</t>
  </si>
  <si>
    <t>Financial exclusion denies people access to useful and affordable financial products and services including transactions, payment, savings, credit, and insurance. Thus, Nigeria launched its National Financial Inclusion Strategy in October 2012 to reduce financial exclusion to 20.0% by end 2020 from 46.3% in 2010; and the licensed Islamic banks are stakeholders in this declaration. Thus, the study adopts an exploratory approach to discuss the contribution of Non-Interest (Islamic) Banks in achieving the set target from the supply-side. The study found that Islamic banks in Nigeria have contributed to reducing the exclusion rate from the supply-side to 35.9% in 2020 by financing customer centric Shari'ah compliant products; growth in branch network and other touch points; agent banking operations; and participation in the Central Bank of Nigeria non-interest intervention schemes. The study recommends the spread of their financial touch points to the unbanked rural populace in other states; while it encourages the government, the Central Bank of Nigeria, and all other stakeholders to sustain efforts in reducing financial exclusion.</t>
  </si>
  <si>
    <t>[Abdullahi, Ismaila Sabi; Sharofiddin, Ashurov; Kasim, Salina] Int Islam Univ Malaysia, IIUM Inst Islam Banking &amp; Finance, Kuala Lumpur 53000, Selangor, Malaysia; [Abdullahi, Ismaila Sabi] Cent Bank Nigeria, 33 Abubakar Tafawa Balewa Way, Abuja, Nigeria</t>
  </si>
  <si>
    <t>International Islamic University Malaysia; Central Bank of Nigeria</t>
  </si>
  <si>
    <t>Abdullahi, IS (corresponding author), Int Islam Univ Malaysia, IIUM Inst Islam Banking &amp; Finance, Kuala Lumpur 53000, Selangor, Malaysia.;Abdullahi, IS (corresponding author), Cent Bank Nigeria, 33 Abubakar Tafawa Balewa Way, Abuja, Nigeria.</t>
  </si>
  <si>
    <t>samaborgu@gmail.com; ashurov@iium.edu.my; ksalina@iium.edu.my</t>
  </si>
  <si>
    <t>Ashurov, Sharofiddin/AAM-9277-2020</t>
  </si>
  <si>
    <t>IIUM PRESS</t>
  </si>
  <si>
    <t>SALANGER</t>
  </si>
  <si>
    <t>PO BOX 70 PETALING JAYA, SALANGER, 46700, MALAYSIA</t>
  </si>
  <si>
    <t>1394-7680</t>
  </si>
  <si>
    <t>INT J ECON MANAG ACC</t>
  </si>
  <si>
    <t>Int. J. Econ. Manag. Account.</t>
  </si>
  <si>
    <t>10.31436/ijema.v32i1.1070</t>
  </si>
  <si>
    <t>S8W7O</t>
  </si>
  <si>
    <t>WOS:001400963600002</t>
  </si>
  <si>
    <t>Tetteh, GK</t>
  </si>
  <si>
    <t>Tetteh, Godsway Korku</t>
  </si>
  <si>
    <t>Local digital lending development and the incidence of deprivation in Kenya</t>
  </si>
  <si>
    <t>Microfinance; Fintech; Digital lending; Deprivation</t>
  </si>
  <si>
    <t>MOBILE MONEY; FINANCIAL DEVELOPMENT; INTERACTION TERMS; MICROFINANCE; IMPACT; BEHAVIOR; POVERTY; CREDIT; ACCESS</t>
  </si>
  <si>
    <t>In the developing world, vulnerable communities often lack access to regular income sources to cope with unforeseen events. Recent advancements in financial technology have enabled microcredit to be delivered via digital platforms. Although digital credit may quicken remote access to consumer credit without the need for collateral, little is known about its contribution to the welfare of underserved communities. This study examines the effects of local digital lending development on deprivation and explores the implications of these effects on rural inhabitants. The results show a negative association between local digital lending development and food deprivation on one hand and health deprivation on the other. The evidence suggests that local digital lending development can reduce the probability of food and health deprivation. Furthermore, the evidence reveals that inhabitants of rural communities benefit more from digital lending development. This study recommends the decentralization of financial inclusion policies as a pathway to promote digital lending at the local level.</t>
  </si>
  <si>
    <t>[Tetteh, Godsway Korku] Univ Strathclyde, 16 Richmond St, Glasgow, Scotland; [Tetteh, Godsway Korku] Maastricht Univ, UNU MERIT, Maastricht, Netherlands</t>
  </si>
  <si>
    <t>University of Strathclyde; Maastricht University</t>
  </si>
  <si>
    <t>Tetteh, GK (corresponding author), Univ Strathclyde, 16 Richmond St, Glasgow, Scotland.;Tetteh, GK (corresponding author), Maastricht Univ, UNU MERIT, Maastricht, Netherlands.</t>
  </si>
  <si>
    <t>Tetteh, Godsway Korku/OUI-5520-2025</t>
  </si>
  <si>
    <t>AUG 21</t>
  </si>
  <si>
    <t>10.1186/s40854-023-00507-0</t>
  </si>
  <si>
    <t>P4SI4</t>
  </si>
  <si>
    <t>WOS:001050556800001</t>
  </si>
  <si>
    <t>Joshi, K; Gupta, C; Tyagi, R; Dwivedi, R</t>
  </si>
  <si>
    <t>Joshi, Kavita; Gupta, Chabi; Tyagi, Ruchi; Dwivedi, Ritesh</t>
  </si>
  <si>
    <t>A bibliometric insight into women's financial literacy : Future directions and trends</t>
  </si>
  <si>
    <t>JOURNAL OF INFORMATION &amp; OPTIMIZATION SCIENCES</t>
  </si>
  <si>
    <t>Women's financial literacy; Gender disparities; Financial education; Financial inclusion; Bibliometric analysis; Economic empowerment</t>
  </si>
  <si>
    <t>GENDER-GAP</t>
  </si>
  <si>
    <t>The research in this study involves extensive bibliometric analysis aimed at presenting the changing research landscape of women's financial literacy. It utilizes information from 573 academic research papers listed in the Scopus database. The analysis traces the trends in publications from 1983 to 2024 and highlights the authors, journals, and countries that have made significant contributions to the field. Furthermore, it explores thematic clusters identified from keyword co-occurrence networks. The results indicate a notable growth in publications after 2013, especially from the United States and India, showcasing the growing universal recognition of the importance of financial literacy in advancing gender equality and financial inclusion. The Journal of Financial Counselling and Planning emerges as the most frequent publisher, while the Journal of Pension Economics and Financial demonstrates the highest citation impact. The main areas of research focus on, financial literacy, financial inclusion, and gender gaps, with significant concentrations in microfinance, financial habits, and decision-making procedures. This analysis provides a solid foundation for future research and essential insights for educators and policymakers seeking to enhance women's financial autonomy and lessen gender disparities in financial literacy.</t>
  </si>
  <si>
    <t>[Joshi, Kavita; Gupta, Chabi] Amity Univ, Amity Coll Commerce &amp; Finance, Dept Chem, Noida 201301, Uttar Pradesh, India; [Tyagi, Ruchi] Asian Inst Technol, Dept Management, Pathum Thani 12120, Thailand; [Dwivedi, Ritesh] Symbiosis Int, Symbiosis Inst Business Management, Noida 201301, Uttar Pradesh, India</t>
  </si>
  <si>
    <t>Amity University Noida; Asian Institute of Technology; Symbiosis International University</t>
  </si>
  <si>
    <t>Joshi, K (corresponding author), Amity Univ, Amity Coll Commerce &amp; Finance, Dept Chem, Noida 201301, Uttar Pradesh, India.</t>
  </si>
  <si>
    <t>Kavitajoshi912@gmail.com; cgupta4@amity.edu; csractivist@yahoo.co.uk; ritesh.dwivedi@sibmnoida.siu.edu.in</t>
  </si>
  <si>
    <t>Dwivedi, Ritesh/JVN-7735-2024</t>
  </si>
  <si>
    <t>Dwivedi, Ritesh/0000-0003-3921-5458</t>
  </si>
  <si>
    <t>TARU PUBLICATIONS</t>
  </si>
  <si>
    <t>G-159, PUSHKAR ENCLAVE, PASHCHIM VIHAR, NEW DELHI, 110 063, INDIA</t>
  </si>
  <si>
    <t>0252-2667</t>
  </si>
  <si>
    <t>2169-0103</t>
  </si>
  <si>
    <t>J INFORM OPTIM SCI</t>
  </si>
  <si>
    <t>J. Inform. Optim. Science</t>
  </si>
  <si>
    <t>10.47974/JIOS-1753</t>
  </si>
  <si>
    <t>X4E5X</t>
  </si>
  <si>
    <t>WOS:001424904100014</t>
  </si>
  <si>
    <t>Espinosa-Cristia, JF; Alarcón, JI; Batiz-Lazo, B</t>
  </si>
  <si>
    <t>Felipe Espinosa-Cristia, Juan; Ignacio Alarcon, Jose; Batiz-Lazo, Bernardo</t>
  </si>
  <si>
    <t>Local Adaptation of Work Practices: The Case of BancoEstado's CajaVecina Correspondent Banking System</t>
  </si>
  <si>
    <t>correspondent banking; agency redistribution; payment space; special monies; classifications; CajaVecina</t>
  </si>
  <si>
    <t>BRANCHLESS BANKING</t>
  </si>
  <si>
    <t>This article contributes to the discussion of everyday domestic finance technologies by looking at CajaVecina, a correspondent banking network coordinated by BancoEstado, a leading Chilean financial institution. Differences in perceptions between actual users and designers of ICT for development projects (ICT2D) emerged from structured interviews with executives of financial intermediaries, customers, and shopkeepers. The extent to which independent merchants operating CajaVecina's bespoke terminals confront and solve the design-actuality gap questioned whether the CajaVecina system enabled neighborhood retail stores to act as a de facto bank branch. Empirical results suggested that was not the case. Instead of following strict contractual behavior, participants in the correspondent banking network addressed a design gap through social interaction and leveraging relationships with repeat customers. This behavior builds on information emanating from what they called operating quotas. Operating quotas enabled BancoEstado to diversify risk, document financial services habits, and forecast the performance of merchants (particularly small, independent retail shops). Merchants used trends in operating quotas to tailor services offered through the CajaVecina terminal while aiming to increase the loyalty of trusted customers. These results further the understanding of correspondent banking services aiming to increase financial inclusion by providing evidence of a previously unexplored aspect of these networks, where social dimensions take precedence over economic, financial, and technological aspects.</t>
  </si>
  <si>
    <t>[Felipe Espinosa-Cristia, Juan] Univ Tecn Federico Santa Maria, Valparaiso, Chile; [Ignacio Alarcon, Jose] Minist Salud, Santiago, Chile; [Batiz-Lazo, Bernardo] Northumbria Univ, Newcastle Upon Tyne, Tyne &amp; Wear, England</t>
  </si>
  <si>
    <t>Universidad Tecnica Federico Santa Maria; Northumbria University</t>
  </si>
  <si>
    <t>Espinosa-Cristia, JF (corresponding author), Univ Tecn Federico Santa Maria, Valparaiso, Chile.</t>
  </si>
  <si>
    <t>juan.espinosacr@usm.cl</t>
  </si>
  <si>
    <t>Batiz-Lazo, Bernardo/ISV-6142-2023; Espinosa-Cristia, Juan Felipe/Y-5110-2019</t>
  </si>
  <si>
    <t>Batiz-Lazo, Bernardo/0000-0001-7113-3386; Espinosa-Cristia, Juan Felipe/0000-0002-5629-6328</t>
  </si>
  <si>
    <t>project: Corresponsalias Bancarias: El Caso de la CajaVecina [DI-3-17/JM]</t>
  </si>
  <si>
    <t>project: Corresponsalias Bancarias: El Caso de la CajaVecina</t>
  </si>
  <si>
    <t>The author(s) disclosed receipt of the following financial support for the research, authorship, and/or publication of this article: This research was support from the project: Corresponsalias Bancarias: El Caso de la CajaVecina. DI-3-17/JM (2016-2017).</t>
  </si>
  <si>
    <t>10.1177/21582440221089974</t>
  </si>
  <si>
    <t>0S5GM</t>
  </si>
  <si>
    <t>WOS:000786302100001</t>
  </si>
  <si>
    <t>Liu, JG; Yao, YC</t>
  </si>
  <si>
    <t>Liu, Jianguo; Yao, Yuchen</t>
  </si>
  <si>
    <t>Digital financial inclusion and upgrading of consumption structure: Evidence from rural China</t>
  </si>
  <si>
    <t>Digital financial inclusion; Upgrading of rural consumption structure; Spatial effect; Threshold effect; Spatial heterogeneity</t>
  </si>
  <si>
    <t>GROWTH; INCOME</t>
  </si>
  <si>
    <t>Based on the perspective of spatial economy, this paper focuses on the primary effects and spatial characteristics of Digital Financial Inclusion (DFI) on the upgrading of rural consumption structure (URCS) in China, conducting a literature review and theoretical analysis. It then uses statistical data collected over the years and the Digital Financial Inclusion Index (DFII) of Peking University to prepare panel data for 31 provinces in China (aside from Hong Kong, Macao, and Taiwan) from 2011 to 2020 for empirical testing. The results are as follows: DFI can considerably boost URCS, and there is a strong spatial neighbor impact, that is, it is affected by random shocks in surrounding provinces via its spatial effect; DFI has nonlinear characteristics in the process of fostering URCS, with the threshold variables of income level and family sizes; the impact of DFI on URCS is spatially heterogeneous, and the promotion of the eastern region is better than other zones. These results can inform policymakers about rural development and provide valuable references to push forward rural vitalization.</t>
  </si>
  <si>
    <t>[Liu, Jianguo; Yao, Yuchen] Lanzhou Univ Finance &amp; Econ, Sch Econ, 496,Duanjiatan Rd, Lanzhou 730020, Gansu, Peoples R China</t>
  </si>
  <si>
    <t>Lanzhou University of Finance &amp; Economics</t>
  </si>
  <si>
    <t>Yao, YC (corresponding author), Lanzhou Univ Finance &amp; Econ, Sch Econ, 496,Duanjiatan Rd, Lanzhou 730020, Gansu, Peoples R China.</t>
  </si>
  <si>
    <t>jgliu@lzu.edu.cn; nmyaoyuchen@163.com</t>
  </si>
  <si>
    <t>e28659</t>
  </si>
  <si>
    <t>10.1016/j.heliyon.2024.e28659</t>
  </si>
  <si>
    <t>PO1Y3</t>
  </si>
  <si>
    <t>WOS:001214939700001</t>
  </si>
  <si>
    <t>Kantola, K</t>
  </si>
  <si>
    <t>Kantola, Karoliina</t>
  </si>
  <si>
    <t>Community Banking and Microfinance in the Global South</t>
  </si>
  <si>
    <t>community savings groups; financial inclusion; microfinance; mobile money; the Global South; VICOBA</t>
  </si>
  <si>
    <t>MOBILE MONEY; FINANCIAL SERVICES; M-PESA; GENDER; POVERTY; EMPOWERMENT; BORROWERS; PROGRAMS; IMPACTS; WOMEN</t>
  </si>
  <si>
    <t>Microfinance is promoted for empowering women, financial inclusion and eradicating poverty. Started as non-profit services in South Asia and South America, critics point out that microfinance has become a business. Simultaneously, age-old traditional community banking has been flourishing today without necessarily reducing the demand for microfinance. These trends have become even more puzzling with new technology, particularly mobile money (m-money). This article asks: What are the gaps in the current literature on community banking, microfinance and m-money? How have microfinance and community banking evolved? How has m-money service risen, and what is its connection to microfinance? What are the strengths and weaknesses of traditional community banking, modern microfinance and m-money? The article addresses these questions by reviewing the extant literature.</t>
  </si>
  <si>
    <t>[Kantola, Karoliina] Univ Helsinki, Helsinki, Finland</t>
  </si>
  <si>
    <t>University of Helsinki</t>
  </si>
  <si>
    <t>Kantola, K (corresponding author), Univ Helsinki, Helsinki, Finland.</t>
  </si>
  <si>
    <t>karoliina.kantola@helsinki.fi</t>
  </si>
  <si>
    <t>Kantola, Karoliina/HNC-3352-2023</t>
  </si>
  <si>
    <t>Helsingin yliopisto, as part of the Wiley - FinELib agreement</t>
  </si>
  <si>
    <t>Open access publishing facilitated by Helsingin yliopisto, as part of the Wiley - FinELib agreement.</t>
  </si>
  <si>
    <t>10.1002/jid.70035</t>
  </si>
  <si>
    <t>9LD5O</t>
  </si>
  <si>
    <t>WOS:001608965600001</t>
  </si>
  <si>
    <t>Bai, HR; Huang, LY; Wang, ZQ</t>
  </si>
  <si>
    <t>Bai, Hengrui; Huang, Lingyu; Wang, Ziqi</t>
  </si>
  <si>
    <t>Supply chain financing, digital financial inclusion and enterprise innovation: Evidence from China</t>
  </si>
  <si>
    <t>Supply chain financing; Digital financial inclusion; Enterprise innovation; Digital financial inclusion index</t>
  </si>
  <si>
    <t>Supply chain financing (SCF) has become an important supplement for financing access, and enterprise innovation is essential for enterprise development. In this paper, we explore the effects of SCF on enterprise innovation in the context of digital financial inclusion (DFI) development. Using the fixed effects model based on the sample of A-share listed firms in Shenzhen Stock Exchange from 2011 to 2021, we find that SCF significantly increases enterprise innovation. The DFI development has positive moderating effects on the relationship between SCF and enterprise innovation. The effect occurs by easing firms' financial constraints. Heterogeneity analysis results show that the promotive relationship is more significant among non-state-owned enterprises (non-SOEs), high-tech enterprises, enterprises in eastern regions and enterprises with low information disclosure quality. Furthermore, we find that in the context of DFI development, SCF promotes innovation activities for state-owned enterprises (SOEs) but it inhibits them for non-high-tech enterprises, enterprises in non-eastern regions and enterprises with high information disclosure quality. After robustness tests, we find that the results of this study remain valid.</t>
  </si>
  <si>
    <t>[Bai, Hengrui; Wang, Ziqi] Johns Hopkins Univ, Sch Adv Int Studies, Washington, DC 20036 USA; [Huang, Lingyu] Univ Macau, Fac Business Adm, Macau 999078, Peoples R China</t>
  </si>
  <si>
    <t>Johns Hopkins University; University of Macau</t>
  </si>
  <si>
    <t>Huang, LY (corresponding author), Univ Macau, Fac Business Adm, Macau 999078, Peoples R China.</t>
  </si>
  <si>
    <t>hbai13@jh.edu; yc07009@um.edu.mo; zwang378@jh.edu</t>
  </si>
  <si>
    <t>Bai, Hengrui/IQR-4089-2023</t>
  </si>
  <si>
    <t>Bai, Hengrui/0009-0000-9873-961X; Huang, Lingyu/0000-0002-0083-7535</t>
  </si>
  <si>
    <t>10.1016/j.irfa.2023.103044</t>
  </si>
  <si>
    <t>DX6X1</t>
  </si>
  <si>
    <t>WOS:001135434800001</t>
  </si>
  <si>
    <t>Kazemikhasragh, A; Cicchiello, AF; Monferrá, S; Girón, A</t>
  </si>
  <si>
    <t>Kazemikhasragh, Amirreza; Cicchiello, Antonella Francesca; Monferra, Stefano; Giron, Alicia</t>
  </si>
  <si>
    <t>Gender Inequality in Financial Inclusion: An Exploratory Analysis of the Middle East and North Africa</t>
  </si>
  <si>
    <t>gender; financial inclusion; discrimination; financial institutions</t>
  </si>
  <si>
    <t>Gender in financial inclusion is an evolving field of research. This study uses the World Bank's Global Findex database, along with probit models, to investigate the presence of gender inequality on financial inclusion and its causes. In the Middle East and North Africa samples, we present new evidence of lower women's financial inclusion. Being a man, older, well-educated and with a high-income increases the likelihood of being financially included. The findings of this study support policymaker in defining policies to promote financial inclusion in the Middle East and North Africa. Increasing the level of financial inclusion enhances the level of official savings in countries, which in turn promotes development.</t>
  </si>
  <si>
    <t>[Kazemikhasragh, Amirreza] Univ Bologna UNIBO, Dipartimento Sci Aziendali, Bologna, Italy; [Cicchiello, Antonella Francesca; Monferra, Stefano] Univ Cattolica Sacro Cuore, Dipartimento Sci Econ &amp; Sociali, Piacenza, Italy; [Giron, Alicia] Natl Autonomous Univ Mexico UNAM, Univ Program Studies Asia &amp; Africa PUMA, Mexico City, DF, Mexico</t>
  </si>
  <si>
    <t>University of Bologna; Catholic University of the Sacred Heart; Universidad Nacional Autonoma de Mexico</t>
  </si>
  <si>
    <t>Kazemikhasragh, A (corresponding author), Univ Bologna UNIBO, Dipartimento Sci Aziendali, Bologna, Italy.</t>
  </si>
  <si>
    <t>Kazemikhasragh, Amirreza/AAD-9634-2021; Cicchiello, Antonella Francesca/AAF-9191-2021</t>
  </si>
  <si>
    <t>Cicchiello, Antonella Francesca/0000-0003-3367-1620</t>
  </si>
  <si>
    <t>10.1080/00213624.2022.2079936</t>
  </si>
  <si>
    <t>5B2JH</t>
  </si>
  <si>
    <t>WOS:000863399800007</t>
  </si>
  <si>
    <t>Omenihu, CM; Brahma, S; Katsikas, E; Vrontis, D; Siachou, E; Krasonikolakis, I</t>
  </si>
  <si>
    <t>Omenihu, Chinonyerem Matilda; Brahma, Sanjukta; Katsikas, Epameinondas; Vrontis, Demetris; Siachou, Evangelia; Krasonikolakis, Ioannis</t>
  </si>
  <si>
    <t>Financial Inclusion and Poverty Alleviation: A Critical Analysis in Nigeria</t>
  </si>
  <si>
    <t>financial inclusion; access; usage; quality; macro data; micro data</t>
  </si>
  <si>
    <t>ECONOMIC-GROWTH; INCOME INEQUALITY; STABILITY; IMPACT</t>
  </si>
  <si>
    <t>The study looks at the impact that the three dimensions of financial inclusion (FI) (i.e., access, usage, quality) may have on poverty alleviation. In doing so, the study relies on demand and supply-side data to measure Nigeria's FI. The demand-side data were derived from the 2021 Global Findex data, and the supply side data were sourced from the IMF Access survey database (2004-2021). The supply-side data were analysed using the ordinary least squares regression (OLS), while the demand-side data were analysed using the probit regression model. The study outcomes revealed a negative and significant relationship between financial access and poverty rate, further indicating that those who use financial services are less likely to experience poverty. The study recommends that financial service providers tailor their financial products to align with the educational level of the target population to encourage savings.</t>
  </si>
  <si>
    <t>[Omenihu, Chinonyerem Matilda; Brahma, Sanjukta] Glasgow Caledonian Univ, Dept Finance Accounting &amp; Risk, Glasgow City G4 0BA, Scotland; [Katsikas, Epameinondas] Univ Kent, Dept Management, Canterbury CT2 7NZ, England; [Vrontis, Demetris] Univ Nicosia, Gnosis Mediterranean Inst Management Sci, Sch Business, Dept Management, CY-2417 Nicosia, Cyprus; [Vrontis, Demetris] S P Jain Sch Global Management, Singapore Campus, Singapore 119579, Singapore; [Siachou, Evangelia] Natl &amp; Kapodistrian Univ Athens, Dept Econ, Athens 15772, Greece; [Krasonikolakis, Ioannis] Univ Bath, Dept Elect &amp; Elect Engn, Bath BA2 7AY, England</t>
  </si>
  <si>
    <t>Glasgow Caledonian University; University of Kent; University of Nicosia; National &amp; Kapodistrian University of Athens; University of Bath</t>
  </si>
  <si>
    <t>Siachou, E (corresponding author), Natl &amp; Kapodistrian Univ Athens, Dept Econ, Athens 15772, Greece.</t>
  </si>
  <si>
    <t>chinonyeremmatilda.omenihu@gcu.ac.uk; sanjukta.brahma@gcu.ac.uk; vrontis.d@unic.ac.cy; esiachou@econ.uoa.gr; i.krasonikolakis@outlook.com</t>
  </si>
  <si>
    <t>Brahma, Sanjukta/JCN-7093-2023; KATSIKAS, EPAMEINONDAS/NMJ-6163-2025; Vrontis, Demetris/AAI-3458-2021</t>
  </si>
  <si>
    <t>Brahma, Sanjukta/0000-0002-0372-9644; Omenihu, Chinonyerem Matilda/0009-0004-7012-4954; KATSIKAS, EPAMEINONDAS/0000-0002-5745-2783; Vrontis, Demetris/0000-0001-7570-6241</t>
  </si>
  <si>
    <t>10.3390/su16198528</t>
  </si>
  <si>
    <t>I8W0N</t>
  </si>
  <si>
    <t>WOS:001332991000001</t>
  </si>
  <si>
    <t>Ayayi, AG; Dout, H</t>
  </si>
  <si>
    <t>Ayayi, Ayi Gavriel; Dout, Hamitande</t>
  </si>
  <si>
    <t>The dynamics of the financial inclusion index for developing countries: lessons learned</t>
  </si>
  <si>
    <t>Financial inclusion index; Two-stage principal component analysis; Robustness test; Developing countries; C43; G21</t>
  </si>
  <si>
    <t>ECONOMIC-GROWTH; INCOME INEQUALITY; ACCESS</t>
  </si>
  <si>
    <t>PurposeThe purpose of this paper is to calculate the financial inclusion index and analyze its dynamics in developing countries.Design/methodology/approachThe authors use the two-stage principal component analysis (PCA) method and consider financial technology innovations to improve the accuracy of the financial inclusion index.FindingsThe authors found a downward trend in the financial inclusion index in most developing countries over the study period. The authors also found that a high financial inclusion index is linked to high scores in the Doing Business and high business climate regulation ranking. In addition, the authors observed that the rates of low financial inclusion in developing countries are due to low utilization of and unequal access to financial services.Practical implicationsThe analysis suggests that policymakers in developing countries could invest in digital infrastructure to extend access to financial services in remote areas. They could also encourage financial innovation, particularly in financial technologies, by adopting flexible regulatory frameworks. Promoting the financial inclusion of marginalized groups through targeted initiatives tailored to their needs is another solution. They could also encourage the use of financial services by raising awareness and educating populations through training programs. Finally, to improve the business climate, governments could simplify administrative procedures and promote transparency and legal stability.Originality/valueUnlike previous studies, the use of the two-stage PCA method and the consideration of financial technology (Fintech) innovations such as mobile money in the determinants of the financial inclusion index improve the accuracy of the index.</t>
  </si>
  <si>
    <t>[Ayayi, Ayi Gavriel] Univ Quebec Trois Rivieres, Dept Finance &amp; Econ, Trois Rivieres, PQ, Canada; [Dout, Hamitande] Univ Lome, Dept Econ, Lome, Togo</t>
  </si>
  <si>
    <t>University of Quebec; University of Quebec Trois Rivieres; University of Lome</t>
  </si>
  <si>
    <t>Dout, H (corresponding author), Univ Lome, Dept Econ, Lome, Togo.</t>
  </si>
  <si>
    <t>doutsylvain11@gmail.com</t>
  </si>
  <si>
    <t>DOUT, Hamitande/0000-0003-2961-7314</t>
  </si>
  <si>
    <t>10.1108/JFEP-01-2023-0029</t>
  </si>
  <si>
    <t>TG8X6</t>
  </si>
  <si>
    <t>WOS:001207257400001</t>
  </si>
  <si>
    <t>Giné, X; Karlan, DS</t>
  </si>
  <si>
    <t>Gine, Xavier; Karlan, Dean S.</t>
  </si>
  <si>
    <t>Group versus individual liability: Short and long term evidence from Philippine microcredit lending groups</t>
  </si>
  <si>
    <t>Microfinance; Group lending; Group liability; Joint liability; Social capital; Micro-enterprises; Informal economies; Access to finance</t>
  </si>
  <si>
    <t>REPAYMENT INCENTIVES; MICROFINANCE; INFORMATION</t>
  </si>
  <si>
    <t>Group liability in microcredit purports to improve repayment rates through peer screening, monitoring, and enforcement. However, it may create excessive pressure, and discourage reliable clients from borrowing. Two randomized trials tested the overall effect, as well as specific mechanisms. The first removed group liability from pre-existing groups and the second randomly assigned villages to either group or individual liability loans. In both, groups still held weekly meetings. We find no increase in short-run or long-run default and larger groups after three years in pre-existing areas, and no change in default but fewer groups created after two years in the expansion areas. (C) 2013 Elsevier B.V. All rights reserved.</t>
  </si>
  <si>
    <t>[Gine, Xavier] World Bank, Washington, DC 20433 USA; [Karlan, Dean S.] Yale Univ, New Haven, CT 06520 USA; [Karlan, Dean S.] Innovat Poverty Act, New Haven, CT USA; [Karlan, Dean S.] MIT, Jameel Poverty Act Lab, Cambridge, MA 02139 USA</t>
  </si>
  <si>
    <t>The World Bank; Yale University; Innovations for Poverty Action (IPA); Massachusetts Institute of Technology (MIT)</t>
  </si>
  <si>
    <t>Giné, X (corresponding author), World Bank, Washington, DC 20433 USA.</t>
  </si>
  <si>
    <t>xgine@worldbank.org; dean.karlan@yale.edu</t>
  </si>
  <si>
    <t>; Karlan, Dean/KCY-1949-2024</t>
  </si>
  <si>
    <t>Gine, Xavier/0000-0001-6628-9108; Karlan, Dean/0000-0003-0164-1398</t>
  </si>
  <si>
    <t>10.1016/j.jdeveco.2013.11.003</t>
  </si>
  <si>
    <t>AD8AQ</t>
  </si>
  <si>
    <t>WOS:000333489300006</t>
  </si>
  <si>
    <t>Liu, Z; Wu, XY; Chen, X; Qin, CZ; Qiu, ZH; Fang, ZZ; Yao, L</t>
  </si>
  <si>
    <t>Liu, Zhe; Wu, Xingyuan; Chen, Xi; Qin, Congzhi; Qiu, Zenghui; Fang, Zhuangzhi; Yao, Lan</t>
  </si>
  <si>
    <t>Digital financial inclusion and comprehensive multilevel medical insurance system in China</t>
  </si>
  <si>
    <t>digital financial inclusion; multilevel medical insurance system; panel data regression; causal forest model; double machine learning</t>
  </si>
  <si>
    <t>Background The influence of digital financial inclusion on medical insurance systems has drawn significant attention. However, its impact on China's multilevel medical insurance system (MMIS) remains uncertain. The MMIS is crucial for societal wellbeing. It safeguards citizens from financial hardships during medical treatment, especially as the population ages and healthcare costs rise. By covering medical expenses, the MMIS ensures equal access to essential medical services, protecting people's health rights and preventing impoverishment caused by medical expenses, thus promoting social stability and equity. This study used panel data from 31 provinces in China from 2016 to 2020 to explore the impact of digital financial inclusion on the development of the MMIS. Methods An MMIS development matrix was constructed using the entropy weight method and the Technique for Order Preference by Similarity to an Ideal Solution (TOPSIS). Panel data regression models were employed to analyze the effects of different dimensions of digital financial inclusion on the MMIS. Results The overall digital financial inclusion index, particularly the coverage dimension, had a significant positive and significant impact on the MMIS (p &lt; 0.05). However, the depth and digitization dimensions were statistically insignificant (p &gt; 0.1). Robustness checks using lagged instrumental variable approaches and double machine learning (DML) methods confirmed the stability of these findings. Heterogeneity analysis using the causal forest model revealed that digital financial inclusion had a more pronounced effect in central and western regions. Its impact in the eastern regions was relatively weaker, highlighting significant regional disparities. Conclusion Digital infrastructure in the central and western regions must be strengthened to enhance financial inclusion coverage and service capacity; the depth and quality of financial services in the eastern regions should be improved to optimize the effects of digital finance on the MMIS. Deeper integration between digital financial inclusion and the MMIS should be prompted through technological innovations to improve both equity and sustainability. This study provides valuable insights for policymakers to address regional disparities in further developing the MMIS.</t>
  </si>
  <si>
    <t>[Liu, Zhe; Qiu, Zenghui; Yao, Lan] Huazhong Univ Sci &amp; Technol, Sch Med &amp; Hlth Management, Tongji Med Coll, Wuhan, Peoples R China; [Wu, Xingyuan; Fang, Zhuangzhi] Huazhong Univ Sci &amp; Technol, Sch Econ, Wuhan, Peoples R China; [Chen, Xi] Huazhong Univ Sci &amp; Technol, Sch Elect Informat &amp; Commun, Wuhan, Peoples R China; [Qin, Congzhi] Huazhong Univ Sci &amp; Technol, Sch Artificial Intelligence &amp; Automat, Wuhan, Peoples R China</t>
  </si>
  <si>
    <t>Huazhong University of Science &amp; Technology; Huazhong University of Science &amp; Technology; Huazhong University of Science &amp; Technology; Huazhong University of Science &amp; Technology</t>
  </si>
  <si>
    <t>Qiu, ZH; Yao, L (corresponding author), Huazhong Univ Sci &amp; Technol, Sch Med &amp; Hlth Management, Tongji Med Coll, Wuhan, Peoples R China.;Fang, ZZ (corresponding author), Huazhong Univ Sci &amp; Technol, Sch Econ, Wuhan, Peoples R China.</t>
  </si>
  <si>
    <t>qiuzenghui123@126.com; fzz112@sina.com; lanyao@mails.tjmu.edu.cn</t>
  </si>
  <si>
    <t>Qiu, Zenghui/AFX-9738-2022</t>
  </si>
  <si>
    <t>National Natural Science Foundation of China [72074090]</t>
  </si>
  <si>
    <t>The author(s) declare that financial support was received for the research and/or publication of this article. This work was supported by the National Natural Science Foundation of China [grant number 72074090]. The authors declare that this study received funding from the National Natural Science Foundation of China. The funder, Professor Lan Yao, was involved in the conceptualization and writing of the manuscript.</t>
  </si>
  <si>
    <t>10.3389/fpubh.2025.1586780</t>
  </si>
  <si>
    <t>2IS5F</t>
  </si>
  <si>
    <t>WOS:001483609300001</t>
  </si>
  <si>
    <t>Sharma, M; Gupta, K; Sharma, R</t>
  </si>
  <si>
    <t>Sharma, Monica; Gupta, Kamal; Sharma, Renu</t>
  </si>
  <si>
    <t>The Interplay of Financial Literacy, Fintech Adoption, Life Satisfaction, and Financial Inclusion among Millennials</t>
  </si>
  <si>
    <t>Fintech adoption (FIA); Financial inclusion (FI); Financial literacy (FL); Life satisfaction (LS); Millennials; G53; I31; O14; O33; Q55</t>
  </si>
  <si>
    <t>DEVELOPING-ECONOMY; MOBILE BANKING; BEHAVIOR; TECHNOLOGY; EDUCATION</t>
  </si>
  <si>
    <t>Escalated technology usage among millennials in India has been the main driver for digital financial inclusion. This study aims to examine a research model where the Fintech Adoption (FIA) mediates between Financial Literacy (FL) and Financial Inclusion (FI) in the context of millennials. Specifically, the paper assesses: (a) the effects of financial knowledge and skills, financial behaviour and financial attitude on FI; (b) FIA as a mediator between FL on FI and; (c) Life Satisfaction (LS) as a moderator between FL and FIA. Employing convenience sampling, 305 respondents participated in a cross-sectional survey conducted by physical interaction. The authors evaluated the measurement model by applying IBM AMOS 22. Moderated mediation analysis has also been performed employing SPSS Process Macro (Model 8) and statistical tool package. The results revealed that FL magnifies FIA thus propelling FI among millennials in a progressively digitalized society. Furthermore, LS dampens the linkage between FL and FIA in technically evolved generation of millennials. The relationship between FL-FIA-FI has not garnered much attention specifically from the point of view millennials. Additionally, assessing LS among the millennials further unfurls their possibilities of FIA consequently leading to digitalised FI of populations who more technology ready as compared to their older counterparts. The study provides insights to policymakers on the importance of designing and rolling out customized FL programs integrated with stress reduction component for millennials.</t>
  </si>
  <si>
    <t>[Sharma, Monica; Gupta, Kamal] Maharaja Agrasen Inst Management Studies, Dept Business Adm, New Delhi, India; [Sharma, Renu] Inst Innovat Technol &amp; Management, New Delhi, India</t>
  </si>
  <si>
    <t>Sharma, M (corresponding author), Maharaja Agrasen Inst Management Studies, Dept Business Adm, New Delhi, India.</t>
  </si>
  <si>
    <t>monicasharma.faculty@maims.ac.in</t>
  </si>
  <si>
    <t>Gupta, Kamal/KGM-9080-2024</t>
  </si>
  <si>
    <t>2025 NOV 7</t>
  </si>
  <si>
    <t>10.1007/s10690-025-09565-z</t>
  </si>
  <si>
    <t>9LX2E</t>
  </si>
  <si>
    <t>WOS:001609483500001</t>
  </si>
  <si>
    <t>Huang, YH; Jia, JL; Ren, YW</t>
  </si>
  <si>
    <t>Huang, Yuhong; Jia, Jiale; Ren, Yingwei</t>
  </si>
  <si>
    <t>Unlocking the potential of digital finance: digital bank credit's impact on traditional banking for SMEs in China</t>
  </si>
  <si>
    <t>Digital credit; Credit demand; Bank-enterprise relationships; Rent-seeking; G21; G29; D72</t>
  </si>
  <si>
    <t>RENT-SEEKING; LENDING RELATIONSHIPS; INFORMATION; ENTREPRENEURSHIP; DISCRIMINATION</t>
  </si>
  <si>
    <t>Based on the China Micro and Small Enterprise Survey and Digital Financial Inclusion Index, this paper studies the influence and mechanism of the credit development of digital bank on traditional credit of banks. The empirical results show that there is a crowding out effect of digital credit on the demand of bank traditional credit of small and micro enterprises (SMEs). And due to the rent-seeking problem in traditional bank credit business, digital credit significantly reduces the rent-seeking motivation of SMEs to maintain the bank-enterprise relationships, and reduces the entertainment expenses, including hosting meals, giving gifts, especially those involving high-end venues and the presentation of expensive gifts; while for SMEs with the demand of bank credit, the rent-seeking motivation and entertainment expenses increase significantly. Moreover, the crowding out effect of digital credit mainly occurs in SMEs without bank-enterprise relationships and areas with low degree of financial marketization. The research conclusion has certain guiding significance for adjusting the market layout and optimizing small and micro credit business.</t>
  </si>
  <si>
    <t>[Huang, Yuhong] Southwestern Univ Finance &amp; Econ, Inst Chinese Finance Studies, Chengdu, Peoples R China; [Jia, Jiale] Southwestern Univ Finance &amp; Econ, Sch Business Adm, Chengdu, Peoples R China; [Ren, Yingwei] Chengdu Text Coll, Sch Management, 186 Taishan South St, Chengdu 610100, Sichuan, Peoples R China</t>
  </si>
  <si>
    <t>Ren, YW (corresponding author), Chengdu Text Coll, Sch Management, 186 Taishan South St, Chengdu 610100, Sichuan, Peoples R China.</t>
  </si>
  <si>
    <t>huangyuhong@swufe.edu.cn; jiajiale_happy@smail.swufe.edu.cn; renyw@swufe.edu.cn</t>
  </si>
  <si>
    <t>10.1007/s40822-024-00301-y</t>
  </si>
  <si>
    <t>WOS:001401113300001</t>
  </si>
  <si>
    <t>Vasile, V; Panait, M; Apostu, SA</t>
  </si>
  <si>
    <t>Vasile, Valentina; Panait, Mirela; Apostu, Simona-Andreea</t>
  </si>
  <si>
    <t>Financial Inclusion Paradigm Shift in the Postpandemic Period. Digital-Divide and Gender Gap</t>
  </si>
  <si>
    <t>financial inclusion; digitalization; financial education; corporate social responsibility; principal component analysis; cluster analysis</t>
  </si>
  <si>
    <t>CORPORATE SOCIAL-RESPONSIBILITY; PRINCIPAL COMPONENT ANALYSIS; CLUSTER-ANALYSIS; COVID-19 CRISIS; LITERACY; BEHAVIOR; SEGMENTATION; PROTECTION; TESTS; SELF</t>
  </si>
  <si>
    <t>Financial inclusion is strongly differentiated by age groups and countries and the pandemic has highlighted the increased gaps and inequalities but also the weaknesses of the system, in terms of flexibility, access and facilities of the customer-bank relationship and also from the perspective of the financial education of young generations and vulnerable people, active in the labor market. Based on the available data provided by the Global Findex database, and some findings after more than one year of COVID-19 crisis we outlined the main aspects of financial digitization, by categories of people and countries. At the same time, we identified the challenges and problems during the pandemic that significantly adjusted the consumption pattern of citizens and increased the need for on-line access for financial transactions. Starting from the analysis of the inequality of access to financial instruments in the last years, from the informational asymmetry in financial education and the challenges of the pandemic period, we underlined the main coordinates of changing the model of sustainable financial inclusion-based on five pillars-access, education, support tools, CSR and resilience. The research results highlight the need for convergence in providing opportunities to consider financial inclusion as a public good and an active tool to increase consumers' satisfaction and the quality of life of individuals.</t>
  </si>
  <si>
    <t>[Vasile, Valentina; Panait, Mirela; Apostu, Simona-Andreea] Inst Natl Econ, Bucharest 050771, Romania; [Panait, Mirela] Petr Gas Univ Ploiesti, Dept Cybernet Econ Informat Finance &amp; Accounting, Ploiesti 100680, Romania; [Apostu, Simona-Andreea] Bucharest Univ Econ Studies, Dept Stat &amp; Econometr, Bucharest 010552, Romania</t>
  </si>
  <si>
    <t>Petroleum-Gas University of Ploiesti; Bucharest University of Economic Studies</t>
  </si>
  <si>
    <t>Panait, M (corresponding author), Inst Natl Econ, Bucharest 050771, Romania.;Panait, M (corresponding author), Petr Gas Univ Ploiesti, Dept Cybernet Econ Informat Finance &amp; Accounting, Ploiesti 100680, Romania.</t>
  </si>
  <si>
    <t>valentinavasile2009@gmail.com; mirela.matei@upg-ploiesti.ro; simona.apostu@csie.ase.ro</t>
  </si>
  <si>
    <t>Apostu, Simona Aneea/B-8099-2019; Vasile, Valentina/M-7795-2013; Panait, Mirela/K-3300-2019</t>
  </si>
  <si>
    <t>Apostu, Simona Aneea/0000-0003-1727-0114; Vasile, Valentina/0000-0002-2368-1377; Panait, Mirela/0000-0002-5158-753X</t>
  </si>
  <si>
    <t>10.3390/ijerph182010938</t>
  </si>
  <si>
    <t>YL6DE</t>
  </si>
  <si>
    <t>WOS:000745979000001</t>
  </si>
  <si>
    <t>Özsuca, EA</t>
  </si>
  <si>
    <t>Ozsuca, Ekin Ayse</t>
  </si>
  <si>
    <t>Gender gap in financial inclusion: Evidence from MENA</t>
  </si>
  <si>
    <t>financial inclusion; financial services; gender; MENA</t>
  </si>
  <si>
    <t>This study aims to analyze the gender dimension of financial inclusion in MENA countries. Using the World Bank's 2017 Global Findex Database, it explores the underlying factors of gender differences in formal financial services usage via Fairlie decomposition method. The findings of the study indicate that a significant portion of the disparity in financial inclusion is attributable to employment, while age and tertiary education are also found as contributing factors to the financial inclusion gap. Another notable finding is that upper income quintiles contribute positively to the gender gap, indeed to a greater extent compared to lower income groups.</t>
  </si>
  <si>
    <t>[Ozsuca, Ekin Ayse] Cankaya Univ, Dept Int Trade, Etimesgut, Turkey</t>
  </si>
  <si>
    <t>Cankaya University</t>
  </si>
  <si>
    <t>Özsuca, EA (corresponding author), Cankaya Univ, Dept Int Trade, Etimesgut, Turkey.</t>
  </si>
  <si>
    <t>aozsuca@cankaya.edu.tr</t>
  </si>
  <si>
    <t>ozsuca, ayse/AAI-9233-2020</t>
  </si>
  <si>
    <t>10.17811/ebl.8.4.2019.199-208</t>
  </si>
  <si>
    <t>KG7SF</t>
  </si>
  <si>
    <t>WOS:000510147600004</t>
  </si>
  <si>
    <t>Siddiki, J; Bala-Keffi, LR</t>
  </si>
  <si>
    <t>Siddiki, Jalal; Bala-Keffi, Ladi R.</t>
  </si>
  <si>
    <t>Revisiting the relation between financial inclusion and economic growth: a global analysis using panel threshold regression</t>
  </si>
  <si>
    <t>DYNAMIC PANELS; DETERMINANTS; IMPACT</t>
  </si>
  <si>
    <t>This study revisits the relationship between financial inclusion and economic growth using data from 153 countries. Despite the extensive discourse on the role of financial inclusion in spurring economic growth, empirical evidence presents mixed outcomes. Financial inclusion, measured as account ownership at a financial institution or with a mobile-money-service provider, is pivotal to integrating the unbanked population into the economic mainstream, fostering inclusive economic growth. Our analysis demonstrates that the relationship exhibits positive yet varying effects across different thresholds of financial development. Thus, while financial inclusion consistently correlates with economic growth, the magnitude and impact of this relationship vary between countries at different levels of financial development, highlighting the importance of the tailoring of financial inclusion policies to consider the specific developmental stage of the financial sector. Results also reveal that the effects of financial inclusion and financial development vary across income groups and regions, and with regard to economic fragility.</t>
  </si>
  <si>
    <t>[Siddiki, Jalal] Kingston Univ London, Kingston Upon Thames, England; [Bala-Keffi, Ladi R.] Cent Bank Nigeria, Monetary Policy Dept, Abuja, Nigeria; [Siddiki, Jalal] Kingston Univ, Dept Econ, Penrhyn Rd, Kingston Upon Thames KT1 2EE, Surrey, England</t>
  </si>
  <si>
    <t>Kingston University; Central Bank of Nigeria; Kingston University</t>
  </si>
  <si>
    <t>Siddiki, J (corresponding author), Kingston Univ, Dept Econ, Penrhyn Rd, Kingston Upon Thames KT1 2EE, Surrey, England.</t>
  </si>
  <si>
    <t>j.siddiki@kingston.ac.uk</t>
  </si>
  <si>
    <t>Siddiki, Jalal/0000-0002-4313-1866</t>
  </si>
  <si>
    <t>10.1016/j.econmod.2024.106707</t>
  </si>
  <si>
    <t>QB9B8</t>
  </si>
  <si>
    <t>WOS:001218526600001</t>
  </si>
  <si>
    <t>Aziz, A; Naima, U</t>
  </si>
  <si>
    <t>Aziz, Abdul; Naima, Umma</t>
  </si>
  <si>
    <t>Rethinking digital financial inclusion: Evidence from Bangladesh</t>
  </si>
  <si>
    <t>Digital financial inclusion; Digital finance; Mobile financial services; Digital inequality; Social inclusion; Bangladesh</t>
  </si>
  <si>
    <t>ICT; INFORMATION; DIFFUSION; ACCESS</t>
  </si>
  <si>
    <t>A growing body of literature is advancing the impact of financial inclusion and digital finance on marginalized populations. However, mainstream scholarship has not focused on understanding the potential drivers and challenges of digital approaches to financial inclusion. This study aims to investigate the mismatch between assumptions implicit in the financial inclusion discourse and ideas of access and use of digital technologies and seeks to move the discourse forward through a comprehensive framework for digital financial inclusion. Our study showed that the social dynamics of financial engagement with new technologies require a move beyond a simple individualistic adopter/non-adopter binary framework and ?supply oriented? financial infrastructure. We conclude that although digital services have eased and bridged the gap of physical access to financial services, such services have not been utilised due to lack of basic connectivity, financial literacy and social awareness. This article theoretically contributes to digital financial services adoption literature by offering a significant critical overview and a new perspective on both digital finance and financial inclusion mechanisms.</t>
  </si>
  <si>
    <t>[Aziz, Abdul] Queensland Univ Technol, Digital Media Res Ctr, Musk Ave, Kelvin Grove, Qld 4059, Australia; [Naima, Umma] Int Islamic Univ Chittagong IIUC, Dept Business Adm, Chittagong, Bangladesh</t>
  </si>
  <si>
    <t>Queensland University of Technology (QUT); International Islamic University Chittagong (IIUC)</t>
  </si>
  <si>
    <t>Aziz, A (corresponding author), Queensland Univ Technol, Digital Media Res Ctr, Musk Ave, Kelvin Grove, Qld 4059, Australia.</t>
  </si>
  <si>
    <t>a5.aziz@hdr.qut.edu.au; unaima.acc@gmail.com</t>
  </si>
  <si>
    <t>; Aziz, Abdul/AAU-6632-2021</t>
  </si>
  <si>
    <t>Naima, Umma/0000-0002-7368-9879; Aziz, Abdul/0000-0003-4817-8556</t>
  </si>
  <si>
    <t>10.1016/j.techsoc.2020.101509</t>
  </si>
  <si>
    <t>RC0BO</t>
  </si>
  <si>
    <t>WOS:000632469300023</t>
  </si>
  <si>
    <t>Zeng, FL; Sun, HP</t>
  </si>
  <si>
    <t>Zeng, Fanlong; Sun, Huaping</t>
  </si>
  <si>
    <t>Spatial Network Analysis of Coupling Coordination between Digital Financial Inclusion and Common Prosperity in the Yangtze River Delta Urban Agglomeration</t>
  </si>
  <si>
    <t>digital financial inclusion; common prosperity; coupling coordination relationship; social network analysis; spatial spillover effects; 91-10</t>
  </si>
  <si>
    <t>Digital financial inclusion and common prosperity are pivotal elements in promoting the sustainable socioeconomic development of China. This study introduces a novel Multi-Criteria Decision Analysis (MCDA) method to evaluate the Common Prosperity Index (CPI). Using this index, alongside the Digital Financial Inclusion Index (DFII) released by Peking University, it examines the evolution of the coupling coordination relationship between digital financial inclusion and common prosperity within the Yangtze River Delta (YRD) urban agglomeration from 2011 to 2021. By integrating gravity models and social network analysis, in this paper, we thoroughly investigate the spatiotemporal evolution characteristics of the spatial network of this coupling coordination relationship. The results indicate that both the DFII and CPI generally exhibit an upward trend, but the decline in the coupling degree reflects a weakened interaction strength between them. Specifically, Anhui significantly lags behind Jiangsu, Zhejiang, and Shanghai in the development of digital financial inclusion and common prosperity, indicating regional development imbalances. Furthermore, the strength of spatial connections in city coupling coordination has significantly increased, with Nanjing's siphon effect on cities in Anhui becoming markedly stronger, and the number of core cities in the network increasing, which demonstrates a geographical proximity feature in network development. Additionally, the overall network characteristics are transitioning towards higher density and small-world properties, suggesting a trend toward network stabilization. The disparity in centrality among cities has decreased, with an overall enhancement in centrality, where the spatial spillover effects from core areas such as Hangzhou-Ningbo, Nanjing-Changzhou, and Shanghai-Suzhou-Wuxi significantly promote the development of peripheral cities. Based on these findings, this paper proposes policy recommendations for the sustainable development of digital financial inclusion and common prosperity in the YRD region.</t>
  </si>
  <si>
    <t>[Zeng, Fanlong] Yiwu Ind &amp; Commercial Coll, Sch Foreign Studies, Yiwu 322000, Peoples R China; [Zeng, Fanlong] Lyceum Philippines Univ, Grad Sch, Batangas 4200, Philippines; [Sun, Huaping] Jiangsu Univ, Inst Common Prosper, Zhenjiang 212013, Peoples R China; [Sun, Huaping] Univ Sci &amp; Technol Beijing, Sch Econ &amp; Management, Beijing 100083, Peoples R China</t>
  </si>
  <si>
    <t>Lyceum of the Philippines University; Jiangsu University; University of Science &amp; Technology Beijing</t>
  </si>
  <si>
    <t>Zeng, FL (corresponding author), Yiwu Ind &amp; Commercial Coll, Sch Foreign Studies, Yiwu 322000, Peoples R China.;Zeng, FL (corresponding author), Lyceum Philippines Univ, Grad Sch, Batangas 4200, Philippines.</t>
  </si>
  <si>
    <t>fanlongz95@ywicc.edu.cn; shp@ustb.edu.cn</t>
  </si>
  <si>
    <t>sun, huaping/Q-4022-2017</t>
  </si>
  <si>
    <t>Zeng, Fanlong/0000-0003-0819-9600</t>
  </si>
  <si>
    <t>Yiwu Social Science Federation</t>
  </si>
  <si>
    <t>10.3390/math12091285</t>
  </si>
  <si>
    <t>QH7E2</t>
  </si>
  <si>
    <t>WOS:001220043700001</t>
  </si>
  <si>
    <t>Machikape, K; Oluwadele, D</t>
  </si>
  <si>
    <t>Hinkelmann, K; Smuts, H</t>
  </si>
  <si>
    <t>Machikape, Keoitshepile; Oluwadele, Deborah</t>
  </si>
  <si>
    <t>Advancing Financial Inclusion and Data Ethics: The Role of Alternative Credit Scoring</t>
  </si>
  <si>
    <t>SOCIETY 5.0, SOCIETY 5.0 2024</t>
  </si>
  <si>
    <t>Communications in Computer and Information Science</t>
  </si>
  <si>
    <t>4th International Conference on Society 5.0</t>
  </si>
  <si>
    <t>JUN 26-28, 2024</t>
  </si>
  <si>
    <t>Moka, MAURITIUS</t>
  </si>
  <si>
    <t>alternative data; credit scoring; machine learning; financial inclusion; ethical data handling</t>
  </si>
  <si>
    <t>BIG DATA</t>
  </si>
  <si>
    <t>Alternative credit scoring plays a vital role in advancing the goals of balancing economic progress with resolving social issues by promoting financial inclusion, supporting data-driven decision-making, fostering innovation, enhancing risk management, and addressing ethical considerations. This research investigates alternative data sources and credit-scoring algorithms to evaluate the creditworthiness of individuals with limited credit histories. The study conducts a systematic literature review and meta-analysis to explore and evaluate alternative data sources and advanced credit scoring algorithms used in assessing the creditworthiness of individuals. Alternative data such as Online Behaviour and E-commerce, Social Networks and Relationships, Location, and Property Details were identified, while Machine Learning techniques such as Gradient-Boosted Decision Trees and Light Gradient-Boosting Machine demonstrate superior performance. However, ethical and privacy concerns regarding alternative data sources are paramount. The study's implications extend to financial institutions and creditscoring agencies, offering insights to enhance credit assessment processes and stressing the importance of ethical data handling and privacy. This research contributes to understanding the dynamics between alternative data and credit-scoring algorithms, providing a roadmap for their responsible integration in credit assessments, thereby fostering financial inclusion and ethical data practices in the fut. Juristic society.</t>
  </si>
  <si>
    <t>[Machikape, Keoitshepile; Oluwadele, Deborah] Univ Pretoria, Dept Informat, Pretoria, South Africa</t>
  </si>
  <si>
    <t>Oluwadele, D (corresponding author), Univ Pretoria, Dept Informat, Pretoria, South Africa.</t>
  </si>
  <si>
    <t>deborah.oluwadele@up.ac.za</t>
  </si>
  <si>
    <t>Oluwadele, Oluwaseun/0000-0002-1425-8278</t>
  </si>
  <si>
    <t>1865-0929</t>
  </si>
  <si>
    <t>1865-0937</t>
  </si>
  <si>
    <t>978-3-031-71411-5; 978-3-031-71412-2</t>
  </si>
  <si>
    <t>COMM COM INF SC</t>
  </si>
  <si>
    <t>10.1007/978-3-031-71412-2_17</t>
  </si>
  <si>
    <t>BY4MF</t>
  </si>
  <si>
    <t>WOS:001445724400017</t>
  </si>
  <si>
    <t>Fernández-López, S; Alvarez-Espiño, M; Castro-González, S; Rey-Ares, L</t>
  </si>
  <si>
    <t>Fernandez-Lopez, Sara; Alvarez-Espino, Marcos; Castro-Gonzalez, Sandra; Rey-Ares, Lucia</t>
  </si>
  <si>
    <t>Financial capability and households' financial vulnerability: evidence for the Spanish case</t>
  </si>
  <si>
    <t>MANAGERIAL FINANCE</t>
  </si>
  <si>
    <t>Financial literacy; Financial knowledge; Financial behaviour; Financial fragility; Financial inclusion</t>
  </si>
  <si>
    <t>NONCOGNITIVE ABILITIES; ECONOMIC VULNERABILITY; OVER-INDEBTEDNESS; LITERACY; DEBT; EDUCATION</t>
  </si>
  <si>
    <t>Purpose The present study examines the potential relationship between financial capability and household financial vulnerability for a sample of Spanish individuals. Design/methodology/approach The methodology combines a literature review deepening on the two concepts addressed in this paper - financial vulnerability and financial capability - and an empirical analysis. Based on a sample of 7,811 Spanish individuals taken from the Survey of Financial Competences, different probit regression models are used to test the relationship of key independent variables (namely, financial literacy, financial inclusion, and financial capability) with household financial vulnerability. Findings Empirical evidence points to the existence of a negative relationship between financial capability and household financial vulnerability. Besides, the variable on financial capability demonstrates, per se, a greater explanatory power than its two components (i.e. objective financial literacy and financial inclusion) separately, particularly in the case of financial literacy. Originality/value This paper contributes to the research on household finances along three main dimensions. Firstly, it enhances the research on financial capability by analysing how it relates to consumers' financial vulnerability; an association barely explored by the extant literature. Secondly, it gets closer to the multifaceted concept of financial vulnerability through a wide set of objective and subjective proxy variables. And thirdly, the empirical evidence found leads to proposing some recommendations aimed at improving households' financial capability.</t>
  </si>
  <si>
    <t>[Fernandez-Lopez, Sara] ECOBAS Univ Santiago de Compostela, Dept Finance &amp; Accounting, Santiago De Compostela, Spain; [Alvarez-Espino, Marcos; Rey-Ares, Lucia] Univ Santiago de Compostela, Dept Finance &amp; Accounting, Santiago De Compostela, Spain; [Castro-Gonzalez, Sandra] Univ Santiago de Compostela, Dept Business Org &amp; Commercialisat, Lugo, Spain</t>
  </si>
  <si>
    <t>Universidade de Santiago de Compostela; Universidade de Santiago de Compostela</t>
  </si>
  <si>
    <t>Rey-Ares, L (corresponding author), Univ Santiago de Compostela, Dept Finance &amp; Accounting, Santiago De Compostela, Spain.</t>
  </si>
  <si>
    <t>lucia.rey.ares@usc.es</t>
  </si>
  <si>
    <t>Castro-González, Sana/U-4198-2018; Rey-Ares, Lucía/AAA-1093-2020; Fernández-López, Sara/AAN-4536-2020; Álvarez-Espiño, Marcos/HIR-6303-2022</t>
  </si>
  <si>
    <t>Castro-González, Sana/0000-0002-8206-1776; Rey-Ares, Lucía/0000-0002-5165-742X; Fernández-López, Sara/0000-0003-2496-4333; Álvarez-Espiño, Marcos/0000-0002-9514-7544</t>
  </si>
  <si>
    <t>0307-4358</t>
  </si>
  <si>
    <t>1758-7743</t>
  </si>
  <si>
    <t>MANAG FINANC</t>
  </si>
  <si>
    <t>Manag. Financ.</t>
  </si>
  <si>
    <t>MAR 27</t>
  </si>
  <si>
    <t>10.1108/MF-02-2022-0086</t>
  </si>
  <si>
    <t>H3MB1</t>
  </si>
  <si>
    <t>WOS:000865730100001</t>
  </si>
  <si>
    <t>Noor, N; Batool, I; Arshad, HM</t>
  </si>
  <si>
    <t>Noor, Nimra; Batool, Irem; Arshad, Hafiz Muhammad</t>
  </si>
  <si>
    <t>Financial literacy, financial self-efficacy and financial account ownership behavior in Pakistan</t>
  </si>
  <si>
    <t>financial inclusion; financial literacy; financial self-efficacy; Pakistan</t>
  </si>
  <si>
    <t>CAPABILITY APPROACH; MARITAL-STATUS; INCLUSION; SERVICES; MEDIATOR; GENDER; DETERMINANTS; CULTURE; DEMAND; ACCESS</t>
  </si>
  <si>
    <t>Study examines the role of financial literacy and financial self-efficacy of individuals in explaining their behavior to have financial accounts. Study has used the questionnaire based survey and collected the data responses from 564 adults belonging to Sahiwal division. The binary logistic regression model is utilized to estimate the probability of having financial accounts in relation to individual's financial literacy and financial self-efficacy level. Estimated results show that individual's financially literacy level is positively related with individual's account ownership model among the selected group. While individual's financial self-efficacy level does not explain any positive significant impact on individual's account ownership model. Other socio-demographic variables like gender, marital status, education, occupation, and income level are also found to have influential impact on the individuals' account ownership behavior in Pakistan. Study recommends that financial literacy is pertinent to have equitable financial inclusion in the economy.</t>
  </si>
  <si>
    <t>[Noor, Nimra; Batool, Irem; Arshad, Hafiz Muhammad] COMSATS Univ Islamabad, Dept Management Sci, Sahiwal, Pakistan</t>
  </si>
  <si>
    <t>Batool, I (corresponding author), COMSATS Univ Islamabad, Dept Management Sci, Sahiwal, Pakistan.</t>
  </si>
  <si>
    <t>nimranoor05@gmail.com; irembatool@cuisahiwal.edu.pk; hmarshadphd@cuisahiwal.edu.pk</t>
  </si>
  <si>
    <t>Batool, Irem/AAR-7324-2021; Arshad, Hafiz Muhammad/AEJ-2042-2022</t>
  </si>
  <si>
    <t>Arshad, Hafiz Muhammad/0000-0002-6987-1336</t>
  </si>
  <si>
    <t>10.1080/23322039.2020.1806479</t>
  </si>
  <si>
    <t>NG8XM</t>
  </si>
  <si>
    <t>WOS:000564264800001</t>
  </si>
  <si>
    <t>Aulia, R; Baskoro, RA</t>
  </si>
  <si>
    <t>Aulia, Rensi; Baskoro, Rahmat Aryo</t>
  </si>
  <si>
    <t>The Effect of Financial Literacy and Financial Inclusion on Retirement Planning in Jakarta, Indonesia</t>
  </si>
  <si>
    <t>Financial Literacy; Financial Inclusion; Retirement Planning</t>
  </si>
  <si>
    <t>The existence of pension funds in Indonesia is not as popular as other investment instruments. Based on The Results of The National Survey on Financial Literacy and Inclusion 2016, the financial literacy index of pension funds was 10.91 percent and the financial inclusion index of pension funds was 4.66 percent. It means the public's retirement planning is still on low level. This study aims to determine the effect of financial literacy and financial inclusion on retirement planning. Used a quantitative method with 236 respondents in Jakarta, Indonesia. The sampling technique in this study is non-probability sampling and processed by the method of multiple linear regression analysis by using SPSS 24.0. The results of the study show that financial literacy and financial inclusion have a significant effect on retirement planning, which means that the higher financial literacy and financial inclusion of a person, the better their retirement planning. Besides, the results of the study showed that respondents were dominated by moderate financial literacy, moderate financial inclusion levels, and high retirement planning levels. Based on the results of research, the policy implications are the Government and financial institutions are expected to intensify the socialization to increase financial literacy of public. Also Pension fund managers are expected to be able to intensify socialization and build public awareness about retirement planning.</t>
  </si>
  <si>
    <t>[Aulia, Rensi; Baskoro, Rahmat Aryo] Univ Indonesia, Jakarta, Indonesia</t>
  </si>
  <si>
    <t>Aulia, R (corresponding author), Univ Indonesia, Jakarta, Indonesia.</t>
  </si>
  <si>
    <t>rensiauliaa@gmail.com; aryobaskoro.feui@gmail.com</t>
  </si>
  <si>
    <t>Aulia, Rensi/AAZ-3384-2020; Baskoro, Rahmat/AAP-4185-2021</t>
  </si>
  <si>
    <t>WOS:000556337403051</t>
  </si>
  <si>
    <t>Oborn, E; Barrett, M; Orlikowski, W; Kim, A</t>
  </si>
  <si>
    <t>Oborn, Eivor; Barrett, Michael; Orlikowski, Wanda; Kim, Anna</t>
  </si>
  <si>
    <t>Trajectory Dynamics in Innovation: Developing and Transforming a Mobile Money Service Across Time and Place</t>
  </si>
  <si>
    <t>trajectory; innovation; digital; developing countries; financial inclusion; mobile payment; place; economic development</t>
  </si>
  <si>
    <t>INFORMATION-TECHNOLOGY; DEVELOPING-COUNTRIES; DIGITAL INNOVATION; ICT; SYSTEMS; ECOSYSTEMS; CHALLENGES; EVOLUTION; CREATION; POVERTY</t>
  </si>
  <si>
    <t>This paper examines how and why innovations are reshaped as they become implemented and used in locales that are distant and distinct from those where the innovation was initially developed. Drawing on an in-depth field study of the innovation process that produced a mobile money system for Kenya, we contribute an understanding of the particular dynamics that arise when an innovation trajectory interacts with local trajectories that constitute the local conditions and practices of specific places. We identify four distinct patterns of trajectory dynamics-separation, coordination, diversification, and integration-each of which has different implications for the innovation, its implementation, and consequences on the ground. Developing a model of trajectory dynamics in innovation, we theorize the processes through which innovations are transformed over time as they interact with multiple local trajectories and the specific innovation outcomes that are generated as a result. Such theorizing reconceptualizes traditional notions of innovation diffusion by explicating how and why innovations change in multiple and unexpected ways as they move to particular places and engage with local conditions and practices.</t>
  </si>
  <si>
    <t>[Oborn, Eivor] Univ Warwick, Warwick Business Sch, Coventry CV4 7AL, W Midlands, England; [Barrett, Michael] Univ Cambridge, Cambridge Judge Business Sch, Cambridge CB2 1AG, England; [Barrett, Michael] Stockholm Sch Econ, SE-11383 Stockholm, Sweden; [Orlikowski, Wanda] MIT, Sloan Sch Management, Cambridge, MA 02142 USA; [Kim, Anna] McGill Univ, Desautels Fac Management, Montreal, PQ H3A 1G5, Canada</t>
  </si>
  <si>
    <t>University of Warwick; University of Cambridge; Stockholm School of Economics; Massachusetts Institute of Technology (MIT); McGill University</t>
  </si>
  <si>
    <t>Oborn, E (corresponding author), Univ Warwick, Warwick Business Sch, Coventry CV4 7AL, W Midlands, England.</t>
  </si>
  <si>
    <t>eivor.oborn@wbs.ac.uk; m.barrett@jbs.cam.ac.uk; wanda@mit.edu; anna.kim@mcgill.ca</t>
  </si>
  <si>
    <t>Kim, Anna/AAF-7421-2020</t>
  </si>
  <si>
    <t>Kim, Anna/0000-0001-6195-2329</t>
  </si>
  <si>
    <t>10.1287/orsc.2018.1281</t>
  </si>
  <si>
    <t>JA9WO</t>
  </si>
  <si>
    <t>WOS:000488201400011</t>
  </si>
  <si>
    <t>Asuming, PO; Osei-Agyei, LG; Mohammed, JI</t>
  </si>
  <si>
    <t>Asuming, Patrick Opoku; Osei-Agyei, Lotus Gyamfuah; Mohammed, Jabir Ibrahim</t>
  </si>
  <si>
    <t>Financial Inclusion in Sub-Saharan Africa: Recent Trends and Determinants</t>
  </si>
  <si>
    <t>Financial inclusion; Sub-Saharan Africa; trends; determinants</t>
  </si>
  <si>
    <t>ACCESS; GROWTH</t>
  </si>
  <si>
    <t>This paper conducts a comparative analysis of financial inclusion in 31 Sub-Saharan African countries using data from the global Findex database. We find that while the aggregate level of financial inclusion has increased significantly between 2011 and 2014, there are variations in both the level and rates of improvement among the countries. We also find that individual-level covariates (age, education, gender and wealth), macroeconomic variables (growth rate of GDP and presence of financial institutions) and Business Freedom are significant predictors of financial inclusion. Our findings suggest that financial inclusion policies should target key populations like women and young people.</t>
  </si>
  <si>
    <t>[Asuming, Patrick Opoku; Osei-Agyei, Lotus Gyamfuah; Mohammed, Jabir Ibrahim] Univ Ghana, Business Sch, Dept Finance, Legon, Accra, Ghana</t>
  </si>
  <si>
    <t>University of Ghana</t>
  </si>
  <si>
    <t>Asuming, PO (corresponding author), Univ Ghana, Business Sch, Dept Finance, Legon, Accra, Ghana.</t>
  </si>
  <si>
    <t>poasuming@ug.edu.gh</t>
  </si>
  <si>
    <t>Asuming, Patrick O/0000-0002-5010-3484</t>
  </si>
  <si>
    <t>10.1080/15228916.2018.1484209</t>
  </si>
  <si>
    <t>IA9DM</t>
  </si>
  <si>
    <t>WOS:000469857800008</t>
  </si>
  <si>
    <t>Zou, FQ; Li, TH; Zhou, FT</t>
  </si>
  <si>
    <t>Zou, Fanqi; Li, Tinghui; Zhou, Feite</t>
  </si>
  <si>
    <t>Does the Level of Financial Cognition Affect the Income of Rural Households? Based on the Moderating Effect of the Digital Financial Inclusion Index</t>
  </si>
  <si>
    <t>AGRONOMY-BASEL</t>
  </si>
  <si>
    <t>financial cognitive level; the income of rural households; digital financial inclusion; unconditional Quantile Regression (UQR)</t>
  </si>
  <si>
    <t>LIVELIHOODS; LITERACY; DYNAMICS; ECONOMY; CREDIT; MARKET; MIDDLE</t>
  </si>
  <si>
    <t>Financial cognitive ability is an important part of human capital, which has a direct impact on household income. The dual differences composed by rural residents' cognition level and residents' income make the relationship between the two complicated. Based on the analysis of the impact of financial cognitive level on rural household income, this paper takes into account the individual heterogeneity of financial cognition to build an unconditional quantile regression (UQR) model through the micro data of the China Household Financial Survey Project (CHFS). Incorporating the background of the rapid development of digital finance, this paper also studies the impact of rural residents' financial cognition on household income. The empirical results of the article have the following conclusions: First, on the whole, the improvement of financial cognitive level promotes the increase of rural household income, but this promotion has significant differences at different quantile levels of household income. Second, the digital financial inclusion index in the region has a positive moderating effect on the impact of financial cognition on the income of rural households. Third, the heterogeneity of the impact of financial cognition on the income of rural households is reflected in the two aspects of regions and household assets.</t>
  </si>
  <si>
    <t>[Zou, Fanqi; Li, Tinghui] Guangzhou Univ, Sch Econ &amp; Stat, Guangzhou 510006, Peoples R China; [Zhou, Feite] Hong Kong Polytech Univ, Dept Appl Math, Hung Hom, Hong Kong, Peoples R China</t>
  </si>
  <si>
    <t>Guangzhou University; Hong Kong Polytechnic University</t>
  </si>
  <si>
    <t>Li, TH (corresponding author), Guangzhou Univ, Sch Econ &amp; Stat, Guangzhou 510006, Peoples R China.</t>
  </si>
  <si>
    <t>2112064099@e.gzhu.edu.cn; lith@gzhu.edu.cn; jupiterzhou@foxmail.com</t>
  </si>
  <si>
    <t>Zhou, Feite/JDM-9281-2023</t>
  </si>
  <si>
    <t>Zhou, Feite/0000-0001-5643-7605</t>
  </si>
  <si>
    <t>National Social Science Fund of China [19BTJ049]</t>
  </si>
  <si>
    <t>National Social Science Fund of China</t>
  </si>
  <si>
    <t>This research was funded by the National Social Science Fund of China (NO. 19BTJ049).</t>
  </si>
  <si>
    <t>2073-4395</t>
  </si>
  <si>
    <t>Agronomy-Basel</t>
  </si>
  <si>
    <t>10.3390/agronomy11091813</t>
  </si>
  <si>
    <t>Agronomy; Plant Sciences</t>
  </si>
  <si>
    <t>Agriculture; Plant Sciences</t>
  </si>
  <si>
    <t>UU9ZG</t>
  </si>
  <si>
    <t>WOS:000699149900001</t>
  </si>
  <si>
    <t>Zhang, Z; Shen, YY; Teng, YC</t>
  </si>
  <si>
    <t>Zhang, Zhe; Shen, Yangyang; Teng, Yangchuan</t>
  </si>
  <si>
    <t>Financial inclusion and multidimensional relative poverty: moderating effects of digital capability and financial literacy</t>
  </si>
  <si>
    <t>Multidimensional relative poverty; financial inclusion; digital capability; financial literacy</t>
  </si>
  <si>
    <t>In the post-2020 era, China's poverty governance has pivoted from eliminating absolute poverty to addressing relative poverty, creating a pressing need for effective financial instruments. Constructing a composite index of financial inclusion and employing a panel Probit framework, we find that financial inclusion significantly mitigates household multidimensional relative poverty (MRP). This poverty-reducing effect exhibits a clear pro-poor characteristic, with substantially stronger impacts among households experiencing deeper deprivation. Heterogeneity analyses further reveal a nuanced mechanism: digital capability and financial literacy act as negative moderators, indicating that the poverty-alleviating influence of financial inclusion is most pronounced for households with lower levels of these capabilities. These findings provide timely evidence for designing China's next-stage anti-poverty strategies and enrich the broader literature by unveiling how financial inclusion interacts with multidimensional poverty through capability-based heterogeneity.</t>
  </si>
  <si>
    <t>[Zhang, Zhe; Shen, Yangyang] Beijing Normal Univ, Business Sch, 19 Xinjiekouwai St, Beijing 100875, Peoples R China; [Teng, Yangchuan] Chinese Acad Fiscal Sci, Social Dev Res Ctr, Beijing, Peoples R China</t>
  </si>
  <si>
    <t>Beijing Normal University; Chinese Academy of Fiscal Sciences</t>
  </si>
  <si>
    <t>Shen, YY (corresponding author), Beijing Normal Univ, Business Sch, 19 Xinjiekouwai St, Beijing 100875, Peoples R China.</t>
  </si>
  <si>
    <t>yshen@bnu.edu.cn</t>
  </si>
  <si>
    <t>shen, yangyang/ACQ-4377-2022; Teng, Yangchuan/LFS-8815-2024</t>
  </si>
  <si>
    <t>National Social Science Foundation of China [No. 23BJL048]</t>
  </si>
  <si>
    <t>This research was supported by the National Social Science Foundation of China [No. 23BJL048].</t>
  </si>
  <si>
    <t>10.1080/13504851.2025.2606926</t>
  </si>
  <si>
    <t>AD0IQ</t>
  </si>
  <si>
    <t>WOS:001645228000001</t>
  </si>
  <si>
    <t>Anwar, AI; Sabbar, SD; Saifulloh, NI; Umar, HB; Amar, MY; Aswan, A</t>
  </si>
  <si>
    <t>Anwar, Anas Iswanto; Sabbar, Sabbar Dahham; Saifulloh, Nur Imam; Umar, Hasan Basri; Amar, Muhammad Yunus; Aswan, Andi</t>
  </si>
  <si>
    <t>The impact of socioeconomic variables on financial inclusion in Asian countries: A comparative study, 2010-2022</t>
  </si>
  <si>
    <t>JOURNAL OF INFRASTRUCTURE POLICY AND DEVELOPMENT</t>
  </si>
  <si>
    <t>financial inclusion; index of financial inclusion; socioeconomic variables; Asian region</t>
  </si>
  <si>
    <t>The financial inclusion program in Asia has begun to be carried out intensively, focusing on increasing public access, especially for people who have yet to enjoy banking services. This makes financial inclusion one of the development focuses in the financial sector in various countries, especially in the Asian region. This study compares the financial inclusion level and socioeconomic variables' influence on financial inclusion in Asian countries in 2010- 2022. To compare the level of financial inclusion in several Asian countries, the Index of Financial Inclusion (IFI) analysis method was used, while to examine the relationship between socioeconomic variables on financial inclusion, the Ordinary Least Square (OLS) method was used with an estimation technique, in the Fixed Effects Model approach. The results of this study indicate that, in general, financial inclusion in several Asian countries is mainly influenced by the usability dimension. In addition, only the variable GDP per capita is partially influential. While other variables, namely, the unemployment rate and population in rural areas, significantly influence the financial inclusion index.</t>
  </si>
  <si>
    <t>[Anwar, Anas Iswanto; Sabbar, Sabbar Dahham; Saifulloh, Nur Imam; Amar, Muhammad Yunus; Aswan, Andi] Hasanuddin Univ, Fac Econ &amp; Business, Makassar 90245, Indonesia; [Umar, Hasan Basri] Cenderawasih Univ, Fac Econ &amp; Business, Makassar 90245, Indonesia</t>
  </si>
  <si>
    <t>Anwar, AI (corresponding author), Hasanuddin Univ, Fac Econ &amp; Business, Makassar 90245, Indonesia.</t>
  </si>
  <si>
    <t>aianwar@fe.unhas.ac.id</t>
  </si>
  <si>
    <t>Aswan, Andi/KDM-5603-2024; Anwar, Anas Iswanto/AAG-1092-2019; , Sabbar Dahham Sabbar/IQS-6778-2023</t>
  </si>
  <si>
    <t>Aswan, Andi/0000-0002-7893-591X; Anwar, Anas Iswanto/0000-0002-1801-8730; Imam Saifuloh, Nur/0000-0002-5136-1987; , Sabbar Dahham Sabbar/0000-0002-8317-8458</t>
  </si>
  <si>
    <t>ENPRESS PUBL LLC</t>
  </si>
  <si>
    <t>TUSTIN</t>
  </si>
  <si>
    <t>14701 MYFORD RD, STE B-1, TUSTIN, CA, UNITED STATES</t>
  </si>
  <si>
    <t>2572-7923</t>
  </si>
  <si>
    <t>2572-7931</t>
  </si>
  <si>
    <t>J INFRASTRUCT POLICY</t>
  </si>
  <si>
    <t>J. Infrastruct. Policy Dev.</t>
  </si>
  <si>
    <t>10.24294/jipd.v8i1.2857</t>
  </si>
  <si>
    <t>FJ6U6</t>
  </si>
  <si>
    <t>WOS:001145448200009</t>
  </si>
  <si>
    <t>Taylor, D; Osei-Tutu, F; Awuye, IS</t>
  </si>
  <si>
    <t>Taylor, Daniel; Osei-Tutu, Francis; Awuye, Isaac S.</t>
  </si>
  <si>
    <t>The role of accounting standards in financial inclusion</t>
  </si>
  <si>
    <t>IFRS adoption; Financial inclusion; Financial institutions; Governance</t>
  </si>
  <si>
    <t>MANDATORY IFRS ADOPTION; CONSEQUENCES; DISCLOSURE; QUALITY; ENVIRONMENT; COUNTRIES; SERVICES; ACCESS; IMPACT; BANKS</t>
  </si>
  <si>
    <t>Studies have shown that the adoption of high-quality accounting standards such as International Financial Reporting Standards (IFRS) induces diverse economic outcomes by enhancing trust, transparency and market discipline. This paper examines the role of accounting standards in enhancing financial inclusion. Using the World Bank Global Findex database and the dataset on IFRS adoption by Song and Trimble (2022), we find that the adoption of IFRS increases the access and use of financial services. Shedding insight into our main findings, we show evidence of two underlying mechanisms through which the adoption of IFRS may foster financial inclusion: (i) enhancing trust and transparency in the financial system and (ii) reducing perceived corruption. Also, the beneficial effect of IFRS adoption on financial inclusion is evident in both developed and developing countries, suggesting that both developed and developing countries can leverage the adoption of IFRS as a tool for promoting greater financial access and usage. Furthermore, the documented increase in financial inclusion is more pronounced in countries with high regulatory and enforcement mechanisms. Robustness tests including instrumental variable approach confirm our findings. By providing evidence of the positive effect of IFRS adoption on financial inclusion, this paper has practical implications for policymakers and standard setters.</t>
  </si>
  <si>
    <t>[Taylor, Daniel] Univ Lille, IESEG Sch Management, CNRS, LEM Lille Econ Management,UMR 9221, F-59000 Lille, France; [Osei-Tutu, Francis] Paris Sch Business, 59 Rue Natl, F-75013 Paris, France; [Awuye, Isaac S.] CleRMa, ESC Clermont Business Sch, Clermont Ferrand, France</t>
  </si>
  <si>
    <t>Universite de Lille; Centre National de la Recherche Scientifique (CNRS); CNRS - Institute for Humanities &amp; Social Sciences (INSHS); IESEG School of Management</t>
  </si>
  <si>
    <t>Taylor, D (corresponding author), Univ Lille, IESEG Sch Management, CNRS, LEM Lille Econ Management,UMR 9221, F-59000 Lille, France.</t>
  </si>
  <si>
    <t>d.taylor@ieseg.fr; f.oseitutu@psbedu.paris; isaac.awuye@esc-clermont.fr</t>
  </si>
  <si>
    <t>Taylor, Daniel/HNP-1330-2023; Osei-Tutu, Francis/AAZ-3683-2020</t>
  </si>
  <si>
    <t>We are grateful to the Editor and the two anonymous reviewers whose insightful comments and suggestions have significantly improved our research. We are equally grateful to our senior colleagues, Andrei Filip and Christof Beuselinck who provided us with constructive feed-back on the initial draft to greatly improve our article. This paper also benefited immensely from the comments and suggestions from the seminar and conference participants at the Paris School of Business EcoFi Research Seminar and the 2024 Financial Reporting and Business Communication Conference respectively.</t>
  </si>
  <si>
    <t>10.1016/j.irfa.2024.103594</t>
  </si>
  <si>
    <t>H7G3M</t>
  </si>
  <si>
    <t>WOS:001325083600001</t>
  </si>
  <si>
    <t>Garcia, A; Lensink, R; Voors, M</t>
  </si>
  <si>
    <t>Garcia, Adriana; Lensink, Robert; Voors, Maarten</t>
  </si>
  <si>
    <t>Does microcredit increase aspirational hope? Evidence from a group lending scheme in Sierra Leone</t>
  </si>
  <si>
    <t>Microcredit; Aspirational hope; Well-being; Poverty; Sierra Leone</t>
  </si>
  <si>
    <t>MICROFINANCE EVIDENCE; VALIDATION; INFERENCE; IMPACTS; WORK</t>
  </si>
  <si>
    <t>Microcredit has received considerable attention due to its potential to help achieve the Sustainable Development Goals (SDGs), in particular through its effects on poverty alleviation, female empowerment and self-employment. To date, its effectiveness has largely been evaluated in terms of relieving external constraints of the poor, such as a lack of financial capital for business development. The current study examines whether, and to what extent, microcredit can change internal constraints, such as aspirational hope. We use a cross-sectional dataset of 1295 women in Sierra Leone, 854 of whom are active borrowers of a Microfinance Institution, BRAC. To assess the relationship between microcredit, aspirational hope and economic welfare, we rely on BRAC's eligibility criteria, that only allow access to finance for women living with-in 4 km of a BRAC branch. We find statistically significant and economically meaningful positive associations with both aspirational hope and economic welfare. Overall, this study suggests that microcredit could play an important role in reducing internal psychological constraints, and via this channel contributes to the realization of the SDGs. (C) 2019 Elsevier Ltd. All rights reserved.</t>
  </si>
  <si>
    <t>[Garcia, Adriana; Lensink, Robert] Univ Groningen, Dept Econ Econometr &amp; Finance, Nettelbosje 2, NL-9747 AE Groningen, Netherlands; [Lensink, Robert; Voors, Maarten] Wageningen Univ, Dev Econ Grp, Hollandseweg 1, NL-6706 KN Wageningen, Netherlands</t>
  </si>
  <si>
    <t>University of Groningen; Wageningen University &amp; Research</t>
  </si>
  <si>
    <t>Lensink, R (corresponding author), Univ Groningen, Dept Econ Econometr &amp; Finance, Nettelbosje 2, NL-9747 AE Groningen, Netherlands.</t>
  </si>
  <si>
    <t>A.Garcia@rug.nl; B.W.Lensink@rug.nl; Maarten.Voors@WUR.NL</t>
  </si>
  <si>
    <t>; Lensink, Robert/ABA-3076-2020</t>
  </si>
  <si>
    <t>Voors, Maarten/0000-0001-5907-3253; Lensink, Robert/0000-0001-6448-5164</t>
  </si>
  <si>
    <t>ESRC/DFID [ES/N013344/1]; National Council of Science and Technology (CONACYT) of Mexico; Netherlands Organisation for Scientific Research [451-14-001, W08.250.104]; UK's Economic and Social Research Council, United Kingdom is ESRC, UNited Kingdom [ES/J017620/1]; ESRC [ES/N013344/2, ES/N013344/1] Funding Source: UKRI; Economic and Social Research Council [ES/N013344/1, ES/J017620/1, ES/N013344/2] Funding Source: researchfish</t>
  </si>
  <si>
    <t>ESRC/DFID(UK Research &amp; Innovation (UKRI)Economic &amp; Social Research Council (ESRC)); National Council of Science and Technology (CONACYT) of Mexico(Consejo Nacional de Ciencia y Tecnologia (CONACyT)); Netherlands Organisation for Scientific Research(Netherlands Organization for Scientific Research (NWO)); UK's Economic and Social Research Council, United Kingdom is ESRC, UNited Kingdom; ESRC(UK Research &amp; Innovation (UKRI)Economic &amp; Social Research Council (ESRC)); Economic and Social Research Council(UK Research &amp; Innovation (UKRI)Economic &amp; Social Research Council (ESRC))</t>
  </si>
  <si>
    <t>We are indebted to Njala University and Karen van Zaal for their collaboration in this project. We also thank participants at the Sustainability and Development Conference, the Bolivian Conference of Development Economics, the Symposium at the Central Bank of Kenya and the Centre for Studies of African Economies Conference for valuable comments. We gratefully acknowledge funding from ESRC/DFID (ES/N013344/1 Delivering Inclusive Financial Development and Growth), the National Council of Science and Technology (CONACYT) of Mexico, the Netherlands Organisation for Scientific Research (grant #451-14-001 and #W08.250.104), and the UK's Economic and Social Research Council, United Kingdom is ESRC, UNited Kingdom (grant #ES/J017620/1).</t>
  </si>
  <si>
    <t>10.1016/j.worlddev.2019.104861</t>
  </si>
  <si>
    <t>KO3DK</t>
  </si>
  <si>
    <t>WOS:000515427900016</t>
  </si>
  <si>
    <t>Grohmann, A; Klühs, T; Menkhoff, L</t>
  </si>
  <si>
    <t>Grohmann, Antonia; Kluehs, Theres; Menkhoff, Lukas</t>
  </si>
  <si>
    <t>Does financial literacy improve financial inclusion? Cross country evidence</t>
  </si>
  <si>
    <t>BANKING SERVICES; SAVINGS; EDUCATION; ACCESS; IMPACT; POOR</t>
  </si>
  <si>
    <t>While financial inclusion is typically addressed by improving the financial infrastructure, we show that a higher degree of financial literacy also has a clear beneficial effect. We study this effect at the cross-country level, which allows us to consider institutional variation. Regarding access to finance, financial infrastructure and financial literacy are mainly substitutes. However, regarding the use of financial services, the effect of higher financial literacy strengthens the effect of more financial depth. The causal interpretation of these results is supported by IV-regressions. Moreover, the positive impact of financial literacy holds across income levels and several subgroups within countries. (C) 2018 Elsevier Ltd. All rights reserved.</t>
  </si>
  <si>
    <t>[Grohmann, Antonia; Menkhoff, Lukas] German Inst Econ Res DIW Berlin, D-10117 Berlin, Germany; [Kluehs, Theres] Leibniz Univ Hannover, Dept Econ, Konigsworther Pl 1, D-30167 Hannover, Germany; [Menkhoff, Lukas] Humboldt Univ, Berlin, Germany; [Menkhoff, Lukas] Leibniz Univ Hannover, Hannover, Germany</t>
  </si>
  <si>
    <t>Leibniz Association; DIW Berlin - Deutsches Institut fur Wirtschaftsforschung; Leibniz University Hannover; Humboldt University of Berlin; Leibniz University Hannover</t>
  </si>
  <si>
    <t>Menkhoff, L (corresponding author), German Inst Econ Res DIW Berlin, D-10117 Berlin, Germany.</t>
  </si>
  <si>
    <t>agrohmann@diw.de; kluehs@glad.uni-hannover.de; lmenkhoff@diw.de</t>
  </si>
  <si>
    <t>Grohmann, Antonia/0000-0001-5330-4583</t>
  </si>
  <si>
    <t>German Research Foundation (DFG) [RTG 1723, CRC 190]</t>
  </si>
  <si>
    <t>German Research Foundation (DFG)(German Research Foundation (DFG))</t>
  </si>
  <si>
    <t>We would like to thank for helpful comments of participants at several workshops and conferences, in particular, Christian Ambrosius, Thorsten Beck, Heidi Kaila, Stephan Klasen, Bruno Martorano, Matthias Rieger, Tobias Rossmann, Astrid Salzmann, Annekathrin Schoofs, Susan Steiner, Finn Tarp as well as three reviewers and the editor, Arun Agrawal. Financial support by the German Research Foundation (DFG, grant RTG 1723 and grant CRC 190) is gratefully acknowledged.</t>
  </si>
  <si>
    <t>10.1016/j.worlddev.2018.06.020</t>
  </si>
  <si>
    <t>GW6YM</t>
  </si>
  <si>
    <t>WOS:000447111000007</t>
  </si>
  <si>
    <t>Wagner, J</t>
  </si>
  <si>
    <t>Wagner, Jamie</t>
  </si>
  <si>
    <t>Financial Education and Financial Literacy by Income and Education Groups</t>
  </si>
  <si>
    <t>education; financial education; financial literacy; income</t>
  </si>
  <si>
    <t>HIGH-SCHOOL; WORKPLACE; KNOWLEDGE; IMPACT</t>
  </si>
  <si>
    <t>This study examines associations between financial education and financial literacy among people with different levels of education and income using a large, national data set, the 2015 National Financial Capability Study. This study estimates whether financial education in high school, college, or through an employer, is associated with a person's financial literacy score. Results show that people who received any financial education are likely to have higher financial literacy scores compared to those without financial education. Financial education has larger predicted probabilities for those with lower education and income, suggesting that financial education is especially important for this demographic group. This research emphasizes a need to teach financial education to people whom previous research suggests lacks financial literacy the most.</t>
  </si>
  <si>
    <t>[Wagner, Jamie] Univ Nebraska, Ctr Econ Educ, Dept Econ, Econ, 6708 Pine St, Omaha, NE 68135 USA; [Wagner, Jamie] Univ Nebraska, Ctr Econ Educ, Dept Econ, 6708 Pine St, Omaha, NE 68135 USA</t>
  </si>
  <si>
    <t>University of Nebraska System; University of Nebraska System</t>
  </si>
  <si>
    <t>Wagner, J (corresponding author), Univ Nebraska, Ctr Econ Educ, Dept Econ, Econ, 6708 Pine St, Omaha, NE 68135 USA.;Wagner, J (corresponding author), Univ Nebraska, Ctr Econ Educ, Dept Econ, 6708 Pine St, Omaha, NE 68135 USA.</t>
  </si>
  <si>
    <t>jfwagner@unomaha.edu</t>
  </si>
  <si>
    <t>Wagner, Jamie/0000-0002-3710-7798</t>
  </si>
  <si>
    <t>10.1891/1052-3073.30.1.132</t>
  </si>
  <si>
    <t>IE0NM</t>
  </si>
  <si>
    <t>WOS:000472084100012</t>
  </si>
  <si>
    <t>Kamboj, V; Sharma, D</t>
  </si>
  <si>
    <t>Kamboj, Vaishali; Sharma, Dipasha</t>
  </si>
  <si>
    <t>Mapping the landscape of digital financial inclusion and proposing integrative framework: trends, influential works, and future directions</t>
  </si>
  <si>
    <t>HUMANITIES &amp; SOCIAL SCIENCES COMMUNICATIONS</t>
  </si>
  <si>
    <t>MOBILE MONEY; FINTECH; REMITTANCES; LITERACY; SERVICES; ADOPTION; IMPACT</t>
  </si>
  <si>
    <t>This study presents a comprehensive review aimed at elucidating the performance and intellectual framework of digital financial inclusion (DFI) research. A bibliometric analysis was performed on 311 research articles sourced from the Scopus database up to 2023. The study identifies influential articles, prominent journals, and leading authors, institutions, and countries within this field. Furthermore, it explores nine key themes in DFI research, contributing to the advancement of the field. An integrative framework is proposed, highlighting future research opportunities across DFI domains and suggesting policy implications to enhance DFI globally, particularly in underserved countries.</t>
  </si>
  <si>
    <t>[Kamboj, Vaishali; Sharma, Dipasha] Symbiosis Int SIU, Symbiosis Ctr Management &amp; Human Resource Dev SCMH, Pune, India</t>
  </si>
  <si>
    <t>Symbiosis International University</t>
  </si>
  <si>
    <t>Sharma, D (corresponding author), Symbiosis Int SIU, Symbiosis Ctr Management &amp; Human Resource Dev SCMH, Pune, India.</t>
  </si>
  <si>
    <t>dipashasharma20@gmail.com</t>
  </si>
  <si>
    <t>Symbiosis International (Deemed University)</t>
  </si>
  <si>
    <t>Open access funding provided by Symbiosis International (Deemed University).</t>
  </si>
  <si>
    <t>2662-9992</t>
  </si>
  <si>
    <t>HUM SOC SCI COMMUN</t>
  </si>
  <si>
    <t>Hum. Soc. Sci. Commun.</t>
  </si>
  <si>
    <t>JUL 13</t>
  </si>
  <si>
    <t>10.1057/s41599-025-05500-9</t>
  </si>
  <si>
    <t>Humanities, Multidisciplinary; Social Sciences, Interdisciplinary</t>
  </si>
  <si>
    <t>Arts &amp; Humanities - Other Topics; Social Sciences - Other Topics</t>
  </si>
  <si>
    <t>4UU4I</t>
  </si>
  <si>
    <t>WOS:001527174800003</t>
  </si>
  <si>
    <t>Chen, XF; Yang, JZ</t>
  </si>
  <si>
    <t>Chen Xiaofang; Yang Jianzhou</t>
  </si>
  <si>
    <t>Analysis on Farmers' Entrepreneurship Decision-making Based on digital technologies</t>
  </si>
  <si>
    <t>2021 2ND INTERNATIONAL CONFERENCE ON E-COMMERCE AND INTERNET TECHNOLOGY (ECIT 2021)</t>
  </si>
  <si>
    <t>2nd International Conference on E-Commerce and Internet Technology (ECIT)</t>
  </si>
  <si>
    <t>MAR 05-07, 2021</t>
  </si>
  <si>
    <t>digital technique; digital financial inclusion; rural entrepreneurship</t>
  </si>
  <si>
    <t>In the tide of digital economy development, the importance and advantages of digital Inclusive Finance have been highlighted. Based on big data, artificial intelligence, blockchain, cloud computing and other digital means, digital inclusive finance can skip the expensive and time-consuming financial infrastructure construction, and greatly reduce the cost of financial institutions to provide services, improve the penetration rate of financial services, so as to greatly improve the availability of financial resources, especially to improve the availability of financial services for vulnerable groups excluded by traditional financial institutions. Based on the advantages of digital technology, this paper discusses how digital inclusive finance can promote the entrepreneurial activities of peasant households by alleviating liquidity constraints, improving risk response ability, promoting human capital accumulation, and enhancing social capital. This paper has a positive significance for promoting the development of digital technology, giving play to the role of digital inclusive finance in promoting peasant households' entrepreneurial activities, and then stimulating the source power of rural economic development and self-hematopoietic function.</t>
  </si>
  <si>
    <t>[Chen Xiaofang; Yang Jianzhou] Fujian Agr &amp; Forestry Univ, Sch Econ &amp; Management, Fuzhou, Peoples R China</t>
  </si>
  <si>
    <t>Fujian Agriculture &amp; Forestry University</t>
  </si>
  <si>
    <t>Chen, XF (corresponding author), Fujian Agr &amp; Forestry Univ, Sch Econ &amp; Management, Fuzhou, Peoples R China.</t>
  </si>
  <si>
    <t>chxf0816@163.com</t>
  </si>
  <si>
    <t>YANG, JIANZHOU/0009-0003-1505-460X</t>
  </si>
  <si>
    <t>978-1-6654-3873-5</t>
  </si>
  <si>
    <t>10.1109/ECIT52743.2021.00082</t>
  </si>
  <si>
    <t>Business; Computer Science, Interdisciplinary Applications; Management</t>
  </si>
  <si>
    <t>BR8SG</t>
  </si>
  <si>
    <t>WOS:000672805700075</t>
  </si>
  <si>
    <t>Jha, B; Vijayvargy, L; Gupta, S</t>
  </si>
  <si>
    <t>Jha, Babita; Vijayvargy, Lokesh; Gupta, Srikant</t>
  </si>
  <si>
    <t>The Impact of Socio-Economic and Psychographic Factors on Financial Inclusion</t>
  </si>
  <si>
    <t>INTERNATIONAL JOURNAL OF APPLIED BEHAVIORAL ECONOMICS</t>
  </si>
  <si>
    <t>Financial Inclusion; Financial Literacy; Financial Sector; Microfinance Institutions; No Frills Account; Rajasthan</t>
  </si>
  <si>
    <t>LITERACY; DETERMINANTS; BEHAVIOR</t>
  </si>
  <si>
    <t>Financial inclusion is a crucial factor in mainstreaming the low-income population with the formal financial system. It provides access to credit and provides a broad range of financial services. However, factors like illiteracy, inadequate income, and lack of awareness limit the poor people to utilize services offered by the bank. The study examines the financial attitude (FA), financial behavior (FB), and financial knowledge (FK) among the people of Rajasthan and interprets the effect on financial inclusion. This research is segregated based on aspects leading to financial exclusion like age, gender, income, education level, occupation, demographic, etc. The comprehensive research in studying the impact of socio-economic and psychographic factors on financial inclusion reveals that people are concerned about saving money for their future.</t>
  </si>
  <si>
    <t>[Jha, Babita] Christ Univ Deemed, Ghaziabad, Ncr, India; [Vijayvargy, Lokesh; Gupta, Srikant] Jaipuria Inst Management, Jaipur, Rajasthan, India</t>
  </si>
  <si>
    <t>Jha, B (corresponding author), Christ Univ Deemed, Ghaziabad, Ncr, India.</t>
  </si>
  <si>
    <t>Gupta, Srikant/AAR-7266-2021; Jha, Babita/GOP-2986-2022</t>
  </si>
  <si>
    <t>Gupta, Srikant/0000-0002-4158-2866; Jha, Babita/0000-0001-8586-0250</t>
  </si>
  <si>
    <t>2160-9802</t>
  </si>
  <si>
    <t>2160-9810</t>
  </si>
  <si>
    <t>INT J APPL BEHAV ECO</t>
  </si>
  <si>
    <t>Int. J. Appl. Behav. Econ.</t>
  </si>
  <si>
    <t>10.4018/IJABE.305116</t>
  </si>
  <si>
    <t>3O2SP</t>
  </si>
  <si>
    <t>WOS:000836687600006</t>
  </si>
  <si>
    <t>Sharma, A; Rastogi, S</t>
  </si>
  <si>
    <t>Sharma, Arpita; Rastogi, Shailesh</t>
  </si>
  <si>
    <t>Development of Inclusive Finance Amidst Pandemic in India: A Conceptual Framework</t>
  </si>
  <si>
    <t>2022 7TH INTERNATIONAL CONFERENCE ON BUSINESS AND INDUSTRIAL RESEARCH (ICBIR2022)</t>
  </si>
  <si>
    <t>7th International Conference on Business and Industrial Research (ICBIR)</t>
  </si>
  <si>
    <t>MAY 19-20, 2022</t>
  </si>
  <si>
    <t>Thal NIchl Inst Technol,Artificial Intelligence Assoc Thailand,IEEE,IEEE Comp Soc, Thailand Chapter,TNI,IEEE, Thailand Sect,IEEE Comp Soc, Thailand Chapter,Council IT Deans Thailand</t>
  </si>
  <si>
    <t>Inclusive finance; Microfinance; COVID-19; Corporate disclosure; government intervention; informal sector</t>
  </si>
  <si>
    <t>The study aims to develop a conceptual model for inclusive finance regarding any economic or health crisis through microfinance. The conceptual framework seeks to show how different factors help microfinance institutions navigate the COVID-19 health crisis and reach the ultimate aim of Inclusive Finance. The paper is theoretical and develops a conceptual framework for establishing Inclusive Finance (IF) and Microfinance Institutions access (MFIA) in emerging economies like India. The study provides the dimensions of the inclusion of the informal sector (IIS) as a mediator between the relationship of MFIA and IF. Further, the study designs the conceptual framework and suggests the importance of the Government Intervention (GI) as a moderator and includes the informal section (IIS) as the mediator between the MFIA and the IF. The framework also offers the factors affecting MFIA are Financial Literacy (FL), Flexible Repayment Model (FRM), Digital Financial Services (DFS), and Corporate Disclosure (CD) during COVID -19. The study will help the researchers, practitioners, and policymakers redesign the policies for specific vulnerable sectors like microfinance to absorb the shock-like health crisis-COVID-19 or any financial shock and reach their aim of inclusive finance.</t>
  </si>
  <si>
    <t>[Sharma, Arpita; Rastogi, Shailesh] Symbiosis Inst Business Management Symbiosis Int, Pune, Maharashtra, India</t>
  </si>
  <si>
    <t>Sharma, A (corresponding author), Symbiosis Inst Business Management Symbiosis Int, Pune, Maharashtra, India.</t>
  </si>
  <si>
    <t>arpita.sharma85@gmail.com; krishnasgdas@gmail.com</t>
  </si>
  <si>
    <t>Rastogi, Dr. Shailesh/AAU-1920-2020; Sharma, Arpita/AAE-2305-2021</t>
  </si>
  <si>
    <t>978-1-6654-9475-5</t>
  </si>
  <si>
    <t>10.1109/ICBIR54589.2022.9786514</t>
  </si>
  <si>
    <t>Business; Computer Science, Artificial Intelligence; Computer Science, Information Systems; Operations Research &amp; Management Science</t>
  </si>
  <si>
    <t>Business &amp; Economics; Computer Science; Operations Research &amp; Management Science</t>
  </si>
  <si>
    <t>BT7XW</t>
  </si>
  <si>
    <t>WOS:000851392300033</t>
  </si>
  <si>
    <t>Effect of Financial Inclusion on Poverty and Vulnerability to Poverty: Evidence Using a Multidimensional Measure of Financial Inclusion</t>
  </si>
  <si>
    <t>Financial inclusion; Poverty; Vulnerability; Mobile money; Ghana</t>
  </si>
  <si>
    <t>REDUCTION; MICROFINANCE; INCOME; CLIMATE; GROWTH</t>
  </si>
  <si>
    <t>This study examines the effect of financial inclusion on poverty and vulnerability to poverty of Ghanaian households. Using data extracted from the seventh round of the Ghana Living Standards Survey in 2016/17, a multiple correspondence analysis is employed to generate a financial inclusion index, and three-stage feasible least squares is used to estimate households' vulnerability to poverty. Endogeneity associated with financial inclusion is resolved using distance to the nearest bank as an instrument in an instrumental variables probit technique. Results showed that while 23.4% of Ghanaians are considered poor, about 51% are vulnerable to poverty. We found that an increase in financial inclusion has two effects on household poverty. First, it is associated with a decline in a household's likelihood of being poor by 27%. Second, it prevents a household's exposure to future poverty by 28%. Female-headed households have a greater chance of experiencing a larger reduction in poverty and vulnerability to poverty through enhanced financial inclusion than do male-headed households. Furthermore, financial inclusion reduces poverty and vulnerability to poverty more in rural than in urban areas. Governments are encouraged to design or enhance policies that provide an enabling environment for the private sector to innovate and expand financial services to more distant places. Government investment in, and regulation of, the mobile money industry will be a necessary step to enhancing financial inclusion in developing countries.</t>
  </si>
  <si>
    <t>Koomson, I (corresponding author), Univ New England, Fac Sci Agr Business &amp; Law, UNE Business Sch, Armidale, NSW, Australia.;Koomson, I (corresponding author), Network Socioecon Res &amp; Adv NESRA, Accra, Ghana.</t>
  </si>
  <si>
    <t>ikoomso2@une.edu.au; rvillan2@une.edu.au; dhadley@une.edu.au</t>
  </si>
  <si>
    <t>Kooon, Isaac/S-8710-2019; Villano, Renato Anin/I-3680-2017; Hadley, David/C-5924-2008</t>
  </si>
  <si>
    <t>Kooon, Isaac/0000-0002-2929-4992; Villano, Renato Anin/0000-0003-2581-6623; Hadley, David/0000-0001-8634-2586</t>
  </si>
  <si>
    <t>10.1007/s11205-019-02263-0</t>
  </si>
  <si>
    <t>LV2DZ</t>
  </si>
  <si>
    <t>WOS:000505423500002</t>
  </si>
  <si>
    <t>Huang, J; Nam, Y; Lee, EJ</t>
  </si>
  <si>
    <t>Huang, Jin; Nam, Yunju; Lee, Eun</t>
  </si>
  <si>
    <t>Financial Capability and Economic Hardship Among Low-Income Older Asian Immigrants in a Supported Employment Program</t>
  </si>
  <si>
    <t>Elderly Asian immigrants; Material hardship; Financial access; Financial literacy; Economic security</t>
  </si>
  <si>
    <t>HEALTH-INSURANCE; WELFARE-REFORM; PARTICIPATION; POVERTY; BANKING; ACCESS; ADULTS; WORK; CARE</t>
  </si>
  <si>
    <t>This study examined financial capability and economic hardship among low-income older Asian immigrants in a supported employment program (N = 142). Financial capability was defined as a combination of financial literacy, financial access, and financial functioning. Economic hardship was defined as the inability to meet basic needs. Results demonstrated that the majority of the sample had difficulty meeting basic needs. Most respondents answered basic financial knowledge questions incorrectly, and few applied prudent financial management skills. Results indicated that financial access and financial functioning were negatively associated with the risk of experiencing economic hardship, whereas financial literacy was not significantly associated. These findings call for active public policies and programs that address economic challenges among low-income Asian immigrants by enhancing their financial capability.</t>
  </si>
  <si>
    <t>[Huang, Jin] St Louis Univ, Coll Publ Hlth &amp; Social Justice, 3550 Lindell Blvd,Tegeler Hall Rm211, St Louis, MO 63103 USA; [Nam, Yunju] SUNY Buffalo, Sch Social Work, Buffalo, NY 14260 USA; [Lee, Eun] Natl Asian Pacific Ctr Aging, Natl Director Senior Community Serv Employment Pr, Seattle, WA 98101 USA</t>
  </si>
  <si>
    <t>Saint Louis University; State University of New York (SUNY) System; University at Buffalo, SUNY</t>
  </si>
  <si>
    <t>Huang, J (corresponding author), St Louis Univ, Coll Publ Hlth &amp; Social Justice, 3550 Lindell Blvd,Tegeler Hall Rm211, St Louis, MO 63103 USA.</t>
  </si>
  <si>
    <t>jhuang5@slu.edu; yunjunam@buffalo.edu; ejlee@napca.org</t>
  </si>
  <si>
    <t>Les Brun Research Endowment Fund; Buffalo Center for Social Research, School of Social Work, University at Buffalo; Civic Engagement Research Dissemination Fellowship Program, University at Buffalo</t>
  </si>
  <si>
    <t>This study was supported in part by Grants from the Les Brun Research Endowment Fund, Buffalo Center for Social Research, School of Social Work, University at Buffalo, and the Civic Engagement Research Dissemination Fellowship Program, University at Buffalo. We are thankful to Christine Takada, Miriam Suen, Helen Jang, Norman Lee, Junghee Han, Xiao-yu Yang, Kerry Situ, and Yong-Jin Ahn for their assistance for data collection. We are grateful to Ya-Ling Chen, Elizabeth Hole, Jun Pyo Kim, Amanda Brower, and Sarah Nesbitt for their research assistance and to Jennifer Gann for editing assistance.</t>
  </si>
  <si>
    <t>10.1007/s10834-014-9398-z</t>
  </si>
  <si>
    <t>V64ZG</t>
  </si>
  <si>
    <t>WOS:000211138300005</t>
  </si>
  <si>
    <t>Bawuah, I</t>
  </si>
  <si>
    <t>Bawuah, Isaac</t>
  </si>
  <si>
    <t>Mobile Money and Financial Inclusion: The Role of Institutional Quality</t>
  </si>
  <si>
    <t>Mobile money; Financial inclusion; Institutional quality</t>
  </si>
  <si>
    <t>TECHNOLOGY ACCEPTANCE MODEL; ECONOMIC-GROWTH; PHONES; ACCESS; INEQUALITY; INDEX; POOR</t>
  </si>
  <si>
    <t>This paper investigates the role of institutional quality in the relationship between mobile money and financial inclusion in Ghana from 2014 to 2021. It uses annual data from the World Development Indicators database on a bundle of four financial inclusion variables (ATMs per 100,000 adults; the number of bank branches per 100,000 adults; deposit accounts with commercial banks per 1,000 adults ; and account ownership at a financial institution or with a mobile money service provider), six institutional quality indicators (i.e., rule of law, governance effectiveness, control of corruption, voice and accountability, regulatory quality, and political stability), and total volume of mobile money transactions in a year. The baseline regression was employed. The empirical results reveal that institutional quality and mobile money have a direct positive and significant effect on financial inclusion. Also, institutional quality plays a positive and significant moderating role in the relationship between mobile money and financial inclusion. Furthermore, mobile phone subscription, financial development, inflation, and GDPGR influence financial inclusion.</t>
  </si>
  <si>
    <t>[Bawuah, Isaac] Kwame Nkrumah Univ Sci &amp; Technol, Sch Business, Dept Accounting &amp; Finance, Kumasi, Ghana</t>
  </si>
  <si>
    <t>Bawuah, I (corresponding author), Kwame Nkrumah Univ Sci &amp; Technol, Sch Business, Dept Accounting &amp; Finance, Kumasi, Ghana.</t>
  </si>
  <si>
    <t>isaacbawuahprof@gmail.com</t>
  </si>
  <si>
    <t>Bawuah, Isaac/GXG-5283-2022</t>
  </si>
  <si>
    <t>Bawuah, Isaac/0000-0003-0555-1576</t>
  </si>
  <si>
    <t>10.1007/s40609-023-00325-3</t>
  </si>
  <si>
    <t>WOS:001148705000001</t>
  </si>
  <si>
    <t>Fu, YL; Yi, ZL</t>
  </si>
  <si>
    <t>Fu, Yelin; Yi, Zelong</t>
  </si>
  <si>
    <t>Multi-province comparisons of digital financial inclusion performance in China: A group ranking method with preference analysis</t>
  </si>
  <si>
    <t>Digital financial inclusion; Group ranking; Half-quadratic theory; Preference analysis</t>
  </si>
  <si>
    <t>AGGREGATION; MINIMIZATION; RECOVERY; ACCESS</t>
  </si>
  <si>
    <t>The Peking University Digital Financial Inclusion Index of China (PKU-DFIIC) measures the digital financial inclusion (DFI) performance in China from three dimensions: breadth of coverage, depth of use and level of digitalization. This paper extends the PKU-DFIIC to measure and compare the provincial DFI performance in terms of proposing a group ranking method with preference analysis. Specifically, we identify a panel of experts by comprehensively considering all possible importance orders of three dimensions, and formulate a preliminary group decision matrix. Then the preference analysis is carried out with respect to preferential difference and preferential priority. A revised group decision matrix is derived with the expert-specific ranking as the inputs. Finally, a group ranking method is given based on the half-quadratic theory, in conjunction with the consensus index and trust level denoting the level of agreement and reliability of the group ranking. An empirical study using the PKU-DFIIC data from 2016 to 2020 is conducted to demonstrate our method, along with the spatial-temporal analysis of the results and a set of policy implications to promote the DFI development in China.</t>
  </si>
  <si>
    <t>[Fu, Yelin; Yi, Zelong] Shenzhen Univ, Coll Econ, Shenzhen, Peoples R China</t>
  </si>
  <si>
    <t>Shenzhen University</t>
  </si>
  <si>
    <t>Yi, ZL (corresponding author), Shenzhen Univ, Coll Econ, Shenzhen, Peoples R China.</t>
  </si>
  <si>
    <t>msylfu@gmail.com; yizl@szu.edu.cn</t>
  </si>
  <si>
    <t>National Natural Science Foundation of China [72101098, 72171154, 72222019]; Guangdong Basic and Applied Basic Research Foundation [2022A1515010232]</t>
  </si>
  <si>
    <t>National Natural Science Foundation of China(National Natural Science Foundation of China (NSFC)); Guangdong Basic and Applied Basic Research Foundation</t>
  </si>
  <si>
    <t>We would like to express our gratitude to the Editor-in-Chief, Executive Editor and the anonymous review team for helpful comments on earlier drafts of this paper. This research is financially supported by the National Natural Science Foundation of China (Nos. 72101098, 72171154 &amp; 72222019) , Guangdong Basic and Applied Basic Research Foundation (No. 2022A1515010232) .</t>
  </si>
  <si>
    <t>10.1016/j.chieco.2023.102014</t>
  </si>
  <si>
    <t>M5IZ1</t>
  </si>
  <si>
    <t>WOS:001030564700001</t>
  </si>
  <si>
    <t>Galindo-Manrique, AF; Rojas-Vargas, NP</t>
  </si>
  <si>
    <t>Galindo-Manrique, Alicia Fernanda; Rojas-Vargas, Nuria Patricia</t>
  </si>
  <si>
    <t>The Role of Digital Financial Services in Narrowing the Gender Gap in Low-Middle-Income Economies: A Bayesian Machine Learning Approach</t>
  </si>
  <si>
    <t>digital financial services; financial inclusion; gender equity; emerging economies</t>
  </si>
  <si>
    <t>INEQUALITY; GROWTH</t>
  </si>
  <si>
    <t>Women in emerging economies face unique constraints rooted in cultural norms, socio-economic disparities, and limited access to education and technology. Narrowing the digital gender gap by ensuring access to financial services may reduce the economic inequalities for women in these countries. This study examines the influence of digital finance in narrowing the gender gap, guided by the research question: To what extent do digital financial services contribute to narrowing the gender gap in access to and usage of financial services in low-and middle-income economies? Gender inclusion was measured by the ratio of accounts owned by women over the total number of accounts. Digital financial inclusion was constructed based on eight components: mobile money account, storing money in financial institutions, Internet access, mobile phone owned, savings, savings in financial institutions, making or receiving a digital payment, and mobile phone or use of the Internet for shopping. A Bayesian regression approach was computed using the Global Findex Database data for 73 countries classified as low and lower-middle-income economies from 2011 to 2022. The Machine Learning approach evaluates the model's ability to predict women's autonomy and the role of digital finance. The results show that digital financial services would reduce the gender gap in low-income economies while augmenting the number of open accounts, especially for women. The results aid in the establishment of policies to reduce the gender gap. These results are relevant to the UNSDG agenda, mainly Goal 5 and Goal 10.</t>
  </si>
  <si>
    <t>[Galindo-Manrique, Alicia Fernanda; Rojas-Vargas, Nuria Patricia] Tecnol Monterrey, Acounting &amp; Finance Acad Dept, Monterrey 64700, Mexico</t>
  </si>
  <si>
    <t>Galindo-Manrique, AF (corresponding author), Tecnol Monterrey, Acounting &amp; Finance Acad Dept, Monterrey 64700, Mexico.</t>
  </si>
  <si>
    <t>alicia.galindo@tec.mx; nuriarojas@tec.mx</t>
  </si>
  <si>
    <t>Galindo-Manrique, Alicia Fernanda/ACV-7887-2022</t>
  </si>
  <si>
    <t>Galindo-Manrique, Alicia Fernanda/0000-0002-9315-1347</t>
  </si>
  <si>
    <t>10.3390/risks13050096</t>
  </si>
  <si>
    <t>3BB4S</t>
  </si>
  <si>
    <t>WOS:001496088200001</t>
  </si>
  <si>
    <t>Zheng, CJ; Rahman, MA; Hossain, S; Siddik, MNA</t>
  </si>
  <si>
    <t>Zheng, Changjun; Rahman, Md Ataur; Hossain, Shahadat; Siddik, Md. Nur Alam</t>
  </si>
  <si>
    <t>Construction of a composite fintech index to measure financial inclusion for developing countries</t>
  </si>
  <si>
    <t>Fintech index; financial inclusion; mobile money; developing countries; G21; G28; O33</t>
  </si>
  <si>
    <t>CHALLENGES; ACCESS; POLICY</t>
  </si>
  <si>
    <t>This study estimates fintech-driven financial inclusion in developing economies across three dimensions: availability, penetration, and usage. To create a new composite fintech index (FI) to measure financial inclusion, we include indicators for mobile money and internet usage, elements often overlooked in prior research. Our dataset, a balanced panel from 2011-2021, is gathered from 40 developing countries. To overcome criticism related to the arbitrary selection of weights in nonparametric methods, we utilize a two-stage Principal Component Analysis (PCA) to construct the FI. We test the robustness of our FI by employing OLS regression and the two-step system generalized method of moments (GMM) estimation techniques. Our proposed index is the first composite fintech index that is robust and powerful across measuring methods, dimensions, and fintech proxies in developing countries. This versatile index is a functional tool for policymakers to identify gaps in financial inclusion and inform policy responses. In addition, remarkable progress in fintech scores between 2011 and 2021, welcoming the mobile, internet, and agent banking era for developing countries. However, the transition to fintech presents substantial challenges, including the requirements for large-scale investment, financial literacy, and customer protection - issues that policymakers, regulators, and financial institutions need to address.</t>
  </si>
  <si>
    <t>[Zheng, Changjun; Rahman, Md Ataur] Huazhong Univ Sci &amp; Technol HUST, Sch Management, Wuhan, Peoples R China; [Rahman, Md Ataur; Siddik, Md. Nur Alam] Begum Rokeya Univ, Dept Finance &amp; Banking, Rangpur, Bangladesh; [Hossain, Shahadat] Univ Chittagong, Dept Finance, Chittagong, Bangladesh; [Rahman, Md Ataur] Huazhong Univ Sci &amp; Technol HUST, Sch Management, Wuhan 430074, Peoples R China</t>
  </si>
  <si>
    <t>Huazhong University of Science &amp; Technology; University of Chittagong; Huazhong University of Science &amp; Technology</t>
  </si>
  <si>
    <t>Rahman, MA (corresponding author), Huazhong Univ Sci &amp; Technol HUST, Sch Management, Wuhan 430074, Peoples R China.</t>
  </si>
  <si>
    <t>ataur@brur.ac.bd</t>
  </si>
  <si>
    <t>Rahman, Md Ataur/AAE-1071-2019; Hossain, Shahadat/T-4525-2018; Siddik, Nur Alam/NDS-1302-2025</t>
  </si>
  <si>
    <t>Hossain, Shahadat/0000-0002-3347-3934; Siddik, Nur Alam/0000-0001-8406-3903</t>
  </si>
  <si>
    <t>NOV 7</t>
  </si>
  <si>
    <t>10.1080/00036846.2024.2313600</t>
  </si>
  <si>
    <t>H2Y0T</t>
  </si>
  <si>
    <t>WOS:001161418900001</t>
  </si>
  <si>
    <t>Moon, CS; Ohk, K; Choi, C</t>
  </si>
  <si>
    <t>Moon, Chung-Sook; Ohk, Kyungyoung; Choi, Chul</t>
  </si>
  <si>
    <t>Gender Differences in Financial Literacy among Chinese University Students and the Influential Factors</t>
  </si>
  <si>
    <t>ASIAN WOMEN</t>
  </si>
  <si>
    <t>Gender difference; financial literacy; financial capability; Chinese university students; financial education</t>
  </si>
  <si>
    <t>In the midst of growing worldwide,concern over financial consumer protection, OECD member countries have developed efficient national strategies for financial education. China, one of the largest economies in the world, is not an OECD member country yet. Although China needs to evaluate its current status of financial literacy and to improve it, very little research has been done on the financial literacy of Chinese people so far. Hence this article is to examine gender differences in financial literacy among Chinese university students and to ascertain the influential factors. The major findings and their implications are summarized as follows. First, this study measured the overall financial literacy score of Chinese university students It was 56.59, which is lower than that of Korea and other OECD member countries. Second, this study found that there exist obvious gender differences in financial literacy. The survey results also revealed that in China female students usually have fewer opportunities for financial education or financial transaction experience. Third, this study identified the changing socio-economic background of China, which might exacerbate gender inequality. The Chinese economy is growing, but the gap between the rich and the poor is becoming larger. University students have more opportunities for financial activity than ever. Since such trends will continue, it is necessary to take into consideration the current socio-economic situation. This study has made important contributions to the literature on gender inequality, as well as financial education.</t>
  </si>
  <si>
    <t>[Moon, Chung-Sook] Sookmyung Womens Univ, Dept Consumer Econ, Seoul, South Korea; [Ohk, Kyungyoung; Choi, Chul] Sookmyung Womens Univ, Seoul, South Korea</t>
  </si>
  <si>
    <t>Sookmyung Women's University; Sookmyung Women's University</t>
  </si>
  <si>
    <t>Ohk, K (corresponding author), Sookmyung Womens Univ, Seoul, South Korea.</t>
  </si>
  <si>
    <t>mooncs@sookmyung.ac.kr; okyoung@sookmyung.ac.kr; choichul@sookmyung.ac.kr</t>
  </si>
  <si>
    <t>SOOKMYUNG WOMENS UNIV</t>
  </si>
  <si>
    <t>YOUNGSAK-KU</t>
  </si>
  <si>
    <t>RES INST ASIAN WOMEN, CHEONGPA-RO 47NA-GIL36, YOUNGSAK-KU, SEOUL 04309, SOUTH KOREA</t>
  </si>
  <si>
    <t>1225-925X</t>
  </si>
  <si>
    <t>2586-5714</t>
  </si>
  <si>
    <t>Asian Women</t>
  </si>
  <si>
    <t>AL4EQ</t>
  </si>
  <si>
    <t>WOS:000339086100002</t>
  </si>
  <si>
    <t>Singh, MP; Chopra, AK</t>
  </si>
  <si>
    <t>Singh, Munindar P.; Chopra, Amit K.</t>
  </si>
  <si>
    <t>Blockchain-Based Financial Technologies and Cryptocurrencies for Low-Income People: Technical Potential Versus Practical Reality</t>
  </si>
  <si>
    <t>COMPUTER</t>
  </si>
  <si>
    <t>Several blockchain-based financial technologies and cryptocurrencies have been launched for low-income people. Blockchain?s technical potential can be used to serve the needs of unbanked and underbanked populations, but there is no evidence that these needs are being met.</t>
  </si>
  <si>
    <t>[Singh, Munindar P.] North Carolina State Univ, Comp Sci, Raleigh, NC 27695 USA; [Singh, Munindar P.] North Carolina State Univ, Sci Secur Lablet, Raleigh, NC 27695 USA; [Chopra, Amit K.] Univ Lancaster, Sch Comp &amp; Commun, Lancaster, England</t>
  </si>
  <si>
    <t>North Carolina State University; North Carolina State University; Lancaster University</t>
  </si>
  <si>
    <t>Singh, MP (corresponding author), North Carolina State Univ, Comp Sci, Raleigh, NC 27695 USA.;Singh, MP (corresponding author), North Carolina State Univ, Sci Secur Lablet, Raleigh, NC 27695 USA.</t>
  </si>
  <si>
    <t>singh@ncsu.edu; amit.chopra@glancaster.ac.uk</t>
  </si>
  <si>
    <t>Singh, Munindar/L-8500-2013</t>
  </si>
  <si>
    <t>Singh, Munindar/0000-0003-3599-3893</t>
  </si>
  <si>
    <t>IBM Faculty Award - Engineering and Physical Sciences Research Council [EP/N027965/1]</t>
  </si>
  <si>
    <t>IBM Faculty Award - Engineering and Physical Sciences Research Council(International Business Machines (IBM))</t>
  </si>
  <si>
    <t>The work of Munindar P. Singh was funded by an IBM Faculty Award, and the work of Amit K. Chopra was funded by the Engineering and Physical Sciences Research Council [under grant EP/N027965/1 (Turtles)]. We thank Alessandra Scafuro and Samuel Christie for helpful discussions and the anonymous reviewers for their valuable comments.</t>
  </si>
  <si>
    <t>0018-9162</t>
  </si>
  <si>
    <t>1558-0814</t>
  </si>
  <si>
    <t>Computer</t>
  </si>
  <si>
    <t>10.1109/MC.2019.2951977</t>
  </si>
  <si>
    <t>Computer Science, Hardware &amp; Architecture; Computer Science, Software Engineering</t>
  </si>
  <si>
    <t>KE2JM</t>
  </si>
  <si>
    <t>WOS:000508384500008</t>
  </si>
  <si>
    <t>Dianda, I; Ouedraogo, I; Sawadogo, H</t>
  </si>
  <si>
    <t>Dianda, Issa; Ouedraogo, Idrissa; Sawadogo, Hamidou</t>
  </si>
  <si>
    <t>Inclusive human development effect of financial inclusion in sub-Saharan Africa: A gender perspective</t>
  </si>
  <si>
    <t>account ownership; financial inclusion; gender; inclusive human development; mobile money; sub-Saharan Africa</t>
  </si>
  <si>
    <t>This paper investigates the effect of financial inclusion on inclusive human development in a panel of 35 countries in sub-Saharan Africa for the years 2011, 2014 and 2017 from a gender perspective. Different methods, including fixed effect and random effect models, Tobit and quantile regressions, are used for the estimates. We find that financial inclusion improves inclusive human development. In addition, the effect of women's financial empowerment is stronger than that of men. Moreover, we find a complementary effect of financial account ownership and mobile money usage in the achievement of inclusive human development. Furthermore, the increasing effects of financial inclusion are greater in countries with lower inclusive human development than those with higher inclusive human development. African governments should therefore improve financial inclusion, particularly female financial inclusion, to achieve higher inclusive human development.</t>
  </si>
  <si>
    <t>[Dianda, Issa] Nazi Boni Univ, Dept Econ, CEDRES, 01 BP 1091, Bobo Dioulasso 01, Burkina Faso; [Ouedraogo, Idrissa] Thomas Sankara Univ, Dept Econ, CEDRES, Ouagadougou, Burkina Faso; [Sawadogo, Hamidou] Joseph Ki Zerbo Univ, Inst Burkinabe Arts &amp; Metiers, Ouagadougou, Burkina Faso</t>
  </si>
  <si>
    <t>Universite Joseph Ki-Zerbo</t>
  </si>
  <si>
    <t>Dianda, I (corresponding author), Nazi Boni Univ, Dept Econ, CEDRES, 01 BP 1091, Bobo Dioulasso 01, Burkina Faso.</t>
  </si>
  <si>
    <t>isdianda@yahoo.fr</t>
  </si>
  <si>
    <t>Oueaogo, Iissa/AFP-3791-2022; Ouedraogo, Idrissa/AFP-3791-2022; DIANDA, Issa/LUY-7468-2024</t>
  </si>
  <si>
    <t>Oueaogo, Iissa/0000-0001-6058-0359; DIANDA, Issa/0000-0002-2380-6352</t>
  </si>
  <si>
    <t>10.1002/jid.3861</t>
  </si>
  <si>
    <t>WOS:001164449800001</t>
  </si>
  <si>
    <t>Afandi, W; Al-Amin, A; Sarkar, MSK; Rahaman, MT</t>
  </si>
  <si>
    <t>Afandi, Waleed; Al-Amin, Abul Quasem; Sarkar, Md Sujahangir Kabir; Rahaman, Md Takibur</t>
  </si>
  <si>
    <t>Accelerating agricultural green development in ASEAN: The power of digital inclusive finance</t>
  </si>
  <si>
    <t>SUSTAINABLE FUTURES</t>
  </si>
  <si>
    <t>Green agriculture development; Digital inclusive finance; Technological Progress; Policy; ASEAN</t>
  </si>
  <si>
    <t>Agricultural green development is vital for sustainability in ASEAN, yet financial constraints hinder eco-friendly technology adoption. Digital inclusive finance can bridge this gap by enhancing financial access, fostering technological progress, and reducing exclusion; however, empirical research on its impact remains limited, leaving policymakers with little evidence to guide interventions. This study examines how digital inclusive finance promotes agricultural green development in ASEAN by improving financial inclusion and technological advancement, assessing the contributions of different digital finance dimensions to sustainable agricultural transformation. Using 2010-2023 provincial-level panel data, we integrate the Digital Inclusive Financial Index (DIFI) and apply a two-way fixed effects model with an instrumental variable approach to address endogeneity. Results show that a 10 % increase in digital inclusive finance is associated with a 0.13 unit increase in agricultural green development, significant at the 1 % level. Findings highlight that digital inclusive finance enhances sustainability by expanding financial access and accelerating technology adoption, with the strongest effects in major grain-producing regions. Broader digital finance coverage enables farmers to secure credit, invest in green technologies, and adopt sustainable practices. Policy interventions, including financial literacy, digital infrastructure, and regulatory frameworks, are essential to maximize these benefits. This study provides empirical evidence supporting the integration of digital finance into agricultural policies, offering actionable insights for policymakers and financial institutions to promote sustainability and food security in ASEAN.</t>
  </si>
  <si>
    <t>[Afandi, Waleed] King Abdulaziz Univ, Informat Syst Dept, Jeddah, Saudi Arabia; [Al-Amin, Abul Quasem] Harvard Asia Ctr, 1730 Cambridge St, Cambridge, MA 02138 USA; [Sarkar, Md Sujahangir Kabir] Patuakhali Sci &amp; Technol Univ, Dept Econ &amp; Sociol, Patuakhali, Bangladesh; [Rahaman, Md Takibur] Patuakhali Sci &amp; Technol Univ, Dept Accounting &amp; Informat Syst, Dumki, Bangladesh; [Al-Amin, Abul Quasem] Daffodil Int Univ, Dept Dev Studies, Dhaka 1216, Bangladesh</t>
  </si>
  <si>
    <t>King Abdulaziz University; Daffodil International University</t>
  </si>
  <si>
    <t>Rahaman, MT (corresponding author), Patuakhali Sci &amp; Technol Univ, Dept Accounting &amp; Informat Syst, Dumki, Bangladesh.</t>
  </si>
  <si>
    <t>wafndy@kau.edu.sa; aalamin@fas.harvard.edu; skabir@pstu.ac.bd; takib@pstu.ac.bd</t>
  </si>
  <si>
    <t>Al-Amin, Abul Quasem/MZQ-4052-2025; AFANDI, WALEED/JKJ-6740-2023; Rahman, Takibur/X-2269-2019</t>
  </si>
  <si>
    <t>AFANDI, WALEED/0000-0002-2175-9484;</t>
  </si>
  <si>
    <t>2666-1888</t>
  </si>
  <si>
    <t>SUSTAIN FUTURES</t>
  </si>
  <si>
    <t>Sustain. Futures</t>
  </si>
  <si>
    <t>10.1016/j.sftr.2025.101392</t>
  </si>
  <si>
    <t>Environmental Sciences; Operations Research &amp; Management Science</t>
  </si>
  <si>
    <t>Environmental Sciences &amp; Ecology; Operations Research &amp; Management Science</t>
  </si>
  <si>
    <t>8TL8C</t>
  </si>
  <si>
    <t>WOS:001596937700001</t>
  </si>
  <si>
    <t>Enemuo, JI; Idamoyibo, HR; Mercy, OOE; Udo, ES</t>
  </si>
  <si>
    <t>Enemuo, Joy Ifeoma; Idamoyibo, Hwerien Rosemary; Mercy, Ogbeta-Ogwu Ese; Udo, Emmanuel Samuel</t>
  </si>
  <si>
    <t>Exploring the N-Shaped Nexus between Financial Inclusion and Environmental Management in Nigeria: Evidence from the STIRPAT and DARDL Framework</t>
  </si>
  <si>
    <t>FWU JOURNAL OF SOCIAL SCIENCES</t>
  </si>
  <si>
    <t>environmental sustainability; Nigeria; STIRPAT; EKC; CO2 emissions; digital financial inclusion; classical financial inclusion</t>
  </si>
  <si>
    <t>This study assesses the interplay between digital financial inclusion (DFI) and environmental sustainability (ENV) in Nigeria, considering the role of industrialization (IND), urbanization (URB), and energy consumption (EC). While DFI enhances financial access and green investments, its environmental impact remains uncertain. Extant studies predominately use indirect proxies, ignoring the direct indicators that capture its breadth and depth. Adopting the direct DFI indicators: mobile money accounts per capita (NMM), mobile money transactions (MMT), active digital accounts (ADA), and volume of mobile transactions (VMM). The study investigates whether DFI fosters ENV through renewable energy (REN) adoption or contributes to ENV degradation through increased energy consumption (EC). Using the Dynamic Autoregressive Distributed Lag model within the extended STIRPAT framework. Results confirm an N-shaped Environmental Kuznets Curve (EKC), where inclusive economic growth (IEG) initially degrades ENV (0.362 to 0.843), improves at higher income levels (-0.559 to-0.912) but rebounds again at very high incomes (0.341 to 0.592). IND reduces emissions (-0.518 to-0.682) except for VMM (0.112), indicating the environmental costs of DFI infrastructure. Trade openness (TOP) initially increases emissions (0.230) but lowers them in the long term (-0.536 to-0.741). Foreign direct investment (FDI) reduces emissions (-0.210 to-0.619), while REN initially decreases ENV (0.820) but improves ENV in the long term (-0.901). Error correction terms (-0.833 to-0.922) confirm rapid convergence to equilibrium. Policy recommendations include strengthening green financial regulations, promoting energy-efficient digital infrastructure, balancing TOP with ENV protection, and accelerating clean energy transitions to ensure sustainable IEG .</t>
  </si>
  <si>
    <t>[Enemuo, Joy Ifeoma] Univ Nigeria Enugu Campus, Enugu, Nigeria; [Idamoyibo, Hwerien Rosemary; Mercy, Ogbeta-Ogwu Ese] Delta State Univ, Abraka, Nigeria; [Udo, Emmanuel Samuel] Akwa Ibom State Univ, Obio Akpa Campus, Ikot Udo, Nigeria</t>
  </si>
  <si>
    <t>Udo, ES (corresponding author), Akwa Ibom State Univ, Finance Fac Management Sci, Dept Banking, Obio Akpa Campus, Ikot Udo, Nigeria.</t>
  </si>
  <si>
    <t>emmanuelsamueludo@gmail.com</t>
  </si>
  <si>
    <t>Samuel Udo, Emmanuel/K-9065-2018</t>
  </si>
  <si>
    <t>Samuel Udo, Emmanuel/0000-0002-0635-3216</t>
  </si>
  <si>
    <t>SHAHEED BENAZIR BHUTTO WOMEN UNIV</t>
  </si>
  <si>
    <t>PESHAWAR</t>
  </si>
  <si>
    <t>LARAMA, CHARSADDA RD, PESHAWAR, 00000, PAKISTAN</t>
  </si>
  <si>
    <t>1995-1272</t>
  </si>
  <si>
    <t>FWU J SOC SCI</t>
  </si>
  <si>
    <t>FWU J. Soc. Sci.</t>
  </si>
  <si>
    <t>SPR</t>
  </si>
  <si>
    <t>10.51709/19951272/Spring2025/9</t>
  </si>
  <si>
    <t>4ZJ5C</t>
  </si>
  <si>
    <t>WOS:001530290000001</t>
  </si>
  <si>
    <t>Chen, WD; Yuan, XH</t>
  </si>
  <si>
    <t>Chen, Weidong; Yuan, Xiaohui</t>
  </si>
  <si>
    <t>Financial inclusion in China: an overview</t>
  </si>
  <si>
    <t>FRONTIERS OF BUSINESS RESEARCH IN CHINA</t>
  </si>
  <si>
    <t>Financial inclusion; Digital financial inclusion; Microfinance; China</t>
  </si>
  <si>
    <t>GROWTH; ACCESS; LITERACY; IMPACT; POOR</t>
  </si>
  <si>
    <t>Financial inclusion has become an important development strategy in many countries, and related research is increasing. Financial inclusion in China has had significant progress recently. It has gradually formed a unique and sustainable development path with supporting policies and regulations as well as rapid development and application of digital technology. While challenges remain, the experience of Chinese financial inclusion provides valuable lessons and research directions for policymakers and researchers.</t>
  </si>
  <si>
    <t>[Chen, Weidong; Yuan, Xiaohui] Bank China, Res Inst, 1 Fuxingmennei Dajie, Beijing 100818, Peoples R China</t>
  </si>
  <si>
    <t>Bank of China</t>
  </si>
  <si>
    <t>Yuan, XH (corresponding author), Bank China, Res Inst, 1 Fuxingmennei Dajie, Beijing 100818, Peoples R China.</t>
  </si>
  <si>
    <t>yuanxiaohui@bankofchina.com</t>
  </si>
  <si>
    <t>1673-7326</t>
  </si>
  <si>
    <t>1673-7431</t>
  </si>
  <si>
    <t>FRONT BUS RES CHINA</t>
  </si>
  <si>
    <t>Front. Bus. Res. China</t>
  </si>
  <si>
    <t>MAR 22</t>
  </si>
  <si>
    <t>10.1186/s11782-021-00098-6</t>
  </si>
  <si>
    <t>RA8WQ</t>
  </si>
  <si>
    <t>WOS:000631701200001</t>
  </si>
  <si>
    <t>Andolfatto, D</t>
  </si>
  <si>
    <t>Andolfatto, David</t>
  </si>
  <si>
    <t>ASSESSING THE IMPACT OF CENTRAL BANK DIGITAL CURRENCY ON PRIVATE BANKS</t>
  </si>
  <si>
    <t>ECONOMIC JOURNAL</t>
  </si>
  <si>
    <t>This paper investigates how a central bank digital currency can be expected to impact a monopolistic banking sector. The paper's framework of analysis combines the Diamond (1965) model of government debt with the Klein (1971) and Monti (1972) model of a monopoly bank. The paper finds that the introduction of a central bank digital currency has no detrimental effect on batik lending activity and may, in some circumstances, even serve to promote it. Competitive pressure leads to a higher monopoly deposit rate which reduces profit but expands deposit funding through greater financial inclusion and desired saving. An appeal to available theory and evidence suggests that a properly designed central bank digital currency is not likely to threaten financial stability.</t>
  </si>
  <si>
    <t>[Andolfatto, David] Fed Reserve Bank St Louis, St Louis, MO 63102 USA</t>
  </si>
  <si>
    <t>Federal Reserve System - USA; Federal Reserve Bank - St. Louis</t>
  </si>
  <si>
    <t>Andolfatto, D (corresponding author), Fed Reserve Bank St Louis, Res Div, Broadway &amp; Locust,1 Fed Reserve Bank Plaza, St Louis, MO 63102 USA.</t>
  </si>
  <si>
    <t>david.andolfatto@stls.ftb.org</t>
  </si>
  <si>
    <t>Andolfatto, David/I-5738-2016</t>
  </si>
  <si>
    <t>Andolfatto, David/0000-0003-0703-3967</t>
  </si>
  <si>
    <t>Bank of Canada; Sveriges Riksbank</t>
  </si>
  <si>
    <t>I thank seminar participants at the Federal Reserve Bank of St. Louis, the Federal Reserve Bank of Kansas City and LUISS Guido Carli in Rome, as well as conference participants at the T2M Conference in Nuremberg in 2019 and the conference on the Economics of Central Bank Digital Currency in Ottawa in 2019, sponsored by the Bank of Canada and the Sveriges Riksbank. I appreciate comments received by Fabrizio Mattesini, Herve le Bihan, Michael Kumhof, David Skeie, Maria Koumenta, Francesco Lippi and three anonymous referees. I also thank Andrew Spewak and Mahdi Ebsim for their assistance. The views expressed here are my own and should not be attributed to the Federal Reserve Bank of St. Louis or the Federal Reserve System.</t>
  </si>
  <si>
    <t>0013-0133</t>
  </si>
  <si>
    <t>1468-0297</t>
  </si>
  <si>
    <t>ECON J</t>
  </si>
  <si>
    <t>Econ. J.</t>
  </si>
  <si>
    <t>10.1093/ej/ueaa073</t>
  </si>
  <si>
    <t>RI6VM</t>
  </si>
  <si>
    <t>WOS:000637047200001</t>
  </si>
  <si>
    <t>Khaki, AR; Sangmi, M</t>
  </si>
  <si>
    <t>Khaki, Audit Rashid; Sangmi, Mohiuddin</t>
  </si>
  <si>
    <t>FINANCIAL INCLUSION &amp; SOCIAL CAPITAL: A CASE STUDY OF SGSY BENEFICIARIES IN KASHMIR VALLEY</t>
  </si>
  <si>
    <t>Financial Inclusion; Social Capital; Microfinance; Poverty Alleviation</t>
  </si>
  <si>
    <t>The interaction between economic dimensions and socio-political dimensions of poverty are believed to be interlocked with a continuous interaction among each other. These interactions are believed to manifest in an intertwined relationship; and thus remain at the centre of policy making throughout the developed world. Access to economic resources (Financial Inclusion) is believed to encourage micro entrepreneur to take on profitable activities which in turn provide an enabling environment for him/her to gather access to social networks which may be beneficial to him in terms of access to raw material, marketing support and business ties. Whereas financial inclusion is believed to have a positive impact on social capital, the reverse is also true; the amount and quality of social capital provides a micro-entrepreneur with easy access to diverse sources of finance. Microfinance Institutions around the world heavily rely on group financing mechanism by leveraging on social collateral as a replacement to financial collateral in financing micro-entrepreneurs. The present study is an attempt in this direction to understand the relationship between financial inclusion and social capital. The study attempts to evaluate the impact of access to finance on socio-political empowerment of the beneficiaries of Swarnjayanti Gram Swarozgar Yojana (SGSY), now known as National Rural Livelihood Mission (NRLM). Results indicate that access to finance has a positive impact on almost all the socio-political indicators of empowerment, the impact being relatively lesser for financial literacy and economic awareness.</t>
  </si>
  <si>
    <t>[Khaki, Audit Rashid] Amer Univ Middle East, Eqaila, Kuwait; [Sangmi, Mohiuddin] Univ Kashmir, Dept Business &amp; Financial Studies, Srinagar, Jammu &amp; Kashmir, India</t>
  </si>
  <si>
    <t>American University of the Middle East; University of Kashmir</t>
  </si>
  <si>
    <t>Khaki, AR (corresponding author), Amer Univ Middle East, Eqaila, Kuwait.</t>
  </si>
  <si>
    <t>Audil.Rashid@aum.edu.kw; sangmi2k@gmail.com</t>
  </si>
  <si>
    <t>Khaki, Audil Rashid/ISU-9089-2023</t>
  </si>
  <si>
    <t>Khaki, Audil Rashid/0000-0003-3168-8007</t>
  </si>
  <si>
    <t>10.14807/ijmp.v7i4.424</t>
  </si>
  <si>
    <t>VG6TN</t>
  </si>
  <si>
    <t>WOS:000448017200002</t>
  </si>
  <si>
    <t>Iddrisu, K; Abor, JY; Banyen, KT</t>
  </si>
  <si>
    <t>Iddrisu, Khadijah; Abor, Joshua Yindenaba; Banyen, Kannyiri T.</t>
  </si>
  <si>
    <t>Fintech, foreign bank presence and inclusive finance in Africa: Using a quantile regression approach</t>
  </si>
  <si>
    <t>Fintech; Foreign bank presence; Inclusive finance; Quantile regression; Africa</t>
  </si>
  <si>
    <t>MOBILE MONEY; GROWTH; MODELS; INEQUALITY; SERVICES; ACCESS</t>
  </si>
  <si>
    <t>Africa is one of the continents with the least inclusive finance. However, with increasing use of mobile phones for financial services or financial technology (Fintech), there are improved opportunities to 'bank the unbanked. Also, there is a significant increase in both the presence of foreign banks and Fintech usage. Hence, we examine the moderating role of foreign bank presence on the Fintech-inclusive finance nexus over the period, 2000-2018. The results show that foreign bank presence does not directly affect inclusive finance, but increases the link between Fintech and inclusive finance. We recommend that African countries need to provide the conducive environment improving the use of Fintech.</t>
  </si>
  <si>
    <t>[Iddrisu, Khadijah; Banyen, Kannyiri T.] Simon Diedong Dombo Univ Business &amp; Integrated Dev, Sch Business, Dept Finance, POB 64, Wa, Ghana; [Abor, Joshua Yindenaba] Univ Ghana Business Sch, Dept Finance, POB LG 78, Legon, Ghana; [Iddrisu, Khadijah] Simon Diedong Dombo Univ Business &amp; Integrated Dev, Sch Business, POB 64, Wa, Ghana</t>
  </si>
  <si>
    <t>Iddrisu, K (corresponding author), Simon Diedong Dombo Univ Business &amp; Integrated Dev, Sch Business, POB 64, Wa, Ghana.</t>
  </si>
  <si>
    <t>khadijah.iddris@yahoo.com</t>
  </si>
  <si>
    <t>Idisu, Khadijah/0000-0002-1536-2341</t>
  </si>
  <si>
    <t>10.1080/23322039.2022.2157120</t>
  </si>
  <si>
    <t>7A5HJ</t>
  </si>
  <si>
    <t>WOS:000898486700001</t>
  </si>
  <si>
    <t>Goel, A</t>
  </si>
  <si>
    <t>Goel, Anusha</t>
  </si>
  <si>
    <t>Financial Inclusion: A Statewise Assessment in India</t>
  </si>
  <si>
    <t>Financial Inclusion; Index; India; Sarma Methodology</t>
  </si>
  <si>
    <t>Financial inclusion is a contemporary issue that has featured in the reforms agenda of several countries. Although it has gained momentum over time, the access to finance and basic financial services remained highly skewed across demographic and geographic segments. The purpose of the study is to analyse the performance of states/union territories in each dimension and composite index of financial inclusion. The focus is on ranking Indian states and union territories, identifying the major changes in ranks during 2000-01 to 2016-17, and finding the rate of expansion. The index of financial inclusion is calculated using three dimensions as per Sarma methodology. Log linear regression model is used to determine the growth rate in the measure of inclusion. The findings show that the index of financial inclusion value has enhanced in 28 and declined in four states/union territories out a group of 32 states/union territories. While a robust positive growth is observed in 23 states/union territories, the deterioration turns out to be significant in Chandigarh only.</t>
  </si>
  <si>
    <t>[Goel, Anusha] Univ Delhi, Delhi, India</t>
  </si>
  <si>
    <t>University of Delhi</t>
  </si>
  <si>
    <t>Goel, A (corresponding author), Univ Delhi, Delhi, India.</t>
  </si>
  <si>
    <t>Goel, Anusha/AAW-3786-2021</t>
  </si>
  <si>
    <t>10.4018/IJABE.2020100103</t>
  </si>
  <si>
    <t>OF3UC</t>
  </si>
  <si>
    <t>WOS:000581136200003</t>
  </si>
  <si>
    <t>Kodongo, O</t>
  </si>
  <si>
    <t>Kodongo, Odongo</t>
  </si>
  <si>
    <t>Financial Regulations, Financial Literacy, and Financial Inclusion: Insights from Kenya</t>
  </si>
  <si>
    <t>International Conference on Industrial Economics System and Industrial Security Engineering (IEIS)</t>
  </si>
  <si>
    <t>JUL 24-27, 2016</t>
  </si>
  <si>
    <t>IEEE Tech Comm Logist Informat &amp; Ind Secur Syst, Sydney, AUSTRALIA</t>
  </si>
  <si>
    <t>ICIR,Beijing Jiaotong Univ, Int Ctr Informat Res,Beijing Jiaotong Univ, Sch Econ &amp; Management,Beijing Jiaotong Univ, China Ctr Ind Secur Res,Univ Sydney, Univ Sydney Business Sch, Inst Transport &amp; Logist Studies,Univ Reading, Informat Res Ctr,NSFC,K C Wong Educ Fdn,Sino EU Doctoral Sch Sustainabil Engn,Beijing Logist Informat Res Base,Key Lab Logist Management &amp; Technol Beijing</t>
  </si>
  <si>
    <t>IEEE Tech Comm Logist Informat &amp; Ind Secur Syst</t>
  </si>
  <si>
    <t>financial inclusion; financial literacy; financial regulation; Kenya</t>
  </si>
  <si>
    <t>CAPITAL REQUIREMENTS; EXCLUSION</t>
  </si>
  <si>
    <t>This paper examines the relationship between financial regulation and financial inclusion in Kenya. Employing Probit regression on cross-sectional household level survey data and fixed effect regression on banks panel data, we find that: (i) agency banking regulations and financial literacy could improve formal financial access, and (ii) know-your-customers rules and capital and liquidity macro-prudential regulations could harm financial inclusion. Results are robust to alternative specifications. Given our findings, Kenya should boost financial literacy efforts, relax customer identification requirements in specific instances where they may jeopardize financial inclusion efforts, and stabilize macroeconomic environment to mitigate unintended adverse effects of macro-prudential regulations.</t>
  </si>
  <si>
    <t>[Kodongo, Odongo] Univ Witwatersrand, Grad Sch Business Adm, 2 St Davids Pl, ZA-2193 Parktown Johannesburg, South Africa</t>
  </si>
  <si>
    <t>University of Witwatersrand</t>
  </si>
  <si>
    <t>Kodongo, O (corresponding author), Univ Witwatersrand, Grad Sch Business Adm, 2 St Davids Pl, ZA-2193 Parktown Johannesburg, South Africa.</t>
  </si>
  <si>
    <t>kodongo03@gmail.com</t>
  </si>
  <si>
    <t>Kodongo, Odongo/AAQ-1792-2020</t>
  </si>
  <si>
    <t>Kodongo, Odongo/0000-0002-4011-0728</t>
  </si>
  <si>
    <t>African Economic Research Consortium (AERC) [RC15502]</t>
  </si>
  <si>
    <t>African Economic Research Consortium (AERC)</t>
  </si>
  <si>
    <t>Funding from the African Economic Research Consortium (AERC) (Grant No. RC15502) is gratefully appreciated.</t>
  </si>
  <si>
    <t>10.1080/1540496X.2017.1418318</t>
  </si>
  <si>
    <t>GU3RQ</t>
  </si>
  <si>
    <t>WOS:000445197600012</t>
  </si>
  <si>
    <t>Chen, MH; Chu, QR; Zhang, TW; Li, Q; Liu, JX; Yamaka, W</t>
  </si>
  <si>
    <t>Chen, Minghua; Chu, Qinru; Zhang, Tengwen; Li, Qian; Liu, Jianxu; Yamaka, Woraphon</t>
  </si>
  <si>
    <t>The Structural Causes and Trend Evolution of Imbalance and Insufficiency of Development of Digital Inclusive Finance in China</t>
  </si>
  <si>
    <t>digital inclusive finance; imbalance and insufficiency; weighted Dagum Gini coefficient; quantile standardization</t>
  </si>
  <si>
    <t>In this paper, to provide references for coordinating the development of digital inclusive finance between provinces and regions in China, we measure the digital financial inclusion index of 31 provinces in China from 2011 to 2020 based on three dimensions: coverage breadth, depth of use and digitalization degree. By means of the weighted Dagum Gini coefficient and quantile standardization, we explored the degree of imbalance and insufficiency of the development of digital inclusive finance in China and four major regions and its structural causes. Using the Kernel density estimation method and Markov chain analysis method, we further investigate the evolution trend of imbalance and insufficiency. The study finds that (1) the Digital Inclusive Financial Index in China and the four major regions rose significantly, with the COVID-19 epidemic reducing its growth rate. Of these, the eastern region has the highest development level. (2) The imbalance level of digital inclusive finance development obviously has reduced. The level of imbalance is highest within the eastern region, and the development gap between the eastern and western regions is the widest. The imbalance of overall development is mainly due to regional imbalance. The imbalance of coverage breadth and depth of use is the main structural cause of unbalanced development in the four major regions. There is a trend of bipolarization or multipolarization in China and the other three major regions, with the exception of the central region. (3) The western region is the least developed. The development shortcoming of digital inclusive finance in China and the four major regions is the breadth of coverage. There are the Club Convergence and the Matthew Effect in the eastern, central and western regions.</t>
  </si>
  <si>
    <t>[Chen, Minghua; Chu, Qinru; Zhang, Tengwen; Li, Qian; Liu, Jianxu] Shandong Univ Finance &amp; Econ, Sch Econ, Jinan 250014, Peoples R China; [Yamaka, Woraphon] Chiang Mai Univ, Fac Econ, Chiang Mai 50200, Thailand</t>
  </si>
  <si>
    <t>Shandong University of Finance &amp; Economics; Chiang Mai University</t>
  </si>
  <si>
    <t>Chen, MH (corresponding author), Shandong Univ Finance &amp; Econ, Sch Econ, Jinan 250014, Peoples R China.</t>
  </si>
  <si>
    <t>20058710@sdufe.edu.cn; chuqinr@mail.sdufe.edu.cn; gaotianyu1@mail.sdufe.edu.cn; 201101001@mail.sdufe.edu.cn; 20180881@sdufe.edu.cn; woraphon.econ@gmail.com</t>
  </si>
  <si>
    <t>Liu, Jianxu/ABI-1983-2020; yamaka, woraphon/J-2812-2019; zhang, tengwen/LZE-6883-2025</t>
  </si>
  <si>
    <t>, JIANXU/0000-0002-2128-6015; yamaka, woraphon/0000-0002-0787-1437;</t>
  </si>
  <si>
    <t>10.3390/su151310286</t>
  </si>
  <si>
    <t>M2PQ3</t>
  </si>
  <si>
    <t>WOS:001028655800001</t>
  </si>
  <si>
    <t>Akbari, M; Nikijo, I; Khodapanah, B; Foroudi, P; Padash, H</t>
  </si>
  <si>
    <t>Akbari, Morteza; Nikijo, Iman; Khodapanah, Bahman; Foroudi, Pantea; Padash, Hamid</t>
  </si>
  <si>
    <t>Forty Years of Microfinance Research and Its Impact on Consumers: A Review and Research Agenda Using the ADO-TCM Framework</t>
  </si>
  <si>
    <t>ADO-TCM framework; bibliometric; microbank; microcredit; microfinance; microinsurance</t>
  </si>
  <si>
    <t>SUB-SAHARAN AFRICA; ISLAMIC MICROFINANCE; WOMENS EMPOWERMENT; BIBLIOMETRIC ANALYSIS; POVERTY ALLEVIATION; DECISION-MAKING; MICRO-FINANCE; MICROCREDIT; INSTITUTIONS; OUTREACH</t>
  </si>
  <si>
    <t>Over the past 40 years, microfinance has been widely used to support self-employment, reduce poverty, and empower economically disadvantaged groups. As microfinance products target underserved individuals and households, this research critically explores their impact on consumers' economic behavior, access to services, and well-being. This paper systematically reviews the microfinance literature from 1982 to 2023, applying the ADO (antecedents, decisions, and outcomes) and TCM (theories, contexts, and methods) frameworks. This study employs bibliometric analysis as the primary method, complemented by systematic literature review (SLR) principles to ensure a structured and comprehensive examination. Findings synthesized through the ADO-TCM framework offer a comprehensive analysis of the trends and gaps in, and the impacts of microfinance studies. Key findings include the identification of three principal research areas: financial inclusion as a foundational antecedent, sustainability, and governance mechanisms driving institutional decisions, and poverty alleviation as a measurable outcome of microfinance programs. This dual approach offers a nuanced perspective on microfinance, examining the adaptability of financial solutions and the contextual limitations that affect their impact. The study contributes to the field by refining the ADO-TCM framework, bridging theoretical constructs and practical applications, and pinpointing critical research gaps, such as the need for gender-sensitive models and psychological studies of group lending. Our bibliometric analysis highlights trends, identifies research gaps, and organizes the literature into themes: financial inclusion, institutional sustainability, and poverty alleviation. Content analyses reveal core research streams and provide a conceptual framework for ADO, along with associated TCM. The review identifies significant issues, such as debt dependency, mixed sociocultural impacts, and sustainability concerns, offering a balanced assessment for scholars, policymakers, and practitioners. These insights advance our understanding of microfinance dynamics and propose actionable directions for future research. This comprehensive overview lays a foundation for future research, promoting an informed understanding of microfinance's potential and its limitations as a tool for financial inclusion and how these affect the consumption behavior, risk mitigation, and financial inclusion of low-income consumers.</t>
  </si>
  <si>
    <t>[Akbari, Morteza; Nikijo, Iman; Padash, Hamid] Univ Tehran, Fac Entrepreneurship, Tehran, Iran; [Khodapanah, Bahman] Univ Mohaghegh Ardabili, Fac Social Sci, Dept Business Adm, Ardebil, Iran; [Foroudi, Pantea] Brunel Univ, London, England</t>
  </si>
  <si>
    <t>University of Tehran; University of Mohaghegh Ardabili; Brunel University</t>
  </si>
  <si>
    <t>Akbari, M (corresponding author), Univ Tehran, Fac Entrepreneurship, Tehran, Iran.</t>
  </si>
  <si>
    <t>mortezaakbari@ut.ac.ir</t>
  </si>
  <si>
    <t>Foroudi, Pantea/AAR-4562-2020; Nikijoo, Iman/JYO-7228-2024; khodapanah, bahman/AAM-4900-2021</t>
  </si>
  <si>
    <t>Nikijoo, Iman/0000-0002-7534-3716; Akbari, Morteza/0000-0001-5215-3349</t>
  </si>
  <si>
    <t>JUL 24</t>
  </si>
  <si>
    <t>e70101</t>
  </si>
  <si>
    <t>10.1111/ijcs.70101</t>
  </si>
  <si>
    <t>5FF9O</t>
  </si>
  <si>
    <t>WOS:001534275000001</t>
  </si>
  <si>
    <t>Sanchez-Roger, M; Puyol-Antón, E</t>
  </si>
  <si>
    <t>Sanchez-Roger, Marc; Puyol-Anton, Esther</t>
  </si>
  <si>
    <t>Digital Bank Runs: A Deep Neural Network Approach</t>
  </si>
  <si>
    <t>CBDC; digital currency; bank run; banking; central bank</t>
  </si>
  <si>
    <t>The introduction of Central Bank Digital Currency (CBDC) could represent a deep structural change to the financial sector, and in particular to the banking sector. This paper proposes a Deep Neural Network (DNN) design to model the introduction of CBDC and its potential impact on commercial banks' deposits. The model proposed forecasts the likelihood of the occurrence of bank runs as a function of the system characteristics and of the intrinsic features of CBDC. The success rate of CBDC and the impact on the banking sector is highly dependent on its design. Whether CBDC should carry any form of interest, if the amount of CBDC should be capped by account or if convertibility from banks' deposits should be guaranteed by commercial banks are important features to consider. Further, the design of CBDC needs to contribute to enhancing the sustainability of the financial system, hence a CBDC design that promotes financial inclusion is paramount. The model is initially calibrated with Euro area system data. Results show that an increase in the financial system risk perception would trigger a significant transfer of wealth from bank deposits to CBDC, while the wealth transfer to CBDC is to a lesser extent also sensitive to its interest rate.</t>
  </si>
  <si>
    <t>[Puyol-Anton, Esther] Kings Coll London, Sch Biomed Engn &amp; Imaging Sci, London SE1 7EH, England</t>
  </si>
  <si>
    <t>University of London; King's College London</t>
  </si>
  <si>
    <t>marc.sanchez.roger@gmail.com; esther.puyol_anton@kcl.ac.uk</t>
  </si>
  <si>
    <t>Puyol Anton, Esther/0000-0002-9789-6629</t>
  </si>
  <si>
    <t>10.3390/su13031513</t>
  </si>
  <si>
    <t>QD6OQ</t>
  </si>
  <si>
    <t>WOS:000615635300001</t>
  </si>
  <si>
    <t>Kaushal, T</t>
  </si>
  <si>
    <t>Kaushal, Tanushree</t>
  </si>
  <si>
    <t>Imperial durabilities of debt: indigeneity, racial capitalism and the 'tribal' figure in finance</t>
  </si>
  <si>
    <t>GLOBALIZATIONS</t>
  </si>
  <si>
    <t>Finance; racial capitalism; Indigeneity; privatization; survival</t>
  </si>
  <si>
    <t>BRITISH EXPANSION; ANDHRA-PRADESH; MICROFINANCE; EMPIRE; CRISIS; FINANCIALIZATION; POLITICS; RIGHTS; STATE; MONEY</t>
  </si>
  <si>
    <t>With increased acceptance of credit as a 'solution' for socio-economic challenges, financial inclusion has risen as a top agenda point for international organizations and state governments alike. This has invited large financial institutions as investors who extend loans to unbanked populations in ever-growing numbers. Political economy scholarship explains this in 'economic' terms of profit accumulation or in Marxist conceptions of capitalist overaccumulation and financial spillover to new markets. Departing from solely economic explanations, this paper examines financial inclusion among tribal populations in West Bengal, India, revealing continuities of colonial policies that privatize public goods and perpetuate racialized hierarchies. Privatization contributes to making credit an essential feature of sustaining everyday life. Through historically-attentive ethnographic methods with financial inclusion institutions in West Bengal, this paper highlights the centrality of indigeneity, the 'tribal' and racial capitalism undergirding contemporary financial inclusion. The enduring legacies of colonial finance showcase the racialised politics of financial inclusion and credit markets for underbanked communities.</t>
  </si>
  <si>
    <t>[Kaushal, Tanushree] Geneva Grad Inst, Dept Int Relat Polit Sci, Geneva, Switzerland</t>
  </si>
  <si>
    <t>Kaushal, T (corresponding author), Geneva Grad Inst, Dept Int Relat Polit Sci, Geneva, Switzerland.</t>
  </si>
  <si>
    <t>tanushree.kaushal@graduateinstitute.ch</t>
  </si>
  <si>
    <t>Kaushal, Tanushree/0000-0002-6846-6953</t>
  </si>
  <si>
    <t>Schweizerischer Nationalfonds (Swiss National Science Foundation) [207257]</t>
  </si>
  <si>
    <t>Schweizerischer Nationalfonds (Swiss National Science Foundation)(Swiss National Science Foundation (SNSF))</t>
  </si>
  <si>
    <t>This work was supported by Schweizerischer Nationalfonds (Swiss National Science Foundation) [grant number 207257].</t>
  </si>
  <si>
    <t>1474-7731</t>
  </si>
  <si>
    <t>1474-774X</t>
  </si>
  <si>
    <t>Globalizations</t>
  </si>
  <si>
    <t>AUG 18</t>
  </si>
  <si>
    <t>10.1080/14747731.2025.2471707</t>
  </si>
  <si>
    <t>International Relations; Social Sciences, Interdisciplinary</t>
  </si>
  <si>
    <t>International Relations; Social Sciences - Other Topics</t>
  </si>
  <si>
    <t>6UY6P</t>
  </si>
  <si>
    <t>WOS:001449278600001</t>
  </si>
  <si>
    <t>Martínez, LB; Guercia, MB; Orazi, S; Vigier, HP</t>
  </si>
  <si>
    <t>Martinez, Lisana Belen; Guercia, Marla Belen; Orazi, Sofia; Vigier, Hernan Pedro</t>
  </si>
  <si>
    <t>Key financial instruments for financial inclusion in Latin America</t>
  </si>
  <si>
    <t>financial inclusion; Latin America; financial instruments; econometrics; economic conditions; financial resources; money</t>
  </si>
  <si>
    <t>SERVICES; IMPACT</t>
  </si>
  <si>
    <t>This paper aims to analyze financial inclusion in seven Latin American countries. Specifically, it seeks to detect the most used financial instruments and the main determinants that affect their use. For this purpose, it uses micro data from the 2017 Global Findex, applying multivariate econometric models. The results confirm that the instrument most used by individuals are financial accounts in formal institutions, especially in Brazil and Chile, followed by credit cards in Uruguay and Venezuela. Among the socio-economic characteristics of individuals, the findings show that older, male individuals, with tertiary education and higher income levels are more likely to be financially included.</t>
  </si>
  <si>
    <t>[Martinez, Lisana Belen] Univ Nacl Sur, Dept Econ, Buenos Aires, DF, Argentina; [Guercia, Marla Belen] Univ Prov Sudoeste, Fac Pequena &amp; Mediana Empresa, Bahia Blanca, Buenos Aires, Argentina; [Orazi, Sofia] Inst Invest Econ &amp; Sociales Sur UNS CONICET, Bahia Blanca, Buenos Aires, Argentina; [Orazi, Sofia; Vigier, Hernan Pedro] Univ Nacl Sur, Dept Econ, Bahia Blanca, Buenos Aires, Argentina</t>
  </si>
  <si>
    <t>National University of the South; Instituto de Investigaciones en Ingenieria Electrica (IIIE); National University of the South; Instituto de Investigaciones en Ingenieria Electrica (IIIE)</t>
  </si>
  <si>
    <t>Martínez, LB (corresponding author), Univ Nacl Sur, Dept Econ, Buenos Aires, DF, Argentina.</t>
  </si>
  <si>
    <t>Ibmartinez@iiess-conicet.gob.ar; mbguercio@iiess-conicet.gob.ar; sofiaorazir@iitess-conicet.gob.ar; hvigier@upso.edu.ar</t>
  </si>
  <si>
    <t>Orazi, Sofia/HMD-8000-2023</t>
  </si>
  <si>
    <t>10.14718/revfinanzpolitecon.v14.n1.2022.2</t>
  </si>
  <si>
    <t>3Q4YB</t>
  </si>
  <si>
    <t>WOS:000838237600002</t>
  </si>
  <si>
    <t>Shaheen, MA; Aslam, S; Mahmood, S; Ahmad, M; Tabassum, S</t>
  </si>
  <si>
    <t>Shaheen, Muhammad Aamir; Aslam, Shoaib; Mahmood, Salman; Ahmad, Mumtaz; Tabassum, Sumaira</t>
  </si>
  <si>
    <t>Assessing indirect effect of behavioral intentions on financial inclusion - a serial mediation model</t>
  </si>
  <si>
    <t>KYBERNETES</t>
  </si>
  <si>
    <t>Financial inclusion; Behavioral intentions; Financial literacy; Service trust; Use behavior; Serial mediation</t>
  </si>
  <si>
    <t>INFORMATION-TECHNOLOGY; DISCRIMINANT VALIDITY; ACCEPTANCE</t>
  </si>
  <si>
    <t>PurposeThe research examines how behavioral intentions, as a higher-order construct, indirectly affect financial inclusion through service trust, usage behavior and financial literacy in mobile money adoption.Design/methodology/approachFollowing the positivist research philosophy, a cross-sectional study design was used to collect data through questionnaires comprised of scales adapted from prior studies. With a usable sample size of 340 respondents, this study employs partial least squares structural equation modeling to assess the model.FindingsThe study revealed the significant indirect role of behavioral intention on financial inclusion through use behavior, behavioral intentions on use behavior through service trust, and use behavior on financial inclusion through financial literacy. The role of behavioral intentions on financial inclusion through serial mediation of service trust, use behavior and financial literacy was also found to be significant.Originality/valueThis study's novelty resides in examining the indirect relationship between behavioral intentions and financial inclusion, specifically via the serial mediation of service trust, use behavior and financial literacy.</t>
  </si>
  <si>
    <t>[Shaheen, Muhammad Aamir; Aslam, Shoaib; Ahmad, Mumtaz; Tabassum, Sumaira] Islamia Univ Bahawalpur Pakistan, Dept Commerce, Bahawalpur, Pakistan; [Mahmood, Salman] Southwest Forestry Univ, Fac Econ &amp; Management, Kunming, Peoples R China</t>
  </si>
  <si>
    <t>Islamia University of Bahawalpur; Southwest Forestry University - China</t>
  </si>
  <si>
    <t>Mahmood, S (corresponding author), Southwest Forestry Univ, Fac Econ &amp; Management, Kunming, Peoples R China.</t>
  </si>
  <si>
    <t>salmankmust@gmail.com</t>
  </si>
  <si>
    <t>; Aslam, Shoaib/JJE-4599-2023</t>
  </si>
  <si>
    <t>Shaheen, Muhammad Aamir/0000-0001-5881-5446; Aslam, Shoaib/0000-0001-6817-6246</t>
  </si>
  <si>
    <t>0368-492X</t>
  </si>
  <si>
    <t>1758-7883</t>
  </si>
  <si>
    <t>Kybernetes</t>
  </si>
  <si>
    <t>10.1108/K-07-2023-1295</t>
  </si>
  <si>
    <t>X0C9D</t>
  </si>
  <si>
    <t>WOS:001112514300001</t>
  </si>
  <si>
    <t>Xiao, JJ; Chen, C; Sun, L</t>
  </si>
  <si>
    <t>Xiao, Jing Jian; Chen, Cheng; Sun, Lei</t>
  </si>
  <si>
    <t>Age differences in consumer financial capability</t>
  </si>
  <si>
    <t>Age difference; financial capability; financial literacy; financial behavior</t>
  </si>
  <si>
    <t>COLLEGE-STUDENTS; PLANNED BEHAVIOR; LITERACY; KNOWLEDGE; EDUCATION; WEALTH; SATISFACTION; CURRICULUM; SAVINGS</t>
  </si>
  <si>
    <t>The purpose of this study is to examine age differences in financial capability. Financial capability is measured by five variables: objective financial literacy, subjective financial literacy, desirable financial behavior, perceived financial capability, and a financial capability index. Financial capability is expected to increase with age. Specifically, we expect older consumers to demonstrate higher levels of both objective and subjective financial literacy, more desirable financial behaviors, a higher level of perceived financial capability, and a higher score on the financial capability index. Data from the 2012 National Financial Capability Study in the U.S. was used to examine the associations between age groups and financial capability variables. One-way ANOVAs were used to examine age differences in financial capability variables. Then multiple regressions were used to examine age differences after controlling for socio-demographic and financial variables. The results indicated that age differences in four financial capability variables showed similar patterns. Young adults aged 18-24 had the lowest scores on objective financial literacy, subjective financial literacy, perceived financial capability, and the financial capability index. The results have implications for consumer educators to provide effective financial education for all age groups.</t>
  </si>
  <si>
    <t>[Xiao, Jing Jian] Univ Rhode Isl, Dept Human Dev &amp; Family Studies, Kingston, RI 02881 USA; [Chen, Cheng; Sun, Lei] Renmin Univ China, Sch Business, Beijing 100872, Peoples R China</t>
  </si>
  <si>
    <t>University of Rhode Island; Renmin University of China</t>
  </si>
  <si>
    <t>Xiao, JJ (corresponding author), Univ Rhode Isl, Dept Human Dev &amp; Family Studies, Kingston, RI 02881 USA.</t>
  </si>
  <si>
    <t>10.1111/ijcs.12205</t>
  </si>
  <si>
    <t>CK1TA</t>
  </si>
  <si>
    <t>WOS:000355989000013</t>
  </si>
  <si>
    <t>Mariscal, J; Rojas-Lozano, D</t>
  </si>
  <si>
    <t>Mariscal, Judith; Rojas-Lozano, Daniel</t>
  </si>
  <si>
    <t>A State-led Model of Financial Inclusion Through Mobile Services</t>
  </si>
  <si>
    <t>mobile money services; financial inclusion; development; conditional cash transfer programs</t>
  </si>
  <si>
    <t>CONDITIONAL CASH TRANSFERS; MONEY; ADOPTION; ACCESS; GENDER</t>
  </si>
  <si>
    <t>Financial inclusion spurs economic development, and digital mobile devices are considered an efficient tool for incorporating an unbanked population into the financial market. Despite this, close to 2 billion adults worldwide remain unbanked, as business models of digital financial services for the bottom of the pyramid have not proliferated. This article argues that the state may play a crucial role: acting as a catalyst to advance financial inclusion of the poor. We analyze how a conditional cash transfer (CCT) program may be an effective platform to achieve this. We offer evidence and analyze a pilot project through which beneficiaries of the CCT program in Mexico (Prospera) were migrated from a system of cash transfers to the use of digital transfers. The results show that a digital transfer platform may indeed be effective if governments integrate diverse public entities into the mobile money ecosystem and if they promote market competition in service delivery.</t>
  </si>
  <si>
    <t>[Mariscal, Judith] Ctr Invest &amp; Docencia Econ, Mexico City, DF, Mexico; [Rojas-Lozano, Daniel] Univ British Columbia, Vancouver, BC, Canada</t>
  </si>
  <si>
    <t>Centro de Investigacion y Docencia Economicas A.C. (CIDE); University of British Columbia</t>
  </si>
  <si>
    <t>Mariscal, J (corresponding author), Ctr Invest &amp; Docencia Econ, Mexico City, DF, Mexico.</t>
  </si>
  <si>
    <t>judith.mariscal@cide.edu; daniel.rojas.lozano@gmail.com</t>
  </si>
  <si>
    <t>PZ8HE</t>
  </si>
  <si>
    <t>WOS:000612982000002</t>
  </si>
  <si>
    <t>Bozkurt, I; Karakus, R; Yildiz, M</t>
  </si>
  <si>
    <t>Bozkurt, Ibrahim; Karakus, Rifat; Yildiz, Melek</t>
  </si>
  <si>
    <t>Spatial Determinants of Financial Inclusion over Time</t>
  </si>
  <si>
    <t>financial inclusion; financial inclusion index; spatial econometrics; convergence of financial inclusion</t>
  </si>
  <si>
    <t>SPILLOVER; GROWTH; ACCESS; CRISIS</t>
  </si>
  <si>
    <t>This paper investigates the factors generating changes in the financial inclusion levels based on data from 120 countries for 2011 and 2014. After calculating the index of financial inclusion across countries, we find evidences on the presence of spatial dependencies by using the Global Moran's I and local indicators of spatial association analyses. Then, we employ spatial regression and spatial panel data models that control for spatial interdependence. The results show that social, banking and political factors play an important role in the determination of change in financial inclusion. We also find financial inclusion convergence among the countries. Copyright (c) 2018 John Wiley &amp; Sons, Ltd.</t>
  </si>
  <si>
    <t>[Bozkurt, Ibrahim; Karakus, Rifat; Yildiz, Melek] Cankiri Karatekin Univ, Dept Banking &amp; Finance, Uluyazi Campus, TR-18100 Cankiri, Turkey</t>
  </si>
  <si>
    <t>Cankiri Karatekin University</t>
  </si>
  <si>
    <t>Bozkurt, I (corresponding author), Cankiri Karatekin Univ, Dept Banking &amp; Finance, Uluyazi Campus, TR-18100 Cankiri, Turkey.;Bozkurt, I (corresponding author), Cankiri Karatekin Univ, Fac Econ &amp; Adm Sci, Uluyazi Campus, TR-18100 Cankiri, Turkey.</t>
  </si>
  <si>
    <t>ibozkurt@karatekin.edu.tr</t>
  </si>
  <si>
    <t>KARAKUS, Rifat/LWI-2617-2024; BOZKURT, İbrahim/LUZ-1042-2024; Yıldız, Melek/JVO-6437-2024</t>
  </si>
  <si>
    <t>BOZKURT, İbrahim/0000-0003-4921-8767;</t>
  </si>
  <si>
    <t>10.1002/jid.3376</t>
  </si>
  <si>
    <t>GZ7QX</t>
  </si>
  <si>
    <t>WOS:000449678100011</t>
  </si>
  <si>
    <t>Boshkov, T; Drakulevski, L</t>
  </si>
  <si>
    <t>Boshkov, Tatjana; Drakulevski, Ljubomir</t>
  </si>
  <si>
    <t>Addressing the Role of Risk Management and Digital Finance Technology on Financial Inclusion</t>
  </si>
  <si>
    <t>QUALITY-ACCESS TO SUCCESS</t>
  </si>
  <si>
    <t>financial inclusion; management; digital technology; finance; linear regression</t>
  </si>
  <si>
    <t>Financial inclusion focuses on population which is unbanked to get into the formal financial system. The new patterns of financial inclusion rely on digital technologies, and fin-tech continues to revolutionize the nature of provision. Very important fact is that 78% of access on financial services in developing countries involves mobile money. Financial digital technologies improve data transmission, analysis and give the small companies the opportunity to develop low-cost distribution models and risk-management practices. Taking into account that there are two major reason for financial exclusion - high cost and non price barriers, we are encourage to examine the necessity of managing the use of finance digital technologies due to the opportunities for all of society. Further, we examine these questions because bureaucracy and cost are some of main barriers in accessing banking and financial products and services by biggest part of society, using linear regression analysis to process the collected data.</t>
  </si>
  <si>
    <t>[Boshkov, Tatjana] Univ Goce Delcev, Fac Tourism &amp; Business Logist, Stip, Macedonia; [Drakulevski, Ljubomir] Univ Ss Kiril &amp; Methodius Skopje, Fac Econ, Skopje, Macedonia</t>
  </si>
  <si>
    <t>Goce Delcev University of Stip</t>
  </si>
  <si>
    <t>Boshkov, T (corresponding author), Univ Goce Delcev, Fac Tourism &amp; Business Logist, Stip, Macedonia.</t>
  </si>
  <si>
    <t>tatjana.boskov@ugd.edu.mk; tatjana.boshkov@gmail.com</t>
  </si>
  <si>
    <t>Boshkov, Tatjana/JQW-5205-2023</t>
  </si>
  <si>
    <t>Boshkov, Tatjana/0000-0001-8821-9223; akulevski, Ljubomir/0000-0002-1116-5404</t>
  </si>
  <si>
    <t>SOC ROMANA PENTRU ASIGURAREA CALITATII</t>
  </si>
  <si>
    <t>STR VASILE PARVAN NR 14, SECTOR 1, POSTAL CODE 010 216, BUCHAREST, 00000, ROMANIA</t>
  </si>
  <si>
    <t>1582-2559</t>
  </si>
  <si>
    <t>QUAL-ACCESS SUCCESS</t>
  </si>
  <si>
    <t>Qual.-Access Success</t>
  </si>
  <si>
    <t>FU1PJ</t>
  </si>
  <si>
    <t>WOS:000423621600015</t>
  </si>
  <si>
    <t>Bernards, N</t>
  </si>
  <si>
    <t>Bernards, Nick</t>
  </si>
  <si>
    <t>The International Labour Organization and the ambivalent politics of financial inclusion in West Africa</t>
  </si>
  <si>
    <t>International Labour Organization; financial inclusion; labour; Africa; Senegal; Gramsci</t>
  </si>
  <si>
    <t>GRAMSCI; NEOLIBERALISM; MARKET; STATE; RISK</t>
  </si>
  <si>
    <t>This article examines the role of the International Labour Organization (ILO) in promoting financial inclusion' in West Africa. The role of the ILO in microfinance and financial inclusion has often been overlooked, in contrast to the role played by the World Bank, G20 and like institutions. The ILO is significant here because it suggests a number of ambiguities and important political dynamics that have gone overlooked in previous critical discussions of microcredit, which have often focused on the politics of commercialisation, indebtedness and accumulation by dispossession. This article draws instead on Gramsci's concepts of subalternity and organic crisis to suggest that the politics of financial inclusion' in practice are often shaped as much by the political dynamics engendered by the erosion of postcolonial order as by the imperatives of accumulation. The argument is illustrated empirically by examining ILO activities on microinsurance and inclusive finance for workers' in West Africa, with an emphasis on Senegal.</t>
  </si>
  <si>
    <t>[Bernards, Nick] McMaster Univ, Dept Polit Sci, Hamilton, ON, Canada</t>
  </si>
  <si>
    <t>McMaster University</t>
  </si>
  <si>
    <t>Bernards, N (corresponding author), McMaster Univ, Dept Polit Sci, Hamilton, ON, Canada.</t>
  </si>
  <si>
    <t>bernarna@mcmaster.ca</t>
  </si>
  <si>
    <t>Bernards, Nick/0000-0003-4576-6555</t>
  </si>
  <si>
    <t>SSHRC Canada Graduate Scholarship</t>
  </si>
  <si>
    <t>SSHRC Canada Graduate Scholarship(Social Sciences &amp; Humanities Research Council of Canada (SSHRC))</t>
  </si>
  <si>
    <t>The author gratefully acknowledges the support provided by a SSHRC Canada Graduate Scholarship.</t>
  </si>
  <si>
    <t>10.1080/13563467.2016.1183115</t>
  </si>
  <si>
    <t>DW9QG</t>
  </si>
  <si>
    <t>WOS:000383996100007</t>
  </si>
  <si>
    <t>Györi, Z</t>
  </si>
  <si>
    <t>Gyori, Zsuzsanna</t>
  </si>
  <si>
    <t>Financial literacy programmes targeting the poor: the possibilities of using financial literacy as a tool for financial inclusion</t>
  </si>
  <si>
    <t>ECONOMIC ANNALS-XXI</t>
  </si>
  <si>
    <t>Financial Literacy; Financial Awareness; Financial Inclusion of Poor Communities; Hungary</t>
  </si>
  <si>
    <t>The main aim of this study is to examine the nature of the term financial literacy and link it to opportunities for financial inclusion. The author uses experience of some Hungarian programmes. Financial literacy is the focus of some of them, while in other cases it is just a part of a more complex initiative. After the literature review, the study offers answers for the following research questions: center dot What are the main characteristics of existing financial literacy programmes in Hungary? center dot How financial exclusion and the lack of financial literacy are connected in practice? center dot What are the strengths (achievements) and weaknesses (pitfalls and disadvantages) of existing financial literacy programmes related to the financial inclusion of poor and marginalized social groups? Data from semi-structured in-depth expert interviews, documents and former research papers were collected for identifying Hungarian financial literacy programmes and their existing, missing and potential connections to financial inclusion. Originality of the Research In the literature, there are few articles that connect financial literacy and financial inclusion. Similarly, in practice, financial literacy programmes rarely target the poor. In turn, financial awareness is a very strong prerequisite of financial inclusion, e.g. successful debt settlement for financially vulnerable groups. The findings from the study will enlighten policy-makers, managers of financial institutions and financial inclusion advocates</t>
  </si>
  <si>
    <t>[Gyori, Zsuzsanna] Budapest Business Sch, Dept Management, Fac Finance &amp; Accountancy, 10-12 Buzogany Str, H-1149 Budapest, Hungary</t>
  </si>
  <si>
    <t>Budapest University of Economics &amp; Business (BUEB)</t>
  </si>
  <si>
    <t>Györi, Z (corresponding author), Budapest Business Sch, Dept Management, Fac Finance &amp; Accountancy, 10-12 Buzogany Str, H-1149 Budapest, Hungary.</t>
  </si>
  <si>
    <t>gyori.zsuzsanna@uni-bge.hu</t>
  </si>
  <si>
    <t>Győri, Zsuzsanna/ACK-2400-2022</t>
  </si>
  <si>
    <t>Győri, Zsuzsanna/0000-0002-2713-5576</t>
  </si>
  <si>
    <t>Higher Education Institutional Excellence Programme 2020 of the Ministry of Innovation and Technology in the framework of the Financial and Public Services research project at Corvinus University of Budapest [TKP2020-IKA-02]</t>
  </si>
  <si>
    <t>Higher Education Institutional Excellence Programme 2020 of the Ministry of Innovation and Technology in the framework of the Financial and Public Services research project at Corvinus University of Budapest</t>
  </si>
  <si>
    <t>This research was supported by the Higher Education Institutional Excellence Programme 2020 of the Ministry of Innovation and Technology in the framework of the Financial and Public Services research project (TKP2020-IKA-02) at Corvinus University of Budapest. Contribution: The author contributed personally to this work.</t>
  </si>
  <si>
    <t>INST SOC TRANSFORMATION</t>
  </si>
  <si>
    <t>VUL GONCHARA 43-V, OFIS 20, KYIV, 01030, UKRAINE</t>
  </si>
  <si>
    <t>1728-6220</t>
  </si>
  <si>
    <t>1728-6239</t>
  </si>
  <si>
    <t>ECON ANN-XXI</t>
  </si>
  <si>
    <t>Econ. Ann.-XXI</t>
  </si>
  <si>
    <t>JUL 10</t>
  </si>
  <si>
    <t>10.21003/ea.V190-15</t>
  </si>
  <si>
    <t>VM7TB</t>
  </si>
  <si>
    <t>WOS:001044287000009</t>
  </si>
  <si>
    <t>Zhou, ZQ; Zhang, YH; Yan, ZB</t>
  </si>
  <si>
    <t>Zhou, Zhanqiang; Zhang, Yuehua; Yan, Zhongbao</t>
  </si>
  <si>
    <t>Will Digital Financial Inclusion Increase Chinese Farmers' Willingness to Adopt Agricultural Technology?</t>
  </si>
  <si>
    <t>AGRICULTURE-BASEL</t>
  </si>
  <si>
    <t>digital financial inclusion (DFI); willingness to adopt agricultural technology (WTAAT); development level of financial market; government subsidies; production training</t>
  </si>
  <si>
    <t>SEQUENTIAL ADOPTION; INSURANCE; PRODUCTIVITY</t>
  </si>
  <si>
    <t>Studies consider the impact of financial support on agricultural technology adoption, but do not consider the role of the rapidly evolving Digital Financial Inclusion (DFI). This study analyzes the impact of DFI on farmers' willingness to adopt agricultural technology (WTAAT) using data from the China Labor-force Dynamics Survey and the Digital Financial Inclusion Index of Peking University, China. The results show that DFI significantly increases farmers' WTAAT, consistent with the results of robustness tests. Moreover, the analysis of moderating effects shows that the contribution of DFI to WTAAT increases with the level of financial market development. Finally, WTAAT is affected by DFI development among farmers who receive government subsidies, participate in production technology training, and have no local non-agricultural economy. Therefore, we propose policy recommendations for developing DFI in rural areas, improving the financial market environment, and increasing subsidies and technical training. Our study provides some empirical evidence for exploring the field of agricultural technology adoption from the perspective of DFI and also provides new ideas for combining the digital transformation of finance with sustainable agricultural development, enriching the development of research in this field, which may also provide policy insights for the development of agricultural modernization in China and other countries.</t>
  </si>
  <si>
    <t>[Zhou, Zhanqiang; Zhang, Yuehua; Yan, Zhongbao] Cent Univ Finance &amp; Econ, Sch Econ, Beijing 102206, Peoples R China</t>
  </si>
  <si>
    <t>Central University of Finance &amp; Economics</t>
  </si>
  <si>
    <t>Zhang, YH (corresponding author), Cent Univ Finance &amp; Econ, Sch Econ, Beijing 102206, Peoples R China.</t>
  </si>
  <si>
    <t>2020110100@email.cufe.edu.cn</t>
  </si>
  <si>
    <t>Zhou, Zhanqiang/0000-0003-2365-3314</t>
  </si>
  <si>
    <t>National Social Science Foundation of China [20BRK017]</t>
  </si>
  <si>
    <t>This research was supported by The National Social Science Foundation of China (20BRK017).</t>
  </si>
  <si>
    <t>2077-0472</t>
  </si>
  <si>
    <t>Agriculture-Basel</t>
  </si>
  <si>
    <t>10.3390/agriculture12101514</t>
  </si>
  <si>
    <t>Agronomy</t>
  </si>
  <si>
    <t>5N7ZT</t>
  </si>
  <si>
    <t>WOS:000872008000001</t>
  </si>
  <si>
    <t>Wei, S; Niu, KZ; Wang, Q</t>
  </si>
  <si>
    <t>Wei, Shuang; Niu, Kunzai; Wang, Qiang</t>
  </si>
  <si>
    <t>Digital Inclusive Finance and Government Spending Efficiency: Evidence from County-Level Data in China's Yangtze River Delta</t>
  </si>
  <si>
    <t>digital inclusive finance; government spending efficiency; fiscal pressure</t>
  </si>
  <si>
    <t>Amid the global drive to enhance public sector performance in the digital economy era, improving government spending efficiency has become a critical governance objective. This study investigates the impact of digital inclusive finance on government spending efficiency from a digital finance systems perspective using county-level panel data in China's Yangtze River Delta for the period 2014-2022 and constructing the fixed-effects model and instrumental variable method to estimate the effect of digital inclusive finance and explore its underlying mechanisms. Heterogeneity across regions with varying economic development levels is analyzed, and fiscal pressure is examined as a potential mediating factor. The results indicate that (1) digital inclusive finance significantly enhances government spending efficiency, primarily through broad service coverage and deep usage of digital financial services such as mobile payments, digital credit, and insurance; (2) the positive effect is more pronounced in counties with lower government spending efficiency and economic development; and (3) fiscal pressure acts as a key transmission channel, with broader digital inclusive finance coverage helping to alleviate fiscal stress and improve government spending efficiency. These findings offer empirical insights into the role of digital finance in promoting effective and adaptive public financial governance.</t>
  </si>
  <si>
    <t>[Wei, Shuang] North China Elect Power Univ, Dept Econ &amp; Management, Baoding 071003, Peoples R China; [Niu, Kunzai] Tianjin Univ, Coll Management &amp; Econ, 92 Weijin Rd, Tianjin 300072, Peoples R China; [Wang, Qiang] North China Elect Power Univ, Dept Comp, Baoding 071003, Peoples R China; [Wang, Qiang] Key Lab High Trust Informat Syst Hebei Prov, Baoding 071003, Peoples R China</t>
  </si>
  <si>
    <t>North China Electric Power University; Tianjin University; North China Electric Power University</t>
  </si>
  <si>
    <t>Niu, KZ (corresponding author), Tianjin Univ, Coll Management &amp; Econ, 92 Weijin Rd, Tianjin 300072, Peoples R China.</t>
  </si>
  <si>
    <t>tju_shuangwei@163.com; niukunzai002@tju.edu.cn; qiangwang306@tju.edu.cn</t>
  </si>
  <si>
    <t>Ministry of Education Humanities and Social Sciences Research Youth Project; Hebei Natural Science Foundation [G2024502006]; Beijing Natural Science Foundation [4254105]; Science Research Project of Hebei Education Department [QN2025711]; Fundamental Research Funds for the Central Universities [2024MS159, 2023MS138]; [24YJC630227]</t>
  </si>
  <si>
    <t>Ministry of Education Humanities and Social Sciences Research Youth Project; Hebei Natural Science Foundation(Natural Science Foundation of Hebei Province); Beijing Natural Science Foundation(Beijing Natural Science Foundation); Science Research Project of Hebei Education Department; Fundamental Research Funds for the Central Universities(Fundamental Research Funds for the Central UniversitiesPrince of Songkla UniversityInstituto Politecnico Nacional - Mexico);</t>
  </si>
  <si>
    <t>This research was funded by the Ministry of Education Humanities and Social Sciences Research Youth Project, grant number 24YJC630227; the Hebei Natural Science Foundation, grant number G2024502006; the Beijing Natural Science Foundation, grant number 4254105; the Science Research Project of Hebei Education Department, grant number QN2025711; the Fundamental Research Funds for the Central Universities, grant number 2024MS159 and 2023MS138.</t>
  </si>
  <si>
    <t>10.3390/systems13070522</t>
  </si>
  <si>
    <t>5QM2Z</t>
  </si>
  <si>
    <t>WOS:001541911000001</t>
  </si>
  <si>
    <t>Johnen, C; Musshoff, O</t>
  </si>
  <si>
    <t>Johnen, Constantin; Musshoff, Oliver</t>
  </si>
  <si>
    <t>Digital credit and the gender gap in financial inclusion: Empirical evidence from Kenya</t>
  </si>
  <si>
    <t>digital financial services; formal credit; gender equality; regulation</t>
  </si>
  <si>
    <t>LOGISTIC-REGRESSION; MOBILE MONEY; WOMEN; DISCRIMINATION; CONSTRAINTS; MARKETS; MODEL</t>
  </si>
  <si>
    <t>Formal digital credit raises hopes to decrease the gender gap in financial inclusion. However, up until now, it remains unknown whether these hopes are justified. Using nationally representative household surveys from Kenya, the present study aims to fill this gap. We find strong indication that formal digital credit, contrasting to expectations, has led to an increase in the gender gap in financial inclusion. We further find indication that the pervasive gender gap in the formal digital credit market is largely attributable to gender differences in socio-economic variables in combination with a lack of contract term heterogeneity in that market. The paper suggests that policies to strengthen women's position in society and/or to encourage contract term heterogeneity in the formal digital credit market could decrease the gender gap in financial inclusion.</t>
  </si>
  <si>
    <t>[Johnen, Constantin; Musshoff, Oliver] Univ Goettingen, Dept Agr Econ &amp; Rural Dev, Gottingen, Germany</t>
  </si>
  <si>
    <t>constantin.johnen@uni-goettingen.de</t>
  </si>
  <si>
    <t>Projekt DEAL</t>
  </si>
  <si>
    <t>Projekt DEAL(Instituto Politecnico Nacional - Mexico)</t>
  </si>
  <si>
    <t>Open Access funding enabled and organized by Projekt DEAL.</t>
  </si>
  <si>
    <t>10.1002/jid.3687</t>
  </si>
  <si>
    <t>9O6MD</t>
  </si>
  <si>
    <t>WOS:000826254700001</t>
  </si>
  <si>
    <t>Bongomin, GOC; Yourougou, P; Yosa, F; Manzi, AA; Ntayi, JM</t>
  </si>
  <si>
    <t>Bongomin, George Okello Candiya; Yourougou, Pierre; Yosa, Francis; Manzi, Alain Amani; Ntayi, Joseph Mpeera</t>
  </si>
  <si>
    <t>Psychoanalysis of the mobile money ecosystem in the digital age: generational cohort and technology generation theoretical approach</t>
  </si>
  <si>
    <t>Poverty reduction; microfinance; methods; technology; Region; Sub-Saharan Africa; developmental policies</t>
  </si>
  <si>
    <t>FINANCIAL INCLUSION; SERVICES; PHONES; KENYA; SIZE</t>
  </si>
  <si>
    <t>The primary purpose of this study is to establish the moderating role of generational differences in the relationship between mobile money adoption and use and financial inclusion in developing countries. Three key findings emerged: first, there is a moderating role of generational differences on mobile money adoption and use; second, both mobile money adoption and use and generational differences have significant and positive effects on financial inclusion; third, the inclusion of generational differences, as a moderator, results in 6.7 per cent increase in financial inclusion in developing countries.</t>
  </si>
  <si>
    <t>[Bongomin, George Okello Candiya] Makerere Univ Business Sch MUBS, Fac Grad Studies &amp; Res, Kampala, Uganda; [Yourougou, Pierre] Inst Natl Polytech Toulouse, Finance Practice, Toulouse, France; [Yourougou, Pierre] Inst Natl Polytech Toulouse, Africa Business &amp; Entrepreneurship Res Soc, Toulouse, France; [Yourougou, Pierre] Inst Natl Polytech Toulouse, Toulouse, France; [Yosa, Francis] ICT Univ, Yaounde, Cameroon; [Yosa, Francis] Makerere Univ, Business Sch, Kampala, Uganda; [Manzi, Alain Amani] Kigali Independent Univ ULK, Fac Econ &amp; Business Studies, Dept Finance, Kigali, Rwanda; [Manzi, Alain Amani] Univ Rwanda, Kigali, Rwanda; [Ntayi, Joseph Mpeera] Makerere Univ Business Sch MUBS, Procurement &amp; Logist Management, Kampala, Uganda; [Ntayi, Joseph Mpeera] Makerere Univ Business Sch MUBS, Fac Econ Energy &amp; Management Sci, Kampala, Uganda</t>
  </si>
  <si>
    <t>Universite Federale Toulouse Midi-Pyrenees (ComUE); Universite de Toulouse; Institut National Polytechnique de Toulouse; Universite Federale Toulouse Midi-Pyrenees (ComUE); Universite de Toulouse; Institut National Polytechnique de Toulouse; Universite Federale Toulouse Midi-Pyrenees (ComUE); Universite de Toulouse; Institut National Polytechnique de Toulouse; Makerere University; Kigali Independent University; University of Rwanda</t>
  </si>
  <si>
    <t>Bongomin, GOC (corresponding author), Makerere Univ Business Sch MUBS, Fac Grad Studies &amp; Res, Kampala, Uganda.</t>
  </si>
  <si>
    <t>abaiko13@yahoo.co.uk</t>
  </si>
  <si>
    <t>10.1080/09614524.2021.1937539</t>
  </si>
  <si>
    <t>5T4TV</t>
  </si>
  <si>
    <t>WOS:000736376600001</t>
  </si>
  <si>
    <t>Sarfo, Y; Musshoff, O; Weber, R; Danne, M</t>
  </si>
  <si>
    <t>Sarfo, Yaw; Musshoff, Oliver; Weber, Ron; Danne, Michael</t>
  </si>
  <si>
    <t>Farmers' preference for digital credit: Does the delivery channel matter?</t>
  </si>
  <si>
    <t>Q OPEN</t>
  </si>
  <si>
    <t>Digital credit, Discrete choice experiment; Financial institution; Mobile network operator, Smallholder farmers</t>
  </si>
  <si>
    <t>DISCRETE-CHOICE EXPERIMENTS; WILLINGNESS-TO-PAY; FINANCIAL ACCESS; MICROFINANCE; DETERMINANTS; MICROCREDIT; MODELS; BANK</t>
  </si>
  <si>
    <t>Previous studies highlight the limited credit access for farmers compared to non-agricultural firms in sub-Saharan Africa. A new innovation that has the potential to serve the financing needs of farmers in sub-Saharan Africa is digital credit. However, empirical studies on farmers' preferences for digital credit are limited. Formal financial institutions and mobile network operators are two different delivery channels for digital credit with different loan characteristics. We apply a discrete choice experiment to investigate smallholder farmers' preferences for digital credit in Madagascar. Our results show that digital credit is more attractive for farmers if it offers a lower interest rate per month, longer loan duration, and flexible repayment conditions adapted to farmers' production needs. Our results highlight the potential of digital credit for rural farmers if mobile network operators could provide digital credit with longer loan maturities, and formal financial institutions could offer digital credit with more flexible repayment conditions.</t>
  </si>
  <si>
    <t>[Sarfo, Yaw; Musshoff, Oliver; Weber, Ron] Georg August Univ Gottingen, Dept Agr Econ &amp; Rural Dev, Pl Der Gottinger Sieben 5, D-37073 Gottingen, Germany; [Weber, Ron] KfW Bankengruppe, Financial &amp; Energy Sect Dev, West Africa &amp; Madagascar, Palmengartenstr 5-9, D-60325 Frankfurt, Germany; [Danne, Michael] Thunen Inst Farm Econ, Bundesallee 63, D-38116 Braunschweig, Germany</t>
  </si>
  <si>
    <t>University of Gottingen; Johann Heinrich von Thunen Institute</t>
  </si>
  <si>
    <t>Sarfo, Y (corresponding author), Georg August Univ Gottingen, Dept Agr Econ &amp; Rural Dev, Pl Der Gottinger Sieben 5, D-37073 Gottingen, Germany.</t>
  </si>
  <si>
    <t>yaw.sarfo@uni-goettingen.de</t>
  </si>
  <si>
    <t>Mußhoff, Oliver/AAZ-1868-2021; Sarfo, Yaw/JJF-5641-2023</t>
  </si>
  <si>
    <t>This work was financially supported with a research grant from the German Federal Ministry for Economic Cooperation and Development under the special initiative 'One World-No Hunger'. We also acknowledge financial support from Deutsche Forschungsgemeinschaft.</t>
  </si>
  <si>
    <t>2633-9048</t>
  </si>
  <si>
    <t>Q Open</t>
  </si>
  <si>
    <t>qoad007</t>
  </si>
  <si>
    <t>10.1093/qopen/qoad007</t>
  </si>
  <si>
    <t>Agricultural Economics &amp; Policy; Economics</t>
  </si>
  <si>
    <t>Agriculture; Business &amp; Economics</t>
  </si>
  <si>
    <t>R4260</t>
  </si>
  <si>
    <t>WOS:001635580200001</t>
  </si>
  <si>
    <t>He, ZM; Chen, HC; Hu, JW; Zhang, YT</t>
  </si>
  <si>
    <t>He, Zhimin; Chen, Huaichao; Hu, Jingwei; Zhang, Yueting</t>
  </si>
  <si>
    <t>The impact of digital inclusive finance on provincial green development efficiency: empirical evidence from China</t>
  </si>
  <si>
    <t>Digital inclusive finance; Green development efficiency; Industrial structure upgrade; Environmental regulation</t>
  </si>
  <si>
    <t>ENVIRONMENTAL-REGULATION; STRUCTURAL TRANSFORMATION; ECONOMY; URBANIZATION; INNOVATION; ENERGY; ACCESS; BANKS</t>
  </si>
  <si>
    <t>Green development is inseparable from financial support. The impact of digital inclusive finance (DIF), an emerging financial format, on the green development efficiency (GDE) needs to be studied. Using the panel data of the Provincial Digital Financial Inclusion Index from 2011 to 2019, this paper examines the impact of DIF and its coverage breadth (CB), usage depth (UD), and digitalization level (DL) on GDE, and analyzes the regional heterogeneity of the impact of DIF on GDE. The research also explores the mechanism by which DIF affects the efficiency of provincial green development, including the moderating role of environmental regulation (ER) and the mediating role of industrial structure upgrade (ISU). The results show that DIF, UD, and DL can significantly improve provincial GDE, and the effect of coverage breadth is not obvious. From a regional perspective, DIF can promote GDE in the eastern and central regions, whereas it has no obvious effect on the western region. Moreover, ER has played a moderation role in the process of DIF affecting GDE. ISU has played a partial mediation role in the process of DIF affecting GDE. The research conclusions can provide relevant suggestions for the green development of China's provinces.</t>
  </si>
  <si>
    <t>[He, Zhimin; Chen, Huaichao; Hu, Jingwei; Zhang, Yueting] Taiyuan Univ Technol, Coll Econ &amp; Management, Taiyuan 030024, Peoples R China</t>
  </si>
  <si>
    <t>Taiyuan University of Technology</t>
  </si>
  <si>
    <t>Chen, HC (corresponding author), Taiyuan Univ Technol, Coll Econ &amp; Management, Taiyuan 030024, Peoples R China.</t>
  </si>
  <si>
    <t>chenhch04@126.com</t>
  </si>
  <si>
    <t>He, Zhimin/KYQ-2126-2024</t>
  </si>
  <si>
    <t>General Program of the National Social Science Fund of China A Study on the Impact of Institutional Gap on the Social Responsibility of Chinese Overseas Investment Enterprise [18BGL026]</t>
  </si>
  <si>
    <t>General Program of the National Social Science Fund of China A Study on the Impact of Institutional Gap on the Social Responsibility of Chinese Overseas Investment Enterprise</t>
  </si>
  <si>
    <t>This work was supported by the General Program of the National Social Science Fund of China A Study on the Impact of Institutional Gap on the Social Responsibility of Chinese Overseas Investment Enterprise (Grant No. 18BGL026).</t>
  </si>
  <si>
    <t>10.1007/s11356-022-22071-3</t>
  </si>
  <si>
    <t>7P0KU</t>
  </si>
  <si>
    <t>WOS:000829994900001</t>
  </si>
  <si>
    <t>Adbi, A; Lee, M; Singh, J</t>
  </si>
  <si>
    <t>Adbi, Arzi; Lee, Matthew; Singh, Jasjit</t>
  </si>
  <si>
    <t>Community influence on microfinance loan defaults under crisis conditions: Evidence from Indian demonetization</t>
  </si>
  <si>
    <t>STRATEGIC MANAGEMENT JOURNAL</t>
  </si>
  <si>
    <t>communities; demonetization; group lending; loan defaults; microfinance</t>
  </si>
  <si>
    <t>COMMERCIAL MICROFINANCE; JOINT-LIABILITY; INSTITUTIONAL LOGICS; SOCIAL-INTERACTION; CREDIT; MICROCREDIT; NETWORK; IDENTIFICATION; INFORMATION; CONTAGION</t>
  </si>
  <si>
    <t>Research Summary: The microfinance group lending approach has achieved widespread success in promoting high rates of repayment, and thus the viability of financial access, in very low-income environments. Yet group lending, which relies on social connections between borrowers to reinforce repayment, may be vulnerable under crisis conditions in which defaults are commonplace. We explore this possibility in the context of the liquidity crisis that followed India's 2016 demonetization policy. Using proprietary data on the repayment behavior of about two million microfinance borrowers, we find evidence of disproportionate localization of defaults within lending communities. Further analysis reveals evidence consistent with borrower-to-borrower spread of defaults not only through formal joint-liability connections but also through informal community-level connections, the latter effect being especially pronounced for borrowers from the same religion.Managerial Summary: Microfinance lenders have successfully employed a group lending approach that holds borrowers within a small group responsible for each other's loans, thus creating strong social pressures for repayment. The findings of this study underscore potential vulnerabilities in the group lending model during economic crises. We analyze the loan repayment behavior of two million microfinance borrowers during a liquidity crisis precipitated by India's 2016 demonetization policy, finding that the resulting defaults were clustered within particular lending communities. Further analysis suggests that social processes within communities played a role in spreading defaults, not only through formal ties between borrowers who were responsible for each other's repayments, but also through informal social ties. The estimated effect of informal social ties was particularly strong for borrowers who shared the same religion.</t>
  </si>
  <si>
    <t>[Adbi, Arzi] Natl Univ Singapore, Business Sch, Dept Strategy &amp; Policy, Singapore, Singapore; [Lee, Matthew] Harvard Kennedy Sch Govt, Dept Publ Policy, Cambridge, MA 02138 USA; [Singh, Jasjit] INSEAD, Dept Strategy, Singapore, Singapore</t>
  </si>
  <si>
    <t>National University of Singapore; Harvard University; INSEAD Business School</t>
  </si>
  <si>
    <t>Lee, M (corresponding author), Harvard Kennedy Sch Govt, Dept Publ Policy, Cambridge, MA 02138 USA.</t>
  </si>
  <si>
    <t>matthew_lee@hks.harvard.edu</t>
  </si>
  <si>
    <t>Singh, Jasjit/B-3664-2010; Adbi, Arzi/U-8529-2019</t>
  </si>
  <si>
    <t>Singh, Jasjit/0000-0002-7395-5989; Adbi, Arzi/0000-0003-2099-2484</t>
  </si>
  <si>
    <t>We thank associate editor Jiao Luo and anonymous reviewers for their constructive feedback and suggestions. We also thank Sumit Agarwal, Matthew Bidwell, Vivek Choudhary, Andrew Delios, Martin Gargiulo, Dean Karlan, Leena Kinger Hans, Joe Porac, Phanish Pu; AIB; New York University [A-0003843-00-00]; INSEAD Ramp;D Committee, INSEAD Emerging Markets Institute</t>
  </si>
  <si>
    <t>We thank associate editor Jiao Luo and anonymous reviewers for their constructive feedback and suggestions. We also thank Sumit Agarwal, Matthew Bidwell, Vivek Choudhary, Andrew Delios, Martin Gargiulo, Dean Karlan, Leena Kinger Hans, Joe Porac, Phanish Pu; AIB; New York University(New York University); INSEAD Ramp;D Committee, INSEAD Emerging Markets Institute</t>
  </si>
  <si>
    <t>We thank associate editor Jiao Luo and anonymous reviewers for their constructive feedback and suggestions. We also thank Sumit Agarwal, Matthew Bidwell, Vivek Choudhary, Andrew Delios, Martin Gargiulo, Dean Karlan, Leena Kinger Hans, Joe Porac, Phanish Puranam, Prothit Sen, Haram Seo, Devanshee Shukla, Tanya Tian, Mike Toffel, Bala Vissa, Tyler Wry, and Eric Zhao for their helpful advice on earlier versions of this paper. This research also benefitted from the helpful suggestions of participants in the Singapore First Cut Seminar, AOM, SMS, ARCS, AIB, and Junior Faculty Organization Theory conferences, and research seminars at Baruch College, Copenhagen Business School, Cornell University, ESSEC, George Washington University, Harvard Kennedy School, INSEAD, Rotterdam School of Management, and New York University. We are indebted to the anonymous microfinance organization in India for sharing its proprietary, client-level data with us for academic research, for facilitating our meetings with their management at the headquarters and their front-line staff and clients at their rural centers, and for allowing video recordings of the center collection meetings and loan disbursement processes at various branches across different states in India. We also thank the microfinance industry associations Sa-Dhan and MFIN for participating in background interviews. Finally, we are grateful to the INSEAD R&amp;D Committee, INSEAD Emerging Markets Institute, and NUS Startup Research Grant (A-0003843-00-00) for financial support. Any errors remain our own.</t>
  </si>
  <si>
    <t>0143-2095</t>
  </si>
  <si>
    <t>1097-0266</t>
  </si>
  <si>
    <t>STRATEGIC MANAGE J</t>
  </si>
  <si>
    <t>Strateg. Manage. J.</t>
  </si>
  <si>
    <t>10.1002/smj.3558</t>
  </si>
  <si>
    <t>HV7E2</t>
  </si>
  <si>
    <t>WOS:001090785300001</t>
  </si>
  <si>
    <t>Moreno-García, E; Hernández-Mejía, S; Núñez, HFS</t>
  </si>
  <si>
    <t>Moreno-Garcia, Elena; Hernandez-Mejia, Sergio; Nunez, Hector Francisco Salazar</t>
  </si>
  <si>
    <t>Financial Literacy and Financial Fragility in Mexico</t>
  </si>
  <si>
    <t>Financial fragility; financial literacy; saving; education; financial inclusion; Mexico</t>
  </si>
  <si>
    <t>EDUCATION</t>
  </si>
  <si>
    <t>The objective of this research is to analyze the relationship between Mexicans' financial fragility and the following variables: financial literacy, savings, assets owning, financial shocks, financial education, and financial inclusion. Likewise, socioeconomic and demographic characteristics associated with financial fragility are identified. The dichotomous Probit model is used for the analysis, estimated with data from the 2021 National Survey of Financial Inclusion. The results show that financial literacy, savings (formal and informal), financial education and possession of assets are negatively related to the probability of being financially fragile. High income and holding formal and informal savings are the most robust predictors of financial fragility, with a marginal effect of-9.40%,-5.34% and-5.27%, respectively. The probability of being considered financially fragile is related to low income and a low educational level, plus having overspent in the last year. The findings can be useful for financial education strategies design, to provide the population financial training in resources administration and protection against income decrease.</t>
  </si>
  <si>
    <t>[Moreno-Garcia, Elena; Hernandez-Mejia, Sergio] Univ Cristobal Colon, Veracruz, Mexico; [Nunez, Hector Francisco Salazar] Inst Tecnol Super Misantla, Misantla, Mexico</t>
  </si>
  <si>
    <t>Moreno-García, E (corresponding author), Carretera Boticaria,Km 1-5 S N,Col Mil, Veracruz 91930, Ver, Mexico.</t>
  </si>
  <si>
    <t>elenam@ucc.mx</t>
  </si>
  <si>
    <t>Hernández, Sergio/GRF-1508-2022; Moreno-García, Elena/M-3954-2017</t>
  </si>
  <si>
    <t>e958</t>
  </si>
  <si>
    <t>10.21919/remef.v19i1.958</t>
  </si>
  <si>
    <t>WOS:001637628300009</t>
  </si>
  <si>
    <t>Abdallah-Ou-Moussa, S; Wynn, M; Kharbouch, O</t>
  </si>
  <si>
    <t>Abdallah-Ou-Moussa, Soukaina; Wynn, Martin; Kharbouch, Omar</t>
  </si>
  <si>
    <t>Blockchain, Cryptocurrencies, and Decentralized Finance: A Case Study of Financial Inclusion in Morocco</t>
  </si>
  <si>
    <t>blockchain; cryptocurrencies; decentralized finance; financial inclusion; Morocco; financial regulation; financial literacy; digital infrastructure</t>
  </si>
  <si>
    <t>USER ACCEPTANCE; INFORMATION-TECHNOLOGY; UNIFIED THEORY; ADOPTION; INNOVATION; SUCCESS; BITCOIN</t>
  </si>
  <si>
    <t>Blockchain technology is being increasingly deployed to store and process transactions and information in the global financial sector. Blockchain underpins cryptocurrencies such as Bitcoin and facilitates decentralized finance (DeFi), representing a paradigm shift in the global financial landscape, offering alternative solutions to traditional banking, and fostering financial inclusion. In developing economies such as Morocco, where a significant portion of the population remains unbanked, these digital financial innovations present both opportunities and challenges. This study examines the potential role of cryptocurrencies and DeFi in enhancing financial inclusion in Morocco, where cryptocurrencies have been banned since 2017. However, the public continues to use cryptocurrencies, circumventing restrictions, and the Moroccan Central Bank is now preparing to introduce new regulations to legalize their use within the country. In this context, this article analyses the potential of cryptocurrencies to mitigate barriers such as high transaction costs, restricted access to financial services in rural areas, and limited financial literacy in the country. The study pursues a mixed-methods approach, which combines a quantitative survey with qualitative expert interviews and adapts the Unified Theory of Acceptance and Use of Technology (UTAUT) model to the Moroccan context. The findings reveal that while cryptocurrencies offer cost-efficient financial transactions and improved accessibility, their adoption may be constrained by regulatory uncertainty, security risks, and technological limitations. The novelty of the article thus lies in its focus on the key mechanisms that influence the adoption of cryptocurrencies and their potential impact in a specific national context. In so doing, the study highlights the need for a structured regulatory framework, investment in digital infrastructure, and targeted financial literacy initiatives to optimize the potential role of cryptocurrencies in progressing financial inclusion in Morocco. This underscores the need for integrated models and guidelines for policymakers, financial institutions, and technology providers to ensure the responsible introduction of cryptocurrencies in developing world environments.</t>
  </si>
  <si>
    <t>[Abdallah-Ou-Moussa, Soukaina; Kharbouch, Omar] Ibn Tofail Univ, Fac Econ &amp; Management, BP 242, Kenitra, Morocco; [Wynn, Martin] Univ Gloucestershire, Sch Business Comp &amp; Social Sci, Cheltenham GL50 2RH, England</t>
  </si>
  <si>
    <t>Ibn Tofail University of Kenitra; University of Gloucestershire</t>
  </si>
  <si>
    <t>Abdallah-Ou-Moussa, S (corresponding author), Ibn Tofail Univ, Fac Econ &amp; Management, BP 242, Kenitra, Morocco.</t>
  </si>
  <si>
    <t>soukaina.abdallahoumoussa@uit.ac.ma; mwynn@glos.ac.uk; omar.kharbouch1@uit.ac.ma</t>
  </si>
  <si>
    <t>Wynn, Martin/ACU-8255-2022</t>
  </si>
  <si>
    <t>10.3390/ijfs13030124</t>
  </si>
  <si>
    <t>7UR3Q</t>
  </si>
  <si>
    <t>WOS:001580087200001</t>
  </si>
  <si>
    <t>Lubis, AW</t>
  </si>
  <si>
    <t>Lubis, Arief Wibisono</t>
  </si>
  <si>
    <t>Conceptualizing financial capability: evidence from Indonesia</t>
  </si>
  <si>
    <t>INTERNATIONAL JOURNAL OF ETHICS AND SYSTEMS</t>
  </si>
  <si>
    <t>Financial capability; Capability approach; Microfinance; Financial literacy; Indonesia</t>
  </si>
  <si>
    <t>Purpose - This paper aims to investigate how microfinance institutions' clients in Indonesia conceptualize financial capability. Previous investigations on the concept were mostly in the lenses of those in the developed economies. Design/methodology/approach - A qualitative method was used, in which focus group discussions (FGDs) and interviews were conducted with microfinance institutions' clients and management in four provinces in Indonesia: DKI Jakarta, DI Yogyakarta, West Nusa Tenggara and South Sulawesi. Findings - The results exhibit some similarities with those of previous studies that highlight the importance of financial management and financial planning for strategic purposes. However, financial literacies perceived as less important due to the lack of awareness of the concept and its benefits. Research limitations/implications - This research is only focused on certain groups of the population which implies its limited generalizability. One important implication is for policymakers and scholars to re-examine the value of financial literacy within the context of Indonesia. Although the interviews reveal skepticisms on the instrumental value of financial literacy, robust investigations are further needed. Originality/value - This study is the first that uses the participatory method to define financial capability as understood by microfinance institutions' clients in Indonesia.</t>
  </si>
  <si>
    <t>[Lubis, Arief Wibisono] Univ Indonesia, Fac Econ &amp; Business, Dept Management, Depok, Indonesia; [Lubis, Arief Wibisono] Univ Cambridge, Ctr Dev Studies, Cambridge, England</t>
  </si>
  <si>
    <t>University of Indonesia; University of Cambridge</t>
  </si>
  <si>
    <t>Lubis, AW (corresponding author), Univ Indonesia, Fac Econ &amp; Business, Dept Management, Depok, Indonesia.;Lubis, AW (corresponding author), Univ Cambridge, Ctr Dev Studies, Cambridge, England.</t>
  </si>
  <si>
    <t>ariefwl@ui.ac.id</t>
  </si>
  <si>
    <t>Lubis, Arief/0000-0002-0689-2092</t>
  </si>
  <si>
    <t>Indonesia Endowment Fund for Education (Lembaga Pengelola Dana Pendidikan Republik Indonesia); Wolfson College University of Cambridge; Centre of Development Studies University of Cambridge</t>
  </si>
  <si>
    <t>This research is supported by the generous funding from Indonesia Endowment Fund for Education (Lembaga Pengelola Dana Pendidikan Republik Indonesia), Wolfson College University of Cambridge, and Centre of Development Studies University of Cambridge. All errors remain the author's.</t>
  </si>
  <si>
    <t>2514-9369</t>
  </si>
  <si>
    <t>2514-9377</t>
  </si>
  <si>
    <t>INT J ETHICS SYST</t>
  </si>
  <si>
    <t>Int. J. Ethics Syst.</t>
  </si>
  <si>
    <t>10.1108/IJOES-06-2020-0095</t>
  </si>
  <si>
    <t>RI2NN</t>
  </si>
  <si>
    <t>WOS:000616540000001</t>
  </si>
  <si>
    <t>Amari, M; Anis, J</t>
  </si>
  <si>
    <t>Amari, Mouna; Anis, Jarboui</t>
  </si>
  <si>
    <t>Exploring the impact of socio-demographic characteristics on financial inclusion: empirical evidence from Tunisia</t>
  </si>
  <si>
    <t>Financial inclusion; Informal inclusion; Individuals; Social inclusion; Tunisia</t>
  </si>
  <si>
    <t>Purpose This paper aim to fill the gaps by looking for the determinants and barriers related to financial inclusion. This study assesses the effect of socio-demographic variables on the use of formal financial inclusion services. Design/methodology/approach This article examines the barriers to formal financial inclusion, focusing on saving and credit strands. The authors propose the probit model, allowing distinguishing the outcome variable into three categories: Formal inclusion, informal inclusion and financial exclusion. The authors apply this model to the Findex 2017 survey data. Findings Estimation results propose that the trust to financial institutions, the distance to banks, the lack of documentation and the service costs are the main barriers, but these barriers affect the probability of using formal financial services differently according to the types of financial services (saving or credit). Research limitations/implications To advance the formal financial inclusion in Tunisia, the authors call for continuing promoting financial literacy among adults and the young population, which helps them understand the benefits of using formal financial services. Financial literacy throws in constructing the individual trust toward the financial sector in a country that experienced several decades of political and economic instability. Originality/value Financial inclusion promotes growth through a broadening of the system and technology that can be a major catalyst for greater financial inclusion. It helps in the overall economic development of the underprivileged population and contributes to poverty reduction. It can also enhance the security of payments, and thus lower the incidence of associated crime.</t>
  </si>
  <si>
    <t>[Amari, Mouna] Univ Gabes, Higher Inst Management, Finance, Gabes, Tunisia; [Anis, Jarboui] Univ Sfax, Higher Inst Business Adm, Finance, Sfax, Tunisia</t>
  </si>
  <si>
    <t>Amari, M (corresponding author), Univ Gabes, Higher Inst Management, Finance, Gabes, Tunisia.</t>
  </si>
  <si>
    <t>amarimouna86@gmail.com; anisjarboui@yahoo.fr</t>
  </si>
  <si>
    <t>JARBOUI, Anis/AAX-3227-2021; Mouna, Amari/AAQ-5408-2020</t>
  </si>
  <si>
    <t>JARBOUI, Anis/0000-0002-4811-6729;</t>
  </si>
  <si>
    <t>10.1108/IJSE-08-2020-0527</t>
  </si>
  <si>
    <t>UB1GZ</t>
  </si>
  <si>
    <t>WOS:000675903300001</t>
  </si>
  <si>
    <t>Fan, L; Zhang, LN</t>
  </si>
  <si>
    <t>Fan, Lu; Zhang, Lini</t>
  </si>
  <si>
    <t>The Influence of Financial Education Sources on Emergency Savings: The Role of Financial Literacy</t>
  </si>
  <si>
    <t>FAMILY &amp; CONSUMER SCIENCES RESEARCH JOURNAL</t>
  </si>
  <si>
    <t>financial education sources; emergency savings; financial literacy; mediating effect</t>
  </si>
  <si>
    <t>SHORT-TERM; BEHAVIOR; SOCIALIZATION; HOUSEHOLDS; CAPABILITY; PARENTS; ADULTS</t>
  </si>
  <si>
    <t>Using data from the 2018 National Financial Capability Study, this research explored the relationship between financial education sources and emergency savings of U.S. adults, and examined the mediating role of financial literacy. The results showed that receiving financial education from both school and workplace had positive associations with having emergency funds. Financial literacy was found to be positively associated with having emergency funds and financial literacy mediated the relationship between financial education and having emergency savings. The findings reinforced the significance of different financial education sources in increasing the likelihood of saving for emergencies. Implications for policymakers, financial educators and counselors, and employers are included.</t>
  </si>
  <si>
    <t>[Fan, Lu] Univ Missouri, Dept Personal Financial Planning, Columbia, MO 65211 USA; [Zhang, Lini] Shanghai Inst Technol, Sch Econ &amp; Management, 100 Haiquan Rd, Shanghai 201418, Peoples R China</t>
  </si>
  <si>
    <t>University of Missouri System; University of Missouri Columbia; Shanghai Institute of Technology</t>
  </si>
  <si>
    <t>Zhang, LN (corresponding author), Shanghai Inst Technol, Sch Econ &amp; Management, 100 Haiquan Rd, Shanghai 201418, Peoples R China.</t>
  </si>
  <si>
    <t>zhang.lini@hotmail.com</t>
  </si>
  <si>
    <t>Fan, Lu/ABH-4790-2020; Zhang, Lini/ABG-2168-2021</t>
  </si>
  <si>
    <t>1077-727X</t>
  </si>
  <si>
    <t>1552-3934</t>
  </si>
  <si>
    <t>FAM CONSUM SCI RES J</t>
  </si>
  <si>
    <t>Fam. Consum. Sci. Res. J.</t>
  </si>
  <si>
    <t>10.1111/fcsr.12400</t>
  </si>
  <si>
    <t>Family Studies</t>
  </si>
  <si>
    <t>TG7OS</t>
  </si>
  <si>
    <t>WOS:000648944100001</t>
  </si>
  <si>
    <t>Goyal, K; Kumar, S</t>
  </si>
  <si>
    <t>Goyal, Kirti; Kumar, Satish</t>
  </si>
  <si>
    <t>Financial literacy: A systematic review and bibliometric analysis</t>
  </si>
  <si>
    <t>bibliometric analysis; consumer economics; financial education; financial knowledge; financial literacy; systematic literature review</t>
  </si>
  <si>
    <t>DEBT LITERACY; EDUCATION; KNOWLEDGE; CAPABILITY; DECISIONS; SOCIALIZATION; CONSEQUENCES; MANAGEMENT; CONSUMERS; STUDENTS</t>
  </si>
  <si>
    <t>Given the paucity of comprehensive summaries in the extant literature, this systematic review, coupled with bibliometric analysis, endeavours to take a meticulous approach intended at presenting quantitative and qualitative knowledge on the ever-emerging subject of financial literacy. The study comprises a review of 502 articles - published in peer-reviewed journals from 2000 to 2019. Citation network, page-rank analysis, co-citation analysis, content analysis and publication trends have been employed to identify influential work, delineate the intellectual structure of the field and identify gaps. The most prominent journals, authors, countries, articles and themes have been identified using bibliometric analysis, followed by a comprehensive analysis of the content of 107 papers in the identified clusters. The three major themes enumerated are-levels of financial literacy amongst distinct cohorts, the influence that financial literacy exerts on financial planning and behaviour, and the impact of financial education. Additionally, content analysis of 175 papers has been conducted for the last four years' articles that were not covered in the co-citation analysis. Emerging themes identified include financial capability, financial inclusion, gender gap, tax &amp; insurance literacy, and digital financial education. A conceptual framework has been modelled portraying the complete picture, following which potential areas of research have been suggested. This study will help policy-makers, regulators and academic researchers know the nuts and bolts of financial literacy, and identify the relevant areas that need investigation.</t>
  </si>
  <si>
    <t>[Goyal, Kirti; Kumar, Satish] Malaviya Natl Inst Technol Jaipur, Dept Management Studies, Jaipur 302017, Rajasthan, India</t>
  </si>
  <si>
    <t>National Institute of Technology (NIT System); Malaviya National Institute of Technology Jaipur</t>
  </si>
  <si>
    <t>Kumar, S (corresponding author), Malaviya Natl Inst Technol Jaipur, Dept Management Studies, Jaipur 302017, Rajasthan, India.</t>
  </si>
  <si>
    <t>skumar.dms@mnit.ac.in</t>
  </si>
  <si>
    <t>Kumar, Satish/M-8694-2017; GOYAL, KIRTI/ABE-7340-2021</t>
  </si>
  <si>
    <t>Kumar, Satish/0000-0001-5200-1476; GOYAL, KIRTI/0000-0002-8270-3134</t>
  </si>
  <si>
    <t>10.1111/ijcs.12605</t>
  </si>
  <si>
    <t>PP7CY</t>
  </si>
  <si>
    <t>WOS:000555323400001</t>
  </si>
  <si>
    <t>WOS:000345732200019</t>
  </si>
  <si>
    <t>AU6SN</t>
  </si>
  <si>
    <t>10.1353/hpu.2014.0169</t>
  </si>
  <si>
    <t>J. Health Care Poor Underserved</t>
  </si>
  <si>
    <t>J HEALTH CARE POOR U</t>
  </si>
  <si>
    <t>1548-6869</t>
  </si>
  <si>
    <t>1049-2089</t>
  </si>
  <si>
    <t>JOURNALS PUBLISHING DIVISION, 2715 NORTH CHARLES ST, BALTIMORE, MD 21218-4363 USA</t>
  </si>
  <si>
    <t>BALTIMORE</t>
  </si>
  <si>
    <t>JOHNS HOPKINS UNIV PRESS</t>
  </si>
  <si>
    <t>rbpatel@gmail.com</t>
  </si>
  <si>
    <t>Patel, RB (corresponding author), BWH, Dept Emergency Med, 75 Francis St,Neville House,Rm 226, Boston, MA 02118 USA.</t>
  </si>
  <si>
    <t>Harvard University; Harvard University; Harvard University Medical Affiliates; Brigham &amp; Women's Hospital; Harvard University</t>
  </si>
  <si>
    <t>[Patel, Ronak B.] Harvard Humanitarian Initiat, Cambridge, MA USA; [Patel, Ronak B.] BWH, Dept Emergency Med, Boston, MA 02118 USA; [Patel, Ronak B.] Harvard Univ, Sch Med, Cambridge, MA 02138 USA</t>
  </si>
  <si>
    <t>Microfinance has recently come under criticism for not meeting its potential for poverty reduction and its exploitation by for-profit entities. Access to finance still remains limited for many of the world's poor. This re-examination of microfinance should not impede its proliferation and development into a tool to improve health for the underserved. There are significant returns on microfinance investments in health at the household level. Microfinance that allows the consumption of goods and services that can improve health can also lead to increased savings and productivity making it a financially viable and powerful tool for both health improvement and development.</t>
  </si>
  <si>
    <t>Microfinance; urbanization; health economics; global health</t>
  </si>
  <si>
    <t>JOURNAL OF HEALTH CARE FOR THE POOR AND UNDERSERVED</t>
  </si>
  <si>
    <t>Microfinance: Untapped Potential for Global Health</t>
  </si>
  <si>
    <t>Patel, Ronak B.</t>
  </si>
  <si>
    <t>Patel, RB</t>
  </si>
  <si>
    <t>WOS:001215702100002</t>
  </si>
  <si>
    <t>PR0V8</t>
  </si>
  <si>
    <t>10.1504/IJESB.2023.134687</t>
  </si>
  <si>
    <t>Int. J. Entrep. Small Bus.</t>
  </si>
  <si>
    <t>INT J ENTREP SMALL B</t>
  </si>
  <si>
    <t>1741-8054</t>
  </si>
  <si>
    <t>1476-1297</t>
  </si>
  <si>
    <t>Kromidha, Enit/0000-0001-7872-6790</t>
  </si>
  <si>
    <t>Ilavarasan, P./AAP-8647-2020; Kromidha, Enit/AAJ-3567-2020</t>
  </si>
  <si>
    <t>e.kromidha@bham.ac.uk; nyadav@imt.edu; vignes@iitd.ac.in</t>
  </si>
  <si>
    <t>Kromidha, E (corresponding author), Univ Birmingham, Birmingham B15 2TT, England.</t>
  </si>
  <si>
    <t>University of Birmingham; Institute of Management Technology, Ghaziabad; Indian Institute of Technology System (IIT System); Indian Institute of Technology (IIT) - Delhi</t>
  </si>
  <si>
    <t>[Kromidha, Endrit] Univ Birmingham, Birmingham B15 2TT, England; [Yadav, Nidhi] Inst Management Technol, Ghaziabad 201001, India; [Ilavarasan, P. Vigneswara] Indian Inst Technol Delhi, IIT Campus, New Delhi 110016, India</t>
  </si>
  <si>
    <t>This paper advances the knowledge on digital microfinance crowdfunding for women entrepreneurship and development by comparing environment and project factors in India. The empirical evidence is based on projects enacted by 626 poor and digitally disconnected women borrowers listed in Rang De, India's first digital social enterprise platform for crowdfunding and microfinance. The findings show that, even when the borrowers are digitally and socially disconnected from their funders, success is more a result of environmental factors than of project-specific characteristics. This differs from what is suggested by developed country crowdfunding research in regard to the importance of proximity and direct links between borrowers and investors. The importance and gender-specific role played by intermediaries in relation to digitally disconnected borrowers is also acknowledged, driving more attention to gender equality and to the digital divide for access to finance.</t>
  </si>
  <si>
    <t>GLOBAL ENTREPRENEURSHIP; INVESTMENT; NETWORKS; SUCCESS; FINANCE; GENDER</t>
  </si>
  <si>
    <t>microfinance; women entrepreneurs; developing countries; access to finance; entrepreneurship networking; digital inclusion; India</t>
  </si>
  <si>
    <t>INTERNATIONAL JOURNAL OF ENTREPRENEURSHIP &amp; SMALL BUSINESS</t>
  </si>
  <si>
    <t>Digital microfinance crowdfunding for disconnected women entrepreneurs in India</t>
  </si>
  <si>
    <t>Kromidha, Endrit; Yadav, Nidhi; Ilavarasan, P. Vigneswara</t>
  </si>
  <si>
    <t>Kromidha, E; Yadav, N; Ilavarasan, PV</t>
  </si>
  <si>
    <t>WOS:000871631900001</t>
  </si>
  <si>
    <t>5N2PX</t>
  </si>
  <si>
    <t>10.1080/23322039.2022.2136237</t>
  </si>
  <si>
    <t>goksuaslan@goksuaslan.com</t>
  </si>
  <si>
    <t>Aslan, G (corresponding author), New York Univ Abu Dhabi, Saadiyat Campus,Social Sci A5 1162B,POB 129188, Abu Dhabi, U Arab Emirates.</t>
  </si>
  <si>
    <t>New York University; New York University Abu Dhabi</t>
  </si>
  <si>
    <t>[Aslan, Goksu] New York Univ Abu Dhabi, Social Sci Div, Abu Dhabi, U Arab Emirates</t>
  </si>
  <si>
    <t>The youthful population of South Asia, holding the majority in the subregion, will also have a great share in the future alongside the risk of being not in education, employment, or training with a persisting gender gap. This makes it important to adopt a gender-responsive policy framework for youth empowerment. This paper, after constructing a multidimensional financial inclusion index, based on a multilevel estimation framework considering the hierarchical structure of the dataset, shows evidence on how to increase financial inclusion among the South Asian youth. It furthermore provides policy recommendations considering the gendered effects. The paper finds that education level, formal employment, having a national ID, and government expenditure on education and health are important drivers of financial inclusion. The paper furthermore finds that education level becomes especially more important for those at the bottom income quintile and that government expenditure into education and health would boost the youth financial inclusion in South Asia, especially for the female youth.</t>
  </si>
  <si>
    <t>financial inclusion; sustainable development goals (SDGs); youth</t>
  </si>
  <si>
    <t>Enhancing youth and women's financial inclusion in South Asia</t>
  </si>
  <si>
    <t>Aslan, Goksu</t>
  </si>
  <si>
    <t>Aslan, G</t>
  </si>
  <si>
    <t>WOS:000899554100003</t>
  </si>
  <si>
    <t>7C1AW</t>
  </si>
  <si>
    <t>10.1016/j.techfore.2022.122194</t>
  </si>
  <si>
    <t>DJAHINI-AFAWOUBO, Dossè Mawussi/0000-0003-0386-0033; Kokou Fambari, ATCHI/0000-0002-8705-8410</t>
  </si>
  <si>
    <t>DJAHINI-AFAWOUBO, Dossè Mawussi/D-4108-2018</t>
  </si>
  <si>
    <t>ddjahini-afawoubo@univ-lome.tg; mcouchoro@univ-lome.tg</t>
  </si>
  <si>
    <t>Djahini-Afawoubo, DM (corresponding author), Univ Lome, Dept Econ, POB 1515, Lome, Togo.</t>
  </si>
  <si>
    <t>University of Lome</t>
  </si>
  <si>
    <t>[Djahini-Afawoubo, Dosse Mawussi; Couchoro, Mawuli Kodjovi] Univ Lome, Dept Econ, POB 1515, Lome, Togo; [Atchi, Fambari Kokou] Univ Kara, Res Lab Econ &amp; Management LaRSEG, POB 43, Kara, Togo</t>
  </si>
  <si>
    <t>This paper aims to analyse the effect of mobile money on multidimensional poverty reduction. To that end, the Alkire and Foster (2011) approach was used to compute the multidimensional poverty index. Then, an instrumental variable strategy was adopted to control for endogeneity bias due to a two-way relationship between poverty and mobile money. The paper also applied propensity score matching methods to check for robustness. The data studied originate from the FinScope (2016) database. With regard to the multidimensional poverty index, the results showed that ICT contributes most to multidimensional poverty, with rural residents exhibiting higher multidimensional poverty rates than urban ones. As for the effect of mobile money, the results robustly demonstrated that mobile money has a positive and statistically significant effect on multidimensional poverty reduction. This effect of mobile money on poverty reduction seems to be greater among rural residents, women and those who are illiterate.</t>
  </si>
  <si>
    <t>INSTRUMENTAL VARIABLES; FINANCIAL INCLUSION; RURAL HOUSEHOLDS; DETERMINANTS; RESOURCES; PROGRAMS; BEHAVIOR; IMPACTS; AFRICA</t>
  </si>
  <si>
    <t>Mobile money; Multidimensional poverty</t>
  </si>
  <si>
    <t>Does mobile money contribute to reducing multidimensional poverty?</t>
  </si>
  <si>
    <t>Djahini-Afawoubo, Dosse Mawussi; Couchoro, Mawuli Kodjovi; Atchi, Fambari Kokou</t>
  </si>
  <si>
    <t>Djahini-Afawoubo, DM; Couchoro, MK; Atchi, FK</t>
  </si>
  <si>
    <t>WOS:001497038700001</t>
  </si>
  <si>
    <t>3CL8J</t>
  </si>
  <si>
    <t>10.1016/j.gfj.2025.101121</t>
  </si>
  <si>
    <t>The research reported herein was performed pursuant to grant RDR18000003 from the US Social Security Administration (SSA) funded as part of the Retirement and Disability Research Consortium. The opinions and conclusions expressed are solely those of the author (s) and do not represent the opinions or policy of SSA, any agency of the Federal Government, or NBER. Neither the United States Government nor any agency thereof, nor any of their employees, makes any warranty, express or implied, or assumes any legal liability or responsibility for the accuracy, completeness, or usefulness of the contents of this report. Reference herein to any specific commercial product, process or service by trade name, trademark, manufacturer, or otherwise does not necessarily constitute or imply endorsement, recommendation or favoring by the United States Government or any agency thereof.</t>
  </si>
  <si>
    <t>US Social Security Administration (SSA); Retirement and Disability Research Consortium</t>
  </si>
  <si>
    <t>US Social Security Administration (SSA) [RDR18000003]; Retirement and Disability Research Consortium</t>
  </si>
  <si>
    <t>Marcelin, Isaac/ABA-9571-2021</t>
  </si>
  <si>
    <t>imarcelin@umes.edu; wsun123@svsu.edu</t>
  </si>
  <si>
    <t>Marcelin, I (corresponding author), Univ Maryland Eastern Shore, Isaac Marcelin Sch Business Management &amp; Technol, Princess Anne, MD 21853 USA.</t>
  </si>
  <si>
    <t>University System of Maryland; University of Maryland Eastern Shore; Saginaw Valley State University</t>
  </si>
  <si>
    <t>[Marcelin, Isaac] Univ Maryland Eastern Shore, Isaac Marcelin Sch Business Management &amp; Technol, Princess Anne, MD 21853 USA; [Sun, Wei] Saginaw Valley State Univ, Scott L Carmona Coll Business, Dept Accounting Law &amp; Finance, University Ctr, MI USA</t>
  </si>
  <si>
    <t>The study develops a financial inclusion index comprising three dimensions: usage, barriers, and access to financial resources. It employs a two-stage Principal Component Analysis to derive each dimension's weight. This index helps assess the impact of financial inclusion on various factors like ethnic groups, minorities, human capital, retirement, wealth outcomes, and mental wellbeing. The research uncovers new psychological and sociological impacts of accessing financial products. Households in counties with higher financial inclusion scores are likelier to have increased income, home ownership, and real estate wealth. They are also more prone to generating intergenerational wealth and breaking free from poverty. Financial inclusion contributes to long-term enhancements in wealth and retirement outcomes, benefiting minority groups and genders while also enhancing family and work resilience, reducing stress, and alleviating drugrelated issues. The findings carry significant policy implications, such as reducing the wealth gap, improving retirement security, and enhancing socioeconomic results.</t>
  </si>
  <si>
    <t>SOCIAL BANKING; SAVINGS; ACCESS; CONSTRAINTS; GENDER; IMPACTS; POOR; DETERMINANTS; ACCUMULATION; SATISFACTION</t>
  </si>
  <si>
    <t>Financial inclusion; Wealth disparity; Home ownership; Retirement security; Inter-generational wealth</t>
  </si>
  <si>
    <t>Financial inclusion, inequality, and retirement trends among older workers</t>
  </si>
  <si>
    <t>Marcelin, Isaac; Sun, Wei</t>
  </si>
  <si>
    <t>Marcelin, I; Sun, W</t>
  </si>
  <si>
    <t>WOS:000806784000001</t>
  </si>
  <si>
    <t>1W4ZR</t>
  </si>
  <si>
    <t>10.1016/j.telpol.2022.102314</t>
  </si>
  <si>
    <t>H.N. appreciates financial support from the faculty research fund of the University of Tsukuba.</t>
  </si>
  <si>
    <t>faculty research fund of the University of Tsukuba</t>
  </si>
  <si>
    <t>naito@dpipe.tsukuba.ac.jp; shinno6132@gmail.com</t>
  </si>
  <si>
    <t>Naito, H (corresponding author), Univ Tsukuba, Grad Sch Humanities &amp; Social Sci, Tennodai 1-1-1, Tsukuba, Ibaraki, Japan.</t>
  </si>
  <si>
    <t>University of Tsukuba; University of Tsukuba</t>
  </si>
  <si>
    <t>[Naito, Hisahiro] Univ Tsukuba, Grad Sch Humanities &amp; Social Sci, Tennodai 1-1-1, Tsukuba, Ibaraki, Japan; [Yamamoto, Shinnosuke] Univ Tsukuba, Coll Int Studies, Tennodai 1-1-1, Tsukuba, Ibaraki, Japan</t>
  </si>
  <si>
    <t>In several developing countries in Sub-Saharan Africa, accessibility to digital financial services is increasing because of the development of mobile money services. People previously excluded from the financial system have started to have access to financial services such as receiving and sending remittances, saving, and borrowing. This study examines the effect of network accessibility on the use of mobile money in six developing countries (Bangladesh, Kenya, Nigeria, Pakistan, Tanzania, and Uganda) using GPS information on each household and mobile phone network coverage maps. We find that among these six countries, network accessibility is associated with the use of mobile money in a robust way only in Pakistan and Tanzania. In those two countries, when a household location becomes 10 km closer to the center of the area with multiple mobile networks, the probability of using mobile money increases by 10 percent. In the other countries, we did not find a robust relationship between the use of mobile money and network accessibility. This suggests that increasing network accessibility may not be an efficient method for increasing mobile money adoption in certain countries. The fact that mobile money use rates differ between Tanzania and Pakistan also suggests that the effect of mobile networks is unrelated to the overall level of mobile money adoption.</t>
  </si>
  <si>
    <t>EXPLAINS; GROWTH; COSTS</t>
  </si>
  <si>
    <t>Mobile money; Mobile network; Developing countries; Financial inclusion; GPS; Network coverage</t>
  </si>
  <si>
    <t>Is better access to mobile networks associated with increased mobile money adoption? Evidence from the micro-data of six developing countries</t>
  </si>
  <si>
    <t>Naito, Hisahiro; Yamamoto, Shinnosuke</t>
  </si>
  <si>
    <t>Naito, H; Yamamoto, S</t>
  </si>
  <si>
    <t>WOS:000617169600004</t>
  </si>
  <si>
    <t>QF8WD</t>
  </si>
  <si>
    <t>10.1142/S2424786320500383</t>
  </si>
  <si>
    <t>Shahzad, Khurram/H-7708-2014</t>
  </si>
  <si>
    <t>amiralvi786@live.com; amir.rafique@comsats.edu.pk; khurramazpk@gmail.com</t>
  </si>
  <si>
    <t>Alvi, MA (corresponding author), COMSATS Univ Islamabad, Dept Management Sci, Islamabad, Pakistan.</t>
  </si>
  <si>
    <t>[Alvi, Muhammad Amir; Rafique, Amir; Shehzad, Khurram] COMSATS Univ Islamabad, Dept Management Sci, Islamabad, Pakistan</t>
  </si>
  <si>
    <t>Despite a substantial growth in efficiency and profitability, South Asian region's well-established banking system is likely to be incapable to grasp wide sections of the population, particularly the deprived ones. Numerous studies revealed that financial inclusion impact bank stability, but no significant empirical study has been made on the economies of South Asian region. The aim of the study is to explore the impact of financial inclusion on bank stability across South Asian region using data from 88 commercial banks from four economies (Bangladesh, India, Pakistan and Sri Lanka) over the period of 2012-2018. Results using two-step system GMM suggest that an increase in financial inclusion enhances bank stability across economies of South Asian region. This study contains some significant policy implications to generate real opportunities for financial inclusion to improve bank stability.</t>
  </si>
  <si>
    <t>INSOLVENCY RISK; PANEL-DATA; DEBT; SUSTAINABILITY; COMPETITION; INEQUALITY; POLICIES; GROWTH; IMPACT; FIRMS</t>
  </si>
  <si>
    <t>Financial inclusion index; financial stability; Two-step system GMM</t>
  </si>
  <si>
    <t>Financial inclusion and bank stability controversy: Evidence from South Asian region</t>
  </si>
  <si>
    <t>Alvi, Muhammad Amir; Rafique, Amir; Shehzad, Khurram</t>
  </si>
  <si>
    <t>Alvi, MA; Rafique, A; Shehzad, K</t>
  </si>
  <si>
    <t>WOS:000788832000001</t>
  </si>
  <si>
    <t>D4XR2</t>
  </si>
  <si>
    <t>10.1108/ITP-11-2021-0906</t>
  </si>
  <si>
    <t>Martey, Edward/0000-0002-6933-3685; Kooon, Isaac/0000-0002-2929-4992</t>
  </si>
  <si>
    <t>Martey, Edward/M-7615-2017; Kooon, Isaac/S-8710-2019</t>
  </si>
  <si>
    <t>Koomson, I (corresponding author), Univ New England, UNE Business Sch, Armidale, NSW, Australia.;Koomson, I (corresponding author), Network Socioecon Res &amp; Adv NESRA, Accra, Ghana.</t>
  </si>
  <si>
    <t>[Koomson, Isaac] Univ New England, UNE Business Sch, Armidale, NSW, Australia; [Koomson, Isaac] Network Socioecon Res &amp; Adv NESRA, Accra, Ghana; [Martey, Edward; Etwire, Prince M.] CSIR Savanna Agr Res Inst, Socioecon Sect, Tamale, Ghana</t>
  </si>
  <si>
    <t>Purpose This study aims to examine the comparative link between mobile money (MoMo) and entrepreneurship in East Africa. Apart from analysing the data to examine locational, gender and age heterogeneities in the MoMo-entrepreneurship nexus, the authors explore the potential roles of digital savings and access to digital credit in serving as transmission channels in the link between MoMo adoption and entrepreneurship. Design/methodology/approach This paper uses nationally representative samples from Kenya, Tanzania and Uganda which were extracted from the fifth wave of the InterMedia Financial Inclusion Insights (FII) Program. The authors employ a suite of quasi-experimental microeconometric techniques-standard instrumental variable estimation, Lewbel two-stage least squares (2SLS) and propensity score matching. Findings Overall, the authors' preferred endogeneity-corrected result suggests that adopters of MoMo are 24.4 percentage points more likely to engage in entrepreneurship. This result is robust to alternative ways of conceptualising MoMo adoption and different methods used in resolving endogeneity. The association between MoMo and entrepreneurship is stronger in Kenya compared to Uganda and not significant in Tanzania. The significant positive association between MoMo and entrepreneurship is observed among women and rural residents and not for their male and urban-located counterparts. MoMo significantly enhances entrepreneurship among the youth and adults but not the elderly. Digital savings and access to digital credit serve as important channels through which FinTech adoption influences entrepreneurship. Practical implications The entrepreneurship-enhancing effect of MoMo adoption can be extended to discuss the possibility of employing MoMo as a policy tool to contribute to the attainment of Sustainable Development Goal (SGD) 8 which seeks to ensure full and productive employment and decent work for all. Incomes that accrue from entrepreneurial activities can also increase households' purchasing power to decrease poverty (SDG 1), reduce food insecurity (SDG 2) and provide resources needed to purchase clean and modern cooking and lighting fuels (SGD 7). Social implications The growing rate of unemployment and vulnerable employment in Africa has been an issue of concern to policy makers. These problems have been caused by the inability of policy makers to create adequate jobs. The study's findings show that policies geared towards enhancing the diffusion of MoMo can augment efforts being made by governments to decrease the unemployment rate in Africa through increased entrepreneurship. The employment effect of MoMo can also be realised through the emergence of digital entrepreneurship which has been identified as having the potential to transform African economies to knowledge-based economies for sustainable development. Originality/value This study contributes to the MoMo literature by deviating from the focus of existing studies which have emphasised more on the intermediate outcome (performance) and less on the immediate (i.e. entrepreneurship or small business venturing). This helps to highlight the entrepreneurship effect of MoMo which has evolved from a simple peer-to-peer payment system to a complex one that provides savings, credit, insurance and other products.</t>
  </si>
  <si>
    <t>DETERMINANTS; WOMEN</t>
  </si>
  <si>
    <t>Mobile money; Entrepreneurship; FinTech; Financial inclusion; East Africa; D03; D12; D14; I30; O12</t>
  </si>
  <si>
    <t>Mobile money and entrepreneurship in East Africa: the mediating roles of digital savings and access to digital credit</t>
  </si>
  <si>
    <t>Koomson, Isaac; Martey, Edward; Etwire, Prince M.</t>
  </si>
  <si>
    <t>Koomson, I; Martey, E; Etwire, PM</t>
  </si>
  <si>
    <t>WOS:000616266500002</t>
  </si>
  <si>
    <t>QE5SI</t>
  </si>
  <si>
    <t>10.1080/02589001.2020.1825648</t>
  </si>
  <si>
    <t>J. Contemp. Afr. Stud.</t>
  </si>
  <si>
    <t>J CONTEMP AFR STUD</t>
  </si>
  <si>
    <t>1469-9397</t>
  </si>
  <si>
    <t>0258-9001</t>
  </si>
  <si>
    <t>dokech@uga.edu</t>
  </si>
  <si>
    <t>Okech, D (corresponding author), Univ Georgia, Sch Social Work, Athens, GA 30602 USA.</t>
  </si>
  <si>
    <t>University System of Georgia; University of Georgia; University of Kansas; Louisiana State University System; Louisiana State University</t>
  </si>
  <si>
    <t>[Okech, David; Matthew, Rebecca A.] Univ Georgia, Sch Social Work, Athens, GA 30602 USA; [Howard, Waylon J.] Univ Kansas, Juniper Childrens Project Schiefelbusch Inst Life, Lawrence, KS 66045 USA; [Purser, Gregory L.] Louisiana State Univ, Sch Social Work, Baton Rouge, LA USA</t>
  </si>
  <si>
    <t>This study assessed the economic behaviour of 383 lower-income households in Kenya and the US. Using a two-group confirmatory factor analysis, a moderation effect of gender on financial capability by age was found in the US group. Measurement and structural equivalence across groups were established. Specifically, younger females indicated higher levels of financial capability than younger males, while older males reported higher levels of financial capability than older females. There was no such effect among Kenyan participants. Findings point to the need for considering the sociodemographic characteristics of these households in programmes that enhance their financial capability.</t>
  </si>
  <si>
    <t>MEASUREMENT INVARIANCE; MULTIVARIATE OUTLIERS; FINANCIAL LITERACY; RESILIENCE; INTERVAL</t>
  </si>
  <si>
    <t>Kenya; US; poorer households; financial capability; invariance testing</t>
  </si>
  <si>
    <t>JOURNAL OF CONTEMPORARY AFRICAN STUDIES</t>
  </si>
  <si>
    <t>The effects of sociodemographic variables on the economic behaviour of poorer household in the US and Kenya: a cross-national analyses</t>
  </si>
  <si>
    <t>Okech, David; Howard, Waylon J.; Matthew, Rebecca A.; Purser, Gregory L.</t>
  </si>
  <si>
    <t>Okech, D; Howard, WJ; Matthew, RA; Purser, GL</t>
  </si>
  <si>
    <t>WOS:001130747300005</t>
  </si>
  <si>
    <t>DG0B8</t>
  </si>
  <si>
    <t>thomas.chuffart@parisnanterre.fr; marie-line.duboz@univ-fcomte.fr; paipet.zogbe@gmail.com</t>
  </si>
  <si>
    <t>Chuffart, T (corresponding author), Univ Paris Nanterre, Econ, Nanterre, France.</t>
  </si>
  <si>
    <t>Universite Marie et Louis Pasteur</t>
  </si>
  <si>
    <t>[Chuffart, Thomas] Univ Paris Nanterre, Econ, Nanterre, France; [Duboz, Marie-Line] Univ Franche Comte, CRESE, Besancon, France; [Zogbe, Paipet Corine] CERC Bourgogne Franche Comte, Dijon, France</t>
  </si>
  <si>
    <t>By allowing access to financing for the most deprived, microfinance must lead to the reduction of income inequalities between populations. Little research exists on the relationship between the macroeconomic scale of microfinance and income inequalities for WAEMU countries. The BCEAO provides innovative finan-cial inclusion indicators such as demographic and geographic penetration rates of financial services. Using panel data techniques, on annual data, ranging from 2006 to 2020, our results suggest that a more balanced distribution of financial service points, linked to population density, would contribute to reducing inequalities of income within the WAEMU. They also highlight the importance of the role played in this area by the diffusion of electronic money.</t>
  </si>
  <si>
    <t>ECONOMIC-GROWTH; ACCESS</t>
  </si>
  <si>
    <t>Microfinance; Financial inclusion; Income inequalities; WAEMU</t>
  </si>
  <si>
    <t>Microfinance, financial inclusion and income inequalities in WAEMU</t>
  </si>
  <si>
    <t>Chuffart, Thomas; Duboz, Marie-Line; Zogbe, Paipet Corine</t>
  </si>
  <si>
    <t>Chuffart, T; Duboz, ML; Zogbe, PC</t>
  </si>
  <si>
    <t>WOS:000874424800001</t>
  </si>
  <si>
    <t>8J7FV</t>
  </si>
  <si>
    <t>10.1108/JFEP-06-2022-0152</t>
  </si>
  <si>
    <t>FEB 2</t>
  </si>
  <si>
    <t>Nor, Mohamed/Q-4894-2016</t>
  </si>
  <si>
    <t>cabdinur80@gmail.com</t>
  </si>
  <si>
    <t>Mohamed, AA (corresponding author), SIMAD Univ, Fac Econ, Mogadishu, Somalia.</t>
  </si>
  <si>
    <t>[Mohamed, Abdinur Ali; Nor, Mohamed Ibrahim] SIMAD Univ, Fac Econ, Mogadishu, Somalia</t>
  </si>
  <si>
    <t>Purpose The purpose of this study was to examine the macroeconomic impact of mobile money in Somalia using quarterly data from 2010 to 2020. Design/methodology/approach This study applied the structural vector autoregressive approach to examine the response of the macroeconomic variables to the mobile money shocks. Findings The results show that mobile money increases consumer spending by reducing transaction costs and enhancing access to finance, which promotes the expansion of aggregate output. This study also finds that mobile money helps exchange rate stability and price level maintenance, boosting trade openness. Moreover, mobile money is linked to the rise in real income due to productivity improvement and price stability. The results of this study indicated that mobile money has a short-run relationship with aggregate output, household consumption, price level, trade openness and real income. Through the Granger causality test, this study finds that mobile money has a unidirectional relationship with the exchange rate, price level, household consumption and trade openness. Originality/value The empirical findings of this study imply that mobile money can create a wide range of financial services to improve the financial system in rural and urban areas; hence, it enables poor and rural members of society to make payments and receive-and-transfer money using their mobiles.</t>
  </si>
  <si>
    <t>TRANSFERS; BANKING; KENYA</t>
  </si>
  <si>
    <t>Mobile money; Aggregate output; Structural vector autoregression; Impulse response function; E12; E21; E42; F20</t>
  </si>
  <si>
    <t>The macroeconomic impacts of the mobile money: empirical evidence from EVC plus in Somalia</t>
  </si>
  <si>
    <t>Mohamed, Abdinur Ali; Nor, Mohamed Ibrahim</t>
  </si>
  <si>
    <t>Mohamed, AA; Nor, MI</t>
  </si>
  <si>
    <t>WOS:000474880700005</t>
  </si>
  <si>
    <t>II0FL</t>
  </si>
  <si>
    <t>10.1080/13600818.2019.1575349</t>
  </si>
  <si>
    <t>Oxf. Dev. Stud.</t>
  </si>
  <si>
    <t>OXF DEV STUD</t>
  </si>
  <si>
    <t>1469-9966</t>
  </si>
  <si>
    <t>1360-0818</t>
  </si>
  <si>
    <t>Ajefu, Joseph/0000-0001-6333-3708</t>
  </si>
  <si>
    <t>Ajefu, Joseph/AFM-2745-2022</t>
  </si>
  <si>
    <t>joeajefu@gmail.com</t>
  </si>
  <si>
    <t>Ajefu, JB (corresponding author), Univ Witwatersrand, Sch Econ &amp; Business Sci, Johannesburg, South Africa.</t>
  </si>
  <si>
    <t>University of Witwatersrand; University of Ibadan</t>
  </si>
  <si>
    <t>[Ajefu, Joseph Boniface] Univ Witwatersrand, Sch Econ &amp; Business Sci, Johannesburg, South Africa; [Ogebe, Joseph O.] Univ Ibadan, Fac Social Sci, Dept Econ, Ibadan, Nigeria</t>
  </si>
  <si>
    <t>This article investigates the impact of remittances on financial inclusion, using the 2009 World Bank's Migration and Remittances Household Survey data for Nigeria. An instrumental variable estimation technique was used to estimate the impact of remittances on financial inclusion, and migrant network effect was used as an instrument to control for potential endogeneity between remittance and financial inclusion. This article finds that the receipt of remittances increases the probability of using formal financial services, such as deposit accounts and Internet/mobile banking. This article concludes that reducing barriers and costs to remittance inflows can improve the access to and use of formal financial services in Nigeria, which can lead to an increase in funds for investments and the economic growth of the country.</t>
  </si>
  <si>
    <t>INTERNATIONAL MIGRATION; FIELD EXPERIMENT; ECONOMIC-GROWTH; POVERTY; INVESTMENT; INEQUALITY; SAVINGS; IMPACT; INCOME</t>
  </si>
  <si>
    <t>Migrants; remittances; financial inclusion; households; Nigeria</t>
  </si>
  <si>
    <t>OXFORD DEVELOPMENT STUDIES</t>
  </si>
  <si>
    <t>Migrant remittances and financial inclusion among households in Nigeria</t>
  </si>
  <si>
    <t>Ajefu, Joseph Boniface; Ogebe, Joseph O.</t>
  </si>
  <si>
    <t>Ajefu, JB; Ogebe, JO</t>
  </si>
  <si>
    <t>WOS:000702138200045</t>
  </si>
  <si>
    <t>BS2JO</t>
  </si>
  <si>
    <t>Computer Science, Artificial Intelligence; Computer Science, Cybernetics; Computer Science, Interdisciplinary Applications; Computer Science, Theory &amp; Methods; Engineering, Electrical &amp; Electronic</t>
  </si>
  <si>
    <t>10.1007/978-3-030-29384-0_45</t>
  </si>
  <si>
    <t>978-3-030-29384-0; 978-3-030-29383-3</t>
  </si>
  <si>
    <t>Halloluwa, Thilina/0000-0003-0132-6355; Vyas, Dhaval/0000-0002-9356-0976</t>
  </si>
  <si>
    <t>; Vyas, Dhaval/IQS-2762-2023</t>
  </si>
  <si>
    <t>tch@ucsc.cmb.ac.lk; d.vyas@uq.edu.au</t>
  </si>
  <si>
    <t>Halloluwa, T (corresponding author), Univ Colombo, Sch Comp, Colombo, Sri Lanka.</t>
  </si>
  <si>
    <t>University of Colombo; University of Queensland</t>
  </si>
  <si>
    <t>[Halloluwa, Thilina] Univ Colombo, Sch Comp, Colombo, Sri Lanka; [Vyas, Dhaval] Univ Queensland, Brisbane, Qld, Australia</t>
  </si>
  <si>
    <t>This paper presents findings from field trial of a mobile application called `Dhana Labha' in a rural Sri Lankan community. Dhana Labha was designed to be used by the community members to manage their personal finances, oversee their performance in managing multiple microfinance loans and assist in loan collection. We distributed the application among thirty eight microfinance clients and studied their use over a period of six months. Our findings show that the use of Dhana Labha had a positive impact on existing local practices and financial awareness while prompting the participants to develop unexpected new practices around microfinance workflows. Our findings highlight the importance of understanding existing sociocultural practices for designing applications, as they strongly affect and shape the use of technology in a constrained setting.</t>
  </si>
  <si>
    <t>MICROFINANCE; IMPACT; TECHNOLOGY; POVERTY</t>
  </si>
  <si>
    <t>Microfinance; ICTD; Sociocultural practices; Qualitative study</t>
  </si>
  <si>
    <t>Int Federat Informat Proc Tech Comm 13,Cyprus Univ Technol,Tallinn Univ,ACM,ACM SIGCHI,Res Ctr Interact Media Smart Syst &amp; Emerging Technologies,Springer</t>
  </si>
  <si>
    <t>Paphos, CYPRUS</t>
  </si>
  <si>
    <t>SEP 02-06, 2019</t>
  </si>
  <si>
    <t>17th IFIP TC13 International Conference on Human-Computer Interaction (INTERACT)</t>
  </si>
  <si>
    <t>HUMAN-COMPUTER INTERACTION, INTERACT 2019, PT II</t>
  </si>
  <si>
    <t>Dhana Labha: A Financial Management Application to Underbanked Communities in Rural Sri Lanka</t>
  </si>
  <si>
    <t>Halloluwa, Thilina; Vyas, Dhaval</t>
  </si>
  <si>
    <t>Lamas, D; Loizides, F; Nacke, L; Petrie, H; Winckler, M; Zaphiris, P</t>
  </si>
  <si>
    <t>Halloluwa, T; Vyas, D</t>
  </si>
  <si>
    <t>WOS:000905326200002</t>
  </si>
  <si>
    <t>7K5MH</t>
  </si>
  <si>
    <t>10.7860/JCDR/2022/59068.17285</t>
  </si>
  <si>
    <t>IC4</t>
  </si>
  <si>
    <t>IC1</t>
  </si>
  <si>
    <t>J. Clin. Diagn. Res.</t>
  </si>
  <si>
    <t>J CLIN DIAGN RES</t>
  </si>
  <si>
    <t>0973-709X</t>
  </si>
  <si>
    <t>2249-782X</t>
  </si>
  <si>
    <t>71 JAIN COLONY, VEER NAGAR, DELHI, 110 007, INDIA</t>
  </si>
  <si>
    <t>PREMCHAND SHANTIDEVI RESEARCH FOUNDATION</t>
  </si>
  <si>
    <t>Wadhwa, Medha/0000-0002-1524-5276</t>
  </si>
  <si>
    <t>Wadhwa, Medha/AAI-5702-2020</t>
  </si>
  <si>
    <t>mital_thakkar87@yahoo.co.in</t>
  </si>
  <si>
    <t>Thakkar, M (corresponding author), 7,Mahadevnagar Soc,Opp Harish Petrol Pump,O-S Pani, Vadodara, Gujarat, India.</t>
  </si>
  <si>
    <t>Sumandeep Vidyapeeth</t>
  </si>
  <si>
    <t>[Thakkar, Mital; Verma, Mohit; Wadhwa, Medha] Sumandeep Vidyapeeth Deemed be Univ, Dept Management, Vadodara, Gujarat, India; [Chatterjee, Subhasish] ICFAI Univ, Fatikchhara, Tripura, India; [Thakkar, Mital] 7,Mahadevnagar Soc,Opp Harish Petrol Pump,O-S Pani, Vadodara, Gujarat, India</t>
  </si>
  <si>
    <t>Introduction: Financial literacy refers to knowledge and skills related to effective and informed money management decisions. Healthcare professionals graduate with some of the highest student loan debt level. They complete their graduation with minimal unbiased financial planning guidance. Aim: To assess the effectiveness of seminar based approach on the level of financial literacy among dental students of Vadodara, Gujarat, India. Materials and Methods: This prospective interventional study was conducted in Vadodara, Gujarat, India from May 2021 to October 2021. The data was collected from 332 participants through a closed ended questionnaire which included 83 statements related to banking, alternate banking, investment and income and expenditure. The data was assessed using Paired t test to assess the effectiveness of financial education seminar at 95% confidence level. The software used was IBM Statistical Package for the Social Science (SPSS) Version 21.0 for Windows. Results: This study included 332 interns and postgraduate students, of which 209 participants were female while 123 participants were male. There was a significant difference in the knowledge of students on various financial aspects covered in the study before and after the seminar with respect to gender, age and category of students (p-value &lt; 0.05). There was a significant difference in the knowledge of participants before and after the seminar on financial literacy (p-value &lt; 0.001) Conclusion: The result shows that the score of the participants improved after the 90 minutes seminar which will helpful to them for their future long-term investment decisions.</t>
  </si>
  <si>
    <t>RESIDENTS</t>
  </si>
  <si>
    <t>College; Financial inclusion; Interns; Postgraduates</t>
  </si>
  <si>
    <t>JOURNAL OF CLINICAL AND DIAGNOSTIC RESEARCH</t>
  </si>
  <si>
    <t>Effectiveness of Seminar Based Approach on the Level of Financial Literacy among Dental Students of Central Gujarat</t>
  </si>
  <si>
    <t>Thakkar, Mital; Verma, Mohit; Wadhwa, Medha; Chatterjee, Subhasish</t>
  </si>
  <si>
    <t>Thakkar, M; Verma, M; Wadhwa, M; Chatterjee, S</t>
  </si>
  <si>
    <t>WOS:000558991000008</t>
  </si>
  <si>
    <t>Green Published, Green Accepted, hybrid</t>
  </si>
  <si>
    <t>MZ2YY</t>
  </si>
  <si>
    <t>10.1093/icc/dtz049</t>
  </si>
  <si>
    <t>Ind. Corp. Change</t>
  </si>
  <si>
    <t>IND CORP CHANGE</t>
  </si>
  <si>
    <t>1464-3650</t>
  </si>
  <si>
    <t>0960-6491</t>
  </si>
  <si>
    <t>We would like to thank the Leverhulme Trust for their support. We appreciate helpful comments on the stream of research that led to this paper from our colleagues including Randolph Bruno, William Jack, Thorsten Beck, Graham Wright, Pedro Vicente, Heather Berry, Yally Avrahampour, Dayo Forster, Daniela Lup, Costas Markides, Abdul Rasheed, Enrico Rossi, and Lourdes Sosa. We thank Carliss Baldwin, Giovanni Dosi, and Glenn Carroll, the editors of ICC and the anonymous comments we received in the review process at ICC. The paper has benefitted from comments at presentations at LSE Management Department, SMJ paper development workshop, Academy of Management, Academy of International Business, and the International Growth Centre sponsored conference on Mobile Money and Financial Development. Any errors remain solely our own responsibility.</t>
  </si>
  <si>
    <t>Leverhulme Trust(Leverhulme Trust); LSE Management Department; SMJ paper development workshop; Academy of Management; Academy of International Business; International Growth Centre</t>
  </si>
  <si>
    <t>Leverhulme Trust; LSE Management Department; SMJ paper development workshop; Academy of Management; Academy of International Business; International Growth Centre</t>
  </si>
  <si>
    <t>estrin, saul/0000-0002-3447-8593</t>
  </si>
  <si>
    <t>estrin, saul/AAC-7000-2020</t>
  </si>
  <si>
    <t>a.g.pelletier@lse.ac.uk; susanna.khavul@sjsu.edu; s.estrin@lse.ac.uk</t>
  </si>
  <si>
    <t>Pelletier, A (corresponding author), Goldsmiths Univ, Ctr Econ Performance, London Sch Econ, Inst Management Studies, London, England.</t>
  </si>
  <si>
    <t>University of London; London School Economics &amp; Political Science; Goldsmiths University London; University of London; London School Economics &amp; Political Science; University of London; London School Economics &amp; Political Science; University of London; London School Economics &amp; Political Science</t>
  </si>
  <si>
    <t>[Pelletier, Adeline] Goldsmiths Univ, Ctr Econ Performance, London Sch Econ, Inst Management Studies, London, England; [Khavul, Susanna] San Jose State Univ, London Sch Econ, Dept Management, Lucas Coll, London, England; [Khavul, Susanna] San Jose State Univ, London Sch Econ, Dept Management, Grad Sch Business, London, England; [Estrin, Saul] London Sch Econ, Dept Management, London, England</t>
  </si>
  <si>
    <t>Mobile money is a financial innovation that provides transfers, payments, and other financial services at a low or zero cost to individuals in developing countries where banking and capital markets are deficient and financial inclusion is low. We use transaction costs and institutional theories to explain the growth and impact of mobile money. Having developed a new archival dataset that tracks mobile money deployment across 90 emerging economies during 16 years between 2000 and 2015, we address the question of relative economic impact of the banking and telecoms sectors in the provision of mobile money. We show that telecom groups and not banks are more likely to launch mobile money in countries where legal rights are weaker and credit information less prevalent. However, it is when mobile money is offered via a banking channel that the spillover effects on the economy are greater. Findings have significant implications for policy and strategy.</t>
  </si>
  <si>
    <t>DEVELOPING-COUNTRIES; FINANCIAL SERVICES; BUSINESS GROUPS; VELOCITY; STRATEGY; ECONOMY; POLICY; CAPABILITIES; MANAGEMENT; ACCESS</t>
  </si>
  <si>
    <t>INDUSTRIAL AND CORPORATE CHANGE</t>
  </si>
  <si>
    <t>Innovations in emerging markets: the case of mobile money</t>
  </si>
  <si>
    <t>Pelletier, Adeline; Khavul, Susanna; Estrin, Saul</t>
  </si>
  <si>
    <t>Pelletier, A; Khavul, S; Estrin, S</t>
  </si>
  <si>
    <t>WOS:000522158700008</t>
  </si>
  <si>
    <t>KX8XG</t>
  </si>
  <si>
    <t>10.1142/S0217590817460031</t>
  </si>
  <si>
    <t>Hassan, M Kabir/0000-0001-6274-3545</t>
  </si>
  <si>
    <t>Hassan, M Kabir/D-5053-2012</t>
  </si>
  <si>
    <t>dw2613@gmail.com; jsyu@dankook.ac.kr; mhassan@uno.edu</t>
  </si>
  <si>
    <t>Hassan, MK (corresponding author), Univ New Orleans, Dept Econ &amp; Finance, Coll Business Adm, New Orleans, LA 70148 USA.</t>
  </si>
  <si>
    <t>Dankook University; University of Louisiana System; University of New Orleans</t>
  </si>
  <si>
    <t>[Kim, Dai-Won] Incheon Metropolitan City Dev Corp, 42,Inju Daero 914 Beon Gil, Incheon 21591, South Korea; [Yu, Jung-Suk] Dankook Univ, Sch Urban Planning &amp; Real Estate Studies, Coll Social Sci, 152 Jukjeon Ro, Yongin 16890, Gyeonggi Do, South Korea; [Hassan, M. Kabir] Univ New Orleans, Dept Econ &amp; Finance, Coll Business Adm, New Orleans, LA 70148 USA</t>
  </si>
  <si>
    <t>We examined the influence of religious and social inequality factors on financial inclusion based on the fact that Muslim countries mostly have the lower level of financial inclusion around the globe. To do that, first, we calculated the financial inclusion indices (FIIs) of 152 countries including 48 OIC countries. Then, we examined the effect of religious and social inequality factors on financial inclusion using ordinary least square (OLS). Subsequently, we examined the Moran's-I test in the OLS models and estimated spatial autocorrelation (SAR) models and spatial error model (SEM) in order to include the spatial correlation effect on the estimate models. Through these estimations, we found that the religious factors, such as whether OIC or non-OIC, religious diversity and Muslim population, have obvious effects on determination of financial inclusion. In addition, we also verified social inequality factors, such as gender inequality, education level and social opportunity level, work as determinants of financial inclusion. Moreover, we found the evidence that financial inclusion itself and unknown factors of neighbor countries have effects on financial inclusion by identifying the spatial effects of analysis models.</t>
  </si>
  <si>
    <t>Financial inclusion index; religious factors; social inequality factors; spatial autoregressive model; spatial error model</t>
  </si>
  <si>
    <t>THE INFLUENCE OF RELIGION AND SOCIAL INEQUALITY ON FINANCIAL INCLUSION</t>
  </si>
  <si>
    <t>Kim, Dai-Won; Yu, Jung-Suk; Hassan, M. Kabir</t>
  </si>
  <si>
    <t>Kim, DW; Yu, JS; Hassan, MK</t>
  </si>
  <si>
    <t>WOS:000418110700046</t>
  </si>
  <si>
    <t>BJ1UX</t>
  </si>
  <si>
    <t>978-80-210-8609-8</t>
  </si>
  <si>
    <t>Korzeniowska, Anna/C-7087-2013</t>
  </si>
  <si>
    <t>anna.korzeniowska@umcs.lublin.pl; wojciech.misterek@umcs.lublin.pl</t>
  </si>
  <si>
    <t>Korzeniowska, A (corresponding author), Marie Curie Sklodowska Univ, Fac Econ, Dept Banking, Pl Marii Curie Skiodowskiej 5, PL-20031 Lublin, Poland.</t>
  </si>
  <si>
    <t>Maria Curie-Sklodowska University</t>
  </si>
  <si>
    <t>[Korzeniowska, Anna; Misterek, Wojciech] Marie Curie Sklodowska Univ, Fac Econ, Dept Banking, Pl Marii Curie Skiodowskiej 5, PL-20031 Lublin, Poland</t>
  </si>
  <si>
    <t>Financial exclusion is defined by the European Committee as a situation in which a person encounters difficulties in both access to as well as the usage of financial products and services at the level required to meet his/her needs. The idea beyond is also to enable them to lead a normal social life. It is necessary to point out that the access to financial products is understood as a possibility to use them under reasonable economic conditions. Among those most endangered by financial exclusion are, inter alia, elderly people because their reluctance to accept new technologies and opportunities provided by financial markets is much bigger than that one of younger generations. There is much evidence for that statement, some of it being the ratio of underbanked elderly people which in Poland for the aged 55-64 and over 65 is 32% and 57% respectively, with the average for the whole country population - approx. 23%. The question arises as for the reasons for such a situation and that is why the aim of this paper is to analyse the existence of barriers in the access to financial products and to verify their influence on the diagnosed higher level of financial exclusion of the generation 50+. To analyse the factors influencing behaviours of senior citizens on the financial markets, the research in the form of questionnaire sent to the group of approx. 380 citizens of the Lublin region in Poland was conducted. The results indicate that, while cooperating with financial institution, elderly people are aware of the barriers they meet such as modern technology, a professional and incomprehensible language, extensive or scarce range of banking services, etc. However, these barriers do not constitute statistically significant factors in the high underbanked ratio of this generation.</t>
  </si>
  <si>
    <t>financial exclusion; usage of financial products; personal finance</t>
  </si>
  <si>
    <t>Masaryk Univ, Fac Econ &amp; Adm, Dept Finance,Inst Financial Market</t>
  </si>
  <si>
    <t>JUN 26-27, 2017</t>
  </si>
  <si>
    <t>14th International Scientific Conference on European Financial Systems 2017</t>
  </si>
  <si>
    <t>EUROPEAN FINANCIAL SYSTEMS 2017: PROCEEDINGS OF THE 14TH INTERNATIONAL SCIENTIFIC CONFERENCE, PT 1</t>
  </si>
  <si>
    <t>The impact of barriers in the access to financial products and services on the financial exclusion of the generation 50+in Poland</t>
  </si>
  <si>
    <t>Korzeniowska, Anna; Misterek, Wojciech</t>
  </si>
  <si>
    <t>Nesleha, J; Plihal, T; Urbanovsky, K</t>
  </si>
  <si>
    <t>Korzeniowska, A; Misterek, W</t>
  </si>
  <si>
    <t>WOS:000623569100004</t>
  </si>
  <si>
    <t>QP1AM</t>
  </si>
  <si>
    <t>10.1016/j.eswa.2020.114486</t>
  </si>
  <si>
    <t>The last author acknowledges this research was undertaken, in part, thanks to funding from the Canada Research Chairs program.</t>
  </si>
  <si>
    <t>Canada Research Chairs program(Canada Research Chairs)</t>
  </si>
  <si>
    <t>Canada Research Chairs program</t>
  </si>
  <si>
    <t>Bravo, Cristián/0000-0003-1579-1565</t>
  </si>
  <si>
    <t>Bravo, Cristián/K-1919-2012</t>
  </si>
  <si>
    <t>luisa.roa@rappi.com; alejandro.correa@rappi.com; gabriel.suarez@rappi.com; fcortes@pucp.pe; maria.luque@rappi.com; cbravoro@uwo.ca</t>
  </si>
  <si>
    <t>Correa-Bahnsen, A (corresponding author), Rappi, Cl 93 19-58, Bogota, Colombia.</t>
  </si>
  <si>
    <t>Pontificia Universidad Catolica del Peru; Western University (University of Western Ontario)</t>
  </si>
  <si>
    <t>[Roa, Luisa; Correa-Bahnsen, Alejandro; Suarez, Gabriel; Luque, Maria A.] Rappi, Cl 93 19-58, Bogota, Colombia; [Cortes-Tejada, Fernando] Pontificia Univ Catolica Peru, Av Univ 1801, Lima, Peru; [Bravo, Cristian] Univ Western Ontario, Dept Stat &amp; Actuarial Sci, Western Sci Ctr, 1151 Richmond St, London, ON, Canada</t>
  </si>
  <si>
    <t>In this paper we present the impact of alternative data that originates from an app-based marketplace, in contrast to traditional bureau data, upon credit scoring models. These alternative data sources have shown themselves to be immensely powerful in predicting borrower behavior in segments traditionally underserved by banks and financial institutions. Our results, validated across two countries, show that these new sources of data are particularly useful for predicting financial behavior in low-wealth and young individuals, who are also the most likely to engage with alternative lenders. Furthermore, using the TreeSHAP method for Stochastic Gradient Boosting interpretation, our results also revealed interesting non-linear trends in the variables originating from the app, which would not normally be available to traditional banks. Our results represent an opportunity for technology companies to disrupt traditional banking by correctly identifying alternative data sources and handling this new information properly. At the same time alternative data must be carefully validated to overcome regulatory hurdles across diverse jurisdictions.</t>
  </si>
  <si>
    <t>Fintech; Super-app; Credit sscoring; Financial inclusion; Alternative data</t>
  </si>
  <si>
    <t>Super-app behavioral patterns in credit risk models: Financial, statistical and regulatory implications</t>
  </si>
  <si>
    <t>Roa, Luisa; Correa-Bahnsen, Alejandro; Suarez, Gabriel; Cortes-Tejada, Fernando; Luque, Maria A.; Bravo, Cristian</t>
  </si>
  <si>
    <t>Roa, L; Correa-Bahnsen, A; Suarez, G; Cortés-Tejada, F; Luque, MA; Bravo, C</t>
  </si>
  <si>
    <t>WOS:000863555900005</t>
  </si>
  <si>
    <t>F7SF8</t>
  </si>
  <si>
    <t>10.1007/s11356-022-23306-z</t>
  </si>
  <si>
    <t>This paper is supported by the Humanities and Social Science Fund of the Ministry of education (No. 13YJA630053).</t>
  </si>
  <si>
    <t>Humanities and Social Science Fund of the Ministry of education</t>
  </si>
  <si>
    <t>Humanities and Social Science Fund of the Ministry of education [13YJA630053]</t>
  </si>
  <si>
    <t>马, 艳/0000-0002-4317-3994</t>
  </si>
  <si>
    <t>YanMa@ncepu.edu.cn</t>
  </si>
  <si>
    <t>Ma, Y (corresponding author), North China Elect Power Univ, Econ &amp; Management Dept, Baoding 071003, Hebei, Peoples R China.</t>
  </si>
  <si>
    <t>North China Electric Power University</t>
  </si>
  <si>
    <t>[Liu, Hongyan; Ma, Yan] North China Elect Power Univ, Econ &amp; Management Dept, Baoding 071003, Hebei, Peoples R China</t>
  </si>
  <si>
    <t>This paper studies the impact of financial inclusion on energy consumption in China since the new millennium by using provincial data in China from 2000 to 2019. A financial inclusion index is first constructed, and the spatial-temporal evolution of China's financial inclusion and energy consumption are explored. Second, a spatial econometric model is applied to investing their relationship. Third, the mechanism on how financial inclusion may affect energy consumption is investigated through the mediation effect model. Results show that both financial inclusion and energy consumption show signs of polarization in China. Besides, most provinces saw a significant increase in their per capita energy consumption. Further, the relationship between financial inclusion and energy is U-shaped. Lastly, economic growth and technology upgrading mediate the impact of financial inclusion on energy consumption, with the direct effects (II) dominating the mediation effects. Some policy suggestions are also given.</t>
  </si>
  <si>
    <t>INDUSTRIAL-STRUCTURE; CARBON EMISSIONS; CO2 EMISSIONS; IMPACT; NEXUS; PROGRESS; EU</t>
  </si>
  <si>
    <t>Financial development; Spatial econometric model; Mediation effect; Green credit; Energy economics; Environmental economics</t>
  </si>
  <si>
    <t>Financial inclusion and energy consumption in China: the roles of economic growth and technological innovation</t>
  </si>
  <si>
    <t>Liu, Hongyan; Ma, Yan</t>
  </si>
  <si>
    <t>Liu, HY; Ma, Y</t>
  </si>
  <si>
    <t>WOS:001003176700001</t>
  </si>
  <si>
    <t>MR6T4</t>
  </si>
  <si>
    <t>10.1007/s40847-023-00253-0</t>
  </si>
  <si>
    <t>deepty4050@gmail.com</t>
  </si>
  <si>
    <t>Bansal, D (corresponding author), Univ Coll, Dept Econ, Patiala, Punjab, India.</t>
  </si>
  <si>
    <t>Punjabi University</t>
  </si>
  <si>
    <t>[Bansal, Deepty] Univ Coll, Dept Econ, Patiala, Punjab, India; [Kaur, Lavneet] Punjabi Univ, Dept Econ, Patiala, Punjab, India</t>
  </si>
  <si>
    <t>Financial literacy helps individuals to make sound financial decisions by improving their level of financial knowledge, attitude and skills, hence leading to effective financial management. It promotes financial inclusion by improving access to financial products and services. This paper examines the level of financial literacy among the people of rural areas of Punjab. The study is based on primary data and a multi-stage stratified proportional random sampling method has been used to collect the data from the respondents of different districts of Punjab. The main focus of the study is to find the level of financial literacy and to analyse the gender gap in financial literacy in rural areas of Punjab. Four main components of financial literacy have been identified and a financial literacy index is formed. OECD/INFE and NCFE methodologies for measuring financial literacy have also been used. The results of the study show a lower level of financial literacy and a significant gender gap in financial literacy among the respondents of rural Punjab. It is found that 28.3% of the males and just 9.8% of the females are financially literate. The study also highlights the impact of different socio-economic and demographic parameters on the level of financial literacy of male and female respondents.</t>
  </si>
  <si>
    <t>Financial literacy; Financial literacy index; Gender gap; Rural Punjab</t>
  </si>
  <si>
    <t>Financial literacy and gender gap: a study of Punjab state of India</t>
  </si>
  <si>
    <t>Bansal, Deepty; Kaur, Lavneet</t>
  </si>
  <si>
    <t>Bansal, D; Kaur, L</t>
  </si>
  <si>
    <t>WOS:000461863300019</t>
  </si>
  <si>
    <t>BM3CG</t>
  </si>
  <si>
    <t>PR INT CONF MANAGE</t>
  </si>
  <si>
    <t>978-1-911218-82-1</t>
  </si>
  <si>
    <t>2049-6826</t>
  </si>
  <si>
    <t>2049-6818</t>
  </si>
  <si>
    <t>Makina, D (corresponding author), Univ South Africa, Finance, Pretoria, South Africa.</t>
  </si>
  <si>
    <t>[Makina, Daniel] Univ South Africa, Finance, Pretoria, South Africa</t>
  </si>
  <si>
    <t>The paper focuses on a scantly researched phenomenon, namely, the extent to which financial inclusion is influenced by corporate governance practices. Financial inclusion institutions such as microfinance institutions, postal banks, savings banks, credit and savings associations have corporate governance structures like any other organisations. The question that normally arises is whether their corporate governance practices are tailored to supporting the financial inclusion mandate. The other question is whether there are certain corporate governance practices that advances financial inclusion. This paper reviews empirical literature on these matters with a view of drawing a future research agenda. Cognisant that institutions that advance financial inclusion are largely financial institutions, the starting point is examining contemporary corporate governance practice in financial institutions. We know that financial institutions are a special category of corporations because of the various services they provide to the sectors of the economy so that their failure can be costly to society. The negative externalities that can affect households and firms when there is a breakdown in the provision of financial services arguably justify regulation. Thus, the governance mechanisms that safeguard the interests of shareholders in conventional corporate structures might not be adequate in the case of financial institutions. On the other hand, we know that financial inclusion institutions are special types of financial institutions with mandates to provide financial services to the underserved low-income population. This paper is work-in-progress in an effort to conduct a systematic literature review on the link between corporate governance and financial inclusion.</t>
  </si>
  <si>
    <t>MICROFINANCE; PERFORMANCE; COSTS; IMPACT</t>
  </si>
  <si>
    <t>corporate governance; financial inclusion; microfinance institutions; bottom of the economic pyramid</t>
  </si>
  <si>
    <t>Bangkok Univ, Inst Knowledge &amp; Innovat SE Asia</t>
  </si>
  <si>
    <t>Bangkok Univ, Inst Knowledge &amp; Innovat SE Asia, Bangkok, THAILAND</t>
  </si>
  <si>
    <t>MAY 24-25, 2018</t>
  </si>
  <si>
    <t>6th International Conference on Management, Leadership and Governance (ICMLG)</t>
  </si>
  <si>
    <t>Proceedings of the International Conference on Management Leadership and Governance</t>
  </si>
  <si>
    <t>PROCEEDINGS OF THE 6TH INTERNATIONAL CONFERENCE ON MANAGEMENT, LEADERSHIP AND GOVERNANCE (ICMLG 2018)</t>
  </si>
  <si>
    <t>Corporate Governance and Financial Inclusion: A Review of Literature</t>
  </si>
  <si>
    <t>Ribiere, V</t>
  </si>
  <si>
    <t>WOS:000984688400001</t>
  </si>
  <si>
    <t>F8GX2</t>
  </si>
  <si>
    <t>10.1016/j.renene.2023.04.009</t>
  </si>
  <si>
    <t>Renew. Energy</t>
  </si>
  <si>
    <t>RENEW ENERG</t>
  </si>
  <si>
    <t>1879-0682</t>
  </si>
  <si>
    <t>0960-1481</t>
  </si>
  <si>
    <t>zghydx_cxs@163.com; ouc_changjing@163.com</t>
  </si>
  <si>
    <t>Wei, CJ (corresponding author), Ocean Univ China, Sch Management, Qingdao 266000, Shandong, Peoples R China.</t>
  </si>
  <si>
    <t>Shandong Technology &amp; Business University; Ocean University of China</t>
  </si>
  <si>
    <t>[Cai, Xuesen] Shandong Technol &amp; Business Univ, Fac Business Adm, Yantai 264003, Shandong, Peoples R China; [Wei, Changjing] Ocean Univ China, Sch Management, Qingdao 266000, Shandong, Peoples R China</t>
  </si>
  <si>
    <t>Financial inclusion is a critical element of economic development as a result of its contribution to the expansion of financial institutions and sectors in developing and developed countries. Therefore, using a sample of Belt and Road Initiative (BRI) countries, this research examines the effect of financial inclusion on CO2 emissions from 2005 to 2018. The CS-ARDL technique is applied to investigate the connection between CO2 emissions and financial inclusion. The financial inclusion index is measured using principal component analysis PCA). The study findings show that financial inclusion, financial development, FDI, trade openness, urbanization, and population have led to higher CO2 emissions in the region. Additionally, the increased renewable energy seems to have reduced CO2 emissions. The findings of this research are critical in the fight against pollution and the pursuit of long-term development goals. Financial inclusion goals must be brought into line with energy consumption patterns and environmental policies at the federal and state levels.</t>
  </si>
  <si>
    <t>ECONOMIC-GROWTH; CONSUMPTION; EMISSIONS; DYNAMICS</t>
  </si>
  <si>
    <t>Financial inclusion; Financial development; Renewable energy; Environmental quality; BRI countries</t>
  </si>
  <si>
    <t>RENEWABLE ENERGY</t>
  </si>
  <si>
    <t>Does financial inclusion and renewable energy impede environmental quality: Empirical evidence from BRI countries</t>
  </si>
  <si>
    <t>Cai, Xuesen; Wei, Changjing</t>
  </si>
  <si>
    <t>Cai, XS; Wei, CJ</t>
  </si>
  <si>
    <t>WOS:001607380500007</t>
  </si>
  <si>
    <t>9IV1I</t>
  </si>
  <si>
    <t>10.25003/RAS.15.01.0006</t>
  </si>
  <si>
    <t>Rev. Agrar. Stud.</t>
  </si>
  <si>
    <t>REV AGRAR STUD</t>
  </si>
  <si>
    <t>2248-9002</t>
  </si>
  <si>
    <t>2249-4405</t>
  </si>
  <si>
    <t>514, FIRST FLR, 16 CROSS, INDIRANAGAR II STAGE, BANGALORE, 560038, INDIA</t>
  </si>
  <si>
    <t>BANGALORE</t>
  </si>
  <si>
    <t>FOUNDATION AGRARIAN STUDIES</t>
  </si>
  <si>
    <t>ritam.dutta@live.com</t>
  </si>
  <si>
    <t>Dutta, R (corresponding author), Indian Stat Inst, Econ Anal Unit, Bangalore, India.;Dutta, R (corresponding author), Univ Madras, M S Swaminathan Res Fdn, Dept Econ, Chennai, India.</t>
  </si>
  <si>
    <t>Indian Statistical Institute; Indian Statistical Institute Bangalore; University of Madras</t>
  </si>
  <si>
    <t>[Dutta, Ritam] Indian Stat Inst, Econ Anal Unit, Bangalore, India; [Dutta, Ritam] Univ Madras, M S Swaminathan Res Fdn, Dept Econ, Chennai, India</t>
  </si>
  <si>
    <t>MICROFINANCE; WOMEN</t>
  </si>
  <si>
    <t>REVIEW OF AGRARIAN STUDIES</t>
  </si>
  <si>
    <t>Financial Inclusion from a Gender and Caste Perspective: Evidence from Two Villages in Uttar Pradesh</t>
  </si>
  <si>
    <t>Dutta, Ritam</t>
  </si>
  <si>
    <t>Dutta, R</t>
  </si>
  <si>
    <t>WOS:000972175700001</t>
  </si>
  <si>
    <t>MJ6K9</t>
  </si>
  <si>
    <t>10.1080/00036846.2023.2203456</t>
  </si>
  <si>
    <t>Boussaada, Rim/0000-0002-1372-2956; KARMANI, Majdi/0000-0003-2551-3497; Hakimi, Abdelaziz/0000-0003-2715-0239</t>
  </si>
  <si>
    <t>Boussaada, Rim/KLZ-8473-2024; KARMANI, Majdi/JSK-5224-2023; Hakimi, Abdelaziz/AAQ-6750-2020</t>
  </si>
  <si>
    <t>boussaada.r@gmail.com</t>
  </si>
  <si>
    <t>Boussaada, R (corresponding author), Univ Tunis, Higher Inst Management Tunis, GEF 2A Lab, 41 Ave Liberte, Tunis 2000, Tunisia.</t>
  </si>
  <si>
    <t>Universite de Jendouba; Universite de Tunis; Universite de Tunis</t>
  </si>
  <si>
    <t>[Hakimi, Abdelaziz] Univ Jendouba, VPNC Lab, Fac Law Econ &amp; Management Jendouba, Jendouba, Tunisia; [Boussaada, Rim] Univ Tunis, Higher Inst Management Tunis, GEF 2A Lab, Tunis, Tunisia; [Karmani, Majdi] CERIIM, Excelia Business Sch, La Rochelle, France; [Boussaada, Rim] Univ Tunis, Higher Inst Management Tunis, GEF 2A Lab, 41 Ave Liberte, Tunis 2000, Tunisia</t>
  </si>
  <si>
    <t>This paper investigates how financial inclusion affects credit risk in the MENA region. It also checks whether board characteristics can moderate this relationship. We use a sample of MENA banks from 2004 to 2017 and perform the system generalized method of moment approach. Through the usage and access dimensions, we find that financial inclusion reduces the level of non-performing loans. These results are robust using an index of financial inclusion. For board characteristics, findings indicate that only board size, duality, and independent directors significantly affect the level of NPLs. Our findings prove that MENA banks benefit from an interaction between greater financial inclusion and board characteristics. These insights are consistent with theorists and scholars who are working on each dimension separately. As an extension of their work, we find that the interaction significantly affects the NPLs ratio.</t>
  </si>
  <si>
    <t>CORPORATE GOVERNANCE; OWNERSHIP; IMPACT; BANKS; RISK</t>
  </si>
  <si>
    <t>Financial inclusion; board characteristics; non-performing loans; MENA banks; SGMM</t>
  </si>
  <si>
    <t>Financial inclusion and non-performing loans in MENA region: the moderating role of board characteristics</t>
  </si>
  <si>
    <t>Hakimi, Abdelaziz; Boussaada, Rim; Karmani, Majdi</t>
  </si>
  <si>
    <t>Hakimi, A; Boussaada, R; Karmani, M</t>
  </si>
  <si>
    <t>WOS:001113761200001</t>
  </si>
  <si>
    <t>Z7IA4</t>
  </si>
  <si>
    <t>10.1016/j.heliyon.2023.e20800</t>
  </si>
  <si>
    <t>e20800</t>
  </si>
  <si>
    <t>The authors would like to appreciate the financial support from the Tianjin Research Innovation Project for Postgraduate Students (grant number: 2021YJSB053) .</t>
  </si>
  <si>
    <t>Tianjin Research Innovation Project for Postgraduate Students</t>
  </si>
  <si>
    <t>Tianjin Research Innovation Project for Postgraduate Students [2021YJSB053]</t>
  </si>
  <si>
    <t>xueliuyang2567@163.com; joannadong315@163.com; ifan1996@163.com</t>
  </si>
  <si>
    <t>Dong, JA (corresponding author), Shandong Univ, Sch Management, Jinan 250100, Shandong, Peoples R China.</t>
  </si>
  <si>
    <t>Nankai University; Shandong University; Dongbei University of Finance &amp; Economics</t>
  </si>
  <si>
    <t>[Xue, Liuyang] Nankai Univ, Business Sch, Baidi Rd, Tianjin 300071, Peoples R China; [Dong, Junan] Shandong Univ, Sch Management, Jinan 250100, Shandong, Peoples R China; [Zha, Yifan] Dongbei Univ Finance &amp; Econ, Sch Business Adm, Dalian 116025, Liaoning, Peoples R China</t>
  </si>
  <si>
    <t>The use of digital finance to promote firm environmental, social, and governance (ESG) fulfillment is the key to achieving sustainable development. This study uses the data of Chinese listed firms from 2010 to 2019 and China Digital Financial Inclusion Index of Peking University to empirically examine the impact and mechanism of digital finance on firm ESG performance. Results show that digital finance significantly and positively impacts firm ESG performance. Mechanism tests reveal that digital finance influences ESG performance by promoting firm green innovation, improving firm goodwill and reducing agency costs. Moreover, political connections negatively moderate the relationship between digital finance and firm ESG performance, while regional institutional development positively moderates this relationship. Subdivision of digital finance dimension test shows that the main factors affecting ESG performance are the depth of use and the degree of digitization, while the breadth of coverage is not significant. Digital finance can also promote firm innovation by promoting ESG performance. This study integrates the value effect of digital finance with the concept of sustainable development, which has important theoretical and practical significance.</t>
  </si>
  <si>
    <t>SUB-NATIONAL INSTITUTIONS; CORPORATE GOVERNANCE; AGENCY COSTS; RESPONSIBILITY; INNOVATION; TRANSFORMATION; TECHNOLOGY; STRATEGIES</t>
  </si>
  <si>
    <t>Digital finance; Environmental Social and governance (ESG) performance; Sustainable development; Mechanism analysis; China</t>
  </si>
  <si>
    <t>How does digital finance affect firm environmental, social and governance (ESG) performance? - Evidence from Chinese listed firms</t>
  </si>
  <si>
    <t>Xue, Liuyang; Dong, Junan; Zha, Yifan</t>
  </si>
  <si>
    <t>Xue, LY; Dong, JA; Zha, YF</t>
  </si>
  <si>
    <t>WOS:000756143200001</t>
  </si>
  <si>
    <t>ZA4NV</t>
  </si>
  <si>
    <t>10.1080/23322039.2022.2039343</t>
  </si>
  <si>
    <t>Quaidoo, Christopher/0000-0001-9948-6597; Sekyi, Samuel/0000-0002-6693-2498;</t>
  </si>
  <si>
    <t>Quaidoo, Christopher/GZG-9972-2022; Sekyi, Samuel/ABC-2739-2021; Wiafe, Emmanuel/AAH-5445-2020</t>
  </si>
  <si>
    <t>ewiafe@gimpa.edu.gh</t>
  </si>
  <si>
    <t>Wiafe, EA (corresponding author), Ghana Inst Management &amp; Publ Adm GIMPA, Sch Liberal Arts &amp; Social Sci, Accra, Ghana.</t>
  </si>
  <si>
    <t>[Wiafe, Emmanuel Agyapong] Ghana Inst Management &amp; Publ Adm GIMPA Ghana, Sch Liberal Arts &amp; Social Sci, Dept Econ, Accra, Ghana; [Quaidoo, Christopher] Univ Profess Studies, Dept Banking &amp; Finance, Accra, Poland; [Sekyi, Samuel] Sd Dombo Univ Business &amp; Integrated Dev Studies, Dept Econ, Wa, Ghana</t>
  </si>
  <si>
    <t>Financial development impacts a country's economic growth and development. Due to this, many nations have sought new ways to bring about financial sector development. For developing economies, innovations in the financial sector are a sure bet for the development of financial inclusion. Mobile money is one of them. However, as the financial sector innovate, the Central Bank may lose control, rendering monetary policy ineffective. Therefore, this study examines one such innovation's effect on monetary policy effectiveness. Using SVAR and monthly data spanning from January 2012 to December 2018, the study found that monetary policy becomes less effective under mobile money growth. The study further revealed that policy rates respond to mobile money growth in Ghana. In conducting monetary policy in Ghana, the study recommends that the monetary policy authority includes mobile money activity.</t>
  </si>
  <si>
    <t>Mobile money; monetary policy effectiveness; monetary policy; output; inflation; SVAR</t>
  </si>
  <si>
    <t>Monetary policy effectiveness in the advent of mobile money activity: Empirical evidence from Ghana</t>
  </si>
  <si>
    <t>Wiafe, Emmanuel Agyapong; Quaidoo, Christopher; Sekyi, Samuel</t>
  </si>
  <si>
    <t>Wiafe, EA; Quaidoo, C; Sekyi, S</t>
  </si>
  <si>
    <t>WOS:001571240400001</t>
  </si>
  <si>
    <t>7HQ2M</t>
  </si>
  <si>
    <t>10.1007/s40847-025-00468-3</t>
  </si>
  <si>
    <t>2025 SEP 15</t>
  </si>
  <si>
    <t>divya.sharma@vips.edu</t>
  </si>
  <si>
    <t>Sharma, D (corresponding author), GGSIPU, VIPS TC, Delhi, India.;Sharma, D (corresponding author), Ambedkar Univ Delhi, Delhi, India.</t>
  </si>
  <si>
    <t>GGS Indraprastha University; Ambedkar University Delhi</t>
  </si>
  <si>
    <t>[Sharma, Divya] GGSIPU, VIPS TC, Delhi, India; [Sharma, Divya] Ambedkar Univ Delhi, Delhi, India</t>
  </si>
  <si>
    <t>The paper presents findings from a comprehensive study examining the saving and credit behavior of low-income households residing in unauthorized colonies within a metropolitan area. Utilizing a dual approach, the study engaged in prolonged fieldwork, including repeated fortnightly interviews with selected households and a one-time primary survey with a larger sample size. The research meticulously analyzed the financial lives of these households, focusing on their saving and credit behavior and assessing the accessibility and intensity of usage of financial instruments available to them. Through suitable regression models, the study identified key factors influencing the usage of financial instruments among low-income households. Transaction costs, convenience, and financial knowledge emerged as significant determinants impacting both usage decisions and the intensity of usage. The research underscores the importance of addressing demand-side factors to ensure widespread financial services usage among low-income groups. Efforts to reduce time costs, enhance product accessibility and liquidity, and augment financial literacy are essential for fostering financial inclusion in unauthorized colonies. The findings highlight the imperative of moving beyond mere financial access toward promoting universal usage to realize the full benefits of financial inclusion.</t>
  </si>
  <si>
    <t>Financial inclusion; Financial diaries; Saving and credit; Low-income households; G20; G21; G22; G28</t>
  </si>
  <si>
    <t>Unveiling saving and credit dynamics: insights from financial diaries and surveys among low-income households in unauthorized colonies in Delhi</t>
  </si>
  <si>
    <t>WOS:000619614400001</t>
  </si>
  <si>
    <t>QX8MT</t>
  </si>
  <si>
    <t>10.1108/IJSE-04-2020-0205</t>
  </si>
  <si>
    <t>MAR 17</t>
  </si>
  <si>
    <t>james, godwin/0000-0002-3890-4000</t>
  </si>
  <si>
    <t>Okon, Emmanuel/KBA-3664-2024; james, godwin/AGF-3071-2022</t>
  </si>
  <si>
    <t>ameoffiong@gmail.com</t>
  </si>
  <si>
    <t>Offiong, AI (corresponding author), Univ Calabar, Dept Banking &amp; Finance, Calabar, Nigeria.</t>
  </si>
  <si>
    <t>University of Calabar; University of Calabar</t>
  </si>
  <si>
    <t>[Offiong, Amenawo Ikpa; Riman, Hodo Bassey; James, Godwin Bassey; Ogar, Anthony; Mboto, Helen Walter] Univ Calabar, Dept Banking &amp; Finance, Calabar, Nigeria; [Okon, Emmanuel Ekpenyong] Univ Calabar, Business Management, Calabar, Nigeria</t>
  </si>
  <si>
    <t>Purpose The bedrock of growth in education is at the primary/basic education level, hence there is need to ensure that the populace not only enrolls but complete their education as well as maintain gender balancing. Financial inclusion is essential in achieving financial development which if properly tailored should result in economic growth and development. Education is an important development parameter, therefore, the purpose of this study is to assess if financial inclusiveness enhances primary school enrolment, completion and gender balancing. Design/methodology/approach In order to ascertain if financial inclusion (financial penetration, access and usage) enhances primary school education (primary school enrolment and completion) and gender balancing (primary school female-to-male ratio), the study employed the vector error correction modeling (VECM) to capture both short- and long-run dynamics of cointegration equations and also, ascertain how the long-run deviations are deemed corrected in the short run. Findings The findings of financial inclusion showed a significant positive effect on primary school enrollment but regarding primary school completion rate and female-to-male ratio, the responses to financial inclusion measures showed a completely negative effect. From the foregoing, it is not just sufficient to enroll school children but that they complete their basic primary education, and equally ensure that the males are not favored over the females so as to achieve gender balance literacy in the country. Originality/value The study focuses on how financial inclusion engenders admission, graduation and gender balancing in primary school education as the bedrock to formal education in Nigeria.</t>
  </si>
  <si>
    <t>Financial literacy; Financial development; Educational expectations; Financial access; Gender balancing; Primary school education</t>
  </si>
  <si>
    <t>Primary school enrolment rate, completion rate and gender balancing in Nigeria; the financial inclusion perspective</t>
  </si>
  <si>
    <t>Offiong, Amenawo Ikpa; Riman, Hodo Bassey; James, Godwin Bassey; Ogar, Anthony; Okon, Emmanuel Ekpenyong; Mboto, Helen Walter</t>
  </si>
  <si>
    <t>Offiong, AI; Riman, HB; James, GB; Ogar, A; Okon, EE; Mboto, HW</t>
  </si>
  <si>
    <t>WOS:001081599900003</t>
  </si>
  <si>
    <t>X5FY2</t>
  </si>
  <si>
    <t>10.1007/s11356-023-30199-z</t>
  </si>
  <si>
    <t>zsj17863691738@163.com</t>
  </si>
  <si>
    <t>Zhang, SJ (corresponding author), Shandong Normal Univ, Sch Econ, Jinan 250358, Peoples R China.</t>
  </si>
  <si>
    <t>Shandong Normal University; Nanjing Agricultural University</t>
  </si>
  <si>
    <t>[Song, Mingyue; Zhang, Shujuan; Sun, Wei] Shandong Normal Univ, Sch Econ, Jinan 250358, Peoples R China; [Yu, Jinxiang] Nanjing Agr Univ, Sch Econ &amp; Management, Nanjing 210095, Peoples R China</t>
  </si>
  <si>
    <t>This paper examines whether financial technology (FinTech) development affect household energy consumption. The proposed point that FinTech can reduce household energy consumption is theoretically discussed and empirically tested using data from the 2017 Digital Financial Inclusion Index, the 2018 China Family Panel Studies (CFPS), the 2018 China Environmental Statistical Yearbook and the 2018 China Science and Technology Statistical Yearbook. The results show that FinTech contributes to reducing household energy consumption. Several retests, including the instrumental variable, replacement sample and propensity score matching methods, prove its robustness. Mechanism tests show that investment in environmental governance and technological innovation promotion are the two main transmission channels. We also find that the reducing effect is more significant in the following groups: the low-middle income level classes, the eastern regional residents, those with bachelor's degrees and above, the those aged over 60 and rural residents. The outcomes of this paper call for government departments to positively guide FinTech development to reduce household energy consumption. From another perspective, the conclusions drawn from our analysis make a great reference value for countries and provide new ideas for Chinese carbon peaking and carbon neutralisation goals.</t>
  </si>
  <si>
    <t>ELECTRICITY CONSUMPTION; CARBON-EMISSIONS; ECONOMIC-GROWTH; FINTECH; INVESTMENT; DETERMINANTS; PERSPECTIVE; INNOVATION; KNOWLEDGE; BEHAVIOR</t>
  </si>
  <si>
    <t>Financial technology; Household energy consumption; Environmental governance investment; Technological innovation</t>
  </si>
  <si>
    <t>Can financial technology development reduce household energy consumption? Evidence from China</t>
  </si>
  <si>
    <t>Song, Mingyue; Zhang, Shujuan; Yu, Jinxiang; Sun, Wei</t>
  </si>
  <si>
    <t>Song, MY; Zhang, SJ; Yu, JX; Sun, W</t>
  </si>
  <si>
    <t>WOS:000450841500005</t>
  </si>
  <si>
    <t>VH1SE</t>
  </si>
  <si>
    <t>10.1080/17520843.2016.1173716</t>
  </si>
  <si>
    <t>Zulkhibri, Muhamed/0000-0003-4136-1411</t>
  </si>
  <si>
    <t>Zulkhibri, Muhamed/E-5974-2019</t>
  </si>
  <si>
    <t>khibri1974@yahoo.com</t>
  </si>
  <si>
    <t>Zulkhibri, M (corresponding author), Islamic Dev Bank, Islamic Res &amp; Training Inst, Jeddah, Saudi Arabia.</t>
  </si>
  <si>
    <t>Islamic Development Bank</t>
  </si>
  <si>
    <t>[Zulkhibri, Muhamed] Islamic Dev Bank, Islamic Res &amp; Training Inst, Jeddah, Saudi Arabia</t>
  </si>
  <si>
    <t>Using a qualitative analysis, the paper examines the links between financial inclusion and the Islamic financial services industry in Muslim countries. The findings show that, despite growth in the financial sector in many Muslim countries over the past few decades, many individuals and firms are still financially excluded. An analysis of the use of and access to financial services by adults and firms also shows that most Muslim countries lag behind other emerging economies in both respects, with a rate of financial inclusion of only 27%. Cost, distance, documentation, trust, and religious requirements are among the important obstacles. In addition, not surprisingly, the extent of Islamic microfinance is very limited, small by international standards; it accounts for a small proportion of microfinance, about 0.5% of global microfinance, and lacks a cost-efficient service model. This study suggests that Islamic instruments for redistributing income such as awqaf, qard-al-hassan, sadaqa, and zakah, can play a role in bringing more than 40 million people, who are financially excluded for religious reasons, into the formal financial system. The Islamic financial services industry has a long way to go in improving financial inclusion in many Muslim countries due to the scale needed and its relatively weak infrastructure.</t>
  </si>
  <si>
    <t>financial inclusion; growth; Islamic finance; institutions</t>
  </si>
  <si>
    <t>Financial inclusion, financial inclusion policy and Islamic finance</t>
  </si>
  <si>
    <t>Zulkhibri, Muhamed</t>
  </si>
  <si>
    <t>Zulkhibri, M</t>
  </si>
  <si>
    <t>WOS:001141117800016</t>
  </si>
  <si>
    <t>ET2R7</t>
  </si>
  <si>
    <t>10.2478/sbe-2023-0043</t>
  </si>
  <si>
    <t>Stud. Bus. Econ.</t>
  </si>
  <si>
    <t>STUD BUS ECON-ROM</t>
  </si>
  <si>
    <t>2344-5416</t>
  </si>
  <si>
    <t>1842-4120</t>
  </si>
  <si>
    <t>Rahmawati, Alni/0000-0003-3585-5124; iis, ahmad/0000-0003-0569-6396;</t>
  </si>
  <si>
    <t>; iis, ahmad/ABF-6643-2022; Surwanti, Arni/AAZ-9493-2021</t>
  </si>
  <si>
    <t>Idris, A (corresponding author), Univ Muhammadiyah Yogyakarta, Kabupaten Bantul, Daerah Istimewa, Indonesia.</t>
  </si>
  <si>
    <t>Universitas Muhammadiyah Yogyakarta; Gadjah Mada University</t>
  </si>
  <si>
    <t>[Idris, Ahmad; Rahmawati, Alni; Surwanti, Arni] Univ Muhammadiyah Yogyakarta, Kabupaten Bantul, Daerah Istimewa, Indonesia; [Hanafi, Mamduh M.] Univ Gadjah Mada, Sleman Regency, Special Region, Indonesia</t>
  </si>
  <si>
    <t>The study of financial literacy and sustainability has attracted much interest recently and is expanding quickly. This paper offers a trustworthly, consistent, and current financial literacy and sustainability analysis following bibliometric analysis and systematic literature review. Concerning 127 documents published between 2008 and October 2022, we specifically examined the co-occurrence of author keywords, co-citation analysis of cited references, and subsequent in-depth analysis. Results show that the following topics have received the most attention in analyzing financial literacy and sustainability research: (1) financial inclusion; (2) financial behaviour; (3) financial systems; and (4) decision-making. The trick-down growth and development theory, the consumption function theory, the resource-based view theory, and the theory of entrepreneurship are the theoretical pillars supporting this study's structure. Next, we create an integrative framework as the foundation for additional research. As a result, this review provides a thorough overview of financial literacy and sustainability research.</t>
  </si>
  <si>
    <t>INCLUSION; ACCESS; ENTREPRENEURSHIP; ENTERPRISES; INVESTMENT; MANAGERS</t>
  </si>
  <si>
    <t>Financial literacy; sustainability; bibliometric analysis; scopus</t>
  </si>
  <si>
    <t>STUDIES IN BUSINESS AND ECONOMICS</t>
  </si>
  <si>
    <t>Financial Literacy to Improve Sustainability: A Bibliometric Analysis</t>
  </si>
  <si>
    <t>Idris, Ahmad; Rahmawati, Alni; Surwanti, Arni; Hanafi, Mamduh M.</t>
  </si>
  <si>
    <t>Idris, A; Rahmawati, A; Surwanti, A; Hanafi, MM</t>
  </si>
  <si>
    <t>WOS:001066578500005</t>
  </si>
  <si>
    <t>R8CL4</t>
  </si>
  <si>
    <t>10.1371/journal.pone.0291020</t>
  </si>
  <si>
    <t>e0291020</t>
  </si>
  <si>
    <t>The research topic was supported by The Youth Incubator for Science and Technology Programme, managed by Youth Promotion Science and Technology Center-Ho Chi Minh Communist Youth Union and Department of Science and Technology of Ho Chi Minh City, the &amp; nbsp;contract number is 15/2022/HD-KHCNT-VU signed on 30th December 2022. The funders had no role in study design, data collection and analysis, decision to publish, or preparation of the manuscript.</t>
  </si>
  <si>
    <t>Youth Incubator for Science and Technology Programme</t>
  </si>
  <si>
    <t>Youth Incubator for Science and Technology Programme [15/2022/HD-KHCNT-VU]</t>
  </si>
  <si>
    <t>Ho, Chi/0000-0002-6400-185X; Hong Vo, Duc/0000-0001-7823-0349; Vo, Anh The/0000-0001-7939-8522;</t>
  </si>
  <si>
    <t>Ho, Chi/AAE-7805-2019; Hong Vo, Duc/R-1419-2019; Vo, Anh The/AAC-1434-2019; Nguyen, Ha/OXB-2229-2025</t>
  </si>
  <si>
    <t>duc.vhong@ou.edu.vn</t>
  </si>
  <si>
    <t>Vo, DH (corresponding author), Ho Chi Minh City Open Univ Vietnam, CBER Res Ctr Business Econ &amp; Resources, Ho Chi Minh City, Vietnam.</t>
  </si>
  <si>
    <t>Ho Chi Minh City Open University</t>
  </si>
  <si>
    <t>[Nguyen, Ha Son; Ho, Chi Minh; Vo, Anh The; Vo, Duc Hong] Ho Chi Minh City Open Univ Vietnam, CBER Res Ctr Business Econ &amp; Resources, Ho Chi Minh City, Vietnam</t>
  </si>
  <si>
    <t>Various studies have been conducted to measure financial inclusion at the country level. However, measuring financial inclusion at the household level has largely been neglected in the existing literature, particularly for emerging markets such as Vietnam. This study constructs an index of financial inclusion at the household level using the Vietnam Household Living Standard Surveys (VHLSS) in 2014, 2016, and 2018. We also identify the determinants of financial inclusion from the perspective of Vietnamese households. Our study also utilizes an ordered logit model to examine the effects of the determinants on each level of financial inclusion. Our empirical results reveal three key determinants, including (i) total income per household, (ii) relative income representing the difference between the average income of the province that the household currently lives in and the total income of this household, and (iii) the distance from the household to the nearest bank branch, are crucial factors driving the financial inclusion. While the total income per household positively enhances financial inclusion, relative income appears to reduce the degree of financial inclusion. Besides, distance to the nearest bank branch poses another challenge in achieving the financial inclusion goals in Vietnam in the future.</t>
  </si>
  <si>
    <t>INCOME; POVERTY; INEQUALITY; ACCESS; CREDIT</t>
  </si>
  <si>
    <t>The determinants of financial inclusion from the households' perspectives in Vietnam</t>
  </si>
  <si>
    <t>Nguyen, Ha Son; Ho, Chi Minh; Vo, Anh The; Vo, Duc Hong</t>
  </si>
  <si>
    <t>Nguyen, H; Ho, CM; Vo, AT; Vo, DH</t>
  </si>
  <si>
    <t>WOS:001465635400007</t>
  </si>
  <si>
    <t>1IF4G</t>
  </si>
  <si>
    <t>Health Care Sciences &amp; Services; Public, Environmental &amp; Occupational Health; Psychiatry</t>
  </si>
  <si>
    <t>Health Policy &amp; Services; Public, Environmental &amp; Occupational Health; Psychiatry</t>
  </si>
  <si>
    <t>10.1176/appi.ps.20240210</t>
  </si>
  <si>
    <t>Psychiatr. Serv.</t>
  </si>
  <si>
    <t>PSYCHIAT SERV</t>
  </si>
  <si>
    <t>1557-9700</t>
  </si>
  <si>
    <t>1075-2730</t>
  </si>
  <si>
    <t>800 MAINE AVE SW, SUITE 900, WASHINGTON, DC 20024 USA</t>
  </si>
  <si>
    <t>AMER PSYCHIATRIC PUBLISHING, INC</t>
  </si>
  <si>
    <t>This study was funded by the National Institute on Disability, Independent Living, and Rehabilitation Research, Administration for Community Living, U.S. Department of Health and Human Services (awards 90IFRE0042, 90RT5038, and 90RTHF0004) .</t>
  </si>
  <si>
    <t>National Institute on Disability, Independent Living, and Rehabilitation Research, Administration for Community Living, U.S. Department of Health and Human Services</t>
  </si>
  <si>
    <t>National Institute on Disability, Independent Living, and Rehabilitation Research, Administration for Community Living, U.S. Department of Health and Human Services [90IFRE0042, 90RT5038, 90RTHF0004]</t>
  </si>
  <si>
    <t>Cook, Judith/0000-0001-7851-0690; Burke-Miller, Jane/0000-0002-5480-9433</t>
  </si>
  <si>
    <t>Cook, Judith/JYQ-5962-2024; Burke-Miller, Jane/V-5904-2019</t>
  </si>
  <si>
    <t>jcook@uic.edu</t>
  </si>
  <si>
    <t>Cook, JA (corresponding author), Univ Illinois, Dept Psychiat, Chicago, IL 60607 USA.</t>
  </si>
  <si>
    <t>University of Illinois System; University of Illinois Chicago; University of Illinois Chicago Hospital; Rutgers University System; Rutgers University New Brunswick</t>
  </si>
  <si>
    <t>[Cook, Judith A.; Steigman, Pamela J.; Jonikas, Jessica A.; Johnson, Sean; Cortez, Claudia; Burke-Miller, Jane K.] Univ Illinois, Dept Psychiat, Chicago, IL 60607 USA; [Brice III, George; Swarbrick, Margaret] Collaborat Support Programs New Jersey, Freehold, NJ USA; [Swarbrick, Margaret] Rutgers State Univ, Ctr Alcohol &amp; Subst Use Studies, Grad Sch Appl &amp; Profess Psychol, New Brunswick, NJ USA</t>
  </si>
  <si>
    <t>Objective: Many people receiving services for psychiatric disorders live on low incomes, navigate complex financial situations, and have limited economic security. The authors sought to determine whether a financial wellness intervention delivered virtually by peers would increase financial literacy, reduce economic strain, and improve financial competency. Methods: One hundred participants receiving services for psychiatric disorders were recruited from community programs and via social media and were randomly assigned (1:1) to receive either an intervention called Building Financial Wellness (N=51) or services as usual (N=49). The intervention involved six virtual 1.5-hour group sessions, followed by three virtual one-on-one booster sessions. Outcomes were assessed with the Consumer Financial Protection Bureau's Financial Well-Being Scale (primary), Financial Strain Questionnaire, Financial Capability Scale, and Financial Self-Sufficiency Scale. Knowledge regarding money management was measured with a financial literacy assessment based on class content. Intent-to-treat longitudinal multivariable analysis included random-effects linear and logistic regression models. Results: Overall, 86% of the study participants either lived in poverty (46%) or met the federal definition of low income (40%). Participants assigned to the intervention had greater improvement over time in financial well-being, capability, strain, self-sufficiency, and literacy. Satisfaction with the intervention was high. Reports from participants receiving booster sessions indicated that ongoing support facilitated their achievement of longer-term financial goals. Conclusions: Provision of financial education and support improved monetary well-being, competence, and literacy. With poverty long considered to be an intractable problem associated with psychiatric disorders, peer-taught financial education focused on financial wellness can help people acquire money management skills and manage economic stressors.</t>
  </si>
  <si>
    <t>MENTAL-HEALTH; RECOVERY; SECURITY; DISORDER; POVERTY; PEOPLE</t>
  </si>
  <si>
    <t>PSYCHIATRIC SERVICES</t>
  </si>
  <si>
    <t>Building Financial Wellness: Randomized Controlled Trial of a Financial Education and Support Intervention</t>
  </si>
  <si>
    <t>Cook, Judith A.; Steigman, Pamela J.; Jonikas, Jessica A.; Brice III, George; Johnson, Sean; Cortez, Claudia; Burke-Miller, Jane K.; Swarbrick, Margaret</t>
  </si>
  <si>
    <t>Cook, JA; Steigman, PJ; Jonikas, JA; George, B III; Johnson, S; Cortez, C; Burke-Miller, JK; Swarbrick, M</t>
  </si>
  <si>
    <t>WOS:000367121100006</t>
  </si>
  <si>
    <t>CZ5CW</t>
  </si>
  <si>
    <t>10.1016/j.ememar.2015.05.002</t>
  </si>
  <si>
    <t>We thank Ruth Dueck Mbeba, Julie Earne, Tor Jansson, Maria Soledad Martinez Peria, Peer Stein, and Colin Xu for very helpful comments. The findings, interpretations, and conclusions expressed in this paper are entirely those of the authors. They do not necessarily represent the views of the World Bank, its Executive Directors, or the countries they represent This research was funded under the Partnership for Financial Inclusion in Sub-Saharan Africa. The Partnership is between The MasterCard Foundation and IFC bringing together the intellectual and financial capital of the Foundation with IFC's market knowledge, expertise and client base. The partnership is also joined by The Development Bank of Austria, OeEB, and collaborates with knowledge partners such as the World Bank and CGAP.</t>
  </si>
  <si>
    <t>MasterCard Foundation; IFC</t>
  </si>
  <si>
    <t>rcull@worldbank.org</t>
  </si>
  <si>
    <t>Cull, R (corresponding author), World Bank, Dev Econ Res Grp, 1818 H St NW, Washington, DC 20433 USA.</t>
  </si>
  <si>
    <t>[Cull, Robert; Nishida, Ippei; Rusu, Anca Bogdana] World Bank, Dev Econ Res Grp, Washington, DC 20433 USA; [Harten, Sven; Bull, Greta] Int Finance Corp, Washington, DC USA</t>
  </si>
  <si>
    <t>We use regressions to benchmark African greenfield microfinance institutions (MFIs) relative to other African microfinance providers and find that greenfields grew faster, improved profitability to levels comparable to the top MFIs, and substantially increased their lending to women. Effects were strongest for greenfields that followed a consultant-led model to establish a deep retail banking presence spanning multiple countries, including the creation of extensive branch networks. Though their loan sizes are larger than most African MFIs, indicating less outreach to the poorest market segments, they have achieved rapid gains in financial inclusion on a broad scale for somewhat more affluent clients. (C) 2015 Published by Elsevier B.V.</t>
  </si>
  <si>
    <t>MICROFINANCE INSTITUTIONS; FOREIGN BANKS; IMPACT; ENTRY</t>
  </si>
  <si>
    <t>Microfinance; Africa; Financial inclusion</t>
  </si>
  <si>
    <t>Benchmarking the financial performance, growth, and outreach of greenfield MFIs in Africa</t>
  </si>
  <si>
    <t>Cull, Robert; Harten, Sven; Nishida, Ippei; Rusu, Anca Bogdana; Bull, Greta</t>
  </si>
  <si>
    <t>Cull, R; Harten, S; Nishida, I; Rusu, AB; Bull, G</t>
  </si>
  <si>
    <t>WOS:000847534200001</t>
  </si>
  <si>
    <t>10.3138/topia-2022-0015</t>
  </si>
  <si>
    <t>e20220015</t>
  </si>
  <si>
    <t>Hearn, A (corresponding author), Canadian Assoc Univ Teachers CAUT, Acad Freedom &amp; Tenure Comm, Toronto, ON, Canada.</t>
  </si>
  <si>
    <t>[Hearn, Alison] Canadian Assoc Univ Teachers CAUT, Acad Freedom &amp; Tenure Comm, Toronto, ON, Canada</t>
  </si>
  <si>
    <t>Fintech start-ups, such as Zest AI and LenddoEFL, promise enhanced levels of financial inclusion via the creation of re-socialized credit profiles derived from accessing clients' online banking habits and social media accounts. As our social data becomes credit data, the performance of appropriate online selfhood can now, quite literally, become money.This article explores the reputational demands, disciplines, and contradictions of ostensibly alternative computational/platformed credit scoring. It argues that the world of surveillance capitalism involves the maintenance of a relentlessly promotional value chain. As we are summoned to assiduously self-promote online in pursuit of a creditable reputation and financial inclusion, the self-reflexive promotional logics of the platforms themselves work to remake the world in their own image, paradoxically undermining the productive economic assumptions upon which they are predicated.</t>
  </si>
  <si>
    <t>creditability; promotion; selfhood; fintech; platforms; finance capitalism; social movements</t>
  </si>
  <si>
    <t>Into Human Flesh and the Human Heart: On Promotionalism and the Long Con of Fintech Credit-Scoring</t>
  </si>
  <si>
    <t>Hearn, Alison</t>
  </si>
  <si>
    <t>Hearn, A</t>
  </si>
  <si>
    <t>WOS:001550194800001</t>
  </si>
  <si>
    <t>6CQ9Q</t>
  </si>
  <si>
    <t>10.32372/ChJS.16-01-01</t>
  </si>
  <si>
    <t>Chil. J. Stat.</t>
  </si>
  <si>
    <t>CHIL J STAT</t>
  </si>
  <si>
    <t>0718-7920</t>
  </si>
  <si>
    <t>0718-7912</t>
  </si>
  <si>
    <t>CASILLA 306, CORREO 22, SANTIAGO, 00000, CHILE</t>
  </si>
  <si>
    <t>SANTIAGO</t>
  </si>
  <si>
    <t>SOC CHILENA ESTADISTICA-SOCHE</t>
  </si>
  <si>
    <t>This research was supported by a grant from Caja de Compensacion Los Andes. The first author was also partially funded by the Millennium Nucleus on Intergenerational Mobility: From Modelling to Policy (MOVI), grant NCS2021072, of the Millennium Science Initiative, which is a program of the Chilean National Agency for Research and Development (ANID) under the Ministry of Science, Technology, Knowledge and Innovation.</t>
  </si>
  <si>
    <t>Caja de Compensacion Los Andes; Millennium Nucleus on Intergenerational Mobility: From Modelling to Policy (MOVI) of the Millennium Science Initiative under the Ministry of Science, Technology, Knowledge and Innovation</t>
  </si>
  <si>
    <t>Caja de Compensacion Los Andes; Millennium Nucleus on Intergenerational Mobility: From Modelling to Policy (MOVI) of the Millennium Science Initiative under the Ministry of Science, Technology, Knowledge and Innovation [NCS2021072]</t>
  </si>
  <si>
    <t>San+Martín, Ernesto/AAQ-2374-2021</t>
  </si>
  <si>
    <t>esanmar@uc.cl</t>
  </si>
  <si>
    <t>San Martin, E (corresponding author), Millennium Nucleus Intergenerat Mobil Modelling Po, Santiago, Chile.;San Martin, E (corresponding author), Pontificia Univ Catolica Chile, Fac Math, Santiago, Chile.;San Martin, E (corresponding author), Catholic Univ Louvain, LIDAM CORE, Louvain, Belgium.</t>
  </si>
  <si>
    <t>Pontificia Universidad Catolica de Chile; Universite Catholique Louvain</t>
  </si>
  <si>
    <t>[San Martin, Ernesto] Millennium Nucleus Intergenerat Mobil Modelling Po, Santiago, Chile; [San Martin, Ernesto] Pontificia Univ Catolica Chile, Fac Math, Santiago, Chile; [San Martin, Ernesto] Catholic Univ Louvain, LIDAM CORE, Louvain, Belgium; [Graell, Maria Soledad] Caja Compensac Los Andes, Gerencia Sostenibil, Santiago, Chile; [Maldonado, Carolina] Caja Compensac Los Andes, Subgerencia Clientes, Santiago, Chile; [Borquez, Macarena] Caja Compensac Los Andes, Gerencia Mkt, Santiago, Chile; [Canales, Ivan] Caja Compensac Los Andes, Chapter Adv Analyt, Santiago, Chile; [Maldonado, Carolina] Caja Compensac Los Andes, Tapp, Santiago, Chile</t>
  </si>
  <si>
    <t>Financial literacy and education have become pivotal on the global policy agenda, as reflected in initiatives such as the Organisation for Economic Co-operation and Development / International Network on Financial Education High-Level Principles on National Strategies for Financial Education. To improve financial well-being, Caja de Compensacion Los Andes and Tapp implemented the Financial Inclusion I90 Program (I90 Program) in Los Muermos, Chile. However, challenges related to participant consent and compliance within the treatment-control design introduced biases that compromised the study's internal validity. This article presents an alternative methodology for impact evaluation based on partial-identification techniques to address these uncertainties and biases. By modeling a range of plausible counterfactual behaviors, the proposed approach delineates partial-identification regions for key probabilities, thereby quantifying the extent of uncertainty in the findings. Furthermore, it emphasizes that impact evaluation should inform policy decisions -consistent with Neyman's concept of inductive behavior-rather than merely predict outcomes in similar contexts. Ultimately, the method offers a framework on evaluation by incorporating policymakers' beliefs and explicitly acknowledging inherent uncertainties. By quantifying potential risks through partial-identification regions, it enables more informed and flexible policy decisions based on a realistic appraisal of implementation challenges.</t>
  </si>
  <si>
    <t>CAUSAL INFERENCE; PROPENSITY SCORE; IDENTIFICATION</t>
  </si>
  <si>
    <t>Causal inference; Impact evaluation; Inductive behavior; Non-compliance; Partial identification</t>
  </si>
  <si>
    <t>CHILEAN JOURNAL OF STATISTICS</t>
  </si>
  <si>
    <t>A statistical methodology for assessing the impact of the Financial Inclusion 90 Program under limited compliance</t>
  </si>
  <si>
    <t>San Martin, Ernesto; Graell, Maria Soledad; Maldonado, Carolina; Borquez, Macarena; Canales, Ivan</t>
  </si>
  <si>
    <t>San Martin, E; Graell, MS; Maldonado, C; Borquez, M; Canales, I</t>
  </si>
  <si>
    <t>WOS:000669545600001</t>
  </si>
  <si>
    <t>TM0TB</t>
  </si>
  <si>
    <t>10.1108/IJOES-02-2021-0040</t>
  </si>
  <si>
    <t>Othman, Anwar/0000-0001-5759-8216;</t>
  </si>
  <si>
    <t>; Othman, Anwar/U-3214-2019</t>
  </si>
  <si>
    <t>aakatsina@yahoo.com; anwarhasan@iium.edu.my</t>
  </si>
  <si>
    <t>Abdullahi, A (corresponding author), Cent Bank Nigeria, Dept Strategy Management, Abuja, Nigeria.</t>
  </si>
  <si>
    <t>Central Bank of Nigeria; International Islamic University Malaysia</t>
  </si>
  <si>
    <t>[Abdullahi, Abdurrahman] Cent Bank Nigeria, Dept Strategy Management, Abuja, Nigeria; [Othman, Anwar Hasan Abdullah] Int Islamic Univ Malaysia, IIUM Inst Islamic Banking &amp; Finance, Kuala Lumpur, Malaysia</t>
  </si>
  <si>
    <t>Purpose This paper aims to examine the determinants of intention to adopt Islamic microfinance among prospective customers in Nigeria, to enhance access to formal financial services. Design/methodology/approach The quantitative study used the proportionate stratified random sampling technique to collect data from 450 respondents, using close-ended questionnaires. The data was analyzed using analysis of moment structures-structural equation modeling. The decomposed theory of planned behavior (DTPB) was used as the underlying theory to test 10 hypotheses. Findings Results showed the intention toward the adoption of Islamic microfinance is high in Nigeria. In total, 8 of the 10 study hypotheses were supported, out of which attitude, subjective norm and perceived behavioral control were found to have a positive and significant influence on the behavioral intention to adopt Islamic microfinance. Consequently, the study recommends the need for stakeholders in the Nigerian financial system to embark on enlightenment campaigns that will improve the public attitude on the role of Islamic microfinance banks in the promotion of financial inclusion and poverty reduction. Research limitations/implications The study focused specifically on three selected states in Northern Nigeria that are predominantly Muslim. The findings and indeed the conclusions of the study, may not be suitable for generalization to other parts of the country. Practical implications The study found that three constructs: attitude, subjective norms and perceived behavioral control were found to affect behavioral intention. Thus, the Central Bank of Nigeria and Islamic financial institutions should tailor their enlightenment campaigns toward improving public attitude on the need to adopt Islamic microfinance banks to further enhance financial inclusion, and thus reduce the incidence of poverty. Islamic microfinance banks should complement their commercial products and services with Islamic social finance products such as Sadaqat, Zakat and benevolent loan, as is the practice in jurisdictions where Islamic finance is institutionalized. Social implications The social implication of the study is its ability to determine factors that will enhance financial inclusion in Nigeria. This will assist in reducing poverty and income inequality. Originality/value The study was also able to extend the DTPB by introducing awareness as an additional latent construct in explaining attitude.</t>
  </si>
  <si>
    <t>BEHAVIOR; GUIDE</t>
  </si>
  <si>
    <t>Behavioral finance; Islamic finance; Islamic microfinance; Financial inclusion</t>
  </si>
  <si>
    <t>Financial inclusion enhancement through the adoption of Islamic microfinance in Nigeria</t>
  </si>
  <si>
    <t>Abdullahi, Abdurrahman; Othman, Anwar Hasan Abdullah</t>
  </si>
  <si>
    <t>Abdullahi, A; Othman, AHA</t>
  </si>
  <si>
    <t>WOS:000474467903031</t>
  </si>
  <si>
    <t>BN1HE</t>
  </si>
  <si>
    <t>Computer Science, Cybernetics; Computer Science, Information Systems; Computer Science, Theory &amp; Methods</t>
  </si>
  <si>
    <t>10.1145/3290605.3300490</t>
  </si>
  <si>
    <t>978-1-4503-5970-2</t>
  </si>
  <si>
    <t>This research was funded by Karandaaz Pakistan (Pvt) Ltd. The authors thank Karandaaz, Information Technology University, and BMGF for support of this work.</t>
  </si>
  <si>
    <t>Karandaaz Pakistan (Pvt) Ltd.; BMGF; Karandaaz; Information Technology University</t>
  </si>
  <si>
    <t>Razaq, Lubna/0000-0002-0020-2804</t>
  </si>
  <si>
    <t>maryam.mustafa@itu.edu.pk; noor.mazhar@itu.edu.pk; ayesha.asghar@itu.edu.pk; maryem.zafar@itu.edu.pk; lubna.razaq@itu.edu.pk; anderson@cs.washington.edu</t>
  </si>
  <si>
    <t>Mustafa, M (corresponding author), Informat Technol Univ, Lahore, Pakistan.</t>
  </si>
  <si>
    <t>University of Washington; University of Washington Seattle</t>
  </si>
  <si>
    <t>[Mustafa, Maryam; Mazhar, Noor; Asghar, Ayesha; Usmani, Maryem Zafar; Razaq, Lubna] Informat Technol Univ, Lahore, Pakistan; [Anderson, Richard] Univ Washington, Seattle, WA 98195 USA</t>
  </si>
  <si>
    <t>This paper studies the use of Digital Financial Services (DFS) as a solution to women's financial inclusion in deeply patriarchal, resource constrained communities. Through a qualitative, empirical study we map the financial life cycles of 20 women micro-entrepreneurs in different cities in Pakistan and the challenges they face. We explore how technology is currently influencing these women's businesses and personal lives and reveal how mobile money is not tuned to the problems they face and their financial needs. We present alternate design directions for meeting the technological and financial needs of these women, circumnavigating the patriarchal structures that constrain them.</t>
  </si>
  <si>
    <t>GENDER; ECONOMICS</t>
  </si>
  <si>
    <t>low-resource; women; DFS; financial inclusion; gender</t>
  </si>
  <si>
    <t>Assoc Comp Machinery,ACM SIGCHI</t>
  </si>
  <si>
    <t>Glasgow, SCOTLAND</t>
  </si>
  <si>
    <t>MAY 04-09, 2019</t>
  </si>
  <si>
    <t>CHI Conference on Human Factors in Computing Systems (CHI)</t>
  </si>
  <si>
    <t>CHI 2019: PROCEEDINGS OF THE 2019 CHI CONFERENCE ON HUMAN FACTORS IN COMPUTING SYSTEMS</t>
  </si>
  <si>
    <t>Digital Financial Needs of Micro-entrepreneur Women in Pakistan: Is Mobile Money the Answer?</t>
  </si>
  <si>
    <t>Mustafa, Maryam; Mazhar, Noor; Asghar, Ayesha; Usmani, Maryem Zafar; Razaq, Lubna; Anderson, Richard</t>
  </si>
  <si>
    <t>Mustafa, M; Mazhar, N; Asghar, A; Usmani, MZ; Razaq, L; Anderson, R</t>
  </si>
  <si>
    <t>WOS:000699755700007</t>
  </si>
  <si>
    <t>UV8YE</t>
  </si>
  <si>
    <t>10.1891/JFCP-19-00002</t>
  </si>
  <si>
    <t>Kim, Kyoung Tae/0000-0002-0673-721X;</t>
  </si>
  <si>
    <t>; Lee, Jonghee/GZN-1714-2022</t>
  </si>
  <si>
    <t>ktkim@ches.ua.edu; jae-min.lee@mnsu.edu; jay.jongheelee@gmail.com</t>
  </si>
  <si>
    <t>Kim, KT (corresponding author), Univ OfAlabama, Dept Consumer Sci, 316-C Adams Hall,Box 870158, Tuscaloosa, AL 35487 USA.</t>
  </si>
  <si>
    <t>Minnesota State Colleges &amp; Universities; Minnesota State University Mankato; Inha University</t>
  </si>
  <si>
    <t>[Kim, Kyoung Tae] Univ OfAlabama, Dept Consumer Sci, 316-C Adams Hall,Box 870158, Tuscaloosa, AL 35487 USA; [Lee, Jae Min] Minnesota State Univ, Dept Family Consumer Sci, 102 Wiecking Ctr, Mankato, MN 56001 USA; [Lee, Jonghee] Inha Univ, Dept Consumer Sci, 100 Inha Ro, Incheon 22212, South Korea</t>
  </si>
  <si>
    <t>We examined the relationship between holding a student loan and financial satisfaction and financial education's moderating role using the 2015 National Financial Capability Study dataset. Households with a student loan had lower levels of financial satisfaction than those without one. We found a moderating role of receiving both formal and informal financial education on the relationship between a student loan and financial satisfaction, regardless of for whom the loans were taken. Our findings confirm the importance of financial education and suggest that receiving a thorough combination of formal and informal education will improve student loan holders' financial satisfaction.</t>
  </si>
  <si>
    <t>DEBT; CAPABILITY; SOCIALIZATION; WELLNESS; BEHAVIOR; IMPACT; INCOME</t>
  </si>
  <si>
    <t>financial education; financial satisfaction; National Financial Capability Study; student loan</t>
  </si>
  <si>
    <t>Student Loans and Financial Satisfaction: The Moderating Role of Financial Education</t>
  </si>
  <si>
    <t>Kim, Kyoung Tae; Lee, Jae Min; Lee, Jonghee</t>
  </si>
  <si>
    <t>Kim, KT; Lee, JM; Lee, J</t>
  </si>
  <si>
    <t>WOS:000455712000005</t>
  </si>
  <si>
    <t>BL7WO</t>
  </si>
  <si>
    <t>10.1145/3151470.3151473</t>
  </si>
  <si>
    <t>978-1-4503-5429-5</t>
  </si>
  <si>
    <t>This work was partially supported by Leidos, a J. Wayne and Kathy Richards Faculty Fellow in Engineering. Special thanks to Joel De la paz Perez, for his insightful comments for the paper study, and to our participants.</t>
  </si>
  <si>
    <t>Leidos</t>
  </si>
  <si>
    <t>Romero, Mario/F-8103-2017</t>
  </si>
  <si>
    <t>cc0051@mail.wvu.edu; eduardo@bitso.com; saiph.savage@mail.wvu.edu</t>
  </si>
  <si>
    <t>Chiang, CW (corresponding author), West Virginia Univ, Morgantown, WV 26506 USA.</t>
  </si>
  <si>
    <t>West Virginia University; Universidad Nacional Autonoma de Mexico</t>
  </si>
  <si>
    <t>[Chiang, Chun-Wei; Anderson, Caroline; Flores-Saviaga, Claudia; Savage, Saiph] West Virginia Univ, Morgantown, WV 26506 USA; [Colin, Felipe; Elva Chavez, Norma] Univ Nacl Autonoma Mexico, Mexico City, DF, Mexico; [Rivera-Loaiza, Cuauhtemoc] Univ Michoacana San, Morelia, Michoacan, Mexico; [Arenas, Eduardo, Jr.; Romero, Mario] Bitso, Mexico City, DF, Mexico; [Anderson, Caroline] Univ High Sch, Morgantown, WV USA</t>
  </si>
  <si>
    <t>Mobile money can facilitate financial inclusion in developing countries, which usually have high mobile phone use and steady remittance activity. Many countries in Latin America meet the minimum technological requirements to use mobile money, however, the adoption in this region is relatively low. This paper investigates the different factors that lead people in Latin America to distrust and therefore not adopt mobile money. For this purpose, we analyzed 27 mobile money applications on the market and investigated the perceptions that people in Latin America have of such interfaces. From our study, we singled out the interface features that have the greatest influence in user adoption in developing countries. We identified that for the Latin America market it is crucial to create mobile applications that allow the user to visualize and understand the workflow through which their money is traveling to recipients. We examined the significance of these findings in the design of future mobile money applications that can effectively improve the use of electronic financial transactions in Latin America.</t>
  </si>
  <si>
    <t>E-BANKING; ADOPTION; TRUST; SERVICES</t>
  </si>
  <si>
    <t>Mobile money; user adoption; mobile interface</t>
  </si>
  <si>
    <t>Antigua Guatemala, GUATEMALA</t>
  </si>
  <si>
    <t>NOV 08-10, 2017</t>
  </si>
  <si>
    <t>VIII Latin American Conference in Human Computer Interaction (CLIHC)</t>
  </si>
  <si>
    <t>CLIHC'17: PROCEEDINGS OF THE 8TH LATIN AMERICAN CONFERENCE ON HUMAN-COMPUTER INTERACTION</t>
  </si>
  <si>
    <t>Understanding Interface Design and Mobile Money Perceptions in Latin America</t>
  </si>
  <si>
    <t>Chiang, Chun-Wei; Anderson, Caroline; Flores-Saviaga, Claudia; Arenas, Eduardo, Jr.; Colin, Felipe; Romero, Mario; Rivera-Loaiza, Cuauhtemoc; Elva Chavez, Norma; Savage, Saiph</t>
  </si>
  <si>
    <t>Chiang, CW; Anderson, C; Flores-Saviaga, C; Arenas, E; Colin, F; Romero, M; Rivera-Loaiza, C; Chavez, NE; Savage, S</t>
  </si>
  <si>
    <t>WOS:001373471000001</t>
  </si>
  <si>
    <t>O8H5A</t>
  </si>
  <si>
    <t>10.1108/EJIM-04-2024-0462</t>
  </si>
  <si>
    <t>Eur. J. Innov. Manag.</t>
  </si>
  <si>
    <t>EUR J INNOV MANAG</t>
  </si>
  <si>
    <t>1758-7115</t>
  </si>
  <si>
    <t>1460-1060</t>
  </si>
  <si>
    <t>Funding: Co-financed by the Minister of Science under the Regional Excellence Initiative programme.</t>
  </si>
  <si>
    <t>Minister of Science under the Regional Excellence Initiative programme</t>
  </si>
  <si>
    <t>Szopik-Depczyńska, Katarzyna/0000-0002-3054-0660; Ioppolo, Giuseppe/0000-0003-0262-8435; Promise Offiong, Uwakmfon/0000-0003-3325-750X</t>
  </si>
  <si>
    <t>Szopik-Depczyńska, Katarzyna/AAZ-5033-2020; Cheba, Katarzyna/H-4282-2016</t>
  </si>
  <si>
    <t>uwakmfon.offiong@phd.usz.edu.pl; katarzyna.szopik-depczynska@usz.edu.pl; katarzyna.cheba@zut.edu.pl; giuseppe.ioppolo@unime.it</t>
  </si>
  <si>
    <t>Ioppolo, G (corresponding author), Univ Messina, Dept Econ, Messina, Italy.</t>
  </si>
  <si>
    <t>University of Szczecin; University of Szczecin; West Pomeranian University of Technology; University of Messina</t>
  </si>
  <si>
    <t>[Offiong, Uwakmfon Promise] Univ Szczecin, Doctoral Sch, Szczecin, Poland; [Szopik-Depczynska, Katarzyna] Univ Szczecin, Inst Management, Szczecin, Poland; [Cheba, Katarzyna] West Pomeranian Univ Technol, Fac Econ, Szczecin, Poland; [Ioppolo, Giuseppe] Univ Messina, Dept Econ, Messina, Italy</t>
  </si>
  <si>
    <t>Purpose - The main purpose of the paper is to identify the most important directions of research to date and to indicate new, emerging areas of research concerned with application of financial technology (FinTech) solutions in microfinance companies. Design/methodology/approach - This paper systematically reviews the literature on FinTech in microfinance, highlighting its role in enhancing operational efficiency, customer experience and financial inclusion through technologies like blockchain and AI. Despite these advancements, significant gaps remain in understanding the key drivers of FinTech as a digital innovation, most important direction of research to date and emerging areas for future research in microfinance literature. This paper has attempted to systematise the results of the research carried out so far, based on the publications indexed in the Web of Science and Scopus databases, using selected multidimensional statistical methods. Findings - The findings identify key themes, gaps and future research directions, shedding light on the strategic implications of digital technology in microfinance. This comprehensive analysis significantly advances the understanding of how FinTech enhances microfinance management operations and objectives, contributing to both academic discourse and practical applications. Originality/value - The research's novelty lies in its focussed exploration of digital innovation within microfinance, an area that remains relatively underexplored. No similar paper was found during the literature review.</t>
  </si>
  <si>
    <t>ARTIFICIAL-INTELLIGENCE; BANKING; INVESTMENT; INTENTION; MODELS</t>
  </si>
  <si>
    <t>Financial technology; FinTech; Digital innovation; Microfinance companies; Literature review; Correspondence analysis</t>
  </si>
  <si>
    <t>EUROPEAN JOURNAL OF INNOVATION MANAGEMENT</t>
  </si>
  <si>
    <t>FinTech as a digital innovation in microfinance companies - systematic literature review</t>
  </si>
  <si>
    <t>Offiong, Uwakmfon Promise; Szopik-Depczynska, Katarzyna; Cheba, Katarzyna; Ioppolo, Giuseppe</t>
  </si>
  <si>
    <t>Offiong, UP; Szopik-Depczynska, K; Cheba, K; Ioppolo, G</t>
  </si>
  <si>
    <t>WOS:000351219200012</t>
  </si>
  <si>
    <t>CD6SI</t>
  </si>
  <si>
    <t>10.1111/joca.12063</t>
  </si>
  <si>
    <t>max.schmeiser@frb.gov</t>
  </si>
  <si>
    <t>The Financial Literacy and Education Commission (FLEC) was established by Congress in 2003 to improve the financial literacy and education of persons in the United States. As part of its mission, the FLEC partnered with the Journal of Consumer Affairs to publish a special issue to promote research on financial literacy and financial capability, as well as host a symposium for policymakers that highlighted the findings from the resulting research. This editorial discusses the key insights for policymakers that emerged from the research published here in the special issue.</t>
  </si>
  <si>
    <t>Starting Early for Financial Success: Capability into Action</t>
  </si>
  <si>
    <t>Schmeiser, Maximilian D.</t>
  </si>
  <si>
    <t>Schmeiser, MD</t>
  </si>
  <si>
    <t>WOS:000823825700001</t>
  </si>
  <si>
    <t>6T9FV</t>
  </si>
  <si>
    <t>10.1080/2330443X.2022.2086191</t>
  </si>
  <si>
    <t>Stat. Public Policy</t>
  </si>
  <si>
    <t>STAT PUBLIC POLICY</t>
  </si>
  <si>
    <t>2330-443X</t>
  </si>
  <si>
    <t>david.puelz@mccombs.utexas.edu</t>
  </si>
  <si>
    <t>Puelz, D (corresponding author), Univ Texas Austin, Austin, TX 78712 USA.</t>
  </si>
  <si>
    <t>University of Texas System; University of Texas Austin; Southern Methodist University</t>
  </si>
  <si>
    <t>[Puelz, David] Univ Texas Austin, Austin, TX 78712 USA; [Puelz, Robert] Southern Methodist Univ, Dallas, TX USA</t>
  </si>
  <si>
    <t>We explore the relationship between financial literacy and self-reported, reflective economic outcomes from respondents using survey data from the United States. Our dataset includes a large number of covariates from the National Financial Capability Study (NFCS), widely used by literacy researchers, and we use a new econometric technique developed by Hahn et al., designed specifically for causal inference from observational data, to test whether changes in financial literacy infer meaningful changes in self-perceived economic outcomes. We find a negative treatment parameter on financial literacy consistent with the recent work of Netemeyer et al. and contrary to the presumption in many empirical studies that associate standard financial outcome measures with financial literacy. We conclude with a discussion of heterogeneity of the financial literacy treatment effect on household income, gender, and education level sub-populations. Our findings on the relationship between financial literacy and reflective economic outcomes also raise questions about its importance to an individual's financial well-being.</t>
  </si>
  <si>
    <t>LINEAR-REGRESSION; EDUCATION; MARKET</t>
  </si>
  <si>
    <t>Causal inference; Financial literacy; Financial well-being; Perceived economic outcomes; Regularization</t>
  </si>
  <si>
    <t>STATISTICS AND PUBLIC POLICY</t>
  </si>
  <si>
    <t>Financial Literacy and Perceived Economic Outcomes</t>
  </si>
  <si>
    <t>Puelz, David; Puelz, Robert</t>
  </si>
  <si>
    <t>Puelz, D; Puelz, R</t>
  </si>
  <si>
    <t>WOS:001544166000001</t>
  </si>
  <si>
    <t>5TU6Y</t>
  </si>
  <si>
    <t>10.1080/23322039.2025.2527858</t>
  </si>
  <si>
    <t>The authors appreciate the useful comments of two anonymous referees on earlier drafts.</t>
  </si>
  <si>
    <t>FCT-Foundation for Science and Technology (Portugal)(Fundacao para a Ciencia e a Tecnologia (FCT))</t>
  </si>
  <si>
    <t>FCT-Foundation for Science and Technology (Portugal)</t>
  </si>
  <si>
    <t>Dias Lopes, Jose/HSG-3964-2023</t>
  </si>
  <si>
    <t>edward_ao@phd.iseg.ulisboa.pt</t>
  </si>
  <si>
    <t>Osifodunrin, EA (corresponding author), Univ Lisbon, Ctr Adv Res Management, Lisbon Sch Econ &amp; Management ISEG, Rua Quelhas 6, P-1200781 Lisbon, Portugal.</t>
  </si>
  <si>
    <t>Universidade de Lisboa</t>
  </si>
  <si>
    <t>[Osifodunrin, Edward A.; Lopes, Jose Dias] Univ Lisbon, Ctr Adv Res Management, Lisbon Sch Econ &amp; Management ISEG, Rua Quelhas 6, P-1200781 Lisbon, Portugal</t>
  </si>
  <si>
    <t>In this systematic literature review, we hope to (re)draw the attention of financial inclusion (FI) stakeholders to the voicelessness or non-participation of low-income populations (LIPs) in the design and governance of micro-financial services (MFSs) and other FI products and policies. Despite the global popularity of MFSs among LIPs, our goal is to spur deeper dialogue on making these services more responsive to the specific needs and welfare constraints of targeted LIP groups. Using the Preferred Reporting Items for Systematic Reviews and Meta-Analyses (PRISMA) framework, we conducted 26 keyword-based queries on the Web of Science Core Collection, retrieving 3,957 studies and selecting 46 relevant to participatory FI. Findings reveal limited academic/industry focus on LIPs' involvement in FI design and governance. Asia had the highest research concentration, followed by Africa and the Americas; Europe was absent. Using six criteria (inclusiveness, popular control, considered judgement, transparency, efficiency, and transferability), a study on rural Nepal emerged as the most comprehensive participatory model. Formal microcredit dominated research interest. High costs appear to be the main barrier to scaling participatory approaches. The review also surfaces concerns about elite capture and the quality of LIPs' participation-issues crucial for guiding future research, product development, and policymaking.</t>
  </si>
  <si>
    <t>COMMUNITY-MANAGED MICROFINANCE; DEVELOPING-COUNTRIES; SELF-HELP; INSURANCE; POOR; BANKING; DEMAND; MICROINSURANCE; PARTICIPATION; MICROCREDIT</t>
  </si>
  <si>
    <t>Participatory financial inclusion (PFI); highest PFI state; low-income population (LIP); micro-financial services providers (MFSPs); micro-financial services (MFSs); voicelessness; co-design; co-governance; micro-financial democracy; citizens' participatory mechanism; Development Studies; Development Policy; Rural Development; D7; G210; I31; I32; O17; R580</t>
  </si>
  <si>
    <t>Voicelessness and exclusion: a systematic review of the (non)participation of low-income population in the design and governance of financial inclusion products and policies</t>
  </si>
  <si>
    <t>Osifodunrin, Edward A.; Lopes, Jose Dias</t>
  </si>
  <si>
    <t>Osifodunrin, EA; Lopes, JD</t>
  </si>
  <si>
    <t>WOS:000819857100001</t>
  </si>
  <si>
    <t>9L4UR</t>
  </si>
  <si>
    <t>10.1111/ecot.12341</t>
  </si>
  <si>
    <t>Open access publishing facilitated by University of South Australia, as part of the Wiley -University of South Australia agreement via the Council of Australian University Librarians.</t>
  </si>
  <si>
    <t>Council of Australian University Librarians; University of South Australia, as part of the Wiley -University of South Australia</t>
  </si>
  <si>
    <t>Donato, Ronald/0000-0003-1131-7006; Banerjee, Rajabrata/0000-0002-9610-5178</t>
  </si>
  <si>
    <t>; Banerjee, Rajabrata/F-4528-2013</t>
  </si>
  <si>
    <t>Rajabrata.Banerjee@unisa.edu.au</t>
  </si>
  <si>
    <t>Banerjee, R (corresponding author), Univ South Australia, UniSA Business, GPO Box 2471, Adelaide, SA 5001, Australia.</t>
  </si>
  <si>
    <t>Adelaide University; University of South Australia; The World Bank</t>
  </si>
  <si>
    <t>[Banerjee, Rajabrata; Donato, Ronald] Univ South Australia, UniSA Business, GPO Box 2471, Adelaide, SA 5001, Australia; [Maruta, Admasu Asfaw] World Bank, Addis Ababa, Ethiopia</t>
  </si>
  <si>
    <t>This study critically examines the effect of financial inclusion on life expectancy and infant mortality rates, and whether the effect is conditioned by possible threshold effects determined by the degree of income inequality and poverty levels. We draw our conclusions based on 61 developing and transitional economies in the period 2011-2017. Using an aggregate hybrid financial inclusion index, we show that financial inclusion exerts a direct positive effect on health outcomes. Furthermore, the effectiveness of financial inclusion as a policy tool to achieve better health outcomes is higher in societies where poverty and income inequality are more prevalent. These are significant findings from a policy perspective as greater financial inclusion offers the scope to invest in health capital and enhances the capacity for risk management among the most vulnerable populations in the face of health shocks.</t>
  </si>
  <si>
    <t>INCOME INEQUALITY; GROWTH; EDUCATION; POVERTY; QUALITY; ACCESS; DETERMINANTS; MORTALITY; IMPACT; WATER</t>
  </si>
  <si>
    <t>financial inclusion; income inequality; infant mortality; life expectancy; poverty</t>
  </si>
  <si>
    <t>Does higher financial inclusion lead to better health outcomes? Evidence from developing and transitional economies</t>
  </si>
  <si>
    <t>Banerjee, Rajabrata; Maruta, Admasu Asfaw; Donato, Ronald</t>
  </si>
  <si>
    <t>Banerjee, R; Maruta, AA; Donato, R</t>
  </si>
  <si>
    <t>WOS:001655341700001</t>
  </si>
  <si>
    <t>AR9SE</t>
  </si>
  <si>
    <t>10.1146/annurev-financial-082123-105552</t>
  </si>
  <si>
    <t>NOV 6</t>
  </si>
  <si>
    <t>j.gonzalez-uribe@lse.ac.uk</t>
  </si>
  <si>
    <t>González-Uribe, J (corresponding author), Ctr Econ Policy Res, Paris, France.;González-Uribe, J (corresponding author), London Sch Econ, London, England.</t>
  </si>
  <si>
    <t>European Bank of Reconstructon &amp; Development; KU Leuven; University of London; London School Economics &amp; Political Science</t>
  </si>
  <si>
    <t>[De Haas, Ralph] European Bank Reconstruct &amp; Dev, London, England; [De Haas, Ralph; Gonzalez-Uribe, Juanita] Ctr Econ Policy Res, Paris, France; [De Haas, Ralph] Katholieke Univ Leuven, Leuven, Belgium; [Gonzalez-Uribe, Juanita] London Sch Econ, London, England</t>
  </si>
  <si>
    <t>We review the literature on the effectiveness of public policies to facilitate firms' access to finance. The rationale for such policies is to address market failures that cause financial constraints. Using a simple taxonomy, we discuss the current evidence on common interventions to tackle these constraints: public lending through state and development banks, public lending through private banks, subsidized credit, credit guarantee schemes, export credit agencies, publicly backed venture capital, and tax incentives for equity investors. Based on the quantity and quality of the available evidence, we summarize the policies that have proven most effective in helping firms access external financing. In addition, we highlight areas where future research is needed to address current knowledge gaps and to provide more definitive policy guidance.</t>
  </si>
  <si>
    <t>GOVERNMENT-OWNED BANKS; MICROFINANCE EVIDENCE; RANDOMIZED EXPERIMENT; MICROCREDIT EVIDENCE; CREDIT; CONSTRAINTS; IMPACTS; FIRMS; GUARANTEES; OWNERSHIP</t>
  </si>
  <si>
    <t>entrepreneurship; small business finance; public policy; financial constraints</t>
  </si>
  <si>
    <t>Public Policies for Private Finance</t>
  </si>
  <si>
    <t>De Haas, Ralph; Gonzalez-Uribe, Juanita</t>
  </si>
  <si>
    <t>De Haas, R; González-Uribe, J</t>
  </si>
  <si>
    <t>WOS:001594053300003</t>
  </si>
  <si>
    <t>8PF9C</t>
  </si>
  <si>
    <t>10.21511/bbs.20(3).2025.04</t>
  </si>
  <si>
    <t>Ipindola, Tolulope Joyce/0009-0005-4703-4640; Madugba, Joseph/0000-0001-8929-1905; Sunday Festus, Olasupo/0000-0002-0081-3103; Ben-Caleb, Egbide/0000-0003-2188-2535;</t>
  </si>
  <si>
    <t>; Ben-Caleb, Egbide/M-8866-2013; Oladipo, Adenike/AGA-9693-2022</t>
  </si>
  <si>
    <t>Oladipo, AO (corresponding author), Landmark Univ, Dept Accounting &amp; Finance, Omuaran, Nigeria.</t>
  </si>
  <si>
    <t>Landmark University; Landmark University; Landmark University</t>
  </si>
  <si>
    <t>[Oladipo, Adenike O.; Egbide, Ben-Caleb] Landmark Univ, Dept Accounting &amp; Finance, Omuaran, Nigeria; [Olasupo, Sunday Festus] Bowen Univ, Dept Accounting &amp; Finance, Iwo, Nigeria; [Madugba, Joseph U.] Landmark Univ, Dept Accounting &amp; Finance, Omuaran, Nigeria; [Ogunsola, Onaolapo O.; Adepoju, Olakunle A.] Landmark Univ Omu, Coll Business &amp; Social Sci, Dept Accounting &amp; Finance, Omu, Nigeria; [Ipindola, Tolulope J.] Landmark Univ, Coll Business &amp; Social Sci, Dept Econ, Omu Aran, Nigeria</t>
  </si>
  <si>
    <t>Poverty remains a pressing challenge in developing economies, an necessitating analysis of financial and macroeconomic drivers of poverty reduction. Financial inclusion, particularly through access to savings and credit, has gained prominence as a pathway for households to build resilience, smooth consumption, and invest in productive ventures. This study examines the short-run and long-run effects of savings and credit from deposit money banks (DMBs) and microfinance banks (MFBs) on poverty reduction in Nigeria, with poverty headcount as the dependent variable. The Autoregressive Distributed Lag (ARDL) model was employed, using time-series data obtained from reputable national and international organizations. Findings show that DMB savings significantly reduce poverty in both the short run (coefficient = 0.0077, p = 0.0389) and long run (-0.0393, p = 0.0036), emphasizing their role in mobilizing resources that enhance household welfare. DMB credit also reduces poverty in the short run (0.0031, p = 0.0005) and demonstrates marginal long-run significance (0.0199, p = 0.0914), reflecting its contribution to productive opportunities. By contrast, MFB savings show only weak short-run significance (-0.0059, p = 0.0799) and no long-run effect (-0.0393, p = 0.2366), while MFB credit remains insignificant in both the short run (0.0025, p = 0.3973) and long run (0.0155, p = 0.5222). The study recommends that DMBs should extend short-term savings benefits into long-term poverty reduction and sustain credit facilities. MFBs should improve savings mobilization through government-backed incentives and restructure credit with lower rates, flexible repayment, and financial literacy to strengthen their poverty-reduction role.</t>
  </si>
  <si>
    <t>poverty; financial inclusion; microfinance; money; deposit bank banks; gross domestic product; inflation; human development; interest rates</t>
  </si>
  <si>
    <t>DOES FINANCIAL INCLUSION MATTER FOR POVERTY REDUCTION IN NIGERIA: EVIDENCE FROM SAVINGS AND CREDIT MOBILIZATION COMPONENTS</t>
  </si>
  <si>
    <t>Oladipo, Adenike O.; Egbide, Ben-Caleb; Olasupo, Sunday Festus; Madugba, Joseph U.; Ogunsola, Onaolapo O.; Ipindola, Tolulope J.; Adepoju, Olakunle A.</t>
  </si>
  <si>
    <t>Oladipo, AO; Egbide, B; Olasupo, SF; Madugba, JU; Ogunsola, OO; Ipindola, TJ; Adepoju, OA</t>
  </si>
  <si>
    <t>WOS:000796710300001</t>
  </si>
  <si>
    <t>3R3JZ</t>
  </si>
  <si>
    <t>10.1093/wber/lhac007</t>
  </si>
  <si>
    <t>AUG 10</t>
  </si>
  <si>
    <t>NICHD NIH HHS(United States Department of Health &amp; Human ServicesNational Institutes of Health (NIH) - USANIH Eunice Kennedy Shriver National Institute of Child Health &amp; Human Development (NICHD))</t>
  </si>
  <si>
    <t>NICHD NIH HHS [P2C HD042849] Funding Source: Medline</t>
  </si>
  <si>
    <t>Fabregas Robles Gil, Raissa/0000-0001-7732-911X</t>
  </si>
  <si>
    <t>rfabregas@utexas.edu; tite.yokossi@gmail.com</t>
  </si>
  <si>
    <t>Fabregas, R (corresponding author), Univ Texas Austin, Austin, TX 78712 USA.</t>
  </si>
  <si>
    <t>University of Texas System; University of Texas Austin</t>
  </si>
  <si>
    <t>[Fabregas, Raissa] Univ Texas Austin, Austin, TX 78712 USA; [Yokossi, Tite] QuantCo, Cologne, Germany</t>
  </si>
  <si>
    <t>This paper estimates the impact of access to mobile money services on local economic activity. The analysis combines data from the early expansion of the mobile agent network in Kenya with a local-level measure of economic performance proxied by the intensity of nighttime lights. Leveraging the variation in areas that gained access to mobile money services at different times and the high resolution of the data, the paper shows that access to mobile money services increased local economic activity and that these effects increased over time. The positive effects are more pronounced for areas that were initially more affluent, urban, and better connected to infrastructure. These results suggest that mobile money can complement, rather than just substitute for, other alternatives that enable people to connect, trade, and allocate investments within their networks.</t>
  </si>
  <si>
    <t>GROWTH; COSTS</t>
  </si>
  <si>
    <t>mobile money; night lights; financial inclusion; Kenya</t>
  </si>
  <si>
    <t>Mobile Money and Economic Activity: Evidence from Kenya☆</t>
  </si>
  <si>
    <t>Fabregas, Raissa; Yokossi, Tite</t>
  </si>
  <si>
    <t>Fabregas, R; Yokossi, T</t>
  </si>
  <si>
    <t>WOS:001344778100001</t>
  </si>
  <si>
    <t>K6E1T</t>
  </si>
  <si>
    <t>10.1016/j.frl.2024.106226</t>
  </si>
  <si>
    <t>Corbet, Shaen/0000-0001-7430-7417; Cumming, Douglas/0000-0003-4366-6112; Johan, Sofia/0000-0003-1359-6029</t>
  </si>
  <si>
    <t>Corbet, Shaen/B-4869-2017; Cumming, Douglas/GYD-3400-2022; Johan, Sofia/GYD-4711-2022</t>
  </si>
  <si>
    <t>cummingd@fau.edu</t>
  </si>
  <si>
    <t>Cumming, D (corresponding author), Florida Atlantic Univ, Coll Business, Boca Raton, FL 33431 USA.</t>
  </si>
  <si>
    <t>Dublin City University; University of Waikato; State University System of Florida; Florida Atlantic University; University of Birmingham</t>
  </si>
  <si>
    <t>[Corbet, Shaen] Dublin City Univ, DCU Business Sch, Dublin, Ireland; [Corbet, Shaen] Univ Waikato, Sch Accounting Finance &amp; Econ, Hamilton, New Zealand; [Cumming, Douglas; Glatzer, Zachary; Johan, Sofia] Florida Atlantic Univ, Coll Business, Boca Raton, FL 33431 USA; [Cumming, Douglas] Univ Birmingham, Birmingham Business Sch, Birmingham, England</t>
  </si>
  <si>
    <t>Central Bank Digital Currencies (CBDCs) mark a significant evolution in digital finance. This study examines the factors influencing CBDC adoption, highlighting the roles of regulatory quality and digital financial access. Results indicate that regulatory frameworks, rather than the level of digital infrastructure, predominantly drive CBDC initiatives. The findings caution against the rapid deployment of CBDCs in less prepared environments, which could pose risks to financial stability. The research underscores the importance of comprehensive regulatory strategies over technological readiness for successful CBDC implementation. Developed markets are advised to consider policies that mitigate risks associated with the transition towards digital currencies.</t>
  </si>
  <si>
    <t>Central bank digital currencies; Financial development; Monetary policy; Governance; Regulation</t>
  </si>
  <si>
    <t>Understanding the rapid development of CBDC in emerging economies</t>
  </si>
  <si>
    <t>Corbet, Shaen; Cumming, Douglas; Glatzer, Zachary; Johan, Sofia</t>
  </si>
  <si>
    <t>Corbet, S; Cumming, D; Glatzer, Z; Johan, S</t>
  </si>
  <si>
    <t>WOS:000830641500001</t>
  </si>
  <si>
    <t>E2YL5</t>
  </si>
  <si>
    <t>10.1080/13600818.2022.2104239</t>
  </si>
  <si>
    <t>tsirylala@yahoo.fr</t>
  </si>
  <si>
    <t>Andrianampiarivo, T (corresponding author), Univ Grenoble Alpes, CREG, Grenoble, France.</t>
  </si>
  <si>
    <t>Communaute Universite Grenoble Alpes; Universite Grenoble Alpes (UGA); Centre National de la Recherche Scientifique (CNRS); Universite de Bordeaux</t>
  </si>
  <si>
    <t>[Andrianampiarivo, Tsiry] Univ Grenoble Alpes, Grenoble Econ Dept, CREG, Grenoble, France; [Gondard-Delcroix, Claire] Univ Bordeaux, Bordeaux Sch Econ Econ, GREThA UMR CNRS 5113, Pessac, France</t>
  </si>
  <si>
    <t>While technical and economic factors are traditionally advanced to explain the failures of microfinance, a growing literature explores how moral factors and socioeconomic norms help to shape financial behaviors. In order to examine this issue in more depth, we conducted an empirical analysis of the links between socioeconomic stratification and financial behaviors. This original perspective enriches the literature on financial inclusion in the under-explored Malagasy context. Using data from the 2008 Itasy Observatory survey, we conducted a cluster analysis to identify five classes of rural households, ranging from a very poor and insecure group to an upper group of educated farming and non-farming households. Using a multinomial treatment-effects model, we established distinct 'class-based' credit behaviors showing that financial needs vary according to the users' socioeconomic profile. What is more, such financial behaviours can be explained by taking social factors into account in addition to economic ones.</t>
  </si>
  <si>
    <t>SIMULATED LIKELIHOOD ESTIMATION; MODERATE PROSPERITY; MICROFINANCE; MICROCREDIT; FRAGMENTATION; PERSPECTIVES; LESSONS; MARKETS; IMPACT; MODEL</t>
  </si>
  <si>
    <t>micro-finance; class; livelihoods; rural sector</t>
  </si>
  <si>
    <t>Rural Classes and Credit Participation: The Itasy Livelihood Classes (Madagascar) Between Risk-aversion and Debt Capacity</t>
  </si>
  <si>
    <t>Andrianampiarivo, Tsiry; Gondard-Delcroix, Claire</t>
  </si>
  <si>
    <t>Andrianampiarivo, T; Gondard-Delcroix, C</t>
  </si>
  <si>
    <t>WOS:001125969100001</t>
  </si>
  <si>
    <t>CN6O1</t>
  </si>
  <si>
    <t>10.1016/j.econlet.2023.111425</t>
  </si>
  <si>
    <t>Nan, Wenxiu/0000-0003-4695-4232; Li, Tao/0000-0003-2746-9610</t>
  </si>
  <si>
    <t>Nan, WX (corresponding author), Salisbury Univ, Franklin P Perdue Sch Business, 1101 Camden Ave, Salisbury, MD 21801 USA.</t>
  </si>
  <si>
    <t>University System of Maryland; Salisbury University; State University of New York (SUNY) System; SUNY New Paltz</t>
  </si>
  <si>
    <t>[Nan, Wenxiu (Vince)] Salisbury Univ, Franklin P Perdue Sch Business, 1101 Camden Ave, Salisbury, MD 21801 USA; [Li, Tao] State Univ New York New Paltz, Sch Business, 1 Hawk Dr, New Paltz, NY 12561 USA</t>
  </si>
  <si>
    <t>Mobile money (MM) enables users, especially the unbanked, to access financial services via mobile phones in developing countries. Whereas much has been studied about the socioeconomic benefits of MM in sub-Saharan Africa, little is known about whether and how MM use influences risk-taking behaviors such as gambling. This paper documents that MM use leads to the heightened probability of gambling and this probability increases with use frequency. Moreover, we find that young male MM users with a lower socioeconomic status (i.e., unemployed, low education, and low income) are more likely to engage in gambling. Our findings call for policymakers' attention to the potential for unintended consequence of MM.</t>
  </si>
  <si>
    <t>Mobile money; Gamble; Socioeconomic status; Kenya</t>
  </si>
  <si>
    <t>To gamble or not to gamble? The effect of mobile money on gambling in Kenya</t>
  </si>
  <si>
    <t>Nan, Wenxiu (Vince); Li, Tao</t>
  </si>
  <si>
    <t>Nan, WX; Li, T</t>
  </si>
  <si>
    <t>WOS:000209703600001</t>
  </si>
  <si>
    <t>V43TL</t>
  </si>
  <si>
    <t>10.1515/rne-2015-0020</t>
  </si>
  <si>
    <t>david.evans@marketplatforms.com</t>
  </si>
  <si>
    <t>Evans, DS (corresponding author), UCL, London WC1E 6BT, England.;Evans, DS (corresponding author), Univ Buenos Aires, RA-1053 Buenos Aires, DF, Argentina.</t>
  </si>
  <si>
    <t>University of Chicago; University of Buenos Aires; Universidad Argentina de la Empresa</t>
  </si>
  <si>
    <t>[Evans, David S.] Univ Chicago, Sch Law, Boston, MA 02109 USA; [Pirchio, Alexis] Univ Buenos Aires, RA-1053 Buenos Aires, DF, Argentina; [Pirchio, Alexis] Univ Argentina Empresa, Buenos Aires, DF, Argentina</t>
  </si>
  <si>
    <t>Mobile money schemes have grown rapidly in some developing countries but failed in many more. This paper reports the results of an empirical study of mobile money schemes in 22 developing countries chosen based on prior evidence to include roughly equal numbers of successes and failures. It uses a combination of quantitative and qualitative evidence to determine why some countries succeeded in launching mobile money schemes and others failed. The analysis is guided by multi-sided platform economics and in particular recent work on the role of ignition and critical mass. It finds among other things heavy regulation, and in particular an insistence that banks play a central role in the schemes, which is generally fatal to igniting mobile money schemes.</t>
  </si>
  <si>
    <t>financial inclusion; mobile money; multi-sided platforms; payments regulation</t>
  </si>
  <si>
    <t>An Empirical Examination of Why Mobile Money Schemes Ignite in Some Developing Countries but Flounder in Most</t>
  </si>
  <si>
    <t>Evans, David S.; Pirchio, Alexis</t>
  </si>
  <si>
    <t>Evans, DS; Pirchio, A</t>
  </si>
  <si>
    <t>WOS:000486146300003</t>
  </si>
  <si>
    <t>IY1IR</t>
  </si>
  <si>
    <t>10.21684/2412-2343-2019-6-2-60-81</t>
  </si>
  <si>
    <t>BRICS Law J.</t>
  </si>
  <si>
    <t>BRICS LAW J</t>
  </si>
  <si>
    <t>2412-2343</t>
  </si>
  <si>
    <t>2409-9058</t>
  </si>
  <si>
    <t>UL LOBACHEVSKOGO, 92, KORPUS 2, MOSCOW, 119454, RUSSIA</t>
  </si>
  <si>
    <t>LLC V EM PUBLISHING HOUSE</t>
  </si>
  <si>
    <t>shamraevx@yandex.ru</t>
  </si>
  <si>
    <t>Shamraev, A (corresponding author), MGIMO Univ, Dept Private Int Law &amp; Civil Law, 76 Vernadskogo Ave, Moscow 119454, Russia.</t>
  </si>
  <si>
    <t>MGIMO University</t>
  </si>
  <si>
    <t>[Shamraev, Andrey] MGIMO Univ, Dept Private Int Law &amp; Civil Law, 76 Vernadskogo Ave, Moscow 119454, Russia</t>
  </si>
  <si>
    <t>This article focuses research on a comparative analysis of the legal and regulatory framework of the payment and e-money services in the BRICS countries. These services are the most receptive to innovation and considerably contribute to financial inclusion. The central banks of the BRICS countries play key roles in their national payment systems, and they each have different statutory authorities on regulation and supervision or oversight of payment services providers, payment schemes and payment systems. Nevertheless, there are a number of features common to all the BRICS countries and the research emphasizes and describes these features as well as distinguishes national particularities.</t>
  </si>
  <si>
    <t>payment services regulation; e-money regulation; branchless banking regulation; payment oversight; central banks; BRICS legal framework</t>
  </si>
  <si>
    <t>BRICS LAW JOURNAL</t>
  </si>
  <si>
    <t>LEGAL AND REGULATORY FRAMEWORK OF THE PAYMENT AND E-MONEY SERVICES IN THE BRICS COUNTRIES</t>
  </si>
  <si>
    <t>Shamraev, Andrey</t>
  </si>
  <si>
    <t>Shamraev, A</t>
  </si>
  <si>
    <t>WOS:001161435400016</t>
  </si>
  <si>
    <t>HS2S3</t>
  </si>
  <si>
    <t>10.55643/fcaptp.6.53.2023.4222</t>
  </si>
  <si>
    <t>The research was conducted within the framework of the initiative scientific research work of scientists from the Polissia National University of the Ministry of Education and Science of Ukraine on the topic: Financial instruments of rural development in the conditions of uncertainty, registration number: 0121U109312, dated 05.03.2021.</t>
  </si>
  <si>
    <t>Ministry of Education and Science of Ukraine [0121U109312]</t>
  </si>
  <si>
    <t>Poplavskyi, Pavlo/0009-0003-6741-4435; Kurovska, Nataliia/0000-0003-3344-6079; Abramova, Iryna/0000-0003-3724-0342; Nedilska, Larysa/0000-0002-0528-9021</t>
  </si>
  <si>
    <t>Poplavskyi, Pavlo/HPD-9703-2023; Kurovska, Nataliia/U-2795-2017; Kovalchuk, Oleksandr/A-1445-2018; Abramova, Iryna/U-4293-2017; Nedilska, Larysa/ABA-7484-2020</t>
  </si>
  <si>
    <t>irina79abramova@gmail.com</t>
  </si>
  <si>
    <t>Abramova, I (corresponding author), Polissia Natl Univ, Econ Sci, Zytomyr, Ukraine.;Abramova, I (corresponding author), Polissia Natl Univ, Dept Finance &amp; Credit, Zytomyr, Ukraine.</t>
  </si>
  <si>
    <t>[Abramova, Iryna; Nedilska, Larysa; Kurovska, Nataliia; Poplavskyi, Pavlo] Polissia Natl Univ, Econ Sci, Zytomyr, Ukraine; [Abramova, Iryna; Nedilska, Larysa; Kurovska, Nataliia] Polissia Natl Univ, Dept Finance &amp; Credit, Zytomyr, Ukraine; [Kovalchuk, Oleksandr] Polissia Natl Univ, Dept Int Econ Relat &amp; European Integrat, Zytomyr, Ukraine; [Poplavskyi, Pavlo] Polissia Natl Univ, Dept Comp Technol &amp; Syst Modelling, Zytomyr, Ukraine</t>
  </si>
  <si>
    <t>The purpose of the article is theoretical and methodological substantiation of the state and post-war prospects of financial inclusion in Ukraine, taking into account the experience of EU countries. The objectives of the study are as follows: to theoretically substantiate the content and features of financial inclusion, taking into account the experience of EU countries; to assess the current state of financial inclusion; and to outline post-war prospects for the development of financial inclusion in Ukraine. It is argued that the key parameters of financial inclusion are financial well-being, financial behaviour, financial knowledge, and the utilization of financial products, as well as physical access to financial services. Drawing on the experience of EU countries, it is substantiated that creating conditions for free access to financial services for all categories of the population and businesses, as well as their digitalization, contribute to the growth of citizens' income, the simplification of investment mechanisms, and thus the economic development of the country. An assessment of the state of financial inclusion in Ukraine is conducted through online surveys of various categories of citizens. It is determined that Ukrainians feel a strong need for additional sources of income, and the financial situation of the majority of them is extremely unstable. Based on the results of correlation-regression analysis, the priorities of financial inclusion are identified as the level of financial literacy and competency among the population. This will enable them to budget their income and expenses, promote the transformation of savings into investments, and have a positive impact on the post-war recovery of the country's economy.</t>
  </si>
  <si>
    <t>financial inclusion; financial well-being; financial behavior; financial literacy; post-war recovery</t>
  </si>
  <si>
    <t>MODERN STATE AND POST-WAR PROSPECTS OF FINANCIAL INCLUSION IN UKRAINE CONSIDERING THE EU EXPERIENCE</t>
  </si>
  <si>
    <t>Abramova, Iryna; Nedilska, Larysa; Kurovska, Nataliia; Kovalchuk, Oleksandr; Poplavskyi, Pavlo</t>
  </si>
  <si>
    <t>Abramova, I; Nedilska, L; Kurovska, N; Kovalchuk, O; Poplavskyi, P</t>
  </si>
  <si>
    <t>WOS:000912855500001</t>
  </si>
  <si>
    <t>U5HU5</t>
  </si>
  <si>
    <t>10.1017/S1474747222000154</t>
  </si>
  <si>
    <t>PII S1474747222000154</t>
  </si>
  <si>
    <t>Angrisani, Marco/0000-0002-6084-6388</t>
  </si>
  <si>
    <t>Burke, Jeremy/LQK-6248-2024; Lusardi, Annamaria/AEB-6291-2022; Angrisani, Marco/GNH-3212-2022</t>
  </si>
  <si>
    <t>alusardi@gwu.edu</t>
  </si>
  <si>
    <t>Lusardi, A (corresponding author), George Washington Univ, Washington, DC 20052 USA.</t>
  </si>
  <si>
    <t>University of Southern California; George Washington University</t>
  </si>
  <si>
    <t>[Angrisani, Marco] Univ Southern Calif, Dana &amp; David Dornsife Coll Letters Arts &amp; Sci, Los Angeles, CA USA; [Burke, Jeremy] USC, Ctr Econ &amp; Social Res, Washington, DC USA; [Lusardi, Annamaria] George Washington Univ, Washington, DC 20052 USA; [Mottola, Gary] FINRA Investor Educ Fdn, Washington, DC USA</t>
  </si>
  <si>
    <t>We administered the FINRA Foundation's National Financial Capability Study questionnaire to members of the RAND American Life Panel in 2012 and 2018. Using this unique, longitudinal data set, we investigate the evolution of financial literacy over time and shed light on the effect of financial knowledge on financial outcomes. Over a six-year observation period, financial literacy appears to be rather stable, with a slight tendency to decline at older ages. Importantly, financial literacy has significant predictive power for future financial outcomes, even after controlling for baseline outcomes and a wide set of demographics and individual characteristics that influence financial decision making.</t>
  </si>
  <si>
    <t>Financial literacy; financial well-being; personal finance</t>
  </si>
  <si>
    <t>The evolution of financial literacy over time and its predictive power for financial outcomes: evidence from longitudinal data</t>
  </si>
  <si>
    <t>Angrisani, Marco; Burke, Jeremy; Lusardi, Annamaria; Mottola, Gary</t>
  </si>
  <si>
    <t>Angrisani, M; Burke, J; Lusardi, A; Mottola, G</t>
  </si>
  <si>
    <t>WOS:000467960000004</t>
  </si>
  <si>
    <t>HY2NR</t>
  </si>
  <si>
    <t>10.3917/jie.029.0069</t>
  </si>
  <si>
    <t>J. INNOV. ECON. MANAG.</t>
  </si>
  <si>
    <t>J INNOV ECON MANAG</t>
  </si>
  <si>
    <t>2032-5355</t>
  </si>
  <si>
    <t>FOND JEAN-PAQUES 4,, B-1348 LOUVAIN-LA-NEUVE, BELGIUM</t>
  </si>
  <si>
    <t>LOUVAIN-LA-NEUVE</t>
  </si>
  <si>
    <t>DE BOECK UNIV</t>
  </si>
  <si>
    <t>CHRISTIAN LAMBERT, NGUENA/0000-0001-8889-9601</t>
  </si>
  <si>
    <t>CHRISTIAN LAMBERT, NGUENA/GXZ-9655-2022</t>
  </si>
  <si>
    <t>lambert.nguena@univ-dschang.org</t>
  </si>
  <si>
    <t>Nguena, CL (corresponding author), Univ Dschang, Dschang, Cameroon.</t>
  </si>
  <si>
    <t>Universite de Dschang</t>
  </si>
  <si>
    <t>[Nguena, Christian-Lambert] Univ Dschang, Dschang, Cameroon</t>
  </si>
  <si>
    <t>This study addresses the question of financial innovation in developing countries by focusing on the determinants of mobile banking development in Africa. Data on mobile banking across countries is partially constructed by the author, to which is applied panel data and cross-sectional econometric technics, to investigate the determinants of mobile banking development. Statistical analysis reveals that there is a positive link between the different proxies of mobile banking and an indicator of mobile banking development using the principal component analysis technique is constructed. Overall, the estimation of the four models highlights the following determinants: human capital development, credible monetary policy, infrastructure development, remittances facilitation, urbanization, trade openness and the facilitation of access to domestic credit from the banking sector. Also, the results of our robustness check are uncontroversial. A general recommendation to African governments is that they should pursue good performance in the light of the determinants highlighted above by implementing specific and well conditioned economic policies.</t>
  </si>
  <si>
    <t>ECONOMIC-DEVELOPMENT; ACCEPTANCE; INFORMATION</t>
  </si>
  <si>
    <t>Mobile Finance and Banking; Africa; Principal Component Analysis; Financial Innovation; Financial Inclusion</t>
  </si>
  <si>
    <t>JOURNAL OF INNOVATION ECONOMICS &amp; MANAGEMENT</t>
  </si>
  <si>
    <t>On financial innovation in developing countries: The determinants of mobile banking and financial development in Africa</t>
  </si>
  <si>
    <t>Nguena, Christian-Lambert</t>
  </si>
  <si>
    <t>Nguena, CL</t>
  </si>
  <si>
    <t>WOS:000530899600001</t>
  </si>
  <si>
    <t>PA5XJ</t>
  </si>
  <si>
    <t>10.1002/pa.2161</t>
  </si>
  <si>
    <t>e2161</t>
  </si>
  <si>
    <t>SANGWAN, SUNIL/0000-0002-2398-3180</t>
  </si>
  <si>
    <t>sunilsangwan07@gmail.com</t>
  </si>
  <si>
    <t>Sangwan, S (corresponding author), Indian Inst Technol Kharagpur, Dept Humanities &amp; Social Sci, Kharagpur 721302, W Bengal, India.</t>
  </si>
  <si>
    <t>Indian Institute of Technology System (IIT System); Indian Institute of Technology (IIT) - Kharagpur</t>
  </si>
  <si>
    <t>[Sangwan, Sunil; Nayak, Narayan Chandra] Indian Inst Technol Kharagpur, Dept Humanities &amp; Social Sci, Kharagpur 721302, W Bengal, India</t>
  </si>
  <si>
    <t>In India, microfinance institutions (MFIs) have made an impressive contribution in achieving the financial inclusion. However, the peculiar features of MFI lending-the uncollateralized small amount loans-raise doubts on their outreach and targeting that whether the poor are really being served. This study based on a primary survey ascertains that mere financial inclusion does not guarantee poverty outreach in the context of India.</t>
  </si>
  <si>
    <t>MISSION DRIFT</t>
  </si>
  <si>
    <t>Outreaching the poor under microfinance institutions in India: Rhetoric versus realities</t>
  </si>
  <si>
    <t>Sangwan, Sunil; Nayak, Narayan Chandra</t>
  </si>
  <si>
    <t>Sangwan, S; Nayak, NC</t>
  </si>
  <si>
    <t>WOS:000895164400007</t>
  </si>
  <si>
    <t>6V6OK</t>
  </si>
  <si>
    <t>10.1016/j.jpolmod.2022.09.018</t>
  </si>
  <si>
    <t>Bhardwaj, Vedant/0000-0001-9407-5940; MISHRA, ASWINI/0000-0002-7754-0633</t>
  </si>
  <si>
    <t>; MISHRA, ASWINI/O-4495-2018</t>
  </si>
  <si>
    <t>aswinimishra1@gmail.com; vedantbhardwaj.b3@gmail.com</t>
  </si>
  <si>
    <t>Mishra, AK (corresponding author), BITS, Dept Econ &amp; Finance, Pilani K K Birla Goa Campus, Zuarinagar 403726, Goa, India.</t>
  </si>
  <si>
    <t>Birla Institute of Technology &amp; Science Pilani (BITS Pilani); Universidad Carlos III de Madrid</t>
  </si>
  <si>
    <t>[Mishra, Aswini Kumar] BITS, Dept Econ &amp; Finance, Pilani K K Birla Goa Campus, Zuarinagar 403726, Goa, India; [Bhardwaj, Vedant] Univ Carlos 3, Dept Econ, Madrid, Spain</t>
  </si>
  <si>
    <t>This paper analyzes access to finance based on the usage of financial services by Indian households. Based on two rounds of nationally representative All India Debt and Investment Survey (AIDIS) for 2002 and 2012, we examine how access to credit is associated with a household's socioeconomic and demographic characteristics using Heckman's two-step approach procedure. Our results show that belonging to higher asset quintile groups has a statistically significant positive effect on the household's decision to take loans only from the formal sector in both rounds and significant negative effects on taking a loan only from the informal sector. Similarly, social and religious groups play a significant role in the decision of the household to take a loan. Households with more educated adults are more likely to take a loan. Households involved in regular wage-earning occupations in urban areas are more likely to take a loan from formal sources. Thus, the importance of policy placing greater emphasis on demand-side barriers rather than on improving the physical availability of formal financial services to promote financial inclusion in India.(c) 2022 The Society for Policy Modeling. Published by Elsevier Inc. All rights reserved.</t>
  </si>
  <si>
    <t>INFORMAL CREDIT MARKETS; RURAL CREDIT; IMPERFECT INFORMATION; SOCIAL NETWORKS; INTEREST-RATES; STOCK MARKETS; GROWTH; MICROFINANCE; POVERTY; DETERMINANTS</t>
  </si>
  <si>
    <t>Formal and informal credit; Credit accessibility and constraints; Probit model; Heckman two-step model; India</t>
  </si>
  <si>
    <t>Financial access and household's borrowing: Policy perspectives of an emerging economy</t>
  </si>
  <si>
    <t>Mishra, Aswini Kumar; Bhardwaj, Vedant</t>
  </si>
  <si>
    <t>Mishra, AK; Bhardwaj, V</t>
  </si>
  <si>
    <t>WOS:000599653600001</t>
  </si>
  <si>
    <t>SS2TA</t>
  </si>
  <si>
    <t>10.1111/ecno.12182</t>
  </si>
  <si>
    <t>e12182</t>
  </si>
  <si>
    <t>Sahu, TN (corresponding author), Vidyasagar Univ, Dept Commerce, Midnapore 721102, W Bengal, India.</t>
  </si>
  <si>
    <t>Vidyasagar University</t>
  </si>
  <si>
    <t>[Ghosh, Shantanu; Sahu, Tarak Nath] Vidyasagar Univ, Dept Commerce, Midnapore 721102, W Bengal, India</t>
  </si>
  <si>
    <t>Financial inclusion, especially for a developing nation like India, plays a vital role in framing policies to ensure the development of the underprivileged. Applying the maximum-minimum technique for normalization and inverse of the Euclidean distance for consolidation, the present study attempts to construct an index of financial inclusion across all the states and union territories of India for 2003-2018. It further explores the effect of regional classifications and productivity on the achievement of financial inclusion. Analysis suggests Chandigarh be placed at the top in terms of mean financial inclusion scores for the study period. In addition, comparison among the regional classifications advocates for significant differences. Whereas the difference between the groups based on productivity remains nonsignificant. Theoretical propositions expect uniform achievement in financial inclusion among the states of a country. However, certain macroeconomic and other factors seem to reduce the esteemed equity.</t>
  </si>
  <si>
    <t>INCOME INEQUALITY; GROWTH; BANKING</t>
  </si>
  <si>
    <t>financial inclusion; inverse of Euclidean distance; regional disparity</t>
  </si>
  <si>
    <t>Financial inclusion and economic status of the states of India: An empirical evidence</t>
  </si>
  <si>
    <t>WOS:001633078100002</t>
  </si>
  <si>
    <t>O9352</t>
  </si>
  <si>
    <t>10.14395/hid.945194</t>
  </si>
  <si>
    <t>Hitit Theol. J.</t>
  </si>
  <si>
    <t>HITIT THEOL J</t>
  </si>
  <si>
    <t>2757-6949</t>
  </si>
  <si>
    <t>Kuzey Kamps evre Yolu Bulvar, CORUM, Turkiye</t>
  </si>
  <si>
    <t>CORUM</t>
  </si>
  <si>
    <t>HITIT UNIV</t>
  </si>
  <si>
    <t>yavuzdemirdogen@sdu.edu.tr</t>
  </si>
  <si>
    <t>Demirdögen, Y (corresponding author), Suleyman Demirel Univ, Iktisadi &amp; Idari Bilimler Fak, Bankacilik &amp; Finans Anabilim Dali, Isparta, Turkiye.;Demirdögen, Y (corresponding author), Fac Econ &amp; Adm Sci, Banking &amp; Finance Dept, Corum, Turkiye.</t>
  </si>
  <si>
    <t>Suleyman Demirel University</t>
  </si>
  <si>
    <t>[Demirdogen, Yavuz] Suleyman Demirel Univ, Iktisadi &amp; Idari Bilimler Fak, Bankacilik &amp; Finans Anabilim Dali, Isparta, Turkiye; [Demirdogen, Yavuz] Fac Econ &amp; Adm Sci, Banking &amp; Finance Dept, Corum, Turkiye</t>
  </si>
  <si>
    <t>Financial Technologies (fintech) is the application of digital technology in financial services. It has been accelerated after the 20008 crisis. Fintech initiati-ves could be both disruptive and supportive for the finance industry. Even the sector has benefited from these innovations, most of the applications could change the game. The race started with cryptocurrencies (especially bitcoin) but in the meantime, fintech are diversified into more than 50 sub-branches. Almost all of them are innovative, applying high tech and competitive. Alt-hough the conventional banks (CBs) and financial intermediaries are giants (with respect to fintech start-ups) fintech are targeted new and worthless cus-tomers. Most of the start-ups find their path for growing their assets within this concept. Besides giant tech companies are formed their payment and fi-nancial systems and named Bigtech. On the other hand, almost %50 of fin-tech initiatives are collaborating with banks. Their innovations are based on optimizing and enriching the bank mechanism including mobile payment systems. These firms need customers to develop their findings and banks to apply their applications. In recent years, some fintech sub-branches such as crowdfunding, P2P lending, lendtech, etc. are based on social developments. The number and volume of these fintech are growing rapidly. The objection of new initiatives are changing into social projects and collaboration which are not subjected by CBs. Especially after the Covid-19 pandemic, these start-ups are being hyped projects in fintech ecosystem. In Islamic finance, unlike the capitalist menta-lity, intention and social benefit are primary goals. Islamic fintech could serve humanity and be even profitable. In this aspect, this group of fintech could serve as Islamic consciousness. The term Islamic fintech represents the fintech that designs and works according to Shariah principles. Some sub-branches of fintech are fit in the Is-lamic perspective that avoids interest (riba), uncertainty (gharar), and chance/ gambling (maysir). Islamic finance-in general-shape by global financial stan-dards and products. Almost all Islamic banking products are derived from conventional banks. So, they must compete and make a profit like CBs. Since CBs have no limitations and hunger for profit, Islamic banks (IBs) could not be able to keep up with them. Islamic fintech could serve as an intermediary for IBs without restrictions. Fintech initiatives do not need physical branches, centers, and appearance. They settled on the internet, could reach the unban-ked population, and have the lowest spread for transactions. With these ad-vantages, Islamic fintech could be the new resource for Islamic finance. There is more than 150 Islamic fintech around the world. Almost half of them are constructed in Islamic countries and others are in developed ones. Islamic fintech in the USA, UK, and Europe are much more professional. It seems that competition makes them better players in the same ecosystem. Is-lamic fintech has some opportunities and challenges. These challenges are based on the Shariah-compliance perspective and global issues. Almost every fintech start-ups (including non-Islamic ones) are faced the same challenges. On the other hand, Islamic fintech has opportunities because of being Isla-mic. The Muslim population is ready to accept these firms, the unbanked po-pulation is concentrated in Muslim countries, and the Islamic tenet supports social generosity which could be an advantage for them. In this article Islamic fintech landscape has been evaluated. The benefits of fintech in Islamic finan-ce are recognized and challenges and opportunities for Islamic fintech are stu-died. In the end, recommendations are listed and explained for the emerging of Islamic fintech.</t>
  </si>
  <si>
    <t>TRANSFORMATION; INNOVATION</t>
  </si>
  <si>
    <t>Islamic Fintech; Fintech; Islamic Finance</t>
  </si>
  <si>
    <t>HITIT THEOLOGY JOURNAL</t>
  </si>
  <si>
    <t>NEW RESOURCES FOR ISLAMIC FINANCE: ISLAMIC FINTECH</t>
  </si>
  <si>
    <t>Demirdogen, Yavuz</t>
  </si>
  <si>
    <t>Demirdögen, Y</t>
  </si>
  <si>
    <t>WOS:000571321000001</t>
  </si>
  <si>
    <t>SF4TM</t>
  </si>
  <si>
    <t>10.1080/1331677X.2020.1819853</t>
  </si>
  <si>
    <t>The article is part of the third and corresponding author's research grant (Grant no: 304.PMGT.6316559) at Universiti Sains Malaysia, Penang, Malaysia. The authors also appreciate Universiti Sains Malaysia for covering the article processing charge (APC).</t>
  </si>
  <si>
    <t>Universiti Sains Malaysia, Penang, Malaysia(Universiti Sains Malaysia); Universiti Sains Malaysia(Universiti Sains Malaysia)</t>
  </si>
  <si>
    <t>Universiti Sains Malaysia, Penang, Malaysia [304.PMGT.6316559]; Universiti Sains Malaysia</t>
  </si>
  <si>
    <t>Nourani, Mohammad/0000-0002-1637-8126; Mia, Aslam/0000-0002-6452-1126; ABDUL KADER MALIM, NURHAFIZA/0000-0002-5113-918X</t>
  </si>
  <si>
    <t>Nourani, Mohammad/T-1902-2018; Mia, Aslam/AAD-6996-2020; ABDUL KADER MALIM, NURHAFIZA/S-9078-2018</t>
  </si>
  <si>
    <t>aslammia@usm.my</t>
  </si>
  <si>
    <t>Mia, MA (corresponding author), Univ Sains Malaysia, Sch Management, George Town, Malaysia.</t>
  </si>
  <si>
    <t>Universiti Sains Malaysia</t>
  </si>
  <si>
    <t>[Nourani, Mohammad; Malim, Nurhafiza Abdul Kader; Mia, Md Aslam] Univ Sains Malaysia, Sch Management, George Town, Malaysia</t>
  </si>
  <si>
    <t>In order to achieve financial inclusion objectives of Sustainable Development Goals (SDGs) and provide continuous financial support to the unbanked population, microfinance institutions (MFIs) must attain efficiency in their operations. Hence, the main purpose of this study is to examine various efficiencies of MFIs based on their goals and operational mechanisms. By utilizing a unique production process and network data envelopment analysis (NDEA) technique, we estimated three different types of efficiencies (operational, financial and outreach) of 90 MFIs from 2013 to 2018. It was discovered that the overall efficiency of the MFIs was not up to the required standard and it became even worse when the financial and social outreach efficiencies were considered. However, operational efficiency (ability to generate intermediaries) was relatively better and remained high among the regulated MFIs. On the contrary, the financial and social outreach efficiencies were found to be better among the unregulated MFIs. Moreover, our results also highlight the divergence in efficiency between regions, legal status and regulatory environment; with projection analysis suggesting a simultaneous reduction in input, and an increase in output of inefficient MFIs to facilitate their attainment of efficiency. Policy implications are subsequently discussed.</t>
  </si>
  <si>
    <t>FINANCIAL SECTOR DEVELOPMENT; CAPITAL STRUCTURE; TECHNICAL EFFICIENCY; OUTREACH; PERFORMANCE; DEA; SUSTAINABILITY; PRODUCTIVITY; BANKS</t>
  </si>
  <si>
    <t>Operational efficiency; financial sustainability; social outreach; microfinance; MFIs; network DEA</t>
  </si>
  <si>
    <t>Revisiting efficiency of microfinance institutions (MFIs): an application of network data envelopment analysis</t>
  </si>
  <si>
    <t>Nourani, Mohammad; Malim, Nurhafiza Abdul Kader; Mia, Md Aslam</t>
  </si>
  <si>
    <t>Nourani, M; Malim, NAK; Mia, MA</t>
  </si>
  <si>
    <t>WOS:000447058900007</t>
  </si>
  <si>
    <t>GW6JD</t>
  </si>
  <si>
    <t>Alexander, Patricia M/0000-0002-9484-7223; Kanobe, Freick/0000-0003-2454-1971; Kanobe, Freick/0000-0002-3729-9021; Kanobe, Freick/0000-0002-6418-5361; Bwalya, Kelvin Joseph/0000-0003-0509-5515</t>
  </si>
  <si>
    <t>Alexander, Patricia M/P-7967-2016; Bwalya, Kelvin Joseph/AAA-8351-2020</t>
  </si>
  <si>
    <t>fred.kanobe@gmail.com; AlexanderMP@tut.ac.za; bwalyakelvinjoseph@gmail.com</t>
  </si>
  <si>
    <t>Kanobe, F (corresponding author), Tshwane Univ Technol, Pretoria, South Africa.</t>
  </si>
  <si>
    <t>Tshwane University of Technology; University of Johannesburg</t>
  </si>
  <si>
    <t>[Kanobe, Frederick; Alexander, Patricia M.] Tshwane Univ Technol, Pretoria, South Africa; [Bwalya, Kelvin J.] Univ Johannesburg, Johannesburg, South Africa</t>
  </si>
  <si>
    <t>The introduction of mobile money systems in emerging economies has enabled the would-be unbanked population to gain access to financial services. The number of mobile money users and value of transactions is on the increase. This rapid growth of mobile money services and value transactions in emerging economies is attributed to the light-touch regulatory framework which allows minimal limitations on who should operate mobile money system and few restrictions on who can function as an agent. These increases both in services and transactions indicate that mobile money systems hold a lot of valuable customer financial information that needs to be jealously protected against information breaches and abuse by the various stakeholders in the mobile money ecosystem. Taking an interpretive qualitative approach, Activity Theory (AT) has been used to analyse the mobile money management activities focusing on information security policies, regulations and procedures. In order to comprehend the aspects revealed by the Activity Theory analysis that raise information security management concerns in mobile money operations, Mobile Network Operator (MNO) management issues, in terms of the security of mobile money operations, are detailed. Our findings look at the reasons given by various stakeholders for information security management gaps in mobile money operations in emerging economies. Our findings disclose the roles of MNO staff, who are not information security experts, in the development and compliance monitoring of policies, regulations and procedures related to the safety of financial information in mobile money systems.</t>
  </si>
  <si>
    <t>Mobile Money; Mobile Network Operators; Mobile Money Ecosystem; Activity Theory</t>
  </si>
  <si>
    <t>POLICIES, REGULATIONS AND PROCEDURES AND THEIR EFFECTS ON MOBILE MONEY SYSTEMS IN UGANDA</t>
  </si>
  <si>
    <t>Kanobe, Frederick; Alexander, Patricia M.; Bwalya, Kelvin J.</t>
  </si>
  <si>
    <t>Kanobe, F; Alexander, PM; Bwalya, KJ</t>
  </si>
  <si>
    <t>WOS:000834564000001</t>
  </si>
  <si>
    <t>LI5J5</t>
  </si>
  <si>
    <t>10.1080/20430795.2022.2105792</t>
  </si>
  <si>
    <t>Musah, Alhassan/0000-0002-4416-6526; Yakubu, Ibrahim Nandom/0000-0003-4424-996X</t>
  </si>
  <si>
    <t>Musah, Alhassan/HOI-0452-2023; Yakubu, Ibrahim Nandom/GPS-7416-2022</t>
  </si>
  <si>
    <t>kassiibrahim@gmail.com</t>
  </si>
  <si>
    <t>Yakubu, IN (corresponding author), Ankara Yildirim Beyazit Univ, Dept Finance &amp; Banking, Ankara, Turkiye.</t>
  </si>
  <si>
    <t>Ankara Yildirim Beyazit University; University for Development Studies</t>
  </si>
  <si>
    <t>[Yakubu, Ibrahim Nandom] Ankara Yildirim Beyazit Univ, Dept Finance &amp; Banking, Ankara, Turkiye; [Musah, Alhassan] Univ Dev Studies, Fac Sustainable Dev Studies, Dept Sustainable Dev Studies, Tamale, Ghana</t>
  </si>
  <si>
    <t>This study examines the impact of financial inclusion on bank profitability in Sub-Saharan Africa (SSA) over the period 2000-2017. Using different sub-indicators of financial inclusion, the study employs the principal component analysis (PCA) to generate an index of financial inclusion. Applying the generalized method of moments technique which addresses the problem of endogeneity, the results show that financial inclusion negatively influences bank profitability in Sub-Saharan Africa, particularly in the post-global financial crisis period. Banking sector stability is noted to positively and significantly drive bank performance. Besides, while inflation has a significant positive impact on profitability, the effect of economic growth on profitability differs depending on the period of analysis. The study suggests that policy measures aimed at achieving a financially inclusive economy should encompass policies directed at improving banking sector profitability. That is, strategies to stimulate financial inclusion should move in tandem with policies to boost profitability.</t>
  </si>
  <si>
    <t>ECONOMIC-GROWTH; DETERMINANTS; POVERTY; RISK</t>
  </si>
  <si>
    <t>Financial inclusion; profitability; return on assets; return on equity; GMM</t>
  </si>
  <si>
    <t>The nexus between financial inclusion and bank profitability: a dynamic panel approach</t>
  </si>
  <si>
    <t>Yakubu, Ibrahim Nandom; Musah, Alhassan</t>
  </si>
  <si>
    <t>Yakubu, IN; Musah, A</t>
  </si>
  <si>
    <t>WOS:001640539200001</t>
  </si>
  <si>
    <t>X3702</t>
  </si>
  <si>
    <t>10.1016/j.ememar.2025.101424</t>
  </si>
  <si>
    <t>Jaehyuk Park acknowledges support by the National Research Foundation of Korea (NRF) Grant through the Ministry of Science and ICT (MSIT) , Korea under Grant RS-2022-NR070854.</t>
  </si>
  <si>
    <t>National Research Foundation of Korea (NRF) Grant through the Ministry of Science and ICT (MSIT) , Korea</t>
  </si>
  <si>
    <t>National Research Foundation of Korea (NRF) Grant through the Ministry of Science and ICT (MSIT) , Korea [RS-2022-NR070854]</t>
  </si>
  <si>
    <t>daviduch@kdis.ac.kr; slee6@kdis.ac.kr; jpark@kdis.ac.kr</t>
  </si>
  <si>
    <t>Lee, S (corresponding author), KDI Sch Publ Policy &amp; Management, Sejong Si, South Korea.</t>
  </si>
  <si>
    <t>KDI School of Public Policy &amp; Management</t>
  </si>
  <si>
    <t>[Chacon, David Ugarte; Lee, Seohyun; Park, Jaehyuk] KDI Sch Publ Policy &amp; Management, Sejong Si, South Korea</t>
  </si>
  <si>
    <t>This paper proposes an explainable machine learning model for consumer credit scoring in Mexico, an emerging economy. We develop an extreme gradient boosting (XGBoost) model using non-traditional data from the Financial Inclusion National Survey. To address the black box problem, we explore the feature importance by estimating the Shapley values that measure the average marginal contributions across all possible subsets of features. The key drivers of consumer credit defaults include the adverse economic effects due to the COVID-19 pandemic and financial attitudes and behaviors. By exploring the distributions of the Shapley values by age and income, we find evidence of non-linearity in the feature explanations.</t>
  </si>
  <si>
    <t>ART CLASSIFICATION ALGORITHMS; FINTECH; TESTS</t>
  </si>
  <si>
    <t>Machine learning; Explainability; xAI; Consumer credit scoring</t>
  </si>
  <si>
    <t>An explainable machine learning model for consumer credit scoring in Mexico</t>
  </si>
  <si>
    <t>Chacon, David Ugarte; Lee, Seohyun; Park, Jaehyuk</t>
  </si>
  <si>
    <t>Chacon, DU; Lee, S; Park, J</t>
  </si>
  <si>
    <t>WOS:001506298900001</t>
  </si>
  <si>
    <t>9YE6R</t>
  </si>
  <si>
    <t>10.1002/sd.3553</t>
  </si>
  <si>
    <t>Tahir, Abdul Haseeb/0000-0003-2055-6527; Umer, Muhammad/0000-0001-9334-3261</t>
  </si>
  <si>
    <t>COCCORESE, Paolo/Y-8810-2019; Tahir, Abdul Haseeb/JFK-8477-2023; Umer, Muhammad/JMB-1795-2023</t>
  </si>
  <si>
    <t>muhammad.umer@icn-artem.com; aht@njust.edu.cn</t>
  </si>
  <si>
    <t>Umer, M (corresponding author), ICN Business Sch, Dept Human Resources Management &amp; Org Behav, Nancy, France.;Tahir, AH (corresponding author), Nanjing Univ Sci &amp; Technol, Sch Econ &amp; Management, Nanjing, Jiangsu, Peoples R China.</t>
  </si>
  <si>
    <t>University of Salerno; Nanjing University of Science &amp; Technology</t>
  </si>
  <si>
    <t>[Parveen, Shagufta; Coccorese, Paolo] Univ Salerno, Dept Econ &amp; Stat, Fisciano, Italy; [Umer, Muhammad] ICN Business Sch, Dept Human Resources Management &amp; Org Behav, Nancy, France; [Tahir, Abdul Haseeb] Nanjing Univ Sci &amp; Technol, Sch Econ &amp; Management, Nanjing, Jiangsu, Peoples R China</t>
  </si>
  <si>
    <t>Financial inclusion (FI) and green finance (GF) are critical enablers for achieving the United Nations' Sustainable Development Goals (UNSDGs) and fulfilling objectives outlined in COP 29 related to climate action. FI and GF drive capital mobilization, green investments, and emissions reduction. A comprehensive literature review on FI and GF was conducted on the Web of Science and Scopus databases using VoSviewer and the Bibliometrix package in R. Analysis revealed that GF is mainly connected with digital finance, environmental economics, economic development, human capital, and blockchain. FI is intricately linked to multiple dimensions of sustainable development, including environmental quality, green growth, climate change, urbanization, and trade openness. Moreover, we identified seven clusters underscoring the strong interrelationships between FI, GF, and UN SDGs. Future research can explore key enablers of FI, such as digital technologies, regulatory frameworks, financial literacy, and public-private partnerships, and examine the interplay between FI and monetary policy.</t>
  </si>
  <si>
    <t>RESOURCE MANAGEMENT; RENEWABLE ENERGY; CLIMATE-CHANGE; GROWTH</t>
  </si>
  <si>
    <t>bibliometric analysis; COP 29; financial inclusion; green finance; PRISMA; UN 2030 SDGs; UN 2050 SDGs</t>
  </si>
  <si>
    <t>Synergizing Financial Inclusion and Green Finance: Advancing Sustainable Development Goals 2030 and 2050 in Alignment With COP 29 Commitments</t>
  </si>
  <si>
    <t>Parveen, Shagufta; Coccorese, Paolo; Umer, Muhammad; Tahir, Abdul Haseeb</t>
  </si>
  <si>
    <t>Parveen, S; Coccorese, P; Umer, M; Tahir, AH</t>
  </si>
  <si>
    <t>WOS:000551224700018</t>
  </si>
  <si>
    <t>MO0JX</t>
  </si>
  <si>
    <t>10.3390/ijfs8020028</t>
  </si>
  <si>
    <t>Azadi, Hossein/0000-0002-5108-1993</t>
  </si>
  <si>
    <t>Azadi, Hossein/E-2361-2011</t>
  </si>
  <si>
    <t>tekeste.berhanu@mu.edu.et; hossein.azadi@ugent.be</t>
  </si>
  <si>
    <t>Azadi, H (corresponding author), Univ Ghent, Dept Geog, B-9000 Ghent, Belgium.;Azadi, H (corresponding author), Univ Hamburg, Inst Geog, Res Grp Climate Change &amp; Secur, D-20144 Hamburg, Germany.;Azadi, H (corresponding author), Czech Univ Life Sci Prague, Fac Environm Sci, Prague 16500, Czech Republic.</t>
  </si>
  <si>
    <t>Mekelle University; Ghent University; University of Hamburg; Czech University of Life Sciences Prague</t>
  </si>
  <si>
    <t>[Lakew, Tekeste Berhanu] Mekelle Univ, Coll Business &amp; Econ, Dept Accounting &amp; Finance, Mekelle 231, Ethiopia; [Azadi, Hossein] Univ Ghent, Dept Geog, B-9000 Ghent, Belgium; [Azadi, Hossein] Univ Hamburg, Inst Geog, Res Grp Climate Change &amp; Secur, D-20144 Hamburg, Germany; [Azadi, Hossein] Czech Univ Life Sci Prague, Fac Environm Sci, Prague 16500, Czech Republic</t>
  </si>
  <si>
    <t>It is important to evaluate the impact of Ethiopia's financial inclusion strategy since it has been launched in 2014. Accordingly, this paper assesses the extent to which the target has been met. The main aim of this study is to measure the success or failure of Ethiopia's financial inclusion in comparison with other countries in East Africa. Using secondary data, this study revealed that Ethiopia's financial inclusion is not as successful as other East African countries. This study also found that Ethiopians prefer informal saving clubs rather than formal financial organs. This preference, combined with unemployment and low income, is the barrier to the financial inclusion strategy. Based on the findings, identifying and addressing root causes should be done by removing distance, cost, credit, and documentation barriers. Moreover, the findings showed that access to public transit can also expand the reach of formal financial institutions by encouraging more people to physically access financial institutions. This study recommended access to formal financial organs as a core to financial institutions. Access to formal financial organs should be boosted through increasing financial institutions. Educating individuals about their financial circumstances were also recommended so that people can increase their formal saving uptake. This paper also recommended that the government develop regulatory guidelines for the functioning of financial institutions. The main outcome, therefore, is that financial institutions could be more transparent and predictable, reduce costs, and simplify the rules for entering the market.</t>
  </si>
  <si>
    <t>microfinance; formal financial system; financial exclusion; East Africa</t>
  </si>
  <si>
    <t>Financial Inclusion in Ethiopia: Is It on the Right Track?</t>
  </si>
  <si>
    <t>Lakew, Tekeste Berhanu; Azadi, Hossein</t>
  </si>
  <si>
    <t>Lakew, TB; Azadi, H</t>
  </si>
  <si>
    <t>WOS:000793724200001</t>
  </si>
  <si>
    <t>1D3SS</t>
  </si>
  <si>
    <t>10.3389/fpsyg.2022.857193</t>
  </si>
  <si>
    <t>Funding This research was funded by Zhejiang Soft Science project [Grant 2021C35057].</t>
  </si>
  <si>
    <t>Zhejiang Soft Science project</t>
  </si>
  <si>
    <t>Zhejiang Soft Science project [2021C35057]</t>
  </si>
  <si>
    <t>tangxuelian@nbu.edu.cn</t>
  </si>
  <si>
    <t>Tang, XL (corresponding author), Ningbo Univ, Coll Sci &amp; Technol, Ningbo, Peoples R China.</t>
  </si>
  <si>
    <t>Ningbo University</t>
  </si>
  <si>
    <t>[Tang, Xuelian] Ningbo Univ, Coll Sci &amp; Technol, Ningbo, Peoples R China</t>
  </si>
  <si>
    <t>Firm innovation relies heavily on financing, which is why it is a hot topic in the fields of finance and innovation management. Organizations can make strategic investments in production factors to develop competitive advantages because they have access to financial resources. This study investigated how financial literacy, innovativeness, and environmental sustainability influence the sustainability of small and medium-sized enterprises (SMEs). This was set as the primary objective in order to better understand the nature of the impact of financial literacy and innovation on the sustainability of SME firms. To test the hypotheses, structural equation modeling (SEM) was applied using data collected from 300 small businesses firms in China. The results revealed that financial literacy and innovativeness significantly influence small firms' sustainability. Additionally, social inclusion significantly affects small firms' sustainability, and sequentially has a significant effect on their performance. Research findings suggested that small businesses incorporate sustainability models into their operations and enhance financial knowledge in order to maintain sustainability.</t>
  </si>
  <si>
    <t>CORPORATE SOCIAL-RESPONSIBILITY; SUPPLY CHAIN MANAGEMENT; BUSINESS MODELS; MEDIATING ROLE; ENVIRONMENTAL PERFORMANCE; MODERATING ROLE; ECO-INNOVATION; MANUFACTURING SMES; FIRM PERFORMANCE; E-COMMERCE</t>
  </si>
  <si>
    <t>financial literacy; innovation; sustainability; SEMs; access to finance</t>
  </si>
  <si>
    <t>Article; Retracted Publication</t>
  </si>
  <si>
    <t>RETRACTED: New Schemes for Investment in of Small and Medium-Sized Enterprises of China: Role of Access to Finance, Innovation, and Sustainability (Retracted article. See vol. 16, 2025)</t>
  </si>
  <si>
    <t>Tang, Xuelian</t>
  </si>
  <si>
    <t>Tang, XL</t>
  </si>
  <si>
    <t>WOS:000755251000027</t>
  </si>
  <si>
    <t>YZ1OD</t>
  </si>
  <si>
    <t>10.1371/journal.pone.0261337</t>
  </si>
  <si>
    <t>e0261337</t>
  </si>
  <si>
    <t>DEC 22</t>
  </si>
  <si>
    <t>Khan, Fahad Najeeb/0000-0002-1922-0850; Bashir, Zahid/0000-0001-5546-1099; AHMED, ZEESHAN/0000-0001-8388-3168; Shabbir, Muhammad Nadir/0000-0003-3509-9410; Arshad, Muhammad Usman/0000-0002-9531-5421</t>
  </si>
  <si>
    <t>; Bashir, Zahid/C-3494-2016; Shabbir, Muhammad Nadir/HMV-0817-2023; Arshad, Muhammad Usman/M-4160-2018</t>
  </si>
  <si>
    <t>usman.arshad@uog.edu.pk</t>
  </si>
  <si>
    <t>Arshad, MU (corresponding author), Univ Gujrat, Dept Commerce, Hafiz Hayat Campus, Gujrat, Pakistan.</t>
  </si>
  <si>
    <t>University of Gujrat; Pakistan Institute of Development Economics; Central University of Finance &amp; Economics; University of Sargodha</t>
  </si>
  <si>
    <t>[Arshad, Muhammad Usman; Bashir, Zahid] Univ Gujrat, Dept Commerce, Hafiz Hayat Campus, Gujrat, Pakistan; [Ahmed, Zeeshan] Univ Lahore, Dept Management Sci, Gujrat, Pakistan; [Ramzan, Ayesha] Pakistan Inst Dev Econ, Dept Econ &amp; Finance, Islamabad, Pakistan; [Shabbir, Muhammad Nadir] Cent Univ Finance &amp; Econ, Sch Int Trade &amp; Econ, Beijing, Peoples R China; [Khan, Fahad Najeeb] Univ Sargodha, Noon Business Sch, Sargodha, Pakistan</t>
  </si>
  <si>
    <t>The study explores the causal relationship between monetary policy effectiveness and financial inclusion in developed and under-developed countries. Structural Vector Auto-regressive techniques have been inducted to explore the relationship between monetary policy effectiveness and financial inclusion. The study covers the secondary data of 10 developed and 30 underdeveloped countries throughout 2004-2018. It is concluded that monetary policy effectiveness and financial inclusion do not have a contemporaneous impact on each other. Nevertheless, the reduced-form Vector Auto-regressive witness the reverse causality between financial inclusion and monetary policy effectiveness in developed countries. Thus, effective monetary policy enhances financial inclusion in a country, and a higher degree of financial inclusion lowers the inflation rate and makes monetary policy effective. One way causality from monetary policy effectiveness to financial inclusion can be observed in under-developed countries. Using the Structural Vector auto-regressive technique and financial inclusion index composed of three-dimension to examine the relationship of monetary policy effectiveness and financial inclusion in developed and developing countries is considered the study's significant contribution.</t>
  </si>
  <si>
    <t>TRANSMISSION; CHANNEL</t>
  </si>
  <si>
    <t>Financial inclusion and monetary policy effectiveness: A sustainable development approach of developed and under-developed countries</t>
  </si>
  <si>
    <t>Arshad, Muhammad Usman; Ahmed, Zeeshan; Ramzan, Ayesha; Shabbir, Muhammad Nadir; Bashir, Zahid; Khan, Fahad Najeeb</t>
  </si>
  <si>
    <t>Arshad, MU; Ahmed, Z; Ramzan, A; Shabbir, MN; Bashir, Z; Khan, FN</t>
  </si>
  <si>
    <t>WOS:001014894000001</t>
  </si>
  <si>
    <t>4IK1T</t>
  </si>
  <si>
    <t>10.1142/S2424786323500093</t>
  </si>
  <si>
    <t>Rizvi, Zeeshan/KUD-3845-2024</t>
  </si>
  <si>
    <t>s.zuimahwasim@gmail.com; khurram.iftikhar@hotmail.com; zia.rizvi@yahoo.com</t>
  </si>
  <si>
    <t>Wasim, SZ (corresponding author), Univ Karachi, Appl Econ Res Ctr AERC, Karachi, Pakistan.</t>
  </si>
  <si>
    <t>University of Karachi</t>
  </si>
  <si>
    <t>[Wasim, Syeda Zuimah; Iftikhar, Khurram; Rizvi, Syed Zia Abbas] Univ Karachi, Appl Econ Res Ctr AERC, Karachi, Pakistan</t>
  </si>
  <si>
    <t>This study scrutinizes the effect of financial inclusion (FI) on trade by employing the Newey West standard approach, Feasible Generalized Least Square (FGLS), Pooled Ordinary Least Square (POLS) regression, Fixed Effect Model (FEM) and Random Effect Model (REM) on 24 developing economies from 2004 to 2020. Results found strong, significant and positive association linking FI and trade. Policy recommendations are developing countries should take serious measures to deepen FI which will boost the effect on trade. Furthermore, these economies should expand trade in new markets and use formal financial institutions as channels for carrying out trade transactions.</t>
  </si>
  <si>
    <t>ECONOMIC-GROWTH; OPENNESS; INFLATION; IMPACT</t>
  </si>
  <si>
    <t>Financial inclusion index; trade; FGLS</t>
  </si>
  <si>
    <t>Does financial inclusion catalyze trade</t>
  </si>
  <si>
    <t>Wasim, Syeda Zuimah; Iftikhar, Khurram; Rizvi, Syed Zia Abbas</t>
  </si>
  <si>
    <t>Wasim, SZ; Iftikhar, K; Rizvi, SZA</t>
  </si>
  <si>
    <t>WOS:001106530600001</t>
  </si>
  <si>
    <t>10.1108/JFEP-07-2023-0186</t>
  </si>
  <si>
    <t>Mir, Tariq/0000-0003-2178-9461; Joshi, D P Priyadarshi/0000-0001-9512-6332; Gopinathan, R/0000-0002-5238-2501</t>
  </si>
  <si>
    <t>; Joshi, D P Priyadarshi/ADO-3931-2022; Gopinathan, R/KBQ-3462-2024</t>
  </si>
  <si>
    <t>dppriyadarshi.joshi@gmail.com</t>
  </si>
  <si>
    <t>Joshi, DPP (corresponding author), Gangadhar Meher Univ, Sch Econ, Sambalpur, India.</t>
  </si>
  <si>
    <t>[Mir, Tariq Ahmad; Gopinathan, R.] Shri Mata Vaishno Devi Univ, Sch Econ, Katra, India; [Joshi, D. P. Priyadarshi] Gangadhar Meher Univ, Sch Econ, Sambalpur, India</t>
  </si>
  <si>
    <t>Purpose - This study aims to analyze the long-run dynamic relationship between financial inclusion and economic growth for developing nations.Design/methodology/approach - This study develops a comprehensive financial inclusion index based on the UNDP methodology for 53 developing nations. The authors use second-generation unit root tests, cointegration techniques and an advanced dynamic common correlated effects estimator model called cross-sectional augmented autoregressive distributed lags (CS-ARDL) to examine long-run dynamics among variables.Findings - The tests confirm the presence of slope-heterogeneity and cross-sectional dependency. The second-generation panel unit root tests show the chosen variables are stationary at first difference. The bootstrap Westerlund cointegration result shows the variables are cointegrated in the long run. The CS-ARDL estimates conclude that financial inclusion positively enhances gross domestic product per capita in selected developing countries. The robustness check through augmented mean group estimation validates the findings.Originality/value - The study makes three important contributions: first, it constructs a comprehensive financial inclusion index using 10 variables for a panel of 53 developing nations; second, the potential cross-section dependence and slope heterogeneity of panel data have been accounted for by applying the second-generation unit root tests; third, the study uses the dynamic common correlated effects estimator model (CS-ARDL) to examine long-run dynamics among variables.</t>
  </si>
  <si>
    <t>LABOR-FORCE PARTICIPATION; POVERTY REDUCTION; TRADE; COUNTRIES; SERVICES; NEXUS; PERFORMANCE; CONSUMPTION; INEQUALITY; DEPENDENCE</t>
  </si>
  <si>
    <t>Financial institution and services; Economic development: Financial markets; Econometric and statistical methods</t>
  </si>
  <si>
    <t>Revisiting long-run dynamics between financial inclusion and economic growth in developing nations: evidence from CS-ARDL approach</t>
  </si>
  <si>
    <t>Mir, Tariq Ahmad; Gopinathan, R.; Joshi, D. P. Priyadarshi</t>
  </si>
  <si>
    <t>Mir, TA; Gopinathan, R; Joshi, DPP</t>
  </si>
  <si>
    <t>WOS:000609218200009</t>
  </si>
  <si>
    <t>PU3PV</t>
  </si>
  <si>
    <t>10.1016/j.jrurstud.2020.10.035</t>
  </si>
  <si>
    <t>Tavera-Mesías, Juan Fernando/0000-0002-1392-9535</t>
  </si>
  <si>
    <t>van Klyton, Aaron/AAM-9108-2021; Tavera-Mesías, Juan Fernando/V-5429-2018</t>
  </si>
  <si>
    <t>vanklyton@gmail.com; juan.tavera@udea.edu.co; wilson.castano@udea.edu.co</t>
  </si>
  <si>
    <t>van Klyton, A (corresponding author), Ramapo Coll, Anisfield Sch Business, Int Business, 505 Ramapo Valley Rd, Mahwah, NJ 07430 USA.</t>
  </si>
  <si>
    <t>Ramapo College New Jersey (RCNJ); Universidad de Antioquia; Universidad de Antioquia</t>
  </si>
  <si>
    <t>[van Klyton, Aaron] Ramapo Coll, Anisfield Sch Business, Int Business, 505 Ramapo Valley Rd, Mahwah, NJ 07430 USA; [Tavera-Mesias, Juan Fernando] Univ Antioquia, Fac Ciencias Econ, Dept Ciencias Adm, Imark Grp Invest Mkt, Medellin, Colombia; [Castano-Munoz, Wilson] Univ Antioquia Medellin, Lib &amp; Informat Sci, St 67 53-108, Medellin, Colombia</t>
  </si>
  <si>
    <t>This research examines innovation resistance to a mobile banking and digital money initiative in rural communities. Despite studies on the impact of mobile banking applications on increasing financial inclusion, there is still a dearth of research on why innovation resistance persists in traditional, rural communities, particularly with respect to gender. This qualitative case study uses semi-structured interviews, participant observation, and semiotics to unpack the causes of resistance in a rural town and use this experience to elaborate on existing innovation theories. We conceptualise four factors that contributed to innovation resistance and highlight the need for a multi-faceted approach to addressing financial isolation in rural sectors. The themes embodied within these factors include the reconfiguration of rural life, the dematerialisation of cash, local and regional politics and gender relations. This case serves as an example of the historical situatedness of knowledge and the intersubjective nature of human and social relations that affect technology acceptance. This is one of the first studies to apply active and passive innovation resistance literature to a rural context. We hoped to have emphasised a need to rethink digital initiatives for financial inclusion in rural communities. Furthermore, the idiosyncrasies of this case call for revisiting mainstream innovation resistance models to draw on interdisciplinary approaches that facilitate financial inclusion for marginalised communities.</t>
  </si>
  <si>
    <t>CONSUMER RESISTANCE; INTERNET BANKING; ADOPTION; GENDER; CHALLENGES; TECHNOLOGY; INFORMATION; ACCEPTANCE; SERVICES; INCLUSION</t>
  </si>
  <si>
    <t>Innovation resistance; Mobile banking; Passive innovation resistance; Active innovation resistance; Rural communities; Gender</t>
  </si>
  <si>
    <t>Innovation resistance and mobile banking in rural Colombia</t>
  </si>
  <si>
    <t>van Klyton, Aaron; Tavera-Mesias, Juan Fernando; Castano-Munoz, Wilson</t>
  </si>
  <si>
    <t>van Klyton, A; Tavera-Mesías, JF; Castaño-Muñoz, W</t>
  </si>
  <si>
    <t>WOS:000662231400002</t>
  </si>
  <si>
    <t>ST1ST</t>
  </si>
  <si>
    <t>10.26414/A2371</t>
  </si>
  <si>
    <t>Turk. J. Islamic Econ.</t>
  </si>
  <si>
    <t>TURK J ISLAMIC ECON</t>
  </si>
  <si>
    <t>2148-3809</t>
  </si>
  <si>
    <t>2147-9054</t>
  </si>
  <si>
    <t>AZIZ MAHMUT HUDAYI MAH TURBE KAPISI SOK NO 13 USKUDAR, ISTANBUL, 00000, TURKEY</t>
  </si>
  <si>
    <t>RESEARCH CENTER ISLAMIC ECONOMICS-IKAM</t>
  </si>
  <si>
    <t>Othman, Anwar/0000-0001-5759-8216</t>
  </si>
  <si>
    <t>Othman, Anwar/U-3214-2019</t>
  </si>
  <si>
    <t>fatismed95@yahoo.fr; anwarhasan@iium.edu.my</t>
  </si>
  <si>
    <t>Maouloud, VM (corresponding author), Int Islamic Univ Malaysia, Gombak, Selangor, Malaysia.</t>
  </si>
  <si>
    <t>International Islamic University Malaysia</t>
  </si>
  <si>
    <t>[Maouloud, Vatimetou Mokhtar; Othman, Anwar Hasan Abdullah] Int Islamic Univ Malaysia, Gombak, Selangor, Malaysia</t>
  </si>
  <si>
    <t>This study examines the impact of using Islamic microfinance products on the Mauritanian microentrepreneurs' income level. The study is purely quantitative, and it uses cross-sectional design data, which was gathered through a questionnaire from a sample of 381 beneficiaries of an Islamic microfinance institution (PROCAPEC). It uses Structural Equation Modeling (SEM) to determine the effectiveness of using Islamic microfinance products on the beneficiaries' income as well as to test the moderator effect of gender on the relationship in the model. The research found out that the use of Islamic microfinance products has increased the beneficiaries' income; however, gender has no moderator effect on the relationship between the usage of Islamic microfinance products and income level. These findings help the policymakers and managers of Islamic microfinance consider the factors increasing Islamic microfinance products' usage to reduce poverty in the country. This study is among the pioneer in the field of Islamic microfinance in Mauritania due to the scarcity of studies in the geographical context.</t>
  </si>
  <si>
    <t>FINANCIAL INCLUSION; POVERTY ALLEVIATION; ACCESS; MODEL; POOR</t>
  </si>
  <si>
    <t>Mauritania; financial inclusion; Islamic microfinance; Poverty alleviation; Structural Equation Modeling</t>
  </si>
  <si>
    <t>TURKISH JOURNAL OF ISLAMIC ECONOMICS-TUJISE</t>
  </si>
  <si>
    <t>Impact of using Islamic Microfinance Products on Mauritanian Microentrepreneurs' Income Evidence from PROCAPEC-Nouakchott</t>
  </si>
  <si>
    <t>Maouloud, Vatimetou Mokhtar; Othman, Anwar Hasan Abdullah</t>
  </si>
  <si>
    <t>Maouloud, VM; Othman, AHA</t>
  </si>
  <si>
    <t>WOS:000818167900001</t>
  </si>
  <si>
    <t>2N1SM</t>
  </si>
  <si>
    <t>10.3390/jrfm15060270</t>
  </si>
  <si>
    <t>The APC was funded by the University of South Africa.</t>
  </si>
  <si>
    <t>Sibindi, Athenia/0000-0003-0953-8424</t>
  </si>
  <si>
    <t>Sibindi, Athenia/O-6991-2014</t>
  </si>
  <si>
    <t>mpofuoli77@yahoo.com; sibinab@unisa.ac.za</t>
  </si>
  <si>
    <t>Sibindi, AB (corresponding author), Univ South Africa UNISA, Dept Finance Risk Management &amp; Banking, POB 392, ZA-0003 Pretoria, South Africa.</t>
  </si>
  <si>
    <t>[Mpofu, Olipha; Sibindi, Athenia Bongani] Univ South Africa UNISA, Dept Finance Risk Management &amp; Banking, POB 392, ZA-0003 Pretoria, South Africa</t>
  </si>
  <si>
    <t>The aim of this study was to ascertain what can be done by the informal finance sector to close the credit gap in order to improve access to finance by SMEs. SMEs are the backbone of many economies as a result of generating employment and improving GDP. Despite playing such a major role in African economies, SMEs have been excluded from the financial systems. The informal finance sector plays a vital role by providing finance to small businesses. The study employed a literature survey with a primary focus on empirical studies that have been conducted in the African context. The study found that, generally, there are two circumstances under which most small businesses depend on informal finance. Firstly, informal finance is used as a last resort by SMEs that fail to access credit from the formal finance sector, owing to, among other issues, information asymmetry, lack of collateral security and perceived high default rates. Further, low financial literacy and the absence of credit bureaus in developing countries also contribute to the failure to access finance from formal institutions. Secondly, some entrepreneurs opt for informal finance even if they are eligible for formal finance as a result of its flexibility, convenience and simple administrative procedures. Notwithstanding the above benefits of informal finance, informal lenders are regarded as exploiting the clients by charging high interest rates. In addition, this sector suffers from limited resources; hence, it fails to fully service SMEs that require larger funding and are not eligible for formal finance. Invariably, all the studies that have been carried out confirm that access to finance is a major obstacle to the growth and development of SMEs. The development and empowerment of SMEs cannot be ignored as an important driver of the developmental agenda of most economies globally. The main policy recommendations that flow from this study, based on the policy syndrome of improving access to finance (financial inclusion) by the SME sector, include (1) the establishment of a suitable regulatory framework which will nurture the informal finance sector while promoting consumer protection, and (2) linking the formal and informal sector. On the other hand, SMEs should improve their risk management practices and also embrace FinTech platforms in order to access credit.</t>
  </si>
  <si>
    <t>MARKETS</t>
  </si>
  <si>
    <t>informal finance; formal finance; credit; Fintech; small businesses</t>
  </si>
  <si>
    <t>Informal Finance: A Boon or Bane for African SMEs?</t>
  </si>
  <si>
    <t>Mpofu, Olipha; Sibindi, Athenia Bongani</t>
  </si>
  <si>
    <t>Mpofu, O; Sibindi, AB</t>
  </si>
  <si>
    <t>WOS:001450030100001</t>
  </si>
  <si>
    <t>3LS9S</t>
  </si>
  <si>
    <t>10.1108/IJBM-09-2024-0579</t>
  </si>
  <si>
    <t>JUN 9</t>
  </si>
  <si>
    <t>Funding: The funding for this study was provided by the Social Sciences and Humanities Research Council of Canada-Partnership Engage Grants, #892-2021-0055.</t>
  </si>
  <si>
    <t>Social Sciences and Humanities Research Council of Canada-Partnership Engage Grants</t>
  </si>
  <si>
    <t>Social Sciences and Humanities Research Council of Canada-Partnership Engage Grants [892-2021-0055]</t>
  </si>
  <si>
    <t>Rodríguez-Escudero, Ana Isabel/0000-0002-8827-5353;</t>
  </si>
  <si>
    <t>Rodríguez-Escudero, Ana Isabel/C-8586-2011; Carbonell, Pilar/P-6890-2019</t>
  </si>
  <si>
    <t>pilarc@yorku.ca; airodriguez@yorku.ca</t>
  </si>
  <si>
    <t>Carbonell, P (corresponding author), York Univ, Keele Campus, Toronto, ON, Canada.</t>
  </si>
  <si>
    <t>York University - Canada; Universidad de Valladolid</t>
  </si>
  <si>
    <t>[Carbonell, Pilar] York Univ, Keele Campus, Toronto, ON, Canada; [Escudero, Ana Isabel Rodriguez] Univ Valladolid, Fac Econ &amp; Business Sci, Valladolid, Spain</t>
  </si>
  <si>
    <t>PurposeThis study aims to advance understanding of mobile money adoption by examining the similarities and differences between the drivers of adoption intention and actual usage. It also seeks to address critical gaps in the literature by focusing on rural subsistence consumers, who are often underrepresented in mobile money research.Design/methodology/approachThe study employs a mixed-methods approach, combining quantitative survey data collected from 326 users and 130 non-users of mobile money in the Peruvian Amazon with qualitative insights from two focus group discussions involving key stakeholders in the mobile money ecosystem. Partial least squares structural equation modeling and multigroup analysis were used to examine relationships between key factors and to assess differences across the intention and usage stages.FindingsThe study identifies significant similarities and differences in the drivers of mobile money adoption intention and use in rural subsistence markets. Perceived usefulness, ease of use and service accessibility are equally important for both stages. However, collective needs and perceived relative advantage have a stronger influence on adoption intention, while subjective norms, affordability, compatibility and perceived risk are more critical during the usage stage.Originality/valueThis study makes a unique contribution by applying construal level theory to mobile money adoption, highlighting how psychological distance shapes decision-making at different stages of adoption. By focusing on the Peruvian Amazon - a region marked by high poverty levels and limited success in government-led efforts to promote mobile money adoption - this research provides novel insights into adoption behaviors in rural subsistence markets.</t>
  </si>
  <si>
    <t>CONSUMER INNOVATION ADOPTION; USER ACCEPTANCE; INFORMATION-TECHNOLOGY; BEHAVIORAL INTENTIONS; FINANCIAL INCLUSION; SERVICES ADOPTION; MARKETPLACES</t>
  </si>
  <si>
    <t>Mobile money; Adoption intention; Rural subsistence markets; Construal level theory; Financial inclusion</t>
  </si>
  <si>
    <t>Understanding mobile money adoption in rural subsistence markets: a construal-based perspective</t>
  </si>
  <si>
    <t>Carbonell, Pilar; Escudero, Ana Isabel Rodriguez</t>
  </si>
  <si>
    <t>Carbonell, P; Escudero, AIR</t>
  </si>
  <si>
    <t>WOS:000926105700015</t>
  </si>
  <si>
    <t>8O8TY</t>
  </si>
  <si>
    <t>10.33736/ijbs.5185.2022</t>
  </si>
  <si>
    <t>Fauzia, Laela Rizki/JWO-1228-2024; Trinugroho, Irwan/O-6374-2019</t>
  </si>
  <si>
    <t>laelarizkif@gmail.com</t>
  </si>
  <si>
    <t>Fauzia, LR (corresponding author), Univ Sebelas Maret, Fac Econ &amp; Business, Ctr Fintech &amp; Banking, Surakarta 57126, Indonesia.</t>
  </si>
  <si>
    <t>[Fauzia, Laela Rizki; Trinugroho, Irwan; Suryanto] Univ Sebelas Maret, Surakarta, Indonesia</t>
  </si>
  <si>
    <t>Environmental degradation occurs during the initial phase of development. However, after a turning point, the benefits of economic growth supported by the accelerated development of information and communication technology (ICT) can be used for environmental conservation. This research examines the relationship between financial inclusion, ICT, and environmental quality, including the development of ICT in influencing the relationship between financial inclusion and environmental quality. To obtain the research objectives, we used secondary data for the period 2010 to 2021 from 34 provinces in Indonesia using the panel data regression method. This finding is robust for different measures of the financial inclusion index constructed by a modified estimation model. The insights to financial inclusion and emission can be a reference for regulations that financial inclusion and ICT can be used as mitigation measures for environmental quality. Therefore, policymakers should consider the synergistic effect of financial inclusion and ICT in designing development and climate change policies.</t>
  </si>
  <si>
    <t>ECONOMIC-GROWTH; ELECTRICITY CONSUMPTION; CO2 EMISSIONS; ICT</t>
  </si>
  <si>
    <t>Environmental quality; financial inclusion; ICT</t>
  </si>
  <si>
    <t>THE FINANCIAL INCLUSION-ENVIRONMENTAL QUALITY NEXUS: DO INFORMATION AND COMMUNICATION TECHNOLOGIES MAKE A DIFFERENCE?</t>
  </si>
  <si>
    <t>Fauzia, Laela Rizki; Trinugroho, Irwan; Suryanto</t>
  </si>
  <si>
    <t>Fauzia, LR; Trinugroho, I; Suryanto</t>
  </si>
  <si>
    <t>WOS:000390145900004</t>
  </si>
  <si>
    <t>EF2HR</t>
  </si>
  <si>
    <t>10.1080/10705422.2016.1233476</t>
  </si>
  <si>
    <t>J. Community Pract.</t>
  </si>
  <si>
    <t>J COMMUNITY PRACT</t>
  </si>
  <si>
    <t>1543-3706</t>
  </si>
  <si>
    <t>1070-5422</t>
  </si>
  <si>
    <t>Pritzker, Suzanne/0000-0002-3928-0973; Lane, Liza/0000-0001-6421-0208;</t>
  </si>
  <si>
    <t>; Barros Lane, Liza/KDO-1346-2024</t>
  </si>
  <si>
    <t>labarros@central.uh.edu</t>
  </si>
  <si>
    <t>Lane, LB (corresponding author), Univ Houston, Grad Coll Social Work, 110HA Social Work Bldg, Houston, TX 77004 USA.</t>
  </si>
  <si>
    <t>University of Houston System; University of Houston</t>
  </si>
  <si>
    <t>[Lane, Liza Barros; Pritzker, Suzanne] Univ Houston, Grad Coll Social Work, 110HA Social Work Bldg, Houston, TX 77004 USA</t>
  </si>
  <si>
    <t>To expand the financial capability of Latinos, culturally sensitive interventions are needed. A literature search was conducted to examine how financial education interventions have been used to improve financial outcomes for Latinos. Just 7 peer-reviewed intervention studies were identified, suggesting a substantial gap in knowledge in this area. Although conclusions about the effectiveness of financial education interventions with Latinos are limited, each study finds positive changes in financial attitudes or behaviors. Using Resnicow's (1999) cultural sensitivity framework, surface and deep structure methods of tailoring financial education were identified. Implications for designing and testing culturally sensitive financial education interventions are discussed.</t>
  </si>
  <si>
    <t>IMMIGRANTS</t>
  </si>
  <si>
    <t>cultural competency; cultural sensitivity; financial capability; financial education; Latinos</t>
  </si>
  <si>
    <t>JOURNAL OF COMMUNITY PRACTICE</t>
  </si>
  <si>
    <t>Toward Culturally Sensitive Financial Education Interventions with Latinos</t>
  </si>
  <si>
    <t>Lane, Liza Barros; Pritzker, Suzanne</t>
  </si>
  <si>
    <t>Lane, LB; Pritzker, S</t>
  </si>
  <si>
    <t>WOS:001137779900001</t>
  </si>
  <si>
    <t>EG5K3</t>
  </si>
  <si>
    <t>10.1016/j.tncr.2023.08.002</t>
  </si>
  <si>
    <t>Funding This study is funded by a research grant from the Social Sciences and Humanities Research Council of Canada. Grant #:231061.</t>
  </si>
  <si>
    <t>Social Sciences and Humanities Research Council of Canada(Social Sciences &amp; Humanities Research Council of Canada (SSHRC))</t>
  </si>
  <si>
    <t>Social Sciences and Humanities Research Council of Canada [:231061]</t>
  </si>
  <si>
    <t>, Ajax/0000-0002-2846-681X;</t>
  </si>
  <si>
    <t>; Persaud, Ajax/B-8721-2013</t>
  </si>
  <si>
    <t>ajax@telfer.uottawa.ca; wthaf051@uottawa.ca</t>
  </si>
  <si>
    <t>Persaud, A (corresponding author), Univ Ottawa, Telfer Sch Management, 55 Laurier St, Ottawa, ON K1N 6N5, Canada.</t>
  </si>
  <si>
    <t>University of Ottawa</t>
  </si>
  <si>
    <t>[Persaud, Ajax; Thaffe, Wrenford] Univ Ottawa, Telfer Sch Management, 55 Laurier St, Ottawa, ON K1N 6N5, Canada</t>
  </si>
  <si>
    <t>This study proposes a research agenda on financial inclusion (FI) in developing countries based on a synthesis of the literature using a combination of structured literature review and bibliometrics. The analysis is based on 183 peer-reviewed journal articles extracted from Scopus. We found that the literature can be organized into four broad themes: (1) conceptualization and impacts of FI, (2) user perceptions and adoption, (3) role of financial innovation and private sector financial institutions, and (4) role of public institutions and public policy in FI. Further, the literature is dominated by empirical studies with little theory-focused studies. The literature is fragmented, and the evidence is mixed and contested. The social implications of FI need to be studied within specific institutional contexts and care must be exercised when applying successful models from one context to the next. The research agenda is informed by a proposed conceptual model, labelled the financial inclusion diamond.</t>
  </si>
  <si>
    <t>MOBILE MONEY; SERVICES; ADOPTION; ACCESS; SYSTEMS; INFRASTRUCTURES; CONTINUANCE; INNOVATION; ECOSYSTEM; BEHAVIOR</t>
  </si>
  <si>
    <t>Financial inclusion; Developing countries; Fintech; Digital innovation; Mobile money; Bibliometrics</t>
  </si>
  <si>
    <t>The state of financial inclusion research on developing countries</t>
  </si>
  <si>
    <t>Persaud, Ajax; Thaffe, Wrenford</t>
  </si>
  <si>
    <t>Persaud, A; Thaffe, W</t>
  </si>
  <si>
    <t>WOS:000470882500008</t>
  </si>
  <si>
    <t>IC3SS</t>
  </si>
  <si>
    <t>10.1080/0376835X.2018.1498766</t>
  </si>
  <si>
    <t>Data collection was partly supported by the Tertiary Education Trust Fund and the Academic Staff Training &amp; Development fellowship, awarded to the corresponding author through the Federal University Dutsin-ma (FUDMA) Institutional Grant [grant number TETFUND/IBR 165].</t>
  </si>
  <si>
    <t>Tertiary Education Trust Fund; Academic Staff Training &amp; Development fellowship</t>
  </si>
  <si>
    <t>Tertiary Education Trust Fund; Academic Staff Training &amp; Development fellowship [TETFUND/IBR 165]</t>
  </si>
  <si>
    <t>Cavusoglu, Behiye/0000-0003-0561-4514; Sani Ibrahim, Saifullahi/0000-0001-8708-4056;</t>
  </si>
  <si>
    <t>Cavusoglu, Behiye/JBJ-5519-2023; Sani Ibrahim, Saifullahi/ABB-8238-2022; Ozdeser, Huseyin/AET-6345-2022</t>
  </si>
  <si>
    <t>saifullahiibrahim.sani@neu.edu.tr</t>
  </si>
  <si>
    <t>Ibrahim, SS (corresponding author), Near East Univ, Dept Econ, Near East Blvd,Mersin 10, TR-99138 Nicosia Trnc, Turkey.</t>
  </si>
  <si>
    <t>Near East University</t>
  </si>
  <si>
    <t>[Ibrahim, Saifullahi Sani; Ozdeser, Huseyin; Cavusoglu, Behiye] Near East Univ, Dept Econ, Nicosia, Turkey</t>
  </si>
  <si>
    <t>While the importance of financial inclusion as a means of poverty and income inequality reduction has long been recognised, the paths to welfare enhancement and income equality through financial inclusion remain partially acknowledged. Using micro-level data on 1 750 rural Nigerian households, this study examines the finance-welfare nexus by constructing a multi-variable financial inclusion index. The results first show that financial inclusion exerts a strong positive influence on household welfare. However, the decomposition analysis shows that middle- and high-income households gain more from financial inclusion in comparison to the targeted low-income households. Second, informal livelihood strategies, such as environmental resource extraction, crops, and livestock production, revealed reduced welfare disparities across income distributions. Therefore, for financial inclusion to alleviate welfare inequality and ensure income convergence, rural financial markets must be redesigned to allow wider access to credit, specifically for low-income and vulnerable households.</t>
  </si>
  <si>
    <t>PROPENSITY SCORE; POVERTY; EXCLUSION; BRITAIN; ACCESS</t>
  </si>
  <si>
    <t>Financial inclusion; welfare; inequality; economic activities</t>
  </si>
  <si>
    <t>Financial inclusion as a pathway to welfare enhancement and income equality: Micro-level evidence from Nigeria</t>
  </si>
  <si>
    <t>Ibrahim, Saifullahi Sani; Ozdeser, Huseyin; Cavusoglu, Behiye</t>
  </si>
  <si>
    <t>Ibrahim, SS; Ozdeser, H; Cavusoglu, B</t>
  </si>
  <si>
    <t>WOS:000340168000005</t>
  </si>
  <si>
    <t>BB0GR</t>
  </si>
  <si>
    <t>RIPE SER GLOB POLIT</t>
  </si>
  <si>
    <t>978-1-315-81838-2; 978-0-415-82268-8</t>
  </si>
  <si>
    <t>2 PARK SQ, MILTON PARK, ABINGDON OX14 4RN, OXFORD, ENGLAND</t>
  </si>
  <si>
    <t>ROUTLEDGE</t>
  </si>
  <si>
    <t>Soederberg, S (corresponding author), Queens Univ, Dept Global Dev Studies, Kingston, ON K7L 3N6, Canada.</t>
  </si>
  <si>
    <t>[Soederberg, Susanne] Queens Univ, Dept Global Dev Studies, Kingston, ON K7L 3N6, Canada; [Soederberg, Susanne] Queens Univ, Dept Polit Studies, Kingston, ON K7L 3N6, Canada</t>
  </si>
  <si>
    <t>RIPE Series in Global Political Economy</t>
  </si>
  <si>
    <t>TRANSNATIONAL FINANCIAL REGULATION AFTER THE CRISIS</t>
  </si>
  <si>
    <t>The transnational regulation of financial inclusion An historical materialist critique of the G20 principles</t>
  </si>
  <si>
    <t>Soederberg, Susanne</t>
  </si>
  <si>
    <t>Porter, T</t>
  </si>
  <si>
    <t>Soederberg, S</t>
  </si>
  <si>
    <t>WOS:001197185600003</t>
  </si>
  <si>
    <t>OO5X6</t>
  </si>
  <si>
    <t>10.1086/717770</t>
  </si>
  <si>
    <t>MAR 1</t>
  </si>
  <si>
    <t>J. Soc. Soc. Work Res.</t>
  </si>
  <si>
    <t>J SOC SOC WORK RES</t>
  </si>
  <si>
    <t>1948-822X</t>
  </si>
  <si>
    <t>2334-2315</t>
  </si>
  <si>
    <t>Kooon, Isaac/0000-0002-2929-4992</t>
  </si>
  <si>
    <t>Ansong, David/P-6162-2016; Okumu, Moses/AAI-7317-2021; Kooon, Isaac/S-8710-2019</t>
  </si>
  <si>
    <t>okumu@illinois.edu</t>
  </si>
  <si>
    <t>Okumu, M (corresponding author), 1010 W Nevada St, Urbana, IL 61801 USA.</t>
  </si>
  <si>
    <t>University of Illinois System; University of Illinois Urbana-Champaign; University of North Carolina; University of North Carolina Chapel Hill; University of North Carolina School of Medicine; University of Queensland; Arizona State University; Arizona State University-Tempe</t>
  </si>
  <si>
    <t>[Okumu, Moses] Univ Illinois, Sch Social Work, Urbana, IL USA; [Ansong, David] Univ North Carolina Chapel Hill, Sch Social Work, Chapel Hill, NC USA; [Koomson, Isaac] Univ Queensland, Ctr Business &amp; Econ Hlth, Brisbane, Australia; [Chen, Ding-Geng] Arizona State Univ, Coll ofHealth Solut, Tempe, AZ USA; [Okumu, Moses] 1010 W Nevada St, Urbana, IL 61801 USA</t>
  </si>
  <si>
    <t>Objective: Scant evidence exists indicating how governments in African countries consider the economic vulnerability of their populations when instituting initial social control policies. This study examined possible clusters of financial resilience among African countries and how these clusters predicted the length of social control policies. Method: We harmonized country-level financial resilience data from the World Bank 2019 Global Findex database, data on COVID-19 cases from the Africa Centres for Disease Control and Prevention, and social control data from government press releases. We used multivariate cluster analysis and geographically weighted regression to assess the level of savings, domestic remittance, self-employment, wages, emergency funds, and agricultural income-all predictors of financial resilience. Results: We found two profiles of financial resilience: 41% of countries were financially resilient, and 59% were not. We also found that financial resilience profiles predicted longer durations of initial social control policies but in varying directions and degrees depending on the country. Conclusion: The study sheds light on the heterogeneity of financial resilience among African countries and extends our knowledge of financial resilience vis-a-vis pandemic responses. Social protection programs must be developed and implemented to help populations cope during and after the pandemic.</t>
  </si>
  <si>
    <t>SAVINGS ACCOUNTS; EDUCATION</t>
  </si>
  <si>
    <t>financial resilience; personal savings and emergency funds; COVID-19 pandemic; Africa; financial inclusion</t>
  </si>
  <si>
    <t>JOURNAL OF THE SOCIETY FOR SOCIAL WORK AND RESEARCH</t>
  </si>
  <si>
    <t>How Financial Resilience Shapes Social and Public Health Policy Choices in Africa: Empirical Insights from the COVID-19 Pandemic</t>
  </si>
  <si>
    <t>Okumu, Moses; Ansong, David; Koomson, Isaac; Chen, Ding-Geng</t>
  </si>
  <si>
    <t>Okumu, M; Ansong, D; Koomson, I; Chen, DG</t>
  </si>
  <si>
    <t>WOS:000423123200003</t>
  </si>
  <si>
    <t>FT4KE</t>
  </si>
  <si>
    <t>10.1287/mksc.2017.1027</t>
  </si>
  <si>
    <t>Mark. Sci.</t>
  </si>
  <si>
    <t>MARKET SCI</t>
  </si>
  <si>
    <t>1526-548X</t>
  </si>
  <si>
    <t>0732-2399</t>
  </si>
  <si>
    <t>The authors would like to thank the Bill and Melinda Gates Foundation and the University of Chicago, Using Mobile Phones as a Platform for Banking [Award 035250-002] for financial support.</t>
  </si>
  <si>
    <t>Bill and Melinda Gates Foundation(Bill &amp; Melinda Gates Foundation); University of Chicago, Using Mobile Phones as a Platform for Banking</t>
  </si>
  <si>
    <t>Bill and Melinda Gates Foundation; University of Chicago, Using Mobile Phones as a Platform for Banking [035250-002]</t>
  </si>
  <si>
    <t>Economides, Nicholas/0000-0001-8900-2907</t>
  </si>
  <si>
    <t>Jeziorski, Przemyslaw/GOH-1526-2022; Economides, Nicholas/AAZ-1840-2020</t>
  </si>
  <si>
    <t>economides@stern.nyu.edu; przemekj@haas.berkeley.edu</t>
  </si>
  <si>
    <t>Economides, N (corresponding author), NYU, Stern Sch Business, New York, NY 10012 USA.;Economides, N (corresponding author), Networks Elect Commerce &amp; Telecommun Inst, New York, NY 10012 USA.</t>
  </si>
  <si>
    <t>New York University; University of California System; University of California Berkeley</t>
  </si>
  <si>
    <t>[Economides, Nicholas] NYU, Stern Sch Business, New York, NY 10012 USA; [Economides, Nicholas] Networks Elect Commerce &amp; Telecommun Inst, New York, NY 10012 USA; [Jeziorski, Przemyslaw] Univ Calif Berkeley, Haas Sch Business, Berkeley, CA 94720 USA</t>
  </si>
  <si>
    <t>In developing countries, mobile telecom networks have emerged as major providers of financial services, bypassing the sparse retail networks of traditional banks. We analyze a large individual-level data set of mobile money transactions in Tanzania to provide evidence of the impact of mobile money on alleviating financial exclusion in developing countries. We identify three types of transactions: (i) money transfers to others, (ii) short-distance money self-transportation, and (iii) money storage for short to medium periods of time. We utilize a natural experiment of an unanticipated increase in transaction fees to identify the demand for these transactions. Using the demand estimates, we find that the willingness to pay to avoid walking with cash an extra kilometer (short-distance self-transportation) and to avoid storing money at home (money storage) for an extra day are 1.25% and 0.8% of an average transaction, respectively, which demonstrates that mobile money ameliorates significant amounts of crime-related risk. We explore the implications of these estimates for pricing and demonstrate the profitability of incentive-compatible price discrimination based on type of service, consumer location, and distance between transaction origin and destination. We show that differential pricing based on the features of a transaction delivers a Pareto improvement.</t>
  </si>
  <si>
    <t>EMERGING MARKETS; SPATIAL DIFFERENTIATION; RETAIL MARKETS; COMPETITION; MODELS; NETWORKS; CHOICE; ADOPTION; MERGERS; PRICES</t>
  </si>
  <si>
    <t>mobile money network; financial exclusion; transaction costs; Tanzania; banking; social network; price discrimination; location-based price discrimination; crime</t>
  </si>
  <si>
    <t>MARKETING SCIENCE</t>
  </si>
  <si>
    <t>Mobile Money in Tanzania</t>
  </si>
  <si>
    <t>Economides, Nicholas; Jeziorski, Przemyslaw</t>
  </si>
  <si>
    <t>Economides, N; Jeziorski, P</t>
  </si>
  <si>
    <t>WOS:000339122300015</t>
  </si>
  <si>
    <t>AL4SF</t>
  </si>
  <si>
    <t>10.1093/cje/beu026</t>
  </si>
  <si>
    <t>Cambr. J. Econ.</t>
  </si>
  <si>
    <t>CAMB J ECON</t>
  </si>
  <si>
    <t>1464-3545</t>
  </si>
  <si>
    <t>0309-166X</t>
  </si>
  <si>
    <t>CAMBRIDGE JOURNAL OF ECONOMICS</t>
  </si>
  <si>
    <t>Microfinance and the challenge of financial inclusion for development (vol 37, pg 1203, 2013)</t>
  </si>
  <si>
    <t>Ghosh, Jayati</t>
  </si>
  <si>
    <t>Ghosh, J</t>
  </si>
  <si>
    <t>WOS:000537476200239</t>
  </si>
  <si>
    <t>10.3390/su12093741</t>
  </si>
  <si>
    <t>This research was funded by Yamada Gakujutsu Shorei Kikin, Zaisei Kinyu Kinyuhosei Kenkyu Kikin, JSPS KAKENHI grant number JP15H02619 and JSPS KAKENHI grant number JP18H00838.</t>
  </si>
  <si>
    <t>JSPS KAKENHI(Ministry of Education, Culture, Sports, Science and Technology, Japan (MEXT)Japan Society for the Promotion of ScienceGrants-in-Aid for Scientific Research (KAKENHI))</t>
  </si>
  <si>
    <t>JSPS KAKENHI [JP15H02619, JP18H00838]</t>
  </si>
  <si>
    <t>Egami, Hiroyuki/0000-0002-5873-8994</t>
  </si>
  <si>
    <t>Matsumoto, Tomoya/NRA-8433-2025; Egami, Hiroyuki/AID-1724-2022</t>
  </si>
  <si>
    <t>phd15410@grips.ac.jp; tmatsumoto@res.otaru-uc.ac.jp</t>
  </si>
  <si>
    <t>Egami, H (corresponding author), Natl Grad Inst Policy Studies, Grad Sch Policy Studies, Tokyo 1060032, Japan.</t>
  </si>
  <si>
    <t>National Graduate Institute for Policy Studies; Otaru University of Commerce</t>
  </si>
  <si>
    <t>[Egami, Hiroyuki] Natl Grad Inst Policy Studies, Grad Sch Policy Studies, Tokyo 1060032, Japan; [Matsumoto, Tomoya] Otaru Univ, Fac Commerce, Dept Econ, Otaru, Hokkaido 0478501, Japan</t>
  </si>
  <si>
    <t>Lack of cash on hand is a significant obstacle in accessing healthcare services in developing countries. Many expectant mothers in the least developed countries do not receive sufficient care during pregnancy due to financial constraints. If such hurdles in accessing healthcare can be overcome, it will contribute to reduction in maternal and newborn mortality, which is a key target of Sustainable Development Goal 3. This study reports the first assessment of the impact of mobile money services on maternal care utilization. We hypothesize that mobile money adoption would motivate rural Ugandan women to receive antenatal care and to deliver their children at health facilities or with skilled birth attendants. By receiving remittances utilizing mobile money, poor rural households may obtain more cash in hand, which might change women's health-seeking behavior. We apply community- and mother-fixed effects models with heterogeneity analysis to longitudinal panel data (the RePEAT [Research on Poverty, Environment, and Agricultural Technology] survey) of three waves (2009, 2012, and 2015). The analysis uses pregnancy reports of 2007-2015 from 586 rural Ugandan households. We find suggestive evidence that mobile money adoption positively affects the take-up of antenatal care. Heterogeneity analysis indicates that mobile money brings a larger benefit to geographically challenged households by easing their liquidity constraint as they face higher cost of traveling to distant health facilities. The models failed to reject the null hypothesis of no mobile money effect on the delivery-related outcome variables. This study suggests that promoting financial inclusion by means of mobile money motivates women in rural and remote areas to make antenatal care visits while the evidence of such effect is not found for take-up of facility delivery or delivery with skilled birth attendants.</t>
  </si>
  <si>
    <t>PANEL EVIDENCE; CHILD HEALTH; SERVICES; DEMAND; ACCESS; BEHAVIOR; QUALITY; PROGRAM; IMPACT</t>
  </si>
  <si>
    <t>financial inclusion; mobile money; maternal care; healthcare utilization</t>
  </si>
  <si>
    <t>Mobile Money Use and Healthcare Utilization: Evidence from Rural Uganda</t>
  </si>
  <si>
    <t>Egami, Hiroyuki; Matsumoto, Tomoya</t>
  </si>
  <si>
    <t>Egami, H; Matsumoto, T</t>
  </si>
  <si>
    <t>WOS:001561714100001</t>
  </si>
  <si>
    <t>6TP4D</t>
  </si>
  <si>
    <t>10.1108/JEAS-01-2025-0013</t>
  </si>
  <si>
    <t>Makni, Rania/O-2684-2013</t>
  </si>
  <si>
    <t>raniamakni.rm@gmail.com; ezd.del@gmail.com</t>
  </si>
  <si>
    <t>Makni, R (corresponding author), Esprit Sch Business ESB, Tunis, Tunisia.;Makni, R (corresponding author), Univ Carthage, Inst High Commercial Studies Carthage, LEFA, LR05ES07,UR17ES22, Tunis, Tunisia.</t>
  </si>
  <si>
    <t>Universite de Carthage</t>
  </si>
  <si>
    <t>[Makni, Rania] Esprit Sch Business ESB, Tunis, Tunisia; [Makni, Rania; Delhoumi, Ezzeddine] Univ Carthage, Inst High Commercial Studies Carthage, LEFA, LR05ES07,UR17ES22, Tunis, Tunisia</t>
  </si>
  <si>
    <t>Purpose-This study investigates the influence of financial inclusion on carbon emissions (CO2) empirically using an extended Stochastic Impacts by Regression on Population, Affluence and Technology (STIRPAT) model. Design/methodology/approach-The current study has used a panel (cross-sectional time-series) dataset covering 160 countries for the period 2004-2020. The study employs a non-parametric multidimensional financial inclusion index calculated using three dimensions: access, availability and usage of financial services. Findings-Our results suggest that financial inclusion increases carbon emissions for the total sample in the short term while reducing medium- and long-term emissions. However, the results are completely different when grouping the countries into income-based clusters. In fact, for high-income countries, the relationship follows an inverted N-shape, while for low, lower-middle and upper-middle-income groups, financial inclusion seems to increase long-term carbon emissions. Our results also suggest that renewable energy consumption and better energy productivity reduce carbon emissions for all income groups. Practical implications-We discuss the practical implications of our research with respect to financial policy-making, governance and regulatory frameworks, specifically addressing how these areas are affected across countries with different income levels. Originality/value-This study brings four main contributions. First, to the best of our knowledge, this is the first reported study that uses a more comprehensive multidimensional financial inclusion index. Second, it extends the STIRPAT framework by considering a broader range of control variables, including energy variables, for a broader sample and across a longer period. Third, it classifies countries based on their income levels. Fourth, it provides new insights and recommendations for policymakers, legislators and governments.</t>
  </si>
  <si>
    <t>CO2 EMISSIONS; ECONOMIC-GROWTH</t>
  </si>
  <si>
    <t>Financial inclusion; Carbon emissions; Energy consumption; Renewable energy; Sustainability</t>
  </si>
  <si>
    <t>Impact of financial inclusion on carbon emissions over time and income level - a study</t>
  </si>
  <si>
    <t>Makni, Rania; Delhoumi, Ezzeddine</t>
  </si>
  <si>
    <t>Makni, R; Delhoumi, E</t>
  </si>
  <si>
    <t>WOS:000486511800007</t>
  </si>
  <si>
    <t>IY6MU</t>
  </si>
  <si>
    <t>Computer Science, Interdisciplinary Applications; Engineering, Industrial</t>
  </si>
  <si>
    <t>10.1108/IMDS-08-2018-0374</t>
  </si>
  <si>
    <t>Ind. Manage. Data Syst.</t>
  </si>
  <si>
    <t>IND MANAGE DATA SYST</t>
  </si>
  <si>
    <t>1758-5783</t>
  </si>
  <si>
    <t>0263-5577</t>
  </si>
  <si>
    <t>The work was supported by National Social Science Foundation of China: Grant No. 15ZDB161, Research on the evolution of industry and enterprises in green whole industry chain. The authors thank the editor and the anonymous referees for comments and suggestions. The authors contributed equally to this work.</t>
  </si>
  <si>
    <t>National Social Science Foundation of China [15ZDB161]</t>
  </si>
  <si>
    <t>jiaping@sufe.edu.cn</t>
  </si>
  <si>
    <t>Xie, JP (corresponding author), Xinjiang Univ Finance &amp; Econ, Sch Business Adm, Urumqi, Peoples R China.;Xie, JP (corresponding author), Shanghai Univ Finance &amp; Econ, Coll Business, Shanghai, Peoples R China.</t>
  </si>
  <si>
    <t>Xinjiang University of Finance &amp; Economics; Shandong University of Finance &amp; Economics; Shanghai University of Finance &amp; Economics; Zhongyuan University of Technology</t>
  </si>
  <si>
    <t>[Aisaiti, Gulizhaer; Xie, Jiaping] Xinjiang Univ Finance &amp; Econ, Sch Business Adm, Urumqi, Peoples R China; [Liu, Luhao] Shandong Univ Finance &amp; Econ, Sch Int Trade &amp; Econ, Jinan, Shandong, Peoples R China; [Xie, Jiaping] Shanghai Univ Finance &amp; Econ, Coll Business, Shanghai, Peoples R China; [Yang, Jun] Zhongyuan Univ Technol, Sch Econ &amp; Management, Zhengzhou, Henan, Peoples R China</t>
  </si>
  <si>
    <t>Purpose The purpose of this paper is to investigate and understand China's rural farmers' financing intention of inclusive finance, and it examines related drivers like knowledge of inclusive finance, perceived benefits and perceived risks of ordering finance. Besides, the social enterprise embeddedness and digital finance are integrated into the conceptual model to further investigate their moderating impact. Design/methodology/approach The authors designed an inclusive finance intention model to examine the relations between dependent variable knowledge of inclusive finance, intermediary variables perceived benefits and perceived risks of ordering finance and the independent variable financing intention of inclusive finance. The embeddedness of social enterprise and digital finance were identified as modifying factors. Both exploratory and conclusive research strategies were applied. A structured questionnaire was developed to collect empirical data from the rural areas of China. Findings It suggests that knowledge of inclusive finance can strengthen both perceived benefits and perceived risk of ordering finance. Interestingly, the embeddness of social enterprise can significantly reduce risk perceptions and improve perceived benefits of ordering finance. Furthermore, perceived benefits of ordering finance can positively enhance rural farmers' financing intention of inclusive finance, whereas perceived risks can negatively influence the financing intention. Moreover, digital finance as a modifying factor can significantly strengthen the positive correlation between perceived benefits of ordering finance and financing intention of inclusive finance. Originality/value The conceptual model would potentially contribute to researchers interested in investigating the financing intention of inclusive financial services relating to rural population. The integration of social enterprise embeddedness and digital finance is the uniqueness of this research conceptual model.</t>
  </si>
  <si>
    <t>MICROCREDIT; CREDIT; MEDIATION; ATTITUDES; CONSUMERS; BOTTOM; INCOME; TRUST</t>
  </si>
  <si>
    <t>Inclusive finance; Digital finance; Perceived benefits of ordering finance; Perceived risks of ordering finance; Social enterprise embeddedness</t>
  </si>
  <si>
    <t>INDUSTRIAL MANAGEMENT &amp; DATA SYSTEMS</t>
  </si>
  <si>
    <t>An empirical analysis of rural farmers' financing intention of inclusive finance in China The moderating role of digital finance and social enterprise embeddedness</t>
  </si>
  <si>
    <t>Aisaiti, Gulizhaer; Liu, Luhao; Xie, Jiaping; Yang, Jun</t>
  </si>
  <si>
    <t>Aisaiti, G; Liu, LH; Xie, JP; Yang, J</t>
  </si>
  <si>
    <t>WOS:001015099000001</t>
  </si>
  <si>
    <t>K2WR1</t>
  </si>
  <si>
    <t>Economics; Management; Operations Research &amp; Management Science</t>
  </si>
  <si>
    <t>10.1016/j.seps.2023.101561</t>
  </si>
  <si>
    <t>Socio-Econ. Plan. Sci.</t>
  </si>
  <si>
    <t>SOCIO-ECON PLAN SCI</t>
  </si>
  <si>
    <t>1873-6041</t>
  </si>
  <si>
    <t>0038-0121</t>
  </si>
  <si>
    <t>Cabrera-Barona, Pablo/0000-0002-6225-5717; Álvarez-Gamboa, Javier/0000-0002-0326-0057</t>
  </si>
  <si>
    <t>JACOME, HUGO/MVW-5397-2025; Cabrera-Barona, Pablo/AEP-0773-2022</t>
  </si>
  <si>
    <t>rjalvarezfl@flacso.edu.ec; pfcabrera@flacso.edu.ec; hjacome@flacso.edu.ec</t>
  </si>
  <si>
    <t>Alvarez-Gamboa, J (corresponding author), Fac Latinoamer Ciencias Sociales, Quito 170201, Pichincha, Ecuador.</t>
  </si>
  <si>
    <t>FLACSO Ecuador</t>
  </si>
  <si>
    <t>[Alvarez-Gamboa, Javier; Cabrera-Barona, Pablo; Jacome-Estrella, Hugo] Fac Latinoamer Ciencias Sociales, Quito 170201, Pichincha, Ecuador</t>
  </si>
  <si>
    <t>This research evaluates financial inclusion and territorial inequalities comparing private banks and alternative financial institutions of the social and solidarity-based economy of Ecuador (provinces-level), between 2015 and 2018. Applying Principal Component Analysis, a synthetic index of financial inclusion was constructed using indicators that capture the dimensions of access, use and extent of financial services. A non-hierarchical cluster analysis was also performed to classify Ecuadorian provinces on terms of high, low, and medium multidimen-sional poverty and rurality. The obtained results indicate the existence of territorial inequalities in the access and use of financial services. We conclude that the credit unions produce a greater level of financial inclusion in disadvantaged territories of Ecuador, in contrast to the private banks that show high levels of financial inclusion in the provinces with a higher socioeconomic status.</t>
  </si>
  <si>
    <t>Financial inclusion; Financial intermediaries; Multivariate analysis</t>
  </si>
  <si>
    <t>SOCIO-ECONOMIC PLANNING SCIENCES</t>
  </si>
  <si>
    <t>Territorial inequalities in financial inclusion: A comparative study between private banks and credit unions</t>
  </si>
  <si>
    <t>Alvarez-Gamboa, Javier; Cabrera-Barona, Pablo; Jacome-Estrella, Hugo</t>
  </si>
  <si>
    <t>Alvarez-Gamboa, J; Cabrera-Barona, P; Jácome-Estrella, H</t>
  </si>
  <si>
    <t>WOS:000396452200003</t>
  </si>
  <si>
    <t>EO1IO</t>
  </si>
  <si>
    <t>10.1108/JABS-11-2015-0191</t>
  </si>
  <si>
    <t>Deb, Madhurima/0000-0002-8273-5355</t>
  </si>
  <si>
    <t>Deb, Madhurima/AAG-4368-2020</t>
  </si>
  <si>
    <t>madhurima.deb@iimkashipur.ac.in</t>
  </si>
  <si>
    <t>Deb, M (corresponding author), Indian Inst Management Kashipur, Kashipur, India.</t>
  </si>
  <si>
    <t>Indian Institute of Management (IIM System); Indian Institute of Management Kashipur</t>
  </si>
  <si>
    <t>[Deb, Madhurima; Agrawal, Aarti] Indian Inst Management Kashipur, Kashipur, India</t>
  </si>
  <si>
    <t>Purpose - The purpose of this study has been to understand brand India's potential for financial inclusion in the future. As, digital channels like mobile banking (m-banking) are likely to provide better coverage and more cost-effective services to the unbanked population of India. Conventional banking might not be cost-effective for low-ticket-size transactions, hence financial inclusion, which is on the Digital India agenda of the Government of India (GoI), might not be feasible. However, to understand brand India's potential for financial inclusion in the future, it would be essential to understand Indian customers' attitudes toward m-banking, especially those who have not yet adopted it. This would bring out the potential of m-banking as a channel to drive financial inclusion based on customers' intentions to adopt it. Until every Indian has access to a wider range of financial services, there cannot be financial inclusion. Similarly, until every Indian adopts digital channels to access a wider range of financial and non-financial services, the GoI's initiatives for Digital India cannot be realized. Furthermore, a review of the literature suggests that there are very few studies concerning m-banking worldwide and still fewer in the context of India. Design/methodology/approach - The present study used IBM SPSS and Amos software to test the conceptual model developed using secondary data. Findings - The findings of the study suggest that subjective norm, output quality and personal innovativeness have impacts on the perceived usefulness of, and attitudes toward, the ultimate adoption of m-banking. Originality/value - The paper is the original work of the authors. An attempt has been made to integrate all the existing literature on m-banking to develop a complete model for the technology's adoption.</t>
  </si>
  <si>
    <t>TECHNOLOGY ACCEPTANCE MODEL; PERSONAL INNOVATIVENESS; INFORMATION-TECHNOLOGY; ONLINE BANKING; EXTENSION; PERCEPTIONS; CHALLENGES; INSTRUMENT; USAGE</t>
  </si>
  <si>
    <t>e-commerce; m-banking; Technology acceptance</t>
  </si>
  <si>
    <t>Factors impacting the adoption of m-banking: understanding brand India's potential for financial inclusion</t>
  </si>
  <si>
    <t>Deb, Madhurima; Agrawal, Aarti</t>
  </si>
  <si>
    <t>Deb, M; Agrawal, A</t>
  </si>
  <si>
    <t>WOS:000358515900005</t>
  </si>
  <si>
    <t>BD1ZH</t>
  </si>
  <si>
    <t>Business, Finance; Regional &amp; Urban Planning</t>
  </si>
  <si>
    <t>10.1007/978-4-431-55254-3_5</t>
  </si>
  <si>
    <t>ADB I SER DEV ECON</t>
  </si>
  <si>
    <t>978-4-431-55254-3; 978-4-431-55253-6</t>
  </si>
  <si>
    <t>2363-9032</t>
  </si>
  <si>
    <t>37-3, HONGO 3-CHOME BONKYO-KU, TOKYO, 113, JAPAN</t>
  </si>
  <si>
    <t>SPRINGER-VERLAG TOKYO</t>
  </si>
  <si>
    <t>Yoshida, Naoki/A-4305-2011</t>
  </si>
  <si>
    <t>Watanagase, T (corresponding author), Bank Thailand, Bangkok, Thailand.</t>
  </si>
  <si>
    <t>Keio University; Bank Indonesia; Mitsubishi International Corporation (MIC)</t>
  </si>
  <si>
    <t>[Watanagase, Tarisa] Bank Thailand, Bangkok, Thailand; [Yoshino, Naoyuki] Keio Univ, Financial Res Ctr, FSA Inst, Tokyo, Japan; [Furusawa, Tomoyuki] Financial Serv Agcy, Planning &amp; Coordinat Bur, Policy &amp; Legal Div, Tokyo, Japan; [Morgan, Peter; Pontines, Victor] Asian Dev Bank Inst, Tokyo, Japan; [Jayamaha, Ranee] Hatton Natl Bank PLC, Colombo, Sri Lanka; [Wibowo, Pungky P.] Bank Indonesia, Financial Access &amp; SME Dev Dept, Jakarta, Indonesia; [Parrenas, Julius Caesar] Bank Tokyo Mitsubishi UFJ Ltd, Tokyo, Japan</t>
  </si>
  <si>
    <t>Asian Dev Bank Inst,Financial Serv Agcy,Int Monetary Fund Reg Off Asia &amp; Pacific</t>
  </si>
  <si>
    <t>Tokyo, JAPAN</t>
  </si>
  <si>
    <t>JAN 27, 2014</t>
  </si>
  <si>
    <t>Joint Conference on Financial System Stability, Financial Regulation, and Financial Inclusion</t>
  </si>
  <si>
    <t>ADB Institute Series on Development Economics</t>
  </si>
  <si>
    <t>FINANCIAL SYSTEM STABILITY, REGULATION, AND FINANCIAL INCLUSION</t>
  </si>
  <si>
    <t>Session 3: Financial Inclusion and Financial Education</t>
  </si>
  <si>
    <t>Watanagase, Tarisa; Yoshino, Naoyuki; Furusawa, Tomoyuki; Morgan, Peter; Pontines, Victor; Jayamaha, Ranee; Wibowo, Pungky P.; Parrenas, Julius Caesar</t>
  </si>
  <si>
    <t>ADB Inst; Financial Serv Agcy Japan; Int Monetary Fund Reg Off Asia &amp; Pacific</t>
  </si>
  <si>
    <t>Watanagase, T; Yoshino, N; Furusawa, T; Morgan, P; Pontines, V; Jayamaha, R; Wibowo, PP; Parreñas, JC</t>
  </si>
  <si>
    <t>WOS:000306131800009</t>
  </si>
  <si>
    <t>BAY98</t>
  </si>
  <si>
    <t>Business &amp; Economics; Social Issues</t>
  </si>
  <si>
    <t>Economics; Social Issues</t>
  </si>
  <si>
    <t>ROUTL ADV SOC ECON</t>
  </si>
  <si>
    <t>978-0-203-80237-3; 978-0-415-46039-2</t>
  </si>
  <si>
    <t>ECONOMIC-DEVELOPMENT; GENDER DIFFERENCES; MICROFINANCE; MONEY; MANAGEMENT; MARKET; POOR; DEBT; NEIGHBORHOODS; CONSUMPTION</t>
  </si>
  <si>
    <t>Book</t>
  </si>
  <si>
    <t>Routledge Advances in Social Economics</t>
  </si>
  <si>
    <t>FINANCIAL EXCLUSION AND THE POVERTY TRAP: OVERCOMING DEPRIVATION IN THE INNER CITY</t>
  </si>
  <si>
    <t>Financial Exclusion and the Poverty Trap: Overcoming Deprivation in the Inner City</t>
  </si>
  <si>
    <t>Lenton, P; Mosley, P</t>
  </si>
  <si>
    <t>WOS:001296301900001</t>
  </si>
  <si>
    <t>2XD5Z</t>
  </si>
  <si>
    <t>10.1080/19439342.2024.2394478</t>
  </si>
  <si>
    <t>j Dev. Eff.</t>
  </si>
  <si>
    <t>J DEV EFFECT</t>
  </si>
  <si>
    <t>1943-9407</t>
  </si>
  <si>
    <t>1943-9342</t>
  </si>
  <si>
    <t>This study was funded by JSPS KAKENHI [Grant Numbers 18J40059 and 19K23209].</t>
  </si>
  <si>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</si>
  <si>
    <t>JSPS KAKENHI [18J40059, 19K23209]; Grants-in-Aid for Scientific Research [22K13404] Funding Source: KAKEN</t>
  </si>
  <si>
    <t>amatsuda@kansai-u.ac.jp</t>
  </si>
  <si>
    <t>Matsuda, A (corresponding author), Kansai Univ, Fac Econ, 3-3-35 Yamate Cho, Suita, Osaka 564868, Japan.</t>
  </si>
  <si>
    <t>Kansai University</t>
  </si>
  <si>
    <t>[Matsuda, Ayako] Kansai Univ, Fac Econ, 3-3-35 Yamate Cho, Suita, Osaka 564868, Japan; [Aoyagi, Keitaro] Metr Work Consultants Inc, Tokyo, Japan; [Mochizuki, Takako] Japan Int Cooperat Agcy, Tokyo, Japan; [Uematsu, Miki] Kaihatsu Management Consulting Inc, Tokyo, Japan</t>
  </si>
  <si>
    <t>While Conditional Cash Transfer (CCT) Programmes have contributed to sustained economic growth in many countries, existing evaluations show that the Honduran CCT programme has only a modest impact on poverty. This study examines a causal impact of a training project on financial inclusion and livelihood enhancement conducted as a booster to increase the effectiveness of the CCT programme. Based on a graduation approach, the project provides multi-faceted interventions to randomly selected CCT beneficiaries. We estimate intention-to-treat effects and find that the interventions significantly increase financial literacy and inclusion, including knowledge of financial institutions, financial accounts, bookkeeping, and pro-saving attitudes. We also find that the treated individuals in rural areas gain significant income from business, livestock farming, and agriculture by switching employment. Importantly, we find evidence that the interventions contribute to female empowerment by changing the intra-household decision-making process. The impact is much larger in rural areas, where financial markets are underdeveloped, and the traditional gender pattern is more prevalent. The intervention seems to reduce the urban-rural gap.</t>
  </si>
  <si>
    <t>IMPACT; INFERENCE; POVERTY; MARKETS</t>
  </si>
  <si>
    <t>Randomised control trial; impact evaluation; conditional cash transfer; financial inclusion; financial education; female empowerment</t>
  </si>
  <si>
    <t>JOURNAL OF DEVELOPMENT EFFECTIVENESS</t>
  </si>
  <si>
    <t>A booster to conditional cash transfer programme: experimental evidence on financial inclusion and livelihood enhancement project</t>
  </si>
  <si>
    <t>Matsuda, Ayako; Aoyagi, Keitaro; Mochizuki, Takako; Uematsu, Miki</t>
  </si>
  <si>
    <t>Matsuda, A; Aoyagi, K; Mochizuki, T; Uematsu, M</t>
  </si>
  <si>
    <t>WOS:001417916100001</t>
  </si>
  <si>
    <t>2UG0K</t>
  </si>
  <si>
    <t>10.1080/1540496X.2025.2456547</t>
  </si>
  <si>
    <t>This paper is funded by the Colombia Cientifica-Alianza EFI Research Program, with code 60185 and [contract number FP44842-220-2018], funded by the World Bank through the call Scientific Ecosystems, managed by the Colombian Ministry of Science, Technology, and Innovation.</t>
  </si>
  <si>
    <t>Colombia Cientifica-Alianza EFI Research Program; World Bank through the call Scientific Ecosystems</t>
  </si>
  <si>
    <t>Colombia Cientifica-Alianza EFI Research Program [60185, FP44842-220-2018]; World Bank through the call Scientific Ecosystems</t>
  </si>
  <si>
    <t>hector.posada@udea.edu.co</t>
  </si>
  <si>
    <t>Posada, HM (corresponding author), Univ Antioquia, Dept Econ, Calle 70,52-21,Apartado Aereo 1226, Medellin, Colombia.</t>
  </si>
  <si>
    <t>Universidad de Antioquia</t>
  </si>
  <si>
    <t>[Posada, Hector M.; Gaviria-Garces, Carlos Felipe] Univ Antioquia, Dept Econ, Calle 70,52-21,Apartado Aereo 1226, Medellin, Colombia; [Londono, David] Bancolombia, Medellin, Colombia</t>
  </si>
  <si>
    <t>It is well known that formal credit can improve household wellbeing in developing countries, however, its relationship to informal credit as a substitute or complement is uncertain. This study aims to estimate the causal effect of formal credit on the use of informal credit sources using a Fuzzy Regression Discontinuity Design which exploits credit allocation rules of formal institutions. We use financial and socioeconomic information directly provided by households to the Colombian Longitudinal Household Survey. With this information we obtain a credit score and estimate a threshold, which together replicates the credit allocation rules of formal institutions. Our results show that formal credit reduces informal credit use. These findings underscore the potential of reforming credit assessment processes to enhance access to formal credit and mitigate the socio-economic risks associated with informal financing.</t>
  </si>
  <si>
    <t>REGRESSION DISCONTINUITY DESIGNS; STRUCTURAL-CHANGE; MICROFINANCE; IMPACT; MICROCREDIT; GENDER; POOR; CONSTRAINTS; BANGLADESH; DYNAMICS</t>
  </si>
  <si>
    <t>Financial inclusion; credit access; informal credit; FRDD; G51; O17</t>
  </si>
  <si>
    <t>The Effects of Formal Financial Inclusion on Informal Credit Use: Evidence from Colombia</t>
  </si>
  <si>
    <t>Posada, Hector M.; Gaviria-Garces, Carlos Felipe; Londono, David</t>
  </si>
  <si>
    <t>Posada, HM; Gaviria-Garcés, CF; Londoño, D</t>
  </si>
  <si>
    <t>WOS:000683346000017</t>
  </si>
  <si>
    <t>VK3QJ</t>
  </si>
  <si>
    <t>Afr. Rev. Econ. Financ.-AREF</t>
  </si>
  <si>
    <t>AFR REV ECON FINANC</t>
  </si>
  <si>
    <t>2410-4906</t>
  </si>
  <si>
    <t>2042-1478</t>
  </si>
  <si>
    <t>NILE VALLEY MULTIVERSITY, 333 NHAWINEI AVE, BONO EAST, TECHIMAN, GHANA, SOUTH AFRICA</t>
  </si>
  <si>
    <t>GHANA</t>
  </si>
  <si>
    <t>PORTHOLOGOS PRESS</t>
  </si>
  <si>
    <t>ChummunB@ukzn.ac.za</t>
  </si>
  <si>
    <t>Chummun, BZ (corresponding author), Univ KwaZulu Natal, Durban, South Africa.</t>
  </si>
  <si>
    <t>University of Kwazulu Natal</t>
  </si>
  <si>
    <t>[Dube, Thulani; Chummun, Bibi Zaheenah] Univ KwaZulu Natal, Durban, South Africa</t>
  </si>
  <si>
    <t>Mobile financial services have posed as a potential remedy to the financial inclusion challenge for disadvantaged communities. This study demonstrates how mobile money service usage impacts on the livelihoods of rural consumers in Zimbabwe. Out of a population of all rural households using mobile money. The study is based on a survey of 351 household heads selected from the Kwekwe rural district, using a multi-stage random sampling approach. We employ structural equation modelling technique in two stages, where the first step entails the estimation of the measurement model through confirmatory factor analysis and the second step involve estimation of the structural model by examining the structural relations as hypothesised in the model. Both the measurement model and proposed structural model fit the data satisfactorily, thus providing a basis to conclude on the study hypotheses. Most of the relationships in the structural model are found to be statistically significant at 95% confidence interval. Overall, the study concludes that mobile money has potential positive impacts on the rural livelihoods as demonstrated by the positive effects of the factors in the structural model. The study provides evidence on how mobile financial services impact on rural livelihoods. Therefore, policymakers can craft policies (financial inclusion) that will promote and improve access and delivery of financial services to the rural people especially with the savings and provision of credit through mobile money.</t>
  </si>
  <si>
    <t>FINANCIAL SERVICES; BANKING; IMPACT; REMITTANCES; PHONES; WEALTH; POOR</t>
  </si>
  <si>
    <t>mobile money; wellbeing; structural model</t>
  </si>
  <si>
    <t>AFRICAN REVIEW OF ECONOMICS AND FINANCE-AREF</t>
  </si>
  <si>
    <t>Effects of mobile money usage on rural consumers' livelihoods in Zimbabwe</t>
  </si>
  <si>
    <t>Dube, Thulani; Chummun, Bibi Zaheenah</t>
  </si>
  <si>
    <t>Dube, T; Chummun, BZ</t>
  </si>
  <si>
    <t>WOS:001420160400010</t>
  </si>
  <si>
    <t>BY3KS</t>
  </si>
  <si>
    <t>Business, Finance; Green &amp; Sustainable Science &amp; Technology; Economics</t>
  </si>
  <si>
    <t>10.1007/978-981-97-6687-1_1</t>
  </si>
  <si>
    <t>978-981-97-6689-5; 978-981-97-6687-1; 978-981-97-6686-4</t>
  </si>
  <si>
    <t>sarchana@niapune.org.in</t>
  </si>
  <si>
    <t>Singh, A (corresponding author), Natl Insurance Acad, Room 8,Balewadi Baner Rd, Pune 411045, Maharashtra, India.</t>
  </si>
  <si>
    <t>[Singh, Archana] Natl Insurance Acad, Room 8,Balewadi Baner Rd, Pune 411045, Maharashtra, India</t>
  </si>
  <si>
    <t>Microfinance institutions (MFIs) have successfully established themselves in extending credit to low-income populations living in underserved areas of India. It was anticipated that these institutions would also play a crucial role in increasing access to insurance in the masses by promoting a similar concept of 'microinsurance'. However, the growth of microinsurance was not commensurate with the growth of microfinance over the past two decades in India. MFIs restricted themselves to credit life insurance, which worked as collateral. Uptake of health and life insurance remained lukewarm despite efforts from the insurance regulator and the Government. This paper attempts to understand the reasons behind the low uptake of microinsurance and examines the experiences of MFIs in extending insurance to their clients. Sentiment analysis was conducted on data collected from MFIs to understand their perspective and experiences. The study concludes that the reasons for the low uptake of insurance by the MFIs are demand and supply side limitations. Operational issues, lack of trust, low awareness and low demands in the target population, low professional skills among the field personnel and high cost of insurance were a few reasons for the low uptake of insurance through MFIs. The recommendations presented in the paper have policy implications. The findings of the study are relevant in the light of the new initiative of the IRDAI-'Insurance for All by 2047'.</t>
  </si>
  <si>
    <t>SENTIMENT ANALYSIS; BUSINESS</t>
  </si>
  <si>
    <t>Microfinance institutions; Microinsurance; Financial inclusion; Distribution of microinsurance; Access to insurance; Inclusive finance; Insurance for all by 2047</t>
  </si>
  <si>
    <t>Indian Institute Of Technology Mumbai</t>
  </si>
  <si>
    <t>Mumbai, INDIA</t>
  </si>
  <si>
    <t>OCT 12-13, 2023</t>
  </si>
  <si>
    <t>2023 Conference on Pathways to Sustainable Economy-A Banking and Finance Perspective</t>
  </si>
  <si>
    <t>FINANCIAL MARKETS, CLIMATE RISK AND RENEWABLES, SEBF 2023</t>
  </si>
  <si>
    <t>Adoption of Microinsurance by Microfinance Institutions in India</t>
  </si>
  <si>
    <t>Singh, Archana</t>
  </si>
  <si>
    <t>Mohapatra, S; Padhi, P; Singh, V</t>
  </si>
  <si>
    <t>WOS:000954462200002</t>
  </si>
  <si>
    <t>YD9H6</t>
  </si>
  <si>
    <t>10.1007/s13132-023-01134-x</t>
  </si>
  <si>
    <t>Agence Universitaire de la Francophonie,post-doctoral mobility scholarship in Romania, Sezard TIMBI, grants numbers 9, Sezard TIMBI, 2021, Sezard TIMBI.</t>
  </si>
  <si>
    <t>Agence Universitaire de la Francophonie, post-doctoral mobility scholarship in Romania</t>
  </si>
  <si>
    <t>Agence Universitaire de la Francophonie, post-doctoral mobility scholarship in Romania [9]</t>
  </si>
  <si>
    <t>Abdala, Zédou/0000-0002-1709-5531</t>
  </si>
  <si>
    <t>Abdala, Zédou/GMW-9243-2022</t>
  </si>
  <si>
    <t>cesartimb@gmail.com; nourouacademy@gmail.com; abdalazedou@gmail.com</t>
  </si>
  <si>
    <t>Timbi, S (corresponding author), Univ Ngaoundere, FSEG, Fac Econ &amp; Management, POB 454, Ngaoundere, Cameroon.</t>
  </si>
  <si>
    <t>[Timbi, Sezard; Nourou, Mohammadou; Abdala, Zedou] Univ Ngaoundere, FSEG, Fac Econ &amp; Management, POB 454, Ngaoundere, Cameroon; [Abdala, Zedou] Univ Ngaoundere, ENS, Higher Teachers Training Coll, POB 652, Bertoua, Cameroon</t>
  </si>
  <si>
    <t>This paper empirically investigates the effect of remittances on financial inclusion and how governance modulates the incidence of remittances on financial inclusion in 29 Sub Saharan African countries for the period 2004-2018. A financial inclusion index and four governance dimensions are adopted for this study, namely, political, economic, institutional and total governance. The empirical evidence is based on the generalized method of moments. The following findings are established. Remittances have either positive, negative or no significant effects on financial inclusion. From the interactive regressions, three major tendencies are apparent. First, remittances dynamics consistently have an unconditional positive, negative or no effect on financial inclusion. Second, political governance and total governance dynamics modulate the remittances dynamics to broadly induce a negative net effect on financial inclusion. Third, policy thresholds at which the modulating variables reverse the net effect on financial inclusion from negative to positive are 0.7757 political governance and 0.82163 total governance. The computed thresholds make economic sense because they are within statistical range. Theoretical and policy implications are discussed.</t>
  </si>
  <si>
    <t>GOVERNMENT EXPENDITURE NEXUS; AUTOREGRESSIVE TIME-SERIES; ENVIRONMENTAL AWARENESS; REVENUE; TESTS</t>
  </si>
  <si>
    <t>Governance Mediates the Effect of Remittances on Financial Inclusion in Sub-Saharan Africa</t>
  </si>
  <si>
    <t>Timbi, Sezard; Nourou, Mohammadou; Abdala, Zedou</t>
  </si>
  <si>
    <t>Timbi, S; Nourou, M; Abdala, Z</t>
  </si>
  <si>
    <t>WOS:000512374400011</t>
  </si>
  <si>
    <t>KJ9KX</t>
  </si>
  <si>
    <t>10.1016/j.iimb.2019.07.013</t>
  </si>
  <si>
    <t>IIMB Manag. Rev.</t>
  </si>
  <si>
    <t>IIMB MANAG REV</t>
  </si>
  <si>
    <t>2212-4446</t>
  </si>
  <si>
    <t>0970-3896</t>
  </si>
  <si>
    <t>get84.krishna@gmail.com</t>
  </si>
  <si>
    <t>Singh, K (corresponding author), Univ Gour Banga, Dept Econ, PO Mokdumpur, Malda, W Bengal, India.</t>
  </si>
  <si>
    <t>University of Burdwan; University of Gour Banga</t>
  </si>
  <si>
    <t>[Datta, Soumyendra Kishore] Burdwan Univ, Dept Econ, Burdwan, W Bengal, India; [Singh, Krishna] Univ Gour Banga, Dept Econ, PO Mokdumpur, Malda, W Bengal, India</t>
  </si>
  <si>
    <t>The paper attempts to analyse the financial inclusion scenario across several developed and developing countries of the world, for the years 2011 and 2014. The study focusses on developing a financial inclusion index (FII) and in exploring its association with the human development index. It also focusses on the explanation of variation in observed FII. Principal component method has been applied to calculate the three dimension indices (availability, access and usage) and finally FII. A pooled OLS with clustered standard error regression model has been used to explain the factors influencing financial inclusion across the countries of the world. (C) 2020 Published by Elsevier Ltd on behalf of Indian Institute of Management Bangalore.</t>
  </si>
  <si>
    <t>Financial inclusion; HDI; Banking; Index; Principal component</t>
  </si>
  <si>
    <t>IIMB MANAGEMENT REVIEW</t>
  </si>
  <si>
    <t>Variation and determinants of financial inclusion and their association with human development: A cross-country analysis</t>
  </si>
  <si>
    <t>Datta, Soumyendra Kishore; Singh, Krishna</t>
  </si>
  <si>
    <t>Datta, SK; Singh, K</t>
  </si>
  <si>
    <t>WOS:001072927400001</t>
  </si>
  <si>
    <t>R4H5G</t>
  </si>
  <si>
    <t>10.1111/rode.13057</t>
  </si>
  <si>
    <t>We would like to sincerely thank Dr. Elizabeth Nanziri, Dehpue Zuo and the participants of the AERC policy dissemination workshop for their valuable insights that helped to shape this paper. We thank the African Economic Research Consortium (AERC) for funding this research. Grant No. RC21577: Collaborative Research on Inclusive Finance in Fragile and Post-conflict States.</t>
  </si>
  <si>
    <t>We would like to sincerely thank Dr. Elizabeth Nanziri, Dehpue Zuo and the participants of the AERC policy dissemination workshop for their valuable insights that helped to shape this paper. We thank the African Economic Research Consortium (AERC) for fund; African Economic Research Consortium (AERC)</t>
  </si>
  <si>
    <t>We would like to sincerely thank Dr. Elizabeth Nanziri, Dehpue Zuo and the participants of the AERC policy dissemination workshop for their valuable insights that helped to shape this paper. We thank the African Economic Research Consortium (AERC) for fund [RC21577]; African Economic Research Consortium (AERC)</t>
  </si>
  <si>
    <t>Ipara, Billy Okemer/0000-0002-6261-0889; Mulbah, Francis/0009-0000-7275-1207</t>
  </si>
  <si>
    <t>Ipara, Billy Okemer/GVS-1619-2022</t>
  </si>
  <si>
    <t>francismulbah@gmail.com</t>
  </si>
  <si>
    <t>Mulbah, FFB (corresponding author), Minist Agr, Rural Econ Transformat Project RETRAP, Monrovia, Liberia.</t>
  </si>
  <si>
    <t>Humboldt University of Berlin; University Hohenheim; University of Nairobi</t>
  </si>
  <si>
    <t>[Mulbah, Francis F. B.] Minist Agr, Rural Econ Transformat Project RETRAP, Monrovia, Liberia; [Olumeh, Dennis Etemesi] Humboldt Univ, Albrecht Daniel Thaer Inst Agrarund Gartenbauwiss, Berlin, Germany; [Mantey, Vida] Univ Hohenheim, Hans Ruthenberg Inst Agr Sci Trop, Stuttgart, Germany; [Ipara, Billy Okemer] Univ Nairobi, Dept Agr Econ, Nairobi, Kenya</t>
  </si>
  <si>
    <t>Financial inclusion (FI) is critical to achieving the Sustainable Development Goals, particularly zero poverty, gender equality, and reduced inequalities, but there is limited evidence of its impacts on household welfare in fragile and post-conflict countries (FPCCs). This study analyses the impact of FI on household welfare in Liberia using the Liberian Household Income and Expenditure Survey of 2016-2017. For the empirical analysis, we use an inverse probability-weighted regression adjustment model and separate analyses for male-headed households (MHHs) and female-headed households (FHHs) to identify possible gender differences. We find that using mobile money statistically significantly increases household food security for MHHs and FHHs. In particular, the welfare impact is greater for MHHs in terms of food availability, while in relation to food quality and dietary diversity, the impact is greater for FHHs. These findings show the need to scale up FI in FPCCs as a catalyst for improving household welfare.</t>
  </si>
  <si>
    <t>MOBILE MONEY; COOPERATIVE MEMBERSHIP; ADOPTION; POVERTY; ACCESS</t>
  </si>
  <si>
    <t>financial inclusion; fragile and post-conflict countries; gender; impact; Liberia; mobile money; welfare</t>
  </si>
  <si>
    <t>Impact of financial inclusion on household welfare in Liberia: A gendered perspective</t>
  </si>
  <si>
    <t>Mulbah, Francis F. B.; Olumeh, Dennis Etemesi; Mantey, Vida; Ipara, Billy Okemer</t>
  </si>
  <si>
    <t>Mulbah, FFB; Olumeh, DE; Mantey, V; Ipara, BO</t>
  </si>
  <si>
    <t>WOS:000586052400008</t>
  </si>
  <si>
    <t>OM5GF</t>
  </si>
  <si>
    <t>10.28949/bilimname.819736</t>
  </si>
  <si>
    <t>Bilimname</t>
  </si>
  <si>
    <t>BILIMNAME</t>
  </si>
  <si>
    <t>2148-5860</t>
  </si>
  <si>
    <t>C/O ERCIYES UNIV ILAHIYAT FAK, MELIKGAZI, KAYSERI, 38039, TURKEY</t>
  </si>
  <si>
    <t>KAYSERI</t>
  </si>
  <si>
    <t>ILAHIYAT BILIMLERI ARASTIRMA VAKFI</t>
  </si>
  <si>
    <t>DURAK, ISMAIL/0000-0002-8898-9639</t>
  </si>
  <si>
    <t>DURAK, ISMAIL/HKF-0938-2023</t>
  </si>
  <si>
    <t>ismaildurak@duzce.edu.tr; mehmetakifoncu@duzce.edu.tr; osmankartal@duzce.edu.tr</t>
  </si>
  <si>
    <t>Durak, I (corresponding author), Duzce Univ, Duzce, Turkey.</t>
  </si>
  <si>
    <t>Duzce University</t>
  </si>
  <si>
    <t>[Durak, Ismail; Oncu, Mehmet Akif; Kartal, Osman] Duzce Univ, Duzce, Turkey</t>
  </si>
  <si>
    <t>Financial Inclusion is one of the important parts of the financial system and Islamic Financial Literacy is a concept that requires knowledge about the Islamic financial system and can contribute positively to financial inclusion. This research has several goals. First, it aims to determine students' Islamic financial literacy levels in various faculties in a Turkish university. Secondly, it is aims to investigate the relationship between Islamic financial literacy level and financial attitude and behavior. Third, the impact of Islamic financial literacy on the entrepreneurial tendency is predicted. Finally, determining whether the level of Islamic financial literacy differs according to various demographic factors, especially the faculty variable, whether it is taking finance, or Islamic finance courses, is among the sub-objectives of the study. The universe of the research consists of students studying in the third and fourth grades of the faculties of business, engineering, and theology at Duzce University. 513 questionnaire data obtained within the scope of the research and data were analyzed with SPSS 25 statistical program. As a result of the research, Islamic Financial Knowledge levels and Islamic Financial literacy were gauged. It was determined that the Islamic Financial Knowledge levels and Literacy were quiet low among students and, students taking Islamic finance courses had high Islamic finance literacy. Also, looking attractiveness did not put a difference on Islamic financial knowledge, it provided a statistically significant relationship between those looking attractive to entrepreneurship and those not looking attractive to entrepreneur with respect to Islamic financial literacy level.</t>
  </si>
  <si>
    <t>Islamic Economy; Islamic Financial Literacy; Islamic Financial Knowledge; Entrepreneurship Intention; Entrepreneurship Tendency; Statistical Measurement</t>
  </si>
  <si>
    <t>MEASURING ISLAMIC FINANCIAL LITERACY AND DISCOVERING ITS RELATIONS WITH ENTREPRENEURSHIP AMONG UNIVERSITY STUDENTS IN TURKEY</t>
  </si>
  <si>
    <t>Durak, Ismail; Oncu, Mehmet Akif; Kartal, Osman</t>
  </si>
  <si>
    <t>Durak, I; Öncü, MA; Kartal, O</t>
  </si>
  <si>
    <t>WOS:001656096200001</t>
  </si>
  <si>
    <t>AT0TT</t>
  </si>
  <si>
    <t>10.1016/j.pacfin.2025.103047</t>
  </si>
  <si>
    <t>The authors are grateful to the journal's editor and the reviewers for their insightful comments. We acknowledge the helpful suggestions received from Ashok Thomas, Mark Rosenzweig, Tim Kaiser, and Chitwan Lalji at various stages of the development of this paper. We also acknowledge the support received from NABARD (National Bank for Agriculture and Rural Development) , India and valuable inputs provided by Gopakumaran Nair and Shaji K.V. of NABARD. A summary of this research was published by the World Bank as a blog post entitled: Knowledge is power! The story of debt literacy and credit usage in rural India (https://blogs.worldbank. org/allaboutfinance/knowledge-power-story-debt-literacy-and-credit-usage-rural-india) . We thank Asli Demirguec-Kunt and Claudia Ruiz for publishing this blog post on 'All About Finance' blog of the World Bank. An earlier version of this paper was published as a working paper in the IIMK working paper series (Does knowledge empower? A story of debt literacy and credit usage in rural consumer finance, IIMK/WPS/529/ECO/2022/10) . We also thank the participants of the 10th India Finance Conference, December 2021, and the Cornell Conference on 100 Years of Economic Development, September 2022, for useful comments.</t>
  </si>
  <si>
    <t>NABARD Financial Inclusion Survey (NAFIS); NABARD; World Bank(The World Bank India)</t>
  </si>
  <si>
    <t>NABARD Financial Inclusion Survey (NAFIS); NABARD; World Bank [IIMK/WPS/529/ECO/2022/10]</t>
  </si>
  <si>
    <t>remya.tressa@manipal.edu; rsensarma@iimk.ac.in</t>
  </si>
  <si>
    <t>Jacob, RT (corresponding author), Manipal Acad Higher Educ, TA Pai Management Inst, Accounting Econ &amp; Finance Area, Manipal, India.</t>
  </si>
  <si>
    <t>Manipal Academy of Higher Education (MAHE); Indian Institute of Management (IIM System); Indian Institute of Management Kozhikode</t>
  </si>
  <si>
    <t>[Jacob, Remya Tressa] Manipal Acad Higher Educ, TA Pai Management Inst, Accounting Econ &amp; Finance Area, Manipal, India; [Sensarma, Rudra] Indian Inst Management Kozhikode, Econ Area, Kozhikode, India</t>
  </si>
  <si>
    <t>The study examines the role of debt literacy as an empowerment device in accessing credit in rural India. We analyse data from the first national survey conducted within the new institutional context of high levels of financial inclusion. Using Instrumental Variable regressions, we find a positive and significant effect of debt literacy on credit usage for female respondents. This is in contrast with international studies that found a negative relation between debt literacy and debt. Our finding that individuals with higher debt literacy tend to hold more debt underscores the importance of debt literacy in their ability to avail of credit. Our major results remain consistent in the robustness check using Propensity Score Matching and other follow-up analyses. Our findings could help financial institutions use debt literacy training as a part of responsible lending and could also inform the design of financial education policies to address the informational and capability limitations of rural households.</t>
  </si>
  <si>
    <t>HOUSEHOLD; EDUCATION; SECURITY; INVEST</t>
  </si>
  <si>
    <t>Household finance; Financial inclusion; Financial decisions; Financial literacy; Credit usage; Rural consumers</t>
  </si>
  <si>
    <t>Does knowledge empower? Debt literacy and credit usage in rural consumer finance</t>
  </si>
  <si>
    <t>Jacob, Remya Tressa; Sensarma, Rudra</t>
  </si>
  <si>
    <t>Jacob, RT; Sensarma, R</t>
  </si>
  <si>
    <t>WOS:001317755400001</t>
  </si>
  <si>
    <t>G6M4Q</t>
  </si>
  <si>
    <t>10.1016/j.eap.2024.09.010</t>
  </si>
  <si>
    <t>Ai acknowledges the financial support from the Major Research Project in Philosophy and Social Sciences of the Ministry of Ed-ucation (No. 23JZD021) , the National Natural Science Foundation of China (No. 71974054) and the Natural Science Foundation of Hunan Province (No. 2023JJ10017) . Tan acknowledges the financial support from the Postgraduate Scientific Research Innovation Project of Hunan Province (No.CX20230384) . We owe great thanks to two anonymous referees for valuable comments. All errors are ours.</t>
  </si>
  <si>
    <t>Major Research Project in Philosophy and Social Sciences of the Ministry of Ed-ucation; National Natural Science Foundation of China(National Natural Science Foundation of China (NSFC)); Natural Science Foundation of Hunan Province(Natural Science Foundation of Hunan Province); Postgraduate Scientific Research Innovation Project of Hunan Province</t>
  </si>
  <si>
    <t>Major Research Project in Philosophy and Social Sciences of the Ministry of Ed-ucation [23JZD021]; National Natural Science Foundation of China [71974054]; Natural Science Foundation of Hunan Province [2023JJ10017]; Postgraduate Scientific Research Innovation Project of Hunan Province</t>
  </si>
  <si>
    <t>aihongshan@hnu.edu.cn; xianglinhnu@163.com; tanxiaoqing@hnu.edu.cn; constantly@hnu.edu.cn; hanli568@163.com</t>
  </si>
  <si>
    <t>Tan, XQ (corresponding author), Hunan Univ, Sch Econ &amp; Trade, Changsha, Peoples R China.</t>
  </si>
  <si>
    <t>Hunan University; China Three Gorges University</t>
  </si>
  <si>
    <t>[Ai, Hongshan; Xiang, Lin; Tan, Xiaoqing; Yao, Haorui] Hunan Univ, Sch Econ &amp; Trade, Changsha, Peoples R China; [Han, Li] China Three Gorges Univ, Sch Law &amp; Publ Adm, Yichang, Peoples R China</t>
  </si>
  <si>
    <t>Using the Smart City Pilot (SCP) policy as a quasi-experiment, we evaluate the causal effect of place-based information technology policy on digital finance development with a difference-indifferences (DID) approach. Our DID estimates indicate that the SCP policy significantly boosts digital financial inclusion (DFI) in China. Relative to non-pilot cities, this policy increases the DFI index by 1.44 in pilot cities. This increase in the DFI index is mainly driven by the deepened usage of digital finance. Heterogeneity analyses show that the implementation of the SCP policy exerts larger influences on digital finance development in eastern cities, cities with high administrative levels or more education resources, and non-resource-based cities. Furthermore, the stimulated development of the information industry and the improved business environment are two important channels to explain the positive impact of the implementation of this place-based information technology policy on digital finance development.</t>
  </si>
  <si>
    <t>SMART CITY POLICIES; INDUSTRIAL PARKS; PILOT POLICY; CITIES; INNOVATION; BLOCKCHAIN; EFFICIENCY; IMPACT; ZONES</t>
  </si>
  <si>
    <t>Place-based information technology policy; Smart city pilot policy; Financial inclusion; Digital finance development; China</t>
  </si>
  <si>
    <t>The effects of place-based information technology policy on digital finance development: Evidence from China</t>
  </si>
  <si>
    <t>Ai, Hongshan; Xiang, Lin; Tan, Xiaoqing; Yao, Haorui; Han, Li</t>
  </si>
  <si>
    <t>Ai, HS; Xiang, L; Tan, XQ; Yao, HR; Han, L</t>
  </si>
  <si>
    <t>WOS:000415925100003</t>
  </si>
  <si>
    <t>FN3TY</t>
  </si>
  <si>
    <t>10.1002/jsc.2166</t>
  </si>
  <si>
    <t>The Banque Populaire and Conseil Regional de Bourgogne Franche-Comte.</t>
  </si>
  <si>
    <t>Banque Populaire; Conseil Regional de Bourgogne Franche-Comte(Region Bourgogne-Franche-Comte)</t>
  </si>
  <si>
    <t>Banque Populaire; Conseil Regional de Bourgogne Franche-Comte</t>
  </si>
  <si>
    <t>Ashta, Arvind/ADJ-8303-2022</t>
  </si>
  <si>
    <t>bumacov@hotmail.com</t>
  </si>
  <si>
    <t>Bumacov, V (corresponding author), Tudor Panfile 38, MD-2049 Kishinev, Moldova.</t>
  </si>
  <si>
    <t>Oxford Brookes University; Universite Bourgogne Europe; Burgundy School of Business</t>
  </si>
  <si>
    <t>[Bumacov, Vitalie; Singh, Pritam] Oxford Brookes Univ, Oxford Brookes Business Sch, Oxford, England; [Ashta, Arvind] Univ Bourgogne Franche Comte, Burgundy Sch Business, CEREN EA7477, Dijon, France</t>
  </si>
  <si>
    <t>The use of poverty scoring is associated with increased outreach towards poor borrowers only in nonprofit microfinance institutions while, in for-profit microfinance institutions, poverty scoring is associated with increased availability of financing. Poverty scoring allows for-profit microfinance institutions to borrow funds from social investors in addition to funds borrowed from the market. As long as these social funds do not substitute market funds used in financing poor microborrowers, the share of poor clients served increases, so does financial inclusion of the poor.</t>
  </si>
  <si>
    <t>Poverty scoring and financial inclusion of the poor</t>
  </si>
  <si>
    <t>Bumacov, Vitalie; Ashta, Arvind; Singh, Pritam</t>
  </si>
  <si>
    <t>Bumacov, V; Ashta, A; Singh, P</t>
  </si>
  <si>
    <t>WOS:000766779800004</t>
  </si>
  <si>
    <t>ZQ0BP</t>
  </si>
  <si>
    <t>Economics; Industrial Relations &amp; Labor</t>
  </si>
  <si>
    <t>10.3368/jhr.57.2.1018-9796R1</t>
  </si>
  <si>
    <t>J. Hum. Resour.</t>
  </si>
  <si>
    <t>J HUM RESOUR</t>
  </si>
  <si>
    <t>1548-8004</t>
  </si>
  <si>
    <t>0022-166X</t>
  </si>
  <si>
    <t>JOURNAL DIVISION, 728 State Street, Suite 443, MADISON, WI, UNITED STATES</t>
  </si>
  <si>
    <t>MADISON</t>
  </si>
  <si>
    <t>UNIV WISCONSIN PRESS</t>
  </si>
  <si>
    <t>The authors thank Badi Baltagi, Thorsten Beck, Panicos Demetriades, Jesse Matheson, Robert Lensink, Emma Riley, Peter Rousseau, James Rockey, Juan Rud, and seminar participants at Leicester, Warwick, the first and second DFID-ESRC Project Meetings, WorldRemit, the NOVAFRICA Conference Lisbon, the International Conference on Shocks and Development Dresden, CSAE Conference Oxford, and RES Conference Bristol for their very useful feedback. They also thank the World Bank's Living Standards Measurement Study (LSMS) team for providing technical support for Tanzania's LSMS-ISA panel data. The usual disclaimer applies. Foureaux Koppensteiner very gratefully acknowledges financial support from the Department for International Development-Economic and Social Research Council (DFID-ESRC) , UK through the grant Politics, Finance and Growth (ES/J009067/1) .</t>
  </si>
  <si>
    <t>CSAE Conference Oxford; World Bank's Living Standards Measurement Study; Department for International Development-Economic and Social Research Council (DFID-ESRC) , UK through the grant Politics, Finance and Growth</t>
  </si>
  <si>
    <t>CSAE Conference Oxford; World Bank's Living Standards Measurement Study; Department for International Development-Economic and Social Research Council (DFID-ESRC) , UK through the grant Politics, Finance and Growth [ES/J009067/1]</t>
  </si>
  <si>
    <t>Abiona, Olukorede/0000-0002-1696-4475; Foureaux Koppensteiner, Martin/0000-0001-6628-2483</t>
  </si>
  <si>
    <t>m.koppensteiner@surrey.ac.uk</t>
  </si>
  <si>
    <t>Koppensteiner, MF (corresponding author), Univ Surrey, Sch Econ, Univ Rd, Guildford GU2 7JP, Surrey, England.</t>
  </si>
  <si>
    <t>University of Technology Sydney; University of Surrey</t>
  </si>
  <si>
    <t>[Abiona, Olukorede] Univ Technol Sydney, CHERE, Broadway, NSW 2007, Australia; [Koppensteiner, Martin Foureaux] Univ Surrey, Sch Econ, Univ Rd, Guildford GU2 7JP, Surrey, England</t>
  </si>
  <si>
    <t>We estimate the effect of mobile money adoption on consumption smoothing, poverty, and human capital investments in Tanzania. We exploit the rapid expansion of the mobile money agent network between 2010 and 2012 and use this together with idiosyncratic shocks from variation in rainfall over time and across space in a difference-in-difference framework. We find that adopter households are able to smooth consumption during periods of shocks and maintain their investments in human capital. Results on time use of children and labor force participation complement the findings on the important role of mobile money for the intergenerational transmission of poverty.</t>
  </si>
  <si>
    <t>AGRICULTURAL SHOCKS; CHILD LABOR; INCOME; CONSEQUENCES; REMITTANCES; CONSUMPTION; HOUSEHOLDS; IMPACTS; MATTERS</t>
  </si>
  <si>
    <t>JOURNAL OF HUMAN RESOURCES</t>
  </si>
  <si>
    <t>Financial Inclusion, Shocks, and Poverty: Evidence from the Expansion of Mobile Money in Tanzania</t>
  </si>
  <si>
    <t>Abiona, Olukorede; Koppensteiner, Martin Foureaux</t>
  </si>
  <si>
    <t>Abiona, O; Koppensteiner, MF</t>
  </si>
  <si>
    <t>WOS:001580931300001</t>
  </si>
  <si>
    <t>7VX8H</t>
  </si>
  <si>
    <t>10.3390/fintech4030036</t>
  </si>
  <si>
    <t>JUL 29</t>
  </si>
  <si>
    <t>Han, Jihyung/OGO-6213-2025</t>
  </si>
  <si>
    <t>ellyhan@snu.ac.kr; dk.ko@cnu.ac.kr</t>
  </si>
  <si>
    <t>Ko, D (corresponding author), Chungnam Natl Univ, Dept Consumer Sci &amp; Glocal Life Care Convergence, Daejeon 34134, South Korea.</t>
  </si>
  <si>
    <t>Seoul National University (SNU); Chungnam National University</t>
  </si>
  <si>
    <t>[Han, Jihyung] Seoul Natl Univ, Res Inst Human Ecol, Seoul 08826, South Korea; [Ko, Daekyun] Chungnam Natl Univ, Dept Consumer Sci &amp; Glocal Life Care Convergence, Daejeon 34134, South Korea</t>
  </si>
  <si>
    <t>The rapid growth of mobile financial services provides significant opportunities for enhancing digital financial inclusion among older adults. However, elderly consumers often lag in adoption and sustained usage due to psychological barriers (e.g., technology anxiety) and factors related to prior experience and comfort with technology (e.g., technology familiarity). This study investigates how technology anxiety and technology familiarity influence elderly consumers' continuance intention toward mobile banking, while examining age as a moderator by comparing younger older adults (aged 60-69) and older adults (aged 70+). Using data from an online survey of 488 elderly mobile banking users in South Korea, we conducted hierarchical regression analyses. The results show that technology anxiety negatively affects continuance intention, whereas technology familiarity positively enhances sustained usage. Moreover, age significantly moderated these relationships: adults aged 70+ were notably more sensitive to both technology anxiety and familiarity, highlighting distinct age-related psychological differences. These findings underscore the importance of targeted digital literacy initiatives, age-friendly fintech interfaces, and personalized support strategies. This study contributes to the fintech literature by integrating psychological dimensions into traditional technology adoption frameworks and emphasizing age-specific differences. Practically, fintech providers and policymakers should adopt tailored strategies to effectively address elderly consumers' unique psychological needs, promoting sustained adoption and narrowing the digital divide in financial technology engagement.</t>
  </si>
  <si>
    <t>OLDER-ADULTS; BANKING; BARRIERS</t>
  </si>
  <si>
    <t>mobile financial services; elderly consumers; technology anxiety; technology familiarity; continuance intention; D12; G50; J14</t>
  </si>
  <si>
    <t>Mobile Financial Service Adoption Among Elderly Consumers: The Roles of Technology Anxiety, Familiarity, and Age</t>
  </si>
  <si>
    <t>Han, Jihyung; Ko, Daekyun</t>
  </si>
  <si>
    <t>Han, J; Ko, D</t>
  </si>
  <si>
    <t>WOS:000397470300009</t>
  </si>
  <si>
    <t>EP6EE</t>
  </si>
  <si>
    <t>10.1002/jsc.2120</t>
  </si>
  <si>
    <t>De Moor, Lieven/0000-0002-1290-2971</t>
  </si>
  <si>
    <t>De Moor, Lieven/HGC-3651-2022</t>
  </si>
  <si>
    <t>Hyonsu.Kim@vub.ac.be</t>
  </si>
  <si>
    <t>Kim, H (corresponding author), Sch Business, Fac Econ &amp; Social Sci &amp; Solvay, Pl Laan 2, B-1050 Brussels, Belgium.</t>
  </si>
  <si>
    <t>Vrije Universiteit Brussel; Vrije Universiteit Brussel</t>
  </si>
  <si>
    <t>[Kim, Hyonsu; De Moor, Lieven] Vrije Univ Brussel, Brussels, Belgium; [De Moor, Lieven] Vrije Univ Brussel, Finance, Brussels, Belgium</t>
  </si>
  <si>
    <t>Crowdfunding can contribute to financial inclusion through various models including donation-based, reward-based, lending-based, and equity-based crowdfunding.</t>
  </si>
  <si>
    <t>MOBILE PHONE; ENTREPRENEURSHIP; MICROFINANCE</t>
  </si>
  <si>
    <t>The Case of Crowdfunding in Financial Inclusion: A Survey</t>
  </si>
  <si>
    <t>Kim, Hyonsu; De Moor, Lieven</t>
  </si>
  <si>
    <t>Kim, H; De Moor, L</t>
  </si>
  <si>
    <t>WOS:001421095000015</t>
  </si>
  <si>
    <t>W8O4B</t>
  </si>
  <si>
    <t>10.35716/IJED-22479</t>
  </si>
  <si>
    <t>Berwal, Kavita/0000-0001-8177-5614</t>
  </si>
  <si>
    <t>rohtashbhall89@gmail.com</t>
  </si>
  <si>
    <t>Bhall, R (corresponding author), Parul Univ, Dept Management, Vadodara 391760, Gujarat, India.</t>
  </si>
  <si>
    <t>Parul University; Guru Jambheshwar University of Science &amp; Technology; CCS Haryana Agricultural University</t>
  </si>
  <si>
    <t>[Bhall, Rohtash] Parul Univ, Dept Management, Vadodara 391760, Gujarat, India; [Berwal, Kavita; Bisla, Monika] Guru Jambheshwar Univ Sci &amp; Technol, Haryana Sch Business, Hisar 125001, India; [Kumar, Joginder] Chaudhary Charan Singh Haryana Agr Univ, Dept Econ, Hisar 125001, India</t>
  </si>
  <si>
    <t>The study assessed financial inclusion level and its determinants across 30 Asian countries from 2010 to 2020 using the Wroclaw taxonomy method (WTM). A comparative analysis of financial inclusion indexes was conducted, and a panel fixed-effect model was employed to explore influencing factors. Findings revealed high financial inclusion levels in China, Israel, Japan, Singapore, and South Korea, contrasting with low levels in Azerbaijan, Bangladesh, Kyrgyz, Pakistan, Tajikistan, and Timor-Leste. Fourteen countries ranked in the high-middle category, with six in the low category, and only five achieved high financial inclusion in 2020. GDP and bank credit positively impact financial inclusion, while broad money, population, and density contribute positively but insignificantly. Conversely, literacy rate, inflation rate, employment, female ratio, rural ratio, and internet access showed negative effects on financial inclusion.</t>
  </si>
  <si>
    <t>Access andusage ofbanking services; bankpenetration; fixed effect model; Wroclaw taxonomy method</t>
  </si>
  <si>
    <t>Financial Inclusion Index and its Determinants among Asian Countries</t>
  </si>
  <si>
    <t>Bhall, Rohtash; Berwal, Kavita; Bisla, Monika; Kumar, Joginder</t>
  </si>
  <si>
    <t>Bhall, R; Berwal, K; Bisla, M; Kumar, J</t>
  </si>
  <si>
    <t>WOS:000427203200003</t>
  </si>
  <si>
    <t>FY9RF</t>
  </si>
  <si>
    <t>10.1080/00036846.2017.1368990</t>
  </si>
  <si>
    <t>a.winkler@fs.de</t>
  </si>
  <si>
    <t>Winkler, A (corresponding author), Frankfurt Sch Finance &amp; Management, Ctr Dev Finance, Sonnemannstr 9-11, D-60314 Frankfurt, Germany.</t>
  </si>
  <si>
    <t>Frankfurt School Finance &amp; Management</t>
  </si>
  <si>
    <t>[Lopez, Tania; Winkler, Adalbert] Frankfurt Sch Finance &amp; Management, Ctr Dev Finance, Sonnemannstr 9-11, D-60314 Frankfurt, Germany</t>
  </si>
  <si>
    <t>Financial inclusion is said to foster development and growth. However, progress in financial inclusion has been slow in rural areas where poverty is most pronounced. This is often attributed to higher transaction costs, higher risks and a more unfavourable contracting environment which makes it more difficult for financial institutions to achieve and maintain sustainability in rural compared to urban areas. Based on data covering 772 microfinance institutions (MFIs) over the period 2008-2013, we test whether rural financial inclusion, notably lending to rural borrowers, is hampered by stronger sustainability challenges than inclusion in urban markets. Our results suggest that a higher share of rural borrowers has no direct effect on MFI sustainability. However, we find that MFIs with a higher share of rural borrowers are less able to exploit economies of scale and productivity effects. Thus, our results provide support for the view that sustainability challenges make it more difficult to achieve progress in financial inclusion in rural than in urban areas.</t>
  </si>
  <si>
    <t>TECHNICAL EFFICIENCY; BUSINESS MODELS; INSTITUTIONS; PERFORMANCE; OUTREACH; ENTREPRENEURSHIP; IMPACT; BANKS; ECONOMIES; ACCESS</t>
  </si>
  <si>
    <t>Financial inclusion; rural lending; microfinance; sustainability</t>
  </si>
  <si>
    <t>The challenge of rural financial inclusion - evidence from microfinance</t>
  </si>
  <si>
    <t>Lopez, Tania; Winkler, Adalbert</t>
  </si>
  <si>
    <t>Lopez, T; Winkler, A</t>
  </si>
  <si>
    <t>WOS:000537722900003</t>
  </si>
  <si>
    <t>LU4JI</t>
  </si>
  <si>
    <t>10.1016/j.jik.2019.03.001</t>
  </si>
  <si>
    <t>J. Innov. Knowl.</t>
  </si>
  <si>
    <t>J INNOV KNOWL</t>
  </si>
  <si>
    <t>2444-569X</t>
  </si>
  <si>
    <t>2530-7614</t>
  </si>
  <si>
    <t>CALLE DE ZURBANO, 76-4TH FLR LEFT, MADRID, 28010, SPAIN</t>
  </si>
  <si>
    <t>ELSEVIER ESPANA</t>
  </si>
  <si>
    <t>David-West, Olayinka/0000-0002-5545-7230; Iheanachor, Nkeilim/0000-0003-1139-9355; Umukoro, Immanuel/0000-0002-2054-5070</t>
  </si>
  <si>
    <t>David-West, Olayinka/B-4754-2009; Umukoro, Immanuel/M-4056-2016</t>
  </si>
  <si>
    <t>ydavid-west@lbs.edu.ng; niheanachor@lbs.edu.ng; uimmanuel@lbs.edu.ng</t>
  </si>
  <si>
    <t>Iheanachor, N (corresponding author), Pan Atlantic Univ, Lagos Business Sch, Lagos, Nigeria.</t>
  </si>
  <si>
    <t>[David-West, Olayinka; Iheanachor, Nkemdilim; Umukoro, Immanuel] Pan Atlantic Univ, Lagos Business Sch, Lagos, Nigeria</t>
  </si>
  <si>
    <t>Despite Nigeria's huge population, huge consumer market and the vast number of mobile money operators (MMOs), the uptake of mobile money services has been the lowest in Africa. The introduction of mobile money services into the market after an elaborate licensing and regulatory process by the Central Bank of Nigeria was expected to accelerate financial inclusion and increase the overall number of transactions in the country. This was however not the case as the expected result of increased financial inclusion was not achieved. Although various reasons have been suggested as the cause of this, the paper argues that the lack of sustainable business models for the creation of mobile money services has been one of the greatest hindrances. Existing business models for mobile money services have proven to be unsustainable and unprofitable. Through case studies of existing mobile money operators, this paper investigates the reasons for unsuccessful deployment of mobile money services by MMOs in Nigeria and proceeds to develop a framework for sustainable business models for this market. Results of this study suggest that MMOs should pay close attention to all aspects of the business models they deploy in the creation of mobile money services with particular emphasis on the value proposition, customer segments and scale. (C) 2019 Journal of Innovation &amp; Knowledge. Published by Elsevier Espana, S.L.U. This is an open access article under the CC BY-NC-ND license (http://creativecommons.org/licenses/by-nc-nd/4.0/).</t>
  </si>
  <si>
    <t>Digital financial services (DFS); Mobile money operators (MMOs); Business model</t>
  </si>
  <si>
    <t>JOURNAL OF INNOVATION &amp; KNOWLEDGE</t>
  </si>
  <si>
    <t>Sustainable business models for the creation of mobile financial services in Nigeria</t>
  </si>
  <si>
    <t>David-West, Olayinka; Iheanachor, Nkemdilim; Umukoro, Immanuel</t>
  </si>
  <si>
    <t>David-West, O; Iheanachor, N; Umukoro, I</t>
  </si>
  <si>
    <t>WOS:000937431800001</t>
  </si>
  <si>
    <t>Q1AY4</t>
  </si>
  <si>
    <t>10.1287/msom.2022.1175</t>
  </si>
  <si>
    <t>Acimovic, Jason/0000-0003-3708-7472; Balasubramanian, Karthik/0000-0002-0376-3703; Fearing, Douglas/0000-0003-1002-4877</t>
  </si>
  <si>
    <t>Acimovic, Jason/D-7732-2012; Drake, David/AFK-5625-2022</t>
  </si>
  <si>
    <t>karthik.b@howard.edu; dfdrake@colorado.edu; jaa26@psu.edu; dfearing@zelusanalytics.com</t>
  </si>
  <si>
    <t>Balasubramanian, K (corresponding author), Howard Univ, Informat Syst &amp; Supply Chain Management, Sch Business, Washington, DC 20006 USA.</t>
  </si>
  <si>
    <t>Howard University; University of Colorado System; University of Colorado Boulder; Pennsylvania Commonwealth System of Higher Education (PCSHE); Pennsylvania State University; Pennsylvania State University - University Park</t>
  </si>
  <si>
    <t>[Balasubramanian, Karthik] Howard Univ, Informat Syst &amp; Supply Chain Management, Sch Business, Washington, DC 20006 USA; [Drake, David F.] Univ Colorado Boulder, Leeds Sch Business, Boulder, CO 80309 USA; [Acimovic, Jason] Penn State Univ, Smeal Coll Business, University Pk, PA 16802 USA; [Fearing, Douglas] Zelus Analyt, Cambridge, MA 02138 USA</t>
  </si>
  <si>
    <t>Problem definition: Mobile money systems-platforms built and managed by mobile network platform operators (MMPOs) to allow money to be stored as digital currency-connect millions of poor and unbanked people to the formal financial system. Unfortunately, low service levels because of the suboptimal management of cash and digital currency (e-float) inventory impede the development of these ecosystems. Accordingly, we seek to answer the question of how agents should manage inventories of cash and e-float. Academic/practical relevance: This paper extends inventory theory to the mobile money context, unique in that sales of cash generate inventory of e-float and vice versa. In doing so, we address a key pain point for an emerging sector that improves lives at the base of the pyramid. Methodology: We develop an analytical heuristic to determine initial stocking levels for cash and e-float and analyze its performance on simulated and actual data. Results: By partnering with an MMPO, we tested the performance of the heuristic inventory policy with data from more than 35 million transactions. The heuristic captured 99.9998% of the optimal profit on simulated data and, on actual data, we found that following the recommendations could increase agents' profits by an average of 15.4%. Managerial implications: We develop a pragmatic inventory policy that performs nearly optimally. We also analyze under which conditions the performance deteriorates and examine heterogeneity among agents with respect to the heuristic's impact on their performance. Thus, we equip MMPOs with guidance as to whom to target and how. By contributing to service level and profit improvements, this work can make mobile money a more effective financial inclusion tool in the developing world as well as improve the livelihoods of agents.</t>
  </si>
  <si>
    <t>BALANCE PROBLEM; COSTS</t>
  </si>
  <si>
    <t>base of the pyramid; inventory management; mobile money; inventory heuristics; societal development systems</t>
  </si>
  <si>
    <t>Mobile Money Operations: Policies for Managing Cash and Digital Currency Inventories in the Developing World</t>
  </si>
  <si>
    <t>Balasubramanian, Karthik; Drake, David F.; Acimovic, Jason; Fearing, Douglas</t>
  </si>
  <si>
    <t>Balasubramanian, K; Drake, DF; Acimovic, J; Fearing, D</t>
  </si>
  <si>
    <t>WOS:000792561300003</t>
  </si>
  <si>
    <t>1B6RB</t>
  </si>
  <si>
    <t>10.1891/JFCP-20-00011</t>
  </si>
  <si>
    <t>Walstad, William/0000-0002-9983-6013</t>
  </si>
  <si>
    <t>aatharayil@austincollege.edu; wwalstadl@unl.edu</t>
  </si>
  <si>
    <t>Tharayil, A (corresponding author), Austin Coll, Econ, 900 North Grand Ave, Sherman, TX 75090 USA.</t>
  </si>
  <si>
    <t>University of Nebraska System; University of Nebraska Lincoln</t>
  </si>
  <si>
    <t>[Tharayil, Ashley] Austin Coll, Econ, 900 North Grand Ave, Sherman, TX 75090 USA; [Walstad, William B.] Univ Nebraska, Econ, Lincoln, NE USA</t>
  </si>
  <si>
    <t>This study examined the association between financial literacy and the decision to withdraw funds from different types of retirement accounts before retirement. Data from the 2012 and 2015 National Financial Capability Study were used to investigate if financial literacy may potentially influence the decision to dissave from funds already set aside for retirement. The results showed that lower financial literacy appeared to increase the likelihood to retract finds saved for retirement, across different types of retirement accounts. The importance of financial literacy persisted, even after controlling for income shocks to personal finances. the availability of precautionary savings as an alternative source of funding, and an extensive set of demographic variables.</t>
  </si>
  <si>
    <t>EDUCATION; BEHAVIOR</t>
  </si>
  <si>
    <t>early withdrawals; financial behavior; financial literacy; retirement accounts</t>
  </si>
  <si>
    <t>Financial Literacy and the Early Withdrawal of Funds From Retirement Accounts</t>
  </si>
  <si>
    <t>Tharayil, Ashley; Walstad, William B.</t>
  </si>
  <si>
    <t>Tharayil, A; Walstad, WB</t>
  </si>
  <si>
    <t>WOS:000603463500001</t>
  </si>
  <si>
    <t>QU4QA</t>
  </si>
  <si>
    <t>10.1108/JIABR-10-2019-0198</t>
  </si>
  <si>
    <t>MAR 8</t>
  </si>
  <si>
    <t>J. Islamic Account. Bus. Res.</t>
  </si>
  <si>
    <t>J ISLAMIC ACCOUNT BU</t>
  </si>
  <si>
    <t>1759-0825</t>
  </si>
  <si>
    <t>1759-0817</t>
  </si>
  <si>
    <t>Shaikh, Salman Ahmed/0000-0002-4033-3710</t>
  </si>
  <si>
    <t>Shaikh, Salman Ahmed/R-4189-2016</t>
  </si>
  <si>
    <t>salman@siswa.ukm.edu.my</t>
  </si>
  <si>
    <t>Shaikh, SA (corresponding author), SZABIST Univ, Dept Management Sci, Karachi, Pakistan.</t>
  </si>
  <si>
    <t>[Shaikh, Salman Ahmed] SZABIST Univ, Dept Management Sci, Karachi, Pakistan</t>
  </si>
  <si>
    <t>Purpose This study aims to propose a hybrid microfinance model that integrates various Islamic commercial and social finance institutions through Fintech for efficient and impactful results. The microfinance model caters to the financial and social intermediation needs through a set of financial services and non-financial support. Design/methodology/approach The study uses both a mathematical model and an empirical estimation using micro panel data to establish the core problem in microfinance operations. Conclusions from the mathematical model and estimated results in the empirical analysis are used to suggest an institutional design which embeds technology in the delivery of Islamic microfinance in an integrated structure. For screening and incentive conditions, the study gives illustration through numerical examples. Findings The mathematical model highlights the need for financial sustainability, outreach, scale and complementariness of non-financial factors such as commitment, repayment incentives and skills enhancement multiplier. In light of this, the proposed Islamic microfinance model is outlined to create synergies by integrating a diversity of funding sources through social savings and impact investments. The programme also blends financial services with non-financial support to ensure engagement and commitment on a long-term basis. It uses Fintech in various demand and supply-side operations to show how technology embeddedness can help in achieving cost efficiencies and extend outreach. Originality/value It is the first study in integrated institutional design in Islamic microfinance literature that embeds Fintech in both demand side and supply side operations comprehensively. The proposed model is conducive for enhancing outreach, scale and impact in the Islamic microfinancial services.</t>
  </si>
  <si>
    <t>Islamic microfinance; Financial inclusion; Fintech; Microcredit; Poverty; L38; I31; O10</t>
  </si>
  <si>
    <t>JOURNAL OF ISLAMIC ACCOUNTING AND BUSINESS RESEARCH</t>
  </si>
  <si>
    <t>Using Fintech in scaling up Islamic microfinance</t>
  </si>
  <si>
    <t>Shaikh, Salman Ahmed</t>
  </si>
  <si>
    <t>Shaikh, SA</t>
  </si>
  <si>
    <t>WOS:001580870100001</t>
  </si>
  <si>
    <t>7VV4T</t>
  </si>
  <si>
    <t>10.3390/fintech4030040</t>
  </si>
  <si>
    <t>AUG 7</t>
  </si>
  <si>
    <t>Islam, Mohammad Mazharul/GWV-6127-2022; Alharthi, Majed/F-9996-2019</t>
  </si>
  <si>
    <t>iftekhar.robin@bb.org.bd</t>
  </si>
  <si>
    <t>Islam, MM (corresponding author), King Abdulaziz Univ, Coll Business, Finance Dept, Rabigh 21911, Saudi Arabia.</t>
  </si>
  <si>
    <t>King Abdulaziz University</t>
  </si>
  <si>
    <t>[Robin, Iftekhar Ahmed] Cent Bank Bangladesh, Dhaka 1000, Bangladesh; [Islam, Mohammad Mazharul; Alharthi, Majed] King Abdulaziz Univ, Coll Business, Finance Dept, Rabigh 21911, Saudi Arabia</t>
  </si>
  <si>
    <t>This paper examines the impact of agent banking activities, a recent FinTech development, influencing the profitability and financial outcomes of commercial banks operating in Bangladesh, as agent banking has been receiving significant global attention due to its technology-driven approach, cost-effectiveness and easy accessibility, and broader coverage of the unbanked population. Through the application of penal data regression methods, the study estimates a random-effect model using panel data comprising quarterly observations from nine Bangladeshi commercial banks that maintained uninterrupted agent banking activities, covering both deposit mobilization and lending during the period from 2018Q1 to 2024Q4. The empirical findings indicate that credit disbursement by agent banks has a positive and statistically significant impact on bank profitability measures, return on assets (ROA), and return on equity (ROE). Similarly, the expansion of agent banking outlets positively and significantly influences ROA. Therefore, an appropriate agent banking policy aimed at increasing agent banking outlets using digital platforms based on FinTech is vital for ensuring positive growth in credit disbursement to achieve improved financial outcomes for the banking sector in a developing country like Bangladesh.</t>
  </si>
  <si>
    <t>AGENT BANKING; REMITTANCES; INCLUSION</t>
  </si>
  <si>
    <t>FinTech; financial performance; commercial banks; panel data model; credit; G21; C23; E51</t>
  </si>
  <si>
    <t>The Impact of FinTech on the Financial Performance of Commercial Banks in Bangladesh: A Random-Effect Model Analysis</t>
  </si>
  <si>
    <t>Robin, Iftekhar Ahmed; Islam, Mohammad Mazharul; Alharthi, Majed</t>
  </si>
  <si>
    <t>Robin, IA; Islam, MM; Alharthi, M</t>
  </si>
  <si>
    <t>WOS:001106607400008</t>
  </si>
  <si>
    <t>Y6VC5</t>
  </si>
  <si>
    <t>Northwest. Univ. Law Rev.</t>
  </si>
  <si>
    <t>NORTHWEST U LAW REV</t>
  </si>
  <si>
    <t>0029-3571</t>
  </si>
  <si>
    <t>SCHOOL OF LAW OFFICE OF LEGAL PUBLICATIONS 357 EAST CHICAGO AVE, CHICAGO, IL 60611-3069 USA</t>
  </si>
  <si>
    <t>NORTHWESTERN UNIV</t>
  </si>
  <si>
    <t>As a community, Black people consistently face barriers to full participation in traditional financial markets. The decentralized nature of the cryptocurrency market is attractive to a community that has been historically and systematically excluded from the traditional financial markets by both private and public actors. As new entrants to any type of financial market, Black people have increasingly embraced blockchain technology and cryptocurrency as a path towards the wealth-building opportunities and financial freedom they have been denied in traditional markets. This Article analyzes whether the technology's decentralized system will lead to financial inclusion or increased financial exclusion. Without reconciling the racially discriminatory history or effects of the current central financial system, the innovative decentralized appeal to Black people will do little to overcome economic inequity. It may be possible that some cryptocurrencies can be tools for financial inclusion by improving economic outcomes and building wealth outside of traditional financial institutions, but without an intervention, a decentralized system will not necessarily lead to decentralized wealth.</t>
  </si>
  <si>
    <t>CRITICAL RACE THEORY; CONSUMER; FINTECH; TRAUMA; ERA; LAW</t>
  </si>
  <si>
    <t>NORTHWESTERN UNIVERSITY LAW REVIEW</t>
  </si>
  <si>
    <t>FINANCIAL INCLUSION, CRYPTOCURRENCY, AND AFROFUTURISM</t>
  </si>
  <si>
    <t>Pantin, Lynnise Phillips</t>
  </si>
  <si>
    <t>Pantin, LP</t>
  </si>
  <si>
    <t>WOS:001071486000001</t>
  </si>
  <si>
    <t>Z0PC7</t>
  </si>
  <si>
    <t>Area Studies; International Relations</t>
  </si>
  <si>
    <t>10.1177/23477989231198327</t>
  </si>
  <si>
    <t>Contemp. Rev. Middle East</t>
  </si>
  <si>
    <t>CONTEMP REV MIDDLE E</t>
  </si>
  <si>
    <t>2349-0055</t>
  </si>
  <si>
    <t>2347-7989</t>
  </si>
  <si>
    <t>Ajaz Khan, Khurram/0000-0001-5728-8955; Khan, Imran/0000-0003-0648-8409; AKHTAR, ANAM/0000-0002-8441-5056</t>
  </si>
  <si>
    <t>AKHTAR, MOHAMMED/ABN-4670-2022; Ajaz Khan, Khurram/AAV-5814-2020; Khan, Imran/AAF-1757-2021</t>
  </si>
  <si>
    <t>anam@imt.ac.ae</t>
  </si>
  <si>
    <t>Akhtar, MA (corresponding author), Inst Management Technol, Dept Accounting &amp; Finance, Dubai 345006, U Arab Emirates.</t>
  </si>
  <si>
    <t>Westminster International University Tashkent</t>
  </si>
  <si>
    <t>[Akhtar, Mohammed Anam] Inst Management Technol, Dept Accounting &amp; Finance, Dubai 345006, U Arab Emirates; [Khan, Imran] Birla Inst Technol &amp; Sci, Dept Humanities &amp; Social Sci, Dubai, U Arab Emirates; [Khan, Khurram Ajaz] Westminster Int Univ Tashkent, Sch Business &amp; Econ, Dept Finance, Tashkent, Uzbekistan</t>
  </si>
  <si>
    <t>The article empirically analyzes the effects of residential status and social security on migrant workers' remittance outflow, linking it with financial literacy concepts such as financial capability, financial advice, and financial anxiety. The study's originality lies in its empirical examination of financial literacy constructs, residency, and social security using partial least squares structural equation modeling to examine data collected from a closed-ended questionnaire in the United Arab Emirates (UAE). The results provide significant insights for policymakers and service providers in a country with the second-largest outflow of remittances in the world and indicate that, except for financial advice, all other factors have a substantial impact on remittance activity.</t>
  </si>
  <si>
    <t>DEBT LITERACY; FIT INDEXES; PLS-SEM; IMPACT; INVESTMENT; SENSITIVITY; MIGRATION; MIGRANTS; BEHAVIOR; SEEKING</t>
  </si>
  <si>
    <t>Financial capability; financial advice; financial anxiety; residential status; social security; United Arab Emirates</t>
  </si>
  <si>
    <t>CONTEMPORARY REVIEW OF THE MIDDLE EAST</t>
  </si>
  <si>
    <t>Linking Financial Capability, Advice, Anxiety, Social Security, and Residential Status with Outward Remittances: Evidence from the UAE</t>
  </si>
  <si>
    <t>Akhtar, Mohammed Anam; Khan, Imran; Khan, Khurram Ajaz</t>
  </si>
  <si>
    <t>Akhtar, MA; Khan, I; Khan, KA</t>
  </si>
  <si>
    <t>WOS:000493307200010</t>
  </si>
  <si>
    <t>JI2PT</t>
  </si>
  <si>
    <t>10.1093/restud/rdy046</t>
  </si>
  <si>
    <t>Rev. Econ. Stud.</t>
  </si>
  <si>
    <t>REV ECON STUD</t>
  </si>
  <si>
    <t>1467-937X</t>
  </si>
  <si>
    <t>0034-6527</t>
  </si>
  <si>
    <t>We would like to thank Kerry Brennan, Evan Fellman, Angela Garcia Vargas, Matt Grant, Kareem Haggag, Rachel Strohm, and Natalia Torres for excellent project management and research assistance, with special thanks to Martin Sweeney for his continued support. Thanks to Alissa Fishbane, Braulio Torres, and Anna York from Innovations for Poverty Action for leadership of IPA-Mexico. Thanks to Abhijit Banerjee, Esther Duflo, Jake Kendall, Melanie Morten, David Roodman, Chris Snyder, and participants in seminars at NBER Household Finance, M.I.T./Harvard and NYU for comments. Thanks to CGAP, in particular Richard Rosenberg, and the Bill and Melinda Gates Foundation for funding support. Thanks to the management and staff of Compartamos Banco for their cooperation. The authors retained complete intellectual freedom to report and interpret the results. Any opinions, errors, or omissions are those of the authors.</t>
  </si>
  <si>
    <t>CGAP; Bill and Melinda Gates Foundation(Bill &amp; Melinda Gates Foundation)</t>
  </si>
  <si>
    <t>CGAP; Bill and Melinda Gates Foundation</t>
  </si>
  <si>
    <t>Karlan, Dean/0000-0003-0164-1398</t>
  </si>
  <si>
    <t>Karlan, Dean/KCY-1949-2024</t>
  </si>
  <si>
    <t>Karlan, D (corresponding author), Northwestern Univ, Evanston, IL 60208 USA.;Karlan, D (corresponding author), Innovat Poverty Act, New Haven, CT 06510 USA.;Karlan, D (corresponding author), MIT Jameel Poverty Act Lab, Cambridge, MA 02142 USA.;Karlan, D (corresponding author), NBER, Cambridge, MA 02138 USA.</t>
  </si>
  <si>
    <t>Northwestern University; Innovations for Poverty Action (IPA); National Bureau of Economic Research; Dartmouth College</t>
  </si>
  <si>
    <t>[Karlan, Dean] Northwestern Univ, Evanston, IL 60208 USA; [Karlan, Dean; Zinman, Jonathan] Innovat Poverty Act, New Haven, CT 06510 USA; [Karlan, Dean; Zinman, Jonathan] MIT Jameel Poverty Act Lab, Cambridge, MA 02142 USA; [Karlan, Dean; Zinman, Jonathan] NBER, Cambridge, MA 02138 USA; [Zinman, Jonathan] Dartmouth Coll, Hanover, NH 03755 USA</t>
  </si>
  <si>
    <t>We use randomized interest rates, offered across eighty geographically distinct regions for twenty-nine months by Mexico's largest microlender, to sketch the adjustment from a price change to a new equilibrium. Demand is elastic, and more so over the longer run; e.g. the dollars-borrowed elasticity increases from -1.1 in Year one to -2.9 in Year three. Credit bureau data do not show evidence of crowd-out, although this and other null results are imprecisely estimated. The lender's profits increase, albeit noisily, starting in Year two. But competitors do not respond by reducing rates. These findings, together with other results, suggest that informational frictions are important, and that cutting rates furthered Compartamos Banco's double bottom line of improving social welfare subject to a profitability constraint.</t>
  </si>
  <si>
    <t>INTEREST-RATES MATTER; CONSUMER-CREDIT; CONSTRAINTS; MICROCREDIT; BEHAVIOR; MARKET</t>
  </si>
  <si>
    <t>Microlending; Microcredit; Microfinance; Financial inclusion; Poverty targeting; Profit measurement; Market field experiment</t>
  </si>
  <si>
    <t>REVIEW OF ECONOMIC STUDIES</t>
  </si>
  <si>
    <t>Long-Run Price Elasticities of Demand for Credit: Evidence from a Countrywide Field Experiment in Mexico</t>
  </si>
  <si>
    <t>Karlan, Dean; Zinman, Jonathan</t>
  </si>
  <si>
    <t>Karlan, D; Zinman, J</t>
  </si>
  <si>
    <t>WOS:000733816600007</t>
  </si>
  <si>
    <t>XT8FN</t>
  </si>
  <si>
    <t>10.15240/tul/001/2021-4-007</t>
  </si>
  <si>
    <t>E M Ekon. Manag.</t>
  </si>
  <si>
    <t>E M EKON MANAG</t>
  </si>
  <si>
    <t>2336-5064</t>
  </si>
  <si>
    <t>1212-3609</t>
  </si>
  <si>
    <t>FAC ECONOMICS, STUDENTSKA 2, IC 46747885, LIBEREC 1, 461 17, CZECH REPUBLIC</t>
  </si>
  <si>
    <t>LIBEREC 1</t>
  </si>
  <si>
    <t>TECHNICAL UNIV LIBEREC</t>
  </si>
  <si>
    <t>Ajaz Khan, Khurram/0000-0001-5728-8955; Rito Ribeiro, Humberto Nuno/0000-0003-4747-1048;</t>
  </si>
  <si>
    <t>Ajaz Khan, Khurram/AAV-5814-2020; Rowland, Zuzana/AAF-9592-2021; Rito Ribeiro, Humberto Nuno/AAJ-9053-2020; Çera, Gentjan/IYS-3092-2023</t>
  </si>
  <si>
    <t>cera@utb.cz; khan@utb.cz; rowland@mail.vstecb.cz; hnr@ua.pt</t>
  </si>
  <si>
    <t>Cera, G (corresponding author), Tomas Bata Univ Zlin, Fac Management &amp; Econ, Zlin, Czech Republic.</t>
  </si>
  <si>
    <t>Tomas Bata University Zlin; Institute of Technology &amp; Business, Ceske Budejovice; Universidade de Aveiro; Universidade de Aveiro</t>
  </si>
  <si>
    <t>[Cera, Gentjan; Khan, Khurram Ajaz] Tomas Bata Univ Zlin, Fac Management &amp; Econ, Zlin, Czech Republic; [Rowland, Zuzana] Inst Technol &amp; Business Ceske Budejovice, Sch Expertness &amp; Valuat, Ceske Budejovice, Czech Republic; [Ribeiro, Humberto Nuno Rito] Univ Aveiro, ESTGA, Aveiro, Portugal; [Ribeiro, Humberto Nuno Rito] Univ Aveiro, GOVCOPP, Aveiro, Portugal</t>
  </si>
  <si>
    <t>The aim of this paper is to investigate the determinants of financial advice with a special focus on the cultural role in the influence of risk tolerance on seeking advice for financial issues. Financial literacy is covered by financial attitude, behaviour and knowledge. Financial inclusion is the other factor considered in the conceptual framework, as an indicator which can enhance both financial behaviour and financial advice. The research is based on primary data collected in two European nations, manifesting differences in culture, which gives the possibility to test the uncertainty avoidance role in the above relationship. This particular focus is the novelty of this work, as it sheds light on the importance of culture while designing policies with the aim to enhance individuals' financial literacy and advice. The hypotheses are tested by using Partial Least SquareStructural Equation Modelling (PLS-SEM) method. It was found that financial behaviour improves as financial inclusion gets better, along with financial attitude and knowledge. Furthermore, financial advice is positively influenced by financial inclusion and risk tolerance and partly by financial literacy. Additionally, findings demonstrate that culture does matter in explaining differences between countries. Culture in this paper is represented by uncertainty avoidance, as one of the Hofstede's culture dimension. Individuals from countries that manifest a very high preference for avoiding uncertainty reflect a negative relationship between risk tolerance and financial advice. The paper offers useful insights for policymakers and industry leaders in understanding the most influential factors on financial advice. This enables them to scheme policies and services aimed at equipping citizens with knowledge and skills to make the best use of their financial resources.</t>
  </si>
  <si>
    <t>SHORT-TERM; BEHAVIOR; CAPABILITY; KNOWLEDGE; EDUCATION; ATTITUDE; SEEKING; WELL; PERCEPTION; EXPERIENCE</t>
  </si>
  <si>
    <t>Financial advice; financial inclusion; financial literacy; risk tolerance; culture</t>
  </si>
  <si>
    <t>E &amp; M EKONOMIE A MANAGEMENT</t>
  </si>
  <si>
    <t>FINANCIAL ADVICE, LITERACY, INCLUSION AND RISK TOLERANCE: THE MODERATING EFFECT OF UNCERTAINTY AVOIDANCE</t>
  </si>
  <si>
    <t>Cera, Gentjan; Khan, Khurram Ajaz; Rowland, Zuzana; Ribeiro, Humberto Nuno Rito</t>
  </si>
  <si>
    <t>Cera, G; Khan, KA; Rowland, Z; Ribeiro, HNR</t>
  </si>
  <si>
    <t>WOS:000285177200009</t>
  </si>
  <si>
    <t>692TE</t>
  </si>
  <si>
    <t>10.1016/j.worlddev.2010.09.002</t>
  </si>
  <si>
    <t>Menkhoff, L (corresponding author), Leibniz Univ Hannover, Hannover, Germany.</t>
  </si>
  <si>
    <t>Leibniz University Hannover</t>
  </si>
  <si>
    <t>[Menkhoff, Lukas; Rungruxsirivorn, Ornsiri] Leibniz Univ Hannover, Hannover, Germany</t>
  </si>
  <si>
    <t>This paper examines whether recently introduced village funds, one of the largest microfinance programs ever implemented, improve access to finance. Village funds are analyzed in a cross-sectional approach in comparison to competing financial institutions. We find, first, that they reach the target group of lower income households better than formal financial institutions. Second, village funds provide loans to those kinds of borrowers who tend to be customers of informal financial institutions. Third, village funds help to reduce credit constraints. Thus, village funds provide services in the intended direction, albeit to a seemingly limited degree. (C) 2010 Elsevier Ltd. All rights reserved.</t>
  </si>
  <si>
    <t>INFORMAL CREDIT MARKETS; RURAL CREDIT; MICROFINANCE; INDIA</t>
  </si>
  <si>
    <t>informal financial institutions; microfinance; credit constraint; Thailand; Asia</t>
  </si>
  <si>
    <t>Do Village Funds Improve Access to Finance? Evidence from Thailand</t>
  </si>
  <si>
    <t>Menkhoff, Lukas; Rungruxsirivorn, Ornsiri</t>
  </si>
  <si>
    <t>Menkhoff, L; Rungruxsirivorn, O</t>
  </si>
  <si>
    <t>WOS:000402738400031</t>
  </si>
  <si>
    <t>BH7PP</t>
  </si>
  <si>
    <t>Education &amp; Educational Research; Education, Scientific Disciplines</t>
  </si>
  <si>
    <t>INTED PROC</t>
  </si>
  <si>
    <t>978-84-608-5617-7</t>
  </si>
  <si>
    <t>2340-1079</t>
  </si>
  <si>
    <t>Cheang, M (corresponding author), Univ Hawaii Manoa, Honolulu, HI 96822 USA.</t>
  </si>
  <si>
    <t>University of Hawaii System; University of Hawaii Manoa</t>
  </si>
  <si>
    <t>[Cheang, M.] Univ Hawaii Manoa, Honolulu, HI 96822 USA</t>
  </si>
  <si>
    <t>Financial education; Financial capability; Children's savings</t>
  </si>
  <si>
    <t>Valencia, SPAIN</t>
  </si>
  <si>
    <t>MAR 07-09, 2016</t>
  </si>
  <si>
    <t>10th International Technology, Education and Development Conference (INTED)</t>
  </si>
  <si>
    <t>INTED Proceedings</t>
  </si>
  <si>
    <t>INTED2016: 10TH INTERNATIONAL TECHNOLOGY, EDUCATION AND DEVELOPMENT CONFERENCE</t>
  </si>
  <si>
    <t>SCHOOL READY VERSUS LIFE READY: MAKING A CASE FOR FINANCIAL EDUCATION IN THE PUBLIC SCHOOLS</t>
  </si>
  <si>
    <t>Cheang, M.</t>
  </si>
  <si>
    <t>Cheang, M</t>
  </si>
  <si>
    <t>WOS:001391163000001</t>
  </si>
  <si>
    <t>S9784</t>
  </si>
  <si>
    <t>10.1080/00036846.2025.2449839</t>
  </si>
  <si>
    <t>wooksohn@kdischool.ac.kr</t>
  </si>
  <si>
    <t>Sohn, W (corresponding author), KDI Sch Publ Policy &amp; Management, 263 Namsejong Ro, Sejong Si 30149, South Korea.</t>
  </si>
  <si>
    <t>[Jombo, Wytone] Reserve Bank Malawi, Econ Policy &amp; Res Dept, Lilongwe, Malawi; [Sohn, Wook] KDI Sch Publ Policy &amp; Management, 263 Namsejong Ro, Sejong Si 30149, South Korea</t>
  </si>
  <si>
    <t>This study investigates the impact of formal credit on household welfare, proxied by food expenditure in Malawi using 3,137 observations of households from the Fifth Malawi Integrated Household Survey. This study employs an endogenous regime-switching regression model with the full information maximum likelihood estimation and the propensity score matching, addressing the potential endogeneity of formal credit access and selection bias. This study finds that access to formal credit significantly increases household weekly food expenditure, with households reliant on informal credit potentially more than doubling their food spending if granted formal credit access. This highlights the crucial role of expanding formal credit access to underserved populations to reduce food insecurity and enhance well-being. To ensure equitable access to formal credit in Malawi, policymakers should focus on expanding financial infrastructure, implementing targeted financial literacy and outreach programs, promoting mobile banking, and diversifying credit products. This study contributes to the broader discourse on the welfare impacts of formal credit, providing insights critical for shaping financial inclusion policies aimed at improving household welfare in developing countries.</t>
  </si>
  <si>
    <t>GENDER; ACCESS</t>
  </si>
  <si>
    <t>Formal credit; household welfare; financial inclusion; endogenous regime-switching model; propensity score matching; O16; O55; O17</t>
  </si>
  <si>
    <t>The effect of formal credit on household welfare in Malawi</t>
  </si>
  <si>
    <t>Jombo, Wytone; Sohn, Wook</t>
  </si>
  <si>
    <t>Jombo, W; Sohn, W</t>
  </si>
  <si>
    <t>WOS:001025243600001</t>
  </si>
  <si>
    <t>JY3L6</t>
  </si>
  <si>
    <t>10.1007/s11187-023-00796-w</t>
  </si>
  <si>
    <t>Small Bus. Econ. Group</t>
  </si>
  <si>
    <t>SMALL BUS ECON</t>
  </si>
  <si>
    <t>1573-0913</t>
  </si>
  <si>
    <t>0921-898X</t>
  </si>
  <si>
    <t>Fiamohe, Rose/0000-0002-1373-3604</t>
  </si>
  <si>
    <t>Dedehouanou, Fidele/AAN-9192-2020; Fiamohe, Rose/AAE-1778-2020</t>
  </si>
  <si>
    <t>e.fiamohe@gmail.com</t>
  </si>
  <si>
    <t>Fiamohe, R (corresponding author), Univ Abomey Calavi UAC, Fac Econ &amp; Management FASEG, Abomey Calavi, Benin.</t>
  </si>
  <si>
    <t>University of Abomey Calavi; Laval University</t>
  </si>
  <si>
    <t>[Fiamohe, Rose; Dedehouanou, Senakpon Fidele Ange] Univ Abomey Calavi UAC, Fac Econ &amp; Management FASEG, Abomey Calavi, Benin; [Araar, Abdelkrim] Univ Laval, Partnership Econ Policy PEP, Quebec City, PQ, Canada</t>
  </si>
  <si>
    <t>Government and financial institutions are attempting to address the low financial inclusion for developing sustainable microenterprises in rural Benin. Yet, their actions remain to be guided by evidence pertaining to the design of financing schemes intended to boost rural women-owned enterprises. This paper focuses on the relationship between the various financing schemes that exist and the economic performance of women-owned enterprises in rural Benin, using a sample of 3949 small businesses. Results show that social network-based financing improves the business performance of rural women entrepreneurs in small-scale commerce. This is also the case for microenterprises managed by adult women and women with primary-school education. Formal credit-based financing increases the profit margins of mature microenterprises owned by women. This paper also shows that self-financing is more profitable for young rural women entrepreneurs. The results partly inform the need to target women more in financing policies in Benin. Plain English SummaryMicroenterprises' financing and performance require more gender considerations in rural Benin. Because of the demand rationing of formal credit, there is a coexistence of other sources of financing in use that induce differential impacts on the performance of women-owned microenterprises. This study finds that informal social network-based financing is more beneficial for rural women traders, adults, or educated owners. A substitute formal microcredit would enhance the growth of rural women-owned microenterprises operating with social networks-based financing. This has to be rural women having proven experience in small businesses. For inexperienced young women, a self-financing mechanism is more appropriate to start small businesses. Our findings call thus for policies targeting experienced female microenterprises for innovative microfinance programs and young female entrepreneurs for subsidy programs.</t>
  </si>
  <si>
    <t>GENDER; TIME; ENTREPRENEURSHIP; CONSTRAINTS; MICROCREDIT; RETURNS; AFRICA; GROWTH; CASH</t>
  </si>
  <si>
    <t>Microenterprise; Financial inclusion; Rural women; Benin</t>
  </si>
  <si>
    <t>SMALL BUSINESS ECONOMICS</t>
  </si>
  <si>
    <t>What microfinance schemes for women-owned microenterprises' productivity in rural Benin?</t>
  </si>
  <si>
    <t>Fiamohe, Rose; Dedehouanou, Senakpon Fidele Ange; Araar, Abdelkrim</t>
  </si>
  <si>
    <t>Fiamohe, R; Dedehouanou, SFA; Araar, A</t>
  </si>
  <si>
    <t>WOS:000372404200004</t>
  </si>
  <si>
    <t>DG9LJ</t>
  </si>
  <si>
    <t>10.1016/j.rdf.2014.04.001</t>
  </si>
  <si>
    <t>We are grateful to FinMark Trust for kindly providing the data used in this study. This research has been supported by the Economic and Social Research Council under grant RES-238-25-0031.</t>
  </si>
  <si>
    <t>Economic and Social Research Council(UK Research &amp; Innovation (UKRI)Economic &amp; Social Research Council (ESRC))</t>
  </si>
  <si>
    <t>Economic and Social Research Council [RES-238-25-0031]</t>
  </si>
  <si>
    <t>Annim, Samuel Kobina/0000-0002-3449-0912; Kostov, Philip/0000-0002-4899-3908; arun, thankom/0000-0002-2552-0462</t>
  </si>
  <si>
    <t>Annim, Samuel Kobina/P-8229-2016; Kostov, Philip/A-4726-2013; arun, thankom/AGZ-7354-2022</t>
  </si>
  <si>
    <t>PKostov@uclan.ac.uk; TGArun@uclan.ac.uk; SKAnnim@uclan.ac.uk</t>
  </si>
  <si>
    <t>Kostov, P (corresponding author), Univ Cent Lancashire, Lancashire Business Sch, Greenbank Bldg, Preston PR1 2HE, Lancs, England.</t>
  </si>
  <si>
    <t>University of Lancashire</t>
  </si>
  <si>
    <t>[Kostov, Philip; Arun, Thankom; Annim, Samuel] Univ Cent Lancashire, Lancashire Business Sch, Greenbank Bldg, Preston PR1 2HE, Lancs, England</t>
  </si>
  <si>
    <t>The presence of rationing of financial services in the developing countries is a major obstacle to achieving sustainable growth. In recent years there have been co-ordinated efforts to increase the level of financial inclusion, i.e. to reduce the supply-side constraints restricting access to finance. This paper aims to understand household's latent behaviour decision making in accessing financial services, by analysing an entry level Mzansi account in South Africa. The willingness to access financial services is not taken as given, but it is instead defined by perceptions and attitudes. The Mzansi intervention is appealing to individuals with basic but insufficient financial education. Aspirations seem to be very influential in revealing the choice of financial services and to this end, Mzansi is perceived as a pre-entry account not meeting the aspirations of individuals aiming to climb up the financial services ladder. (C) 2015 Africagrowth Institute. Production and hosting by Elsevier B.V. All rights reserved.</t>
  </si>
  <si>
    <t>IMPERFECT INFORMATION; VARIABLE SELECTION; CREDIT MARKETS; REGRESSION; EQUILIBRIA</t>
  </si>
  <si>
    <t>Access to finance; Perceptions and attitudes; Credit rationing; Variable selection</t>
  </si>
  <si>
    <t>Access to financial services: The case of the 'Mzansi' account in South Africa</t>
  </si>
  <si>
    <t>WOS:001456645500001</t>
  </si>
  <si>
    <t>0UZ0M</t>
  </si>
  <si>
    <t>Demography; Geography</t>
  </si>
  <si>
    <t>10.1002/psp.70025</t>
  </si>
  <si>
    <t>e70025</t>
  </si>
  <si>
    <t>MAR 31</t>
  </si>
  <si>
    <t>Popul. Space Place.</t>
  </si>
  <si>
    <t>POPUL SPACE PLACE</t>
  </si>
  <si>
    <t>1544-8452</t>
  </si>
  <si>
    <t>1544-8444</t>
  </si>
  <si>
    <t>This work was supported by the National Natural Science Foundation of China, No. 42371306.</t>
  </si>
  <si>
    <t>National Natural Science Foundation of China [42371306]</t>
  </si>
  <si>
    <t>Wang, Anbang/0000-0003-4281-0485; Weng, Zongyuan/0009-0001-1475-5960; Ma, Junqiao/0009-0000-7753-6063;</t>
  </si>
  <si>
    <t>Wang, Anbang/NBW-9155-2025; Weng, Zongyuan/LBG-9857-2024; Luo, Sixuan/JPG-3450-2023</t>
  </si>
  <si>
    <t>hekework@gmail.com</t>
  </si>
  <si>
    <t>He, K (corresponding author), Huazhong Agr Univ, Coll Econ &amp; Management, Wuhan, Hubei, Peoples R China.;He, K (corresponding author), Huazhong Agr Univ, Lab Green &amp; Low Carbon Dev Agr, Wuhan, Hubei, Peoples R China.</t>
  </si>
  <si>
    <t>Huazhong Agricultural University; Peking University; Huazhong Agricultural University</t>
  </si>
  <si>
    <t>[Ma, Junqiao; Wang, Anbang; Luo, Sixuan; He, Ke] Huazhong Agr Univ, Coll Econ &amp; Management, Wuhan, Hubei, Peoples R China; [Weng, Zongyuan] Peking Univ, Sch Govt, Beijing, Peoples R China; [He, Ke] Huazhong Agr Univ, Lab Green &amp; Low Carbon Dev Agr, Wuhan, Hubei, Peoples R China</t>
  </si>
  <si>
    <t>Using data from the 2011-2018 China Migrants Dynamic Survey, which includes over 1.1 million observations, along with the Peking University Digital Financial Inclusion Index, this paper investigates the impact of digital finance on cross-regional labor mobility and Interindustry movement. The results indicate that regional digital finance disrupts the traditional proximity mobility preference of rural labor, thereby broadening the geographic scope of migration. Specifically, it reduces mobility across counties while increasing mobility across cities and provinces. The study finds that rural low-skilled and middle-skilled workers are more likely to transition into the tertiary sector after migrating across provinces. This movement is driven by income incentives and reduced costs. For low-skilled rural labor, regional digital finance encourages provincial mobility and entry into the tertiary sector by raising wage levels and reducing information costs. For middle-skilled rural labor, the same effect occurs through higher relative income and lower job-search costs. This study offers new insights into optimizing labor mobility and industrial patterns in the context of digital finance development.</t>
  </si>
  <si>
    <t>common prosperity; digital finance; industry structure; labor mobility preferences</t>
  </si>
  <si>
    <t>POPULATION SPACE AND PLACE</t>
  </si>
  <si>
    <t>Where to Go: How Does Digital Finance Influence Labor Mobility Preferences? - A Dual Perspective on Regional and Industry Mobility</t>
  </si>
  <si>
    <t>Ma, Junqiao; Wang, Anbang; Luo, Sixuan; Weng, Zongyuan; He, Ke</t>
  </si>
  <si>
    <t>Ma, JQ; Wang, AB; Luo, SX; Weng, ZY; He, K</t>
  </si>
  <si>
    <t>WOS:000457919000002</t>
  </si>
  <si>
    <t>VH9PO</t>
  </si>
  <si>
    <t>10.1177/2277975216631887</t>
  </si>
  <si>
    <t>IIM Kozhikode Soc. Manag. Rev.</t>
  </si>
  <si>
    <t>IIM KOZHIKODE SOC MA</t>
  </si>
  <si>
    <t>2321-029X</t>
  </si>
  <si>
    <t>2277-9752</t>
  </si>
  <si>
    <t>Deb, Rajat/0000-0002-7009-0051</t>
  </si>
  <si>
    <t>Deb, Rajat/AAA-3427-2020</t>
  </si>
  <si>
    <t>debrajat3@gmail.com</t>
  </si>
  <si>
    <t>Deb, R (corresponding author), Tripura Cent Univ, Dept Commerce, Agartala, Tripura, India.</t>
  </si>
  <si>
    <t>Tripura University</t>
  </si>
  <si>
    <t>[Deb, Rajat] Tripura Cent Univ, Dept Commerce, Agartala, Tripura, India</t>
  </si>
  <si>
    <t>The financial inclusion models that have been implemented successfully in various parts of India have not gained momentum in North East India. The inherent characteristics of the states in this region and the prominence of several informal financial systems are some of the reasons for the failure of the formal financial inclusion models. This study made an attempt to examine the determinants of savings under the Sukanya Samriddhi Account (SSA), a formal financial inclusion scheme advocated by the Government of India for the betterment of girl children. The study area comprised the eight districts of Tripura, one of the states of North East India. The data for the case study was collected through scheduled interviews with 225 respondents, who had a girl child below the age of 10 years. The results, arrived at through a statistical analysis, showed that the pivotal catalysts determining the decisions whether to invest in the SSA scheme were: gender, age, level of income, family size and income, financial literacy, uncertainty of income and planning for child's education, marriage and house. The relevance of the finding of the study in terms of policy-making has been highlighted.</t>
  </si>
  <si>
    <t>FINANCIAL EDUCATION; GENDER-DIFFERENCES; SEX-RATIOS; CONSUMPTION; WOMEN; PARTICIPATION; INVESTMENT; RETIREMENT; MOTIVES; MARKET</t>
  </si>
  <si>
    <t>Savings; financial inclusion; independent sample t-test; regression analysis</t>
  </si>
  <si>
    <t>IIM KOZHIKODE SOCIETY &amp; MANAGEMENT REVIEW</t>
  </si>
  <si>
    <t>Determinants of Savings in Sukanya Samriddhi Account: Evidence from Tripura</t>
  </si>
  <si>
    <t>Deb, Rajat</t>
  </si>
  <si>
    <t>Deb, R</t>
  </si>
  <si>
    <t>WOS:000387901600008</t>
  </si>
  <si>
    <t>EC1XH</t>
  </si>
  <si>
    <t>10.1093/sw/sww045</t>
  </si>
  <si>
    <t>mahaswetab@ku.edu</t>
  </si>
  <si>
    <t>Banerjee, MM (corresponding author), Univ Kansas, Sch Social Welf, 1545 Lilac Lane, Lawrence, KS 66045 USA.</t>
  </si>
  <si>
    <t>University of Kansas</t>
  </si>
  <si>
    <t>[Banerjee, Mahasweta M.] Univ Kansas, Sch Social Welf, 1545 Lilac Lane, Lawrence, KS 66045 USA</t>
  </si>
  <si>
    <t>A lack of financial capability-financial opportunities and abilities-and poverty are highly interlinked. Over 65 percent of people in India are excluded from any financial services. This article explores income-poor Indians' experiences with financial capability through a qualitative study. Purposive sampling was used to collect data from 658 individuals, through focus groups (n = 566) and face-to-face interviews (n = 92). Findings show that 97 percent of respondents had the opportunity to earn an income, and 55 percent earned through financial inclusion programs, but 87 percent of respondents earned less than U.S. $2 a day. Although almost all saved and needed to borrow, 46 percent were eligible for formal savings and only 23 percent for formal loans. Financial abilities or knowledge and skills related to income, savings, and loans were higher among the few who had a stable income or had medium and high income in relation to those who had unstable and low income. Respondents experienced many challenges with their financial capabilities, including borrowing to save, fearing formal loans, and lacking clarity about loan and interest rate; banks miscalculating interest rates; and political parties influencing access to loans. Implications for social policy and social work practice are discussed.</t>
  </si>
  <si>
    <t>capability approach; financial capability; microcredit; poverty; self-help groups</t>
  </si>
  <si>
    <t>We Routinely Borrow to Survive: Exploring the Financial Capability of Income-Poor People in India</t>
  </si>
  <si>
    <t>Banerjee, Mahasweta M.</t>
  </si>
  <si>
    <t>Banerjee, MM</t>
  </si>
  <si>
    <t>WOS:000991696900001</t>
  </si>
  <si>
    <t>O1VN5</t>
  </si>
  <si>
    <t>10.1111/apce.12428</t>
  </si>
  <si>
    <t>This research was funded by the Spanish Ministry of Science and Innovation Grant PID2020-115700RB-I00.</t>
  </si>
  <si>
    <t>Spanish Ministry of Science and Innovation(Spanish GovernmentMinistry of Science &amp; Innovation, Spain (MICINN))</t>
  </si>
  <si>
    <t>Spanish Ministry of Science and Innovation [PID2020-115700RB-I00]</t>
  </si>
  <si>
    <t>Miranda García, Isabel Marta/0000-0001-9731-496X; SEGOVIA-VARGAS, MARIA-JESUS/0000-0002-6578-8017</t>
  </si>
  <si>
    <t>; SEGOVIA-VARGAS, MARIA-JESUS/I-3637-2017</t>
  </si>
  <si>
    <t>mjsegovia@ccee.ucm.es</t>
  </si>
  <si>
    <t>Segovia-Vargas, MJ (corresponding author), Univ Complutense Madrid, Dept Financial &amp; Actuarial Econ &amp; Stat, Campus Somosaguas, Madrid 28293, Spain.</t>
  </si>
  <si>
    <t>Complutense University of Madrid; Universidad Pablo de Olavide; Complutense University of Madrid</t>
  </si>
  <si>
    <t>[Segovia-Vargas, Maria Jesus; Oquendo-Torres, Freddy Alejandro] Univ Complutense Madrid, Dept Financial &amp; Actuarial Econ &amp; Stat, Madrid, Spain; [Miranda-Garcia, I. Marta] Pablo Olavide Univ, Dept Financial Econ &amp; Accounting, Seville, Spain; [Segovia-Vargas, Maria Jesus] Univ Complutense Madrid, Dept Financial &amp; Actuarial Econ &amp; Stat, Campus Somosaguas, Madrid 28293, Spain</t>
  </si>
  <si>
    <t>The current world situation leads us to consider that sustainable development needs to be a global priority to ensure the future of the planet and improve the quality of life. There is a need for sustainable finance to support this. Savings and credit cooperatives could help to achieve this impact as they serve the microfinance and microlending market. They facilitate the financial inclusion of the most vulnerable people, most of whom live in rural areas and are members of organizations, such as agricultural cooperatives and associations. Previous studies have focused exclusively on overall profitability, so this paper contributes to extending the literature by analyzing the whole population of savings and credit cooperatives in Ecuador (510 institutions), focusing on their profitability in two ways: the overall profitability necessary for the viability of the business and, in addition, the microcredit portfolio profitability, as a specific measure of its contribution to sustainability and social value creation. Another novelty is that the analysis has been carried out using several machine learning techniques for the wider generalization of the results. These show that size is the most relevant variable for predicting the ROE and that the microcredit portfolio profitability is conditioned by the credit variables.</t>
  </si>
  <si>
    <t>MICROFINANCE INSTITUTIONS; PERFORMANCE; DETERMINANTS; PREDICTION; MODELS; UNIONS</t>
  </si>
  <si>
    <t>machine learning; microcredits; savings and credit cooperatives</t>
  </si>
  <si>
    <t>Sustainable finance: The role of savings and credit cooperatives in Ecuador</t>
  </si>
  <si>
    <t>Segovia-Vargas, Maria Jesus; Miranda-Garcia, I. Marta; Oquendo-Torres, Freddy Alejandro</t>
  </si>
  <si>
    <t>Segovia-Vargas, MJ; Miranda-García, IM; Oquendo-Torres, FA</t>
  </si>
  <si>
    <t>WOS:000646956600008</t>
  </si>
  <si>
    <t>RX1BN</t>
  </si>
  <si>
    <t>10.1016/j.eswa.2021.114835</t>
  </si>
  <si>
    <t>Bravo, Jorge/0000-0002-7389-5103; Ashofteh, Afshin/0000-0001-5075-9822</t>
  </si>
  <si>
    <t>Bravo, Jorge/AAI-1508-2019; Ashofteh, Afshin/AAI-3996-2021</t>
  </si>
  <si>
    <t>aashofteh@novaims.unl.pt; jbravo@novaims.unl.pt</t>
  </si>
  <si>
    <t>Ashofteh, A (corresponding author), Univ Nova Lisboa, NOVA Informat Management Sch NOVA IMS, Campus Campolide, P-1070312 Lisbon, Portugal.</t>
  </si>
  <si>
    <t>Universidade Nova de Lisboa; Universidade Nova de Lisboa; Universite PSL; Universite Paris-Dauphine</t>
  </si>
  <si>
    <t>[Ashofteh, Afshin] Univ Nova Lisboa, NOVA Informat Management Sch NOVA IMS, Campus Campolide, P-1070312 Lisbon, Portugal; [Bravo, Jorge M.] NOVA Informat Management Sch NOVA IMS, Lisbon, Portugal; [Bravo, Jorge M.] Univ Paris 09, Paris, France</t>
  </si>
  <si>
    <t>This research is aimed at the case of credit scoring in risk management and presents a novel machine learning method to be used for the default prediction of high-risk branches or customers. This study uses the KruskalWallis non-parametric statistic to form a conservative credit-scoring model and to study the impact on modeling performance on the benefit of the credit provider. The findings show that the new credit scoring methodology represents a reasonable coefficient of determination and a very low false-negative rate. It is computationally less expensive with high accuracy with around 18% improvement in Recall/Sensitivity. Because of the recent perspective of continued credit/behavior scoring, our study suggests using this credit score for nontraditional data sources for online loan providers to allow them to study and reveal changes in client behavior over time and choose the reliable unbanked customers, based on their application data. This is the first study that develops an online non-parametric credit scoring system, which is able to reselect effective features automatically for continued credit evaluation and weigh them out by their level of contribution with a good diagnostic ability.</t>
  </si>
  <si>
    <t>ART CLASSIFICATION ALGORITHMS; BANKRUPTCY PREDICTION; FINANCIAL DISTRESS; REJECT INFERENCE; BIG DATA; RISK; MODEL; PERFORMANCE; ISSUES; FIRMS</t>
  </si>
  <si>
    <t>Risk analysis; Online credit scoring; Big Data; Kruskal_Wallis statistic; Open banking; Machine learning</t>
  </si>
  <si>
    <t>A conservative approach for online credit scoring*</t>
  </si>
  <si>
    <t>Ashofteh, Afshin; Bravo, Jorge M.</t>
  </si>
  <si>
    <t>Ashofteh, A; Bravo, JM</t>
  </si>
  <si>
    <t>WOS:000538251500011</t>
  </si>
  <si>
    <t>10.1007/s11205-019-02248-z</t>
  </si>
  <si>
    <t>zibeic@umich.edu</t>
  </si>
  <si>
    <t>Chen, ZB (corresponding author), Univ Michigan, Sch Social Work, 1080 S Univ Ave, Ann Arbor, MI 48108 USA.</t>
  </si>
  <si>
    <t>New York University; University of Michigan System; University of Michigan</t>
  </si>
  <si>
    <t>[Jin, Minchao] NYU, Silver Sch Social Work, New York, NY USA; [Chen, Zibei] Univ Michigan, Sch Social Work, 1080 S Univ Ave, Ann Arbor, MI 48108 USA</t>
  </si>
  <si>
    <t>Many individuals learn financial knowledge and skills in school (namely formal financial education) and through friends and family (e.g., family financial socialization). While the two channels have distinctive merits and limitations, little is known about how formal financial education and family financial socialization differ and interact when it comes to helping people gain financial knowledge and skills. Using data from the 2015 National Financial Capability Study, we examined the association between formal financial education, family financial socialization, and financial knowledge. Results from regression estimates with interaction terms included indicated that both channels had positive associations with increased financial knowledge levels with different impact magnitudes, while together they seemed to have negative associations with increased financial knowledge. Our study suggests that each channel likely provides financial knowledge in different domains and has implications for future research and financial education policy.</t>
  </si>
  <si>
    <t>MONEY ATTITUDES; LITERACY; KNOWLEDGE; BEHAVIOR</t>
  </si>
  <si>
    <t>Financial socialization; Financial education; Financial knowledge; Interaction; Financial capability</t>
  </si>
  <si>
    <t>Comparing Financial Socialization and Formal Financial Education: Building Financial Capability</t>
  </si>
  <si>
    <t>Jin, Minchao; Chen, Zibei</t>
  </si>
  <si>
    <t>Jin, MC; Chen, ZB</t>
  </si>
  <si>
    <t>WOS:001091648300001</t>
  </si>
  <si>
    <t>W4WQ6</t>
  </si>
  <si>
    <t>10.1177/21582440231205501</t>
  </si>
  <si>
    <t>The author(s) disclosed receipt of the following financial support for the research, authorship, and/or publication of thisarticle: This research was funded by the National Social Science Foundation of China (23BGL205), Social Science Foundation of Henan, China (2022BJJ071), Soft Science Project of Henan,China (222400410143), Major Project of Philosophy and Social Sciences in Universities of Henan, China (2022YYZD12), and Basic and Applied Research Foundation of Guangdong, China(2022A1515010998).</t>
  </si>
  <si>
    <t>National Social Science Foundation of China(National Office of Philosophy and Social Sciences); Social Science Foundation of Henan, China; Soft Science Project of Henan,China; Major Project of Philosophy and Social Sciences in Universities of Henan, China; Basic and Applied Research Foundation of Guangdong, China</t>
  </si>
  <si>
    <t>National Social Science Foundation of China [23BGL205]; Social Science Foundation of Henan, China [2022BJJ071]; Soft Science Project of Henan,China [222400410143]; Major Project of Philosophy and Social Sciences in Universities of Henan, China [2022YYZD12]; Basic and Applied Research Foundation of Guangdong, China [2022A1515010998]</t>
  </si>
  <si>
    <t>Chai, Shijun/0000-0002-2994-094X</t>
  </si>
  <si>
    <t>zlsdtll@163.com</t>
  </si>
  <si>
    <t>Zhou, L (corresponding author), Guangdong Univ Foreign Studies, Sch Finance, 2 Baiyun Ave North, Guangzhou 510420, Peoples R China.</t>
  </si>
  <si>
    <t>Huanghuai University; Guangdong University of Foreign Studies; Xi'an Jiaotong-Liverpool University; Guangdong University of Foreign Studies</t>
  </si>
  <si>
    <t>[Chai, Shijun] Huanghuai Univ, Zhumadian, Peoples R China; [Zhou, Li] Guangdong Univ Foreign Studies, Guangzhou, Peoples R China; [Chen, Yang] Xian Jiaotong Liverpool Univ, Suzhou, Peoples R China; [Zhou, Li] Guangdong Univ Foreign Studies, Sch Finance, 2 Baiyun Ave North, Guangzhou 510420, Peoples R China</t>
  </si>
  <si>
    <t>This study matches the digital financial inclusion index with micro panel data from the China Household Finance Survey (CHFS) in 2015, 2017, and 2019, and explores the impact of digital finance on the return rate of entrepreneurship. The results show that the effect is positive-entrepreneurial households in prefectures with higher digital finance obtain higher return rates-and remarkably reliable to a battery of endogeneity and robustness tests. Mechanism analysis indicates that the positive effect of digital finance on the return rate of entrepreneurship is achieved mainly through facilitating external financing and reducing financial transaction costs. Further research finds that the spillover effect of digital finance has obvious Internet bias: the digital dividend only extends to the advantaged classes who have access to the Internet-non-rural and migrating rural entrepreneurs, but for non-migrating rural entrepreneurs generally facing digital exclusion, digital finance has little effect on their return rate. The empirical evidence presented in this study has important policy implications for accelerating the digital finance process, promoting high-quality entrepreneurship development, and boosting digital poverty groups to break stratum solidification.</t>
  </si>
  <si>
    <t>CREDIT; CONSTRAINTS; CHOICE; TRANSACTIONS; INCLUSION; INTERNET; GROWTH; ENTRY; TRUST; MONEY</t>
  </si>
  <si>
    <t>digital finance; entrepreneurial return rate; credit support; financial transaction costs; information transmission</t>
  </si>
  <si>
    <t>Digital Finance and Entrepreneurial Return Rate: Effects, Mechanisms and Inequality</t>
  </si>
  <si>
    <t>Chai, Shijun; Zhou, Li; Chen, Yang</t>
  </si>
  <si>
    <t>Chai, SJ; Zhou, L; Chen, Y</t>
  </si>
  <si>
    <t>WOS:001138801900001</t>
  </si>
  <si>
    <t>EK4H6</t>
  </si>
  <si>
    <t>10.1177/03063070241226851</t>
  </si>
  <si>
    <t>2024 JAN 8</t>
  </si>
  <si>
    <t>J. Gen. Manag.</t>
  </si>
  <si>
    <t>J GEN MANAG</t>
  </si>
  <si>
    <t>1759-6106</t>
  </si>
  <si>
    <t>0306-3070</t>
  </si>
  <si>
    <t>Mgema, Japhet M/0000-0002-0110-0586</t>
  </si>
  <si>
    <t>Mgema, JM (corresponding author), Moshi Cooperat Univ, Moshi, Tanzania.</t>
  </si>
  <si>
    <t>[Mgema, Japhet M.; Mataba, Lucas D.; Rukiko, Bahati J.] Moshi Cooperat Univ, Moshi, Tanzania</t>
  </si>
  <si>
    <t>Book Review; Early Access</t>
  </si>
  <si>
    <t>JOURNAL OF GENERAL MANAGEMENT</t>
  </si>
  <si>
    <t>Emerging challenges and innovations in microfinance and financial inclusion</t>
  </si>
  <si>
    <t>Mgema, Japhet M.; Mataba, Lucas D.; Rukiko, Bahati J.</t>
  </si>
  <si>
    <t>Mgema, JM; Mataba, LD; Rukiko, BJ</t>
  </si>
  <si>
    <t>WOS:001508402600001</t>
  </si>
  <si>
    <t>3TD9Z</t>
  </si>
  <si>
    <t>10.1177/21582440251342087</t>
  </si>
  <si>
    <t>The author(s) disclosed receipt of the following financial support for the research, authorship, and/or publication of thisarticle: This work was supported by the National Social Science Fund of China (Grant number. 18BJY047), and Zhejiang Office of Philosophy and Social Science (Grant number.24NDQN202YBM).</t>
  </si>
  <si>
    <t>National Social Science Fund of China; Zhejiang Office of Philosophy and Social Science</t>
  </si>
  <si>
    <t>National Social Science Fund of China [18BJY047]; Zhejiang Office of Philosophy and Social Science [24NDQN202YBM]</t>
  </si>
  <si>
    <t>Li, Wang/0009-0004-6528-3176</t>
  </si>
  <si>
    <t>liw_527@163.com</t>
  </si>
  <si>
    <t>Li, W (corresponding author), Zhejiang Univ Technol, Sch Management, 288,Liu He Rd, Hangzhou 310023, Peoples R China.</t>
  </si>
  <si>
    <t>Zhejiang University of Technology; Zhejiang Chinese Medical University</t>
  </si>
  <si>
    <t>[Weng, Jie; Li, Wang] Zhejiang Univ Technol, Hangzhou, Peoples R China; [Zhou, Jie] Zhejiang Chinese Med Univ, Hangzhou, Peoples R China</t>
  </si>
  <si>
    <t>Expanding and stabilizing the middle class is critical for reducing income disparities, promoting social equality, and fostering sustainable economic growth. However, the middle class faces considerable vulnerability, which challenges achieving these goals. Digital inclusive finance, as a transformative financial innovation, offers potential solutions to mitigate this vulnerability, yet its role remains insufficiently explored in the existing literature. This study aims to examine the impact of digital inclusive finance on reducing middle-class vulnerability, with a specific focus on its mechanisms and inclusiveness. Using data from the China Family Panel Studies, the analysis employs the Vulnerability as Expected Poverty (VEP) model to quantify middle-class vulnerability and explore the protective effects of digital inclusive finance. The findings demonstrate that digital inclusive finance significantly reduces middle-class vulnerability, a result validated through robustness checks. Mechanism analysis reveals that digital inclusive finance enhances entrepreneurial activities, financial participation, and employment opportunities, collectively contributing to its protective effects. Additionally, the study highlights the inclusive nature of digital finance, as it helps bridge the 'digital divide' across regions, urban and rural areas, education levels, and age groups. The findings suggest that policymakers and financial institutions should prioritize expanding access to digital inclusive finance by improving digital infrastructure and financial literacy programs. Targeted initiatives, such as subsidizing digital tools or incentivizing financial innovation, could effectively reduce middle-class vulnerability.</t>
  </si>
  <si>
    <t>ECONOMIC-GROWTH; LABOR-MARKET; MOBILITY; RISE</t>
  </si>
  <si>
    <t>digital inclusive finance; vulnerability of the middle class; entrepreneurship; financial participation; employment</t>
  </si>
  <si>
    <t>Can Digital Inclusive Finance Safeguard the Middle Class? A Study Based on Chinese Household Data</t>
  </si>
  <si>
    <t>Weng, Jie; Li, Wang; Zhou, Jie</t>
  </si>
  <si>
    <t>Weng, J; Li, W; Zhou, J</t>
  </si>
  <si>
    <t>WOS:000474790100008</t>
  </si>
  <si>
    <t>BN1PJ</t>
  </si>
  <si>
    <t>Computer Science, Cybernetics; Computer Science, Theory &amp; Methods</t>
  </si>
  <si>
    <t>10.1145/3292147.3292157</t>
  </si>
  <si>
    <t>978-1-4503-6188-0</t>
  </si>
  <si>
    <t>Halloluwa, Thilina/0000-0003-0132-6355; Usoof, Hakim/0000-0002-1316-7884; Vyas, Dhaval/0000-0002-9356-0976</t>
  </si>
  <si>
    <t>; Usoof, Hakim/F-1485-2016; Vyas, Dhaval/IQS-2762-2023</t>
  </si>
  <si>
    <t>tch@ucsc.cmb.ac.lk; pradeepa.b@sliit.lk; hau@ucsc.cmb.ac.lk; d.vyas@qut.edu.au</t>
  </si>
  <si>
    <t>Halloluwa, T (corresponding author), QUT, 2 George St, Brisbane, Qld 4000, Australia.;Halloluwa, T (corresponding author), Univ Colombo, Sch Comp, 35 Reid Ave, Colombo, Sri Lanka.</t>
  </si>
  <si>
    <t>Queensland University of Technology (QUT); Sri Lanka Institute of Information Technology (SLIIT); University of Colombo</t>
  </si>
  <si>
    <t>[Halloluwa, Thilina; Vyas, Dhaval] QUT, 2 George St, Brisbane, Qld 4000, Australia; [Bandara, Pradeepa] Sri Lanka Inst Informat Technol, New Kandy Rd, Malabe, Sri Lanka; [Halloluwa, Thilina; Usoof, Hakim] Univ Colombo, Sch Comp, 35 Reid Ave, Colombo, Sri Lanka</t>
  </si>
  <si>
    <t>This paper presents findings from a set of co-design workshops aimed at identifying the core values of underbanked women from rural Sri Lanka, associated with their everyday financial practices and experiences. We sought to gain in-depth insights into the aspirations, rationales, and concerns of this demography, where traditionally household finances are handled by men. In collaboration with a Microfinance Institute (MFI), we carried out two co-design workshops involving 17 participants. We used group discussions and various design activities such as persona creation to enable participants to share their experiences related to household finances. From our findings, three central values associated with household finances came out strongly: Supporting Family, Independence, and Spiritual Beliefs. We conclude by reflecting on the values identified while providing suggestions to support those through technology.</t>
  </si>
  <si>
    <t>Microfinance; ICTD; Rural Development; Co-Design</t>
  </si>
  <si>
    <t>Univ Melbourne, Melbourne Sch Engn, Sch Comp &amp; Informat Syst,Human Factors &amp; Ergon Soc Australia,CSIRO, Data61,Google</t>
  </si>
  <si>
    <t>Melbourne, AUSTRALIA</t>
  </si>
  <si>
    <t>DEC 04-07, 2018</t>
  </si>
  <si>
    <t>30th Australian Conference on Computer-Human Interaction (OzCHI)</t>
  </si>
  <si>
    <t>PROCEEDINGS OF THE 30TH AUSTRALIAN COMPUTER-HUMAN INTERACTION CONFERENCE (OZCHI 2018)</t>
  </si>
  <si>
    <t>Value for Money: Co-Designing with Underbanked Women from Rural Sri Lanka</t>
  </si>
  <si>
    <t>Halloluwa, Thilina; Bandara, Pradeepa; Usoof, Hakim; Vyas, Dhaval</t>
  </si>
  <si>
    <t>McKay, D; Waycott, J; Morrison, A; Choi, JHJ; Lugmayr, A; Billinghurst, M; Kelly, R; Buchanan, G; Stevenson, D</t>
  </si>
  <si>
    <t>Halloluwa, T; Bandara, P; Usoof, H; Vyas, D</t>
  </si>
  <si>
    <t>WOS:001273123800001</t>
  </si>
  <si>
    <t>0IF5T</t>
  </si>
  <si>
    <t>10.1108/JFRA-12-2023-0791</t>
  </si>
  <si>
    <t>MAR 20</t>
  </si>
  <si>
    <t>J. Financ. Report Accoount.</t>
  </si>
  <si>
    <t>J FINANC REPORT ACCO</t>
  </si>
  <si>
    <t>2042-5856</t>
  </si>
  <si>
    <t>1985-2517</t>
  </si>
  <si>
    <t>Funding: This work was not funded by any specific funds from public, commercial or non-profit organisations. Ethics approval and consent to participate: This study complied with the Declaration of Helsinki. Respondents who took part in the survey provided written informed consent for their participation. The online survey participants were instructed to review the ethical statement displayed at the beginning of the Google Form. The statement clarified that there would be no pay for their participation and no known risks involved. Strict confidentiality will be maintained for all information. Participation is entirely optional, and you have the right to decline at any point and progress only if you give your consent. Data was not obtained from those below the age of 16. Competing interests: The author(s) declare(s) that they have no competing interests. Availability of data and materials: The data will be furnished upon request.</t>
  </si>
  <si>
    <t>Hiew, Lee Chea/0000-0002-0630-7439</t>
  </si>
  <si>
    <t>Hiew, Lee Chea/AAD-4961-2019</t>
  </si>
  <si>
    <t>hiewleechea@gmail.com</t>
  </si>
  <si>
    <t>Hiew, LC (corresponding author), USCI Univ Sarawak Campus, Fac Business &amp; Management, Kuching, Malaysia.</t>
  </si>
  <si>
    <t>[Hiew, Lee-Chea; Lam, Meng-Tuck; Ho, Swee-Jack] USCI Univ Sarawak Campus, Fac Business &amp; Management, Kuching, Malaysia</t>
  </si>
  <si>
    <t>PurposeThis study aims to examine the impact of perceived benefits-risk dynamics on financial inclusion, the factor driving fintech adoption, the mediating effects of financial inclusion on perceived benefit-risk dynamics and fintech adoption, and the societal sustainability effects of fintech adoption.Design/methodology/approachThis study used a quantitative study with 258 respondents in Sarawak, Malaysia. PLS-SEM was used to investigate the associations.FindingsThis study suggests that only non-monetary benefits and regulatory risks significantly influence financial inclusion. In addition, financial inclusion acts as an intermediary for non-monetary benefits and regulatory risks. Besides, a direct relationship exists between financial inclusion and fintech adoption, as well as between fintech adoption and societal sustainability.Research limitations/implicationsThis model explores a few benefits and risks. Also, technological and legislative changes may alter research outcomes. Besides, this study only samples Sarawak, Malaysia. Therefore, country-specific factors, including technology infrastructure, financial services accessibility and cultural variations, may affect participant responses. This study offers a novel perspective on fintech by including Valence, Public Good and Sustainable Information Society theories.Practical implicationsFinancial inclusion's non-monetary benefits must be emphasised to remove barriers and meet user requirements. Fintech firms should also work with authorities to comply with regulations and help marginalised populations by prioritising sustainability.Social implicationsFintech growth requires innovation, consumer protection and fair competition. Fintech firms can enhance financial inclusion to address inequalities (SDG10). Governments and fintech solutions should incorporate financial and digital literacy into education (SGG4).Originality/valueFinancial inclusion, fintech adoption and societal sustainability are examined using emotional, sociological and societal sustainability aspects.</t>
  </si>
  <si>
    <t>PLS-SEM; DIGITAL FINANCE; INFORMATION; TECHNOLOGIES; MICROCREDIT; IMPACT</t>
  </si>
  <si>
    <t>Financial inclusion; Fintech; Sustainability; Valence theory; Public good theory; Sustainable information society theory</t>
  </si>
  <si>
    <t>JOURNAL OF FINANCIAL REPORTING AND ACCOUNTING</t>
  </si>
  <si>
    <t>Unveiling the nexus: unravelling the dynamics of financial inclusion, FinTech adoption and societal sustainability in Malaysia</t>
  </si>
  <si>
    <t>Hiew, Lee-Chea; Lam, Meng-Tuck; Ho, Swee-Jack</t>
  </si>
  <si>
    <t>Hiew, LC; Lam, MT; Ho, SJ</t>
  </si>
  <si>
    <t>WOS:000551222400001</t>
  </si>
  <si>
    <t>UI7BT</t>
  </si>
  <si>
    <t>10.1002/pa.2238</t>
  </si>
  <si>
    <t>e2238</t>
  </si>
  <si>
    <t>Singh, Bhanu/0000-0002-1757-9763; Yadav, Vishal/0000-0002-3414-3507</t>
  </si>
  <si>
    <t>Singh, Bhanu/P-9004-2019; Singh, Bhanu/P-9004-2019</t>
  </si>
  <si>
    <t>bhanuatindia@gmail.com</t>
  </si>
  <si>
    <t>Singh, BP (corresponding author), Banaras Hindu Univ, Econ Sect, Mahila Mahavidyalaya, Varanasi 221005, Uttar Pradesh, India.</t>
  </si>
  <si>
    <t>Pondicherry University; Banaras Hindu University (BHU)</t>
  </si>
  <si>
    <t>[Yadav, Vishal; Velan, Nirmala] Pondicherry Univ, Sch Management, Dept Econ, Pondicherry, India; [Singh, Bhanu Pratap] Banaras Hindu Univ, Econ Sect, Mahila Mahavidyalaya, Varanasi 221005, Uttar Pradesh, India</t>
  </si>
  <si>
    <t>The study proposes a multidimensional financial inclusion index (FII) for 27 Indian states. The separate demand and supply FII is constructed across the states for the period 2004-2017. The Human Development Index (HDI) methodology developed by the United Nation Development Programme (UNDP) is adopted in the construction of current FII. After the launch of Pradhan Mantri Jan Dhan Yojna (PMJDY) in 2014, there is no study in the Indian market attempted to examine the status of financial inclusion across the states over a longer period. The current study fills this gap by proposing the demand and supply FII. The major findings of the study show that the level of FII measure tends to indicate marginal improvement in the level of financial inclusion across states during 2004-2017. Most of the northern and north-eastern states were found to be under low financial inclusion. On the other hand, most of the high financially included states were also better in terms of HDI and literacy. Further, PMJDY was unable to augment financial inclusion across the states because of marginal impact of the scheme which helped only a few states to move from low to medium FII states. On the contrary, the rise in the dormant account, low HDI and illiteracy across the majority of the states were the major reason behind the failure of PMJDY. Hence, structural reforms are warranted in the policy framework to provide financial services to poorest among the poor at low or no cost for better economic outcomes.</t>
  </si>
  <si>
    <t>Multidimensional financial inclusion index for Indian states</t>
  </si>
  <si>
    <t>Yadav, Vishal; Singh, Bhanu Pratap; Velan, Nirmala</t>
  </si>
  <si>
    <t>Yadav, V; Singh, BP; Velan, N</t>
  </si>
  <si>
    <t>WOS:000968727600007</t>
  </si>
  <si>
    <t>D4VN1</t>
  </si>
  <si>
    <t>10.1504/IJICBM.2023.130095</t>
  </si>
  <si>
    <t>knr.singh@iica.in; gmisraa@gmail.com</t>
  </si>
  <si>
    <t>Misra, G (corresponding author), Indian Inst Corp Affairs, IMT Manesar, Plot 6,7,8,Sect 5, Gurugram 122052, India.</t>
  </si>
  <si>
    <t>[Singh, Kamakhya Narain; Misra, Gaurav] Indian Inst Corp Affairs, IMT Manesar, Plot 6,7,8,Sect 5, Gurugram 122052, India</t>
  </si>
  <si>
    <t>Amidst declining trends of Indian macroeconomic indicators during COVID-19 period, certain indicators, which can be takes as proxies of investors' behaviour, sentiments and biases, were discerned in Indian securities markets. The study provides significant insight into sentiments and biases of a particular segment of retail investors trading in uncertain times of COVID-19, whose investment behaviour may have serious impact on their financial well-being in the long-term. This exploratory-descriptive study uses data collected by various regulators and government sources in India and abroad to evaluate the behaviour of investors in the backdrop of macroeconomic trends during COVID-19. After analysing the trends of investor participation, trading behaviour and general sentiment in the Indian capital markets and evaluating the implications of these investor-related behaviours on the financial well-being of individual investors, a comprehensive and segmented approach of financial literacy has been recommended to safeguard financial well-being of investors.</t>
  </si>
  <si>
    <t>LITERACY; VARIABLES; RISK</t>
  </si>
  <si>
    <t>investor biases; financial literacy; COVID-19; macroeconomic indicators; financial well-being; policy recommendations; financial education; financial inclusion; financial behaviour; financial regulators; India</t>
  </si>
  <si>
    <t>Divergence between economic growth and stock market performance in India: implications for investor education and financial well-being</t>
  </si>
  <si>
    <t>Singh, Kamakhya Narain; Misra, Gaurav</t>
  </si>
  <si>
    <t>Singh, KN; Misra, G</t>
  </si>
  <si>
    <t>WOS:000687535200001</t>
  </si>
  <si>
    <t>1H0SJ</t>
  </si>
  <si>
    <t>10.1080/19439342.2021.1968934</t>
  </si>
  <si>
    <t>Villegas Gutiérrez, Alejana/0000-0001-6356-6616; Garrón, Ignacio/0000-0002-8232-0029</t>
  </si>
  <si>
    <t>mariajoroa@gmail.com</t>
  </si>
  <si>
    <t>Roa, MJ (corresponding author), Inst Invest Econ &amp; Sociales Francisco Vitoria, Mexico City 06700, DF, Mexico.;Roa, MJ (corresponding author), OECD Int Network Financial Educ INFE Res Comm, Mexico City 06700, DF, Mexico.</t>
  </si>
  <si>
    <t>Universidad Iberoamericana Ciudad de Mexico; University of Barcelona</t>
  </si>
  <si>
    <t>[Jose Roa, Maria] Inst Invest Econom &amp; Sociales Francisco, Econ, Mexico City, DF, Mexico; [Villegas, Alejandra] Univ Iberoamer, Econ, Mexico City, DF, Mexico; [Garron, Ignacio] Univ Barcelona, Dept Econometria Estadist &amp; Econ Aplicada, Barcelona, Spain</t>
  </si>
  <si>
    <t>This paper evaluates the imposition of caps on microcredit lending rates through credit policies for productive sectors. This financial inclusion intervention provides a unique quasi-experiment, allowing to estimate its effect following a difference-in-differences analysis. Our results suggest that the imposition of interest rate ceilings negatively affected the portfolio balance of new microcredits and loans to Small and Medium Enterprises (SMEs) granted by Micro Finance Institutions (MFIs). The balance of the microcredit and SME loans portfolio granted by MFIs, relative to the company portfolio granted by banks, decreased by 26.1% for an average MFI for the period 2011-2018.</t>
  </si>
  <si>
    <t>CREDIT ACCESS EVIDENCE; IMPACT; COSTS; SIZE</t>
  </si>
  <si>
    <t>Interest rate ceilings; financial inclusion; credit access; microcredit loans; small and medium enterprises loans</t>
  </si>
  <si>
    <t>Interest rate caps on microcredit: evidence from a natural experiment in Bolivia</t>
  </si>
  <si>
    <t>Jose Roa, Maria; Villegas, Alejandra; Garron, Ignacio</t>
  </si>
  <si>
    <t>Roa, MJ; Villegas, A; Garrón, I</t>
  </si>
  <si>
    <t>WOS:000532696900002</t>
  </si>
  <si>
    <t>LN1HS</t>
  </si>
  <si>
    <t>10.1016/j.jdeveco.2020.102460</t>
  </si>
  <si>
    <t>We are grateful to Nava Ashraf, James Fenske, Climent Quintana-Domeque, Simon Quinn, Chris Roth, Chris Woodruff, participants at the IIG Conference and CSAE Conference 2015, and two anonymous referees for useful comments. We thank Waluza Munthali and all at Invest in Knowledge Initiative for surveying assistance, Hardish Bindra for data entry, and Smit Gade for research assistance. We also thank Helene Bie Lilleor, Christopher Ksoll, Jonas Helth Lonberg, Ole Dahl Rasmussen and the Rockwool Foundation for granting access to supplementary data, and Sam Asher and Paul Novosad for sharing their fuzzy matching algorithm. All errors are our own. This project was funded by the UK Department for International Development (DFID) as part of the research consortium Improving Institutions for Pro-Poor Growth (iiG), which studies how to improve institutions in Africa and South Asia. Rachel Cassidy's work on this project was supported by the Economic and Social Research Council [grant ref. ES/J500112/1]. The views expressed are not necessarily those of DFID nor the ESRC. Ethical approval for this project was obtained from the University of Oxford's Department of Economics Departmental Research Ethics Committee [ref. 1213/0015]. A previous version of this paper was circulated under the title Can community-based microfinance groups match savers with borrowers? Evidence from rural Malawi.</t>
  </si>
  <si>
    <t>Economic and Social Research Council(UK Research &amp; Innovation (UKRI)Economic &amp; Social Research Council (ESRC)); University of Oxford's Department of Economics Departmental Research Ethics Committee(University of Oxford); UK Department for International Development (DFID) as part of the research consortium Improving Institutions for Pro-Poor Growth (iiG)</t>
  </si>
  <si>
    <t>Economic and Social Research Council [ES/J500112/1]; University of Oxford's Department of Economics Departmental Research Ethics Committee [1213/0015]; UK Department for International Development (DFID) as part of the research consortium Improving Institutions for Pro-Poor Growth (iiG)</t>
  </si>
  <si>
    <t>Fafchamps, Marcel/0000-0001-5432-6223</t>
  </si>
  <si>
    <t>rcassidy@worldbank.org; fafchamp@stanford.edu</t>
  </si>
  <si>
    <t>Cassidy, R (corresponding author), World Bank, Africa Gender Innovat Lab, 1818 H St NW, Washington, DC 20433 USA.</t>
  </si>
  <si>
    <t>The World Bank; Stanford University</t>
  </si>
  <si>
    <t>[Cassidy, Rachel] World Bank, Africa Gender Innovat Lab, 1818 H St NW, Washington, DC 20433 USA; [Fafchamps, Marcel] Stanford Univ, Freeman Spogli Inst Int Studies, Stanford, CA 94305 USA</t>
  </si>
  <si>
    <t>Efforts to promote financial inclusion have largely focused on microcredit and micro-savings separately, less so on promoting financial intermediation across poor borrowers and savers. Village Savings and Loan Associations (VSLAs) may enable borrowers and savers to meet each others' needs, by combining a borrowing and a commitment savings technology. On the other hand, frictions such as imperfect information and enforcement may limit VSLAs' ability to attract both borrowers and savers into the same group. To investigate whether VSLAs provide effective financial intermediation, we use a large-scale survey of mature VSLA groups in rural Malawi. We find that VSLAs mobilize large quantities of savings that are then lent to individual members at high interest rates, yielding savers a large return on their savings. We examine whether this process is assisted by the sorting of members across VSLAs. We find that present-biased individuals tend to group with time-consistent members, consistent with the hypothesis that the former gain a commitment savings technology by lending to the latter. In contrast, members of the same occupation sort into groups together, indicating unrealised intermediation possibilities between farming and non-farming households. This has implications for the design of such groups.</t>
  </si>
  <si>
    <t>FIELD EXPERIMENT; SELF-CONTROL; RISK; COMMITMENT; ASSOCIATIONS; MICROCREDIT; TEMPTATION</t>
  </si>
  <si>
    <t>Microfinance; Commitment savings; Savings groups; Financial inclusion</t>
  </si>
  <si>
    <t>Banker my neighbour: Matching and financial intermediation in savings groups</t>
  </si>
  <si>
    <t>Cassidy, Rachel; Fafchamps, Marcel</t>
  </si>
  <si>
    <t>Cassidy, R; Fafchamps, M</t>
  </si>
  <si>
    <t>WOS:000708303000001</t>
  </si>
  <si>
    <t>3W8YO</t>
  </si>
  <si>
    <t>10.1080/1331677X.2021.1989319</t>
  </si>
  <si>
    <t>Umer Niaz, Muhammad/0000-0002-5433-4693</t>
  </si>
  <si>
    <t>prof.umerniaz@gmail.com</t>
  </si>
  <si>
    <t>Niaz, MU (corresponding author), Capital Univ Sci &amp; Technol CUST, Fac Management &amp; Social Sci, Islamabad, Pakistan.</t>
  </si>
  <si>
    <t>Capital University of Science &amp; Technology</t>
  </si>
  <si>
    <t>[Niaz, Muhammad Umer] Capital Univ Sci &amp; Technol CUST, Fac Management &amp; Social Sci, Islamabad, Pakistan</t>
  </si>
  <si>
    <t>Sustainable Development Goals (SDGs) highlight the importance of poverty reduction, and call for policy implementation that leads to the socio-economic development of impoverished people. However, there is a lack of knowledge about assessing individual-level socio-economic development, and how financial inclusion through microfinance can contribute to it. Therefore, the role of commercially operated Microfinance Banks (MFBs) is also considered to be controversial in the literature. This study assesses the overall socio-economic development by considering different sustainable livelihoods, multidimensional poverty, living standards, and social development measures. Thus, the Multidimensional Poverty Index (MPI), and Living Standard Index (LSI) have been estimated to gauge poverty and improvements in living standards. Data comprising 503 customers of MFBs, and 500 control respondents, has been gathered through a survey to signify this impact for two years. This paper substantiates that the microfinance obtained from MFBs contributes positively towards sustainable livelihoods, multidimensional poverty reduction, and living standards. However, microfinance does not contribute to social development. Impoverished people, mainly women living in urban areas, reap more benefits from microfinance, than their rural counterparts. Overall, financial inclusion shall be a gateway to achieve the SDGs in the long run through the socio-economic development of an impoverished segment of the society.</t>
  </si>
  <si>
    <t>MILLENNIUM DEVELOPMENT GOALS; MULTIDIMENSIONAL POVERTY; MICROFINANCE; INSTITUTIONS; PROGRAMS; IMPACTS; INCOME; POOR</t>
  </si>
  <si>
    <t>Financial inclusion; socio-economic development; microfinance; multidimensional poverty; Sustainable Development Goals (SDGs)</t>
  </si>
  <si>
    <t>Socio-Economic development and sustainable development goals: a roadmap from vulnerability to sustainability through financial inclusion</t>
  </si>
  <si>
    <t>Niaz, Muhammad Umer</t>
  </si>
  <si>
    <t>Niaz, MU</t>
  </si>
  <si>
    <t>WOS:001041699100001</t>
  </si>
  <si>
    <t>O1SX3</t>
  </si>
  <si>
    <t>10.1016/j.jbef.2023.100795</t>
  </si>
  <si>
    <t>J. Behav. Exp. Financ.</t>
  </si>
  <si>
    <t>J BEHAV EXP FINANC</t>
  </si>
  <si>
    <t>2214-6369</t>
  </si>
  <si>
    <t>2214-6350</t>
  </si>
  <si>
    <t>Lensink, Robert/0000-0001-6448-5164; Mueller, Annika/0000-0002-6158-9272</t>
  </si>
  <si>
    <t>Lensink, Robert/ABA-3076-2020</t>
  </si>
  <si>
    <t>b.w.lensink@rug.nl</t>
  </si>
  <si>
    <t>Lensink, R (corresponding author), Univ Groningen, Fac Econ &amp; Business, Dept Econ Econometr &amp; Finance, Groningen, Netherlands.</t>
  </si>
  <si>
    <t>University of Groningen</t>
  </si>
  <si>
    <t>[Ahmad, Syedah; Lensink, Robert; Mueller, Annika] Univ Groningen, Fac Econ &amp; Business, Dept Econ Econometr &amp; Finance, Groningen, Netherlands</t>
  </si>
  <si>
    <t>In recent years, academic and policy research has placed increasing focus on the study of the attitudes of the Muslim poor towards Islamic and non-Islamic (micro-)finance to inform financial inclusion strategies. Survey questions are a common way to measure these attitudes and have been included into large-scale surveys such as the Global Findex. However, survey-based measures that ask about non-Islamic finance in an Islamic context may be affected by social desirability bias. In this paper, we propose a possible solution to this issue. We conduct the first list experiment designed to measure attitudes towards the usage of non-Islamic financial products and services, with 2,145 poor Muslims from Multan, Pakistan. Our list experiment uncovers that 37 percent of our sample use non-Islamic finance, almost twice as many as respond affirmatively to a similar direct survey question. Using our rich survey data on demographics, socio-economic factors and religiosity, we are further able to document substantial heterogeneity in the magnitudes of underreporting this usage in the direct survey question and in the usage of non-Islamic finance. We conclude by discussing the significance of our results in terms of (policy) implications and for the measurement of the demand for Islamic finance.&amp; COPY; 2023 The Authors. Published by Elsevier B.V. This is an open access article under the CC BY license (http://creativecommons.org/licenses/by/4.0/).</t>
  </si>
  <si>
    <t>RANDOMIZED-RESPONSE TECHNIQUE; SENSITIVE QUESTIONS; STATISTICAL-ANALYSIS; BEHAVIOR; METAANALYSIS; PERFORMANCE; DESIGN; ERROR; TRUTH</t>
  </si>
  <si>
    <t>List experiment; Islamic (micro-) finance; Social desirability bias; Field experiment; Pakistan</t>
  </si>
  <si>
    <t>JOURNAL OF BEHAVIORAL AND EXPERIMENTAL FINANCE</t>
  </si>
  <si>
    <t>Religion, social desirability bias and financial inclusion: Evidence from a list experiment on Islamic (micro-)finance</t>
  </si>
  <si>
    <t>Ahmad, Syedah; Lensink, Robert; Mueller, Annika</t>
  </si>
  <si>
    <t>Ahmad, S; Lensink, R; Mueller, A</t>
  </si>
  <si>
    <t>WOS:001441106400003</t>
  </si>
  <si>
    <t>Z8B9X</t>
  </si>
  <si>
    <t>10.11130/jei.2024041</t>
  </si>
  <si>
    <t>J. ECON. INTEGR.</t>
  </si>
  <si>
    <t>J ECON INTEGR</t>
  </si>
  <si>
    <t>1976-5525</t>
  </si>
  <si>
    <t>1225-651X</t>
  </si>
  <si>
    <t>209, Neungdong-Ro, Gwangjin-Gu, Seoul, SOUTH KOREA</t>
  </si>
  <si>
    <t>Seoul</t>
  </si>
  <si>
    <t>Center Economic Integration</t>
  </si>
  <si>
    <t>Vuong, Ngoc/AAU-7225-2020; Suzuki, Yoshihisa/KPY-6990-2024</t>
  </si>
  <si>
    <t>vbngoc139@gmail.com; suzuki3@hiroshima-u.ac.jp</t>
  </si>
  <si>
    <t>Vuong, NB (corresponding author), Hiroshima Univ, Grad Sch Humanities &amp; Social Sci, 1-1-89 Higashi-Senda,Naka Ku, Hiroshima 7300053, Japan.</t>
  </si>
  <si>
    <t>[Vuong, Ngoc Bao; Suzuki, Yoshihisa] Hiroshima Univ, Grad Sch Humanities &amp; Social Sci, 1-1-89 Higashi-Senda,Naka Ku, Hiroshima 7300053, Japan</t>
  </si>
  <si>
    <t>The study examines the impact of economic integration on financial inclusion, focusing on thirty-two middle-income countries worldwide from 2006 to 2018. Using the coefficient of variance's weighting methodology, we construct a composite financial inclusion index from six underlying indicators. Meanwhile, economic integration indices at both global and regional levels are created based on the combination of trade and financial openness indicators. The empirical results confirm a positive relationship between economic integration and financial inclusion, with global integration exposing a stronger impact than regional one. Our finding still holds when we divide the sample into three subregions as well as when several robustness checks are performed.</t>
  </si>
  <si>
    <t>PANEL-DATA; GLOBALIZATION; GROWTH</t>
  </si>
  <si>
    <t>Financial Inclusion; Economic Integration; Middle-Income Countries</t>
  </si>
  <si>
    <t>JOURNAL OF ECONOMIC INTEGRATION</t>
  </si>
  <si>
    <t>Economic Integration and Financial Inclusion: Evidence from Middle-Income Countries</t>
  </si>
  <si>
    <t>Vuong, Ngoc Bao; Suzuki, Yoshihisa</t>
  </si>
  <si>
    <t>Vuong, NB; Suzuki, Y</t>
  </si>
  <si>
    <t>WOS:001637628300007</t>
  </si>
  <si>
    <t>10.21919/remef.v19i1.965</t>
  </si>
  <si>
    <t>e965</t>
  </si>
  <si>
    <t>Arango, Eduardo/0000-0002-3780-6783; Orozco Orozco, Karla María/0009-0003-3386-717X</t>
  </si>
  <si>
    <t>Arango, Eduardo/U-7088-2017; García-Mata, Osvaldo/AAW-1904-2021</t>
  </si>
  <si>
    <t>ogarciam@uat.edu.mx</t>
  </si>
  <si>
    <t>García-Mata, O (corresponding author), Ctr Univ Victoria S N, Ciudad Victoria 87100, Tamaulipas, Mexico.</t>
  </si>
  <si>
    <t>Universidad Autonoma de Tamaulipas</t>
  </si>
  <si>
    <t>[Orozco-Orozco, Karla Maria] Univ Politecn Victoria, Victoria, Mexico; [Garcia-Mata, Osvaldo; Arango-Herrera, Eduardo] Univ Autonoma Tamaulipas, Tamaulipas, Mexico</t>
  </si>
  <si>
    <t>This study aims to analyze the relationship between financial literacy and financial well-being among businesspersons in Ciudad Victoria, Tamaulipas, M &amp; eacute;xico. The applied methodology includes confirmatory factor analysis and multiple linear regression models. Our results indicate that financial literacy is related to financial well-being directly through its financial behavior component and inversely through financial attitude. Moreover, financial knowledge was not significantly associated with it. Hence, we propose the following recommendations for businesspeople and entrepreneurs: becoming more involved in healthy financial inclusion and financial literacy practices and inspiring their transition from models focused solely on profits to others considering their self-realization and satisfaction. Its main limitations and implications are the scarcity of data to perform an analysis by industry, its geographical outreach, and its public policy repercussions. Its originality lies in analyzing financial well-being among businesspeople, a topic rarely studied in Mexico. Our conclusions impact the implementation of the financial inclusion policy in Mexico and, therefore, contribute to achieving the Sustainable Development Goals.</t>
  </si>
  <si>
    <t>financial literacy; financial well-being; financial knowledge; financial behavior; businesspersons</t>
  </si>
  <si>
    <t>Financial Literacy and Financial Well-Being Among Businesspersons from Victoria, Tamaulipas, Mexico</t>
  </si>
  <si>
    <t>Orozco-Orozco, Karla Maria; Garcia-Mata, Osvaldo; Arango-Herrera, Eduardo</t>
  </si>
  <si>
    <t>Orozco-Orozco, KM; García-Mata, O; Arango-Herrera, E</t>
  </si>
  <si>
    <t>WOS:001501450200006</t>
  </si>
  <si>
    <t>3IX9D</t>
  </si>
  <si>
    <t>10.1177/09711023251338105</t>
  </si>
  <si>
    <t>GAUTAM, RAHUL/0000-0002-4035-9638</t>
  </si>
  <si>
    <t>Gautam, Rahul/AIF-4528-2022; Khurana, Anil/HLW-9615-2023; Rastogi, Dr. Shailesh/AAU-1920-2020</t>
  </si>
  <si>
    <t>bouddhrahul@gmail.com</t>
  </si>
  <si>
    <t>Gautam, RS (corresponding author), Symbiosis Int, Symbiosis Inst Business Management, Nagpur 440008, Maharashtra, India.</t>
  </si>
  <si>
    <t>Symbiosis International University; Symbiosis Institute of Business Management (SIBM) Nagpur; Symbiosis International University; Symbiosis Institute of Business Management (SIBM) Pune</t>
  </si>
  <si>
    <t>[Tejasmayee, Pracheta; Gautam, Rahul Singh; Rastogi, Shailesh] Symbiosis Int, Symbiosis Inst Business Management, Nagpur 440008, Maharashtra, India; [Khurana, Anil] Symbiosis Int, Symbiosis Inst Business Management, Pune, Maharashtra, India</t>
  </si>
  <si>
    <t>India is an agriculture-based developing country where financial technology and financial literacy play a crucial role in financial inclusion, poverty reduction, and rural development that cannot be avoided. This study examines the impact of financial inclusion on rural economic development through post offices, India Post Payments Banks, and regional rural banks. A total of 800 responses are collected initially through offline surveys and interviews using a structured questionnaire of rural youth from eastern Uttar Pradesh, and 650 viable responses are taken after eliminating incomplete, multivariate, and too consistent responses. This study employed PLS-SEM 4.0 for statistical analysis. The results show that financial inclusion positively affects rural economic development through these banks. The policymakers and stakeholders can use these findings, and they can also provide information through the campaigns about financial technology platforms and services that are available for rural people so that they can easily adopt technology and services.</t>
  </si>
  <si>
    <t>BEHAVIOR EVIDENCE</t>
  </si>
  <si>
    <t>Financial inclusion; financial literacy; digital literacy; rural economic development; India</t>
  </si>
  <si>
    <t>Empowering Rural Prosperity: Unleashing the Impact of Financial Inclusion via Post Office, Post Payments, and Regional Rural Banks</t>
  </si>
  <si>
    <t>Tejasmayee, Pracheta; Gautam, Rahul Singh; Khurana, Anil; Rastogi, Shailesh</t>
  </si>
  <si>
    <t>Tejasmayee, P; Gautam, RS; Khurana, A; Rastogi, S</t>
  </si>
  <si>
    <t>WOS:001545754900004</t>
  </si>
  <si>
    <t>5WD3A</t>
  </si>
  <si>
    <t>10.1007/s43621-025-01694-9</t>
  </si>
  <si>
    <t>guyhervedrama@gmail.com</t>
  </si>
  <si>
    <t>Drama, BGH (corresponding author), Univ Peleforo GON COULIBALY UPGC, Korhogo, Cote Ivoire.</t>
  </si>
  <si>
    <t>Universite Peleforo Gon Coulibaly</t>
  </si>
  <si>
    <t>[Drama, Bedi Guy Herve] Univ Peleforo GON COULIBALY UPGC, Korhogo, Cote Ivoire; [Senou, Melain Modeste] Programme Nations Unies Dev, Cotonou, Benin</t>
  </si>
  <si>
    <t>This study investigates the causal relationship between Information Technologies (IT) and banking inclusion across 45 Sub-Saharan African (SSA) countries from 2000 to 2023. Utilizing a simultaneous equations framework to address potential endogeneity, we assess the impact of mobile phone and internet penetration on financial access while accounting for institutional and socioeconomic factors. Employing Three-Stage Least Squares (3SLS) and Seemingly Unrelated Regression Equations (SURE) estimators, our findings reveal that IT adoption significantly enhances banking inclusion through multiple mechanisms. Specifically, mobile phone penetration fosters financial access by expanding mobile banking solutions, while internet penetration supports the digitalization of financial services, reducing distance and cost barriers. Furthermore, complementary investments in telecommunications infrastructure, human capital, and electricity supply amplify these effects. This study underscores the need for policymakers to integrate digital transformation strategies into financial inclusion policies, bridging both financial and digital divides to enhance economic participation and resilience in SSA.</t>
  </si>
  <si>
    <t>Banking inclusion; Information technology; Mobile phone penetration; Internet penetration; SSA</t>
  </si>
  <si>
    <t>Unraveling the digital technologies and banking inclusion nexus in Sub Saharan Africa: What causality for what heterogeneity?</t>
  </si>
  <si>
    <t>Drama, Bedi Guy Herve; Senou, Melain Modeste</t>
  </si>
  <si>
    <t>Drama, BGH; Senou, MM</t>
  </si>
  <si>
    <t>WOS:000526948700004</t>
  </si>
  <si>
    <t>LE8BQ</t>
  </si>
  <si>
    <t>10.1386/ajms_00011_1</t>
  </si>
  <si>
    <t>J. Appl. Journal. Media Stud.</t>
  </si>
  <si>
    <t>J APPL JOURNAL MEDIA</t>
  </si>
  <si>
    <t>2049-9531</t>
  </si>
  <si>
    <t>2001-0818</t>
  </si>
  <si>
    <t>THE MILL, PARNALL RD, BRISTOL, BS16 3JG, ENGLAND</t>
  </si>
  <si>
    <t>INTELLECT LTD</t>
  </si>
  <si>
    <t>s.knowles@mdx.ac.uk; schifferes1@gmail.com</t>
  </si>
  <si>
    <t>Knowles, S (corresponding author), Middlesex Univ, Journalism, Hendon NEW4 4BT, England.</t>
  </si>
  <si>
    <t>Middlesex University; City St Georges, University of London</t>
  </si>
  <si>
    <t>[Knowles, Sophie] Middlesex Univ, Journalism, Hendon NEW4 4BT, England; [Schifferes, Steve] City Univ London, Journalism, Northampton Sq, London EC1V 0HB, England</t>
  </si>
  <si>
    <t>Since the Global Financial Crisis of 2008 the financial media has been analysed from the perspectives of experts and far less from the audiences who consume it. This article fills this gap by exploring public consumption of financial news and their levels of satisfaction. It explores another, less researched, issue; that of financial literacy, which is a major impediment to public understanding and is weaker among women, young people and the less affluent. Consequently, the study makes the following suggestions: financial journalism needs to respond to a wide audience and provide more useful, unbiased and accessible financial news; personal finance news, which is an under-researched genre, could build financial capability levels and might improve trust between media and its audiences; and the financial media should be considered a key player by policy-makers if they want to bolster financial capability.</t>
  </si>
  <si>
    <t>LITERACY; AUDIENCE</t>
  </si>
  <si>
    <t>financial crisis; financial journalism; economic news; financial literacy; financial capability; survey research</t>
  </si>
  <si>
    <t>JOURNAL OF APPLIED JOURNALISM &amp; MEDIA STUDIES</t>
  </si>
  <si>
    <t>Financial capability, the financial crisis and trust in news media</t>
  </si>
  <si>
    <t>Knowles, Sophie; Schifferes, Steve</t>
  </si>
  <si>
    <t>Knowles, S; Schifferes, S</t>
  </si>
  <si>
    <t>WOS:000577861700007</t>
  </si>
  <si>
    <t>OA5ZA</t>
  </si>
  <si>
    <t>10.25100/cdea.v36i67.8744</t>
  </si>
  <si>
    <t>MAY-AUG</t>
  </si>
  <si>
    <t>Cuad. Adm.-Univ. Valle</t>
  </si>
  <si>
    <t>CUAD ADM-U VALLE</t>
  </si>
  <si>
    <t>2256-5078</t>
  </si>
  <si>
    <t>0120-4645</t>
  </si>
  <si>
    <t>SEDE SAN FERNANDO EDIFICIO 124, CALLE 4B NO 36-00, CALI, 00000, COLOMBIA</t>
  </si>
  <si>
    <t>UNIV VALLE</t>
  </si>
  <si>
    <t>The Research Office of Universidad del Valle has sponsored this research (Technologies adoption in the marketing channel: A Groceries Stores' approach, C.I 8124), conducted by the Marketing Research Group and International Business and Foreign Trade Research Group of Universidad del Valle.</t>
  </si>
  <si>
    <t>Research Office of Universidad del Valle</t>
  </si>
  <si>
    <t>Research Office of Universidad del Valle [C.I 8124]</t>
  </si>
  <si>
    <t>Solís Molina, Miguel Ángel/0000-0001-7048-3376; Rodríguez Orejuela, Hector Augusto/0000-0003-2865-1748; RUANO ARCOS, LEIDI DAYELY/0000-0003-2352-845X</t>
  </si>
  <si>
    <t>Solís Molina, Miguel Ángel/D-1387-2014; Rodríguez Orejuela, Hector Augusto/AAE-8213-2022</t>
  </si>
  <si>
    <t>leidi.ruano@correounivalle.edu.co; augusto.rodriguez@correounivalle.edu.co; masolis@sena.edu.co</t>
  </si>
  <si>
    <t>Ruano-Arcos, L (corresponding author), Univ Valle, Fac Adm Sci, Cali, Colombia.</t>
  </si>
  <si>
    <t>Universidad del Valle; Servicio Nacional de Aprendizaje</t>
  </si>
  <si>
    <t>[Ruano-Arcos, Leidi; Rodriguez-Orejuela, Augusto] Univ Valle, Fac Adm Sci, Cali, Colombia; [Solis-Molina, Miguel] Serv Nacl Aprendizaje SENA, Cali, Colombia</t>
  </si>
  <si>
    <t>The use of mobile phones has increased globally, offering developing countries the opportunity to improve financial inclusion through mobile banking. However, mobile banking has been little adopted by microentrepreneurs at the bottom of the pyramid, and studies that explain this phenomenon is incipient. Therefore, this study aims to establish factors that influence mobile banking adoption by microentrepreneurs, from the Theory of Planned Behavior (TPB), extended to the relative advantage and perceived risk. Using a sample of 101 microentrepreneurs at the bottom of the pyramid, our findings confirmed that attitude, subjective norms, behavior control, and relative advantages positively affect the appropriation of mobile banking. Thus, banks and mobile services providers can focus on these critical factors to increase the mobile banking adoption rate.</t>
  </si>
  <si>
    <t>TECHNOLOGY ACCEPTANCE MODEL; USER ACCEPTANCE; SMALL BUSINESS; INFORMATION-TECHNOLOGY; ELECTRONIC COMMERCE; EMERGING ECONOMY; INTENTION; INNOVATION; DECISIONS; EXTENSION</t>
  </si>
  <si>
    <t>Mobile banking adoption; Theory of Planned Behavior (TPB); Microentrepreneurs; Bottom of the pyramid</t>
  </si>
  <si>
    <t>CUADERNOS DE ADMINISTRACION-UNIVERSIDAD DEL VALLE</t>
  </si>
  <si>
    <t>Adoption of Mobile Banking by Microentrepreneurs at the Bottom of the Pyramid</t>
  </si>
  <si>
    <t>Ruano-Arcos, Leidi; Rodriguez-Orejuela, Augusto; Solis-Molina, Miguel</t>
  </si>
  <si>
    <t>Ruano-Arcos, L; Rodríguez-Orejuela, A; Solís-Molina, M</t>
  </si>
  <si>
    <t>WOS:000452329900007</t>
  </si>
  <si>
    <t>HD2GU</t>
  </si>
  <si>
    <t>10.1007/s40609-017-0109-1</t>
  </si>
  <si>
    <t>This study was funded by Mastercard Foundation via Save the Children Subgrant No. 12401008a.</t>
  </si>
  <si>
    <t>Mastercard Foundation via Save the Children Subgrant; ESRC(UK Research &amp; Innovation (UKRI)Economic &amp; Social Research Council (ESRC))</t>
  </si>
  <si>
    <t>Mastercard Foundation via Save the Children Subgrant [12401008a]; ESRC [ES/N014480/1] Funding Source: UKRI</t>
  </si>
  <si>
    <t>Ssewamala, Fred/0000-0002-4849-5650; Johnson, Lissa/0000-0001-9356-1891;</t>
  </si>
  <si>
    <t>; Ansong, David/P-6162-2016</t>
  </si>
  <si>
    <t>ejohnson@wustl.edu; yslee@inu.ac.kr; njengam@kippra.or.ke; jkieyah@yahoo.com; IOSEI-AKOTO@ug.edu.gh; cathrodr@uniandes.edu.co; sharadk123@hotmail.com; chowa@email.unc.edu; ansong@email.unc.edu; fms1@wustl.edu; msherraden@gmail.com; sherrad@wustl.edu; lzou@wustl.edu</t>
  </si>
  <si>
    <t>Johnson, L (corresponding author), Washington Univ, Brown Sch Social Work, Campus Box 1196,One Brookings Dr, St Louis, MO 63130 USA.</t>
  </si>
  <si>
    <t>Washington University (WUSTL); Incheon National University; University of Ghana; Universidad de los Andes (Colombia); University of North Carolina; University of North Carolina Chapel Hill; University of Missouri System; University of Missouri Saint Louis</t>
  </si>
  <si>
    <t>[Johnson, Lissa; Ssewamala, Fred; Sherraden, Michael; Zou, Li] Washington Univ, Brown Sch Social Work, Campus Box 1196,One Brookings Dr, St Louis, MO 63130 USA; [Lee, YungSoo] Incheon Natl Univ, Seoul, South Korea; [Njenga, Githinji; Kieyah, Joseph] KIPPRA, Nairobi, Kenya; [Osei-Akoto, Isaac] Univ Ghana, Inst Stat Social &amp; Econ Res, Accra, Ghana; [Orgales, Catherine Rodriguez] Univ Los Andes, Bogota, Colombia; [Sharma, Sharad] New ERA, Kathmandu, Nepal; [Chowa, Gina Agnes; Ansong, David] Univ N Carolina, Sch Social Work, Chapel Hill, NC 27515 USA; [Sherraden, Margaret] Univ Missouri, Sch Social Work, St Louis, MO 63121 USA</t>
  </si>
  <si>
    <t>Schools are the primary settings where both education and health services are delivered to youth in developing countries. A similar approach can be used for financial inclusion. Financial inclusion, in turn, can lead to positive youth development outcomes in education and health. But a critical first step is financial access. This study examines how schools can serve as the setting for financial education and financial services, increasing youth economic participation. Research in four developing countries finds an increase in youth savings account uptake when financial institutions provide opportunities at schools for youth to receive financial education, open savings accounts, and make deposits. Findings are that school banking can overcome some of the regulatory, geographic, and information barriers that limit youth access to safe and affordable savings services. Marginalized youth, including those who are low-income and females, participate as much as other youth. We conclude that schools can play an important role in increasing youth economic participation, a positive step toward economic strengthening and overall well-being. As a possible implication, school-based health programming might consider integrating school banking features, such as opening savings accounts, into future program design and implementation.</t>
  </si>
  <si>
    <t>CHILD-DEVELOPMENT ACCOUNTS; SAVINGS; IMPACTS; GHANA</t>
  </si>
  <si>
    <t>Youth; School banking; Savings; Health; Financial inclusion</t>
  </si>
  <si>
    <t>School Banking as a Strategy for Strengthening Youth Economic Participation in Developing Countries: Lessons from YouthSave</t>
  </si>
  <si>
    <t>Johnson, Lissa; Lee, YungSoo; Njenga, Githinji; Kieyah, Joseph; Osei-Akoto, Isaac; Orgales, Catherine Rodriguez; Sharma, Sharad; Chowa, Gina Agnes; Ansong, David; Ssewamala, Fred; Sherraden, Margaret; Sherraden, Michael; Zou, Li</t>
  </si>
  <si>
    <t>Johnson, L; Lee, Y; Njenga, G; Kieyah, J; Osei-Akoto, I; Orgales, CR; Sharma, S; Chowa, GA; Ansong, D; Ssewamala, F; Sherraden, M; Sherraden, M; Zou, L</t>
  </si>
  <si>
    <t>WOS:001636119700002</t>
  </si>
  <si>
    <t>R9639</t>
  </si>
  <si>
    <t>10.21919/remef.v18i3.889</t>
  </si>
  <si>
    <t>e889</t>
  </si>
  <si>
    <t>Arroyave, Jesus/K-2042-2015</t>
  </si>
  <si>
    <t>jesus.lopez@un.org</t>
  </si>
  <si>
    <t>Cabrera, JAL (corresponding author), Blvd Miguel de Cervantes Saavedra 193,Piso 12, Ciudad De Mexico 11520, Spain.</t>
  </si>
  <si>
    <t>[Cabrera, Jesus Antonio Lopez] Comis Econ Amer Latina &amp; Carib, Nac Unidas, Mexico City, Mexico; [Villarreal, Francisco Gabriel] Comis Econ Amer Latina &amp; Carib, Nac Unidas, Santiago, Chile; [Lopez, Diego Cardoso] Corp Financiera Colombiana, Bogota, Colombia</t>
  </si>
  <si>
    <t>This research computes Mexicos financial inclusion index, using a principal component analysis methodology. Dimensions included in the index are access, use and quality. The data comes from the National Survey of Financial Inclusion. The results of the index show us that there is a low level of financial inclusion. It also indicates that the dimension that contributes the most to financial inclusion is access, while the one that contributes the least is quality. There is a greater financial inclusion of men than of women, as well as in Mexico City, the Northeast and Northwest, in towns with more than 100,000 inhabitants, and workers. This tells us that diversification boosts levels of financial inclusion, but it is necessary to encourage use, strengthen capacities, and improve design. There is a lag in the information of innovative financial products and services, which limits the study.</t>
  </si>
  <si>
    <t>Financial Inclusion; Multidimensional Index; Mexico</t>
  </si>
  <si>
    <t>A Measurement Proposal of Financial Inclusion in Mexico</t>
  </si>
  <si>
    <t>Cabrera, Jesus Antonio Lopez; Villarreal, Francisco Gabriel; Lopez, Diego Cardoso</t>
  </si>
  <si>
    <t>Cabrera, JAL; Villarreal, FG; Lopez, DC</t>
  </si>
  <si>
    <t>WOS:000471313800015</t>
  </si>
  <si>
    <t>IC9OT</t>
  </si>
  <si>
    <t>10.1007/s11205-018-1952-x</t>
  </si>
  <si>
    <t>The authors gratefully acknowledge funding from the Russia Financial Literacy and Education Trust Fund, the Central Bank of Turkey and the Capital Markets Board of Turkey. The data was collected as a part of the Financial Capability Survey carried out by the World Bank. The usual disclaimer applies. We would like to thank anonymous referees, Prof. Seyfettin Gursel and the seminar participants in 13th EBES Conference 2014 for valuable comments and suggestions. All remaining errors are our own.</t>
  </si>
  <si>
    <t>Russia Financial Literacy and Education Trust Fund; Central Bank of Turkey; Capital Markets Board of Turkey</t>
  </si>
  <si>
    <t>KOKKIZIL, MELIKE/LRT-9320-2024</t>
  </si>
  <si>
    <t>kozdemir@worldbank.org; m.kokkizil@campus.unimib.it; gokce.uysal@eas.bau.edu.tr</t>
  </si>
  <si>
    <t>Uysal, G (corresponding author), Bahcesehir Univ, Betam, IZA, GLO,ERF, Istanbul, Turkey.</t>
  </si>
  <si>
    <t>The World Bank; University of Milano-Bicocca; Bahcesehir University</t>
  </si>
  <si>
    <t>[Karakurum-Ozdemir, Kamer] World Bank Grp, Washington, DC USA; [Kokkizil, Melike] Univ Milano Bicocca, Dept Econ Management &amp; Stat DEMS, Milan, Italy; [Uysal, Gokce] Bahcesehir Univ, Betam, IZA, GLO,ERF, Istanbul, Turkey</t>
  </si>
  <si>
    <t>Focusing on different facades of financial well-being such as wealth accumulation and retirement planning, various determinants of financial well-being have been unearthed, and financial literacy has emerged as a crucial factor that increases financial well-being. Hence, financial literacy has been an important policy instrument to increase the financial well-being of individuals, particularly given that it is relatively easy to implement. This paper is an attempt to pave the way for such policies in a group of middle income countries, namely Mexico, Lebanon, Uruguay, Colombia and Turkey. After establishing financial literacy levels, we identify the least financially literate groups in each country to facilitate targeting of public policy. We find that women, younger adults and individuals who cannot read or write in the official language of their country of residence have lower financial literacy scores. In line with the previous findings in the literature on the developed countries, our results indicate that financial literacy increases with education. We also show that it is not only the years of education, but also the quality. In Mexico and Turkey, there are large regional differences that must be addressed. We also find that differences in financial literacy across countries persist even when differences in structural characteristics are taken into account. A partial explanation may be provided by differences in financial inclusion.</t>
  </si>
  <si>
    <t>SATISFACTION</t>
  </si>
  <si>
    <t>Financial literacy; Financial well-being; Financial inclusion; Gender; Developing countries</t>
  </si>
  <si>
    <t>Financial Literacy in Developing Countries</t>
  </si>
  <si>
    <t>Karakurum-Ozdemir, Kamer; Kokkizil, Melike; Uysal, Gokce</t>
  </si>
  <si>
    <t>Karakurum-Ozdemir, K; Kokkizil, M; Uysal, G</t>
  </si>
  <si>
    <t>WOS:000426049500011</t>
  </si>
  <si>
    <t>FX4LV</t>
  </si>
  <si>
    <t>10.1371/journal.pone.0191863</t>
  </si>
  <si>
    <t>e0191863</t>
  </si>
  <si>
    <t>This study was supported by a grant from Academia Sinica.</t>
  </si>
  <si>
    <t>Academia Sinica(Academia Sinica - Taiwan)</t>
  </si>
  <si>
    <t>Academia Sinica</t>
  </si>
  <si>
    <t>v.singh@rutgers.edu</t>
  </si>
  <si>
    <t>Singh, VK (corresponding author), Rutgers State Univ, Sch Commun &amp; Informat, New Brunswick, NJ 08901 USA.;Singh, VK (corresponding author), MIT, Media Labs, 77 Massachusetts Ave, Cambridge, MA 02139 USA.</t>
  </si>
  <si>
    <t>Academia Sinica - Taiwan; Rutgers University System; Rutgers University New Brunswick; Massachusetts Institute of Technology (MIT)</t>
  </si>
  <si>
    <t>[Agarwal, Rishav Raj; Lin, Chia -Ching; Chen, Kuan-Ta] Acad Sinica, Inst Informat Sci, Taipei, Taiwan; [Singh, Vivek Kumar] Rutgers State Univ, Sch Commun &amp; Informat, New Brunswick, NJ 08901 USA; [Singh, Vivek Kumar] MIT, Media Labs, 77 Massachusetts Ave, Cambridge, MA 02139 USA</t>
  </si>
  <si>
    <t>An ability to understand and predict financial wellbeing for individuals is of interest to economists, policy designers, financial institutions, and the individuals themselves. According to the Nilson reports, there were more than 3 billion credit cards in use in 2013, accounting for purchases exceeding US$2.2 trillion, and according to the Federal Reserve report, 39% of American households were carrying credit card debt from month to month. Prior literature has connected individual financial wellbeing with social capital. However, as yet, there is limited empirical evidence connecting social interaction behavior with financial outcomes. This work reports results from one of the largest known studies connecting financial outcomes and phone-based social behavior (180,000 individuals; 2 years' time frame; 82.2 million monthly bills, and 350 million call logs). Our methodology tackles highly imbalanced dataset, which is a pertinent problem with modelling credit risk behavior, and offers a novel hybrid method that yields improvements over, both, a traditional transaction data only approach, and an approach that uses only call data. The results pave way for better financial modelling of billions of unbanked and underbanked customers using non-traditional metrics like phone-based credit scoring.</t>
  </si>
  <si>
    <t>CREDIT; RISK</t>
  </si>
  <si>
    <t>Predicting financial trouble using call data-On social capital, phone logs, and financial trouble</t>
  </si>
  <si>
    <t>Agarwal, Rishav Raj; Lin, Chia -Ching; Chen, Kuan-Ta; Singh, Vivek Kumar</t>
  </si>
  <si>
    <t>Agarwal, RR; Lin, CC; Chen, KT; Singh, VK</t>
  </si>
  <si>
    <t>WOS:001500607100001</t>
  </si>
  <si>
    <t>3HR8G</t>
  </si>
  <si>
    <t>10.5267/j.dsl.2025.5.006</t>
  </si>
  <si>
    <t>Decision Sci. Lett.</t>
  </si>
  <si>
    <t>DECISION SCI LETT</t>
  </si>
  <si>
    <t>1929-5812</t>
  </si>
  <si>
    <t>1929-5804</t>
  </si>
  <si>
    <t>611, 141 DAVISVILLE AVE, TORONTO, ON M4S 1G7, CANADA</t>
  </si>
  <si>
    <t>GROWING SCIENCE</t>
  </si>
  <si>
    <t>Wike, Wike/0000-0003-0687-0755</t>
  </si>
  <si>
    <t>Saifi, Muhammad/JLL-1302-2023</t>
  </si>
  <si>
    <t>noerfajri83@gmail.com</t>
  </si>
  <si>
    <t>Fajrieansyah, N (corresponding author), Brawijaya Univ, Fac Adm Sci, Malang, Indonesia.</t>
  </si>
  <si>
    <t>[Fajrieansyah, Noer; Wijaya, Andy Fefta; Hanafia, Imam; Wike, Wike; Nurani, Farida; Amin, Fadillah; Saifi, Muhammad] Brawijaya Univ, Fac Adm Sci, Malang, Indonesia</t>
  </si>
  <si>
    <t>This study examines how access to different types of financial services influences household welfare in Indonesia. Using data from a large sample of 331,068 households, the research applies Ordinary Least Squares (OLS) regression to evaluate the impact of financial institutions on household income, which serves as a proxy for welfare. The findings reveal that access to microfinance and commercial banks significantly improves household income, highlighting the critical role these institutions play in enhancing welfare. Conversely, households relying on informal financial institutions tend to have lower incomes, indicating a negative effect on welfare. Further analysis reveals important variations based on gender and geographic location. Microfinance and cooperatives are particularly beneficial for female-headed households and those in rural areas, underscoring their importance in supporting underserved populations. On the other hand, access to commercial banks benefits both male and female headed households but has a stronger impact in urban areas where formal banking services are more readily available. While informal financial institutions negatively affect urban households, they provide modest advantages for female-headed and rural households, serving as an alternative in areas lacking formal financial services. These findings underscore the need for targeted financial inclusion policies that address gender and regional disparities. Such policies should prioritize expanding access to microfinance and cooperatives for rural and female-headed households while also improving access to formal banking services in urban areas to enhance overall welfare.</t>
  </si>
  <si>
    <t>LIQUIDITY; MODEL; DEBT</t>
  </si>
  <si>
    <t>Financial access; Financial institution welfare; Indonesia</t>
  </si>
  <si>
    <t>DECISION SCIENCE LETTERS</t>
  </si>
  <si>
    <t>Is microfinance better compared to other financial institutions? Analyzing the impact of various financial access on household welfare in Indonesia</t>
  </si>
  <si>
    <t>Fajrieansyah, Noer; Wijaya, Andy Fefta; Hanafia, Imam; Wike, Wike; Nurani, Farida; Amin, Fadillah; Saifi, Muhammad</t>
  </si>
  <si>
    <t>Fajrieansyah, N; Wijaya, AF; Hanafia, I; Wike, W; Nurani, F; Amin, F; Saifi, M</t>
  </si>
  <si>
    <t>WOS:000945457300027</t>
  </si>
  <si>
    <t>BU7WZ</t>
  </si>
  <si>
    <t>Computer Science, Interdisciplinary Applications; Operations Research &amp; Management Science</t>
  </si>
  <si>
    <t>10.1007/978-3-031-18645-5_27</t>
  </si>
  <si>
    <t>978-3-031-18644-8; 978-3-031-18645-5</t>
  </si>
  <si>
    <t>Milosavljevic, Milos/0000-0002-4965-4676; Damnjanovic, Vesna/0000-0002-8713-4831; Spasenic, Zeljko/0000-0001-5219-6461</t>
  </si>
  <si>
    <t>Spasenic, Zeljko/LKO-0482-2024; Milosavljevic, Milos/AAI-1839-2020; Damnjanovic, Vesna/AAT-5431-2020</t>
  </si>
  <si>
    <t>milos.milosavljevic@fon.bg.ac.rs</t>
  </si>
  <si>
    <t>Milosavljevic, M (corresponding author), Univ Belgrade, Fac Org Sci, Belgrade 11000, Serbia.</t>
  </si>
  <si>
    <t>University of Belgrade</t>
  </si>
  <si>
    <t>[Milosavljevic, Milos; Spasenic, Zeljko; Damnjanovic, Vesna] Univ Belgrade, Fac Org Sci, Belgrade 11000, Serbia</t>
  </si>
  <si>
    <t>Limited access to credits by small and medium size enterprises and entrepreneurs (SMEEs) is a major barrier for the development of small-scale ventures and the growth of an economy. Microfinance institutions (MFI) are seen by both scholars and practitioners as a viable alternative for financing SMEEs. This paper aims to collect the evidence on the importance of MFIs for the access to finance of SMEEs (MFI-A2F). The objective of this paper is to provide a comprehensive bibliometric review the microfinance institutions in providing access to finance. The findings of this study indicate that the MFI-A2F stream of research is growing and that it has most probably reached its peak and full saturation level. Accordingly, the body of knowledge is sufficient enough for policy-holders, policy-implementors and decision-makers to create the most feasible, viable, and desirable microfinance system.</t>
  </si>
  <si>
    <t>INSTITUTIONS; PERFORMANCE; EFFICIENCY; MARKET</t>
  </si>
  <si>
    <t>Microfinance; Small and medium size enterprise; Bibliometric analysis; Serbia</t>
  </si>
  <si>
    <t>Huawei,TX Services,GALEB,Comtrade</t>
  </si>
  <si>
    <t>Belgrade, SERBIA</t>
  </si>
  <si>
    <t>JUN 11-14, 2022</t>
  </si>
  <si>
    <t>18th International Symposium of Organizational Sciences Sustainable Business Management and Digital Transformation: Challenges and Opportunities in the Post-COVID Era (SymOrg)</t>
  </si>
  <si>
    <t>SUSTAINABLE BUSINESS MANAGEMENT AND DIGITAL TRANSFORMATION: CHALLENGES AND OPPORTUNITIES IN THE POST-COVID ERA</t>
  </si>
  <si>
    <t>Bibliometric Survey on Microfinance for the SMEE Sector</t>
  </si>
  <si>
    <t>Milosavljevic, Milos; Spasenic, Zeljko; Damnjanovic, Vesna</t>
  </si>
  <si>
    <t>Mihic, M; Jednak, S; Savic, G</t>
  </si>
  <si>
    <t>Milosavljevic, M; Spasenic, Z; Damnjanovic, V</t>
  </si>
  <si>
    <t>WOS:000481923700002</t>
  </si>
  <si>
    <t>IS1OT</t>
  </si>
  <si>
    <t>10.1108/AJEMS-10-2018-0325</t>
  </si>
  <si>
    <t>SEP 2</t>
  </si>
  <si>
    <t>Mawejje, Joseph/0000-0002-3301-7226</t>
  </si>
  <si>
    <t>jmawejje@gmail.com</t>
  </si>
  <si>
    <t>Mawejje, J (corresponding author), World Bank, Juba, South Sudan.</t>
  </si>
  <si>
    <t>[Mawejje, Joseph] World Bank, Juba, South Sudan</t>
  </si>
  <si>
    <t>Purpose The purpose of this paper is to investigate the roles that access formal and informal finance as well as mobile money play in facilitating the choice of coping strategies that households adopt. Design/methodology/approach The research methodology considers the estimation of binary outcome maximum likelihood probit models for each coping strategy on a vector of covariates that include measures of financial inclusion, household characteristics and community variables. Findings The author finds that financial inclusion is associated with a higher likelihood of adopting market-oriented strategies such as selling assets or borrowing and lower likelihood for non-market strategies such as reliance on informal networks and reducing consumption. Originality/value To the best of the author's knowledge, this paper provides the first empirical attempt examining the pathways through which financial inclusion may facilitate the choice of coping strategies using nuanced household data.</t>
  </si>
  <si>
    <t>MOBILE MONEY; RISK-MANAGEMENT; HOUSEHOLDS; VULNERABILITY; CONSUMPTION; TRANSFERS; NETWORKS; SAVINGS</t>
  </si>
  <si>
    <t>Financial inclusion; Shocks; Coping strategies; Uganda</t>
  </si>
  <si>
    <t>Financial inclusion, shocks and coping strategies: survey evidence from Uganda</t>
  </si>
  <si>
    <t>Mawejje, Joseph</t>
  </si>
  <si>
    <t>Mawejje, J</t>
  </si>
  <si>
    <t>WOS:000505518800001</t>
  </si>
  <si>
    <t>QF1NC</t>
  </si>
  <si>
    <t>10.1002/ijfe.1775</t>
  </si>
  <si>
    <t>Ofosu-Mensah Ababio, Josephine/0000-0002-1535-2266</t>
  </si>
  <si>
    <t>maajoe2015@gmail.com</t>
  </si>
  <si>
    <t>Ababio, JOM (corresponding author), Univ Profess Studies, Banking &amp; Finance, Accra, Ghana.</t>
  </si>
  <si>
    <t>[Ababio, Josephine Ofosu-Mensah; Attah-Botchwey, Edward; Barnor, Charles] Univ Profess Studies, Dept Banking &amp; Finance, Accra, Ghana; [Osei-Assibey, Eric] Univ Ghana, Dept Econ, Accra, Ghana</t>
  </si>
  <si>
    <t>This study empirically investigates whether the level of human development drives greater financial inclusion, and vice versa in the contexts of frontier markets. The dynamic panel generalized methods of moments (System-GMM) methodology is employed to analyze data spanning from 2005 to 2014 for twenty (20) frontier markets by Standard and Poor's Indices. The study finds that human development is a catalyst for financial inclusion scale-up in the banking industry, which in turn, augments the development process. It establishes fresh evidence that income level, financial literacy, and healthy lives are the decisive factors for financial inclusion scale-up in the banking industry. It finds new evidence that the underlying cause of low financial inclusion is low human development. The study concludes that low human development causes low financial inclusion. Also, promoting financial inclusion through the banking sector is very instrumental to stimulating human development, thus the reverse applies in frontier markets. The study implies that low living standards, poor health, high illiteracy, and deprived well-being and freedom largely account for low financial inclusion hence its spillover effect of having low human development in frontier market countries.</t>
  </si>
  <si>
    <t>POVERTY REDUCTION; BANKING SERVICES; PANEL-DATA; ACCESS; GROWTH; ERROR</t>
  </si>
  <si>
    <t>financial inclusion; financial literacy; frontier markets; human development; income; modern technology</t>
  </si>
  <si>
    <t>Financial inclusion and human development in frontier countries</t>
  </si>
  <si>
    <t>Ababio, Josephine Ofosu-Mensah; Attah-Botchwey, Edward; Osei-Assibey, Eric; Barnor, Charles</t>
  </si>
  <si>
    <t>Ababio, JOM; Attah-Botchwey, E; Osei-Assibey, E; Barnor, C</t>
  </si>
  <si>
    <t>WOS:000330419000002</t>
  </si>
  <si>
    <t>299TQ</t>
  </si>
  <si>
    <t>10.1108/CAER-08-2012-0083</t>
  </si>
  <si>
    <t>China Agric. Econ. Rev.</t>
  </si>
  <si>
    <t>CHINA AGR ECON REV</t>
  </si>
  <si>
    <t>1756-1388</t>
  </si>
  <si>
    <t>1756-137X</t>
  </si>
  <si>
    <t>EMERALD GROUP PUBLISHING LIMITED</t>
  </si>
  <si>
    <t>zql629@gmail.com</t>
  </si>
  <si>
    <t>Zhang, QL (corresponding author), Univ Tokyo, Grad Sch Agr &amp; Life Sci, Tokyo, Japan.</t>
  </si>
  <si>
    <t>[Zhang Qinlan; Izumida, Yoichi] Univ Tokyo, Grad Sch Agr &amp; Life Sci, Tokyo, Japan</t>
  </si>
  <si>
    <t>Purpose - The purpose of this paper aims to explore how borrower and group-level characteristics affect repayment decisions of group borrowers by highlighting the case of rural credit cooperatives (RCCs) in Guizhou province in Southwest China. Design/methodology/approach - The Logit model was applied to test the determinants of repayment performance of RCCs' group lending. The authors used the survey data of 245 farm households in Guizhou province, collected in 2008. Findings - The empirical results indicate that there is a serious mismatch between joint liability mechanisms and the social and economic conditions in rural China. Mechanisms such as threatening to withhold defaulters' future loans from RCCs failed to work. In addition, higher household incomes also did not improve repayment performance. However, factors such as a higher degree of acquaintanceship in a group, migrant income, and employment in government agencies, positively improved the chances of repayment. Practical implications - Group lending is more suitable for poorer areas with few opportunities for migration and limited access to finance. In addition, constructing the trustworthy relationship between micro-lenders and customers and designing diverse and flexible financial services to meet heterogeneous demands are equally important. Originality/value - This paper is an attempt to empirically explore the determinants of repayment performance in group lending programs in China. The results provide meaningful policy implications for the government and rural financial institutions.</t>
  </si>
  <si>
    <t>China; Rural development; Rural finance</t>
  </si>
  <si>
    <t>CHINA AGRICULTURAL ECONOMIC REVIEW</t>
  </si>
  <si>
    <t>Determinants of repayment performance of group lending in China Evidence from rural credit cooperatives' program in Guizhou province</t>
  </si>
  <si>
    <t>Zhang Qinlan; Izumida, Yoichi</t>
  </si>
  <si>
    <t>Zhang, QL; Izumida, Y</t>
  </si>
  <si>
    <t>WOS:000801983900001</t>
  </si>
  <si>
    <t>2C0XC</t>
  </si>
  <si>
    <t>10.1111/1467-8268.12636</t>
  </si>
  <si>
    <t>Abdoulganiour Almame, TINTA/0000-0002-9691-4039</t>
  </si>
  <si>
    <t>Abdoulganiour Almame, TINTA/HMW-1282-2023</t>
  </si>
  <si>
    <t>aatinta@st.ug.edu.gh</t>
  </si>
  <si>
    <t>Tinta, AA (corresponding author), Joseph Ki ZERBO Univ, Dept Stat &amp; Econ, POB 74, Ouagadougou 14, Burkina Faso.</t>
  </si>
  <si>
    <t>Universite Joseph Ki-Zerbo; University of Ghana</t>
  </si>
  <si>
    <t>[Tinta, Abdoulganiour Almame] Joseph Ki ZERBO Univ, Dept Stat &amp; Econ, POB 74, Ouagadougou 14, Burkina Faso; [Ouedraogo, Idrissa Mohamed] Aube Nouvelle Univ, Dept Econ, Ouagadougou, Burkina Faso; [Al-Hassan, Ramatu Mahama] Univ Ghana, Dept Agr Econ &amp; Agribusiness, Accra, Ghana</t>
  </si>
  <si>
    <t>This study analyzes the factors influencing financial inclusion and financial resilience in Africa. Using national surveys of 40 African countries and the doing business database, multiple models are performed to analyze financial inclusion drivers. The results show that individual characteristics, barriers to formal accounting, financial literacy and innovation condition the decision to have a traditional or mobile account. Informal savings are common among women, youth and in rural areas while formal savings predominate among men, the elderly and in urban areas. A high level of education and income leads people to migrate to formal savings. For business purposes, informal savings are preferred while for old age, individuals resort to formal savings because of interest rates. Social lifestyles make informal credit predominate in Africa. However, when people have employment, high income or education, they turn more to formal credit to preserve their reputation because of the respect and popularity they enjoy in their community. Marriage, financial literacy and innovation improve the resilience of individuals, while employment increases their vulnerability. Key policy recommendations are to improve the banking sector, institutions, innovations and income-generating activities to attract women and reduce the gender gap.</t>
  </si>
  <si>
    <t>FIELD EXPERIMENT; SAVINGS; SERVICES</t>
  </si>
  <si>
    <t>financial inclusion; financial literacy; financial resilience; innovation; individual characteristics</t>
  </si>
  <si>
    <t>The micro determinants of financial inclusion and financial resilience in Africa</t>
  </si>
  <si>
    <t>Tinta, Abdoulganiour Almame; Ouedraogo, Idrissa Mohamed; Al-Hassan, Ramatu Mahama</t>
  </si>
  <si>
    <t>Tinta, AA; Ouédraogo, IM; Al-Hassan, RM</t>
  </si>
  <si>
    <t>WOS:000762565800001</t>
  </si>
  <si>
    <t>E2P0F</t>
  </si>
  <si>
    <t>Geography</t>
  </si>
  <si>
    <t>10.1111/rsp3.12516</t>
  </si>
  <si>
    <t>Reg. Sci. Policy Pract.</t>
  </si>
  <si>
    <t>REG SCI POLICY PRACT</t>
  </si>
  <si>
    <t>1757-7802</t>
  </si>
  <si>
    <t>EZZAHID, ELHADJ/0000-0002-7116-4702; ELOUAOURTI, Zakaria/0000-0001-6986-3849</t>
  </si>
  <si>
    <t>; ELOUAOURTI, Zakaria/ABE-4789-2021</t>
  </si>
  <si>
    <t>Elouaourti, Z (corresponding author), Mohammed V Univ Rabat, Fac Law &amp; Econ, Dept Econ, Lab Appl Econ, Rabat, Morocco.</t>
  </si>
  <si>
    <t>[Elouaourti, Zakaria; Ezzahid, Elhadj] Mohammed V Univ Rabat, Fac Law &amp; Econ, Dept Econ, Lab Appl Econ, Rabat, Morocco</t>
  </si>
  <si>
    <t>The purpose of this paper is twofold: first, provide a comparative analysis of interregional and intraregional inequalities in terms of financial inclusion across Moroccan regions; second, explore the determinants of regional financial inclusion in a panel of 12 Moroccan regions. We used the principal component analysis methodology to construct our regional financial inclusion indexes, and the panel data estimation methodology to identify the determinants of regional financial inclusion. Our regional financial inclusion index shows that the majority of regions have a low level of financial inclusion. This is symptomatic of a very asymmetric distribution. For all regions, we found that intraregional inequalities in access to bank branches by locality/province or prefecture increase as we move away from the region's main city. Empirical results indicated that a region's human development level, as proxied by the Human Development Index (HDI), the size of its population, and the industrialization level of its economic fabric are the main determinants of a region's financial inclusion level. The Moroccan financial system authorities have implemented several reforms (the banking law no. 2-91-967 of July 21, 1993) and strategies (National Financial Inclusion Strategy) aimed at promoting financial inclusion in Morocco; however, the increase in the level of financial inclusion at the macrolevel has not benefited all segments of the Moroccan population. This paper is original as, to our knowledge, it is the first to mobilize interregional and intraregional data, as opposed to previous studies that are national-level oriented. Given the mapping of interregional and intraregional inequalities in access to, and use of, formal financial services, policymakers can rely on our index to formulate useful financial inclusion policies and to target rural localities, provinces or prefectures, and priority regions in Morocco's National Financial Inclusion Strategy. The financial system should provide financial services tailored to regional financing needs. Moroccan policymakers should focus on filling gaps in levels of regional human development, as the latter is a key factor in regional financial inclusion.</t>
  </si>
  <si>
    <t>BANKING; CHINA</t>
  </si>
  <si>
    <t>interregional and intraregional disparities; Morocco; panel data; regional economic growth; regional financial inclusion; regional financial inclusion index</t>
  </si>
  <si>
    <t>REGIONAL SCIENCE POLICY AND PRACTICE</t>
  </si>
  <si>
    <t>Factors of regional financial inclusion in Morocco</t>
  </si>
  <si>
    <t>Elouaourti, Zakaria; Ezzahid, Elhadj</t>
  </si>
  <si>
    <t>Elouaourti, Z; Ezzahid, E</t>
  </si>
  <si>
    <t>WOS:000304007600003</t>
  </si>
  <si>
    <t>BAF19</t>
  </si>
  <si>
    <t>10.1596/978-0-8213-8030-7</t>
  </si>
  <si>
    <t>978-0-8213-8032-1</t>
  </si>
  <si>
    <t>Microfinance services in Pakistan are offered both formally and informally. Informal markets are generally characterized by high interest rates, widespread rationing, segmentation, and a sizeable gap between lending and deposit rates. Still, the informal sector can be competitive for clients with alternative options, and it has good lessons to offer to its formal counterpart. Formal markets are growing fast (at 40 percent), but from a negligible base. Microfinance banks (MFBs) accounted for 31 percent of the micro finance lending portfolio and 85 percent of its growth. Profitability and performance in the microfinance sector are low but improving. A key challenge is the sustainability of microfinance institutions (MFIs), which still rely considerably on noncommercial funding (commercial liabilities are barely 21 percent of total lending portfolio). In the formal sector, 1.7 million microfinance clients are reported, in a population of more than 160 million. The total lending portfolio of all MFIs in Pakistan stood at $340 million in 2007 (0.2 percent of the financial system assets). There is still considerable room for growth of microfinance in Pakistan-the estimated potential market size is at least 10-20 million active borrowers, and some estimates place the number as high as 35 million. Women are a poorly explored clientele with tremendous potential, as noted in chapter 2. While microfinance policy and services have focused on credit, there is a considerable potential for other products, such as insurance, payments, and, above all, savings. There are several avenues that can deliver expanded outreach and address the demand gap for microfinance: encouraging strong sustainable MFIs, improving literacy and public awareness, and employing technology (smart cards, automated teller machines (ATMs), point of sale (POS) devices, branchless banking, and mobile telephone networks). Two approaches have been used internationally to address high transaction costs due to low population density, small average loans, and low household savings-the Grameen and BRAC low-tech, low-cost, high-volume models of microfinance, and the Philippines/Kenya high-tech, low-cost, high volume approach. Cell phones, used by more than half of the population, hold much promise to increase access. Informal services could be co-opted into the formal financial system, learning for their competitive aspects. Product diversification toward more savings products is a promising strategy as well, as is focusing on women clients and tailoring products to their specific needs. In 2000, microfinance was elevated to a core aspect of the government's poverty reduction program. In spite of State Bank of Pakistan (SBP) encouragement, commercial banks have shown little desire to service microfinance clients. The SBP strategy of offering a bank license to stronger MFIs has proven more successful, though the hoped-for deposit mobilization has not materialized with the speed expected, and MFB outreach remains small.</t>
  </si>
  <si>
    <t>BRINGING FINANCE TO PAKISTAN'S POOR: ACCESS TO FINANCE FOR SMALL ENTERPRISES AND THE UNDERSERVED</t>
  </si>
  <si>
    <t>Access to Finance for the Underserved</t>
  </si>
  <si>
    <t>Nenova, T; Niang, CT</t>
  </si>
  <si>
    <t>Nenova, Tatiana; Niang, Cecile Thioro; Ahmad, Anjum</t>
  </si>
  <si>
    <t>Nenova, T; Niang, CT; Ahmad, A</t>
  </si>
  <si>
    <t>WOS:000860445900006</t>
  </si>
  <si>
    <t>4W9AA</t>
  </si>
  <si>
    <t>10.1016/j.renene.2022.08.056</t>
  </si>
  <si>
    <t>Aarakit, Slyvia Manjeri/0000-0002-3890-5660;</t>
  </si>
  <si>
    <t>Ntayi, Joseph/HKW-6871-2023; Aarakit, Slyvia Manjeri/JRW-0449-2023; Adaramola, Muyiwa S/KHY-0775-2024</t>
  </si>
  <si>
    <t>saarakit@mubs.ac.ug</t>
  </si>
  <si>
    <t>Aarakit, SM (corresponding author), Makerere Univ, Fac Entrepreneurship &amp; Business Adm, Business Sch, Kampala, Uganda.</t>
  </si>
  <si>
    <t>Makerere University; Makerere University; Makerere University; Norwegian University of Life Sciences</t>
  </si>
  <si>
    <t>[Aarakit, Sylvia Manjeri] Makerere Univ, Fac Entrepreneurship &amp; Business Adm, Business Sch, Kampala, Uganda; [Ntayi, Joseph M.] Makerere Univ, Fac Econ Energy &amp; Management Sci, Business Sch, Kampala, Uganda; [Wasswa, Francis; Buyinza, Faisal] Makerere Univ, Sch Econ, Kampala, Uganda; [Adaramola, Muyiwa S.] Norwegian Univ Life Sci, Fac Environm Sci &amp; Nat Resource Management, As, Norway; [Ssennono, Vincent F.] Uganda Bur Stat, Dept Social Econ Surveys, Kampala, Uganda</t>
  </si>
  <si>
    <t>Globally, renewable energy technologies, such as solar photovoltaic (PV) contribute significantly to sustainable development. However, adoption of solar PV is limited in many developing countries. Governments have rolled out policy strategies like financial inclusion to stimulate deployment of modern energy technologies. Notwith-standing, little is known about financial inclusion and household solar PV adoption. Using two waves of Uganda National Household Survey data covering 28,913 households, this paper examines the effect of financial in-clusion on adoption of solar PV. The study employed logit model and pooled ordinary least squares for esti-mation. Taking endogeneity into account, we find that financial inclusion has a strong positive effect on solar PV adoption. The estimates show that unit increase in financial inclusion increases the likelihood of residential solar PV adoption by 3.6% (p &lt; 0.01). This finding is consistent across all robustness checks. The findings further suggest that use of mobile money is more important for solar PV adoption. The study identified household in-come and education as possible pathways through which financial inclusion influences solar PV adoption. Thus, policy makers and renewable energy practitioners should continue prioritizing financial inclusion particularly use of mobile money and financial remittances so as stimulate adoption of solar PV.</t>
  </si>
  <si>
    <t>ENERGY TECHNOLOGY; PROPENSITY SCORE; HOUSEHOLD-LEVEL; HOME SYSTEMS; PV; DETERMINANTS; POVERTY; DEPLOYMENT; COUNTRIES; IMPACTS</t>
  </si>
  <si>
    <t>Solar PV; Financial inclusion; Household; Policies; Pathways</t>
  </si>
  <si>
    <t>The role of financial inclusion in adoption of solar photovoltaic systems: A case of Uganda</t>
  </si>
  <si>
    <t>Aarakit, Sylvia Manjeri; Ntayi, Joseph M.; Wasswa, Francis; Buyinza, Faisal; Adaramola, Muyiwa S.; Ssennono, Vincent F.</t>
  </si>
  <si>
    <t>Aarakit, SM; Ntayi, JM; Wasswa, F; Buyinza, F; Adaramola, MS; Ssennono, VF</t>
  </si>
  <si>
    <t>WOS:001372841300001</t>
  </si>
  <si>
    <t>O7J4A</t>
  </si>
  <si>
    <t>10.1080/23322039.2024.2437005</t>
  </si>
  <si>
    <t>Ahunov, Muzaffarjon/0000-0003-2073-3220; Van Hove, Leo/0000-0001-7546-7746</t>
  </si>
  <si>
    <t>Ahunov, Muzaffarjon/AAF-9375-2020; Van Hove, Leo/Q-2129-2018</t>
  </si>
  <si>
    <t>Ahunov, M (corresponding author), Woosong Univ, Endicott Coll Int Studies, Daejeon, South Korea.</t>
  </si>
  <si>
    <t>[Van Hove, Leo] Vrije Univ Brussel Free Univ Brussels, FIRE Res Grp, Brussels, Belgium; [Van Hove, Leo] Vrije Univ Brussel Free Univ Brussels, Dept Appl Econ APEC, Brussels, Belgium; [Ahunov, Muzaffarjon] Woosong Univ, Endicott Coll Int Studies, Daejeon, South Korea</t>
  </si>
  <si>
    <t>Despite questions surrounding their reliability, much of the financial literacy literature continues to rely on simple metrics - without checking whether using an alternative might yield different findings. The present paper does just that: we replicate two prior studies and substitute the Standard &amp; Poor's indicator originally used with the Big Three and OECD/INFE metrics. The results are disconcerting. In the first study, many of the relationships between national culture and country-level financial literacy become weakly significant or disappear altogether. The second study is also of a cross-country nature but analyses the impact of financial literacy on financial inclusion. Here, the magnitude of the coefficient on financial literacy in the OLS regressions decreases substantially once we use alternative metrics. In one case, the coefficient drops by no less than 69 per cent with the OECD/INFE metric, and by between one-third and half with the Big Three. Even more concerning, the Instrumental Variable regressions show no causal relationship anymore. These findings are a strong signal that the literature would benefit from revisiting several key papers, especially those relying on cross-country data.</t>
  </si>
  <si>
    <t>CONSEQUENCES; EDUCATION</t>
  </si>
  <si>
    <t>G53; G41; Z10; Financial literacy; financial knowledge; national culture; financial inclusion; cross-country analysis; Economics; Finance; Political Economy; Economics and Development</t>
  </si>
  <si>
    <t>Financial literacy: different indicator, different insights?</t>
  </si>
  <si>
    <t>Van Hove, Leo; Ahunov, Muzaffarjon</t>
  </si>
  <si>
    <t>Van Hove, L; Ahunov, M</t>
  </si>
  <si>
    <t>WOS:000982780600001</t>
  </si>
  <si>
    <t>AZ7Y1</t>
  </si>
  <si>
    <t>10.1080/02681102.2023.2199189</t>
  </si>
  <si>
    <t>antonio.diaz@aut.ac.nz</t>
  </si>
  <si>
    <t>Andrade, AD (corresponding author), Auckland Univ Technol, Business Informat Syst, Auckland, New Zealand.</t>
  </si>
  <si>
    <t>Auckland University of Technology</t>
  </si>
  <si>
    <t>[Sharma, Himanshu; Diaz Andrade, Antonio] Auckland Univ Technol, Business Informat Syst, Auckland, New Zealand</t>
  </si>
  <si>
    <t>This study explores and analyses the implications of digital financial services (DFS) on human development from a global perspective. Informed by a systematic literature review of studies published in the past two decades, from 2000 to 2020, this research unveils six overarching themes: contextual conditions, technological skills and financial literacy, consistent trust, shaping financial behavior, energizing economic activities, and supporting financial inclusion. Further analysis categorizes these themes into what constitutes the two intertwined dimensions of DFS: foundational conditions and effectual repercussions. We discuss how these dimensions enhance our understanding of the role information and communication technologies play in contributing to human development. We also present practical implications for different stakeholders in the financial sector.</t>
  </si>
  <si>
    <t>MOBILE MONEY; SECTOR DEVELOPMENT; INCLUSION; BANKING; ICT; IMPACT; FUTURE; INNOVATION; SAVINGS; KENYA</t>
  </si>
  <si>
    <t>Digital financial services; ICT for development; human development; systematic literature review</t>
  </si>
  <si>
    <t>Digital financial services and human development: current landscape and research prospects</t>
  </si>
  <si>
    <t>Sharma, Himanshu; Diaz Andrade, Antonio</t>
  </si>
  <si>
    <t>Sharma, H; Andrade, AD</t>
  </si>
  <si>
    <t>WOS:001517423300008</t>
  </si>
  <si>
    <t>4GL1E</t>
  </si>
  <si>
    <t>10.18046/j.estger.2025.174.7245</t>
  </si>
  <si>
    <t>Estud. Gerenc.</t>
  </si>
  <si>
    <t>ESTUD GERENC</t>
  </si>
  <si>
    <t>0123-5923</t>
  </si>
  <si>
    <t>torres.gisselle@uabc.edu.mx; duniesky.feito.madrigal@uabc.edu.mx</t>
  </si>
  <si>
    <t>Reynoso, GTT; Madrigal, DF (corresponding author), Univ Autonoma Baja Calif, Fac Contaduria &amp; Adm, Tijuana, Mexico.</t>
  </si>
  <si>
    <t>Universidad Autonoma de Baja California</t>
  </si>
  <si>
    <t>[Reynoso, Gisselle Trinidad Torres; Madrigal, Duniesky Feito] Univ Autonoma Baja Calif, Fac Contaduria &amp; Adm, Tijuana, Mexico</t>
  </si>
  <si>
    <t>This article studies the relationship between financial inclusion and poverty across Mexican municipalities, using a spatial approach to identify geographic patterns and territorial correlations. A synthetic index of financial inclusion was constructed based on the dimensions of access and use, then, an exploratory spatial data analysis was applied to detect significant clusters and regional disparities. Subsequently, a lagged spatial regression model was estimated to analyze spatial dependence. The results show that greater financial inclusion is associated with lower poverty levels, an effect that is also transmitted to neighboring municipalities. These findings reinforce the need for public policies with a territorial approach that promote financial infrastructure in vulnerable regions.</t>
  </si>
  <si>
    <t>financial inclusion; poverty; spatial analysis; spatial regression; regional development</t>
  </si>
  <si>
    <t>ESTUDIOS GERENCIALES</t>
  </si>
  <si>
    <t>Spatial Analysis of the Dynamics of Financial Inclusion and Poverty in Mexico</t>
  </si>
  <si>
    <t>Reynoso, Gisselle Trinidad Torres; Madrigal, Duniesky Feito</t>
  </si>
  <si>
    <t>Reynoso, GTT; Madrigal, DF</t>
  </si>
  <si>
    <t>WOS:000637278500001</t>
  </si>
  <si>
    <t>6R8YV</t>
  </si>
  <si>
    <t>10.1108/JEAS-08-2020-0147</t>
  </si>
  <si>
    <t>Kesuh, Jude/0000-0003-1469-6830</t>
  </si>
  <si>
    <t>aloyzih@yahoo.com; kesuhjude1@gmail.com; josaphatonwumere@unn.edu.ng</t>
  </si>
  <si>
    <t>Ngong, CA (corresponding author), Univ Nigeria, Banking &amp; Finance, Nsukka, Nigeria.</t>
  </si>
  <si>
    <t>[Ngong, Chi Aloysius; Thaddeus, Kesuh Jude; Onwumere, Josaphat Uchechukwu Joe] Univ Nigeria, Banking &amp; Finance, Nsukka, Nigeria</t>
  </si>
  <si>
    <t>Purpose This research examines the long-run relationship between microfinancial inclusion and poverty alleviation in Nigeria from 1990 to 2018. Design/methodology/approach the Engle-Granger two-step co-integration and autoregressive distributed lag (ARDL) techniques. Gross domestic product (GDP) per capita proxies poverty reduction. Number of microfinance banks, borrowers of microfinance institutions, commercial bank branches, commercial bank loan to small-scale businesses and broad money supply ratio measure microfinancial inclusion. Findings The results indicate a long-run relationship between microfinancial inclusion and poverty reduction. The error correction model reveals that microfinancial inclusion and poverty alleviation converge to long-run equilibrium. The number of microfinance banks, lagged value of borrowed funds and broad money supply negatively influences poverty while the lagged values of number of microfinance banks and broad money supply positively influence poverty. Research limitations/implications Effective ways to improve microcredit channels and liquidity flow to the poor through a microfinance bank's intermediation should be promoted by the Central Bank of Nigeria (CBN) using an aggressive policy, which provides access to credit to the poor. Practical implications Theoretically, microfinance institutions should increase credit to the poor, especially in rural areas at moderate cost. This study further suggests that many microfinance bank branches should be located in urban and rural areas targeting the poor. Social implications Microfinancial inclusion reduces population's poverty in Nigeria and globally. Originality/value Contrary to other studies, this paper utilizes number of microfinance institutions and borrowers of microfinance institutions to examine the relationship between microfinancial inclusion and poverty alleviation in Nigeria.</t>
  </si>
  <si>
    <t>Microfinance; Poverty reduction; Financial inclusion; Alleviation; ARDL</t>
  </si>
  <si>
    <t>Microfinancial inclusion nexus poverty alleviation: the case of Nigeria</t>
  </si>
  <si>
    <t>Ngong, Chi Aloysius; Thaddeus, Kesuh Jude; Onwumere, Josaphat Uchechukwu Joe</t>
  </si>
  <si>
    <t>Ngong, CA; Thaddeus, KJ; Onwumere, JUJ</t>
  </si>
  <si>
    <t>WOS:001553561400001</t>
  </si>
  <si>
    <t>6HP7V</t>
  </si>
  <si>
    <t>10.1504/GBER.2023.131195</t>
  </si>
  <si>
    <t>Sahoo, Sharada Prasad/0000-0002-2302-3462; Nayak, Durga Prasad/0000-0002-6330-6424; Chhatoi, Biswajit Prasad/0000-0002-3515-761X</t>
  </si>
  <si>
    <t>; Nayak, Durga Prasad/AAV-3525-2021; Chhatoi, Biswajit Prasad/AFI-1462-2022</t>
  </si>
  <si>
    <t>chhatoiprasad@gmail.com; sharadaprasadsahoo@gmail.com; durgaprasadnayakofficial@gmail.com</t>
  </si>
  <si>
    <t>[Chhatoi, Biswajit Prasad; Sahoo, Sharada Prasad; Nayak, Durga Prasad] Berhampur Univ, Dept Business Adm, Berhampur 760007, Odisha, India</t>
  </si>
  <si>
    <t>Despite the substantial interest by research geographer, experts, policymakers and the World Bank, there are still atypical and disintegrated theories of financial literacy and financial inclusion (FLFI) as the research domain is still emerging. In response, the objective of this research is to review and synthesise FLFI research and to suggest directions for future research. We review certified knowledge (journal articles) published during the first two decades of the 21st century. The research on FLFI is fragmented and has emerged in the 21st century in diverse directions. The current research unearths key publication outlets and articles, theoretical and methodological approaches and major variables, and several themes of FLFI literature. The findings also suggest future research direction in FLFI and themes associated to them. The current research is an attempt to summarise the current state of the FLFI literature and unearths future research direction that requires immediate attestation.</t>
  </si>
  <si>
    <t>financial literacy; financial inclusion; systematic literature review; financial awareness; financial services</t>
  </si>
  <si>
    <t>Academic footprint of 'financial literacy and financial inclusion': a review and future research agenda</t>
  </si>
  <si>
    <t>Chhatoi, Biswajit Prasad; Sahoo, Sharada Prasad; Nayak, Durga Prasad</t>
  </si>
  <si>
    <t>Chhatoi, BP; Sahoo, SP; Nayak, DP</t>
  </si>
  <si>
    <t>WOS:001234054900001</t>
  </si>
  <si>
    <t>SJ3T9</t>
  </si>
  <si>
    <t>10.1177/21582440241252268</t>
  </si>
  <si>
    <t>The author(s) disclosed receipt of the following financial sup-port for the research, authorship, and/or publication of this article: The research was supported by the Ministry of Higher Education (MoHE), through the Fundamental Research Grant Scheme (FRGS/1/2021/SS01/UTAR/02/4) and Universiti Tunku Abdul Rahman, through the UTAR Research Fund(IPSR/RMC/UTARRF/2021-C1/L0).</t>
  </si>
  <si>
    <t>Ministry of Higher Education (MoHE), through the Fundamental Research Grant Scheme; Universiti Tunku Abdul Rahman, through the UTAR Research Fund</t>
  </si>
  <si>
    <t>Ministry of Higher Education (MoHE), through the Fundamental Research Grant Scheme [FRGS/1/2021/SS01/UTAR/02/4]; Universiti Tunku Abdul Rahman, through the UTAR Research Fund [IPSR/RMC/UTARRF/2021-C1/L0]</t>
  </si>
  <si>
    <t>LEE, HUI SHAN/0000-0003-1017-3434</t>
  </si>
  <si>
    <t>LEE, HUI SHAN/M-2326-2019</t>
  </si>
  <si>
    <t>hslee@utar.edu.my</t>
  </si>
  <si>
    <t>Lee, HS (corresponding author), Univ Tunku Abdul Rahman, Fac Accountancy &amp; Management, Kajang 43000, Selangor, Malaysia.</t>
  </si>
  <si>
    <t>Universiti Tunku Abdul Rahman (UTAR); Universiti Tunku Abdul Rahman (UTAR)</t>
  </si>
  <si>
    <t>[Yap, Shen; Lee, Hui Shan; Liew, Ping Xin] Univ Tunku Abdul Rahman, Kajang, Selangor, Malaysia; [Lee, Hui Shan] Univ Tunku Abdul Rahman, Fac Accountancy &amp; Management, Kajang 43000, Selangor, Malaysia</t>
  </si>
  <si>
    <t>Insurance promotes financial resilience for individuals and households, aiding them in risk management and welfare improvement. Despite concerted efforts by countries and international bodies to promote financial inclusion through various programs, the roles of life and non-life insurance remain underemphasized as measure to close the financial gap in most countries. Our research is motivated by the realization that the existing literature lacks a unified measure of financial inclusion that considers the impact of life and non-life insurance. The objective of this study is to examine the roles of insurance and banking services in financial inclusion through an innovative measure. This study employs Principal Component Analysis to compute different sets of a multidimensional Financial Inclusion Index (FI index) that incorporate banking, life, and non-life insurance indicators for 72 countries from 2015 to 2019. When the role of life insurance is considered, some countries experience significant leaps in their financial inclusion levels, while the opposite holds true for most countries regardless of their developmental stage. In the meantime, non-life insurance has a strong positive impact on the overall financial inclusivity of the sample countries, with more than half of them recording higher financial inclusion. These results necessitate a reevaluation of financial inclusion strategies worldwide. We advocate for a more comprehensive approach that integrates insurance services into the financial system alongside traditional banking, especially non-life insurance given its significant contribution in enabling financial inclusion. The impact of insurance and banking services on financial inclusionInsurance helps people and families manage risks and improve their well-being by providing financial security during tough times. Despite efforts by countries and organizations to make sure everyone has access to financial services, the importance of both life and non-life insurance in bridging financial gaps is often overlooked in many places. Our study is inspired by the fact that existing research doesn't have a unified way to measure financial inclusion that considers how life and non-life insurance affect it. We aim to understand how insurance and banking services contribute to financial inclusion in a new way. We used a method called Principal Component Analysis to create different versions of a Financial Inclusion Index (FI index) for 72 countries from 2015 to 2019. These indices include information about banking, life insurance, and non-life insurance. When we look at the impact of life insurance, some countries show big improvements in financial inclusion, but for most countries, it doesn't seem to make much difference, no matter how developed they are. On the other hand, non-life insurance has a strong positive effect on financial inclusion for most of the countries we studied. This suggests that financial inclusion strategies need to pay more attention to insurance, alongside traditional banking services. In particular, non-life insurance plays a crucial role in helping people access financial services.</t>
  </si>
  <si>
    <t>multidimensional financial inclusion index; principal component analysis; sustainable; life insurance; non-life insurance; banking services</t>
  </si>
  <si>
    <t>The Roles of Insurance and Banking Services on Financial Inclusion</t>
  </si>
  <si>
    <t>Yap, Shen; Lee, Hui Shan; Liew, Ping Xin</t>
  </si>
  <si>
    <t>Yap, S; Lee, HS; Liew, PX</t>
  </si>
  <si>
    <t>WOS:000456491000002</t>
  </si>
  <si>
    <t>HI5KN</t>
  </si>
  <si>
    <t>Al-Shajarah</t>
  </si>
  <si>
    <t>AL-SHAJARAH</t>
  </si>
  <si>
    <t>1394-6870</t>
  </si>
  <si>
    <t>NO 24 PERSIARAN DUTA, TAMAN DUTA, KUALA LUMPUR, 50480, MALAYSIA</t>
  </si>
  <si>
    <t>INT ISLAMIC UNIV MALAYSIA</t>
  </si>
  <si>
    <t>This paper originates from of a research project approved in 2015 funded by the Ministry of Higher Education (MOHE) Malaysia under the Fundamental Research Grant Scheme (Project ID: FRGS15-230-0471). The authors would like to thank MOHE Malaysia for generously funding this research project.</t>
  </si>
  <si>
    <t>Ministry of Higher Education (MOHE) Malaysia under the Fundamental Research Grant Scheme; MOHE Malaysia</t>
  </si>
  <si>
    <t>Ministry of Higher Education (MOHE) Malaysia under the Fundamental Research Grant Scheme [FRGS15-230-0471]; MOHE Malaysia</t>
  </si>
  <si>
    <t>Hassan, Rusni/S-8001-2019; kassim, salina/Q-7008-2019</t>
  </si>
  <si>
    <t>Kassim, S (corresponding author), IIUM Inst Islamic Banking &amp; Finance IIiBF, Kuala Lumpur, Malaysia.</t>
  </si>
  <si>
    <t>[Kassim, Salina; Hassan, Rusni] IIUM Inst Islamic Banking &amp; Finance IIiBF, Kuala Lumpur, Malaysia; [Hassan, Rusni] Assoc Shariah Advisors Islamic Finance Malaysia A, Kuala Lumpur, Malaysia; [Hassan, Rusni] ICIFE, Kuala Lumpur, Malaysia</t>
  </si>
  <si>
    <t>Microfinance has become a widely accepted tool for poverty alleviation and being included in the national development agenda in many countries throughout the globe. It has served as an effective method to improve financial inclusion by increasing the access to finance to specific groups of the society who are often being marginalized by the mainstream finance, especially women micro-entrepreneurs and the poor. Despite this, microfinance continues to face various issues and challenges that hinder its effective functioning, resulting in many microfinance institutions (MFIs) to operate at sub-optimal level, thus fail to achieve their objectives. This study attempts to discern the issues and challenges facing the Islamic MFIs by focusing on the experience of Amanah Ikhtiar Malaysia (AIM), one of the world's largest Islamic MFIs, and subsequently propose possible solutions to address those issues. In methodology, the study conducts a survey questionnaire regarding potential issues and challenges of Islamic microfinance on 402 women micro-entrepreneurs who are currently clients of several AIM centres in Hulu Selangor. In efforts to get enriching insights, we further relate those issues with the demographic profile of the clients. Findings of this study provide new insights into the issues and challenges facing the women micro-entrepreneurs based on their direct experiences, and consequently relevant suggestions can be provided in addressing these issues facing the clients of the Islamic microfinance industry.</t>
  </si>
  <si>
    <t>Islamic finance; Islamic microfinance; Amanah Ikhtiar Malaysia; demographic background; social capital</t>
  </si>
  <si>
    <t>ISSUES FACING ISLAMIC MICROFINANCE AND THEIR POSSIBLE SOLUTIONS: EMPIRICAL EVIDENCE FROM AMANAH IKHTIAR MALAYSIA</t>
  </si>
  <si>
    <t>Kassim, Salina; Hassan, Rusni</t>
  </si>
  <si>
    <t>Kassim, S; Hassan, R</t>
  </si>
  <si>
    <t>WOS:000678411300001</t>
  </si>
  <si>
    <t>TQ6TB</t>
  </si>
  <si>
    <t>10.1080/20430795.2021.1953929</t>
  </si>
  <si>
    <t>2021 JUL 27</t>
  </si>
  <si>
    <t>Boachie, Micheal Kofi/0000-0003-1062-889X; Immurana, Mustapha/0000-0001-5711-7566; Dalaba, Maxwell/0000-0002-7101-769X</t>
  </si>
  <si>
    <t>Boachie, Micheal Kofi/N-5240-2019; Immurana, Mustapha/AEU-4908-2022; Dalaba, Maxwell/ABK-6552-2022</t>
  </si>
  <si>
    <t>mimmurana@uhas.edu.gh</t>
  </si>
  <si>
    <t>Immurana, M (corresponding author), Univ Hlth &amp; Allied Sci, Inst Hlth Res, PMB 31, Ho, Ghana.</t>
  </si>
  <si>
    <t>University of Cape Town; University of Witwatersrand</t>
  </si>
  <si>
    <t>[Immurana, Mustapha; Dalaba, Maxwell Ayindenaba] Univ Hlth &amp; Allied Sci, Inst Hlth Res, PMB 31, Ho, Ghana; [Iddrisu, Abdul-Aziz] Kumasi Tech Univ, Kumasi, Ghana; [Boachie, Micheal Kofi] Univ Cape Town, Rondebosch, South Africa; [Boachie, Micheal Kofi] Univ Hlth &amp; Allied Sci, Dept Hlth Policy Planning &amp; Management, Sch Publ Hlth, Ho, Ghana; [Boachie, Micheal Kofi] Univ Witwatersrand, SAMRC Wits Ctr Hlth Econ &amp; Decis Sci PRICELESS SA, Sch Publ Hlth, Johannesburg, South Africa</t>
  </si>
  <si>
    <t>While financial inclusion is highly touted for enhancing welfare, very little evidence exists with regard to its effect on population health, especially in Africa (where population health is relatively poor). This study therefore provides an empirical evidence of the effect of financial inclusion on population health in 33 African countries from 2004 to 2018. Life expectancy and death rate are used as proxies for population health while four indicators of financial inclusion (number of Automated Teller Machines (ATMs), number of commercial bank branches, number of borrowers, and outstanding deposits) are used. Moreover, we use the Principal Component Analysis (PCA) to generate a combined index of financial inclusion using these four indicators. For multivariate estimation purposes, the dynamic panel system Generalised Method of Moments (GMM) regression is employed. The findings of the study show that, financial inclusion enhances population health. Thus, financial inclusion should be deepened in order to improve population health in Africa.</t>
  </si>
  <si>
    <t>Financial inclusion; population health; Africa</t>
  </si>
  <si>
    <t>Financial inclusion and population health in Africa</t>
  </si>
  <si>
    <t>Immurana, Mustapha; Iddrisu, Abdul-Aziz; Boachie, Micheal Kofi; Dalaba, Maxwell Ayindenaba</t>
  </si>
  <si>
    <t>Immurana, M; Iddrisu, AA; Boachie, MK; Dalaba, MA</t>
  </si>
  <si>
    <t>WOS:000876858500002</t>
  </si>
  <si>
    <t>5U9KK</t>
  </si>
  <si>
    <t>10.1016/j.worlddev.2022.106110</t>
  </si>
  <si>
    <t>ablam_estel.apeti@uca.fr</t>
  </si>
  <si>
    <t>Apeti, AE (corresponding author), Univ Clermont Auvergne, CNRS, IRD, CERDI, F-63000 Clermont Ferrand, France.</t>
  </si>
  <si>
    <t>Universite Clermont Auvergne (UCA); Centre National de la Recherche Scientifique (CNRS); Institut de Recherche pour le Developpement (IRD)</t>
  </si>
  <si>
    <t>[Apeti, Ablam Estel] Univ Clermont Auvergne, CNRS, IRD, CERDI, F-63000 Clermont Ferrand, France</t>
  </si>
  <si>
    <t>Based on a sample of 76 developing countries over 1990-2019, we assess the effect of adopting mobile money on consumption volatility using entropy balancing. We reveal that countries with mobile money exhibit lower consumption volatility. After checking the robustness of this result, we show that the key drivers of mobile money's stabilizing effect are financial inclusion and migrant remittances. Heterogeneity tests conducted indicate the sensitivity of the result to time and type of mobile money and to some structural factors, including trade openness, inflation, rural population, the rule of law, and level of development. (c) 2022 Elsevier Ltd. All rights reserved.</t>
  </si>
  <si>
    <t>GROWTH VOLATILITY; PANEL EVIDENCE; CLIMATE-CHANGE; REMITTANCES; IMPACT; GLOBALIZATION; PRODUCTIVITY; ELECTRICITY; SANCTIONS; MARKETS</t>
  </si>
  <si>
    <t>Mobile money; Entropy balancing; Consumption volatility; Developing countries</t>
  </si>
  <si>
    <t>Household welfare in the digital age: Assessing the effect of mobile money on household consumption volatility in developing countries</t>
  </si>
  <si>
    <t>Apeti, Ablam Estel</t>
  </si>
  <si>
    <t>Apeti, AE</t>
  </si>
  <si>
    <t>WOS:000612545600048</t>
  </si>
  <si>
    <t>PZ2BR</t>
  </si>
  <si>
    <t>10.34069/AI/2020.29.05.48</t>
  </si>
  <si>
    <t>AMAZON. INVESTIG.</t>
  </si>
  <si>
    <t>AMAZON INVESTIG</t>
  </si>
  <si>
    <t>2322-6307</t>
  </si>
  <si>
    <t>SEDE PRINCIPAL CALLE 17 DIAGONAL 17 CON CARRERA 3F-BARRIO PORVENIR, FLORENCE, 00000, COLOMBIA</t>
  </si>
  <si>
    <t>FLORENCE</t>
  </si>
  <si>
    <t>UNIV AMAZONIA</t>
  </si>
  <si>
    <t>Egbo, Obiamaka/0000-0001-6109-7529; Okeke, Onuora/0000-0002-1989-7415; Igwemeka, Ebele/0000-0003-4816-0081</t>
  </si>
  <si>
    <t>Egbo, Obiamaka/H-1266-2019</t>
  </si>
  <si>
    <t>Egbo, OP (corresponding author), Univ Nigeria, Dept Banking &amp; Finance, Enugu Campus, Nsukka, Nigeria.</t>
  </si>
  <si>
    <t>University of Nigeria; University of Nigeria</t>
  </si>
  <si>
    <t>[Egbo, Obiamaka P.; Ezeaku, Hillary; Igwemeka, Ebele] Univ Nigeria, Dept Banking &amp; Finance, Enugu Campus, Nsukka, Nigeria; [Okeke, Onuora M.] Univ Nigeria, Dept Int &amp; Comparat Law, Enugu Campus, Nsukka, Nigeria</t>
  </si>
  <si>
    <t>This study analysed financial literacy and access for women entrepreneurs in Nigeria. The study is qualitative in nature and adopted an interpretive research design which employed an in-depth interviews with mainly well-informed women entrepreneurs to evaluate their interpretations and perceptions of the influence of financial access and literacy on woman entrepreneurship in Enugu Metropolis, South-Eastern Nigeria. A purposeful sampling approach comprising twenty women entrepreneurs was employed for this research. The results indicates that financial literacy was a critical factor in the growth of women-owned business, this is found especially in the business start-up phase Furthermore, our analysis revealed that revealed that financial skill is critical to the growth and smooth operation of female-owned business.</t>
  </si>
  <si>
    <t>Financial literacy; Financial Access; Women entrepreneurs; Nigeria</t>
  </si>
  <si>
    <t>AMAZONIA INVESTIGA</t>
  </si>
  <si>
    <t>Financial literacy and access: revisiting the bridges and barriers to women entrepreneurship in Nigeria</t>
  </si>
  <si>
    <t>Egbo, Obiamaka P.; Ezeaku, Hillary; Igwemeka, Ebele; Okeke, Onuora M.</t>
  </si>
  <si>
    <t>Egbo, OP; Ezeaku, H; Igwemeka, E; Okeke, OM</t>
  </si>
  <si>
    <t>WOS:000693689300005</t>
  </si>
  <si>
    <t>UN0BZ</t>
  </si>
  <si>
    <t>10.1016/j.wdp.2021.100311</t>
  </si>
  <si>
    <t>Cabrera-Barona, Pablo/AEP-0773-2022; JACOME, HUGO/MVW-5397-2025</t>
  </si>
  <si>
    <t>Alvarez-Gamboa, J (corresponding author), Fac Latinoamer Ciencias Sociales, Calle La Pradera E7-174 &amp; Av Diego de Almagro, Quito, Ecuador.</t>
  </si>
  <si>
    <t>[Alvarez-Gamboa, Javier; Cabrera-Barona, Pablo; Jacome-Estrella, Hugo] Fac Latinoamer Ciencias Sociales, Calle La Pradera E7-174 &amp; Av Diego de Almagro, Quito, Ecuador</t>
  </si>
  <si>
    <t>In recent years, studies on poverty and inequality have focused on financial inclusion as a mechanism to improve people's living conditions. This paper studies the impact of financial inclusion on multidimensional poverty in the provinces of Ecuador during the period 2015-2018. A synthetic index of financial inclusion was developed, using the principal components analysis methodology in two stages. Additionally, using SARAR-type spatial panel data models, space is added as an explanatory factor to identify the existence of spatial effects among the Ecuadors' provinces, such as dependency and heterogeneity. The results indicate that financial inclusion has a positive and significant effect on poverty alleviation. This study also shows the spatial heterogeneity of multidimensional poverty and financial inclusion, and can support provincial-level planning to tackle territorial inequalities.</t>
  </si>
  <si>
    <t>Financial inclusion; Multidimensional poverty; Spatial analysis</t>
  </si>
  <si>
    <t>Financial inclusion and multidimensional poverty in Ecuador: A spatial approach</t>
  </si>
  <si>
    <t>WOS:001586394900001</t>
  </si>
  <si>
    <t>8DY9A</t>
  </si>
  <si>
    <t>10.1002/ijfe.70062</t>
  </si>
  <si>
    <t>2025 OCT 4</t>
  </si>
  <si>
    <t>This work was supported by FCT, Fundacao para a Ciencia e aTecnologia, I.P., Projects: PTDC/EGE-OGE/31246/2017, UIDB/00315/2020.</t>
  </si>
  <si>
    <t>FCT, Fundacao para a Ciencia e aTecnologia, I.P.(Fundacao para a Ciencia e a Tecnologia (FCT))</t>
  </si>
  <si>
    <t>FCT, Fundacao para a Ciencia e aTecnologia, I.P. [PTDC/EGE-OGE/31246/2017, UIDB/00315/2020]</t>
  </si>
  <si>
    <t>Geraldes, Susana/0000-0002-6581-3454; Matias Gama, Ana Paula/0000-0002-8064-6244; Augusto, Mário/0000-0001-7345-1679;</t>
  </si>
  <si>
    <t>; Augusto, Mário/JXM-9470-2024; Gama, Ana Paula/A-2622-2011</t>
  </si>
  <si>
    <t>susana.geraldes@ubi.pt</t>
  </si>
  <si>
    <t>Geraldes, HSA (corresponding author), Univ Beira Interior, NECE, Covilha, Portugal.</t>
  </si>
  <si>
    <t>Universidade da Beira Interior; Instituto Universitario de Lisboa; Universidade da Beira Interior; Universidade de Coimbra</t>
  </si>
  <si>
    <t>[Geraldes, Helena Susana Amaral] Univ Beira Interior, NECE, Covilha, Portugal; [Gama, Ana Paula Matias] Inst Univ Lisboa ISCTE IUL, Business Res Unit BRU IUI, Lisbon, Portugal; [Gama, Ana Paula Matias] Univ Beira Interior, Covilha, Portugal; [Augusto, Mario] Univ Coimbra, Fac Econ, CeBER, Coimbra, Portugal</t>
  </si>
  <si>
    <t>This study analyses how financial literacy, financial inclusion, and financial resilience relate to financial well-being, controlling for individual objective characteristics and contextual factors. Relying on the 2020 Organisation for Economic Co-operation and Development International Survey of Adult Financial Literacy, it uses individual-level data of 17,789 respondents from 16 countries and applies a multilevel model. Results indicate that financial literacy, financial inclusion, and financial resilience enhance financial well-being. They also show that men, those who are younger, those with higher levels of education, and those who are employed have comparatively greater financial well-being. Further, the study accounts for contextual-level factors by adopting the sociodemographic (S), technological (T), economic (E), and political (P) spheres (STEP) approach, which shows that technological and political spheres are related to financial well-being. These findings highlight the need for combined analyses of multiple factors to explain financial well-being, which is deeply entrenched in local contexts with implications for policy issues related to the access to relevant resources that drive higher levels of financial well-being.</t>
  </si>
  <si>
    <t>ECONOMIC-FREEDOM; LITERACY; KNOWLEDGE; GENDER; CONFIDENCE; RESILIENCE; TERM</t>
  </si>
  <si>
    <t>contextual factors; financial inclusion; financial literacy; financial resilience; financial well-being</t>
  </si>
  <si>
    <t>Financial Well-Being: A Combined Analysis of Objective and Subjective Factors and Institutional Context</t>
  </si>
  <si>
    <t>Geraldes, Helena Susana Amaral; Gama, Ana Paula Matias; Augusto, Mario</t>
  </si>
  <si>
    <t>Geraldes, HSA; Gama, APM; Augusto, M</t>
  </si>
  <si>
    <t>WOS:001038168400001</t>
  </si>
  <si>
    <t>N6NZ3</t>
  </si>
  <si>
    <t>10.1186/s40854-023-00522-1</t>
  </si>
  <si>
    <t>Preziuso, Massimo/0000-0003-3737-982X; Ehrenhard, Michel/0000-0002-5608-9628; Koefer, Franziska/0000-0002-9406-0658</t>
  </si>
  <si>
    <t>; Ehrenhard, Michel/P-5871-2014</t>
  </si>
  <si>
    <t>m.preziuso@salford.ac.uk</t>
  </si>
  <si>
    <t>Preziuso, M (corresponding author), Univ Salford, Salford Business Sch, Directorate Law Econ Accounting &amp; Finance, Manchester M5 4WT, England.;Preziuso, M (corresponding author), Univ Twente, Fac Behav Management &amp; Social Sci BMS, Dept High Tech Business &amp; Entrepreneurship HBE, Drienerlolaan 5, NL-7522 NB Enschede, Netherlands.</t>
  </si>
  <si>
    <t>University of Salford; University of Twente</t>
  </si>
  <si>
    <t>[Preziuso, Massimo] Univ Salford, Salford Business Sch, Directorate Law Econ Accounting &amp; Finance, Manchester M5 4WT, England; [Preziuso, Massimo; Koefer, Franziska; Ehrenhard, Michel] Univ Twente, Fac Behav Management &amp; Social Sci BMS, Dept High Tech Business &amp; Entrepreneurship HBE, Drienerlolaan 5, NL-7522 NB Enschede, Netherlands</t>
  </si>
  <si>
    <t>In the European Union (EU), the revised Payment Services Directive (PSD2) aims to provide more convenient and customized financial products through open banking (OB) platforms. However, little attention has been paid to the role of OB in improving the financial well-being of the growing number of the EU's underserved groups, which currently constitute approximately a quarter of its population. This study examines how the PSD2 and OB impact inclusive finance in the EU based on the perspectives of the Netherlands' ecosystem, one of the leaders in the EU's financial technology (FinTech) landscape. A fundamental distinction can be drawn between the OB users and the ecosystem's players. Regarding the impact of financial services on the users' inclusivity, while the PSD2 strengthens the infrastructure necessary for financial inclusion, many challenges remain, mainly because it was not designed for this purpose. This study identifies several areas of improvement that include adjustments to the know your customer and anti-money laundering processes for underserved customers, innovative ways to communicate the PSD2's potential, and the regulation of technology providers' activities to build trust. Meanwhile, from the ecosystem's position, there is a need to strengthen and improve microfinance regulation according to the opportunities provided by the PSD2 to support microfinance institutions (MFIs) in scaling up and reaching underserved clients across borders with innovative services. OB improvements can also be achieved by organizations formed by MFIs and FinTechs in collaboration with banks. Such hybrid institutions will combine the best features of each of them: knowledge of the needs of local underserved clients from MFIs, technological innovations from FinTechs, and large and trusted customer bases, infrastructures, and access to institutional investments and governments from banks. Finally, an EU inclusive OB sector depends on the centrality of trusted regulators as coordination bodies.</t>
  </si>
  <si>
    <t>FINTECH; INNOVATION; SERVICES; ADOPTION; ACCESS</t>
  </si>
  <si>
    <t>The Revised Payment Services Directive (PSD2); Open banking; Inclusive finance; Ecosystems; FinTech; The Netherlands; The European Union</t>
  </si>
  <si>
    <t>Open banking and inclusive finance in the European Union: perspectives from the Dutch stakeholder ecosystem</t>
  </si>
  <si>
    <t>Preziuso, Massimo; Koefer, Franziska; Ehrenhard, Michel</t>
  </si>
  <si>
    <t>Preziuso, M; Koefer, F; Ehrenhard, M</t>
  </si>
  <si>
    <t>WOS:001458190500001</t>
  </si>
  <si>
    <t>0XG1K</t>
  </si>
  <si>
    <t>10.1016/j.pacfin.2025.102731</t>
  </si>
  <si>
    <t>We thank the editor Xiaoyun Yu and the anonymous referee for their constructive comments. We also gratefully feedback from Jie Bai, Yu Bai, Wei Liu, and Shouzhi Xia and data support from Zeqing Zheng, Yunyang Lv. This project by JSPS, Japan KAKENHI Grant Number 23K12461.</t>
  </si>
  <si>
    <t>JSPS, Japan KAKENHI(Ministry of Education, Culture, Sports, Science and Technology, Japan (MEXT)Japan Society for the Promotion of ScienceGrants-in-Aid for Scientific Research (KAKENHI))</t>
  </si>
  <si>
    <t>JSPS, Japan KAKENHI [23K12461]</t>
  </si>
  <si>
    <t>Zhang, Chen/0009-0006-8685-5588; Li, Yanjun/0000-0002-6650-5031</t>
  </si>
  <si>
    <t>Zhang, Chen/N-2344-2018</t>
  </si>
  <si>
    <t>zhangchen34349@whu.edu.cn; li.yanjun.b1@tohoku.ac.jp</t>
  </si>
  <si>
    <t>Li, YJ (corresponding author), Tohoku Univ, Grad Sch Econ &amp; Management, 27-1 Kawauchi,Aoba Ku, Sendai, Miyagi 9808576, Japan.</t>
  </si>
  <si>
    <t>Wuhan University; Tohoku University</t>
  </si>
  <si>
    <t>[Zhang, Chen] Wuhan Univ, Econ &amp; Management Sch, Luojia Hill, Wuhan 430072, Hubei, Peoples R China; [Li, Yanjun] Tohoku Univ, Grad Sch Econ &amp; Management, 27-1 Kawauchi,Aoba Ku, Sendai, Miyagi 9808576, Japan</t>
  </si>
  <si>
    <t>Digital inclusive finance (DIF) is progressively reshaping traditional banking through innovative technology to address global challenges. The wide range of digital products and provided by DIF empowers enterprises, enhancing profitability and local competitiveness. study systematically investigates the impact of DIF on firm creditworthiness, measured or blacklisting in the National Enterprise Credit Information Publicity System. Using firm panel data from small and micro agricultural enterprises, we find that higher county-level indices significantly reduce the likelihood of blacklisting while increasing red-listing. The influential factors are credit investigations and online investment trends. Notably, firms had previously faced unfavorable loan conditions due to factors like ownership, size, or benefited the most from DIF.</t>
  </si>
  <si>
    <t>MOBILE MONEY; ACCESS; INFORMATION; TECHNOLOGY; INVESTMENT; CREDIT</t>
  </si>
  <si>
    <t>Digital inclusive finance Agricultural enterprises Creditworthiness Red-listing and blacklisting NECIPS</t>
  </si>
  <si>
    <t>Digital inclusive finance harvest: Cultivating creditworthiness for small agricultural businesses</t>
  </si>
  <si>
    <t>Zhang, Chen; Li, Yanjun</t>
  </si>
  <si>
    <t>Zhang, C; Li, YJ</t>
  </si>
  <si>
    <t>WOS:001358255000001</t>
  </si>
  <si>
    <t>10.1080/19439342.2024.2428672</t>
  </si>
  <si>
    <t>deloach@elon.edu</t>
  </si>
  <si>
    <t>Deloach, S (corresponding author), Elon Univ, Dept Econ, Campus Box 2075, Elon, NC 27244 USA.</t>
  </si>
  <si>
    <t>Elon University</t>
  </si>
  <si>
    <t>[Deloach, Stephen] Elon Univ, Dept Econ, Elon, NC USA; [Rasmussen, Alexa] NERA Econ Consulting, New York, NY USA</t>
  </si>
  <si>
    <t>In 2016, the United Nations changed the focus of refugee policies from one of humanitarian aid to one focused on economic development and self-reliance. In this paper, we analyse the impact of savings-led microfinance on South Sudanese refugees in Uganda. Due to non-randomisation, we implement doubly robust, difference-in-difference estimation. Results suggest that refugee members of a popular village savings and loan programme significantly increase their savings and borrowing relative to non-member refugees, and experience significant improvements in several key indicators, including food security, home improvement, and income-generating assets. After participation, refugees are better positioned to preserve assets in response to future unexpected and infrequent expenditures. Key mechanisms may include improved financial access and socially proximate peer monitoring. The results suggest that finding ways to better-leverage group affinity and build social cohesion could increase the effectiveness of similar programmes aimed at helping refugees.</t>
  </si>
  <si>
    <t>HOST COMMUNITIES; MICROCREDIT; CREDIT; SHOCKS</t>
  </si>
  <si>
    <t>Refugees; microfinance; savings; doubly robust; difference-in-differences; Uganda</t>
  </si>
  <si>
    <t>The impact of savings-led microfinance on the lives of refugees</t>
  </si>
  <si>
    <t>Deloach, Stephen; Rasmussen, Alexa</t>
  </si>
  <si>
    <t>Deloach, S; Rasmussen, A</t>
  </si>
  <si>
    <t>WOS:000326644200001</t>
  </si>
  <si>
    <t>247TL</t>
  </si>
  <si>
    <t>10.1093/cje/bet042</t>
  </si>
  <si>
    <t>jayatijnu@gmail.com</t>
  </si>
  <si>
    <t>Ghosh, J (corresponding author), Jawaharlal Nehru Univ, Sch Social Sci, Ctr Econ Studies &amp; Planning, New Delhi 110067, India.</t>
  </si>
  <si>
    <t>Jawaharlal Nehru University, New Delhi</t>
  </si>
  <si>
    <t>[Ghosh, Jayati] Jawaharlal Nehru Univ, New Delhi 110067, India</t>
  </si>
  <si>
    <t>This article provides a review of the recent literature on microfinance in developing countries and a critical assessment of its effectiveness. It examines the experience of India, which has one of the largest microfinance sectors in the world, and particularly the unfolding of the microfinance crisis in Andhra Pradesh. It concludes that microfinance cannot be seen as a silver bullet for development and that profit-oriented microfinance institutions are problematic. To fulfil even some of its progressive goals, it must be regulated and subsidised, and other strategies for viable financial inclusion of the poor and of small producers must be more actively pursued.</t>
  </si>
  <si>
    <t>COMPETITION</t>
  </si>
  <si>
    <t>Microfinance; Financial development; Development; Poverty reduction; Financial crisis; G21; O16</t>
  </si>
  <si>
    <t>Microfinance and the challenge of financial inclusion for development</t>
  </si>
  <si>
    <t>WOS:000269191600054</t>
  </si>
  <si>
    <t>BKT52</t>
  </si>
  <si>
    <t>978-3-642-02766-6</t>
  </si>
  <si>
    <t>Toyama, Kentaro/0000-0002-9128-2255</t>
  </si>
  <si>
    <t>indranim@microsoft.com; aratan@microsoft.com; kentoy@microsoft.com</t>
  </si>
  <si>
    <t>Medhi, I (corresponding author), Microsoft Res India, Scientia, 196-36 Sadashivnagar, Bangalore 560080, Karnataka, India.</t>
  </si>
  <si>
    <t>[Medhi, Indrani; Ratan, Aishwarya; Toyama, Kentaro] Microsoft Res India, Scientia, Bangalore 560080, Karnataka, India</t>
  </si>
  <si>
    <t>Due to the increasing penetration of mobile phones even in poor communities, mobile-phone-enabled banking (m-banking) services are being increasingly targeted at the unbanked to bring formal financial services to the poor. Research in understanding actual usage and adoption by this target population, though, is sparse. There appear to be a number of issues which prevent low-income, low-literate populations from meaningfully adopting and using existing m-banking services. This paper examines variations across countries in adoption and usage of existing in-banking services by low-literate, low-income individuals and possible factors responsible for the same. It is observed that variations are along several parameters: household type, services adopted, pace of uptake, frequency of usage, and ease of use. Each of these observations is followed by a set of explanatory factors that mediate adoption and usage.</t>
  </si>
  <si>
    <t>m-banking; mobile UX; financial inclusion; economic development</t>
  </si>
  <si>
    <t>San Diego, CA</t>
  </si>
  <si>
    <t>JUL 19-24, 2009</t>
  </si>
  <si>
    <t>3rd International Conference on Internationalization, Design and Global Decelopment held at the 13th International Conference on Human Computer Interaction</t>
  </si>
  <si>
    <t>INTERNATIONALIZATION, DESIGN AND GLOBAL DEVELOPMENT, PROCEEDINGS</t>
  </si>
  <si>
    <t>Mobile-Banking Adoption and Usage by Low-Literate, Low-Income Users in the Developing World</t>
  </si>
  <si>
    <t>Aykin, N</t>
  </si>
  <si>
    <t>Medhi, Indrani; Ratan, Aishwarya; Toyama, Kentaro</t>
  </si>
  <si>
    <t>Medhi, I; Ratan, A; Toyama, K</t>
  </si>
  <si>
    <t>WOS:001490856500001</t>
  </si>
  <si>
    <t>2TJ5T</t>
  </si>
  <si>
    <t>10.1108/JEAS-10-2024-0402</t>
  </si>
  <si>
    <t>2025 MAY 20</t>
  </si>
  <si>
    <t>, Neelam Jain/0009-0009-1720-7677; Singla, Muskan/0009-0009-4450-9240</t>
  </si>
  <si>
    <t>muskan.rs.imsar@mdurohtak.ac.in; profnjain@mdurohtak.ac.in; poojarani.rs.imsar@mdurohtak.ac.in</t>
  </si>
  <si>
    <t>Jain, N (corresponding author), Maharshi Dayanand Univ, Inst Management Studies &amp; Res, Rohtak, India.</t>
  </si>
  <si>
    <t>[Singla, Muskan; Jain, Neelam; Rani, Pooja] Maharshi Dayanand Univ, Inst Management Studies &amp; Res, Rohtak, India</t>
  </si>
  <si>
    <t>PurposeThis study aims to explore the relationship between demographic factors and Fintech adoption in emerging economies, analyzing patterns across segments to identify key drivers and barriers shaping adoption trends and consumer preferences.Design/methodology/approachThis study integrates longitudinal data (2011-2021) for 15 emerging economies from the Global Findex Database, Human Development Index, Sustainable Development Goals Index and Information and Communications Technology (ICT) Indicators for a comprehensive Fintech adoption analysis. It introduces three composite indices - Economic, ICT Infrastructure and Financial Infrastructure Scores - ensuring a structured, comparative approach. Triangulating diverse datasets provides granular insights into economic, technological and financial drivers of Fintech adoption.FindingsEconomically stronger nations exhibit higher Fintech Scores, reflecting greater digital financial adoption. However, socioeconomic, regulatory and technological factors create deviations. While advanced ICT and robust banking systems facilitate Fintech growth, adoption varies due to regulatory policies, cultural attitudes and consumer behavior, highlighting the need for context-specific strategies.Research limitations/implicationsThe study's reliance on aggregated data may overlook intra-country regional disparities and does not fully account for cultural and behavioral nuances influencing Fintech adoption.Practical implicationsTailored strategies are essential to enhancing digital literacy, fostering trust in Fintech solutions and mitigating barriers faced by underserved segments. Policymakers and stakeholders must prioritize inclusive regulatory frameworks and investments in ICT and financial infrastructure to bridge accessibility gaps.Originality/valueThis study adds novel insights into the demographic dynamics of Fintech adoption in developing economies, contributing to the growing body of literature on financial inclusion and technological innovation.</t>
  </si>
  <si>
    <t>Fintech adoption; Demographic factors; Emerging economies; Financial inclusion; Technological innovation; Multidimensional approach</t>
  </si>
  <si>
    <t>Fintech adoption in emerging economies: exploring demographic patterns and preferences</t>
  </si>
  <si>
    <t>Singla, Muskan; Jain, Neelam; Rani, Pooja</t>
  </si>
  <si>
    <t>Singla, M; Jain, N; Rani, P</t>
  </si>
  <si>
    <t>WOS:000590999000001</t>
  </si>
  <si>
    <t>PA0CM</t>
  </si>
  <si>
    <t>10.1007/s40804-020-00200-0</t>
  </si>
  <si>
    <t>Lee, Joseph/0000-0001-7006-5916</t>
  </si>
  <si>
    <t>j.lee@exeter.ac.uk</t>
  </si>
  <si>
    <t>Lee, J (corresponding author), Univ Exeter, Sch Law, Exeter, Devon, England.</t>
  </si>
  <si>
    <t>University of Exeter</t>
  </si>
  <si>
    <t>[Lee, Joseph] Univ Exeter, Sch Law, Exeter, Devon, England</t>
  </si>
  <si>
    <t>This paper discusses the design of the legal and regulatory framework for using artificial intelligence (AI) in the financial services markets to enhance access to finance (financial inclusion). The author argues that the development of AI should continue to adhere to the regulatory objectives of market safety, consumer protection, and market integrity. However, to ensure equality and fairness, access to finance should be made a clear policy choice. In the first part, the author discusses how AI can lead to systemic risks and market manipulation on trading platforms. For example, by examining the use of algorithms for trading on the capital market, the author discerns the regulatory objectives and the possible methods of regulation for peer-to-peer platforms. In the second part, the author discusses how the use of AI to provide consumers with investment advice, such as financial advice provided from robo-advisers, can close the investment advisory gap and provide consumers with access to finance. The current regime does not provide adequate protection to financial consumers in this regard. In the third part, the author discusses how AI can be used as a form of RegTech to streamline compliance processes, thereby increasing competition in financial markets and providing a benefit to consumers. However, this use may be in conflict with privacy, data protection, and ethical concerns. The author makes policy recommendations and suggests some directions for governance in the use of AI in financial services to enhance access to finance. The findings of this paper are relevant to research on the future governance of AI in financial services, public policy innovation, and urban development.</t>
  </si>
  <si>
    <t>AI; Financial services; Access to finance; Investor protection; GDPR; Privacy rights</t>
  </si>
  <si>
    <t>Access to Finance for Artificial Intelligence Regulation in the Financial Services Industry</t>
  </si>
  <si>
    <t>Lee, Joseph</t>
  </si>
  <si>
    <t>Lee, J</t>
  </si>
  <si>
    <t>WOS:000938266200001</t>
  </si>
  <si>
    <t>E2IZ8</t>
  </si>
  <si>
    <t>10.1108/GM-04-2022-0125</t>
  </si>
  <si>
    <t>Arshad, Ameena/0000-0002-3908-5801</t>
  </si>
  <si>
    <t>ameena.arshad@gmail.com</t>
  </si>
  <si>
    <t>Arshad, A (corresponding author), COMSATS Univ Islamabad, Dept Management Sci, Attock Campus, Attock, Pakistan.</t>
  </si>
  <si>
    <t>[Arshad, Ameena] COMSATS Univ Islamabad, Dept Management Sci, Attock Campus, Attock, Pakistan</t>
  </si>
  <si>
    <t>PurposeThis paper aims to conduct an empirical investigation of how financial inclusion impacts women empowerment. Then, it examines the overall effect of various dimensions of financial inclusion on women empowerment in developing countries using the panel data for the time period of 2004-2019. Design/methodology/approachTo overcome the problem of endogeneity, the study has used a fixed-effect model, two-stage least square GMM estimation techniques. Secondary data was collected from various websites such as WDI, UNICEF and UNESCO. FindingsThe results show that generally, the influence of financial inclusion on women empowerment is positive, confirming previous empirical literature results. The study found evidence that if there is more financial inclusion in the country, it will benefit women by enabling them to see their qualities and skills, which make them strong and dominant. Proper development and enhancement of those skills are only possible if proper education, awareness and space are given to express oneself. According to the results, financial development, gender parity index and women's employment positively affects women empowerment, while gender discrimination has a negative impact on women empowerment. The study highlights that to encourage women empowerment in developing countries. Governments and policymakers have to carefully check and reconsider that what are the most optimal financial inclusion programs that will help to improve the women empowerment in the country. Practical implicationsThe study highlights that to encourage women empowerment in developing countries, governments and policymakers have to carefully check and reconsider what are the most optimal financial inclusion programs that will help to improve women empowerment in the country. Originality/valueThe literature does not clearly show the impact of financial inclusion dimensions on women empowerment in developing countries. Therefore, there is a need to use all the dimensions of financial inclusion to check the overall impact on women empowerment in developing countries. For this purpose, the financial inclusion index is developed. A new dimension of non-life insurance is introduced, which has not been used previously by any researcher to check financial inclusion impact.</t>
  </si>
  <si>
    <t>POVERTY; GENDER; SPECIFICATION; MICROFINANCE; HEALTH</t>
  </si>
  <si>
    <t>Women empowerment; Financial inclusion; Female-headed households; Developing countries</t>
  </si>
  <si>
    <t>Nexus between financial inclusion and women empowerment: evidence from developing countries</t>
  </si>
  <si>
    <t>Arshad, Ameena</t>
  </si>
  <si>
    <t>Arshad, A</t>
  </si>
  <si>
    <t>WOS:001604218900005</t>
  </si>
  <si>
    <t>9EE4Q</t>
  </si>
  <si>
    <t>10.20448/ijsam.v9i1.7259</t>
  </si>
  <si>
    <t>sripurnama@undhirabali.ac.id</t>
  </si>
  <si>
    <t>Pradnyani, NLPSP (corresponding author), Univ Dhyana Pura, Fac Business Tourism Educ &amp; Humanities, Accounting Study Program, Jl Raya Padang Luwih, Badung 80361, Indonesia.</t>
  </si>
  <si>
    <t>[Pradnyani, Ni Luh Putu Sri Purnama; Wasita, Putu Aristya Adi] Univ Dhyana Pura, Accounting Study Program, Badung, Indonesia; [Mendra, Ni Putu Yuria] Univ Mahasaraswati Denpasar, Accounting Study Program, Denpasar, Indonesia</t>
  </si>
  <si>
    <t>This research was to analyze the influence of technology and sustainability strategies on the sustainability of Micro, Small, and Medium Enterprises (MSMEs) in Bali. The variables in this research consisted of Business Sustainability that includes growth, strategy, and financial structure; Financial Technology that is measured through usability, ease of use, and risk; Financial Literacy that inclueds financial knowledge, behavior, and attitudes; and Financial Inclusion that includes access, use, and quality of financial services. Furthermore, Sustainable Strategy involves regulatory compliance, economic engagement. This study used a quantitative method with a survey design with the data, collected through questionnaires distributed to 330 MSME owners. Data analysis was conducted using SmartPLS to explore the relationship between variables and the moderating effect of sustainability strategies. The results of the study showed that financial technology, financial literacy, and financial inclusion had a positive effect on the sustainability of MSME businesses. In addition, sustainability strategies had been shown to strengthen the influence of financial technology, financial literacy, and financial inclusion on business sustainability. These findings provided important insights for stakeholders in formulating policies that support the development of sustainable MSMEs that, not only focus on profitability, but also on social and environmental impacts, in line with the Triple Bottom Line (TBL) principle.</t>
  </si>
  <si>
    <t>SMES</t>
  </si>
  <si>
    <t>business sustainability; technology; sustainable strategy; MSMEs; triple bottom line</t>
  </si>
  <si>
    <t>Integration of Fintech, Financial Literacy, and Financial Inclusion with Sustainability Strategy to Support Business Sustainability Micro, Small and Medium Enterprises</t>
  </si>
  <si>
    <t>Pradnyani, Ni Luh Putu Sri Purnama; Wasita, Putu Aristya Adi; Mendra, Ni Putu Yuria</t>
  </si>
  <si>
    <t>Pradnyani, NLPSP; Wasita, PAA; Mendra, NPY</t>
  </si>
  <si>
    <t>WOS:000387901600003</t>
  </si>
  <si>
    <t>10.1093/sw/sww057</t>
  </si>
  <si>
    <t>West, Stacia/0000-0001-8806-2318</t>
  </si>
  <si>
    <t>west.stacia@gmail.com</t>
  </si>
  <si>
    <t>West, S (corresponding author), Univ Tennessee Knoxville, Coll Social Work, 193 Polk Ave, Nashville, TN 37210 USA.</t>
  </si>
  <si>
    <t>University of Tennessee System; University of Tennessee Knoxville; University of Kansas</t>
  </si>
  <si>
    <t>[West, Stacia] Univ Tennessee Knoxville, Coll Social Work, 193 Polk Ave, Nashville, TN 37210 USA; [Friedline, Terri] Univ Kansas, Sch Social Welf, Lawrence, KS 66045 USA</t>
  </si>
  <si>
    <t>Lower-income millennials make important financial decisions that may affect their future financial well-being. With limited resources, this population is at risk for acquiring too much debt or being unprepared for a financial emergency that can send them further into poverty and constrain their ability to leverage resources for future economic mobility. A financial capability approach, an intervention that combines financial education with financial inclusion through the use of a savings account, may correlate with millennials' healthy financial behaviors. This study used data from the 2012 National Financial Capability Study to examine the relationship between financial capability and the financial behaviors of lower-income millennials between the ages of 18 and 34 years (N = 2,578). Compared with those lower-income millennials who were financially excluded, those who were financially capable were also 171 percent more likely to afford an unexpected expense, 182 percent more likely to save for emergencies, and 34 percent less likely to carry too much debt, relating to their greater overall financial satisfaction. The findings of this study indicate that interventions that develop lower-income millennials' financial capability may be effective for promoting healthy financial behaviors.</t>
  </si>
  <si>
    <t>MISSING DATA; WORK; VIEW</t>
  </si>
  <si>
    <t>debt; emergency savings; financial capability; low income; young adults</t>
  </si>
  <si>
    <t>Coming of Age on a Shoestring Budget: Financial Capability and Financial Behaviors of Lower-Income Millennials</t>
  </si>
  <si>
    <t>West, Stacia; Friedline, Terri</t>
  </si>
  <si>
    <t>West, S; Friedline, T</t>
  </si>
  <si>
    <t>WOS:001109335900001</t>
  </si>
  <si>
    <t>Z0VD0</t>
  </si>
  <si>
    <t>10.1177/21582440231208927</t>
  </si>
  <si>
    <t>The author(s) disclosed receipt of the following financial support for the research, authorship, and/or publication of this article: Marcos Alvarez-Espino acknowledges financial support from the Spanish Ministry of Universities through the FPU grant (Ayudas para la Formacion del Profesorado Universitario) [FPU grant: FPU21/03287]. The authors acknowledge the support of the Conselleria de Cultura, Educacion e Universidade through the Axudas para a consolidacion e estruturacion de unidades de investigacion competitivas.</t>
  </si>
  <si>
    <t>Spanish Ministry of Universities through the FPU grant (Ayudas para la Formacion del Profesorado Universitario) [FPU grant]; Conselleria de Cultura, Educacion e Universidade through the Axudas para a consolidacion e estruturacion de unidades de investigacion competitivas</t>
  </si>
  <si>
    <t>Spanish Ministry of Universities through the FPU grant (Ayudas para la Formacion del Profesorado Universitario) [FPU grant] [FPU21/03287]; Conselleria de Cultura, Educacion e Universidade through the Axudas para a consolidacion e estruturacion de unidades de investigacion competitivas</t>
  </si>
  <si>
    <t>Álvarez-Espiño, Marcos/0000-0002-9514-7544</t>
  </si>
  <si>
    <t>fernandez-lopez, sara/AAN-4536-2020; Rey-Ares, Lucia/AAA-1093-2020; Álvarez-Espiño, Marcos/HIR-6303-2022</t>
  </si>
  <si>
    <t>Alvarez-Espiñno, M (corresponding author), Fac Econ &amp; Business, Ave Burgo Nacions S-N, Santiago De Compostela 15782, Spain.</t>
  </si>
  <si>
    <t>Universidade de Santiago de Compostela</t>
  </si>
  <si>
    <t>[Fernandez-Lopez, Sara; Alvarez-Espino, Marcos; Rey-Ares, Lucia] Univ Santiago De Compostela, Santiago De Compostela, Spain; [Alvarez-Espino, Marcos] Fac Econ &amp; Business, Ave Burgo Nacions S-N, Santiago De Compostela 15782, Spain</t>
  </si>
  <si>
    <t>In the aftermath of the 2007-08 financial crisis, the worsening financial conditions of households increased concerns about their financial vulnerability (FV). In this context, policymakers embraced the notion of financial knowledge to foster sound financial behaviors among individuals and households, aiming to mitigate the detrimental effects of FV on households' financial wellbeing and the overall economy. However, the relationship between FV and financial literacy remains inconclusive. This lack of definitive findings may stem from limitations in measuring FV and narrow focus on specific dimensions of financial literacy. This paper analyzes the relationship between financial literacy and FV by creating a comprehensive measure of (the level of) FV and considering different dimensions of financial literacy. Using a sample of 8,554 individuals in Spain obtained from the 2016-17 Survey of Financial Competences, we construct a continuous measure of FV by using Nonlinear Principal Components Analysis (NLPCA). Then, we employ OLS and ordered probit regressions to examine the potential association between different dimensions of financial literacy and FV. The findings indicate that the level of FV is negatively related to self-perceived financial knowledge, while no statistically significant relationship is found regarding objective financial knowledge. Evidence also reveals that highly financially included individuals are more likely to exhibit financial resilience. These findings highlight the need for the development of financial education initiatives that are action-oriented.</t>
  </si>
  <si>
    <t>HOUSEHOLDS EVIDENCE; MILLENNIALS; EDUCATION</t>
  </si>
  <si>
    <t>financial knowledge; financial capability; Nonlinear Principal Components Analysis (NLPCA); linear regression model; ordered probit regression model</t>
  </si>
  <si>
    <t>A Comprehensive Approach to Measuring Financial Vulnerability and Literacy: Unveiling Connections</t>
  </si>
  <si>
    <t>Fernandez-Lopez, Sara; Alvarez-Espino, Marcos; Rey-Ares, Lucia</t>
  </si>
  <si>
    <t>Fernández-López, S; Alvarez-Espiñno, M; Rey-Ares, L</t>
  </si>
  <si>
    <t>WOS:000415099000027</t>
  </si>
  <si>
    <t>FM5SI</t>
  </si>
  <si>
    <t>10.1108/IJSE-05-2015-0117</t>
  </si>
  <si>
    <t>Mehta, Atul/0000-0003-2764-3914</t>
  </si>
  <si>
    <t>f11atulm@iimidr.ac.in</t>
  </si>
  <si>
    <t>Mehta, A (corresponding author), SRM Univ, SRM Sch Management, Kattankulathur Campus, Madras, Tamil Nadu, India.</t>
  </si>
  <si>
    <t>SRM Institute of Science &amp; Technology Chennai; Indian Institute of Management (IIM System); Indian Institute of Management Indore</t>
  </si>
  <si>
    <t>[Mehta, Atul] SRM Univ, SRM Sch Management, Kattankulathur Campus, Madras, Tamil Nadu, India; [Bhattacharya, Joysankar] Indian Inst Management Indore, Dept Econ, Indore, Madhya Pradesh, India</t>
  </si>
  <si>
    <t>Purpose - The purpose of this paper is to examine the direct (microcredit), medium-direct (bank credit), and indirect (through economic growth) effect of financial sector development (FSD) on rural-urban consumption inequality (RUCI) in India using state-wise annual data from 1999-2000 to 2011-2012. Design/methodology/approach - A panel data analysis for a sample of 15 major Indian states using the generalized method of moments estimators provides an empirical evidence for the direct (microcredit), medium-direct (bank credit), and indirect (economic growth) effect of FSD on RUCI. Findings - FSD is pro-urban in India resulting in a declining rural-urban consumption ratio (RUCR) and increasing RUCI. The negative effect of FSD on RUCR is greatest through the medium-direct channel followed by the indirect and direct channels. Research limitations/implications - The study questions the social banking initiatives of the government in rural areas where more than 80 percent of the poor reside. There is a need for restructuring financial inclusion programs with a shift in their focus on rural areas and an improved mechanism to target the poor. Originality/value - The paper proposes that formal financial services by banks are primarily availed by non-poor and urban population and hence acts as a medium-direct channel whereas the semi-formal financial services by microfinance institutions specifically target the rural poor and act as a direct channel to affect the poor. It is the first ever study to use state-wise data on microcredit disbursed under Self-help Group Bank Linkage Program to assess the direct impact of FSD on RUCI.</t>
  </si>
  <si>
    <t>ECONOMIC-GROWTH; INCOME INEQUALITY; POVERTY REDUCTION; STOCHASTIC REGRESSORS; NORTHEAST THAILAND; ALTERNATIVE TESTS; CREDIT PROGRAMS; MICROFINANCE; CAUSALITY; IMPACT</t>
  </si>
  <si>
    <t>Microcredit; Inequality; Financial sector development; SBLP</t>
  </si>
  <si>
    <t>Channels of financial sector development and rural-urban consumption inequality in India</t>
  </si>
  <si>
    <t>Mehta, Atul; Bhattacharya, Joysankar</t>
  </si>
  <si>
    <t>Mehta, A; Bhattacharya, J</t>
  </si>
  <si>
    <t>WOS:000506256800009</t>
  </si>
  <si>
    <t>KB1JH</t>
  </si>
  <si>
    <t>10.1108/JIMA-02-2017-0020</t>
  </si>
  <si>
    <t>DEC 7</t>
  </si>
  <si>
    <t>Yahaya, Sani/0000-0001-7866-0576</t>
  </si>
  <si>
    <t>SHINKAFI, AKILU/AAY-5581-2021; Yahaya, Sani/F-1163-2019</t>
  </si>
  <si>
    <t>aliyuakilu1@gmail.com</t>
  </si>
  <si>
    <t>Shinkafi, AA (corresponding author), Univ Malaya, Dept Islamic Econ, Kuala Lumpur, Malaysia.;Shinkafi, AA (corresponding author), Zamfara State Coll Educ, Dept Islamic Studies, Maru, Nigeria.</t>
  </si>
  <si>
    <t>Universiti Malaya; Bayero University</t>
  </si>
  <si>
    <t>[Shinkafi, Akilu Aliyu] Univ Malaya, Dept Islamic Econ, Kuala Lumpur, Malaysia; [Shinkafi, Akilu Aliyu] Zamfara State Coll Educ, Dept Islamic Studies, Maru, Nigeria; [Yahaya, Sani] Abdu Gusau Polytech, Dept Islamic Banking &amp; Finance, Talata Mafara, Nigeria; [Sani, Tijjani Alhaji] Bayero Univ Kano, Sch Continuous Educ, Kano, Nigeria</t>
  </si>
  <si>
    <t>Purpose The purpose of this paper is to evolve a theoretical account that highlights the determinations for achieving financial inclusion in Islamic finance. Design/methodology/approach The methodology used is a library approach where the existing and relevant document remains the sources of concern. Findings The outcome of the study designates that robust technology; microcredit and microfinance services; legal and regulatory commitment of the regulators and policymakers of the Islamic financial institutions; extensive public awareness of Islamic financial services and products; financial proficiency and literacy; and financial infrastructure are some of the imperative drives for realising financial inclusion particularly for women, low income earners and rural poor. Research limitations/implications - The paper limited itself to realising financial inclusion in Islamic finance. Thus, anything beyond the stated limitation is outside the scope of our objective. The paper has an inference for the concerned professional bodies, regulators, policymakers, stakeholders and practitioners of Islamic financial institutions. Originality/value The paper is original in its nature, it is also a pearl and a reference to those who may conceive and cherish the relevance of its capacity.</t>
  </si>
  <si>
    <t>CUSTOMER SATISFACTION; POVERTY REDUCTION; BANKING; EXCLUSION; SUPERVISION; COUNTRIES; AWARENESS; PRODUCTS; POOR</t>
  </si>
  <si>
    <t>Islamic; Inclusion; Finance</t>
  </si>
  <si>
    <t>Realising financial inclusion in Islamic finance</t>
  </si>
  <si>
    <t>Shinkafi, Akilu Aliyu; Yahaya, Sani; Sani, Tijjani Alhaji</t>
  </si>
  <si>
    <t>Shinkafi, AA; Yahaya, S; Sani, TA</t>
  </si>
  <si>
    <t>WOS:000968519000001</t>
  </si>
  <si>
    <t>D4NQ4</t>
  </si>
  <si>
    <t>10.1016/j.heliyon.2023.e13085</t>
  </si>
  <si>
    <t>e13085</t>
  </si>
  <si>
    <t>Pillai, Rekha/0000-0002-0086-5472; Kumar, Parul/0000-0003-1150-9294; Sharif, Taimur/0000-0002-4908-0756;</t>
  </si>
  <si>
    <t>; Kumar, Parul/AAM-7015-2021; Sharif, Taimur/AFB-8978-2022; Islam, Md Aminul/AGK-3778-2022</t>
  </si>
  <si>
    <t>r.pillai@ajman.ac.ae</t>
  </si>
  <si>
    <t>Pillai, R (corresponding author), Ajman Univ, Coll Business Adm, Ajman, U Arab Emirates.</t>
  </si>
  <si>
    <t>Universiti Malaysia Perlis; Ajman University; Birmingham Newman University</t>
  </si>
  <si>
    <t>[Kumar, Parul] Delhi Skill &amp; Entrepreneurship Univ, Sch Banking Financial Serv &amp; Insurance, Medina, India; [Islam, Md Aminul] Univ Malaysia Perlis, Fac Appl &amp; Human Sci, Arau, Malaysia; [Pillai, Rekha] Ajman Univ, Coll Business Adm, Ajman, U Arab Emirates; [Sharif, Taimur] Newman Univ Birmingham, Sch Business, Birmingham, England</t>
  </si>
  <si>
    <t>Adding to the behavioural science domain, the principal idea behind the study is to investigate the impact of an array of behavioural, psychological, and demographic factors on financial de-cision making. The study utilizes a structured questionnaire to collect the opinions of 634 in-vestors using a blend of random and snowball sampling techniques. The partial least squares structural equation modelling has been used to test hypotheses. PLS Predict has been applied to estimate the out-of-sample predictive power of the proposed model. Finally, the multi-group analysis has been applied to assess the differences across gender. Our findings attest the rele-vance of digital financial literacy, financial capability, financial autonomy, and impulsivity on financial decision making. Additionally, financial capability partially mediates the nexus between digital financial literacy and financial decision making. Also, Impulsivity negatively moderates the relationship between financial capability and financial decision making. The overall results of this comprehensive and unique study portray the influence that various psychological, behav-ioural, and demographic factors have on financial decision making, favouring the design of a feasible and lucrative financial portfolio to ensure financial well-being of households in the long run.</t>
  </si>
  <si>
    <t>LITERACY; IMPULSIVITY; CAPABILITY; MODEL; VALIDATION; FREQUENCY; KNOWLEDGE; EDUCATION; AUTONOMY; CREDIT</t>
  </si>
  <si>
    <t>Financial literacy; Financial autonomy; Financial attitude; Financial capability; Behavioural finance; Impulsivity</t>
  </si>
  <si>
    <t>Analysing the behavioural, psychological, and demographic determinants of financial decision making of household investors</t>
  </si>
  <si>
    <t>Kumar, Parul; Islam, Md Aminul; Pillai, Rekha; Sharif, Taimur</t>
  </si>
  <si>
    <t>Kumar, P; Islam, MA; Pillai, R; Sharif, T</t>
  </si>
  <si>
    <t>WOS:001366079900001</t>
  </si>
  <si>
    <t>N7K4P</t>
  </si>
  <si>
    <t>10.3390/su16229763</t>
  </si>
  <si>
    <t>The authors acknowledge the financial support from the Social Science Fund of Tianjin, China (Project #: TJYY19-013).</t>
  </si>
  <si>
    <t>Social Science Fund of Tianjin; Social Science Fund of Tianjin, China</t>
  </si>
  <si>
    <t>Social Science Fund of Tianjin [TJYY19-013]; Social Science Fund of Tianjin, China</t>
  </si>
  <si>
    <t>Wu, Yuxin/0009-0005-2347-6137;</t>
  </si>
  <si>
    <t>; Li, Haiwei/NNH-2344-2025</t>
  </si>
  <si>
    <t>gjw0923@tjcu.edu.cn; wuyuxin3@stumail.tjcu.edu.cn; lihwhn@tjcu.edu.cn</t>
  </si>
  <si>
    <t>Li, HW (corresponding author), Tianjin Univ Commerce, Sch Econ, Tianjin 300134, Peoples R China.</t>
  </si>
  <si>
    <t>Tianjin University of Commerce</t>
  </si>
  <si>
    <t>[Gao, Jianwei; Wu, Yuxin; Li, Haiwei] Tianjin Univ Commerce, Sch Econ, Tianjin 300134, Peoples R China</t>
  </si>
  <si>
    <t>Reducing the urban-rural income gap stands as a pivotal factor in attaining sustainable economic development. Policymakers and researchers have focused on whether digital inclusive finance can narrow the urban-rural income gap. Utilizing provincial-level panel data from 31 regions in China, this paper empirically tests the impact of digital inclusive finance on the urban-rural income gap across different areas of China, specifically analyzing the mediation effect of rural loan availability. The findings indicate that (1) the expansion of digital inclusive finance can enhance the inclusiveness of financial services in rural areas and narrow the urban-rural income gap; (2) the effect of digital inclusive finance on the urban-rural income gap exhibits regional heterogeneity; (3) the rural loan availability has a mediation effect on the urban-rural income gap, but its growth will weaken the narrowing effect of digital inclusive finance on urban-rural income gap; and (4) the reduction in the urban-rural income gap attributable to digital inclusive finance exhibits a nonlinear relationship with the level of urbanization. This paper recommends guiding the digital transformation of rural financial institutions and enhancing farmers' financial literacy to increase the availability of loans in rural areas. Furthermore, implementing region-specific policies and regulations could effectively narrow the urban-rural income gap.</t>
  </si>
  <si>
    <t>POVERTY REDUCTION; EXCLUSION; GROWTH</t>
  </si>
  <si>
    <t>digital inclusive finance; rural loan availability; urban-rural income gap; mediation effect; threshold effect</t>
  </si>
  <si>
    <t>Digital Inclusive Finance, Rural Loan Availability, and Urban-Rural Income Gap: Evidence from China</t>
  </si>
  <si>
    <t>Gao, Jianwei; Wu, Yuxin; Li, Haiwei</t>
  </si>
  <si>
    <t>Gao, JW; Wu, YX; Li, HW</t>
  </si>
  <si>
    <t>WOS:000959936400001</t>
  </si>
  <si>
    <t>C1XT3</t>
  </si>
  <si>
    <t>10.3390/su15065032</t>
  </si>
  <si>
    <t>Fujian Social Science Foundation Intra-University Incubation Project (General Project) (No.KY2023FSO3); Fujian Province Social Science Foundation Project (No. FJ2021B033); The Research Center for Socialism with Chinese Characteristics in Xi Jinping's New Era in Fujian Province (No. FJ2022XZB063).</t>
  </si>
  <si>
    <t>Fujian Social Science Foundation Intra-University Incubation Project (General Project); Fujian Province Social Science Foundation Project; Research Center for Socialism with Chinese Characteristics in Xi Jinping's New Era in Fujian Province</t>
  </si>
  <si>
    <t>Fujian Social Science Foundation Intra-University Incubation Project (General Project) [KY2023FSO3]; Fujian Province Social Science Foundation Project [FJ2021B033]; Research Center for Socialism with Chinese Characteristics in Xi Jinping's New Era in Fujian Province [FJ2022XZB063]</t>
  </si>
  <si>
    <t>Manxiu, Ning/0000-0002-0962-1319</t>
  </si>
  <si>
    <t>zlh0591@163.com</t>
  </si>
  <si>
    <t>Zhang, LH (corresponding author), Fujian Polytech Normal Univ, Sch Econ &amp; Management, Fuqing, Peoples R China.</t>
  </si>
  <si>
    <t>Fujian Polytechnic Normal University; Fujian Agriculture &amp; Forestry University</t>
  </si>
  <si>
    <t>[Zhang, Lanhua] Fujian Polytech Normal Univ, Sch Econ &amp; Management, Fuqing, Peoples R China; [Ning, Manxiu; Yang, Chaoying] Fujian Agr &amp; Forestry Univ, Sch Econ &amp; Management, Fuzhou 350009, Peoples R China</t>
  </si>
  <si>
    <t>Digital inclusive finance is an important policy for promoting rural industrial development in China. Can digital inclusive finance effectively contribute to the development of rural industries? What is its driving mechanism? Clarifying these questions can: (1) Release the value of digital inclusive finance; (2) Strengthen its driving role in rural industrial development; and (3) Implement the concept of inclusive development to give rural industrial subjects a greater sense of access and well-being. Based on the interpretation of the connotation of rural industrial prosperity, this paper constructs a theoretical framework of digital inclusive finance-alleviating financing constraints-rural industrial prosperity. Using the panel data of 31 provinces in China from 2011 to 2020, the study adopts the entropy weight method to measure the rural industry prosperity index; at the same time, it constructs a panel regression model to conduct benchmark tests, mediating effect tests and heterogeneity tests on the mechanisms and effects of digital inclusive finance to promote rural industrial prosperity. The article finds that digital inclusive finance effectively drives rural industrial prosperity; the alleviation of financing constraints plays a fully mediating role; the effect is significant in less economically developed regions. Therefore, this article proposes policy recommendations to advance rural digital construction, promote the digital transformation of traditional financial institutions, strengthen the regulation of internet-inclusive finance, and enhance the financial literacy of inclusive groups.</t>
  </si>
  <si>
    <t>digital inclusive finance; rural industrial prosperity; financing constraints; intermediation effect; heterogeneity effect</t>
  </si>
  <si>
    <t>Evaluation of the Mechanism and Effectiveness of Digital Inclusive Finance to Drive Rural Industry Prosperity</t>
  </si>
  <si>
    <t>Zhang, Lanhua; Ning, Manxiu; Yang, Chaoying</t>
  </si>
  <si>
    <t>Zhang, LH; Ning, MX; Yang, CY</t>
  </si>
  <si>
    <t>WOS:000452068600010</t>
  </si>
  <si>
    <t>HC8QJ</t>
  </si>
  <si>
    <t>Demography; Business &amp; Economics; Geriatrics &amp; Gerontology</t>
  </si>
  <si>
    <t>Demography; Economics; Gerontology</t>
  </si>
  <si>
    <t>10.1016/j.jeoa.2018.03.001</t>
  </si>
  <si>
    <t>J. Econ. Ageing</t>
  </si>
  <si>
    <t>J ECON AGEING</t>
  </si>
  <si>
    <t>2212-8298</t>
  </si>
  <si>
    <t>2212-828X</t>
  </si>
  <si>
    <t>Grable, John/0000-0001-7093-8510</t>
  </si>
  <si>
    <t>anglyons@illinois.edu; grable@uga.edu; sohyunjoo@ewha.ac.kr</t>
  </si>
  <si>
    <t>University of Illinois System; University of Illinois Urbana-Champaign; University System of Georgia; University of Georgia; Ewha Womans University</t>
  </si>
  <si>
    <t>[Lyons, Angela C.] Univ Illinois, Dept Agr &amp; Consumer Econ, 440 Mumford Hall,1301 W Gregory Dr, Urbana, IL 61801 USA; [Grable, John E.] Univ Georgia, Dept Financial Planning Housing &amp; Consumer Econ, Athens, GA 30602 USA; [Joo, So-Hyun] Ewha Womans Univ, Div Consumer Studies, Seoul, South Korea</t>
  </si>
  <si>
    <t>Throughout the world, policy makers are concerned about the impact that population aging will have on households' financial security, especially those groups most likely to be vulnerable-women, the less educated, and the poor. We use data from the 2014 World Bank Global Findex and supplement it with macroeconomic indicators of old-age security to investigate the financial security of households across both developed (OECD) and developing (non-OECD) countries with various aging populations. Five fundamental indicators of financial security are examined. Results show an aging effect for all measures. The aging effects are largest for those who report saving for old age. Older age groups living in countries with larger aging populations are more likely to save, regardless of OECD status. Also, those who are female, have less education, and lower incomes are particularly vulnerable, especially those living in developing countries. Further, the financial security of those living in non-OECD countries is significantly more likely to be affected by public pension spending and other key indicators of old-age security. Financial inclusion and technological usage also have a significant and positive impact on financial security. These factors could play a key role in promoting savings and improving financial security in aging populations worldwide. The findings from this study have important policy implications given the pressures that some countries' social support and public transfer systems will face in the coming years.</t>
  </si>
  <si>
    <t>Population aging; Financial security; Savings; Financial inclusion; Old age; Retirement; Public pension spending</t>
  </si>
  <si>
    <t>JOURNAL OF THE ECONOMICS OF AGEING</t>
  </si>
  <si>
    <t>A cross-country analysis of population aging and financial security</t>
  </si>
  <si>
    <t>Lyons, Angela C.; Grable, John E.; Joo, So-Hyun</t>
  </si>
  <si>
    <t>Lyons, AC; Grable, JE; Joo, SH</t>
  </si>
  <si>
    <t>WOS:001525110100012</t>
  </si>
  <si>
    <t>4RT3B</t>
  </si>
  <si>
    <t>10.3846/tede.2025.23879</t>
  </si>
  <si>
    <t>Technol. Econ. Dev. Econ.</t>
  </si>
  <si>
    <t>TECHNOL ECON DEV ECO</t>
  </si>
  <si>
    <t>2029-4921</t>
  </si>
  <si>
    <t>2029-4913</t>
  </si>
  <si>
    <t>SAULETEKIO AL 11, VILNIUS, LT-10223, LITHUANIA</t>
  </si>
  <si>
    <t>VILNIUS</t>
  </si>
  <si>
    <t>VILNIUS GEDIMINAS TECH UNIV</t>
  </si>
  <si>
    <t>Amowine, Nelson/0000-0001-8840-8737; Streimikiene, Dalia/0000-0002-3247-9912</t>
  </si>
  <si>
    <t>Amowine, Nelson/AAB-7919-2022; Balezentis, Tomas/D-8609-2015; Streimikiene, Dalia/AAD-7762-2020</t>
  </si>
  <si>
    <t>namowine@yahoo.com</t>
  </si>
  <si>
    <t>Amowine, N (corresponding author), Yibin Univ, Dept Publ Adm &amp; Law, Wuliangye, Yibin, Peoples R China.</t>
  </si>
  <si>
    <t>Yibin University; Vilnius Gediminas Technical University</t>
  </si>
  <si>
    <t>[Amowine, Nelson; Li, Huaizong] Yibin Univ, Dept Publ Adm &amp; Law, Wuliangye, Yibin, Peoples R China; [Balezentis, Tomas; Streimikiene, Dalia] Vilnius Gediminas Tech Univ, Vilnius, Lithuania</t>
  </si>
  <si>
    <t>Improving carbon efficiency and mitigating carbon emissions is fundamental to sustainable development and the well-being of human society. Yet, no study highlighted and identified the drivers of carbon efficiency in Africa. Specifically, an empirical study on the role of technological innovation (GTI), digitalization, and digital inclusive finance (DIF) in improving carbon efficiency (CEE) in Africa is rare. To fill this gap, this study investigates the synergistic impact of green technological innovation (GTI), digitalization, and digital inclusive finance (DIF) on improving carbon efficiency (CEE) from the African perspective. A meta-frontier slack-based environmental polluting technology and mixed integer-valued data envelopment analysis (DEA) is framed to gauge the carbon efficiency across oil-endowment and non-oil-endowment African countries from 2010 to 2019. The results indicate that only a few African countries appeared to be operating at efficient production levels. The bootstrapped regression results indicated an invented U-shaped nexus is established between carbon efficiency and African economic development via the extended stochastic impacts by regression on population, affluence, and technology (STIRPAT) framework. Internet usage and mobile cellular subscriptions as components of digitalization positively improve Africa's carbon efficiency. Mobile money transaction innovation (i.e., active mobile money agents per 1000 km2) as a dimension of digital inclusive finance conserves Africa's environmental efficiency. Green technological innovations did not drive carbon efficiency significantly in Africa and the two groups. Based on the empirical findings, pragmatic policy strategies are further discussed to boost carbon efficiency and mitigate environmental degradation in Africa.</t>
  </si>
  <si>
    <t>ECONOMIC-GROWTH; CO2 EMISSIONS; IMPACT</t>
  </si>
  <si>
    <t>sustainable development; carbon efficiency; digitalization; digital inclusive finance; green technological innovation; DEA; Africa</t>
  </si>
  <si>
    <t>TECHNOLOGICAL AND ECONOMIC DEVELOPMENT OF ECONOMY</t>
  </si>
  <si>
    <t>TECHNOLOGY INNOVATION AND CARBON EFFICIENCY IN AFRICA: WHAT IS THE ROLE OF DIGITALIZATION AND DIGITAL INCLUSIVE FINANCE?</t>
  </si>
  <si>
    <t>Amowine, Nelson; Li, Huaizong; Balezentis, Tomas; Streimikiene, Dalia</t>
  </si>
  <si>
    <t>Amowine, N; Li, HZ; Balezentis, T; Streimikiene, D</t>
  </si>
  <si>
    <t>WOS:000562049800014</t>
  </si>
  <si>
    <t>ND6YO</t>
  </si>
  <si>
    <t>10.35716/IJED/19016</t>
  </si>
  <si>
    <t>Singh, Kesari/0000-0002-7187-1597; Gupta, Nitin/0000-0002-3939-5359</t>
  </si>
  <si>
    <t>kesarisingh16@gmail.com</t>
  </si>
  <si>
    <t>Singh, K (corresponding author), Shoolini Univ Biotechnol &amp; Management Sci, Fac Management Sci &amp; Liberal Arts, Solan 173229, HP, India.</t>
  </si>
  <si>
    <t>Shoolini University</t>
  </si>
  <si>
    <t>[Singh, Kesari; Gupta, Nitin] Shoolini Univ Biotechnol &amp; Management Sci, Fac Management Sci &amp; Liberal Arts, Solan 173229, HP, India</t>
  </si>
  <si>
    <t>Financial inclusion has been widely recognized as an engine of economic and social development. World Bank group laid stress on the role of financial inclusion in poverty reduction and boosting shared prosperity. Increasing the importance of financial inclusion for inclusive growth has gained the attention of researchers and academicians across the world. This review deals with the findings of research studies conducted on the extent and status of financial inclusion in India. A review of empirical findings revealed that despite many initiatives taken jointly by the Government and Reserve Bank of India, financial services outreach was not been very satisfactory. People particularly in rural areas, still did not have access to banking services. Evidence of gaps in financial inclusiveness in the country could also be perceived from the review. Lack of awareness and financial literacy, high cost of financial services, continued dependence of rural people on moneylenders, regional disparities in terms of outreach, etc. emerged as some of the critical issues. Hence, the study suggested that some concrete steps need to be taken by the government to improve the status of financial inclusion</t>
  </si>
  <si>
    <t>Financial inclusion; financial literacy; financial services; money lenders</t>
  </si>
  <si>
    <t>Financial Inclusion in India-A Review</t>
  </si>
  <si>
    <t>Singh, Kesari; Gupta, Nitin</t>
  </si>
  <si>
    <t>Singh, K; Gupta, N</t>
  </si>
  <si>
    <t>WOS:000457835600010</t>
  </si>
  <si>
    <t>HK3RQ</t>
  </si>
  <si>
    <t>Patel, A (corresponding author), GLS Univ Law Garden, Fac Management, Ahmadabad, Gujarat, India.</t>
  </si>
  <si>
    <t>[Patel, Avni] GLS Univ Law Garden, Fac Management, Ahmadabad, Gujarat, India</t>
  </si>
  <si>
    <t>Financial Literacy is all about how well the people understand basic concepts related to finance. Basic understanding of financial concepts is defined as financial literacy of the person. To achieve objective of financial inclusion, people must be financially literate first. So to observe the financial literacy of the respondents of Gujarat, particular study is undertaken. Study is descriptive in nature and 600 samples from four major cities of Gujarat has been selected for the same. Scope of the study is confined to salaried employees of Govt., Public and Private sectors. To assess the financial literacy respondents were asked eight questions which pertains to basic and advanced financial literacy. Study reveals that respondents of Gujarat possess fair financial literacy.</t>
  </si>
  <si>
    <t>FRAMEWORK; BEHAVIOR</t>
  </si>
  <si>
    <t>Financial Literacy; Gujarat</t>
  </si>
  <si>
    <t>Study of Financial Literacy among Residents of Gujarat</t>
  </si>
  <si>
    <t>Patel, Avni</t>
  </si>
  <si>
    <t>Patel, A</t>
  </si>
  <si>
    <t>WOS:001440434400225</t>
  </si>
  <si>
    <t>BY4EO</t>
  </si>
  <si>
    <t>10.1109/TENSYMP61132.2024.10752316</t>
  </si>
  <si>
    <t>Ieee Region Ten Symp</t>
  </si>
  <si>
    <t>979-8-3503-6486-6; 979-8-3503-6487-3</t>
  </si>
  <si>
    <t>zia_shahin@hotmail.com; afraanikaa@gmail.com; muzahid@cse.uiu.ac.bd</t>
  </si>
  <si>
    <t>Rahaman, SMZ (corresponding author), United Int Univ, Dept Comp Sci &amp; Engn, Madani Ave, Dhaka 1212, Bangladesh.</t>
  </si>
  <si>
    <t>United International University (UIU)</t>
  </si>
  <si>
    <t>[Rahaman, Shah Md. Ziaur; Anika, Afra; Islam, A. K. M. Muzahidul] United Int Univ, Dept Comp Sci &amp; Engn, Madani Ave, Dhaka 1212, Bangladesh</t>
  </si>
  <si>
    <t>This paper introduces a novel credit scoring model that leverages extensive credit history data and advanced machine learning techniques to enhance the accuracy of assessing creditworthiness. Our approach diverges from traditional credit scoring methods by integrating a logistic regression model that captures intricate patterns in borrower data, enabling more precise predictions of loan repayment probabilities. The results demonstrate that our model effectively predicts borrower defaults with a high level of accuracy, achieving an overall accuracy rate of 90.45% and a strong area under the ROC curve (ROC-AUC) score of 0.94. The model exhibits a precision of 85% and recall of 83% for identifying defaulters, reflecting a balanced ability to detect actual defaults while minimizing false positives. The specificity of the model for non-defaulters is 94%, indicating a robust performance in correctly identifying borrowers who will repay their loans. This study underscores the potential of machine learning to refine decision-making processes in financial lending by offering a quantitative tool that enhances informed credit decisions, thereby promoting financial inclusion while effectively managing risks.</t>
  </si>
  <si>
    <t>FinTech Credit; Financial Inclusion; Machine Learning; Deep Learning; Credit Risk Assessment; Credit Scoring Model; Data Sources</t>
  </si>
  <si>
    <t>Netaji Subhas University of Technology</t>
  </si>
  <si>
    <t>Netaji Subhas University of Technology, INDIA</t>
  </si>
  <si>
    <t>SEP 27-29, 2024</t>
  </si>
  <si>
    <t>2024 Region 10 Symposium</t>
  </si>
  <si>
    <t>2024 IEEE REGION 10 SYMPOSIUM, TENSYMP</t>
  </si>
  <si>
    <t>Credit Scoring Model Development: Taking Advantage of Credit History</t>
  </si>
  <si>
    <t>Rahaman, Shah Md. Ziaur; Anika, Afra; Islam, A. K. M. Muzahidul</t>
  </si>
  <si>
    <t>Rahaman, SMZ; Anika, A; Islam, AKMM</t>
  </si>
  <si>
    <t>WOS:000401005200003</t>
  </si>
  <si>
    <t>EU4NB</t>
  </si>
  <si>
    <t>Management; Women's Studies</t>
  </si>
  <si>
    <t>10.1108/EDI-05-2016-0040</t>
  </si>
  <si>
    <t>Equal. Divers. Incl.</t>
  </si>
  <si>
    <t>EQUAL DIVERS INCL</t>
  </si>
  <si>
    <t>2040-7157</t>
  </si>
  <si>
    <t>2040-7149</t>
  </si>
  <si>
    <t>rmindra@mubs.ac.ug</t>
  </si>
  <si>
    <t>Mindra, R (corresponding author), Makerere Univ, Sch Business, Dept Finance, Kampala, Uganda.</t>
  </si>
  <si>
    <t>[Mindra, Rachel] Makerere Univ, Sch Business, Dept Finance, Kampala, Uganda; [Moya, Musa] Makerere Univ, Sch Business, Dept Econ &amp; Business, Kampala, Uganda</t>
  </si>
  <si>
    <t>Purpose - The purpose of this paper is to examine the mediating effect of financial self-efficacy (FSE) on the relationship between financial attitude, financial literacy and financial inclusion (FI) among individuals in Uganda. Design/methodology/approach - Using a quantitative approach and cross-sectional research design, a sample of 400 individuals from urban Central and rural Northern Uganda was drawn. Using SPSS and AMOS (TM) 21, structural equation models and bootstrapping methods were used to establish the hypothesized relationships and mediation effects between financial attitude, financial literacy and FI. Findings - The results suggested FSE as a mediator of the relationship between financial attitude, financial literacy and FI. Further, there was a significant and insignificant relationship between financial literacy, financial attitude and FI, respectively. Research limitations/implications - The study was assessed using both potential and actual consumers of financial services collectively. However if separately assessed, possibly there would be a variation in perceptions or behavioural responses towards FI. Practical implications - There is a need to develop and sustain high levels of financial confidence among individuals to enable them use formal financial services. Social implications - Possession of financial knowledge, skills, an evaluative judgement with high levels of financial confidence enable individuals make financial decisions that improve their integration into the formal financial system and improved welfare. Originality/value - The results contribute towards the limited empirical and theoretical evidence regarding the mediating role of FSE in explaining the financial behaviour.</t>
  </si>
  <si>
    <t>MONEY ATTITUDES; BEHAVIOR; CREDIT; ACCESS; WOMEN; KNOWLEDGE; LITERACY; STRESS</t>
  </si>
  <si>
    <t>Financial literacy; Financial attitude; Financial inclusion; Financial self-efficacy</t>
  </si>
  <si>
    <t>EQUALITY DIVERSITY AND INCLUSION</t>
  </si>
  <si>
    <t>Financial self-efficacy: a mediator in advancing financial inclusion</t>
  </si>
  <si>
    <t>Mindra, Rachel; Moya, Musa</t>
  </si>
  <si>
    <t>Mindra, R; Moya, M</t>
  </si>
  <si>
    <t>WOS:001251718500001</t>
  </si>
  <si>
    <t>UY8P0</t>
  </si>
  <si>
    <t>10.1016/j.asieco.2024.101767</t>
  </si>
  <si>
    <t>This work was supported by National Natural Science Foundation of China (No.72303238, 72273107, 71773094 and 71903141) , and Humanities and Social Science Fund of Ministry of Education of China (No.21YJC790100) .</t>
  </si>
  <si>
    <t>National Natural Science Foundation of China(National Natural Science Foundation of China (NSFC)); Humanities and Social Science Fund of Ministry of Education of China</t>
  </si>
  <si>
    <t>National Natural Science Foundation of China [72303238, 72273107, 71773094, 71903141]; Humanities and Social Science Fund of Ministry of Education of China [21YJC790100]</t>
  </si>
  <si>
    <t>su, lanlan/0000-0002-1460-7044</t>
  </si>
  <si>
    <t>kr1996@163.com</t>
  </si>
  <si>
    <t>Kong, R (corresponding author), Northwest A&amp;F Univ, Coll Econ &amp; Management, 3 Taicheng Rd, Yangling 712100, Peoples R China.</t>
  </si>
  <si>
    <t>Chinese Academy of Social Sciences; Northwest A&amp;F University - China</t>
  </si>
  <si>
    <t>[Su, Lanlan] Chinese Acad Social Sci, Rural Dev Inst, Beijing 100871, Peoples R China; [Su, Lanlan; Peng, Yanling; Kong, Rong] Northwest A&amp;F Univ, Coll Econ &amp; Management, 3 Taicheng Rd, Yangling 712100, Peoples R China</t>
  </si>
  <si>
    <t>Farmland mortgage financing policy has been actively carried out and intertwined with mass entrepreneurship strategy in China in recent years. Using survey data of 1947 rural households in pilot counties of farmland mortgage loans (FMLs), we contribute to the literature by examining the impact of financial literacy on rural households' entrepreneurship with considering the heterogeneity between agricultural and non-agricultural entrepreneurship and exploring how financial literacy affects entrepreneurship through FMLs. The results show that financial literacy has a significant and positive impact on both rural households' agricultural and non-agricultural entrepreneurship. Moreover, households with higher level of financial literacy show a higher probability in the application for and approval of more FMLs. This study provides strong evidence that the impact of financial literacy on farm households' agricultural entrepreneurship is partially mediated by FMLs, while that impact on their non-agricultural entrepreneurship is partially suppressed by FMLs. We further find that financial literacy can also increase rural households' entrepreneurial income through their approval of FMLs. These findings suggest that systematical financial literacy training programs are needed to popularize FML products and services and facilitate rural households' entrepreneurship.</t>
  </si>
  <si>
    <t>CREDIT CONSTRAINTS; BEHAVIOR; MARKETS; IMPACT</t>
  </si>
  <si>
    <t>Entrepreneurship; Financial literacy; Farmland mortgage financing; Inclusive finance</t>
  </si>
  <si>
    <t>Financial literacy, farmland mortgage financing, and household entrepreneurship: Empirical evidence from rural China</t>
  </si>
  <si>
    <t>Su, Lanlan; Peng, Yanling; Kong, Rong</t>
  </si>
  <si>
    <t>Su, LL; Peng, YL; Kong, R</t>
  </si>
  <si>
    <t>WOS:001501262600004</t>
  </si>
  <si>
    <t>3IQ8E</t>
  </si>
  <si>
    <t>10.1007/s43621-025-01360-0</t>
  </si>
  <si>
    <t>Khan, Ahsan Aslam/0009-0008-1290-4353; Ahmad, Zaki/0000-0003-1346-5379</t>
  </si>
  <si>
    <t>Khan, Ahsan Aslam/OAJ-6795-2025; Ahmad, Zaki/ACC-9247-2022</t>
  </si>
  <si>
    <t>ahsan_aslam_khan@cob.uum.edu.my</t>
  </si>
  <si>
    <t>Khan, AA (corresponding author), Univ Utara Malaysia, Sch Econ Finance &amp; Banking, Sintok, Kedah, Malaysia.</t>
  </si>
  <si>
    <t>Universiti Utara Malaysia; Universiti Utara Malaysia; Universiti Kebangsaan Malaysia</t>
  </si>
  <si>
    <t>[Khan, Ahsan Aslam; Hidthiir, Mohammad Helmi Bin] Univ Utara Malaysia, Sch Econ Finance &amp; Banking, Sintok, Kedah, Malaysia; [Ahmad, Zaki] Univ Utara Malaysia, Islamic Business Sch, Sintok, Kedah, Malaysia; [Mansur, Mustazar] Natl Univ Malaysia, Fac Econ &amp; Management, Bangi, Selangor, Malaysia</t>
  </si>
  <si>
    <t>The purpose of this study is to investigate how human capital measured by the Education Index, influences financial reachability across lower-, lower-middle-, and upper-middle-income countries. Applying a quantitative approach, the research utilizes panel data analysis from 2011 to 2021 on 89 developing countries, incorporating sources such as the UNDP Human Development Index and the Financial Inclusion Index. The findings highlight that insufficient investment in education can significantly constrain individuals' capacity to engage with formal financial services, emphasizing the crucial role of financial literacy and skill-building initiatives. The result shows that, while financial accessibility initiatives have made progress, lack of education and weak governance structures continue to hinder financial reach for marginalized populations. Moreover, the study reveals that improvements in governance amplify the benefits of human capital on financial inclusion, creating a more conducive environment for banking institutions and digital financial platforms. This interaction indicates that both structural and policy-level barriers must be addressed concurrently to break the cycle of ineffective financial reach. The outcome of the study implies that targeted educational investment and robust governance measures are indispensable for sustainable economic development. By prioritizing skill enhancement and institutional stability, countries can advance more inclusive financial systems, encourage higher trust in formal financial products, and leverage funds more effectively. Ultimately, the study highlights the strategic importance of comprehensive educational policies and governance reforms as a pathway to achieving broader financial inclusion and enhanced socio-economic welfare.</t>
  </si>
  <si>
    <t>ECONOMIC-GROWTH; INCLUSION; LITERACY</t>
  </si>
  <si>
    <t>Financial reachability; Financial inclusion; Human capital; GMM; Governance; I25; G21; O15; D14; P46</t>
  </si>
  <si>
    <t>Impact of human capital and governance in enhancing financial reachability in selected developing countries</t>
  </si>
  <si>
    <t>Khan, Ahsan Aslam; Hidthiir, Mohammad Helmi Bin; Ahmad, Zaki; Mansur, Mustazar</t>
  </si>
  <si>
    <t>Khan, AA; Hidthiir, MHB; Ahmad, Z; Mansur, M</t>
  </si>
  <si>
    <t>WOS:001517267800001</t>
  </si>
  <si>
    <t>4GF2F</t>
  </si>
  <si>
    <t>10.1016/j.pacfin.2025.102828</t>
  </si>
  <si>
    <t>This work was supported by the National Natural Science Foundation of China [Grant number: 72474183] , the National Social Science Fund of China [Grant number: 23ZDA099] , and the Sichuan Office of Philosophy and Social Science [Grant number: SC24E075] .</t>
  </si>
  <si>
    <t>National Natural Science Foundation of China(National Natural Science Foundation of China (NSFC)); National Social Science Fund of China; Sichuan Office of Philosophy and Social Science</t>
  </si>
  <si>
    <t>National Natural Science Foundation of China [72474183]; National Social Science Fund of China [23ZDA099]; Sichuan Office of Philosophy and Social Science [SC24E075]</t>
  </si>
  <si>
    <t>jingpeng@swufe.edu.cn; wangml1120@gmail.com</t>
  </si>
  <si>
    <t>Wang, ML (corresponding author), Southwestern Univ Finance &amp; Econ, Sch Publ Finance &amp; Taxat, 555 Liutai Ave, Chengdu 611130, Peoples R China.</t>
  </si>
  <si>
    <t>[Jing, Peng; Zhao, Shuchen] Southwestern Univ Finance &amp; Econ, Sch Publ Adm, Chengdu, Peoples R China; [Wang, Minglu] Southwestern Univ Finance &amp; Econ, Sch Publ Finance &amp; Taxat, 555 Liutai Ave, Chengdu 611130, Peoples R China</t>
  </si>
  <si>
    <t>Effectively accumulating wealth to hedge against longevity risk is a matter of broad public interest. Using data from the 2021 China Household Finance Survey, this study examines the impact of retirement consumption expectations on household allocation of risky financial assets. The results indicate that higher retirement consumption expectations increase the proportion of risky financial assets and stocks held by households through the asset accumulation effect, the preference adjustment effect, and the knowledge enhancement effect. This impact is more pronounced among households with higher financial literacy or in regions with more developed digital financial inclusion. Further analysis reveals that rising retirement consumption expectations enhance household portfolio efficiency. However, for households with either excessive or insufficient expectations, the improvement in portfolio efficiency is limited. These findings provide new insights into promoting household participation in risky financial markets and support the rationality of investment-based retirement planning.</t>
  </si>
  <si>
    <t>MARKET PARTICIPATION EVIDENCE; PORTFOLIO CHOICE; DETERMINANTS; LITERACY; SECURITY</t>
  </si>
  <si>
    <t>Retirement consumption expectations; Risky financial asset; Asset accumulation; Preference adjustment; Knowledge enhancement</t>
  </si>
  <si>
    <t>From savings to investments: How retirement consumption expectations shape household risky financial asset allocation</t>
  </si>
  <si>
    <t>Jing, Peng; Zhao, Shuchen; Wang, Minglu</t>
  </si>
  <si>
    <t>Jing, P; Zhao, SC; Wang, ML</t>
  </si>
  <si>
    <t>WOS:001199856000007</t>
  </si>
  <si>
    <t>NI6F3</t>
  </si>
  <si>
    <t>10.1142/S0217590820500629</t>
  </si>
  <si>
    <t>Singh, Kuldeep/0000-0002-8180-4646; Misra, Madhvena/0000-0002-1346-9954</t>
  </si>
  <si>
    <t>Singh, Kuldeep/K-7517-2018; Misra, Madhvena/C-5482-2016</t>
  </si>
  <si>
    <t>rsm2017001@iiita.ac.in; madhvendra@iiita.ac.in</t>
  </si>
  <si>
    <t>Singh, K (corresponding author), Indian Inst Informat Technol, Dept Management Studies, Allahabad 211015, India.</t>
  </si>
  <si>
    <t>Indian Institute of Information Technology Allahabad</t>
  </si>
  <si>
    <t>[Singh, Kuldeep; Misra, Madhvendra] Indian Inst Informat Technol, Dept Management Studies, Allahabad 211015, India</t>
  </si>
  <si>
    <t>This study focuses on the effect of Corporate Social Responsibility (CSR) on financial inclusion behavior in rural communities. CSR in the domain of community engagement, education and livelihood initiatives, which are all referred to as 'harmonious CSR' in the paper. This study further explores the moderating influence of financial literacy and income on harmonious CSR-financial inclusion linkages.A field survey of 344 rural households (CSR beneficiaries) was conducted in two districts of Uttar Pradesh, India. This study follows a two-stage approach. First, a theoretical model is constructed on the basis of a strategic review of literature in the field of social science (social work, rural development and development studies). Second, confirmatory factor analysis (CFA) is performed, followed by a hierarchical regression model to determine underlying associations. Findings reveal that harmonious CSR has a significantly positive impact on financial inclusion in the Indian rural sector. The moderating effect of financial literacy is also reflected in CSR-financial inclusion linkages. However, income is not found to have any moderating influence on the relationship between harmonious CSR and financial inclusion. Finally, this study is in favor of deepening the influence of the financial institutions so that policymakers can make informed decisions about maintaining a sustainable economic environment, especially, in the context of the rural sector where such steps are desperately needed.</t>
  </si>
  <si>
    <t>CORPORATE SOCIAL-RESPONSIBILITY; POVERTY; PERFORMANCE; ATTITUDES; COMPANIES; CONSUMER; SERVICES; BEHAVIOR; POLICIES; BANKING</t>
  </si>
  <si>
    <t>Harmonious Corporate Social Responsibility (CSR); financial inclusion; hierarchical regression model</t>
  </si>
  <si>
    <t>LINKING HARMONIOUS CSR AND FINANCIAL INCLUSION: THE MODERATING EFFECTS OF FINANCIAL LITERACY AND INCOME</t>
  </si>
  <si>
    <t>Singh, Kuldeep; Misra, Madhvendra</t>
  </si>
  <si>
    <t>Singh, K; Misra, M</t>
  </si>
  <si>
    <t>WOS:000471816700003</t>
  </si>
  <si>
    <t>ID6VB</t>
  </si>
  <si>
    <t>10.1080/07360932.2015.1056204</t>
  </si>
  <si>
    <t>Mader, Philip/0000-0002-8833-1917</t>
  </si>
  <si>
    <t>Mader, P (corresponding author), Inst Dev Studies, Brighton, E Sussex, England.;Mader, P (corresponding author), Grad Inst Int &amp; Dev Studies, Geneva, Switzerland.</t>
  </si>
  <si>
    <t>[Mader, Philip; Sabrow, Sophia] Inst Dev Studies, Brighton, E Sussex, England; [Mader, Philip; Sabrow, Sophia] Grad Inst Int &amp; Dev Studies, Geneva, Switzerland</t>
  </si>
  <si>
    <t>This contribution assesses the shift in the mission of microfinance from providing small loans for entrepreneurship to the broader agenda of financial inclusion. Three leading organisations' publications inform a discourse analysis, which allows the strategic shift to be analysed using two theoretical frames from organisational sociology: instrumental rationalism and sociological institutionalism. The proclaimed shift in strategy is found to consist less of rational innovation towards the aim of poverty alleviation than of myth and ceremony for the sake of organisational self-preservation.</t>
  </si>
  <si>
    <t>microfinance; financial inclusion; discourse analysis; self-preservation</t>
  </si>
  <si>
    <t>All Myth and Ceremony? Examining the Causes and Logic of the Mission Shift in Microfinance from Microenterprise Credit to Financial Inclusion</t>
  </si>
  <si>
    <t>Mader, Philip; Sabrow, Sophia</t>
  </si>
  <si>
    <t>Mader, P; Sabrow, S</t>
  </si>
  <si>
    <t>WOS:000514253500049</t>
  </si>
  <si>
    <t>KM6MZ</t>
  </si>
  <si>
    <t>10.1016/j.childyouth.2019.104730</t>
  </si>
  <si>
    <t>Research reported in this publication was supported by the Eunice Kennedy Shriver National Institute of Child Health and Human Development of the National Institutes of Health (NICHD) under Award Number R01HD070727-01 (PI: Fred M. Ssewamala, PhD). The content is solely the responsibility of the authors and does not necessarily represent the official views of NICHD or the National Institutes of Health. We are grateful to the staff and the volunteer team at the International Center for Child Health and Development (ICHAD) in Uganda for monitoring the study implementation process. Our special thanks go to all the children and their caregiving families who agreed to participate in the study.</t>
  </si>
  <si>
    <t>Eunice Kennedy Shriver National Institute of Child Health and Human Development of the National Institutes of Health (NICHD); National Institute of Mental Health(United States Department of Health &amp; Human ServicesNational Institutes of Health (NIH) - USANIH National Institute of Mental Health (NIMH))</t>
  </si>
  <si>
    <t>Eunice Kennedy Shriver National Institute of Child Health and Human Development of the National Institutes of Health (NICHD) [R01HD070727-01]; National Institute of Mental Health [R25MH067127] Funding Source: NIH RePORTER</t>
  </si>
  <si>
    <t>Ssewamala, Fred/0000-0002-4849-5650; Sensoy Bahar, Ozge/0000-0002-7230-0438; Sun, Sicong/0000-0003-4508-604X</t>
  </si>
  <si>
    <t>Neilands, Torsten/PBV-9132-2025; Sun, Sicong/JXL-9420-2024</t>
  </si>
  <si>
    <t>sicong.sun@wustl.edu; nabunyap@wustl.edu; byansiw@wustl.edu; ozge.sensoybahar@wustl.edu; Torsten.Neilands@ucsf.edu; s.guo@wustl.edu; fms1@wustl.edu</t>
  </si>
  <si>
    <t>Sun, SC (corresponding author), Washington Univ, Int Ctr Child Hlth &amp; Dev, Brown Sch Social Work, St Louis, MO 63110 USA.;Sun, SC (corresponding author), Washington Univ, Brown Sch, Campus Box 1196,One Brookings Dr, St Louis, MO 63130 USA.</t>
  </si>
  <si>
    <t>Washington University (WUSTL); University of California System; University of California San Francisco; Washington University (WUSTL); Washington University (WUSTL)</t>
  </si>
  <si>
    <t>[Sun, Sicong; Nabunya, Proscovia; Byansi, William; Bahar, Ozge Sensoy; Damulira, Christopher; Namuwonge, Flavia; Ssewamala, Fred M.] Washington Univ, Int Ctr Child Hlth &amp; Dev, Brown Sch Social Work, St Louis, MO 63110 USA; [Neilands, Torsten B.] Univ Calif San Francisco, Sch Med, Ctr AIDS Prevent Studies, Mission Hall,Box 1224,550 16th St,3rd Floor, San Francisco, CA 94158 USA; [Guo, Shenyang] Washington Univ, Brown Sch Social Work, St Louis, MO 63110 USA; [Sun, Sicong; Nabunya, Proscovia; Byansi, William; Bahar, Ozge Sensoy; Guo, Shenyang; Ssewamala, Fred M.] Washington Univ, Brown Sch, Campus Box 1196,One Brookings Dr, St Louis, MO 63130 USA; [Damulira, Christopher; Namuwonge, Flavia] Int Ctr Child Hlth &amp; Dev ICHAD, POB 1988,Circular Rd, Masaka, Uganda</t>
  </si>
  <si>
    <t>With high prevalence of both poverty and HIV, Sub-Saharan Africa (SSA) has one of the highest numbers of unbanked individuals and families. Although the use of savings products to promote financial inclusion among poor individuals and families has increasingly become more important to policy makers in SSA, limited research exists about the mechanisms and relative importance of institutional and individual-level factors associated with access and utilization of financial services. Using survey data and administrative bank records from a randomized controlled trial in southwestern Uganda, we find that given an opportunity, poor HIV-impacted families and individuals can engage with financial institutions and accumulate savings. Additionally, individual-level factors (e.g., household wealth, child poverty, child work, and attitudes towards savings) were significantly associated with three of the eight outcomes (i.e. saved any money, average monthly total savings, and total number of deposits). Furthermore, institutional-level factors (e.g., access and proximity to the bank, matching incentive rate, and financial education) were associated with all the eight outcomes included in the analysis. Our findings indicate that poor HIV-impacted families can engage with financial institutions and save for their children, if opportunities and institutional arrangements are in place. Findings have implications for financial inclusion policy and programming that target vulnerable youth and families to engage with financial institutions and accumulate savings.</t>
  </si>
  <si>
    <t>SEXUAL RISK-TAKING; AIDS-ORPHANED CHILDREN; SAVINGS ACCOUNTS; ECONOMIC EMPOWERMENT; INTERVENTION; INSTITUTIONS; COMMUNITIES; ADOLESCENTS; PERFORMANCE; ATTITUDES</t>
  </si>
  <si>
    <t>Family economic strengthening; Child development account; Sub-Saharan Africa; Orphaned and vulnerable children; Microfinance; Uganda</t>
  </si>
  <si>
    <t>Access and utilization of financial services among poor HIV-impacted children and families in Uganda</t>
  </si>
  <si>
    <t>Sun, Sicong; Nabunya, Proscovia; Byansi, William; Bahar, Ozge Sensoy; Damulira, Christopher; Neilands, Torsten B.; Guo, Shenyang; Namuwonge, Flavia; Ssewamala, Fred M.</t>
  </si>
  <si>
    <t>Sun, SC; Nabunya, P; Byansi, W; Bahar, OS; Damulira, C; Neilands, TB; Guo, SY; Namuwonge, F; Ssewamala, FM</t>
  </si>
  <si>
    <t>WOS:000745210700001</t>
  </si>
  <si>
    <t>YK4UV</t>
  </si>
  <si>
    <t>10.3389/fpsyg.2021.776844</t>
  </si>
  <si>
    <t>JAN 4</t>
  </si>
  <si>
    <t>Qamruzzaman/G-1194-2017</t>
  </si>
  <si>
    <t>zaman_wut16@yahoo.com</t>
  </si>
  <si>
    <t>Qamruzzaman, M (corresponding author), United Int Univ, Sch Business &amp; Econ, Dhaka, Bangladesh.</t>
  </si>
  <si>
    <t>Hubei Polytechnic University; United International University (UIU)</t>
  </si>
  <si>
    <t>[Andriamahery, Anselme] Hubei Polytech Univ, Sch Econ &amp; Management, Huangshi, Hubei, Peoples R China; [Qamruzzaman, Md.] United Int Univ, Sch Business &amp; Econ, Dhaka, Bangladesh</t>
  </si>
  <si>
    <t>The motivation of the study is to gauge the effects of access to finance, technical know-how, and financial literacy on women's empowerment through establishing women's entrepreneurial development. A sample of 950 women-owned SMEs was considered, and structured questionnaires were sent from getting target responses. After careful assessment through the data cleansing procedure, it was found that only 795 responses are suitable for further investigation, implying the sample response rate for the study is 74.71%. The study implemented structural equation modeling and multivariate regression analysis for gauging the causal association that is direct and indirect effects of target variables. According to findings, a positive statistically significant linkage was revealed with women's entrepreneurship sustainability and women empowerment. Furthermore, the mediating effects were also established for women's empowerment. According to the study findings, it is suggested that for women entrepreneurship sustainability, effective policies surrounding financing accessibility, technical knowledge expansion, and financial understating have to be promulgated in the economy, which allows bringing women empowerment at large.</t>
  </si>
  <si>
    <t>DEVELOPING-COUNTRIES; MODELS; OLD</t>
  </si>
  <si>
    <t>access to finance; technical know-how; financial literacy; women empowerment; entrepreneurial sustainability</t>
  </si>
  <si>
    <t>Do Access to Finance, Technical Know-How, and Financial Literacy Offer Women Empowerment Through Women's Entrepreneurial Development?</t>
  </si>
  <si>
    <t>Andriamahery, Anselme; Qamruzzaman, Md.</t>
  </si>
  <si>
    <t>Andriamahery, A; Qamruzzaman, M</t>
  </si>
  <si>
    <t>WOS:001564543200002</t>
  </si>
  <si>
    <t>6XT6C</t>
  </si>
  <si>
    <t>10.1016/j.ribaf.2025.103116</t>
  </si>
  <si>
    <t>This work is supported by the National Social Science Fund of China (Grant No. 24&amp;ZD087) .</t>
  </si>
  <si>
    <t>National Social Science Fund of China [24ZD087]</t>
  </si>
  <si>
    <t>wxwu@cueb.edu.cn</t>
  </si>
  <si>
    <t>Wu, WX (corresponding author), Capital Univ Econ &amp; Business, Sch Finance, Beijing, Peoples R China.</t>
  </si>
  <si>
    <t>University of International Business &amp; Economics; Capital University of Economics &amp; Business; University of International Business &amp; Economics</t>
  </si>
  <si>
    <t>[Pan, Xuefeng; Tian, Yuhao] Univ Int Business &amp; Econ, Beijing, Peoples R China; [Wu, Weixing] Capital Univ Econ &amp; Business, Beijing, Peoples R China; [Pan, Xuefeng; Tian, Yuhao] Univ Int Business &amp; Econ, China Sch Banking &amp; Finance, Beijing, Peoples R China</t>
  </si>
  <si>
    <t>Worldwide population aging intensifies the urgency of retirement planning. We examine how progress in financial technology reshapes household mindsets to guide their retirement planning decisions. Utilizing a survey of 40,916 households that records retirement-related mindsets and behaviors in China, we find that increases in digital financial inclusion, an established proxy for financial technology, power a mindset shift towards self-responsibility for providing for one's retired life. This in turn increases the probability of retirement planning, especially the planning implemented through the means of savings. We further show that such effects are concentrated on the self-employed, likely due to their exposure to business risks and so their desire to build retirement income certainty through precautionary savings. We contribute by utilizing a mass experiment to identify mindset shifts as a channel through which financial technology improves retirement planning, besides the financial literacy channel and the credit channel often found.</t>
  </si>
  <si>
    <t>SAVINGS; LITERACY; DECISIONS; ECONOMICS; INCREASE; PEOPLE; TIME; BIAS</t>
  </si>
  <si>
    <t>Financial Technology; Mindset Shift; Retirement Planning</t>
  </si>
  <si>
    <t>Digital finance and household retirement planning: Evidence from China</t>
  </si>
  <si>
    <t>Pan, Xuefeng; Tian, Yuhao; Wu, Weixing</t>
  </si>
  <si>
    <t>Pan, XF; Tian, YH; Wu, WX</t>
  </si>
  <si>
    <t>WOS:000393747100003</t>
  </si>
  <si>
    <t>EK2GZ</t>
  </si>
  <si>
    <t>Social Issues</t>
  </si>
  <si>
    <t>10.1007/s11266-016-9707-2</t>
  </si>
  <si>
    <t>Voluntas</t>
  </si>
  <si>
    <t>VOLUNTAS</t>
  </si>
  <si>
    <t>1573-7888</t>
  </si>
  <si>
    <t>0957-8765</t>
  </si>
  <si>
    <t>Peini, Matteo/0000-0002-3952-0455</t>
  </si>
  <si>
    <t>Peini, Matteo/O-7111-2017</t>
  </si>
  <si>
    <t>matteo.pedrini@unicatt.it; laura.ferri@unicatt.it</t>
  </si>
  <si>
    <t>Pedrini, M (corresponding author), Univ Cattolica Sacro Cuore, ALTIS Alta Scuola Impresa &amp; Soc, Via San Vittore 18, I-20123 Milan, Italy.</t>
  </si>
  <si>
    <t>Catholic University of the Sacred Heart</t>
  </si>
  <si>
    <t>[Pedrini, Matteo; Ferri, Laura Maria] Univ Cattolica Sacro Cuore, ALTIS Alta Scuola Impresa &amp; Soc, Via San Vittore 18, I-20123 Milan, Italy</t>
  </si>
  <si>
    <t>The majority of studies discussed the existence of a trade-off between financial performance and outreach, pointing out those MFIs that look for higher profits lead to lower outreach. Another stream of research discussed the phenomena of mission drift, which see MFIs leave from their social mission, which is to provide micro financial services to break the cycle of poverty by reducing financial exclusion and move away from the traditional microcredit business model by three different ways. The paper contribute to the debate focussing the impact of mission drift phenomena on both financial performance and outreach of MFIs. This paper uses a dataset of 194 microfinance institutions (MFIs), 788 annual ratings from 2001 to 2010, collected by MicroFinanza Rating, an international MFIs' rating agency, to study and test three hypotheses on the relationship between mission drift, financial performance and outreach of MFIs. Data analysed with mixed effect regressions shows that a trade-off exist between financial performance and outreach. Results show that mission drift positively impacts on financial performance but it reduces outreach. MFIs should be encouraged to clearly define if their main aim is to assure remuneration of shareholders or if they want to contribute to the outreach of poor.</t>
  </si>
  <si>
    <t>EFFICIENCY; IMPACT; SUSTAINABILITY; COUNTRIES; BOLIVIA</t>
  </si>
  <si>
    <t>Microcredit; Outreach; Financial performance</t>
  </si>
  <si>
    <t>Doing Well by Returning to the Origin. Mission Drift, Outreach and Financial Performance of Microfinance Institutions</t>
  </si>
  <si>
    <t>Pedrini, Matteo; Ferri, Laura Maria</t>
  </si>
  <si>
    <t>Pedrini, M; Ferri, LM</t>
  </si>
  <si>
    <t>WOS:000670408300001</t>
  </si>
  <si>
    <t>TF0OT</t>
  </si>
  <si>
    <t>The Cliffs, Unit 13, Tygerfalls, Niagara Way, BELLVILLE, Cape Town, SOUTH AFRICA</t>
  </si>
  <si>
    <t>BELLVILLE</t>
  </si>
  <si>
    <t>AFRICAGROWTH INST</t>
  </si>
  <si>
    <t>HERNANDEZ, EMILIO/N-1734-2019</t>
  </si>
  <si>
    <t>ehhernandez@worldbank.org</t>
  </si>
  <si>
    <t>Hernandez, E (corresponding author), United Nations, Food &amp; Agr Org, Rome, Italy.</t>
  </si>
  <si>
    <t>Food &amp; Agriculture Organization of the United Nations (FAO)</t>
  </si>
  <si>
    <t>[Baborska, Renata; Hernandez, Emilio; Magrini, Emiliano; Morales-Opazo, Cristian] United Nations, Food &amp; Agr Org, Rome, Italy</t>
  </si>
  <si>
    <t>The paper analyses the impact of using single, combinations and the range of three different formal financial services savings, credit and payments - on the personal food security experience in rural areas across 88 low-and middle-income countries. It takes advantage of Global Findex database and Food Insecurity Experience Scale (FIES) - both included in the 2014-round of Gallup World Poll that collects data at individual-level and comparable worldwide. Our outcome variable of interest is the individual's probability of experiencing food insecurity related to difficulties in access to food, measured through FIES. Econometrically, we employ different non-experimental impact evaluation methods: entropy balancing, propensity scores matching and fully interacting linear matching in order to ensure the consistency of our results. We find mixed food security effects depending on the type of service used. Use of savings accounts significantly decreases, use of credit significantly increases and use of formal payment services has no effect on the individual's probability of experiencing food insecurity. This is consistent with the view that the specific features, rather than the range, of services offered by formal financial sector are the key determinants of their impact on household welfare, thus emphasizing the need to capture more contextual variables in future impact studies to understand not only the size of the impact but how this impact is shaped.</t>
  </si>
  <si>
    <t>POVERTY TRAPS; PERSISTENT POVERTY; PROPENSITY-SCORE; CREDIT MARKET; PANEL-DATA; RISK; CONSUMPTION; INSURANCE; INSECURITY; STRATEGIES</t>
  </si>
  <si>
    <t>Financial inclusion; experience-based food insecurity scale; rural populations; low-and middle; income countries; impact; entropy balancing</t>
  </si>
  <si>
    <t>The impact of financial inclusion on rural food security experience: A perspective from low-and middle-income countries</t>
  </si>
  <si>
    <t>Baborska, Renata; Hernandez, Emilio; Magrini, Emiliano; Morales-Opazo, Cristian</t>
  </si>
  <si>
    <t>Baborska, R; Hernandez, E; Magrini, E; Morales-Opazo, C</t>
  </si>
  <si>
    <t>WOS:001129167200004</t>
  </si>
  <si>
    <t>CZ9J9</t>
  </si>
  <si>
    <t>10.1080/00208825.2023.2281207</t>
  </si>
  <si>
    <t>Int. Stud. Manag. Org.</t>
  </si>
  <si>
    <t>INT STUD MANAG ORG</t>
  </si>
  <si>
    <t>1558-0911</t>
  </si>
  <si>
    <t>0020-8825</t>
  </si>
  <si>
    <t>Murtaza, ghulam/0000-0001-5191-1494; Mushtaq, Rizwan/0000-0001-8545-8210</t>
  </si>
  <si>
    <t>Murtaza, ghulam/ABI-7112-2022; Mushtaq, Rizwan/M-7814-2013</t>
  </si>
  <si>
    <t>ghulam.murtaza@iae-aix.com</t>
  </si>
  <si>
    <t>Murtaza, G (corresponding author), KEDGE Business Sch, Talence, France.</t>
  </si>
  <si>
    <t>Kedge Business School; ESSCA School of Management</t>
  </si>
  <si>
    <t>[Mushtaq, Rizwan] EDC Paris Business Sch, OCRE Res Lab, Paris, France; [Murtaza, Ghulam; Yahiaoui, Dorra] KEDGE Business Sch, Talence, France; [Alessio, Ishizaka] NEOMA Business Sch, Paris, France; [Talpur, Qurat-ul-ain] ESSCA Sch Management, Boulogne Billancourt, France</t>
  </si>
  <si>
    <t>The objective of this paper is to assess the extent of financial literacy and the impact of access to and use of ICTs (information and communication technologies) on household financial decisions, such as savings, retirement planning, household budgeting, and engagement in financial markets. This study analyzes survey data collected from 409 households belonging to the low- and middle-income brackets across four cities in Pakistan. By employing probit model, it finds that a higher level of (advanced) financial literacy is associated with an increased likelihood of improved savings and household budgeting. However, the overall financial literacy score (basic plus advanced) is associated only with savings decision. Additionally, the results reveal that the ICTs adoption plays a role in influencing decisions related to financial market participation and savings. The results also show that financial literacy, along with ICTs, positively influences financial market participation and retirement decisions. Nevertheless, results suggest mixed impacts of financial literacy and ICTs on financial decisions which lends partial support to the study hypotheses. In conclusion, our results underscore the importance of financial literacy alongside ICT adoption to promote financial market participation and improve household financial management.</t>
  </si>
  <si>
    <t>Financial literacy; financial inclusion; household financial decisions; ICT; D83; G51; G53</t>
  </si>
  <si>
    <t>INTERNATIONAL STUDIES OF MANAGEMENT &amp; ORGANIZATION</t>
  </si>
  <si>
    <t>Impact of financial literacy on financial inclusion and household financial decisions: exploring the role of ICTs</t>
  </si>
  <si>
    <t>Mushtaq, Rizwan; Murtaza, Ghulam; Yahiaoui, Dorra; Alessio, Ishizaka; Talpur, Qurat-ul-ain</t>
  </si>
  <si>
    <t>Mushtaq, R; Murtaza, G; Yahiaoui, D; Alessio, I; Talpur, Q</t>
  </si>
  <si>
    <t>WOS:000684163600001</t>
  </si>
  <si>
    <t>ZO2SX</t>
  </si>
  <si>
    <t>10.1080/19439342.2021.1964576</t>
  </si>
  <si>
    <t>This work was supported by the Global Development Network (GDN); The European Investment Bank.</t>
  </si>
  <si>
    <t>Global Development Network (GDN); European Investment Bank</t>
  </si>
  <si>
    <t>Yitbarek, Eleni/0000-0002-4549-4740</t>
  </si>
  <si>
    <t>Yitbarek, Eleni/AAN-6026-2021</t>
  </si>
  <si>
    <t>eleni.yitbarek@up.ac.za</t>
  </si>
  <si>
    <t>Yitbarek, E (corresponding author), Univ Pretoria, Dept Econ, Tukkiewerf Bldg,Lynnwood Rd, ZA-0002 Pretoria, Rsa, South Africa.</t>
  </si>
  <si>
    <t>[Awel, Yesuf] United Nations Econ Commiss Africa, Addis Ababa, Ethiopia; [Yitbarek, Eleni] Univ Pretoria, Econ Dept, Pretoria, South Africa</t>
  </si>
  <si>
    <t>The study assess mobile money demand for utility bill payments and identify factors that affect its adoption in Ethiopia. We use data from urban household survey and dichotomous choice experiment that randomly offer a range of prices for using mobile money to pay utility bills. We find that households are willing to pay a higher price to use mobile money than the actual price charged by current mobile money service providers for the payment of goods and services. However, demand is sensitive to price changes. Our findings suggest strong latent demand for mobile money in processing payments.</t>
  </si>
  <si>
    <t>FINANCE; GROWTH; KENYA</t>
  </si>
  <si>
    <t>Mobile money; financial inclusion; willingness-to-pay; Ethiopia</t>
  </si>
  <si>
    <t>Mobile money demand in utility bill payments: A WTP estimates from Ethiopia</t>
  </si>
  <si>
    <t>Awel, Yesuf; Yitbarek, Eleni</t>
  </si>
  <si>
    <t>Awel, Y; Yitbarek, E</t>
  </si>
  <si>
    <t>WOS:000647769900025</t>
  </si>
  <si>
    <t>RY2TN</t>
  </si>
  <si>
    <t>10.25115/eea.v39i4.4489</t>
  </si>
  <si>
    <t>Estud. Econ. Apl.</t>
  </si>
  <si>
    <t>ESTUD ECON APL</t>
  </si>
  <si>
    <t>1697-5731</t>
  </si>
  <si>
    <t>1133-3197</t>
  </si>
  <si>
    <t>C JUAN RAMON JIMENEZ, 43, MADRID, 28036, SPAIN</t>
  </si>
  <si>
    <t>ASOC ECONOMIA APLICADAD</t>
  </si>
  <si>
    <t>Safitri, Karin Amelia/GPP-2190-2022</t>
  </si>
  <si>
    <t>karinamelia@ui.ac.id</t>
  </si>
  <si>
    <t>Safitri, KA (corresponding author), Univ Indonesia, Dept Insurance Adm &amp; Actuary, Vocat Educ Program, Kota Depok, Indonesia.</t>
  </si>
  <si>
    <t>[Safitri, Karin Amelia] Univ Indonesia, Dept Insurance Adm &amp; Actuary, Vocat Educ Program, Kota Depok, Indonesia</t>
  </si>
  <si>
    <t>The uncertainty of income earned by farmers, namely crop failure with a very high risk, will cause financial problems in their families. The target or respondents of this study are farmers who live in Lahat Regency, South Sumatera. Initial findings indicate that the level of financial inclusion of farmers in the Lahat Regency is still quite low. The purpose of this study is to analyze the level of farmers' financial literacy, identify the components of farmers' financial literacy, and analyze the factors that affect the level of farmers' financial literacy. The research method applied is descriptive analysis and multiple regression. The analysis showed that most of the literate farmers were in the moderately literate category of 47.2 percent and the least of the farmers in the less literate category was 24.5 percent. The financial attitude component gave the largest contribution to the farmers' financial literacy index, which was 0.73. Besides, the factor affecting the level of financial literacy of farmers is education. The policy implication resulting from this research is the existence of a structured promotion and training of financial literacy for farmers by local governments. In addition, campaigning for the importance of being educated and inviting educated people to start running agricultural business activities.</t>
  </si>
  <si>
    <t>Farmers; Financial Literacy; Financial Inclusion; Indonesia</t>
  </si>
  <si>
    <t>ESTUDIOS DE ECONOMIA APLICADA</t>
  </si>
  <si>
    <t>An Analysis of Indonesian Farmer's Financial Literacy</t>
  </si>
  <si>
    <t>Safitri, Karin Amelia</t>
  </si>
  <si>
    <t>Safitri, KA</t>
  </si>
  <si>
    <t>WOS:001072258200001</t>
  </si>
  <si>
    <t>AH3T1</t>
  </si>
  <si>
    <t>10.1007/s40622-023-00355-y</t>
  </si>
  <si>
    <t>Decision</t>
  </si>
  <si>
    <t>DECISION-INDIA</t>
  </si>
  <si>
    <t>2197-1722</t>
  </si>
  <si>
    <t>0304-0941</t>
  </si>
  <si>
    <t>laxmi.gunupudi@gmail.com; krishnan@cdfi.in</t>
  </si>
  <si>
    <t>Gunupudi, L (corresponding author), IIIT, Bangalore, Karnataka, India.</t>
  </si>
  <si>
    <t>[Gunupudi, Laxmi] IIIT, Bangalore, Karnataka, India; [Dharmarajan, Krishnan] Inst Financial Management &amp; Res, CDFI, Sri City, India</t>
  </si>
  <si>
    <t>Financial inclusion is increasingly being seen as critical to reducing poverty and unlocking inclusive growth. However, financial inclusion will remain incomplete without appropriate and adequate financial literacy. We have adopted the design science research methodology and developed a mobile phone based continuous literacy platform to overcome the limitations of classroom based delivery medium. With the primary objective of assessing the effectiveness of this digital platform for financial literacy, a POC was conducted. This study analyzed the ability of this platform in reaching out to large number of target audience, disseminating customized content and engaging individuals in meaningful conversations that lead to learning. A sample of 1383 people were engaged in a basic financial literacy program and participant responses were analyzed. Findings from this study are very encouraging and have implications for the design and implementation of such continuous literacy programs and future of this channel for delivering such programs.</t>
  </si>
  <si>
    <t>Continuous literacy programs; Financial literacy; Mobile solution; Design science research</t>
  </si>
  <si>
    <t>DECISION</t>
  </si>
  <si>
    <t>Continuous literacy programs: case for mobile based financial literacy solution</t>
  </si>
  <si>
    <t>Gunupudi, Laxmi; Dharmarajan, Krishnan</t>
  </si>
  <si>
    <t>Gunupudi, L; Dharmarajan, K</t>
  </si>
  <si>
    <t>WOS:001649917000001</t>
  </si>
  <si>
    <t>AJ9RU</t>
  </si>
  <si>
    <t>10.1108/IJSSP-04-2025-0258</t>
  </si>
  <si>
    <t>muskaansachdeva1498@gmail.com; piyushhooda.ubs@gmail.com; anjusingla@pec.edu.in</t>
  </si>
  <si>
    <t>Singla, A (corresponding author), Punjab Engn Coll Deemed Univ, Ctr Management &amp; Humanities, Chandigarh, India.</t>
  </si>
  <si>
    <t>[Sachdeva, Muskaan; Hooda, Piyush; Singla, Anju] Punjab Engn Coll Deemed Univ, Ctr Management &amp; Humanities, Chandigarh, India</t>
  </si>
  <si>
    <t>PurposeSustainable finance has emerged as a global priority; however, retail investors continue to face barriers, such as limited awareness, restricted access, and behavioral barriers that limit the adoption of Green Investments. Hence, this study explores how green financial capability (GFC), a multidimensional construct encompassing green financial literacy (GFL) and green financial inclusion (GFI), influences green investment (GI), with green financial behavior (GFB) as a mediating behavioral mechanism.Design/methodology/approachThe partial least squares structural equation modeling (PLS-SEM) was used to analyze the data and test hypotheses based on a cross-sectional survey of 354 retail investors across North India, with concentrated retail investor growth and clean energy adoption.FindingsThe findings indicate that GFC significantly facilitates GI through GFB, which fully mediates the relationship between GFC and GI (beta = 0.505, p &lt; 0.001). Furthermore, both GFL and GFI emerge as significant antecedents of GFC, with literacy demonstrating a stronger influence.Practical implicationsThe study offers insights for investors, financial institutions, and regulatory bodies to design targeted interventions for enhancing sustainable investments. These initiatives may significantly contribute to achieving Sustainable Development Goals (SDGs) and societal transition through sustainable inclusive growth.Originality/valueUnlike prior studies that examined financial literacy or inclusion separately, this study integrates both within a capability-behavior-investment framework to explain how investor capabilities translate into sustainable financial actions. It makes a distinct contribution by conceptualizing GFC as a multidimensional construct and examining its direct and indirect influence on GI within the underexplored context of emerging economies.</t>
  </si>
  <si>
    <t>SEM</t>
  </si>
  <si>
    <t>Green financial capability; Sustainable finance; Retail investor behavior; Green investment; Green finance; Sustainable investment</t>
  </si>
  <si>
    <t>Unveiling behavioral mechanisms in the transition from green financial capability to green investment</t>
  </si>
  <si>
    <t>Sachdeva, Muskaan; Hooda, Piyush; Singla, Anju</t>
  </si>
  <si>
    <t>Sachdeva, M; Hooda, P; Singla, A</t>
  </si>
  <si>
    <t>WOS:000907699800005</t>
  </si>
  <si>
    <t>7O0BV</t>
  </si>
  <si>
    <t>sanjay.commerce@igu.ac.in; somjitlohchab1983@gmail.com</t>
  </si>
  <si>
    <t>Hooda, SK (corresponding author), Indira Gandhi Univ, Meerpur Rewari, Haryana, India.</t>
  </si>
  <si>
    <t>Indira Gandhi University Meerpur, Rewari</t>
  </si>
  <si>
    <t>[Hooda, Sanjay Kumar; Somjit] Indira Gandhi Univ, Meerpur Rewari, Haryana, India</t>
  </si>
  <si>
    <t>Financial inclusion is a critical issue for a country's social and economic development. Since the early twenty century, the Reserve Bank of India and the Government of India has taken various steps for financial inclusion, especially for rural area namely customer service centers, credit counseling centers, and the Kisan Credit Card (KCC). The present study was carried out to determine the effect of the Kisan Credit Card (KCC) scheme on farm households in both states Haryana and Punjab. We selected a total number of 240 respondents equally from both states. In this study, the researchers analyzed the age-wised perception of farmers and their impact on farm households, which have been playing a key role in the development of the agriculture base. The researchers have found that 30.40% of farmers were thinks positively about the KCC scheme in the age group of 31-40 years in both states. KCC scheme has been found very useful for an agricultural loan or crop loan. The significant differences in the perception of farm households toward the KCC scheme between both states have not been found.</t>
  </si>
  <si>
    <t>Kisan Credit Card (KCC); Farm households; Financial Inclusion Action Plan (FIAP); Direct Benefit Transfer (DBT); Financial Consumer Protection and Financial Literacy (FCP&amp;FL)</t>
  </si>
  <si>
    <t>Role of Kisan Credit Card (KCC) Scheme in Financial Inclusion: A Study of Farm Households</t>
  </si>
  <si>
    <t>Hooda, Sanjay Kumar; Somjit</t>
  </si>
  <si>
    <t>Hooda, SK; Somjit</t>
  </si>
  <si>
    <t>WOS:000653150400001</t>
  </si>
  <si>
    <t>10.1108/IJOES-11-2020-0176</t>
  </si>
  <si>
    <t>; Kassim, Salina/Q-7008-2019; Othman, Anwar/U-3214-2019</t>
  </si>
  <si>
    <t>Fatismed95@yahoo.fr; ksalina@iium.edu.my; anwarhasan@iium.edu.my</t>
  </si>
  <si>
    <t>Maouloud, VM (corresponding author), Int Islamic Univ Malaysia, Inst Islamic Banking &amp; Finance, IIBF, IIUM, Kuala Lumpur, Malaysia.</t>
  </si>
  <si>
    <t>[Mokhtar Maouloud, Vatimetou; Kassim, Salina; Othman, Anwar Hasan Abdullah] Int Islamic Univ Malaysia, Inst Islamic Banking &amp; Finance, IIBF, IIUM, Kuala Lumpur, Malaysia</t>
  </si>
  <si>
    <t>Purpose - This study aims to identify the involuntary barriers of financial inclusion which are affecting the usage of Islamic microfinance services in PROCAPEC institution located in Nouakchott-Mauritania. Subsequently, it also examines the effect of gender as a moderator in the model. Design/methodology/approach - Primary data was collected through a cross-sectional questionnaire from 381 beneficiaries of PROCAPEC - a major Islamic microfinance provider in Mauritania. In methodology, the study uses confirmatory factor analysis to identify relevant involuntary factors affecting usage, followed by structural equation modelling to test the impact of these factors on the usage of Islamic microfinance (IsMF) products. Findings - Two of the four factors are statistically significant in affecting the usage of IsMF products, namely, affordability and eligibility. Gender is a moderator in the relationship between affordability and usage, as well as eligibility and usage. Practical implications - Policymakers, practitioners and managers of Islamic microfinance institutions can consider these factors and focus on strategies, including pricing and promotion, which aim to further develop the Islamic microfinance industry in Mauritania. Also, reducing documentation required from clients and adopting lenient rules to provide suitable products will enhance the use of IsMF products, which may lead to more customers' attraction. Originality/value - Although several researchers have articulated financial inclusion, this study sheds light on a specific dimension of financial inclusion to determine the factors impacting IsMF products' usage. In Mauritania, there are few studies about microfinance. This study will be amongst the pioneer contribution to the geographical gap.</t>
  </si>
  <si>
    <t>FINANCIAL INCLUSION; BANKS</t>
  </si>
  <si>
    <t>Financial inclusion; Structural equation modelling; Islamic microfinance; Poverty alleviation; Mauritania; Involuntary barriers</t>
  </si>
  <si>
    <t>Islamic microfinance in Mauritania: an investigation into involuntary factors affecting usage</t>
  </si>
  <si>
    <t>Mokhtar Maouloud, Vatimetou; Kassim, Salina; Othman, Anwar Hasan Abdullah</t>
  </si>
  <si>
    <t>Maouloud, VM; Kassim, S; Othman, AHA</t>
  </si>
  <si>
    <t>WOS:000792204400001</t>
  </si>
  <si>
    <t>2Z2GK</t>
  </si>
  <si>
    <t>10.1017/S0022109021000569</t>
  </si>
  <si>
    <t>PII S0022109021000569</t>
  </si>
  <si>
    <t>J. Financ. Quant. Anal.</t>
  </si>
  <si>
    <t>J FINANC QUANT ANAL</t>
  </si>
  <si>
    <t>1756-6916</t>
  </si>
  <si>
    <t>0022-1090</t>
  </si>
  <si>
    <t>We gratefully acknowledge the support of the NSE-NYU Stern Initiative on the Study of Indian Capital Markets. We also thankViral Acharya, Anusha Chari, Andrew Ellul, Joseph Fan, Todd Gormley, Isaac Hacamo, Rick Harbaugh, Andrew Karolyi, Ajay Mishra, Prachi Mishra, Vikram Nanda, Arvind Panagariya, N. R. Prabhala, Antoinette Schoar, Carsten Sprenger, Gregory Udell, Zhenyu Wang, and seminar and conference participants at Australian National University; the 2016 Symposium on Emerging Financial Markets; the 2016 International Moscow Finance Conference; the 2015 China International Conference in Finance; the 2014 Columbia-Cornell-World Bank Conference on Markets, Labor, and Regulation; GeorgeWashington University; Indiana University Kelley School of Business; and the 2015 NSE-NYU Indian Capital Markets Conference for useful comments, as well as Shaheen LavieRouse for outstanding research assistance.</t>
  </si>
  <si>
    <t>NSE-NYU Stern Initiative on the Study of Indian Capital Markets</t>
  </si>
  <si>
    <t>Gupta, Nandini/0000-0003-2177-6310</t>
  </si>
  <si>
    <t>dehejia@nyu.edu; nagupta@indiana.edu</t>
  </si>
  <si>
    <t>Gupta, N (corresponding author), Indiana Univ, Kelley Sch Business, Bloomington, IN 47405 USA.</t>
  </si>
  <si>
    <t>New York University; Indiana University System; IU Kelley School of Business; Indiana University Bloomington</t>
  </si>
  <si>
    <t>[Dehejia, Rajeev] NYU, Wagner Grad Sch Publ Serv, New York, NY 10003 USA; [Gupta, Nandini] Indiana Univ, Kelley Sch Business, Bloomington, IN 47405 USA</t>
  </si>
  <si>
    <t>Does financial development facilitate micro-entrepreneurship? Using randomized surveys of over 1 million Indian households and bank-branch location as predetermined by government policy, we find that access to finance shifts workers from informal micro-entrepreneurship into formal employment. Financial access reduces the likelihood of being self-employed but benefits micro-enterprises with employees, as well as formal firms. Using data on 400,000 firms, we find that in districts with more banks, firms have higher loans, productivity, employment, and wages than firms in less banked districts. This evidence suggests a labor-market mechanism by which financial development facilitates growth: by shifting workers from unproductive micro-entrepreneurship into productive employment.</t>
  </si>
  <si>
    <t>SOCIAL BANKING; GROWTH; IMPACT; CONSEQUENCES; MICROCREDIT; COMPETITION; DEPENDENCE; ACCESS</t>
  </si>
  <si>
    <t>JOURNAL OF FINANCIAL AND QUANTITATIVE ANALYSIS</t>
  </si>
  <si>
    <t>Financial Development and Micro-Entrepreneurship</t>
  </si>
  <si>
    <t>Dehejia, Rajeev; Gupta, Nandini</t>
  </si>
  <si>
    <t>Dehejia, R; Gupta, N</t>
  </si>
  <si>
    <t>WOS:000542310800018</t>
  </si>
  <si>
    <t>MB0PJ</t>
  </si>
  <si>
    <t>10.5958/2322-0430.2019.00038.6</t>
  </si>
  <si>
    <t>B, Krishnakumare/AIF-4183-2022</t>
  </si>
  <si>
    <t>krishnaagri@hotmail.com</t>
  </si>
  <si>
    <t>Govind Ballabh Pant University of Agriculture Technology</t>
  </si>
  <si>
    <t>[Singh, Saurabh] GBPUA A&amp;T, Coll Agribusiness Management, Udham Singh Nagar 263145, Uttarakhand, India</t>
  </si>
  <si>
    <t>This study estimated the degree of influence of different demographic factors on financial inclusion based on the data collected from 640 respondents from the rural households of Tamil Nadu during the year 2018. Binomial logistic regression was employed to identify the demographic characteristics which influencing financial inclusion among the respondents. The results revealed that the respondents who were either employed or self-employed showed a greater probability of being financially included than housewives, retired persons, students, and those who were unemployed. Besides, having a gas connection in the household, the frequency of bus to town and financial literacy had a positive influence on being financially included, whereas, the factors such as the distance of the village from the banks, and respondents being unemployed showed a negative influence on the financial inclusion of the respondents.</t>
  </si>
  <si>
    <t>Determinants; financial inclusion; financial literacy; rural households</t>
  </si>
  <si>
    <t>Degree of Influence of Determinants on Financial Inclusion - A Study among Rural Households of Tamil Nadu</t>
  </si>
  <si>
    <t>Krishnakumare, B.; Singh, Saurabh</t>
  </si>
  <si>
    <t>Krishnakumare, B; Singh, S</t>
  </si>
  <si>
    <t>WOS:001289023300011</t>
  </si>
  <si>
    <t>C4I9L</t>
  </si>
  <si>
    <t>10.1891/JFCP-2023-0067</t>
  </si>
  <si>
    <t>Funding. The authors received no specific grant or financial support for the research, authorship, and/or publication of this article.</t>
  </si>
  <si>
    <t>Qing, Di/0000-0003-1245-9508;</t>
  </si>
  <si>
    <t>Korankye, Thomas/AGV-5821-2022; Qing, Di/MVT-9045-2025; Pearson, Blain/E-5439-2018; Liu, Yi/OEN-9792-2025</t>
  </si>
  <si>
    <t>bpearson@coastal.edu; korankye@arizona.edu; yliu@sjfc.edu; dzq0007@auburn.edu</t>
  </si>
  <si>
    <t>Pearson, B (corresponding author), Coastal Carolina Univ, E Craig Wall Sr Coll Business Adm, Dept Finance &amp; Econ, Conway, SC 29528 USA.</t>
  </si>
  <si>
    <t>Coastal Carolina University; University of Arizona; Saint John Fisher University; Auburn University System; Auburn University</t>
  </si>
  <si>
    <t>[Pearson, Blain] Coastal Carolina Univ, E Craig Wall Sr Coll Business Adm, Dept Finance &amp; Econ, Conway, SC 29528 USA; [Korankye, Thomas] Univ Arizona, Norton Sch Human Ecol, Personal &amp; Family Financial Planning, Tucson, AZ USA; [Liu, Yi] St John Fisher Univ, Sch Business, Dept Accounting &amp; Finance, Rochester, NY USA; [Qing, Di] Auburn Univ, Coll Human Sci, Auburn, AL USA</t>
  </si>
  <si>
    <t>This study examines the propensity of responding don't know (DK) to a set of financial literacy questions given the opportunity to respond correctly, incorrectly, or DK, the inclusion of a DK response item uniquely encompasses facets of financial literacy, which are often overlooked. While researchers utilizing the NFCS have historically treated these responses as incorrect in financial literacy assessments or excluded/dropped DK responses in empirical analyses, this studys' findings suggest that the interpretation of DK responses may be better viewed as an amalgamation of survey participants' uncertainty, response confidence, ambiguity regarding the question, or unwillingness to respond, rather than an outright lack of financial literacy. The empirical results suggest that females and those without financially independent children tend to respond DK more frequently to the financial literacy questions examined and that those who are older, married, highly educated, retired, have higher incomes, and current and former military personnel tend to select DK less frequently. Compared to Whites, Blacks are more likely and Asian/Pacific Islanders are less likely to answer DK.</t>
  </si>
  <si>
    <t>KNOW RESPONSES; KNOWLEDGE; NONRESPONSE; EDUCATION; AGE</t>
  </si>
  <si>
    <t>financial literacy; national financial capability study; personal finance; response theory; survey design</t>
  </si>
  <si>
    <t>Knowing the Don't Knows to Financial Literacy Questions in the U.S. National Financial Capability Study</t>
  </si>
  <si>
    <t>Pearson, Blain; Korankye, Thomas; Liu, Yi; Qing, Di</t>
  </si>
  <si>
    <t>Pearson, B; Korankye, T; Liu, Y; Qing, D</t>
  </si>
  <si>
    <t>WOS:001587965300005</t>
  </si>
  <si>
    <t>8GH0E</t>
  </si>
  <si>
    <t>10.64446/aw.2025.9.41.3.82</t>
  </si>
  <si>
    <t>Murugesan, Ashok/W-2721-2019; Ramasamy, Kumar/AAQ-5873-2021</t>
  </si>
  <si>
    <t>ubaashna.p.2021.cse@ritchennai.edu.in</t>
  </si>
  <si>
    <t>Parthiban, U (corresponding author), Rajalakshmi Inst Technol, Chennai 600124, Tamil Nadu, India.</t>
  </si>
  <si>
    <t>[Parthiban, Ubaashna; Pannerselvam, Vandhana Devi; Murugesan, Ashok] Rajalakshmi Inst Technol, Chennai 600124, Tamil Nadu, India; [Ramasamy, Kumar] Knowledge Inst Technol, Salem, Tamil Nadu, India</t>
  </si>
  <si>
    <t>Women still face persistent financial inclusion, employment verification, and wage transparency issues to their economic empowerment. Conventional hiring and financial systems impose disproportionate limitations on women to access credit and fair wages. ShePowerChain is a blockchain platform that aims to address these problems with decentralized finance, smart contracts, and verifiable credentials. ShePowerChain's secure, transparent, and automated transactions not only streamline processes but, depending on modeled scenarios, help reduce wage payment delays by 25% and increase women-led microloan access by 40%. By enabling secure, transparent, and automated transactions, ShePowerChain disintermediates, enhances job verification, and enforces wage fairness. The platform uses zero-knowledge proofs for privacy, multi-factor authentication for security, and Layer 2 scaling solutions for efficiency. While the results were from simulations and comparisons, they were not due to full real world usage. Comparative studies point to its potential to improve financial access, close wage gaps, and establish trust in hiring processes. The design also considers a serious ethical risk of excluding women who have low digital literacy, suggesting digital skills training, and adaptive strategies for community. Despite obstacles related to regulatory implications, and lack of digital literacy, blockchain provides an opportunity to facilitate and scale sustainable solutions to gender inclusive economic empowerment.</t>
  </si>
  <si>
    <t>Blockchain; Financial inclusion; Women empowerment; Smart contracts; Decentralized finance; Blockchain; Financial inclusion; Women empowerment; Smart contracts; Decentralized finance</t>
  </si>
  <si>
    <t>ShePowerChain: A Blockchain-Based Platform for Women's Financial Inclusion and Empowerment</t>
  </si>
  <si>
    <t>Parthiban, Ubaashna; Pannerselvam, Vandhana Devi; Murugesan, Ashok; Ramasamy, Kumar</t>
  </si>
  <si>
    <t>Parthiban, U; Pannerselvam, VD; Murugesan, A; Ramasamy, K</t>
  </si>
  <si>
    <t>WOS:001600171100001</t>
  </si>
  <si>
    <t>8YF5Q</t>
  </si>
  <si>
    <t>10.1016/j.jbankfin.2025.107557</t>
  </si>
  <si>
    <t>ytchen2020@nsd.pku.edu.cn; ywdong2018@nsd.pku.edu.cn; jyhu@nsd.pku.edu.cn; yhuang@nsd.pku.edu.cn</t>
  </si>
  <si>
    <t>Hu, JY (corresponding author), Peking Univ, 5 Yiheyuan Rd, Beijing 100871, Peoples R China.</t>
  </si>
  <si>
    <t>Peking University; Peking University; Peking University; Hong Kong Monetary Authority (HKMA)</t>
  </si>
  <si>
    <t>[Hu, Jiayin; Huang, Yiping] Peking Univ, China Ctr Econ Res, Natl Sch Dev, Beijing, Peoples R China; [Hu, Jiayin; Huang, Yiping] Peking Univ, Inst Digital Finance, Beijing, Peoples R China; [Chen, Yanting] Peking Univ, Natl Sch Dev, Beijing, Peoples R China; [Dong, Yingwei] Hong Kong Monetary Author, Hong Kong, Peoples R China</t>
  </si>
  <si>
    <t>We investigate whether FinTech can mitigate human biases in lending decisions using proprietary loan-level data from a Chinese auto equity lender. The lender first integrated big data credit scoring as an advisory tool to enhance its traditional lending model, subsequently transitioning to algorithmic decision-making with optional human override. Our findings reveal that cognitive biases decrease significantly when loan officers use algorithmic lending decisions, substantially reducing disparities in loan-to-value ratios between local and nonlocal borrowers without exacerbating default differentials. Notably, the discretionary adjustments made by loan officers remain modest. In contrast, advisory credit scores alone exhibit no discernible bias-reducing effects. Our study is among the first to demonstrate that automation and choice architecture-specifically, nudging via algorithmic defaults-is more effective than mere information provision in combating discrimination and promoting financial inclusion.</t>
  </si>
  <si>
    <t>MOBILE MONEY; DISCRIMINATION</t>
  </si>
  <si>
    <t>FinTech; Lending; Algorithm; Nudging; Human biases; Loan officers</t>
  </si>
  <si>
    <t>Does FinTech reduce human biases? Evidence from advisory vs. automated FinTechs in lending</t>
  </si>
  <si>
    <t>Chen, Yanting; Dong, Yingwei; Hu, Jiayin; Huang, Yiping</t>
  </si>
  <si>
    <t>Chen, YT; Dong, YW; Hu, JY; Huang, YP</t>
  </si>
  <si>
    <t>WOS:000539160600006</t>
  </si>
  <si>
    <t>LW5AY</t>
  </si>
  <si>
    <t>10.1016/j.worlddev.2020.104997</t>
  </si>
  <si>
    <t>This paper has been prepared as part of a JICA Research Institute (JICA-RI) project entitled An Empirical Analysis on Expanding Rice Production in Sub-Sahara Africa. The authors are grateful for the financial support provided by the Japan International Research Center for Agricultural Sciences (JIRCAS) and the Japan Society for the Promotion of Science (JSPS) KAKENHI Grant Number 16H02733. We highly appreciate the kind cooperation from the late Dr. Mahabub Hossain and the staff of BRAC Tanzania office. Without their cooperation, this project was not feasible. We would like to thank our research team for their role in data collection and agronomists of JICA and MATI Ilonga for their helpful advice. We appreciate the members of An Empirical Analysis on Expanding Rice Production in Sub-Sahara Africa project, the participants of 2019 Japanese Economic Association Spring Meeting, Dr. Zhengfei Yu of University of Tsukuba, and anonymous referees for their constructive comments. We thank the farmers who participated in our study for their kind cooperation and Ms. Keiko Watanabe for cordially supporting our research activities.</t>
  </si>
  <si>
    <t>Japan International Research Center for Agricultural Sciences (JIRCAS)(Japan International Research Center for Agricultural Sciences); Japan Society for the Promotion of Science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</si>
  <si>
    <t>Japan International Research Center for Agricultural Sciences (JIRCAS); Japan Society for the Promotion of Science (JSPS) KAKENHI [16H02733]; Grants-in-Aid for Scientific Research [16H02733] Funding Source: KAKEN</t>
  </si>
  <si>
    <t>Magezi, Eustadius Francis/0000-0002-6778-3578</t>
  </si>
  <si>
    <t>NAKANO, YUKO/JCP-3865-2023; Magezi, Eustadius/AAN-1530-2021</t>
  </si>
  <si>
    <t>nakano.yuko.fn@u.tsukuba.ac.jp</t>
  </si>
  <si>
    <t>Nakano, Y (corresponding author), Univ Tsukuba, Fac Humanities &amp; Social Sci, 1-1-1 Tennodai, Tsukuba, Ibaraki 3058571, Japan.</t>
  </si>
  <si>
    <t>University of Tsukuba; University of Tokyo</t>
  </si>
  <si>
    <t>[Nakano, Yuko] Univ Tsukuba, Fac Humanities &amp; Social Sci, 1-1-1 Tennodai, Tsukuba, Ibaraki 3058571, Japan; [Magezi, Eustadius F.] Univ Tokyo, Grad Sch Agr &amp; Life Sci, Bunkyo Ku, 1-1-1 Yayoi, Tokyo 1138657, Japan</t>
  </si>
  <si>
    <t>Adoption of technology is indispensable for increased agricultural productivity and poverty reduction in Sub-Saharan Africa. Lack of access to credit is often identified as a constraint on the adoption of agricultural technology. Recently, microcredit has generated considerable enthusiasm and hope for ensuring sustainable financial inclusion of the poor. We conducted randomized control trial (RCT) to examine the impact of microcredit on the adoption of technology and productivity of rice cultivation in Tanzania. Collaboratively with BRAC, a globally-known microfinance institution, we offered microcredit specifically designed for agriculture to randomly selected farmers. We estimate the intention-to-treat effect (ITT) as well as the local average treatment effect (LATE) of microcredit, by using the treatment status as an instrumental variable (IV). Overall, we find no evidence that the BRAC program increases the use of chemical fertilizer. Also, credit use does not result in an increase in paddy yield, profit from rice cultivation, or household income. Our results from sub-sample analyses suggest that credit does not increase the fertilizer use by those who have better access to irrigation water as they have already applied the amount of fertilizer near to the recommended level. On the other hand, credit increases the fertilizer use by those who have limited access to irrigation water and have previously used little fertilizer. However, possibly due to the poor yield response to fertilizer, the increase in chemical fertilizer use does not result in higher yield for them. We also observed similar phenomenon for the comparison between trained and non-trained borrowers before the intervention. Our study suggests that improving credit access may not be enough to increase small-scale farmers' technology adoption, agricultural productivity, and welfare. (C) 2020 Elsevier Ltd. All rights reserved.</t>
  </si>
  <si>
    <t>SUB-SAHARAN AFRICA; POOR EXPERIMENTAL-EVIDENCE; MICROFINANCE EVIDENCE; RICE PRODUCTION; CREDIT; ACCESS; INNOVATIONS; MODEL; CONSTRAINTS; INFORMATION</t>
  </si>
  <si>
    <t>Technology adoption; Agriculture; Microcredit; Randomized control trial; Sub-Sahara Africa</t>
  </si>
  <si>
    <t>The impact of microcredit on agricultural technology adoption and productivity: Evidence from randomized control trial in Tanzania</t>
  </si>
  <si>
    <t>Nakano, Yuko; Magezi, Eustadius F.</t>
  </si>
  <si>
    <t>Nakano, Y; Magezi, EF</t>
  </si>
  <si>
    <t>WOS:000596542600032</t>
  </si>
  <si>
    <t>PB8CM</t>
  </si>
  <si>
    <t>10.1016/j.frl.2020.101725</t>
  </si>
  <si>
    <t>Renzhi, Nuobu/0000-0002-4899-4492; Baek, Yong Jun/0000-0003-3182-1760</t>
  </si>
  <si>
    <t>Renzhi, Nuobu/AEN-7210-2022</t>
  </si>
  <si>
    <t>renzhinuobu@gmail.com; ybaek@adbi.org</t>
  </si>
  <si>
    <t>Baek, YJ (corresponding author), Asian Dev Bank Inst, Chiyoda Ku, 3-2-5 Kasumigaseki, Tokyo 1006008, Japan.</t>
  </si>
  <si>
    <t>[Renzhi, Nuobu] Univ Tokyo, Grad Sch Publ Policy, Bunkyo Ku, 7-3-1 Hongo, Tokyo 1130033, Japan; [Baek, Yong Jun] Asian Dev Bank Inst, Chiyoda Ku, 3-2-5 Kasumigaseki, Tokyo 1006008, Japan</t>
  </si>
  <si>
    <t>This study demonstrates the existence of financial inclusion-based environment Kuznets curve (EKC) by analyzing a panel of 103 countries during 2004-2014. The relationship between financial inclusion and CO2 emissions is found to be an inverted U-shape. This finding is robust to different measurements of the financial inclusion index constructed by principal composite analysis and modifications of the estimation model. The existence of a financial inclusion-based EKC provides an important policy insight that financial inclusion can be used as a mitigation measure. Therefore, policy makers should consider the synergy effect of financial inclusion in designing development and climate change policies.</t>
  </si>
  <si>
    <t>CARBON-DIOXIDE EMISSIONS; ECONOMIC-GROWTH; CO2 EMISSIONS; CONSUMPTION</t>
  </si>
  <si>
    <t>Financial inclusion; Environmental Kuznets curve; Mitigation measure; Climate change policy; Global panel data</t>
  </si>
  <si>
    <t>Can financial inclusion be an effective mitigation measure? evidence from panel data analysis of the environmental Kuznets curve</t>
  </si>
  <si>
    <t>Renzhi, Nuobu; Baek, Yong Jun</t>
  </si>
  <si>
    <t>Renzhi, N; Baek, YJ</t>
  </si>
  <si>
    <t>WOS:000754084500001</t>
  </si>
  <si>
    <t>7Y2PP</t>
  </si>
  <si>
    <t>10.1111/ijcs.12778</t>
  </si>
  <si>
    <t>Hrvatska Zaklada za Znanost; Project of the Croatian Science Foundation, Grant/Award Number: UIP--2019--04--3580</t>
  </si>
  <si>
    <t>Hrvatska Zaklada za Znanost; Project of the Croatian Science Foundation</t>
  </si>
  <si>
    <t>Hrvatska Zaklada za Znanost; Project of the Croatian Science Foundation [UIP--2019--04--3580]</t>
  </si>
  <si>
    <t>Lučić, Anea/0000-0002-3391-2503; Ježovit, Marija/0000-0003-2349-9185</t>
  </si>
  <si>
    <t>Uzelac, Marija/AAE-8510-2021; Lučić, Anea/C-4741-2018</t>
  </si>
  <si>
    <t>andrea.lucic@efzg.hr</t>
  </si>
  <si>
    <t>Lucic, A (corresponding author), Univ Zagreb, Fac Econ &amp; Business, Dept Mkt, Zagreb, Croatia.</t>
  </si>
  <si>
    <t>University of Zagreb; University of Zagreb; University of Zagreb</t>
  </si>
  <si>
    <t>[Lucic, Andrea] Univ Zagreb, Fac Econ &amp; Business, Dept Mkt, Zagreb, Croatia; [Babric, Dajana] Univ Zagreb, Fac Econ &amp; Business, Dept Finance, Zagreb, Croatia; [Uzelac, Marija] Univ Zagreb, Fac Econ &amp; Business, Zagreb, Croatia</t>
  </si>
  <si>
    <t>This paper investigates the multidisciplinary theoretical context of financial capability and provides a critical examination of 14 relevant theoretical frameworks. To this end, the paper defines financial capability and develops a new theoretical framework of financial capability termed the personal financial management system. Financial capability is defined as the capacity of consumers to undertake comprehensive financial activities and thereby achieve personal financial well-being. The exploration of financial capability includes the concepts of financial literacy and psychological financial capability, where the latter represents automatic and controlled mental processes. Recent advances in behavioural science have profoundly changed the realm of personal finances, and it is, therefore, essential to acknowledge the importance of the intuitive reasoning that shapes our financial decision making. As part of the financial management system's throughput, together with individual motivation and opportunity within the personal financial management system, financial capability forms financial behaviour. The framework identifies three groups of relevant antecedents of financial capability including sociodemographic factors, cognitive and affective factors and personality and values. By constructing a comprehensive theoretical model, this paper contributes to the literature by providing greater consistency in the definitions of capability and its related terms, encouraging academic discussion and affirming the much-needed directions for future research.</t>
  </si>
  <si>
    <t>LIFE-CYCLE HYPOTHESIS; DECISION-MAKING; SELF-ESTEEM; MONEY ATTITUDES; BEHAVIOR; LITERACY; EDUCATION; KNOWLEDGE; SAVINGS; PERSONALITY</t>
  </si>
  <si>
    <t>financial behaviour; financial capability; financial literacy; financial well-being; motivation; opportunity; theory synthesis</t>
  </si>
  <si>
    <t>Theoretical underpinnings of consumers' financial capability research</t>
  </si>
  <si>
    <t>Lucic, Andrea; Babric, Dajana; Uzelac, Marija</t>
  </si>
  <si>
    <t>Lucic, A; Babric, D; Uzelac, M</t>
  </si>
  <si>
    <t>WOS:001310055500001</t>
  </si>
  <si>
    <t>F5E7S</t>
  </si>
  <si>
    <t>10.1080/23322039.2024.2402031</t>
  </si>
  <si>
    <t>The first co-author obtained funding from his laboratory (VALLOREM) and the second co-author received funding from CERMi to present it at a conference in Mons.</t>
  </si>
  <si>
    <t>VALLOREM; CERMi</t>
  </si>
  <si>
    <t>Ashta, Arvind/0000-0002-6160-5375; NDIONE, Mamadou/0009-0007-4792-0612</t>
  </si>
  <si>
    <t>NDIONE, mamadou/JTU-8554-2023; Ashta, Arvind/ADJ-8303-2022</t>
  </si>
  <si>
    <t>Mamadou.ndione@univ-orleans.fr</t>
  </si>
  <si>
    <t>Ndione, M (corresponding author), Univ Orleans, Management Sci, Financial Econ, Orleans, France.</t>
  </si>
  <si>
    <t>Universite de Orleans; Universite Bourgogne Europe; Burgundy School of Business</t>
  </si>
  <si>
    <t>[Ndione, Mamadou] Univ Orleans, Management Sci, Financial Econ, Orleans, France; [Ashta, Arvind] Univ Bourgogne Franche Comte, Dept Accounting Finance &amp; Law, CEREN EA 7477, Burgundy Sch Business, Dijon, France; [Liba, Bernard Bahama Bako] IAE Orleans Orleans, Orleans, France</t>
  </si>
  <si>
    <t>This article highlights the determinants of financial inclusion within the West African Economic and Monetary Union (WAEMU), focusing on the moderating role of the male/ female entrepreneurial rate. To this end, we collected quantitative data for the eight member countries from 2010 to 2020 and used a panel model to determine if total financial inclusion service points was influenced by the supply of service points of banks, MFIs, or e-money, after controlling for public governance and investment rate and whether the rate of female or male entrepreneurship moderates this relationship between the supply of banking, microfinance or e-money providers and total financial inclusion service points. We also check if the growth of the different service providers is impacted by competition from each other. Finally, we check whether there is reverse causality: whether female or male entrepreneurship is impacted by the provision or any specific financial service. Our analysis finds that e-money service providers have grown exponentially, banking service points modestly, while microfinance service points have reduced in the region. Our regression results confirm that e-money services positively impact total financial inclusion, unlike banks and MFIs, which have no significant impact. Using interactive variables, we find that male entrepreneurs tend to enhance the relationship of banking and e-money services to total financial inclusion. On the other hand, women's entrepreneurship reduces the relationship between microfinance and e-money services providers to total financial inclusion. Our check for reverse causality shows that the male and entrepreneurship rates are affected negatively by microfinance service provision.</t>
  </si>
  <si>
    <t>WOMEN ENTREPRENEURS; GENDER; COMPETITION; ACCESS; RELEVANT; PERCEPTIONS; TECHNOLOGY; GROWTH; CREDIT; IMPACT</t>
  </si>
  <si>
    <t>Financial inclusion; WAEMU; banking; microfinance; electronic money; fintech</t>
  </si>
  <si>
    <t>Banks, microfinance institutions and fintech: how the ratio of male and female entrepreneurs moderates their capacity for financial inclusion</t>
  </si>
  <si>
    <t>Ndione, Mamadou; Ashta, Arvind; Liba, Bernard Bahama Bako</t>
  </si>
  <si>
    <t>Ndione, M; Ashta, A; Liba, BBB</t>
  </si>
  <si>
    <t>WOS:000702462000001</t>
  </si>
  <si>
    <t>XP2PN</t>
  </si>
  <si>
    <t>10.1177/14649934211035219</t>
  </si>
  <si>
    <t>The authors disclosed receipt of the following financial support for the research, authorship and/or publication of this article: This article is part of the doctoral thesis ` Facing the challenge of integrating objective and subjective dimensions in social programs evaluation'. This work was supported by the National Commission for Scientific and Technological Research CONICYT; and the Interdisciplinary Center for Intercultural and Indigenous Research CIIR [FONDAP 15110006].</t>
  </si>
  <si>
    <t>National Commission for Scientific and Technological Research CONICYT(Comision Nacional de Investigacion Cientifica y Tecnologica (CONICYT)); Interdisciplinary Center for Intercultural and Indigenous Research CIIR</t>
  </si>
  <si>
    <t>National Commission for Scientific and Technological Research CONICYT; Interdisciplinary Center for Intercultural and Indigenous Research CIIR [FONDAP 15110006]</t>
  </si>
  <si>
    <t>Rosati, Antonia/0000-0002-7125-1101; Daher, Marianne/0000-0002-0521-6666</t>
  </si>
  <si>
    <t>Rosati, Antonia/JTU-0539-2023</t>
  </si>
  <si>
    <t>Daher, M (corresponding author), Pontificia Univ Catolica Chile, Escuela Psicol, Santiago, Chile.</t>
  </si>
  <si>
    <t>Pontificia Universidad Catolica de Chile; Universidad Alberto Hurtado</t>
  </si>
  <si>
    <t>[Daher, Marianne; Rosati, Antonia] Pontificia Univ Catolica Chile, Escuela Psicol, Santiago, Chile; [Jaramillo, Andrea] Univ Alberto Hurtado, Fac Psicol, Santiago, Chile</t>
  </si>
  <si>
    <t>Much research has identified the difficulties of promoting women's empowerment using microcredit, but there has been little research on the potential for empowerment from promoting women's savings. We address this gap through a qualitative study of three women's savings programmes in the Highlands of Peru. The results reveal changes in several domains of women's lives (economic, personal and relational), emphasizing that these programmes enable them to think about the future, expand their social support networks, and become entrepreneurs. We conclude that savings interventions have considerable advantage over microcredit programmes for facilitating female empowerment and that the merits of these interventions go far beyond financial inclusion with significant impacts on women's psychosocial well-being and broader empowerment.</t>
  </si>
  <si>
    <t>GENDER; COMMUNITY; PROGRAMS; POVERTY; POWER</t>
  </si>
  <si>
    <t>Poverty; savings; financial education; entrepreneurship; female empowerment; social programmes</t>
  </si>
  <si>
    <t>Saving as a Path for Female Empowerment and Entrepreneurship in Rural Peru</t>
  </si>
  <si>
    <t>Daher, Marianne; Rosati, Antonia; Jaramillo, Andrea</t>
  </si>
  <si>
    <t>Daher, M; Rosati, A; Jaramillo, A</t>
  </si>
  <si>
    <t>WOS:000706989000001</t>
  </si>
  <si>
    <t>WG4TO</t>
  </si>
  <si>
    <t>10.1016/j.jdeveco.2021.102697</t>
  </si>
  <si>
    <t>Suri, T (corresponding author), E62-524,100 Main St, Cambridge, MA 02142 USA.</t>
  </si>
  <si>
    <t>Massachusetts Institute of Technology (MIT); University of California System; University of California San Diego; Georgetown University</t>
  </si>
  <si>
    <t>[Suri, Tavneet] MIT Sloan Sch Management, Cambridge, MA USA; [Bharadwaj, Prashant] Univ Calif San Diego, Dept Econ, San Diego, CA USA; [Jack, William] Georgetown Univ, Dept Econ, Washington, DC 20057 USA</t>
  </si>
  <si>
    <t>Developing country lenders are taking advantage of fintech tools to create fully digital loans on mobile phones. Using administrative and survey data, we study the take up and impacts of one of the most popular digital loan products in the world, M-Shwari in Kenya. While 34% of those eligible for a loan take it, the loan does not substitute for other credit. The loans improve household resilience: households are 6.3 percentage points less likely to forego expenses due to negative shocks. Fintech tools can be a crucial way to improve financial access and household resilience.</t>
  </si>
  <si>
    <t>MOBILE MONEY; CREDIT; RISK; MICROCREDIT; IMPACTS; LENDERS; COSTS</t>
  </si>
  <si>
    <t>Digital loans; Regression discontinuity; Africa</t>
  </si>
  <si>
    <t>Fintech and household resilience to shocks: Evidence fromdigital loans in Kenya</t>
  </si>
  <si>
    <t>Suri, Tavneet; Bharadwaj, Prashant; Jack, William</t>
  </si>
  <si>
    <t>Suri, T; Bharadwaj, P; Jack, W</t>
  </si>
  <si>
    <t>WOS:001630861800003</t>
  </si>
  <si>
    <t>M7277</t>
  </si>
  <si>
    <t>10.1016/j.jretconser.2025.104639</t>
  </si>
  <si>
    <t>J. Retail. Consum. Serv.</t>
  </si>
  <si>
    <t>J RETAIL CONSUM SERV</t>
  </si>
  <si>
    <t>1873-1384</t>
  </si>
  <si>
    <t>0969-6989</t>
  </si>
  <si>
    <t>This study is supported by the Fundamental Research Funds for the Central Universities under Grant HUST 2025YCX012.</t>
  </si>
  <si>
    <t>Fundamental Research Funds for the Central Universities(Fundamental Research Funds for the Central UniversitiesPrince of Songkla UniversityInstituto Politecnico Nacional - Mexico)</t>
  </si>
  <si>
    <t>Fundamental Research Funds for the Central Universities [HUST 2025YCX012]</t>
  </si>
  <si>
    <t>Liu, Ruihong/LNQ-0659-2024; Ding, Xiu-Hao/Z-4040-2019; Elbayoumy, Osama/B-2062-2019</t>
  </si>
  <si>
    <t>usamashaban@mans.edu.eg; muxin541@163.com; dxhgood1@mail.hust.edu.cn</t>
  </si>
  <si>
    <t>Ding, XH (corresponding author), Huazhong Univ Sci &amp; Technol, Sch Management, Wuhan, Peoples R China.</t>
  </si>
  <si>
    <t>Huazhong University of Science &amp; Technology; Egyptian Knowledge Bank (EKB); Mansoura University; Hubei Polytechnic University</t>
  </si>
  <si>
    <t>[Elbayoumy, Osama; Ding, Xiu-Hao] Huazhong Univ Sci &amp; Technol, Sch Management, Wuhan, Peoples R China; [Elbayoumy, Osama] Mansoura Univ, Fac Commerce, Business Adm Dept, Dakahliya, Egypt; [Liu, Ruihong] Hubei Polytech Univ, Sch Econ &amp; Management, Huangshi, Peoples R China</t>
  </si>
  <si>
    <t>Entrepreneurship plays a vital role in reducing poverty and fostering economic development, yet understanding the drivers of entrepreneurial intention (EI) remains essential. This study examines how the adoption of mobile banking (AMB) influences EI through financial inclusion (FI) among adults in Egypt. Survey data were collected from 341 respondents and analyzed using Structural Equation Modeling (SEM) with mediation analysis. The findings reveal that AMB significantly impacts access (beta = 0.157, P &lt; 0.01), usage (beta = 0.167, P &lt; 0.01), and perceived quality of financial services (PQFS) (beta = 0.267, P &lt; 0.01) dimensions of FI, respectively. Also, finds that the AMB (beta = 0.187, P &lt; 0.05) and PQFS (beta = 0.403, P &lt; 0.01), as dimensions of FI, positively influence EI. Additionally, the study finds that the PQFS partially mediates 38.8 % of the effect of AMB on EI. These results highlight the critical role of digital financial services in promoting FI and stimulating entrepreneurship, offering implications for policymakers, service providers, and financial institutions in emerging economies.</t>
  </si>
  <si>
    <t>MODERATING ROLE; SELF-EFFICACY; ADOPTION; MONEY</t>
  </si>
  <si>
    <t>Adoption of mobile banking; Financial inclusion; Entrepreneurial intention; Bricolage theory; Systems theory of financial inclusion</t>
  </si>
  <si>
    <t>JOURNAL OF RETAILING AND CONSUMER SERVICES</t>
  </si>
  <si>
    <t>Bridging gaps: How does mobile banking drives entrepreneurial intention through financial inclusion</t>
  </si>
  <si>
    <t>Elbayoumy, Osama; Liu, Ruihong; Ding, Xiu-Hao</t>
  </si>
  <si>
    <t>Elbayoumy, O; Liu, RH; Ding, XH</t>
  </si>
  <si>
    <t>WOS:000546397700013</t>
  </si>
  <si>
    <t>MH0CB</t>
  </si>
  <si>
    <t>10.1007/s12187-019-09704-9</t>
  </si>
  <si>
    <t>Child Indic. Res.</t>
  </si>
  <si>
    <t>CHILD INDIC RES</t>
  </si>
  <si>
    <t>1874-8988</t>
  </si>
  <si>
    <t>1874-897X</t>
  </si>
  <si>
    <t>alexzhu@LN.edu.hk</t>
  </si>
  <si>
    <t>Zhu, AYF (corresponding author), Lingnan Univ, Sch Grad Studies, Tuen Mun, 8 Castle Peak Rd, Hong Kong, Peoples R China.</t>
  </si>
  <si>
    <t>Lingnan University</t>
  </si>
  <si>
    <t>[Zhu, Alex Yue Feng] Lingnan Univ, Sch Grad Studies, Tuen Mun, 8 Castle Peak Rd, Hong Kong, Peoples R China</t>
  </si>
  <si>
    <t>Financial capability is an important competence for adolescents, and secondary school is a natural setting in which to deliver financial education courses. Currently, however, little empirical evidence has been published on the effects of in-school financial education on financial capability in adolescents. This pilot study brought together a randomized experimental design, a combination of local and non-local financial education courses, comprehensive measurements, and multi-level structural equation modeling for data analysis to evaluate the outcomes of a financial education project in a representative sample of Hong Kong adolescents. Results demonstrated that our financial intervention made a positive impact on objective financial knowledge and financial self-efficacy but a negative one on financial behaviors. Positive effects on financial self-efficacy were stronger in male adolescents than in females. Our findings represent an important contribution to the literature regarding financial education at the secondary school level.</t>
  </si>
  <si>
    <t>HIGH-SCHOOL; BEHAVIOR; MODEL; FRAMEWORK; LIFE</t>
  </si>
  <si>
    <t>Adolescents; Financial capability; Financial education; Gender difference; Randomized experimental trial</t>
  </si>
  <si>
    <t>CHILD INDICATORS RESEARCH</t>
  </si>
  <si>
    <t>Impact of Financial Education on Adolescent Financial Capability: Evidence from a Pilot Randomized Experiment</t>
  </si>
  <si>
    <t>Zhu, Alex Yue Feng</t>
  </si>
  <si>
    <t>Zhu, AYF</t>
  </si>
  <si>
    <t>WOS:000805283600009</t>
  </si>
  <si>
    <t>1U2YJ</t>
  </si>
  <si>
    <t>Business &amp; Economics; Environmental Sciences &amp; Ecology; Public Administration</t>
  </si>
  <si>
    <t>Economics; Environmental Studies; Regional &amp; Urban Planning</t>
  </si>
  <si>
    <t>10.1007/s41685-022-00245-8</t>
  </si>
  <si>
    <t>Asia-Pac. J. Reg. Sci.</t>
  </si>
  <si>
    <t>ASIA-PAC J REG SCI</t>
  </si>
  <si>
    <t>2509-7954</t>
  </si>
  <si>
    <t>2509-7946</t>
  </si>
  <si>
    <t>PRADHAN, KALANDI/0000-0001-5715-4623</t>
  </si>
  <si>
    <t>kcpradhan@iiti.ac.in</t>
  </si>
  <si>
    <t>Pradhan, KC (corresponding author), Indian Inst Technol Indore, Sch Humanities &amp; Social Sci, Khandwa Rd, Indore 453552, India.</t>
  </si>
  <si>
    <t>[Pradhan, Kalandi Charan] Indian Inst Technol Indore, Sch Humanities &amp; Social Sci, Khandwa Rd, Indore 453552, India; [Sharma, Ritik] Medi Caps Univ, Dept Elect &amp; Commun Engn, AB Rd, Indore 453331, India</t>
  </si>
  <si>
    <t>This paper assesses the variability in financial inclusion and its determinants for Indian states categorized by income groups and geographical regions for two periods: United Progressive Alliance (UPA) (2011-2012) and National Democratic Alliance (NDA) (2018-2019)-led political regimes. We found that the coefficient of variation (CV) for financial inclusion index increased from 0.893 to 0.910 during the two periods. In addition, across six major geographical regions of India, the southern region had the highest rank in the financial inclusion index, while the north-eastern region was the lowest in terms of financial inclusiveness during both periods. Interestingly, Gujarat (western) and Jammu-Kashmir (northern) showed substantial improvement in terms of the level of financial inclusion from 2011-2012 to 2018-2019. The estimated Tobit model regression results suggest that factors such as per capita GSDP, number of factories, and ease of doing business have a significant positive impact in accelerating financial inclusion in 2011-2012. While in 2018-2019, we found that along with these factors, per capita power consumption, length of national highways and length of railway routes are also positively significant in determining financial inclusion. This may arise because of the emphasis on the development of infrastructure and energy sectors during the NDA-led political regime. Therefore, the relevance of such policies to accelerate financial inclusiveness in the most deprived regions is reflected.</t>
  </si>
  <si>
    <t>Financial inclusion; Indian states; Subnational analysis; Regional analysis; Regression analysis</t>
  </si>
  <si>
    <t>ASIA-PACIFIC JOURNAL OF REGIONAL SCIENCE</t>
  </si>
  <si>
    <t>Assessing the spatiotemporal financial inclusion and its determinants: a sub-national analysis of India</t>
  </si>
  <si>
    <t>Pradhan, Kalandi Charan; Sharma, Ritik</t>
  </si>
  <si>
    <t>Pradhan, KC; Sharma, R</t>
  </si>
  <si>
    <t>WOS:001412811500001</t>
  </si>
  <si>
    <t>U6I6Y</t>
  </si>
  <si>
    <t>10.1080/23311975.2025.2460624</t>
  </si>
  <si>
    <t>Elmi, Mohamed Abdi/0009-0003-3121-5434</t>
  </si>
  <si>
    <t>moallimoow@gmail.com</t>
  </si>
  <si>
    <t>Elmi, MA (corresponding author), Jamhuriya Univ Sci &amp; Technol, Jamhuriya Incubat Ctr, Mogadishu, Somalia.</t>
  </si>
  <si>
    <t>[Elmi, Mohamed Abdi] Jamhuriya Univ Sci &amp; Technol, Jamhuriya Incubat Ctr, Mogadishu, Somalia; [Abdulkadir, Faadumo Osman; Mohamud, Akram Mahad; Osman, Najmo Hussein; Abdi, Iqra Ali] Jamhuriya Univ Sci &amp; Technol, Fac Econ &amp; Management, Mogadishu, Somalia</t>
  </si>
  <si>
    <t>This study aims to explore the effect of financial technology (FinTech) on the sustainability of SMEs in Mogadishu, Somalia. It studies the impact of FinTech on the financial inclusion and literacy of SMEs and their mediating roles in the relationship between FinTech and SME sustainability. The research also analyzes the effect of financial inclusion and literacy on the sustainability of SMEs. This research adopted a cross-sectional survey methodology. The target population was entrepreneurs, SME owners, managers, and employees operating in Mogadishu. A purposive sampling method was used, and a sample of 385 participants was chosen. Then, questionnaires were utilized to gather primary data. The structural equation modeling technique, specifically partial least squares (SEM-PLS), was applied to examine the hypothesized relationships among the constructs. This study confirmed all seven conceptual hypotheses. This study found that FinTech significantly positively affects SME sustainability in Mogadishu. FinTech also increased SMEs' financial inclusion and literacy, strengthening their sustainability. Financial inclusion and literacy have significant, positive, and complementary roles as partial mediators in the relationship between FinTech and SME sustainability. SMEs in Mogadishu need to embrace FinTech solutions to overcome existing obstacles to financial access and improve their financial health, further contributing to business sustainability.</t>
  </si>
  <si>
    <t>LITERACY; FINTECH</t>
  </si>
  <si>
    <t>Financial technology; financial literacy; financial inclusion; sustainability; SMEs; financial technology; sustainability of SMEs</t>
  </si>
  <si>
    <t>Exploring the effect of financial technology on the sustainability of small and medium enterprises in Mogadishu, Somalia</t>
  </si>
  <si>
    <t>Elmi, Mohamed Abdi; Abdulkadir, Faadumo Osman; Mohamud, Akram Mahad; Osman, Najmo Hussein; Abdi, Iqra Ali</t>
  </si>
  <si>
    <t>Elmi, MA; Abdulkadir, FO; Mohamud, AM; Osman, NH; Abdi, IA</t>
  </si>
  <si>
    <t>WOS:001253231900001</t>
  </si>
  <si>
    <t>K6J0H</t>
  </si>
  <si>
    <t>10.1108/JEPP-09-2023-0086</t>
  </si>
  <si>
    <t>J. Engrep. Public Policy</t>
  </si>
  <si>
    <t>J ENTREP PUBLIC POLI</t>
  </si>
  <si>
    <t>2045-211X</t>
  </si>
  <si>
    <t>2045-2101</t>
  </si>
  <si>
    <t>Khan, Talha Zubair Ahmad/0000-0003-4439-3312; Hanif, Muhammad Shehzad/0000-0001-6632-4241; Naveed, Shabana/0000-0003-1839-0652;</t>
  </si>
  <si>
    <t>; Hanif, Muhammad Shehzad/AFS-5308-2022; rizwan, amina/HTS-0670-2023; Naveed, shabana/AAA-1965-2022</t>
  </si>
  <si>
    <t>amina.rizwan@ucp.edu.pk</t>
  </si>
  <si>
    <t>Rizwan, A (corresponding author), Univ Cent Punjab, Dept Management Sci, Lahore, Pakistan.</t>
  </si>
  <si>
    <t>University of Central Punjab; Ravensbourne University London</t>
  </si>
  <si>
    <t>[Rizwan, Amina] Univ Cent Punjab, Dept Management Sci, Lahore, Pakistan; Ravensbourne Univ London, Business &amp; Comp, London, England</t>
  </si>
  <si>
    <t>PurposeThis study explores the adoption of crowdfunding in Pakistan, focusing on the challenges and opportunities within its unique entrepreneurial ecosystem. The research aims to provide insights into the regulatory mechanisms, stakeholder engagement and institutional factors influencing crowdfunding adoption.Design/methodology/approachSeventeen semi-structured interviews were conducted using a purposive sampling technique. Data was collected from diverse stakeholders involved in the crowdfunding process including investors, entrepreneurs, platform owners and regulators.FindingsThe study identifies various challenges, including regulatory gaps, investor concerns, platform-related issues and systemic challenges such as political instability and weak institutions. These challenges hinder the effective implementation of crowdfunding in Pakistan. Moreover, the study highlights opportunities for financial inclusion, bridging the gap between investors and entrepreneurs, and leveraging Pakistan's entrepreneurial landscape for crowdfunding growth. While several challenges were common to both developed and developing countries, the study also identified distinct challenges such as digital literacy, reliance on the undocumented economy, insufficient regulatory frameworks and investor mindset specific to developing countries.Research limitations/implicationsSince crowdfunding is an emerging phenomenon in Pakistan, this study had limitations as no official crowdfunding platform other than the Pakistan National Investor Portal had started operations. Therefore, this study involved only those stakeholders who were involved in designing regulatory sandbox suggestions. The sample size could be increased to include stakeholders from other developing countries in the future. This article, however, provides significant strategic guidance for policymakers in developing a framework to improve financial inclusion in development.Practical implicationsThe study provides critical areas of concern for regulatory authorities for developing appropriate legislation to help overcome the challenges to the institutionalization of crowdfunding. This study also encourages stakeholders like investors and entrepreneurs to participate in crowdfunding while looking at the perspective of other parties.Social implicationsThis research highlights the need for the Pakistani society to be well-informed about alternative investment opportunities, like crowdfunding. The micro, small and medium enterprises (MSME) sector, along with the government, can also explore the benefits of crowdfunding to address their lack of access to capital and enable the inclusion of an informal economy to reduce poverty in a developing country.Originality/valueCrowdfunding is a new phenomenon in Pakistan, and the scope of its application in the MSME sector has not been thoroughly investigated. This study reveals how micro and small firms can use crowdfunding to boost their economic operations by overcoming challenges and taking advantage of fintech (financial technology) to achieve financial inclusion, leading to economic sustainability.Table A1Table A2Table A3Table A4Originality/valueCrowdfunding is a new phenomenon in Pakistan, and the scope of its application in the MSME sector has not been thoroughly investigated. This study reveals how micro and small firms can use crowdfunding to boost their economic operations by overcoming challenges and taking advantage of fintech (financial technology) to achieve financial inclusion, leading to economic sustainability. Table A1Table A2Table A3Table A4Originality/valueCrowdfunding is a new phenomenon in Pakistan, and the scope of its application in the MSME sector has not been thoroughly investigated. This study reveals how micro and small firms can use crowdfunding to boost their economic operations by overcoming challenges and taking advantage of fintech (financial technology) to achieve financial inclusion, leading to economic sustainability.Table A1Table A2Table A3Table A4Originality/valueCrowdfunding is a new phenomenon in Pakistan, and the scope of its application in the MSME sector has not been thoroughly investigated. This study reveals how micro and small firms can use crowdfunding to boost their economic operations by overcoming challenges and taking advantage of fintech (financial technology) to achieve financial inclusion, leading to economic sustainability.Table A1Table A2Table A3Table A4Originality/valueCrowdfunding is a new phenomenon in Pakistan, and the scope of its application in the MSME sector has not been thoroughly investigated. This study reveals how micro and small firms can use crowdfunding to boost their economic operations by overcoming challenges and taking advantage of fintech (financial technology) to achieve financial inclusion, leading to economic sustainability.Table A1Table A2Table A3Table A4</t>
  </si>
  <si>
    <t>DATA SATURATION; EQUITY</t>
  </si>
  <si>
    <t>Crowdfunding; Challenges; Opportunities; Institutionalization; Fintech; Micro small and medium enterprises</t>
  </si>
  <si>
    <t>JOURNAL OF ENTREPRENEURSHIP AND PUBLIC POLICY</t>
  </si>
  <si>
    <t>Prospects for institutionalization of crowdfunding: a developing country perspective</t>
  </si>
  <si>
    <t>Rizwan, Amina; Naveed, Shabana; Mustafa, Faisal; Hanif, Muhammad Shehzad; Khurshid, Aitzaz; Khan, Talha Zubair Ahmad</t>
  </si>
  <si>
    <t>Rizwan, A; Naveed, S; Mustafa, F; Hanif, MS; Khurshid, A; Khan, TZA</t>
  </si>
  <si>
    <t>WOS:001614632700001</t>
  </si>
  <si>
    <t>9TL9X</t>
  </si>
  <si>
    <t>10.1016/j.cpa.2025.102823</t>
  </si>
  <si>
    <t>Crit. Perspect. Account.</t>
  </si>
  <si>
    <t>CRIT PERSPECT ACCOUN</t>
  </si>
  <si>
    <t>1095-9955</t>
  </si>
  <si>
    <t>1045-2354</t>
  </si>
  <si>
    <t>tr17@soas.ac.uk</t>
  </si>
  <si>
    <t>Reis, TB (corresponding author), SOAS, Sch Oriental &amp; African Studies, Dept Econ, 10 Thornhaugh St, London WC1H 0XG, England.</t>
  </si>
  <si>
    <t>[Reis, Thereza Balliester] SOAS, Sch Oriental &amp; African Studies, Dept Econ, 10 Thornhaugh St, London WC1H 0XG, England</t>
  </si>
  <si>
    <t>Studies on financial inclusion place a strong emphasis on financial literacy and individual financial responsibility. Over-spending and over-indebtedness are often thought to be consequences of a lack of understanding of prudent budgeting, saving, and investment. Building on the critical accounting and everyday financialisation frameworks, this study challenges those claims. Using the FinAccess 2021 survey and interviewing 30 low-income workers in Nairobi, Kenya, we find indications that many are financially literate. In fact, participants report several strategic techniques to save on costs, such as splitting transactions on M-Pesa to avoid fees. Yet, as their income is low, these individuals often find themselves indebted for sustained periods, particularly for basic needs such as food and transportation. Furthermore, where individuals show signs of over-indebtedness, these seem to be consequences of structural and income constraints rather than a lack of understanding of money management practices. Our article critiques established understandings of financial knowledge by presenting new evidence on everyday financial practices in Nairobi. Our results suggest that financialisation of everyday life has spread to countries beyond the Global North and might have severe consequences for development goals.</t>
  </si>
  <si>
    <t>M-PESA; INCLUSION; CREDIT; MONEY; BORROWERS; EDUCATION; SYSTEMS; HEALTH; POLICY; LIFE</t>
  </si>
  <si>
    <t>Money management; Financialisation; Financial literacy; Kenya; Digital credit</t>
  </si>
  <si>
    <t>CRITICAL PERSPECTIVES ON ACCOUNTING</t>
  </si>
  <si>
    <t>Are low-income workers financially irresponsible? Analysing financial literacy and over-indebtedness in Nairobi</t>
  </si>
  <si>
    <t>Reis, Thereza Balliester; Kamau, Vincent Mugo</t>
  </si>
  <si>
    <t>Reis, TB; Kamau, VM</t>
  </si>
  <si>
    <t>WOS:000800912700005</t>
  </si>
  <si>
    <t>1N8QH</t>
  </si>
  <si>
    <t>10.1016/j.bir.2020.12.007</t>
  </si>
  <si>
    <t>This paper is result of the research project titled: Key issues of social sciences and humanities for socio-economic development  supported by the Ministry of Science and Technology and Academy of Finance of Vietnam. Farhad Taghizadeh-Hesary acknowledges the financial supports of the JSPS Kakenhi (2019-2020) Grant-in-Aid for Young Scientists No. 19K13742, and Grant-in-Aid for Excellent Young Researcher of the Ministry of Education of Japan (MEXT).</t>
  </si>
  <si>
    <t>Ministry of Science and Technology and Academy of Finance of Vietnam; JSPS Kakenhi(Ministry of Education, Culture, Sports, Science and Technology, Japan (MEXT)Japan Society for the Promotion of ScienceGrants-in-Aid for Scientific Research (KAKENHI)); Ministry of Education of Japan (MEXT); Grants-in-Aid for Scientific Research(Ministry of Education, Culture, Sports, Science and Technology, Japan (MEXT)Japan Society for the Promotion of ScienceGrants-in-Aid for Scientific Research (KAKENHI))</t>
  </si>
  <si>
    <t>Ministry of Science and Technology and Academy of Finance of Vietnam; JSPS Kakenhi [19K13742]; Ministry of Education of Japan (MEXT); Grants-in-Aid for Scientific Research [19K13742] Funding Source: KAKEN</t>
  </si>
  <si>
    <t>Taghizadeh-Hesary, Farhad/0000-0001-5446-7093; Yoshino, Naoyuki/0000-0001-8060-5314</t>
  </si>
  <si>
    <t>Taghizadeh-Hesary, Farhad/R-5136-2018; Yoshida, Naoki/A-4305-2011</t>
  </si>
  <si>
    <t>farhad@tsc.u-tokai.ac.jp</t>
  </si>
  <si>
    <t>Taghizadeh-Hesary, F (corresponding author), 4-1-1 Kitakaname, Hiratsuka, Kanagawa 2591292, Japan.</t>
  </si>
  <si>
    <t>Vietnam Academy of Finance; Zhejiang International Studies University; Banking Academy of Vietnam; Keio University; Tokai University</t>
  </si>
  <si>
    <t>[Anh Tu Chuc; Nguyet Thi Minh Phi] Acad Finance, Hanoi, Vietnam; [Li, Weiqing] Zhejiang Int Studies Univ, Sch Int Econ &amp; Tourism Management, Hangzhou, Peoples R China; [Nguyet Thi Minh Phi; Quoc Tuan Le] Ctr Appl Econ &amp; Business Res, Hanoi, Vietnam; [Quoc Tuan Le] Banking Acad Vietnam, Hanoi, Vietnam; [Yoshino, Naoyuki] Keio Univ, Tokyo, Japan; [Taghizadeh-Hesary, Farhad] Tokai Univ, Social Sci Res Inst, Hiratsuka, Kanagawa, Japan</t>
  </si>
  <si>
    <t>International remittances by immigrants to their home countries is key in the funding development in migrant-sending countries. This study investigates the combined impact of international remittance inflows and financial inclusion on economic growth using a sample of 60 low- and middle-income countries over 1996-2017. The study constructs a composite financial inclusion index using principal component analysis. The results show that financial inclusion could strengthen the growth-enhancing effect of remittances. Thus, the study helps explain the development dilemma of remittance inflows and financial inclusion in migrant-sending countries to boost their economic growth. Copyright (C) 2021, Borsa Istanbul Anonim Sirketi. Production and hosting by Elsevier B.V.</t>
  </si>
  <si>
    <t>LATIN-AMERICA; GROWTH; INEQUALITY; POVERTY; ACCESS</t>
  </si>
  <si>
    <t>Remittance; Financial inclusion; Economic growth; Low and middle-income</t>
  </si>
  <si>
    <t>The necessity of financial inclusion for enhancing the economic impacts of remittances</t>
  </si>
  <si>
    <t>Anh Tu Chuc; Li, Weiqing; Nguyet Thi Minh Phi; Quoc Tuan Le; Yoshino, Naoyuki; Taghizadeh-Hesary, Farhad</t>
  </si>
  <si>
    <t>Chuc, AT; Li, WQ; Phi, NTM; Le, QT; Yoshino, N; Taghizadeh-Hesary, F</t>
  </si>
  <si>
    <t>WOS:001325976900001</t>
  </si>
  <si>
    <t>8AF0J</t>
  </si>
  <si>
    <t>Rehabilitation; Social Sciences - Other Topics</t>
  </si>
  <si>
    <t>Rehabilitation; Social Sciences, Interdisciplinary</t>
  </si>
  <si>
    <t>10.1080/09687599.2024.2411530</t>
  </si>
  <si>
    <t>Disabil. Soc.</t>
  </si>
  <si>
    <t>DISABIL SOC</t>
  </si>
  <si>
    <t>1360-0508</t>
  </si>
  <si>
    <t>0968-7599</t>
  </si>
  <si>
    <t>This work was supported by Major Research Project on Philosophy and Social Science Research, Ministry of Education of the People's Republic of China (Grant Number 22JZD017); Teaching Reform Project of Shenzhen Technology University (Grant Number 20241046) and 2024 Foshan Social Science Project (Grant Number 2024-GJ090, 2024-GJ166).</t>
  </si>
  <si>
    <t>Major Research Project on Philosophy and Social Science Research, Ministry of Education of the People's Republic of China; Teaching Reform Project of Shenzhen Technology University; Foshan Social Science Project</t>
  </si>
  <si>
    <t>Major Research Project on Philosophy and Social Science Research, Ministry of Education of the People's Republic of China [22JZD017]; Teaching Reform Project of Shenzhen Technology University [20241046]; Foshan Social Science Project [2024-GJ090, 2024-GJ166]</t>
  </si>
  <si>
    <t>Huang, Zhengzong/0000-0002-0542-4860; Feng, Zehua/0000-0002-6838-0893; LIU, XIANGDONG/0009-0004-0997-9304</t>
  </si>
  <si>
    <t>Huang, Zhengzong/KVC-0508-2024; LIU, XIANGDONG/LBN-9011-2024</t>
  </si>
  <si>
    <t>XiangdongLiu1936@outlook.com</t>
  </si>
  <si>
    <t>Liu, XD (corresponding author), Macao Polytech Univ, Fac Humanities &amp; Social Sci, Taipa, Macao, Peoples R China.</t>
  </si>
  <si>
    <t>Shenzhen Technology University; Guangdong University of Technology; Macao Polytechnic University</t>
  </si>
  <si>
    <t>[Huang, Zhengzong] Shenzhen Technol Univ, Coll Humanities &amp; Social Sci, Shenzhen, Peoples R China; [Lin, Chuying; Feng, Zehua] Guangdong Univ Technol, Sch Law, Guangzhou, Peoples R China; [Liu, Xiangdong] Macao Polytech Univ, Fac Humanities &amp; Social Sci, Taipa, Macao, Peoples R China</t>
  </si>
  <si>
    <t>This paper examines the barriers hindering access to digital financial services for individuals with disabilities in China and proposes strategies to address these challenges. Despite rapid growth in inclusive digital finance, practical experience reveals uneven coverage, leading to digital exclusion and discriminatory practices. Barriers include limited access to digital infrastructure, standardised financial products neglecting diverse needs, and insufficient financial education. Moreover, legal safeguards exhibit notable deficiencies, lacking the incorporation of accessibility requirements and effective enforcement mechanisms. Therefore, strengthening legislative, enforcement, and judicial safeguards is essential. Proposed measures include integrating accessibility provisions into financial laws, developing tailored regulatory mechanisms, and enhancing judicial interpretations. These efforts will improve accessibility and foster a digitally enriched quality of life for individuals with disabilities in China.</t>
  </si>
  <si>
    <t>Barrier-free; accessibility; digital inclusive finance; financial regulation; legal safeguards</t>
  </si>
  <si>
    <t>DISABILITY &amp; SOCIETY</t>
  </si>
  <si>
    <t>Navigating digital financial exclusion: legal imperatives for disabled people in China</t>
  </si>
  <si>
    <t>Huang, Zhengzong; Lin, Chuying; Liu, Xiangdong; Feng, Zehua</t>
  </si>
  <si>
    <t>Huang, ZZ; Lin, CY; Liu, XD; Feng, ZH</t>
  </si>
  <si>
    <t>WOS:000386024100006</t>
  </si>
  <si>
    <t>DZ7DI</t>
  </si>
  <si>
    <t>10.1108/H-09-2015-0061</t>
  </si>
  <si>
    <t>Humanomics</t>
  </si>
  <si>
    <t>HUMANOMICS</t>
  </si>
  <si>
    <t>1758-7174</t>
  </si>
  <si>
    <t>0828-8666</t>
  </si>
  <si>
    <t>Sharma, Anil/0000-0002-9768-1644</t>
  </si>
  <si>
    <t>Sharma, Anil/AAP-1909-2020</t>
  </si>
  <si>
    <t>priyanka_cfa2011@yahoo.in</t>
  </si>
  <si>
    <t>Yadav, P (corresponding author), Indian Inst Technol, Dept Management Studies, Roorkee, Uttar Pradesh, India.</t>
  </si>
  <si>
    <t>Indian Institute of Technology System (IIT System); Indian Institute of Technology (IIT) - Roorkee</t>
  </si>
  <si>
    <t>[Yadav, Priyanka; Sharma, Anil Kumar] Indian Inst Technol, Dept Management Studies, Roorkee, Uttar Pradesh, India</t>
  </si>
  <si>
    <t>Purpose - The purpose of this paper is to combine the critical parameters used to study financial inclusion into a composite index. The idea is to rank Indian states and union territories (UTs) on the basis of this index, determine change in ranks during 2011 to 2014 and identify factors affecting high/low scores on the index. Design/methodology/approach - Data for the study were collected from secondary sources published by Reserve Bank of India (RBI) and Central Statistical Organization. Applying technique of order preference by similarity to ideal solution (TOPSIS), a composite multi-dimensional index of financial inclusion (IFI) has been built by using three broad parameters of penetration, availability and usage of banking services. Factors significantly influencing scores of states/UTs on IFI were identified using multiple regression analysis. Findings - The value of financial inclusion for India on composite IFI has increased by 0.045 points during the study period. Share of agriculture to state gross domestic product, literacy ratio, population density, infrastructure development and farmer suicides are significant factors affecting financial inclusion. Practical implications - The multi-dimensional IFI is a useful tool to measure financial inclusion using several parameters for various states/regions. The index can also be used to compare the performance of states/regions over same/different periods. Originality/value - This paper is unique in its attempt to construct multi-dimensional IFI for Indian states/UTs by applying TOPSIS. It will prove useful for future researchers by combining several aspects of financial inclusion into single index.</t>
  </si>
  <si>
    <t>ACCESS; SERVICES; BANKING; GROWTH; STATES</t>
  </si>
  <si>
    <t>Financial services; TOPSIS; Financial inclusion; Index of financial inclusion</t>
  </si>
  <si>
    <t>Financial inclusion in India: an application of TOPSIS</t>
  </si>
  <si>
    <t>Yadav, Priyanka; Sharma, Anil Kumar</t>
  </si>
  <si>
    <t>Yadav, P; Sharma, AK</t>
  </si>
  <si>
    <t>WOS:000280680400003</t>
  </si>
  <si>
    <t>635TV</t>
  </si>
  <si>
    <t>10.1177/0741713609358449</t>
  </si>
  <si>
    <t>Adult Educ. Q.</t>
  </si>
  <si>
    <t>ADULT EDUC QUART</t>
  </si>
  <si>
    <t>0741-7136</t>
  </si>
  <si>
    <t>j.buckland@uwinnipeg.ca</t>
  </si>
  <si>
    <t>Buckland, J (corresponding author), Menno Simons Coll, 210-520 Portage Ave, Winnipeg, MB R3G 0G2, Canada.</t>
  </si>
  <si>
    <t>Menno Simons Coll, Winnipeg, MB R3G 0G2, Canada</t>
  </si>
  <si>
    <t>This article argues that financial literacy varies across socioeconomic groups and their neighborhoods, in part because of the adult learning that occurs within a local context. The study begins by explaining that financial literacy needs vary across socioeconomic groups and that there are important structural factors affecting the financial well-being of low-income people. Drawing on data from qualitative field research undertaken in three Canadian inner cities, it then moves to examine low-income respondents' financial literacy. The results show that many low-income respondents evidenced financial literacy in that many learned to cope with strict budgets, used diversified activities to raise their income, constrained their credit, and were reasonably knowledgeable about relevant government programs and banking services. Where particular constraints were noted in financial literacy, they related to detailed knowledge about institutional policies and attitudes about deeper financial and life goals.</t>
  </si>
  <si>
    <t>financial literacy; unbanked; low income</t>
  </si>
  <si>
    <t>ADULT EDUCATION QUARTERLY</t>
  </si>
  <si>
    <t>Are Low-Income Canadians Financially Literate? Placing Financial Literacy in the Context of Personal and Structural Constraints</t>
  </si>
  <si>
    <t>Buckland, Jerry</t>
  </si>
  <si>
    <t>Buckland, J</t>
  </si>
  <si>
    <t>WOS:001080269900001</t>
  </si>
  <si>
    <t>T8EX7</t>
  </si>
  <si>
    <t>J. Rural Community Dev.</t>
  </si>
  <si>
    <t>J RURAL COMMUNITY D</t>
  </si>
  <si>
    <t>1712-8277</t>
  </si>
  <si>
    <t>270 18TH ST, BRANDON, MB R7A 6A9, CANADA</t>
  </si>
  <si>
    <t>BRANDON</t>
  </si>
  <si>
    <t>BRANDON UNIV, RURAL DEV DEPT</t>
  </si>
  <si>
    <t>Olowogbon, Toyin/0000-0002-8297-492X</t>
  </si>
  <si>
    <t>Falola, Abraham/GMW-5723-2022; MUKAILA, RIDWAN/AAE-8269-2022; Olowogbon, Toyin/D-8751-2013</t>
  </si>
  <si>
    <t>falola.a@unilorin.edu.ng; Olowogbotoyin@yahoo.com; ridwan.mukaila@unn.edu.ng; samuellayod@gmail.com; femiibrahimmm@yahoo.com</t>
  </si>
  <si>
    <t>Falola, A (corresponding author), Univ Ilorin, Ilorin, Nigeria.</t>
  </si>
  <si>
    <t>University of Ilorin; University of Nigeria</t>
  </si>
  <si>
    <t>[Falola, Abraham; Olowogbon, Toyin Samuel; Ayodele, Olaoluwa Samuel] Univ Ilorin, Ilorin, Nigeria; [Mukaila, Ridwan] Univ Nigeria, Nsukka, Nigeria; [Ibrahim, Femi] Agr &amp; Rural Management Training Inst ARMTI, Ilorin, Nigeria</t>
  </si>
  <si>
    <t>Financial literacy among farming households is an important factor in making headway in agriculture. However, the lack of in-depth knowledge about the level of financial literacy among rural farmers poses a great challenge to agricultural development. Therefore, this study assessed the financial literacy rate among rural farming households in Kwara State, Nigeria. Data were collected from 210 rural farming households, selected through random sampling techniques, and a structured questionnaire was used. Descriptive statistics, the Likert rating scale, a multiple regression model, and Garrett's ranking technique were used to analyze the data. The study revealed that the radio was the most widely used source of information on financial literacy among farming households. It also revealed that the significant factors that influenced the level of financial literacy among the farmers were age, sex, educational level, training in financial management, distance to the nearest financial institution and number of dependants in the household. Besides, the farmers perceived that the major constraints to their level of financial literacy were: inadequate knowledge about financial products and services; psychological influence; poor banking system; political instability and insecurity. This study, therefore, recommends that measures should be put in place to improve the financial literacy of rural farming households.</t>
  </si>
  <si>
    <t>constraints; financial literacy; financial inclusion; factors; rural farming households</t>
  </si>
  <si>
    <t>JOURNAL OF RURAL AND COMMUNITY DEVELOPMENT</t>
  </si>
  <si>
    <t>Financial Literacy of Rural Farming Households in Kwara State, Nigeria: A Guide for Financial Inclusion</t>
  </si>
  <si>
    <t>Falola, Abraham; Olowogbon, Toyin Samuel; Mukaila, Ridwan; Ayodele, Olaoluwa Samuel; Ibrahim, Femi</t>
  </si>
  <si>
    <t>Falola, A; Olowogbon, TS; Mukaila, R; Ayodele, OS; Ibrahim, F</t>
  </si>
  <si>
    <t>WOS:000850275000001</t>
  </si>
  <si>
    <t>6H4QL</t>
  </si>
  <si>
    <t>10.1108/IJBM-05-2022-0185</t>
  </si>
  <si>
    <t>Dr. Jin Huang is grateful for the funding support from the Kauffman Foundation.</t>
  </si>
  <si>
    <t>Kauffman Foundation</t>
  </si>
  <si>
    <t>GOYAL, KIRTI/0000-0002-8270-3134; Xiao, Jing Jian/0000-0003-3252-5672; Kumar, Satish/0000-0001-5200-1476</t>
  </si>
  <si>
    <t>GOYAL, KIRTI/ABE-7340-2021; Xiao, Jing Jian/R-1415-2016; Kumar, Satish/M-8694-2017</t>
  </si>
  <si>
    <t>jjxiao@uri.edu</t>
  </si>
  <si>
    <t>Xiao, JJ (corresponding author), Univ Rhode Isl, Dept Human Dev &amp; Family Sci, Kingston, RI 02881 USA.</t>
  </si>
  <si>
    <t>University of Rhode Island; Saint Louis University; National Institute of Technology (NIT System); Malaviya National Institute of Technology Jaipur; Swinburne University of Technology Sarawak; Swinburne University of Technology</t>
  </si>
  <si>
    <t>[Xiao, Jing Jian] Univ Rhode Isl, Dept Human Dev &amp; Family Sci, Kingston, RI 02881 USA; [Huang, Jin] St Louis Univ, Sch Social Work, St Louis, MO 63103 USA; [Goyal, Kirti; Kumar, Satish] Malaviya Natl Inst Technol Jaipur, Dept Management Studies, Jaipur, Rajasthan, India; [Kumar, Satish] Swinburne Univ Technol, Fac Business Design &amp; Arts, Sarawak Campus, Kuching, Malaysia</t>
  </si>
  <si>
    <t>Purpose This study aims to examine the literature on consumer financial capability. By analyzing the research trends, theories, definitions and themes, the literature on financial capability is synthesized, and agenda for future research is suggested. A framework is presented that portrays the antecedents as well as the outcomes of financial capability and their interlinkages. Design/methodology/approach Following a systematic approach, the review is based on 215 articles published during January 2007 and-March 2022, retrieved from Scopus. It presents the definitions and theories of financial capability, publication trends, influential articles, prominent authors, prolific journals and countries publishing on financial capability. Using bibliographic coupling, the intellectual structure of the topic is explored, along with offering a framework through content analysis. Findings The bibliographic coupling analysis identifies four major clusters of research themes and capability theory appeared to be the most prominent theory. The synthesis draws upon five conceptual definitions of financial capability. Based on the discussion, in this review, financial capability is defined as an individual ability to apply appropriate financial knowledge, perform desirable financial behaviors and take available financial opportunities for achieving financial well-being. A conceptual framework delineates the synthesized literature and propositions based on this framework and relevant research are proposed. Finally, directions for future research are discussed. Originality/value This paper is an attempt to offer a comprehensive synthesis of the scholarship on financial capability and its conceptualization. It further proposes an extensive future research agenda. The study has implications for financial services providers relating to retail bank marketing.</t>
  </si>
  <si>
    <t>OLDER ASIAN IMMIGRANTS; STUDENT LOAN DEBT; BIBLIOMETRIC ANALYSIS; EMERGING ADULTS; SELF-EFFICACY; EDUCATION; LITERACY; KNOWLEDGE; INCOME; IMPACT</t>
  </si>
  <si>
    <t>Systematic literature review; Financial capability; Financial behavior; Financial inclusion; Financial literacy; Financial well-being</t>
  </si>
  <si>
    <t>Financial capability: a systematic conceptual review, extension and synthesis</t>
  </si>
  <si>
    <t>Xiao, Jing Jian; Huang, Jin; Goyal, Kirti; Kumar, Satish</t>
  </si>
  <si>
    <t>Xiao, JJ; Huang, J; Goyal, K; Kumar, S</t>
  </si>
  <si>
    <t>WOS:001591587500036</t>
  </si>
  <si>
    <t>8LP5D</t>
  </si>
  <si>
    <t>10.1186/s12889-025-24643-7</t>
  </si>
  <si>
    <t>OCT 9</t>
  </si>
  <si>
    <t>sunday, Francois Xavier/GRX-9739-2022</t>
  </si>
  <si>
    <t>niyibiphilomene@gmail.com</t>
  </si>
  <si>
    <t>Niyibizi, P (corresponding author), Univ Rwanda, Coll Med &amp; Hlth Sci, Sch Publ Hlth, Dept Human Nutr &amp; Dietet, POB 3286, Kigali, Rwanda.</t>
  </si>
  <si>
    <t>University of Rwanda</t>
  </si>
  <si>
    <t>[Niyibizi, Philomene; Micomyiza, Augustave Rukundo; Ishimwe, Pacifique; Niwemugeni, Philomene; Nyirahabineza, Alphonsine; Ilinde, Delice Niyigena; Sunday, Francois Xavier] Univ Rwanda, Coll Med &amp; Hlth Sci, Sch Publ Hlth, Dept Human Nutr &amp; Dietet, POB 3286, Kigali, Rwanda</t>
  </si>
  <si>
    <t>BackgroundChildhood malnutrition remains a public health concern in Rwanda, with stunting rates at 33%, underweight at 8%, and wasting at 1%. These rates are particularly high in rural areas. As primary caregivers, women play a central role in child nutrition, their financial inclusion may significantly influence child health outcomes. This study investigated the relationship between women's financial inclusion and the nutritional status of children aged under five in Rulindo District, Rwanda.MethodsA cross-sectional study was conducted in February 2024 among 315 women with children aged under 5 years. Financial inclusion data were collected using structured questionnaire. Children's nutritional status was assessed using anthropometric tools. WHO Anthro software, and SPSS version 25.0 were used to analyze the collected data. Bivariate and binary logistic regression analyses were conducted to identify associations between financial inclusion variables and child nutrition outcomes.ResultsAmong children, 29.5% were stunted, 7.6% underweight, and 4.1% wasted. Bivariate analysis showed significant associations between financial practices (saving for future use and microfinance membership) and child nutritional status. Women who saved for the future were significantly less likely to have stunted children (p = 0.008) or wasted (p = 0.028). Additionally, microfinance membership was associated with a lower prevalence of stunting (p = 0.07), but a higher risk of underweight (p = 0.035).Logistic regression confirmed the association: women with stable income had children with lower odds of stunting (Adjusted Odds Ratio [AOR] = 4.039, p = 0.022), and those in microfinance groups were less likely to have stunted children (AOR = 2.587, p = 0.009), but more likely to report underweight (Crude Odd Ratio [COR] = 4.711, p = 0.029). Saving behavior was protective in the crude model, though it was not statistically significant in the adjusted model.ResultsAmong children, 29.5% were stunted, 7.6% underweight, and 4.1% wasted. Bivariate analysis showed significant associations between financial practices (saving for future use and microfinance membership) and child nutritional status. Women who saved for the future were significantly less likely to have stunted children (p = 0.008) or wasted (p = 0.028). Additionally, microfinance membership was associated with a lower prevalence of stunting (p = 0.07), but a higher risk of underweight (p = 0.035).Logistic regression confirmed the association: women with stable income had children with lower odds of stunting (Adjusted Odds Ratio [AOR] = 4.039, p = 0.022), and those in microfinance groups were less likely to have stunted children (AOR = 2.587, p = 0.009), but more likely to report underweight (Crude Odd Ratio [COR] = 4.711, p = 0.029). Saving behavior was protective in the crude model, though it was not statistically significant in the adjusted model.ConclusionWomen's financial inclusion is positively associated with improved child nutritional outcomes, particularly regarding stunting and wasting. However, financial literacy and targeted support are needed to ensure that economic tools translate into measurable health benefits. Integrated strategies addressing both financial capacity and nutrition education are essential for long-term child health improvement</t>
  </si>
  <si>
    <t>Children; Financial inclusion; Nutritional status; Rwanda; Women</t>
  </si>
  <si>
    <t>Exploring the link between women's financial inclusion and child nutrition in Rulindo district, Rwanda</t>
  </si>
  <si>
    <t>Niyibizi, Philomene; Micomyiza, Augustave Rukundo; Ishimwe, Pacifique; Niwemugeni, Philomene; Nyirahabineza, Alphonsine; Ilinde, Delice Niyigena; Sunday, Francois Xavier</t>
  </si>
  <si>
    <t>Niyibizi, P; Micomyiza, AR; Ishimwe, P; Niwemugeni, P; Nyirahabineza, A; Ilinde, DN; Sunday, FX</t>
  </si>
  <si>
    <t>WOS:001594953500001</t>
  </si>
  <si>
    <t>8QO2M</t>
  </si>
  <si>
    <t>10.1057/s41302-025-00309-5</t>
  </si>
  <si>
    <t>2025 OCT 16</t>
  </si>
  <si>
    <t>East. Econ. J.</t>
  </si>
  <si>
    <t>EAST ECON J</t>
  </si>
  <si>
    <t>1939-4632</t>
  </si>
  <si>
    <t>0094-5056</t>
  </si>
  <si>
    <t>amalkova@fit.edu</t>
  </si>
  <si>
    <t>Malkova, A (corresponding author), Florida Inst Technol, Melbourne, FL 32901 USA.</t>
  </si>
  <si>
    <t>Florida Institute of Technology</t>
  </si>
  <si>
    <t>[Malkova, Alina] Florida Inst Technol, Melbourne, FL 32901 USA</t>
  </si>
  <si>
    <t>This paper investigates the impact of mobile money access on informal businesses in sub-Saharan Africa. While mobile money can improve business performance and facilitate transactions, it may also enable labor informality. I examine this trade-off by studying solo entrepreneurs and small business owners in Kenya, Nigeria, Tanzania, and Uganda between 2013 and 2015. Using two complementary instrumental variable strategies-fuzzy RDD based on cellular coverage boundaries and distance to mobile money agents-I find consistent evidence that mobile money access increases formalization by 2.3-3.1 percentage points, specifically among entrepreneurs in Kenya, Tanzania, and Uganda, but not necessarily in Nigeria. The paper also explores the broader effects of mobile money access. Mobile money is associated with lower poverty levels, particularly for informal entrepreneurs, and promotes higher formalization rates for previously unbanked entrepreneurs. Additionally, the study reveals network effects, where neighbors' mobile money adoption influences individual entrepreneurs' decisions to formalize their businesses.</t>
  </si>
  <si>
    <t>KENYA</t>
  </si>
  <si>
    <t>Mobile money; Labor informality; Entrepreneurship; G21; O17; G51; J62</t>
  </si>
  <si>
    <t>EASTERN ECONOMIC JOURNAL</t>
  </si>
  <si>
    <t>Mobile Money, Entrepreneurship, and Informality</t>
  </si>
  <si>
    <t>Malkova, Alina</t>
  </si>
  <si>
    <t>Malkova, A</t>
  </si>
  <si>
    <t>WOS:000576584500009</t>
  </si>
  <si>
    <t>NY7SP</t>
  </si>
  <si>
    <t>10.14254/2071-789X.2020/13-3/9</t>
  </si>
  <si>
    <t>The authors express their thanks to, and acknowledge the support of, Lembaga Pengelola Dana Pendidikan (LPDP), Ministry of Finance, Republic of Indonesia, which by funding this paper, made it possible, through the BUDI-DN 2017 scholarship.</t>
  </si>
  <si>
    <t>Lembaga Pengelola Dana Pendidikan (LPDP), Ministry of Finance, Republic of Indonesia</t>
  </si>
  <si>
    <t>Dewi, Vera/0000-0002-6989-6859; Anwar, Mokhamad/0000-0003-2641-7667; r nidar, sulaeman/0000-0002-9780-2012</t>
  </si>
  <si>
    <t>Dewi, Vera/AAD-4726-2021; Anwar, Mokhamad/AAI-5720-2021; r nidar, sulaeman/AAD-2507-2021</t>
  </si>
  <si>
    <t>vera_id@unpar.ac.id; erie.febrian@unpad.ac.id; nury.effendi@unpad.ac.id; mokhamad.anwar@unpad.ac.id; sulaeman.rahman@unad.ac.id</t>
  </si>
  <si>
    <t>Dewi, VI (corresponding author), Univ Katolik Parahyangan, Bandung, Indonesia.</t>
  </si>
  <si>
    <t>Universitas Katolik Parahyangan; Universitas Padjadjaran</t>
  </si>
  <si>
    <t>[Dewi, Vera Intanie] Univ Katolik Parahyangan, Bandung, Indonesia; [Febrian, Erie; Effendi, Nury; Anwar, Mokhamad; Nidar, Sulaeman Rahman] Univ Padjadjaran, Bandung, Indonesia</t>
  </si>
  <si>
    <t>The purpose of this study is to investigate and measure the level of financial literacy and its variables within the academic community in Indonesia. The strength of this study is that it extends the concept of financial literacy and its variables. This study explains how members of Indonesian academic community understood their financial literacy levels and the ways in which it can be improved. The study sample comprised 889 lecturers in Indonesia. The survey method was used to measure financial literacy and its variables which include subjective financial knowledge, financial behavior, financial experience, financial awareness, financial skills, financial capability, financial goal, and financial decisions, as reflected in individuals' financial behavior. The research data were collected using a quantitative survey and were analyzed using structural equation modeling (SEM). The results confirm the relationships between financial literacy and its variables of financial awareness, financial behavior, financial experience, financial skills, subjective financial knowledge, financial capability, financial goals, and financial decisions. This study fills the gap in the literature related to the multi-variables of financial literacy. It provides information to assist policy-makers in developing strategies to increase financial literacy in society.</t>
  </si>
  <si>
    <t>KNOWLEDGE; CAPABILITY; BEHAVIOR; MANAGEMENT; AWARENESS; SEARCH; MODEL; YOUTH</t>
  </si>
  <si>
    <t>financial literacy; financial behavior; financial decisions; financial goal; financial knowledge; Lecturer; Indonesia</t>
  </si>
  <si>
    <t>FINANCIAL LITERACY AND ITS VARIABLES: THE EVIDENCE FROM INDONESIA</t>
  </si>
  <si>
    <t>Dewi, Vera Intanie; Febrian, Erie; Effendi, Nury; Anwar, Mokhamad; Nidar, Sulaeman Rahman</t>
  </si>
  <si>
    <t>Dewi, VI; Febrian, E; Effendi, N; Anwar, M; Nidar, SR</t>
  </si>
  <si>
    <t>WOS:001089046400001</t>
  </si>
  <si>
    <t>10.1108/IJOEM-06-2023-0924</t>
  </si>
  <si>
    <t>Khan, Mehmood/0000-0003-1339-0928; Jegerson, Devid/0000-0002-4889-6374</t>
  </si>
  <si>
    <t>; Mertzanis, Charilaos/OJV-5282-2025; Jegerson, Devid/HNP-5600-2023</t>
  </si>
  <si>
    <t>djegerson@gmail.com</t>
  </si>
  <si>
    <t>Jegerson, D (corresponding author), Abu Dhabi Univ, Coll Business, Abu Dhabi, U Arab Emirates.</t>
  </si>
  <si>
    <t>Abu Dhabi University; Abu Dhabi University; University of Sharjah</t>
  </si>
  <si>
    <t>[Jegerson, Devid] Abu Dhabi Univ, Coll Business, Abu Dhabi, U Arab Emirates; [Mertzanis, Charilaos] Abu Dhabi Univ, Finance, Abu Dhabi, U Arab Emirates; [Khan, Mehmood] Univ Sharjah, Management, Sharjah, U Arab Emirates</t>
  </si>
  <si>
    <t>PurposeFinancial inclusion provides access to financial infrastructure, facilitating money transfers. Therefore, blockchain and cryptocurrencies might boost worldwide financial acceptance. However, the UAE has one of the lowest cryptocurrency adoption rates. This study explores the UAE customer adoption and use of cryptocurrencies.Design/methodology/approachUsing a scale, the authors created a structural model and obtained 270 responses from a snowball-distributed online questionnaire, assessed by five cryptocurrency specialists.FindingsPerformance expectations (PE), price value (PV), Hedonic motivation (HM) and consumer innovativeness (CI) were the most significant predictors of behavioural intention (BI). Surprisingly, BI is not a reliable indication of actual consumption. Facilitating conditions (FC) are the most accurate predictor of cryptocurrency usage (CU), indicating that adoption might be increased by providing the necessary structures and processes to lead users.Research limitations/implicationsThis research adds to the body of knowledge by examining the adoption and implementation of cryptocurrencies in the UAE and by developing and evaluating new constructs based on current notions. The study also contributes to the current understanding of cryptocurrencies and blockchain adoption.Practical implicationsThe conclusions of the research advise marketers on how to boost the commercialisation of cryptocurrencies in the UAE market and may pave the way for other studies to assist impending developments in the UAE cryptocurrency industry.Originality/valueThis research offers novel insights into significant predictors of cryptocurrency product uptake in the financial and banking business.</t>
  </si>
  <si>
    <t>INFORMATION-TECHNOLOGY; USER ACCEPTANCE; MOBILE PAYMENT; UNIFIED THEORY; PERCEIVED USEFULNESS; CONSUMER ACCEPTANCE; EXTENDING UTAUT2; MODEL; INNOVATIVENESS; INTENTION</t>
  </si>
  <si>
    <t>Cryptocurrencies; Blockchain; Technology adoption; Financial inclusion</t>
  </si>
  <si>
    <t>Investigating the unexpected determinants of cryptocurrency adoption in the UAE</t>
  </si>
  <si>
    <t>Jegerson, Devid; Mertzanis, Charilaos; Khan, Mehmood</t>
  </si>
  <si>
    <t>Jegerson, D; Mertzanis, C; Khan, M</t>
  </si>
  <si>
    <t>WOS:000761168200040</t>
  </si>
  <si>
    <t>ZH8FS</t>
  </si>
  <si>
    <t>10.1016/j.frl.2021.102149</t>
  </si>
  <si>
    <t>Yarovaya, Larisa/0000-0002-9638-2917; Banna, Hasanul/0000-0002-6902-8525</t>
  </si>
  <si>
    <t>Nourani, Pedram/T-1902-2018; Yarovaya, Larisa/AAB-3038-2021; Mia, Aslam/AAD-6996-2020; Banna, Hasanul/F-7482-2011</t>
  </si>
  <si>
    <t>banna@um.edu.my; aslammia@usm.my; mohammad@nourani.net; l.yarovaya@soton.ac.uk</t>
  </si>
  <si>
    <t>Mia, MA (corresponding author), Univ Sains Malaysia, Sch Management, George Town 11800, Malaysia.</t>
  </si>
  <si>
    <t>Universiti Malaya; Universiti Sains Malaysia; Solent University; University of Southampton</t>
  </si>
  <si>
    <t>[Banna, Hasanul] Univ Malaya, Fac Econ &amp; Adm, Ungku Aziz Ctr Dev Studies, Kuala Lumpur 50603, Malaysia; [Mia, Md Aslam; Nourani, Mohammad] Univ Sains Malaysia, Sch Management, George Town 11800, Malaysia; [Nourani, Mohammad] Univ Waikato, Univ Waikato Joint Inst Zhejiang Univ City Coll, Hangzhou, Peoples R China; [Yarovaya, Larisa] Univ Southampton, Southampton Business Sch, Southampton SO17 1BJ, Hants, England</t>
  </si>
  <si>
    <t>Fintech innovations are rapidly transforming the global financial industry and easing the financial inclusion initiatives of microfinance institutions (MFIs). Such technological transformations are expected to promote stability in the financial system and in turn reduce the risk-taking behavior of its main actors. However, there is limited or no empirical evidence to confirm the impact of fintech-based financial inclusion (FinFI) on the risk-taking behavior of Sub-Saharan African MFIs. Thus, we have developed a new index to measure FinFI and empirically assess its role in reducing the risk-taking attitude of MFIs. The validity of our results was confirmed by using various robustness tests.</t>
  </si>
  <si>
    <t>INEQUALITY; ACCESS; ICT</t>
  </si>
  <si>
    <t>Financial technology; financial inclusion; fintech-based financial inclusion; risk-taking behavior; microfinance institutions; Sub-Saharan Africa</t>
  </si>
  <si>
    <t>Fintech-based Financial Inclusion and Risk-taking of Microfinance Institutions (MFIs): Evidence from Sub-Saharan Africa</t>
  </si>
  <si>
    <t>Banna, Hasanul; Mia, Md Aslam; Nourani, Mohammad; Yarovaya, Larisa</t>
  </si>
  <si>
    <t>Banna, H; Mia, MA; Nourani, M; Yarovaya, L</t>
  </si>
  <si>
    <t>WOS:001041161900001</t>
  </si>
  <si>
    <t>O0YK1</t>
  </si>
  <si>
    <t>10.1016/j.najef.2023.101963</t>
  </si>
  <si>
    <t>qingguo@ruc.edu.cn</t>
  </si>
  <si>
    <t>Guo, Q (corresponding author), Renmin Univ China, China Inst Employment Res, Chinese Acad Labour &amp; Social Secur, Beijing, Peoples R China.</t>
  </si>
  <si>
    <t>[Chen, Siyu] Chinese Labor Res Inst, All China Federat Trade Unions, Beijing, Peoples R China; [Guo, Qing] Renmin Univ China, China Inst Employment Res, Chinese Acad Labour &amp; Social Secur, Beijing, Peoples R China</t>
  </si>
  <si>
    <t>Using a nationally representative micro and small enterprises (MSEs) survey data and Digital Financial Inclusion Index in China, we empirically study whether and how fintech impacts the innovation of MSEs. We find that the development of fintech significantly increases the probability of engaging in innovation activities, and promotes MSEs innovation input and output. The mechanisms lie in that fintech promotes long-term strategic incentives and investment to human capital of MSEs, including choosing promotion and stock as incentives instead of gifts or trips, recruiting more university graduate students, increasing training fees and technician incomes. In the heterogeneity analysis, we find that fintech has a greater impact on those MSEs which are without government subsidies and with lower technical level, higher CEO education level. Further analysis shows that coverage breadth of fintech has greater impact on MSEs innovation. This paper enriches the micro mechanisms of fintech impacts on MSEs innovation, and provides a policy basis for releasing the innovation vitality of MSEs.</t>
  </si>
  <si>
    <t>FINANCING CONSTRAINTS; RESOURCES</t>
  </si>
  <si>
    <t>Fintech; Innovation; Micro and small enterprises (MSEs); Research and development; Strategic incentives; Investment to human capital</t>
  </si>
  <si>
    <t>Fintech, strategic incentives and investment to human capital, and MSEs innovation</t>
  </si>
  <si>
    <t>Chen, Siyu; Guo, Qing</t>
  </si>
  <si>
    <t>Chen, SY; Guo, Q</t>
  </si>
  <si>
    <t>WOS:001402923200001</t>
  </si>
  <si>
    <t>T1T7M</t>
  </si>
  <si>
    <t>10.1016/j.irfa.2024.103897</t>
  </si>
  <si>
    <t>star We acknowledge the support of Research on the influence of high-quality population development on the level of new quality productivity in Chengdu (grant no.: Z2024PD03) of Chengdu Population and Development Research Base and Research on the Impact of Social Capital on Fertility Intention of Women of Childbearing Age (grant no.: SXJYZ2401) of Sichuan Center for Sociology and Sex Education.</t>
  </si>
  <si>
    <t>Research on the influence of high-quality population development on the level of new quality productivity in Chengdu of Chengdu Population and Development Research Base; Sichuan Center for Sociology and Sex Education</t>
  </si>
  <si>
    <t>Research on the influence of high-quality population development on the level of new quality productivity in Chengdu of Chengdu Population and Development Research Base [Z2024PD03]; Sichuan Center for Sociology and Sex Education [SXJYZ2401]</t>
  </si>
  <si>
    <t>FENG, Muzi/OGP-2380-2025</t>
  </si>
  <si>
    <t>zyq185075660@163.com; Gaodongfei2023@163.com; muzifeng153@126.com; yanshenys007@163.com</t>
  </si>
  <si>
    <t>Yan, S (corresponding author), Shanghai Univ Finance &amp; Econ, Sch Marxism, Shanghai 200433, Peoples R China.</t>
  </si>
  <si>
    <t>Chengdu Technological University; University of Warwick; Australian National University; Shanghai University of Finance &amp; Economics</t>
  </si>
  <si>
    <t>[Zhan, Yunqiu] Chengdu Technol Univ, Sch Marxism, Chengdu 611730, Peoples R China; [Gao, Dongfei] Univ Warwick, Coventry CV4 7AL, England; [Feng, Muzi] Australian Natl Univ, Coll Business &amp; Econ, Canberra, ACT 2601, Australia; [Yan, Shen] Shanghai Univ Finance &amp; Econ, Sch Marxism, Shanghai 200433, Peoples R China</t>
  </si>
  <si>
    <t>This paper explores the impact of digital finance on rural farmers' household income, using data from the China Rural Revitalization Comprehensive Survey and the China Digital Financial Inclusion Index. By employing a multivariate Logit model to analyze 18,684 valid farmer household samples, this study reveals that digital finance and its three key dimensions-breadth of coverage, depth of usage, and level of digitization-all have significant positive effects on rural farmers' per capita income. Moreover, this study elucidates how nonagricultural employment acts as an intermediary factor, emphasizing that digital finance encourages rural farmers to engage in non-agricultural employment, elevating household net per capita income. Furthermore, endogeneity tests, robustness checks, and heterogeneity analyses confirm the positive impact of digital finance on rural farmers' income. Notably, the heterogeneity analysis indicates that digital finance primarily influences the non-agricultural business income of rural farmer households. By providing financing convenience and market information resources, digital finance aids farmers in expanding their business scale, enhancing operational efficiency, and ultimately leading to income growth.</t>
  </si>
  <si>
    <t>Digital finance; Non-agricultural employment; Net per capita income of rural farmer; households</t>
  </si>
  <si>
    <t>Digital finance, non-agricultural employment, and the income-increasing effect on rural households</t>
  </si>
  <si>
    <t>Zhan, Yunqiu; Gao, Dongfei; Feng, Muzi; Yan, Shen</t>
  </si>
  <si>
    <t>Zhan, YQ; Gao, DF; Feng, MZ; Yan, S</t>
  </si>
  <si>
    <t>WOS:001546442900005</t>
  </si>
  <si>
    <t>BZ1XH</t>
  </si>
  <si>
    <t>Computer Science; Public Administration; Social Sciences - Other Topics</t>
  </si>
  <si>
    <t>Computer Science, Information Systems; Computer Science, Interdisciplinary Applications; Public Administration; Social Sciences, Interdisciplinary</t>
  </si>
  <si>
    <t>10.1109/ICEDEG65568.2025.11081606</t>
  </si>
  <si>
    <t>INT CONF EDEMOC EGOV</t>
  </si>
  <si>
    <t>979-8-3315-9810-5; 979-8-3315-9809-9</t>
  </si>
  <si>
    <t>2573-1998</t>
  </si>
  <si>
    <t>2573-2005</t>
  </si>
  <si>
    <t>Janssen, Marijn/H-6223-2013; Ding, Aaron/ITV-4067-2023</t>
  </si>
  <si>
    <t>r.sulastri@tudelft.nl; aaron.ding@tudelft.nl; M.F.W.H.A.Janssen@tudelft.nl</t>
  </si>
  <si>
    <t>Sulastri, R (corresponding author), Delft Univ Technol, Delft, Netherlands.</t>
  </si>
  <si>
    <t>Delft University of Technology</t>
  </si>
  <si>
    <t>[Sulastri, Reni; Ding, Aaron Yi; Janssen, Marijn] Delft Univ Technol, Delft, Netherlands</t>
  </si>
  <si>
    <t>Recent advancements in artificial intelligence (AI) and machine learning (ML) have enhanced credit scoring systems by improving prediction accuracy, fairness, and transparency. However, limited attention has been given to financial inclusion, particularly how algorithmic adjustments can improve access for underserved borrowers. This study addresses this gap by evaluating how parameter tuning in credit scoring models impacts borrower classifications and promotes inclusivity in online lending systems. Using a micro-enterprise loan dataset from Indonesia, we simulate three approaches: Feature Weight Adjustment, Penalty-Based Models, and a novel Hybrid Feature Penalty Tuning (HFPT) that combines both. Each method is evaluated using custom metrics that measure changes in borrower distribution, inclusion gains, and reclassification risks. Results show that HFPT consistently improves inclusive outcomes without increasing high-risk concentrations. These findings underscore the importance of regulatory oversight and transparent algorithm design, as small changes can easily influence the outcome of models' parameters. For governments, adopting clear guidelines for implementing and evaluating such models is crucial to ensure responsible lending practices. The flexibility of algorithm design, as manifested in this work, offers a pathway for policymakers to balance inclusivity with risk management in credit scoring systems.</t>
  </si>
  <si>
    <t>LOAN EVALUATION; DEFAULT RISK; PEER; ANALYTICS; BUSINESS</t>
  </si>
  <si>
    <t>financial inclusion; credit scoring; machine learning; sensitivity analysis</t>
  </si>
  <si>
    <t>Bern, SWITZERLAND</t>
  </si>
  <si>
    <t>JUN 18-20, 2025</t>
  </si>
  <si>
    <t>11th International Conference on eDemocracy and eGovernment-ICEDEG</t>
  </si>
  <si>
    <t>International Conference on eDemocracy and eGovernment ICEDEG</t>
  </si>
  <si>
    <t>2025 ELEVENTH INTERNATIONAL CONFERENCE ON EDEMOCRACY &amp; EGOVERNMENT, ICEDEG</t>
  </si>
  <si>
    <t>Sensitivity Analysis: Improving Inclusive Credit Scoring Algorithm through Feature Weight and Penalty-based Approach</t>
  </si>
  <si>
    <t>Sulastri, Reni; Ding, Aaron Yi; Janssen, Marijn</t>
  </si>
  <si>
    <t>Teran, L; Pincay, J; Vaca, C; Riofrio, D</t>
  </si>
  <si>
    <t>Sulastri, R; Ding, AY; Janssen, M</t>
  </si>
  <si>
    <t>WOS:000700595400007</t>
  </si>
  <si>
    <t>UX1GL</t>
  </si>
  <si>
    <t>10.1016/j.iref.2021.07.018</t>
  </si>
  <si>
    <t>This work was supported by the Beijing Municipal Social Science Foundation (19JDYJB024).</t>
  </si>
  <si>
    <t>Beijing Municipal Social Science Foundation</t>
  </si>
  <si>
    <t>Beijing Municipal Social Science Foundation [19JDYJB024]</t>
  </si>
  <si>
    <t>Chen, Shengqi/LMP-3031-2024</t>
  </si>
  <si>
    <t>chenshengqi@cueb.edu.cn; hhzhang18@vip.sina.com</t>
  </si>
  <si>
    <t>Zhang, H (corresponding author), Capital Univ Econ &amp; Business, Sch Econ, Beijing 100070, Peoples R China.</t>
  </si>
  <si>
    <t>Capital University of Economics &amp; Business</t>
  </si>
  <si>
    <t>[Chen, Shengqi; Zhang, Hong] Capital Univ Econ &amp; Business, Sch Econ, Beijing 100070, Peoples R China</t>
  </si>
  <si>
    <t>China's manufacturing sector is pursuing the connotative growth of service-oriented transformation. The vigorous development of digital finance has effectively promoted manufacturing upgrading. Using the 2011-2018 data for listed enterprises and the Peking University Digital Financial Inclusion Index, we exploited the causal effect of digital finance on manufacturing servitization. The results showed that digital finance has a significant positive impact on the servitization of manufacturing industry in China. And we investigated how digital finance may promote manufacturing servitization through increasing the intensity of innovation and enhancing the level of digitalization. Furthermore, we found that digital finance has better promoted the servitization of enterprises in the central and west region, labor-intensive industries, high-tech sector, and private-owned ones. In closing, we articulated enterprises' willingness and dynamic time effect of manufacturing servitization. The role of digital finance is in line with the law of diminishing marginal utility, but an obvious superimposing effect is formed in the lagging three-period timeline.</t>
  </si>
  <si>
    <t>BUSINESS MODEL INNOVATION; SERVICE BUSINESS; INVESTMENT; IMPACT; LEVEL</t>
  </si>
  <si>
    <t>Digital finance; Manufacturing industry; Servitization; Servitizing transformation</t>
  </si>
  <si>
    <t>Does digital finance promote manufacturing servitization: Micro evidence from China</t>
  </si>
  <si>
    <t>Chen, Shengqi; Zhang, Hong</t>
  </si>
  <si>
    <t>Chen, SQ; Zhang, H</t>
  </si>
  <si>
    <t>WOS:001456129600001</t>
  </si>
  <si>
    <t>T3742</t>
  </si>
  <si>
    <t>10.1007/s10796-025-10597-z</t>
  </si>
  <si>
    <t>Bhatt, Paras/ADS-6674-2022</t>
  </si>
  <si>
    <t>oaakanfe@uab.edu; paras.bhatt@uah.edu; dlawong@uab.edu</t>
  </si>
  <si>
    <t>Akanfe, O (corresponding author), Univ Alabama Birmingham, Collat Sch Business, Dept Management Informat Syst &amp; Quantitat Methods, Birmingham, AL 35294 USA.</t>
  </si>
  <si>
    <t>University of Alabama System; University of Alabama Birmingham; University of Alabama System; University of Alabama Huntsville</t>
  </si>
  <si>
    <t>[Akanfe, Oluwafemi; Lawong, Diane A.] Univ Alabama Birmingham, Collat Sch Business, Dept Management Informat Syst &amp; Quantitat Methods, Birmingham, AL 35294 USA; [Bhatt, Paras] Univ Alabama Huntsville, Coll Business, Dept Informat Syst Supply Chain &amp; Analyt, Huntsville, AL 35899 USA</t>
  </si>
  <si>
    <t>The global commitment to advancing financial inclusion (FI) relies on technology to connect underserved communities with the formal financial sector. Existing traditional technologies have made some progress, but they often fail to adapt to the unique needs of these populations. Although artificial intelligence (AI) offers new possibilities to meet these limitations, its rapid advancement has outpaced the development of integrative studies, leaving its potential impact on financial access by the underserved largely unexplored. Existing research provides fragmented insights into how different technological interventions impact diverse groups. We develop a segment-outcome-focused analysis to structure a scoping review of 95 information systems studies to assess current technological advances for FI and explore how AI can address their limitations, including limited digital literacy, uneven and high cost of infrastructure, and service personalization. We then engender future research directions and conclude with theoretical contributions and practical implications, emphasizing the potential of AI solutions to advance FI.</t>
  </si>
  <si>
    <t>MOBILE BANKING SERVICES; DIGITAL INCLUSION; SOCIAL INCLUSION; E-COMMERCE; INFORMATION; INNOVATION; CHALLENGES; ADOPTION; PHONES; MONEY</t>
  </si>
  <si>
    <t>Financial Inclusion (FI); Artificial Intelligence (AI); Technological Advances; Segments beneficiaries; Interventions</t>
  </si>
  <si>
    <t>Technology Advancements Shaping the Financial Inclusion Landscape: Present Interventions, Emergence of Artificial Intelligence and Future Directions</t>
  </si>
  <si>
    <t>Akanfe, Oluwafemi; Bhatt, Paras; Lawong, Diane A.</t>
  </si>
  <si>
    <t>Akanfe, O; Bhatt, P; Lawong, DA</t>
  </si>
  <si>
    <t>WOS:001638059200001</t>
  </si>
  <si>
    <t>T8997</t>
  </si>
  <si>
    <t>10.1016/j.iref.2025.104816</t>
  </si>
  <si>
    <t>The work was supported by the National Social Science Fund of China (24CGL093) .</t>
  </si>
  <si>
    <t>National Social Science Fund of China [24CGL093]</t>
  </si>
  <si>
    <t>zangwenjiao@shisu.edu.cn</t>
  </si>
  <si>
    <t>Zang, WJ (corresponding author), Shanghai Int Studies Univ, Sch Econ &amp; Finance, Shanghai, Peoples R China.</t>
  </si>
  <si>
    <t>Beijing Technology &amp; Business University; Shanghai International Studies University; Beihang University</t>
  </si>
  <si>
    <t>[Zhang, Yingxin] Beijing Technol &amp; Business Univ, Sch Econ, Beijing, Peoples R China; [Zang, Wenjiao] Shanghai Int Studies Univ, Sch Econ &amp; Finance, Shanghai, Peoples R China; [Sun, Chunxing] Beihang Univ, Sch Econ &amp; Management, Beijing, Peoples R China</t>
  </si>
  <si>
    <t>The geography of economics provides valuable insights into the interaction between human societies and the land, elucidating patterns of spatial organization, resource allocation, and corresponding economic activities. This study expands the human-land relationship to household livelihood strategy and analyzes the impact of geographic conditions on digital finance usage using the China Household Finance Survey. Employing terrain relief as a compressive regional topographic feature, the results show an inverted U-shaped relationship between local terrain relief and the adoption of digital finance services. Further, mechanism analysis indicates that terrain relief stimulates the likelihood of entrepreneurship, especially through small and mediumsized enterprises, for regions within a relatively lower terrain relief range. In addition, the inverted U-shape is flatter for households with abundant livelihood capital, while steeper in underdeveloped areas. The results are consistent even within the digital finance hub, Jiang Zhe Hu area, and the Peking University Digital Financial Inclusion Index of China is used as an alternative measure.</t>
  </si>
  <si>
    <t>POPULATION-DISTRIBUTION; INCREASING RETURNS; MOUNTAINOUS AREAS; RELIEF DEGREE; LAND-SURFACE; DISTANCE; CHINA; DETERMINANTS; PRODUCTIVITY; INCLUSION</t>
  </si>
  <si>
    <t>Terrain relief; Digital finance usage; Human-land relationship; Livelihood strategy; Entrepreneurship</t>
  </si>
  <si>
    <t>Riding the terrain: Geographic influence on household adoption of digital finance</t>
  </si>
  <si>
    <t>Zhang, Yingxin; Zang, Wenjiao; Sun, Chunxing</t>
  </si>
  <si>
    <t>Zhang, YX; Zang, WJ; Sun, CX</t>
  </si>
  <si>
    <t>WOS:000519370800009</t>
  </si>
  <si>
    <t>KT9ZC</t>
  </si>
  <si>
    <t>Business &amp; Economics; Social Sciences - Other Topics</t>
  </si>
  <si>
    <t>Business; Ethics</t>
  </si>
  <si>
    <t>10.1007/s10551-018-3986-z</t>
  </si>
  <si>
    <t>J. Bus. Ethics</t>
  </si>
  <si>
    <t>J BUS ETHICS</t>
  </si>
  <si>
    <t>1573-0697</t>
  </si>
  <si>
    <t>0167-4544</t>
  </si>
  <si>
    <t>Reichert, Patrick/0000-0003-4057-0289</t>
  </si>
  <si>
    <t>Reichert, Patrick/AEE-1827-2022</t>
  </si>
  <si>
    <t>mhudon@ulb.ac.be; Marc.Labie@umons.ac.be; preicher@ulb.ac.be</t>
  </si>
  <si>
    <t>Hudon, M (corresponding author), ULB, CERMi, Brussels, Belgium.</t>
  </si>
  <si>
    <t>Universite Libre de Bruxelles; University of Mons</t>
  </si>
  <si>
    <t>[Hudon, Marek; Reichert, Patrick] ULB, CERMi, Brussels, Belgium; [Labie, Marc] Univ Mons UMONS, CERMi, Mons, Belgium</t>
  </si>
  <si>
    <t>Although microfinance organizations are generally considered as inherently ethical, recent events have challenged the legitimacy of the sector. High interest rates and the excessive profitability of some market leaders have raised the question of how to define a fair profit level for social enterprise. In this article, we construct a fair profit framework based on four dimensions: profitability, social mission, pricing, and surplus distribution. We then apply this framework using an empirical sample of 496 microfinance institutions (MFIs). Results indicate that satisfying all four criteria is a difficult, although not impossible, task. According to our framework, 24 MFIs emerge as true double bottom line organizations. These MFIs are characterized by higher outreach to women, lower portfolio risk, and higher productivity in high-density environments such as South Asia. We argue that excessive profits can be better understood relative to pricing, the outreach of the MFI, and organizational commitment to clients in the form of reduced interest rates.</t>
  </si>
  <si>
    <t>SURPLUS DISTRIBUTION; FINANCIAL INCLUSION; CREDIT; MICROCREDIT; PERFORMANCE; LEGITIMACY; PRINCIPLES; ETHICS; GREEN; BANKS</t>
  </si>
  <si>
    <t>Microfinance; Fairness; Exploitation; Profit; Social enterprise</t>
  </si>
  <si>
    <t>JOURNAL OF BUSINESS ETHICS</t>
  </si>
  <si>
    <t>What is a Fair Level of Profit for Social Enterprise? Insights from Microfinance</t>
  </si>
  <si>
    <t>Hudon, Marek; Labie, Marc; Reichert, Patrick</t>
  </si>
  <si>
    <t>Hudon, M; Labie, M; Reichert, P</t>
  </si>
  <si>
    <t>WOS:001349089100001</t>
  </si>
  <si>
    <t>L2L5X</t>
  </si>
  <si>
    <t>10.1016/j.digbus.2024.100092</t>
  </si>
  <si>
    <t>Abebe, Gumataw Kifle/0000-0002-8045-9027; Astatkie, Tess/0000-0002-9779-8789</t>
  </si>
  <si>
    <t>Andaregie, Adino/AAS-6769-2021; Abebe, Gumataw Kifle/I-1595-2019; Astatkie, Tess/J-7231-2012</t>
  </si>
  <si>
    <t>getadino2008@gmail.com</t>
  </si>
  <si>
    <t>Andaregie, A (corresponding author), Soka Univ, Grad Sch Econ, Tokyo, Japan.</t>
  </si>
  <si>
    <t>Soka University; Dalhousie University; Soka University</t>
  </si>
  <si>
    <t>[Andaregie, Adino; Gupta, Prashant; Matsumoto, Hideyuki] Soka Univ, Grad Sch Econ, Tokyo, Japan; [Abebe, Gumataw Kifle; Astatkie, Tessema] Dalhousie Univ, Fac Agr, Truro, NS, Canada; [Worku, Gardachew] Injibara Univ, Coll Business &amp; Econ, Injibara, Ethiopia; [Takagi, Isao] Soka Univ, Fac Econ, Tokyo, Japan</t>
  </si>
  <si>
    <t>The COVID-19 pandemic has spurred a surge in digital payments, with over 40 % of adults in low- and middleincome countries making their first merchant payments using cards, phones, or the internet since the pandemic began. This study examines the determinants of adopting digital payments during the COVID-19 pandemic in Ethiopia. To achieve this objective, the study utilized secondary data from the World Bank's most recent dataset, collected as part of the Global Findex Database 2021. A Covariance Based-Structural Equation Modeling (CBSEM) was applied to analyze the data and explore the intricate pathways between variables. The mediation role of the use of technological tools on the relationship between socio-economic factors and digital payment adoption was also examined. Accordingly, mobile ownership, having an ATM/Debit card, and internet access were the technological tools significantly determining digital payment adoption. Age, education, income quantile, receiving wage payment, and engagement in formal financial transactions (as a proxy for financial inclusion) were among the socio-economic characteristics influencing digital payment adoption. Engagement in formal financial inclusion, mobile ownership, having an ATM/Debit card, and internet access were also influenced by individuals' socio-economic characteristics. Mobile ownership, having an ATM/Debit card, internet access, and engagement in formal financial transactions were significant mediating factors in the relationship between digital payment and socio-economic predictors.</t>
  </si>
  <si>
    <t>MOBILE TELEPHONY; DIFFUSION; BANKING; FINANCE; INDIA; MODEL</t>
  </si>
  <si>
    <t>Socioeconomic; Digital infrastructure; Digital payment; Adoption; Determinants</t>
  </si>
  <si>
    <t>Exploring individuals' socioeconomic characteristics and digital infrastructure determinants of digital payment adoption in Ethiopia</t>
  </si>
  <si>
    <t>Andaregie, Adino; Abebe, Gumataw Kifle; Gupta, Prashant; Worku, Gardachew; Matsumoto, Hideyuki; Astatkie, Tessema; Takagi, Isao</t>
  </si>
  <si>
    <t>Andaregie, A; Abebe, GK; Gupta, P; Worku, G; Matsumoto, H; Astatkie, T; Takagi, I</t>
  </si>
  <si>
    <t>WOS:000593413900010</t>
  </si>
  <si>
    <t>OX2PT</t>
  </si>
  <si>
    <t>10.5755/j01.eis.1.14.26318</t>
  </si>
  <si>
    <t>Eur. Integr. Stud.</t>
  </si>
  <si>
    <t>EUR INTEGR STUD</t>
  </si>
  <si>
    <t>2335-8831</t>
  </si>
  <si>
    <t>1822-8402</t>
  </si>
  <si>
    <t>FAC SOCIAL SCI, ARTS &amp; HUMANITIES, MICKEVCLAUS 37 STR, KAUNAS, 44244, LITHUANIA</t>
  </si>
  <si>
    <t>KAUNAS</t>
  </si>
  <si>
    <t>KAUNO TECHNOLOGIJOS UNIV</t>
  </si>
  <si>
    <t>Arefjevs, Ilja/IUQ-3756-2023</t>
  </si>
  <si>
    <t>nameolga@yahoo.co.uk; ilja.arefjevs@inbox.lv</t>
  </si>
  <si>
    <t>Bogdanova, O (corresponding author), Riga Tech Univ, Kalnciema St 6, LV-1007 Riga, Latvia.</t>
  </si>
  <si>
    <t>Riga Technical University</t>
  </si>
  <si>
    <t>[Bogdanova, Olga] Riga Tech Univ, Kalnciema St 6, LV-1007 Riga, Latvia; [Arefjevs, Ilja] BA Sch Business Finance, K Valdemara 161, LV-1013 Riga, Latvia</t>
  </si>
  <si>
    <t>International financial trilemma is a challenge of balancing the governmental policies ensuring healthy financial sector for facilitating economic development of a country. The scientific purpose of the paper is to develop a model of the international financial trilemma, defining the three key pillars of the international financial trilemma, the corresponding relevant metrics of economy, as well as describing expansion of financial technology as a disruptive element on a trilemma balance. Taking into account the experience of other researches of trilemma concept, analogically to the Energy Trilemma index, the authors developed the trilemma concept for the financial sector. The paper proposes determining the Financial trilemma index basing it on the following pillars: financial stability, financial inclusion and transparency. The authors analyse FinTech services as disruptive element affecting the International Financial trilemma index. As statistical basis of the financial trilemma and its building blocks the set of data from publicly available databases, such as the Global Competitiveness index, the Financial Development index, Global Findex and Doing Business is determined. The generally accepted quantitative and qualitative methods of economic science, inter alia comparative analysis, parameter estimation, grouping, economically mathematical modelling, synthesis, inductive, deductive and logically constructive methods have been used for the research. The financial trilemma index could be used as a tool for modelling an impact assessment of planned policy actions, as well as for developing determined steps for rising values of particular trilemma elements.</t>
  </si>
  <si>
    <t>finance trilemma; financial inclusion; financial stability; transparency; economy</t>
  </si>
  <si>
    <t>EUROPEAN INTEGRATION STUDIES</t>
  </si>
  <si>
    <t>International Finance Trilemma as a Tool for Balanced Development of an Economy</t>
  </si>
  <si>
    <t>Bogdanova, Olga; Arefjevs, Ilja</t>
  </si>
  <si>
    <t>Bogdanova, O; Arefjevs, I</t>
  </si>
  <si>
    <t>WOS:000563780700015</t>
  </si>
  <si>
    <t>NG1XT</t>
  </si>
  <si>
    <t>Psychology, Educational</t>
  </si>
  <si>
    <t>10.20511/pyr2020.v8nSPE2.670</t>
  </si>
  <si>
    <t>e670</t>
  </si>
  <si>
    <t>Propos. Represent.</t>
  </si>
  <si>
    <t>PROPOS REPRESENT</t>
  </si>
  <si>
    <t>2310-4635</t>
  </si>
  <si>
    <t>2307-7999</t>
  </si>
  <si>
    <t>AVE LA FONTANA, S-N, LA MOLINA, LIMA, 00000, PERU</t>
  </si>
  <si>
    <t>UNIV SAN IGNACIO LOYOLA</t>
  </si>
  <si>
    <t>The study was carried out with the financial support of the Russian Foundation for Basic Research in the framework of the scientific project No. 19-413-480013.</t>
  </si>
  <si>
    <t>Russian Foundation for Basic Research(Russian Foundation for Basic Research (RFBR))</t>
  </si>
  <si>
    <t>Russian Foundation for Basic Research [19-413-480013]</t>
  </si>
  <si>
    <t>Сафронова, Мария/0000-0002-6475-7462; Сафронова, Татьяна/0000-0002-8148-4101</t>
  </si>
  <si>
    <t>Chernousova, Nataliya/AAG-1529-2020; Safronova, Tatiana/AAG-8933-2020</t>
  </si>
  <si>
    <t>tatiana.msafronova@yandex.ru; nataliav.chernousova@yandex.ru; safronovaprofessor@yandex.ru</t>
  </si>
  <si>
    <t>Chernousova, N (corresponding author), Bunin Yelets State Univ, Yelets, Russia.</t>
  </si>
  <si>
    <t>Bunin Yelets State University</t>
  </si>
  <si>
    <t>[Safronova, Tatiana; Chernousova, Natalia; Safronova, Maria] Bunin Yelets State Univ, Yelets, Russia</t>
  </si>
  <si>
    <t>Social and economic transformation in modern society, the sophistication of world financial systems, and, as a result, changes in the hierarchy of human needs, conceptually new interests and requirements of the entire society have determined the relevance of the issue on the formation of financial literacy and financial capability of schoolchildren. Awareness of the necessity to address the issue leads to the creation of various strategies, projects, and curricula. The key methods of research include the following: analysis of academic literature that discloses the meaning of financial literacy as a multivariate concept; analysis of psychological-pedagogical literature and scientific research results of native and foreign authors in the field of improvement of the financial culture of children and youth; modeling of the conceptual model of financial literacy and financial capability formation of comprehensive schoolchildren in the course of mathematics. The authors have developed the conceptual model of the formation of financial literacy and financial capability of comprehensive schoolchildren in the course of mathematics. This model is based on interrelated scientific principles, unified as a single system, and integrated methodological approaches (system-activity, competence-based, synergetic, simulation, contextual, social, and cultural), has its own goal, objectives, means for achieving them, predicted outcome of the research. All the components of the model are considered as interdependent. The model is theoretically, methodologically and technically justified. Its quality is determined by its completeness, concreteness, tenability and feasibility, optimality of the mix of mathematical and economical components. The practical implementation of the authors' conceptual model could contribute to the mobilization of resources of schoolchildren's personal development and further efficient utilization of these resources in different fields of activity that is, therefore, could lead to the growth of the society's vital capacity.</t>
  </si>
  <si>
    <t>Financial Literacy; Financial Capability; Conceptual Model; Mathematical Education; Educational Environment; Schoolchildren</t>
  </si>
  <si>
    <t>PROPOSITOS Y REPRESENTACIONES</t>
  </si>
  <si>
    <t>Conceptual Model of Schoolchildren's Financial Literacy and Financial Capability Formation in the course of Mathematics</t>
  </si>
  <si>
    <t>Safronova, Tatiana; Chernousova, Natalia; Safronova, Maria</t>
  </si>
  <si>
    <t>Safronova, T; Chernousova, N; Safronova, M</t>
  </si>
  <si>
    <t>WOS:000455818900003</t>
  </si>
  <si>
    <t>HH6DK</t>
  </si>
  <si>
    <t>10.1108/AFR-12-2017-0111</t>
  </si>
  <si>
    <t>FEB 4</t>
  </si>
  <si>
    <t>Wang, Zhigang/0009-0009-4929-5069;</t>
  </si>
  <si>
    <t>; Wachenheim, Cheryl/AAG-7789-2021; QIN, MING/ABF-3951-2020</t>
  </si>
  <si>
    <t>qinming87@ruc.edu.cn; cheryl.wachenheim@ndsu.edu; ohshigo@163.com; zhengshi1974@ruc.edu.cn</t>
  </si>
  <si>
    <t>Wachenheim, CJ (corresponding author), North Dakota State Univ, Dept Agribusiness &amp; Appl Econ, Fargo, ND 58105 USA.</t>
  </si>
  <si>
    <t>Tsinghua University; North Dakota State University Fargo; Renmin University of China; Renmin University of China</t>
  </si>
  <si>
    <t>[Qin, Ming] Tsinghua Univ, Sch Publ Policy &amp; Management, Beijing, Peoples R China; [Wachenheim, Cheryl Joy] North Dakota State Univ, Dept Agribusiness &amp; Appl Econ, Fargo, ND 58105 USA; [Wang, Zhigang] Renmin Univ, Beijing, Peoples R China; [Zheng, Shi] Renmin Univ, Dept Agr Econ &amp; Rural Dev, Beijing, Peoples R China</t>
  </si>
  <si>
    <t>Purpose The purpose of this paper is to investigate factors affecting use of microcredit among farmers in Northern China. Design/methodology/approach A two-stage Heckman model is used to estimate the effect of farmer and family characteristics and loan and lending environment on likelihood of farmer participation in microcredit and the value of loans taken. Data from 342 first-hand observations in Northern China were used. Findings Social capital, production cost, non-labor family members, income, guarantee group membership, village head loan guarantee, and messenger use were found to increase use of microcredit. The same factors were found to affect the value of loans among participating farmers except a guarantor requirement for the loan replaces membership in a guarantee group. Practical implications Results support that there is demand for microcredit among farmers and that they are willing to take steps to obtain it including seeking membership in a household guarantee group. Identification of faced constraints facilitates understanding of supply-side efforts with potential to decrease financial exclusion with a focus on external-to-market intervention. Originality/value Pivotal findings are the importance of guarantee group membership for loan approval and that this requirement hinders farmers' ability to obtain credit. Three alternatives are suggested to overcome this constraint including excluding low-risk borrowers from a group guarantee requirement; charging higher interest rates on high risk loans not supported by a guarantee; and development of insurance options to replace the guarantee.</t>
  </si>
  <si>
    <t>CREDIT; MICROFINANCE; WOMEN</t>
  </si>
  <si>
    <t>China; Microcredit; Agricultural lending; Rural financing</t>
  </si>
  <si>
    <t>Factors affecting Chinese farmers' microcredit participation</t>
  </si>
  <si>
    <t>Qin, Ming; Wachenheim, Cheryl Joy; Wang, Zhigang; Zheng, Shi</t>
  </si>
  <si>
    <t>Qin, M; Wachenheim, CJ; Wang, ZG; Zheng, S</t>
  </si>
  <si>
    <t>WOS:000578888400001</t>
  </si>
  <si>
    <t>OC0XY</t>
  </si>
  <si>
    <t>10.3390/jrfm13080180</t>
  </si>
  <si>
    <t>Dushimimana, Bernard/0000-0003-4953-0726; , Yvonne Wambui/0000-0002-8381-2180; McSharry, Patrick/0000-0003-4663-970X; Lubega, Timothy/0000-0003-2509-9353</t>
  </si>
  <si>
    <t>; McSharry, Patrick/AGJ-2462-2022</t>
  </si>
  <si>
    <t>mathberd@gmail.com; yvonne.wambui.gitau@gmail.com; lubzo23@gmail.com; patrick@mcsharry.net</t>
  </si>
  <si>
    <t>McSharry, PE (corresponding author), Carnegie Mellon Univ Africa, Coll Engn, BP 6150, Kigali, Rwanda.;McSharry, PE (corresponding author), Univ Rwanda, African Ctr Excellence Data Sci, BP 4285, Kigali, Rwanda.;McSharry, PE (corresponding author), Univ Oxford, Oxford Man Inst Quantitat Finance, Oxford OX2 6ED, England.</t>
  </si>
  <si>
    <t>University of Rwanda; University of Oxford</t>
  </si>
  <si>
    <t>[Dushimimana, Bernard; Wambui, Yvonne; Lubega, Timothy; McSharry, Patrick E.] Carnegie Mellon Univ Africa, Coll Engn, BP 6150, Kigali, Rwanda; [McSharry, Patrick E.] Univ Rwanda, African Ctr Excellence Data Sci, BP 4285, Kigali, Rwanda; [McSharry, Patrick E.] Univ Oxford, Oxford Man Inst Quantitat Finance, Oxford OX2 6ED, England</t>
  </si>
  <si>
    <t>Airtime lending default rates are typically lower than those experienced by banks and microfinance institutions (MFIs) but are likely to grow as the service is offered more widely. In this paper, credit scoring techniques are reviewed, and that knowledge is built upon to create an appropriate machine learning model for airtime lending. Over three million loans belonging to more than 41 thousand customers with a repayment period of three months are analysed. Logistic Regression, Decision Trees and Random Forest are evaluated for their ability to classify defaulters using several cross-validation approaches and the latter model performed best. When the default rate is below 2%, it is better to offer everyone a loan. For higher default rates, the model substantially enhances profitability. The model quadruples the tolerable level of default rate for breaking even from 8% to 32%. Nonlinear classification models offer considerable potential for credit scoring, coping with higher levels of default and therefore allowing for larger volumes of customers.</t>
  </si>
  <si>
    <t>financial inclusion; credit score; big data; machine learning; airtime</t>
  </si>
  <si>
    <t>Use of Machine Learning Techniques to Create a Credit Score Model for Airtime Loans</t>
  </si>
  <si>
    <t>Dushimimana, Bernard; Wambui, Yvonne; Lubega, Timothy; McSharry, Patrick E.</t>
  </si>
  <si>
    <t>Dushimimana, B; Wambui, Y; Lubega, T; McSharry, PE</t>
  </si>
  <si>
    <t>WOS:000494643500006</t>
  </si>
  <si>
    <t>JK1YL</t>
  </si>
  <si>
    <t>10.14456/ITJEMAST.2019.200</t>
  </si>
  <si>
    <t>10A15F</t>
  </si>
  <si>
    <t>Abbas, Mazhar/P-6153-2019; Shabbir, Muhammad/P-4745-2019; Al-Ghazali, Basheer/AAN-8834-2020</t>
  </si>
  <si>
    <t>mazhar.abbas562@gmail.com</t>
  </si>
  <si>
    <t>Abbas, M (corresponding author), Univ Hail, Dept Management &amp; MIS, Coll Business Adm, Hail, Saudi Arabia.;Abbas, M (corresponding author), King Fahd Univ Petr &amp; Minerals, Dammam Community Coll, Dept Business Adm, Dhahran, Saudi Arabia.</t>
  </si>
  <si>
    <t>COMSATS University Islamabad (CUI); University Ha'il; Universiti Sains Malaysia; King Fahd University of Petroleum &amp; Minerals; King Fahd University of Petroleum &amp; Minerals</t>
  </si>
  <si>
    <t>[Noreen, Tayyba] COMSATS Univ Islamabad, Dept Management Sci, Vehari Campus, Islamabad, Pakistan; [Abbas, Mazhar] Univ Hail, Dept Management &amp; MIS, Coll Business Adm, Hail, Saudi Arabia; [Shabbir, Muhammad Salman] Univ Sains Malaysia, Sch Management, George Town, Malaysia; [Abbas, Mazhar] King Fahd Univ Petr &amp; Minerals, Dammam Community Coll, Dept Business Adm, Dhahran, Saudi Arabia; [Al-Ghazali, Basheer M.] King Fahd Univ Petr &amp; Minerals Saudi Arabia, Dammam Community Coll, Dept Business Adm, Dhahran, Saudi Arabia</t>
  </si>
  <si>
    <t>This study assesses the impact of financial education on financial capability (literacy) of young adults in Punjab, Pakistan. Combination of objective financial knowledge, financial attitudes and financial behaviors constructed financial capability. Results indicate that business students are more financially capable than non-business students. The result of the study reveals that Master's degree level education in finance has significant positive impact on financial capability as compared with study of finance in other education levels. The financial education index has highly significant positive impact on financial knowledge, financial attitudes and financial capability index. However, financial education does not improve the financial behaviors of young adults. Moreover, the results also revealed that degree in finance has positive association with financial capability. (C) 2019 INT TRANS J ENG MANAG SCI TECH.</t>
  </si>
  <si>
    <t>LITERACY; STUDENTS; BEHAVIOR</t>
  </si>
  <si>
    <t>Financial knowledge; Financial attitude; Financial behavior; Financial skills; Non-business students</t>
  </si>
  <si>
    <t>ASCENDANCY OF FINANCIAL EDUCATION TO ESCALATE FINANCIAL CAPABILITY OF YOUNG ADULTS: CASE OF PUNJAB, PAKISTAN</t>
  </si>
  <si>
    <t>Noreen, Tayyba; Abbas, Mazhar; Shabbir, Muhammad Salman; Al-Ghazali, Basheer M.</t>
  </si>
  <si>
    <t>Noreen, T; Abbas, M; Shabbir, MS; Al-Ghazali, BM</t>
  </si>
  <si>
    <t>WOS:000544930800001</t>
  </si>
  <si>
    <t>QG3DE</t>
  </si>
  <si>
    <t>10.1080/13662716.2020.1774867</t>
  </si>
  <si>
    <t>Ind. Innov.</t>
  </si>
  <si>
    <t>IND INNOV</t>
  </si>
  <si>
    <t>1469-8390</t>
  </si>
  <si>
    <t>1366-2716</t>
  </si>
  <si>
    <t>sophie.pommet@univ-cotedazur.fr</t>
  </si>
  <si>
    <t>Pommet, S (corresponding author), Univ Cote Azur, CNRS, GREDEG, F-06560 Valbonne, France.</t>
  </si>
  <si>
    <t>Centre National de la Recherche Scientifique (CNRS); Universite Cote d'Azur; University of Johannesburg</t>
  </si>
  <si>
    <t>[Lorenz, Edward; Pommet, Sophie] Univ Cote Azur, CNRS, GREDEG, F-06560 Valbonne, France; [Lorenz, Edward] Univ Johannesburg, Coll Business &amp; Econ, Johannesburg, South Africa</t>
  </si>
  <si>
    <t>This study explores the relationship between firms' adoption of mobile money services and their innovativeness in the East African countries of Kenya, Uganda and Tanzania. We argue that the use of mobile money by firms in these countries has had a positive indirect impact on their innovativeness by reducing the credit constraints they face. Using data available from the World Bank Enterprise Surveys, we adopt a sequential modelling approach, first estimating the impact of mobile money use on credit constraints and then estimating the impact of credit constraints on binary indicators of product, process and organisational innovation. Innovation is shown to depend on whether or not the firm is credit constrained, and the probability of being credit constrained is shown to depend on the choices made about the use of mobile money. We find that the indirect impact of mobile money on innovation performance is greater for small firms than for medium or large firms.</t>
  </si>
  <si>
    <t>CONSTRAINTS; IDENTIFICATION; PHONES; KENYA</t>
  </si>
  <si>
    <t>Mobile money; credit constraint; innovation; Africa</t>
  </si>
  <si>
    <t>INDUSTRY AND INNOVATION</t>
  </si>
  <si>
    <t>Mobile money, inclusive finance and enterprise innovativeness: an analysis of East African nations</t>
  </si>
  <si>
    <t>Lorenz, Edward; Pommet, Sophie</t>
  </si>
  <si>
    <t>Lorenz, E; Pommet, S</t>
  </si>
  <si>
    <t>WOS:000444996500172</t>
  </si>
  <si>
    <t>GU1DT</t>
  </si>
  <si>
    <t>10.1166/asl.2018.11670</t>
  </si>
  <si>
    <t>Ahmad, Kamilah/M-5084-2016; Mohamed Zabri, Shafie/AFU-8727-2022</t>
  </si>
  <si>
    <t>Ahmad, K (corresponding author), Univ Tun Hussein Onn Malaysia, Fac Technol Management &amp; Business, Parit Raja, Malaysia.</t>
  </si>
  <si>
    <t>University of Tun Hussein Onn Malaysia</t>
  </si>
  <si>
    <t>[Ahmad, Kamilah; Zabri, Shafie Mohamed] Univ Tun Hussein Onn Malaysia, Fac Technol Management &amp; Business, Parit Raja, Malaysia</t>
  </si>
  <si>
    <t>There is a widespread interest in raising the levels of financial capability due to the soaring of indebtness among youth in both developed and developing countries. The issue is even more critical among working youth due to their early career life financial commitments. Thus this paper aims to shed light on the level of financial capability among working youth and the relationships between working youth characteristics and financial capability. A questionnaire survey was disseminated to 500 Malaysian working youth between 18 to 40 years old. Based on the 200 completed responses the study reveals that there is an adequate level of financial capability among respondents. Marital status, age, level of income, employment status, living arrangement, number of credit card and financial behavior are found to have significant relationships with financial capability. A further test shows that youth financial literacy and saving behavior have significant effects on financial capability. This study contributes new empirical evidence on the level of financial capability and the association between working youth characteristics and financial capability. As such this study provides some interesting clues to financial capability among working youth.</t>
  </si>
  <si>
    <t>LITERACY; FIRMS</t>
  </si>
  <si>
    <t>Financial Capability; Financial Literacy; Characteristics; Youth</t>
  </si>
  <si>
    <t>Univ Teknologi Malaysia</t>
  </si>
  <si>
    <t>Univ Teknologi Malaysia, Int Student Soc,Int Students Ctr,Univ Teknologi Malaysia, Inst Sultan Iskandar</t>
  </si>
  <si>
    <t>Univ Teknologi Malaysia, Johor Bahru, MALAYSIA</t>
  </si>
  <si>
    <t>OCT 06-08, 2016</t>
  </si>
  <si>
    <t>International Conference on Science, Engineering, Management and Social Sciences (ICSEMSS)</t>
  </si>
  <si>
    <t>The Relationship Between Working Youth Characteristics and Financial Capability</t>
  </si>
  <si>
    <t>Ahmad, Kamilah; Zabri, Shafie Mohamed</t>
  </si>
  <si>
    <t>Ahmad, K; Zabri, SM</t>
  </si>
  <si>
    <t>WOS:001515875500001</t>
  </si>
  <si>
    <t>4ED8R</t>
  </si>
  <si>
    <t>10.3390/ijfs13020110</t>
  </si>
  <si>
    <t>LIMA SANTOS, Luís/0000-0002-6652-7601; Lundvig Hansen, Anders/0009-0008-6574-2626</t>
  </si>
  <si>
    <t>LIMA SANTOS, Luís/F-4413-2017</t>
  </si>
  <si>
    <t>anders.hansen@osew.org; llsantos@ipleiria.pt</t>
  </si>
  <si>
    <t>Santos, LL (corresponding author), Polytech Univ Leiria, CiTUR Ctr Tourism Res Dev &amp; Innovat, P-2411901 Leiria, Portugal.</t>
  </si>
  <si>
    <t>University of Salford</t>
  </si>
  <si>
    <t>[Hansen, Anders Lundvig] Univ Salford, Salford Sch Business, 43 Cresent, Salford M5 4WT, England; [Santos, Luis Lima] Polytech Univ Leiria, CiTUR Ctr Tourism Res Dev &amp; Innovat, P-2411901 Leiria, Portugal</t>
  </si>
  <si>
    <t>This study explores how geographical factors shape El Salvador's banking sector, particularly focusing on regional disparities, urbanization, and vulnerability to natural disasters affecting access to financial services. By employing a mixed-methods approach that combines quantitative data and qualitative interviews, the research analyzes how these geographical challenges impact financial inclusion and banking development. Data from the Central Reserve Bank of El Salvador and financial institutions is examined alongside Geographic Information Systems (GISs) to illustrate the spatial distribution of banking services. Interviews with stakeholders, including bank representatives and clients from urban and rural areas, reveal a significant urban-rural divide, with approximately 75% of bank branches and 80% of ATMs situated in urban centers, particularly in San Salvador. Rural areas face limited access to formal banking due to challenging topography and inadequate infrastructure, leading to increased financial exclusion and reliance on informal systems. Natural disasters further disrupt banking infrastructure and heighten the need for emergency loans. While urbanization has spurred financial growth, it has also resulted in informal settlements with restricted access to formal services. As its main contribution, this study provides one of the first in-depth, geographically grounded analyses of financial exclusion in El Salvador, offering original insights into how spatial inequalities and disaster vulnerability intersect to shape banking access and economic participation. The study calls for a more inclusive banking sector, recommending mobile and digital banking expansion, agent banking in underserved areas, and improved disaster risk management to enhance economic participation across all regions.</t>
  </si>
  <si>
    <t>FINANCIAL INCLUSION EVIDENCE</t>
  </si>
  <si>
    <t>financial inclusion; geographical factors; banking sector; urban-rural division; El Salvador</t>
  </si>
  <si>
    <t>The Impact of Geographical Factors on the Banking Sector in El Salvador</t>
  </si>
  <si>
    <t>Hansen, Anders Lundvig; Santos, Luis Lima</t>
  </si>
  <si>
    <t>Hansen, AL; Santos, LL</t>
  </si>
  <si>
    <t>WOS:001086601600001</t>
  </si>
  <si>
    <t>U7MD5</t>
  </si>
  <si>
    <t>10.1016/j.irfa.2023.102940</t>
  </si>
  <si>
    <t>This work is supported by the Key Projects of National Social Science Foundation of China Realization mechanism and policy insurance of carbon peak and carbon neutrality in manufacturing industry (22AZD095) .</t>
  </si>
  <si>
    <t>Key Projects of National Social Science Foundation of China Realization mechanism and policy insurance of carbon peak and carbon neutrality in manufacturing industry(National Office of Philosophy and Social Sciences)</t>
  </si>
  <si>
    <t>Key Projects of National Social Science Foundation of China Realization mechanism and policy insurance of carbon peak and carbon neutrality in manufacturing industry [22AZD095]</t>
  </si>
  <si>
    <t>Zhang, Cheng/0009-0009-0239-5863</t>
  </si>
  <si>
    <t>Zhang, Cheng/IXD-7758-2023</t>
  </si>
  <si>
    <t>zhanglimin_2018@163.com</t>
  </si>
  <si>
    <t>Zhang, LM (corresponding author), Nanjing Univ Finance &amp; Econ, Nanjing, Peoples R China.</t>
  </si>
  <si>
    <t>Nanjing University of Finance &amp; Economics</t>
  </si>
  <si>
    <t>[Zhang, Cheng; Zhu, Yuyao; Zhang, Limin] Nanjing Univ Finance &amp; Econ, Nanjing, Peoples R China</t>
  </si>
  <si>
    <t>As China transitions to high-quality development, digital inclusive finance has the potential to promote common prosperity. While theoretically, digital inclusive finance is considered conducive to achieving this goal, its practical effects and underlying mechanisms need to be further studied and clarified. This research aims to explore the impact of digital inclusive finance on common prosperity, identifying its heterogeneity characteristics and investigating the mechanisms underlying this relationship. The study reveals the following findings: Firstly, digital inclusive finance plays a positive role in facilitating common prosperity, which is mainly achieved by focusing on the aspect of affluence. However, the effect of digital inclusive finance on enhancing commonality is not significant. Secondly, the breadth of coverage, depth of usage, and digitization level of digital inclusive finance all contribute to promoting both common prosperity and affluence. Further, a broader coverage and higher digitization level are associated with increased commonality. Thirdly, digital inclusive finance contributes to improving prosperity in both the eastern and western regions of China but leads to higher (lower) commonality in the western (eastern) region. Compared with the central and western regions, digital inclusive finance can play a better role in promoting common prosperity in the eastern region. Lastly, the study identifies three channels through which digital inclusive finance promotes common prosperity: advancing individual entrepreneurship, stimulating employment, and propelling Internet financing.</t>
  </si>
  <si>
    <t>HOUSEHOLD WELFARE; MOBILE MONEY; POVERTY; MISALLOCATION; FRICTIONS; CREDIT; GROWTH; ACCESS; IMPACT</t>
  </si>
  <si>
    <t>Digital inclusive finance; Common prosperity; Mechanism research</t>
  </si>
  <si>
    <t>Effect of digital inclusive finance on common prosperity and the underlying mechanisms</t>
  </si>
  <si>
    <t>Zhang, Cheng; Zhu, Yuyao; Zhang, Limin</t>
  </si>
  <si>
    <t>Zhang, C; Zhu, YY; Zhang, LM</t>
  </si>
  <si>
    <t>WOS:001193684300003</t>
  </si>
  <si>
    <t>ML1L6</t>
  </si>
  <si>
    <t>10.17705/2msqe.00089</t>
  </si>
  <si>
    <t>MIS Q. Exec.</t>
  </si>
  <si>
    <t>MIS Q EXEC</t>
  </si>
  <si>
    <t>1540-1979</t>
  </si>
  <si>
    <t>1540-1960</t>
  </si>
  <si>
    <t>KELLEY SCH BUS, E 10 ST, BLOOMINGTON, IN 47405-1701 USA</t>
  </si>
  <si>
    <t>BLOOMINGTON</t>
  </si>
  <si>
    <t>INDIANA UNIV, OPER &amp; DECISION TECHNOL DEPT</t>
  </si>
  <si>
    <t>samiaco@umich.edu; dorothy@virginia.edu</t>
  </si>
  <si>
    <t>Bhatti, SC (corresponding author), Univ Michigan, Sch Information, Ann Arbor, MI 48109 USA.</t>
  </si>
  <si>
    <t>University of Michigan System; University of Michigan; University of Virginia</t>
  </si>
  <si>
    <t>[Bhatti, Samia Cornelius] Univ Michigan, Sch Information, Ann Arbor, MI 48109 USA; [Leidner, Dorothy E.] Univ Virginia, Business Eth, Charlottesville, VA USA</t>
  </si>
  <si>
    <t>Advances in technology provide new opportunities to take banking to the financially excluded. But the chosen technology and the associated digitalization of processes must fit the context, needs and preferences of the target audience. We describe how The Odyssey Project, Inc., a startup, is combining SMS and blockchain technologies to create a context -specific digital solution for the unbanked, particularly in underdeveloped countries. The actions taken by this company provide valuable recommendations for fintech organizations that want to develop appropriate and effective technological solutions.1,2</t>
  </si>
  <si>
    <t>MIS QUARTERLY EXECUTIVE</t>
  </si>
  <si>
    <t>How the Odyssey Project Is Using Old and Cutting-Edge Technologies for Financial Inclusion</t>
  </si>
  <si>
    <t>Bhatti, Samia Cornelius; Leidner, Dorothy E.</t>
  </si>
  <si>
    <t>Bhatti, SC; Leidner, DE</t>
  </si>
  <si>
    <t>WOS:001629092400001</t>
  </si>
  <si>
    <t>W3483</t>
  </si>
  <si>
    <t>10.1080/1226508X.2025.2595991</t>
  </si>
  <si>
    <t>Global Econ. Rev.</t>
  </si>
  <si>
    <t>GLOBAL ECON REV</t>
  </si>
  <si>
    <t>1744-3873</t>
  </si>
  <si>
    <t>1226-508X</t>
  </si>
  <si>
    <t>This study investigates the effect of inflation on financial inclusion across 61 countries. Using the median quantile regression and two-stage least squares regression methods, the findings reveal that inflation has a positive effect on financial inclusion in European countries and a negative and insignificant effect on African, Asian and the Americas countries. The moderation analysis shows that bank stability does not weaken the adverse effect of inflation on financial inclusion in African countries, but a high bank loan-to-deposit ratio weakens the adverse effect of inflation on financial inclusion and accelerates financial inclusion in a high inflation environment in African countries.</t>
  </si>
  <si>
    <t>Inflation; financial inclusion; quantile regression; bank stability; efficiency; loan-to-deposit ratio; financial inclusion index; E1; E3; E6; G01</t>
  </si>
  <si>
    <t>GLOBAL ECONOMIC REVIEW</t>
  </si>
  <si>
    <t>Impact of Inflation on Financial Inclusion: A Global and Regional Analysis</t>
  </si>
  <si>
    <t>WOS:001157097700001</t>
  </si>
  <si>
    <t>R2S3L</t>
  </si>
  <si>
    <t>10.5937/StraMan2300064K</t>
  </si>
  <si>
    <t>Strateg. Manag.</t>
  </si>
  <si>
    <t>STRATEG MANAG</t>
  </si>
  <si>
    <t>2334-6191</t>
  </si>
  <si>
    <t>1821-3448</t>
  </si>
  <si>
    <t>SEGEDINSKI PUT 9-11, SUBOTICA, 24000, SERBIA</t>
  </si>
  <si>
    <t>SUBOTICA</t>
  </si>
  <si>
    <t>UNIV NOVI SAD, FAC ECONOMICS SUBOTICA</t>
  </si>
  <si>
    <t>Kozarevic, Emira/0000-0002-5665-640X; Kokorovic Jukan, Meldina/0000-0002-4954-5437</t>
  </si>
  <si>
    <t>; Kokorovic Jukan, Meldina/AAS-7598-2021</t>
  </si>
  <si>
    <t>meldina.kokorovic@untz.ba</t>
  </si>
  <si>
    <t>Jukan, MK (corresponding author), Univ Tuzla, Fac Econ, Urfeta Vejzagica 8, Tuzla 75000, Bosnia &amp; Herceg.</t>
  </si>
  <si>
    <t>University of Tuzla; University of Tuzla</t>
  </si>
  <si>
    <t>[Jukan, Meldina Kokorovic; Kozarevic, Emira; Zukic, Vesna] Univ Tuzla, Fac Econ, Tuzla, Bosnia &amp; Herceg; [Jukan, Meldina Kokorovic] Univ Tuzla, Fac Econ, Urfeta Vejzagica 8, Tuzla 75000, Bosnia &amp; Herceg</t>
  </si>
  <si>
    <t>Background: As a complex socio-economic concept, financial inclusion is related to the improvement of access and use of formal financial products and services (such as bank deposits, loans, insurance, etc.) by all participants in the financial system. More inclusive financial systems contribute to poverty reduction, decrease in inequalities among different income groups leading to economic growth, and economies more resilient towards macroeconomic shocks. Purpose: This paper aims to assess the relationship between financial inclusion and inflation in Southeast European countries, focusing on Albania, Bosnia and Herzegovina, Bulgaria, Croatia, Greece, Montenegro, North Macedonia, Romania, Slovenia, Serbia, and Turkey in the period from 2011 to 2021. Study design/methodology/approach: The financial inclusion index was constructed using Principal Component Analysis (PCA). The connection between the financial inclusion index and inflation was investigated using panel regression modeling (OLS, fixed-effect, and random-effect models). Findings/Conclusions: The research showed that countries with higher levels of financial inclusion are more resilient to inflation. This finding is consistent with other research implying that policymakers and other stakeholders within a financial system should contribute to promoting financial inclusion and building more inclusive financial systems. Limitations/future research: The main limitation of the research is related to data availability for multidimensional index construction. Future research should be directed to providing a better understanding of whether the relationship between financial inclusion and inflation is under the influence of other monetary policy instruments, such as interest rates.</t>
  </si>
  <si>
    <t>financial inclusion; inflation; Southeast European (SEE) countries; Principal Component Analysis (PCA); panel regression</t>
  </si>
  <si>
    <t>STRATEGIC MANAGEMENT</t>
  </si>
  <si>
    <t>Financial inclusion and inflation in Southeast European countries</t>
  </si>
  <si>
    <t>Jukan, Meldina Kokorovic; Kozarevic, Emira; Zukic, Vesna</t>
  </si>
  <si>
    <t>Jukan, MK; Kozarevic, E; Zukic, V</t>
  </si>
  <si>
    <t>WOS:000836538600004</t>
  </si>
  <si>
    <t>3O0NK</t>
  </si>
  <si>
    <t>10.1016/j.sciaf.2022.e01230</t>
  </si>
  <si>
    <t>e01230</t>
  </si>
  <si>
    <t>Sci. Afr.</t>
  </si>
  <si>
    <t>SCI AFR</t>
  </si>
  <si>
    <t>2468-2276</t>
  </si>
  <si>
    <t>Atta-Ankomah, Richmond/0000-0001-9982-9377</t>
  </si>
  <si>
    <t>rankomah@ug.edu.gh</t>
  </si>
  <si>
    <t>Atta-Ankomah, R (corresponding author), Univ Ghana, Inst Stat Social &amp; Econ Res, POB LG74, Accra, Ghana.</t>
  </si>
  <si>
    <t>[Atta-Ankomah, Richmond] Univ Ghana, Inst Stat Social &amp; Econ Res, POB LG74, Accra, Ghana</t>
  </si>
  <si>
    <t>This article interrogates the effect of mobile money on households' access to credit services. It also compares the mobile money effect with the effect of owning account in other financial institutions (excluding commercial banks), and explores complementarity effects between them as well as heterogeneity effects across gender and locality of residence. Using treatment effect models and observational data from the seventh round of the Ghana Living Standards Surveys, the results generally show that mobile money increases the probability of applying for credit but has no effect on the amount of credit received. The effect on credit application is only found among households that also own accounts in other financial institutions, except for male headed households, of whom we observe a significant effect among those that own only mobile money accounts. The complementary effect of mobile money to the effect of other financial institutions on credit application are higher for male headed households and households in rural communities than their respective counterparts. These results are robust to different treatment effect estimators including the doubly robust augmented inverse probability estimator and the inverse probability regression adjustment estimator with several controls including health shocks in their outcome models. The findings call into question the extent to which mobile money facilitates the provision of inclusive financial services beyond serving as a tool for payments and savings. The findings bear significant policy implications with regards to how to broaden the financial inclusion impact of mobile money. (C) 2022 The Author. Published by Elsevier B.V. on behalf of African Institute of Mathematical Sciences / Next Einstein Initiative.</t>
  </si>
  <si>
    <t>FINANCIAL INCLUSION; SERVICES; BEHAVIOR; ADOPTION</t>
  </si>
  <si>
    <t>Mobile money; Credit services; Financial inclusion; Treatment effects estimators; Households</t>
  </si>
  <si>
    <t>SCIENTIFIC AFRICAN</t>
  </si>
  <si>
    <t>Credit for households in Ghana: Has mobile money (momo) improved inclusive access?</t>
  </si>
  <si>
    <t>Atta-Ankomah, Richmond</t>
  </si>
  <si>
    <t>Atta-Ankomah, R</t>
  </si>
  <si>
    <t>WOS:001308843100001</t>
  </si>
  <si>
    <t>3KF4W</t>
  </si>
  <si>
    <t>10.1108/IJSE-08-2023-0668</t>
  </si>
  <si>
    <t>JUN 6</t>
  </si>
  <si>
    <t>Ahmad, Syed Zamberi/0000-0003-2785-2185</t>
  </si>
  <si>
    <t>Khalid, Khalizani/AAZ-8618-2021</t>
  </si>
  <si>
    <t>drszamberi@yahoo.com</t>
  </si>
  <si>
    <t>Ahmad, SZ (corresponding author), Canadian Univ Dubai, Sch Management, Dubai, U Arab Emirates.</t>
  </si>
  <si>
    <t>Abu Dhabi University; Canadian University Dubai; University of Dubai</t>
  </si>
  <si>
    <t>[Alsuwaidi, Reem] Abu Dhabi Univ, Coll Business, Management Dept, Abu Dhabi, U Arab Emirates; [Ahmad, Syed Zamberi] Canadian Univ Dubai, Sch Management, Dubai, U Arab Emirates; [Khalid, Khalizani] Univ Dubai, Dubai Business Sch, Dubai, U Arab Emirates</t>
  </si>
  <si>
    <t>PurposeThis study explores the determinants of financial well-being (FW) among emerging adults and investigates the moderating role of financial risk tolerance in the relationship between financial capability and financial behavior.Design/methodology/approachIn total, 257 useable data were collected from federal and private university students, representing Emirati emerging adults aged 18 to 29. The analysis employed a structural equation model through AMOS 17.0.FindingsStructural modeling results show that gender, monthly expenses, financial literacy and financial socialization influence financial capability and financial capability impacts both financial behavior and FW. Financial risk tolerance moderates the relationship between financial capability and financial behavior.Practical implicationsThis study offers insights useful for policymakers, industry players and educators seeking to address financial literacy, financial capability and financial behavior to enhance the FW of emerging adults.Originality/valueThe study sheds light on the intricate yet comprehensive FW model of emerging adults in a non-Western context. The study also offers a new, more complex view of the function of financial literacy and financial socialization in financial capability. Combining family financial socialization and risk-return theories in an organic viewpoint allows for a more in-depth examination of a critical distinction between the role of literacy and socialization in shaping attitude and behavior and its function as a platform for financial discourse, which can inform how educational efforts and social platforms can be leveraged to improve financial acumen and FW.Peer reviewThe peer review history for this article is available at: https://publons.com/publon/10.1108/IJSE-08-2023-0668</t>
  </si>
  <si>
    <t>ANTECEDENTS; LITERACY; BEHAVIOR; BIAS</t>
  </si>
  <si>
    <t>Financial well-Being; Financial behavior; Financial literacy; Financial socialization; Financial capability; Financial risk tolerance</t>
  </si>
  <si>
    <t>Determinants of financial well-being for emerging adults: the moderating effect of financial risk tolerance</t>
  </si>
  <si>
    <t>Alsuwaidi, Reem; Ahmad, Syed Zamberi; Khalid, Khalizani</t>
  </si>
  <si>
    <t>Alsuwaidi, R; Ahmad, SZ; Khalid, K</t>
  </si>
  <si>
    <t>WOS:000578601900069</t>
  </si>
  <si>
    <t>BQ2AG</t>
  </si>
  <si>
    <t>Regional &amp; Urban Planning</t>
  </si>
  <si>
    <t>EC SOC DEVELOP</t>
  </si>
  <si>
    <t>1849-7535</t>
  </si>
  <si>
    <t>1849-6903</t>
  </si>
  <si>
    <t>Mushtaq, Rizwan/M-7814-2013</t>
  </si>
  <si>
    <t>rizwanhcc@gmail.com; catherine.bruneau-chassefiere@univ-paris1.fr</t>
  </si>
  <si>
    <t>Mushtaq, R (corresponding author), Univ Paris 1 Pantheon Sorbonne, Sorbonne Sch Econ, Paris, France.</t>
  </si>
  <si>
    <t>[Mushtaq, Rizwan; Bruneau, Catherine] Univ Paris 1 Pantheon Sorbonne, Sorbonne Sch Econ, Paris, France</t>
  </si>
  <si>
    <t>This study examines the role of Information and Communication Technologies (ICT) in poverty reduction by fostering financial inclusion, using panel dataset of sixty-one countries between 2001 and 2012. We disentangle the impact of two distinct dimensions of financial inclusion i.e., inclusion by commercial banks and by microfinance institutions (MFIs). In the first step of data analysis we find poverty reducing effects of financial inclusion measured either way. Furthermore, results of the study indicate a positive association of ICT diffusion with financial inclusion and a negative relationship with poverty and inequality. It was observed that the ICT dimensions when used as instruments for financial inclusion accelerate economic growth and reduce poverty and inequality. Therefore, policies to promote information and communication infrastructure could stimulate financial inclusion by promoting digital finance. Moreover, better collaboration between ICT and financial sector will likely to improve digital finance that could help to bridge the financial infrastructure gap.</t>
  </si>
  <si>
    <t>ECONOMIC-GROWTH; BANKING; ACCESS; MICRO</t>
  </si>
  <si>
    <t>Digital Finance; Financial Inclusion; ICT; Microfinance</t>
  </si>
  <si>
    <t>Zagreb, CROATIA</t>
  </si>
  <si>
    <t>DEC 09-10, 2016</t>
  </si>
  <si>
    <t>18th International Scientific Conference on Economic and Social Development (ESD) - Building Resilient Society</t>
  </si>
  <si>
    <t>International Scientific Conference on Economic and Social Development</t>
  </si>
  <si>
    <t>ECONOMIC AND SOCIAL DEVELOPMENT (ESD)</t>
  </si>
  <si>
    <t>MICROFINANCE, FINANCIAL INCLUSION AND ICT: IMPLICATIONS FOR POVERTY AND INEQUALITY</t>
  </si>
  <si>
    <t>Mushtaq, Rizwan; Bruneau, Catherine</t>
  </si>
  <si>
    <t>Mihanovic, D; Hunjet, A; Primorac, Z</t>
  </si>
  <si>
    <t>Mushtaq, R; Bruneau, C</t>
  </si>
  <si>
    <t>WOS:000819803300026</t>
  </si>
  <si>
    <t>2P5TN</t>
  </si>
  <si>
    <t>10.35716/IJED/21212</t>
  </si>
  <si>
    <t>guru.nibe@gmail.com</t>
  </si>
  <si>
    <t>Mondal, G (corresponding author), Sidho Kanho Birsha Univ, Dept Econ, Purulia 723104, W Bengal, India.</t>
  </si>
  <si>
    <t>[Mondal, Gurudas; Rajpal, Navin Kumar] Sidho Kanho Birsha Univ, Dept Econ, Purulia 723104, W Bengal, India</t>
  </si>
  <si>
    <t>The evaluation of financial literacy was undertaken across poor and marginalized women engaged in entrepreneurial activities across major markets of Purulia town, West Bengal. The poor performance of women entrepreneurs on the Financial Literacy Score (FLS) was noticed. A significant gap was observed between the information about the financial system and access to their instruments. The study suggested developing financial literacy through induction programs and awareness camps among local entrepreneurs. The bank correspondence model can serve more efficiently by extending cooperation and trustworthiness.</t>
  </si>
  <si>
    <t>Access and control; financial exclusion; financial literacy score</t>
  </si>
  <si>
    <t>Entrepreneurship, Financial Literacy and Women: A Study of Street Vendors of Purulia District of West Bengal</t>
  </si>
  <si>
    <t>Mondal, Gurudas; Rajpal, Navin Kumar</t>
  </si>
  <si>
    <t>Mondal, G; Rajpal, NK</t>
  </si>
  <si>
    <t>WOS:001463417100005</t>
  </si>
  <si>
    <t>1EY1X</t>
  </si>
  <si>
    <t>10.15722/jds.23.03.202503.45</t>
  </si>
  <si>
    <t>The authors received funding from the Banking Academy of Vietnam for this research.</t>
  </si>
  <si>
    <t>Banking Academy of Vietnam</t>
  </si>
  <si>
    <t>Le, Tra/0000-0002-1863-1076; Anh, Phan/0000-0002-9999-0133</t>
  </si>
  <si>
    <t>phananh@hvnh.edu.vn; tralth@hvnh.edu.vn</t>
  </si>
  <si>
    <t>Le, TTH (corresponding author), Banking Acad Vietnam, Banking Res Inst, Hanoi, Vietnam.</t>
  </si>
  <si>
    <t>[Phan, Anh; Le, Tra Thi Huong] Banking Acad Vietnam, Banking Res Inst, Hanoi, Vietnam</t>
  </si>
  <si>
    <t>Purpose: The purpose of this study evaluates the impact of digital financial product distribution on economic growth in 19 Asian countries from 2014 to 2023. Research design, data and methodology: By employing the research method of regression analysis using panel data from the World Bank and the IMF, the research assesses digital finance's influence through three models focusing on mobile money accounts, digital payments, and internet penetration. Results: The results reveal that mobile money accounts and digital payments positively impact economic growth, highlighting their role in promoting financial inclusion and economic activity. Conversely, internet usage shows a negative correlation, suggesting that increased connectivity alone does not uniformly drive growth and may present challenges such as digital inequalities and market disruptions. Conclusion: The findings underscore the necessity for a robust digital finance framework that balances innovation with regulatory oversight to maximize economic benefits. Policy recommendations include enhancing digital infrastructure, fostering financial literacy, and promoting regional collaboration to build a more inclusive digital finance ecosystem. This research contributes to the understanding of digital finance's diverse effects on economic growth and offers practical insights for policymakers aiming to optimize digital financial service adoption, thereby fostering sustainable development across varying economic contexts in Asia.</t>
  </si>
  <si>
    <t>INCLUSION; POLICY; TRADE</t>
  </si>
  <si>
    <t>Digital finance; Distribution; Economic growth; Asian countries; Mobile money; Digital payments</t>
  </si>
  <si>
    <t>Impact of Digital Financial Product Distribution on Economic Growth: Empirical Study in Asian Countries</t>
  </si>
  <si>
    <t>Phan, Anh; Le, Tra Thi Huong</t>
  </si>
  <si>
    <t>Phan, A; Le, TTH</t>
  </si>
  <si>
    <t>WOS:001620102800001</t>
  </si>
  <si>
    <t>C0172</t>
  </si>
  <si>
    <t>10.1108/IJSE-08-2024-0667</t>
  </si>
  <si>
    <t>2025 NOV 24</t>
  </si>
  <si>
    <t>Nagy, Noha/LOS-9398-2024; abouelfarag, hanan/AAV-3389-2020</t>
  </si>
  <si>
    <t>hanan.abdelkhalik@com.dmu.edu.eg; noha.nagy@alexu.edu.eg</t>
  </si>
  <si>
    <t>Elboghdadly, NN (corresponding author), Alexandria Univ, Fac Econ Studies &amp; Polit Sci, Dept Econ, Alexandria, Egypt.</t>
  </si>
  <si>
    <t>Egyptian Knowledge Bank (EKB); Damanhour University; Egyptian Knowledge Bank (EKB); Alexandria University</t>
  </si>
  <si>
    <t>[Abouelfarag, Hanan Abdelkhalik] Damanhour Univ, Fac Commerce, Dept Econ, Damanhour, Egypt; [Elboghdadly, Noha Nagi] Alexandria Univ, Fac Econ Studies &amp; Polit Sci, Dept Econ, Alexandria, Egypt</t>
  </si>
  <si>
    <t>PurposeFinancial inclusion is one of the key enablers of economic growth, poverty alleviation and consequently achieving inclusive growth. This paper examines the causality between financial inclusion and inclusive growth in Egypt during the period (2004-2022).Design/methodology/approachTo achieve our aim, we first construct the financial inclusion index and a multidimensional inclusive growth index for Egypt using principal components analysis. Second, we use the Toda-Yamamoto test to examine the causality between the two indices.FindingsThe results reveal that the inclusive growth index experienced an upward trend over the study period, while the financial inclusion index has increased since 2018. The results of the Toda-Yamamoto test indicate bidirectional causality between financial inclusion and three of the sub-indices of inclusive growth, as well as the overall inclusive growth index.Research limitations/implicationsThe empirical evidence highlights that financial inclusion efforts will not achieve their targeted outcome unless a simultaneous inclusive growth strategy is conducted. Moreover, improving governance indicators is crucial to promoting inclusive growth.Originality/valueAlthough the relationship between financial inclusion and economic growth has been widely investigated, its relationship with inclusive growth remains unexplored. The novelty of this study resides in constructing two composite indices of financial inclusion and inclusive growth in Egypt and testing the relationship between them.Peer reviewThe peer-review history for this article is available at: https://publons.com/publon/10.1108/IJSE-08-2024-0667</t>
  </si>
  <si>
    <t>Financial inclusion; Inclusive growth; PCA; Causality; C22; C38; G2; O11; O15</t>
  </si>
  <si>
    <t>The causality between financial inclusion and inclusive growth: evidence from a newly constructed index in Egypt</t>
  </si>
  <si>
    <t>Abouelfarag, Hanan Abdelkhalik; Elboghdadly, Noha Nagi</t>
  </si>
  <si>
    <t>Abouelfarag, HA; Elboghdadly, NN</t>
  </si>
  <si>
    <t>WOS:001589249900001</t>
  </si>
  <si>
    <t>8IE0V</t>
  </si>
  <si>
    <t>10.1016/j.eneco.2025.108927</t>
  </si>
  <si>
    <t>Energy Econ.</t>
  </si>
  <si>
    <t>ENERG ECON</t>
  </si>
  <si>
    <t>1873-6181</t>
  </si>
  <si>
    <t>0140-9883</t>
  </si>
  <si>
    <t>Smyth, Russell/AAE-1492-2019; Koomson, Isaac/S-8710-2019; Churchill, Sefa/AFR-0355-2022</t>
  </si>
  <si>
    <t>i.koomson@uq.edu.au; sefa.churchill@rmit.edu.au; russell.smyth@monash.edu</t>
  </si>
  <si>
    <t>Koomson, I (corresponding author), Univ Queensland, Ctr Business &amp; Econ Hlth, St Lucia, Qld 4072, Australia.;Koomson, I (corresponding author), Network Socioecon Res &amp; Adv NESRA, Accra, Ghana.</t>
  </si>
  <si>
    <t>University of Queensland; Royal Melbourne Institute of Technology (RMIT); Monash University</t>
  </si>
  <si>
    <t>[Koomson, Isaac] Univ Queensland, Ctr Business &amp; Econ Hlth, St Lucia, Qld 4072, Australia; [Churchill, Sefa Awaworyi] RMIT Univ, Sch Econ Finance &amp; Mkt, Melbourne, Vic 3000, Australia; [Smyth, Russell] Monash Univ, Dept Econ, Caulfield, Vic 3145, Australia; [Koomson, Isaac] Network Socioecon Res &amp; Adv NESRA, Accra, Ghana</t>
  </si>
  <si>
    <t>We examine the causal effect of financial literacy on clean energy adoption in South Africa. Our main estimates, in which we instrument for financial literacy with mathematics education received, suggest that a unit increase in financial literacy causes a 14.1 percentage point increase in the likelihood of adopting clean energy for cooking, heating or lighting. The magnitude of the size effect when clean lighting use is considered separately is similar to the composite measure, while the effect sizes for clean cooking and heating are much larger. The heterogeneity results suggest that the effect of financial literacy on clean energy adoption is larger in households with a male household head and in households located in rural areas. These findings are robust to alternative estimation methods, alternative identification methods that do not rely on an external instrument and ways of measuring financial literacy. We find that entrepreneurship, financial inclusion and generalized trust are channels through which financial literacy influences clean energy adoption. We conclude by suggesting policies for promoting financial literacy and each of the channels through which financial literacy affects clean energy use to enable households to make sustainable energy choices.</t>
  </si>
  <si>
    <t>RENEWABLE ENERGY; INCLUSION; INVESTMENT; EFFICIENCY; EDUCATION; BARRIERS; POVERTY; HEALTH; TRUST</t>
  </si>
  <si>
    <t>Clean energy; Financial literacy; Financial inclusion; Trust; Entrepreneurship</t>
  </si>
  <si>
    <t>ENERGY ECONOMICS</t>
  </si>
  <si>
    <t>Financial literacy and clean energy adoption in South Africa</t>
  </si>
  <si>
    <t>Koomson, Isaac; Churchill, Sefa Awaworyi; Smyth, Russell</t>
  </si>
  <si>
    <t>Koomson, I; Churchill, SA; Smyth, R</t>
  </si>
  <si>
    <t>WOS:000404255500010</t>
  </si>
  <si>
    <t>EY8OV</t>
  </si>
  <si>
    <t>10.1080/02255189.2017.1322298</t>
  </si>
  <si>
    <t>Can. J. Dev. Stud.</t>
  </si>
  <si>
    <t>CAN J DEV STUD</t>
  </si>
  <si>
    <t>2158-9100</t>
  </si>
  <si>
    <t>0225-5189</t>
  </si>
  <si>
    <t>CANADIAN JOURNAL OF DEVELOPMENT STUDIES-REVUE CANADIENNE D ETUDES DU DEVELOPPEMENT</t>
  </si>
  <si>
    <t>Competing Visions of Financial Inclusion in Kenya: The Rift Revealed by Mobile Money Transfer (vol 37, pg 83, 2016)</t>
  </si>
  <si>
    <t>Johnson, S.</t>
  </si>
  <si>
    <t>Johnson, S</t>
  </si>
  <si>
    <t>WOS:001242779600001</t>
  </si>
  <si>
    <t>I4U3R</t>
  </si>
  <si>
    <t>10.1007/s11365-024-00992-4</t>
  </si>
  <si>
    <t>Int. Entrep. Manag. J.</t>
  </si>
  <si>
    <t>INT ENTREP MANAG J</t>
  </si>
  <si>
    <t>1555-1938</t>
  </si>
  <si>
    <t>1554-7191</t>
  </si>
  <si>
    <t>Montero-Navarro, Antonio/0000-0001-8096-5352; Rodríguez-Sánchez, José-Luis/0000-0001-7913-8747; Gallego-Losada, Rocio/0000-0003-2470-6860; Gallego Losada, María Jesús/0000-0001-8308-6521</t>
  </si>
  <si>
    <t>Montero-Navarro, Antonio/AAP-7895-2020; Rodríguez-Sánchez, José-Luis/N-6040-2018; Gallego-Losada, Rocio/Q-2094-2017</t>
  </si>
  <si>
    <t>mariajesus.losada@urjc.es; antonio.montero@urjc.es; rocio.gallego@urjc.es; joseluis.rodriguez.sanchez@urjc.es</t>
  </si>
  <si>
    <t>Montero-Navarro, A (corresponding author), Univ Rey Juan Carlos, Fac Ciencias Econ &amp; Empresa, Dept Business Econ Adm Dir &amp; Org Appl Econ &amp; Funda, Paseo de los Artilleros S-N, Madrid 28032, Spain.</t>
  </si>
  <si>
    <t>[Gallego-Losada, Maria-Jesus; Gallego-Losada, Rocio] Univ Rey Juan Carlos, Fac Ciencias Econ &amp; Empresa, Dept Financial Econ &amp; Accountancy, Paseo de los Artilleros S-N, Madrid 28032, Spain; [Montero-Navarro, Antonio; Rodriguez-Sanchez, Jose-Luis] Univ Rey Juan Carlos, Fac Ciencias Econ &amp; Empresa, Dept Business Econ Adm Dir &amp; Org Appl Econ &amp; Funda, Paseo de los Artilleros S-N, Madrid 28032, Spain</t>
  </si>
  <si>
    <t>Financial inclusion, which means the promotion of an affordable, timely and adequate access to a wide range of regulated financial products and services, as well as its use by all the segments of the society, is a high potential tool that may contribute to the development of the rural environment, while its absence could in turn cause a major harm. The availability of a sufficient level of financial literacy, which can be defined as the ability to understand financial concepts and risks, as well as the motivation and trust to use it when making financial decisions, is frequently deemed to be a need to reach financial inclusion by the academic literature. Financial literacy is, in turn, influenced by different variables, such as the degree of rural or urban predominance, the level of education and the available income in the household. This paper analyses the impact of such factors on financial literacy. The degree of financial literacy tends to be lower in rural environments, with limited incomes and poorer educational backgrounds, which creates a vicious circle that potentially worsens the situation of what has been called the empty Spain. Considering the importance of financial literacy to reach financial inclusion, we remark the potential of digital transformation as a valuable tool to break this negative trend in the less populated Spanish regions, and so, a cornerstone for the regenerative development of the Spanish rural areas.</t>
  </si>
  <si>
    <t>LITERACY; INCLUSION; SERVICES; ACCESS; INEQUALITY; KNOWLEDGE; POVERTY; MATTER; POLICY; INCOME</t>
  </si>
  <si>
    <t>Financial literacy; Rural areas; Financial inclusion; Digital transformation</t>
  </si>
  <si>
    <t>INTERNATIONAL ENTREPRENEURSHIP AND MANAGEMENT JOURNAL</t>
  </si>
  <si>
    <t>Measuring financial divide in the rural environment. The potential role of the digital transformation of finance</t>
  </si>
  <si>
    <t>Gallego-Losada, Maria-Jesus; Montero-Navarro, Antonio; Gallego-Losada, Rocio; Rodriguez-Sanchez, Jose-Luis</t>
  </si>
  <si>
    <t>Gallego-Losada, MJ; Montero-Navarro, A; Gallego-Losada, R; Rodríguez-Sánchez, JL</t>
  </si>
  <si>
    <t>WOS:000386192300015</t>
  </si>
  <si>
    <t>BG0DU</t>
  </si>
  <si>
    <t>Economics; Social Sciences, Interdisciplinary</t>
  </si>
  <si>
    <t>INT CONF INFORM ECON</t>
  </si>
  <si>
    <t>2284-7472</t>
  </si>
  <si>
    <t>6, PIATA ROMA, 1ST DISTRICT, POSTAL OFFICE 22, BUCHAREST, 010374, ROMANIA</t>
  </si>
  <si>
    <t>BUCHAREST UNIV ECONOMIC STUDIES-ASE</t>
  </si>
  <si>
    <t>kinuthia@big.tuwien.ac.at</t>
  </si>
  <si>
    <t>Kinuthia, C (corresponding author), Vienna Univ Technol, Vienna, Austria.</t>
  </si>
  <si>
    <t>Technische Universitat Wien</t>
  </si>
  <si>
    <t>[Kinuthia, Caroline] Vienna Univ Technol, Vienna, Austria</t>
  </si>
  <si>
    <t>The quest for financial inclusion for the marginalized in emerging markets has fundamentally transformed mobile financial services. Mobile money promises a more scalable and cheaper alternative to the large unbanked populace than conventional banking. In the recent years, Sub-Saharan Africa has rolled out a number of practical technology-driven innovative products leading to the discovery of new lines of business. One such product is M-PESA; a mobile-based financial innovation that has achieved unprecedented growth since its inception in March 200. It is owned by the mobile network operator, Safaricom. In spite of its tantalizing potential, one major challenge is how to optimally capture the market. This paper analyzes the M-PESA ecosystem, by building theoretical linkages between two main theories; i) Innovation Diffusion Theory and ii) Unified Theory of Acceptance and Use of Technology. The questions the author is addressing are: Which factors are responsible for M-PESA's rapid adoption? How does Safaricom maintain its grip on customers despite stiff competition in the mobile market?</t>
  </si>
  <si>
    <t>MONEY</t>
  </si>
  <si>
    <t>e-float; financial inclusion; knowledge economy; startups; value proposition</t>
  </si>
  <si>
    <t>Bucharest Univ Econ Studies,Dept Econ Informat &amp; Cybernet,INFOREC Ass</t>
  </si>
  <si>
    <t>Cluj Napoca, ROMANIA</t>
  </si>
  <si>
    <t>JUN 02-05, 2016</t>
  </si>
  <si>
    <t>15th International Conference on Informatics in Economy (IE 2016), Education, Research &amp; Business Technologies</t>
  </si>
  <si>
    <t>International Conference on Informatics in Economy</t>
  </si>
  <si>
    <t>INTERNATIONAL CONFERENCE ON INFORMATICS IN ECONOMY, IE 2016: EDUCATION, RESEARCH &amp; BUSINESS TECHNOLOGIES</t>
  </si>
  <si>
    <t>READY TO DISRUPT? THE CASE OF M-PESA IN THE INTERNATIONAL MOBILE ECOSYSTEM</t>
  </si>
  <si>
    <t>Kinuthia, Caroline</t>
  </si>
  <si>
    <t>Boja, C; Doinea, M; Ciurea, C; Pocatilu, P; Batagan, L; Velicanu, A; Popescu, ME; Manafi, I; Zamfiroiu, A; Zurini, M</t>
  </si>
  <si>
    <t>Kinuthia, C</t>
  </si>
  <si>
    <t>WOS:000273270200005</t>
  </si>
  <si>
    <t>539PX</t>
  </si>
  <si>
    <t>S. Afr. J. Econ. Manag. Sci.</t>
  </si>
  <si>
    <t>S AFR J ECON MANAG S</t>
  </si>
  <si>
    <t>1015-8812</t>
  </si>
  <si>
    <t>RM EMS 4-51, PRETORIA, 0002, SOUTH AFRICA</t>
  </si>
  <si>
    <t>UNIV PRETORIA, DEPT ECONOMICS</t>
  </si>
  <si>
    <t>Coetzee, Johan/0000-0001-8457-8261</t>
  </si>
  <si>
    <t>Coetzee, Johan/O-7574-2019</t>
  </si>
  <si>
    <t>Coetzee, J (corresponding author), Univ Free State, Dept Econ, Bloemfontein, South Africa.</t>
  </si>
  <si>
    <t>University of the Free State</t>
  </si>
  <si>
    <t>Univ Free State, Dept Econ, Bloemfontein, South Africa</t>
  </si>
  <si>
    <t>The Financial Sector Charter (FSC) requires South African retail banks to provide retail products and services to the rural-based unbanked. The challenge is deciding whether or not banking the unbanked must be pursued through personal or remote channels. This study considers the challenge facing the four largest South African retail banks. It investigated trends in servicing this market since the effective date of the Charter. It found that banks are currently using an integrated approach combining personal and remote interaction and emphasising the promotion of financial literacy. It remains to be seen whether this approach truly adds value for the unbanked. It is recommended that further research be done to establish exactly what the behavioural characteristics of the unbanked are over a period of continuous use of bank products and services.</t>
  </si>
  <si>
    <t>SOUTH AFRICAN JOURNAL OF ECONOMIC AND MANAGEMENT SCIENCES</t>
  </si>
  <si>
    <t>PERSONAL OR REMOTE INTERACTION? BANKING THE UNBANKED IN SOUTH AFRICA</t>
  </si>
  <si>
    <t>Coetzee, Johan</t>
  </si>
  <si>
    <t>Coetzee, J</t>
  </si>
  <si>
    <t>WOS:001298354800001</t>
  </si>
  <si>
    <t>D8A4Z</t>
  </si>
  <si>
    <t>10.1016/j.heliyon.2024.e31387</t>
  </si>
  <si>
    <t>e31387</t>
  </si>
  <si>
    <t>The authors acknowledge funding from the National Social Science Foundation of China (grant number: 19GL173), and the National Natural Science Foundation of China (grant number: 71862001) .</t>
  </si>
  <si>
    <t>National Social Science Foundation of China(National Office of Philosophy and Social Sciences); National Natural Science Foundation of China(National Natural Science Foundation of China (NSFC))</t>
  </si>
  <si>
    <t>National Social Science Foundation of China [19GL173]; National Natural Science Foundation of China [71862001]</t>
  </si>
  <si>
    <t>YANG, QI/PBW-0834-2025; Bai, Yuqi/LSJ-6891-2024</t>
  </si>
  <si>
    <t>whblossom@163.com</t>
  </si>
  <si>
    <t>Wei, H (corresponding author), Gansu Univ Polit Sci &amp; Law, Sch Foreign Studies, Lanzhou 730070, Peoples R China.</t>
  </si>
  <si>
    <t>Gansu University of Political Science &amp; Law; Beijing University of Agriculture; Gansu University of Political Science &amp; Law</t>
  </si>
  <si>
    <t>[Yang, Qi; Bai, Yuqi] Gansu Univ Polit Sci &amp; Law, Coll Business, Lanzhou 730070, Peoples R China; [Yang, Xi] Beijing Univ Agr, Coll Int Educ, Beijing 102206, Peoples R China; [Wei, Hua] Gansu Univ Polit Sci &amp; Law, Sch Foreign Studies, Lanzhou 730070, Peoples R China</t>
  </si>
  <si>
    <t>Social entrepreneurship (SE) plays a positive role in addressing a range of social issues, and thus it is essential to study how to promote SE. Using panel data from 282 Chinese cities from 2011 to 2021, this study explores the mechanism through which digital inclusive finance affects SE. The results indicate that digital inclusive finance has a positive impact on SE, which still holds after considering endogeneity and undergoing a series of robustness tests. In addition, mechanism analysis shows that digital inclusive finance affects SE by alleviating financing constraints and promoting common prosperity. Furthermore, the effect of digital inclusive finance is stronger in cities with a strong Buddhist culture and more judicially civilized. Policy recommendations are also proposed.</t>
  </si>
  <si>
    <t>MICROFINANCE; INEQUALITY; ELEVATION; IDENTITY; OTHERS</t>
  </si>
  <si>
    <t>Digital inclusive finance; Social entrepreneurship; Financing constraint; Common prosperity</t>
  </si>
  <si>
    <t>How digital inclusive finance promotes social entrepreneurship: Evidence from 282 cities in China</t>
  </si>
  <si>
    <t>Yang, Qi; Bai, Yuqi; Yang, Xi; Wei, Hua</t>
  </si>
  <si>
    <t>Yang, Q; Bai, YQ; Yang, X; Wei, H</t>
  </si>
  <si>
    <t>WOS:001480203100001</t>
  </si>
  <si>
    <t>2DS1R</t>
  </si>
  <si>
    <t>10.1016/j.intfin.2025.102163</t>
  </si>
  <si>
    <t>J. Int. Financ. Mark. Inst. Money</t>
  </si>
  <si>
    <t>J INT FINANC MARK I</t>
  </si>
  <si>
    <t>1873-0612</t>
  </si>
  <si>
    <t>1042-4431</t>
  </si>
  <si>
    <t>helyoth.hessou@usherbrooke.ca; hubert.tchakoute@kedgebs.com</t>
  </si>
  <si>
    <t>Hessou, HTS (corresponding author), Univ Sherbrooke, Sch Management, Dept Finance, 2500 Blvd Univ, Sherbrooke, PQ J1K 2R1, Canada.</t>
  </si>
  <si>
    <t>University of Sherbrooke; Kedge Business School</t>
  </si>
  <si>
    <t>[Hessou, Helyoth T. S.] Univ Sherbrooke, Sch Management, Dept Finance, 2500 Blvd Univ, Sherbrooke, PQ J1K 2R1, Canada; [Tchuigoua, Hubert Tchakoute] France Kedge Business Sch, Kedge Business Sch, Dept Accounting Finance &amp; Econ, 680 Cours Liberat, F-33405 Talence, France</t>
  </si>
  <si>
    <t>Microfinance institutions (MFIs) are critical to financial inclusion in developing countries, but face challenges in maintaining profitability while serving low-income populations, particularly during economic downturns. This study examines whether MFIs adjust interest rates in response to the business cycle, hypothesizing an increase during downturns. Analyzing data from 1,711 MFIs over 16 years (2003-2018), we find a negative relationship between interest rates and the business cycle. However, certain MFI characteristics mitigate this countercyclical behavior. Specifically, MFIs in the top tertile of the group lending method, deposit-taking MFIs, and subsidy-based MFIs show less cyclical interest rate behavior, contributing to greater stability. Further analysis sheds light on the mechanisms underlying this countercyclical behavior, leading to two main conclusions. First, shareholder-based MFIs tend to raise interest rates during economic downturns, suggesting that profit maximization drives the countercyclical effect. Second, increases in provisioning and funding costs are passed on to borrowers through higher interest rates during downturns. Using propensity score matching and Lewbel's (2012) instrumental variable approach to address endogeneity concerns, our findings remain robust and consistent across different econometric specifications and measures of the business cycle.</t>
  </si>
  <si>
    <t>CAPITAL STRUCTURE; ARMS-LENGTH; CREDIT; INFORMATION; PERFORMANCE; ORGANIZATIONS; EFFICIENCY; SUBSIDIES; OUTREACH; PROFIT</t>
  </si>
  <si>
    <t>Business cycle; Microfinance institutions (MFIs); Microloan rates; MIX database; Group lending; Subsidy; Shareholder-based; Deposits; Propensity score matching; Hierarchical modelling</t>
  </si>
  <si>
    <t>JOURNAL OF INTERNATIONAL FINANCIAL MARKETS INSTITUTIONS &amp; MONEY</t>
  </si>
  <si>
    <t>The countercyclicality of microlending rates: Does the business model of microfinance institutions matter?☆</t>
  </si>
  <si>
    <t>Hessou, Helyoth T. S.; Tchuigoua, Hubert Tchakoute</t>
  </si>
  <si>
    <t>Hessou, HTS; Tchuigoua, HT</t>
  </si>
  <si>
    <t>WOS:000396441400001</t>
  </si>
  <si>
    <t>EO1EO</t>
  </si>
  <si>
    <t>10.1002/jsc.2105</t>
  </si>
  <si>
    <t>This article was first presented at the Journee de recherche CEREN-CERMi on March 18, 2010 and at the Mobile Payment Expo in Paris on June 9-10, 2010. I would like to thank Claude Gnos, Jean-Michel Servet, Marek Hudon, and Christine Sinapi for reviewing previous versions. I would especially like to thank Martina Rani Kopala of Vignana Jyothi Institute of Management, Hyderabad, India for her encouragement and support in the initial stages of this research, and understand her decision to withdraw from it owing to her many other commitments. Finally, thanks go to Banque Populaire and Conseil Regional de Bourgogne Franche-Comte for co-financing this research.</t>
  </si>
  <si>
    <t>Ashta, Arvind/0000-0002-6160-5375</t>
  </si>
  <si>
    <t>arvind.ashta@bsb-education.com</t>
  </si>
  <si>
    <t>Ashta, A (corresponding author), Burgundy Sch Business, 29 Rue Sambin, F-21000 Dijon, France.</t>
  </si>
  <si>
    <t>[Ashta, Arvind] Univ Bourgogne Franche Comte, Burgundy Sch Business, CEREN, Bourgogne, France</t>
  </si>
  <si>
    <t>Regulations in underdeveloped countries spread by imitation to nurture an enabling environment to permit innovation to succeed. Mobile banking enables the reduction of transaction costs and increases the outreach while helping poor unbanked people in their access to microfinancial services. Strategic alliances and acquisitions between telecom operators and banks are being used to conform to regulations.</t>
  </si>
  <si>
    <t>LOSS AVERSION; INTERNET BANKING; CREDIT RISK; INSTITUTIONS; DECISION; MARKET; IMPACT</t>
  </si>
  <si>
    <t>Evolution of Mobile Banking Regulations: A Case Study on Legislator's Behavior</t>
  </si>
  <si>
    <t>Ashta, Arvind</t>
  </si>
  <si>
    <t>Ashta, A</t>
  </si>
  <si>
    <t>WOS:001140775300001</t>
  </si>
  <si>
    <t>ER9T7</t>
  </si>
  <si>
    <t>10.1186/s40854-023-00557-4</t>
  </si>
  <si>
    <t>JAN 12</t>
  </si>
  <si>
    <t>This paper was made possible by Cluster Grant # 11C-1229-170007 from the Qatar National Research Fund (a member of Qatar Foundation). The opinions expressed and statements made in this paper are those of the authors and are not intended to represent the positions or opinions of the Qatar Foundation or its members. The authors would like to extend their sincere thanks to the managing editor Prof. Gang Kou and the four anonymous reviewers, whose invaluable feedback greatly improved the earlier version of this paper. However, any remaining errors are solely the responsibility of the authors.</t>
  </si>
  <si>
    <t>Qatar National Research Fund(Qatar National Research Fund (QNRF)); Qatar National Research Fund (a member of Qatar Foundation)(Qatar National Research Fund (QNRF)Qatar Foundation (QF))</t>
  </si>
  <si>
    <t>Qatar National Research Fund [11C-1229-170007]; Qatar National Research Fund (a member of Qatar Foundation)</t>
  </si>
  <si>
    <t>Charfeddine, Lanouar/F-2781-2014; Umlai, Mohamed/AAZ-7621-2020</t>
  </si>
  <si>
    <t>lcharfeddine@qu.edu.qa</t>
  </si>
  <si>
    <t>Charfeddine, L (corresponding author), Qatar Univ, Coll Business &amp; Econ, Ctr Entrepreneurship &amp; Org Excellence, POB 2713, Doha, Qatar.</t>
  </si>
  <si>
    <t>Qatar University; Qatar University; Qatar University</t>
  </si>
  <si>
    <t>[Charfeddine, Lanouar] Qatar Univ, Coll Business &amp; Econ, Ctr Entrepreneurship &amp; Org Excellence, POB 2713, Doha, Qatar; [Umlai, Mohamed Ismail] Qatar Univ, Coll Business &amp; Econ, Dept Finance &amp; Econ, Doha, Qatar; [El-Masri, Mazen] Qatar Univ, Coll Business &amp; Econ, Dept Accounting &amp; Informat Syst, Doha, Qatar</t>
  </si>
  <si>
    <t>This study investigates the role of financial literacy (FL), perceived access to finance (PAF), information communication technology (ICT) usage, and digitization in alleviating the level of credit constraint that micro, small, and medium enterprises (MSMEs) face in an emerging market. We draw on the economic research theories of human capital, knowledge-based view, and lifecycle hypothesis to explain the relationship between the variables. Using survey data collected from 333 MSME importers in Qatar-a country with heavy reliance on foreign goods-we find strong evidence that FL, PAF, ICT usage, and digitization are key determinants of Qatari MSME access to credit. In particular, PAF and FL are significant and have their expected signs in almost all the Probit regressions. For ICT usage and digitization, although they are key determinants of credit constraints, the findings are more sensitive and dependent on the type of financing and the resulting type of credit constraint.</t>
  </si>
  <si>
    <t>GROWTH; SMES; PERCEPTIONS; ENTERPRISES; KNOWLEDGE; EDUCATION; FIRMS</t>
  </si>
  <si>
    <t>Credit constraints; Financial literacy; Perceived access to finance; ICT usage; Digitization; Qatari MSMEs; D21; D22; D25; D83; E51</t>
  </si>
  <si>
    <t>Impact of financial literacy, perceived access to finance, ICT use, and digitization on credit constraints: evidence from Qatari MSME importers</t>
  </si>
  <si>
    <t>Charfeddine, Lanouar; Umlai, Mohamed Ismail; El-Masri, Mazen</t>
  </si>
  <si>
    <t>Charfeddine, L; Umlai, MI; El-Masri, M</t>
  </si>
  <si>
    <t>WOS:001438065300001</t>
  </si>
  <si>
    <t>Z3P3G</t>
  </si>
  <si>
    <t>10.1016/j.frl.2025.107065</t>
  </si>
  <si>
    <t>We are grateful to the Social Science Planning Fund Program of Shandong Province (No. 23CLCJ30) for funding this research.</t>
  </si>
  <si>
    <t>Social Science Planning Fund Program of Shandong Province</t>
  </si>
  <si>
    <t>Social Science Planning Fund Program of Shandong Province [23CLCJ30]</t>
  </si>
  <si>
    <t>zhangyong@njit.edu.cn; jiadaizheng@ouc.edu.cn</t>
  </si>
  <si>
    <t>Jia, DZ (corresponding author), Ocean Univ China, Sch Marxism, Qingdao, Peoples R China.</t>
  </si>
  <si>
    <t>Nanjing Institute of Technology; Ocean University of China</t>
  </si>
  <si>
    <t>[Zhang, Yong] Nanjing Inst Technol, Sch Management Engn, Nanjing, Peoples R China; [Jia, Daizheng] Ocean Univ China, Sch Marxism, Qingdao, Peoples R China</t>
  </si>
  <si>
    <t>This paper explores the nonlinear effects of inclusive finance and educational investment on new quality productivity across different regional education levels. With China's provincial panel data from 2011 to 2023, a functional-coefficient regression model is applied. Results show significant nonlinearities. In regions with lower education, inclusive finance has limited benefits, but its positive impact on new productivity grows with higher education levels. Educational investment also shifts from insignificant to positive as education levels rise. The study underlines the need to optimize educational resources, strengthen financial supervision, and boost the synergy between inclusive finance and education policies for sustainable economic growth.</t>
  </si>
  <si>
    <t>MICROFINANCE INSTITUTIONS</t>
  </si>
  <si>
    <t>New productivity; Education investment; Inclusive finance; Nonlinear effect</t>
  </si>
  <si>
    <t>The impact of inclusive finance and education investment on new quality productivity: The nonlinear mediating effect of education development</t>
  </si>
  <si>
    <t>Zhang, Yong; Jia, Daizheng</t>
  </si>
  <si>
    <t>Zhang, Y; Jia, DZ</t>
  </si>
  <si>
    <t>WOS:001348453000001</t>
  </si>
  <si>
    <t>L1N2V</t>
  </si>
  <si>
    <t>10.1007/s40497-024-00412-5</t>
  </si>
  <si>
    <t>J. Glob. Entrep. Res.</t>
  </si>
  <si>
    <t>J GLOB ENTREP RES</t>
  </si>
  <si>
    <t>2251-7316</t>
  </si>
  <si>
    <t>2228-7566</t>
  </si>
  <si>
    <t>CAMPUS, 4 CRINAN ST, LONDON, GWENT N1 9XW, ENGLAND</t>
  </si>
  <si>
    <t>MOHAMED, FITOURI/0000-0002-6430-1051</t>
  </si>
  <si>
    <t>MOHAMED, FITOURI/KAM-4167-2024</t>
  </si>
  <si>
    <t>fitourim@yahoo.fr; samiakarouizouaoui@yahoo.fr</t>
  </si>
  <si>
    <t>Fitouri, M (corresponding author), Univ Monastir, Fac Econ &amp; Management Mahdia, Lab Innovat Strategy Entrepreneurship Finance &amp; Ec, Mahdia 5111, Tunisia.</t>
  </si>
  <si>
    <t>Universite de Monastir; Universite de Tunis-El-Manar</t>
  </si>
  <si>
    <t>[Fitouri, Mohamed] Univ Monastir, Fac Econ &amp; Management Mahdia, Lab Innovat Strategy Entrepreneurship Finance &amp; Ec, Mahdia 5111, Tunisia; [Zouaoui, Samia Karoui] Univ Tunis El Manar, Fac Econ &amp; Management Tunis, Lab Innovat Strategy Entrepreneurship Finance &amp; Ec, BP 248, Tunis 2092, Tunisia</t>
  </si>
  <si>
    <t>This study examines the impact of microfinance services on the development of female entrepreneurship in Tunisia. A quantitative research methodology was used, combining descriptive and explanatory methods. A sample of 140 clients of the microfinance institution Enda Inter-arabe was randomly selected from a target population of 250 clients. The choice of Enda Inter-arabe is explained by its position as a leader in the microfinance sector in Tunisia and its mission to promote financial inclusion and economic development for disadvantaged populations, particularly women. A questionnaire was used to collect the data, which was analyzed using SPSS software. The findings from the mean descriptive analysis suggest that the financial and non-financial services provided by the microfinance institution had no significant effect on the quality of life or business growth for disadvantaged and low-income women. However, the correlation analysis indicates a strong positive relationship between the advancement of women entrepreneurs and factors such as savings practices, access to finance, skills development, and business support. The regression results indicate that the most significant factors influencing the development of female entrepreneurship are savings and the financial services of the microfinance institution.</t>
  </si>
  <si>
    <t>GENDER; FRAMEWORK</t>
  </si>
  <si>
    <t>Women's entrepreneurship; Microfinance; Saving practices; Access to finances; Skill development; Business support</t>
  </si>
  <si>
    <t>JOURNAL OF GLOBAL ENTREPRENEURSHIP RESEARCH</t>
  </si>
  <si>
    <t>The impact of micro finance institutions on the development of female entrepreneurship evidence from Tunisia</t>
  </si>
  <si>
    <t>Fitouri, Mohamed; Zouaoui, Samia Karoui</t>
  </si>
  <si>
    <t>Fitouri, M; Zouaoui, SK</t>
  </si>
  <si>
    <t>WOS:001339960800010</t>
  </si>
  <si>
    <t>J9C1O</t>
  </si>
  <si>
    <t>10.7160/aol.2024.160310</t>
  </si>
  <si>
    <t>Agris on-line Pap. Econ. Inform.</t>
  </si>
  <si>
    <t>AGRIS ON-LINE PAP EC</t>
  </si>
  <si>
    <t>1804-1930</t>
  </si>
  <si>
    <t>Kamycka 129, Praha, Suchdol, CZECH REPUBLIC</t>
  </si>
  <si>
    <t>Praha</t>
  </si>
  <si>
    <t>Czech Univ Life Sciences Prague, Fac Economics and Management</t>
  </si>
  <si>
    <t>Ukoha, Igwe/0000-0002-3170-1331</t>
  </si>
  <si>
    <t>Osuji, Maryann/JZE-5616-2024; Ukoha, Igwe/KBB-3460-2024</t>
  </si>
  <si>
    <t>igwe.ukoha@futo.edu.ng</t>
  </si>
  <si>
    <t>Ukoha, II (corresponding author), Fed Univ Technol Owerri, Dept Agribusiness, PMB 1526, Owerri, Imo State, Nigeria.</t>
  </si>
  <si>
    <t>[Ukoha, Igwe Ikenna; Osuji, Maryann; Uhuegbulem, Ifyenwa Josephine; Ibekwe, Chigozie; Ibeagwa, Okwudili] Fed Univ Technol Owerri, Dept Agribusiness, PMB 1526, Owerri, Imo State, Nigeria</t>
  </si>
  <si>
    <t>Using data from 360 smallholder farmers in Southeast Nigeria, the study creates the architecture for a new farmer's hybrid credit rating system used in classifying farmers who applied for microfinance loans based on their creditworthiness. We discovered new evidence that the hybridized credit scoring algorithm demonstrated unprecedented concordance in assessing the financial viability of farmers along gender lines. The discriminant analysis, in particular, closely aligned with the credit score model, with 34.4% and 46.7% of male and female farmers grouped as creditworthy, reflecting the model's estimates of 33.3% and 45.5%, indicating gaps of 12.3% and 12.2%, respectively, to the advantage of the female farmers. Our findings further suggest that annual income, marital status, and farm size strongly influence the separation between creditworthy and non-creditworthy farmers. While age, loan term, and a history of defaults had a negative impact on discrimination, in light of the findings, we recommend a collaboration between authorities, financial institutions, and extension workers in offering tailored trainings to both male and female farmers, assisting them in meeting up-to-date credit prerequisites, adopting modified farming techniques, and improving their general preparedness to be accepted for loans in this changing credit evaluation landscape so as to bridge the disparity and promote financial inclusion for farmers irrespective of gender affiliations.</t>
  </si>
  <si>
    <t>Agricultural finance; credits scoring; discriminant analysis; smallholder farmers; microfinance lending</t>
  </si>
  <si>
    <t>AGRIS ON-LINE PAPERS IN ECONOMICS AND INFORMATICS</t>
  </si>
  <si>
    <t>Juxtaposing Gender Differentials in Credit Assessment of Farmers in Nigeria: A Hybridized Credit-Scoring Approach</t>
  </si>
  <si>
    <t>Ukoha, Igwe Ikenna; Osuji, Maryann; Uhuegbulem, Ifyenwa Josephine; Ibekwe, Chigozie; Ibeagwa, Okwudili</t>
  </si>
  <si>
    <t>Ukoha, II; Osuji, M; Uhuegbulem, IJ; Ibekwe, C; Ibeagwa, O</t>
  </si>
  <si>
    <t>WOS:001233543700001</t>
  </si>
  <si>
    <t>SH4F2</t>
  </si>
  <si>
    <t>10.1016/j.ememar.2024.101140</t>
  </si>
  <si>
    <t>Figueiredo, Paulo/F-3838-2010</t>
  </si>
  <si>
    <t>paulo.figueiredo@fgv.br</t>
  </si>
  <si>
    <t>Figueiredo, PN (corresponding author), Getulio Vargas Fdn FGV, Brazilian Sch Publ &amp; Business Adm EBAPE, Rua Jornalista Orlando Dantas 30, BR-22231010 Rio De Janeiro, RJ, Brazil.</t>
  </si>
  <si>
    <t>[Sant 'Anna, Dario A. L. M.; Figueiredo, Paulo N.] Getulio Vargas Fdn FGV, Brazilian Sch Publ &amp; Business Adm EBAPE, Rua Jornalista Orlando Dantas 30, BR-22231010 Rio De Janeiro, RJ, Brazil</t>
  </si>
  <si>
    <t>Notwithstanding the financial innovations of the digital era, globally, 1.4 billion people are still excluded from the formal financial system, thus precluding them from achieving financial health and wellness. Financial innovations, such as financial technology or fintech, have gained increasing global attention as powerful tools for financial inclusion and socioeconomic development. In this study, we explore the potential of technologically-enabled financial innovation to bring unbanked segments of society into the formal financial system and the repercussions of such innovation on financial stability during the pandemic. However, the excitement around fintech has also masked its risks to the financial system and low-income people. We analyze the interrelationships among fintech, financial inclusion, and financial stability through a systematic literature review of 163 academic articles published between 2010 and 2023. We seek to fill the knowledge gaps in these subject areas by (1) mapping the fintech-driven financial inclusion field, (2) synthesizing the findings to develop a conceptual framework, and (3) discussing theoretically sound future research directions. This study is related to innovation with a focus on finance, contributing to a small but growing literature on the role of inclusive innovation and fintechdriven financial inclusion in promoting inclusive development and poverty alleviation, particularly in emerging economies. We also explore the potential effects of the COVID-19 pandemic and the interactive roles of financial capabilities and regulatory and supervisory frameworks in the interrelationships above.</t>
  </si>
  <si>
    <t>DIGITAL FINANCE; BANKING; INTERMEDIATION; DISRUPTION; INSIGHTS; POVERTY; MARKETS; GROWTH; IMPACT</t>
  </si>
  <si>
    <t>Financial inclusion; Fintech; Financial innovation; Inclusive innovation; Digital finance; Mobile banking; And financial stability</t>
  </si>
  <si>
    <t>Fintech innovation: Is it beneficial or detrimental to financial inclusion and financial stability? A systematic literature review and research directions</t>
  </si>
  <si>
    <t>Sant 'Anna, Dario A. L. M.; Figueiredo, Paulo N.</t>
  </si>
  <si>
    <t>Sant'Anna, DALM; Figueiredo, PN</t>
  </si>
  <si>
    <t>WOS:001077975600001</t>
  </si>
  <si>
    <t>Y0ZH4</t>
  </si>
  <si>
    <t>10.1007/s11205-023-03221-7</t>
  </si>
  <si>
    <t>Weziak-Bialowolska, Dorota/0000-0003-2711-2283; Białowolski, Piotr/0000-0003-4102-0107</t>
  </si>
  <si>
    <t>Weziak-Bialowolska, Dorota/AAF-7827-2020; Xiao, Jing Jian/R-1415-2016; Białowolski, Piotr/AAI-8393-2020</t>
  </si>
  <si>
    <t>pbialowolski@kozminski.edu.pl; jjxiao@uri.edu; doweziak@iq.harvard.edu</t>
  </si>
  <si>
    <t>Bialowolski, P (corresponding author), Kozminski Univ, Dept Econ, Ul Jagiellonska 57, PL-03301 Warsaw, Poland.;Bialowolski, P (corresponding author), Harvard Univ, Inst Quantitat Social Sci, Human Flourishing Program, 12 Arrow St, Cambridge, MA 02138 USA.</t>
  </si>
  <si>
    <t>Kozminski University; Harvard University; University of Rhode Island; Jagiellonian University</t>
  </si>
  <si>
    <t>[Bialowolski, Piotr] Kozminski Univ, Dept Econ, Ul Jagiellonska 57, PL-03301 Warsaw, Poland; [Bialowolski, Piotr; Weziak-Bialowolska, Dorota] Harvard Univ, Inst Quantitat Social Sci, Human Flourishing Program, 12 Arrow St, Cambridge, MA 02138 USA; [Xiao, Jing Jian] Univ Rhode Isl, Human Dev &amp; Family Studies Transit Ctr, 2 Lower Coll Rd, Kingston, RI 02881 USA; [Weziak-Bialowolska, Dorota] Jagiellonian Univ, Fac Philosophy, Ctr Evaluat &amp; Anal Publ Pol, Ul Ingardena 3, PL-30060 Krakow, Poland</t>
  </si>
  <si>
    <t>The origins of financial capability assessed at the country level can be traced back to the socio-economic and quality of life factors. However, the role of national culture should be considered equally important. Hence, differences in national culture are hypothesized to correlate with average financial capability levels at the country level. This study attempts to answer an important question: What is the relationship between culture and financial capability at the country level? The data for this study originate from four diverse sources provided by the World Bank (two datasets), United Nations, and Hofstede Insights. The final dataset includes data from 137 countries. As a measure of financial capability, we use an aggregate index combining financial behavior (account ownership) and financial knowledge. Culture is measured using six dimensions of national cultures from Hofstede Insights: Power Distance, Masculinity, Uncertainty Avoidance, Individualism, Long-Term Orientation, and Indulgence. The results show that certain dimensions of culture are strongly correlated with financial capabilities at the country level even after controlling for the level of economic development. Positive relationships between financial capability and three cultural factors-Individualism, Long-Term Orientation, and Indulgence-are noted. In addition, Uncertainty Avoidance is negatively associated with financial capabilities. The observed relationships are non-linear. Specifically, Individualism and Long-Term Orientation are positive correlates of financial capability up to a certain level (the score of 75 and 50, respectively, on the scale 0-100), Individualism is a positive correlate starting at the score of 25, while Uncertainty Avoidance is a negative correlate up to the score of 75.</t>
  </si>
  <si>
    <t>National culture; Financial capability; Financial literacy; Multivariate adaptive regression spline (MARS)</t>
  </si>
  <si>
    <t>National Culture and Financial Capability: A Global Perspective</t>
  </si>
  <si>
    <t>Bialowolski, Piotr; Xiao, Jing Jian; Weziak-Bialowolska, Dorota</t>
  </si>
  <si>
    <t>Bialowolski, P; Xiao, JJ; Weziak-Bialowolska, D</t>
  </si>
  <si>
    <t>WOS:001567931800008</t>
  </si>
  <si>
    <t>7CT3N</t>
  </si>
  <si>
    <t>10.1016/j.frl.2025.108302</t>
  </si>
  <si>
    <t>E</t>
  </si>
  <si>
    <t>Setianto, Rahmat Heru/0000-0001-6007-2733; WNW, Azman-Saini/0000-0002-3108-6789;</t>
  </si>
  <si>
    <t>Setianto, Rahmat Heru/AAN-2814-2020; Mohd Daud, Siti Nurazira/ITV-5116-2023; WNW, Azman-Saini/H-3932-2015; Ahmad, Abd/F-5006-2010; Law, Siong/AAF-6672-2020</t>
  </si>
  <si>
    <t>rahmat.heru@feb.unair.ac.id; wazman@upm.edu.my; lawsh@upm.edu.my; abd.halim@uum.edu.my; sitinurazira@uum.edu.my</t>
  </si>
  <si>
    <t>Setianto, RH (corresponding author), Univ Putra Malaysia, Sch Business &amp; Econ, Upm Serdang 43400, Selangor, Malaysia.;Setianto, RH (corresponding author), Univ Airlangga, Fac Econ &amp; Business, Surabaya, Indonesia.;Setianto, RH (corresponding author), Univ Airlangga, Airlangga Ctr Financial Innovat &amp; Technol ACFIT, Surabaya, Indonesia.</t>
  </si>
  <si>
    <t>Universiti Putra Malaysia; Airlangga University; Airlangga University; Universiti Utara Malaysia</t>
  </si>
  <si>
    <t>[Setianto, Rahmat Heru; Azman-Saini, W. N. W.; Law, Siong Hook] Univ Putra Malaysia, Sch Business &amp; Econ, Upm Serdang 43400, Selangor, Malaysia; [Setianto, Rahmat Heru] Univ Airlangga, Fac Econ &amp; Business, Surabaya, Indonesia; [Setianto, Rahmat Heru] Univ Airlangga, Airlangga Ctr Financial Innovat &amp; Technol ACFIT, Surabaya, Indonesia; [Ahmad, Abd Halim; Daud, Siti Nurazira Mohd] Univ Utara Malaysia, Sch Econ Finance &amp; Banking, Sintok 06010, Kedah, Malaysia</t>
  </si>
  <si>
    <t>This research examines the effect of financial inclusion on bank market power using a sample of 672 banks from 73 countries over the 2005-2022 period. We calculate the Lerner index for each bank to measure its market power and apply principal component analysis to construct the financial inclusion index. Empirical findings from 2SLS regression and the system generalized method of moments estimator indicate that financial inclusion has a positive impact on bank market power. Moreover, the results of dynamic panel threshold analysis show that larger banks gain more from the expansion of financial inclusion.</t>
  </si>
  <si>
    <t>PANEL-DATA; COMPETITION; STABILITY</t>
  </si>
  <si>
    <t>Bank market power; Financial inclusion; Bank competition</t>
  </si>
  <si>
    <t>Does financial inclusion affect bank market power? International evidence</t>
  </si>
  <si>
    <t>Setianto, Rahmat Heru; Azman-Saini, W. N. W.; Law, Siong Hook; Ahmad, Abd Halim; Daud, Siti Nurazira Mohd</t>
  </si>
  <si>
    <t>Setianto, RH; Azman-Saini, WNW; Law, SH; Ahmad, A; Daud, SNM</t>
  </si>
  <si>
    <t>WOS:001474108100005</t>
  </si>
  <si>
    <t>1US3Z</t>
  </si>
  <si>
    <t>10.22201/iiec.20078951e.2025.221.70234</t>
  </si>
  <si>
    <t>Problemas. Del. Desarrollo.</t>
  </si>
  <si>
    <t>PROBL DESARROLLO</t>
  </si>
  <si>
    <t>2007-8951</t>
  </si>
  <si>
    <t>Circuito Mario de la Cueva s/n, Ciudad De Mexico, MEXICO</t>
  </si>
  <si>
    <t>Ciudad De Mexico</t>
  </si>
  <si>
    <t>Inst Investigaciones Economicas, Natl Autonomous Univ Mexico - IIEc UNAM</t>
  </si>
  <si>
    <t>hectoreduardo12@hotmail.com; msosac87@hotmail.com; acr2011mx@yahoo.com.mx</t>
  </si>
  <si>
    <t>Rodriguez, HED (corresponding author), Univ Autonoma Metropolitana, Unidad Iztapalapa, Mexico City, DF, Mexico.</t>
  </si>
  <si>
    <t>Universidad Autonoma Metropolitana - Mexico; Universidad Nacional Autonoma de Mexico</t>
  </si>
  <si>
    <t>[Diaz Rodriguez, Hector Eduardo; Sosa Castro, Miriam] Univ Autonoma Metropolitana, Unidad Iztapalapa, Mexico City, DF, Mexico; [Cabello Rosales, Maria Alejandra] Univ Nacl Autonoma, Mexico Fac Quim, Mexico City, DF, Mexico</t>
  </si>
  <si>
    <t>This article analyzes the socio-economic and demographic determinants of financial inclusion in Mexico. Using microdata from the 2021 National Survey of Financial Inclusion (ENIF, for its acronym in Spanish), a financial inclusion index is created that includes the following products: credit card, savings account, investment fund, mortgage loan, insurance and pension fund. The main socio-economic and demographic determinants of the level of inclusion by income levels were estimated using artificial neural networks. The evidence indicates that the level of financial inclusion is based on level of income, level of education and occupation.</t>
  </si>
  <si>
    <t>financial inclusion; inclusion factors; artificial neural networks</t>
  </si>
  <si>
    <t>PROBLEMAS DEL DESARROLLO</t>
  </si>
  <si>
    <t>DETERMINANTS OF THE LEVEL OF FINANCIAL INCLUSION IN MEXICO: AN ANALYSIS USING NEURAL NETWORKS</t>
  </si>
  <si>
    <t>Diaz Rodriguez, Hector Eduardo; Sosa Castro, Miriam; Cabello Rosales, Maria Alejandra</t>
  </si>
  <si>
    <t>Rodriguez, HED; Miriam, SCAY; Rosales, MAC</t>
  </si>
  <si>
    <t>WOS:000574654700001</t>
  </si>
  <si>
    <t>TZ1QC</t>
  </si>
  <si>
    <t>OCT 2020</t>
  </si>
  <si>
    <t>10.1108/JEAS-04-2020-0045</t>
  </si>
  <si>
    <t>AUG 6</t>
  </si>
  <si>
    <t>GCRF(UK Research &amp; Innovation (UKRI))</t>
  </si>
  <si>
    <t>GCRF [ES/T003790/1] Funding Source: UKRI</t>
  </si>
  <si>
    <t>Abdul Rahaman, Wassiuw/0000-0003-3241-7604;</t>
  </si>
  <si>
    <t>Abdul Rahaman, Wassiuw/LKO-2395-2024; Mohammed, Ibrahim/H-4582-2019; Twumasi Baffour, Priscilla/JQJ-4042-2023</t>
  </si>
  <si>
    <t>ptbaffour@ug.edu.gh; wabdulrahaman@ug.edu.gh; ibrahim.mohammed@upsamail.edu.gh</t>
  </si>
  <si>
    <t>Rahaman, WA (corresponding author), Univ Ghana, Dept Econ, Accra, Ghana.</t>
  </si>
  <si>
    <t>[Twumasi Baffour, Priscilla; Abdul Rahaman, Wassiuw] Univ Ghana, Dept Econ, Accra, Ghana; [Mohammed, Ibrahim] Univ Profess Studies, Dept Banking &amp; Finance, Accra, Ghana</t>
  </si>
  <si>
    <t>Purpose The purpose of this study is to examine the impact of mobile money access on internal remittances received, per capita consumption expenditure and welfare of household in Ghana. Design/methodology/approach The study used data from the latest round of the Ghana Living Standards Survey (GLSS 7) and employed the propensity score matching technique to estimate average treatment effect between users and non-users of mobile money transfer services. Findings The study finds that using mobile money is welfare enhancing, particularly for poor households and the channel by which it impacts on welfare is through higher internal remittances received and per capita expenditure. The results from the average treatment effect indicate that mobile money users receive significantly higher remittances and consequently spend averagely higher on consumption than non-users. Research limitations/implications Although the data employed in this study is limited to one country, the findings support the financial inclusion role and developmental impact of mobile money transfer services. Hence, mobile money transfer services should be promoted and facilitated by the telecommunication and financial sector regulators. Originality/value In addition to making original contribution to the literature on the welfare impact of mobile money, the study's use of the propensity score matching is unique.</t>
  </si>
  <si>
    <t>ADOPTION; PERFORMANCE; MIGRATION; SERVICES</t>
  </si>
  <si>
    <t>Propensity score matching; Financial inclusion; Remittances; Household survey; Mobile money transfer; Digital economy; M-money; M-wallet</t>
  </si>
  <si>
    <t>Impact of mobile money access on internal remittances, consumption expenditure and household welfare in Ghana</t>
  </si>
  <si>
    <t>Twumasi Baffour, Priscilla; Abdul Rahaman, Wassiuw; Mohammed, Ibrahim</t>
  </si>
  <si>
    <t>Baffour, PT; Rahaman, WA; Mohammed, I</t>
  </si>
  <si>
    <t>WOS:000921079100001</t>
  </si>
  <si>
    <t>8H5NC</t>
  </si>
  <si>
    <t>10.1016/j.telpol.2022.102457</t>
  </si>
  <si>
    <t>kunzbindop@gmail.com</t>
  </si>
  <si>
    <t>Bindop, KMM (corresponding author), Univ Yaounde II, Fac Econ &amp; Management, Soa, Cameroon.</t>
  </si>
  <si>
    <t>[Ondoa, Henri Atangana; Bella, Genevieve Lareine Ambombo; Bindop, Kunz Modeste Mbenga] Univ Yaounde II, Fac Econ &amp; Management, Soa, Cameroon</t>
  </si>
  <si>
    <t>This paper aims to investigate the effect of mobile money services on the welfare in Cameroon. It specifically verifies whether the welfare of people benefiting from family assistance is improved via the mobile money services offered by the two main operators in the country, namely: Orange and Mtn. The data used come from the &lt;&lt; FinScope Consommateur Cameroun &gt;&gt; Survey carried out in 2017 by the National Institute of Statistics (INS). Based on the propensity scores estimations, this study shows a positive and significant effect of mobile money on welfare. However, among the operators, Orange has a better impact compared to Mtn which does not present a significant effect. These results call on the authorities in charge of the development and implementation of financial inclusion policies to recognize the interest of digital financial services at the heart of financial inclusion strategies for the welfare of the poor.</t>
  </si>
  <si>
    <t>PROPENSITY SCORE</t>
  </si>
  <si>
    <t>Mobile money; Welfare; PSM</t>
  </si>
  <si>
    <t>Mobile money, family assistance and welfare in Cameroon</t>
  </si>
  <si>
    <t>Ondoa, Henri Atangana; Bella, Genevieve Lareine Ambombo; Bindop, Kunz Modeste Mbenga</t>
  </si>
  <si>
    <t>Ondoa, HA; Bella, GLA; Bindop, KMM</t>
  </si>
  <si>
    <t>WOS:000594598700001</t>
  </si>
  <si>
    <t>OZ0AH</t>
  </si>
  <si>
    <t>10.3390/su12229737</t>
  </si>
  <si>
    <t>Ullah, kifayat/0000-0002-4814-4463; Baig, Saranjam/0000-0003-2407-3776</t>
  </si>
  <si>
    <t>Saboor, Abdul/AAI-7723-2020; Ullah, kifayat/JHT-3887-2023; Baig, Saranjam/AAD-9613-2020</t>
  </si>
  <si>
    <t>kifayat@kiu.edu.pk; drmohsin_aq@hotmail.com; drabdul.saboor@uaar.edu.pk; s.baig1@squ.edu.om</t>
  </si>
  <si>
    <t>Ullah, K; Saboor, A (corresponding author), Pir Mehr Ali Shah Arid Agr Univ, Dept Econ &amp; Agr Econ, Muree Rd, Shamsabad 46000, Rawalpindi, Pakistan.</t>
  </si>
  <si>
    <t>[Ullah, Kifayat; Mohsin, Abdul Qayyum; Saboor, Abdul] Pir Mehr Ali Shah Arid Agr Univ, Dept Econ &amp; Agr Econ, Muree Rd, Shamsabad 46000, Rawalpindi, Pakistan; [Baig, Saranjam] Sultan Qaboos Univ, Coll Econ &amp; Polit Sci, Muscat 999046, Oman</t>
  </si>
  <si>
    <t>Does financial inclusion contribute to sustainable mountain development by providing access to financial resources and creating economic opportunities for poor mountain people? Keeping this question in mind, the present study aimed to investigate the nexus between financial inclusion and improvement in the living standards of mountain people, and reduction in socioeconomic disaster risks (economic poverty, multidimensional poverty and income inequality). For empirical investigation, the study employed Quasi Experimental Designs, Foster, Greer and Thorbecke poverty measures, Alkire et al. methodology, Gini Index and Quintile technique to assess the impact of financial inclusion on the living standards and reduction of economic poverty, multidimensional poverty and income inequality, respectively. We used the Logistic Regression technique to identify major drivers of socioeconomic disaster risks in the study area. The study collected quantitative and qualitative household level data from 424 households through structured questionnaires using multistage sampling technique for analysis. The findings of the study revealed a positive synergy among inclusive finance and living standards and a negative connection between financial inclusion and socioeconomic disaster risks in the Karakoram valleys of Pakistan. The logistic regression results also recognized financial inclusion as a potential determinant of economic poverty reduction. However, financial inclusion as a potential tool to eradicate multidimensional poverty in the study area showed insignificant results. These findings can help policy-makers and other stakeholders to understand the dynamics of socioeconomic disaster risks and the role of financial inclusion in their reduction to accomplish sustainable mountain development in the Karakoram valleys of Pakistan.</t>
  </si>
  <si>
    <t>GREEN ECONOMY; RURAL WOMEN; POVERTY; MICROFINANCE; IMPACT; POLICY</t>
  </si>
  <si>
    <t>financial inclusion; socioeconomic disaster risks; sustainable mountain development; Pakistan</t>
  </si>
  <si>
    <t>Financial Inclusion, Socioeconomic Disaster Risks and Sustainable Mountain Development: Empirical Evidence from the Karakoram Valleys of Pakistan</t>
  </si>
  <si>
    <t>Ullah, Kifayat; Mohsin, Abdul Qayyum; Saboor, Abdul; Baig, Saranjam</t>
  </si>
  <si>
    <t>Ullah, K; Mohsin, AQ; Saboor, A; Baig, S</t>
  </si>
  <si>
    <t>WOS:000646297700001</t>
  </si>
  <si>
    <t>TI3CA</t>
  </si>
  <si>
    <t>10.1108/IJSE-10-2020-0711</t>
  </si>
  <si>
    <t>Nanu, Prabhakar/0000-0002-3803-5714; Madhavaiah, Chenagiri/0000-0002-3561-0218; , Velayutham Arulmurugan/0000-0001-7597-8191</t>
  </si>
  <si>
    <t>; Madhavaiah, Chenagiri/ABF-5225-2020; , Velayutham Arulmurugan/HJA-9615-2022</t>
  </si>
  <si>
    <t>prabhakarnandru2020@gmail.com</t>
  </si>
  <si>
    <t>Nandru, P (corresponding author), Pondicherry Univ, Sch Management, Pondicherry, India.</t>
  </si>
  <si>
    <t>Pondicherry University; Pondicherry University; Pondicherry University</t>
  </si>
  <si>
    <t>[Nandru, Prabhakar] Pondicherry Univ, Sch Management, Pondicherry, India; [Chendragiri, Madhavaiah] Pondicherry Univ, Sch Management, Dept Management, Pondicherry, India; [Velayutham, Arulmurugan] Pondicherry Univ, Sch Management, Dept Commerce, Pondicherry, India</t>
  </si>
  <si>
    <t>Purpose The study attempts to explore the determinants of financial inclusion. Subsequently, it examines the effect of financial inclusion on financial well-being of marginalized street vendors in India. Design/methodology/approach The demand-side analysis of measuring financial inclusion with a sample of 371 marginalized street vendors is adopted. Both exploratory and descriptive research designs are employed in this study. The primary data collection is done by administering the structured interview schedule by using a convenience sampling technique. Confirmatory factor analysis (CFA) and structural equation modeling (SEM) are performed to describe the latent constructs and their hypothetical relationships with adequate empirical evidence. Findings Out of five dimensions of financial inclusion considered for the study, accessibility, availability, usage and affordability are found to be significant determinants of financial inclusion; however, the financial literacy dimension is found statistically insignificant. Further, the study results confirm that financial inclusion contributes substantially to the well-being of marginalized street vendors. Research limitations/implications The outcome of the study will facilitate all the stakeholders including policymakers and financial institutions to enact policy guidelines to ensure financial well-being of the marginalized street vendors through financial inclusion initiatives. Originality/value Financial well-being through financial inclusion is possible even without the effect of financial literacy from the unorganized sector perspective specifically marglianized street vendors. Thus, it adds new dimension to the existing literature on demand side analysis of measuring financial inclusion.</t>
  </si>
  <si>
    <t>BANKING SERVICES; ACCESS; LITERACY</t>
  </si>
  <si>
    <t>Financial well-being; Financial inclusion; Financial literacy; Accessibility; Availability; Affordability; Usage; Marginalized street vendors</t>
  </si>
  <si>
    <t>Examining the influence of financial inclusion on financial well-being of marginalized street vendors: an empirical evidence from India</t>
  </si>
  <si>
    <t>Nandru, Prabhakar; Chendragiri, Madhavaiah; Velayutham, Arulmurugan</t>
  </si>
  <si>
    <t>Nandru, P; Chendragiri, M; Velayutham, A</t>
  </si>
  <si>
    <t>WOS:001572232700001</t>
  </si>
  <si>
    <t>7JC2M</t>
  </si>
  <si>
    <t>10.1080/13600826.2025.2557934</t>
  </si>
  <si>
    <t>2025 SEP 11</t>
  </si>
  <si>
    <t>Glob. Soc.</t>
  </si>
  <si>
    <t>GLOB SOC</t>
  </si>
  <si>
    <t>1469-798X</t>
  </si>
  <si>
    <t>1360-0826</t>
  </si>
  <si>
    <t>The study investigates the macro determinants of global financial inclusion using world data from 1999 to 2023 period. The data were analysed using the fully modified ordinary least squares regression estimator, the two-stage least squares regression estimator and the robust least squares regression estimator. The determinants examined are total domestic investment, macroeconomic management frameworks, international trade openness, total population size, consumer spending, and economic growth rate. The findings reveal that population size and trade openness have a positive effect on global financial inclusion through a higher financial inclusion index and commercial bank branch expansion. Total domestic investment and sound macroeconomic management have a negative effect on global financial inclusion through a decrease in the financial inclusion index and a reduction in the number of bank branches and the negative effect is more pronounced in the post-financial crisis years. However, total population size remain a positive determinant of global financial inclusion in the post-financial crisis years. Trade openness and consumer spending increase global financial inclusion during periods of economic prosperity while total domestic investment and sound macroeconomic management decrease global financial inclusion during periods of economic prosperity. In terms of forward-looking orientation, the study finds that a large population and weak macroeconomic management in the present period leads to financial inclusion gains in the future. It is recommended that policy adjustments in today's population size and macroeconomic management frameworks can help to achieve future financial inclusion targets. The findings contribute to the financial inclusion literature by using world data to offer new insights into the factors that can accelerate global financial inclusion.</t>
  </si>
  <si>
    <t>Financial inclusion; index; determinants; gross capital formation; trade openness; investment; population; global financial crisis; consumer spending; economic growth; regression</t>
  </si>
  <si>
    <t>GLOBAL SOCIETY</t>
  </si>
  <si>
    <t>Macro Determinants of Global Financial Inclusion: Evidence from World Data</t>
  </si>
  <si>
    <t>WOS:001529809600001</t>
  </si>
  <si>
    <t>4YR1I</t>
  </si>
  <si>
    <t>10.1177/1866802X251316902</t>
  </si>
  <si>
    <t>J. Politics Lat. Am.</t>
  </si>
  <si>
    <t>J POLITICS LAT AM</t>
  </si>
  <si>
    <t>1868-4890</t>
  </si>
  <si>
    <t>1866-802X</t>
  </si>
  <si>
    <t>The authors disclosed receipt of the following financial support for the research, authorship, and/or publication of this article: This work was supported by the Social Sciences and Humanities Research Council of Canada (Grant No. 430-2022-00402).</t>
  </si>
  <si>
    <t>Social Sciences and Humanities Research Council of Canada [430-2022-00402]</t>
  </si>
  <si>
    <t>Rosales, Antulio/0000-0001-6797-6241; Meijering, Titus/0009-0003-4599-3747</t>
  </si>
  <si>
    <t>Rosales, Antulio/IYT-0283-2023</t>
  </si>
  <si>
    <t>arosal@yorku.ca</t>
  </si>
  <si>
    <t>Rosales, A (corresponding author), York Univ, Dept Social Sci, 4700 Keele St Toronto, London, ON M3J1P3, Canada.</t>
  </si>
  <si>
    <t>University of Amsterdam; York University - Canada</t>
  </si>
  <si>
    <t>[Meijering, Titus] Univ Amsterdam, Int Dev Studies, Amsterdam, Netherlands; [Rosales, Antulio] York Univ, Dept Social Sci, 4700 Keele St Toronto, London, ON M3J1P3, Canada</t>
  </si>
  <si>
    <t>In 2021, El Salvador declared bitcoin legal tender. According to President Nayib Bukele, the measure was intended to expand access to financial services in a country with a high proportion of unbanked people and to cheapen and ease remittance flows for migrants and their families. In this article, we inquire about the use of bitcoin as a tool for financial inclusion and contend that this policy needs to be seen in the broader context of democratic backsliding. We show that bitcoin has not translated into financial inclusion, but instead, the bitcoin law serves as a public relations tool to capture new support from like-minded constituencies, build closer relations with them, and empower international crypto-bros. On the other hand, this is a tool to benefit a close circle close to the president with the use of public funds, as part of a broader historical shift of elites in El Salvador.</t>
  </si>
  <si>
    <t>BLOCKCHAIN; FIX</t>
  </si>
  <si>
    <t>El Salvador; bitcoin; democratic backsliding; authoritarianism; Nayib Bukele; retroceso democr &amp; aacute;tico; autoritarianismo</t>
  </si>
  <si>
    <t>JOURNAL OF POLITICS IN LATIN AMERICA</t>
  </si>
  <si>
    <t>Bitcoin as Tool for Financial Inclusion in El Salvador: The Perils of Authoritarian Governance</t>
  </si>
  <si>
    <t>Meijering, Titus; Rosales, Antulio</t>
  </si>
  <si>
    <t>Meijering, T; Rosales, A</t>
  </si>
  <si>
    <t>WOS:000912587300001</t>
  </si>
  <si>
    <t>7V1NI</t>
  </si>
  <si>
    <t>10.1080/23311975.2022.2135202</t>
  </si>
  <si>
    <t>Jamal, Ahmad/KJM-3121-2024</t>
  </si>
  <si>
    <t>hagawehm@cardiff.ac.uk</t>
  </si>
  <si>
    <t>Hagawe, HM (corresponding author), Cardiff Univ, Cardiff Business Sch, Cardiff, Wales.</t>
  </si>
  <si>
    <t>Cardiff University; Cardiff University; Cardiff University</t>
  </si>
  <si>
    <t>[Hagawe, Huda Mohammad; Hanuk, Akmal] Cardiff Univ, Cardiff Business Sch, Cardiff, Wales; [Mobarek, Asma] Cardiff Univ, Econ Cardiff Business Sch, Cardiff, Wales; [Jamal, Ahmad] Cardiff Univ, Mkt &amp; Strategy Cardiff Business Sch, Cardiff, Wales</t>
  </si>
  <si>
    <t>While access to finance is a key link between economic opportunity and economic outcome, it remains a major barrier for aspiring entrepreneurs. The current research aims to conduct an in-depth case study of Assadaqaat Community Finance (ACF), a unique UK-based community finance institution with the objectives of addressing the global challenges of financial exclusion and social and economic inequalities through entrepreneurship and self-employment. ACF offers free professional training using an innovative and ground-breaking financial model based on Islamic financial principles via the ACF Cycle of Shared Prosperity framework. Semi-structured interviews were conducted with 20 participants including beneficiaries, benefactors and founders to explore the impact of ACF training, advice and mentoring and access to interest-free and debt-free finance in helping participants overcome the challenges and develop feasible business plans for their micro, small and medium enterprises. The results suggest that the beneficiaries are happy and become financially independent within 3-6 months, resulting in the transformation of beneficiaries into benefactors as they are able to contribute back to ACF. We highlight the transformational nature of this unique institutional business model and its applicability for existing Islamic MFIs, allowing them to make a clear contribution to development of sustainable communities. We also argue that the ACF financial model offers a sustainable solution to overcome global challenges and contribute towards achieving the Sustainable Development Goals.</t>
  </si>
  <si>
    <t>ISLAMIC MICROFINANCE; STAKEHOLDER THEORY; PERFORMANCE; SUSTAINABILITY; GOVERNANCE; EFFICIENCY; OUTREACH; ETHICS; WOMEN; POOR</t>
  </si>
  <si>
    <t>financial inclusion; social &amp; economic inequalities; interest-free finance; micro; small &amp; medium enterprises; entrepreneurship; Islamic finance</t>
  </si>
  <si>
    <t>A unique business model for microfinance institution: the case of Assadaqaat Community Finance (ACF)</t>
  </si>
  <si>
    <t>Hagawe, Huda Mohammad; Mobarek, Asma; Hanuk, Akmal; Jamal, Ahmad</t>
  </si>
  <si>
    <t>Hagawe, HM; Mobarek, A; Hanuk, A; Jamal, A</t>
  </si>
  <si>
    <t>WOS:000717401400001</t>
  </si>
  <si>
    <t>6I6AI</t>
  </si>
  <si>
    <t>10.1057/s41287-021-00480-3</t>
  </si>
  <si>
    <t>López Sánchez, Pilar/0000-0002-6236-0090; Urquía-Grande, Elena/0000-0003-4724-7185; del Campo, Cristina/0000-0001-7680-3852</t>
  </si>
  <si>
    <t>Cancer, Andrés/K-8025-2012; Urquía-Grande, Elena/AAK-3465-2021; del Campo, Cristina/B-8897-2009</t>
  </si>
  <si>
    <t>p.lopez.prof@ufv.es; eurquiag@ucm.es; campocc@ucm.es; andres.l.cancer@gmall.com</t>
  </si>
  <si>
    <t>López-Sánchez, P (corresponding author), Univ Francisco Vitoria, Madrid, Spain.</t>
  </si>
  <si>
    <t>Universidad Francisco de Vitoria; Complutense University of Madrid; Indra</t>
  </si>
  <si>
    <t>[Lopez-Sanchez, Pilar] Univ Francisco Vitoria, Madrid, Spain; [Urquia-Grande, Elena; del Campo, Cristina] Univ Complutense Madrid, Madrid, Spain; [Cancer, Andres L.] INDRA Syst, Madrid, Spain</t>
  </si>
  <si>
    <t>Financial inclusion has been broadly recognized as critical in alleviating poverty and achieving inclusive economic growth. The capability of borrowers to repay their microcredit loans is a critical concern and is the first risk of Microfinance institutions sustainability. Exploring the determinants of credit risk is an issue of substantial importance in microfinance. The purpose of this research was to identify the savings group members' characteristics that have impact on default risk. We have used a multivariate regression model to identify the factors that affect default behaviour among microcredit borrowers from savings groups. We have analysed a sample of more than different 400 Savings Groups and 7251 active users of the Saving and Learning program in Ecuador. Empirical results demonstrated that factors such as seniority, accumulated savings and the number of members in the savings groups are determinant variables of default risk. The significant positive sign on variable Gender is consistent with the previous authors that indicate that the probability of having problems in loan repayment is higher for males than for females. The generalizability of our findings should, of course, be interpreted with caution, as they may be idiosyncratic of the sample, period or region. To contrast and contextualize these results, we had in-depth discussions with the Savinco managers and their field agent in Ecuador. There are many contributions. For practitioners, relevant factors that can affect savings groups default rates have been identified. For academics, the rich information provided by the Savinco mobile App could be a starting point for further quantitative research.</t>
  </si>
  <si>
    <t>REPAYMENT PERFORMANCE; JOINT LIABILITY; LOAN REPAYMENT; INTEREST-RATES; MICROFINANCE; MICROCREDIT; IMPACT; POOR; GENDER; WOMEN</t>
  </si>
  <si>
    <t>Formal and Informal sectors; Financial Markets; Savings and capital investments; Household savings; borrowing; debt and wealth; Technological Change; Latin America; Ecuador</t>
  </si>
  <si>
    <t>Delving into the Determinants of Default Risk in Savings Groups: Empirical Evidence from Ecuador</t>
  </si>
  <si>
    <t>Lopez-Sanchez, Pilar; Urquia-Grande, Elena; del Campo, Cristina; Cancer, Andres L.</t>
  </si>
  <si>
    <t>López-Sánchez, P; Urquía-Grande, E; del Campo, C; Cancer, AL</t>
  </si>
  <si>
    <t>WOS:001587555700002</t>
  </si>
  <si>
    <t>8FR3K</t>
  </si>
  <si>
    <t>10.1016/j.foohum.2025.100830</t>
  </si>
  <si>
    <t>Food Humanit.</t>
  </si>
  <si>
    <t>FOOD HUMANITY</t>
  </si>
  <si>
    <t>2949-8244</t>
  </si>
  <si>
    <t>This research was supported by Gulu University through the African Development Bank (ADB) project, Grant No. P-UG-IAD-001.</t>
  </si>
  <si>
    <t>Gulu University through the African Development Bank (ADB) project</t>
  </si>
  <si>
    <t>Gulu University through the African Development Bank (ADB) project [P-UG-IAD-001]</t>
  </si>
  <si>
    <t>Abandu, Jackson/0000-0002-6505-5622;</t>
  </si>
  <si>
    <t>Abandu, Jackson/O-8139-2017; Mugonola, Basil/AGZ-8728-2022</t>
  </si>
  <si>
    <t>j.abandu@gu.ac.ug</t>
  </si>
  <si>
    <t>Abandu, J (corresponding author), Gulu Univ, Fac Sci, Dept Comp Sci, POB 166, Gulu, Uganda.</t>
  </si>
  <si>
    <t>Gulu University; Gulu University; Gulu University</t>
  </si>
  <si>
    <t>[Abandu, Jackson; Oyo, Benedict] Gulu Univ, Fac Sci, Dept Comp Sci, POB 166, Gulu, Uganda; [Malinga, Geoffrey Maxwell] Gulu Univ, Fac Sci, Dept Biol, POB 166, Gulu, Uganda; [Mugonola, Basil] Gulu Univ, Fac Agr &amp; Environm, Dept Rural Dev &amp; Agribusiness, POB 166, Gulu, Uganda</t>
  </si>
  <si>
    <t>Digital financial technologies drive agricultural value chains and food stability in developing regions. Mobile banking in particular, plays an important role in enhancing financial inclusion, improving the livelihoods and food security of rural farming communities. However, the adoption of this technology by agri-entrepreneurs in Uganda is low and under-explored. This study explored the socioeconomic factors driving mobile banking adoption among agri-entrepreneurs in northern Uganda. Utilizing the Technology Acceptance Model (TAM) as a theoretical framework and a cross-sectional survey design, data were collected through structured questionnaires administered to a representative sample of 480 agri-entrepreneurs. PROCESS macro regression analysis shows that gender, age, education level, marital status, income level, mobile device category and ownership were the primary factors driving the behaviors of mobile banking adoption either directly or indirectly via perceived ease of use and usefulness, which are core variables in the TAM framework. The findings suggest that policymakers, financial institutions, and development agencies should tailor mobile banking interventions to the diverse socioeconomic profiles of agri-entrepreneurs. Targeted strategies such as gender-inclusive programs, digital skills training, and age-specific education are essential to enhance perceived ease of use and usefulness. Investments in rural digital infrastructure and affordable mobile technologies are critical to reducing access barriers. By effectively communicating the practical benefits of mobile banking, stakeholders can accelerate adoption, promote financial inclusion, and support broader goals of rural economic empowerment, food security, and poverty reduction in northern Uganda.</t>
  </si>
  <si>
    <t>TECHNOLOGY ACCEPTANCE MODEL; USER ACCEPTANCE; RESEARCH AGENDA; EXTENSION; INTERNET; GENDER; MONEY; DETERMINANTS; INTENTION; DECISIONS</t>
  </si>
  <si>
    <t>TAM; Socioeconomic factors; Mobile banking; Adoption; Agri-entrepreneur; Financial inclusion</t>
  </si>
  <si>
    <t>FOOD AND HUMANITY</t>
  </si>
  <si>
    <t>Adoption of mobile banking among agri-entrepreneurs in northern Uganda: Do socioeconomic factors matter?</t>
  </si>
  <si>
    <t>Abandu, Jackson; Oyo, Benedict; Malinga, Geoffrey Maxwell; Mugonola, Basil</t>
  </si>
  <si>
    <t>Abandu, J; Oyo, B; Malinga, GM; Mugonola, B</t>
  </si>
  <si>
    <t>WOS:001394471900001</t>
  </si>
  <si>
    <t>R9H7B</t>
  </si>
  <si>
    <t>10.1016/j.tele.2024.102230</t>
  </si>
  <si>
    <t>Telemat. Inform.</t>
  </si>
  <si>
    <t>TELEMAT INFORM</t>
  </si>
  <si>
    <t>0736-5853</t>
  </si>
  <si>
    <t>Ante, Lennart/AAT-9436-2020</t>
  </si>
  <si>
    <t>ante@blockchainresearchlab.org</t>
  </si>
  <si>
    <t>Ante, L (corresponding author), Constructor Univ, Sch Business Social &amp; Decis Sci, Bremen, Germany.;Ante, L (corresponding author), Blockchain Res Lab, Hamburg, Germany.</t>
  </si>
  <si>
    <t>Constructor University</t>
  </si>
  <si>
    <t>[Ante, Lennart] Constructor Univ, Sch Business Social &amp; Decis Sci, Bremen, Germany; [Ante, Lennart] Blockchain Res Lab, Hamburg, Germany</t>
  </si>
  <si>
    <t>We examine the adoption and continuance intentions of blockchain-based stablecoins for crossborder remittances. Relying on survey data from 866 U.S.-based adults engaged in remittance activities, our findings reveal that digital and financial literacy independently increase the likelihood of stablecoin adoption, while their interaction synergistically enhances predictive accuracy. Demographic analysis indicates that stablecoin remittance users tend to be younger, more educated, and involved in higher-value transactions. Among the 26% of remittance users who adopted stablecoins, continuance intentions are primarily driven by satisfaction and perceived usefulness. This points to a cyclical dynamic, where meeting user expectations leads to greater satisfaction, which in turn reinforces the perceived usefulness of stablecoins. The results underscore the importance of promoting both digital and financial literacy, improving user experience, and effectively communicating tangible benefits to encourage the continued adoption of stablecoins for remittance transactions. Ultimately, these efforts could contribute to a more efficient and cost-effective remittance market that aligns with the 10th Sustainable Development Goal (SDG) to reduce transaction costs of remittances to less than 3 percent by 2030.</t>
  </si>
  <si>
    <t>INFORMATION-SYSTEMS CONTINUANCE; EXPECTATION-CONFIRMATION; MODEL; ACCEPTANCE; BEHAVIOR; CRITERIA; CHOICE; SKILLS; AGE</t>
  </si>
  <si>
    <t>Stablecoins; Remittances; Digital Literacy; Financial Literacy; Financial Inclusion; Continuance Intention</t>
  </si>
  <si>
    <t>TELEMATICS AND INFORMATICS</t>
  </si>
  <si>
    <t>From adoption to continuance: Stablecoins in cross-border remittances and the role of digital and financial literacy</t>
  </si>
  <si>
    <t>Ante, Lennart</t>
  </si>
  <si>
    <t>Ante, L</t>
  </si>
  <si>
    <t>WOS:000697722100001</t>
  </si>
  <si>
    <t>ZO5CZ</t>
  </si>
  <si>
    <t>10.1108/JAAR-02-2021-0041</t>
  </si>
  <si>
    <t>J. Appl. Account. Res.</t>
  </si>
  <si>
    <t>J APPL ACCOUNT RES</t>
  </si>
  <si>
    <t>1758-8855</t>
  </si>
  <si>
    <t>0967-5426</t>
  </si>
  <si>
    <t>Nguyen, Quynh Anh/0009-0008-2518-1318</t>
  </si>
  <si>
    <t>gregor.dorfleitner@ur.de</t>
  </si>
  <si>
    <t>Dorfleitner, G (corresponding author), Univ Regensburg, Ctr Finance, Regensburg, Germany.</t>
  </si>
  <si>
    <t>University of Regensburg; Electric Power University</t>
  </si>
  <si>
    <t>[Dorfleitner, Gregor] Univ Regensburg, Ctr Finance, Regensburg, Germany; [Forcella, Davide] YAPU Solut, Berlin, Germany; [Quynh Anh Nguyen] Elect Power Univ, Hanoi, Vietnam</t>
  </si>
  <si>
    <t>Purpose This study seeks to identify the factors that are associated with the digital transformation of microfinance institutions (MFIs). Design/methodology/approach The study employs probit models to investigate the likelihood of integrating digital solutions by MFIs and Heckman models for robustness checks. Findings The findings reveal that the adoption of these tools is consistent with the social performance of MFIs. Furthermore, the profitability of the institutions and their home country development are associated with a larger application of digital support solutions. Research limitations/implications Since the survey data collected is not longitudinal and does not cover many MFIs, it may encounter the absence of comprehensive results. Moreover, the study is limited to supply-side incentive factors, thus lacks of investigations under supply-demand interaction schemes. Therefore, future studies are encouraged to fill up these knowledge gaps. Practical implications The results imply that the adoption of digital solutions does not necessarily harm the social performance of MFIs. In addition, the findings may imply that financial sustainability can serve as being a preliminary condition but must not lead to the mission drift of MFIs. Findings of the study have implications for policymakers, donors and investors who wish to accelerate the digital transformation within the microfinance industry and to significantly boost financial inclusion. A focus on more social-oriented MFIs can be an appropriate solution. Furthermore, the pathway to digital financial inclusion through microfinance can be made more efficient if improved and supportive facilities as well as systems for digital technology are available. Originality/value This paper is the first one which highlights the relationship between the MFI's social performance and the application of digital solutions by MFIs. Furthermore, we discuss this link while considering cost aspects.</t>
  </si>
  <si>
    <t>CORPORATE SOCIAL-RESPONSIBILITY; CSR DISCLOSURE; EFFICIENCY; BANKING; PERFORMANCE; CREDIT; DETERMINANTS; INFORMATION; COUNTRIES; OUTREACH</t>
  </si>
  <si>
    <t>Microfinance institutions; Fintech; Digital solutions; Social performance; Digitization</t>
  </si>
  <si>
    <t>JOURNAL OF APPLIED ACCOUNTING RESEARCH</t>
  </si>
  <si>
    <t>The digital transformation of microfinance institutions: an empirical analysis</t>
  </si>
  <si>
    <t>Dorfleitner, Gregor; Forcella, Davide; Quynh Anh Nguyen</t>
  </si>
  <si>
    <t>Dorfleitner, G; Forcella, D; Nguyen, QA</t>
  </si>
  <si>
    <t>WOS:000293448900001</t>
  </si>
  <si>
    <t>801OG</t>
  </si>
  <si>
    <t>10.1002/jid.1698</t>
  </si>
  <si>
    <t>Banerjee, Sayantani/0000-0003-4223-1256; Ali, Azhar/0000-0001-5220-7570; Sarma, Mandira/0000-0003-4761-730X</t>
  </si>
  <si>
    <t>; Sarma, Mandira/KUD-2746-2024</t>
  </si>
  <si>
    <t>sarmam@mail.jnu.ac.in</t>
  </si>
  <si>
    <t>Sarma, M (corresponding author), Jawaharlal Nehru Univ, Sch Int Studies, Ctr Int Trade &amp; Dev, New Delhi 110067, India.</t>
  </si>
  <si>
    <t>[Sarma, Mandira] Jawaharlal Nehru Univ, Sch Int Studies, Ctr Int Trade &amp; Dev, New Delhi 110067, India; [Pais, Jesim] Inst Studies Ind Dev, New Delhi, India</t>
  </si>
  <si>
    <t>An important question raised in the literature is whether development leads to an all-inclusive financial system. This paper attempts to examine the relationship between financial inclusion and development by empirically identifying country specific factors that are associated with the level of financial inclusion. It finds that levels of human development and financial inclusion in a country move closely with each other. Among socio-economic and infrastructure related factors, income, inequality, literacy, urbanisation and physical infrastructure for connectivity and information are important. Health of the banking sector does not seem to have an unambiguous effect on financial inclusion whereas ownership pattern does seem to matter. Copyright (C) 2010 John Wiley &amp; Sons, Ltd.</t>
  </si>
  <si>
    <t>financial inclusion; index of financial inclusion; human development index; banking; development</t>
  </si>
  <si>
    <t>FINANCIAL INCLUSION AND DEVELOPMENT</t>
  </si>
  <si>
    <t>Sarma, Mandira; Pais, Jesim</t>
  </si>
  <si>
    <t>Sarma, M; Pais, J</t>
  </si>
  <si>
    <t>WOS:001218307100001</t>
  </si>
  <si>
    <t>QB0Q5</t>
  </si>
  <si>
    <t>10.1016/j.techfore.2024.123339</t>
  </si>
  <si>
    <t>Osabutey, Ellis LC/0000-0003-4788-5224</t>
  </si>
  <si>
    <t>ellis.osabutey@northumbria.ac.uk; terence.jackson@ijccm.net</t>
  </si>
  <si>
    <t>Osabutey, ELC (corresponding author), Northumbria Univ, Fac Business &amp; Law, Newcastle Business Sch, Newcastle NE1 8ST, England.</t>
  </si>
  <si>
    <t>Northumbria University; Middlesex University</t>
  </si>
  <si>
    <t>[Osabutey, Ellis L. C.] Northumbria Univ, Fac Business &amp; Law, Newcastle Business Sch, Newcastle NE1 8ST, England; [Jackson, Terence] Middlesex Univ, Business Sch, London NW4 4BT, England</t>
  </si>
  <si>
    <t>Mobile money is purported to promote financial inclusion. The growing number of studies have largely focused on transactions and related benefits with limited attention to emerging challenges, policies and initiatives that address the relative needs of different stakeholders. Consequently, little has been done to probe the 'bottom-ofthe-pyramid' paradigm that underpins these assumptions. There has been inadequate endeavour to examine ways that empirical research could shed more light on these challenges and how to overcome them. To address these gaps, this study reviews the emerging literature on mobile money that explores both benefits and challenges. From our study three main themes emerge that suggest areas where challenges to the efficacy of the mobile money-financial inclusion link still appears not to have been adequately addressed by policymakers: ensuring integrity, privacy and security; addressing resource and infrastructure constraints; and integrating stakeholder benefits. Yet we suggest merely addressing these challenges does not go far enough in safeguarding the needs of local communities, as major stakeholders. Evidence from our study suggests little direct benefit to the poorer sections of local communities, only to the strata above and to elites and external stakeholders. This has implications for development and social change through technology adoption.</t>
  </si>
  <si>
    <t>INNOVATION; TECHNOLOGY; ADOPTION; MANAGEMENT; BARRIERS; IMPACTS; FOREIGN; PHONES</t>
  </si>
  <si>
    <t>Mobile money; Financial inclusion; Africa; Fintech; Bottom -of -the -pyramid</t>
  </si>
  <si>
    <t>Mobile money and financial inclusion in Africa: Emerging themes, challenges and policy implications</t>
  </si>
  <si>
    <t>Osabutey, Ellis L. C.; Jackson, Terence</t>
  </si>
  <si>
    <t>Osabutey, ELC; Jackson, T</t>
  </si>
  <si>
    <t>WOS:000569260100004</t>
  </si>
  <si>
    <t>NO1QA</t>
  </si>
  <si>
    <t>Cornell Law Rev.</t>
  </si>
  <si>
    <t>CORNELL LAW REV</t>
  </si>
  <si>
    <t>0010-8847</t>
  </si>
  <si>
    <t>CORNELL LAW SCHOOL, ITHACA, NY 14853-4901 USA</t>
  </si>
  <si>
    <t>ITHACA</t>
  </si>
  <si>
    <t>CORNELL LAW REVIEW</t>
  </si>
  <si>
    <t>Lusardi, Annamaria/AEB-6291-2022</t>
  </si>
  <si>
    <t>Fisch, JE (corresponding author), Univ Penn, Law Sch, Business Law, Philadelphia, PA 19104 USA.;Fisch, JE (corresponding author), Inst Law &amp; Econ, Philadelphia, PA 19104 USA.</t>
  </si>
  <si>
    <t>University of Pennsylvania; George Washington University; George Washington University</t>
  </si>
  <si>
    <t>[Fisch, Jill E.] Univ Penn, Law Sch, Business Law, Philadelphia, PA 19104 USA; [Fisch, Jill E.] Inst Law &amp; Econ, Philadelphia, PA 19104 USA; [Lusardi, Annamaria] George Washington Univ, Econ &amp; Accountancy, Washington, DC 20052 USA; [Lusardi, Annamaria] Global Financial Literacy Excellence Ctr, Washington, DC USA; [Hasler, Andrea] George Washington Univ, Sch Business, Financial Literacy, Global Financial Literacy Excellence Ctr, Washington, DC 20052 USA</t>
  </si>
  <si>
    <t>Retirement investing in the United States has changed dramatically. The classic defined benefit (DB) plan has largely been replaced by the defined contribution (DC) plan. With the latter, individual employees' decisions about how much to save for retirement and how to invest those savings determine the benefits available upon retirement. We analyze data from the 2015 National Financial Capability Study to show that people whose only exposure to investment decisions is by virtue of their participation in an employer-sponsored 401(k) plan are poorly equipped to make sound investment decisions. Specifically, they suffer from higher levels of financial illiteracy than other investors. This lack of financial literacy is critical because of both the financial consequences of poor financial decisions and a legal structure that relies on participant choice to limit the fiduciary obligations of the employer with respect to the structure and options provided by the retirement plan. In response to this concern, we propose mandated employer-provided financial education to address limited employee financial literacy. We identify and discuss three requirements that a financial education program should incorporate-a self-assessment, minimum substantive components, and timing. Formalizing the employer role in evaluating and increasing financial literacy among plan participants is a key step in providing retirement plan participants with the resources necessary to manage important decisions regarding retirement planning and, ultimately, for enhancing the financial security of American workers.</t>
  </si>
  <si>
    <t>LITERACY; EDUCATION; KNOWLEDGE; BEHAVIOR; CHOICE; DEBT</t>
  </si>
  <si>
    <t>DEFINED CONTRIBUTION PLANS AND THE CHALLENGE OF FINANCIAL ILLITERACY</t>
  </si>
  <si>
    <t>Fisch, Jill E.; Lusardi, Annamaria; Hasler, Andrea</t>
  </si>
  <si>
    <t>Fisch, JE; Lusardi, A; Hasler, A</t>
  </si>
  <si>
    <t>WOS:001350834800001</t>
  </si>
  <si>
    <t>8BA2L</t>
  </si>
  <si>
    <t>10.1080/15228916.2024.2423984</t>
  </si>
  <si>
    <t>Mori, Neema/0000-0002-2119-2000</t>
  </si>
  <si>
    <t>Richard, Evelyn/F-2007-2018; Mori, Neema/IRZ-0105-2023</t>
  </si>
  <si>
    <t>neema.mori@gmail.com</t>
  </si>
  <si>
    <t>Mori, N (corresponding author), Univ Dar Es Salaam, Business Sch, Finance, Dar Es Salaam, Tanzania.</t>
  </si>
  <si>
    <t>University of Dar es Salaam</t>
  </si>
  <si>
    <t>[Mori, Neema; Richard, Evelyn] Univ Dar Es Salaam, Business Sch, Finance, Dar Es Salaam, Tanzania; [Shauri, Lazaro] Water Mission Tanzania, Dar Es Salaam, Tanzania</t>
  </si>
  <si>
    <t>Microfinance institutions (MFIs) play a vital role in promoting financial inclusion and reducing poverty by providing credit to marginalized populations. However, sustainability issues arise due to challenges in loan repayment. This study examines the factors influencing loan repayment among microfinance borrowers in Tanzania, specifically the impact of dynamic incentives, joint liability, and regular group meetings. Using survey data from 251 MFI borrowers, we analyzed repayment behavior among individuals in group loans through correlation and multiple regression techniques. The results indicate that dynamic incentives and joint liability improve repayment behavior, supporting information asymmetry and carrot/stick theories by reducing information gaps. Joint liability, in particular, fosters mutual trust and accountability, as members become more involved in monitoring and reporting each other's activities to lenders. These findings suggest that MFIs should enhance group lending management practices. For regulators, formalizing and legally recognizing community groups would further support their access to financial services. This study highlights the importance of structured group dynamics in improving loan repayment rates, which are crucial for the sustainability of MFIs.</t>
  </si>
  <si>
    <t>JOINT LIABILITY; PERFORMANCE; INCENTIVES; GAINS</t>
  </si>
  <si>
    <t>Microfinance; incentives; joint liability; meetings; repayment; Tanzania</t>
  </si>
  <si>
    <t>Determinants of Loan Repayment Behavior of Tanzanian Microfinance Borrowers</t>
  </si>
  <si>
    <t>Mori, Neema; Shauri, Lazaro; Richard, Evelyn</t>
  </si>
  <si>
    <t>Mori, N; Shauri, L; Richard, E</t>
  </si>
  <si>
    <t>WOS:001447610400002</t>
  </si>
  <si>
    <t>0HR0P</t>
  </si>
  <si>
    <t>Development Studies; Sociology</t>
  </si>
  <si>
    <t>10.1525/sod.2023.0051</t>
  </si>
  <si>
    <t>Sociol. Dev.</t>
  </si>
  <si>
    <t>SOCIOL DEV</t>
  </si>
  <si>
    <t>2374-538X</t>
  </si>
  <si>
    <t>155 GRAND AVENUE, STE 400, OAKLAND, CA 94612-3764 USA</t>
  </si>
  <si>
    <t>UNIV CALIFORNIA PRESS, JOURNALS DIV</t>
  </si>
  <si>
    <t>majia@asu.edu</t>
  </si>
  <si>
    <t>Nadesan, M (corresponding author), Arizona State Univ, Tempe, AZ 85287 USA.</t>
  </si>
  <si>
    <t>Arizona State University; Arizona State University-Tempe</t>
  </si>
  <si>
    <t>[Nadesan, Majia] Arizona State Univ, Tempe, AZ 85287 USA</t>
  </si>
  <si>
    <t>FinTech is heralded by international development entities, NGOs, and investment firms alike as delivering financial inclusion and women's empowerment. This paper examines these claims and situates FinTech within 20 years of microfinance and micro-enterprise programs aimed at poverty alleviation. The promotion of what has been called livelihood finance as a neoliberal solution to development is challenged for ignoring the realities of credit for high-risk borrowers and the tragic past outcomes of failed experimentation in microfinance. KEYWORDS FinTech, financial inclusion, microfinance, micro-enterprise, livelihood finance</t>
  </si>
  <si>
    <t>SOCIOLOGY OF DEVELOPMENT</t>
  </si>
  <si>
    <t>Women's Financial Inclusion, FinTech and Market-Based Solutions to Poverty Alleviation</t>
  </si>
  <si>
    <t>Nadesan, Majia</t>
  </si>
  <si>
    <t>Nadesan, M</t>
  </si>
  <si>
    <t>WOS:000516723800001</t>
  </si>
  <si>
    <t>NU4PR</t>
  </si>
  <si>
    <t>10.1080/1540496X.2019.1684893</t>
  </si>
  <si>
    <t>OCT 20</t>
  </si>
  <si>
    <t>This work was supported by the Youth Program of Humanities and Social Sciences Foundation of the Ministry of Education Study on the Sustainable Development and System Optimization Path of Microfinance Institutions from the Perspective of Inclusive Finance [17YJC790082]; Beijing Social Science Fund Youth Project Research on the Internal Mechanism of Sustainable Development of Microfinance Institutions in Beijing and Its Influencing Factors [14JGC096]; Premium Funding Project for Academic Human Resources Development in Beijing Union University [BPHR2017CS18; BPHR2018ES01]; National Social Science Foundation of China [19BJL059].</t>
  </si>
  <si>
    <t>Youth Program of Humanities and Social Sciences Foundation of the Ministry of Education Study on the Sustainable Development and System Optimization Path of Microfinance Institutions from the Perspective of Inclusive Finance; Beijing Social Science Fund Youth Project Research on the Internal Mechanism of Sustainable Development of Microfinance Institutions in Beijing and Its Influencing Factors; Premium Funding Project for Academic Human Resources Development in Beijing Union University; National Social Science Foundation of China(National Office of Philosophy and Social Sciences)</t>
  </si>
  <si>
    <t>Youth Program of Humanities and Social Sciences Foundation of the Ministry of Education Study on the Sustainable Development and System Optimization Path of Microfinance Institutions from the Perspective of Inclusive Finance [17YJC790082]; Beijing Social Science Fund Youth Project Research on the Internal Mechanism of Sustainable Development of Microfinance Institutions in Beijing and Its Influencing Factors [14JGC096]; Premium Funding Project for Academic Human Resources Development in Beijing Union University [BPHR2017CS18, BPHR2018ES01]; National Social Science Foundation of China [19BJL059]</t>
  </si>
  <si>
    <t>YANG, YI/0000-0003-2820-0664; Yang, Yi/0000-0003-2289-9638</t>
  </si>
  <si>
    <t>yangyi@bjczy.edu.cn</t>
  </si>
  <si>
    <t>Yang, Y (corresponding author), Beijing Coll Finance &amp; Commerce, Beijing, Peoples R China.</t>
  </si>
  <si>
    <t>Beijing Union University; Beijing College of Finance &amp; Commerce; Industrial &amp; Commercial Bank of China (ICBC); Beijing Youth Politics College</t>
  </si>
  <si>
    <t>[Li, Yaning] Beijing Union Univ, Management Coll, Beijing, Peoples R China; [Yang, Yi] Beijing Coll Finance &amp; Commerce, Beijing, Peoples R China; [Li, Gaoshuai] Ind &amp; Commercial Bank China, Beijing Branch, Beijing, Peoples R China; [Zhao, Xing] Beijing Youth Polit Coll, Beijing, Peoples R China</t>
  </si>
  <si>
    <t>Practical experience and research on microfinance in various countries around the world show that microfinance institutions (MFIs) have had a profound impact on poverty alleviation, addressing the difficulty of lending in rural areas and promoting the development of small and medium-size enterprises. Based on data covering a hundred MFIs in twenty-two countries along the Belt and Road (In diplomatic documents, the English version of the Belt and Road is the Silk Road Economic Belt and the 21st-Century Maritime Silk Road, which can be abbreviated as B&amp;R) from 2014 to 2016, this paper studies the micro- and macro-level factors that affect the sustainable development of MFIs from the perspective of inclusive finance. The results show that the return on assets, credit depth of information index have significant positive effects on the sustainable development of MFIs. However, average loan balance, total expense to asset, risk asset ratio more than thirty days' overdue and rural population to total population have significant negative effects on the sustainable development of MFIs. MFIs' sustainability are significant regional differences.</t>
  </si>
  <si>
    <t>Belt and road initiative; inclusive finance; microfinance institutions; sustainable development</t>
  </si>
  <si>
    <t>Study on Sustainable Development of Microfinance Institutions from the Perspective of Inclusive Finance-Based on MFI Data in Countries along the Belt and Road</t>
  </si>
  <si>
    <t>Li, Yaning; Yang, Yi; Li, Gaoshuai; Zhao, Xing</t>
  </si>
  <si>
    <t>Li, YN; Yang, Y; Li, GS; Zhao, X</t>
  </si>
  <si>
    <t>WOS:000956135400001</t>
  </si>
  <si>
    <t>A6IJ8</t>
  </si>
  <si>
    <t>10.1016/j.frl.2023.103659</t>
  </si>
  <si>
    <t>TU, YONGQIAN/OMK-4959-2025</t>
  </si>
  <si>
    <t>tuyongqian@163.com</t>
  </si>
  <si>
    <t>Tu, YQ (corresponding author), Renmin Univ China, Sch Lab &amp; Human Resources, Beijing, Peoples R China.</t>
  </si>
  <si>
    <t>Zhongnan University of Economics &amp; Law; Renmin University of China</t>
  </si>
  <si>
    <t>[Sun, Shiquan] Zhongnan Univ Econ &amp; Law, Sch Foreign Studies, Wuhan, Peoples R China; [Tu, Yongqian] Renmin Univ China, Sch Lab &amp; Human Resources, Beijing, Peoples R China</t>
  </si>
  <si>
    <t>This paper attempts to empirically test the relationship between financial inclusion and the urban-rural income gap using a spatial panel data model. We find that the development of the financial inclusion system widens the urban-rural income gap under the consideration of spatial factors. With regard to the regional analysis, we find that when the level of financial inclusion is low, the urban-rural income gap widens as the level of financial inclusion increases. And the urban-rural income gap narrows with the increase of financial inclusion when the financial in-clusion reaches a certain level.</t>
  </si>
  <si>
    <t>Financial inclusion; Rural-urban income gap; Financial inclusion index; Spatial panel data model</t>
  </si>
  <si>
    <t>Impact of financial inclusion on the urban-rural income gap-Based on the spatial panel data model</t>
  </si>
  <si>
    <t>Sun, Shiquan; Tu, Yongqian</t>
  </si>
  <si>
    <t>Sun, SQ; Tu, YQ</t>
  </si>
  <si>
    <t>WOS:001532180800001</t>
  </si>
  <si>
    <t>5CD7V</t>
  </si>
  <si>
    <t>10.17981/juridcuc.21.1.2025.05</t>
  </si>
  <si>
    <t>JAN-DEC</t>
  </si>
  <si>
    <t>Jurid. CUC</t>
  </si>
  <si>
    <t>JURID CUC</t>
  </si>
  <si>
    <t>2389-7716</t>
  </si>
  <si>
    <t>1692-3030</t>
  </si>
  <si>
    <t>Calle 55 N 58-66, BARRANQUILLA, 00000, COLOMBIA</t>
  </si>
  <si>
    <t>BARRANQUILLA</t>
  </si>
  <si>
    <t>UNIV COSTA</t>
  </si>
  <si>
    <t>aurdaneta@umet.edu.ec; klunaa@ucacue.edu.ec; rosanamelean@gmail.com; delsi.huaita@uigv.edu.pe</t>
  </si>
  <si>
    <t>Montiel, AJU (corresponding author), Univ Metropolitana Ecuador, Guayaquil, Ecuador.</t>
  </si>
  <si>
    <t>Universidad Metropolitana del Ecuador; Universidad Catolica de Cuenca</t>
  </si>
  <si>
    <t>[Montiel, Armando Jose Urdaneta] Univ Metropolitana Ecuador, Guayaquil, Ecuador; [Altamirano, Kleber Antonio Luna] Univ Catolica Cuenca, Cuenca, Ecuador; [Romero, Rosana A. Melean] Univ Zulia, Zulia, Venezuela; [Acha, Delsi Mariela Huaita] Univ Inca Garcilaso Vega, Bellavista, Peru</t>
  </si>
  <si>
    <t>Financial inclusion in Ecuador shows moderate progress and areas of opportunity. Indicators reflect knowledge of the regulatory framework and supervision of the financial system, with an average of 74.05%. Sustainable financial inclusion is analyzed, based on the regulatory framework, as an essential element in this sector. The research is quantitative, descriptive, non-experimental, and field-based. Although there is an acceptable knowledge of key regulations, implementing financial access programs shows moderate results, with an average of 63.93%. The comprehensive financial inclusion strategy faces legal challenges for public and private sector institutions. Financial education is necessary to understand critical areas and requirements that need to be addressed as part of adhering to existing regulations that allow access to products and services. Despite significant efforts, a coordinated and effective approach is needed to achieve sustainable and effective financial inclusion that takes place within the framework of a highly demanding regulatory system.</t>
  </si>
  <si>
    <t>Legal framework; inclusion; financial system; protection; consumer</t>
  </si>
  <si>
    <t>JURIDICAS CUC</t>
  </si>
  <si>
    <t>LEGAL FRAMEWORK FOR THE SUPERVISION OF THE ECUADORIAN FINANCIAL SYSTEM: FACTORS FOR SUSTAINABLE FINANCIAL INCLUSION</t>
  </si>
  <si>
    <t>Montiel, Armando Jose Urdaneta; Altamirano, Kleber Antonio Luna; Romero, Rosana A. Melean; Acha, Delsi Mariela Huaita</t>
  </si>
  <si>
    <t>Montiel, AJU; Altamirano, KAL; Romero, RAM; Acha, DMH</t>
  </si>
  <si>
    <t>WOS:000672730400057</t>
  </si>
  <si>
    <t>BR8PD</t>
  </si>
  <si>
    <t>978-94-6239-280-9</t>
  </si>
  <si>
    <t>megawati.me@gmail.com</t>
  </si>
  <si>
    <t>Megawati (corresponding author), Univ Negeri Padang, Padang, Indonesia.</t>
  </si>
  <si>
    <t>Universitas Negeri Padang</t>
  </si>
  <si>
    <t>[Megawati; Yumna, Aimatul; Cheisviyanny, Charoline; Tasman, Abel] Univ Negeri Padang, Padang, Indonesia; [Susanti, Fifka Amelia] Sekolah Tinggi Ilmu Ekon Sumatera Barat, Pariaman, Indonesia</t>
  </si>
  <si>
    <t>Financial performance of Micro, Small and Medium Enterprises (MSMEs) is the focus for MSMEs to grow and develop as business entities that become the mainstay of the nation's economy. The purpose of this study is to evaluate the effect of MSMEs determinant factors namely financial literacy, financial inclusion, internal locus of control and risk perception on its financial performance. The Systematic Literature Review (SLR) method is used in this research by reviewing some relevant journals which discuss related research topics. The results indicate that financial literacy, financial inclusion, internal locus of control and risk perception were become determinants that has a major effect on the financial performance of MSMEs.</t>
  </si>
  <si>
    <t>performance; financial literacy; financial inclusion; internal locus of control; risk perception</t>
  </si>
  <si>
    <t>Univ Negeri, Fac Econ</t>
  </si>
  <si>
    <t>Padang, INDONESIA</t>
  </si>
  <si>
    <t>JUL 18-19, 2020</t>
  </si>
  <si>
    <t>5th Padang International Conference on Economics Education, Economics, Business and Management, Accounting and Entrepreneurship (PICEEBA)</t>
  </si>
  <si>
    <t>PROCEEDINGS OF THE 5TH PADANG INTERNATIONAL CONFERENCE ON ECONOMICS EDUCATION, ECONOMICS, BUSINESS AND MANAGEMENT, ACCOUNTING AND ENTREPRENEURSHIP (PICEEBA-5 2020)</t>
  </si>
  <si>
    <t>The Determinants of Micro, Small and Medium Enterpeises (Msmes) Financial Performance : A Literature Review</t>
  </si>
  <si>
    <t>Megawati; Yumna, Aimatul; Cheisviyanny, Charoline; Tasman, Abel; Susanti, Fifka Amelia</t>
  </si>
  <si>
    <t>Susanto, P; Syofyan, E; Mallick, D; Kusanagi, KN; Mathews, S; Briggs, M; Raziq, A; Imran, M; Ardi, H; Marna, JE; Syofyan, R; Lasmi, RS; Thaib, I; Septiari, D; Putra, HS; Handayani, DF; Honesty, HN; Pebriani, D; Sari, YP</t>
  </si>
  <si>
    <t>Megawati; Yumna, A; Cheisviyanny, C; Tasman, A; Susanti, FA</t>
  </si>
  <si>
    <t>WOS:001403569700001</t>
  </si>
  <si>
    <t>T2S5A</t>
  </si>
  <si>
    <t>10.1016/j.gfj.2024.101070</t>
  </si>
  <si>
    <t>We are grateful for the useful comments from Emmanuel Amoah, Alessandro Chiari, Svatopluk Kapounek, Harriet Kwartemaa, Tersoo Lorgurum, Isaac Nunoo, Milan Scasny, Christian Vossler, anonymous referee, and presentation participants in Bratislava and Prague. Research support by the Grantova Agentura Ceske Republiky under Grant No 23-07983S is acknowledged (Kocenda) . The usual disclaimer applies.</t>
  </si>
  <si>
    <t>Grantova Agentura Ceske Republiky(Grant Agency of the Czech Republic)</t>
  </si>
  <si>
    <t>Grantova Agentura Ceske Republiky [23-07983S]</t>
  </si>
  <si>
    <t>Kocenda, Evzen/R-9674-2017</t>
  </si>
  <si>
    <t>samuel.fiifi.eshun@fsv.cuni.cz; evzen.kocenda@fsv.cuni.cz</t>
  </si>
  <si>
    <t>Eshun, SF (corresponding author), Charles Univ Prague, Inst Econ Studies, Prague, Czech Republic.</t>
  </si>
  <si>
    <t>Charles University Prague; Leibniz Association; Ifo Institut; Leibniz Institut fur Ost und Sudosteuropaforschung</t>
  </si>
  <si>
    <t>[Eshun, Samuel Fiifi; Kocenda, Evzen] Charles Univ Prague, Inst Econ Studies, Prague, Czech Republic; [Kocenda, Evzen] CESifo, Munich, Germany; [Kocenda, Evzen] IOS, Regensburg, Germany</t>
  </si>
  <si>
    <t>This study explores the dynamic relationship between financial inclusion and green sustainability across 38 African countries. We construct an environmental pollution index and a financial inclusion index covering the period 2000-2021 to account for the several dimensions within both indicators and employ them in the System GMM approach. We also test for intra-regional heterogeneity in Africa. Our empirical results show that financial inclusion, while economically beneficial, poses a significant risk of environmental degradation and has a distinctive inverted Ushaped relationship. A direct link between increases in financial inclusion and pollution alters at a turning point, beyond which further financial inclusion increases enhance green sustainability. The same pattern is observed for aggregate output. The results hold even when we control for a score of macro-level determinants. Our analysis highlights intra-regional heterogeneity, revealing differences in impact across income levels and regional groups within Sub-Saharan Africa. These results remain robust for alternative proxies of green sustainability. We offer valuable insights for policymakers to promote sustainability through inclusive financial practices and policies in SubSaharan Africa.</t>
  </si>
  <si>
    <t>CORPORATE SOCIAL-RESPONSIBILITY; PANEL-DATA; ENERGY-CONSUMPTION; ECONOMIC-GROWTH; CO2 EMISSIONS; URBANIZATION; OPENNESS; CARBON; IMPACT</t>
  </si>
  <si>
    <t>Environmental pollution index; Financial inclusion index; Environmental; Social and governance (ESG); Corporate social responsibility (CSR); Green sustainability; Sub-Saharan Africa (SSA)</t>
  </si>
  <si>
    <t>Money talks, green walks: Does financial inclusion promote green sustainability in Africa?</t>
  </si>
  <si>
    <t>Eshun, Samuel Fiifi; Kocenda, Evzen</t>
  </si>
  <si>
    <t>Eshun, SF; Kocenda, E</t>
  </si>
  <si>
    <t>WOS:001628522800001</t>
  </si>
  <si>
    <t>K4050</t>
  </si>
  <si>
    <t>10.1080/26437015.2025.2589426</t>
  </si>
  <si>
    <t>2025 DEC 1</t>
  </si>
  <si>
    <t>J. Int. Counc. Small Bus.</t>
  </si>
  <si>
    <t>J INT COUNC SMALL BU</t>
  </si>
  <si>
    <t>2643-7023</t>
  </si>
  <si>
    <t>2643-7015</t>
  </si>
  <si>
    <t>markmanguera@gmail.com</t>
  </si>
  <si>
    <t>Manguera, MCR (corresponding author), Congress Policy &amp; Budget Res Dept, House Representat,3-F Main Bldg,Batasan Hills,Metr, Quezon City 1126, Philippines.</t>
  </si>
  <si>
    <t>[Manguera, Mark Carmelo R.] Congress Policy &amp; Budget Res Dept, House Representat,3-F Main Bldg,Batasan Hills,Metr, Quezon City 1126, Philippines; [Rivera, Alyanna Victoria M.] Small Business Corp, Planning &amp; Policy Management Grp, Makati, Philippines</t>
  </si>
  <si>
    <t>In a context where financial challenges disproportionately affect women-led micro-, small, and medium-sized enterprises, understanding the role of microfinance institutions (MFIs) in bridging these gaps is critical. This study examines the loan approval and repayment patterns of borrowers from the Small Business Corporation, a government MFI in the Philippines. Using a Heckprobit selection model, the results show that women-led enterprises are more likely to secure loans but face greater challenges with timely repayment, highlighting issues of financial sustainability. Microenterprises, although prioritized for funding, also struggle with repayment. The study underscores the dual objectives of MFIs, balancing financial sustainability with social impact, which influence both loan approval rates and repayment behaviors. These findings suggest that access to credit alone is insufficient for long-term success. To address both funding and capacity gaps, targeted interventions like financial literacy programs and tailored financial products are essential to promote sustainable entrepreneurship for underserved segments.</t>
  </si>
  <si>
    <t>Microfinance; financial inclusion; gender and finance; microfinancing institutions; women-led enterprises</t>
  </si>
  <si>
    <t>JOURNAL OF THE INTERNATIONAL COUNCIL FOR SMALL BUSINESS</t>
  </si>
  <si>
    <t>Funding access and repayment challenges of women-led MSMEs: Insights from a Philippine government microfinance institution</t>
  </si>
  <si>
    <t>Manguera, Mark Carmelo R.; Rivera, Alyanna Victoria M.</t>
  </si>
  <si>
    <t>Manguera, MCR; Rivera, AVM</t>
  </si>
  <si>
    <t>WOS:001360893800001</t>
  </si>
  <si>
    <t>W4I2G</t>
  </si>
  <si>
    <t>10.1007/s11205-024-03476-8</t>
  </si>
  <si>
    <t>Rani, Neelam/D-6525-2015</t>
  </si>
  <si>
    <t>pawan.phd20@iimshillong.ac.in; atul@iimshillong.ac.in; neelam@iimshillong.ac.in</t>
  </si>
  <si>
    <t>Kamble, PA (corresponding author), Indian Inst Management Shillong, Shillong, India.</t>
  </si>
  <si>
    <t>Indian Institute of Management (IIM System); Indian Institute of Management Shillong</t>
  </si>
  <si>
    <t>[Kamble, Pawan Ashok; Mehta, Atul; Rani, Neelam] Indian Inst Management Shillong, Shillong, India</t>
  </si>
  <si>
    <t>Financial resilience is the capacity of individuals to effectively mitigate the impacts of adversities by utilizing appropriate resources. Previous studies primarily assess financial resilience using an ex-post approach, evaluating resilience after a shock has occurred, causing additional stress for households. Conversely, ex-ante assessments rely heavily on economic resources like savings and emergency funds to mitigate adverse effects. However, in developing countries with underdeveloped financial systems, access to financial services is a major challenge. Households in these regions rely on a variety of resources, capabilities, and networks to remain resilient. Thus, both ex-post and ex-ante approaches are limited by being narrow, unidimensional, and backward-looking. This paper posits that financial resilience is a forward-looking, multidimensional concept emphasizing ex-ante preparedness for future adversities using internal and external resources. We propose a financial resilience framework encompassing financial inclusion, financial literacy, digital literacy, participatory decision-making, and social capital. Using data from the 2016 Intermedia's Financial Inclusion Insight Survey of India and employing multivariate statistical techniques, including multiple correspondence analysis and principal component analysis, we develop a composite measure of financial resilience. Our analysis identifies vulnerable segments of the population, suggesting that only about 2% of adults are financially resilient, while one-fourth are financially vulnerable. Specifically, adults in rural areas, females, younger and older individuals, those with low education levels, and individuals without full-time employment are more likely to be financially vulnerable. We discuss policy implications aimed at enhancing financial inclusion, financial and digital literacy, and women's empowerment to better protect against future shocks.</t>
  </si>
  <si>
    <t>COPING STRATEGIES; HEALTH SHOCKS; RESOURCE-ALLOCATION; NATURAL DISASTERS; POVERTY; CONSUMPTION; VULNERABILITY; RISK; LITERACY; MICROCREDIT</t>
  </si>
  <si>
    <t>Financial resilience; Multidimensional framework; Ex-ante; Financial inclusion; Financial literacy; Digital literacy; Social capital; Women empowerment; Composite index; Multiple correspondence analysis; Principal component analysis; I31; G20; G50; G530</t>
  </si>
  <si>
    <t>Measuring Multidimensional Financial Resilience: An Ex-ante Approach</t>
  </si>
  <si>
    <t>Kamble, Pawan Ashok; Mehta, Atul; Rani, Neelam</t>
  </si>
  <si>
    <t>Kamble, PA; Mehta, A; Rani, N</t>
  </si>
  <si>
    <t>WOS:000586341900009</t>
  </si>
  <si>
    <t>OM9NO</t>
  </si>
  <si>
    <t>10.1108/SRJ-01-2019-0011</t>
  </si>
  <si>
    <t>Soc. Responsib. J.</t>
  </si>
  <si>
    <t>SOC RESPONSIB J</t>
  </si>
  <si>
    <t>1758-857X</t>
  </si>
  <si>
    <t>1747-1117</t>
  </si>
  <si>
    <t>Bongomin, GOC (corresponding author), Makerere Univ, Business Sch, Fac Grad Studies &amp; Res, Kampala, Uganda.</t>
  </si>
  <si>
    <t>[Okello Candiya Bongomin, George] Makerere Univ, Business Sch, Fac Grad Studies &amp; Res, Kampala, Uganda; [Ntayi, Joseph] Makerere Univ, Business Sch, Dept Management Sci, Kampala, Uganda</t>
  </si>
  <si>
    <t>Purpose Recently, a large body of research has been devoted on the role of trust in shaping different types of transactions, especially in rural financial development. Trust is a set of expectations shared by all those who engage in an exchange. Indeed, the rule of the game suggests that no trusting party in a transaction should act opportunistically. Consequently, this study aims to establish the mediating effect of trust in the relationship between mobile money adoption and usage and financial inclusion of MSMEs in developing countries with a specific focus on rural Uganda. Design/methodology/approach A quantitative survey-based study was used and responses obtained from 379 MSMEs located in northern Uganda were analysed using partial least square-PLS version 3.0. A semi-structured questionnaire was developed from scales and items used in previous studies referenced in internationally recognised journals to elicit responses from the MSMEs. Structural equation modelling was used to test the models to arrive at a final empirical model derived from the data. Findings The authors found evidence that trust enhances mobile money adoption and usage to increase the scope of financial inclusion of MSMEs in developing countries. Moreover, when individual effect was determined, trust also had significant and positive effect on financial inclusion. Thus, the study results imply that trust enhances mobile money adoption and usage to improve the level of financial inclusion of MSMEs in developing countries. Research limitations/implications The study used cross-sectional data to document the relationship between mobile money adoption and usage and financial inclusion and to establish the mediating effect of trust in the relationship. Future research could use relevant longitudinal data to verify other benefits of trust. Practical implications The results present trust as a significant factor for FINTECH financial services marketing and growth. Specifically, data privacy and effectiveness of the mobile telephone network is more likely to help consumers to bridge the gap between participation and non-participation on the mobile money platform. Customers' data sent over the mobile network of providers should be protected from unnecessary access and usage by Mobile Network Operators (MNOs) staff and unauthorised persons and agents. Data protection protocols should be set by the MNOs to avoid unnecessary access and use of customers' data. Originality/value Globally, Fintech scholars have examined the role of mobile money in promoting financial inclusion. However, there is insufficient evidence on the mediating effect of trust in the relationship between mobile money adoption and usage and financial inclusion, especially among rural MSMEs. This study invents a novel direction on the importance of trust in creating transaction efficiency by eliminating opportunism and fraud with in the Fintech ecosystem.</t>
  </si>
  <si>
    <t>ECONOMIC-DEVELOPMENT; GROWTH; RISK; INTENTION; SERVICES; COMMERCE; BANKING; PHONES; ISSUES; ACCESS</t>
  </si>
  <si>
    <t>Customers' data; Opportunism; Trust; MSMEs; Mobile money fraud; MNOs' integrity</t>
  </si>
  <si>
    <t>SOCIAL RESPONSIBILITY JOURNAL</t>
  </si>
  <si>
    <t>Trust: mediator between mobile money adoption and usage and financial inclusion</t>
  </si>
  <si>
    <t>Okello Candiya Bongomin, George; Ntayi, Joseph</t>
  </si>
  <si>
    <t>Bongomin, GOC; Ntayi, J</t>
  </si>
  <si>
    <t>WOS:001514681700001</t>
  </si>
  <si>
    <t>4CK0U</t>
  </si>
  <si>
    <t>Business &amp; Economics; Government &amp; Law; Social Sciences - Other Topics</t>
  </si>
  <si>
    <t>Economics; Political Science; Social Sciences, Interdisciplinary</t>
  </si>
  <si>
    <t>10.3390/world6020044</t>
  </si>
  <si>
    <t>World</t>
  </si>
  <si>
    <t>WORLD-BASEL</t>
  </si>
  <si>
    <t>2673-4060</t>
  </si>
  <si>
    <t>This manuscript received no external funding; however, the Hungarian University of Agriculture and Life Sciences covers the article processing fee.</t>
  </si>
  <si>
    <t>Hungarian University of Agriculture and Life Sciences</t>
  </si>
  <si>
    <t>Taera, Edosa Getachew/0000-0001-5657-1564</t>
  </si>
  <si>
    <t>getachew.edosa@phd.uni-mate.hu; lakner.zoltan.karoly@uni-mate.hu</t>
  </si>
  <si>
    <t>Taera, EG (corresponding author), Hungarian Univ Agr &amp; Life Sci, Sch Econ &amp; Reg Sci, Pater Karoly St 1, H-2100 Godollo, Hungary.;Taera, EG (corresponding author), Wallaga Univ, Dept Banking &amp; Finance, POB 395, Nekemte, Ethiopia.;Lakner, Z (corresponding author), Hungarian Univ Agr &amp; Life Sci, Inst Agr &amp; Food Econ, Pater Karoly St 1, H-2100 Godollo, Hungary.</t>
  </si>
  <si>
    <t>Hungarian University of Agriculture &amp; Life Sciences; Hungarian University of Agriculture &amp; Life Sciences</t>
  </si>
  <si>
    <t>[Taera, Edosa Getachew] Hungarian Univ Agr &amp; Life Sci, Sch Econ &amp; Reg Sci, Pater Karoly St 1, H-2100 Godollo, Hungary; [Taera, Edosa Getachew] Wallaga Univ, Dept Banking &amp; Finance, POB 395, Nekemte, Ethiopia; [Lakner, Zoltan] Hungarian Univ Agr &amp; Life Sci, Inst Agr &amp; Food Econ, Pater Karoly St 1, H-2100 Godollo, Hungary</t>
  </si>
  <si>
    <t>Sustainable finance is critical for solving global concerns such as climate change, social inequality, and fostering a circular economy, which seeks to decouple economic progress from resource extraction and waste production. This study explores how sustainable finance tools, such as green bonds, microfinance, and impact investing, can advance financial inclusion and sustainable development in developing countries. Employing a mixed-methods approach that encompasses financial analysis alongside case studies from Sub-Saharan Africa, Asia, and Latin America, the study discerns both successful initiatives and ongoing challenges in reconciling CE objectives with financial accessibility. The results indicate that the global green bond issuance exceeded $575 billion in 2023, while efforts toward financial inclusion have enabled mobile money access for over 70% of the adult population in Sub-Saharan Africa. Nevertheless, the uptake of CE remains constrained, with merely 7.2% of materials within the global economy being classified as circular. These findings emphasize the necessity for integrated policies and innovative financial instruments to dismantle systemic obstacles and amplify sustainable finance solutions in resource-limited contexts. The study contributes to the literature by building on the existing frameworks and offering an integrated approach that provides empirical insights and pragmatic strategies for policymakers and financial institutions to enhance sustainable development and foster equitable economic growth, addressing gaps in traditional finance and regulatory frameworks to support circular economy adoption in resource-constrained nations.</t>
  </si>
  <si>
    <t>sustainable finance; circular economy; financial inclusion; green bonds; microfinance; impact investing; developing economies; sustainable development</t>
  </si>
  <si>
    <t>WORLD</t>
  </si>
  <si>
    <t>Sustainable Finance: Bridging Circular Economy Goals and Financial Inclusion in Developing Economies</t>
  </si>
  <si>
    <t>Taera, Edosa Getachew; Lakner, Zoltan</t>
  </si>
  <si>
    <t>Taera, EG; Lakner, Z</t>
  </si>
  <si>
    <t>WOS:000478678100027</t>
  </si>
  <si>
    <t>BN3BD</t>
  </si>
  <si>
    <t>10.1145/3287098.3287123</t>
  </si>
  <si>
    <t>978-1-4503-6122-4</t>
  </si>
  <si>
    <t>kushals@uw.edu; shri@cs.washington.edu; anderson@cs.washington.edu</t>
  </si>
  <si>
    <t>Shah, K (corresponding author), Univ Washington, Seattle, WA 98195 USA.</t>
  </si>
  <si>
    <t>[Shah, Kushal; Mare, Shrirang; Anderson, Richard] Univ Washington, Seattle, WA 98195 USA</t>
  </si>
  <si>
    <t>Access to financial services through a mobile phone, known as Mobile Financial Services (MFS), creates an opportunity to expand the reach of financial services to the 1.7 billion unbanked adults worldwide. Nevertheless, MFS adoption has been inconsistent, which motivates a need to identify the challenges that MFS users confront in different countries. In this work, we explore the Twitter as a potential data source to understand such challenges. More broadly, we assess whether (and how) publicly available Twitter data can augment the findings of expensive, large-scale research studies on MFS barriers. Our Qualitative Content Analysis of 9,000 mobile money grievance tweets that were extracted from 54 MFS customer care twitter feeds across six countries reveals service and access issues, incorrect transactions, and fraud as three main challenges MFS users report on Twitter. We discuss the nuances around these challenges and the substantial differences between the common issues reported in different countries. Ultimately, we conclude that Twitter data can elucidate the challenges of MFS adoption and also that it can augment the results of other types of MFS studies.</t>
  </si>
  <si>
    <t>SOCIAL MEDIA; POVERTY</t>
  </si>
  <si>
    <t>Mobile Financial Services; ICTD; Twitter; Financial Inclusion</t>
  </si>
  <si>
    <t>Indian Inst Management</t>
  </si>
  <si>
    <t>Google,Microsoft Res,Facebook,Univ Michigan, Sch Informat,Wadhwani AI,SPIDER,Natl Sci Fdn,Wadhwani Fdn</t>
  </si>
  <si>
    <t>Indian Inst Management, Ahmedabad, INDIA</t>
  </si>
  <si>
    <t>JAN 04-07, 2019</t>
  </si>
  <si>
    <t>10th International Conference on Information and Communication Technologies and Development (ICTD)</t>
  </si>
  <si>
    <t>PROCEEDINGS OF THE TENTH INTERNATIONAL CONFERENCE ON INFORMATION AND COMMUNICATION TECHNOLOGIES AND DEVELOPMENT (ICTD)</t>
  </si>
  <si>
    <t>Understanding Mobile Money Grievances from Tweets</t>
  </si>
  <si>
    <t>Shah, Kushal; Mare, Shrirang; Anderson, Richard</t>
  </si>
  <si>
    <t>Shah, K; Mare, S; Anderson, R</t>
  </si>
  <si>
    <t>WOS:001071183800001</t>
  </si>
  <si>
    <t>S4WJ3</t>
  </si>
  <si>
    <t>10.1016/j.jclepro.2023.137658</t>
  </si>
  <si>
    <t>Siddik, Abu Bakkar/0000-0002-3953-198X; Rahman, Nafizur/0000-0003-1556-5488</t>
  </si>
  <si>
    <t>Siddik, Abu Bakkar/AAC-7062-2021; Rahman, Nafizur/C-6678-2019</t>
  </si>
  <si>
    <t>ls190309@sust.edu.cn</t>
  </si>
  <si>
    <t>Siddik, A (corresponding author), Univ Sci &amp; Technol China USTC, Sch Management, Jinzhai Rd, Hefei 230026, Peoples R China.</t>
  </si>
  <si>
    <t>Chinese Academy of Sciences; University of Science &amp; Technology of China, CAS</t>
  </si>
  <si>
    <t>[Siddik, Abu Bakkar; Yong, Li] Univ Sci &amp; Technol China USTC, Sch Management, Jinzhai Rd, Hefei 230026, Peoples R China; [Rahman, Md Nafizur] Bangladesh Univ Profess, Dept Business Adm Finance &amp; Banking, Dhaka 1216, Bangladesh</t>
  </si>
  <si>
    <t>Corporate sustainability performance (CSP) has recently garnered considerable traction worldwide. Adopting industry 4.0 technologies such as financial technology (Fintech) and leveraging critical organizational resources are of great importance to the sustainability and performance of firms. This study draws upon the ecological modernization theory (EMT) and resource-based view (RBV) to assess the effects of a firm's Fintech Adoption (FA) and Financial Literacy (FL) on different dimensions of its sustainability performance. We also examine the mediating role of Access to Finance (AF) in the associations among these understudied variables. Empirical data was collected from 262 firms in the Bangladeshi apparel industry, and the CB-SEM approach was employed to assess the proposed hypotheses. The findings revealed that FA and FL are significant drivers of firms' sustainability performance. Additionally, access to finance was found to have a robust mediating impact on both the fintech adoption-sustainability performance relationship and the financial literacy-sustainability performance relationship. Moreover, the findings indicated that access to finance positively spurs a firm's sustainability performance. These results are robust to several sensitivity checks. Our findings extend the EMT and RBV theories' scope by establishing FA, FL, and AF as valuable resources for firms to drive their sustainability performance. Given the dearth of primary-data-based research, our empirical study addresses the gaps in the fintech, FL, and sustainability literature and yields crucial implications for theory and practice. Our research provides managers of RMG enterprises and policymakers with a constructive model for implementing fintech and managers' FL to enhance firms' access to credit and sustainability performance.</t>
  </si>
  <si>
    <t>TREATING UNOBSERVED HETEROGENEITY; ENVIRONMENTAL PERFORMANCE; ECOLOGICAL MODERNIZATION; ECONOMIC-PERFORMANCE; METHOD VARIANCE; FIRM RESOURCES; SME MANAGERS; CONSTRAINTS; IMPACT; CREDIT</t>
  </si>
  <si>
    <t>Fintech adoption; Financial literacy; Sustainability; Access to finance; Firm performance</t>
  </si>
  <si>
    <t>Do fintech adoption and financial literacy improve corporate sustainability performance? The mediating role of access to finance</t>
  </si>
  <si>
    <t>Siddik, Abu Bakkar; Rahman, Md Nafizur; Yong, Li</t>
  </si>
  <si>
    <t>Siddik, A; Rahman, MN; Yong, L</t>
  </si>
  <si>
    <t>WOS:001619269900004</t>
  </si>
  <si>
    <t>A1871</t>
  </si>
  <si>
    <t>10.1016/j.frl.2025.108858</t>
  </si>
  <si>
    <t>F</t>
  </si>
  <si>
    <t>This work was supported by the Guangzhou Philosophy and Social Sciences 14th Five-Year Plan Project (2025GZGJ26) .</t>
  </si>
  <si>
    <t>Guangzhou Philosophy and Social Sciences 14th Five-Year Plan Project</t>
  </si>
  <si>
    <t>Guangzhou Philosophy and Social Sciences 14th Five-Year Plan Project [2025GZGJ26]</t>
  </si>
  <si>
    <t>chankatherine@163.com</t>
  </si>
  <si>
    <t>Chen, XJ (corresponding author), South China Agr Univ, Coll Econ &amp; Management, 483 Wushan Rd, Guangzhou, Peoples R China.</t>
  </si>
  <si>
    <t>South China Agricultural University; South China Agricultural University; China Agricultural University; Yunnan University of Finance &amp; Economics</t>
  </si>
  <si>
    <t>[Chen, Xiaojie] South China Agr Univ, Coll Econ &amp; Management, Guangzhou 510642, Peoples R China; [Chen, Xiaojie] South China Agr Univ, Rural Revitalizat Lab, Key Lab Philosophy &amp; Social Sci Guangdong Prov, Guangzhou 510642, Peoples R China; [He, Guangwen] China Agr Univ, Coll Econ &amp; Management, Beijing 100083, Peoples R China; [He, Guangwen] Yunnan Univ Finance &amp; Econ, Sch Finance, Kunming 650221, Peoples R China</t>
  </si>
  <si>
    <t>This paper examines the impact of digital credit utilization on rural households' investment in risky financial assets in rural China. Employing data from the China Rural Inclusive Finance Survey administered in July 2023, our empirical results indicate that digital credit exerts a positive effect on rural households' probability of investing in risky financial assets. Specifically, rural households that utilize digital credit have a 15.6 % higher likelihood of investing in risky financial assets compared to those that do not. Furthermore, digital credit influences this investment behavior through income growth and enhanced risk appetite. Finally, the positive impact of digital credit on risky financial asset investment is more pronounced for three subgroups: rural households excluded from traditional bank credit, male-headed rural households, and high-income rural households.</t>
  </si>
  <si>
    <t>FARMERS; PERCEPTIONS; ATTITUDES</t>
  </si>
  <si>
    <t>Digital credit; Risky financial assets; Rural households</t>
  </si>
  <si>
    <t>Digital credit and investment in risky financial assets: Evidence from rural China</t>
  </si>
  <si>
    <t>Chen, Xiaojie; He, Guangwen</t>
  </si>
  <si>
    <t>Chen, XJ; He, GW</t>
  </si>
  <si>
    <t>WOS:001041151300001</t>
  </si>
  <si>
    <t>O0XZ5</t>
  </si>
  <si>
    <t>10.1016/j.jpolmod.2023.04.005</t>
  </si>
  <si>
    <t>? We thank Fabio Gomes, Tiago Pereira, Eduardo Correira, Ricardo Brito and Marco Lyrio for their valuable comments and suggestions. All errors are ours. Bettoni gratefully acknowledges financial support from FAPESP Grant 2017/18943-0. Santos thanks the National Council for Scientific and Technological Development (CNPq) for financial support 310468/2022-1.</t>
  </si>
  <si>
    <t>FAPESP(Fundacao de Amparo a Pesquisa do Estado de Sao Paulo (FAPESP)); National Council for Scientific and Technological Development (CNPq)(Conselho Nacional de Desenvolvimento Cientifico e Tecnologico (CNPQ))</t>
  </si>
  <si>
    <t>FAPESP [2017/18943-0]; National Council for Scientific and Technological Development (CNPq) [310468/2022-1]</t>
  </si>
  <si>
    <t>marcelors2@insper.edu.br</t>
  </si>
  <si>
    <t>Santos, M (corresponding author), Insper, Sao Paulo, Brazil.</t>
  </si>
  <si>
    <t>Insper; University of Sussex</t>
  </si>
  <si>
    <t>[Bettoni, Luis; Santos, Marcelo; Filho, Gilberto Oliveira] Insper, Sao Paulo, Brazil; [Santos, Marcelo] Univ Sussex, Brighton, England</t>
  </si>
  <si>
    <t>Over the past decades, microfinance has become a pillar of economic development policies. However, despite the great popularity of micro-credit programs, the results of empirical studies are mixed. Thus, more research is needed to help us understand how effective microfinance is in achieving poverty reduction, economic development, and financial inclusion. This paper contributes to the literature by relying on a unique dataset from one of the biggest Fintech companies in Brazil to study the impact of microcredit on small firms' outcomes. Using a difference-in-difference approach, we find that access to credit increases monthly revenues and profits by nearly 4.5%. We show that the effects are stronger for women-led businesses and less experienced entrepreneurs. In addition, we find that credit renewal strengthens the benefits of credit access. We discuss several policy implications from our results. In particular, the permanent availability of credit - as opposed to one-time/ short-term interventions - has greater potential to generate virtuous cycles of ever more reinvestment and growth, indicating larger gains from relaxing borrowing constraints in the long run. &amp; COPY; 2023 Published by Elsevier Inc. on behalf of The Society for Policy Modeling.</t>
  </si>
  <si>
    <t>DETERMINANTS; PERFORMANCE; BANGLADESH; HOUSEHOLDS</t>
  </si>
  <si>
    <t>Microfinance; Economic development; Impact evaluation; Entrepreneurship</t>
  </si>
  <si>
    <t>The impact of microcredit on small firms in Brazil: A potential to promote investment, growth and inclusion</t>
  </si>
  <si>
    <t>Bettoni, Luis; Santos, Marcelo; Filho, Gilberto Oliveira</t>
  </si>
  <si>
    <t>Bettoni, L; Santos, M; Oliveira, G</t>
  </si>
  <si>
    <t>WOS:000817872100001</t>
  </si>
  <si>
    <t>X8NK4</t>
  </si>
  <si>
    <t>10.1108/K-08-2021-0710</t>
  </si>
  <si>
    <t>Elrehail, Hamzah/0000-0001-6935-3355; Ali Al-Qudah, Anas/0000-0003-3609-1541; Al-Qadi, Naim/0000-0002-1103-6573; Alqudah, Hamza/0000-0003-2131-4933; Al-Okaily, Manaf/0000-0002-1610-7385;</t>
  </si>
  <si>
    <t>Elrehail, Hamzah/I-1891-2015; Ali Al-Qudah, Anas/AAE-8019-2021; Al-Qadi, Naim/HKN-6892-2023; Alqudah, Hamza/JKJ-5765-2023; Al-Okaily, Manaf/ABI-8322-2020; Al-Okaily, Aws/ABE-6244-2021</t>
  </si>
  <si>
    <t>h.elrehail@adsm.ac.ae</t>
  </si>
  <si>
    <t>Elrehail, H (corresponding author), Abu Dhabi Sch Management, Dept Leadership &amp; Org Dev, Abu Dhabi, U Arab Emirates.;Elrehail, H (corresponding author), Amer Univ Cyprus, Fac Business &amp; Econ, Nicosia, Cyprus.</t>
  </si>
  <si>
    <t>Al-Balqa Applied University; Universiti Sains Malaysia</t>
  </si>
  <si>
    <t>[Al-Okaily, Manaf] Jadara Univ, Sch Business, Irbid, Jordan; [Alqudah, Hamza] Irbid Natl Univ, Fac Adm &amp; Financial Sci, Irbid, Jordan; [Al-Qudah, Anas Ali] Liwa Coll Technol, Fac Business, Accounting &amp; Finance Dept, Abu Dhabi, U Arab Emirates; [Al-Qadi, Naim S.] Al Balqa Appl Univ, Amman Coll Banking &amp; Financial Sci, Fac Business, Al Salt, Jordan; [Elrehail, Hamzah] Abu Dhabi Sch Management, Dept Leadership &amp; Org Dev, Abu Dhabi, U Arab Emirates; [Elrehail, Hamzah] Amer Univ Cyprus, Fac Business &amp; Econ, Nicosia, Cyprus; [Al-Okaily, Aws] Univ Sains Malaysia, Grad Sch Business, George Town, Malaysia</t>
  </si>
  <si>
    <t>Purpose Despite extensive discussion of this topic in the life and financial transactions of people, there is a lack of empirical evidence related to challenges and opportunities of digital financial inclusion sustainability in the existing literature. Accordingly, this study aims at investigating the factors that influence the diffusion rate of digital financial services. Design/methodology/approach In this study, the authors propose an integrated model by synthesising the extended Unified Theory of Acceptance and Use of Technology 2 (UTAUT2) with the perceived security and perceived privacy as independent variables, as well as the financial awareness as the moderator variable. The survey was distributed to the potential users of digital financial services rather than the actual users. A total of 270 responses were analysed by a quantitative method of Partial Least Squares-Structural Equation Modelling (PLS-SEM). Findings The results indicated the significant role of the postulated hypotheses that behavioural intention to use digital financial services platforms is significantly and positively influenced by the subjective norm, performance expectancy, price value, perceived security and perceived privacy, whilst the financial awareness was found to moderate some specified relationships. Originality/value There are few studies on this topic for the Arabian context. The information presented in this article can be useful for professionals and researchers, and further, implications of the study are discussed.</t>
  </si>
  <si>
    <t>INFORMATION-TECHNOLOGY; DEVELOPING-COUNTRY; MOBILE BANKING; UNIFIED THEORY; ADOPTION; INTENTION; SERVICES; MODELS</t>
  </si>
  <si>
    <t>Digital transformation; Digital financial services; Digital payment; Financial inclusion; Financial awareness; UTAUT2 model</t>
  </si>
  <si>
    <t>Does financial awareness increase the acceptance rate for financial inclusion? An empirical examination in the era of digital transformation</t>
  </si>
  <si>
    <t>Al-Okaily, Manaf; Alqudah, Hamza; Al-Qudah, Anas Ali; Al-Qadi, Naim S.; Elrehail, Hamzah; Al-Okaily, Aws</t>
  </si>
  <si>
    <t>Al-Okaily, M; Alqudah, H; Al-Qudah, AA; Al-Qadi, NS; Elrehail, H; Al-Okaily, A</t>
  </si>
  <si>
    <t>WOS:000830948200001</t>
  </si>
  <si>
    <t>S3KQ0</t>
  </si>
  <si>
    <t>10.1007/s11482-022-10087-3</t>
  </si>
  <si>
    <t>Appl. Res. Qual. Life</t>
  </si>
  <si>
    <t>APPL RES QUAL LIFE</t>
  </si>
  <si>
    <t>1871-2576</t>
  </si>
  <si>
    <t>1871-2584</t>
  </si>
  <si>
    <t>Xiao, Jing Jian/0000-0003-3252-5672; Białowolski, Piotr/0000-0003-4102-0107</t>
  </si>
  <si>
    <t>Xiao, Jing Jian/R-1415-2016; Białowolski, Piotr/AAI-8393-2020</t>
  </si>
  <si>
    <t>jjxiao@uri.edu; pbialowolski@kozminski.edu.pl</t>
  </si>
  <si>
    <t>University of Rhode Island; Kozminski University; Harvard University</t>
  </si>
  <si>
    <t>[Xiao, Jing Jian] Univ Rhode Isl, Dept Human Dev &amp; Family Sci, Kingston, RI 02881 USA; [Bialowolski, Piotr] Kozminski Univ, Dept Econ, Warsaw, Poland; [Bialowolski, Piotr] Harvard Univ, Human Flourishing Program, Cambridge, MA 02138 USA</t>
  </si>
  <si>
    <t>The international movement promoting consumer financial capability started in developed countries and gradually spread to the developing world. Improving consumer financial capability has been perceived as an approach to reducing world poverty and inequality. However, considering the development stages of countries, the best stage for promoting financial capability remains understudied. This study attempts to answer an important question: At what stage of economic development is financial capability promotion the most beneficial, with the highest returns measured in terms of quality of life? This study examines the association between consumer financial capability and quality of life at the international level and draws implications for policymakers for developing consumer financial capability. The data for this study originate from four diverse sources provided by the World Bank and United Nations. The final dataset includes data from 137 countries. Financial capability is measured using an index that combines financial knowledge and financial behavior. Quality of life is measured by the Human Development Index (HDI) and Life Evaluations provided by the World Happiness Report. The HDI comprises the components of life expectancy, expected number of years of schooling, number of mean years of schooling, and per-capita gross national income. Life evaluations are based on country averages for life assessments based on a ladder image. The results show that financial capability and quality of life are strongly correlated. However, the relationships are non-linear, and development and financial capability seem to be much more strongly linked in highly developed countries.</t>
  </si>
  <si>
    <t>DEBT; EDUCATION; OWNERSHIP; LITERACY; BEHAVIOR; HEALTH</t>
  </si>
  <si>
    <t>Financial behavior; Financial capability; Financial inclusion; Financial literacy; Human development index; Quality of life</t>
  </si>
  <si>
    <t>APPLIED RESEARCH IN QUALITY OF LIFE</t>
  </si>
  <si>
    <t>Consumer Financial Capability and Quality of Life: a Global Perspective</t>
  </si>
  <si>
    <t>Xiao, Jing Jian; Bialowolski, Piotr</t>
  </si>
  <si>
    <t>Xiao, JJ; Bialowolski, P</t>
  </si>
  <si>
    <t>WOS:001130717200015</t>
  </si>
  <si>
    <t>DF8X8</t>
  </si>
  <si>
    <t>Transform. Bus. Econ.</t>
  </si>
  <si>
    <t>TRANSFORM BUS ECON</t>
  </si>
  <si>
    <t>1648-4460</t>
  </si>
  <si>
    <t>9 SAULETEKIS AV, VILNIUS, LITHUANIA</t>
  </si>
  <si>
    <t>VILNIUS UNIV PRESS</t>
  </si>
  <si>
    <t>This study was supported by China National Social Science Foundation Project (No. 23BJY027), Postdoctoral Research Project in Henan, China (No. 202003073), and Henan Provincial Government Decision Research Bidding Project (No. 2023JC040).This project is funded by the Ministry of Research, Innovation and Digitization through Program 1 - Development of the national research-development system, Subprogram 1.2 -Institutional performance- Projects to finance excellence in RDI, Contract no. 28PFE / 30.12.2021.This research was supported by the National Natural Science Foundation of China (No.71973022).This research has received funding from the European Regional Development Fund (project No 13.1.1-LMT-K-718-05-0010) under grant agreement with the Research Council of Lithuania (LMTLT). Funded as the European Union's measure in response to the COVID-19 pandemic. The study was supported by the Szell Kalman Public Finance Lab. of the University of Public Service. This work was supported by Natural Science Fund of Fujian Province, China under Grant number 2023J011134.This study was supported by Foreign Language Teaching and Research Press, for the research on Interpreting Teaching Reform and Practice for Undergraduate Translation Major Under the Belt and Road Backdrop (No. 2022082702). The paper is an output of the project NFP313011BWN6 ,,The implementation framework and business model of the Internet of Things, Industry 4.0 and smart transport. This work is supported by Tomas Bata University in Zlin through IGA/FaME/2023/014: CSR as an important factor in obtaining bank loans and external financial sources for SMEs.This research project was funded by the Hainan Provincial Natural Science Foundation of China, Research on the formation mechanism of tourists' behavioral intentions of wellness tourism under the regular epidemic prevention and control policy (723QN244); Hainan Medical University, Research on the health self-management model of college students (X202211810053).</t>
  </si>
  <si>
    <t>China National Social Science Foundation Project; Postdoctoral Research Project in Henan, China; Henan Provincial Government Decision Research Bidding Project; Ministry of Research, Innovation and Digitization; National Natural Science Foundation of China(National Natural Science Foundation of China (NSFC)); European Regional Development Fund(European Union (EU)); Research Council of Lithuania (LMTLT)(Research Council of Lithuania (LMTLT)); European Union(European Union (EU)); Szell Kalman Public Finance Lab. of the University of Public Service; Natural Science Fund of Fujian Province, China; Foreign Language Teaching and Research Press; Tomas Bata University in Zlin; Hainan Provincial Natural Science Foundation of China; Hainan Medical University</t>
  </si>
  <si>
    <t>China National Social Science Foundation Project [23BJY027]; Postdoctoral Research Project in Henan, China [202003073]; Henan Provincial Government Decision Research Bidding Project [2023JC040]; Ministry of Research, Innovation and Digitization [28PFE / 30.12.2021]; National Natural Science Foundation of China [71973022]; European Regional Development Fund [13.1.1-LMT-K-718-05-0010]; Research Council of Lithuania (LMTLT); European Union; Szell Kalman Public Finance Lab. of the University of Public Service; Natural Science Fund of Fujian Province, China [2023J011134]; Foreign Language Teaching and Research Press [2022082702]; Tomas Bata University in Zlin [IGA/FaME/2023/014]; Hainan Provincial Natural Science Foundation of China [723QN244]; Hainan Medical University [X202211810053]</t>
  </si>
  <si>
    <t>LENTNER, CSABA/J-2382-2016; Csiszárik-Kocsir, Ágnes/AAS-1431-2021</t>
  </si>
  <si>
    <t>kocsir.agnes@uni-obuda.hu; lentner.csaba@uni-nke.hu</t>
  </si>
  <si>
    <t>Csiszarik-Kocsir, A (corresponding author), Obuda Univ, Keleti Fac Business &amp; Management, Tavaszmezo St 17, H-1084 Budapest, Hungary.</t>
  </si>
  <si>
    <t>Obuda University; Ludovika University of Public Service</t>
  </si>
  <si>
    <t>[Csiszarik-Kocsir, Agnes] Obuda Univ, Keleti Fac Business &amp; Management, Tavaszmezo St 17, H-1084 Budapest, Hungary; [Lentner, Csaba] Univ Publ Serv, Ludov Sq 2, H-1083 Budapest, Hungary</t>
  </si>
  <si>
    <t>The turbulent changes of the 21st century have affected all aspects of our lives. The digital revolution, driven by the fourth industrial revolution, has created new platforms for economic players to work, interact socially and administer. However, preparedness for digitalisation and thriving in the digital space is not a basic skill for all sectors, and there are significant differences between generations. All of this feeds into another key problem of the 21st century, which is called financial exclusion. Access to the digital space varies significantly across countries, regions within countries and generations. The objective of this paper is to examine the phenomenon of financial exclusion and the problems that arise from it, paving the way towards possible solutions.</t>
  </si>
  <si>
    <t>financial exclusion; digitalization; financial literacy; Hungary</t>
  </si>
  <si>
    <t>TRANSFORMATIONS IN BUSINESS &amp; ECONOMICS</t>
  </si>
  <si>
    <t>FINANCIAL EXCLUSION FROM THE PERSPECTIVE OF FINANCIAL LITERACY IN THE DIGITAL WORLD OF THE 21ST CENTURY THROUGH THE EXAMPLE OF HUNGARY</t>
  </si>
  <si>
    <t>Csiszarik-Kocsir, Agnes; Lentner, Csaba</t>
  </si>
  <si>
    <t>Csiszarik-Kocsir, A; Lentner, C</t>
  </si>
  <si>
    <t>WOS:000841458300014</t>
  </si>
  <si>
    <t>VL4AF</t>
  </si>
  <si>
    <t>Education &amp; Educational Research; Psychology; Linguistics</t>
  </si>
  <si>
    <t>Education, Special; Psychology, Developmental; Linguistics</t>
  </si>
  <si>
    <t>10.1177/2396941518794500</t>
  </si>
  <si>
    <t>Autism Develop. Lang. Impairments</t>
  </si>
  <si>
    <t>AUTISM DEV LANG IMP</t>
  </si>
  <si>
    <t>2396-9415</t>
  </si>
  <si>
    <t>The author(s) disclosed receipt of the following financial support for the research, authorship, and/or publication of this article: We acknowledge the support of the Economic and Social Research Council (Case studentship ES/J500094/1 and grant RES-062-23-274 now ES/I00064X/1), the Nuffield Foundation (EDU-8366 and EDU-32083) and the Wellcome Trust (060774). For G. Conti-Ramsden, this research was also supported by the NIHR Manchester Biomedical Research Centre. There was no involvement of the funders in study design, data collection, data analysis, manuscript preparation or journal submission decisions.</t>
  </si>
  <si>
    <t>Economic and Social Research Council(UK Research &amp; Innovation (UKRI)Economic &amp; Social Research Council (ESRC)); Nuffield Foundation; Wellcome Trust(Wellcome TrustInstituto Politecnico Nacional - Mexico); NIHR Manchester Biomedical Research Centre(National Institutes of Health Research (NIHR)); ESRC(UK Research &amp; Innovation (UKRI)Economic &amp; Social Research Council (ESRC))</t>
  </si>
  <si>
    <t>Economic and Social Research Council [ES/I00064X/1]; Nuffield Foundation [EDU-8366, EDU-32083]; Wellcome Trust [060774]; NIHR Manchester Biomedical Research Centre; ESRC [ES/I00064X/1] Funding Source: UKRI</t>
  </si>
  <si>
    <t>Winstanley, Maxine/0000-0002-7072-3816</t>
  </si>
  <si>
    <t>Winstanley, Maxine/Z-4102-2019</t>
  </si>
  <si>
    <t>gina.conti-ramsden@manchester.ac.uk</t>
  </si>
  <si>
    <t>Conti-Ramsden, G (corresponding author), Manchester Acad Hlth Sci Ctr, Ellen Wilkinson Bldg,Oxford Rd, Manchester M13 9PL, Lancs, England.;Conti-Ramsden, G (corresponding author), Univ Manchester, Sch Hlth Sci, Human Commun Dev &amp; Hearing HCDH, Ellen Wilkinson Bldg,Oxford Rd, Manchester M13 9PL, Lancs, England.</t>
  </si>
  <si>
    <t>University of Manchester; University of Manchester; University of Strathclyde</t>
  </si>
  <si>
    <t>[Winstanley, Maxine; Webb, Roger T.; Conti-Ramsden, Gina] Univ Manchester, Manchester, Lancs, England; [Winstanley, Maxine; Webb, Roger T.; Conti-Ramsden, Gina] Manchester Acad Hlth Sci Ctr, Ellen Wilkinson Bldg,Oxford Rd, Manchester M13 9PL, Lancs, England; [Durkin, Kevin] Univ Strathclyde, Glasgow, Lanark, Scotland</t>
  </si>
  <si>
    <t>Background: Financial capability is an essential feature of the organisation of one's personal life and engagement with society. Very little is known of how adequately individuals with developmental language disorder handle financial matters. It is known that language difficulties place them at a disadvantage in many aspects of their development and during their transition into adulthood, leading to the possibility that financial issues may prove burdensome for them. This study examines the financial capability and functional financial literacy of young adults with developmental language disorder and compares them to those of age matched peers. We tested the expectation that those with developmental language disorder would find financial management more challenging than would their peers, and that they would need to seek greater support from family members or other people. Methods: Participants completed a detailed individual interview, which included items drawn from the British Household Panel Survey and additional measures of financial capability, functional financial literacy and of perceived support. Nonverbal IQ, language, reading and numeracy measures were also collected. Results: Compared to typically developing age matched peers, young people with developmental language disorder report less extensive engagement with financial products and lower competence in functional financial literacy. A considerably higher proportion of those with developmental language disorder (48% vs. 16% of age matched peers) report that they draw on support, primarily from parents, in various financial tasks, including paying bills, choosing financial products, and taking loans from family or friends. Conclusions: This is the first study to consider the financial capability skills and functional financial literacy of young adults with developmental language disorder. We provide novel evidence that some young adults with developmental language disorder lack functional financial skills and require support to successfully manage their finances. This has policy implications that relate not only to engaging affected individuals in discussions about financial management but also to wider familial support.</t>
  </si>
  <si>
    <t>Financial capability; financial literacy; developmental language disorders; young adulthood</t>
  </si>
  <si>
    <t>AUTISM &amp; DEVELOPMENTAL LANGUAGE IMPAIRMENTS</t>
  </si>
  <si>
    <t>Financial capability and functional financial literacy in young adults with developmental language disorder</t>
  </si>
  <si>
    <t>Winstanley, Maxine; Durkin, Kevin; Webb, Roger T.; Conti-Ramsden, Gina</t>
  </si>
  <si>
    <t>Winstanley, M; Durkin, K; Webb, RT; Conti-Ramsden, G</t>
  </si>
  <si>
    <t>WOS:001327759200001</t>
  </si>
  <si>
    <t>I1E5M</t>
  </si>
  <si>
    <t>10.1007/s43621-024-00540-8</t>
  </si>
  <si>
    <t>Hordofa, Dereje Fedasa/0000-0001-8570-0222</t>
  </si>
  <si>
    <t>Hordofa, Dereje Fedasa/IUP-1585-2023</t>
  </si>
  <si>
    <t>derejefedasaa@gmail.com</t>
  </si>
  <si>
    <t>Hordofa, DF (corresponding author), Dire Dawa Univ, Econ Dept, Dire Dawa, Ethiopia.</t>
  </si>
  <si>
    <t>[Hordofa, Dereje Fedasa] Dire Dawa Univ, Econ Dept, Dire Dawa, Ethiopia</t>
  </si>
  <si>
    <t>This insightful study delves into the intricate relationship between key digital finance adoption indicators and the stability of the banking sector in Ethiopia, an emerging economy undergoing rapid digitalization. Covering annual data from 1991 to 2022 and utilizing an autoregressive distributed lag (ARDL) approach alongside Fully Modified Ordinary Least Squares (FMOLS) and Dynamic Ordinary Least Squares (DOLS) techniques, the researchers uncover thought-provoking findings that challenge conventional wisdom. Contrary to expectations of a positive long-term association, the analysis reveals a statistically significant negative relationship between both internet usage and mobile phone subscriptions and Ethiopia's banking system's financial stability. This robust result, validated through rigorous robustness checks, suggests that the breakneck pace of digital transformation may outpace the development of robust regulatory frameworks and risk management practices, ultimately undermining the overall stability of the financial sector. Interestingly, the short-term analysis presents a more nuanced picture, with mobile phone subscriptions exhibiting a stabilizing effect in the immediate aftermath. This intriguing dichotomy highlights the complex and evolving dynamics at play, where the challenges of integrating digital finance with the traditional banking infrastructure and the persistence of informal financial activities potentially offset the benefits of enhanced financial inclusion and transaction efficiency. These thought-provoking findings carry crucial implications for policymakers and industry stakeholders navigating the digital revolution. Policy implications emphasize the need for robust regulatory frameworks, enhanced cyber security measures, and improved financial literacy. The findings underscore the importance of a nuanced approach to digital finance in emerging economies, advocating for continuous adaptation of policies to address the evolving landscape of financial technology. Continued inquiry can better guide policies that foster digital transformation while safeguarding stability, especially in rapidly developing regions like sub-Saharan Africa. Digital finance growth may harm bank stability in Ethiopia.Short-term benefits from mobile money exist, but long-term risks outweigh them.Strong regulations and financial education needed to balance digital growth and stability.</t>
  </si>
  <si>
    <t>AUTOREGRESSIVE DISTRIBUTED LAG; ECONOMIC-GROWTH; MONETARY-POLICY; UNIT-ROOT; INCLUSION; REMITTANCES; BANKING</t>
  </si>
  <si>
    <t>Digital finance; Financial stability; Emerging markets; Ethiopia; Mobile Banking; Internet penetration</t>
  </si>
  <si>
    <t>Impact of digital transformation on financial stability in emerging markets: evidence from Ethiopia</t>
  </si>
  <si>
    <t>Hordofa, Dereje Fedasa</t>
  </si>
  <si>
    <t>Hordofa, DF</t>
  </si>
  <si>
    <t>WOS:001220244200001</t>
  </si>
  <si>
    <t>QI4W5</t>
  </si>
  <si>
    <t>10.1016/j.jclepro.2024.141731</t>
  </si>
  <si>
    <t>APR 10</t>
  </si>
  <si>
    <t>Dash, Ashutosh/0000-0001-6625-5004</t>
  </si>
  <si>
    <t>Dash, Ashutosh/AAA-5397-2022</t>
  </si>
  <si>
    <t>ashutosh@mdi.ac.in; reachdrgiri@gmail.com</t>
  </si>
  <si>
    <t>Dash, A (corresponding author), Management Dev Inst, Gurugram 122007, Haryana, India.</t>
  </si>
  <si>
    <t>Management Development Institute (MDI)</t>
  </si>
  <si>
    <t>[Dash, Ashutosh] Management Dev Inst, Gurugram 122007, Haryana, India; [Mohanta, Giridhari] Sri Sri Univ, Cuttack 754006, Odisha, India</t>
  </si>
  <si>
    <t>This study focuses on the effects of financial advisers, product attributes, and financial literacy on rural families' financial inclusion in particular Indian areas. Survey data, collected from 423 respondents from the marginalized communities, is structurally equation-modeled to test the hypotheses. The findings reveal that financial literacy and awareness exhibited a large direct effect on financial inclusion and the financial advisors play a significant role in achieving sustainable goals by moderating the economic behaviour of the rural households. It is recommended that finance advisors be engaged, overseen and made an integral part of financial systems to provide high-quality ethical service, bridge the trust gap between households and financial institutions, and promote the inclusive behaviour of rural household. The financial products, government schemes be customized to the best of specific needs and demographics of rural areas and financial advisors must be engaged for community financial literacy campaigns so that the products reach the section at the bottom of economic pyramid. Overall, this study offers insightful facts that can support financial inclusion laws and help rural India achieve the Sustainable Development Goals.</t>
  </si>
  <si>
    <t>LITERACY; SAVINGS; SEM; PLS; DECISIONS; MODELS; IMPACT</t>
  </si>
  <si>
    <t>Economic behaviour; Financial advisors; Financial literacy; Inclusive financial products; Rural household structure equation modelling</t>
  </si>
  <si>
    <t>Fostering financial inclusion for attaining sustainable goals: What contributes more to the inclusive financial behaviour of rural households in India?</t>
  </si>
  <si>
    <t>Dash, Ashutosh; Mohanta, Giridhari</t>
  </si>
  <si>
    <t>Dash, A; Mohanta, G</t>
  </si>
  <si>
    <t>WOS:001179491900001</t>
  </si>
  <si>
    <t>KJ1E0</t>
  </si>
  <si>
    <t>10.4102/sajim.v26i1.1759</t>
  </si>
  <si>
    <t>a1759</t>
  </si>
  <si>
    <t>S. Afr. J. Inform. Manag.</t>
  </si>
  <si>
    <t>S AFR J INFORM MANAG</t>
  </si>
  <si>
    <t>1560-683X</t>
  </si>
  <si>
    <t>2078-1865</t>
  </si>
  <si>
    <t>Postnet Suite 110, Private Bag x 19, Durbanville, SOUTH AFRICA</t>
  </si>
  <si>
    <t>Durbanville</t>
  </si>
  <si>
    <t>AOSIS</t>
  </si>
  <si>
    <t>The National Research Foundation's (NRF) financial assistance towards this research is hereby acknowledged. Opinions expressed and conclusions arrived at, are those of the author and are not necessarily to be attributed to the NRF.</t>
  </si>
  <si>
    <t>National Research Foundation's (NRF)</t>
  </si>
  <si>
    <t>Petersen, Fazlyn/0000-0003-4592-2861</t>
  </si>
  <si>
    <t>fapetersen@uwc.ac.za</t>
  </si>
  <si>
    <t>Petersen, F (corresponding author), Univ Western Cape, Fac Econ &amp; Management Sci, Dept Informat Syst, Bellville, South Africa.</t>
  </si>
  <si>
    <t>University of the Western Cape</t>
  </si>
  <si>
    <t>[Gertze, Lizandre; Petersen, Fazlyn] Univ Western Cape, Fac Econ &amp; Management Sci, Dept Informat Syst, Bellville, South Africa</t>
  </si>
  <si>
    <t>Background: Online banking gained prominence during the coronavirus disease 2019 (COVID-19) pandemic as an alternative to traditional banking. However, limited studies have explored online banking acceptance in South Africa. Objectives: This study investigates the factors that influence online banking acceptance among South Africans in a context where use is limited. Method: Thematic content analysis examined 113 Google user reviews from South Africans using an exclusive online bank. Unified Theory of Acceptance and Use of Technology 3 (UTAUT3) was used as a theoretical framework, analysing factors such as performance expectancy (PE), effort expectancy (EE), facilitating conditions (FC), hedonic motivation (HM), price value (PV), trust, perceived risk (PR), habit, and social influence. Results: Seven UTAUT3 constructs influenced online banking acceptance and use in South Africa during the pandemic: PE, EE, FC, HM, PV, trust, and PR. The influence of habit and social influence was not evident. Conclusion: Understanding factors influencing online banking acceptance in South Africa is crucial for policymakers and institutions. Addressing information communication technology challenges can enhance accessibility and benefits, promoting financial inclusion, and empowerment. Contribution: This research fills the gap by examining online banking acceptance in South Africa. Findings inform interventions and policies to improve access and adoption. Practical implications extend to institutions and policymakers, fostering financial inclusion.</t>
  </si>
  <si>
    <t>digital financial inclusion; developing countries; digital payments; traditional banking; online banking</t>
  </si>
  <si>
    <t>SOUTH AFRICAN JOURNAL OF INFORMATION MANAGEMENT</t>
  </si>
  <si>
    <t>Factors influencing the acceptance and use of a South African online bank</t>
  </si>
  <si>
    <t>Gertze, Lizandre; Petersen, Fazlyn</t>
  </si>
  <si>
    <t>Gertze, L; Petersen, F</t>
  </si>
  <si>
    <t>WOS:001546466500010</t>
  </si>
  <si>
    <t>5XE3M</t>
  </si>
  <si>
    <t>10.17576/akad-2025-9502-10</t>
  </si>
  <si>
    <t>AKAD.</t>
  </si>
  <si>
    <t>AKADEMIKA-MALAYSIA</t>
  </si>
  <si>
    <t>0126-8694</t>
  </si>
  <si>
    <t>0126-5008</t>
  </si>
  <si>
    <t>PENERBIT UNIV KEBANGSAAN MALAYSIA, FAC SOCIAL SCIENCES &amp; HUMANITIES, BANGI, SELANGOR 43600, MALAYSIA</t>
  </si>
  <si>
    <t>BANGI</t>
  </si>
  <si>
    <t>PENERBIT UNIV KEBANGSAAN MALAYSIA</t>
  </si>
  <si>
    <t>Acknowledgement to the Ministry of Higher Education (MOHE) /Kementerian Pendidikan Tinggi (KPT) for funding under the Fundamental Research Grant Scheme (FRGS) (FRGS/1/2021/SSI0/UMK/02/4) .</t>
  </si>
  <si>
    <t>Ministry of Higher Education (MOHE) /Kementerian Pendidikan Tinggi (KPT)</t>
  </si>
  <si>
    <t>Ministry of Higher Education (MOHE) /Kementerian Pendidikan Tinggi (KPT) [FRGS/1/2021/SSI0/UMK/02/4]</t>
  </si>
  <si>
    <t>Zakaria, Mohd/V-4054-2019; Abdullah, Azwan/GYD-9862-2022; Muhammad, Mohd/O-6525-2018</t>
  </si>
  <si>
    <t>azwan.a@umk.edu.my; zulfaris.ms@umk.edu.my; mnazri.z@umk.edu.my; zulkifli.m@umk.edu.my; hanisshamma504@gmail.com</t>
  </si>
  <si>
    <t>Abdullah, A (corresponding author), Univ Malaysia Kelantan, Dept Business, Kota Baharu, Malaysia.</t>
  </si>
  <si>
    <t>Universiti Malaysia Kelantan; Universiti Malaysia Kelantan</t>
  </si>
  <si>
    <t>[Abdullah, Azwan] Univ Malaysia Kelantan, Dept Business, Kota Baharu, Malaysia; [Salleh, Muhammad Zulfaris Mohd; Zakaria, Mohd Nazri; Muhammad, Mohd Zulkifli; Shamma, Siti Hanis Mohd] Univ Malaysia Kelantan, Fac Entrepreneurship &amp; Business, Kota Baharu, Malaysia</t>
  </si>
  <si>
    <t>The B40 group in Malaysia faces significant financial challenges, including limited access to formal banking, high debt levels, and low financial literacy. This study investigates the development of a financial literacy framework tailored for lower-income individuals by integrating Maqasid Shariah principles, which emphasise ethical financial practices, wealth preservation, and social justice, into financial education and accounting models. Utilising the Focus Group Discussion (FGD) method, we gathered in-depth insights from participants. A structured discussion with 10 informants in Kelantan allowed them to share their views, build on each other's thoughts, and present diverse perspectives, particularly beneficial for understanding attitudes, perceptions, and social dynamics. To identify the importance, challenges, and possible solutions regarding the financial difficulties faced by the B40 group, this study employed the Nominal Group Technique (NGT), facilitating idea generation, prioritisation, and decision-making. The findings indicate that creating financial programs that respect cultural values and enhancing access to Shariahcompliant financial products can significantly enhance financial inclusion and resilience among the B40 population. This framework seeks to encourage long-term economic stability and promote social equity, underlining the necessity for financial literacy initiatives that resonate with the ethical and cultural values of Malaysia's diverse communities.</t>
  </si>
  <si>
    <t>NOMINAL GROUP TECHNIQUE</t>
  </si>
  <si>
    <t>Financial literacy; B40; lowest income group; justice; Maqasid Shariah</t>
  </si>
  <si>
    <t>AKADEMIKA</t>
  </si>
  <si>
    <t>Aligning Financial Literacy Framework Accordance to Maqasid Shariah Principle for Malaysia's B40</t>
  </si>
  <si>
    <t>Abdullah, Azwan; Salleh, Muhammad Zulfaris Mohd; Zakaria, Mohd Nazri; Muhammad, Mohd Zulkifli; Shamma, Siti Hanis Mohd</t>
  </si>
  <si>
    <t>Abdullah, A; Salleh, MZM; Zakaria, MN; Muhammad, MZ; Shamma, SHM</t>
  </si>
  <si>
    <t>WOS:000404034900013</t>
  </si>
  <si>
    <t>EY5RH</t>
  </si>
  <si>
    <t>Health Care Sciences &amp; Services</t>
  </si>
  <si>
    <t>Health Care Sciences &amp; Services; Health Policy &amp; Services</t>
  </si>
  <si>
    <t>10.1093/heapol/czw170</t>
  </si>
  <si>
    <t>Health Policy Plan.</t>
  </si>
  <si>
    <t>HEALTH POLICY PLANN</t>
  </si>
  <si>
    <t>1460-2237</t>
  </si>
  <si>
    <t>0268-1080</t>
  </si>
  <si>
    <t>Flax, Valerie/0000-0003-0200-3355; Lorenzetti, Lara/0000-0003-4758-7390</t>
  </si>
  <si>
    <t>llorenz@live.unc.edu</t>
  </si>
  <si>
    <t>Lorenzetti, LMJ (corresponding author), Univ North Carolina Chapel Hill, Gillings Sch Global Publ Hlth, Dept Hlth Policy &amp; Management, 1101 McGavran Greenberg Hall,CB 7411, Chapel Hill, NC 27599 USA.</t>
  </si>
  <si>
    <t>University of North Carolina; University of North Carolina Chapel Hill; University of North Carolina School of Medicine; Research Triangle Institute; University of North Carolina; University of North Carolina Chapel Hill; University of North Carolina School of Medicine</t>
  </si>
  <si>
    <t>[Lorenzetti, Lara M. J.; Leatherman, Sheila] Univ North Carolina Chapel Hill, Gillings Sch Global Publ Hlth, Dept Hlth Policy &amp; Management, 1101 McGavran Greenberg Hall,CB 7411, Chapel Hill, NC 27599 USA; [Flax, Valerie L.] Univ North Carolina Chapel Hill, Gillings Sch Global Publ Hlth, Dept Nutr, RTI Int, Chapel Hill, NC USA</t>
  </si>
  <si>
    <t>Background: Solutions delivered within firm sectoral boundaries are inadequate in achieving income security and better health for poor populations. Integrated microfinance and health interventions leverage networks of women to promote financial inclusion, build livelihoods, and safeguard against high cost illnesses. Our understanding of the effect of integrated interventions has been limited by variability in intervention, outcome, design, and methodological rigour. This systematic review synthesises the literature through 2015 to understand the effect of integrated microfinance and health programs. Methods: We searched PubMed, Scopus, Embase, EconLit, and Global Health databases and sourced bibliographies, identifying 964 articles exclusive of duplicates. Title, abstract, and full text review yielded 35 articles. Articles evaluated the effect of intentionally integrated microfinance and health programs on client outcomes. We rated the quality of evidence for each article. Results: Most interventions combined microfinance with health education, which demonstrated positive effects on health knowledge and behaviours, though not health status. Among programs that integrated microfinance with other health components (i.e. health micro-insurance, linkages to health providers, and access to health products), results were generally positive but mixed due to the smaller number and quality of studies. Interventions combining multiple health components in a given study demonstrated positive effects, though it was unclear which component was driving the effect. Most articles (57%) were moderate in quality. Discussion: Integrated microfinance and health education programs were effective, though longer intervention periods are necessary to measure more complex pathways to health status. The effect of microfinance combined with other health components was less clear. Stronger randomized research designs with multiple study arms are required to improve evidence and disentangle the effects of multiple component microfinance and health interventions. Few studies attempted to understand changes in economic outcomes, limiting our understanding of the relationship between health and income effects.</t>
  </si>
  <si>
    <t>PARTICIPATORY WOMENS GROUPS; INTIMATE-PARTNER VIOLENCE; MICRO-CREDIT PROGRAM; HIV RISK BEHAVIOR; NEONATAL-MORTALITY; PILOT PROJECT; CHILD HEALTH; IMPACT; MICROCREDIT; PREVENTION</t>
  </si>
  <si>
    <t>Financial inclusion; global health; health access; health Policy; microfinance; systematic review</t>
  </si>
  <si>
    <t>HEALTH POLICY AND PLANNING</t>
  </si>
  <si>
    <t>Evaluating the effect of integrated microfinance and health interventions: an updated review of the evidence</t>
  </si>
  <si>
    <t>Lorenzetti, Lara M. J.; Leatherman, Sheila; Flax, Valerie L.</t>
  </si>
  <si>
    <t>Lorenzetti, LMJ; Leatherman, S; Flax, VL</t>
  </si>
  <si>
    <t>WOS:000720712000001</t>
  </si>
  <si>
    <t>9A3EQ</t>
  </si>
  <si>
    <t>10.1007/s10834-021-09805-0</t>
  </si>
  <si>
    <t>Wann, Christi/0000-0002-6756-3196</t>
  </si>
  <si>
    <t>Wann, Christi/ISA-3768-2023</t>
  </si>
  <si>
    <t>christi-wann@utc.edu; lisa-burke-smalley@utc.edu</t>
  </si>
  <si>
    <t>Wann, CR (corresponding author), Univ Tennessee, Finance, Gary W Rollins Coll Business, 615 McCallie Ave, Chattanooga, TN 37403 USA.</t>
  </si>
  <si>
    <t>University of Tennessee System; University of Tennessee at Chattanooga; University of Tennessee System; University of Tennessee at Chattanooga</t>
  </si>
  <si>
    <t>[Wann, Christi R.] Univ Tennessee, Finance, Gary W Rollins Coll Business, 615 McCallie Ave, Chattanooga, TN 37403 USA; [Burke-Smalley, Lisa A.] Univ Tennessee, Business, Gary W Rollins Coll Business, 615 McCallie Ave, Chattanooga, TN 37403 USA</t>
  </si>
  <si>
    <t>This research uses data from the 2018 National Financial Capability Study to investigate the attributes of households that engage in higher levels of family financial planning. Greater levels of financial planning are evidenced when households report more positive responses in planning for retirement, saving for emergencies, and establishing a will. Based on an ordinal logistic regression, various demographic attributes, objective and subjective financial knowledge scores, frequency of participation in financial education, and the frequent use of financial websites or apps to help with financial tasks are positively related to higher levels of family financial planning. The results have implications for financial literacy education and the development and marketing of websites and apps for personal finance.</t>
  </si>
  <si>
    <t>LITERACY; EDUCATION; MILLENNIALS</t>
  </si>
  <si>
    <t>Family financial planning; Retirement; Emergency savings; Written will; Financial knowledge; Household attributes; Financial literacy education</t>
  </si>
  <si>
    <t>Attributes of Households that Engage in Higher Levels of Family Financial Planning</t>
  </si>
  <si>
    <t>Wann, Christi R.; Burke-Smalley, Lisa A.</t>
  </si>
  <si>
    <t>Wann, CR; Burke-Smalley, LA</t>
  </si>
  <si>
    <t>WOS:001293461800004</t>
  </si>
  <si>
    <t>D0W0J</t>
  </si>
  <si>
    <t>10.1007/s13132-024-02274-4</t>
  </si>
  <si>
    <t>2024 AUG 19</t>
  </si>
  <si>
    <t>Nonvide, Gbetondji Melaine Armel/0000-0003-2802-1711</t>
  </si>
  <si>
    <t>Nonvide, Gbetondji Melaine Armel/AAI-9129-2020</t>
  </si>
  <si>
    <t>melainearmel@gmail.com</t>
  </si>
  <si>
    <t>Nonvide, GMA (corresponding author), Univ Abomey Calavi, Fac Des Sci Econ &amp; Gest, Abomey Calavi, Benin.</t>
  </si>
  <si>
    <t>University of Abomey Calavi</t>
  </si>
  <si>
    <t>[Nonvide, Gbetondji Melaine Armel] Univ Abomey Calavi, Fac Des Sci Econ &amp; Gest, Abomey Calavi, Benin</t>
  </si>
  <si>
    <t>Mobile money is an innovative solution to facilitate access to financial services for financially excluded people. This paper assesses the impact of mobile money adoption on households' vulnerability to economic shocks in Benin. First, using a sequential logit model, the results show that age is the main determinant of the five (5) processes of mobile money adoption. Second, employing a linear probability model with an instrumental variable (LPM-IV) and an extended probit regression model, the results reveal that the use of mobile money increases households' ability to respond to economic shocks such as death or income loss, illness, harvest failure, and loss of livestock. Third, the use of mobile money favors poor people compared to non-poor. However, women and non-educated benefited less compared to men and educated. Overall, these findings have important policy implications for building household resilience to unforeseen events.</t>
  </si>
  <si>
    <t>FINANCIAL INCLUSION; ADOPTION; WELFARE</t>
  </si>
  <si>
    <t>Benin; Financial inclusion; Economic shocks; Households' vulnerability; Mobile money; D1; O12; O55</t>
  </si>
  <si>
    <t>Mobile Money: An Innovative Solution to Reduce Households' Vulnerability to Economic Shocks</t>
  </si>
  <si>
    <t>Nonvide, Gbetondji Melaine Armel</t>
  </si>
  <si>
    <t>Nonvide, GMA</t>
  </si>
  <si>
    <t>WOS:001015596600001</t>
  </si>
  <si>
    <t>Z4YY8</t>
  </si>
  <si>
    <t>10.1108/AFR-01-2023-0008</t>
  </si>
  <si>
    <t>4/5</t>
  </si>
  <si>
    <t>Wahbi, Annkathrin/0000-0002-5479-0672; Sarfo, Yaw/0000-0002-2538-4202; Musshoff, Oliver/0000-0002-3746-623X</t>
  </si>
  <si>
    <t>; Sarfo, Yaw/JJF-5641-2023; Musshoff, Oliver/AAZ-1868-2021</t>
  </si>
  <si>
    <t>annkathrin.wahbi@uni-goettingen.de; yaw.sarfo@uni-goettingen.de; oliver.musshoff@agr.uni-goettingen.de</t>
  </si>
  <si>
    <t>Wahbi, A (corresponding author), Georg August Univ Gottingen, Dept Agr Econ &amp; Rural Dev, Gottingen, Germany.</t>
  </si>
  <si>
    <t>[Wahbi, Annkathrin; Sarfo, Yaw; Musshoff, Oliver] Georg August Univ Gottingen, Dept Agr Econ &amp; Rural Dev, Gottingen, Germany</t>
  </si>
  <si>
    <t>PurposeDigital credit is spreading rapidly across Sub-Saharan Africa and holds potential for financial inclusion and female financial autonomy. Women in developing economies have long been targeted by microfinance institutions due to the women's reliability and positive spillover effects. Yet, adoption rates for digital financial innovations remain moderate among rural women in Sub-Saharan Africa. The authors explore whether female preferences for digital and conventional credit differ from males.Design/methodology/approachThe authors conduct a Discrete Choice Experiment with 420 smallholder farmers in central Madagascar, one of the region's poorest countries, to assess preferences for selected digital and conventional credit attributes.FindingsResults of the mixed logit model and the comparison of the willingness-to-pay via Poe-test suggest high general demand for both credit forms. The demand of female respondents is higher than that of males, suggesting that they might be underserved. This holds for both credit forms. However, differences in willingness to pay for the credit attributes are mostly not statistically significant, indicating that designing gender-specific services may not be advisable.Originality/valueThis article is believed to be the first to assess and compare gendered willingness to pay for digital and conventional credit. The study's findings give valuable insights to decision-makers in development politics as well as the fintech industry.</t>
  </si>
  <si>
    <t>CHOICE EXPERIMENTS; WOMEN; DETERMINANTS; EXPERIENCES; MICROCREDIT; DESIGN</t>
  </si>
  <si>
    <t>Gender; Rural development; Microfinance; Discrete choice experiment; Smallholder farmers; Digital credit</t>
  </si>
  <si>
    <t>Female smallholder farmers' preferences for digital and conventional credit attributes: evidence from Madagascar</t>
  </si>
  <si>
    <t>Wahbi, Annkathrin; Sarfo, Yaw; Musshoff, Oliver</t>
  </si>
  <si>
    <t>Wahbi, A; Sarfo, Y; Musshoff, O</t>
  </si>
  <si>
    <t>WOS:000465162300015</t>
  </si>
  <si>
    <t>HU3HA</t>
  </si>
  <si>
    <t>10.1080/13504851.2018.1540833</t>
  </si>
  <si>
    <t>This research is funded by the Vietnam National Foundation for Science and Technology Development (NAFOSTED) [502.01-2016.21].</t>
  </si>
  <si>
    <t>Vietnam National Foundation for Science and Technology Development (NAFOSTED) [502.01-2016.21]</t>
  </si>
  <si>
    <t>Nguyen, Thai/0000-0003-1750-593X; Nguyen, Kien/0000-0001-9192-1195; Pham, Thi Thu Tra/0000-0001-7052-3323</t>
  </si>
  <si>
    <t>; Nguyen, Kien/AAR-1066-2020</t>
  </si>
  <si>
    <t>tra.pham@rmit.edu.vn</t>
  </si>
  <si>
    <t>Pham, TTT (corresponding author), RMIT Univ Vietnam, Ho Chi Minh City, Vietnam.</t>
  </si>
  <si>
    <t>Royal Melbourne Institute of Technology (RMIT); Eastern International University</t>
  </si>
  <si>
    <t>[Thi Thu Tra Pham; Thai Vu Hong Nguyen] RMIT Univ Vietnam, Ho Chi Minh City, Vietnam; [KienSon Nguyen] Eastern Int Univ, Thu Dau Mot, Vietnam</t>
  </si>
  <si>
    <t>The idea of financial inclusion has recently been discussed as one of the key strategies to enhance economic development (World Bank 2014). We move this discussion forward by examining if bank competition is a crucial component enforcing financial inclusion, which is arguably a finance supply-side driven process. In this study, we compute the financial inclusion index built on Sarma (2008) approach to better reflect banks' willingness and capability to provide financial services. Applying System Generalized Method of Moments to the panel of 93 countries, we find that bank competition promotes financial inclusion.</t>
  </si>
  <si>
    <t>Financial inclusion; bank competition; SGMM</t>
  </si>
  <si>
    <t>Does bank competition promote financial inclusion? A cross-country evidence</t>
  </si>
  <si>
    <t>Thi Thu Tra Pham; Thai Vu Hong Nguyen; KienSon Nguyen</t>
  </si>
  <si>
    <t>Pham, TTT; Nguyen, TVH; Nguyen, K</t>
  </si>
  <si>
    <t>WOS:001028527000001</t>
  </si>
  <si>
    <t>M2KR5</t>
  </si>
  <si>
    <t>10.3390/su15139868</t>
  </si>
  <si>
    <t>Trianto, Budi/0000-0002-5600-1868</t>
  </si>
  <si>
    <t>FAJAR, EKO/AAM-9524-2021</t>
  </si>
  <si>
    <t>sitimujiatun@umsu.ac.id; budi_asamandiri@yahoo.com; gs58757@student.upm.edu.my; rahmayati143@yahoo.com</t>
  </si>
  <si>
    <t>Trianto, B (corresponding author), STEI Iqra Annisa, Pekanbaru 28291, Indonesia.</t>
  </si>
  <si>
    <t>Airlangga University; Universiti Putra Malaysia</t>
  </si>
  <si>
    <t>[Mujiatun, Siti] Univ Muhammdiyah Sumatera Utara, Fac Econ &amp; Business, Medan 20238, Indonesia; [Trianto, Budi] STEI Iqra Annisa, Pekanbaru 28291, Indonesia; [Cahyono, Eko Fajar] Univ Airlangga, Fac Econ &amp; Business, Surabaya 60132, Indonesia; [Cahyono, Eko Fajar] Univ Putra Malaysia, Sch Business &amp; Econ, 4330, Serdang, Malaysia; [Rahmayati] Univ Muhammdiyah Sumatera Utara, Fac Islamic Relig, Medan 20238, Indonesia</t>
  </si>
  <si>
    <t>The development of halal tourism in Indonesia is the focus of the Indonesian government and MSMEs have an important role in supporting the development of halal tourism in Indonesia. This study aims to examine the relationship between marketing communication and Islamic financial literacy on Islamic financial inclusion and MSME performance in the halal-tourism sector. A covariance-based SEM technique utilizing LISREL software was used to analyze the data from this investigation. Nonprobability sampling was employed to collect the data, and the sample consists of 152 halal-tourism entrepreneurs. This study found a positive and significant association between Islamic financial inclusion and business performance. This study also found that there is a positive and significant association between Islamic financial literacy and Islamic financial inclusion. Marketing communication and Islamic financial inclusion have a positive relationship, but it is insignificant. This study implies that to establish a halal-tourist ecosystem for long-term development in Indonesia, commercial actors must lend their full support. This study demonstrates that they can thrive when MSMEs in the halal-tourist ecosystem are backed by Islamic banking and Islamic rural banks. As a result, a more accommodating approach from Islamic banking is required to provide access to halal finance for business actors in Indonesia's halal-tourism ecosystem.</t>
  </si>
  <si>
    <t>marketing communication; islamic financial literacy; islamic financial inclusion; MSMEs performance</t>
  </si>
  <si>
    <t>The Impact of Marketing Communication and Islamic Financial Literacy on Islamic Financial Inclusion and MSMEs Performance: Evidence from Halal Tourism in Indonesia</t>
  </si>
  <si>
    <t>Mujiatun, Siti; Trianto, Budi; Cahyono, Eko Fajar; Rahmayati</t>
  </si>
  <si>
    <t>Mujiatun, S; Trianto, B; Cahyono, EF; Rahmayati</t>
  </si>
  <si>
    <t>WOS:000665586500001</t>
  </si>
  <si>
    <t>SY0LK</t>
  </si>
  <si>
    <t>10.3390/jtaer16050081</t>
  </si>
  <si>
    <t>This work was supported by National Natural Science Foundation of China (NSFC) (grant numbers: 71773094 and 71903141), China Postdoctoral Science Foundation Project (grant number: 2020M680246), Humanities and Social Science Fund of Ministry of Education of China (grant number: 18YJC790125), and Natural Science Foundation Research Project of Shaanxi Province (grant number: 2020JQ-281).</t>
  </si>
  <si>
    <t>National Natural Science Foundation of China (NSFC)(National Natural Science Foundation of China (NSFC)); China Postdoctoral Science Foundation Project(China Postdoctoral Science Foundation); Humanities and Social Science Fund of Ministry of Education of China; Natural Science Foundation Research Project of Shaanxi Province(Natural Science Foundation of Shaanxi Province)</t>
  </si>
  <si>
    <t>National Natural Science Foundation of China (NSFC) [71773094, 71903141]; China Postdoctoral Science Foundation Project [2020M680246]; Humanities and Social Science Fund of Ministry of Education of China [18YJC790125]; Natural Science Foundation Research Project of Shaanxi Province [2020JQ-281]</t>
  </si>
  <si>
    <t>lanlansu.ccap@pku.edu.cn; jxyanling@sau.edu.cn; kr1996@nwsuaf.edu.cn; qchen.ccap@pku.edu.cn</t>
  </si>
  <si>
    <t>Kong, R (corresponding author), Northwest Agr &amp; Forestry Univ, Sch Econ &amp; Management, Yangling 712100, Shaanxi, Peoples R China.</t>
  </si>
  <si>
    <t>Peking University; Sichuan Agricultural University; Northwest A&amp;F University - China</t>
  </si>
  <si>
    <t>[Su, Lanlan; Chen, Qiu] Peking Univ, Sch Adv Agr Sci, China Ctr Agr Policy CCAP, Beijing 100871, Peoples R China; [Peng, Yanling] Sichuan Agr Univ, Inst Reg Econ &amp; Finance, Chengdu 611130, Peoples R China; [Kong, Rong] Northwest Agr &amp; Forestry Univ, Sch Econ &amp; Management, Yangling 712100, Shaanxi, Peoples R China</t>
  </si>
  <si>
    <t>Although the increasing adoption of digital finance in recent years has exerted a wide-ranging influence on farmers' consumption and production activities, many farmers in China still seriously suffer from digital financial exclusion. Few studies have documented the different impacts of e-commerce adoption characterized by online purchases and sales on farmers' participation in the digital financial market measured by their engagement in digital payments, digital wealth management, and digital credit in rural China. Using survey data from 832 entrepreneurial households in rural China, we contribute to the literature by confirming that both online purchases and sales have a robust significant and positive impact on farmers' participation in the digital financial market and that this impact on digital wealth management is successively larger than that on digital payments and digital credit, with the propensity score matching (PSM) method and instrument variable (IV) approach employed. We further discover that the impact of online purchases and sales on farmers' participation in the digital financial market is significantly mediated by digital financial literacy. Moreover, the impact of online purchases and sales on farmers' participation in the digital financial market is larger for those with high education levels, pursuing skills training, running new agricultural operation entities (i.e., family farms, professional cooperatives), and engaging in agricultural entrepreneurship. Our findings suggest that more effective measures to enhance adoption rates of online purchases and sales, innovation in rural market-oriented digital financial products and services, systematic training for farmers in e-commerce skills as well as digital financial literacy, and differentiated support measures for different groups of farmers to reduce the gap are urgently needed in China.</t>
  </si>
  <si>
    <t>ONLINE; INCLUSION; BEHAVIOR; LITERACY; DECISION; TRUST</t>
  </si>
  <si>
    <t>e-commerce adoption; online purchases; online sales; digital finance; digital financial literacy</t>
  </si>
  <si>
    <t>Impact of E-Commerce Adoption on Farmers' Participation in the Digital Financial Market: Evidence from Rural China</t>
  </si>
  <si>
    <t>Su, Lanlan; Peng, Yanling; Kong, Rong; Chen, Qiu</t>
  </si>
  <si>
    <t>Su, LL; Peng, YL; Kong, R; Chen, Q</t>
  </si>
  <si>
    <t>WOS:001172873400001</t>
  </si>
  <si>
    <t>JJ7V3</t>
  </si>
  <si>
    <t>Computer Science, Interdisciplinary Applications; Social Sciences, Interdisciplinary</t>
  </si>
  <si>
    <t>10.18267/j.aip.143</t>
  </si>
  <si>
    <t>Acta Inform. Prag.</t>
  </si>
  <si>
    <t>ACTA INFORM PRAG</t>
  </si>
  <si>
    <t>1805-4951</t>
  </si>
  <si>
    <t>NAM W CHURCHILLA 4, 3 PRAGUE, 13067, CZECH REPUBLIC</t>
  </si>
  <si>
    <t>3 PRAGUE</t>
  </si>
  <si>
    <t>UNIV ECONOMICS, PRAGUE</t>
  </si>
  <si>
    <t>weli, Nkosikhona Theoren/0000-0003-4709-0763; Mawela, Tendani/0000-0003-0574-3340</t>
  </si>
  <si>
    <t>Msweli, Nkosikhona/LKJ-4325-2024; Mawela, Tendani/OCL-5510-2025</t>
  </si>
  <si>
    <t>mswelnt@unisa.ac.za</t>
  </si>
  <si>
    <t>Msweli, NT (corresponding author), Univ South Africa, Sch Comp, 28 Pioneer Ave,Florida Pk, ZA-1709 Roodepoort, South Africa.</t>
  </si>
  <si>
    <t>University of South Africa; University of Pretoria</t>
  </si>
  <si>
    <t>[Msweli, Nkosikhona Theoren] Univ South Africa, Sch Comp, 28 Pioneer Ave,Florida Pk, ZA-1709 Roodepoort, South Africa; [Mawela, Tendani] Univ Pretoria, Sch Informat Technol, Lynnwood Rd, ZA-0002 Pretoria, South Africa</t>
  </si>
  <si>
    <t>The extant literature highlights that mobile banking offers various benefits for consumers. However, there is only a limited number of studies that investigate mobile banking adoption by the elderly. This study investigates the factors influencing the adoption of mobile banking by the elderly in a developing country context. The authors explore the enablers, barriers and perceptions of the elderly towards mobile banking adoption. Data were collected through interviews and focus group sessions with respondents from KwaZulu Natal Province in South Africa. The study relies on the Actor-Network Theory as a lens through which to understand the interrelated factors that influence the elderly's perception and adoption of mobile banking. The results reveal a low adoption of mobile banking by the elderly. In addition, it was evident that the barriers that influence the adoption of mobile banking by the elderly include a lack of information and understanding, security and trust issues, demographic factors, language, the complexity of mobile banking applications, and resistance to change. The identified important enablers towards the adoption of mobile banking include convenience, unlimited access, cost-effectiveness. The study proposes a mobile banking adoption model for the elderly and highlights the interrelated technical and non-technical factors influencing mobile banking adoption. Additionally, it offers design guiding principles aligned to the elderly's needs and perceptions of mobile banking.</t>
  </si>
  <si>
    <t>OLDER-ADULTS; INFORMATION; TECHNOLOGY; CONSUMER; INTERNET; SENIORS; ACCEPTANCE; RESISTANCE; DIFFUSION; SERVICE</t>
  </si>
  <si>
    <t>Actor-network theory; Developing countries; Elderly; Financial inclusion; Technology adoption.</t>
  </si>
  <si>
    <t>ACTA INFORMATICA PRAGENSIA</t>
  </si>
  <si>
    <t>Financial Inclusion of the Elderly: Exploring the Role of Mobile Banking Adoption</t>
  </si>
  <si>
    <t>Msweli, Nkosikhona Theoren; Mawela, Tendani</t>
  </si>
  <si>
    <t>Msweli, NT; Mawela, T</t>
  </si>
  <si>
    <t>WOS:001606223900001</t>
  </si>
  <si>
    <t>9HC9U</t>
  </si>
  <si>
    <t>10.1016/j.ememar.2025.101389</t>
  </si>
  <si>
    <t>This research was made possible by the support of the Private Enterprise Development in Low-Income Countries (PEDL) grant (PEDL 10321). We gratefully acknowledge the financial contribution, which has been vital in enabling and enhancing this study.</t>
  </si>
  <si>
    <t>Private Enterprise Development in Low-Income Countries (PEDL)</t>
  </si>
  <si>
    <t>Private Enterprise Development in Low-Income Countries (PEDL) [PEDL 10321]</t>
  </si>
  <si>
    <t>Alhassan, Abdul/G-1363-2013</t>
  </si>
  <si>
    <t>wycliffe.oluoch@uct.ac.za; latif.alhassan@gsb.uct.ac.za</t>
  </si>
  <si>
    <t>Oluoch, W (corresponding author), Univ Cape Town, Grad Sch Business, Dev Finance Ctr DEFIC, V&amp;A Waterfront, Breakwaters Campus,9 Portswood Rd, ZA-8002 Cape Town, South Africa.</t>
  </si>
  <si>
    <t>[Oluoch, Wycliffe; Alhassan, Abdul Latif] Univ Cape Town, Grad Sch Business, Dev Finance Ctr DEFIC, V&amp;A Waterfront, Breakwaters Campus,9 Portswood Rd, ZA-8002 Cape Town, South Africa</t>
  </si>
  <si>
    <t>Drawing on multiple waves of Kenya's FinAccess surveys, this study reveals a growing gender gap in demand for and access to credit from digital channels in Kenya. Women are less likely to apply for digital loans, and those who apply face disproportionately lower approval rates. In contrast, there is no significant gender gap in either demand or access to traditional bank loans. These findings are robust across various contexts (rural vs. urban households, rich vs. poor counties). We conclude that digital finance does not bridge the gender credit gap in Kenya; instead, it is widening it. The barriers may include algorithmic credit screening models that inadvertently perpetuate societal bias against women. Consequently, emphasis should be placed on inclusive policies that enhance access to digital devices and mandate audits of lending algorithms to identify and address embedded gender biases.</t>
  </si>
  <si>
    <t>DISCRIMINATION; LITERACY; MARKET; WOMEN</t>
  </si>
  <si>
    <t>Digital finance; Fintech; Credit; Gender gap; Mobile money; Kenya</t>
  </si>
  <si>
    <t>Bridging the gender credit gap in low-income countries: The impact of digital financial inclusion</t>
  </si>
  <si>
    <t>Oluoch, Wycliffe; Alhassan, Abdul Latif</t>
  </si>
  <si>
    <t>Oluoch, W; Alhassan, AL</t>
  </si>
  <si>
    <t>WOS:001593001800005</t>
  </si>
  <si>
    <t>8NR5K</t>
  </si>
  <si>
    <t>ag.nikita22@gmail.com; shilpa@cvs.du.ac.in</t>
  </si>
  <si>
    <t>Garg, S (corresponding author), Univ Delhi, Coll Vocat Studies, Delhi, India.</t>
  </si>
  <si>
    <t>[Agarwal, Nikita; Garg, Shilpa] Univ Delhi, Coll Vocat Studies, Delhi, India</t>
  </si>
  <si>
    <t>Inclusive growth and sustainable development are the new paradigm for measuring economic development of a nation. Inclusive growth means economic growth that aims at generating employment, ensuring access to essential services in health and education, and providing equality of opportunities for the poor population of a country. According to policymakers, the objective of inclusive growth is not possible to achieve without achieving Financial Inclusion. And it is also believed that the road to Financial Inclusion is through Financial Literacy amongst the citizens of the country. Inclusive growth shall occur when not only the urban but the rural population is also financially aware and able to make independent choices in financial matters. This paper aims to analyse the level of financial literacy among the rural population of Indore district in Madhya Pradesh and identify demographic variables influencing the level. In our study we found that the rural population of Indore district had shown a positive level of financial attitude and financial behaviour but low level of financial knowledge. Thus, based on the study on these three variables of financial literacy, we observed a moderately high or above average level of financial literacy in the district. Also, almost all the demographic variables under study had shown positive influence on the level of financial literacy among the rural population. We also identified a correlation between the three variables of financial literacy that are financial knowledge, financial attitude, and financial behaviour under study in this paper.</t>
  </si>
  <si>
    <t>Financial Literacy; Financial Inclusion; Inclusive growth; awareness</t>
  </si>
  <si>
    <t>Understanding Financial Literacy in Rural Communities: A Comprehensive Study of Households in Indore District of Madhya Pradesh</t>
  </si>
  <si>
    <t>Agarwal, Nikita; Garg, Shilpa</t>
  </si>
  <si>
    <t>Agarwal, N; Garg, S</t>
  </si>
  <si>
    <t>WOS:000920151800001</t>
  </si>
  <si>
    <t>RN2P8</t>
  </si>
  <si>
    <t>10.1080/13504851.2023.2167915</t>
  </si>
  <si>
    <t>This work was supported by the Humanities and Social Science Fund of Ministry of Education of China (22YJA790043), the Philosophy and Social Science Research in Colleges and Universities of Jiangsu Province (2021SJA0359), the Open Project of Jiangsu Key Laboratory of Financial Engineering (NSK2021-08), the Applied Economics Project Funded by the Priority Academic Program Development of Jiangsu Higher Education Institutions [PAPD], under Grant [2018]87.</t>
  </si>
  <si>
    <t>Humanities and Social Science Fund of Ministry of Education of China; Philosophy and Social Science Research in Colleges and Universities of Jiangsu Province; Open Project of Jiangsu Key Laboratory of Financial Engineering; Priority Academic Program Development of Jiangsu Higher Education Institutions [PAPD]</t>
  </si>
  <si>
    <t>Humanities and Social Science Fund of Ministry of Education of China [22YJA790043]; Philosophy and Social Science Research in Colleges and Universities of Jiangsu Province [2021SJA0359]; Open Project of Jiangsu Key Laboratory of Financial Engineering [NSK2021-08]; Priority Academic Program Development of Jiangsu Higher Education Institutions [PAPD] [[2018]87]</t>
  </si>
  <si>
    <t>Meng, Defeng/AAO-2179-2020</t>
  </si>
  <si>
    <t>raymdf@nau.edu.cn</t>
  </si>
  <si>
    <t>Meng, DF (corresponding author), Nanjing Audit Univ, Sch Finance, Nanjing 211815, Jiangsu, Peoples R China.</t>
  </si>
  <si>
    <t>Nanjing Audit University</t>
  </si>
  <si>
    <t>[Meng, Defeng] Nanjing Audit Univ, Sch Finance, Nanjing 211815, Jiangsu, Peoples R China</t>
  </si>
  <si>
    <t>Utilizing the 2017 China Household Finance Survey (CHFS) data, we design a novel multidimensional index of consumers' digital financial capability (DFC) and find that consumers' DFC significantly and positively influences their total household consumption and the proportion of online consumption. Our analysis reveals consumers' DFC impacts household consumption through mediating channels, i.e. easing credit constraints and promoting online shopping, information search, and social interaction. Overall, it is beneficial for consumers to enhance their DFC, not only their financial literacy, to better use digital financial services to improve their financial well-being in the digital era.</t>
  </si>
  <si>
    <t>Digital financial capability; digital financial literacy; financial capability; household consumption</t>
  </si>
  <si>
    <t>Digital financial capability and household consumption: evidence from China</t>
  </si>
  <si>
    <t>Meng, Defeng</t>
  </si>
  <si>
    <t>Meng, DF</t>
  </si>
  <si>
    <t>WOS:001594874900001</t>
  </si>
  <si>
    <t>8QL2G</t>
  </si>
  <si>
    <t>10.1111/rode.70068</t>
  </si>
  <si>
    <t>This work was supported by Private Enterprise Development in Low-Income Countries, Centre for Economic Policy Research (Grant No. ERG 8255).</t>
  </si>
  <si>
    <t>Private Enterprise Development in Low-Income Countries, Centre for Economic Policy Research</t>
  </si>
  <si>
    <t>Private Enterprise Development in Low-Income Countries, Centre for Economic Policy Research [ERG 8255]</t>
  </si>
  <si>
    <t>Ky, Serge/GPX-1578-2022</t>
  </si>
  <si>
    <t>Ky, SS (corresponding author), Univ Ledea Bernard Ouedraogo, Lab Anal &amp; Polit Econ, Ouahigouya, Burkina Faso.</t>
  </si>
  <si>
    <t>[Ky, Serge Stephane] Univ Ledea Bernard Ouedraogo, Lab Anal &amp; Polit Econ, Ouahigouya, Burkina Faso; [Rugemintwari, Clovis] Univ Limoges, Lab Anal &amp; Prospect Econ, Limoges, France</t>
  </si>
  <si>
    <t>This paper investigates how uncertainty affects mobile money adoption and use by informal businesses. Despite the prevalence of the informal sector in developing countries and the recognized potential of mobile money for financial inclusion, empirical research on its adoption and usage among unregistered businesses is limited. Therefore, our study aims at filling this gap by taking into account the impact of the COVID-19 shocks as well as recent political turmoil in Burkina Faso. We consider three waves of business survey data from a quasi-experimental introduction of mobile money merchant accounts in March 2021. Using linear probability and random effects models, our findings indicate that security is a critical factor driving merchant account adoption and usage after accounting for business and owner characteristics. However, temporary business closures during COVID-19 negatively affect merchant account adoption while positively affecting its usage. Overall, this study supports global policy efforts to enhance financial inclusion among private sector businesses through mobile technology.</t>
  </si>
  <si>
    <t>Burkina Faso; financial inclusion; informal businesses; merchant account; mobile money; uncertainty</t>
  </si>
  <si>
    <t>Informal Firms' Adoption and Use of Mobile Money Under Uncertain Times: Evidence From Burkina Faso</t>
  </si>
  <si>
    <t>Ky, Serge Stephane; Rugemintwari, Clovis</t>
  </si>
  <si>
    <t>Ky, SS; Rugemintwari, C</t>
  </si>
  <si>
    <t>WOS:000702140400003</t>
  </si>
  <si>
    <t>BS2JP</t>
  </si>
  <si>
    <t>10.1007/978-3-030-29387-1_3</t>
  </si>
  <si>
    <t>978-3-030-29387-1; 978-3-030-29386-4</t>
  </si>
  <si>
    <t>Traore, Daouda/AAB-5240-2020</t>
  </si>
  <si>
    <t>fatoumatag.camara@gmail.com; daoudatr2008@gmail.com; gaelle.calvary@univ-grenoble-alpes.fr; amal.kali@orange.com</t>
  </si>
  <si>
    <t>Camara, FG (corresponding author), Univ Grenoble Alpes, LIG, Grenoble INP, CNRS, F-38000 Grenoble, France.</t>
  </si>
  <si>
    <t>Communaute Universite Grenoble Alpes; Institut National Polytechnique de Grenoble; Universite Grenoble Alpes (UGA); Centre National de la Recherche Scientifique (CNRS); Orange SA</t>
  </si>
  <si>
    <t>[Camara, Fatoumata G.; Calvary, Gaelle] Univ Grenoble Alpes, LIG, Grenoble INP, CNRS, F-38000 Grenoble, France; [Traore, Daouda] Univ Segou, Segou, Mali; [Kali, Amal] Orange Labs, 2 Ave Pierre Marzin, F-22300 Lannion, France</t>
  </si>
  <si>
    <t>Many studies investigating the use of mobile banking in developing countries focus on specific user groups (i.e., illiterates, low-and semi-literates, the unbanked, and/or poor, rural and underserved communities). Therefore, existing literature fails to provide understandings about mobile banking use in the developing world from a general perspective. In this paper, we report on a study conducted in Mali to understand the use of a mobile banking service. In total, 77 people coming from different neighborhoods of Bamako and exercising a large spectrum of jobs participated in the study. The paper sheds light on the use of mobile phone and mobile banking in Mali; suggests additional features, particularly related to communication, for the mobile banking service; and discusses findings that are of relevance for Human-Computer Interaction for Development (HCI4D) in general.</t>
  </si>
  <si>
    <t>HCI4D; User studies; Mobile banking; Mali</t>
  </si>
  <si>
    <t>HUMAN-COMPUTER INTERACTION, INTERACT 2019, PT III</t>
  </si>
  <si>
    <t>Investigating Mobile Banking in Mali: HCI Experience of 'Man in the Street'</t>
  </si>
  <si>
    <t>Camara, Fatoumata G.; Traore, Daouda; Calvary, Gaelle; Kali, Amal</t>
  </si>
  <si>
    <t>Camara, FG; Traoré, D; Calvary, G; Kali, A</t>
  </si>
  <si>
    <t>WOS:001138069600002</t>
  </si>
  <si>
    <t>EH6L7</t>
  </si>
  <si>
    <t>10.14254/2071-789X.2023/16-3/4</t>
  </si>
  <si>
    <t>Hernández-Mejía, Sergio/0000-0002-5477-666X; Moreno-García, Elena/0000-0001-9591-5921</t>
  </si>
  <si>
    <t>Hernández-Mejía, Sergio/GRF-1508-2022; Moreno-García, Elena/M-3954-2017</t>
  </si>
  <si>
    <t>sergiohm@ucc.mx; elenam@ucc.mx</t>
  </si>
  <si>
    <t>Hernández-Mejía, S (corresponding author), Cristobal Colon Univ, Veracruz, Veracruz, Mexico.</t>
  </si>
  <si>
    <t>[Hernandez-Mejia, Sergio; Moreno-Garcia, Elena] Cristobal Colon Univ, Veracruz, Veracruz, Mexico</t>
  </si>
  <si>
    <t>According to the Mexican National Survey of Financial Inclusion 2021, Mexicans' behavior regarding retirement savings is of great concern because only one-third of the Mexican population saves for their retirement. This study measures the financial literacy level among Mexicans and determines its relationship with retirement planning and socio-demographic variables. A multinomial logit micro-econometric model was estimated and data from the last Mexican National Survey of Financial Inclusion 2021 were used. The results indicate that women, rural residents, poorly educated people, and low-income earners are more likely not to plan for old age. Furthermore, financial literacy positively influences the decision to formally plan for retirement. The findings may be useful in designing strategies to increase Mexicans' financial literacy levels and, consequently, their planning for retirement.</t>
  </si>
  <si>
    <t>PENSION; SYSTEM</t>
  </si>
  <si>
    <t>financial literacy; logit; Mexico; planning; retirement</t>
  </si>
  <si>
    <t>FINANCIAL LITERACY AND RETIREMENT PLANNING IN MEXICO</t>
  </si>
  <si>
    <t>Hernandez-Mejia, Sergio; Moreno-Garcia, Elena</t>
  </si>
  <si>
    <t>Hernández-Mejía, S; Moreno-García, E</t>
  </si>
  <si>
    <t>WOS:001393070400001</t>
  </si>
  <si>
    <t>10.1007/s40847-024-00412-x</t>
  </si>
  <si>
    <t>Mobile banking adoption for financial inclusion: insights from rural West Bengal (Sept, 10.1007/s40847-024-00376-y, 2024)</t>
  </si>
  <si>
    <t>WOS:000564905300001</t>
  </si>
  <si>
    <t>OG1ES</t>
  </si>
  <si>
    <t>10.1108/IJSE-05-2020-0271</t>
  </si>
  <si>
    <t>OCT 12</t>
  </si>
  <si>
    <t>Korle, Kofi/0000-0001-6501-4452; Amoah, Anthony/0000-0002-3564-6464; Asiama, Rex Kweku Awuku/0000-0002-3530-2549;</t>
  </si>
  <si>
    <t>Korle, Kofi/AAY-9670-2020; Amoah, Anthony/S-9284-2019; Asiama, Rex Kweku Awuku/IWD-6103-2023</t>
  </si>
  <si>
    <t>anthonyamoahgh@gmail.com; kkorle5@gmail.com; awuku.asiama@gmail.com</t>
  </si>
  <si>
    <t>Amoah, A (corresponding author), Cent Univ, Dept Econ, Accra, Ghana.</t>
  </si>
  <si>
    <t>[Amoah, Anthony; Korle, Kofi] Cent Univ, Dept Econ, Accra, Ghana; [Asiama, Rexford Kweku] Univ Johannesburg, DST NRF SARCHI Ind Dev, Johannesburg, South Africa</t>
  </si>
  <si>
    <t>Purpose This paper seeks to examine the motivating factors that propel people to use mobile money in the Greater Accra Region (GAR) of Ghana. The authors posit that the behaviour of a person, in terms of the choice and means of transaction, cannot be explained solely by utility-maximizing assumptions or rationality. Thus, other socio-cultural and psychological factors are crucial in determining whether a person will use mobile money. Design/methodology/approach This study uses a cross-sectional design to obtain primary data on 733 households from the GAR of Ghana to determine the drivers of mobile money use. Given the binary nature of the dependent variable, a logit model and its marginal effects are estimated. Furthermore, parametric and non-parametric statistical tests are used to examine gender effect and mobile money use. Findings The study finds that technology savvy cohorts (youthful age cohorts), available services such as phone credit recharge, education and income are among the key determinants of mobile money use in Ghana. Furthermore, parametric and non-parametric tests of mobile money use on gender show a statistically significant difference in gender use of mobile money, albeit, marginal. The findings imply that consistent use of mobile money to access social and economic services can go a long way in promoting financial inclusion, financial empowerment and general wellbeing of people. Originality/value Households in developing countries especially Ghana have rapidly embraced mobile money technology. However, what determines the household level of adoption, to the best of our knowledge, is unknown and yet to be tested. This study bridges that gap in the empirical literature as well as contributes to policy decisions. Peer review The peer review history for this article is available at:</t>
  </si>
  <si>
    <t>ECONOMIC-GROWTH; INFORMATION; ICT; TECHNOLOGIES; INNOVATION; DIFFUSION; SERVICES; BEHAVIOR; BANKING; CREDIT</t>
  </si>
  <si>
    <t>Mobile money adoption; Financial inclusion; Determinants; Ghana; Logit regression</t>
  </si>
  <si>
    <t>Mobile money as a financial inclusion instrument: what are the determinants?</t>
  </si>
  <si>
    <t>Amoah, Anthony; Korle, Kofi; Asiama, Rexford Kweku</t>
  </si>
  <si>
    <t>Amoah, A; Korle, K; Asiama, RK</t>
  </si>
  <si>
    <t>WOS:001278650900001</t>
  </si>
  <si>
    <t>ZX7N2</t>
  </si>
  <si>
    <t>10.1080/23322039.2024.2381682</t>
  </si>
  <si>
    <t>Prasuna, Asha/0000-0002-9152-1690; G, Alivelu/0000-0002-0576-1170; , Ramesh Annemalla/0009-0004-0239-563X</t>
  </si>
  <si>
    <t>ashasivakumar@somaiya.edu</t>
  </si>
  <si>
    <t>Prasuna, A (corresponding author), Somaiya Vidyavihar Univ SVU, KJ Somaiya Inst Management, Dept Econ, Int Finance &amp; Econ, Mumbai, India.</t>
  </si>
  <si>
    <t>Somaiya Vidyavihar University; K J Somaiya Institute of Management</t>
  </si>
  <si>
    <t>[Prasuna, Asha] Somaiya Vidyavihar Univ SVU, KJ Somaiya Inst Management, Dept Econ, Int Finance &amp; Econ, Mumbai, India; [Kasturi, Alivelu] Ctr Econ &amp; Social Studies, Div Grad Studies, Hyderabad, Telangana, India; [Annemalla, Ramesh] Ctr Econ &amp; Social Studies, Dept Commerce &amp; Business Management, Hyderabad, Telangana, India</t>
  </si>
  <si>
    <t>Financial Inclusion (FI) is one of the most important indicators of inclusive growth of an economy. This paper examines the status of FI in India by constructing a comprehensive financial inclusion index (FII). The data analysis indicates that states such as Goa, Kerala, Tamil Nadu, Maharashtra, and Telangana performed well in FI. Further, a panel data regression model is estimated to know the determinants of financial inclusion in 27 Indian States for the period 2005 to 2020. The composite index can be used to monitor and assess financial inclusion over time and at the grass root level also. The estimated results show that per capita NSDP, literacy rate, urban population share, road length, and number of factories are perhaps the most important financial inclusion determinants. The novelty of this study is to provide a comprehensive understanding of financial inclusion levels across different states in India for two-decade period along with rural and urban financial inclusion levels. The study serves as a critical resource for understanding the dynamics of financial inclusion in India for the two decades period and offers valuable insights for policymakers by identifying key determinants and guide the development of targeted policies aimed at improving financial inclusion, which is essential for economic growth and development.</t>
  </si>
  <si>
    <t>Financial inclusion; composite financial inclusion index; panel data; literacy and socio-economic determinants; savings; electronic payments; Goodness Aye, University of Agriculture, Nigeria; Economics and Development; Development Policy; Development Studies; C23; C43; G21</t>
  </si>
  <si>
    <t>Unveiling the factors influencing financial inclusion in India: a comprehensive analysis</t>
  </si>
  <si>
    <t>Prasuna, Asha; Kasturi, Alivelu; Annemalla, Ramesh</t>
  </si>
  <si>
    <t>Prasuna, A; Kasturi, A; Annemalla, R</t>
  </si>
  <si>
    <t>WOS:000752937000001</t>
  </si>
  <si>
    <t>4I7ML</t>
  </si>
  <si>
    <t>10.1108/MF-06-2021-0260</t>
  </si>
  <si>
    <t>9/10</t>
  </si>
  <si>
    <t>, anshika/0000-0003-0337-9303</t>
  </si>
  <si>
    <t>Singla, Anju/KPB-2776-2024</t>
  </si>
  <si>
    <t>anshika2900@gmail.com; anjusinglapec@gmail.com</t>
  </si>
  <si>
    <t>Anshika (corresponding author), Deemed Univ, Punjab Engn Coll, Ctr Management &amp; Humanities CMH, Chandigarh, India.</t>
  </si>
  <si>
    <t>[Anshika; Singla, Anju] Deemed Univ, Punjab Engn Coll, Ctr Management &amp; Humanities CMH, Chandigarh, India</t>
  </si>
  <si>
    <t>Purpose This paper aims to study the level of financial literacy of entrepreneurs across the globe and its role in financial access and performance of micro, small and medium enterprises (MSMEs) based on a systematic review. The present study identifies the measures to enhance the level of financial literacy for increasing financial access and performance of enterprises. Design/methodology/approach Systematic literature review has been undertaken by identifying 358 studies from various sources. After removing the 237 studies based on selection criteria, 67 studies have been found relevant for the present study. Findings The level of financial literacy of entrepreneurs around the world is generally low. It has been found that financial literacy improves performance of an enterprise, particularly when the funds are readily available as insufficient funds disrupt the operating efficiency of the firm, thereby hindering its growth and survival. The other most important factors i.e. access to formal finance, lending policies of financial institutions, ease of doing business and training programmes have a substantial influence on the survival of the firms. The literature also revealed that there is no standardised methodology to measure the financial literacy of entrepreneurs. Research limitations/implications The study conceptualises a research model which can be used by the policymakers to develop training modules for entrepreneurs. These training modules will contribute to the nation's economic growth by virtue of enhanced performance and superior financial access. Originality/value This study proposes a hypothesised research model which is one of its kinds to demonstrate the influence of financial literacy on financial access and performance of MSMEs.</t>
  </si>
  <si>
    <t>WOMEN ENTREPRENEURS; ENTERPRISES; ACCESS; KNOWLEDGE</t>
  </si>
  <si>
    <t>MSMEs; Financial literacy; Entrepreneurs; Financial access; Performance of MSMEs; F63; L26</t>
  </si>
  <si>
    <t>Financial literacy of entrepreneurs: a systematic review</t>
  </si>
  <si>
    <t>Anshika; Singla, Anju</t>
  </si>
  <si>
    <t>Anshika; Singla, A</t>
  </si>
  <si>
    <t>WOS:000314108100013</t>
  </si>
  <si>
    <t>BDN90</t>
  </si>
  <si>
    <t>Management; Regional &amp; Urban Planning</t>
  </si>
  <si>
    <t>10.1016/j.sbspro.2012.03.281</t>
  </si>
  <si>
    <t>PROCD SOC BEHV</t>
  </si>
  <si>
    <t>1877-0428</t>
  </si>
  <si>
    <t>SARA BURGERHARTSTRAAT 25, PO BOX 211, 1000 AE AMSTERDAM, NETHERLANDS</t>
  </si>
  <si>
    <t>Gupta, Deepa/0000-0002-8339-2569; Venkataramani, Bhama/0000-0002-0693-060X</t>
  </si>
  <si>
    <t>Gupta, Deepa/ABU-3493-2022; Venkataramani, Bhama/AFX-8742-2022</t>
  </si>
  <si>
    <t>deepa.gupta@ssbm.edu.in</t>
  </si>
  <si>
    <t>Gupta, D (corresponding author), Symbiosis Sch Banking Management, Pune, Maharashtra 412115, India.</t>
  </si>
  <si>
    <t>Symbiosis International University; Symbiosis International University; Symbiosis Institute of International Business (SIIB)</t>
  </si>
  <si>
    <t>[Venkataramani, Bhama; Gupta, Deepa] Symbiosis Sch Banking Management, Pune, Maharashtra 412115, India; [Gupte, Rajani] SIU, SIIB, Pune, Maharashtra 411057, India</t>
  </si>
  <si>
    <t>Financial inclusion has become the buzzword and has caught the attention of research scholars, policy makers and economists. While finance has always been recognized to be the life blood of any economic unit, financial inclusion, as a 'quasi-public good' is seen to be the harbinger that would facilitate fuller participation by vulnerable groups such as weaker sections and low income groups in the financial system. This paper aims to study the determinants that measure the extent of financial inclusion and focuses on the computation of an index that would comprehensively capture the impact of multi-dimensional variables with specific reference to India, using the latest available data. Past studies have omitted one or the other dimensions impacting financial inclusion, for various reasons. However, since each of the dimensions is critical, incorporating as many dimensions as possible will result in a more holistic of financial inclusion. The Reserve Bank of India (RBI) has initiated several measures to enhance the financial inclusion in India. The impetus came from schemes like relaxed KYC norms, 'no-frills' accounts and General Credit Cards for small deposits and credit since 2005-06. (C) 2012 Published by Elsevier Ltd. Selection and/or peer-review under responsibility of Symbiosis Institute of International Business (SIIB)</t>
  </si>
  <si>
    <t>Financial inclusion index; Multidimensional variables; Computation</t>
  </si>
  <si>
    <t>Symbiosis Inst Int Business (SIIB)</t>
  </si>
  <si>
    <t>Symbiosis Int Univ (SIU), Fac Management</t>
  </si>
  <si>
    <t>Symbiosis Inst Int Business (SIIB), Pune, INDIA</t>
  </si>
  <si>
    <t>JAN 12-13, 2012</t>
  </si>
  <si>
    <t>International Conference on Emerging Economies - Prospects and Challenges (ICEE)</t>
  </si>
  <si>
    <t>Procedia Social and Behavioral Sciences</t>
  </si>
  <si>
    <t>INTERNATIONAL CONFERENCE ON EMERGING ECONOMIES - PROSPECTS AND CHALLENGES (ICEE-2012)</t>
  </si>
  <si>
    <t>Computation of financial inclusion index for India</t>
  </si>
  <si>
    <t>Gupte, Rajani; Venkataramani, Bhama; Gupta, Deepa</t>
  </si>
  <si>
    <t>Patil, YB</t>
  </si>
  <si>
    <t>Gupte, R; Venkataramani, B; Gupta, D</t>
  </si>
  <si>
    <t>WOS:000308720000011</t>
  </si>
  <si>
    <t>004ZL</t>
  </si>
  <si>
    <t>10.1111/j.1471-0366.2012.00377.x</t>
  </si>
  <si>
    <t>J. Agrar. Chang.</t>
  </si>
  <si>
    <t>J AGRAR CHANGE</t>
  </si>
  <si>
    <t>1471-0366</t>
  </si>
  <si>
    <t>1471-0358</t>
  </si>
  <si>
    <t>Taylor, Marcus/0000-0003-0944-601X</t>
  </si>
  <si>
    <t>marcus.taylor@queensu.ca</t>
  </si>
  <si>
    <t>Taylor, M (corresponding author), Queens Univ, Dept Global Dev Studies, Kingston, ON K7L 3N6, Canada.</t>
  </si>
  <si>
    <t>Queens University - Canada</t>
  </si>
  <si>
    <t>Queens Univ, Dept Global Dev Studies, Kingston, ON K7L 3N6, Canada</t>
  </si>
  <si>
    <t>The concept of financial inclusion has become a central trope that legitimates a wide range of contemporary development practices. By constructing a new object of development the financially excluded it facilitates the expansion of an increasingly corporatized microfinance technocracy. The present paper problematizes the underlying binaries of inclusion/exclusion and formal/informal finance upon which this narrative is based. Through an examination of the 2010 Andhra Pradesh microfinance crisis, it demonstrates key contradictions within the discourse and practices of commercial microfinance. In so doing, it demonstrates why the narrative of financial inclusion and its correlate notion of consumption smoothing are inadequate tools with which to conceptualize the political economy of contemporary agrarian change.</t>
  </si>
  <si>
    <t>microfinance; debt; financial inclusion; consumption smoothing; India</t>
  </si>
  <si>
    <t>JOURNAL OF AGRARIAN CHANGE</t>
  </si>
  <si>
    <t>The Antinomies of Financial Inclusion': Debt, Distress and the Workings of Indian Microfinance</t>
  </si>
  <si>
    <t>Taylor, Marcus</t>
  </si>
  <si>
    <t>Taylor, M</t>
  </si>
  <si>
    <t>WOS:000528179800011</t>
  </si>
  <si>
    <t>LG6AA</t>
  </si>
  <si>
    <t>Econ. Bull.</t>
  </si>
  <si>
    <t>ECON BULL</t>
  </si>
  <si>
    <t>1545-2921</t>
  </si>
  <si>
    <t>C/O JOHN CONLEY, DEPT ECONOMICS, 414 CALHOUN HALL, NASHVILLE, TN 37235 USA</t>
  </si>
  <si>
    <t>ECONOMICS BULLETIN</t>
  </si>
  <si>
    <t>Goutte, Stephane/Q-2202-2019</t>
  </si>
  <si>
    <t>imen_kouki@yahoo.fr; iabid@iscparis.com; kalloda_fr@yahoo.fr; stephane.goutte@uvsq.fr</t>
  </si>
  <si>
    <t>Kouki, I (corresponding author), ISG Tunis, Tunis, Tunisia.</t>
  </si>
  <si>
    <t>Universite de Tunis; Universite Paris Saclay; Vietnam National University Hanoi (VNU Hanoi) System</t>
  </si>
  <si>
    <t>[Kouki, Imen] ISG Tunis, Tunis, Tunisia; [Abid, Ilyes] ISC Paris, Paris, France; [Guesmi, Khaled] Paris Sch Business, CRECC, Paris, France; [Goutte, Stephane] UVSQ, CEMOTEV, Paris Saclay, Versailles, France; [Goutte, Stephane] VNU, Int Sch, Hanoi, Vietnam</t>
  </si>
  <si>
    <t>This paper offers an empirical investigation on the channels through which financial inclusion may influence the soundness of African banks. Using the dynamic panel approach, we construct a composite index of financial inclusion for 38 African countries over the period 2005 to 2014, and then investigate if the financial inclusion could influence directly or through the competition the banking stability. Our results indicate a strong relation between financial inclusion, and banking stability. In addition, the result suggests that the policy makers face tradeoffs between financial inclusion and bank competition to improve the financial stability.</t>
  </si>
  <si>
    <t>ACCESS; IMPACT</t>
  </si>
  <si>
    <t>Does Financial inclusion affect the African banking stability?</t>
  </si>
  <si>
    <t>Kouki, Imen; Abid, Ilyes; Guesmi, Khaled; Goutte, Stephane</t>
  </si>
  <si>
    <t>Kouki, I; Abid, I; Guesmi, K; Goutte, S</t>
  </si>
  <si>
    <t>WOS:000882472500001</t>
  </si>
  <si>
    <t>6D1PV</t>
  </si>
  <si>
    <t>10.54146/newcontree/2022/88/01</t>
  </si>
  <si>
    <t>New Contree</t>
  </si>
  <si>
    <t>NEW CONTREE</t>
  </si>
  <si>
    <t>0379-9867</t>
  </si>
  <si>
    <t>PO BOX 1547, LICHTENBURG, 2740, SOUTH AFRICA</t>
  </si>
  <si>
    <t>LICHTENBURG</t>
  </si>
  <si>
    <t>UNIV NORTH WEST, DEPT HISTORY</t>
  </si>
  <si>
    <t>The author is a research fellow. Research for this study was generously funded by the Gerda Henkel Foundation. It is a sub-project within the Southern African Democracy and the Utopia of a Rainbow Nation project, Project No. 05/DE/19.</t>
  </si>
  <si>
    <t>Gerda Henkel Foundation; Southern African Democracy and the Utopia of a Rainbow Nation</t>
  </si>
  <si>
    <t>Gerda Henkel Foundation; Southern African Democracy and the Utopia of a Rainbow Nation [05/DE/19]</t>
  </si>
  <si>
    <t>seanmaliehe@gmail.com</t>
  </si>
  <si>
    <t>Maliehe, S (corresponding author), Univ Free State, Bloemfontein, South Africa.</t>
  </si>
  <si>
    <t>[Maliehe, Sean] Univ Free State, Bloemfontein, South Africa</t>
  </si>
  <si>
    <t>This paper examines the development of mobile money in contemporary Lesotho, 2012-2020. Using historical and ethnographic sources, it situates the development of this mobile phone-based financial system within the broader economic history of the country. It adopts a political economy approach to analyse the emergence and evolution of mobile money as an instrument of financial inclusion used by the government of Lesotho and international organisations. The paper advances that when operating with the logic of capitalism, free market policies, emergent mobile money networks are hierarchically structured and privileges enterprises and corporations with bigger financial muscle. The majority of small agents, the Basotho entrepreneurs, are marginal and have to operate precariously with limited capital and low cashflows to ensure efficient services for the people. As a corollary to this, the rural poor are further excluded and exploited by the agents. A general assessment advanced in the article is that the rigidly defined digital eco-system is geared towards integrating the lower echelons of the economy asymmetrically into the mainstream financial economy dominated by corporations. However, this cannot be defined as any meaningful financial inclusion.</t>
  </si>
  <si>
    <t>Mobile money; Lesotho; Basotho; Commerce; Economic; history; Inequality; Economic democracy; Financial inclusion; Mobile</t>
  </si>
  <si>
    <t>Political economy of financial inclusion in Lesotho: Mobile money and the experiences of low-income and rural communities</t>
  </si>
  <si>
    <t>Maliehe, Sean</t>
  </si>
  <si>
    <t>Maliehe, S</t>
  </si>
  <si>
    <t>WOS:000654768000007</t>
  </si>
  <si>
    <t>SI4AH</t>
  </si>
  <si>
    <t>ST SICHEVYKH STREITSOV, 11, LVIV, UKRAINE</t>
  </si>
  <si>
    <t>LVIV</t>
  </si>
  <si>
    <t>BANKING UNIV</t>
  </si>
  <si>
    <t>Prymostka, Liudmyla/K-7815-2018; Biloshapka, Viktoriia/IAN-0923-2023; Krasnova, Iryna/AAC-8131-2020; Prymostka, Olena/ABH-5964-2020</t>
  </si>
  <si>
    <t>priml@ukr.net; iryna_krasnova@i.ua; hprimostka@gmail.com; biloshapka.viktoriia@kneu.edu.ua; maksimeyko@gmail.com</t>
  </si>
  <si>
    <t>Prymostka, L (corresponding author), Kyiv Natl Econ Univ, Dept Banking &amp; Insurance, Kiev, Ukraine.</t>
  </si>
  <si>
    <t>Ministry of Education &amp; Science of Ukraine; Kyiv National Economic University named after Vadym Hetman</t>
  </si>
  <si>
    <t>[Prymostka, L.; Krasnova, I; Prymostka, O.; Biloshapka, V; Lavreniuk, A.] Kyiv Natl Econ Univ, Dept Banking &amp; Insurance, Kiev, Ukraine</t>
  </si>
  <si>
    <t>Low level of financial literacy and coverage of the population with banking services is one of the urgent problems of Ukrainian society. Methodical approaches to a comprehensive integrated assessment of the level of financial inclusion are proposed. The key components of financial inclusion (FI) have been identified, which include: welfare, awareness, accessibility, involvement and usage. Their economic meaning, logical sequence and interconnectedness are revealed. An algorithm for evaluation is proposed, which includes successive stages: substantiation of FI components; selection of analytical indicators for each component; calculation of sub-indexes of components and their normalization; weighing subindexes based on professional judgments; calculation of the resulting indicator - the integrated index of financial inclusion (IFI). For each component of financial inclusion, a primary set of analytical indicators-indicators is formed, which are divided into stimulators and disincentives. For all components, their standardized value and significance factor are calculated. A thermal mapping of the dynamics of sub-indexes by components for 2000-2019 was carried out. It was found that the intensification of the development of non-cash payments and digital banking services contributed to the growth of the component of usage, and the reduction in the number of banking institutions led to a decrease in the level of availability of banking services. A comprehensive economic and statistical assessment of the level of financial inclusion in Ukraine has been carried out. Integral IFI is calculated as the geometric mean of individual sub-indexes. A composite map of financial inclusion of the population of Ukraine is constructed. The map clearly shows the low indicators of the basic components of financial inclusion - well-being and awareness. The directions of improvement of the methodology by expanding the list of analytical indicators are substantiated. The main problems and destructive factors that reduce the level of financial inclusion in the country are highlighted. It is substantiated that the method of assessing the level of financial inclusion is necessary for monitoring and preventive identification of possible problems.</t>
  </si>
  <si>
    <t>ACCESS; SERVICES</t>
  </si>
  <si>
    <t>financial inclusion; components of financial inclusion; accessibility; involvement; usage; analytical indicators; indices of financial inclusion; map of financial inclusion; integrated indicator of financial inclusion</t>
  </si>
  <si>
    <t>INTEGRATED EVALUATION OF FINANCIAL INCLUSION IN UKRAINE</t>
  </si>
  <si>
    <t>Prymostka, L.; Krasnova, I; Prymostka, O.; Biloshapka, V; Lavreniuk, A.</t>
  </si>
  <si>
    <t>Prymostka, L; Krasnova, I; Prymostka, O; Biloshapka, V; Lavreniuk, A</t>
  </si>
  <si>
    <t>WOS:000531417000009</t>
  </si>
  <si>
    <t>LL2WH</t>
  </si>
  <si>
    <t>10.1002/jsc.2333</t>
  </si>
  <si>
    <t>Louche, Céline/0000-0001-6500-1862</t>
  </si>
  <si>
    <t>Louche, Céline/J-9657-2019</t>
  </si>
  <si>
    <t>ssinghe@audencia.com</t>
  </si>
  <si>
    <t>Singhe, SS (corresponding author), Univ Nantes, Econ &amp; Management, LEMNA, Chemin Censive Tertre, Nantes 44322, France.</t>
  </si>
  <si>
    <t>Nantes Universite; Audencia</t>
  </si>
  <si>
    <t>[Singhe, Steffi Sandra] Univ Nantes, Econ &amp; Management, Nantes, France; [Louche, Celine] Audencia Business Sch, Business &amp; Soc Dept, Nantes, France</t>
  </si>
  <si>
    <t>While the microfinance regulations in Cameroon have a positive influence in professionalizing the microfinance sector, it seems to have also created hurdles for MFIs to fulfill their social mission of financial inclusion. The evolution of activities of the microfinance sector over the years led to changes in the regulatory environment through the establishment of new regulations that progressively professionalize the sector and controlled certain derives. Financial inclusion has been hindered by insufficient supervision and tight regulations in terms of board members' qualifications, loan documentation requirements, and provisioning and liquidity requirements. Regulations still need to reflect more the specificities of the microfinance sector and be matched with adequate supervision in order to achieve its dual role of financial inclusion and safeguarding the financial system.</t>
  </si>
  <si>
    <t>GOVERNANCE; INSTITUTIONS; SUSTAINABILITY; NIGERIA</t>
  </si>
  <si>
    <t>cameroon; financial inclusion; microfinance regulation</t>
  </si>
  <si>
    <t>The development of microfinance in Cameroon: Focus on regulation</t>
  </si>
  <si>
    <t>Singhe, Steffi Sandra; Louche, Celine</t>
  </si>
  <si>
    <t>Singhe, SS; Louche, C</t>
  </si>
  <si>
    <t>WOS:000345823000006</t>
  </si>
  <si>
    <t>AU8CA</t>
  </si>
  <si>
    <t>10.1016/j.ibusrev.2014.05.008</t>
  </si>
  <si>
    <t>Int. Bus. Rev.</t>
  </si>
  <si>
    <t>INT BUS REV</t>
  </si>
  <si>
    <t>1873-6149</t>
  </si>
  <si>
    <t>0969-5931</t>
  </si>
  <si>
    <t>Aggarwal, Raj/0000-0002-0571-5844</t>
  </si>
  <si>
    <t>aggarwa@uakron.edu; johngoo@uakron.edu; ellejay86@hotmail.com</t>
  </si>
  <si>
    <t>Goodell, JW (corresponding author), Univ Akron, Coll Business Adm, Akron, OH 44325 USA.</t>
  </si>
  <si>
    <t>University System of Ohio; University of Akron; University System of Ohio; University of Akron</t>
  </si>
  <si>
    <t>[Goodell, John W.] Univ Akron, Coll Business Adm, Akron, OH 44325 USA; [Selleck, Lauren J.] Univ Akron, Akron, OH 44325 USA</t>
  </si>
  <si>
    <t>Microfinance institutions' (MFIs) preference for women borrowers varies internationally and the MFI focus on women borrowers is generally attributed to two reasons: women borrowers are more trustworthy and have greater social impact. However, the role of social trust with regard to this gender preference has not been adequately investigated. We document that MFIs favor women more in low trust countries and in countries where social trust formation is primarily behavioral. We interpret these findings as consistent with gender targeting being used as a substitute for social trust. Our results should be of considerable interest to policy-makers, managers, and scholars. (C) 2014 Elsevier Ltd. All rights reserved.</t>
  </si>
  <si>
    <t>FINANCIAL PERFORMANCE; ECONOMIC-DEVELOPMENT; NATIONAL CULTURE; CREDIT PROGRAMS; GENDER; INFORMATION; ACCESS; MICROENTERPRISE; MICROCREDIT; EFFICIENCY</t>
  </si>
  <si>
    <t>Access to finance; Banking; Economic development; Financing; Gender development; Gender discrimination; National culture; Social trust</t>
  </si>
  <si>
    <t>INTERNATIONAL BUSINESS REVIEW</t>
  </si>
  <si>
    <t>Lending to women in microfinance: Role of social trust</t>
  </si>
  <si>
    <t>Aggarwal, Raj; Goodell, John W.; Selleck, Lauren J.</t>
  </si>
  <si>
    <t>Aggarwal, R; Goodell, JW; Selleck, LJ</t>
  </si>
  <si>
    <t>WOS:000340017900005</t>
  </si>
  <si>
    <t>AM7AU</t>
  </si>
  <si>
    <t>10.1016/j.jebo.2014.02.025</t>
  </si>
  <si>
    <t>S73</t>
  </si>
  <si>
    <t>S56</t>
  </si>
  <si>
    <t>Osman, Adam/0000-0003-0848-6183; Karlan, Dean/0000-0003-0164-1398; El-Komi, Mohamed/0000-0003-0307-2926</t>
  </si>
  <si>
    <t>; Karlan, Dean/KCY-1949-2024; El-Komi, Mohamed/ABA-3572-2021</t>
  </si>
  <si>
    <t>adam.osman@yale.edu</t>
  </si>
  <si>
    <t>Osman, A (corresponding author), Yale Univ, Dept Econ, New Haven, CT 06511 USA.</t>
  </si>
  <si>
    <t>Rice University; Egyptian Knowledge Bank (EKB); American University Cairo; Yale University; Innovations for Poverty Action (IPA)</t>
  </si>
  <si>
    <t>[El-Gamal, Mahmoud] Rice Univ, Houston, TX 77251 USA; [El-Gamal, Mahmoud] James A Baker III Inst Publ Policy, Houston, TX USA; [El-Komi, Mohamed] Amer Univ Cairo, Cairo, Egypt; [Karlan, Dean; Osman, Adam] Yale Univ, New Haven, CT 06511 USA; [Karlan, Dean] Innovat Poverty Act, New Haven, CT USA</t>
  </si>
  <si>
    <t>Microfinance institutions (MFIs) have continued to grow over the past few decades, both in numbers of clients and portfolio sizes. The growth of these MFIs has enabled greater access to credit in many of the world's less developed nations. However, recent studies have shown that very many of the poor - especially Muslims - remain unbanked. Confounding this problem in many Muslim countries is the poor's propensity to reject microfinance, when available, on religious grounds. In this paper we develop an alternative microfinance model which aims to establish credit unions for the poor in which the bank plays the role of a guarantor in the familiar rotating savings and credit association (RoSCA). We test the performance of this model against a stylized sequential Grameen-style microcredit provision in a laboratory experiment in the field conducted in poor Egyptian villages. Our model of bank-insured RoSCAs is shown to solve coordination-failure problems that may otherwise prevent the spontaneous development of informal RoSCAs in practice. Empirically, our bank-insured RoSCA model generated significantly higher takeup and repayment rates than the Grameen model. This suggests that this model, by overcoming the religious barriers to credit, can be a useful alternative to Grameen-style microfinance. (C) 2014 Elsevier B.V. All rights reserved.</t>
  </si>
  <si>
    <t>CREDIT ASSOCIATIONS; ROTATING SAVINGS; ECONOMICS; DECISIONS</t>
  </si>
  <si>
    <t>Bank-insured RoSCA for microfinance: Experimental evidence in poor Egyptian villages</t>
  </si>
  <si>
    <t>El-Gamal, Mahmoud; El-Komi, Mohamed; Karlan, Dean; Osman, Adam</t>
  </si>
  <si>
    <t>El-Gamal, M; El-Komi, M; Karlan, D; Osman, A</t>
  </si>
  <si>
    <t>WOS:000536944800005</t>
  </si>
  <si>
    <t>LT3BG</t>
  </si>
  <si>
    <t>10.1080/07360932.2018.1479648</t>
  </si>
  <si>
    <t>Simba, Amon/0000-0002-0276-8211; Ojong, Nathanael/0000-0001-6333-6335</t>
  </si>
  <si>
    <t>Simba, Amon/AFM-0115-2022; Ojong, Nathanael/AFF-9543-2022</t>
  </si>
  <si>
    <t>Ojong, N (corresponding author), Tyndale Univ Coll, Int Dev Programme, Coll,3377 Bayview Ave, Toronto, ON M2M 3S4, Canada.</t>
  </si>
  <si>
    <t>University of Nottingham; Nottingham Trent University</t>
  </si>
  <si>
    <t>[Ojong, Nathanael] Tyndale Univ Coll, Int Dev Programme, Coll,3377 Bayview Ave, Toronto, ON M2M 3S4, Canada; [Simba, Amon] Nottingham Business Sch, Entrepreneurship &amp; Strategy, 50 Shakespeare St,8th Floor Newton Bldg,Room 819, Nottingham NG1 4FQ, England</t>
  </si>
  <si>
    <t>While trust is critical to microlending groups, much less is known about the vital factors and mechanisms that foster its emergence in microlending groups. This paper examines the practices of trust building and use in microlending groups. The results suggest that trust is produced and developed in microlending groups through a combination of calculative, prediction, intentionality, capability and transference mechanisms. These mechanisms are not mutually exclusive but act together to build trust. Though trust has general characteristics, whether and how it is formed and developed in microlending groups depends on context-specific factors such as informal debt relations. Trust among group members is bolstered by multiplex relations of social events, neighbourhood, and friendship. The paper suggests that the unbanked population has a rich informal credit history.</t>
  </si>
  <si>
    <t>JOINT-LIABILITY; ENTREPRENEURSHIP; INSTITUTIONS; MICROCREDIT; CULTURE; GENDER; MARKET; NORMS</t>
  </si>
  <si>
    <t>trust; microfinance; informal debt relations; contextual factors; Cameroon</t>
  </si>
  <si>
    <t>Trust-Building Mechanisms in Group-Based Microfinance: A Cameroonian Perspective</t>
  </si>
  <si>
    <t>Ojong, Nathanael; Simba, Amon</t>
  </si>
  <si>
    <t>Ojong, N; Simba, A</t>
  </si>
  <si>
    <t>WOS:001052244900001</t>
  </si>
  <si>
    <t>10.1111/rode.13046</t>
  </si>
  <si>
    <t>Consortium pour la rechercheeconomique en Afrique, Grant/AwardNumber: RC21572</t>
  </si>
  <si>
    <t>Consortium pour la rechercheeconomique en Afrique</t>
  </si>
  <si>
    <t>Consortium pour la rechercheeconomique en Afrique [RC21572]</t>
  </si>
  <si>
    <t>Bizoza, Saidi/0000-0001-8321-1441; Atta-Aidoo, Jonathan/0000-0001-9002-4628</t>
  </si>
  <si>
    <t>Saleh, Abdulkarim/ADP-4765-2022; Atta-Aidoo, Jonathan/IAN-8722-2023</t>
  </si>
  <si>
    <t>[Atta-Aidoo, Jonathan] Kwame Nkrumah Univ Sci &amp; Technol, Dept Environm Sci, Kumasi, Ghana; [Atta-Aidoo, Jonathan] Inst Liberty &amp; Policy Innovat, Tema, Ghana; [Matthew, Ester Cosmas] Sokoine Univ Agr, Dept Agr Econ &amp; Agribusiness, Morogoro, Tanzania; [Saleh, Abdulkarim Onah] Nasarawa State Univ, Dept Agr Econ &amp; Extens, Keffi, Nigeria; [Saleh, Abdulkarim Onah] FGN IFAD Assisted Value Chain Dev Programme VCDP, Lafia, Nigeria; [Bizoza, Saidi] Int Inst Trop Agr, Bujumbura, Burundi</t>
  </si>
  <si>
    <t>Despite an improving financial inclusion situation across the developing world, there still exist wide gender gaps in financial inclusion, especially in fragile and post-conflict countries. In our study, we designed and implemented a survey consisting of 860 households across urban and rural Burundi to examine the effect of financial inclusion on household asset-based welfare from a gendered perspective. To address any endogeneity concerns, we apply the two-stage least squares (2SLS) regression method. We find that most Burundian households prefer to save their money at home rather than at a financial institution. Also, mobile money is mainly employed as a means of receiving and withdrawing cash. Our 2SLS regression results reveal that improved financial inclusion has a greater effect on the welfare of female-headed households than on male-headed households. We recommend the use of social networks as an avenue to promote financial inclusion and literacy. Additionally, the Government of Burundi can collaborate with the telecommunication operators to institute small loan schemes through the mobile money platform to enhance access to credit, especially for women.</t>
  </si>
  <si>
    <t>MOBILE MONEY; POVERTY; ACCESS; GROWTH; NIGERIA; IMPACT</t>
  </si>
  <si>
    <t>asset-based welfare; Burundi; financial inclusion; fragile and post-conflict; gender</t>
  </si>
  <si>
    <t>A gendered analysis of the effect of financial inclusion on household welfare in Burundi</t>
  </si>
  <si>
    <t>Atta-Aidoo, Jonathan; Matthew, Ester Cosmas; Saleh, Abdulkarim Onah; Bizoza, Saidi</t>
  </si>
  <si>
    <t>Atta-Aidoo, J; Matthew, EC; Saleh, AO; Bizoza, S</t>
  </si>
  <si>
    <t>WOS:001602026400001</t>
  </si>
  <si>
    <t>9AY6B</t>
  </si>
  <si>
    <t>10.1111/grow.70076</t>
  </si>
  <si>
    <t>e70076</t>
  </si>
  <si>
    <t>OCT 28</t>
  </si>
  <si>
    <t>Growth Change</t>
  </si>
  <si>
    <t>GROWTH CHANGE</t>
  </si>
  <si>
    <t>1468-2257</t>
  </si>
  <si>
    <t>0017-4815</t>
  </si>
  <si>
    <t>The author appreciates the support of Xi'an Fanyi University, the Editor, and the anonymous reviewers for their insightful comments and constructive suggestions, which greatly improved the quality of this work. This paper is dedicated to the Ganga Tabiasi Naa Family, with special recognition to Abdul-Rauf Menbong Bawa, Abrakeem Yakubu, Gafuru Bawa, and Abdul Karim Yakubu. Your journey in gold trading stands as a testament to resilience and transformation-from survival to growth.</t>
  </si>
  <si>
    <t>Xi'an Fanyi University</t>
  </si>
  <si>
    <t>sulemanbawa@ymail.com</t>
  </si>
  <si>
    <t>Bawa, S (corresponding author), Xian Fanyi Univ, Sch Business, Xian, Peoples R China.</t>
  </si>
  <si>
    <t>Xian Fanyi University</t>
  </si>
  <si>
    <t>[Bawa, Suleman] Xian Fanyi Univ, Sch Business, Xian, Peoples R China</t>
  </si>
  <si>
    <t>This study examines how institutional innovation programs foster the transition of small businesses in Sub-Saharan Africa from survival to scalable entrepreneurial ventures. Using a mixed-methods framework and 720 region-years of data (2010-2024), we evaluate both direct program impacts and broader ecosystem spillovers through difference-in-differences models, spatial lag analysis, and instrumental variable techniques. Robustness was assessed with placebo tests, entropy balancing, and threshold analysis. The results show that the Boost Africa initiative increased crowdfunding activity by 42.8%, with 36% of the effects spilling over into neighboring regions. Impacts peaked in the third year and were significantly enhanced by mobile money penetration. Sectoral analysis indicates that fintech interventions delivered the highest returns, while equity investments consistently outperformed grants. Methodologically, the study integrates formal (crowdfunding) and informal (mobile money) sector metrics, applies historical missionary settlements as instruments, and quantifies spatial spillovers-offering a novel framework for assessing ecosystem-wide effects. The findings highlight how blended finance, when paired with digital inclusion, can catalyze systemic entrepreneurial growth, providing actionable guidance for optimizing intervention design and timing in emerging economies.</t>
  </si>
  <si>
    <t>digital financial inclusion; entrepreneurial ecosystems; innovation spillovers; institutional interventions; spatial econometrics; Sub-Saharan Africa; threshold effects</t>
  </si>
  <si>
    <t>GROWTH AND CHANGE</t>
  </si>
  <si>
    <t>From Survival to Growth: Unleashing the Entrepreneurial and Small Business Development Through Innovation in Sub-Saharan Africa</t>
  </si>
  <si>
    <t>Bawa, Suleman</t>
  </si>
  <si>
    <t>Bawa, S</t>
  </si>
  <si>
    <t>WOS:001139995100001</t>
  </si>
  <si>
    <t>W0H3N</t>
  </si>
  <si>
    <t>10.1080/01442872.2024.2303348</t>
  </si>
  <si>
    <t>Policy Stud.</t>
  </si>
  <si>
    <t>POLICY STUD-UK</t>
  </si>
  <si>
    <t>1470-1006</t>
  </si>
  <si>
    <t>0144-2872</t>
  </si>
  <si>
    <t>Takyi, Paul Owusu/ABL-2060-2022</t>
  </si>
  <si>
    <t>paul.takyi@knust.edu.gh</t>
  </si>
  <si>
    <t>Takyi, PO (corresponding author), Kwame Nkrumah Univ Sci &amp; Technol, Dept Econ, Kumasi, Ghana.</t>
  </si>
  <si>
    <t>[Takyi, Paul Owusu] Kwame Nkrumah Univ Sci &amp; Technol, Dept Econ, Kumasi, Ghana</t>
  </si>
  <si>
    <t>The rapid advancement of technology has transformed the way financial transactions are conducted and made assessing their impact a pressing international research problem. This article evaluates and quantifies the potential short-run impact of electronic transaction levy (e-levy) on mobile money transactions in Ghana based on forecasting the counterfactual mobile money market response. It uses monthly time series data from January 2019 to February 2023 in the analysis. The results show that the e-levy has a statistically significant reducing effect on mobile money transactions. In particular, the value of mobile money transactions, number of mobile money transactions, and value of mobile money transactions from mobile money interoperability decreased by about 47%, 24%, and 49% respectively. The results, however, show that overtime, the adverse effect of the e-levy on mobile money transactions diminishes. The findings from the study provide a comprehensive analysis of the effect of the e-levy on mobile money market in Ghana, and thus, contribute to the growing body of research on the role of taxation in the digital economy and financial inclusion.</t>
  </si>
  <si>
    <t>e-levy; mobile money transactions; financial inclusion; causal forecasting; C11; O16; E44</t>
  </si>
  <si>
    <t>POLICY STUDIES</t>
  </si>
  <si>
    <t>The impact of electronic levy on mobile money transactions: lessons from Ghana</t>
  </si>
  <si>
    <t>Takyi, Paul Owusu</t>
  </si>
  <si>
    <t>Takyi, PO</t>
  </si>
  <si>
    <t>WOS:000449892100010</t>
  </si>
  <si>
    <t>HA0IQ</t>
  </si>
  <si>
    <t>10.1016/j.jdeveco.2018.07.001</t>
  </si>
  <si>
    <t>This paper utilizes data collected for an evaluation of an education project generously funded by the William and Flora Hewlett Foundation's quality education in developing countries (QEDC) program. My thanks to my collaborators on that project, C.S. Nagabhushana, Kallan Gowda and N. Raghunathan, for their input and significant help with the data, which enabled this research. This research has benefitted significantly from comments by the editor and two anonymous referees.</t>
  </si>
  <si>
    <t>William and Flora Hewlett Foundation's quality education in developing countries (QEDC) program</t>
  </si>
  <si>
    <t>anjini@stanford.edu</t>
  </si>
  <si>
    <t>Kochar, A (corresponding author), Stanford Univ, Stanford Ctr Global Poverty &amp; Dev, Stanford, CA 94305 USA.</t>
  </si>
  <si>
    <t>Stanford University</t>
  </si>
  <si>
    <t>[Kochar, Anjini] Stanford Univ, Stanford Ctr Global Poverty &amp; Dev, Stanford, CA 94305 USA</t>
  </si>
  <si>
    <t>This paper evaluates the effect on household savings of India's recent financial inclusion drive, a drive that generated an unprecedented increase in access to financial institutions by using mobile technologies to deliver services practically at the doorstep of rural households. Using household data from just before and after the initiation of the policy, matched with village-level data on financial institutions, I identify the effects of access to financial institutions utilizing longitudinal variation in conjunction with geographic eligibility criterion that provided services to villages based on the size distribution of villages in the service area assigned to the bank.</t>
  </si>
  <si>
    <t>SOCIAL BANKING; INFORMATION</t>
  </si>
  <si>
    <t>Financial inclusion; Mobile technology; Savings</t>
  </si>
  <si>
    <t>Branchless banking: Evaluating the doorstep delivery of financial services in rural India</t>
  </si>
  <si>
    <t>Kochar, Anjini</t>
  </si>
  <si>
    <t>Kochar, A</t>
  </si>
  <si>
    <t>WOS:000721750000001</t>
  </si>
  <si>
    <t>1I6EY</t>
  </si>
  <si>
    <t>10.1080/13600818.2021.1998409</t>
  </si>
  <si>
    <t>Siwale, Juliana/0000-0002-6315-0896</t>
  </si>
  <si>
    <t>juliana.siwale@ntu.ac.uk</t>
  </si>
  <si>
    <t>Digitising how financial services are accessed in the microfinance industry is considered a magical pathway to increasing financial inclusion. This paper argues that beyond the numerous advantages digitisation is supposed to bring, it may also hinder financial inclusion if it completely replaces the loan officer-client relationship that has been a hallmark of microfinance. Based on questionnaires and on 21 semi-structured interviews with managers and loan officers of four microfinance institutions in Zambia, our research highlights the trade-offs that need to be considered when digitising the lending process. The study argues for a blended approach between digital technologies and flexibility through human touch if microfinance institutions are to retain the competitive advantage, as well as enhance the production and quality of soft information for financial inclusion in less mature markets.</t>
  </si>
  <si>
    <t>CREDIT</t>
  </si>
  <si>
    <t>Microfinance; digitisation; loan officer; financial inclusion; soft information; trade-offs</t>
  </si>
  <si>
    <t>Digitising microfinance: on the route to losing the traditional 'human face' of microfinance institutions</t>
  </si>
  <si>
    <t>Siwale, Juliana; Godfroid, Cecile</t>
  </si>
  <si>
    <t>Siwale, J; Godfroid, C</t>
  </si>
  <si>
    <t>WOS:001365689200001</t>
  </si>
  <si>
    <t>N6V4I</t>
  </si>
  <si>
    <t>10.3390/math12223493</t>
  </si>
  <si>
    <t>Part of the research was supported by a grant from the Romanian Ministry of Research, Innovation and Digitalization, the project with the title ,,Economics and Policy Options for Climate Change Risk and Global Environmental Governance (CF 193/28.11.2022, Funding Contract no. 760078/23.05.2023), within Romania's National Recovery and Resilience Plan (PNRR) - Pillar III, Component C9, Investment I8 (PNRR/2022/C9/MCID/I8) - Development of a programme to attract highly specialized human resources from abroad in research, development and innovation activities.</t>
  </si>
  <si>
    <t>Romanian Ministry of Research, Innovation and Digitalization, the project with the title ,,Economics and Policy Options for Climate Change Risk and Global Environmental Governance; Romanian Ministry of Research, Innovation and Digitalization(Ministry of Research, Innovation and Digitization - Romania); Romania's National Recovery and Resilience Plan (PNRR) - Pillar III</t>
  </si>
  <si>
    <t>Romanian Ministry of Research, Innovation and Digitalization, the project with the title ,,Economics and Policy Options for Climate Change Risk and Global Environmental Governance [CF 193/28.11.2022, 760078/23.05.2023]; Romanian Ministry of Research, Innovation and Digitalization [PNRR/2022/C9/MCID/I8]; Romania's National Recovery and Resilience Plan (PNRR) - Pillar III</t>
  </si>
  <si>
    <t>MIRCEA, Gabriela/0000-0002-9982-4813; SIRGHI, Nicoleta/0000-0001-6345-0373; Neamtu, Mihaela/0000-0002-9618-3184; Donath, Liliana/0000-0003-1386-1830; Noja, Gratiela Georgiana/0000-0002-9201-3057</t>
  </si>
  <si>
    <t>MIRCEA, Gabriela/IUQ-7160-2023; SIRGHI, Nicoleta/E-5730-2019; Neamtu, Mihaela/AAP-7312-2020; Donath, Liliana/AAI-8631-2020; Noja, Gratiela Georgiana/X-2471-2019</t>
  </si>
  <si>
    <t>liliana.donath@e-uvt.ro; gabriela.mircea@e-uvt.ro; mihaela.neamtu@e-uvt.ro; gratiela.noja@e-uvt.ro; nicoleta.sirghi@e-uvt.ro</t>
  </si>
  <si>
    <t>Noja, GG (corresponding author), West Univ Timisoara, Fac Econ &amp; Business Adm, Dept Mkt Int Business &amp; Econ, Timisoara 300223, Romania.</t>
  </si>
  <si>
    <t>West University of Timisoara; West University of Timisoara</t>
  </si>
  <si>
    <t>[Donath, Liliana Eva; Mircea, Gabriela; Neamtu, Mihaela] West Univ Timisoara, Fac Econ &amp; Business Adm, Dept Finance Informat Syst &amp; Modeling Business, Timisoara 300223, Romania; [Noja, Gratiela Georgiana; Sirghi, Nicoleta] West Univ Timisoara, Fac Econ &amp; Business Adm, Dept Mkt Int Business &amp; Econ, Timisoara 300223, Romania</t>
  </si>
  <si>
    <t>This paper analyses how network contagion affects the acceptance or rejection of mobile banking, emphasizing the risk of contagion that hinders the growth of users among bank clients. As a research method, a mathematical model based on the Susceptible, Infected, and Recovered framework is used within a nonlinear dynamic system with a distributed time delay and the optimal control strategy. The approach aims to find the behaviour dynamics of mobile banking users, non-users, and undecided ones. Our model adds value to the existing literature by employing a qualitative dynamic analysis, as opposed to other studies that study contagion empirically. The steady states and their conditions for stability are found, and the critical value for time delay causing oscillatory is determined. The optimal control strategies are identified to enlarge the number of mobile banking users and decrease the number of non-users. Numerical simulations support the theoretical findings. The research has practical implications given that the model predicts mobile banking user behaviour in assisting policy decision-making and addresses the possible policy measures that aim to increase the number of mobile banking users. The conclusions suggest that financial inclusion can contribute to the expansion of mobile banking users.</t>
  </si>
  <si>
    <t>CREDIT RISK; FINANCIAL INCLUSION; MODEL</t>
  </si>
  <si>
    <t>dynamic system; mathematical modelling; mobile banking; simulation; control strategy; contagion; 91-10</t>
  </si>
  <si>
    <t>The Effect of Network Delay and Contagion on Mobile Banking Users: A Dynamical Analysis</t>
  </si>
  <si>
    <t>Donath, Liliana Eva; Mircea, Gabriela; Neamtu, Mihaela; Noja, Gratiela Georgiana; Sirghi, Nicoleta</t>
  </si>
  <si>
    <t>Donath, LE; Mircea, G; Neamtu, M; Noja, GG; Sîrghi, N</t>
  </si>
  <si>
    <t>WOS:001536630500008</t>
  </si>
  <si>
    <t>5IS1S</t>
  </si>
  <si>
    <t>10.2478/picbe-2025-0226</t>
  </si>
  <si>
    <t>Proc. Int. Conf. Bus. Excell.</t>
  </si>
  <si>
    <t>P INT CONF BUS EXCEL</t>
  </si>
  <si>
    <t>2558-9652</t>
  </si>
  <si>
    <t>2502-0226</t>
  </si>
  <si>
    <t>oprea, isabelle/IZQ-3519-2023</t>
  </si>
  <si>
    <t>isabelle-margareta.oprea@ince.ro; cornel.panait@ralcorex.ro; liviu-gelu.draghici@ince.ro; marius-robert.georgescu@ince.ro</t>
  </si>
  <si>
    <t>Oprea, IM (corresponding author), Romanian Acad, Natl Inst Econ Res Costin C Kiritescu, Inst Mondial Econ, Sch Adv Studies,Doctoral Sch Econ Sci, Bucharest, Romania.</t>
  </si>
  <si>
    <t>Romanian Academy; National Institute for Economic Research Costin C. Kiritescu</t>
  </si>
  <si>
    <t>[Oprea, Isabelle Margareta; Panait, Cornel; Draghici, Liviu Gelu; Georgescu, Marius-Robert] Romanian Acad, Natl Inst Econ Res Costin C Kiritescu, Inst Mondial Econ, Sch Adv Studies,Doctoral Sch Econ Sci, Bucharest, Romania</t>
  </si>
  <si>
    <t>The changing financial scene of Romania offers a special opportunity for analyzing how public-private partnerships, capital market activities, digital banking, and financial literacy campaigns support economic growth. This paper examines how these four pillars interact to solve problems, including poor financial infrastructure, limited investment opportunities, and limited financial inclusion. Combining content analysis of financial reports, policy frameworks, and case studies from Romania's financial sector, this study builds on existing literature, policy documents, and statistical data in a qualitative approach. The study assesses the efficiency of digital banking in increasing financial accessibility, the part capital markets play in improving investment flows, the effect of financial education on responsible financial behavior, and the need for public-private partnerships in building economic resilience. While a developed capital market offers diversified investment and risk management possibilities, findings show that digital banking innovations simplify financial transactions and extend banking services to underprivileged populations. Structured financial education initiatives also raise degrees of financial literacy, enabling people to make wise financial decisions. Last but not least, public-private cooperation uses institutional knowledge and resources to improve market stability and economic inclusion. By identifying synergies among these elements, this study closes a knowledge gap regarding the connectivity of digital banking, financial literacy, and market development inside Romania's economic framework. The study provides practical insights for legislators, financial institutions, and academics trying to increase sustainable economic growth in Romania and comparable developing nations. These results should be expanded upon in subsequent studies to improve policy decisions and evaluate how long-term financial innovations affect economic resilience.</t>
  </si>
  <si>
    <t>digital banking; capital market; financial education; public-private cooperation; economic growth</t>
  </si>
  <si>
    <t>MAR 20-22, 2025</t>
  </si>
  <si>
    <t>19th International Conference on Business Excellence (ICBE) - Leading Change in Disruptive Times</t>
  </si>
  <si>
    <t>PROCEEDINGS OF THE INTERNATIONAL CONFERENCE ON BUSINESS EXCELLENCE</t>
  </si>
  <si>
    <t>Digital Banking, Capital Market, Financial Education and Public-Private Partnerships in Romania's Economic Development</t>
  </si>
  <si>
    <t>Oprea, Isabelle Margareta; Panait, Cornel; Draghici, Liviu Gelu; Georgescu, Marius-Robert</t>
  </si>
  <si>
    <t>Oprea, IM; Panait, C; Draghici, LG; Georgescu, MR</t>
  </si>
  <si>
    <t>WOS:001540819700016</t>
  </si>
  <si>
    <t>5OW6R</t>
  </si>
  <si>
    <t>10.2478/picbe-2025-0192</t>
  </si>
  <si>
    <t>This paper was co-financed by The Bucharest University of Economic Studies during the PhD program.</t>
  </si>
  <si>
    <t>chirusimona11@stud.ase.ro; neagu1mihaela06@stud.ase.ro</t>
  </si>
  <si>
    <t>Ichim, SM (corresponding author), Bucharest Univ Econ Studies, Bucharest, Romania.;Ichim, SM (corresponding author), Natl Bank Romania, Bucharest, Romania.</t>
  </si>
  <si>
    <t>[Ichim, Simona-Mihaela; Neagu-Iorga, Mihaela] Bucharest Univ Econ Studies, Bucharest, Romania; [Ichim, Simona-Mihaela; Neagu-Iorga, Mihaela] Natl Bank Romania, Bucharest, Romania</t>
  </si>
  <si>
    <t>This paper employs Romanian firm-level microdata to assess the impact of financial literacy on access to bank loans on the extensive margin (the probability of being granted a loan) using logit model as estimation method. To pursue this research objective, we use granular and unique data from the Credit Registry, from the financial statements submitted by firms to the Ministry of Finance, while financial literacy data was collected through a survey on 11,000 firms representative nationally, regionally, by sector and size. We fill important gaps in the literature, given that most existing empirical studies are generally based on small samples, of firms mainly located in non-EU areas, while the lack of financial literacy definition standardization has led to inconsistent and unreliable results in the existing literature. We address this issue, by employing internationally accepted definitions, respectively the OECD methodology, for assessing MSMEs financial literacy. We find that firm characteristics, such as size, together with financial standing illustrated in liquidity, profitability and leverage ratios and creditworthiness illustrated in credit history and loan to value are significant predictors of firms' access to finance. More importantly, we provide evidence that financial literacy positively and significantly impacts access to finance, while among financial literacy components, financial attitude and financial knowledge have the strongest influence. This study's findings provide valuable insights for both policymakers and firms for improving access to bank loans, leading to a more inclusive and efficient lending environment, with effects on economic growth and financial stability.</t>
  </si>
  <si>
    <t>CAPITAL STRUCTURE; CREDIT; DETERMINANTS; MANAGERS; MATTER</t>
  </si>
  <si>
    <t>access to credit; financial literacy; SME financing; small and medium-sized enterprises; microdata</t>
  </si>
  <si>
    <t>Exploring the Role of Financial Literacy in Enhancing Firm Access to Finance: Insights from Romania</t>
  </si>
  <si>
    <t>Ichim, Simona-Mihaela; Neagu-Iorga, Mihaela</t>
  </si>
  <si>
    <t>Ichim, SM; Neagu-Iorga, M</t>
  </si>
  <si>
    <t>WOS:000355195500003</t>
  </si>
  <si>
    <t>CJ0VA</t>
  </si>
  <si>
    <t>10.1080/10253866.2014.1000315</t>
  </si>
  <si>
    <t>Consump. Mark. Cult.</t>
  </si>
  <si>
    <t>CONSUMP MARK CULT</t>
  </si>
  <si>
    <t>1477-223X</t>
  </si>
  <si>
    <t>1025-3866</t>
  </si>
  <si>
    <t>I would like to thank Janine Brodie, Adrienne Roberts, Alex Sutton, Matthew Watson, and participants of the workshop Financial Resilience in Light of the Crisis (sponsored by the British International Studies Association International Political Economy Group, as well as the University of Warwick's Department of Politics and International Studies and the Institute of Advanced Study) for their comments on earlier versions of this article. I also thank three anonymous reviewers for their insightful comments and advice.</t>
  </si>
  <si>
    <t>British International Studies Association International Political Economy Group; University of Warwick's Department of Politics and International Studies; Institute of Advanced Study</t>
  </si>
  <si>
    <t>Clarke, Chris/0000-0001-9853-7743</t>
  </si>
  <si>
    <t>c.d.clarke@warwick.ac.uk</t>
  </si>
  <si>
    <t>Clarke, C (corresponding author), Univ Warwick, Dept Polit &amp; Int Studies, Coventry CV4 7AL, W Midlands, England.</t>
  </si>
  <si>
    <t>University of Warwick</t>
  </si>
  <si>
    <t>Univ Warwick, Dept Polit &amp; Int Studies, Coventry CV4 7AL, W Midlands, England</t>
  </si>
  <si>
    <t>The requirement to build economic resilience in people has become a concern for the UK Government, regulators, and the financial services industry. Transposed to the realm of financial literacy education (FLE), the resilience doctrine performs particular effects in relation to the naturalisation and individualisation of financial market relations. At the same time, it tends to speak of the inevitability of market failures and crashes. I argue that based on these features, the effect of the resilience doctrine is to mask the empty promise of FLE programmes: the irreconcilable gap between the empowerment discourse surrounding what such agendas are meant to achieve for ordinary people and the latter's actual success in securing their security and well-being through financial markets. The paradoxical element of resilience talk is that it at once serves to further legitimise financial education attempts, while providing an opportune reason for failures judged even on its own terms.</t>
  </si>
  <si>
    <t>NEW-LABOR; CRISIS; COMMUNITY; TRAUMA</t>
  </si>
  <si>
    <t>financial literacy education; mass investment culture; neoliberalism; economic citizenship; resilience; financial capability</t>
  </si>
  <si>
    <t>CONSUMPTION MARKETS &amp; CULTURE</t>
  </si>
  <si>
    <t>Learning to fail: resilience and the empty promise of financial literacy education</t>
  </si>
  <si>
    <t>Clarke, Chris</t>
  </si>
  <si>
    <t>Clarke, C</t>
  </si>
  <si>
    <t>WOS:000633127200001</t>
  </si>
  <si>
    <t>RC9QT</t>
  </si>
  <si>
    <t>10.3390/ijfs9010010</t>
  </si>
  <si>
    <t>This project benefits from the research funds from the Institute for Intelligent Systems at the University of Johannesburg and the University of the Free State. The authors are very grateful.</t>
  </si>
  <si>
    <t>Institute for Intelligent Systems at the University of Johannesburg(University of Johannesburg); University of the Free State</t>
  </si>
  <si>
    <t>Institute for Intelligent Systems at the University of Johannesburg; University of the Free State</t>
  </si>
  <si>
    <t>Guvuriro, Sevias/0000-0002-1365-3591; Chamboko, Richard/0000-0002-0870-2352</t>
  </si>
  <si>
    <t>Guvuriro, Sevias/AEW-3295-2022; Chamboko, Richard/AAQ-4608-2021</t>
  </si>
  <si>
    <t>richardchamboko@gmail.com; guvuriros@ufs.ac.za</t>
  </si>
  <si>
    <t>Chamboko, R (corresponding author), Int Finance Corp, World Bank Grp, Washington, DC 20433 USA.;Chamboko, R (corresponding author), Univ Johannesburg, Inst Intelligent Syst, ZA-2092 Johannesburg, South Africa.</t>
  </si>
  <si>
    <t>The World Bank; University of Johannesburg; University of the Free State</t>
  </si>
  <si>
    <t>[Chamboko, Richard] Int Finance Corp, World Bank Grp, Washington, DC 20433 USA; [Chamboko, Richard] Univ Johannesburg, Inst Intelligent Syst, ZA-2092 Johannesburg, South Africa; [Guvuriro, Sevias] Univ Free State, Dept Econ &amp; Finance, ZA-9301 Bloemfontein, South Africa</t>
  </si>
  <si>
    <t>Digital financial services and more importantly, mobile money, have become an important financial innovation to advance financial inclusion in developing and emerging economies. While digital financial services have improved the lives of many Kenyans, to the growing betting segment of the Kenyan population, these innovations have also brought great convenience to betting. The innovations have allowed easy access to digital credit which can be used for betting. Despite betting or gambling being a widely studied area, particularly in developed countries, little is known about its interaction with financial innovations such as digital financial services in developing and emerging economies. Using data from a 2017 digital credit survey in Kenya, this study investigates if bettors are more likely than non-bettors to be financially distressed or engage in welfare-undermining coping strategies and potentially experience inferior welfare outcomes. The study uses a representative sample of 1040 digital borrowers, of which 304 were digital bettors. Using multivariate logistic regressions, the study found that, after controlling for socio-economic and demographic factors, bettors are significantly more likely than non-bettors to be financially distressed, engage in welfare undermining coping strategies, and have inferior welfare outcomes.</t>
  </si>
  <si>
    <t>GAMBLING DISORDER; SELF-CONTROL; INTERNET; ONLINE; BEHAVIOR; IMPACTS</t>
  </si>
  <si>
    <t>digital financial services; digital credit; betting; financial distress; coping strategies; welfare outcomes</t>
  </si>
  <si>
    <t>The Role of Betting on Digital Credit Repayment, Coping Mechanisms and Welfare Outcomes: Evidence from Kenya</t>
  </si>
  <si>
    <t>Chamboko, Richard; Guvuriro, Sevias</t>
  </si>
  <si>
    <t>Chamboko, R; Guvuriro, S</t>
  </si>
  <si>
    <t>WOS:001522000100004</t>
  </si>
  <si>
    <t>10.47743/saeb-2025-0011</t>
  </si>
  <si>
    <t>Gamal, Awadh/AEJ-3319-2022; Sakanko, Musa/AAT-8938-2021</t>
  </si>
  <si>
    <t>sakanko2015@gmail.com; abu.nurudeen@yahoo.com; awadh.gamal@fpe.upsi.edu.my; salimatu08035946606@gmail.com</t>
  </si>
  <si>
    <t>Sakanko, MA (corresponding author), Univ Jos, Jos, Plateau, Nigeria.</t>
  </si>
  <si>
    <t>University of Jos; Universiti Pendidikan Sultan Idris</t>
  </si>
  <si>
    <t>[Sakanko, Musa Abdullahi] Univ Jos, Jos, Plateau, Nigeria; [Abu, Nurudeen] Baba Ahmed Univ, Kano, Nigeria; [Gamal, Awadh Ahmed Mohammed] Sultan Idris Educ Univ, Tanjung Malim, Malaysia; [Mohammed, Salimatu Rufai] Air Force Inst Technol, Kaduna, Kaduna, Nigeria</t>
  </si>
  <si>
    <t>There is no doubt that Sub-Saharan Africa (SSA) is home to many financially excluded persons, and the sub-region accounts for a high proportion of the world's poor. Despite the co-existence of low level of financial inclusion (FI) and high poverty level in SSA, little attention has been given to empirical linkage between these two phenomena. This research attempts to unravel the channels through which FI (measured by the composite financial inclusion index developed using the Principal Component Analysis) impact poverty reduction in a sample of 25 SSA countries. The system-Generalized Method of Moments (i.e., system-GMM) estimator was employed to analyze data for the 2004-2022 period. The empirical outcomes portray that the FI-poverty reduction relation is non-linear, and it identify income growth, consumption expenditure, agricultural output, and unemployment as the channels through which FI influences poverty reduction in the SSA region. The findings further reveal that an FI value beyond thresholds of 1.44 and 5.25 increases income growth and reduces unemployment, thereby reducing poverty. Additionally, an FI value below thresholds of 2.87 and 1.40 positively impacts consumption expenditure and agricultural output, leading to poverty reduction. The study recommends that the monetary authorities in SSA adopt policies which increase the access to financial services and promote financial literacy to enhance financial inclusion and reduce poverty.</t>
  </si>
  <si>
    <t>PANEL-DATA; INCOME; TRADE; GROWTH; UNEMPLOYMENT</t>
  </si>
  <si>
    <t>financial inclusion; poverty reduction; Principal Component Analysis; system-GMM</t>
  </si>
  <si>
    <t>Exploring the Channels of Financial Inclusion's Impact on Poverty Reduction in Sub-Saharan Africa</t>
  </si>
  <si>
    <t>Sakanko, Musa Abdullahi; Abu, Nurudeen; Gamal, Awadh Ahmed Mohammed; Mohammed, Salimatu Rufai</t>
  </si>
  <si>
    <t>Sakanko, MA; Abu, N; Gamal, AAM; Mohammed, SR</t>
  </si>
  <si>
    <t>WOS:001078764200001</t>
  </si>
  <si>
    <t>T5ZH5</t>
  </si>
  <si>
    <t>10.1016/j.techfore.2023.122821</t>
  </si>
  <si>
    <t>Mohamed, AA (corresponding author), Warshada St, Mogadishu, Benadir, Somalia.</t>
  </si>
  <si>
    <t>[Mohamed, Abdinur Ali] Simad Univ, Fac Econ, Mogadishu, Somalia</t>
  </si>
  <si>
    <t>This study examines the influence of mobile money payment on the performance of small and medium enterprises in Somalia. A cross-sectional research design is used to explore the relationship between mobile money and business growth. Cross-sectional data collected from sample 385 business enterprises in Somalia was studied while descriptive and analytical methods were used to analyze the data. The Generalized Linear Model was employed to estimate the association between the variables of interest.This study found that mobile money promotes business growth, and 1 % increase in mobile money usage leads to about 11.14 % of business growth. The findings of this study indicate that mobile money services boost the performance of small and medium-sized enterprises by increasing access to finance, boosting sales growth, financing product development, and reducing operational risk. Mobile money services also help small and medium enterprises reduce knowledge asymmetries, eliminate market inefficiencies, and improve decision-making, ultimately contributing to enterprise performance.The findings of this study imply that the expansion of mobile money services can significantly benefit small and medium-sized businesses in Somalia; hence, the government and mobile service providers should promote a safe and effective mobile money system that prevents fraudulent transactions.</t>
  </si>
  <si>
    <t>DYNAMIC CAPABILITIES; INFORMATION</t>
  </si>
  <si>
    <t>Mobile money; EVC PLUS; Access to finance; Sales growth; Product development; Risk management</t>
  </si>
  <si>
    <t>The influence of the mobile money payment on the performance of small and medium enterprises in Somalia</t>
  </si>
  <si>
    <t>WOS:000777036600001</t>
  </si>
  <si>
    <t>0F0BZ</t>
  </si>
  <si>
    <t>10.1155/2022/2882113</t>
  </si>
  <si>
    <t>MAR 14</t>
  </si>
  <si>
    <t>J. Math.</t>
  </si>
  <si>
    <t>J MATH-UK</t>
  </si>
  <si>
    <t>2314-4785</t>
  </si>
  <si>
    <t>2314-4629</t>
  </si>
  <si>
    <t>AcknowledgmentsThis research was financially supported by the National Social Science Fund of China, under grant no. 18BJY249.</t>
  </si>
  <si>
    <t>National Social Science Fund of China [18BJY249]</t>
  </si>
  <si>
    <t>2017101050039@whu.edu.cn</t>
  </si>
  <si>
    <t>Wang, ZL (corresponding author), Wuhan Univ, Econ &amp; Management Sch, Wuhan 430072, Peoples R China.</t>
  </si>
  <si>
    <t>Wuhan University</t>
  </si>
  <si>
    <t>[Wang, Zhaolin] Wuhan Univ, Econ &amp; Management Sch, Wuhan 430072, Peoples R China</t>
  </si>
  <si>
    <t>With the rapid development of the digital economy, digital finance, as a financial innovation combining Internet information technology with traditional finance, plays an essential role in the financial risk of microenterprises and macroeconomic operations. In this paper, the digital financial inclusion index at the provincial level is matched with the microdata of listed companies in Shanghai and Shenzhen stock markets. And, the panel data from 2011 to 2020 are set up from the theoretical and empirical analysis of digital finance on the impact of enterprise financial risk and its mechanism. Firstly, the development of digital finance in China has significantly reduced enterprise financial risk. In order to control the endogeneity, the Bartik instrumental variable is used to select the instrumental variable. Secondly, financing constraint is the function mechanism of digital finance to reduce enterprise financial risk. Thirdly, for enterprises with low debt levels and enterprises located in the eastern region, digital finance plays a more critical role in reducing financial risk.</t>
  </si>
  <si>
    <t>JOURNAL OF MATHEMATICS</t>
  </si>
  <si>
    <t>Digital Finance, Financing Constraint and Enterprise Financial Risk</t>
  </si>
  <si>
    <t>Wang, Zhaolin</t>
  </si>
  <si>
    <t>Wang, ZL</t>
  </si>
  <si>
    <t>WOS:001413466700001</t>
  </si>
  <si>
    <t>U7H8F</t>
  </si>
  <si>
    <t>10.1016/j.ribaf.2025.102768</t>
  </si>
  <si>
    <t>Birigozzi, Anea/0009-0001-4128-9117; Luitel, Prabesh/0000-0003-3155-990X</t>
  </si>
  <si>
    <t>; Luitel, Prabesh/AAA-7210-2020</t>
  </si>
  <si>
    <t>andrea.birigozzi@ieseg.fr; cdesilva@liuc.it; p.luitel@ieseg.fr</t>
  </si>
  <si>
    <t>Luitel, P (corresponding author), Univ Lille, IESEG Sch Management, CNRS, UMR 9221 LEM Lille Econ Management, F-59000 Lille, France.</t>
  </si>
  <si>
    <t>IESEG School of Management; Centre National de la Recherche Scientifique (CNRS); Universite de Lille; Universita Carlo Cattaneo - Liuc</t>
  </si>
  <si>
    <t>[Birigozzi, Andrea; Luitel, Prabesh] Univ Lille, IESEG Sch Management, CNRS, UMR 9221 LEM Lille Econ Management, F-59000 Lille, France; [De Silva, Cristina] Cattaneo Univ, LIUC, Castellanza, Italy</t>
  </si>
  <si>
    <t>This study examines the relationship between the provision of digital payment and GDP growth by uniquely integrating behavioural attitudes, shaped by the status quo, individual behavioural bias and financial literacy. We employ a panel data analysis across multiple countries which differentiates from studies focusing on aggregation transaction metrics within single-country context. We demonstrate a positive association between behavioural adoption of digital payments and GDP growth. We provide evidence that each percentage increase in the adoption of digital payments contributes to an increase in GDP growth, boosting it between 6% and 8% of its current growth rate. Digital payments reduce transaction costs, expand financial access and reshape financial behaviours. Our findings highlight the critical need to incorporate behavioural insights into policy design for sustainable economic growth.</t>
  </si>
  <si>
    <t>ECONOMIC-GROWTH; RATIONAL CHOICE; INFLATION; MODEL; SERVICES; DECISION; DEMAND; CASH</t>
  </si>
  <si>
    <t>Digital payment; Behavioural finance; Financial services; Financial inclusion; Financial literacy; GDP growth</t>
  </si>
  <si>
    <t>Digital payments and GDP growth: A behavioural quantitative analysis</t>
  </si>
  <si>
    <t>Birigozzi, Andrea; De Silva, Cristina; Luitel, Prabesh</t>
  </si>
  <si>
    <t>Birigozzi, A; De Silva, C; Luitel, P</t>
  </si>
  <si>
    <t>WOS:001637944900001</t>
  </si>
  <si>
    <t>10.1016/j.bir.2025.07.010</t>
  </si>
  <si>
    <t>Balcioglu, Yavuz Selim/HTQ-0095-2023; MERTER, Abdullah/E-9115-2019</t>
  </si>
  <si>
    <t>akmerter@gtu.edu.tr; ysbalcioglu@dogus.edu.tr</t>
  </si>
  <si>
    <t>Merter, AK (corresponding author), Gebze Tech Univ, Fac Business Adm, Dept Business Adm, Kocaeli, Turkiye.</t>
  </si>
  <si>
    <t>Gebze Technical University; Dogus University</t>
  </si>
  <si>
    <t>[Merter, Abdullah Kursat] Gebze Tech Univ, Fac Business Adm, Dept Business Adm, Kocaeli, Turkiye; [Balcioglu, Yavuz Selim] Dogus Univ, Fac Econ &amp; Adm Sci, Dept Management Informat Syst, Istanbul, Turkiye</t>
  </si>
  <si>
    <t>This study addresses a critical gap in understanding why financial literacy interventions often prove ineffective by examining the role of metacognitive miscalibration in financial decision-making. We investigate how individuals who systematically overestimate their financial knowledge exhibit distinct behavioral patterns that undermine financial outcomes across multiple domains. Drawing on nationally representative data from the 2021 U.S. National Financial Capability Study, we analyzed decision-making patterns among individuals exhibiting financial overconfidence compared to equally knowledgeable peers without such overconfidence. Results demonstrated that overconfident individuals significantly reduce their investment participation, retirement planning, and emergency savings behaviors. Paradoxically, these individuals reported higher financial satisfaction despite objectively poorer outcomes, creating a feedback loop that prevents corrective learning. These findings showed that misjudging one's own financial knowledge was a consistent obstacle to being financially healthy, as it leads to reduces help-seeking behavior and poor risk evaluation, clarifying why regular financial education programs often don't work well.</t>
  </si>
  <si>
    <t>Financial literacy; Overconfidence; Investment behavior; Financial decision-making; Metacognitive bias</t>
  </si>
  <si>
    <t>Financial literacy and decision-making: The impact of knowledge gaps on financial outcomes</t>
  </si>
  <si>
    <t>Merter, Abdullah Kursat; Balcioglu, Yavuz Selim</t>
  </si>
  <si>
    <t>Merter, AK; Balcioglu, YS</t>
  </si>
  <si>
    <t>WOS:000463122400009</t>
  </si>
  <si>
    <t>HR4NE</t>
  </si>
  <si>
    <t>10.1016/j.geoforum.2019.02.004</t>
  </si>
  <si>
    <t>Geoforum</t>
  </si>
  <si>
    <t>GEOFORUM</t>
  </si>
  <si>
    <t>1872-9398</t>
  </si>
  <si>
    <t>0016-7185</t>
  </si>
  <si>
    <t>Authors would like to thank colleagues Micaela Mazzei, Olga Bisoca and Stephen Sinclair at the Yunus Centre for Social Business and Health, Glasgow Caledonian University for comments on earlier drafts of the paper. The paper has benefited as a result. This work was supported by a Glasgow Caledonian University PhD Studentship.</t>
  </si>
  <si>
    <t>Glasgow Caledonian University PhD Studentship</t>
  </si>
  <si>
    <t>McHugh, Neil/0000-0002-2567-1527; Baker, Rachel/0000-0002-3451-2018</t>
  </si>
  <si>
    <t>McHugh, Neil/JEO-5752-2023; Baker, Rachel/B-8469-2013</t>
  </si>
  <si>
    <t>neil.mchugh@gcu.ac.uk; rachel.baker@gcu.ac.uk; cam.donaldson@gcu.ac.uk</t>
  </si>
  <si>
    <t>McHugh, N (corresponding author), Glasgow Caledonian Univ, Yunus Ctr Social Business &amp; Hlth, M201 George Moore Bldg,Cowcaddens Rd, Glasgow G4 0BA, Lanark, Scotland.</t>
  </si>
  <si>
    <t>Glasgow Caledonian University</t>
  </si>
  <si>
    <t>[McHugh, Neil; Baker, Rachel; Donaldson, Cam] Glasgow Caledonian Univ, Yunus Ctr Social Business &amp; Hlth, M201 George Moore Bldg,Cowcaddens Rd, Glasgow G4 0BA, Lanark, Scotland</t>
  </si>
  <si>
    <t>One response to the major societal challenge of financial exclusion in the United Kingdom (UK) is microcredit lending for enterprise. Typically delivered via Community Development Finance Institutions (CDFIs) in the UK, these lending institutions can be conceptualised as 'alternative' economic spaces. Yet the nature of their alterity is unclear as categorisations of alternative-oppositional or alternative-substitute institutions are possible and could also be influenced by complexities in the UK relating to the welfare system and sustainability. Alterity is rarely static, being influenced by policies and regulation, and the nature of institutions' alterity could have consequences for wellbeing, as different values and ideals underpin different conceptions of alterity which affect how these institutions operate. In this paper, the complexities of microcredit for enterprise lending within the UK are explored through in-depth interviews with UK 'supply-side' stakeholders. Conceptions of alterity are then used as an analytic lens to examine these results. Results suggest that these lenders remain in opposition to the mainstream as the needs of low-income individuals are embedded within their operating model. Microcredit lending is conceptualised in terms of responsible lenders offering fair credit to financially-excluded individuals using relationship banking practices. Such a conceptualisation provides a touchstone against which to assess shifts in lenders' alterity and a platform from which to introduce legislative and regulatory changes to protect these `alternative-oppositional' economic spaces. This paper begins to outline these responses that could help to ensure and grow a more community-engaged and varied local financial infrastructure within the UK.</t>
  </si>
  <si>
    <t>COMMUNITY-DEVELOPMENT FINANCE; MICROFINANCE; CREDIT; INCLUSION; WELFARE; MARKET; GEOGRAPHIES; BRITAIN; BANKING; HEALTH</t>
  </si>
  <si>
    <t>Alternative economic spaces; Microcredit; Enterprise; Financial exclusion; UK; Qualitative interviews</t>
  </si>
  <si>
    <t>Microcredit for enterprise in the UK as an 'alternative' economic space</t>
  </si>
  <si>
    <t>McHugh, Neil; Baker, Rachel; Donaldson, Cam</t>
  </si>
  <si>
    <t>McHugh, N; Baker, R; Donaldson, C</t>
  </si>
  <si>
    <t>WOS:000983380200001</t>
  </si>
  <si>
    <t>F6JG4</t>
  </si>
  <si>
    <t>10.1016/j.chb.2023.107768</t>
  </si>
  <si>
    <t>This research was funded by Humanities and Social Science Youth Fund Project of the Ministry of Education of China (Grant No. 19YJC790028) .</t>
  </si>
  <si>
    <t>Humanities and Social Science Youth Fund Project of the Ministry of Education of China</t>
  </si>
  <si>
    <t>Humanities and Social Science Youth Fund Project of the Ministry of Education of China [19YJC790028]</t>
  </si>
  <si>
    <t>Fang, Xing/0000-0002-1967-0341</t>
  </si>
  <si>
    <t>fangxing@sicau.edu.cn</t>
  </si>
  <si>
    <t>Fang, X (corresponding author), Sichuan Agr Univ, Coll Econ, 211 Huimin Rd, Chengdu, Sichuan, Peoples R China.</t>
  </si>
  <si>
    <t>Sichuan Agricultural University</t>
  </si>
  <si>
    <t>[Fang, Xing] Sichuan Agr Univ, Coll Econ, 211 Huimin Rd, Chengdu, Sichuan, Peoples R China</t>
  </si>
  <si>
    <t>Charitable giving has become increasingly important in achieving common prosperity, and individual charitable donations have gradually increased in China. This paper utilizes data from the China Family Panel Studies (CFPS) 2018 and the Digital Financial Inclusion Index to explore how digital finance impacts individuals' charitable giving behavior in the context of common prosperity. Our empirical studies suggest that digital finance could promote the amount of individual charitable giving and the likelihood of donation behavior. Furthermore, heterogeneity studies show that digital finance increases the amount of charitable giving by residents in rural areas, the eastern region, and those who receive government subsidies more significantly. The mechanism behind this is that digital finance promotes charitable giving by increasing residents' income, income volatility, and internet usage. Based on these conclusions, we provide policy recommendations to achieve common prosperity through the use of digital finance and charitable giving.</t>
  </si>
  <si>
    <t>IMPURE ALTRUISM; WINDFALL MONEY; PUBLIC-GOODS; DONATIONS; BEHAVIOR; INCENTIVES; WEBSITE</t>
  </si>
  <si>
    <t>Digital finance; Charitable giving; Income volatility; CFPS 2018</t>
  </si>
  <si>
    <t>Can digital finance promote individuals' charitable giving? Empirical evidence from China</t>
  </si>
  <si>
    <t>Fang, Xing</t>
  </si>
  <si>
    <t>Fang, X</t>
  </si>
  <si>
    <t>WOS:000979524000001</t>
  </si>
  <si>
    <t>F0SE9</t>
  </si>
  <si>
    <t>10.1016/j.irfa.2023.102655</t>
  </si>
  <si>
    <t>We acknowledge the financial support from Key Projects of the Na- tional Social Science Fund of China (22AZD095) .</t>
  </si>
  <si>
    <t>Key Projects of the Na- tional Social Science Fund of China</t>
  </si>
  <si>
    <t>Key Projects of the Na- tional Social Science Fund of China [22AZD095]</t>
  </si>
  <si>
    <t>Cheng, Xiaoqiang/0000-0003-1536-8695</t>
  </si>
  <si>
    <t>yaodj@nufe.edu.cn</t>
  </si>
  <si>
    <t>Yao, DJ (corresponding author), Nanjing Univ Finance &amp; Econ, Sch Finance, 3 Wenyuan Rd, Nanjing 210023, Jiangsu, Peoples R China.</t>
  </si>
  <si>
    <t>Anhui Polytechnic University; Nanjing University of Finance &amp; Economics; East China Normal University</t>
  </si>
  <si>
    <t>[Cheng, Xiaoqiang; Wang, Bin] Anhui Polytech Univ, Sch Math Phys &amp; Finance, 8 Beijing middle Rd, Wuhu 241000, Anhui, Peoples R China; [Yao, Dingjun] Nanjing Univ Finance &amp; Econ, Sch Finance, 3 Wenyuan Rd, Nanjing 210023, Jiangsu, Peoples R China; [Qian, Yuanyuan; Zhang, Deliang] East China Normal Univ, Sch Econ, 3663 Zhongshan North Rd, Shanghai 200062, Peoples R China</t>
  </si>
  <si>
    <t>We investigate how fintech development affects carbon emissions using the panel data of 253 prefecture-level cities in China from 2011 to 2019. We employ the city-level digital financial inclusion index to gauge the fintech development and identify the impact mechanisms through which fintech affects the city's carbon emissions. Our results show that fintech can significantly reduce carbon emissions, and this conclusion still holds when considering potential endogeneity, when considering the impact of resource endowment, when using alternative measures of carbon emissions, even after removing the impact of low-carbon pilot cities policy, and after winsorization treatment. We further find that the main mechanisms by which fintech affects carbon emissions are industrial structure, financing constraints, and green technology innovation. Our results provide powerful evidence that fintech positively impacts the real economy, offering more confidence and reason to stimulate fintech development.</t>
  </si>
  <si>
    <t>CO2 EMISSIONS; FINANCIAL DEVELOPMENT; DIOXIDE EMISSIONS; ENVIRONMENTAL DEGRADATION; IMPACT; CONSTRAINTS</t>
  </si>
  <si>
    <t>G20 Q56 R11; Fintech; Industrial structure; Financing constraints; Green technology innovation; Carbon emissions</t>
  </si>
  <si>
    <t>How does fintech influence carbon emissions: Evidence from China?s prefecture-level cities</t>
  </si>
  <si>
    <t>Cheng, Xiaoqiang; Yao, Dingjun; Qian, Yuanyuan; Wang, Bin; Zhang, Deliang</t>
  </si>
  <si>
    <t>Cheng, XQ; Yao, DJ; Qian, YY; Wang, B; Zhang, DL</t>
  </si>
  <si>
    <t>WOS:001185941200001</t>
  </si>
  <si>
    <t>8WW3B</t>
  </si>
  <si>
    <t>10.1080/09537325.2024.2328144</t>
  </si>
  <si>
    <t>This work was supported by the Major Projects of National Social Science Fund of China [grant number 23&amp; ZD068].</t>
  </si>
  <si>
    <t>Major Projects of National Social Science Fund of China</t>
  </si>
  <si>
    <t>Major Projects of National Social Science Fund of China [23, ZD068]</t>
  </si>
  <si>
    <t>Wang, Zhengwen/0000-0002-2071-0232</t>
  </si>
  <si>
    <t>Ding, Wenqing/AAE-6239-2022</t>
  </si>
  <si>
    <t>fengmengke@whu.edu.cn</t>
  </si>
  <si>
    <t>Feng, MK (corresponding author), Wuhan Univ, Sch Econ &amp; Management, Wuhan 430000, Hubei, Peoples R China.</t>
  </si>
  <si>
    <t>Wuhan University; Wuhan University; University of Sheffield; Wuhan University</t>
  </si>
  <si>
    <t>[Wang, Zhengwen; Xue, Xiaodi; Feng, Mengke] Wuhan Univ, Sch Econ &amp; Management, Wuhan, Peoples R China; [Wang, Zhengwen] Wuhan Univ, Natl Inst Insurance Dev, Ningbo, Peoples R China; [Wang, Zhengwen; Ding, Wenqing] Univ Sheffield, Management Sch, Sheffield, England; [Feng, Mengke] Wuhan Univ, Sch Econ &amp; Management, Wuhan 430000, Hubei, Peoples R China</t>
  </si>
  <si>
    <t>The development of Financial Technology (FinTech) has transformed financial services by generating new business models and supporting regional innovation by solving the financing constraints of innovative actors. This study assesses regional innovation by constructing a spatial matrix and measuring the level of regional FinTech with the Digital Financial Inclusion Index (DFII) based on the number of patents obtained in each region. It then examines the impact of FinTech on regional innovation, its action mechanism and inter-regional spatial spillover effects from the perspective of financing constraints, filling the gap in direct academic empirical research on the impact of FinTech on regional innovation. The empirical results show that the development of FinTech significantly promotes regional innovation, with a spatial spillover effect. Hence, governments should encourage the integration of finance, emerging technologies and FinTech development. Doing so may help solve the financing constraints of innovative activities, optimise the industry-financing patterns and promote the effective allocation of resources.</t>
  </si>
  <si>
    <t>FINTECH; PERFORMANCE; CONSTRAINTS; WELFARE; RISK</t>
  </si>
  <si>
    <t>Innovation; development; financial services; spatial spillover</t>
  </si>
  <si>
    <t>The promotion effect and spillover effect of financial technology on regional innovation: evidence from China</t>
  </si>
  <si>
    <t>Wang, Zhengwen; Xue, Xiaodi; Ding, Wenqing; Feng, Mengke</t>
  </si>
  <si>
    <t>Wang, ZW; Xue, XD; Ding, WQ; Feng, MK</t>
  </si>
  <si>
    <t>WOS:001289023300010</t>
  </si>
  <si>
    <t>10.1891/JFCP-2023-0022</t>
  </si>
  <si>
    <t>Watkins, Kimberly/0000-0003-0300-0949</t>
  </si>
  <si>
    <t>Reiter, Miranda/KIH-9966-2024</t>
  </si>
  <si>
    <t>kennethwhite@arizona.edu; lamide.olajide@ttu.edu; kimberly.watkins@uga.edu; mreiter@ttu.edu; johnsonpl@auburn.edu; meganmccoy@ksu.edu</t>
  </si>
  <si>
    <t>White, K (corresponding author), Univ Arizona, Norton Sch Human Ecol, Tucson, AZ 85721 USA.</t>
  </si>
  <si>
    <t>University of Arizona; Texas Tech University System; Texas Tech University; University System of Georgia; University of Georgia; Auburn University System; Auburn University; Kansas State University</t>
  </si>
  <si>
    <t>[White, Kenneth] Univ Arizona, Norton Sch Human Ecol, Tucson, AZ 85721 USA; [Olajide, Olamide; Reiter, Miranda] Texas Tech Univ, Sch Financial Planning, Lubbock, TX USA; [Watkins, Kimberly] Univ Georgia, Dept Financial Planning Housing &amp; Consumer Econ, Athens, GA USA; [Johnson, Portia] Auburn Univ, Financial Resource Management &amp; Workforce Dev, Alabama Cooperat Extens Syst, Auburn, AL USA; [McCoy, Megan] Kansas State Univ, Dept Personal Financial Planning, Manhattan, KS USA</t>
  </si>
  <si>
    <t>This study used data from the 2018 National Financial Capability Study State-by-State Survey to examine the role financial capability plays in financial education and financial anxiety among a sample of consumers who received financial education (N = 4,824). Financial education was explored through two lenses, quantity and quality. Results of the mediation analyses within the structural equation models suggest that the quality of financial education is more impactful than the quantity on financial capability. The mediator, financial capability, has a significant effect on decreasing financial anxiety. The direct effect of additional hours of financial education appears to alleviate financial anxiety whereas higher quality financial education increases financial anxiety. The implications of these findings are that financial education programs should strive for quality to ensure financial capability; however, providing multiple touchpoints over time for financial education may ensure just-in-time learning and decrease financial anxiety for participants. In addition, educators can provide insights into how to cope with financial anxiety (e.g., problem-focused, emotion-focused, meaning- making, and social support).</t>
  </si>
  <si>
    <t>HIGH-SCHOOL; LITERACY; KNOWLEDGE; WORKPLACE; SOCIALIZATION; BEHAVIOR; INCOME</t>
  </si>
  <si>
    <t>financial anxiety; financial education; financial capability; financial well-being</t>
  </si>
  <si>
    <t>Financial Education and Financial Anxiety: Do Quality and Quantity Differ?</t>
  </si>
  <si>
    <t>White, Kenneth; Olajide, Olamide; Watkins, Kimberly; Reiter, Miranda; Johnson, Portia; McCoy, Megan</t>
  </si>
  <si>
    <t>White, K; Olajide, O; Watkins, K; Reiter, M; Johnson, P; McCoy, M</t>
  </si>
  <si>
    <t>WOS:001254520300001</t>
  </si>
  <si>
    <t>WJ5Q5</t>
  </si>
  <si>
    <t>10.3390/agriculture14060965</t>
  </si>
  <si>
    <t>The work has been financially supported by the Major Program of the National Social Science Foundation of China (No. 18BMZ126)</t>
  </si>
  <si>
    <t>Major Program of the National Social Science Foundation of China(National Office of Philosophy and Social Sciences)</t>
  </si>
  <si>
    <t>Major Program of the National Social Science Foundation of China [18BMZ126]</t>
  </si>
  <si>
    <t>艳, 刘/0000-0002-6948-5988; CHANDIO, Abbas Ali/0000-0001-8706-9681</t>
  </si>
  <si>
    <t>; CHANDIO, Abbas Ali/E-7189-2016</t>
  </si>
  <si>
    <t>lucyyan2005@126.com</t>
  </si>
  <si>
    <t>Liu, Y (corresponding author), Sichuan Agr Univ, Coll Econ, Chengdu 611130, Peoples R China.</t>
  </si>
  <si>
    <t>[Li, Wenjing; Lin, Gege; Dou, Qingqing; Chandio, Abbas Ali; Larik, Shahbaz Ali; Liu, Yan] Sichuan Agr Univ, Coll Econ, Chengdu 611130, Peoples R China</t>
  </si>
  <si>
    <t>The rapid development of digital finance has effectively reduced financial challenges in rural regions and created new prospects for agricultural production. This article examines the impact of digital financial development on rice production in Sichuan Province using the 2011-2021 Peking University Digital Financial Inclusion Index and data from 20 prefecture-level cities, as well as a fixed effects model. The mechanism of action is also discussed. The findings reveal that the advancement of digital finance plays an important role in boosting the expansion of rice production, and that digital finance influences rice output by increasing farmers' willingness to participate in insurance and increasing the availability of credit. A heterogeneity analysis reveals that digital finance has a substantial effect on mountainous and economically poor areas. As a result, this article suggests that the breadth and depth of usage of rural digital finance, as well as the development of rural digital financial services in underdeveloped areas, should be expanded.</t>
  </si>
  <si>
    <t>digital finance; agricultural output; mechanism of action</t>
  </si>
  <si>
    <t>Can Digital Finance Promote Rice Production? Evidence from Sichuan Province, China</t>
  </si>
  <si>
    <t>Li, Wenjing; Lin, Gege; Dou, Qingqing; Chandio, Abbas Ali; Larik, Shahbaz Ali; Liu, Yan</t>
  </si>
  <si>
    <t>Li, WJ; Lin, GG; Dou, QQ; Chandio, AA; Larik, SA; Liu, Y</t>
  </si>
  <si>
    <t>WOS:000812277200010</t>
  </si>
  <si>
    <t>2E5OL</t>
  </si>
  <si>
    <t>10.1155/2022/7025375</t>
  </si>
  <si>
    <t>MAY 17</t>
  </si>
  <si>
    <t>Secur. Commun. Netw.</t>
  </si>
  <si>
    <t>SECUR COMMUN NETW</t>
  </si>
  <si>
    <t>1939-0122</t>
  </si>
  <si>
    <t>1939-0114</t>
  </si>
  <si>
    <t>This study was supported by the 2021 Tianjin Postgraduate Research Innovation Project: The Impact of Digital Inclusive Finance Development on the Income of Rural Residents in China (2021YJSS234).</t>
  </si>
  <si>
    <t>[2021YJSS234]</t>
  </si>
  <si>
    <t>Wang, Tingting/0000-0003-3461-4142</t>
  </si>
  <si>
    <t>2050210603@stu.tjise.edu.cn; jicheng@ucass.edu.cn</t>
  </si>
  <si>
    <t>Ji, C (corresponding author), Renmin Univ China, Sch Appl Econ, Beijing 100000, Peoples R China.</t>
  </si>
  <si>
    <t>Tianjin Foreign Studies University; Renmin University of China</t>
  </si>
  <si>
    <t>[Wang, Tingting] Tianjin Foreign Studies Univ, Int Business Sch, Tianjin 300000, Peoples R China; [Ji, Cheng] Renmin Univ China, Sch Appl Econ, Beijing 100000, Peoples R China</t>
  </si>
  <si>
    <t>Using data from the China Family Panel Studies (CFPS) from 2010 to 2018 and the Peking University Digital Financial Inclusion Index from 2011 to 2018, this research explores the effect of digital financial development on residents' income and the channels of influence. The findings suggest that the growth of digital financial services has a significant and favourable influence on citizens' income. Furthermore, digital financial development benefits rural populations, low-skilled workers, and individuals working in basic industries the most. The extension of inhabitants' employment space, better access to credit, and ease of access to information online are the major ways that digital financial development influences their income. In particular, the expansion of employment space has a greater positive impact on the low-skilled labor force, rural residents, and those in primary and secondary industries, while access to information is more likely to explain the increase in income of urban residents, and credit has an advantage in promoting income growth for the low-skilled laborers and those in traditional industries.</t>
  </si>
  <si>
    <t>ENTREPRENEURSHIP</t>
  </si>
  <si>
    <t>SECURITY AND COMMUNICATION NETWORKS</t>
  </si>
  <si>
    <t>RETRACTED: How Does Digital Finance Affect People's Income: Evidence from China (Retracted Article)</t>
  </si>
  <si>
    <t>Wang, Tingting; Ji, Cheng</t>
  </si>
  <si>
    <t>Wang, TT; Ji, C</t>
  </si>
  <si>
    <t>WOS:000598607800001</t>
  </si>
  <si>
    <t>TH6FH</t>
  </si>
  <si>
    <t>10.1108/AFR-12-2019-0132</t>
  </si>
  <si>
    <t>JUL 8</t>
  </si>
  <si>
    <t>Kooon, Isaac/0000-0002-2929-4992; Bukari, Chei/0000-0002-3872-4050; Peprah, James/0000-0002-2972-9431; Sebu, Joshua/0000-0002-3010-8704</t>
  </si>
  <si>
    <t>Kooon, Isaac/S-8710-2019; Bukari, Chei/AAW-6925-2021; Sebu, Joshua/AAC-9827-2020</t>
  </si>
  <si>
    <t>jpeprah@ucc.edu.gh; ikoomso2@une.edu.au; joshua.sebu@ucc.edu.gh; cheibukari1@gmail.com</t>
  </si>
  <si>
    <t>Peprah, JA (corresponding author), Univ Cape Coast, Cape Coast, Ghana.</t>
  </si>
  <si>
    <t>University of Cape Coast; University of New England</t>
  </si>
  <si>
    <t>[Peprah, James Atta; Sebu, Joshua; Chei, Bukari] Univ Cape Coast, Cape Coast, Ghana; [Koomson, Isaac] Univ New England, Armidale, NSW, Australia</t>
  </si>
  <si>
    <t>Purpose Does financial inclusion matter for productivity among smallholder farmers? The authors answer this question by using the sixth and seventh rounds of the Ghana Living Standard Survey to examine the extent to which financial inclusion affects productivity among smallholder farmers in Ghana. Design/methodology/approach The study uses a pooled data of the 6th and 7th rounds of the Ghana Living Standard Survey which are national representative data. The authors model an Instrumental Variable (IV) to correct for endogeneity in financial inclusion and a dominance analysis to examine the effects of access to credit, ownership of savings account and insurance product on farmers' productivity. Findings Results from the study indicate that financial inclusion significantly enhances productivity. Moreover, credit, savings and insurance products influence productivity at various degrees. Thus, expanding the scope of financial services (access to credit, savings and insurance) among smallholder farmers is crucial for inclusive finance and sustainable agricultural production. Practical implications The findings of the study have implications for financial institutions in the design of financial products that the meet the needs of smallholder farmers. Originality/value Several studies have looked at how access to credit influences agricultural productivity in Africa. However, in recent times financial inclusion has been advocated for because it goes beyond mere access to credit. This paper to the best of our knowledge is the first of its kind to examine how financial inclusion could affect agricultural productivity in Ghana.</t>
  </si>
  <si>
    <t>HOUSEHOLD WELFARE; AGRICULTURAL CREDIT; DOMINANCE ANALYSIS; MICROCREDIT; POVERTY; GROWTH; ACCESS; IMPACT; PREDICTORS</t>
  </si>
  <si>
    <t>Smallholder farmers; Ghana; Financial inclusion; Productivity; Credit; Savings; Insurance; G2; G21; G28; O16</t>
  </si>
  <si>
    <t>Improving productivity among smallholder farmers in Ghana: does financial inclusion matter?</t>
  </si>
  <si>
    <t>Peprah, James Atta; Koomson, Isaac; Sebu, Joshua; Chei, Bukari</t>
  </si>
  <si>
    <t>Peprah, JA; Koomson, I; Sebu, J; Chei, B</t>
  </si>
  <si>
    <t>WOS:001159378800008</t>
  </si>
  <si>
    <t>HK4I3</t>
  </si>
  <si>
    <t>10.1057/s41599-024-02708-z</t>
  </si>
  <si>
    <t>FEB 8</t>
  </si>
  <si>
    <t>Maity, Shrabanti/0000-0001-5791-3140</t>
  </si>
  <si>
    <t>sontoshe_sraban@yahoo.in</t>
  </si>
  <si>
    <t>Maity, S (corresponding author), Vidyasagar Univ, Dept Econ, Midnapore, West Bengal, India.</t>
  </si>
  <si>
    <t>[Maity, Shrabanti] Vidyasagar Univ, Dept Econ, Midnapore, West Bengal, India</t>
  </si>
  <si>
    <t>Microfinance is an alternative banking service available to low-income individuals or organizations for whom no institutional financial services are available. A widely accepted approach to assisting disadvantaged and excluded communities, especially in remote rural areas, is microcredit. The purpose of microfinance is to promote financial equality and inclusion by acting as a substitute for traditional lending methods for the marginalized. In India, Self-Help Groups (SHGs)-Bank Linkage Program that led microfinance-gained maximum popularity. The National Bank for Agriculture and Rural Development architected this model. In this model, Grameen Banks are associated with SHGs. The model is familiar as the SHG-Bank Linkage Program (SBLP). A microfinance program's theoretical foundation is the Rawls' Difference Principle embedded in the Theory of Justice. The microcredit program, through the Self-Help Group-Bank Linkage Program (SBLP), gained maximum popularity in India. These SBLPs are registered with the Deendayal Antyodaya Yojana-National Rural Livelihoods Mission (DAY-NRLM) under the scheme Aajeevika. In harmony with Rawls' Difference Principle, the ultimate goal of Aajeevika is social cohesion for all. The current study aims to assess the effectiveness of the SBLP-driven microfinance program in promoting financial inclusion. Furthermore, unlike earlier studies, the present study also considers whether or not involvement in SBLP increases social cohesion, which is a crucial component of the Difference Principle. The empirical research is conducted using novel data collected through a field survey of 335 participants and 490 non-participants from Nagaon, Morigaon, and Hojai districts of Central Assam. The Propensity Score Matching method facilitates the impact analysis of SBLP. The participation decision in the SBLP is positively influenced by the level of education. Empirical results also indicate that Hindus and low-caste women are interested in participating in SBLP. Contrarily, distance from the bank and operational land holdings are negatively influencing the participation decision. The empirical findings support higher financial inclusion through SBLP involvement but do not support greater social cohesion. Based on the empirical results, we suggest that more SBLPs be enrolled with DAY-NRLP under Aajeevika. Simultaneously, social cohesion may be achieved only by guaranteeing participation for every deserving individual, irrespective of religion, caste, and class.</t>
  </si>
  <si>
    <t>PROPENSITY SCORE; WOMEN; ENTREPRENEURSHIP; PARTICIPATION; GENDER; RELIGION; VILLAGE; INDIA</t>
  </si>
  <si>
    <t>Rawls' difference principle, self-help group, financial inclusion and social cohesion-lore or actuality? Experience of Central Assam</t>
  </si>
  <si>
    <t>Maity, Shrabanti</t>
  </si>
  <si>
    <t>Maity, S</t>
  </si>
  <si>
    <t>WOS:000820602100005</t>
  </si>
  <si>
    <t>2Q7MH</t>
  </si>
  <si>
    <t>10.1016/j.worlddev.2021.105781</t>
  </si>
  <si>
    <t>christina.qiu@yale.edu</t>
  </si>
  <si>
    <t>Qiu, CM (corresponding author), Yale Univ, Dept Econ, 28 Hillhouse Ave, New Haven, CT 06511 USA.</t>
  </si>
  <si>
    <t>Yale University; University of Oxford; University of Oxford</t>
  </si>
  <si>
    <t>[Qiu, Christina M.] Yale Univ, Dept Econ, 28 Hillhouse Ave, New Haven, CT 06511 USA; [Qiu, Christina M.] Univ Oxford, Dept Int Dev, Queen Elizabeth House,Mansfield Rd, Oxford, England; [Qiu, Christina M.] Univ Oxford, Global Governance &amp; Diplomacy, Oxford, England</t>
  </si>
  <si>
    <t>Mobile money has been hailed as a serious innovation in the pursuit of financial inclusion and poverty alleviation; however, its macroeconomic effect is not fully understood. This study presents a regional theory of inflation and argues that limited market integration contributes to mobile money's inflationary effects. Household survey data from Kenya confirms increased use of mobile money after village- and supra-village-level shocks due to risk-sharing between liquidity-flexible and liquidity-constrained regions. A difference-in-differences empirical assessment indicates that mobile money deployment increases national consumer price indices. Findings support that the power to distribute equals the power to generate money supply in developing countries. (C) 2021 Elsevier Ltd. All rights reserved.</t>
  </si>
  <si>
    <t>MONETARY; BEHAVIOR; KENYA</t>
  </si>
  <si>
    <t>Money supply; Quantity theory of money; Food price; Smallholder agriculture; Mobile money; Financial inclusion</t>
  </si>
  <si>
    <t>Regionalized liquidity: A cross-country analysis of mobile money deployment and inflation in developing economies</t>
  </si>
  <si>
    <t>Qiu, Christina M.</t>
  </si>
  <si>
    <t>Qiu, CM</t>
  </si>
  <si>
    <t>WOS:000866238800004</t>
  </si>
  <si>
    <t>5F3SM</t>
  </si>
  <si>
    <t>10.35293/srsa.v43i2.3619</t>
  </si>
  <si>
    <t>Strateg. Rev. South. Afr.</t>
  </si>
  <si>
    <t>STRATEG REV SOUTH AF</t>
  </si>
  <si>
    <t>1013-1108</t>
  </si>
  <si>
    <t>C/O EDITOR, STRATEGIC REVIEW SOUTHERN AFRICA, PRETORIA, 0002, SOUTH AFRICA</t>
  </si>
  <si>
    <t>UNIV PRETORIA, INST STRATEGIC STUDIES</t>
  </si>
  <si>
    <t>Ojo, Tinuade Adekunbi/0000-0001-6086-7173</t>
  </si>
  <si>
    <t>Ojo, Tinuade Adekunbi/AAH-6297-2021</t>
  </si>
  <si>
    <t>Ojo, TA (corresponding author), Univ Johannesburg, Dept Polit Sci &amp; Int Relat, Johannesburg, South Africa.</t>
  </si>
  <si>
    <t>[Ojo, Tinuade Adekunbi] Univ Johannesburg, Dept Polit Sci &amp; Int Relat, Johannesburg, South Africa</t>
  </si>
  <si>
    <t>This paper describes a study of South Africans' national perception and alignment to financial inclusion for women. It explains the impact of institutional roles and governance on financial inclusion in South Africa. There is ample evidence of government efforts on implementing financial inclusion in the country. Still, the significance of how governance and institutions promote access to finance for women has been overlooked in the literature. The main objective of this study is to identify the impact of institutional quality and governance on financial inclusion for women in South Africa. Data for analytical purposes supporting the research has been obtained from primary sources through semi-structured open-ended interviews collected from 2019 to 2020. The research approach employed and coded data from a recent study on 30 women entrepreneurs, five key policymakers on women empowerment and five financial institutions supervisors on financial inclusion for women. The results obtained suggest that there is little institutional quality and governance on financial inclusion for women, and further efforts must be intensified to achieve equal access to financial services in South Africa. Furthermore, the paper presents recommendations for policymakers that, if implemented, would prove fruitful. Policymakers are expected to facilitate gender-mainstreaming/strategies and working policies, monitoring and evaluation, financial literacy, and transparent legal framework on financial policies addressing women.</t>
  </si>
  <si>
    <t>Financial Inclusion; Political Economy; Racial Configuration of the Economy; Class Dimension; Women's Power</t>
  </si>
  <si>
    <t>STRATEGIC REVIEW FOR SOUTHERN AFRICA</t>
  </si>
  <si>
    <t>Impact of Institutional Quality and Governance on Financial Inclusion for Women in South Africa: A Case of Gauteng Women Entrepreneurs</t>
  </si>
  <si>
    <t>Ojo, Tinuade Adekunbi</t>
  </si>
  <si>
    <t>Ojo, TA</t>
  </si>
  <si>
    <t>WOS:000404431900006</t>
  </si>
  <si>
    <t>EZ0YE</t>
  </si>
  <si>
    <t>EJournal Tax Res.</t>
  </si>
  <si>
    <t>EJOURNAL TAX RES</t>
  </si>
  <si>
    <t>1448-2398</t>
  </si>
  <si>
    <t>PO BOX 1, KENSINGTON, NSW 2033, AUSTRALIA</t>
  </si>
  <si>
    <t>KENSINGTON</t>
  </si>
  <si>
    <t>UNIV NEW SOUTH WALES, FAC LAW</t>
  </si>
  <si>
    <t>Brackin, Toni/0000-0002-3470-8440; Brimble, Mark/0000-0001-7554-9004</t>
  </si>
  <si>
    <t>; Freudenberg, Brett/K-9013-2015</t>
  </si>
  <si>
    <t>toni.chardon@usq.edu.au</t>
  </si>
  <si>
    <t>Chardon, T (corresponding author), Univ Southern Queensland, Toowoomba, Qld, Australia.</t>
  </si>
  <si>
    <t>University of Southern Queensland; Griffith University</t>
  </si>
  <si>
    <t>[Chardon, Toni] Univ Southern Queensland, Toowoomba, Qld, Australia; [Freudenberg, Brett; Brimble, Mark] Griffith Univ, Griffith Business Sch, Dept Accounting Finance &amp; Econ, Nathan, Qld, Australia</t>
  </si>
  <si>
    <t>The concept of financial literacy and capability is seen as important in modern economies. An important part of financial capability is a person's confidence in dealing with financial decisions. It has been argued that financial literacy should be extended to include knowledge and understanding of the tax system, given it can influence investment strategies and wealth outcomes. We examine how Australians' confidence relates to their tax literacy. The findings suggest that lower confidence is more likely to relate to certain demographics. However, unlike other financial literacy measures, it appears that peoples' tax confidence is more aligned to their actual understanding.</t>
  </si>
  <si>
    <t>FINANCIAL LITERACY; SUPERANNUATION; EXPECTATIONS; JUDGMENT; IMPACT</t>
  </si>
  <si>
    <t>financial literacy; tax literacy; financial capability; confidence</t>
  </si>
  <si>
    <t>EJOURNAL OF TAX RESEARCH</t>
  </si>
  <si>
    <t>Are Australians under or over confident when it comes to tax literacy, and why does it matter?</t>
  </si>
  <si>
    <t>Chardon, Toni; Freudenberg, Brett; Brimble, Mark</t>
  </si>
  <si>
    <t>Chardon, T; Freudenberg, B; Brimble, M</t>
  </si>
  <si>
    <t>WOS:000577144300001</t>
  </si>
  <si>
    <t>NZ5LO</t>
  </si>
  <si>
    <t>10.2147/JMDH.S277357</t>
  </si>
  <si>
    <t>J. Multidiscip. Healthc.</t>
  </si>
  <si>
    <t>J MULTIDISCIP HEALTH</t>
  </si>
  <si>
    <t>1178-2390</t>
  </si>
  <si>
    <t>PO BOX 300-008, ALBANY, AUCKLAND 0752, NEW ZEALAND</t>
  </si>
  <si>
    <t>ALBANY</t>
  </si>
  <si>
    <t>DOVE MEDICAL PRESS LTD</t>
  </si>
  <si>
    <t>Al-Hanawi, Mohammed Khaled/0000-0002-8419-2219; Chirwa, Gowokani Chijere/0000-0003-0199-779X; Kamninga, Tony Mwenda/0000-0002-4164-1467; Manja, Laston/0000-0002-0446-7674</t>
  </si>
  <si>
    <t>Manja, Laston/AAB-1614-2021; Al-Hanawi, Mohammed Khaled/AAB-2455-2020; Chirwa, Gowokani Chijere/AAB-3310-2020; Kamninga, Tony Mwenda/AAR-3920-2020</t>
  </si>
  <si>
    <t>mkalhanawi@kau.edu.sa</t>
  </si>
  <si>
    <t>Al-Hanawi, MK (corresponding author), King Abdulaziz Univ, Fac Econ &amp; Adm, Dept Hlth Serv &amp; Hosp Adm, Jeddah 80200, Saudi Arabia.</t>
  </si>
  <si>
    <t>King Abdulaziz University; University of Malawi</t>
  </si>
  <si>
    <t>[Al-Hanawi, Mohammed Khaled] King Abdulaziz Univ, Fac Econ &amp; Adm, Dept Hlth Serv &amp; Hosp Adm, Jeddah 80200, Saudi Arabia; [Chirwa, Gowokani Chijere; Manja, Laston Petro] Univ Malawi, Chancellor Coll, Econ Dept, Zomba, Malawi; [Kamninga, Tony Mwenda] African Inst Dev Policy, Res &amp; Policy Dept, Lilongwe, Malawi</t>
  </si>
  <si>
    <t>Background: Having access to convenient and quality healthcare at all times is not only a human right but also a goal that many countries strive to achieve for their population. However, access to healthcare might face blocks in the presence of financial exclusions. Saudi Arabia has, over the years, continued to pursue policy and system reforms to enhance its population's access to financial inclusion, as well as proper health coverage to improve health outcomes. This study seeks to estimate the effects of financial inclusion on the financial hardships in accessing healthcare in Saudi Arabia. Methods: This study uses a nationally representative survey conducted with 1009 adults, using the 2017 World Bank Global Findex Study data. The study estimates the conditional probability of coming up with emergency funds and the conditional probability of borrowing for medical purposes to understand access to healthcare. A composite value is created for financial inclusion using several variables for individuals' interactions with financial institutions, such as access to financial services and loans. Results: The results revealed that financially included individuals have a higher conditional probability of both borrowing for medical purposes and coming up with emergency funds, compared to those who are financially excluded. Additionally, the study showed that individuals in low-income brackets are more likely to be financially excluded and have a reduced chance of coming up with emergency funds and borrowing for medical purposes. Conclusion: These findings indicate that there is need for authorities to roll out a financial inclusion drive that will not only incentivise the financially excluded population to become included but that will also aim at promoting various financial products so that those who are already financially included have a wide range from which they can choose.</t>
  </si>
  <si>
    <t>COUNTRIES; PROGRESS</t>
  </si>
  <si>
    <t>access; borrow; financial inclusion; financial hardships; healthcare; Saudi Arabia</t>
  </si>
  <si>
    <t>JOURNAL OF MULTIDISCIPLINARY HEALTHCARE</t>
  </si>
  <si>
    <t>Effects of Financial Inclusion on Access to Emergency Funds for Healthcare in the Kingdom of Saudi Arabia</t>
  </si>
  <si>
    <t>Al-Hanawi, Mohammed Khaled; Chirwa, Gowokani Chijere; Kamninga, Tony Mwenda; Manja, Laston Petro</t>
  </si>
  <si>
    <t>Al-Hanawi, MK; Chirwa, GC; Kamninga, TM; Manja, LP</t>
  </si>
  <si>
    <t>WOS:000585414500001</t>
  </si>
  <si>
    <t>OV1UN</t>
  </si>
  <si>
    <t>10.1080/03057070.2020.1823682</t>
  </si>
  <si>
    <t>NOV 5</t>
  </si>
  <si>
    <t>J. South. Afr. Stud.</t>
  </si>
  <si>
    <t>J S AFR STUD</t>
  </si>
  <si>
    <t>1465-3893</t>
  </si>
  <si>
    <t>0305-7070</t>
  </si>
  <si>
    <t>The fieldwork for this article was enabled by a generous research grant from the Institute of Money Technology and Financial Inclusion (IMTFI) of the University of California, Irvine, to undertake country-specific research on mobile money through the Bill and Melinda Gates Foundation.</t>
  </si>
  <si>
    <t>Institute of Money Technology and Financial Inclusion (IMTFI) of the University of California, Irvine through the Bill and Melinda Gates Foundation</t>
  </si>
  <si>
    <t>Mahiya, Innocent/0000-0001-5780-5238; Gukurume, Simbarashe/0000-0002-2297-3693</t>
  </si>
  <si>
    <t>; Gukurume, Simbarashe/AAC-5487-2021</t>
  </si>
  <si>
    <t>sgukurume@gzu.ac.zw; MahiyaI@ukzn.ac.za</t>
  </si>
  <si>
    <t>Gukurume, S (corresponding author), Great Zimbabwe Univ, POB 1235, Morningside, Masvingo, Zimbabwe.</t>
  </si>
  <si>
    <t>[Gukurume, Simbarashe] Great Zimbabwe Univ, POB 1235, Morningside, Masvingo, Zimbabwe; [Mahiya, Innocent T.] Univ KwaZulu Natal, Sch Appl Human Sci, 238 Mazisi Kunene Rd, ZA-4041 Durban, South Africa</t>
  </si>
  <si>
    <t>The rapid expansion of mobile money technologies in Zimbabwe has substantially altered the monetary ecology and the payment landscape. This article examines the ways in which the adoption, usage and meanings attached to mobile money (re)configure social relationships in the rural community of Chivi. We demonstrate the ways in which mobile money technologies mediate the politics of everyday social relations and shape local social relations in profound ways. Drawing on ethnographic fieldwork, we explore the complex ways through which mobile money makes and unmakes social relations between transacting parties and between the agents themselves. Our main finding is that the impact of mobile money on social relations in the community is predominantly ambivalent. We observed that mobile money triggers contestation, hostility and conflict while simultaneously fostering social solidarity and convivial relationships. The main sources of contention in mobile money transactions in Chivi involved space, currency conversion exchange rates, identification and charges. These are, however, unintended consequences of mobile money usage in Chivi.</t>
  </si>
  <si>
    <t>FINANCIAL INCLUSION; M-PESA; AFRICA; PHONES; SERVICES; KENYA; COMMUNICATION; LIVELIHOODS; TECHNOLOGY; ADOPTION</t>
  </si>
  <si>
    <t>EcoCash; mobile money; social relations; Chivi; financial inclusion; Zimbabwe</t>
  </si>
  <si>
    <t>JOURNAL OF SOUTHERN AFRICAN STUDIES</t>
  </si>
  <si>
    <t>Mobile Money and the (Un)Making of Social Relations in Chivi, Zimbabwe</t>
  </si>
  <si>
    <t>Gukurume, Simbarashe; Mahiya, Innocent T.</t>
  </si>
  <si>
    <t>Gukurume, S; Mahiya, IT</t>
  </si>
  <si>
    <t>WOS:001070471800001</t>
  </si>
  <si>
    <t>W4GZ7</t>
  </si>
  <si>
    <t>Environmental Sciences &amp; Ecology; Geography; Public Administration; Urban Studies</t>
  </si>
  <si>
    <t>Environmental Studies; Geography; Regional &amp; Urban Planning; Urban Studies</t>
  </si>
  <si>
    <t>10.1177/23998083231203990</t>
  </si>
  <si>
    <t>Env. Plan. B-Urban Anal. City Sci.</t>
  </si>
  <si>
    <t>ENVIRON PLAN B-URBAN</t>
  </si>
  <si>
    <t>2399-8091</t>
  </si>
  <si>
    <t>2399-8083</t>
  </si>
  <si>
    <t>The author(s) disclosed receipt of the following financial support for the research, authorship, and/or publication of this article: This work was supported by the Ministerio de Ciencia y Tecnologia (PID2020-115450GB-100) and Universitat Jaume I (UJI-B2020-27).</t>
  </si>
  <si>
    <t>Ministerio de Ciencia y Tecnologia(Spanish GovernmentMinistry of Science &amp; Innovation, Spain (MICINN)); Universitat Jaume I</t>
  </si>
  <si>
    <t>Ministerio de Ciencia y Tecnologia [PID2020-115450GB-100]; Universitat Jaume I [UJI-B2020-27]</t>
  </si>
  <si>
    <t>Cruz-García, Paula/0000-0001-9801-1696</t>
  </si>
  <si>
    <t>Cruz-García, Paula/ABG-3261-2020</t>
  </si>
  <si>
    <t>paula.cruz@uv.es</t>
  </si>
  <si>
    <t>Cruz-García, P (corresponding author), Univ Valencia, Dept Econ Anal, Avda Tarongers S-N, Valencia 46022, Spain.</t>
  </si>
  <si>
    <t>Universitat Jaume I; University of Valencia; Centro de Investigacion y Docencia Economicas A.C. (CIDE); University of Valencia; University of Valencia</t>
  </si>
  <si>
    <t>[Dircio-Palacios-Macedo, Maria del Carmen; Tortosa-Ausina, Emili] Univ Jaume 1, Castellon de La Plana, Spain; [Cruz-Garcia, Paula] Univ Valencia, Valencia, Spain; [Hernandez-Trillo, Fausto] CIDE, Mexico City, Mexico; [Tortosa-Ausina, Emili] IIDL, Madrid, Spain; [Tortosa-Ausina, Emili] Ivie, Valencia, Spain; [Cruz-Garcia, Paula] Univ Valencia, Dept Econ Anal, Avda Tarongers S-N, Valencia 46022, Spain</t>
  </si>
  <si>
    <t>In this paper, we present a gridded population cartogram illustrating a recently constructed financial inclusion index for Mexico 2020 (Dircio-Palacios-Macedo et al., 2023). Its importance relies in that it allows us to identify the municipalities with different levels of financial inclusion in a geographical disaggregated manner, which can be used for the ultimate goal of relevant policy analysis.</t>
  </si>
  <si>
    <t>Mexico; composite indicator; financial inclusion; gridded population; cartogram</t>
  </si>
  <si>
    <t>ENVIRONMENT AND PLANNING B-URBAN ANALYTICS AND CITY SCIENCE</t>
  </si>
  <si>
    <t>The geographic visualization of financial inclusion and exclusion in Mexican municipalities</t>
  </si>
  <si>
    <t>Dircio-Palacios-Macedo, Maria del Carmen; Cruz-Garcia, Paula; Hernandez-Trillo, Fausto; Tortosa-Ausina, Emili</t>
  </si>
  <si>
    <t>Dircio-Palacios-Macedo, MD; Cruz-García, P; Hernández-Trillo, F; Tortosa-Ausina, E</t>
  </si>
  <si>
    <t>WOS:000547549300001</t>
  </si>
  <si>
    <t>WR2PD</t>
  </si>
  <si>
    <t>10.1108/QROM-03-2020-1910</t>
  </si>
  <si>
    <t>NOV 3</t>
  </si>
  <si>
    <t>Qual. Res. Organ. Manag.</t>
  </si>
  <si>
    <t>QUAL RES ORGAN MANAG</t>
  </si>
  <si>
    <t>1746-5656</t>
  </si>
  <si>
    <t>1746-5648</t>
  </si>
  <si>
    <t>The author acknowledges the support for this research in terms of fellowship from the State Bank of India vide letter number SBIL/2018-19/PDRF/331.</t>
  </si>
  <si>
    <t>State Bank of India</t>
  </si>
  <si>
    <t>State Bank of India [SBIL/2018-19/PDRF/331]</t>
  </si>
  <si>
    <t>Mahenu, Mandeep/0000-0001-6735-1823</t>
  </si>
  <si>
    <t>Mahenu, Mandeep/M-1385-2017</t>
  </si>
  <si>
    <t>mandip129@gmail.com</t>
  </si>
  <si>
    <t>Mahendru, M (corresponding author), State Bank Inst Leadership, Kolkata, India.</t>
  </si>
  <si>
    <t>[Mahendru, Mandeep] State Bank Inst Leadership, Kolkata, India</t>
  </si>
  <si>
    <t>Purpose Measurement of financial well-being has remained a challenge for the governments for a long time. This paper responds to this challenge by taking an integrative approach, whereby the previous conceptualizations of financial well-being are examined. Further, we propose a new conceptualization of financial well-being using the parameters of objective and subjective well-being. Design/methodology/approach We conduct a widespread review of the literature with regard to the linkage between financial literacy and financial capability. Findings Numerous studies report the pertinent role of behavioural economics in rational decision making. This paper understands the role of behavioural economics in regard to financial well-being. Research limitations/implications Empirical investigation in measuring the linkage between financial literacy and financial capability needs to be developed to achieve the goal of financial well-being. Originality/value This paper makes a noble contribution to the literature by proposing a new conceptualization of financial well-being spread over financial literacy, financial capability and psychological factors.</t>
  </si>
  <si>
    <t>CREDIT-CARD DEBT; EMPIRICAL-ANALYSIS; LIFE SATISFACTION; PHYSICAL-ACTIVITY; BEHAVIOR-CHANGE; MENTAL-HEALTH; INCOME; EDUCATION; LITERACY; MONEY</t>
  </si>
  <si>
    <t>Financial well-being; Objective well-being; Subjective well-being; Financial literacy; Financial capability</t>
  </si>
  <si>
    <t>QUALITATIVE RESEARCH IN ORGANIZATIONS AND MANAGEMENT</t>
  </si>
  <si>
    <t>Financial well-being for a sustainable society: a road less travelled</t>
  </si>
  <si>
    <t>Mahendru, Mandeep</t>
  </si>
  <si>
    <t>Mahendru, M</t>
  </si>
  <si>
    <t>WOS:000656251000004</t>
  </si>
  <si>
    <t>SK5JH</t>
  </si>
  <si>
    <t>10.1016/j.pacfin.2021.101557</t>
  </si>
  <si>
    <t>We acknowledge the financial support from National Natural Science Foundation of China (NSFC Project Number 71873104) and Humanities and Social Sciences Foundation of the Ministry of Education (Project Number 19YJC790127) . All errors are our own.</t>
  </si>
  <si>
    <t>National Natural Science Foundation of China (NSFC)(National Natural Science Foundation of China (NSFC)); Humanities and Social Sciences Foundation of the Ministry of Education</t>
  </si>
  <si>
    <t>National Natural Science Foundation of China (NSFC) [71873104]; Humanities and Social Sciences Foundation of the Ministry of Education [19YJC790127]</t>
  </si>
  <si>
    <t>wangbo0503@swufe.edu.cn; yangzy@swufe.edu.cn; xiaomei51@swufe.edu.cn</t>
  </si>
  <si>
    <t>Yang, ZY (corresponding author), Southwestern Univ Finance &amp; Econ, Sch Finance, 555 Liutai Ave, Chengdu 611130, Sichuan, Peoples R China.</t>
  </si>
  <si>
    <t>Southwestern University of Finance &amp; Economics - China</t>
  </si>
  <si>
    <t>[Wang, Bo; Yu, Yunjun; Yang, Ziying; Zhang, Xiaomei] Southwestern Univ Finance &amp; Econ, Sch Finance, 555 Liutai Ave, Chengdu 611130, Sichuan, Peoples R China</t>
  </si>
  <si>
    <t>This paper uses detailed data from a Chinese Peer-to-peer lending intermediary to investigate whether local MFIs expansion affects P2P lending. We confirm that increased MFIs coverage enhances loan availability in P2P lending while reducing loan cost. Microfinance competition's positive externalities strengthen the substitution effect between local MFIs and P2P lending by improving borrowers' bargaining power. Furthermore, with improved access to local MFIs, P2P lending weakens credit approval conditions, leading to increased default risk in P2P lending. Finally, we perceive that borrowers with low income, small loans, and females benefit more from microfinance competition, which is consistent with the inclusive finance nature of MFIs and P2P lending. These findings strengthen our understanding of the connection between MFIs and P2P lending. Besides, we should be aware of negative externalities brought by microfinance competition - credit risk accumulation.</t>
  </si>
  <si>
    <t>CREDIT; INITIATIVES; CONSTRAINTS; BORROWERS; LENDERS; RISK</t>
  </si>
  <si>
    <t>Microfinance institutions; P2P lending; Inclusive finance</t>
  </si>
  <si>
    <t>Microfinance institutions and Peer-to-Peer lending: What does microfinance competition bring?</t>
  </si>
  <si>
    <t>Wang, Bo; Yu, Yunjun; Yang, Ziying; Zhang, Xiaomei</t>
  </si>
  <si>
    <t>Wang, B; Yu, YJ; Yang, ZY; Zhang, XM</t>
  </si>
  <si>
    <t>WOS:001378193800001</t>
  </si>
  <si>
    <t>P5G6V</t>
  </si>
  <si>
    <t>10.1177/09763996241284692</t>
  </si>
  <si>
    <t>2024 DEC 15</t>
  </si>
  <si>
    <t>Millenn. Asia</t>
  </si>
  <si>
    <t>MILLENN ASIA</t>
  </si>
  <si>
    <t>2321-7081</t>
  </si>
  <si>
    <t>0976-3996</t>
  </si>
  <si>
    <t>, Zunairoh SM MSM/0000-0002-6753-3499; Wijaya, Liliana Inggrit/0000-0002-8058-9438</t>
  </si>
  <si>
    <t>; Wijaya, Liliana Inggrit/GQP-9908-2022</t>
  </si>
  <si>
    <t>liliana@staff.ubaya.ac.id</t>
  </si>
  <si>
    <t>Wijaya, LI (corresponding author), Univ Surabaya, Fac Business &amp; Econ, Surabaya 60293, Jawa Timur, Indonesia.</t>
  </si>
  <si>
    <t>Universitas Surabaya (UBAYA)</t>
  </si>
  <si>
    <t>[Wijaya, Liliana Inggrit] Univ Surabaya, Surabaya, Jawa Timur, Indonesia</t>
  </si>
  <si>
    <t>This research aims to determine the influence of financial technology, financial literacy and financial inclusion on the performance of micro, small and medium enterprises (MSMEs) in Indonesia mediated by social capital. This research uses quantitative methods, assisted by SmartPLS software for data processing in structural equation modelling analysis. The contribution of this research can be used as a financial strategy for MSMEs to survive, such as testing how financial technology, social capital and financial literacy interact. The results of this research show that the use of financial technology, financial inclusion and financial knowledge can significantly influence the performance of MSMEs. In addition, social capital significantly mediates the relationship between financial technology, financial inclusion, financial knowledge and MSME performance. The results of this research provide a solid basis for creating a broad and integrated policy strategy. The success of MSMEs depends on a wise combination of fintech, financial inclusivity, financial literacy and social wealth. Therefore, policy makers, financial institutions and business people can use this information to create an environment that supports the growth and sustainability of MSMEs and makes a greater contribution to the local and national economy.</t>
  </si>
  <si>
    <t>FINANCIAL LITERACY; BEHAVIOR; INVESTMENT; MEDIA</t>
  </si>
  <si>
    <t>Financial technology; financial literacy; financial inclusion; social capital; performance; MSMEs</t>
  </si>
  <si>
    <t>MILLENNIAL ASIA</t>
  </si>
  <si>
    <t>Fintech, Social Capital and Performance of Indonesian MSMEs</t>
  </si>
  <si>
    <t>Zunairoh, Liliana Inggrit; Wijaya, Liliana Inggrit</t>
  </si>
  <si>
    <t>Zunairoh; Wijaya, LI</t>
  </si>
  <si>
    <t>WOS:000304007600002</t>
  </si>
  <si>
    <t>This chapter summarizes the detailed findings of the national household survey on individual and household interest, knowledge of, and usage of financial products, including savings, credit, insurance, payments, and remittance services, as well as informal financial products. 1 The average Pakistani household remains outside the formal financial system, saving at home, and borrowing from family or friends in cases of dire need. While only 14 percent is formally included, about 40 percent of the population is completely excluded from formal or informal financial systems. Disparate as formal access might be among rural and urban areas, men and women, income levels, as well as along education and employment lines, interest in financial services is virtually identical. The challenge is to translate financial interest into access. Income and financial literacy appear as key barriers to financial exclusion when controlling for all other characteristics. Other drivers of financial inclusion are employment (formal employment determining formal inclusion), age, education level, or status as the main household income earner. Mobile phone use and access reduce the chances of being financially excluded. The banked in addition enjoy access to collateral while distance is only a marginal deterrent to being banked. An analysis of perceptions of financial services links the popularity of informal finance to its minimum access requirements-in direct contrast to formal finance documentation, creditworthiness requirements, and associated fees that overburden population groups, such as women and low-income or rural populations.</t>
  </si>
  <si>
    <t>Access to Finance: Evidence from the Demand Side</t>
  </si>
  <si>
    <t>WOS:001232234000001</t>
  </si>
  <si>
    <t>SC3Z8</t>
  </si>
  <si>
    <t>10.1016/j.najef.2024.102140</t>
  </si>
  <si>
    <t>Righi, Marcelo/E-3756-2015</t>
  </si>
  <si>
    <t>cristian17agro@gmail.com; marcelo.righi@ufrgs.br; fernanda.muller@ufrgs.br</t>
  </si>
  <si>
    <t>Müller, F (corresponding author), Univ Fed Rio Grande do Sul, Washington Luiz 855, BR-90010460 Porto Alegre, Brazil.</t>
  </si>
  <si>
    <t>Universidade Federal de Goias; Universidade Federal do Rio Grande do Sul</t>
  </si>
  <si>
    <t>[Rogerio Foguesatto, Cristian] Univ Fed Goias, Campus Samambaia 131, BR-74690900 Goiania, Brazil; [Brutti Righi, Marcelo; Maria Mueller, Fernanda] Univ Fed Rio Grande do Sul, Washington Luiz 855, BR-90010460 Porto Alegre, Brazil</t>
  </si>
  <si>
    <t>This study delves into the connection between market risk and financial inclusion. Market risk is gauged through primary risk metrics commonly used in industry and academia, such as Standard Deviation (SD), Value at Risk (VaR), Expected Shortfall (ES), and Expected Loss (EL). In exploring financial inclusion, we consider twelve specific indicators that span three crucial dimensions: penetration, availability, and usage. Our analysis covers data from 49 countries spanning the period from 2004 to 2021, encompassing G20 nations and markets hosting major global stock exchanges. Our findings reveal a positive correlation between various indicators of financial inclusion and certain risk characteristics. Notably, distinctions emerge between underdeveloped and developed countries. In the case of developed nations, for instance, the quantity of active mobile money accounts and mobile money agent outlets exhibits a robust correlation with market risk. Through quantile correlation analysis, we discern that the relationship between risk and financial inclusion undergoes shifts based on the level of inclusion. Therefore, despite the documented advantages of financial inclusion, our study sheds light on its potential adverse implications.</t>
  </si>
  <si>
    <t>Financial inclusion; Market risk; Mobile money; Fintech; Dark side</t>
  </si>
  <si>
    <t>Is there a dark side to financial inclusion? Understanding the relationship between financial inclusion and market risk</t>
  </si>
  <si>
    <t>Rogerio Foguesatto, Cristian; Brutti Righi, Marcelo; Maria Mueller, Fernanda</t>
  </si>
  <si>
    <t>Foguesatto, C; Righi, M; Müller, F</t>
  </si>
  <si>
    <t>WOS:000531028500001</t>
  </si>
  <si>
    <t>LK7FR</t>
  </si>
  <si>
    <t>10.1080/1331677X.2020.1748508</t>
  </si>
  <si>
    <t>SARMIDI, TAMAT/0000-0001-6064-0999</t>
  </si>
  <si>
    <t>Nizam, Rosmah/MIQ-7452-2025; Abdul-Rahman, Aisyah/H-7345-2016; KARIM, ZULKEFLY/W-3726-2018; SARMIDI, TAMAT/E-8470-2017</t>
  </si>
  <si>
    <t>zak1972@ukm.edu.my</t>
  </si>
  <si>
    <t>Karim, ZA (corresponding author), Univ Kebangsaan Malaysia, Ctr Sustainable &amp; Inclus Dev Studies SID, Fac Econ &amp; Management, Bangi, Selangor, Malaysia.</t>
  </si>
  <si>
    <t>[Nizam, Rosmah; Karim, Zulkefly Abdul; Rahman, Aisyah Abdul; Sarmidi, Tamat] Univ Kebangsaan Malaysia, Ctr Sustainable &amp; Inclus Dev Studies SID, Fac Econ &amp; Management, Bangi, Selangor, Malaysia</t>
  </si>
  <si>
    <t>This paper investigates the effect of financial inclusiveness on economic growth in selected developed and developing countries (63 countries) for the years of 2014 and 2017. The level of financial inclusiveness for each country is calculated using a new construction of the financial inclusion index. The role of financial inclusiveness on economic growth is subsequently estimated using a cross-sectional threshold regression technique. The main findings revealed that there is a threshold effect of the financial inclusiveness-growth nexus, which means that financial inclusiveness exhibits a non-monotonic positive relation with economic growth. The positive effect is more pronounced at a high level than in the low level of financial inclusion index. These new findings should motivate policymakers and the banking sector in each country to exert greater effort in raising the level of financial inclusion in stimulating sustainable economic growth.</t>
  </si>
  <si>
    <t>INCLUSION; POVERTY; SAMPLE</t>
  </si>
  <si>
    <t>Financial inclusion; economic growth; threshold estimation</t>
  </si>
  <si>
    <t>Financial inclusiveness and economic growth: new evidence using a threshold regression analysis</t>
  </si>
  <si>
    <t>Nizam, Rosmah; Karim, Zulkefly Abdul; Rahman, Aisyah Abdul; Sarmidi, Tamat</t>
  </si>
  <si>
    <t>Nizam, R; Karim, ZA; Rahman, AA; Sarmidi, T</t>
  </si>
  <si>
    <t>WOS:001372595700001</t>
  </si>
  <si>
    <t>O6Z9Q</t>
  </si>
  <si>
    <t>10.1016/j.frl.2024.106541</t>
  </si>
  <si>
    <t>The Guangdong Society of Education: A Study on the Continuity of Mental Health Education Courses from Primary to University Levels (GDES14693).</t>
  </si>
  <si>
    <t>Guangdong Society of Education: A Study on the Continuity of Mental Health Education Courses from Primary to University Levels</t>
  </si>
  <si>
    <t>Guangdong Society of Education: A Study on the Continuity of Mental Health Education Courses from Primary to University Levels [GDES14693]</t>
  </si>
  <si>
    <t>KANG, JING/0009-0004-9341-9763;</t>
  </si>
  <si>
    <t>; Hu, Zhicheng/JTT-3173-2023</t>
  </si>
  <si>
    <t>gongwei_ivu3@stu.ynu.edu.cn</t>
  </si>
  <si>
    <t>Gong, W (corresponding author), Yunnan Univ, Sch Govt, Kunming 650500, Peoples R China.</t>
  </si>
  <si>
    <t>University of International Business &amp; Economics; Assumption University Thailand; Chongqing University; Zhongnan University of Economics &amp; Law; Yunnan University</t>
  </si>
  <si>
    <t>[Deng, Yingjie] Univ Int Business &amp; Econ, Shenzhen Res Inst, Shenzhen 518000, Peoples R China; [Kang, Jing] Assumption Univ, Grad Sch Business &amp; Adv Technol Management, Bangkok, Thailand; [Wang, Yan] Chongqing Univ, Sch Econ &amp; Business Adm, Chongqing 400044, Peoples R China; [Hu, Zhicheng] Zhongnan Univ Econ &amp; Law, Sch Finance, Wuhan 430073, Peoples R China; [Gong, Wei] Yunnan Univ, Sch Govt, Kunming 650500, Peoples R China</t>
  </si>
  <si>
    <t>The consumption upgrading strategy and the dual circulation model position consumption as a critical driver of China's economic growth. Although the development of inclusive finance has somewhat promoted short-term consumption, challenges such as low financial literacy and rising debt burden threaten the sustainability of consumption. This study utilizes data from the 2013-2019 China Household Finance Survey, employing fixed-effect models to examine the impact of household debt on consumption. We also quantify financial literacy's role in moderating debt's influence on consumer behavior.</t>
  </si>
  <si>
    <t>Household debt; Liability structure; Household consumption; Financial literacy</t>
  </si>
  <si>
    <t>Effects of debt dynamics and financial literacy on consumer market behavior</t>
  </si>
  <si>
    <t>Deng, Yingjie; Kang, Jing; Wang, Yan; Hu, Zhicheng; Gong, Wei</t>
  </si>
  <si>
    <t>Deng, YJ; Kang, J; Wang, Y; Hu, ZC; Gong, W</t>
  </si>
  <si>
    <t>WOS:000359285800005</t>
  </si>
  <si>
    <t>CO6SF</t>
  </si>
  <si>
    <t>10.5195/JWSR.2015.527</t>
  </si>
  <si>
    <t>WIN-SUM</t>
  </si>
  <si>
    <t>J. World Syst. Res.</t>
  </si>
  <si>
    <t>J WORLD SYST RES</t>
  </si>
  <si>
    <t>1076-156X</t>
  </si>
  <si>
    <t>3960 FORBES AVE, PITTSBURGH, PA 15260 USA</t>
  </si>
  <si>
    <t>PITTSBURGH</t>
  </si>
  <si>
    <t>UNIV PITTSBURGH, UNIV LIBRARY SYSTEM</t>
  </si>
  <si>
    <t>kkalpana@iitm.ac.in</t>
  </si>
  <si>
    <t>Kalpana, K (corresponding author), Indian Inst Technol Madras, Madras, Tamil Nadu, India.</t>
  </si>
  <si>
    <t>Indian Institute of Technology System (IIT System); Indian Institute of Technology (IIT) - Madras</t>
  </si>
  <si>
    <t>Indian Inst Technol Madras, Madras, Tamil Nadu, India</t>
  </si>
  <si>
    <t>This paper examines the gendered local character of neoliberalism at the household level by focusing on microcredit/finance programs in India. Microfinance promoted by the state as an informal activity targeting women is intended to alleviate income inequalities, even as it contributes to maintaining the world capitalist system. In India the inception of microfinance-based Self Help Groups (SHGs) or peer groups of women savers and borrowers in the 1990s has coincided with a rightward turn towards neoliberal policies of structural adjustment, privatization and economic deregulation. In this paper, I show how Indian policy makers have endeavored to make women's economic entitlements contingent upon their disciplined financial behavior and their willing participation in neoliberal agendas of creating and deepening 'self-regulating' markets at village levels. Drawing on an ethnographic study conducted in a South Indian state, I show that the community level 'neoliberal disciplining' that microfinance entails does not proceed without resistance. Whilst SHGs seek to constitute women as fiscally disciplined savers and borrowers, women stake their 'rightful' entitlement to bank credit even as they reject outright the entrepreneurial subjectivities they are expected to assume. They pursue purposes and ends that extend well beyond 'financial inclusion.'</t>
  </si>
  <si>
    <t>CREDIT; GENDER</t>
  </si>
  <si>
    <t>Microfinance; Women; Neoliberal Governmentality; Capitalist Accumulation; India</t>
  </si>
  <si>
    <t>JOURNAL OF WORLD-SYSTEMS RESEARCH</t>
  </si>
  <si>
    <t>Economic Entitlements via Entrepreneurial Conduct? Women and Financial Inclusion in Neoliberal India</t>
  </si>
  <si>
    <t>Kalpana, K.</t>
  </si>
  <si>
    <t>Kalpana, K</t>
  </si>
  <si>
    <t>WOS:001100788700001</t>
  </si>
  <si>
    <t>ES7U8</t>
  </si>
  <si>
    <t>10.1108/IMEFM-07-2022-0299</t>
  </si>
  <si>
    <t>Funding: Lembaga Penelitian dan Pengabdian Masyarakat (LPPM), Universitas Airlangga. Penelitian Unggulan Fakultas (PUF) 2022.</t>
  </si>
  <si>
    <t>Funding: Lembaga Penelitian dan Pengabdian Masyarakat (LPPM), Universitas Airlangga. Penelitian Unggulan Fakultas (PUF) 2022.; Lembaga Penelitian dan Pengabdian Masyarakat (LPPM), Universitas Airlangga; Penelitian Unggulan Fakultas (PUF)</t>
  </si>
  <si>
    <t>Funding: Lembaga Penelitian dan Pengabdian Masyarakat (LPPM), Universitas Airlangga. Penelitian Unggulan Fakultas (PUF) 2022.; Lembaga Penelitian dan Pengabdian Masyarakat (LPPM), Universitas Airlangga [2022]; Penelitian Unggulan Fakultas (PUF)</t>
  </si>
  <si>
    <t>, Arka Prabaswara/0009-0005-1168-2013</t>
  </si>
  <si>
    <t>Herianingrum, Sri/AAD-1705-2021; Hapsari, Meri/IQS-1930-2023; HAMID, SITI/AAS-4227-2021; , Arka Prabaswara/MEQ-2932-2025</t>
  </si>
  <si>
    <t>meri.indri@feb.unair.ac.id</t>
  </si>
  <si>
    <t>Hapsari, MI (corresponding author), Univ Airlangga, Fac Econ &amp; Business, Dept Islamic Econ, Surabaya, Indonesia.</t>
  </si>
  <si>
    <t>Airlangga University; Universiti Kebangsaan Malaysia; Airlangga University</t>
  </si>
  <si>
    <t>[Hapsari, Meri Indri; Mahmud, Amin Hanif; Herianingrum, Sri; Fauzy, R. Moh Qudsi; Masfiyah, Lina Mawaddatul] Univ Airlangga, Fac Econ &amp; Business, Dept Islamic Econ, Surabaya, Indonesia; [Ab Hamid, Siti Ngayesah] Univ Kebangsaan Malaysia, Fak Ekonomi &amp; Pengurusan, Bangi, Malaysia; [Prabaswara, Arka] Univ Airlangga, Fac Econ &amp; Business, Dept Management, Surabaya, Indonesia</t>
  </si>
  <si>
    <t>PurposeThe purpose of this study is to analyse, firstly, whether education, financial inclusion, financial literacy and financial planning can be antecedents that affect Islamic welfare and, secondly, whether productivity can be a mediator to improve Islamic welfare.Design/methodology/approachThis study involved quantitative research using data obtained from a survey. The respondents were 538 Muslim families in East Java, Indonesia. Structural equation modelling was used for the analysis.FindingsThis study tested 13 hypotheses, of which 10 were accepted. The accepted hypotheses refer to the effects of financial literacy on productivity, financial inclusion on productivity, financial planning on productivity, financial planning on Islamic welfare, education on Islamic welfare, productivity on Islamic welfare, financial literacy and productivity on Islamic welfare, financial inclusion and productivity on Islamic welfare and financial planning and productivity on Islamic welfare, as well as the effects of financial inclusion on Islamic welfare. Meanwhile, three hypotheses were not accepted; they refer to the effects of financial literacy on Islamic welfare, the effect of education on productivity, as well as the impact of education and productivity on Islamic welfare.Research limitations/implicationsThe study was conducted only with respondents living in East Java, so the results depict the condition of Muslim families' welfare in East Java.Originality/valueResearch into the antecedents of Islamic welfare has received little academic attention, so this study explores how education, financial inclusion, financial literacy, financial planning and productivity could affect Islamic welfare among Muslim families.</t>
  </si>
  <si>
    <t>INCLUSION; LITERACY; GROWTH; DETERMINANTS</t>
  </si>
  <si>
    <t>SEM; Financial inclusion; Islamic welfare; Muslim families; Economic productivity</t>
  </si>
  <si>
    <t>Antecedents of Islamic welfare: productivity, education, and the financial aspect</t>
  </si>
  <si>
    <t>Hapsari, Meri Indri; Mahmud, Amin Hanif; Herianingrum, Sri; Fauzy, R. Moh Qudsi; Ab Hamid, Siti Ngayesah; Prabaswara, Arka; Masfiyah, Lina Mawaddatul</t>
  </si>
  <si>
    <t>Hapsari, MI; Mahmud, AH; Herianingrum, S; Fauzy, RMQ; Ab Hamid, SN; Prabaswara, A; Masfiyah, LM</t>
  </si>
  <si>
    <t>WOS:000588038600001</t>
  </si>
  <si>
    <t>RN6XF</t>
  </si>
  <si>
    <t>10.1111/ijcs.12628</t>
  </si>
  <si>
    <t>Xiao, Jing Jian/0000-0003-3252-5672; Kim, Kyoung Tae/0000-0002-0673-721X</t>
  </si>
  <si>
    <t>Xiao, JJ (corresponding author), Univ Rhode Isl, Dept Human Dev &amp; Family Studies, Transit Ctr, 2 Lower Coll Rd, Kingston, RI 02881 USA.</t>
  </si>
  <si>
    <t>University of Alabama System; University of Alabama Tuscaloosa; University of Rhode Island</t>
  </si>
  <si>
    <t>[Kim, Kyoung Tae] Univ Alabama, Dept Consumer Sci, Tuscaloosa, AL USA; [Xiao, Jing Jian] Univ Rhode Isl, Dept Human Dev &amp; Family Studies, Kingston, RI 02881 USA</t>
  </si>
  <si>
    <t>This study examined the racial/ethnic differences in financial capability controlling for various factors focusing on the role of financial education. Furthermore, we investigated the contributing factors to clarify where such gap stems. Regression results using data from the 2018 U.S. National Financial Capability Study indicated that Whites had a higher level of financial capability across all indicators than other racial/ethnic minority groups. Respondents who participated in the financial education had a higher level of financial capability than those without financial education. Multiple sources, hours and quality of financial education were positively associated with the level of financial capability. Decomposition analyses showed that age, income, negative income shock and banking status contributed to explain the gaps of financial capability between Black and White respondents as well as between Hispanic and White respondents. Financial education was a contributing factor only to explain the Black-White difference and it may narrow the gap. However, we found substantial unexplained gaps between Black and Hispanic respondents attributed by unobservable characteristics. Results of this study provide important insights into the racial/ethnic disparities in financial capability that have implications for consumer policymakers, educators and researchers.</t>
  </si>
  <si>
    <t>SHORT-TERM; LITERACY</t>
  </si>
  <si>
    <t>ethnicity; financial capability; financial education; National Financial Capability Study; race</t>
  </si>
  <si>
    <t>Racial/ethnic differences in consumer financial capability: The role of financial education</t>
  </si>
  <si>
    <t>Kim, Kyoung Tae; Xiao, Jing Jian</t>
  </si>
  <si>
    <t>Kim, KT; Xiao, JJ</t>
  </si>
  <si>
    <t>WOS:000892294900030</t>
  </si>
  <si>
    <t>6R4SM</t>
  </si>
  <si>
    <t>10.1371/journal.pone.0267055</t>
  </si>
  <si>
    <t>e0267055</t>
  </si>
  <si>
    <t>Jerry18963262025@163.com</t>
  </si>
  <si>
    <t>Li, K (corresponding author), Shandong Univ Finance &amp; Econ, Sch Int Trade &amp; Econ, Jinan, Peoples R China.</t>
  </si>
  <si>
    <t>Shandong University of Finance &amp; Economics; Zhejiang University</t>
  </si>
  <si>
    <t>[Li, Kun] Shandong Univ Finance &amp; Econ, Sch Int Trade &amp; Econ, Jinan, Peoples R China; [He Mengmeng; Huo, Junjun] Zhejiang Univ, Sch Econ, Hangzhou, Peoples R China</t>
  </si>
  <si>
    <t>Combined with the expected utility theory, this paper constructs a theoretical analysis framework including the development level, financial literacy, and intelligence level of Inclusive Finance, puts forward the hypothesis of the development of digital Inclusive Finance on household asset allocation, and uses the data of China's household finance survey to verify the theory proposed in this paper. The empirical results show that: (1) digital inclusive Finance can significantly improve the allocation proportion of household risk assets, promote the rational participation of households in the risk financial market, and improve the allocation efficiency of household resources. (2) Digital inclusive finance can significantly improve the income level of family financial investment and optimize family investment decision-making.</t>
  </si>
  <si>
    <t>TIME-PREFERENCES; LITERACY; INVESTMENT; CHOICE; WEALTH</t>
  </si>
  <si>
    <t>Digital inclusive finance and asset allocation of Chinese residents: Evidence from the China Household Finance Survey</t>
  </si>
  <si>
    <t>Li, Kun; He Mengmeng; Huo, Junjun</t>
  </si>
  <si>
    <t>Li, K; He, MM; Huo, JJ</t>
  </si>
  <si>
    <t>WOS:000887813500001</t>
  </si>
  <si>
    <t>6K9LI</t>
  </si>
  <si>
    <t>10.1891/JFCP-2021-0029</t>
  </si>
  <si>
    <t>Lux, Don/0000-0003-3916-7089</t>
  </si>
  <si>
    <t>Lux, Don/HGA-9940-2022</t>
  </si>
  <si>
    <t>donlux@creighton.edu; lkauzlarich@nwmissouri.edu</t>
  </si>
  <si>
    <t>Lux, D (corresponding author), Creighton Univ, Heider Coll Business, 2500 Calif Plaza, Omaha, NE 68178 USA.</t>
  </si>
  <si>
    <t>Creighton University</t>
  </si>
  <si>
    <t>[Lux, Don] Creighton Univ, Heider Coll Business, 2500 Calif Plaza, Omaha, NE 68178 USA; [Kauzlarich, Laura] Northwest Missouri State Univ, Colden Hall 2125, Maryville, MO 64468 USA</t>
  </si>
  <si>
    <t>The purpose of this article is to utilize decision tree (DT) analysis to examine the relationship between income level, financial satisfaction, financial confidence, financial knowledge, and several demographics with a goal of better understanding desirable financial behavior. The emphasis of this analysis is focused particularly upon better understanding the role of financial knowledge in desirable behavior outcomes. DT analysis is most useful when an analysis includes numerous variables and solving problems where the cumulative learning process is inherent. Our DT analysis of four FINRA National Financial Capability datasets (2009, 2012, 2015, and 2018) suggest that financial knowledge is a relevant variable only under specific circumstances and for respondents with relatively higher income levels. Key variables in the DT analysis included income level and financial satisfaction.</t>
  </si>
  <si>
    <t>EDUCATION; INCOME; KNOWLEDGE; LITERACY</t>
  </si>
  <si>
    <t>financial behavior; financial capability; financial education; financial literacy; financial satisfaction</t>
  </si>
  <si>
    <t>Exploring Determinants of Desirable Financial Behaviors Using Decision Tree Analysis Evidence From Four Waves of National Financial Capability Study</t>
  </si>
  <si>
    <t>Lux, Don; Kauzlarich, Laura</t>
  </si>
  <si>
    <t>Lux, D; Kauzlarich, L</t>
  </si>
  <si>
    <t>WOS:000435159700003</t>
  </si>
  <si>
    <t>GJ3DV</t>
  </si>
  <si>
    <t>10.1080/10438599.2017.1322234</t>
  </si>
  <si>
    <t>Econ. Innov. New Technol.</t>
  </si>
  <si>
    <t>ECON INNOV NEW TECH</t>
  </si>
  <si>
    <t>1476-8364</t>
  </si>
  <si>
    <t>1043-8599</t>
  </si>
  <si>
    <t>maelle.della-peruta@unice.fr</t>
  </si>
  <si>
    <t>Della Peruta, M (corresponding author), Univ Cote Azur, GREDEG, CNRS, 250 Rue Albert Einstein,Batiment 2, F-06560 Vabonne, France.</t>
  </si>
  <si>
    <t>Universite Cote d'Azur; Centre National de la Recherche Scientifique (CNRS)</t>
  </si>
  <si>
    <t>[Della Peruta, Maelle] Univ Cote Azur, GREDEG, CNRS, 250 Rue Albert Einstein,Batiment 2, F-06560 Vabonne, France</t>
  </si>
  <si>
    <t>This paper investigates the patterns of adoption of mobile money in emerging and developing countries. Mobile money is a mobile-based service, which provides access to low-cost financial services for people excluded from the banking system. It is designed to overcome the difficulties related to entering the banking system and the unavailability of banking infrastructure. Drawing on macroeconomic comparative and case study analysis conducted by practitioner experts, this study takes a wide macroeconomic approach to the adoption of mobile money adoption in 2011 and 2014, based on the alternative strategy of cluster analysis. We exploit the new technology diffusion frameworks to evaluate dissimilarity among groups of countries with similar levels of adoption of mobile money. We investigate whether adoption of mobile money services are highest in countries where access to formal banking services is lowest. Our analytical results support the predictions in the technology diffusion literature and nuance the potential of mobile money as a tool to counter banking exclusion.</t>
  </si>
  <si>
    <t>DIFFUSION; SERVICES; REMITTANCES; SYSTEMS; ACCESS</t>
  </si>
  <si>
    <t>Mobile money; financial inclusion; innovation adoption; similarity/dissimilarity</t>
  </si>
  <si>
    <t>ECONOMICS OF INNOVATION AND NEW TECHNOLOGY</t>
  </si>
  <si>
    <t>Adoption of mobile money and financial inclusion: a macroeconomic approach through cluster analysis</t>
  </si>
  <si>
    <t>Della Peruta, Maelle</t>
  </si>
  <si>
    <t>Della Peruta, M</t>
  </si>
  <si>
    <t>WOS:000758059200001</t>
  </si>
  <si>
    <t>2K8UM</t>
  </si>
  <si>
    <t>10.1080/00036846.2022.2035669</t>
  </si>
  <si>
    <t>Cho, Seungyeon/0000-0002-0719-7913</t>
  </si>
  <si>
    <t>Cho, Seungyeon/GQP-5234-2022</t>
  </si>
  <si>
    <t>sycho@krei.re.kr</t>
  </si>
  <si>
    <t>Cho, S (corresponding author), Korea Rural Econ Inst, Dept Agr &amp; Rural Dev Res, 601 Bitgaram Ro, Naju Si 58321, Jeollanam Do, South Korea.</t>
  </si>
  <si>
    <t>[Cho, Seungyeon] Korea Rural Econ Inst, Dept Agr &amp; Rural Dev Res, 601 Bitgaram Ro, Naju Si 58321, Jeollanam Do, South Korea</t>
  </si>
  <si>
    <t>This study uses restricted-version data from the 2018 state-by-state survey of the National Financial Capability Study to investigate the relationship between financial literacy and lottery consumption frequency. To control for the potential endogeneity of financial literacy, I employ the ordered probit model with an endogenous regressor by instrumenting the average education level of a zip-code area for financial literacy. The results indicate that an increase in financial literacy significantly reduces the lottery consumption of those who play with moderate frequency, while no marked curbing effects are found for heavy lottery players. This suggests that different policies are needed to reduce lottery consumption for those who engage with moderate frequency and those who engage with high frequency.</t>
  </si>
  <si>
    <t>Gambling; financial literacy; lottery; National Financial Capability Study</t>
  </si>
  <si>
    <t>Financial literacy and its relation to lottery gambling consumption</t>
  </si>
  <si>
    <t>Cho, Seungyeon</t>
  </si>
  <si>
    <t>Cho, S</t>
  </si>
  <si>
    <t>WOS:001165526300004</t>
  </si>
  <si>
    <t>IH8K9</t>
  </si>
  <si>
    <t>Tarkhanova, Elena,/G-5555-2018</t>
  </si>
  <si>
    <t>s.v.pelkova@utmn.ru; e.a.tarkhanova@utmn.ru; i.n.samopalnikova@utmn.ru; a.v.tarkhanova@mail.ru</t>
  </si>
  <si>
    <t>Vladimirovna, PS (corresponding author), Univ Tyumen, Econ Sci, Tyumen, Russia.;Vladimirovna, PS (corresponding author), Univ Tyumen, Dept Econ Secur Syst Anal &amp; Control, Tyumen, Russia.</t>
  </si>
  <si>
    <t>Tyumen State University; Tyumen State University; Tyumen State University; Tyumen State University</t>
  </si>
  <si>
    <t>[Vladimirovna, Pelkova Svetlana; Aleksandrovna, Tarkhanova Elena; Nikolaevna, Samopalnikova Yuliya] Univ Tyumen, Econ Sci, Tyumen, Russia; [Vladimirovna, Pelkova Svetlana; Nikolaevna, Samopalnikova Yuliya] Univ Tyumen, Dept Econ Secur Syst Anal &amp; Control, Tyumen, Russia; [Aleksandrovna, Tarkhanova Elena] Univ Tyumen, Dept Econ &amp; Finance, Tyumen, Russia; [Vladimirovna, Tarkhanova Aleksandra] Univ Tyumen, Inst State &amp; Law, Tyumen, Russia</t>
  </si>
  <si>
    <t>Purpose - The study aims to reveal a relation between financial technology and Financial Literacy to Financial Inclusion of individual investors in Delhi, India. Design/methodology/approach -This descriptive study was grounded on primary information gathered using a well-designed questionnaire, which was circulated through the Internet. There were five-point scales for all variables whether dependent or independent in nature. The baseline data for the current study were collected by means of purposive technique of sampling from a sample of 684 participants. The GIF which is goodness of fit was verified by AMOS-analysis of moments structures using SEM-structural equation modeling approach. Findings -The results revealed that the Financial Literacy and financial technology had a considerable connection with the Financial Inclusion of an individual investors. Practical implications- On the basis of findings of this study Government departments may make rigorous efforts in promoting Financial Literacy amongst population by holding seminars, workshops, discussion sessions etc. In a changing financial climate, the current effort delivers evolving decent practices for policymakers, controllers, and depositors. Originality/value - The results of the study clearly indicated a robust connection amongst Financial Literacy and Financial Inclusion. According to the findings of the study it is utmost essential on the part of policy makers to come up with economic reforms or other practises which can empower common person to participate in the financial or capital markets with more knowledge, for ensuring robust financial growth.</t>
  </si>
  <si>
    <t>Financial Literacy; individual investors; Financial Inclusion; financial products; financial technology</t>
  </si>
  <si>
    <t>Antecedent Effect of Financial Literacy and Financial Technology on Financial Inclusion</t>
  </si>
  <si>
    <t>Vladimirovna, Pelkova Svetlana; Aleksandrovna, Tarkhanova Elena; Nikolaevna, Samopalnikova Yuliya; Vladimirovna, Tarkhanova Aleksandra</t>
  </si>
  <si>
    <t>Vladimirovna, PS; Aleksandrovna, TE; Nikolaevna, SY; Vladimirovna, TA</t>
  </si>
  <si>
    <t>WOS:000446767700200</t>
  </si>
  <si>
    <t>10.3390/su10082784</t>
  </si>
  <si>
    <t>Van Hove, Leo/0000-0001-7546-7746</t>
  </si>
  <si>
    <t>Van Hove, Leo/Q-2129-2018</t>
  </si>
  <si>
    <t>Leo.Van.Hove@vub.be</t>
  </si>
  <si>
    <t>Van Hove, L (corresponding author), Vrije Univ Brussel, Dept Appl Econ APEC, Pl Laan 2, B-1050 Brussels, Belgium.</t>
  </si>
  <si>
    <t>Vrije Universiteit Brussel</t>
  </si>
  <si>
    <t>[Van Hove, Leo] Vrije Univ Brussel, Dept Appl Econ APEC, Pl Laan 2, B-1050 Brussels, Belgium</t>
  </si>
  <si>
    <t>Using primary, individual-level survey data for Ghana, Apiors and Suzuki find, among other things, that mobile money use is not dependent on financial status and that mobile money users save more. This note argues that both conclusions have validity issues.</t>
  </si>
  <si>
    <t>mobile money; financial inclusion; saving; Ghana</t>
  </si>
  <si>
    <t>Comment on Apiors, EK; Suzuki, A. Mobile Money, Individuals' Payments, Remittances, and Investments: Evidence from the Ashanti Region, Ghana. Sustainability 2018, 10, 1409</t>
  </si>
  <si>
    <t>Van Hove, Leo</t>
  </si>
  <si>
    <t>Van Hove, L</t>
  </si>
  <si>
    <t>WOS:000921194700001</t>
  </si>
  <si>
    <t>YI6J0</t>
  </si>
  <si>
    <t>10.1108/EJIM-09-2022-0538</t>
  </si>
  <si>
    <t>JUL 17</t>
  </si>
  <si>
    <t>Jegerson, Devid/0000-0002-4889-6374; Khan, Mehmood/0000-0003-1339-0928;</t>
  </si>
  <si>
    <t>Jegerson, Devid/HNP-5600-2023; Mertzanis, Charilaos/OJV-5282-2025</t>
  </si>
  <si>
    <t>djegerson@gmail.com; mehmood.khan@sharjah.ac.ae; charilaos.mertzanis@adu.ac.ae</t>
  </si>
  <si>
    <t>Abu Dhabi University; University of Sharjah; Abu Dhabi University</t>
  </si>
  <si>
    <t>[Jegerson, Devid] Abu Dhabi Univ, Coll Business, Abu Dhabi, U Arab Emirates; [Khan, Mehmood] Univ Sharjah, Management, Sharjah, U Arab Emirates; [Mertzanis, Charilaos] Abu Dhabi Univ, Finance, Abu Dhabi, U Arab Emirates</t>
  </si>
  <si>
    <t>PurposeThis study investigated the internal factors that influence the adoption of cryptocurrencies for remittance transactions in the United Arab Emirates (UAE) by examining the relationships between behavioural intention (BI) and perceived risk (PR), as well as the mediating effect of consumer innovation (CI).Design/methodology/approachThe authors developed a structural model using scales from the literature. The authors distributed an online questionnaire, evaluated by five cryptocurrency experts, using a snowball approach and collected 270 responses.FindingsThe results revealed that CI mediates the relationship between PR and BI. Also, CI enhances intentions to use cryptocurrencies for remittance transactions. However, PR has a negative impact on BI.Research limitations/implicationsThis research adds to the body of knowledge by examining the acceptance and implementation of cryptocurrencies in the UAE and by developing and evaluating new constructs based on current notions. The study also contributes to the current understanding of cryptocurrencies and blockchain adoption. This article focusses on the mediating impact of CI on intentions to employ cryptocurrency instruments for international money transfers.Practical implicationsThe conclusions of the research give advice for marketers on how to boost the commercialisation of cryptocurrencies in the UAE remittance market and may pave the way for other studies to assist impending developments in the UAE cryptocurrency industry.Originality/valueThis research offers novel insights into CI as a significant predictor of bitcoin product uptake in the remittance business.</t>
  </si>
  <si>
    <t>PERCEIVED-RISK; INFORMATION-TECHNOLOGY; MOBILE PAYMENT; FINANCIAL INCLUSION; PERSONAL INNOVATIVENESS; TRANSACTION COSTS; EXTENDING UTAUT2; INTENTION; ACCEPTANCE; SERVICE</t>
  </si>
  <si>
    <t>Cryptocurrencies; Blockchain; Remittances; Innovation; Financial inclusion</t>
  </si>
  <si>
    <t>Adoption of cryptocurrencies for remittances in the UAE: the mediation effect of consumer innovation</t>
  </si>
  <si>
    <t>Jegerson, Devid; Khan, Mehmood; Mertzanis, Charilaos</t>
  </si>
  <si>
    <t>Jegerson, D; Khan, M; Mertzanis, C</t>
  </si>
  <si>
    <t>WOS:000831984400001</t>
  </si>
  <si>
    <t>3H4CI</t>
  </si>
  <si>
    <t>10.3390/educsci12070463</t>
  </si>
  <si>
    <t>Educ. Sci.</t>
  </si>
  <si>
    <t>EDUC SCI</t>
  </si>
  <si>
    <t>2227-7102</t>
  </si>
  <si>
    <t>This research was funded by Finnish Strategic Research Council, grant numbers 327242 and 327241.</t>
  </si>
  <si>
    <t>Finnish Strategic Research Council</t>
  </si>
  <si>
    <t>Finnish Strategic Research Council [327242, 327241]</t>
  </si>
  <si>
    <t>Kruskopf, Milla/0000-0003-1036-0117; Kortesalmi, Marilla/0000-0003-3512-9245; Lonka, Kirsti/0000-0001-5487-3964; Ranta, Mette/0000-0002-7094-3931</t>
  </si>
  <si>
    <t>; Ranta, Mette/AAR-6633-2020</t>
  </si>
  <si>
    <t>mette.ranta@helsinki.fi; milla.kruskopf@helsinki.fi; marilla.kortesalmi@laurea.fi; panu.kalmi@uwasa.fi; kirsti.lonka@helsinki.fi</t>
  </si>
  <si>
    <t>Ranta, M (corresponding author), Univ Helsinki, Fac Educ Sci, Helsinki 00100, Finland.</t>
  </si>
  <si>
    <t>University of Helsinki; Laurea University of Applied Sciences; University of Vaasa</t>
  </si>
  <si>
    <t>[Ranta, Mette; Kruskopf, Milla; Kortesalmi, Marilla; Lonka, Kirsti] Univ Helsinki, Fac Educ Sci, Helsinki 00100, Finland; [Kortesalmi, Marilla] Laurea Univ Appl Sci, Business Adm, Vantaa 01300, Finland; [Kalmi, Panu] Univ Vaasa, Sch Accounting &amp; Finance, Econ, Vaasa 65200, Finland</t>
  </si>
  <si>
    <t>The aim of this study was to examine entrepreneurship in the context of future Finnish teachers' readiness to teach 21st century (broad-based) competencies. Teachers' self-efficacy in teaching entrepreneurial skills and financial matters is vital for their pupils to actively participate and flourish in future society. The study utilized survey data of future teachers' expectancy-values in teaching seven broad-based competencies of the current national curriculum and their financial literacy. Future teachers expressed high interest in all competencies but reported the least self-efficacy and highest cost in teaching ICT as well as working life and entrepreneurship competencies. Teaching self-efficacy (TSE) in entrepreneurial competencies was predicted by subjective evaluations of financial capability and TSE in consumer skills. Teaching STEM subjects as well as male gender were related to better objective financial knowledge. We discuss the implications of observed financial capability, lack in self-efficacy, and high experienced cost of teaching these competencies. Support for future teachers' readiness to teach working life skills, entrepreneurship, and financial literacy through phenomenon-based school subject collaboration, formal teacher training, and digital applications are emphasized.</t>
  </si>
  <si>
    <t>SELF-EFFICACY; EDUCATION; TRANSITION; KNOWLEDGE; GENDER</t>
  </si>
  <si>
    <t>teacher training; entrepreneurial skills; financial education; self-efficacy; 21st century competencies; Finland</t>
  </si>
  <si>
    <t>EDUCATION SCIENCES</t>
  </si>
  <si>
    <t>Entrepreneurship as a Neglected Pitfall in Future Finnish Teachers' Readiness to Teach 21st Century Competencies and Financial Literacy: Expectancies, Values, and Capability</t>
  </si>
  <si>
    <t>Ranta, Mette; Kruskopf, Milla; Kortesalmi, Marilla; Kalmi, Panu; Lonka, Kirsti</t>
  </si>
  <si>
    <t>Ranta, M; Kruskopf, M; Kortesalmi, M; Kalmi, P; Lonka, K</t>
  </si>
  <si>
    <t>WOS:000564357700001</t>
  </si>
  <si>
    <t>10.1002/ijfe.2230</t>
  </si>
  <si>
    <t>the Basic Scientific Research Operating Expenses of Central Universities, Grant/Award Number: 106112017CDJXY020002; the Fundamental Research Funds for the Central Universities, Grant/Award Number: Project NO.2018CDYJSY0055; the National Fund of Social Science, Grant/Award Number: 18AGL009; the National Natural Science Foundation of China, Grant/Award Number: 71772019</t>
  </si>
  <si>
    <t>Basic Scientific Research Operating Expenses of Central Universities; Fundamental Research Funds for the Central Universities(Fundamental Research Funds for the Central UniversitiesPrince of Songkla UniversityInstituto Politecnico Nacional - Mexico); National Fund of Social Science; National Natural Science Foundation of China(National Natural Science Foundation of China (NSFC))</t>
  </si>
  <si>
    <t>Basic Scientific Research Operating Expenses of Central Universities [106112017CDJXY020002]; Fundamental Research Funds for the Central Universities [2018CDYJSY0055]; National Fund of Social Science [18AGL009]; National Natural Science Foundation of China [71772019]</t>
  </si>
  <si>
    <t>Zhang, Jing/0000-0002-6431-9286;</t>
  </si>
  <si>
    <t>; Cao, Guohua/C-2278-2009</t>
  </si>
  <si>
    <t>20160202019@cqu.edu.cn</t>
  </si>
  <si>
    <t>Zhang, J (corresponding author), Chongqing Univ, Sch Econ &amp; Business Adm, Chongqing 400030, Peoples R China.</t>
  </si>
  <si>
    <t>Chongqing University</t>
  </si>
  <si>
    <t>[Cao, Guo-Hua; Zhang, Jing] Chongqing Univ, Sch Econ &amp; Business Adm, Chongqing 400030, Peoples R China</t>
  </si>
  <si>
    <t>From a regional entrepreneurial ecosystem perspective, we theoretically interpret and empirically testify the mutual promotions between inclusive finance, entrepreneurship, and development. To do so, a two-period overlapping generation model is introduced to interpret the mechanism, and then a panel vector auto-regression model based on 31 provinces (and municipalities) in China from 2005 to 2016 is constructed. We find that: (a) Due to the development-promoting ability, self-reinforcing ability and multiplying effect, it is possible and worthy to construct a sustainable developing system. (b) However, an insufficient human capital endowment might be a critical obstacle, which is revealed as a precondition of this sustainable system. (c) Moreover, it is necessary to promote sustainable development of financial inclusion and entrepreneurship, due to the lack of directly promoting effect from economic development. (d) Thus, governmental complement is indispensable because of polarization led by the endowed wealth gap, and continuous promotion is appealed due to the transforming lag of mutual promoting feedback.</t>
  </si>
  <si>
    <t>ECONOMIC-GROWTH; MICROFINANCE EVIDENCE; CONSTRAINTS; EXCLUSION; EDUCATION; LITERACY; SERVICES; IMPACTS; ENTRY</t>
  </si>
  <si>
    <t>entrepreneurial ecosystem; entrepreneurship; inclusive finance; panel vector auto-regression model; regional development; sustainable development; two-period overlapping generation model</t>
  </si>
  <si>
    <t>The entrepreneurial ecosystem of inclusive finance and entrepreneurship: A theoretical and empirical test in China</t>
  </si>
  <si>
    <t>Cao, Guo-Hua; Zhang, Jing</t>
  </si>
  <si>
    <t>Cao, GH; Zhang, J</t>
  </si>
  <si>
    <t>WOS:000379675600010</t>
  </si>
  <si>
    <t>DR1OU</t>
  </si>
  <si>
    <t>10.1111/ecaf.12177</t>
  </si>
  <si>
    <t>laura.llewellynjones@yahoo.co.uk</t>
  </si>
  <si>
    <t>Mobile Money: Part of the African Financial Inclusion Solution?</t>
  </si>
  <si>
    <t>Llewellyn-Jones, Laura</t>
  </si>
  <si>
    <t>Llewellyn-Jones, L</t>
  </si>
  <si>
    <t>WOS:000780235900035</t>
  </si>
  <si>
    <t>0J6TM</t>
  </si>
  <si>
    <t>10.13106/jafeb.2022.vol9.no4.0367</t>
  </si>
  <si>
    <t>Nguyen, Phuoc/AIC-7934-2022</t>
  </si>
  <si>
    <t>phuoc.nv@vlu.edu.vn; nguyen.anh@vlu.edu.vn</t>
  </si>
  <si>
    <t>Nguyen, PV (corresponding author), Van Lang Univ, Fac Commerce, 69-68 Dang Thuy Tram St, Ho Chi Minh City, Vietnam.</t>
  </si>
  <si>
    <t>Van Lang University</t>
  </si>
  <si>
    <t>[Phuoc Van Nguyen; Anh Dy Nguyen] Van Lang Univ, Fac Commerce, 69-68 Dang Thuy Tram St, Ho Chi Minh City, Vietnam</t>
  </si>
  <si>
    <t>Using an extended unified theory of acceptance and use of technology, the goal of this paper is to investigate the antecedents of behavioral intention towards mobile money, as well as the mediating effect of trust between behavioral intention and financial inclusion in Vietnam during the COVID-19 period (UTAUT2). The data for this study was obtained via an online self-administered questionnaire, which was then analyzed using the SmartPLS 3.3.3 program. For the purpose of determining the relevance and performance of the exogenous constructs, an importance-performance matrix analysis was performed. The findings of this study suggest that knowledge, structural assurance, habit, and performance expectancy are the most important factors influencing users' behavioral intention to use mobile money. In the case of mobile money adoption, the behavioral intention has a significant influence, and trust does not mediate between behavioral intention and financial inclusion. For the first time in Vietnam, the extended UTAUT2 is being used to investigate mobile money usage and adoption patterns. The current study, however, focuses on users' financial inclusion goals rather than their intended behavior.</t>
  </si>
  <si>
    <t>MEASURING FINANCIAL INCLUSION; UNIFIED THEORY; SERVICES ADOPTION; PERCEIVED RISK; INITIAL TRUST; PLS-SEM; ACCEPTANCE; TECHNOLOGY; PAYMENT; INTENTION</t>
  </si>
  <si>
    <t>Mobile Money; Fintech; Extending UTAUT2; SmartPLS</t>
  </si>
  <si>
    <t>Extending UTAUT2 to Mobile Money Adoption and Consumer Behavior: An Empirical Study in Vietnam</t>
  </si>
  <si>
    <t>Phuoc Van Nguyen; Anh Dy Nguyen</t>
  </si>
  <si>
    <t>Nguyen, PV; Nguyen, AD</t>
  </si>
  <si>
    <t>WOS:001098663000001</t>
  </si>
  <si>
    <t>TX6I5</t>
  </si>
  <si>
    <t>10.1108/QRFM-04-2022-0072</t>
  </si>
  <si>
    <t>KANDPAL, VINAY/0000-0003-1823-4684</t>
  </si>
  <si>
    <t>KANDPAL, VINAY/D-1642-2015</t>
  </si>
  <si>
    <t>vinayaimca@gmail.com</t>
  </si>
  <si>
    <t>Kandpal, V (corresponding author), UPES, Sch Business, Dehra Dun, India.</t>
  </si>
  <si>
    <t>University of Petroleum &amp; Energy Studies (UPES)</t>
  </si>
  <si>
    <t>[Kandpal, Vinay] UPES, Sch Business, Dehra Dun, India</t>
  </si>
  <si>
    <t>PurposeThis qualitative study aims to examine bankers' perspectives regarding financial inclusion, the challenges it faces and the scope for improvement. This research proposes a financial inclusion model, considering the inputs received by bankers. Financial exclusion of different sections is an issue common to emerging countries.Design/methodology/approachData for qualitative research were collected through interviews with bank officials. The information was gathered from 32 bankers from India's several zones (North, South, West and East). The data were collected from bankers from different public and private sector banks. Thematic analysis was performed up to the point of saturation to study the response received from bankers.FindingsBank-related issues such as frequent computer problems, network connectivity problems, costs, a shortage of bank branches, fewer transactions through automated teller machines and a shortage of banking staff affect customers' confidence in formal banking. Banking services are disrupted by a lack of trust in banking correspondents (BCs), as they are not regular employees of banks. Limits on daily transactions discourage high-value customers from using BCs and kiosks. The time spent on administrative formalities impacts customers. Financial inclusion is affected by availability, accessibility, usage and affordability. Digital financial literacy is essential for ease of transaction, but awareness about financial products helps protect customers from cyber scams. The findings of this research would benefit financial institutions globally in developing their businesses and helping to achieve financial inclusion and the United Nation's sustainable development goals (SDGs).Originality/valueThis research paper undertakes a qualitative analysis of the views collected from bankers. Bankers are crucial stakeholders in the successful implementation of the National Financial Inclusion Policy of the Government of India. Bankers' perspectives will be important not only for India and its researchers but also in the global context, as the UN's SDGs focus on leaving no one behind.</t>
  </si>
  <si>
    <t>Financial inclusion; Banking; Qualitative analysis; Financial literacy; Financial technology</t>
  </si>
  <si>
    <t>Dimensions of financial inclusion in India: a qualitative analysis of bankers perspective</t>
  </si>
  <si>
    <t>Kandpal, Vinay</t>
  </si>
  <si>
    <t>Kandpal, V</t>
  </si>
  <si>
    <t>WOS:001355008500001</t>
  </si>
  <si>
    <t>M1D1V</t>
  </si>
  <si>
    <t>10.1080/10875549.2024.2426817</t>
  </si>
  <si>
    <t>2024 NOV 15</t>
  </si>
  <si>
    <t>Ermawati, Tuti/0000-0001-7517-2905</t>
  </si>
  <si>
    <t>Ermawati, Tuti/NBX-5546-2025</t>
  </si>
  <si>
    <t>tuti005@brin.go.id</t>
  </si>
  <si>
    <t>Ermawati, T (corresponding author), Univ Indonesia, Fac Social &amp; Polit Sci, Dept Social Welf, Depok, Indonesia.</t>
  </si>
  <si>
    <t>University of Indonesia; National Research &amp; Innovation Agency of Indonesia (BRIN)</t>
  </si>
  <si>
    <t>[Ermawati, Tuti; Adi, Isbandi Rukminto] Univ Indonesia, Fac Social &amp; Polit Sci, Dept Social Welf, Depok, Indonesia; [Ermawati, Tuti; Nugroho, Agus Eko] Natl Res &amp; Innovat Agcy BRIN, Res Ctr Macroecon &amp; Finance, Jakarta, Indonesia</t>
  </si>
  <si>
    <t>Over the years, microfinance programs have been the major strategy of many developing countries to improve people's welfare and reduce poverty. Yet several studies on the welfare impacts of microfinance result in contradictory conclusions. While some studies support the mainstream view that microfinance improves the welfare of the unbankable poor, others criticize its limited effect on business development and weak impact measurement methods. This study analyzes 409 articles to bridge the empirical gaps between mainstream and critical views of microfinance impacts on society through synthesizing major themes in existing research and their interconnections and provides recommendations for future research. Using bibliometric and systematic literature review (SLR) approaches, this study found five clusters of empirical research on microfinance impacts, including entrepreneurship and poverty alleviation; self-help groups and women empowerment; financial inclusion; household income; and community welfare. The study also suggests that microfinance programs have positive impacts on welfare across countries. However, future research needs to more deeply focus on the impact of microfinance programs on agricultural finance, specifically financial efficiency, and social efficiency.</t>
  </si>
  <si>
    <t>WELL-BEING EVIDENCE; POVERTY REDUCTION; MICROCREDIT; INDEX; WOMEN; ENTREPRENEURS; EMPOWERMENT; COCITATION; SCOPUS; POOR</t>
  </si>
  <si>
    <t>Bibliometric; impact of microfinance; poverty alleviation; systematic literature review (SLR); welfare economy</t>
  </si>
  <si>
    <t>The Impact of Microfinance on Community Welfare: A Bibliometric Analysis and Systematic Literature Review (SLR)</t>
  </si>
  <si>
    <t>Ermawati, Tuti; Adi, Isbandi Rukminto; Nugroho, Agus Eko</t>
  </si>
  <si>
    <t>Ermawati, T; Adi, IR; Nugroho, AE</t>
  </si>
  <si>
    <t>WOS:000565866400012</t>
  </si>
  <si>
    <t>NJ2HM</t>
  </si>
  <si>
    <t>Naim, I (corresponding author), Univ Balochistan, Inst Management Sci, Quetta, Pakistan.</t>
  </si>
  <si>
    <t>University of Balochistan; University of Balochistan</t>
  </si>
  <si>
    <t>[Naim, Isbah] Univ Balochistan, Inst Management Sci, Quetta, Pakistan; [Fatima, Kaneez; Ahmed, Jamil; Khan, Abdul Naeem] Univ Balochistan, IMS, Quetta, Balochistan, Pakistan</t>
  </si>
  <si>
    <t>Financial liberalization is considered as an important pre-requist for economic growth and development of an economy. Theories suggest that it is one basic requirement for an efficient allocation of capital. This is achieved when liberalizing allow markets to function freely and set a suitable market adjusted interest rate which then stimulate saved funds, cash holdings and less productive self-investments to freely position themselves hence facilitating financial intermediation inclusively. This study aims to investigate the impact of Financial Liberalization on the credit allocation to the private and public sectors in Pakistan. The index of financial inclusion index is computed using Principal component analysis. Financial inclusion, trade openness, inflation rate, interest rate and exchange rate are used as control variables. All these variables are integrated at order one I(1).Therefore, the Vector Error Correction (VECM) approach is used to estimate the impact of financial liberalization on allocation of credit to private and public sector for the period of 1990 to 2014. It is found that financial liberalization has a negative and statistically significant impact on the private sector credit. However, positive and significant relationship exists between financial liberalization and public sector credit of Pakistan.</t>
  </si>
  <si>
    <t>INCLUSION; INVESTMENT; IMPROVE; ENTRY; BANKS</t>
  </si>
  <si>
    <t>Does Financial Liberalization effect Credit allocation to Private and Public Sector in Pakistan?</t>
  </si>
  <si>
    <t>Naim, Isbah; Fatima, Kaneez; Ahmed, Jamil; Khan, Abdul Naeem</t>
  </si>
  <si>
    <t>Naim, I; Fatima, K; Ahmed, J; Khan, AN</t>
  </si>
  <si>
    <t>WOS:000782805800008</t>
  </si>
  <si>
    <t>0N4JL</t>
  </si>
  <si>
    <t>10.15240/tul/001/2022-1-009</t>
  </si>
  <si>
    <t>Authors are thankful to Professor Humberto Nuno Rito Ribeiro and the anonymous reviewers for their constructive comments in improving the paper. This work is supported by Tomas Bata University in Zlin, Faculty of Management and Economics, Project No. IGA/FaME/2021/005. Significant factors in the sustainability of economic growth with a focus on the SME segment.</t>
  </si>
  <si>
    <t>Tomas Bata University in Zlin, Faculty of Management and Economics</t>
  </si>
  <si>
    <t>Tomas Bata University in Zlin, Faculty of Management and Economics [IGA/FaME/2021/005]</t>
  </si>
  <si>
    <t>Ajaz Khan, Khurram/0000-0001-5728-8955;</t>
  </si>
  <si>
    <t>Ajaz Khan, Khurram/AAV-5814-2020; Çera, Gentjan/IYS-3092-2023</t>
  </si>
  <si>
    <t>khan@utb.cz; cera@utb.cz; raquel.alves@ipleiria.pt</t>
  </si>
  <si>
    <t>Khan, KA (corresponding author), Tomas Bata Univ Zlin, Fac Management &amp; Econ, Zlin, Czech Republic.</t>
  </si>
  <si>
    <t>Tomas Bata University Zlin; Polytechnic Institute of Leiria</t>
  </si>
  <si>
    <t>[Khan, Khurram Ajaz; Cera, Gentjan] Tomas Bata Univ Zlin, Fac Management &amp; Econ, Zlin, Czech Republic; [Pinto Alves, Sandra Raquel] Inst Politecn Leiria, Leiria, Portugal</t>
  </si>
  <si>
    <t>There is no substantial evidence that exists in the literature to establish the link between financial advice and financial capability fully establishes, even though 'getting help' is identified as an important aspect of financial capability. This study sets out to fulfil a couple of objectives. Its primary goal is to investigate the effects that a combination of financial literacy elements (financial attitude, financial knowledge, and financial behaviour), financial advice as well as financial satisfaction have on individuals' financial capability, and secondly, to test and prescribe the improved scale of financial capability measurement. This research has been administered in Spain at an individual level. Hierarchical regression method along with Z-test were used. Regressions' outcomes reveal that financial constructs positively impact the individuals' financial capability. From the viewpoint of policymakers, it is vital to fully comprehend the significant factors influencing financial capability to plan better strategies to empower the citizens with adequate skills, abilities, and behaviour so to succeed in dealing with financial matters in daily basis. The originality and value added to the present study is two-fold. Firstly, it comprehensively examines the wide-ranging financial indicators seen as critical in determining financial capability, which remain yet not quite covered in other studies. Second. both indicators used to measure the financial capability revealed no substantial differences, therefore an improved composite scale is prescribed as useful in measuring financial capability in future research.</t>
  </si>
  <si>
    <t>MONEY ATTITUDES; BEHAVIOR; INCOME; EDUCATION; MODEL; HOUSEHOLDS; KNOWLEDGE; SEEKING</t>
  </si>
  <si>
    <t>Financial capability; financial literacy; financial advice; financial satisfaction; Spain</t>
  </si>
  <si>
    <t>FINANCIAL CAPABILITY AS A FUNCTION OF FINANCIAL LITERACY, FINANCIAL ADVICE, AND FINANCIAL SATISFACTION</t>
  </si>
  <si>
    <t>Khan, Khurram Ajaz; Cera, Gentjan; Pinto Alves, Sandra Raquel</t>
  </si>
  <si>
    <t>Khan, KA; Cera, G; Alves, SRP</t>
  </si>
  <si>
    <t>WOS:000621361500002</t>
  </si>
  <si>
    <t>QL8WO</t>
  </si>
  <si>
    <t>10.1016/j.socscimed.2020.113633</t>
  </si>
  <si>
    <t>This project (Fair credit, health and well-being: eliciting the perspectives of low-income individuals') has received funding from the Chief Scientist Office (Scotland) project reference number CZH/4/1095. The authors are thankful to the research participants for taking part in completing the research.</t>
  </si>
  <si>
    <t>Chief Scientist Office (Scotland)(Chief Scientist Office - Scotland); Chief Scientist Office(Chief Scientist Office - Scotland)</t>
  </si>
  <si>
    <t>Chief Scientist Office (Scotland) [CZH/4/1095]; Chief Scientist Office [CZH/4/1095] Funding Source: researchfish</t>
  </si>
  <si>
    <t>Donaldson, Cam/0000-0003-4670-5340; McHugh, Neil/0000-0002-2567-1527; Ibrahim, Fatma/0000-0002-4781-5544; Biosca, Olga/0000-0003-0422-0003; Baker, Rachel/0000-0002-3451-2018</t>
  </si>
  <si>
    <t>; McHugh, Neil/JEO-5752-2023; Baker, Rachel/B-8469-2013</t>
  </si>
  <si>
    <t>Fatma.ibrahim@gcu.ac.uk</t>
  </si>
  <si>
    <t>Ibrahim, F (corresponding author), Glasgow Caledonian Univ, Yunus Ctr Social Business &amp; Hlth, Glasgow, Lanark, Scotland.</t>
  </si>
  <si>
    <t>Glasgow Caledonian University; Glasgow Caledonian University</t>
  </si>
  <si>
    <t>[Ibrahim, Fatma; McHugh, Neil; Biosca, Olga; Baker, Rachel; Donaldson, Cam] Glasgow Caledonian Univ, Yunus Ctr Social Business &amp; Hlth, Glasgow, Lanark, Scotland; [Laxton, Tim] Glasgow Caledonian Univ, Sch Hlth &amp; Life Sci, Glasgow, Lanark, Scotland</t>
  </si>
  <si>
    <t>The widening health gap between the best and worst-off in the UK requires innovative solutions that act upon the social, economic and environmental causes of ill-health. Initiatives such as microcredit have been conceptualised as having the potential to act on the social determinants of health. However, pathways that lead to this impact have yet to be empirically explored. People living on low incomes, who are financially-excluded, require access to credit to cope with everyday financial needs. While research shows the connections between debt and health, this link is often focused on over-indebtedness and negative health outcomes. In this paper, we investigate the impact of responsibly-delivered credit on the health and wellbeing of borrowers. In 2016-17, in-depth, semi-structured interviews were undertaken with fourteen borrowers from two microcredit providers offering personal and business microloans, operating in Glasgow, United Kingdom. Findings are presented, using social determinants of health as an analytic lens, and illustrated in a conceptual model explaining the loan mechanisms and pathways connecting microcredit to health and wellbeing. Microcredit, and the mechanisms through which it is delivered, were perceived by participants as positively impacting on their health and wellbeing. Access to flexible, responsibly-delivered, microloans enabled participants to plan and feel secure when faced with (un) expected financial events, reducing the associated stress, sustaining social relationships and empowering borrowers to take greater control over their lives. For some, receiving microcredit was stressful, as it is still a debt that needs to be repaid. Such stress can also be exacerbated by particular aspects of the lending model; for example, group lending. Our results contribute to growing evidence on the impact of financial inclusion approaches on health and wellbeing, highlighting the potential role of microcredit as a public health initiative and the need to support 'alternative' economic spaces in the UK to serve the financially-excluded.</t>
  </si>
  <si>
    <t>Microcredit; Financial inclusion; Health and wellbeing; Conceptual models; Qualitative research; United Kingdom</t>
  </si>
  <si>
    <t>Microcredit as a public health initiative? Exploring mechanisms and pathways to health and wellbeing</t>
  </si>
  <si>
    <t>Ibrahim, Fatma; McHugh, Neil; Biosca, Olga; Baker, Rachel; Laxton, Tim; Donaldson, Cam</t>
  </si>
  <si>
    <t>Ibrahim, F; McHugh, N; Biosca, O; Baker, R; Laxton, T; Donaldson, C</t>
  </si>
  <si>
    <t>WOS:001144058000001</t>
  </si>
  <si>
    <t>6WO2T</t>
  </si>
  <si>
    <t>10.1080/10875549.2023.2301690</t>
  </si>
  <si>
    <t>Zhang, Yingying/AGF-9934-2022</t>
  </si>
  <si>
    <t>yingying.zhang@slu.edu</t>
  </si>
  <si>
    <t>Zhang, YY (corresponding author), St Louis Univ, Sch Social Work, 3550 Lindell BLVD, St Louis, MO 63103 USA.</t>
  </si>
  <si>
    <t>[Zhang, Yingying; Tadesse, Aweke; Huang, Jin] St Louis Univ, Sch Social Work, 3550 Lindell BLVD, St Louis, MO 63103 USA</t>
  </si>
  <si>
    <t>Financial inclusion has emerged as a new strategy to enhance family financial well-being and alleviate poverty in China and substantial financial resources have been devoted into revitalizing rural economic and social development to alleviate poverty. While research on financial usage, financial literacy, and financial well-being has received substantial attention in the consumer and financial industry, there is a significant research gap in the fields of social work and poverty alleviation. The study examined the relationship between financial usage, financial literacy and financial well-being in China utilizing the 2019 China Household Finance Survey data. The findings reveal a positive correlation between financial usage and enhanced financial well-being. Moreover, the study recognized that financial literacy mediates and moderates the relationship between financial usage and financial well-being. These findings indicated the significant role of financial literacy in increasing household per capita income and achieving balance between income and expenditures. However, low-income households not only possess less financial usage, but have lower levels of financial literacy as well compared to non-low-income households. Recognizing this reality, interventions aimed at improving the financial literacy of low-income households become particularly important. These interventions may significantly improve financial inclusion effectiveness in poverty alleviation.</t>
  </si>
  <si>
    <t>LITERACY; KNOWLEDGE</t>
  </si>
  <si>
    <t>Financial behavior; financial inclusion; financial literacy; financial usage; financial well-being; poverty alleviation</t>
  </si>
  <si>
    <t>How to Improve the Efficiency of Financial Inclusion for Poverty Alleviation in China? An Empirical Analysis</t>
  </si>
  <si>
    <t>Zhang, Yingying; Tadesse, Aweke; Huang, Jin</t>
  </si>
  <si>
    <t>Zhang, YY; Tadesse, A; Huang, J</t>
  </si>
  <si>
    <t>WOS:000734982900001</t>
  </si>
  <si>
    <t>1S7UQ</t>
  </si>
  <si>
    <t>10.1111/ecno.12199</t>
  </si>
  <si>
    <t>e12199</t>
  </si>
  <si>
    <t>Institute of Eminence, Banaras Hindu University</t>
  </si>
  <si>
    <t>Yadava, Anup Kumar/0000-0002-6388-4419; Singh, Bhanu/0000-0002-1757-9763</t>
  </si>
  <si>
    <t>Singh, Bhanu/P-9004-2019; Yadava, Anup Kumar/AAG-1167-2020; Singh, Bhanu/P-9004-2019</t>
  </si>
  <si>
    <t>bpsingheco@bhu.ac.in</t>
  </si>
  <si>
    <t>Singh, BP (corresponding author), Banaras Hindu Univ, Econ Sect, Mahila Mahavidyalaya MMV, Varanasi 221005, Uttar Pradesh, India.</t>
  </si>
  <si>
    <t>Banaras Hindu University (BHU)</t>
  </si>
  <si>
    <t>[Singh, Bhanu Pratap] Banaras Hindu Univ, Econ Sect, Mahila Mahavidyalaya MMV, Varanasi 221005, Uttar Pradesh, India; [Yadava, Anup Kumar] IMS Unison Univ, Sch Management, Dehra Dun, Uttarakhand, India</t>
  </si>
  <si>
    <t>Financial inclusion programs are used as a major economic development tool in emerging economies. Human development is the major determinant of financial inclusion, creating opportunities for people to better access financial services. The study's major aim is to examine the technical efficiency of financial inclusion of Indian states by Data Envelopment Analysis using human development as input. To achieve this objective, a 3-dimensional Financial Inclusion Index (FII) is constructed for 28 major Indian states from 2010 to 2017. Empirical findings suggest most Indian states are under low and medium financial inclusion, and states with better human development have better FII status. Crucially, technical efficiency results reveal states with better human development perform better in terms of FII. The inconsistency in FII and human development ranks is majorly found in North-eastern and high-income Indian states. Therefore, policymakers in India should focus on promoting human development in low Human Development Index states.</t>
  </si>
  <si>
    <t>ECONOMIC-GROWTH EVIDENCE; POVERTY; NEXUS</t>
  </si>
  <si>
    <t>Data Envelopment Analysis (DEA); Financial Inclusion Index (FII); human development; Indian states; technical efficiency</t>
  </si>
  <si>
    <t>Technical efficiency of financial inclusion and human development: Insights from the Indian states</t>
  </si>
  <si>
    <t>Singh, Bhanu Pratap; Yadava, Anup Kumar</t>
  </si>
  <si>
    <t>Singh, BP; Yadava, AK</t>
  </si>
  <si>
    <t>WOS:000598534900001</t>
  </si>
  <si>
    <t>PV3KE</t>
  </si>
  <si>
    <t>10.1108/IJSE-11-2019-0659</t>
  </si>
  <si>
    <t>Singh, K (corresponding author), Univ Gour Banga, Dept Econ, Malda, India.</t>
  </si>
  <si>
    <t>University of Gour Banga</t>
  </si>
  <si>
    <t>[Singh, Krishna] Univ Gour Banga, Dept Econ, Malda, India</t>
  </si>
  <si>
    <t>Purpose Mahatma Gandhi National Rural Employment Guarantee Scheme (MGNREGS) launched in the year 2006, with the pursuit of the objective of removing poverty and unemployment and thus address the issue of financial inclusion. The performance of the programme across the states in India has not been uniform. The purpose of this study is to focus on the financial inclusiveness features associated with MGNREGS program across the selected districts in West Bengal in the years of recent past. Design/methodology/approach In this study, financial inclusion index has been developed by consideration of four indicators with the help of principal component method. Fixed effect regression model has been applied to explain the impact of relevant determinants on financial inclusion index. Findings It is observed that out of 19 districts, seven districts registered an increase in the value of the financial inclusion index in the year 2019 compared to that in the year 2013. The empirical analysis for identifying the determinants of overall inclusion reveals that factors like households having active job card, utilization of fund, amount of labour cost and number of works have significant influence on financial inclusion. Originality/value The study widely discussed how the scheme was helping in promoting financial inclusion by providing wage payment through banks and post offices accounts. The author has also tried to highlight some of the difficulties in accelerating the speed of financial inclusion when banks and post offices are used as a means for wage payment and finally provide remedial measures that could be taken to tackle these problems.</t>
  </si>
  <si>
    <t>EXCLUSION; BANKING</t>
  </si>
  <si>
    <t>MGNREGS; Financial inclusion; Employment generation; Index</t>
  </si>
  <si>
    <t>The extent of financial inclusion through MGNREGS: a district level analysis in West Bengal, India</t>
  </si>
  <si>
    <t>Singh, Krishna</t>
  </si>
  <si>
    <t>Singh, K</t>
  </si>
  <si>
    <t>WOS:000886573800001</t>
  </si>
  <si>
    <t>6J1FH</t>
  </si>
  <si>
    <t>10.3389/fpsyg.2022.1042085</t>
  </si>
  <si>
    <t>The authors acknowledge the financial support of the General Research Fund of The Academy of China Open Economy Studies at University of International Business and Economics (Grant No. 2022GK10) and Postgraduate Innovative Research Fund of University of International Business and Economics (Grant No. 202240).</t>
  </si>
  <si>
    <t>General Research Fund of The Academy of China Open Economy Studies at University of International Business and Economics; Postgraduate Innovative Research Fund of University of International Business and Economics; Academy of Finland (AKA)(Research Council of Finland)</t>
  </si>
  <si>
    <t>General Research Fund of The Academy of China Open Economy Studies at University of International Business and Economics [2022GK10]; Postgraduate Innovative Research Fund of University of International Business and Economics [202240]; Academy of Finland (AKA) [202240] Funding Source: Academy of Finland (AKA)</t>
  </si>
  <si>
    <t>wangwenting@sztu.edu.cn</t>
  </si>
  <si>
    <t>Wang, WT (corresponding author), Shenzhen Technol Univ, Dept Big Data &amp; Internet, Shenzhen, Peoples R China.</t>
  </si>
  <si>
    <t>[Chen, Fuzhong; Lu, Xiuli] Univ Int Business &amp; Econ, Acad China Open Econ Studies, Beijing, Peoples R China; [Chen, Fuzhong] Univ Int Business &amp; Econ, Sch Int Trade &amp; Econ, Beijing, Peoples R China; [Wang, Wenting] Shenzhen Technol Univ, Dept Big Data &amp; Internet, Shenzhen, Peoples R China</t>
  </si>
  <si>
    <t>With the development of the economy, family wealth continues to accumulate, and more and more consumers participate in financial management affairs. As an important way to improve financial knowledge, informal financial education is vital to consumer financial capability. Utilizing data from the 2012, 2015, and 2018 US National Financial Capability Study and the approaches of ordinary least squares and ordered probit regression are employed to produce more accurate estimates. Meanwhile, the study also explores the mediating effects of financial knowledge between informal financial education and consumer financial capability. The results show that informal financial education has a positive effect on the improvement of consumer financial capability. Besides, financial knowledge partially mediates the nexus between informal financial education and consumer financial capability. Therefore, policymakers are encouraged to formulate measures to promote financial education programs not only in schools and universities but also in workplaces or communities. Companies also should offer more opportunities for their employees to receive financial education and further enhance their financial capability. Consumers should be aware of the importance of financial education and actively learn financial knowledge to improve financial capability and further enhance financial satisfaction.</t>
  </si>
  <si>
    <t>LITERACY; CONFIDENCE; GENDER</t>
  </si>
  <si>
    <t>informal financial education; financial capability; mediating effect; financial knowledge; ordered probit regression</t>
  </si>
  <si>
    <t>Informal financial education and consumer financial capability: The mediating role of financial knowledge</t>
  </si>
  <si>
    <t>Chen, Fuzhong; Lu, Xiuli; Wang, Wenting</t>
  </si>
  <si>
    <t>Chen, FZ; Lu, XL; Wang, WT</t>
  </si>
  <si>
    <t>WOS:001551744800005</t>
  </si>
  <si>
    <t>6EY3P</t>
  </si>
  <si>
    <t>10.1504/GBER.2024.140847</t>
  </si>
  <si>
    <t>jitenderkumar.mba@dcrustm.org; anjali.ahuja85@gmail.com</t>
  </si>
  <si>
    <t>Ahuja, A (corresponding author), Deenbandhu Chhotu Ram Univ Sci &amp; Technol, Dept Management Studies, Sonepat, Haryana, India.</t>
  </si>
  <si>
    <t>Deenbandhu Chhotu Ram University of Science &amp; Technology</t>
  </si>
  <si>
    <t>[Kumar, Jitender; Ahuja, Anjali] Deenbandhu Chhotu Ram Univ Sci &amp; Technol, Dept Management Studies, Sonepat, Haryana, India</t>
  </si>
  <si>
    <t>The present study highlights the key determinants of financial inclusion (access, technology, financial literacy, affordability, and trust) and its impact on the financial well-being of low-income respondents in India. Through self-administered questionnaires, we collect data using convenience-cum-judgemental sampling from 404 low-income respondents of the National Capital Region of India. The study uses factor analysis to identify the key determinants of financial inclusion and its impact on financial well-being. We use partial least squares structural equation modelling to examine the framed hypotheses. The study demonstrates five key determinants of financial inclusion, i.e., access, affordability, financial literacy, technology, and trust. These five factors drive a 78.70% (coefficient of determination, R-2) variation in financial inclusion. Further, financial inclusion influences a 27.1% variation in financial well-being. The study's outcome will facilitate academics, policymakers, aspiring researchers, and the general public to ensure the financial well-being of low-income respondents through financial inclusion activities.</t>
  </si>
  <si>
    <t>ECONOMIC-GROWTH EVIDENCE; PLS-SEM; LITERACY; BANKING; NEXUS</t>
  </si>
  <si>
    <t>financial inclusion; exploratory factor analysis; EFA; financial literacy; financial well-being; India</t>
  </si>
  <si>
    <t>Financial inclusion: key determinants and its impact on financial well-being</t>
  </si>
  <si>
    <t>Kumar, Jitender; Ahuja, Anjali</t>
  </si>
  <si>
    <t>Kumar, J; Ahuja, A</t>
  </si>
  <si>
    <t>WOS:000447628300005</t>
  </si>
  <si>
    <t>GX3MN</t>
  </si>
  <si>
    <t>Mabula, Juma/G-1310-2018</t>
  </si>
  <si>
    <t>Mabula, JB (corresponding author), Harbin Inst Technol, Dept Business Adm, Harbin, Heilongjiang, Peoples R China.</t>
  </si>
  <si>
    <t>Harbin Institute of Technology; Harbin Institute of Technology</t>
  </si>
  <si>
    <t>[Mabula, Juma Buhimila] Harbin Inst Technol, Dept Business Adm, Harbin, Heilongjiang, Peoples R China; [Ping, Han Dong] Harbin Inst Technol, Dept Accounting, Weihai, Peoples R China</t>
  </si>
  <si>
    <t>Considering financial literacy as a central factor for consumer demand for financial services, we analyze its impact on access and actual use of financial services and its ultimate consequential reflections on SMEs performance in developing economies. By recognizing the important distinction between access and actual use of financial services this study uses the partial least square-structural equation modelling (PLS-SEM) to estimate the conceptual model. The study reveal significant positive impact of financial literacy to financial access and performance of the firm. It was also discovered that there is significant positive direct impact of access to financial services into actual use of financial services and positive significant effect of the use of financial service on firm performance. The firm use of financial services has a significant mediating role on firm access to financial services-firm performance relationship. The implications of these findings offers foretastes on the need to deepen and widen the scope of SMEs managers' financial literacy for effective financial management and financial financing decisions. We argue distinct contributions of access and actual use of financial services construct on firm performance has to be given attention in attempt to avoid generalizing the phenomenon.</t>
  </si>
  <si>
    <t>STRUCTURAL EQUATION MODELS; VARIABLES; GROWTH; PLS</t>
  </si>
  <si>
    <t>Financial literacy; use of financial services; access to financial services; firm performance</t>
  </si>
  <si>
    <t>Financial Literacy of SME Managers' on Access to Finance and Performance: The Mediating Role of Financial Service Utilization</t>
  </si>
  <si>
    <t>Mabula, Juma Buhimila; Ping, Han Dong</t>
  </si>
  <si>
    <t>Mabula, JB; Ping, HD</t>
  </si>
  <si>
    <t>WOS:000599215500001</t>
  </si>
  <si>
    <t>PF7FL</t>
  </si>
  <si>
    <t>10.1891/JFCP-18-00067</t>
  </si>
  <si>
    <t>Fu, Qiang/0000-0001-8259-8824; Birkenmaier, Julie/0000-0002-3426-1669</t>
  </si>
  <si>
    <t>Birkenmaier@slu.edu; John.Fu@slu.edu</t>
  </si>
  <si>
    <t>[Birkenmaier, Julie] St Louis Univ, Sch Social Work, Coll Publ Hlth &amp; Social Justice, 3550 Lindell Blvd, St Louis, MO 63103 USA; [Fu, Qiang (John)] St Louis Univ, Sch Publ Hlth, Coll Publ Hlth &amp; Social Justice, 3545 Lafayette Ave, St Louis, MO 63104 USA</t>
  </si>
  <si>
    <t>This article examined the relationship of household financial behaviors and accesses. Using the 2015 National Financial Capability Study, the current study conducted latent class analysis offinancial behaviors to identify latent classes (N = 27,564). The distribution of access was investigated among latent classes, which were regressed on the financial behaviors offinancial planning and financial spending factors and other covariates using multinomial logistic regression. After controlling for other variables, the odds of being in Thinly Banked, Limited Access, and Working Families classes instead of being in Investors class decreased by 90%, 88%, and 66% for every point higher in financial planning behavior; respectively. Results suggest that desirable financial behaviors such as planning are important for consumers with the least financial access.</t>
  </si>
  <si>
    <t>MANAGEMENT BEHAVIOR; INCOME; CAPABILITY; EDUCATION; SERVICES</t>
  </si>
  <si>
    <t>financial access; financial behavior; financial literacy; financial planning; financial spending</t>
  </si>
  <si>
    <t>Financial Behavior and Financial Access: A Latent Class Analysis</t>
  </si>
  <si>
    <t>WOS:000659421100001</t>
  </si>
  <si>
    <t>WS5OZ</t>
  </si>
  <si>
    <t>10.1007/s11205-021-02730-7</t>
  </si>
  <si>
    <t>The first author acknowledges the financial support from the Brazilian National Council for Scientific and Technological Development (CNPq, 140263/2020-9).</t>
  </si>
  <si>
    <t>Brazilian National Council for Scientific and Technological Development (CNPq)(Conselho Nacional de Desenvolvimento Cientifico e Tecnologico (CNPQ))</t>
  </si>
  <si>
    <t>Brazilian National Council for Scientific and Technological Development (CNPq) [140263/2020-9]</t>
  </si>
  <si>
    <t>Sacomano Neto, Mario/0000-0002-2561-1700; Polloni-Silva, Eduardo/0000-0001-5141-2433;</t>
  </si>
  <si>
    <t>Sacomano Neto, Mario/C-7598-2012; Polloni-Silva, Eduardo/AAP-9428-2021; Moralles, Herick/AAZ-8731-2021</t>
  </si>
  <si>
    <t>eduardopolloni1@gmail.com; naijela.silveira@docente.unip.br; herickmoralles@dep.ufscar.br; msacomano@ufscar.br</t>
  </si>
  <si>
    <t>Polloni-Silva, E (corresponding author), Fed Univ Sao Carlos UFSCar, Rod Washington Luis,Km 235 CEP, BR-13565905 Sao Carlos, SP, Brazil.</t>
  </si>
  <si>
    <t>Universidade Federal de Sao Carlos; Universidade Paulista</t>
  </si>
  <si>
    <t>[Polloni-Silva, Eduardo; Moralles, Herick Fernando; Sacomano Neto, Mario] Fed Univ Sao Carlos UFSCar, Rod Washington Luis,Km 235 CEP, BR-13565905 Sao Carlos, SP, Brazil; [da Costa, Naijela] Univ Paulista UNIP, Jundiai, SP, Brazil</t>
  </si>
  <si>
    <t>Despite great developmental efforts in recent decades, Latin America still presents high levels of poverty and inequality when compared to developed nations. As explored widely in the literature, one potential instrument to diminish these issues is financial inclusion, including the access and usage of financial services by all people. Specifically, this paper verifies if financial inclusion and technology adoption decrease the poverty headcount ratio and the Gini index (i.e., inequality) of 13 Latin America countries (Argentina, Bolivia, Brazil, Colombia, Costa Rica, Dominican Republic, Ecuador, El Salvador, Honduras, Panama, Paraguay, Peru, and Uruguay). To perform such analysis, an unbalanced panel dataset was built, and the Feasible Generalized Least Squares (FGLS) and the Limited Information Maximum Likelihood (LIML) techniques were employed. The results suggest that, in accordance with previous studies, financial inclusion is a powerful tool to tackle poverty and inequality. Additionally, the combined effects of financial inclusions and technology (i.e., mobile use) are also capable of decreasing the poverty and inequality levels. We discuss the policy implications of our findings and suggest a future research agenda.</t>
  </si>
  <si>
    <t>MOBILE MONEY; ACCESS; MICROFINANCE; BANKING; CREDIT; IMPACT; DETERMINANTS; REMITTANCES; CONSTRAINTS; COMPETITION</t>
  </si>
  <si>
    <t>Financial inclusion; Poverty; Inequality; Latin America; Panel data</t>
  </si>
  <si>
    <t>Does Financial Inclusion Diminish Poverty and Inequality? A Panel Data Analysis for Latin American Countries</t>
  </si>
  <si>
    <t>Polloni-Silva, Eduardo; da Costa, Naijela; Moralles, Herick Fernando; Sacomano Neto, Mario</t>
  </si>
  <si>
    <t>Polloni-Silva, E; da Costa, N; Moralles, HF; Neto, MS</t>
  </si>
  <si>
    <t>WOS:000769922400001</t>
  </si>
  <si>
    <t>T8VN4</t>
  </si>
  <si>
    <t>10.1002/ijfe.2607</t>
  </si>
  <si>
    <t>, FAISAL/0000-0003-1818-3418; Ali, Adnan/0000-0003-4051-3153;</t>
  </si>
  <si>
    <t>, FAISAL/F-4972-2016; Ali, Adnan/GOP-0343-2022; Ullah, Zahir/HCI-0867-2022</t>
  </si>
  <si>
    <t>ali.adnan@graduate.utm.my</t>
  </si>
  <si>
    <t>Ali, A (corresponding author), Univ Teknol Malaysia, Azman Hashim Int Business Sch AHIBS, Skudai 81310, Johor, Malaysia.</t>
  </si>
  <si>
    <t>Universiti Teknologi Malaysia; Abdul Wali Khan University</t>
  </si>
  <si>
    <t>[Ali, Adnan; Ramakrishnan, Suresh] Univ Teknol Malaysia, Azman Hashim Int Business Sch AHIBS, Skudai 81310, Johor, Malaysia; [Ali, Adnan] Shaheed Benazir Bhutto Univ, Dept Management Sci, Sheringal Dir Upper, Khyber Pakhtunk, Pakistan; [Faisal, Faisal] Abdul Wali Khan Univ, Fac Business &amp; Econ, Inst Business Studies &amp; Leadership, Mardan, Khyber Pakhtunk, Pakistan; [Ullah, Zahir] Univ Baltistan, Dept Business Management &amp; Econ, Skardu, Pakistan</t>
  </si>
  <si>
    <t>Poverty alleviation is a global problem. To alleviate poverty, microfinancing is used through microfinance institutions. There are many publications comprising empirical and literature review articles beside others focusing on this issue. Subjectivity bias is one of the issues that is seen in the literature reviews in an area of interest. This study answers the problem based on the bibliometric analysis of microfinance, micro-finance institutions, micro-insurance, micro-savings, and financial inclusion with other synonyms using the Scopus Database. This article focuses on overall historical trends, publication output, prolific authors and journals, google mapping of the world-renowned academic institutions, and highlights the shortcoming of the Scopus database by utilizing software for the first time. We use VOSviewer, for co-authorship analysis and our results underline the leading role of United States contribution to a greater extent, while co-citation analysis shows emerging hotspots such as financial technology including fintech, crowdfunding, and financial literacy. We concluded limited attention from scholars towards natural-resource revenues, financial development using fintech, and crowdfunding regarding poverty alleviation. Furthermore, for the interest of the development researchers and practitioners, we have highlighted the conceptual framework for financial development, natural resource abundance, economic growth nexus through fintech, crowdfunding, financial literacy to curb poverty as new avenues for future research agenda.</t>
  </si>
  <si>
    <t>INFORMATION-MANAGEMENT; FINANCIAL DEVELOPMENT; FUTURE; SUSTAINABILITY; PERFORMANCE; DIRECTIONS; SCIENCE; POVERTY; IMPACT; CREDIT</t>
  </si>
  <si>
    <t>Bibliometric analysis; financial development; fintech; microfinance; micro-insurance; natural resource revenues</t>
  </si>
  <si>
    <t>Bibliometric analysis of global research trends on microfinance institutions and microfinance: Suggesting new research agendas</t>
  </si>
  <si>
    <t>Ali, Adnan; Ramakrishnan, Suresh; Faisal, Faisal; Ullah, Zahir</t>
  </si>
  <si>
    <t>Ali, A; Ramakrishnan, S; Faisal, F; Ullah, Z</t>
  </si>
  <si>
    <t>WOS:000637775800011</t>
  </si>
  <si>
    <t>RJ7IZ</t>
  </si>
  <si>
    <t>10.1016/j.techfore.2021.120728</t>
  </si>
  <si>
    <t>Villano, Renato Anin/0000-0003-2581-6623; Bukari, Chei/0000-0002-3872-4050; Kooon, Isaac/0000-0002-2929-4992</t>
  </si>
  <si>
    <t>Villano, Renato Anin/I-3680-2017; Bukari, Chei/AAW-6925-2021; Kooon, Isaac/S-8710-2019</t>
  </si>
  <si>
    <t>ikoomso2@une.edu.au; cheibukari1@gmail.com; rvillan2@une.edu.au</t>
  </si>
  <si>
    <t>Koomson, I (corresponding author), Univ New England, Fac Sci Agr Business &amp; Law, UNE Sch Business, Armidale, NSW, Australia.</t>
  </si>
  <si>
    <t>University of New England; University of Cape Coast</t>
  </si>
  <si>
    <t>[Koomson, Isaac; Villano, Renato A.] Univ New England, Fac Sci Agr Business &amp; Law, UNE Sch Business, Armidale, NSW, Australia; [Bukari, Chei] Univ Cape Coast, Sch Econ, Dept Appl Econ, Cape Coast, Ghana; [Koomson, Isaac] Network Socioecon Res &amp; Adv NESRA, Accra, Ghana</t>
  </si>
  <si>
    <t>In sub-Saharan Africa, financial inclusion remains low, with households being more vulnerable to idiosyncratic shocks. Mobile money has been identified as having the potential to boost financial inclusion while closing the related gender- and rural-gaps in the process. Nonetheless, little is known about how mobile money facilitates the sending and receipt of financial support in times of idiosyncratic shocks. This study examines the link between mobile money adoption and response to idiosyncratic shocks from the perspectives of senders and receivers using comprehensive household data across five countries. Employing the number of mobile money agents in respondent's neighbourhood as instrument in an instrumental variable probit procedure, we find that adoption of mobile money is associated with an increase in the probability to send (receive) financial support to (from) families, friends, relatives, co-workers and acquaintances in times of idiosyncratic shocks but the sending effect outweighs that of the receiving. Overall, female-headed and rural-located households end up being the net beneficiaries of mobile money adoption when it comes to idiosyncratic shocks. Mobile money regulators and standard setting authorities are urged to engage with telecommunications companies and other stakeholders to deepen the digital financial ecosystem.</t>
  </si>
  <si>
    <t>DETERMINANTS; SAVINGS; PHONES; ACCESS; IMPACT; ICT</t>
  </si>
  <si>
    <t>Mobile money; Idiosyncratic shock; Financial inclusion; Vulnerability; Emergency</t>
  </si>
  <si>
    <t>Mobile money adoption and response to idiosyncratic shocks: Empirics from five selected countries in sub-Saharan Africa</t>
  </si>
  <si>
    <t>Koomson, Isaac; Bukari, Chei; Villano, Renato A.</t>
  </si>
  <si>
    <t>Koomson, I; Bukari, C; Villano, RA</t>
  </si>
  <si>
    <t>WOS:000601023800001</t>
  </si>
  <si>
    <t>RI9EV</t>
  </si>
  <si>
    <t>Geriatrics &amp; Gerontology; Social Work</t>
  </si>
  <si>
    <t>Geriatrics &amp; Gerontology; Gerontology; Social Work</t>
  </si>
  <si>
    <t>10.1080/01634372.2020.1865496</t>
  </si>
  <si>
    <t>J. Gerontol. Soc. Work</t>
  </si>
  <si>
    <t>J GERONTOL SOC WORK</t>
  </si>
  <si>
    <t>0163-4372</t>
  </si>
  <si>
    <t>1540-4048</t>
  </si>
  <si>
    <t>[Birkenmaier, Julie; Maynard, Brandy] St Louis Univ, Sch Social Work, 3550 Lindell Blvd, St Louis, MO 63103 USA; [Kim, Youngmi] Virginia Commonwealth Univ, Sch Social Work, Richmond, VA 23284 USA</t>
  </si>
  <si>
    <t>This systematic review focuses on examining the effects of interventions that facilitate retirement savings through a financial capability approach, which combines financial education and financial access. Systematic review procedures were used to search for published and unpublished experimental studies in multiple databases and gray literature sources that met eligibility criteria. Four research projects published through May 2020 were eligible for the review. Results suggest that, thus far, there is no clear rigorous evidence that the interventions that use a financial capability approach to promote retirement savings improve individual financial behaviors or financial outcomes. Policy and practice implications are discussed.</t>
  </si>
  <si>
    <t>Retirement Savings; systematic Review; financial Behavior; Financial Outcome; financial Capability</t>
  </si>
  <si>
    <t>JOURNAL OF GERONTOLOGICAL SOCIAL WORK</t>
  </si>
  <si>
    <t>Financial Outcomes of Interventions Designed to Improve Retirement Savings: A Systematic Review</t>
  </si>
  <si>
    <t>Birkenmaier, Julie; Kim, Youngmi; Maynard, Brandy</t>
  </si>
  <si>
    <t>Birkenmaier, J; Kim, Y; Maynard, B</t>
  </si>
  <si>
    <t>WOS:001257746000001</t>
  </si>
  <si>
    <t>WV8T4</t>
  </si>
  <si>
    <t>10.1016/j.techfore.2024.123491</t>
  </si>
  <si>
    <t>Mestwerdt, Sönke/0009-0008-8036-5160;</t>
  </si>
  <si>
    <t>; Mauer, Rene/KEI-5076-2024</t>
  </si>
  <si>
    <t>mtigges@escp.eu</t>
  </si>
  <si>
    <t>Tigges, M (corresponding author), ESCP Business Sch, Heubnerweg 8-10, D-14059 Berlin, Germany.</t>
  </si>
  <si>
    <t>heSam Universite; ESCP Business School</t>
  </si>
  <si>
    <t>[Tigges, Maximilian; Mestwerdt, Soenke; Tschirner, Sebastian] ESCP Business Sch, Heubnerweg 8-10, D-14059 Berlin, Germany</t>
  </si>
  <si>
    <t>Credit scoring plays an important role in determining the accessibility of credit in the financial sector. This in turn has a significant impact on how economic opportunities are distributed. Our study examines the use of AI and alternative data in fintech lending through the lens of Information Asymmetry Theory. By employing a qualitative research design using the Gioia method, we extract, analyze, and synthesize insights from a diverse group of 26 experts in fintech lending, artificial intelligence, machine learning, data science, and academia. Our results reveal several important findings: the enhancement of predictive proficiency and risk management, the decrease in default rates, the extension of credit access by including previously 'unbanked populations ', the introduction of real-time creditworthiness assessment and new business models for entrepreneurs, the enhancement of credit market efficiencies and positive effects on the stability of financial markets. In addition, our study highlights the necessity for rigorous and critical ethical considerations of important challenges such as the question of consent, algorithmic transparency, data quality, data misuse, representativeness, traceability, responsibility, bias and discrimination. The reasonable goal of a more fair, resilient, sustainable and accessible credit system will require a joint effort to balance leveraging technological innovations with respecting peoples ' right to privacy.</t>
  </si>
  <si>
    <t>ART CLASSIFICATION ALGORITHMS; ARTIFICIAL-INTELLIGENCE; BANKING; MODELS; RISK</t>
  </si>
  <si>
    <t>Alternative data; Credit scoring; Fintech; Artificial intelligence; Ethics</t>
  </si>
  <si>
    <t>Who gets the money? A qualitative analysis of fintech lending and credit scoring through the adoption of AI and alternative data</t>
  </si>
  <si>
    <t>Tigges, Maximilian; Mestwerdt, Soenke; Tschirner, Sebastian; Mauer, Rene</t>
  </si>
  <si>
    <t>Tigges, M; Mestwerdt, S; Tschirner, S; Mauer, R</t>
  </si>
  <si>
    <t>WOS:001301167300001</t>
  </si>
  <si>
    <t>E2D7T</t>
  </si>
  <si>
    <t>10.1016/j.ribaf.2024.102525</t>
  </si>
  <si>
    <t>20201037@hbue.edu.cn</t>
  </si>
  <si>
    <t>Cheng, ML (corresponding author), Hubei Univ Econ, Sch Foreign Languages, Wuhan 430205, Hubei, Peoples R China.</t>
  </si>
  <si>
    <t>Guangzhou College of Commerce; Hubei University of Economics</t>
  </si>
  <si>
    <t>[Huang, Siqi; Shu, Zhenzhu] Guangzhou Coll Commerce, Sch Econ, Guangzhou 511363, Guangdong, Peoples R China; [Cheng, Manli] Hubei Univ Econ, Sch Foreign Languages, Wuhan 430205, Hubei, Peoples R China</t>
  </si>
  <si>
    <t>This study examines the interplay between social capital and financial inclusion in fostering sustainable growth, utilizing the Two Step System GMM methodology for comprehensive analysis. Financial participation was determined to have a strong and meaningful correlation with financial literacy and was also found to have a substantial and meaningful influence on sustainable growth. The research highlights that while financial literacy is a crucial mediator, social capital significantly moderates the relationship between financial inclusion and sustainable development. The research offers valuable insights and practical implications for businesses and authorities, particularly in developing nations. Our findings contribute to the broader understanding of how financial and social factors drive economic sustainability.</t>
  </si>
  <si>
    <t>BANKING; ENERGY</t>
  </si>
  <si>
    <t>Social Capital; Financial Literacy; Financial Inclusion; Sustainable Development; Developing Economies</t>
  </si>
  <si>
    <t>Role of social capital and financial inclusion in sustainable economic growth</t>
  </si>
  <si>
    <t>Huang, Siqi; Cheng, Manli; Shu, Zhenzhu</t>
  </si>
  <si>
    <t>Huang, SQ; Cheng, ML; Shu, ZZ</t>
  </si>
  <si>
    <t>WOS:000315832400005</t>
  </si>
  <si>
    <t>102GH</t>
  </si>
  <si>
    <t>10.1016/j.childyouth.2012.12.016</t>
  </si>
  <si>
    <t>welliott@ku.edu; jkim@ku.edu</t>
  </si>
  <si>
    <t>Elliott, W (corresponding author), Univ Kansas, Sch Social Welf, 1545 Lilac Lane,309 20 Hall, Lawrence, KS 66044 USA.</t>
  </si>
  <si>
    <t>[Elliott, William; Kim, Johnny S.] Univ Kansas, Sch Social Welf, Lawrence, KS 66044 USA</t>
  </si>
  <si>
    <t>This article focuses on unifying, seemingly at times, disparate aspects of school-related Child Development Account (CDA) programs in order to maximize their effects. Account ownership and financial education are the two key components of school-related CDA programs. Despite this most of the focus by asset theorists and researchers has been on the account ownership side of CDAs. To unify these two components we use identity-based motivation (IBM) theory. Further, we suggest that early experience with money failures and lack of positive role models results in many lower income and minority children entering CDA programs with low financial efficacy. Because of low financial efficacy, we suggest that in order for financial education programs to be successful among lower income and minority children they need to be designed to address this reality. We posit that a way to address the reality of lower income and minority students is to adopt solution-focus brief therapy (SFBT) techniques. These techniques can be used to teach financial education instructors how to build positive financial efficacy beliefs among lower income and minority children. (C) 2013 Elsevier Ltd. All rights reserved.</t>
  </si>
  <si>
    <t>POSSIBLE SELVES; SELF-EFFICACY; EXPECTATIONS; PREVENTION; OUTCOMES; CHILDREN</t>
  </si>
  <si>
    <t>Child Development Accounts; Identity-based motivation; Solution-focused brief therapy; Financial education; Financial capability</t>
  </si>
  <si>
    <t>The role of identity-based motivation and solution-focus brief therapy in unifying accounts and financial education in school-related CDA programs</t>
  </si>
  <si>
    <t>Elliott, William; Kim, Johnny S.</t>
  </si>
  <si>
    <t>Elliott, W; Kim, JS</t>
  </si>
  <si>
    <t>WOS:001410438200001</t>
  </si>
  <si>
    <t>U2V7H</t>
  </si>
  <si>
    <t>10.1016/j.irfa.2024.103894</t>
  </si>
  <si>
    <t>Financial support by the National Natural Science Foundation of China (Grant No. 72471248) , the Ministry of Education of China Humanities and Social Sciences Youth Project (24YJCZH071) .r Acknowledgments Financial support by the National Natural Science Foundation of China (Grant No. 72471248) , the Ministry of Education of China Hu-manities and Social Sciences Youth Project (24YJCZH071) .</t>
  </si>
  <si>
    <t>National Natural Science Foundation of China(National Natural Science Foundation of China (NSFC)); Ministry of Education of China Hu-manities and Social Sciences Youth Project</t>
  </si>
  <si>
    <t>National Natural Science Foundation of China [72471248]; Ministry of Education of China Hu-manities and Social Sciences Youth Project [24YJCZH071]</t>
  </si>
  <si>
    <t>Chen, Diqiang/0000-0002-0391-0531</t>
  </si>
  <si>
    <t>qqzhang@csu.edu.cn; lianguo@csust.edu.cn; chendiqiang@gnnu.du.cn</t>
  </si>
  <si>
    <t>Guo, L (corresponding author), Changsha Univ Sci &amp; Technol, Sch Econ &amp; Management, Changsha, Peoples R China.</t>
  </si>
  <si>
    <t>Central South University; Changsha University of Science &amp; Technology; Gannan Normal University</t>
  </si>
  <si>
    <t>[Zhang, Qian; Lei, Shini] Cent South Univ, Sch Business, Changsha, Peoples R China; [Guo, Lian] Changsha Univ Sci &amp; Technol, Sch Econ &amp; Management, Changsha, Peoples R China; [Chen, Diqiang] Gannan Normal Univ, Sch Econ &amp; Management, Ganzhou, Peoples R China</t>
  </si>
  <si>
    <t>Using the 2013 and 2015 waves of the China Household Finance Survey (CHFS), this study explores mobile internet use and examines its impacts on households' financial literacy. Our findings provide robust evidence that mobile internet use increases households' financial literacy. Moreover, the mechanism test shows that mobile internet use improves financial literacy mainly through: enhancing information flow about finance and engaging in economic activities. Interestingly, we explore the effects of mobile internet use on financial literacy among different people, and we find that the positive impact of mobile internet use on financial literacy is more pronounced in households who are older, lower educated and those who live in rural and western areas. Overall, our findings imply that mobile internet plays a positive role in facilitating financial inclusion by improving financial literacy.</t>
  </si>
  <si>
    <t>Mobile internet; Financial literacy; Financial inclusion</t>
  </si>
  <si>
    <t>Does mobile access to the internet increase household financial literacy?☆</t>
  </si>
  <si>
    <t>Zhang, Qian; Guo, Lian; Chen, Diqiang; Lei, Shini</t>
  </si>
  <si>
    <t>Zhang, Q; Guo, L; Chen, DQ; Lei, SN</t>
  </si>
  <si>
    <t>WOS:000486210700004</t>
  </si>
  <si>
    <t>IY2HG</t>
  </si>
  <si>
    <t>10.1111/joca.12242</t>
  </si>
  <si>
    <t>Harvey, Melody/0000-0003-3984-0501</t>
  </si>
  <si>
    <t>maharvey3@wisc.edu</t>
  </si>
  <si>
    <t>Harvey, M (corresponding author), Univ Wisconsin, Inst Res Poverty, Madison, WI 53706 USA.</t>
  </si>
  <si>
    <t>[Harvey, Melody] Univ Wisconsin, Inst Res Poverty, Madison, WI 53706 USA</t>
  </si>
  <si>
    <t>Over one-quarter of American adults used credit-based alternative financial services (AFS) in the past five years, which carry a typical APR of 300%. Young adults are especially more likely to use AFS yet are also more likely to be exposed to personal finance education in schools. In this study, I use data from pooled 2012 and 2015 waves of National Financial Capability Study to examine whether state-mandated financial education impacts young adults' use of AFS. I find that financial education mandates significantly reduced the likelihood and frequency of payday borrowing in particular. Additionally, I show that exposure to required personal finance courses could affect payday borrowing through increased financial literacy and improved financial planning practices. These findings suggest that policymakers and other stakeholders need to understand the full benefits of financial education when making cost-benefit analysis comparisons as to whether or not to implement.</t>
  </si>
  <si>
    <t>Impact of Financial Education Mandates on Younger Consumers' Use of Alternative Financial Services</t>
  </si>
  <si>
    <t>Harvey, Melody</t>
  </si>
  <si>
    <t>Harvey, M</t>
  </si>
  <si>
    <t>WOS:001302223100001</t>
  </si>
  <si>
    <t>E3R9M</t>
  </si>
  <si>
    <t>10.1016/j.jfds.2024.100115</t>
  </si>
  <si>
    <t>J FINANC DATA SCI</t>
  </si>
  <si>
    <t>ZHANG, XIAOYAN/0000-0001-6248-0669</t>
  </si>
  <si>
    <t>Huang, Yiping/JVN-4285-2024; ZHANG, XIAOYAN/KGK-9714-2024</t>
  </si>
  <si>
    <t>hncao@ckgsb.edu.cn; huang_y@fudan.edu.cn; yhuang@fudan.edu.cn; byeung@nus.edu.sg; zhangxiaoyan@pbcsf.tsinghua.edu.cn</t>
  </si>
  <si>
    <t>Yeung, BR (corresponding author), Southern Univ Sci &amp; Technol, Shenzhen, Guangdong, Peoples R China.</t>
  </si>
  <si>
    <t>Fudan University; Peking University; Southern University of Science &amp; Technology; National University of Singapore</t>
  </si>
  <si>
    <t>[Cao, Huining (Henry)] Cheung Kong Grad Sch Business, Beijing, Peoples R China; [Huang, Yi] Fudan Univ, Fanhai Int Sch Finance, Shanghai, Peoples R China; [Huang, Yiping] Peking Univ, Natl Sch Dev, Beijing, Peoples R China; [Yeung, Bernard] Southern Univ Sci &amp; Technol, Shenzhen, Guangdong, Peoples R China; [Yeung, Bernard] Asian Bur Finance &amp; Econ Res, Singapore, Singapore; [Yeung, Bernard] NUS Business Sch, Singapore, Singapore; [Zhang, Xiaoyan] Tsinghua Univ PBC Sch Finance, Beijing, Peoples R China</t>
  </si>
  <si>
    <t>Fintech, financial inclusion, digital currency, and CBDC</t>
  </si>
  <si>
    <t>Cao, Huining (Henry); Huang, Yi; Huang, Yiping; Yeung, Bernard; Zhang, Xiaoyan</t>
  </si>
  <si>
    <t>Cao, HN; Huang, Y; Huang, YP; Yeung, BR; Zhang, XY</t>
  </si>
  <si>
    <t>WOS:000409484200023</t>
  </si>
  <si>
    <t>FG0TC</t>
  </si>
  <si>
    <t>Cad. Dereito Actual</t>
  </si>
  <si>
    <t>CAD DEREITO ACTUAL</t>
  </si>
  <si>
    <t>2386-5229</t>
  </si>
  <si>
    <t>2340-860X</t>
  </si>
  <si>
    <t>SERVICIO DE PUBLICACIONES E INTERCAMBIO CIENTIFICO, CAMPUS UNIV SUR, SANTIAGO DE COMPOSTELA, 15782, SPAIN</t>
  </si>
  <si>
    <t>SANTIAGO DE COMPOSTELA</t>
  </si>
  <si>
    <t>UNIV SANTIAGO COMPOSTELA</t>
  </si>
  <si>
    <t>Campina, Ana/B-8818-2015; Teixeira, Maria/H-3797-2017</t>
  </si>
  <si>
    <t>acampina@upt.pt; emiliat@upt.pt</t>
  </si>
  <si>
    <t>Campina, A (corresponding author), Univ Portucalense, Oporto, Portugal.</t>
  </si>
  <si>
    <t>Universidade Portucalense Infante D. Henrique</t>
  </si>
  <si>
    <t>[Campina, Ana; Emilia Teixeira, Maria] Univ Portucalense, Oporto, Portugal</t>
  </si>
  <si>
    <t>The financial system, due to its repercussions on the financial health of families and the economic growth of a country, needs an effective intervention in the financial inclusion of citizens. It is not enough to carry out studies, it is necessary to take from its results useful and safe measures, with a view to a greater financial education, which is not only a right but an obligation. The Human Right to the Education in Portugal, the legal and social characteristics, in a law spiral and the needs exigence, starting by the knowledge of the structures and the alert state to the true questions that affect the real access to the Education as a basilar strategy of life and society evolution.</t>
  </si>
  <si>
    <t>Human Rights; Education; Financial Literacy</t>
  </si>
  <si>
    <t>CADERNOS DE DEREITO ACTUAL</t>
  </si>
  <si>
    <t>The right or obligation to financial literacy?</t>
  </si>
  <si>
    <t>Campina, Ana; Emilia Teixeira, Maria</t>
  </si>
  <si>
    <t>Campina, A; Teixeira, ME</t>
  </si>
  <si>
    <t>WOS:000720365600001</t>
  </si>
  <si>
    <t>0I8MM</t>
  </si>
  <si>
    <t>Social Work; Women's Studies</t>
  </si>
  <si>
    <t>10.1177/08861099211054024</t>
  </si>
  <si>
    <t>Affilia Feminist Inquiry Soc. Work</t>
  </si>
  <si>
    <t>AFFILIA</t>
  </si>
  <si>
    <t>1552-3020</t>
  </si>
  <si>
    <t>0886-1099</t>
  </si>
  <si>
    <t>Murshid, Navine/0000-0002-3875-9966</t>
  </si>
  <si>
    <t>nadinemu@buffalo.edu</t>
  </si>
  <si>
    <t>Murshid, NS (corresponding author), Univ Buffalo, Sch Social Work, 685 Baldy Hall, Buffalo, NY 14260 USA.</t>
  </si>
  <si>
    <t>State University of New York (SUNY) System; University at Buffalo, SUNY; Colgate University</t>
  </si>
  <si>
    <t>[Murshid, Nadine Shaanta] Univ Buffalo, Sch Social Work, 685 Baldy Hall, Buffalo, NY 14260 USA; [Murshid, Navine] Colgate Univ, Dept Polit Sci, Hamilton, NY 13346 USA</t>
  </si>
  <si>
    <t>In this study of microfinance institutions (MFIs) and their participants, we show how certain innovations made by MFIs during the COVID-19 pandemic enable further consolidation of NGOs in Bangladeshi society. The study is based on interviews conducted in 2020 with key personnel from three major NGOs in Bangladesh: Grameen, Sajida Foundation, and Brac (which is also the largest NGO in the world), as well as 20 interviews conducted in 2018 (before the pandemic) with microcredit recipients who use financial services. We observed that MFIs scaled up by taking on the function of relief provision, financial services became more entrenched, and NGO governance was bolstered as MFIs served as intermediaries between the state and people, even though, as the 2018 interviews reveal, microfinance participants were reticent about technology uptake.</t>
  </si>
  <si>
    <t>WOMENS EMPOWERMENT; PARTICIPATION; GENDER; NGOS; INFORMATION; DISASTER; VIOLENCE; IMPACT; POWER</t>
  </si>
  <si>
    <t>Bangladesh; microfinance; innovation; governmentality; relief; financial inclusion</t>
  </si>
  <si>
    <t>AFFILIA-FEMINIST INQUIRY IN SOCIAL WORK</t>
  </si>
  <si>
    <t>Innovations During COVID-19: Microfinance in Bangladesh</t>
  </si>
  <si>
    <t>Murshid, Nadine Shaanta; Murshid, Navine</t>
  </si>
  <si>
    <t>Murshid, NS; Murshid, N</t>
  </si>
  <si>
    <t>WOS:000678558500001</t>
  </si>
  <si>
    <t>WO1VD</t>
  </si>
  <si>
    <t>10.1108/QRFM-04-2020-0050</t>
  </si>
  <si>
    <t>Joshi, Girish/0000-0001-9440-9445</t>
  </si>
  <si>
    <t>Joshi, Girish/AEL-2211-2022</t>
  </si>
  <si>
    <t>joshigirish@gmail.com; bindyakohli@ssbf.edu.in; nas_idt@hotmail.com</t>
  </si>
  <si>
    <t>Joshi, G (corresponding author), Symbiosis Int Univ, Symbiosis Sch Econ, Pune, Maharashtra, India.</t>
  </si>
  <si>
    <t>Symbiosis International University; Symbiosis School of Economics (SSE); Symbiosis International University; Symbiosis School of Banking &amp; Finance (SSBF)</t>
  </si>
  <si>
    <t>[Joshi, Girish] Symbiosis Int Univ, Symbiosis Sch Econ, Pune, Maharashtra, India; [Kohli, Bindya; Nalawade, Sandeep] Symbiosis Int Univ, Symbiosis Sch Banking &amp; Finance, Pune, Maharashtra, India</t>
  </si>
  <si>
    <t>Purpose This paper aims to investigate whether small finance banks (SFBs) in India are working towards financial inclusion through qualitative studies. Design/methodology/approach This paper uses a phenomenological approach in which semi-structured interviews were conducted with the employees of two SFBs in Mumbai with different specializations. Employee experience was captured to grasp, interpret and code data for the creation of different themes. Findings This research shows that the current literature on financial inclusion is inadequate to explain the behavior of the needy in India. Study found multiple themes of financial inclusion, namely, financial literacy, self-esteem, use of technology, prompt repayment, credit identity, cross-referencing and financial stability. Although overall results are positive, to generalize the results, SFBs need to spend some more time in business. The findings of this study can be of global benefit to micro-finance organizations of a similar scale to achieve financial inclusion and business improvement. Research limitations/implications This qualitative study was performed at a single location and with a limited sample size, which underlines the need for repeated exercises at multiple locations with a larger sample size to establish a broader logical generality. It also points out the need for a study of employee themes to enhance the business processes of SFBs. Originality/value To the best of the authors' knowledge, this qualitative study is first attempt to figure out the extent of work done by SFBs in India in promoting financial inclusion. Themes related to financial inclusion can provide further thought process for policymakers for financial inclusion and business improvement. Findings refer not only to Indian organizations but also to small banks around the world to recognize the underpinnings of financial inclusion and what small banks and micro-finance institutions can do to make it meaningful.</t>
  </si>
  <si>
    <t>MICROFINANCE; SERVICES</t>
  </si>
  <si>
    <t>Financial literacy; Qualitative research; Phenomenology; Financial inclusion; Credit identity; Small finance banks</t>
  </si>
  <si>
    <t>Are small finance banks acting as catalysts for financial inclusion in India? A phenomenological study</t>
  </si>
  <si>
    <t>Joshi, Girish; Kohli, Bindya; Nalawade, Sandeep</t>
  </si>
  <si>
    <t>Joshi, G; Kohli, B; Nalawade, S</t>
  </si>
  <si>
    <t>WOS:000720659400001</t>
  </si>
  <si>
    <t>Green Submitted, Green Accepted, hybrid</t>
  </si>
  <si>
    <t>5Z8GE</t>
  </si>
  <si>
    <t>10.1111/apce.12360</t>
  </si>
  <si>
    <t>Biosca, Olga/0000-0003-0422-0003; Bellazzecca, Enrico/0000-0002-3936-6945</t>
  </si>
  <si>
    <t>enrico.bellazzecca@polimi.it</t>
  </si>
  <si>
    <t>Bellazzecca, E (corresponding author), Politecn Milan, Dept Management Econ &amp; Ind Engn, Milan, Italy.</t>
  </si>
  <si>
    <t>Polytechnic University of Milan; Glasgow Caledonian University</t>
  </si>
  <si>
    <t>[Bellazzecca, Enrico] Politecn Milan, Dept Management Econ &amp; Ind Engn, Milan, Italy; [Biosca, Olga] Glasgow Caledonian Univ, Yunus Ctr Social Business &amp; Hlth, Glasgow, Lanark, Scotland</t>
  </si>
  <si>
    <t>Taking advantage of the passage of a microfinance law in Italy (2014), we explore the rationales for introducing microfinance-specific regulation in high-income welfare states and the potential effects that this process may have on MFIs' social and financial performances (i.e. double bottom line). Our findings suggest that the institutional transformation of MFIs, in addition to product design and target group required by the new regulation, has unintendedly shifted their balance in favor of financial over social performance. This mainly applies to non-profit organizations and cooperatives. Microfinance-specific regulation in high-income welfare states may reflect the emerging trends of market-based rationality of public policy. When regulatory arrangements for MFIs are stipulated irrespectively of MFIs' original mission the structural causes of financial exclusion may be reinforced. The underlying rationales for this trade-off should be considered to prevent and mitigate the unintended effects of microfinance-specific regulation.</t>
  </si>
  <si>
    <t>ETHICAL CRISIS; MISSION; SUSTAINABILITY; ORGANIZATIONS; PERFORMANCE; MICROCREDIT; NIGERIA; STATE; NGOS</t>
  </si>
  <si>
    <t>microfinance regulation; welfare state; financial performance; social performance; institutional transformation</t>
  </si>
  <si>
    <t>Intended and unintended effects of specialized regulation on microfinance institutions' double-bottom line management</t>
  </si>
  <si>
    <t>Bellazzecca, Enrico; Biosca, Olga</t>
  </si>
  <si>
    <t>Bellazzecca, E; Biosca, O</t>
  </si>
  <si>
    <t>WOS:000454251200003</t>
  </si>
  <si>
    <t>Green Submitted, Green Accepted</t>
  </si>
  <si>
    <t>HF5CW</t>
  </si>
  <si>
    <t>10.1016/j.asoc.2018.10.004</t>
  </si>
  <si>
    <t>Appl. Soft. Comput.</t>
  </si>
  <si>
    <t>APPL SOFT COMPUT</t>
  </si>
  <si>
    <t>1872-9681</t>
  </si>
  <si>
    <t>1568-4946</t>
  </si>
  <si>
    <t>Sarraute, Carlos/0000-0002-7409-6338; Óskarsdóttir, María/0000-0001-5095-5356; Bravo, Cristián/0000-0003-1579-1565; Vanthienen, Jan/0000-0002-3867-7055</t>
  </si>
  <si>
    <t>; Bravo, Cristián/K-1919-2012; Vanthienen, Jan/P-7425-2019</t>
  </si>
  <si>
    <t>maria.oskarsdottir@kuleuven.be; C.Bravo@soton.ac.uk; charles@grandata.com; jan.vanthienen@kuleuven.be; bart.baesens@kuleuven.be</t>
  </si>
  <si>
    <t>Oskarsdóttir, M (corresponding author), Katholieke Univ Leuven, Dept Decis Sci &amp; Informat Management, Leuven, Belgium.</t>
  </si>
  <si>
    <t>KU Leuven; University of Southampton</t>
  </si>
  <si>
    <t>[Oskarsdottir, Maria; Vanthienen, Jan; Baesens, Bart] Katholieke Univ Leuven, Dept Decis Sci &amp; Informat Management, Leuven, Belgium; [Bravo, Cristian; Baesens, Bart] Univ Southampton, Dept Decis Analyt &amp; Risk, Southampton, Hants, England; [Sarraute, Carlos] Grandata Labs, 550 15th St, San Francisco, CA 94103 USA</t>
  </si>
  <si>
    <t>Credit scoring is without a doubt one of the oldest applications of analytics. In recent years, a multitude of sophisticated classification techniques have been developed to improve the statistical performance of credit scoring models. Instead of focusing on the techniques themselves, this paper leverages alternative data sources to enhance both statistical and economic model performance. The study demonstrates how including call networks, in the context of positive credit information, as a new Big Data source has added value in terms of profit by applying a profit measure and profit-based feature selection. A unique combination of datasets, including call-detail records, credit and debit account information of customers is used to create scorecards for credit card applicants. Call-detail records are used to build call networks and advanced social network analytics techniques are applied to propagate influence from prior defaulters throughout the network to produce influence scores. The results show that combining call-detail records with traditional data in credit scoring models significantly increases their performance when measured in AUC. In terms of profit, the best model is the one built with only calling behavior features. In addition, the calling behavior features are the most predictive in other models, both in terms of statistical and economic performance. The results have an impact in terms of ethical use of call-detail records, regulatory implications, financial inclusion, as well as data sharing and privacy. (C) 2018 Elsevier B.V. All rights reserved.</t>
  </si>
  <si>
    <t>ART CLASSIFICATION ALGORITHMS; INFORMATION; PREDICTION; RISK</t>
  </si>
  <si>
    <t>Credit scoring; Social network analysis; Profit measure; Mobile phone data; Decision support</t>
  </si>
  <si>
    <t>APPLIED SOFT COMPUTING</t>
  </si>
  <si>
    <t>The value of big data for credit scoring: Enhancing financial inclusion using mobile phone data and social network analytics</t>
  </si>
  <si>
    <t>Oskarsdottir, Maria; Bravo, Cristian; Sarraute, Carlos; Vanthienen, Jan; Baesens, Bart</t>
  </si>
  <si>
    <t>Oskarsdóttir, M; Bravo, C; Sarraute, C; Vanthienen, J; Baesens, B</t>
  </si>
  <si>
    <t>WOS:000364787100028</t>
  </si>
  <si>
    <t>BD9JU</t>
  </si>
  <si>
    <t>978-7-89437-146-1</t>
  </si>
  <si>
    <t>2 LINGGONG RD, DALIAN 116024, PEOPLES R CHINA</t>
  </si>
  <si>
    <t>DALIAN</t>
  </si>
  <si>
    <t>DALIAN UNIV TECHNOL PRESS</t>
  </si>
  <si>
    <t>Cui, YJ (corresponding author), Dalian Polytech Univ, Sch Management, Dalian 116034, Peoples R China.</t>
  </si>
  <si>
    <t>Dalian Polytechnic University; Dalian University of Technology</t>
  </si>
  <si>
    <t>[Cui Yanjuan; Xu Xiaodong; Liu Xuejing] Dalian Polytech Univ, Sch Management, Dalian 116034, Peoples R China; [Cui Yanjuan; Chen Kejing] Dalian Univ Technol, Fac Econ &amp; Management, Dalian 116024, Peoples R China</t>
  </si>
  <si>
    <t>This paper investigates the effect of financial inclusion and financial instability on poverty alleviation using constructed financial inclusion index with the panel data of China from 2006 to 2013. The results suggest that financial inclusion can improve the poor well being though the channels of economy growth and income distribution. Financial inclusion has a positive effect on poverty alleviation, but financial instability will neutralize the effect of financial inclusion.</t>
  </si>
  <si>
    <t>INEQUALITY; GROWTH; POOR</t>
  </si>
  <si>
    <t>financial inclusion; financial instability; poverty alleviation</t>
  </si>
  <si>
    <t>Univ Nevada, Dept Finance,Dalian Univ Technol, Inst Finance</t>
  </si>
  <si>
    <t>Henderson, NV</t>
  </si>
  <si>
    <t>AUG 18-20, 2015</t>
  </si>
  <si>
    <t>7th International Conference on Financial Risk and Corporate Finance Management</t>
  </si>
  <si>
    <t>PROCEEDINGS OF THE 7TH (2015) INTERNATIONAL CONFERENCE ON FINANCIAL RISK AND CORPORATE FINANCE MANAGEMENT</t>
  </si>
  <si>
    <t>Financial Inclusion, Financial Instability and Poverty Alleviation: the Case of China</t>
  </si>
  <si>
    <t>Cui Yanjuan; Chen Kejing; Xu Xiaodong; Liu Xuejing</t>
  </si>
  <si>
    <t>Yangru, W; Yanxi, L</t>
  </si>
  <si>
    <t>Cui, YJ; Chen, KJ; Xu, XD; Liu, XJ</t>
  </si>
  <si>
    <t>WOS:000669445600001</t>
  </si>
  <si>
    <t>TT5UE</t>
  </si>
  <si>
    <t>10.1108/JMLC-08-2020-0096</t>
  </si>
  <si>
    <t>JUL 23</t>
  </si>
  <si>
    <t>mark.rowe.001@gmail.com</t>
  </si>
  <si>
    <t>Rowe, M (corresponding author), Univ Cambridge, Cambridge, England.</t>
  </si>
  <si>
    <t>[Rowe, Mark] Univ Cambridge, Cambridge, England</t>
  </si>
  <si>
    <t>Purpose This paper aims to examines the trade-offs that Small Island Developing States (SIDS) must make in navigating an inappropriate elite-driven global anti-money laundering anti-money laundering/countering the financing of terrorism (AML-CFT) order. This paper examines the case of Samoa, an under-researched Pacific Island nation. It is hoped that this paper will have a wider resonance for policymakers from other developing nations facing similar challenges. Design/methodology/approach It draws on the latest Samoan domestic source material and Asia/Pacific Group on Money Laundering Mutual Evaluation Reports to highlight the difficult balancing act that SIDS face in complying with complex global norms within their limited regulatory capacity and competing development priorities of financial inclusion and affordable remittance flows. Findings Samoa and other SIDS in balancing the existential risks of blacklisting with the significant regulatory opportunity costs of compliance undertake an expensive form of AML-CFT window-dressing. Policymakers need to be more sensitive to the needs and regulatory opportunity costs of small jurisdictions, particularly when questions about the effectiveness of the AML-CFT remain open. Research limitations/implications The author notes Samoa's offshore center's role in raising its risk profile. However, owing to this paper's limited scope offshore center (OFCs) will not be explored in depth. Further research is needed in this area. Originality/value There is a dearth of contemporary academic research into AML-CFT regulation in the South Pacific and Samoa specifically. This paper presents through its Samoan case study insights into the cost-benefit calculations that small jurisdictions must make in seeking to comply with elite global AML-CFT norms vis-a-vis competing policy goals such as financial inclusion and ready access to remittance flows.</t>
  </si>
  <si>
    <t>Money laundering; Samoa; SIDS; Derisking; Pacific Islands; Small Island Developing State</t>
  </si>
  <si>
    <t>A difficult balancing act: the Samoan experience with money laundering regulation</t>
  </si>
  <si>
    <t>Rowe, Mark</t>
  </si>
  <si>
    <t>Rowe, M</t>
  </si>
  <si>
    <t>WOS:000884605000001</t>
  </si>
  <si>
    <t>9E8GG</t>
  </si>
  <si>
    <t>10.1007/s40609-022-00255-6</t>
  </si>
  <si>
    <t>Preko, Alexander/HLX-1473-2023; Ansong, David/P-6162-2016</t>
  </si>
  <si>
    <t>charles.ofori-acquah@cibgh.org; christine.avortri@cibgh.org; alexander.preko@upsamail.edu.gh; ansong@email.unc.edu</t>
  </si>
  <si>
    <t>Ofori-Acquah, C (corresponding author), Chartered Inst Bankers, Accra, Ghana.</t>
  </si>
  <si>
    <t>University of North Carolina; University of North Carolina Chapel Hill</t>
  </si>
  <si>
    <t>[Ofori-Acquah, Charles; Avortri, Christine] Chartered Inst Bankers, Accra, Ghana; [Preko, Alexander] Univ Profess Studies, Dept Mkt, POB LG 149 Legon, Accra, Ghana; [Ansong, David] Univ N Carolina, Sch Social Work, 325 Pittsboro St,CB 3550, Chapel Hill, NC 27599 USA</t>
  </si>
  <si>
    <t>This paper explores the role of Ghana's National Financial Inclusion and Development Strategy (NFIDS) in fostering a robust regulatory and policy environment to enhance financial inclusion. The paper applies Ginsberg and Miller-Cribbs' (2005) policy analysis framework to the analysis of financial inclusion. We found that Ghana's implementation of various financial infrastructures and initiatives, including interoperable retail payment and QR code systems, have facilitated the digitalization of financial services. These changes have contributed to an increase in mobile money account holders, mobile microinsurance, and mobile lending services. However, the findings revealed (a) a lack of evidence of the policy's impact on the disparity in access to financial services in some regions and demographics, (b) insufficient progress tracking of the financial service agenda as aimed in the policy, and (c) ambiguity in the funding of the NFIDS implementation. Other challenges to the policy include high rates of financial illiteracy, cybercrimes and fraud, unstable internet connectivity, high-interest rate, high charges of mobile and digital services, and lack of confidence in the legal system to seek redress. Overall, Ghana has made significant progress in promoting financial inclusion on the African continent. Policy and practical implications of the findings are discussed.</t>
  </si>
  <si>
    <t>Financial inclusion; FinTech; Financial policy; Financial literacy; Digital services</t>
  </si>
  <si>
    <t>Analysis of Ghana's National Financial Inclusion and Development Strategy: Lessons Learned</t>
  </si>
  <si>
    <t>Ofori-Acquah, Charles; Avortri, Christine; Preko, Alexander; Ansong, David</t>
  </si>
  <si>
    <t>Ofori-Acquah, C; Avortri, C; Preko, A; Ansong, D</t>
  </si>
  <si>
    <t>WOS:000360196300064</t>
  </si>
  <si>
    <t>CP9EK</t>
  </si>
  <si>
    <t>Sarma, Mandira/0000-0003-4761-730X</t>
  </si>
  <si>
    <t>Sarma, Mandira/KUD-2746-2024</t>
  </si>
  <si>
    <t>msarma.ms@gmail.com</t>
  </si>
  <si>
    <t>Sarma, M (corresponding author), Jawaharlal Nehru Univ, New Delhi, India.</t>
  </si>
  <si>
    <t>Jawaharlal Nehru Univ, New Delhi, India</t>
  </si>
  <si>
    <t>Using a distance-based approach, this paper proposes an index of financial inclusion (IFI) - a measure of inclusiveness of a financial system that incorporates information on various dimensions of financial inclusion in a single number lying between 0 and 1. The proposed index is easy to compute and is comparable across economies and over time. It is unit-free, monotonous and homogeneous.</t>
  </si>
  <si>
    <t>Measuring financial inclusion</t>
  </si>
  <si>
    <t>Sarma, Mandira</t>
  </si>
  <si>
    <t>Sarma, M</t>
  </si>
  <si>
    <t>WOS:000389502000001</t>
  </si>
  <si>
    <t>EE3OT</t>
  </si>
  <si>
    <t>Economics; Women's Studies</t>
  </si>
  <si>
    <t>10.1080/13545701.2016.1193213</t>
  </si>
  <si>
    <t>Fem. Econ.</t>
  </si>
  <si>
    <t>FEM ECON</t>
  </si>
  <si>
    <t>1466-4372</t>
  </si>
  <si>
    <t>1354-5701</t>
  </si>
  <si>
    <t>This research was funded in part by a dissertation grant from the University of Massachusetts Boston. The author would like to thank Leanne Roncolato, Ebru Kongar, four anonymous reviewers, and the journal editors and associate editor for their extremely helpful comments, which led to the substantial improvement of this work.</t>
  </si>
  <si>
    <t>University of Massachusetts Boston</t>
  </si>
  <si>
    <t>Zulfiqar, G (corresponding author), Lahore Univ Management Sci, Suleman Dawood Sch Business, Lahore, Pakistan.</t>
  </si>
  <si>
    <t>[Zulfiqar, Ghazal] Lahore Univ Management Sci, Suleman Dawood Sch Business, Lahore, Pakistan</t>
  </si>
  <si>
    <t>This paper descriptively analyzes longitudinal microfinance outreach numbers and interview data from 140 practitioners and borrowers in Pakistan to examine whether the claim that microfinance enhances gender equity in access to finance can be substantiated. This assertion has recently replaced the more ambitious contention that microfinance has an empowering impact on women. The paper argues that this shift has occurred because of increased commercialization at the global level and authoritative assessments against the empowerment claim. The study further considers whether the frame of competing logics from institutional theory can explain the case of the Pakistani microfinance sector, in which, as shown here, commercialized microfinance has actually led to a rise in gender inequalities in access to finance. The paper attributes this rise to the inability of the Pakistani microfinance sector to reconcile the competing logics of development and banking.</t>
  </si>
  <si>
    <t>CREDIT; EMPOWERMENT; WOMEN</t>
  </si>
  <si>
    <t>Microfinance; gender inequality; institutional analysis</t>
  </si>
  <si>
    <t>FEMINIST ECONOMICS</t>
  </si>
  <si>
    <t>DOES MICROFINANCE ENHANCE GENDER EQUITY IN ACCESS TO FINANCE? EVIDENCE FROM PAKISTAN</t>
  </si>
  <si>
    <t>WOS:001621209100001</t>
  </si>
  <si>
    <t>D1153</t>
  </si>
  <si>
    <t>10.1002/fcsr.70035</t>
  </si>
  <si>
    <t>NOV 24</t>
  </si>
  <si>
    <t>This work was supported by the USDA National Institute of Food and Agriculture, Hatch project MIN-52-07.</t>
  </si>
  <si>
    <t>USDA National Institute of Food and Agriculture(United States Department of Agriculture (USDA))</t>
  </si>
  <si>
    <t>USDA National Institute of Food and Agriculture [MIN-52-07]</t>
  </si>
  <si>
    <t>vzuiker@umn.edu</t>
  </si>
  <si>
    <t>Zuiker, VS (corresponding author), Univ Minnesota, Dept Family Social Sci, 290 McNeal Hall,1985 Buford Ave, St Paul, MN 55108 USA.</t>
  </si>
  <si>
    <t>Minnesota State Colleges &amp; Universities; Minnesota State University Mankato; University of Minnesota System; University of Minnesota Twin Cities</t>
  </si>
  <si>
    <t>[Lee, Jae Min] Minnesota State Univ, Dept Family Consumer Sci, Mankato, MN USA; [Zuiker, Virginia S.] Univ Minnesota, Dept Family Social Sci, 290 McNeal Hall,1985 Buford Ave, St Paul, MN 55108 USA</t>
  </si>
  <si>
    <t>The study examined the relationship between financial education and financial capability through a subgroup analysis of self-employed and paid-employed workers. Using the 2021 National Financial Capability Study, regression analysis with seemingly unrelated estimation shows that self-employed workers had lower levels of financial capability than paid-employed workers while financial education had a greater positive role on the financial capability of the self-employed workers than paid-employed workers. The findings suggest the importance of financial education as a positive factor in the financial capability of the self-employed worker. Tailoring educational programs to the unique needs of self-employed workers can enhance their effectiveness in financial capability.</t>
  </si>
  <si>
    <t>LITERACY; SATISFACTION; BEHAVIOR</t>
  </si>
  <si>
    <t>financial capability; financial education; National Financial Capability Study; seemingly unrelated estimation; self-employed</t>
  </si>
  <si>
    <t>Exploring financial education and financial capability: A subgroup analysis of self-employed and paid-employed</t>
  </si>
  <si>
    <t>Lee, Jae Min; Zuiker, Virginia S.</t>
  </si>
  <si>
    <t>Lee, JM; Zuiker, VS</t>
  </si>
  <si>
    <t>WOS:000431312200004</t>
  </si>
  <si>
    <t>GE6CS</t>
  </si>
  <si>
    <t>10.1007/s10834-017-9556-1</t>
  </si>
  <si>
    <t>LeBaron-Black, Ashley/0000-0002-4980-2659</t>
  </si>
  <si>
    <t>Hill, E./A-8509-2009; LeBaron-Black, Ashley/JYQ-1823-2024</t>
  </si>
  <si>
    <t>lebaronashley@gmail.com</t>
  </si>
  <si>
    <t>LeBaron, AB (corresponding author), Brigham Young Univ, 2086 JFSB, Provo, UT 84602 USA.</t>
  </si>
  <si>
    <t>Brigham Young University</t>
  </si>
  <si>
    <t>[LeBaron, Ashley B.; Hill, E. Jeffrey; Rosa, Christina M.; Spencer, Travis J.; Marks, Loren D.; Powell, Joshua T.] Brigham Young Univ, 2086 JFSB, Provo, UT 84602 USA</t>
  </si>
  <si>
    <t>Millennials are struggling to meet current financial challenges. As we strive to improve financial capability in future generations, it is important that we look to the primary source of financial education: parents. This qualitative, multigenerational study explored what Millennials and their parents and grandparents (N = 153) wish they had been taught about finances by their parents, as well as what parents and grandparents wish they had taught their children. Thematic content coding of the interviews revealed three core I Wish themes: Practical Knowledge, Financial Stewardship, and Open Communication. These findings can assist researchers, family life educators, financial educators, parents, and future parents to enhance the financial education provided by parents in the home.</t>
  </si>
  <si>
    <t>FINANCIAL LITERACY; SOCIALIZATION; EDUCATION; ROLES; DEBT; LONG</t>
  </si>
  <si>
    <t>Financial socialization; Financial education; Parenting; Family finance; Millennials; Emerging adults; Qualitative</t>
  </si>
  <si>
    <t>I Wish: Multigenerational Regrets and Reflections on Teaching Children About Money</t>
  </si>
  <si>
    <t>LeBaron, Ashley B.; Hill, E. Jeffrey; Rosa, Christina M.; Spencer, Travis J.; Marks, Loren D.; Powell, Joshua T.</t>
  </si>
  <si>
    <t>LeBaron, AB; Hill, EJ; Rosa, CM; Spencer, TJ; Marks, LD; Powell, JT</t>
  </si>
  <si>
    <t>WOS:000597899900001</t>
  </si>
  <si>
    <t>PD8AC</t>
  </si>
  <si>
    <t>10.3390/su122310130</t>
  </si>
  <si>
    <t>PALAZZO, MARIA/0000-0002-8710-9054; Panait, Mirela/0000-0002-5158-753X; Raimi, Lukman/0000-0002-5329-8715</t>
  </si>
  <si>
    <t>PALAZZO, MARIA/L-9678-2019; Panait, Mirela/K-3300-2019; Raimi, Lukman/Q-5898-2018</t>
  </si>
  <si>
    <t>sianoalf@unisa.it; lukman.raimi@aun.edu.ng; mpalazzo@unisa.it; mirela.matei@upg-ploiesti.ro</t>
  </si>
  <si>
    <t>Siano, A (corresponding author), Univ Salerno, Dept Polit &amp; Commun Sci, I-84084 Salerno, Italy.</t>
  </si>
  <si>
    <t>University of Salerno; American University of Nigeria; Petroleum-Gas University of Ploiesti</t>
  </si>
  <si>
    <t>[Siano, Alfonso; Palazzo, Maria] Univ Salerno, Dept Polit &amp; Commun Sci, I-84084 Salerno, Italy; [Raimi, Lukman] Amer Univ Nigeria, Dept Entrepreneurship &amp; Management, Lagos 23401, Nigeria; [Panait, Mirela Clementina] Petr Gas Univ Ploiesti, Dept Cybernet Econ Informat Finance &amp; Accounting, Ploiesti 100680, Romania</t>
  </si>
  <si>
    <t>Purpose-This research discusses emerging trends in financial inclusion, barriers and factors influencing mobile banking as an innovative solution for increasing financial inclusion in sub-Saharan Africa (SSA) with a specific focus on Nigeria. Design/methodology/approach-Using a qualitative meta-synthesis (QMS), an interpretivist research paradigm, authors provide an analytical tool for understanding the subject of inquiry by integrating findings from previous studies and relevant data from the reports of the Central Bank of Nigeria on emerging trends in financial inclusion. Findings-Three major factors emerged as drivers of mobile banking in Nigeria: (a) the ease of using mobile devices for personal banking transactions including prompt information about users' financial transactions (savings and withdrawals) immediately through SMS (short message service) alert (easy management of my account); (b) the security/safety concerns of theft and cyber fraud; (c) social influence of friends, relatives, policy makers and social trends. Implications-In contextualizing mobile banking in SSA and in Nigeria in particular, this paper contributes to exploring the growth in the use of mobile banking by linking it with the value in use (VIU) perspective. This approach of the service dominant logic involves three sub-constructs (experience, personalization, and relationship), which all validate and support the proposed assertion that mobile banking is adopted by users because of utility expectancy (perceived usefulness), effort expectancy (perceived ease of use), and social influence expectancy (opinions of friends/relatives). Originality/value-This research, although qualitative in nature, validates information technology (IT) adoption theories/perspectives and enriches the value in use approach.</t>
  </si>
  <si>
    <t>DETERMINANTS; INTENTION; SERVICES; ADOPTION; MONEY</t>
  </si>
  <si>
    <t>financial inclusion; innovative solution; mobile banking; Nigeria; sub-Saharan Africa (SSA); qualitative meta-synthesis (QMS); banking industry; digital transformation; value in use approach</t>
  </si>
  <si>
    <t>Mobile Banking: An Innovative Solution for Increasing Financial Inclusion in Sub-Saharan African Countries: Evidence from Nigeria</t>
  </si>
  <si>
    <t>Siano, Alfonso; Raimi, Lukman; Palazzo, Maria; Panait, Mirela Clementina</t>
  </si>
  <si>
    <t>Siano, A; Raimi, L; Palazzo, M; Panait, MC</t>
  </si>
  <si>
    <t>WOS:001155154700001</t>
  </si>
  <si>
    <t>ZZ9M7</t>
  </si>
  <si>
    <t>10.1108/APJML-08-2023-0793</t>
  </si>
  <si>
    <t>Singh, Tejinderpal/0000-0001-8422-5554</t>
  </si>
  <si>
    <t>n.sharma@westernsydney.edu.au</t>
  </si>
  <si>
    <t>Sharma, N (corresponding author), Western Sydney Univ, Sydney, Australia.</t>
  </si>
  <si>
    <t>Western Sydney University; Panjab University</t>
  </si>
  <si>
    <t>[Sharma, Neeru] Western Sydney Univ, Sydney, Australia; [Singh, Tejinderpal] Univ Business Sch, Panjab Univ, Chandigarh, India</t>
  </si>
  <si>
    <t>PurposeThe study investigates whether the customer experience, satisfaction and continuance intention interrelationships in mobile banking services vary across Generation (Gen) Y and Gen Z consumers.Design/methodology/approachThe data were collected using online surveys from 224 Gen Y and 238 Gen Z mobile banking users. The study uses the partial least squares structural equation modelling (PLS-SEM) technique and an asymmetrical analytical approach through fuzzy set qualitative comparative analysis (fsQCA) to examine the effects of five experience dimensions (pragmatic, usability, affective, sensory and social) and satisfaction on continuance intention.FindingsWhilst Gen Z values pragmatic and affective experiences more than Gen Y and assigns less importance to usability experience (Uxp), both PLS-SEM and fsQCA did not find any significant impact of sensory experience (Sxp) in any cohort. In contrast, fsQCA suggests that social experience could play a significant role for specific segments within both generations. Furthermore, PLS-SEM demonstrates a greater impact of satisfaction on continuance intention for Gen Y than for Gen Z.Research limitations/implicationsThe sample consists of high/middle-income urban consumers in one country. Future research could investigate low-income and semi-urban/rural consumers and consumers living in other countries.Practical implicationsBanks must recognise the diversity within and between Gen Y and Gen Z, adopting a segmented user experience approach. Users within each generation may prioritise distinct aspects of the mobile banking app and understanding the specific differences between Gen Y and Gen Z preferences is crucial.Social implicationsEncouraging mobile banking users to engage in community-driven financial initiatives can inspire non-users, promoting digital financial inclusion.Originality/valueTo the best of the authors' knowledge, this study is the first to compare the customer experience-based psychological patterns of continued mobile banking use in Gen Y and Gen Z.</t>
  </si>
  <si>
    <t>MODEL</t>
  </si>
  <si>
    <t>Continuance intention; Customer experience; Mobile banking; Generation Y; Generation Z</t>
  </si>
  <si>
    <t>Mobile banking app experience of generation Y and Z consumers</t>
  </si>
  <si>
    <t>Sharma, Neeru; Sharma, Meena; Singh, Tejinderpal</t>
  </si>
  <si>
    <t>Sharma, N; Sharma, M; Singh, T</t>
  </si>
  <si>
    <t>WOS:001278357800001</t>
  </si>
  <si>
    <t>3IM9L</t>
  </si>
  <si>
    <t>10.1108/CFRI-03-2024-0083</t>
  </si>
  <si>
    <t>JUN 5</t>
  </si>
  <si>
    <t>China Financ. Rev. Int.</t>
  </si>
  <si>
    <t>CHINA FINANC REV INT</t>
  </si>
  <si>
    <t>2044-1401</t>
  </si>
  <si>
    <t>2044-1398</t>
  </si>
  <si>
    <t>This work is supported by the Innovation and Talent Base for Digital Technology and Finance (B21038). We would like to thank the anonymous reviewers for their relevant and rich remarks that allowed us to improve the presentation of our results.</t>
  </si>
  <si>
    <t>Innovation and Talent Base for Digital Technology and Finance</t>
  </si>
  <si>
    <t>Innovation and Talent Base for Digital Technology and Finance [B21038]</t>
  </si>
  <si>
    <t>Jia, Ying/0000-0002-0510-3629;</t>
  </si>
  <si>
    <t>; Sun, Xianming/H-7225-2016</t>
  </si>
  <si>
    <t>jy.ivy@outlook.com</t>
  </si>
  <si>
    <t>Jia, Y (corresponding author), Zhongnan Univ Econ &amp; Law, Sch Finance, Wuhan, Peoples R China.</t>
  </si>
  <si>
    <t>Zhongnan University of Economics &amp; Law</t>
  </si>
  <si>
    <t>[Lv, Yongbin; Jia, Ying; Sang, Chenying; Sun, Xianming] Zhongnan Univ Econ &amp; Law, Sch Finance, Wuhan, Peoples R China</t>
  </si>
  <si>
    <t>PurposeThis study investigates the causal relationship and mechanisms between the development of digital finance and household carbon emissions. Its objective is to explore how digital finance can influence the carbon footprint at the household level, aiming to contribute to the broader understanding of financial innovations' environmental impacts.Design/methodology/approachThe research combines macro and micro data, employing input-output analysis to utilize data from the China Household Finance Survey (CHFS) for the years 2013, 2015, 2017, and 2019, national input-output tables, and Energy Statistical Yearbooks. This approach calculated CO2 emissions at the household level, including the growth rate of household carbon emissions and per capita emissions. It further integrates the Peking University Digital Financial Inclusion Index of China (PKU-DFIIC) for 2012-2018 and corresponding urban economic data, resulting in panel data for 7,191 households across 151 cities over four years. A fixed effects model was employed to examine the impact of digital finance development on household carbon emissions.FindingsThe findings reveal that digital finance significantly lowers household carbon emissions. Further investigation shows that digital transformation, consumption structure upgrades, and improved household financial literacy enhance the restraining effect of digital finance on carbon emissions. Heterogeneity analysis indicates that this mitigating effect is more pronounced in households during the nurturing phase, those using convenient payment methods, small-scale, and urban households. Sub-index tests suggest that the broadening coverage and deepening usage of digital finance primarily drive its impact on reducing household carbon emissions.Practical implicationsThe paper recommends that China should continue to strengthen the layout of digital infrastructure, leverage the advantages of digital finance, promote digital financial education, and facilitate household-level carbon emission management to support the achievement of China's dual carbon goals.Originality/valueThe originality of this paper lies in its detailed examination of the carbon reduction effects of digital finance at the micro (household) level. Unlike previous studies on carbon emissions that focused on absolute emissions, this research investigates the marginal impact of digital finance on relative increases in emissions. This method provides a robust assessment of the net effects of digital finance and offers a novel perspective for examining household carbon reduction measures. The study underscores the importance of considering heterogeneity when formulating targeted policies for households with different characteristics.</t>
  </si>
  <si>
    <t>ENERGY-REQUIREMENTS; CO2 EMISSIONS; CONSUMPTION; PATTERNS; URBANIZATION; EFFICIENCY; LITERACY; IMPACT</t>
  </si>
  <si>
    <t>Digital finance; Household carbon emissions; Digital transformation; Consumption structure; Financial literacy</t>
  </si>
  <si>
    <t>CHINA FINANCE REVIEW INTERNATIONAL</t>
  </si>
  <si>
    <t>Carbon reduction effect of digital finance in China: based on household micro data and input-output model</t>
  </si>
  <si>
    <t>Lv, Yongbin; Jia, Ying; Sang, Chenying; Sun, Xianming</t>
  </si>
  <si>
    <t>Lv, YB; Jia, Y; Sang, CY; Sun, XM</t>
  </si>
  <si>
    <t>WOS:001428694200001</t>
  </si>
  <si>
    <t>X9U0O</t>
  </si>
  <si>
    <t>10.1016/j.eap.2025.02.013</t>
  </si>
  <si>
    <t>This paper is supported by the National Natura Science Foundation of China (No.71863023) .</t>
  </si>
  <si>
    <t>National Natura Science Foundation of China(National Natural Science Foundation of China (NSFC))</t>
  </si>
  <si>
    <t>National Natura Science Foundation of China [71863023]</t>
  </si>
  <si>
    <t>Guo, Xuejun/GRJ-6836-2022</t>
  </si>
  <si>
    <t>guoxuejun20111@163.com</t>
  </si>
  <si>
    <t>Guo, XJ (corresponding author), Lanzhou Univ Finance &amp; Econ, Sch Business Adm, Lanzhou 730101, Gansu, Peoples R China.</t>
  </si>
  <si>
    <t>Lanzhou University of Finance &amp; Economics; The Chinese University of Hong Kong, Shenzhen; University of Nottingham</t>
  </si>
  <si>
    <t>[Guo, Xuejun] Lanzhou Univ Finance &amp; Econ, Sch Business Adm, Lanzhou 730101, Gansu, Peoples R China; [Guo, Xiaoxi] Chinese Univ Hong Kong, Sch Manage &amp; Econ, Shenzhen 518172, Guangdong, Peoples R China; [Guan, Haoran] Univ Nottingham, Accounting &amp; Finance, Nottingham, England</t>
  </si>
  <si>
    <t>This study investigates the influence of financial literacy on rural households' portfolio decisions in poverty alleviation regions. Findings reveal that enhanced financial literacy significantly increases both the extent and depth of households' engagement with financial risk assets. Financial literacy, encompassing knowledge, behavior, and attitudes, shapes investment approaches, with rural households often displaying conservative tendencies. Additionally, E-commerce promotion supports market participation, underscoring wealth and identity effects in portfolio choices, though without a noticeable crowding-out effect on venture capital investments.</t>
  </si>
  <si>
    <t>Financial literacy; Household portfolio choices; Inclusive finance; Poverty alleviation areas; Farmers</t>
  </si>
  <si>
    <t>Does rural Households' financial literacy affect the household portfolio choices in poverty alleviation areas?</t>
  </si>
  <si>
    <t>Guo, Xuejun; Guo, Xiaoxi; Guan, Haoran</t>
  </si>
  <si>
    <t>Guo, XJ; Guo, XX; Guan, HR</t>
  </si>
  <si>
    <t>WOS:000495123000001</t>
  </si>
  <si>
    <t>MA4AS</t>
  </si>
  <si>
    <t>10.1111/joca.12287</t>
  </si>
  <si>
    <t>Lee, Jonghee/0000-0002-0235-2689; Kim, Kyoung Tae/0000-0002-0673-721X</t>
  </si>
  <si>
    <t>Lee, Jonghee/GZN-1714-2022</t>
  </si>
  <si>
    <t>ktkim@ches.ua.edu; jongheelee@kmu.ac.kr; hanna.1@osu.edu</t>
  </si>
  <si>
    <t>Kim, KT (corresponding author), Univ Alabama, Dept Consumer Sci, Tuscaloosa, AL 35487 USA.</t>
  </si>
  <si>
    <t>University of Alabama System; University of Alabama Tuscaloosa; Keimyung University; University System of Ohio; Ohio State University</t>
  </si>
  <si>
    <t>[Kim, Kyoung Tae] Univ Alabama, Dept Consumer Sci, Tuscaloosa, AL 35487 USA; [Lee, Jonghee] Keimyung Univ, Dept Consumer Informat Studes, Daegu, South Korea; [Hanna, Sherman D.] Ohio State Univ, Human Sci Dept, Columbus, OH 43210 USA</t>
  </si>
  <si>
    <t>This study investigated the effect of objective and subjective financial literacy on mortgage payment delinquency using the 2015 National Financial Capability Study dataset. A hierarchical model showed a substantial negative effect of objective literacy on delinquency, but subjective literacy did not have a significant effect. The predicted likelihood of delinquency at the 10th percentile of objective literacy was over three times as high as the likelihood at the 90th percentile. In a model with combinations of high or low objective and subjective financial literacy, those who were overconfident had a delinquency likelihood three times as high as those who had high objective and subjective literacy. Subjective literacy had substantial effects on delinquency both for high- and low-objective literacy levels. In financial education, attention should be focused not only on objective learning but also making sure consumers are aware of the limitations of their understanding.</t>
  </si>
  <si>
    <t>The Effects of Financial Literacy Overconfidence on the Mortgage Delinquency of US Households</t>
  </si>
  <si>
    <t>Kim, Kyoung Tae; Lee, Jonghee; Hanna, Sherman D.</t>
  </si>
  <si>
    <t>Kim, KT; Lee, J; Hanna, SD</t>
  </si>
  <si>
    <t>WOS:000545483000001</t>
  </si>
  <si>
    <t>OI6WI</t>
  </si>
  <si>
    <t>Geography; Public Administration; Urban Studies</t>
  </si>
  <si>
    <t>Geography; Regional &amp; Urban Planning; Urban Studies</t>
  </si>
  <si>
    <t>10.1111/1468-2427.12916</t>
  </si>
  <si>
    <t>Int. J. Urban Reg. Res.</t>
  </si>
  <si>
    <t>INT J URBAN REGIONAL</t>
  </si>
  <si>
    <t>1468-2427</t>
  </si>
  <si>
    <t>0309-1317</t>
  </si>
  <si>
    <t>I am grateful to Susanne Soederberg and the three anonymous IJURR reviewers for their helpful comments and suggestions on earlier versions of the article. I also acknowledge the valuable support of Luisa Escobar in conducting parts of the interviews and jointly organizing the field trip in 2019. Research for this article was funded with grants from the German Academic Exchange Service (DAAD) and the German Research Foundation (DFG).</t>
  </si>
  <si>
    <t>German Academic Exchange Service (DAAD)(Deutscher Akademischer Austausch Dienst (DAAD)); German Research Foundation (DFG)(German Research Foundation (DFG))</t>
  </si>
  <si>
    <t>German Academic Exchange Service (DAAD); German Research Foundation (DFG)</t>
  </si>
  <si>
    <t>monika.grubbauer@hcu-hamburg.de</t>
  </si>
  <si>
    <t>Grubbauer, M (corresponding author), HafenC Univ Hamburg, Uberseeallee 16, D-20457Y Hamburg, Germany.</t>
  </si>
  <si>
    <t>[Grubbauer, Monika] HafenC Univ Hamburg, Uberseeallee 16, D-20457Y Hamburg, Germany</t>
  </si>
  <si>
    <t>This article examines forms of housing finance that offer poor households opportunities for sourcing resources for construction work through non-mortgage microloans. In Mexico, these housing microfinance schemes have recently been incorporated into national housing policies. On a global level, the past 10 to 15 years have seen the emergence of institutional investment in microfinance. I reflect on these processes in this article by bringing critical accounts of financial inclusion in development studies and the debate on financialization within urban studies and beyond into dialogue. I combine micro- and macro-scale perspectives to examine how households become financial clients and how finance gains influence by expanding capitalist markets into the informal housing sector. This discussion is based on policy review and document analyses and an empirically grounded account of an assisted self-help housing case study. In the article I draw on three focal concepts-risk, debt and marketization-to highlight the ambivalences of the expanded access to finance for poor households engaged in self-organized building practices. These ambivalences emerge from the multiplicity of operational logics and motivations in the field of housing provision for the poor, and the profoundly conflicting rationalities of financial- and social-sector actors.</t>
  </si>
  <si>
    <t>FINANCIALIZATION; FINANCE; FINANCIALISATION; HOMEOWNERSHIP; MICROFINANCE; GEOGRAPHY; MOBILITY; POLITICS; WORLD; STATE</t>
  </si>
  <si>
    <t>self-help housing; microfinance; financial inclusion; financialization; Mexico</t>
  </si>
  <si>
    <t>INTERNATIONAL JOURNAL OF URBAN AND REGIONAL RESEARCH</t>
  </si>
  <si>
    <t>Assisted Self-Help Housing in Mexico: Advocacy, (Micro)Finance and the Making of Markets</t>
  </si>
  <si>
    <t>Grubbauer, Monika</t>
  </si>
  <si>
    <t>Grubbauer, M</t>
  </si>
  <si>
    <t>WOS:000339490100002</t>
  </si>
  <si>
    <t>AL9VG</t>
  </si>
  <si>
    <t>10.1111/joca.12024</t>
  </si>
  <si>
    <t>Marie.Lachance@sdsu.edu</t>
  </si>
  <si>
    <t>Lachance, ME (corresponding author), San Diego State Univ, San Diego, CA 92182 USA.</t>
  </si>
  <si>
    <t>San Diego State Univ, San Diego, CA 92182 USA</t>
  </si>
  <si>
    <t>This study uses data from the 2009 and 2012 waves of the National Financial Capability Study to examine the effects of neighborhood characteristics on financial literacy. Controlling for individual characteristics, multivariate regression analysis shows that a zip code's education level has a significant impact on financial literacy. This finding is consistent with social learning as a mechanism of financial knowledge acquisition, with neighborhood education serving as a proxy for the level of financial knowledge of one's social network. Although social effects are not the only possible explanation for this finding, the result is robust even after controlling for a host of other factors such as getting advice from financial professionals, receiving financial education, and living in a zip code with greater employment in the financial industry. This study additionally documents that zip code education effects are present with various savings and credit measures.</t>
  </si>
  <si>
    <t>STOCK-MARKET PARTICIPATION; BEHAVIOR; YOUNG; MODEL</t>
  </si>
  <si>
    <t>Financial Literacy and Neighborhood Effects</t>
  </si>
  <si>
    <t>Lachance, Marie-Eve</t>
  </si>
  <si>
    <t>Lachance, ME</t>
  </si>
  <si>
    <t>WOS:000328454700007</t>
  </si>
  <si>
    <t>BJJ16</t>
  </si>
  <si>
    <t>Information Science &amp; Library Science; Public Administration</t>
  </si>
  <si>
    <t>Information Science &amp; Library Science; Regional &amp; Urban Planning</t>
  </si>
  <si>
    <t>10.1596/978-0-8213-8991-1</t>
  </si>
  <si>
    <t>978-0-8213-8991-1; 978-0-8213-9587-5</t>
  </si>
  <si>
    <t>Donovan, K (corresponding author), World Bank, InfoDev, Washington, DC USA.</t>
  </si>
  <si>
    <t>[Donovan, Kevin] World Bank, InfoDev, Washington, DC USA</t>
  </si>
  <si>
    <t>INFORMATION AND COMMUNICATIONS FOR DEVELOPMENT 2012: MAXIMIZING MOBILE</t>
  </si>
  <si>
    <t>Mobile Money for Financial Inclusion</t>
  </si>
  <si>
    <t>Donovan, Kevin</t>
  </si>
  <si>
    <t>World Bank Grp</t>
  </si>
  <si>
    <t>Donovan, K</t>
  </si>
  <si>
    <t>WOS:000663477600001</t>
  </si>
  <si>
    <t>ZE3IT</t>
  </si>
  <si>
    <t>10.1007/s10834-021-09774-4</t>
  </si>
  <si>
    <t>The study is supported by the American Institutes for Research, the Department of Health and Human Services (HHS), Office of the Assistant Secretary for Planning and Evaluation, and the Consumer Financial Protection Bureau (CFPB). Support for SEED for Oklahoma Kids comes from the Ford Foundation and the Charles Stewart Mott Foundation.</t>
  </si>
  <si>
    <t>American Institutes for Research; Department of Health and Human Services (HHS), Office of the Assistant Secretary for Planning and Evaluation; Consumer Financial Protection Bureau (CFPB); Ford Foundation; Charles Stewart Mott Foundation</t>
  </si>
  <si>
    <t>jin.huang@slu.edu</t>
  </si>
  <si>
    <t>Huang, J (corresponding author), St Louis Univ, Sch Social Work, St Louis, MO 63103 USA.;Huang, J (corresponding author), Washington Univ, Ctr Social Dev, St Louis, MO 63110 USA.</t>
  </si>
  <si>
    <t>Saint Louis University; Washington University (WUSTL)</t>
  </si>
  <si>
    <t>[Huang, Jin] St Louis Univ, Sch Social Work, St Louis, MO 63103 USA; [Huang, Jin; Sherraden, Margaret S.; Sherraden, Michael; Johnson, Lissa] Washington Univ, Ctr Social Dev, St Louis, MO 63110 USA</t>
  </si>
  <si>
    <t>In the financial capability policy known as Child Development Accounts (CDAs), investment accounts with incentives enable families to accumulate assets for children's development and to achieve life-cycle goals. With data from SEED for Oklahoma Kids (SEED OK), a randomized statewide policy experiment, we examine the effects of a CDA intervention on the use of mainstream financial products among young mothers aged 18-24 (N = 825; treatment = 410 and control = 415). Results suggest that, 4 years after implementation of the CDA, asset- and debt-product use was higher among young mothers in the treatment group than among their counterparts in the control group. The treatment-control difference in the use of financial products partially results from the combination of young treatment mothers' access to the CDA policy, financial knowledge, and financial skills. The CDA policy creates opportunities for them to practice financial knowledge and skills, and has positive impacts on financial capability. This is the first experimental study to test the effects of CDAs on financial capability. Findings indicate that asset-building policy maybe an effective mechanism for delivering financial capability services (such as financial education, financial counseling, and financial coaching) to children and families.</t>
  </si>
  <si>
    <t>EDUCATION; LITERACY; IMPACTS; KNOWLEDGE; SAVINGS; POLICY; MODEL</t>
  </si>
  <si>
    <t>Child development accounts; Financial capability; Financial education; Financial inclusion; Financial knowledge; Financial skills</t>
  </si>
  <si>
    <t>Experimental Effects of Child Development Accounts on Financial Capability of Young Mothers</t>
  </si>
  <si>
    <t>Huang, Jin; Sherraden, Margaret S.; Sherraden, Michael; Johnson, Lissa</t>
  </si>
  <si>
    <t>Huang, J; Sherraden, MS; Sherraden, M; Johnson, L</t>
  </si>
  <si>
    <t>WOS:000296906000002</t>
  </si>
  <si>
    <t>846MC</t>
  </si>
  <si>
    <t>10.1017/S147474721100045X</t>
  </si>
  <si>
    <t>alusardi@gwu.edu; mitchelo@wharton.upenn.edu</t>
  </si>
  <si>
    <t>Lusardi, A (corresponding author), George Washington Univ, Sch Business, Washington, DC 20052 USA.</t>
  </si>
  <si>
    <t>George Washington University; University of Pennsylvania</t>
  </si>
  <si>
    <t>[Lusardi, Annamaria] George Washington Univ, Sch Business, Washington, DC 20052 USA; [Mitchell, Olivia S.] Univ Penn, Wharton Sch, Philadelphia, PA 19104 USA</t>
  </si>
  <si>
    <t>We examine financial literacy in the US using the new National Financial Capability Study, wherein we demonstrate that financial literacy is particularly low among the young, women, and the less-educated. Moreover, Hispanics and African-Americans score the least well on financial literacy concepts. Interestingly, all groups rate themselves as rather well-informed about financial matters, notwithstanding their actual performance on the key literacy questions. Finally, we show that people who score higher on the financial literacy questions are much more likely to plan for retirement, which is likely to leave them better positioned for old age. Our results will inform those seeking to target financial literacy programmes to those in most need.</t>
  </si>
  <si>
    <t>Retirement; pensions; saving; financial literacy; financial capability</t>
  </si>
  <si>
    <t>Financial literacy and retirement planning in the United States</t>
  </si>
  <si>
    <t>Lusardi, Annamaria; Mitchell, Olivia S.</t>
  </si>
  <si>
    <t>Lusardi, A; Mitchell, OS</t>
  </si>
  <si>
    <t>WOS:001187001000001</t>
  </si>
  <si>
    <t>U7R3T</t>
  </si>
  <si>
    <t>10.1108/JSMA-07-2023-0199</t>
  </si>
  <si>
    <t>J. Strategy Manag.</t>
  </si>
  <si>
    <t>J STRATEGY MANAG</t>
  </si>
  <si>
    <t>1755-425X</t>
  </si>
  <si>
    <t>The authors acknowledge the financial support of the research project Ref. PID 2021-128420OB-I00 funded by MCIN/AEI/10.13039/501100011033 and by ERDF A way of making Europe, and the research project funded by Consejeria de Universidad, Investigacion e Innovacion (Junta de Andalucia, PAIDI 2021) Ref. ProyExcel_00934.</t>
  </si>
  <si>
    <t>MCIN/AE; ERDF A way of making Europe; Consejeria de Universidad, Investigacion e Innovacion (Junta de Andalucia, PAIDI 2021)(Junta de Andalucia); ;</t>
  </si>
  <si>
    <t>MCIN/AE; ERDF A way of making Europe; Consejeria de Universidad, Investigacion e Innovacion (Junta de Andalucia, PAIDI 2021); [PID 2021-128420OB-I00]; [ProyExcel_00934]</t>
  </si>
  <si>
    <t>GIRALDEZ, PILAR/0000-0001-8903-2823; Téllez Valle, Cecilia/0000-0002-9098-0975; Ordóñez Vizcaino, Carlos Fernando/0000-0001-7598-8568</t>
  </si>
  <si>
    <t>GIRALDEZ, PILAR/K-3394-2013</t>
  </si>
  <si>
    <t>mpgirpui@upo.es</t>
  </si>
  <si>
    <t>Giráldez-Puig, P (corresponding author), Univ Pablo de Olavide, Seville, Spain.</t>
  </si>
  <si>
    <t>Universidad de Las Americas - Ecuador; Universidad Pablo de Olavide</t>
  </si>
  <si>
    <t>[Ordonez-Vizcaino, Carlos Fernando] Univ Amer, Quito, Ecuador; [Tellez-Valle, Cecilia; Giraldez-Puig, Pilar] Univ Pablo de Olavide, Seville, Spain</t>
  </si>
  <si>
    <t>PurposeThe aim of this paper is to analyse the spillover effects of microcredit on the economy of Ecuador, with a particular focus on its potential as a poverty alleviation mechanism.Design/methodology/approachTo address our research questions, we take into account the distance between cantons (Ecuador's own administrative distribution) by adopting a spatial autoregressive (SAR) model. To this end, a database will be constructed with macroeconomic information about the country, broken down by canton (administrative division of Ecuador), and in a 2019 cross section, with a total of 1,331 microcredit operations in all 221 of Ecuador's cantons.FindingsWe find a positive effect of microcredit on these neighbouring regions in terms of wealth generation.Research limitations/implicationsWe acknowledge that this study is limited to Ecuadorian cantons. Nonetheless, it is crucial to emphasize that focussing on an under-represented developing country like Ecuador adds significant value to the research.Practical implicationsFacilitating access to microcredit is one of the main solutions to address the goals proposed in the sustainable development goals (SDGs).Social implicationsMicrocredit activity contributes to the creation of value and wealth in Ecuador, exerting a spillover effect in neighbouring areas that can generate positive multiplier effects and alleviate poverty. For all of the above reasons, our proposal for the country is to support and promote microcredit as one of the main solutions to address the goals proposed in the SDGs.Originality/valueThe novelty of this study lies in the use of spatial econometrics to observe the indirect effects of microcredit on the regions bordering the canton in which it was issued, thus examining the spatial effects of microcredit on wealth distribution.</t>
  </si>
  <si>
    <t>HOUSEHOLD POVERTY REDUCTION; ECONOMIC-GROWTH; FINANCIAL DEVELOPMENT; WOMENS EMPOWERMENT; CREDIT PROGRAMS; MICROFINANCE; IMPACT; INEQUALITY; INCLUSION; GEOGRAPHY</t>
  </si>
  <si>
    <t>Microcredit; Microfinance; Financial inclusion; Welfarism; Spatial econometrics</t>
  </si>
  <si>
    <t>JOURNAL OF STRATEGY AND MANAGEMENT</t>
  </si>
  <si>
    <t>Spillover effects of microcredit on the GDP of surrounding cantons in Ecuador</t>
  </si>
  <si>
    <t>Ordonez-Vizcaino, Carlos Fernando; Tellez-Valle, Cecilia; Giraldez-Puig, Pilar</t>
  </si>
  <si>
    <t>Ordóñez-Vizcaíno, CF; Téllez-Valle, C; Giráldez-Puig, P</t>
  </si>
  <si>
    <t>WOS:001606534600001</t>
  </si>
  <si>
    <t>9HO8D</t>
  </si>
  <si>
    <t>10.1080/00220388.2025.2577319</t>
  </si>
  <si>
    <t>2025 OCT 29</t>
  </si>
  <si>
    <t>leluafrica@gmail.com</t>
  </si>
  <si>
    <t>Kouandou, A (corresponding author), Univ Bretagne Sud UBS, Inst Adm Entreprises IAE, Lab Econ &amp; Gest Ouest LEGO, Vannes, France.</t>
  </si>
  <si>
    <t>Institut Agro; Institut Agro Dijon; INRAE; Universite Bourgogne Europe</t>
  </si>
  <si>
    <t>[Kouandou, Arouna] Univ Bretagne Sud UBS, Inst Adm Entreprises IAE, Lab Econ &amp; Gest Ouest LEGO, Vannes, France; [Legras, Sophie] INRAE, Inst Agro, UMR CESAER, F-21000 Dijon, France</t>
  </si>
  <si>
    <t>Non-farm entrepreneurship plays a vital role in mitigating climate shocks and strengthening household resilience in rural sub-Saharan Africa, yet liquidity constraints often hinder business creation. This study examines whether mobile banking promotes rural non-farm entrepreneurship in seven WAEMU countries-Burkina Faso, C &amp; ocirc;te d'Ivoire, Guinea-Bissau, Mali, Niger, Senegal, and Togo. Using panel data from the 2018/19 and 2021/22 waves of the Enqu &amp; ecirc;te Harmonis &amp; eacute;e sur les Conditions de Vie des M &amp; eacute;nages (EHCVM), we address potential endogeneity in mobile banking adoption through correlated random effects models, entropy balancing, and instrumental variable estimation. Across all specifications, mobile banking users are significantly more likely to operate non-farm enterprises. Mechanism analysis shows that mobile banking enhances financial inclusion by increasing access to formal financial institutions and participation in informal savings groups, such as ROSCAs. These findings underscore the role of mobile banking in promoting rural structural transformation and improving economic resilience in WAEMU countries.</t>
  </si>
  <si>
    <t>SUB-SAHARAN AFRICA; FINANCIAL INCLUSION; DECISION-MAKING; FOOD SECURITY; MONEY; EMPLOYMENT; INCOME; RISK; SHOCKS; DIVERSIFICATION</t>
  </si>
  <si>
    <t>Rural entrepreneurship; mobile banking; financial inclusion; WAEMU; panel data; structural transformation</t>
  </si>
  <si>
    <t>Structural Change in Rural West Africa: Does Mobile Banking Have a Role to Play?</t>
  </si>
  <si>
    <t>Kouandou, Arouna; Legras, Sophie</t>
  </si>
  <si>
    <t>Kouandou, A; Legras, S</t>
  </si>
  <si>
    <t>WOS:000948760300001</t>
  </si>
  <si>
    <t>WK6S1</t>
  </si>
  <si>
    <t>10.1057/s41264-023-00217-9</t>
  </si>
  <si>
    <t>Open access funding provided by Hungarian University of Agriculture and Life Sciences.</t>
  </si>
  <si>
    <t>Setiawan, Budi/0000-0003-4297-0649; Medina, Jennifer/0000-0002-0424-5705;</t>
  </si>
  <si>
    <t>Nathan, Robert/E-3294-2010; Setiawan, Budi/ABE-5530-2021; Fekete-Farkas, Maria/ABI-4516-2020</t>
  </si>
  <si>
    <t>budi.setiawan@uigm.ac.id; sttpd@uni-miskolc.hu; jmzamora@us.es; martijn@julo.co.id; robert.jeyakumar@mmu.edu.my; Farkasne.Fekete.Maria@uni-mate.hu</t>
  </si>
  <si>
    <t>Setiawan, B (corresponding author), Hungarian Univ Agr &amp; Life Sci, Doctoral Sch Econ &amp; Reg Stud, Godollo, Hungary.;Setiawan, B (corresponding author), Univ Indo Global Mandiri, Fac Econ, Palembang, Indonesia.</t>
  </si>
  <si>
    <t>Hungarian University of Agriculture &amp; Life Sciences; University of Miskolc; University of Sevilla; Multimedia University; University of South Bohemia Ceske Budejovice</t>
  </si>
  <si>
    <t>[Setiawan, Budi; Fekete-Farkas, Maria] Hungarian Univ Agr &amp; Life Sci, Doctoral Sch Econ &amp; Reg Stud, Godollo, Hungary; [Setiawan, Budi] Univ Indo Global Mandiri, Fac Econ, Palembang, Indonesia; [Phan, Thich Dai] Univ Miskolc, Fac Econ, Miskolc, Hungary; [Medina, Jennifer] Univ Seville, Fac Econ &amp; Business Adm, Seville, Spain; [Wieriks, Martijn] JULO, South Jakarta, Indonesia; [Nathan, Robert Jeyakumar] Multimedia Univ, Fac Business, Cyberjaya, Malaysia; [Nathan, Robert Jeyakumar] Univ South Bohemia Ceske Budejovice, Fac Econ, Ceske Budejovice, Czech Republic</t>
  </si>
  <si>
    <t>Based upon an extended Technology Acceptance Model (TAM), this study aims to investigate the factors influencing the behavioral intention to adopt Fintech from the perspective of Indonesian women. The research data were collected from 409 Indonesian female respondents and analyzed using the SEMinR statistical data analysis tool. Structural equation modeling (SEM) was used to assess this research's measurement model and structural model. The result shows that perceived usefulness, perceived ease of use, user innovativeness, attitude, trust, and brand image significantly positively impact behavioral intention to adopt Fintech among Indonesian women. Meanwhile, perceived ease of use, financial literacy, and government support are found to have indirect relationships with behavioral intention. In addition, moderation analysis revealed that the saving habits of women during the COVID-19 pandemic reduced the relationship between their innovativeness and behavioral intention to adopt Fintech. Based on these results, we recommend practical suggestions to the government, policymakers, and aspiring Fintech service providers further to enhance women's empowerment through digital financial inclusion.</t>
  </si>
  <si>
    <t>INFORMATION-TECHNOLOGY; USER ACCEPTANCE; ADOPTION; RISK; CUSTOMERS; GENDER</t>
  </si>
  <si>
    <t>Financial inclusion; Financial technology; Indonesian gender gap; TAM; Women in Fintech; UN SDG8</t>
  </si>
  <si>
    <t>Quest for financial inclusion via digital financial services (Fintech) during COVID-19 pandemic: case study of women in Indonesia</t>
  </si>
  <si>
    <t>Setiawan, Budi; Phan, Thich Dai; Medina, Jennifer; Wieriks, Martijn; Nathan, Robert Jeyakumar; Fekete-Farkas, Maria</t>
  </si>
  <si>
    <t>Setiawan, B; Phan, TD; Medina, J; Wieriks, M; Nathan, RJ; Fekete-Farkas, M</t>
  </si>
  <si>
    <t>WOS:001302758500012</t>
  </si>
  <si>
    <t>E4M3T</t>
  </si>
  <si>
    <t>10.1016/j.digbus.2023.100066</t>
  </si>
  <si>
    <t>Owusu-Oware, Emmanuel Kwame/0000-0001-6119-0790;</t>
  </si>
  <si>
    <t>Owusu-Oware, Emmanuel Kwame/AAB-5810-2021; Jibril, Abdul Bashiru/JWP-5036-2024</t>
  </si>
  <si>
    <t>frederick.pobee@upsamail.edu.gh; mallambash13@gmail.com; emmanuel.owusu-oware@upsamail.edu.gh</t>
  </si>
  <si>
    <t>Pobee, F (corresponding author), Univ Profess Studies, Dept Business Adm, Accra, Ghana.</t>
  </si>
  <si>
    <t>[Pobee, Frederick] Univ Profess Studies, Dept Business Adm, Accra, Ghana; [Jibril, Abdul Bashiru] Westminster Int Univ Tashkent, Sch Business &amp; Econ, Tashkent, Uzbekistan; [Owusu-Oware, Emmanuel] Univ Profess Studies, Dept Informat Technol Studies, Accra, Ghana</t>
  </si>
  <si>
    <t>Despite strong evidence of the critical role of mobile money technology in deepening financial inclusion, the impact of taxing mobile money transactions on digital and financial inclusion remains an unexplored area of research. By drawing on the Unified Theory of Acceptance and Use of Technology model, this research presents a rich insight into the determinants of mobile money adoption and the moderating effect of taxation (e-levy) on mobile money adoption. The purposive data sampling technique was employed to collect data from 287 mobile money users. The structural equation modeling - partial least square method was applied to test the hypotheses of this study. The findings show that performance expectancy, effort expectancy, social influence, and facilitating conditions significantly influence behavioral intention. Consequently, behavioral intention shows a significant relationship with the actual use of mobile money. Furthermore, regarding the moderating effect of taxation, the findings show that taxation negatively and significantly influences the actual use of mobile money. Finally, the implications of the results to tax policymakers (government) and mobile money operators have been discussed.</t>
  </si>
  <si>
    <t>ADOPTION; ACCEPTANCE; INTENTION; TECHNOLOGY; STUDENTS; MODEL</t>
  </si>
  <si>
    <t>Mobile money; Digital inclusion; Behavioral intention; UTAUT model; PLS-SEM</t>
  </si>
  <si>
    <t>Does taxation of digital financial services adversely affect the financial inclusion agenda? Lessons from a developing country</t>
  </si>
  <si>
    <t>Pobee, Frederick; Jibril, Abdul Bashiru; Owusu-Oware, Emmanuel</t>
  </si>
  <si>
    <t>Pobee, F; Jibril, AB; Owusu-Oware, E</t>
  </si>
  <si>
    <t>WOS:000555914800028</t>
  </si>
  <si>
    <t>BP5KD</t>
  </si>
  <si>
    <t>Communication; Social Sciences - Other Topics</t>
  </si>
  <si>
    <t>Communication; Social Sciences, Interdisciplinary</t>
  </si>
  <si>
    <t>PROC EURO CONF SOC</t>
  </si>
  <si>
    <t>978-1-912764-23-5</t>
  </si>
  <si>
    <t>2055-7213</t>
  </si>
  <si>
    <t>57638756@mylife.unisa.ac.za; makind@unisa.ac.za; tsaurk@unisa.ac.za</t>
  </si>
  <si>
    <t>Munongo, S (corresponding author), Univ South Africa, Pretoria, South Africa.</t>
  </si>
  <si>
    <t>[Munongo, Shallone; Makina, Daniel; Tsaurai, Kunofiwa] Univ South Africa, Pretoria, South Africa</t>
  </si>
  <si>
    <t>The paper examines social media and mobile money usage in South Africa and Zimbabwe. The main gap identified in empirical literature is the omission of social media use in existent technology adoption models despite emerging evidence that social media influence financial decision-making. We employ descriptive statistics to analyse the link between social media and mobile money. Our exploratory findings indicate a positive link between social media and mobile money adoption for both South Africa and Zimbabwe. We also find that a high level of social media penetration does not necessarily translate to high mobile money adoption level in South Africa. Conversely, we find a higher mobile money adoption rate in Zimbabwe despite it having lower social media penetration rates. Mobile money adoption is a success in Zimbabwe because of lower financial inclusion level as compared to South Africa. Thus, mobile money tends to alleviate the lower financial inclusion level. On the other hand, social media usage is a function of internet connectivity and smartphone penetration both of which are higher in South Africa than in Zimbabwe.</t>
  </si>
  <si>
    <t>INFORMATION-TECHNOLOGY; USER ACCEPTANCE</t>
  </si>
  <si>
    <t>social media; mobile money adoption; financial inclusion; South Africa; Zimbabwe</t>
  </si>
  <si>
    <t>Univ Brighton</t>
  </si>
  <si>
    <t>Univ Brighton, Brighton, ENGLAND</t>
  </si>
  <si>
    <t>JUN 13-14, 2019</t>
  </si>
  <si>
    <t>6th European Conference on Social Media (ECSM)</t>
  </si>
  <si>
    <t>Proceedings of the European Conference on Social Media</t>
  </si>
  <si>
    <t>PROCEEDINGS OF THE 6TH EUROPEAN CONFERENCE ON SOCIAL MEDIA (ECSM 2019)</t>
  </si>
  <si>
    <t>Social Media and Mobile Money: Evidence of Usage in South Africa and Zimbabwe</t>
  </si>
  <si>
    <t>Munongo, Shallone; Makina, Daniel; Tsaurai, Kunofiwa</t>
  </si>
  <si>
    <t>Popma, W; Francis, S</t>
  </si>
  <si>
    <t>Munongo, S; Makina, D; Tsaurai, K</t>
  </si>
  <si>
    <t>WOS:001140121500001</t>
  </si>
  <si>
    <t>EP4S2</t>
  </si>
  <si>
    <t>10.1111/ecno.12232</t>
  </si>
  <si>
    <t>e12232</t>
  </si>
  <si>
    <t>, Arshiya Fathima MS/0000-0003-3438-0710</t>
  </si>
  <si>
    <t>, Arshiya Fathima MS/ABF-9360-2021</t>
  </si>
  <si>
    <t>kwfalahi@gmail.com</t>
  </si>
  <si>
    <t>Waheed, K (corresponding author), BS Abdur Rahman Crescent Inst Sci &amp; Technol, Dept Management Studies, Chennai 600048, Tamil Nadu, India.</t>
  </si>
  <si>
    <t>B. S. Abdur Rahman Crescent Institute of Science &amp; Technology; Vellore Institute of Technology (VIT); VIT Chennai</t>
  </si>
  <si>
    <t>[Ishtiyaq Nadeem, Vavangani; Waheed, Khalid] BS Abdur Rahman Crescent Inst Sci &amp; Technol, Dept Management Studies, Chennai 600048, Tamil Nadu, India; [Fathima, Arshiya] Vellore Inst Technol, VIT Business Sch, Chennai Campus, Chennai, Tamil Nadu, India</t>
  </si>
  <si>
    <t>The study aims to identify the potential determinants of financial inclusion and its impact on the Indian Muslim minority in Tamil Nadu. statistical package for social science and analysis of moment structures software packages were used in the study. Confirmatory factor analysis and structural equation modelling techniques were applied to examine the collected data (n = 300) from the Vellore district from April 2022 to March 2023. The study reveals that financial awareness, access and quality positively and significantly impact financial inclusion. However, the financial usage dimension is statistically insignificant. Additionally, the results from the moderation effect reveal that financial access and quality, along with age and annual income, significantly influence financial inclusion. In conclusion, the study contributes new dimensions to the existing literature by exploring the financial inclusion of Muslims and suggests implications and future scope for further research.</t>
  </si>
  <si>
    <t>MICROFINANCE; LITERACY</t>
  </si>
  <si>
    <t>financial inclusion; minority; Muslim; sustainable development goals</t>
  </si>
  <si>
    <t>Financial inclusion of Muslim minority in Vellore, Tamil Nadu</t>
  </si>
  <si>
    <t>Ishtiyaq Nadeem, Vavangani; Waheed, Khalid; Fathima, Arshiya</t>
  </si>
  <si>
    <t>Nadeem, VI; Waheed, K; Fathima, A</t>
  </si>
  <si>
    <t>WOS:000735267500001</t>
  </si>
  <si>
    <t>XV9QQ</t>
  </si>
  <si>
    <t>10.3390/agronomy11122542</t>
  </si>
  <si>
    <t>FundingThis research was funded by the National Social Science Fund of China, grant number 21CTJ013.</t>
  </si>
  <si>
    <t>National Social Science Fund of China [21CTJ013]</t>
  </si>
  <si>
    <t>Yang, Cunyi/0000-0001-5420-1025; Jia, Shuaishuai/0000-0003-1809-9566</t>
  </si>
  <si>
    <t>Yang, Cunyi/AAQ-8476-2021</t>
  </si>
  <si>
    <t>tongjijia@gzhu.edu.cn; 2112164126@e.gzhu.edu.cn; 2112064077@e.gzhu.edu.cn</t>
  </si>
  <si>
    <t>Yang, CY (corresponding author), Guangzhou Univ, Sch Econ &amp; Stat, Guangzhou 510006, Peoples R China.</t>
  </si>
  <si>
    <t>Guangzhou University; Guangzhou University</t>
  </si>
  <si>
    <t>[Jia, Shuaishuai] Guangzhou Univ, Guangzhou Inst Int Finance, Guangzhou 510405, Peoples R China; [Qiu, Yushan; Yang, Cunyi] Guangzhou Univ, Sch Econ &amp; Stat, Guangzhou 510006, Peoples R China</t>
  </si>
  <si>
    <t>The 17 sustainable development goals proposed in the 2030 sustainable development agenda are the shared vision of all humanity. The core of achieving the sustainable development goals is to ensure grain security. Although financial inclusion is not separately incorporated into the United Nations sustainable development goals, it is an essential basis for supporting all sustainable development goals. Financial inclusion plays a critical role in improving grain security efficiency to ensure sustainable grain security. According to the Financial Access Survey implemented by IMF, this study calculated the financial inclusion index and grain security efficiency of 121 countries from 2015 to 2019. Based on calculating the efficiency of grain security in production and distribution, this study used an econometric model to empirically examine the role of financial inclusion in improving grain security efficiency. The study found that financial inclusion can promote grain security efficiency from the two links of production and distribution. Still, the improvement of grain security efficiency by financial inclusion is mainly reflected in the distribution. Further, the study found that the advancement of financial inclusion promotes the efficiency of grain distribution through the effects of residents' income distribution, residents' income growth, and consumption capacity upgrading, which achieves the goal of ensuring grain security and promoting sustainable development.</t>
  </si>
  <si>
    <t>ECONOMIC-GROWTH; STOCK MARKETS; INEQUALITY; POVERTY; IMPACT; MATTER; BANKS; PANEL; DEA</t>
  </si>
  <si>
    <t>sustainable development goal; financial inclusion; grain security efficiency; grain production efficiency; grain distribution efficiency</t>
  </si>
  <si>
    <t>Sustainable Development Goals, Financial Inclusion, and Grain Security Efficiency</t>
  </si>
  <si>
    <t>Jia, Shuaishuai; Qiu, Yushan; Yang, Cunyi</t>
  </si>
  <si>
    <t>Jia, SS; Qiu, YS; Yang, CY</t>
  </si>
  <si>
    <t>WOS:000783237300001</t>
  </si>
  <si>
    <t>1K8MC</t>
  </si>
  <si>
    <t>10.1111/ecca.12424</t>
  </si>
  <si>
    <t>S275</t>
  </si>
  <si>
    <t>S239</t>
  </si>
  <si>
    <t>Economica</t>
  </si>
  <si>
    <t>ECONOMICA</t>
  </si>
  <si>
    <t>1468-0335</t>
  </si>
  <si>
    <t>0013-0427</t>
  </si>
  <si>
    <t>We are grateful to ATAI and an anonymous donor for financial support. We thank Rishabh Malhotra, Menna Bishop, Andre Cazor, Ricardo Dahis, Andre Katz and Maria Ventura for outstanding research assistance, and Orazio Attanasio for helpful discussions.This project was approved by the LSE Research Ethics Board (REC number 215) and is registered (AEARCTR-0000408).</t>
  </si>
  <si>
    <t>ATAI; ESRC(UK Research &amp; Innovation (UKRI)Economic &amp; Social Research Council (ESRC)); UKRI(UK Research &amp; Innovation (UKRI))</t>
  </si>
  <si>
    <t>ATAI; ESRC [ES/T014334/1] Funding Source: UKRI; UKRI [ES/V009478/1] Funding Source: UKRI</t>
  </si>
  <si>
    <t>Deserranno, Erika/0000-0001-7664-5815; , oriana bandiera/0009-0002-6817-793X; Sulaiman, Munshi/0000-0001-6061-933X; Morel, Ricardo/0000-0002-9297-021X; Burgess, Robin Stuart Leslie/0009-0002-1187-3248</t>
  </si>
  <si>
    <t>Deserranno, Erika/KEJ-1196-2024</t>
  </si>
  <si>
    <t>Bandiera, O (corresponding author), LSE, London, England.</t>
  </si>
  <si>
    <t>University of London; London School Economics &amp; Political Science; University of London; University College London</t>
  </si>
  <si>
    <t>[Bandiera, Oriana; Burgess, Robin; Thiemel, Jack] LSE, London, England; [Deserranno, Erika] Northwestern, Evanston, IL USA; [Morel, Ricardo] IPA, New York, NY USA; [Rasul, Imran] UCL, London, England; [Sulaiman, Munshi] BRAC BIGD, Dhaka, Bangladesh</t>
  </si>
  <si>
    <t>The bulk of the world's extreme poor work in subsistence agriculture. Diversification out of this activity is often seen as the sine qua non of economic development. We evaluate whether the roll-out of a mainstay development intervention-microfinance-into poor, agricultural and largely unbanked populations in rural Uganda helps borrowers to diversify into non-agricultural labour activities. The new microfinance product is targeted to women, and differs from existing sources of formal and informal credit in that it allows them to borrow larger amounts but has inflexible repayment dates and the use of funds is monitored. We find that the arrival of microfinance enables women to diversify out of agriculture and into service-based activities such as small-scale trading. This low-level structural change, however, is not transformative in that it does not lead-at least after two years-to significant uplifts in earnings, consumption, savings, investment and overall wealth.</t>
  </si>
  <si>
    <t>MICROCREDIT EVIDENCE; JOINT-LIABILITY; IMPACT; CREDIT; RETURNS; RANDOMIZATION; INSURANCE; POVERTY; FINANCE; RISK</t>
  </si>
  <si>
    <t>Microfinance and Diversification</t>
  </si>
  <si>
    <t>Bandiera, Oriana; Burgess, Robin; Deserranno, Erika; Morel, Ricardo; Rasul, Imran; Sulaiman, Munshi; Thiemel, Jack</t>
  </si>
  <si>
    <t>Bandiera, O; Burgess, R; Deserranno, E; Morel, R; Rasul, I; Sulaiman, M; Thiemel, J</t>
  </si>
  <si>
    <t>WOS:001211115900001</t>
  </si>
  <si>
    <t>OZ5Q4</t>
  </si>
  <si>
    <t>10.1016/j.pacfin.2024.102324</t>
  </si>
  <si>
    <t>We acknowledge financial support from National Natural Science Foundation of China (72173121) ; and China Scholarship Council (202206350104) .</t>
  </si>
  <si>
    <t>National Natural Science Foundation of China(National Natural Science Foundation of China (NSFC)); China Scholarship Council(China Scholarship CouncilInstituto Politecnico Nacional - Mexico)</t>
  </si>
  <si>
    <t>National Natural Science Foundation of China [72173121]; China Scholarship Council [202206350104]</t>
  </si>
  <si>
    <t>Chen, XJ (corresponding author), China Agr Univ, Coll Econ &amp; Management, 17 Qinghua East Rd, Beijing, Peoples R China.</t>
  </si>
  <si>
    <t>China Agricultural University</t>
  </si>
  <si>
    <t>[Chen, Xiaojie; He, Guangwen] China Agr Univ, Coll Econ &amp; Management, 17 Qinghua East Rd, Beijing, Peoples R China; [Li, Qian] China Microcredit Co Assoc, Beijing, Peoples R China</t>
  </si>
  <si>
    <t>Enhancing the financial inclusion of financial institutions enables more vulnerable groups to obtain opportunities to access loans - an essential prerequisite for achieving the United Nations ' Sustainable Development Goals. The main purpose of this study is to explore whether the development of Fintech impacts the financial inclusion of village and township banks (VTBs). Using the micro survey data of 900 VTBs, this paper empirically analyzes the impact of financial technology on the financial inclusion of VTBs and explores the mediating role of mobile banking adoption. The results demonstrate that the development of Fintech can improve the financial inclusion of VTBs through the application of mobile banking. Notably, VTBs can significantly contribute to financial inclusion by adopting an online and offline service model, though mobile banking is substituting physical branches with the rapid development of financial technology. Further analysis finds that the development of Fintech has prompted VTBs to increase the inclusiveness of loans to rural households, loans to poor households, and loans to small and micro enterprises. Furthermore, rural credit institutions and city commercial banks as the main shareholders are conducive to strengthening the role of Fintech in promoting the financial inclusion of VTBs. Finally, the development of Fintech has a stronger competitive incentive for VTBs located in the eastern regions.</t>
  </si>
  <si>
    <t>Fintech; Village and township banks; Financial inclusion; Mobile banking</t>
  </si>
  <si>
    <t>Can Fintech development improve the financial inclusion of village and township banks? Evidence from China</t>
  </si>
  <si>
    <t>Chen, Xiaojie; He, Guangwen; Li, Qian</t>
  </si>
  <si>
    <t>Chen, XJ; He, GW; Li, Q</t>
  </si>
  <si>
    <t>WOS:000434082900003</t>
  </si>
  <si>
    <t>GI0TR</t>
  </si>
  <si>
    <t>10.1093/jafeco/ejx028</t>
  </si>
  <si>
    <t>serge.ky@etu.unilim.fr</t>
  </si>
  <si>
    <t>Ky, S (corresponding author), Univ Limoges, Lab Anal &amp; Prospect Econ, 5 Rue Felix Eboue, F-87031 Limoges, France.</t>
  </si>
  <si>
    <t>[Ky, Serge; Rugemintwari, Clovis; Sauviat, Alain] Univ Limoges, Lab Anal &amp; Prospect Econ, 5 Rue Felix Eboue, F-87031 Limoges, France</t>
  </si>
  <si>
    <t>We investigate whether the use of mobile money can help individuals build savings to face predictable and unpredictable life events. Studying the case of Burkina Faso, we use hand-collected data from individual responses to a survey we designed and conducted between May and June 2014. Our main results show that, although it is not possible to detect any correlation between using mobile money and saving for predictable events, it seems to increase the propensity of individuals to save for health emergencies. We also found robust evidence suggestive that using mobile money increases the propensity of disadvantaged groups such as rural, female, less educated individuals and individuals with irregular income to save for health emergencies. In our further investigations, we address the mechanisms underlying individual saving behaviour. We found that safety and the possibility to transfer money within the sub-region associated with mobile money may be factors that increase the propensity of mobile money users to save for health emergencies. Overall, our results are in line with policymakers' agenda worldwide to increase financial out-reach and improve financial inclusion by using mobile technologies.</t>
  </si>
  <si>
    <t>FINANCIAL INCLUSION; POOR</t>
  </si>
  <si>
    <t>mobile money; savings; financial inclusion; sub-Saharan Africa; Burkina Faso</t>
  </si>
  <si>
    <t>Does Mobile Money Affect Saving Behaviour? Evidence from a Developing Country</t>
  </si>
  <si>
    <t>Ky, Serge; Rugemintwari, Clovis; Sauviat, Alain</t>
  </si>
  <si>
    <t>Ky, S; Rugemintwari, C; Sauviat, A</t>
  </si>
  <si>
    <t>WOS:000452792700012</t>
  </si>
  <si>
    <t>HD8GJ</t>
  </si>
  <si>
    <t>10.5958/2322-0430.2018.00012.4</t>
  </si>
  <si>
    <t>Goyari, Phanindra/T-8331-2018</t>
  </si>
  <si>
    <t>Sethy, SK (corresponding author), Univ Hyderabad, Sch Econ, Hyderabad 500046, India.</t>
  </si>
  <si>
    <t>[Sethy, Susanta Kumar; Goyari, Phanindra] Univ Hyderabad, Sch Econ, Hyderabad 500046, India</t>
  </si>
  <si>
    <t>This paper examines the financial inclusion of Indian states by applying the financial inclusion index (FII) using the secondary data. The present study found that no state in India belongs to high financial inclusion (0.5 &lt;= FII &lt;= 1) group during the study period. Kerala (0.4116) secured the first rank in FII followed by Goa (0.4016), Delhi (0.356), Punjab (0.33), Tamil Nadu (0.3279) and West Bengal (0.31). These states were categorized under the medium financial inclusion (0.3 &lt;= FII &lt;= 0.5) and rest of the states had low financial inclusion (0 &lt;= FII &lt;= 0.3). Madhya Pradesh (0.1066) secured the last rank in comparison to other states of India. Regression results show that per capita income of households, literacy rate and the number of SHGs affect the FII positively and significantly. The study suggested that policymakers should increase banking penetration and availability of banking services to push the usage of the banking system. Moreover, there is need of a comprehensive financial inclusion plan for India as a whole along with region-specific inclusion plans.</t>
  </si>
  <si>
    <t>Financial inclusion; financial inclusion index; inclusive growth; India</t>
  </si>
  <si>
    <t>Measuring Financial Inclusion of Indian States: An Empirical Study</t>
  </si>
  <si>
    <t>Sethy, Susanta Kumar; Goyari, Phanindra</t>
  </si>
  <si>
    <t>Sethy, SK; Goyari, P</t>
  </si>
  <si>
    <t>WOS:000977075300010</t>
  </si>
  <si>
    <t>VM2EM</t>
  </si>
  <si>
    <t>Asia-Pac. Manag. Account. J.</t>
  </si>
  <si>
    <t>ASIA-PAC MANAG ACCOU</t>
  </si>
  <si>
    <t>1675-3194</t>
  </si>
  <si>
    <t>ASIA-PACIFIC MANAGEMENT ACCOUNTING ASSOC, SHAH ALAM, 00000, MALAYSIA</t>
  </si>
  <si>
    <t>SHAH ALAM</t>
  </si>
  <si>
    <t>ASIA-PACIFIC MANAGEMENT ACCOUNTING ASSOC</t>
  </si>
  <si>
    <t>The authors would like to acknowledge the assistance from the Ministry of Higher Education for HICoE research funding, Accounting Research Institute, Universiti Teknologi MARA, Malaysia for all supports and resources.</t>
  </si>
  <si>
    <t>Ministry of Higher Education(Science and Technology Development Fund (STDF)Ministry of Higher Education &amp; Scientific Research (MHESR)Ministry of Higher Education, Research &amp; Innovation, Oman); Accounting Research Institute, Universiti Teknologi MARA, Malaysia</t>
  </si>
  <si>
    <t>Ministry of Higher Education; Accounting Research Institute, Universiti Teknologi MARA, Malaysia</t>
  </si>
  <si>
    <t>Borhan, Nur Amirah/KLE-1111-2024; Mohamad, Saadiah/AAS-8557-2020; MUDA, RUHAINI/AAI-6229-2021</t>
  </si>
  <si>
    <t>nuramirahborhan@yahoo.com</t>
  </si>
  <si>
    <t>Borhan, NA (corresponding author), Univ Teknol MARA, Fac Business &amp; Management, Shah Alam, Selangor, Malaysia.</t>
  </si>
  <si>
    <t>Universiti Teknologi MARA; Universiti Teknologi MARA</t>
  </si>
  <si>
    <t>[Borhan, Nur Amirah; Muda, Ruhaini; Mohamad, Saadiah] Univ Teknol MARA, Fac Business &amp; Management, Shah Alam, Selangor, Malaysia; [Muda, Ruhaini] Univ Teknol MARA, Accounting Res Inst HICoE, Shah Alam, Selangor, Malaysia</t>
  </si>
  <si>
    <t>Financial inclusion is a major policy concern especially in developing economies. However, an established measure of financial inclusion is still absent. This paper aims to fill this gap by measuring and examining the level of financial inclusion in 66 developing economies. A Financial Inclusion Index (FII) was constructed, incorporating five indicators (ATM, Bank, Other Financial Institutions, Deposits and Loans) for 2013 until 2019. Two-staged Factor Analysis was employed for weights assignment. The results showed that the average level of financial inclusion in developing economies was low but with significant variation among group of countries. A lower level of financial inclusion was observed among the African countries as well as the low-income and lower-middle income countries. The paper also analysed the relationship between financial inclusion and economic development. The findings showed that more developed economies had higher income and thus, higher financial inclusion. While the index is valid and reliable to be used for comparison among developing economies, the study was unable to include indicators of mobile and internet banking due to data constraints. Despite this caveat, the findings of this study will be useful for policymakers in shaping financial inclusion policies.</t>
  </si>
  <si>
    <t>financial inclusion; financial inclusion index; economic development; factor analysis</t>
  </si>
  <si>
    <t>ASIA-PACIFIC MANAGEMENT ACCOUNTING JOURNAL</t>
  </si>
  <si>
    <t>Measuring Financial Inclusion in Developing Economies: A Multidimensional Index</t>
  </si>
  <si>
    <t>Borhan, Nur Amirah; Muda, Ruhaini; Mohamad, Saadiah</t>
  </si>
  <si>
    <t>Borhan, NA; Muda, R; Mohamad, S</t>
  </si>
  <si>
    <t>WOS:001385150900008</t>
  </si>
  <si>
    <t>Q5N7N</t>
  </si>
  <si>
    <t>10.1007/s43621-024-00704-6</t>
  </si>
  <si>
    <t>DEC 27</t>
  </si>
  <si>
    <t>malqam@uop.edu.jo</t>
  </si>
  <si>
    <t>Alqam, MA (corresponding author), Petra Univ Coll Adm &amp; Financial Sci, Accounting Dept, Amman, Jordan.</t>
  </si>
  <si>
    <t>[Alqam, Mohammad Ahmad; Hamshari, Yaser Mohd] Petra Univ Coll Adm &amp; Financial Sci, Accounting Dept, Amman, Jordan</t>
  </si>
  <si>
    <t>This study examined the impact of financial literacy on financial inclusion and well-being among Jordanian youth. Using a multidimensional approach, the research investigated the effects of knowledge of financial products and services, consumer rights and protections, and financial decision-making skills on financial outcomes. The target population comprised Jordanian youth aged 18-30, with a sample size of 440 participants. A quantitative, cross-sectional survey design was employed, utilizing PLS-SEM for data analysis. Results revealed significant positive relationships between all dimensions of financial literacy and both financial inclusion and well-being. Consumer rights and protections emerged as the strongest predictor of financial outcomes, followed by knowledge of financial products and services, while financial decision-making skills showed relatively weaker effects. The findings have implications for policymakers, financial institutions, and educators, highlighting the need for comprehensive financial literacy programs that address multiple dimensions, particularly emphasizing consumer rights and protections. This research contributes to the literature by providing empirical evidence from a developing country context and supporting the conceptualization of financial literacy as a multidimensional construct. The study's focus on youth in Jordan offers valuable insights for promoting financial inclusion and well-being in similar demographic and economic contexts.</t>
  </si>
  <si>
    <t>EDUCATION; BEHAVIOR; SCALE; STUDENTS; BIASES; WOMEN</t>
  </si>
  <si>
    <t>Financial literacy; Financial inclusion; Jordanian youth; PLS-SEM</t>
  </si>
  <si>
    <t>The impact of financial literacy on financial inclusion for financial well-being of youth: evidence from Jordan</t>
  </si>
  <si>
    <t>Alqam, Mohammad Ahmad; Hamshari, Yaser Mohd</t>
  </si>
  <si>
    <t>Alqam, MA; Hamshari, YM</t>
  </si>
  <si>
    <t>WOS:000859594400001</t>
  </si>
  <si>
    <t>10.1007/s10834-022-09865-w</t>
  </si>
  <si>
    <t>This work was supported by the U.S. Department of Health and Human Services/Administration for Children and Families under Grant [90HG1003]; Korea Foundation; and Lloyd A. Fry Foundation. Additional funding has been received by HHCS from Chicago Housing Authority (CHA) for The Family Self-Sufficiency Program (FSS), coordinated through the U.S. Department of Housing and Urban Development (HUD).</t>
  </si>
  <si>
    <t>U.S. Department of Health and Human Services/Administration for Children and Families; Korea Foundation; Lloyd A. Fry Foundation; Chicago Housing Authority (CHA) for The Family Self-Sufficiency Program (FSS)</t>
  </si>
  <si>
    <t>U.S. Department of Health and Human Services/Administration for Children and Families [90HG1003]; Korea Foundation; Lloyd A. Fry Foundation; Chicago Housing Authority (CHA) for The Family Self-Sufficiency Program (FSS)</t>
  </si>
  <si>
    <t>Yoon, Intae/0000-0003-0483-7310; Wathen, Maria V/0000-0003-3771-3162; Hong, Philip Young P/0000-0003-3346-2917</t>
  </si>
  <si>
    <t>; Hong, Philip Young P/A-8399-2009</t>
  </si>
  <si>
    <t>pyphong@uga.edu; ashin3@luc.edu; iyoon@ncsu.edu; jpark38@luc.edu</t>
  </si>
  <si>
    <t>Hong, PYP (corresponding author), Univ Georgia, Sch Social Work, Athens, GA 30602 USA.</t>
  </si>
  <si>
    <t>University System of Georgia; University of Georgia; Loyola University Chicago; North Carolina State University</t>
  </si>
  <si>
    <t>[Hong, Philip Young P.] Univ Georgia, Sch Social Work, Athens, GA 30602 USA; [Wathen, Maria, V; Shin, Alanna J.; Park, Jang Ho] Loyola Univ, Chicago, IL 60611 USA; [Yoon, Intae] North Carolina State Univ, Raleigh, NC USA</t>
  </si>
  <si>
    <t>Building on theory and research in financial capability, this study enhances a financial capability model by integrating psychological self-sufficiency (PSS) theory as part of the financial literacy component. Using PSS, a concept from workforce development literature, this study investigates the extent to which an empowerment-based PSS process in targeting financial goals is associated with financial literacy. Path analyses were conducted using a sample of 187 low-income individuals from a large social service agency in Chicago. Findings suggest that perceived financial barriers and financial hope-the two targets of PSS interventions-are associated with financial attitude and behavior, controlling for other demographic variables. These findings can guide policy makers and service providers to build in PSS process-based financial literacy components in vocational and adult education and training as a more human-centered approach to workforce development.</t>
  </si>
  <si>
    <t>EMPLOYMENT HOPE; INVESTMENT; IMPACT; ROLES</t>
  </si>
  <si>
    <t>Psychological self-sufficiency; Financial literacy; Financial hope; Financial barriers; Low-income; Financial capability</t>
  </si>
  <si>
    <t>Psychological Self-Sufficiency and Financial Literacy among Low-Income Participants: An Empowerment-Based Approach to Financial Capability</t>
  </si>
  <si>
    <t>Hong, Philip Young P.; Wathen, Maria, V; Shin, Alanna J.; Yoon, Intae; Park, Jang Ho</t>
  </si>
  <si>
    <t>Hong, PYP; Wathen, M; Shin, AJ; Yoon, I; Park, JH</t>
  </si>
  <si>
    <t>WOS:001045436400001</t>
  </si>
  <si>
    <t>O7FY6</t>
  </si>
  <si>
    <t>10.1504/IJICBM.2023.132734</t>
  </si>
  <si>
    <t>rashid, Aadil/JAX-4437-2023</t>
  </si>
  <si>
    <t>raashidaadil@gmail.com; ashokg224@gmail.com</t>
  </si>
  <si>
    <t>Rashid, A (corresponding author), AVS Coll Arts &amp; Sci, PG &amp; Res Dept Commerce, Salem 636106, Tamil Nadu, India.</t>
  </si>
  <si>
    <t>[Rashid, Aadil] AVS Coll Arts &amp; Sci, PG &amp; Res Dept Commerce, Salem 636106, Tamil Nadu, India; [Kumar, P. Ashok] Sri Vasavi Coll, PG &amp; Res Dept Commerce, Erode 638316, Tamil Nadu, India</t>
  </si>
  <si>
    <t>Microfinance has drawn major attention after being successful in providing financial services to poor underprivileged people globally. Microfinance is an institute that provides financial services as well as business development training to its beneficiaries. This paper is an attempt to investigate the nature of the relationship between the amount of loan size provided by microfinance institutes and its effect on the standard of living, health and education of its beneficiaries. An ex-post-facto design was implemented to analyse whether the size of loan amount predicts the above three dimensions of poverty. Analysis of variance has been done to analyse the significance of the number of years joined the microfinance program. The findings revealed a positive impact on the above three dimensions of poverty. We believe our grassroot research can benefit different government policies of poverty alleviation, non-government organisations and pro-poor microfinance organisations.</t>
  </si>
  <si>
    <t>EMPOWERMENT; SAVINGS; GENDER; WOMEN; WORK</t>
  </si>
  <si>
    <t>entrepreneurship; education; health; microfinance; poverty; living standard; financial inclusion; SHG; microcredit; India</t>
  </si>
  <si>
    <t>Poverty alleviation through the microfinance intervention: an empirical evidence from northern parts of India</t>
  </si>
  <si>
    <t>Rashid, Aadil; Kumar, P. Ashok</t>
  </si>
  <si>
    <t>Rashid, A; Kumar, PA</t>
  </si>
  <si>
    <t>WOS:000815166200001</t>
  </si>
  <si>
    <t>4U4BG</t>
  </si>
  <si>
    <t>10.1108/IJSE-10-2021-0633</t>
  </si>
  <si>
    <t>SEP 27</t>
  </si>
  <si>
    <t>Kakinuma, Yosuke/0000-0001-9098-9067</t>
  </si>
  <si>
    <t>Kakinuma, Yosuke/ABY-2137-2022</t>
  </si>
  <si>
    <t>yosuke.kakinuma@cmu.ac.th</t>
  </si>
  <si>
    <t>Kakinuma, Y (corresponding author), Chiang Mai Univ, Fac Business Adm, Dept Finance, Chiang Mai, Thailand.</t>
  </si>
  <si>
    <t>Chiang Mai University</t>
  </si>
  <si>
    <t>[Kakinuma, Yosuke] Chiang Mai Univ, Fac Business Adm, Dept Finance, Chiang Mai, Thailand</t>
  </si>
  <si>
    <t>Purpose - This study explores the relationship between financial literacy and quality of life (QoL). The study further examines the mediating effect of fintech adoption and the moderating effect of leisure on the relationship between financial literacy and QoL. Design/methodology/approach - Using convenience sampling, 345 respondents participated in a cross-sectional survey. To test the moderated mediation hypotheses, the PROCESS macro was used. Findings - The results reveal the mediating effect of fintech adoption on the relationship between financial literacy and QoL, highlighting the importance of digital literacy in an increasingly digitalized society. Moreover, leisure moderates the mediating relationship. Individuals with high leisure are more likely to perceive the uncertainties and risks associated with new technology optimistically -an observation supported by existing literature on the relationships among leisure, perceived freedom, and internal locus of control. Practical implications - Financial literacy must incorporate digital literacy in order to utilize innovative technology for more efficient financial management. Additionally, having a sense of control over life outcomes can lead to well-being. Originality/value - Previous research on fintech adoption is mostly related to financial inclusion for the unbanked population in underprivileged rural areas. Here, fintech usage by the general public is the focus. The study also reveals the significance of leisure, as those who have high financial literacy are more likely to adopt fintech when they have more freedom in their lives, which leads to higher QoL.</t>
  </si>
  <si>
    <t>SATISFACTION; BEHAVIOR; HAPPINESS; STRESS</t>
  </si>
  <si>
    <t>Financial literacy; Quality of life; Fintech adoption; Leisure</t>
  </si>
  <si>
    <t>Financial literacy and quality of life: a moderated mediation approach of fintech adoption and leisure</t>
  </si>
  <si>
    <t>Kakinuma, Yosuke</t>
  </si>
  <si>
    <t>Kakinuma, Y</t>
  </si>
  <si>
    <t>WOS:000835171400007</t>
  </si>
  <si>
    <t>3M0TU</t>
  </si>
  <si>
    <t>10.18046/j.estger.2022.163.4949</t>
  </si>
  <si>
    <t>Ferrada, Luz/0000-0002-0481-7670;</t>
  </si>
  <si>
    <t>; Ferrada, Luz/AAH-4598-2021</t>
  </si>
  <si>
    <t>ferrada@ulagos.cl; vmontana@ulagos.cl</t>
  </si>
  <si>
    <t>Ferrada, LM (corresponding author), Univ Los Lagos, Dept Ciencias Adm &amp; Econ, Osorno, Chile.</t>
  </si>
  <si>
    <t>Universidad de Los Lagos</t>
  </si>
  <si>
    <t>[Maria Ferrada, Luz; Montana, Virginia] Univ Los Lagos, Dept Ciencias Adm &amp; Econ, Osorno, Chile</t>
  </si>
  <si>
    <t>This paper studied the relationship between financial inclusion and financial literacy among student workers of professional technical careers in Los Lagos, Chile. The specific objectives were to measure the association between literacy and financial inclusion, to analyze whether there is an inclusion advantage to being literate, and to evaluate the impact of financial literacy on inclusion. The sample consisted of 470 student-workers and the methodology included synthetic indicators, association indicators, and parametric and non-parametric statistics. The results indicate a positive and significant association between inclusion and financial literacy. In general, the literate obtain an inclusion advantage and a causal effect of behavior and knowledge of financial products on inclusion is observed, although from the global literacy.</t>
  </si>
  <si>
    <t>financial inclusion; financial literacy; students; human capital</t>
  </si>
  <si>
    <t>Inclusion and financial literacy: The case of higher education student workers in Los Lagos, Chile</t>
  </si>
  <si>
    <t>Maria Ferrada, Luz; Montana, Virginia</t>
  </si>
  <si>
    <t>Ferrada, LM; Montaña, V</t>
  </si>
  <si>
    <t>WOS:000888945000001</t>
  </si>
  <si>
    <t>9D0WI</t>
  </si>
  <si>
    <t>10.1080/15555240.2022.2147940</t>
  </si>
  <si>
    <t>J. Workplace Behav. Health</t>
  </si>
  <si>
    <t>J WORKPLACE BEHAV HE</t>
  </si>
  <si>
    <t>1555-5259</t>
  </si>
  <si>
    <t>1555-5240</t>
  </si>
  <si>
    <t>This research was supported by the Japan Society for the Promotion of Science Grant-in-Aid for Early-Career Scientists, Grant 19K14385.</t>
  </si>
  <si>
    <t>Japan Society for the Promotion of Science(Ministry of Education, Culture, Sports, Science and Technology, Japan (MEXT)Japan Society for the Promotion of ScienceInstituto Politecnico Nacional - Mexico);</t>
  </si>
  <si>
    <t>Japan Society for the Promotion of Science; [19K14385]</t>
  </si>
  <si>
    <t>Endo, Hideki/ABE-9611-2020</t>
  </si>
  <si>
    <t>nxt001@gmail.com</t>
  </si>
  <si>
    <t>Ishii, R (corresponding author), Nara Univ Educ, Dept Sch Educ, Takabatake Cho, Nara 6308528, Japan.</t>
  </si>
  <si>
    <t>Nara University Education</t>
  </si>
  <si>
    <t>[Ishii, Ryo] Nara Univ Educ, Dept Sch Educ, Takabatake Cho, Nara 6308528, Japan; [Ohyama, Takuya] UNIADEX Ltd, Digital Transformat Business Dev Div, Tokyo, Japan; [Endo, Hideki] Nihon Fukushi Univ, Fac Econ, Tokai, Japan</t>
  </si>
  <si>
    <t>This study examined the moderating effect of financial literacy on the relationship between socioeconomic status and depression. A questionnaire survey of 2173 employees using multiple regression and simple slope analyses showed that the relationship between socioeconomic status and depression was weaker among Japanese employees with high financial literacy than among those with low financial literacy. Interpretation from a financial capability framework perspective, including a sense of control and the potential for prevention and intervention of socioeconomic status-related depression through educational interventions related to financial literacy, was discussed.</t>
  </si>
  <si>
    <t>COGNITIVE-ABILITY; HEALTH; EDUCATION; PERFORMANCE; CAPABILITY; BEHAVIOR; IMPACT; SENSE</t>
  </si>
  <si>
    <t>Socioeconomic status; depression; financial literacy; financial capability; employees</t>
  </si>
  <si>
    <t>JOURNAL OF WORKPLACE BEHAVIORAL HEALTH</t>
  </si>
  <si>
    <t>Moderating effect of financial literacy on the relationship between socioeconomic status and depression</t>
  </si>
  <si>
    <t>Ishii, Ryo; Ohyama, Takuya; Endo, Hideki</t>
  </si>
  <si>
    <t>Ishii, R; Ohyama, T; Endo, H</t>
  </si>
  <si>
    <t>WOS:000359057800005</t>
  </si>
  <si>
    <t>CO3LD</t>
  </si>
  <si>
    <t>Urbanities</t>
  </si>
  <si>
    <t>URBANITIES</t>
  </si>
  <si>
    <t>2239-5725</t>
  </si>
  <si>
    <t>C/O DR GIULIANA B PRATO, UNIV KENT, SCH ANTHROPOLOGY &amp; CONSERVATION, CANTERBURY, KENT CT2 7NR, ENGLAND</t>
  </si>
  <si>
    <t>CANTERBURY</t>
  </si>
  <si>
    <t>IUAES, COMMISSION URBAN ANTHROPOLOGY</t>
  </si>
  <si>
    <t>PatA@brooklyn.cuny.edu</t>
  </si>
  <si>
    <t>Antoniello, P (corresponding author), CUNY Brooklyn Coll, Brooklyn, NY 11210 USA.</t>
  </si>
  <si>
    <t>City University of New York (CUNY) System; Brooklyn College (CUNY)</t>
  </si>
  <si>
    <t>CUNY Brooklyn Coll, Brooklyn, NY 11210 USA</t>
  </si>
  <si>
    <t>This article questions whether loans to women's income-generating collectives, individual microcredit loans, and other related lending programmes are necessary and sufficient to alleviate poverty. Taking as a case study a group of women in a drought prone region of Maharashtra in India, this article challenges the presumption that women's lives will change or improve merely by introducing microcredit without identifying underlying structural inequalities, such as, class, caste, race and gender. The discussion stresses that underlying deeply embedded social and cultural factors that mediate women's experience must be analysed and comprehended. I argue that any simplistic assumption that drawing women into a cycle of debt and repayment will improve their standard of living is based on unproblematized top-down view of people in the Global South. This article highlights the conflicts and contradictions of neoliberal market solutions for social problems; for example, whereas Indian women experience this introduction to banking and loans as coercive, CEOs call it standard practice. Thus, there remain irreconcilable differences between the corporate economic sector and the lived experiences of the poor. The best solutions, it is argued, are generated from the bottom, such as by consciousness raising, and not from the top.</t>
  </si>
  <si>
    <t>REFLECTIONS; POVERTY</t>
  </si>
  <si>
    <t>Microfinance/microcredit; poverty; Women's Self-Help Groups; neoliberal policies; consciousness raising</t>
  </si>
  <si>
    <t>URBANITIES-JOURNAL OF URBAN ETHNOGRAPHY</t>
  </si>
  <si>
    <t>Banking the Unbanked: Women and Microfinance in India</t>
  </si>
  <si>
    <t>Antoniello, Patricia</t>
  </si>
  <si>
    <t>Antoniello, P</t>
  </si>
  <si>
    <t>WOS:001015586800001</t>
  </si>
  <si>
    <t>K3PG5</t>
  </si>
  <si>
    <t>10.1016/j.heliyon.2023.e16477</t>
  </si>
  <si>
    <t>e16477</t>
  </si>
  <si>
    <t>In order to link the unorganised with the formal financial sector in India, the National Bank for Agriculture and Rural Development (NABARD) introduced the Self-Help Group Bank Linkage Programme (SHG-BLP) as a trial initiative in 1992 and mainstreamed it in 1996. Microfinance services are available in Assam through SHG-BLPs registered with the Deendayal Antyodaya Yojana-National Rural Livelihoods Mission (DAY-NRLM). In central Assam, there are the most active SHG-BLP units. In light of this, the present study aims to explore contribution of SHG-BLP in financial along with the social inclusion of the marginalised rural people of central Assam. The impact of SHG-BLP is facilitated by the application of the propensity score matching method. The empirical results show that the SHG-BLP considerably reduces social exclusion among participants relative to their non-participant counterparts and ensures financial inclusion too. Based on this empirical finding, the study recommends that the coverage of SHG registration under DAYNRLM be expanded. Simultaneously, efforts must be made to expand the alternative model of SHGs, the MFI-Bank Linkage Model, for expanding SHG coverage.</t>
  </si>
  <si>
    <t>PROPENSITY SCORE; POVERTY; POOR</t>
  </si>
  <si>
    <t>Self-help group bank linkage programme; Financial inclusion index; Social exclusion index; Multiple correspondence analysis; Propensity score matching; Central Assam</t>
  </si>
  <si>
    <t>Self help groups, microfinance, financial inclusion and social exclusion: Insight from Assam</t>
  </si>
  <si>
    <t>WOS:001006932600001</t>
  </si>
  <si>
    <t>J0XW1</t>
  </si>
  <si>
    <t>10.1016/j.econmod.2023.106377</t>
  </si>
  <si>
    <t>* We sincerely thank the Editor and two anonymous referees for their insightful comments and constructive suggestions. Debao Hu acknowledges the support from the Humanities and Social Science Research Planning Fund of the Ministry of Education of China (Grant No. 22YJA790023) .</t>
  </si>
  <si>
    <t>Humanities and Social Science Research Planning Fund of the Ministry of Education of China</t>
  </si>
  <si>
    <t>Humanities and Social Science Research Planning Fund of the Ministry of Education of China [22YJA790023]</t>
  </si>
  <si>
    <t>Zhai, Chenzhe/MYR-3943-2025; Hu, Debao/AFR-4583-2022; Zhao, Sibo/OUH-7328-2025</t>
  </si>
  <si>
    <t>chenzhezhai_ruc@foxmail.com</t>
  </si>
  <si>
    <t>Zhai, CZ (corresponding author), Renmin Univ China, Int Coll, 58 Zhongguancun St, Beijing 100872, Peoples R China.</t>
  </si>
  <si>
    <t>Renmin University of China; Renmin University of China</t>
  </si>
  <si>
    <t>[Hu, Debao; Zhai, Chenzhe] Renmin Univ China, Int Coll, 58 Zhongguancun St, Beijing 100872, Peoples R China; [Zhao, Sibo] Renmin Univ China, Sch Finance, 58 Zhongguancun St, Beijing 100872, Peoples R China</t>
  </si>
  <si>
    <t>The relationship between digital financial development and household consumption has drawn much attention from both academia and policymakers. Previous studies have documented that digital financial development fosters the growth of household consumption expenditure, but little attention is paid to its impact on household consumption upgrading. Using China Family Panel Studies data and Digital Financial Inclusion Index, we examine the impact of digital financial development on Chinese household consumption structure. We find that the development of digital finance promotes household consumption upgrading. Liquidity constraints, payment convenience, investment efficiency and household risk-hedging ability are proven to be important channels in the mechanism. Our findings are robust to the dynamic GMM estimation and instrumental variable analysis. It implies that the government should devote more efforts to developing digital finance to promote consumption upgrading, and hence economic growth.</t>
  </si>
  <si>
    <t>Digital finance; Household consumption; Consumption upgrading; China Family Panel Studies</t>
  </si>
  <si>
    <t>Does digital finance promote household consumption upgrading? An analysis based on data from the China family panel studies*</t>
  </si>
  <si>
    <t>Hu, Debao; Zhai, Chenzhe; Zhao, Sibo</t>
  </si>
  <si>
    <t>Hu, DB; Zhai, CZ; Zhao, SB</t>
  </si>
  <si>
    <t>WOS:000490399200006</t>
  </si>
  <si>
    <t>JE0QM</t>
  </si>
  <si>
    <t>10.1080/02681102.2017.1422105</t>
  </si>
  <si>
    <t>atika.kemal@anglia.ac.uk</t>
  </si>
  <si>
    <t>Kemal, AA (corresponding author), Anglia Ruskin Univ, Lord Ashcroft Int Business Sch, Bishop Hall Lane, Chelmsford CM1 1SQ, England.</t>
  </si>
  <si>
    <t>Anglia Ruskin University</t>
  </si>
  <si>
    <t>[Kemal, Atika Ahmad] Anglia Ruskin Univ, Lord Ashcroft Int Business Sch, Bishop Hall Lane, Chelmsford CM1 1SQ, England</t>
  </si>
  <si>
    <t>Whilst there have been growing interest and efforts by governments in developing countries to disburse digital government-to-person (G2P) payments to promote financial inclusion, the role of mobile banking in the receipt of social cash remains under-researched. Through an interpretive case study of the Benazir Income Support Programme (BISP) in Pakistan, this paper applies Orlikowski?s Duality of Technology that critically examines mobile banking usage by women beneficiaries and technology's effects on the institutional properties of their households. Qualitative data were collected through semi-structured interviews from participants located in Pakistan. The findings highlighted that mobile banking enabled women to receive the full amount of grants, securely and conveniently, from agents. However, mobile banking imposed human, socio-economic and technological constraints which restricted women's access to and usage of financial services that limited financial inclusion. Women were socially and politically empowered, thereby, social inclusion was transformative. This paper theoretically contributes to the Duality of Technology framework that was deterministic for women beneficiaries. The study accentuates the redesign of mobile banking to match women's capabilities, and imparting financial and digital training to them. Also, the provision of a range of financial resources to beneficiaries may steer micro-entrepreneurial activities to advance the inclusion agenda in Pakistan.</t>
  </si>
  <si>
    <t>INFORMATION; TECHNOLOGY; PHONES; SYSTEMS; MICROENTREPRENEURS; ADOPTION; ICTS</t>
  </si>
  <si>
    <t>Mobile banking; G2P payments; social cash; financial inclusion; social inclusion; duality of technology; Pakistan</t>
  </si>
  <si>
    <t>Mobile banking in the government-to-person payment sector for financial inclusion in Pakistan*</t>
  </si>
  <si>
    <t>Kemal, Atika Ahmad</t>
  </si>
  <si>
    <t>Kemal, AA</t>
  </si>
  <si>
    <t>WOS:001495070900001</t>
  </si>
  <si>
    <t>L7125</t>
  </si>
  <si>
    <t>10.1108/IJBM-08-2024-0458</t>
  </si>
  <si>
    <t>The authors would like to thank the FinMark Trust for providing access to the FinScope Survey data. The usual disclaimers apply. Bernardo Batiz-Lazo appreciates financial support through the Spanish State Agency for Innovation (AEI) grant PID2022-139315OB-I00, funded by MICIU/AEI/10.13039/501100011033, FEDER/UE A way of making Europe. Santiago Carbo-Valverde gratefully acknowledges financial support from research grants numbered PGC2018-099415-B-00 and PID2020-118883GB-I00 from the Spanish Ministry of Science and Innovation.</t>
  </si>
  <si>
    <t>Spanish State Agency for Innovation (AEI); FEDER/UE A way of making Europe; Spanish Ministry of Science and Innovation(Spanish GovernmentMinistry of Science &amp; Innovation, Spain (MICINN))</t>
  </si>
  <si>
    <t>Spanish State Agency for Innovation (AEI) [PID2022-139315OB-I00, MICIU/AEI/10.13039/501100011033]; FEDER/UE A way of making Europe [PGC2018-099415-B-00, PID2020-118883GB-I00]; Spanish Ministry of Science and Innovation</t>
  </si>
  <si>
    <t>Batiz-Lazo, Bernardo/0000-0001-7113-3386</t>
  </si>
  <si>
    <t>Batiz-Lazo, Bernardo/ISV-6142-2023</t>
  </si>
  <si>
    <t>marybethr@uj.ac.za; bernardo.batiz-lazo@northumbria.ac.uk; santiago.carbo@uv.es</t>
  </si>
  <si>
    <t>Rouse, M (corresponding author), Univ Johannesburg, Dept Accountancy, Auckland Pk Kingsway Campus, Johannesburg, South Africa.</t>
  </si>
  <si>
    <t>University of Johannesburg; Northumbria University; Universidad Anahuac; University of Valencia</t>
  </si>
  <si>
    <t>[Rouse, Marybeth] Univ Johannesburg, Dept Accountancy, Auckland Pk Kingsway Campus, Johannesburg, South Africa; [Batiz-Lazo, Bernardo] Northumbria Univ, Newcastle Upon Tyne, England; [Batiz-Lazo, Bernardo] Univ Anahuac, Ciudad De Mexico, Mexico; [Carbo-Valverde, Santiago] Univ Valencia, Fac Econ, Valencia, Spain</t>
  </si>
  <si>
    <t>PurposeThis longitudinal study explores how socio-demographic factors, including ethnicity and Living Standards Measures (LSM), alongside trust in banks, influence mobile banking adoption in South Africa.Design/methodology/approachUsing 10 years of FinScope survey data, logistic regression analyses were conducted to assess the impact of socio-demographics and trust on mobile banking use.FindingsTrust in banks positively influenced adoption, though its economic impact was modest. Individuals aged 30-39, higher-income earners and those with advanced education were most likely to adopt mobile banking, with income increasing adoption probability by 9.44%. Black individuals showed higher adoption rates compared to other ethnic groups.Practical implicationsFindings enable banks and fintechs to tailor strategies for targeted consumer segments while providing evidence for policymakers to address socio-demographic barriers to enhance financial inclusion.Originality/valueThis study uniquely integrates socio-demographic factors with trust in banks, offering fresh insights into financial inclusion and the distinct roles of ethnicity and living standards in mobile banking adoption.</t>
  </si>
  <si>
    <t>ONLINE BANKING; CONSUMER ACCEPTANCE; FINANCIAL SERVICES; USER ACCEPTANCE; TECHNOLOGY; ATTITUDES; INTENTION; RESISTANCE; EXTENSION; COMMERCE</t>
  </si>
  <si>
    <t>Banking; Bank trust; Consumer behaviour; Ethnicity; Financial inclusion; Financial services; Mobile banking; Socio-demographic characteristics</t>
  </si>
  <si>
    <t>Trust and socio-demographic influences on mobile banking adoption in South Africa: a longitudinal study</t>
  </si>
  <si>
    <t>Rouse, Marybeth; Batiz-Lazo, Bernardo; Carbo-Valverde, Santiago</t>
  </si>
  <si>
    <t>Rouse, M; Bátiz-Lazo, B; Carbó-Valverde, S</t>
  </si>
  <si>
    <t>WOS:001358392800001</t>
  </si>
  <si>
    <t>Z8O5D</t>
  </si>
  <si>
    <t>10.1080/02255189.2024.2415583</t>
  </si>
  <si>
    <t>The authors would like to thank Aletheia Amalia Donald, Anja Robakowski, Tenin Fatimata Dicko and Daniel Pajank for their contribution. We also thank the participants of the second research day of Centre d' Etude, de Documentation et de Recherche Economiques et Sociales (CEDRES) of Thomas SANKARA University.</t>
  </si>
  <si>
    <t>World Bank(The World Bank India); Centre d' Etude, de Documentation et de Recherche Economiques et Sociales</t>
  </si>
  <si>
    <t>World Bank; Centre d' Etude, de Documentation et de Recherche Economiques et Sociales</t>
  </si>
  <si>
    <t>Loaba, S (corresponding author), Univ Thomas Sankara, Econ Dept, Saaba, Burkina Faso.</t>
  </si>
  <si>
    <t>[Loaba, Salamata] Univ Thomas Sankara, Econ Dept, Saaba, Burkina Faso; [Maiga, W. H. Eugenie] Univ Norbert ZONGO, Econ Dept, Koudougou, Burkina Faso</t>
  </si>
  <si>
    <t>This paper investigates the barriers to women's financial inclusion in Burkina Faso. We focus on both demand and supply side factors. Data from Findex for the years 2014, 2017 and 2021 are used. Statistical analysis show that lack of money and distance are the main barriers to women's financial inclusion in 2014, 2017 and 2021. Interviews with women during the focus discussion groups revealed that access to formal financial products remains a difficulty for these women working in the informal sector; social pressure, particularly the behavior of husbands against the economic emancipation of women, are barriers to the financial inclusion of these women; poor information sharing and financial education are also barriers to financial inclusion for these women. To promote women's financial inclusion, policies should focus on reducing barriers. To do this, education and access to the decent labor market are necessary to overcome the constraint of lack of money. Regarding distance, the strengthening of mobile banking must continue. To achieve women's financial inclusion, banks need to create products tailored to women's needs. Cet article &amp; eacute;tudie les obstacles &amp; agrave; l'inclusion financi &amp; egrave;re des femmes au Burkina Faso. Nous nous concentrons sur les facteurs li &amp; eacute;s &amp; agrave; l'offre et &amp; agrave; la demande. Les donn &amp; eacute;es de Findex pour les ann &amp; eacute;es 2014, 2017 et 2021 sont utilis &amp; eacute;es. L'analyse statistique montre que le manque d'argent et la distance sont les principales barri &amp; egrave;res &amp; agrave; l'inclusion financi &amp; egrave;re des femmes en 2014, 2017 et 2021. Les entretiens avec les femmes lors des groupes de discussion ont r &amp; eacute;v &amp; eacute;l &amp; eacute; que l'acc &amp; egrave;s aux produits financiers formels reste une difficult &amp; eacute; pour ces femmes travaillant dans le secteur informel; la pression sociale, en particulier le comportement des maris contre l'&amp; eacute;mancipation &amp; eacute;conomique des femmes, sont des barri &amp; egrave;res &amp; agrave; l'inclusion financi &amp; egrave;re de ces femmes; le faible partage de l'information et l'&amp; eacute;ducation financi &amp; egrave;re sont &amp; eacute;galement des barri &amp; egrave;res &amp; agrave; l'inclusion financi &amp; egrave;re de ces femmes. Pour promouvoir l'inclusion financi &amp; egrave;re des femmes, les politiques devraient se concentrer sur la r &amp; eacute;duction des obstacles. Pour ce faire, l'&amp; eacute;ducation et l'acc &amp; egrave;s &amp; agrave; un march &amp; eacute; du travail d &amp; eacute;cent sont n &amp; eacute;cessaires pour surmonter la contrainte du manque d'argent. En ce qui concerne la distance, le renforcement des services bancaires mobiles doit se poursuivre. Pour parvenir &amp; agrave; l'inclusion financi &amp; egrave;re des femmes, les banques doivent cr &amp; eacute;er des produits adapt &amp; eacute;s &amp; agrave; leurs besoins.</t>
  </si>
  <si>
    <t>ACCESS; CREDIT; GENDER; INVESTMENT</t>
  </si>
  <si>
    <t>Barrier; financial inclusion; financial services; women; Burkina Faso; G21; O16; P34</t>
  </si>
  <si>
    <t>Barriers to women's financial inclusion in Burkina Faso</t>
  </si>
  <si>
    <t>Loaba, Salamata; Maiga, W. H. Eugenie</t>
  </si>
  <si>
    <t>Loaba, S; Maiga, WHE</t>
  </si>
  <si>
    <t>WOS:001498966300001</t>
  </si>
  <si>
    <t>3FH4G</t>
  </si>
  <si>
    <t>10.1016/j.irfa.2025.104351</t>
  </si>
  <si>
    <t>This work was supported by the National Natural Science Foundation of China (72473127) ; National Natural Science Foundation of China (72273065) ; National Natural Science Foundation of China (72003170) ; General Research Project of the Zhejiang Provincial Department of Education (Y202456227) .</t>
  </si>
  <si>
    <t>National Natural Science Foundation of China(National Natural Science Foundation of China (NSFC)); General Research Project of the Zhejiang Provincial Department of Education</t>
  </si>
  <si>
    <t>National Natural Science Foundation of China [72473127, 72273065, 72003170]; General Research Project of the Zhejiang Provincial Department of Education [Y202456227]</t>
  </si>
  <si>
    <t>sanhaolou105@163.com</t>
  </si>
  <si>
    <t>Chen, W (corresponding author), Zhejiang Univ, China Acad Rural Dev, Hangzhou 310058, Peoples R China.</t>
  </si>
  <si>
    <t>Zhejiang University; Zhejiang University; Zhejiang University</t>
  </si>
  <si>
    <t>[Chen, Wei] Zhejiang Univ, China Acad Rural Dev, Hangzhou 310058, Peoples R China; [Chen, Wei; Li, Jiawei] Zhejiang Univ, Sch Publ Affairs, Hangzhou 310058, Peoples R China; [Chen, Wei] Zhejiang Univ, Inst Common Prosper &amp; Dev, Hangzhou 310058, Peoples R China</t>
  </si>
  <si>
    <t>This study, based on the micro-panel data from the China Family Panel Studies (CFPS) and the digital financial inclusion index at the prefecture level, focuses on the internal mechanisms through which rural e-commerce and digital finance synergistically promote consumption upgrading. Using a multi-period difference-in-differences (DID) approach, this research evaluates the effects of e-commerce demonstration policies and analyzes the transmission pathways through a mediation effect model. The findings reveal that e-commerce demonstration policies significantly enhance consumption upgrading among rural households. Digital finance serves as a crucial mediating variable, amplifying the promotional effect of e-commerce development on consumption upgrading by reducing transaction frictions and optimizing resource allocation. Further heterogeneity analysis indicates that the policies have a more pronounced effect on stimulating consumption upgrading in regions with lower levels of economic development.</t>
  </si>
  <si>
    <t>Rural e -commerce development; Digital finance; Consumption upgrading</t>
  </si>
  <si>
    <t>Digital finance, rural E-commerce development and consumption upgrading</t>
  </si>
  <si>
    <t>Chen, Wei; Li, Jiawei</t>
  </si>
  <si>
    <t>Chen, W; Li, JW</t>
  </si>
  <si>
    <t>WOS:001589368600001</t>
  </si>
  <si>
    <t>8II6K</t>
  </si>
  <si>
    <t>10.1177/21582440251378112</t>
  </si>
  <si>
    <t>Nuta, Alina Cristina/AAG-7792-2020; Boadi, Emmanuel/LQJ-8981-2024; Mangudhla, Tinashe/GPX-6997-2022; Fu, Xin/ACZ-0627-2022</t>
  </si>
  <si>
    <t>lx20210613004@hhu.edu.cn; xinfu@hhu.edu.cn; ldimen@uab.ro; alinanuta@univ-danubius.ro</t>
  </si>
  <si>
    <t>Dodoo, RNA; Xin, F (corresponding author), Hohai Univ, Sch Business Adm, Nanjing 211100, Peoples R China.;Dimen, L (corresponding author), 1 Decembrie 1918 Univ Alba Iulia, Fac Comp Sci &amp; Engn, Alba Iulia 510009, Romania.;Nuta, AC (corresponding author), Danubius Int Univ, Sch Econ &amp; Business Adm, Bvd Galati 3, Galati 800654, Romania.</t>
  </si>
  <si>
    <t>Hohai University; Chinese Academy of Sciences; University of Science &amp; Technology of China, CAS; University of Memphis; 1 Decembrie 1918 University Alba Iulia; Ministry of Education of Azerbaijan Republic; Azerbaijan State University of Economics (UNEC)</t>
  </si>
  <si>
    <t>[Dodoo, Regina Naa Amua; Xin, Fu; Boadi, Emmanuel Bosompem] Hohai Univ, Nanjing, Peoples R China; [Mangudhla, Tinashe] Univ Sci &amp; Technol China, Hefei, Peoples R China; [Boadi, Emmanuel Bosompem] Univ Memphis, Memphis, TN USA; [Dimen, Levente] 1 Decembrie 1918 Univ Alba Iulia, Alba Iulia, Romania; [Nuta, Alina Cristina] Danubius Int Univ, Galati, Romania; [Nuta, Alina Cristina] Azerbaijan State Univ Econ UNEC, Baku, Azerbaijan</t>
  </si>
  <si>
    <t>Over the past decade, mobile money services have rapidly expanded in developing economies, yet research on their adoption by petty traders remains limited. This study investigates the factors influencing the intention to use MTN Mobile Money (MTN MoMo) among Makola traders in Ghana. Using a two-stage PLS-SEM artificial neural network (ANN) predictive analytic approach, the study first applied PLS-SEM to test hypotheses, followed by ANN to detect nonlinear effects. A total of 945 questionnaires were collected, revealing that performance expectancy, effort expectancy, social influence, price value, and trust significantly influence traders' intentions to use MTN MoMo. Additionally, both intention to use and facilitating conditions significantly predict the actual usage of MTN MoMo. Model B indicates differences in the ranking of price value, trust, and intention to use between the PLS-SEM and ANN models, suggesting hidden attributes may influence these relationships. These findings benefit policymakers and service providers committed to advancing digital financial inclusion and economic development. Theoretically, the study extends UTAUT2 in the context of MoMo, a neglected research area. Methodologically, it is the first to apply the UTAUT2 model using the hybrid PLS-SEM-ANN approach in Ghana.</t>
  </si>
  <si>
    <t>UNIFIED THEORY; INFORMATION-TECHNOLOGY; BANKING SERVICES; EXTENDING UTAUT2; INTERNET BANKING; USER ACCEPTANCE; INTENTIONS; TRUST; INNOVATIONS; OPERATIONS</t>
  </si>
  <si>
    <t>Makola traders; Mobile Money; UTAUT; trust; artificial neural network</t>
  </si>
  <si>
    <t>The Paradox of Mobile Money Adoption among Ghana's PETTY Traders: A Two-Stage PLS-SEM-ANN Approach</t>
  </si>
  <si>
    <t>Dodoo, Regina Naa Amua; Xin, Fu; Mangudhla, Tinashe; Boadi, Emmanuel Bosompem; Dimen, Levente; Nuta, Alina Cristina</t>
  </si>
  <si>
    <t>Dodoo, RNA; Xin, F; Mangudhla, T; Boadi, EB; Dimen, L; Nuta, AC</t>
  </si>
  <si>
    <t>WOS:001210289400001</t>
  </si>
  <si>
    <t>OW4A2</t>
  </si>
  <si>
    <t>10.1016/j.pacfin.2024.102316</t>
  </si>
  <si>
    <t>This research was supported by the National Natural Science Foundation of China 's Major Program 72091310 Research on Major Theoretical and Practice Issues in Innovation -Driven Entrepreneurship, Project Five 72091314 Research on the Theory and Strategy of Innovation -Driven International Corporate Entrepreneurship.</t>
  </si>
  <si>
    <t>National Natural Science Foundation of China 's Major Program(National Natural Science Foundation of China (NSFC))</t>
  </si>
  <si>
    <t>National Natural Science Foundation of China 's Major Program [72091310, 72091314]</t>
  </si>
  <si>
    <t>sxxiaoyan0601@163.com; xxl@nsd.pku.edu.cn</t>
  </si>
  <si>
    <t>Xie, XL (corresponding author), Peking Univ, Natl Sch Dev, Beijing, Peoples R China.</t>
  </si>
  <si>
    <t>[Sun, Xiaoyan; Xie, Xuanli] Peking Univ, Natl Sch Dev, Beijing, Peoples R China</t>
  </si>
  <si>
    <t>Difficulties in accessing external funding present a major barrier of starting businesses. With the recent digital transformation of the financial industry, does digital finance reduce financing barrier and promote entrepreneurial activities? This study combines Peking University digital financial inclusion index of China, Peking University commercial banks digital transformation index of China, and the China Family Panel Studies database to explore the impact of digital finance on entrepreneurship. The study distinguishes digital finance provided through traditional commercial bank and BigTech firms, and finds that both can promote entrepreneurship. However, the digital finance provided by traditional commercial banks primarily affects formal entrepreneurship, while digital finance provided by BigTech firms mainly affects informal entrepreneurship. In addition, digital finance provided by BigTech firms is more inclusive, as it benefits female entrepreneurship to a greater extent.</t>
  </si>
  <si>
    <t>COMMERCIAL-BANKS; GENDER-GAP; WOMEN; INVESTMENT; CREDIT; TRANSFORMATION; CONSTRAINTS; INFORMATION; OWNERS; IMPACT</t>
  </si>
  <si>
    <t>Digital finance; Entrepreneurship; Commercial bank; BigTech firm</t>
  </si>
  <si>
    <t>How does digital finance promote entrepreneurship? The roles of traditional financial institutions and BigTech firms</t>
  </si>
  <si>
    <t>Sun, Xiaoyan; Xie, Xuanli</t>
  </si>
  <si>
    <t>Sun, XY; Xie, XL</t>
  </si>
  <si>
    <t>WOS:000934987100001</t>
  </si>
  <si>
    <t>A9WK8</t>
  </si>
  <si>
    <t>10.1111/joca.12510</t>
  </si>
  <si>
    <t>Academy of Finland, Grant/AwardNumber: 327241DigiConsumers &amp;352546DigiConsumers</t>
  </si>
  <si>
    <t>Academy of Finland(Research Council of Finland)</t>
  </si>
  <si>
    <t>Academy of Finland [327241DigiConsumers, 352546DigiConsumers]</t>
  </si>
  <si>
    <t>Koskelainen, Tiina/0000-0001-9205-4062;</t>
  </si>
  <si>
    <t>; Scornavacca, Eusebio/AAI-2481-2019</t>
  </si>
  <si>
    <t>tiina.e.koskelainen@jyu.fi</t>
  </si>
  <si>
    <t>Koskelainen, T (corresponding author), Univ Jyvaskyla, Fac Informat Technol, Mattilanniemi 2, Jyvaskyla 40014, Finland.</t>
  </si>
  <si>
    <t>University of Jyvaskyla; University of Vaasa; Arizona State University; Arizona State University-Tempe; University of Jyvaskyla</t>
  </si>
  <si>
    <t>[Koskelainen, Tiina] Univ Jyvaskyla, Fac Informat Technol, Jyvaskyla, Finland; [Kalmi, Panu; Vartiainen, Tero] Univ Vaasa, Sch Accounting &amp; Finance, Sch Technol &amp; Innovat, Vaasa, Finland; [Scornavacca, Eusebio] Arizona State Univ, Sch Future Innovat Soc, Tempe, AZ USA; [Koskelainen, Tiina] Univ Jyvaskyla, Fac Informat Technol, Mattilanniemi 2, Jyvaskyla 40014, Finland</t>
  </si>
  <si>
    <t>Digital innovations are transforming financial services and resulting changes in consumer behavior and personal money management. Diffusion of pervasive digital technologies offers individuals quick and easy access to various digital services bringing opportunities and challenges into their personal money management. The study aimed to explore how digitalization affects individuals' financial literacy and financial capability. As a result, we identified three main themes in the intersection of finance and digitalization: Fintech, Financial behavior in digital environments, and Behavioral interventions. We propose directions for measuring digital financial literacy, updates to the financial literacy curriculum, and developments of digital learning tools. Further, we highlight collaboration between the public and private sectors to create a fairer and more inclusive economic landscape. Our study contributes to existing research by proposing a framework for digital financial literacy and financial capability and a research agenda for future studies.</t>
  </si>
  <si>
    <t>BEHAVIOR; BANKING; ANTECEDENTS; INNOVATION; EDUCATION; FUTURE</t>
  </si>
  <si>
    <t>digital; digital financial services; financial capability; financial literacy; personal money management</t>
  </si>
  <si>
    <t>Financial literacy in the digital age-A research agenda</t>
  </si>
  <si>
    <t>Koskelainen, Tiina; Kalmi, Panu; Scornavacca, Eusebio; Vartiainen, Tero</t>
  </si>
  <si>
    <t>Koskelainen, T; Kalmi, P; Scornavacca, E; Vartiainen, T</t>
  </si>
  <si>
    <t>WOS:001301787507001</t>
  </si>
  <si>
    <t>BX5OE</t>
  </si>
  <si>
    <t>Computer Science, Information Systems; Computer Science, Interdisciplinary Applications; Computer Science, Software Engineering</t>
  </si>
  <si>
    <t>Hawaii Int Con Sys S</t>
  </si>
  <si>
    <t>978-0-9981331-7-1</t>
  </si>
  <si>
    <t>hmkim@yorku.ca</t>
  </si>
  <si>
    <t>Kim, HM (corresponding author), York Univ, Schulich Sch Business, Toronto, ON, Canada.</t>
  </si>
  <si>
    <t>York University - Canada</t>
  </si>
  <si>
    <t>[Kim, Henry M.] York Univ, Schulich Sch Business, Toronto, ON, Canada</t>
  </si>
  <si>
    <t>To motivate wider adoption, proponents of token-based digital currencies have advocated for their use for financial inclusion. Token-based currencies are closer to cash than are intermediated account-based ones (e.g., M-Pesa), which is important since cash is the least financially excluding form of money. However, in-depth evidential studies have concluded that the narrative appears compelling only in niche cases. In this paper, a re-examined exploration of the narrative, drawing from an IT Affordance lens, is presented. The paper explores how the recently introduced concept of an intermediary ecosystem can hinder or enable a financially excluded person's potential use of stablecoins to fulfill goals associated with financial inclusion affordances. The possibility that stablecoin functionalities could be integrated into, for example, community-based initiatives like Latin American tandas is explored. Hence, reframing through the lens of IT affordance reinforces that blockchain-based tokenized digital currencies could strengthen benevolent intermediaries' ability to aid financially excluded persons.</t>
  </si>
  <si>
    <t>INTERMEDIARIES; DESIGN; ICT</t>
  </si>
  <si>
    <t>stablecoins; digital currencies; CBDC; blockchain; financial inclusion</t>
  </si>
  <si>
    <t>Honolulu, HI</t>
  </si>
  <si>
    <t>JAN 03-06, 2024</t>
  </si>
  <si>
    <t>57th Hawaii International Conference on System Sciences (HICSS)</t>
  </si>
  <si>
    <t>Hawaii International Conference on System Sciences</t>
  </si>
  <si>
    <t>PROCEEDINGS OF THE 57TH ANNUAL HAWAII INTERNATIONAL CONFERENCE ON SYSTEM SCIENCES</t>
  </si>
  <si>
    <t>Can Stablecoins Actually Improve Financial Inclusion: Exploring the IT Affordances of Token-Based Digital Currencies</t>
  </si>
  <si>
    <t>Kim, Henry M.</t>
  </si>
  <si>
    <t>Kim, HM</t>
  </si>
  <si>
    <t>WOS:001036715000043</t>
  </si>
  <si>
    <t>BV4NQ</t>
  </si>
  <si>
    <t>Computer Science, Interdisciplinary Applications; Computer Science, Theory &amp; Methods; Ergonomics</t>
  </si>
  <si>
    <t>10.1145/3532106.3533569</t>
  </si>
  <si>
    <t>978-1-4503-9358-4</t>
  </si>
  <si>
    <t>Nguyen, Sydney/0000-0001-5307-4271</t>
  </si>
  <si>
    <t>jaylcham@uw.edu; sydnguyen97@gmail.com; jkientz@uw.edu; dkrosner@uw.edu</t>
  </si>
  <si>
    <t>Cunningham, JL (corresponding author), Univ Washington, Seattle, WA 98195 USA.</t>
  </si>
  <si>
    <t>[Cunningham, Jay L.; Kientz, Julie A.; Rosner, Daniela] Univ Washington, Seattle, WA 98195 USA</t>
  </si>
  <si>
    <t>Mobile banking applications have become a primary mode of sharing and managing fnancial resources. However, prior work has questioned its role in serving Black communities amid legacies of structural racial inequity. To investigate this critical topic, we conducted a 30-day diary study with 21 participants and an interview study with 15 participants, all Black American users of the mobile payment platform Cash App. We observed that addressing hurdles to fnancial inclusion requires the navigation of institutional distrust, banking barriers, and fnancial literacy disparities. Our fndings suggest that Black Americans persist and navigate contemporary fnancial systems through legacies of social and cultural capacities. We ofer grounded-truth considerations for the continued design of fn-tech that could have equitable impact among historically marginalized communities. Refecting on the tenor of fnancial services to lack empathy, we urge designers and scholars of fnancial technology to refect on their power to promote racial justice and fnancial inclusion.</t>
  </si>
  <si>
    <t>CREDIT; MONEY; RACE</t>
  </si>
  <si>
    <t>fn-tech; asset-based design; equitable fn-tech; racial justice; human-centered computing</t>
  </si>
  <si>
    <t>JUN 13-17, 2022</t>
  </si>
  <si>
    <t>PROCEEDINGS OF THE 2022 ACM DESIGNING INTERACTIVE SYSTEMS CONFERENCE, DIS 2022</t>
  </si>
  <si>
    <t>The Cost of Culture: An Analysis of Cash App and the Financial Inclusion of Black American Communities</t>
  </si>
  <si>
    <t>Cunningham, Jay L.; Nguyen, Sydney T.; Kientz, Julie A.; Rosner, Daniela</t>
  </si>
  <si>
    <t>Cunningham, JL; Nguyen, ST; Kientz, JA; Rosner, D</t>
  </si>
  <si>
    <t>WOS:000583582000001</t>
  </si>
  <si>
    <t>OI9ID</t>
  </si>
  <si>
    <t>10.1080/23311975.2020.1839164</t>
  </si>
  <si>
    <t>Baidoo, Samuel Tawiah/0000-0001-5941-6308; Essiam, Ebenezer/0000-0002-0349-657X</t>
  </si>
  <si>
    <t>Baidoo, Samuel Tawiah/I-4307-2018; Ofori-Abebrese, Grace/AAV-1944-2021</t>
  </si>
  <si>
    <t>ofori35@yahoo.com; samueltawiahbaidoo@yahoo.com; essiameben@gmail.com</t>
  </si>
  <si>
    <t>Baidoo, ST (corresponding author), Kwame Nkrumah Univ Sci &amp; Technol, Dept Econ, Kumasi, Ghana.</t>
  </si>
  <si>
    <t>[Ofori-Abebrese, Grace; Baidoo, Samuel Tawiah; Essiam, Ebenezer] Kwame Nkrumah Univ Sci &amp; Technol, Dept Econ, Kumasi, Ghana</t>
  </si>
  <si>
    <t>The prominent role of financial inclusion in every economy-as it has been widely acknowledged as an enabler to achieving eight out of the 17 Sustainable Development Goals (SDGs) cannot be overemphasized as far as the welfare of individuals is concerned. This study estimates the effects of financial inclusion on welfare using cross-section data from 33 sub-Saharan African countries and the ordinary least squares technique is employed for the analysis. The results from the financial inclusion index estimation reveal that, generally, financial inclusion in the sub-region is low as 29 out of the 33 sampled countries have low financial inclusion index. It is also revealed that financial inclusion has positive effect on welfare. With regard to the control variables, the study reveals that education and income also improve welfare. Based on the positive effect of financial inclusion on welfare, important implications that seek to promote financial inclusion in the sub-region have been provided for policy consideration.</t>
  </si>
  <si>
    <t>INCOME INEQUALITY; ACCESS; IMPACT</t>
  </si>
  <si>
    <t>Financial inclusion; financial system; welfare; sustainable development goals; sub-Saharan Africa; Africa</t>
  </si>
  <si>
    <t>Estimating the effects of financial inclusion on welfare in sub-Saharan Africa</t>
  </si>
  <si>
    <t>Ofori-Abebrese, Grace; Baidoo, Samuel Tawiah; Essiam, Ebenezer</t>
  </si>
  <si>
    <t>Ofori-Abebrese, G; Baidoo, ST; Essiam, E</t>
  </si>
  <si>
    <t>WOS:000455345900021</t>
  </si>
  <si>
    <t>BL7QD</t>
  </si>
  <si>
    <t>Computer Science; Science &amp; Technology - Other Topics</t>
  </si>
  <si>
    <t>Computer Science, Interdisciplinary Applications; Green &amp; Sustainable Science &amp; Technology</t>
  </si>
  <si>
    <t>10.1145/3209811.3209863</t>
  </si>
  <si>
    <t>978-1-4503-5816-3</t>
  </si>
  <si>
    <t>We are grateful to the two professors who led the trip to Ghana and were helpful in getting more contacts in the country. The research presented in this paper was supported in part by the Jackson School Department of African Studies through the Ottenberg-Winans Fellowship to conduct this research</t>
  </si>
  <si>
    <t>Jackson School Department of African Studies through the Ottenberg-Winans Fellowship</t>
  </si>
  <si>
    <t>sarahyu@cs.washington.edu; samiai@cs.washington.edu</t>
  </si>
  <si>
    <t>Yu, S (corresponding author), Univ Washington, Paul G Allen Sch Comp Sci &amp; Engn, Seattle, WA 98195 USA.</t>
  </si>
  <si>
    <t>[Yu, Sarah; Ibtasam, Samia] Univ Washington, Paul G Allen Sch Comp Sci &amp; Engn, Seattle, WA 98195 USA</t>
  </si>
  <si>
    <t>Access to formal financial services, or being financially included, allows individuals the opportunity to plan, save, and stabilize their financial lives. Financial inclusion has recently received higher priority due to its promise to improve financial well-being and, in turn, assist in the reduction of poverty on larger scales. The simultaneous success of M-Pesa, bolstered by the proliferation of mobile phone access, convinced many that mobile money would enable financial inclusion. However, with nuanced characteristics in each country and distinct financial systems and economy, mobile money adoption and usage is varied. In this paper, we evaluate the mobile money's viability as a vehicle for financial inclusion in the Southern region of Ghana. We report on qualitative interviews and observations from five different cities and surrounding small towns and evaluate individual financial practices, existing and projected needs for financial services, and the potential role of mobile money in fulfilling these goals.</t>
  </si>
  <si>
    <t>Mobile Money; HCI4D; ICTD</t>
  </si>
  <si>
    <t>Facebook,Google,Cornell Univ,Mozilla,Internet Soc,Ammbr,Wadhwani AI,Microsoft Res,ACM SIGCAS,Assoc Comp Machinery</t>
  </si>
  <si>
    <t>San Jose, CA</t>
  </si>
  <si>
    <t>JUN 20-22, 2018</t>
  </si>
  <si>
    <t>1st ACM SIGCAS Conference on Computing and Sustainable Societies (COMPASS)</t>
  </si>
  <si>
    <t>PROCEEDINGS OF THE 1ST ACM SIGCAS CONFERENCE ON COMPUTING AND SUSTAINABLE SOCIETIES (COMPASS 2018)</t>
  </si>
  <si>
    <t>A Qualitative Exploration of Mobile Money in Ghana</t>
  </si>
  <si>
    <t>Yu, Sarah; Ibtasam, Samia</t>
  </si>
  <si>
    <t>Yu, S; Ibtasam, S</t>
  </si>
  <si>
    <t>WOS:000338001900013</t>
  </si>
  <si>
    <t>AJ9BN</t>
  </si>
  <si>
    <t>10.1016/j.jdeveco.2014.02.009</t>
  </si>
  <si>
    <t>Bruhn, Miriam/0009-0002-6114-6049</t>
  </si>
  <si>
    <t>mbruhn@worldbank.org; glaraibarra@worldbank.org; dmckenzie@worldbank.org</t>
  </si>
  <si>
    <t>Bruhn, M (corresponding author), World Bank, 1818 H St NW, Washington, DC 20433 USA.</t>
  </si>
  <si>
    <t>[Bruhn, Miriam; Ibarra, Gabriel Lara; McKenzie, David] World Bank, Washington, DC 20433 USA</t>
  </si>
  <si>
    <t>We conduct randomized experiments around a large-scale financial literacy course in Mexico City to understand the reasons for low take-up among a general population, and to measure the impact of this financial education course. Our results suggest that reputational, logistical, and specific forms of behavioral constraints are not the main reasons for limited participation, and that people do respond to higher benefits from attending in the form of monetary incentives. Attending training results in a 9 percentage point increase in financial knowledge, and a 9 percentage point increase in some self-reported measures of saving, but in no impact on borrowing behavior. Administrative data suggests that any savings impact may be short-lived. Our findings indicate that this course which has served over 300,000 people and has expanded throughout Latin America has minimal impact on marginal participants, and that people are likely making optimal choices not to attend this financial education course. (C) 2014 Published by Elsevier B.V.</t>
  </si>
  <si>
    <t>Financial literacy; Financial capability; Encouragement design; Low take-up</t>
  </si>
  <si>
    <t>The minimal impact of a large-scale financial education program in Mexico City</t>
  </si>
  <si>
    <t>Bruhn, Miriam; Ibarra, Gabriel Lara; McKenzie, David</t>
  </si>
  <si>
    <t>Bruhn, M; Ibarra, GL; McKenzie, D</t>
  </si>
  <si>
    <t>WOS:000373773000006</t>
  </si>
  <si>
    <t>DI8SX</t>
  </si>
  <si>
    <t>UNIVERSITI PUTRA MALAYSIA PRESS</t>
  </si>
  <si>
    <t>Sabri, Mohamad Fazli/0000-0001-6229-7151</t>
  </si>
  <si>
    <t>Sabri, Mohamad Fazli/D-3861-2019</t>
  </si>
  <si>
    <t>ames1304@gmail.com; nfarhana23@gmail.com</t>
  </si>
  <si>
    <t>Sabri, MF (corresponding author), Univ Putra Malaysia, Fac Human Ecol, Dept Resource Management &amp; Consumer Studies, Serdang 43400, Selangor, Malaysia.</t>
  </si>
  <si>
    <t>Universiti Putra Malaysia; Universiti Putra Malaysia</t>
  </si>
  <si>
    <t>[Sabri, Mohamad Fazli; Zakaria, Nurul Farhana] Univ Putra Malaysia, Fac Human Ecol, Dept Resource Management &amp; Consumer Studies, Serdang 43400, Selangor, Malaysia; [Sabri, Mohamad Fazli] Univ Putra Malaysia, Fac Human Ecol, Sustainable Consumpt Res Ctr, Serdang 43400, Selangor, Malaysia</t>
  </si>
  <si>
    <t>The rising cost of living and difficult economic conditions have made Malaysian individuals and households more conscious of their financial management. This study aims to (1) identify the levels of financial literacy, financial strain, financial capability and financial well-being and the type of money attitude of young Malaysian employees; (2) explore the differences in financial well-being based on the demographic characteristics of young employees; (3) analyse the relationships between the financial well-being of young employees and their financial literacy, money attitude, financial strain and financial capability; and (4) identify the determinants of financial well-being among young employees. The sample for this study consisted of 508 young employees in the public and private sectors aged 40 years and below from four urban areas in central Peninsular Malaysia, who were selected through the multi-stage sampling technique. Data were collected through self-administered questionnaires. The findings indicate that respondents who had moderate levels of financial literacy, financial capability and financial well-being scored high in effort and retention money attitudes and had a low level of financial strain. Statistically significant differences emerged in the financial well-being of those of different marital status (married and single) and the different household income groups (lower, middle and high-income), while there were significant relationships between financial well-being and financial literacy, type of money attitude, financial strain and financial capability. Demographic characteristics (gender and monthly household income), financial literacy, retention-money attitude, effort-money attitude, financial strain and financial capability had significant influence on financial well-being with financial strain being a major factor contributing to financial well-being.</t>
  </si>
  <si>
    <t>RETIREMENT; AMERICANS; HAPPINESS; MARRIAGE; HEALTH; INCOME</t>
  </si>
  <si>
    <t>Financial literacy; money attitude; financial strain; financial capability; financial well-being</t>
  </si>
  <si>
    <t>The Influence of Financial Literacy, Money Attitude, Financial Strain and Financial Capability on Young Employees' Financial Well-being</t>
  </si>
  <si>
    <t>Sabri, Mohamad Fazli; Zakaria, Nurul Farhana</t>
  </si>
  <si>
    <t>Sabri, MF; Zakaria, NF</t>
  </si>
  <si>
    <t>WOS:000426893600035</t>
  </si>
  <si>
    <t>Namisango, Fatuma/0000-0003-2959-6488</t>
  </si>
  <si>
    <t>Namisango, Fatuma/AAR-1591-2020</t>
  </si>
  <si>
    <t>fnamisango@mubs.ac.ug; mmiiro@mubs.ac.ug; gbyomire@mubs.ac.ug</t>
  </si>
  <si>
    <t>Namisango, F (corresponding author), Makerere Univ, Sch Business, Plot 21A Nakawa, Kampala 1337, Uganda.</t>
  </si>
  <si>
    <t>[Namisango, Fatuma; Kafuko, Maria Miiro; Byomire, Gorretti] Makerere Univ, Sch Business, Plot 21A Nakawa, Kampala 1337, Uganda</t>
  </si>
  <si>
    <t>Given the increasing role of financial inclusion in Africa, a number of stakeholders are advocating for pathways to sustainable financial inclusion mechanisms among the formal and informal sectors. With the current technology supported strategies, the mobile money service has become utterly popular across all sectors of the Ugandan social structure as well as economic structures. A number of studies have indicated overwhelming adoption of the mobile money service in sub-Saharan Africa. The study sought to apply the DeLone and McLean IS Success Model to explain the success of mobile money services in enabling financial inclusion in Africa. It may be necessary to investigate, test and understand the factors behind the growth of this service in selected cases in Africa e.g. Uganda so as to lay platform and advocacy for its sustainability and successful transfer of such technology innovation to other societies. It was found that factors such as information quality, system quality, service quality and net benefits obtained positively correlate to mobile money service use and user satisfaction. However, these factors moderately explain the variations in the use and user satisfaction of mobile money service.</t>
  </si>
  <si>
    <t>INFORMATION-SYSTEMS SUCCESS</t>
  </si>
  <si>
    <t>Technology Adoption; Mobile Money Services; Financial Inclusion</t>
  </si>
  <si>
    <t>Understanding User Experience of Mobile Money Services in Emerging Markets</t>
  </si>
  <si>
    <t>Namisango, Fatuma; Kafuko, Maria Miiro; Byomire, Gorretti</t>
  </si>
  <si>
    <t>Namisango, F; Kafuko, MM; Byomire, G</t>
  </si>
  <si>
    <t>WOS:000538152600006</t>
  </si>
  <si>
    <t>LV0RY</t>
  </si>
  <si>
    <t>10.1177/0972262920923891</t>
  </si>
  <si>
    <t>Kumar, Manoj/AGJ-5049-2022</t>
  </si>
  <si>
    <t>suman@cuh.ac.in; manustats@cuh.ac.inis</t>
  </si>
  <si>
    <t>Dahiya, S (corresponding author), Cent Univ Haryana, Dept Commerce, Mahendergarh 123031, Haryana, India.</t>
  </si>
  <si>
    <t>[Dahiya, Suman] Cent Univ Haryana, Dept Commerce, Mahendergarh 123031, Haryana, India; [Kumar, Manoj] Cent Univ Haryana, Dept Stat, Mahendergarh, Haryana, India</t>
  </si>
  <si>
    <t>Inclusive financial system is a key to sustainable development and growth of a nation wherein all segments of the society have timely access to financial services at an affordable cost. It facilitates safe custody of savings, availability of loan for multiple purposes, diversification of risk through investment in different avenue, coverage of risk through various insurance products, etc., which make the life of people easier and comfortable. Therefore, inclusive finance leads to prosperity and economic growth by eliminating or minimizing poverty, unequal distribution of income and dominance of indigenous bankers. Financial inclusion is not a single dimension that can be achieved directly; rather, it is a process which completes after different dimensions such as access to and usage of financial services and banking penetration are accomplished. The present study considers three main dimensions of financial inclusion: usage, penetration and accessibility. The purpose is to observe how financial inclusion is linked with economic growth in India. Spread over 2005 to 2017, the study uses Bayesian vector auto-regression model to explore the linkage of economic growth with financial inclusion and its different dimensions (accessibility, penetration, and usage). The findings show a considerable relationship between economic growth and the usage dimension of financial inclusion in India. As far as financial inclusion index is concerned, it does not explain economic growth significantly. This study is based on recent data extracted from IMF and World Bank databases. The study is useful for policymakers and banks to frame appropriate policies to achieve complete financial inclusion that would lead to a robust growth of an economy.</t>
  </si>
  <si>
    <t>POVERTY; NEXUS</t>
  </si>
  <si>
    <t>Financial Inclusion; Economic Growth; Bayesian Vector Auto-Regression; Banking Institutions</t>
  </si>
  <si>
    <t>Linkage between Financial Inclusion and Economic Growth: An Empirical Study of the Emerging Indian Economy</t>
  </si>
  <si>
    <t>Dahiya, Suman; Kumar, Manoj</t>
  </si>
  <si>
    <t>Dahiya, S; Kumar, M</t>
  </si>
  <si>
    <t>WOS:001467264600001</t>
  </si>
  <si>
    <t>1KP8H</t>
  </si>
  <si>
    <t>10.1080/00036846.2025.2453756</t>
  </si>
  <si>
    <t>2025 FEB 6</t>
  </si>
  <si>
    <t>MARCO CRESPO, ROCIO/L-3511-2013</t>
  </si>
  <si>
    <t>rocio.marco@uam.es; hperez-saiz@imf.org</t>
  </si>
  <si>
    <t>Marco, R (corresponding author), Univ Autonoma Madrid, Av Francisco Tomas &amp; Valiente 5, Madrid 28049, Spain.;Perez-Saiz, H (corresponding author), Int Monetary Fund, 700 19th St,NW, Washington, DC 20431 USA.</t>
  </si>
  <si>
    <t>Autonomous University of Madrid; International Monetary Fund</t>
  </si>
  <si>
    <t>[Marco, Rocio] Univ Autonoma Madrid, Av Francisco Tomas &amp; Valiente 5, Madrid 28049, Spain; [Perez-Saiz, Hector] Int Monetary Fund, 700 19th St,NW, Washington, DC 20431 USA</t>
  </si>
  <si>
    <t>It is widely accepted that financial inclusion brings significant benefits to individuals, and thereby enhances the economic development of countries. This article examines the role of bank concentration and competition on access to financial services in sub-Saharan Africa through two competing channels, the efficiency channel versus the rent-seeking channel. We distinguish between formal financial services and the emerging digital mobile money technologies. The low level of banking competition and the striking expansion of mobile money in sub-Saharan Africa provide incentives to study and compare both phenomena. Using various competition indicators, we find that bank competition facilitates both banking and mobile financial inclusion. Moreover, bank concentration favours the adoption of digital mobile money. The results suggest that digital mobile money plays a complementary role by increasing mobile financial inclusion in countries that lack financial depth. Furthermore, we find that individuals face the same demographic barriers to both formal and mobile financial inclusion in sub-Saharan Africa: adults who are female, younger, less educated, and poorer are more likely to be financially excluded. We conclude that promoting bank competition should be a key component of the inclusive growth policy agenda of sub-Saharan African countries.</t>
  </si>
  <si>
    <t>Financial inclusion; digital mobile money; Sub-saharan Africa; bank competition; bank concentration; G21; F63; O16; O55</t>
  </si>
  <si>
    <t>Formal financial inclusion and digital mobile money adoption in sub-Saharan Africa: do bank concentration and competition matter?</t>
  </si>
  <si>
    <t>Marco, Rocio; Perez-Saiz, Hector</t>
  </si>
  <si>
    <t>Marco, R; Perez-Saiz, H</t>
  </si>
  <si>
    <t>WOS:000678247300001</t>
  </si>
  <si>
    <t>YH4RA</t>
  </si>
  <si>
    <t>Agriculture; Business &amp; Economics; Food Science &amp; Technology</t>
  </si>
  <si>
    <t>Agricultural Economics &amp; Policy; Economics; Food Science &amp; Technology</t>
  </si>
  <si>
    <t>10.1002/agr.21721</t>
  </si>
  <si>
    <t>Agribusiness</t>
  </si>
  <si>
    <t>AGRIBUSINESS</t>
  </si>
  <si>
    <t>1520-6297</t>
  </si>
  <si>
    <t>0742-4477</t>
  </si>
  <si>
    <t>, Awudu/0000-0003-4618-2789; Abdul-Rahaman, Awal/0000-0002-7356-6326</t>
  </si>
  <si>
    <t>Abdulai, Awudu/AAI-3517-2021; Abdul-Rahaman, Awal/GVS-8674-2022</t>
  </si>
  <si>
    <t>awalrahaman@uds.edu.gh</t>
  </si>
  <si>
    <t>Abdul-Rahaman, A (corresponding author), Univ Dev Studies, Dept Agribusiness Management &amp; Finance, Fac Agr Food &amp; Consumer Sci, POB,TL 1882,Nyankpala Campus, Tamale, Ghana.</t>
  </si>
  <si>
    <t>University for Development Studies; University of Kiel</t>
  </si>
  <si>
    <t>[Abdul-Rahaman, Awal] Univ Dev Studies, Dept Agribusiness Management &amp; Finance, Fac Agr Food &amp; Consumer Sci, POB,TL 1882,Nyankpala Campus, Tamale, Ghana; [Abdulai, Awudu] Univ Kiel, Dept Food Econ &amp; Consumpt Studies, Kiel, Germany</t>
  </si>
  <si>
    <t>Financial exclusion continues to be a major challenge to smallholder farmers' participation in agricultural value chains in developing countries. Digitizing procurements and other forms of transactions using mobile money technology among value chain actors is essential for ensuring financial inclusion and enhancing agricultural value chain transformation. This study examines the factors influencing the adoption of mobile money technology and the impact of the technology on production input use and farm output, utilizing data from a cross-sectional survey of smallholder rice farmers in northern Ghana. A linear regression with endogenous treatment effects method is employed to account for both observable and unobservable selection bias. The results reveal positive and significant marginal effect of mobile money technology on input use and farm output. Adopters of the technology applied 18% and 13% more fertilizer and herbicides, respectively than nonadopters. The output increased by about 4% for the adopters. The results also show that mobile money technology adoption, input use and farm output are significantly influenced by education, farmer-based organization (FBO) membership, access to credit, input prices, and location fixed effects. Expansion of mobile technology networks, increased investment in education, credit facilities, and FBOs can be quite relevant in promoting the adoption of mobile money technology in Ghana. [EconLit citations: C34, C35, Q12, Q13]</t>
  </si>
  <si>
    <t>farm output; input use; mobile money technology; treatment effects model</t>
  </si>
  <si>
    <t>Mobile money adoption, input use, and farm output among smallholder rice farmers in Ghana</t>
  </si>
  <si>
    <t>Abdul-Rahaman, Awal; Abdulai, Awudu</t>
  </si>
  <si>
    <t>Abdul-Rahaman, A; Abdulai, A</t>
  </si>
  <si>
    <t>WOS:000403984800021</t>
  </si>
  <si>
    <t>EY4YS</t>
  </si>
  <si>
    <t>10.1016/j.worlddev.2017.04.012</t>
  </si>
  <si>
    <t>Kersten, R (corresponding author), Erasmus Univ, Rotterdam, Netherlands.</t>
  </si>
  <si>
    <t>[Kersten, Renate; Harms, Job; Liket, Kellie; Maas, Karen] Erasmus Univ, Rotterdam, Netherlands</t>
  </si>
  <si>
    <t>Many people in Low- and Middle-Income Countries (LMICs) work for Small and Medium-sized Enterprises (SMEs). Oftentimes, these SMEs have limited access to finance. Interventions to promote financial access for SMEs are therefore an integral part of the development strategy of many governments and donors. To provide an overview of the effectiveness of these interventions, we conduct a systematic review and multivariate meta-analysis. This yields three results. Firstly, few evaluations of SME finance programs apply the same rigorous experimental methods that are more commonly used in studies of microfinance. Secondly, most evaluations of SME finance programs consider neither spillover effects to other enterprises nor effects on the employee level. Thirdly, we find a positive significant effect of SME finance on capital investment, firm performance, and employment within the supported firm, whereas the summary effect on profitability and wages is insignificant. In sum, it remains unclear to what extent SME finance contributes to economic development and poverty reduction. We discuss the main policy implications of these findings as well as the limitations and suggestions for future research on SME finance. (C) 2017 Elsevier Ltd. All rights reserved.</t>
  </si>
  <si>
    <t>MICROFINANCE EVIDENCE; MICROCREDIT EVIDENCE; CREDIT CONSTRAINTS; MEDIUM ENTERPRISES; PROPERTY-RIGHTS; GROWTH; SIZE; INSTITUTIONS; COUNTRIES; RETURNS</t>
  </si>
  <si>
    <t>SME; finance; firm performance; employment; systematic review</t>
  </si>
  <si>
    <t>Small Firms, large Impact? A systematic review of the SME Finance Literature</t>
  </si>
  <si>
    <t>Kersten, Renate; Harms, Job; Liket, Kellie; Maas, Karen</t>
  </si>
  <si>
    <t>Kersten, R; Harms, J; Liket, K; Maas, K</t>
  </si>
  <si>
    <t>WOS:001302181700001</t>
  </si>
  <si>
    <t>E3Q3P</t>
  </si>
  <si>
    <t>10.1177/17483026241270624</t>
  </si>
  <si>
    <t>J. Algorithms Comput. Technol.</t>
  </si>
  <si>
    <t>J ALGORITHMS COMPUT</t>
  </si>
  <si>
    <t>1748-3026</t>
  </si>
  <si>
    <t>1748-3018</t>
  </si>
  <si>
    <t>The authors would like to express their gratitude to the editors and reviewers for their valuable contributions to the publication of this modest work.</t>
  </si>
  <si>
    <t>Arbi, Adnène/0000-0002-2834-0248</t>
  </si>
  <si>
    <t>Oudgou, Mohamed/AAG-4681-2021; Arbi, Adnène/I-3689-2015</t>
  </si>
  <si>
    <t>adnen.arbi@enseignant.edunet.tn</t>
  </si>
  <si>
    <t>Arbi, A (corresponding author), Univ Carthage, Polytech Sch Tunisia, Lab Math Engn LIM LR01ES13, BP 743, Carthage 2078, Tunisia.;Arbi, A (corresponding author), Univ Carthage, Natl Sch Adv Sci &amp; Technol Borj Cedria, Dept Adv Sci &amp; Technol, Hammam Chott 1164, Tunisia.</t>
  </si>
  <si>
    <t>Ibn Tofail University of Kenitra; Sultan Moulay Slimane University of Beni Mellal; Universite de Carthage</t>
  </si>
  <si>
    <t>[Kaicer, Mohammed] Ibn Tofail Univ, Lab Anal Geometry &amp; Applicat, Kenitra, Morocco; [Oudgou, Mohamed] Sultan Moulay Slimane Univ, Natl Sch Business &amp; Management, Beni Mellal, Morocco; [Kaddar, Abdelilah] Natl Sch Appl Sci El Jadida ENSAJ, Lab Engn Sci Energy LabSIPE, Beni Mellal, Morocco; [Arbi, Adnene] Univ Carthage, Tunisia Polytech Sch, Lab Engn Math LIM, La Marsa, Tunisia</t>
  </si>
  <si>
    <t>In this paper we present a new approach to solve a risk default, under asymmetric information, between Micorfinance Institutions MFIs and borrowers excluded from the conventional financial systems (financial exlusion). To solve this problem we propose the model, as a system of two differential equations to describe the evolution of some safe and risky borrowers. In fact, the population of borrowers is divided into two compartments: Safe and Risky having an interaction, it is a SR model. With numerical simulations of the SR model, we can describe the evolution of some safe and risky borrowers. The result provides to manage the portfolios of all agencies controlled from the MFIs, by predictions of safe and risky borrowers. Then, define or redefine the management strategies of development and investment, and thus strengthen financial inclusion.</t>
  </si>
  <si>
    <t>MICROFINANCE; FLEXIBILITY; INCENTIVES; CYCLE</t>
  </si>
  <si>
    <t>Microfinance institutions; default risk; risk portfolio; system differential equations; prediction; management strategy; financial inclusion</t>
  </si>
  <si>
    <t>JOURNAL OF ALGORITHMS &amp; COMPUTATIONAL TECHNOLOGY</t>
  </si>
  <si>
    <t>The dynamic game of risk default in microcredit</t>
  </si>
  <si>
    <t>Kaicer, Mohammed; Oudgou, Mohamed; Kaddar, Abdelilah; Arbi, Adnene</t>
  </si>
  <si>
    <t>Kaicer, M; Oudgou, M; Kaddar, A; Arbi, A</t>
  </si>
  <si>
    <t>WOS:001608859800002</t>
  </si>
  <si>
    <t>9KZ4Z</t>
  </si>
  <si>
    <t>10.1108/JMLC-04-2025-0049</t>
  </si>
  <si>
    <t>DEC 15</t>
  </si>
  <si>
    <t>The author wants to thank the funders Liikesivistysrahasto, Nordea Pankin saatio, Saastopankkien Tutkimussaatio and Vakuutustiedon Kehittaemissaatio for supporting this research. The funders have provided financial support, allowing the author to take study leave from her regular duties, facilitating data collection, analysis and the writing of this article.</t>
  </si>
  <si>
    <t>Liikesivistysrahasto; Nordea Pankin saatio; Saastopankkien Tutkimussaatio; Vakuutustiedon Kehittaemissaatio</t>
  </si>
  <si>
    <t>sonja.korpela@tuni.fi</t>
  </si>
  <si>
    <t>Korpela, SJ (corresponding author), Tampere Univ, Fac Management &amp; Business, Insurance &amp; R Management, Tampere, Finland.</t>
  </si>
  <si>
    <t>Tampere University</t>
  </si>
  <si>
    <t>[Korpela, Sonja Josefina] Tampere Univ, Fac Management &amp; Business, Insurance &amp; R Management, Tampere, Finland</t>
  </si>
  <si>
    <t>PurposeThe purpose of this paper is to understand the practices and processes through which the conflict between anti-money laundering and countering the financing of terrorism (AML/CFT) regulations and financial inclusion (FI) can be managed. This paper contributes to the need for banks to manage these conflicting expectations.Design/methodology/approachSemi-structured interviews were carried out with subject-matter experts in Finland and analyzed through qualitative thematic analysis.FindingsAs the main finding, this study introduces the principle of least harm (1). The principle suggests that banks should aim for AML/CFT measures that are the least restrictive to customers, causing as little harm to FI as possible. Risk management should aim to maintain business relationships with high-risk customers through targeted controls. The two other findings of this study - maturity of risk management (2) and common approach and responsibility (3) - support the implementation of this principle.Research limitations/implicationsThe data of this study were collected in Finland. Future research could examine how increased AML/CFT regulations have impacted FI in other developed countries.Practical implicationsThe findings offer practices for banks' risk management as well as suggestions for regulators and authorities to strengthen the common approach within the banking sector.Originality/valueThere is a lack of research examining the conflict between AML/CFT and FI in developed countries. This paper offers new knowledge on managing this conflict in the banking sector, with clear suggestions for improving industry practices.</t>
  </si>
  <si>
    <t>Anti-money laundering; Risk management; Financial inclusion</t>
  </si>
  <si>
    <t>Between a rock and a hard place: managing the conflict between anti-money laundering and financial inclusion</t>
  </si>
  <si>
    <t>Korpela, Sonja Josefina</t>
  </si>
  <si>
    <t>Korpela, SJ</t>
  </si>
  <si>
    <t>WOS:000805444900001</t>
  </si>
  <si>
    <t>X1NK0</t>
  </si>
  <si>
    <t>10.1108/K-03-2022-0321</t>
  </si>
  <si>
    <t>NOV 1</t>
  </si>
  <si>
    <t>The authors acknowledge financial support from the postgraduate research projects of School of Business Administration, Dongbei University of Finance and Economics (Grant Number: GSY2021006), Humanities and Social Sciences Planning Project of the Ministry of Education of China (Grant Number: 18YJA790049) and the Major Project of the National Social Science Foundation of China (Grant No. 21ZDA045).</t>
  </si>
  <si>
    <t>postgraduate research projects of School of Business Administration, Dongbei University of Finance and Economics; Humanities and Social Sciences Planning Project of the Ministry of Education of China; Major Project of the National Social Science Foundation of China(National Office of Philosophy and Social Sciences)</t>
  </si>
  <si>
    <t>postgraduate research projects of School of Business Administration, Dongbei University of Finance and Economics [GSY2021006]; Humanities and Social Sciences Planning Project of the Ministry of Education of China [18YJA790049]; Major Project of the National Social Science Foundation of China [21ZDA045]</t>
  </si>
  <si>
    <t>, Syed Tauseef Ali/0000-0001-7849-2904; Yang, Zhen/0000-0002-1223-0415; , Shulin Xu/0000-0002-1018-3213</t>
  </si>
  <si>
    <t>, Syed Tauseef Ali/AAO-7916-2021; Yang, Zhen/AAS-2176-2020; , Shulin Xu/AAL-3306-2021</t>
  </si>
  <si>
    <t>yzshiny@gmail.com</t>
  </si>
  <si>
    <t>Yang, Z (corresponding author), Dongbei Univ Finance &amp; Econ, Sch Business Adm, Dalian, Peoples R China.</t>
  </si>
  <si>
    <t>Jinan University; Dongbei University of Finance &amp; Economics; Dongbei University of Finance &amp; Economics; Jiangxi Normal University</t>
  </si>
  <si>
    <t>[Xu, Shulin] Jinan Univ, Sch Econ, Guangzhou, Peoples R China; [Ali, Syed Tauseef] Dongbei Univ Finance &amp; Econ, Sch Accounting, Dalian, Peoples R China; [Yang, Zhen] Dongbei Univ Finance &amp; Econ, Sch Business Adm, Dalian, Peoples R China; [Li, Yunfeng] Jiangxi Normal Univ, Sch Finance, Nanchang, Jiangxi, Peoples R China</t>
  </si>
  <si>
    <t>Purpose China's New Rural Pension Program (NRPP) has been implemented for a decade, but the factors that facilitate rural residents' participation have received little attention. This study aims to investigate whether financial literacy has an influence on rural residents' behavior of participation in the NRPP. In particular, this study further verifies if high financial literacy is important and whether financial education can enhance the impact of financial literacy on current, long-term and dynamic pension decisions of rural households. Design/methodology/approach This study investigates the impact of financial literacy on rural residents' participation in China's NRPP using the China Household Financial Survey (CHFS) Data of 2015 and 2017. This study constructs an analytical framework for current, long-term and dynamic impacts and comprehensively analyzes the value of financial literacy in the decision making of the NRPP. This study uses the instrumental variable method to solve the possible endogeneity problem. In addition, the authors also demonstrate the positive role of high financial literacy in household pension decisions. Further analysis reveals gender and regional heterogeneity in the impact of financial literacy on pension decisions. The moderating effect model explores whether financial education has a significant moderating effect on financial literacy and pension decision making of the NRPP. Findings Financial literacy can improve the participation behavior of households in rural areas (dynamic effect) and promote their current and long-term participation in the NRPP, choosing a higher pension contribution level in the NRPP. However, financial literacy has no significant effect on the change in the contribution amount of the NRPP. Further research finds that high financial literacy has comparative advantages in household pension decision making in rural areas. There are gender and regional differences in the impact of financial literacy on pension decisions. In addition, effective financial literacy education enhances the current, long-term and dynamic impacts of residents' financial literacy on NRPP participation and pension contributions. Practical implications This study comprehensively considers the impact of financial literacy on pension decision making behavior from three aspects: current, long-term and dynamic, making up for the dearth in the existing literature that only focuses on the impact of financial literacy on current financial behaviors and bridging the gap between the theoretical framework and experimental results. Our study proposes new policy implications: (1) Governments and financial institutions should pay attention to financial literacy and education levels in rural areas and carry out financial education and training programs to increase social welfare levels by increasing rural residents' participation and pension contribution. (2) The community can strengthen the policy advocacy of the NRPP and make people develop a stronger sense of trust toward it. The government can also subsidize individual accounts through financial support. Originality/value This study comprehensively considers the impact of financial literacy on pension decision-making behavior from three aspects: current, long-term and dynamic, making up for the dearth in the existing literature that only focuses on the impact of financial literacy on current financial behaviors and bridging the gap between the theoretical framework and experimental results. Our study proposes new policy implications: (1) Governments and financial institutions should pay attention to financial literacy and education levels in rural areas and carry out financial education and training programs to increase social welfare levels by increasing rural residents' participation and pension contribution. (2) The community can strengthen the policy advocacy of the NRPP and make people develop a stronger sense of trust toward it. The government can also subsidize individual accounts through financial support.</t>
  </si>
  <si>
    <t>SOCIAL PENSION; SOUTH-AFRICA; RETIREMENT; PARTICIPATION; WEALTH; HEALTH; INSURANCE; EDUCATION; REFORMS; INCOME</t>
  </si>
  <si>
    <t>Financial literacy; Pension decision making; Financial literacy education; Inclusive finance; D03; D14; J26; O16</t>
  </si>
  <si>
    <t>Effect of household's financial literacy on pension decision making: evidence from China's new rural pension program</t>
  </si>
  <si>
    <t>Xu, Shulin; Ali, Syed Tauseef; Yang, Zhen; Li, Yunfeng</t>
  </si>
  <si>
    <t>Xu, SL; Ali, ST; Yang, Z; Li, YF</t>
  </si>
  <si>
    <t>WOS:001245554600009</t>
  </si>
  <si>
    <t>UB3D8</t>
  </si>
  <si>
    <t>10.15240/tul/001/2024-5-004</t>
  </si>
  <si>
    <t>Supported by grant No. 1/0444/23, Network Analysis and Modelling of Interrelationships on International Financial Markets of the MINEDU of Slovak Republic.</t>
  </si>
  <si>
    <t>Network Analysis and Modelling of Interrelationships on International Financial Markets of the MINEDU of Slovak Republic</t>
  </si>
  <si>
    <t>Network Analysis and Modelling of Interrelationships on International Financial Markets of the MINEDU of Slovak Republic [1/0444/23]</t>
  </si>
  <si>
    <t>Tamara.Petrikova@tuke.sk; Kristina.Kocisova@tuke.sk</t>
  </si>
  <si>
    <t>Kocisova, K (corresponding author), Tech Univ Kosice, Fac Econ, Dept Banking &amp; Investment, Kosice, Slovakia.</t>
  </si>
  <si>
    <t>[Petrikova, Tamara; Kocisova, Kristina] Tech Univ Kosice, Fac Econ, Dept Banking &amp; Investment, Kosice, Slovakia</t>
  </si>
  <si>
    <t>The process of digitisation in the financial sector is developing through the systematic introduction of computer systems, the establishment of Internet connectivity and the use and ownership of various information and communication devices. Information and communication technologies can increase the desired degree of financial inclusion in a country by increasing the availability of various financial services. This study examines the individual attributes that can affect financial inclusion in the Euro Area countries in 2021. Our analysis applies a probit model to data from the World Bank Global Findex database, focusing on digital payments as a proxy for financial inclusion. The main finding highlights that higher income, higher education, female gender, and younger age groups are associated with an increased propensity to engage in digital payments. Notably, our expectation of a non-linear relationship between age and digital payments is confirmed, as evidenced by the application of the Robin Hood algorithm. Specifically, we observe a positive correlation between age and digital payment usage. However, this trend reverses beyond a specific breakpoint, approximately around the age of 40, leading to a subsequent decline in digital payment activity. Furthermore, our research shows that individuals who utilised alternative payment methods alongside cash before the COVID-19 pandemic are likelier to engage in higher digital payments. Additionally, a tendency for higher adoption of digital payments coincides with countries that achieved a higher Digital Access Index (DAI), an indicator assessing the degree of digitalisation in a country. Furthermore, it is associated with countries among the Euro Area's founding members.</t>
  </si>
  <si>
    <t>SERVICES; BRITAIN</t>
  </si>
  <si>
    <t>Financial inclusion; made and received digital payments; individual characteristics; Internet; mobile ownership; U-shaped relationship</t>
  </si>
  <si>
    <t>Digital payments as an indicator of financial inclusion in Euro Area countries</t>
  </si>
  <si>
    <t>Petrikova, Tamara; Kocisova, Kristina</t>
  </si>
  <si>
    <t>Petrikova, T; Kocisova, K</t>
  </si>
  <si>
    <t>WOS:000726031000001</t>
  </si>
  <si>
    <t>XI3QQ</t>
  </si>
  <si>
    <t>10.3389/fpsyg.2021.742118</t>
  </si>
  <si>
    <t>Latif, Khalid/0000-0001-5595-6171;</t>
  </si>
  <si>
    <t>Dar, Ayesha/NMK-6518-2025; Latif, Khalid/AAA-6267-2021; Zia-ur-Rehman, Muhammad/AAE-5971-2019; baig, sajjad/X-8065-2018</t>
  </si>
  <si>
    <t>mzrehman@ntu.edu.pk; sajjad.baig@hotmail.com</t>
  </si>
  <si>
    <t>Zia-UR-Rehman, M; Baig, SA (corresponding author), Natl Text Univ, Faisalabad Business Sch, Faisalabad, Pakistan.</t>
  </si>
  <si>
    <t>Liaoning Technical University; Government College University Faisalabad; National Textile University - Pakistan</t>
  </si>
  <si>
    <t>[Liu, Siming; Gao, Leifu] Liaoning Tech Univ, Inst Optimizat &amp; Decis Analyt, Fuxing, Peoples R China; [Latif, Khalid] Govt Coll Univ, Dept Commerce, Faisalabad, Pakistan; [Dar, Ayesha Anees; Zia-UR-Rehman, Muhammad; Baig, Sajjad Ahmad] Natl Text Univ, Faisalabad Business Sch, Faisalabad, Pakistan</t>
  </si>
  <si>
    <t>The basic aim of this research was to investigate the impact of the behavioral biases on financial inclusion in Pakistan while considering the moderating effect of financial literacy in this relation, in the context of behavioral perspective. This study focused on the significant behavioral phenomenon, including self-control, optimism, herding, and loss aversion with a perspective of the digital economy. To test the proposed hypothesis, the primary data collection method was used. A structured questionnaire was designed to collect data from 102 individual households through the convenience sampling technique. SmartPLS was used to analyze collected data. This study found the negative impact of self-control, optimism, and herding on financial inclusion. In contrast, loss aversion contributes to the uplift of financial inclusion in Pakistan. Similarly, financial literacy proved to have a decreasing effect on financial inclusion because of religious concerns. The moderation effect of financial literacy was also significantly positive except for loss aversion. The behavioral phenomenon proved to have a significant impact on financial inclusion. This research shows that individual households who do not use developed technological services and products from formal financial inclusion can overcome the behavioral biases that hinder them from making informed financial decisions. This research work will significantly help households use financial services to improve their standard of living and overall long-term financial well-being. This research is essential because many households are not using bank services and have low financial knowledge in Pakistan. The key contribution of this research study is that it found the relation between behavioral factors and financial inclusion. Financial literacy also has a moderating effect on their relations.</t>
  </si>
  <si>
    <t>LOSS AVERSION; OPTIMISM; KNOWLEDGE; VARIABLES; FUTURE</t>
  </si>
  <si>
    <t>behavioral factors; financial literacy; financial inclusion; individual households; digital economy</t>
  </si>
  <si>
    <t>The Behavioral Role of Digital Economy Adaptation in Sustainable Financial Literacy and Financial Inclusion</t>
  </si>
  <si>
    <t>Liu, Siming; Gao, Leifu; Latif, Khalid; Dar, Ayesha Anees; Zia-UR-Rehman, Muhammad; Baig, Sajjad Ahmad</t>
  </si>
  <si>
    <t>Liu, SM; Gao, LF; Latif, K; Dar, AA; Zia-UR-Rehman, M; Baig, SA</t>
  </si>
  <si>
    <t>WOS:001570423200001</t>
  </si>
  <si>
    <t>7GK9T</t>
  </si>
  <si>
    <t>10.1108/IJSE-10-2024-0834</t>
  </si>
  <si>
    <t>2025 AUG 5</t>
  </si>
  <si>
    <t>Kodom, Michael/0000-0002-7664-9119; Afrifa-Yamoah, Ebenezer/0000-0003-1741-9249</t>
  </si>
  <si>
    <t>; Asitik, Akanganngang/AEA-9776-2022; Nunfam, Victor/W-2607-2019; Afrifa-Yamoah, Ebenezer/AAT-5258-2021</t>
  </si>
  <si>
    <t>jasitik@uds.edu.gh; vfannam@yahoo.co.uk; mkodom@ug.edu.gh; e.afrifayamoah@ecu.edu.au</t>
  </si>
  <si>
    <t>Nunfam, VF (corresponding author), Takoradi Tech Univ, Ctr Liberal Studies, Takoradi, Ghana.</t>
  </si>
  <si>
    <t>University for Development Studies; University of Ghana; Edith Cowan University</t>
  </si>
  <si>
    <t>[Asitik, Akanganngang Joseph] Univ Dev Studies, Dept Mkt &amp; Entrepreneurship, Tamale, Ghana; [Nunfam, Victor Fannam] Takoradi Tech Univ, Ctr Liberal Studies, Takoradi, Ghana; [Kodom, Michael] Univ Ghana, ISSER, Accra, Ghana; [Afrifa-Yamoah, Ebenezer] Edith Cowan Univ, Sch Sci, Joondalup, Australia</t>
  </si>
  <si>
    <t>PurposeFinancial inclusion remains limited for rural women in developing countries. To address this gap, this study examined the mediating role of financial literacy in the relationship between Village Savings and Loan Associations (VSLAs) participation and financial inclusion, thereby shedding light on the mechanisms and outcomes of VSLA involvement.Design/methodology/approachThe study examined 72 VSLA comprising 1,944 women in Ghana's Kpandai District. Using simple random sampling, 265 women from 5 rural communities were selected. Partial least squares structural equation modelling was used to test both the direct and indirect effects of VSLA participation on financial inclusion, with financial literacy as a mediator.FindingsThe results revealed that VSLA participation significantly improved financial literacy among rural women. However, VSLA participation did not directly predict financial inclusion. Instead, financial literacy fully mediated this relationship, indicating that increased financial knowledge and skills acquired through VSLAs ultimately fostered broader financial inclusion.Originality/valueThis study is valuable for its novel approach, utilising an integrated theoretical and conceptual model to empirically validate the emerging discourse on the impact of participation and the role of financial literacy in linking access to community-based savings groups with meaningful financial inclusion for vulnerable populations.Peer reviewThe peer review history for this article is available at: https://publons.com/publon/10.1108/IJSE-10-2024-0834</t>
  </si>
  <si>
    <t>LITERACY; BANKING; SAVINGS; ACCESS; IMPACT; EDUCATION; SERVICES; MATTER; STATE</t>
  </si>
  <si>
    <t>Financial inclusion; Financial literacy; Community-based group savings; Rural women entrepreneurs; Developing countries; SEM</t>
  </si>
  <si>
    <t>The nexus of VSLA participation and financial inclusion among rural women entrepreneurs in Ghana</t>
  </si>
  <si>
    <t>Asitik, Akanganngang Joseph; Nunfam, Victor Fannam; Kodom, Michael; Afrifa-Yamoah, Ebenezer</t>
  </si>
  <si>
    <t>Asitik, AJ; Nunfam, VF; Kodom, M; Afrifa-Yamoah, E</t>
  </si>
  <si>
    <t>WOS:000742234500001</t>
  </si>
  <si>
    <t>9A6PJ</t>
  </si>
  <si>
    <t>10.1080/13504851.2021.2025200</t>
  </si>
  <si>
    <t>MAR 30</t>
  </si>
  <si>
    <t>This work was supported by the Zhejiang Province Philosophy and Social Science Planning Project (19NDJC162YB).</t>
  </si>
  <si>
    <t>Zhejiang Province Philosophy and Social Science Planning Project</t>
  </si>
  <si>
    <t>Zhejiang Province Philosophy and Social Science Planning Project [19NDJC162YB]</t>
  </si>
  <si>
    <t>Wang, Zheng-xin/0000-0003-0337-2566</t>
  </si>
  <si>
    <t>zxwang@zufe.edu.cn</t>
  </si>
  <si>
    <t>Wang, ZX (corresponding author), Zhejiang Univ Finance &amp; Econ, Sch Econ, Hangzhou, Peoples R China.</t>
  </si>
  <si>
    <t>Zhejiang University; Zhejiang University of Finance &amp; Economics</t>
  </si>
  <si>
    <t>[Li, Dan-Dan] Zhejiang Univ, China Acad Rural Dev, Sch Publ Affairs, Hangzhou, Peoples R China; [Wang, Zheng-Xin] Zhejiang Univ Finance &amp; Econ, Sch Econ, Hangzhou, Peoples R China</t>
  </si>
  <si>
    <t>Improved measurement methods for relative index of financial inclusion (IFI) based on Euclidean distance and Mahalanobis distance (hereinafter referred to as Ed-R-IFI and Md-R-IFI) are proposed. The levels of financial inclusion of 55 countries in 2004 are evaluated by using the traditional and improved measurement methods for the IFI. The results indicate that, owing to consideration of the existence of correlations among the various dimensions, the Md-R-IFI method reduces the overall level of financial inclusion and keeps the IFI within a small range of fluctuation compared with the traditional measurement method and the Ed-R-IFI method. The results are more in line with the actual IFIs in various countries, and the method has better applicability and practicality in the measurement of the IFI.</t>
  </si>
  <si>
    <t>Financial inclusion; economic development; relative index; comprehensive evaluation</t>
  </si>
  <si>
    <t>Measurement Methods for Relative Index of Financial Inclusion</t>
  </si>
  <si>
    <t>Li, Dan-Dan; Wang, Zheng-Xin</t>
  </si>
  <si>
    <t>Li, DD; Wang, ZX</t>
  </si>
  <si>
    <t>WOS:000428240000011</t>
  </si>
  <si>
    <t>GA3OY</t>
  </si>
  <si>
    <t>10.1080/13504851.2017.1366635</t>
  </si>
  <si>
    <t>jongheelee@gw.kmu.ac.kr</t>
  </si>
  <si>
    <t>Lee, J (corresponding author), Keimyung Univ, Dept Consumer Informat Studies, Daegu, South Korea.</t>
  </si>
  <si>
    <t>University of Alabama System; University of Alabama Tuscaloosa; Keimyung University</t>
  </si>
  <si>
    <t>[Kim, Kyoung Tae] Univ Alabama, Dept Consumer Sci, Tuscaloosa, AL USA; [Lee, Jonghee] Keimyung Univ, Dept Consumer Informat Studies, Daegu, South Korea</t>
  </si>
  <si>
    <t>Usingthe 2012 National Financial Capability Study, this study investigated the relationship between financial literacy and payday loan use. An instrumental variable approach was employed to address a possible endogeneity issue using a newly developed instrument of financial literacy based on the community network effect. Results from linear regressions indicated that financial literacy was associated negatively with the use of payday loans, and its effect was greater with the use of the instrument.</t>
  </si>
  <si>
    <t>Financial literacy; payday loans; national financial capability study; instrumental variable approach; D12; D14; D91</t>
  </si>
  <si>
    <t>Financial literacy and use of payday loans in the United States</t>
  </si>
  <si>
    <t>Kim, Kyoung Tae; Lee, Jonghee</t>
  </si>
  <si>
    <t>Kim, KT; Lee, J</t>
  </si>
  <si>
    <t>WOS:001128280200005</t>
  </si>
  <si>
    <t>CW5I1</t>
  </si>
  <si>
    <t>10.1016/j.techfore.2022.122127</t>
  </si>
  <si>
    <t>Coffie, Cephas/AAO-7607-2020</t>
  </si>
  <si>
    <t>CephasCoffie@melbournepolytechnic.edu.au; zhaohj@uestc.edu.cn</t>
  </si>
  <si>
    <t>Coffie, CPK (corresponding author), Univ Elect Sci &amp; Technol China, Sch Management &amp; Econ, Chengdu 611731, Peoples R China.</t>
  </si>
  <si>
    <t>[Coffie, Cephas Paa Kwasi; Zhao Hongjiang] Univ Elect Sci &amp; Technol China, Sch Management &amp; Econ, Chengdu 611731, Peoples R China; [Coffie, Cephas Paa Kwasi; Zhao Hongjiang] Univ Elect Sci &amp; Technol China, Ctr West African Studies, Chengdu 611731, Peoples R China; [Coffie, Cephas Paa Kwasi] Melbourne Polytech, Fuzhou Campus, Fuzhou, Peoples R China</t>
  </si>
  <si>
    <t>Efforts to include many financially in Ghana continue to witness substantial progress as the nuptial between information communication technology and finance thrives. However, except for information communication technology infrastructure, the role of other actors in the development of the financial technology market and financial inclusion in Ghana is unexplored. Therefore, the study explores how other heterogeneous actors contribute to the development of the financial technology market and financial inclusion in Ghana through information technology infrastructure. Specifically, first, we identify how key actors emerged in the financial technology market of Ghana and how these actors ride on information technology infrastructure to develop FinTech and improve financial inclusion. Second, we estimate the relationship between financial inclusion and these actors using time series econometric modeling. The government, mobile phones, telcos, mobile money agents, mobile money customers, and traditional banks are identified as key actors in the market. Further, the time series model shows a significant positive relationship between the heterogeneous actors' financial inclusion in Ghana. Therefore, these actors become significant to the existence, furtherance, and sustainability of the FinTech market and financial inclusion in Ghana.</t>
  </si>
  <si>
    <t>MOBILE MONEY SERVICES; SUB-SAHARAN AFRICA; DETERMINANTS; TECHNOLOGY; DIFFUSION; ECOSYSTEM; ADOPTION</t>
  </si>
  <si>
    <t>FinTech; Financial inclusion; ICT; Mobile money; Ghana</t>
  </si>
  <si>
    <t>FinTech market development and financial inclusion in Ghana: The role of heterogeneous actors</t>
  </si>
  <si>
    <t>Coffie, Cephas Paa Kwasi; Zhao Hongjiang</t>
  </si>
  <si>
    <t>WOS:001027901700007</t>
  </si>
  <si>
    <t>M1NR0</t>
  </si>
  <si>
    <t>10.1504/IJESD.2023.132092</t>
  </si>
  <si>
    <t>Int. J. Environ. Sustain. Dev.</t>
  </si>
  <si>
    <t>INT J ENVIRON SUSTAI</t>
  </si>
  <si>
    <t>1478-7466</t>
  </si>
  <si>
    <t>1474-6778</t>
  </si>
  <si>
    <t>Gatto, Andrea/L-1210-2019</t>
  </si>
  <si>
    <t>agatto@kean.edu</t>
  </si>
  <si>
    <t>Gatto, A (corresponding author), Wenzhou Kean Univ, Wenzhou, Zheijiang, Peoples R China.;Gatto, A (corresponding author), Azerbaijan State Univ Econ UNEC, Ctr Studies Europe, Baku, Azerbaijan.</t>
  </si>
  <si>
    <t>Wenzhou-Kean University; Ministry of Education of Azerbaijan Republic; Azerbaijan State University of Economics (UNEC)</t>
  </si>
  <si>
    <t>[Gatto, Andrea] Wenzhou Kean Univ, Wenzhou, Zheijiang, Peoples R China; [Gatto, Andrea] Azerbaijan State Univ Econ UNEC, Ctr Studies Europe, Baku, Azerbaijan</t>
  </si>
  <si>
    <t>Energy microfinance is a promising asset for ensuring access to finance and electricity for the poor and women living in rural areas. Targeting vulnerable categories, renewable energy microfinance tools aim to promote sustainability and resilience policies to foster sustainable energy and ecological transitions. This research note explores the role of energy microfinance policies in facilitating virtuous loops for empowering the vulnerable, enhancing entrepreneurship, fighting poverty, and promoting social inclusion and environmental protection - as prescribed by the sustainable development mandate. Examining the microfinance-renewable energy-vulnerable nexus, the paper proposes a conceptual contribution and fungible development policy recommendations, sketching the main drivers of this linkage. To this end, a critical review of existing publications and successful world experiences is proposed. The analysis finds out a relevant potential for energy microfinance, whereby renewable energy expansion can be a strong player in shaping fresh microfinance strategies and prospects, providing ecological, social, economic and governance benefits and new research, policy, and practical agenda.</t>
  </si>
  <si>
    <t>ACCESS; ELECTRICITY; GOVERNANCE; AFRICA; NEXUS</t>
  </si>
  <si>
    <t>vulnerable; renewable energy; microfinance; energy policy; sustainable development; women empowerment; poverty alleviation; entrepreneurship boosting</t>
  </si>
  <si>
    <t>INTERNATIONAL JOURNAL OF ENVIRONMENT AND SUSTAINABLE DEVELOPMENT</t>
  </si>
  <si>
    <t>Can renewable energy microfinance promote financial inclusion and empower the vulnerable?</t>
  </si>
  <si>
    <t>Gatto, Andrea</t>
  </si>
  <si>
    <t>Gatto, A</t>
  </si>
  <si>
    <t>WOS:001391950900001</t>
  </si>
  <si>
    <t>R5O8U</t>
  </si>
  <si>
    <t>10.1016/j.eap.2024.12.012</t>
  </si>
  <si>
    <t>Acknowledgments Yin-E Chen gratefully acknowledges the support from the National Social Science Fund of China for the key project titled Research on Mechanisms and Pathways for Promoting the Effective Connection between Poverty Alleviation and Rural Revitalization through</t>
  </si>
  <si>
    <t>Chang, Chun-Ping/0000-0003-1782-4551</t>
  </si>
  <si>
    <t>Chang, Chun-Ping/KIJ-1434-2024</t>
  </si>
  <si>
    <t>cpchang@g2.usc.edu.tw</t>
  </si>
  <si>
    <t>Chang, CP (corresponding author), Shih Chien Univ, Taipei, Taiwan.</t>
  </si>
  <si>
    <t>Wuhan University; Changsha University of Science &amp; Technology; Shih Chien University</t>
  </si>
  <si>
    <t>[Yin, Xiang] Wuhan Univ, Sch Econ &amp; Management, Wuhan, Peoples R China; [Chen, Yin-E] Changsha Univ Sci &amp; Technol, Dept Discipline Construct &amp; Dev Planning, Changsha, Peoples R China; [Chang, Chun-Ping] Shih Chien Univ, Taipei, Taiwan</t>
  </si>
  <si>
    <t>In China, fiscal subsidies can promote financial inclusion, but there are still policy failures. This paper uses deterministic evolutionary game and stochastic evolutionary game model to analyze the effectiveness and boundary conditions of fiscal subsidy policy to support rural inclusive financial development. The study found that an evolutionarily stable strategy will emerge only when targeted fiscal subsidies can cover the initial operating costs of an inclusive financial system. In the deterministic evolutionary game, there are two stable evolutionary strategies on the demand side due to financial literacy and economic differences. In a stochastic evolutionary game, the system converges to the (default, loan) strategy, and random disturbances weaken the effectiveness of the policy. Reducing the rate of targeted financial subsidies, reducing the value of collateral, and increasing the amount of loans can improve the effectiveness of policies. According to the research results, policy recommendations are put forward.</t>
  </si>
  <si>
    <t>GREEN</t>
  </si>
  <si>
    <t>Fiscal subsidy policy; Rural inclusive finance development; Effectiveness; Deterministic evolutionary game; Stochastic evolutionary game</t>
  </si>
  <si>
    <t>The effectiveness of China's fiscal subsidy policies in supporting the development of rural inclusive finance</t>
  </si>
  <si>
    <t>Yin, Xiang; Chen, Yin-E; Chang, Chun-Ping</t>
  </si>
  <si>
    <t>Yin, X; Chen, YE; Chang, CP</t>
  </si>
  <si>
    <t>WOS:000836757200001</t>
  </si>
  <si>
    <t>10.1007/s40609-022-00234-x</t>
  </si>
  <si>
    <t>Atta-Ankomah, Richmond/0000-0001-9982-9377; Okyere, Charles Yaw/0000-0002-1794-7001</t>
  </si>
  <si>
    <t>; Okyere, Charles Yaw/AAG-8979-2020</t>
  </si>
  <si>
    <t>attasnr@gmail.com; okyerecharles@gmail.com</t>
  </si>
  <si>
    <t>Okyere, CY (corresponding author), Univ Ghana, Coll Basic &amp; Appl Sci, Dept Agr Econ &amp; Agribusiness, POB LG 68, Legon, Ghana.</t>
  </si>
  <si>
    <t>[Atta-Ankomah, Richmond] Univ Ghana, Coll Humanities, Inst Stat Social &amp; Econ Res ISSER, POB LG 74, Legon, Ghana; [Okyere, Charles Yaw] Univ Ghana, Coll Basic &amp; Appl Sci, Dept Agr Econ &amp; Agribusiness, POB LG 68, Legon, Ghana</t>
  </si>
  <si>
    <t>The study examines the effects of financial inclusion services-mobile money and other alternative financial service options-on consumption expenditure and poverty status by employing the augmented inverse probability weighted (AIPW) estimator to address selection bias and unobserved heterogeneity in the adoption of these services. Using a nationally representative survey data in Ghana, the results show that adoption of financial inclusion services increases household consumption expenditure and also decreases the probability of being poor. Specifically, the effects are larger for adoption of other alternative financial service options relative to adoption of mobile money services. Estimating the interaction effects shows that there are complementarities between adoption of mobile money and other alternative financial service options. The results also show considerable heterogeneity with effects largely observed in male-headed households compared to female-headed households. The results suggest that adoption of financial inclusion services could serve as welfare improvement strategies in developing countries and draw policy attention to the gendered welfare effects.</t>
  </si>
  <si>
    <t>Financial inclusion; Ghana; Mobile money; Treatment effects; Welfare</t>
  </si>
  <si>
    <t>Welfare Effects of Financial Inclusion Services in Ghana: A Comparative Analysis of Mobile Money and Other Financial Services</t>
  </si>
  <si>
    <t>Atta-Ankomah, Richmond; Okyere, Charles Yaw</t>
  </si>
  <si>
    <t>Atta-Ankomah, R; Okyere, CY</t>
  </si>
  <si>
    <t>WOS:000297629700021</t>
  </si>
  <si>
    <t>856HN</t>
  </si>
  <si>
    <t>10.5897/AJBM11.401</t>
  </si>
  <si>
    <t>Afr. J. Bus. Manag.</t>
  </si>
  <si>
    <t>AFR J BUS MANAGE</t>
  </si>
  <si>
    <t>1993-8233</t>
  </si>
  <si>
    <t>P O BOX 5170-00200 NAIROBI, VICTORIA ISLAND, LAGOS 73023, NIGERIA</t>
  </si>
  <si>
    <t>VICTORIA ISLAND</t>
  </si>
  <si>
    <t>ACADEMIC JOURNALS</t>
  </si>
  <si>
    <t>altintas@cankaya.edu.tr</t>
  </si>
  <si>
    <t>Altintas, KM (corresponding author), Cankaya Univ, Balgat Ankara, Turkey.</t>
  </si>
  <si>
    <t>Cankaya Univ, Balgat Ankara, Turkey</t>
  </si>
  <si>
    <t>Poor financial choices could have a number of negative consequences for young people. Financially illiterate graduates might be subject to various financial or judicial enforcements, such as bankruptcy, mortgage crises or financial frauds. In order to protect young adults from the costly consequences of financial illiteracy, the evaluation of financial literacy must be analyzed for transforming them into financially knowledgeable individuals by the help of financial education. The main purpose of this study is to reveal the special characteristics that influence the financial literacy of university students, as well as to evaluate their financial literacy level. Results show that university students do not have adequate knowledge on personal finance and financial management, in other words they need to enhance their financial literacy in order to protect their financial security at the medium and long run. In addition, the most important factors that affect the overall personal financial literacy of university students within the framework of the survey are class rank, age, family's income level, and students' discussion potential with their parents about financial matters.</t>
  </si>
  <si>
    <t>COLLEGE; SCHOOL</t>
  </si>
  <si>
    <t>Personal finance; financial literacy; financial capability</t>
  </si>
  <si>
    <t>AFRICAN JOURNAL OF BUSINESS MANAGEMENT</t>
  </si>
  <si>
    <t>The dynamics of financial literacy within the framework of personal finance: An analysis among Turkish University Students</t>
  </si>
  <si>
    <t>Altintas, Kadir Murat</t>
  </si>
  <si>
    <t>Altintas, KM</t>
  </si>
  <si>
    <t>WOS:001622468400001</t>
  </si>
  <si>
    <t>E3695</t>
  </si>
  <si>
    <t>10.1007/s10693-025-00456-y</t>
  </si>
  <si>
    <t>2025 NOV 25</t>
  </si>
  <si>
    <t>Hartarska's research portion is funded by the Alabama Agricultural Experimental Station</t>
  </si>
  <si>
    <t>Auburn University</t>
  </si>
  <si>
    <t>Auburn University [Alabama agricultural experimental station]</t>
  </si>
  <si>
    <t>hartavm@auburn.edu; kerdava@gmail.com; rsickles@rice.edu</t>
  </si>
  <si>
    <t>Hartarska, V (corresponding author), Auburn Univ, Dept Agr Econ &amp; Rural Sociol, Auburn, AL 36849 USA.;Hartarska, V (corresponding author), Auburn Univ, Dept Finance, Auburn, AL 36849 USA.</t>
  </si>
  <si>
    <t>Auburn University System; Auburn University; Auburn University System; Auburn University; Rice University</t>
  </si>
  <si>
    <t>[Hartarska, Valentina] Auburn Univ, Dept Agr Econ &amp; Rural Sociol, Auburn, AL 36849 USA; [Hartarska, Valentina] Auburn Univ, Dept Finance, Auburn, AL 36849 USA; [Varaku, Kerda; Sickles, Robin] Rice Univ, Dept Econ, Houston, TX USA</t>
  </si>
  <si>
    <t>Microfinance institutions (MFIs) expand financial inclusion by providing credit and savings services to low-income households excluded from formal finance. Because the poor face multiple needs, many MFIs offer plus services-either financial (e.g., insurance, remittances) or nonfinancial (e.g., education, business training, health promotion, gender empowerment). We use a doubly robust, random-forest-based approach to obtain semiparametrically efficient estimates of the average treatment effect (ATE), estimating the ATE of each plus service on both outreach (social mission) and financial performance, while accounting for heterogeneity in MFI characteristics and operating environments. The results show that nonfinancial plus services enable MFIs to both deepen and broaden outreach. By contrast, MFIs that add only financial plus products serve fewer and less-poor clients, consistent with mission drift. The policy implications are that, to advance financial inclusion, stakeholders should prioritize nonfinancial 'plus' services and be cautious about promoting only bank-like financial products.</t>
  </si>
  <si>
    <t>FINANCIAL EDUCATION; ECONOMIES; CREDIT; GENDER; INSTITUTIONS; BANKING; IMPACT; WOMEN; SCOPE; POOR</t>
  </si>
  <si>
    <t>Microfinance institutions; Microfinance plus; Machine learning; ATE; G21; O1; F3</t>
  </si>
  <si>
    <t>The Effect of Plus Services in Microfinance: A Doubly Robust Machine Learning Approach</t>
  </si>
  <si>
    <t>Hartarska, Valentina; Varaku, Kerda; Sickles, Robin</t>
  </si>
  <si>
    <t>Hartarska, V; Varaku, K; Sickles, R</t>
  </si>
  <si>
    <t>WOS:000661458400001</t>
  </si>
  <si>
    <t>D3VX7</t>
  </si>
  <si>
    <t>10.1080/0960085X.2021.1924088</t>
  </si>
  <si>
    <t>Liyala, Samuel/0000-0002-5183-0173</t>
  </si>
  <si>
    <t>nkm@dmu.ac.uk</t>
  </si>
  <si>
    <t>McBride, N (corresponding author), De Montfort Univ, Ctr Comp &amp; Social Responsibil, Leicester, Leics, England.</t>
  </si>
  <si>
    <t>De Montfort University</t>
  </si>
  <si>
    <t>[McBride, Neil] De Montfort Univ, Ctr Comp &amp; Social Responsibil, Leicester, Leics, England; [Liyala, Samuel] Jaram Oginga Odinga Univ Sci &amp; Technol, Sch Informat &amp; Innovat Syst, Bondo, Kenya</t>
  </si>
  <si>
    <t>M-PESA is the world's leading mobile money system which supports the person-to-person transfer of money. While the institutional meaning of M-PESA concerning financial inclusion and market access is well documented, the meaning attached to M-PESA by users, particularly in rural communities, has received less attention. This study examines the meaning of M-PESA to the rural poor in villages in Busia County, Western Kenya using the approach of poetic inquiry in which the expressions of local people are rendered as poetry in order to draw out affective and lived experience. A reading of the poems of seven participants reveals the perception of M-PESA as a means of empowerment for women, alignment with their social identity and access to education. This contrasts sharply with the meaning of M-PESA as seen by commercial and non-commercial institutions which focuses on connecting the unbanked to formal banking systems and the exploitation of M-PESA as a primary revenue stream. The paper concludes by highlighting the need for regulation which is delicately balanced between independence from institutional control and the exposure of the rural poor to exploitation.</t>
  </si>
  <si>
    <t>WOMENS EMPOWERMENT; FINANCIAL INCLUSION; DIGITAL DIVIDE; SERVICES; GENDER; DISEMPOWERMENT; INTENTION; IDENTITY; STUDENTS; POVERTY</t>
  </si>
  <si>
    <t>M-pesa; mobile money; poetic inquiry; ict and empowerment</t>
  </si>
  <si>
    <t>Memoirs from Bukhalalire: a poetic inquiry into the lived experience of M-PESA mobile money usage in rural Kenya</t>
  </si>
  <si>
    <t>McBride, Neil; Liyala, Samuel</t>
  </si>
  <si>
    <t>McBride, N; Liyala, S</t>
  </si>
  <si>
    <t>WOS:000712775800003</t>
  </si>
  <si>
    <t>N0LM4</t>
  </si>
  <si>
    <t>10.1007/s10479-021-04287-7</t>
  </si>
  <si>
    <t>SUPPL 1</t>
  </si>
  <si>
    <t>Ann. Oper. Res.</t>
  </si>
  <si>
    <t>ANN OPER RES</t>
  </si>
  <si>
    <t>1572-9338</t>
  </si>
  <si>
    <t>0254-5330</t>
  </si>
  <si>
    <t>This work was supported by Zhejiang Province Jinhua City Federation of Social Sciences (No.YB2020060), Jinhua City Science and Technology Research Plan(No.2021-4-379), General scientific research project of Zhejiang Provincial Department of Education (No.Y202045644).</t>
  </si>
  <si>
    <t>Zhejiang Province Jinhua City Federation of Social Sciences; Jinhua City Science and Technology Research Plan; General scientific research project of Zhejiang Provincial Department of Education</t>
  </si>
  <si>
    <t>Zhejiang Province Jinhua City Federation of Social Sciences [YB2020060]; Jinhua City Science and Technology Research Plan [2021-4-379]; General scientific research project of Zhejiang Provincial Department of Education [Y202045644]</t>
  </si>
  <si>
    <t>Chen, Yanyu/0000-0003-4300-1110;</t>
  </si>
  <si>
    <t>Chen, Yanyu/K-8971-2018; V, Sivakumar/C-7386-2017</t>
  </si>
  <si>
    <t>cyy100628@126.com; hod_ece@srivasaviengg.ac.in; drsivakumarv@veltech.edu.in</t>
  </si>
  <si>
    <t>Chen, YY (corresponding author), Zhejiang Normal Univ, Coll Econ &amp; Management, Jinhua 321004, Zhejiang, Peoples R China.</t>
  </si>
  <si>
    <t>Zhejiang Normal University; Vel Tech Rangarajan Dr Sagunthala R&amp;D Institute of Science &amp; Technology</t>
  </si>
  <si>
    <t>[Chen, Yanyu] Zhejiang Normal Univ, Coll Econ &amp; Management, Jinhua 321004, Zhejiang, Peoples R China; [Kumara, E. Kusuma] Ece Vasavi Engn Coll, Hyderabad, India; [Sivakumar, V] Vel Tech Rangarajan Dr Saguthala R&amp;D Inst Sci &amp; T, Sch Comp, Chennai 600062, Tamil Nadu, India</t>
  </si>
  <si>
    <t>Financial risk is unintended to lose money on an enterprise or investment. Credit risk, Liquidity risk, and operational risk are some more prevalent and unique financial concerns. This is a form of risk that can lead to a capital loss for stakeholders. Building a company from the bottom up is expensive. Any firm may need to go for cash outside to develop at some time in their lives. Financial hazards occur and influence almost every person in various forms and sizes. Digital Financial Services are financial services that rely on customer distribution and the use of digital technologies. While digital financial inclusion (DFI) is important in stimulating economic growth, there is only relatively little empirical data. But whether digital finance is the solution both the bad and the good results of financial inclusion raise. This essay will investigate the importance of digital financial inclusion, utilizing information and communications technology (DFI-ICT) techniques to promote sustainable growth via economic stability. Fast digital technology is currently being used to deliver financial services considerably reduced cost, thereby enhancing financial inclusion and allowing large-scale economic productivity improvements. Although there has been a broad-ranging mention of the benefits of digital finance-financial services offered through mobile telephones, the internet, or cards-we try to measure the size of the economic effect. The experimental result shows that the classification risk level ratio is achieved to 18.9%, and the error rate of classification of the model is checked.</t>
  </si>
  <si>
    <t>BLOCKCHAIN; MANAGEMENT</t>
  </si>
  <si>
    <t>Finance; Economics; Risk; Awareness; ICT; Financial inclusion</t>
  </si>
  <si>
    <t>ANNALS OF OPERATIONS RESEARCH</t>
  </si>
  <si>
    <t>Investigation of finance industry on risk awareness model and digital economic growth</t>
  </si>
  <si>
    <t>Chen, Yanyu; Kumara, E. Kusuma; Sivakumar, V</t>
  </si>
  <si>
    <t>Chen, YY; Kumara, EK; Sivakumar,</t>
  </si>
  <si>
    <t>WOS:000739263900001</t>
  </si>
  <si>
    <t>2O2PR</t>
  </si>
  <si>
    <t>10.1007/s11205-021-02850-0</t>
  </si>
  <si>
    <t>This work was funded by FCT, Fundacao para a Ciencia e a Tecnologia, I.P., Projects: PTDC/EGE-OGE/31246/2017, UIDB/04630/2020; UIDB/05037/2020.</t>
  </si>
  <si>
    <t>FCT, Fundacao para a Ciencia e a Tecnologia, I.P.(Fundacao para a Ciencia e a Tecnologia (FCT)); Fundação para a Ciência e a Tecnologia(Fundacao para a Ciencia e a Tecnologia (FCT))</t>
  </si>
  <si>
    <t>FCT, Fundacao para a Ciencia e a Tecnologia, I.P. [PTDC/EGE-OGE/31246/2017, UIDB/04630/2020, UIDB/05037/2020]; Fundação para a Ciência e a Tecnologia [PTDC/EGE-OGE/31246/2017] Funding Source: FCT</t>
  </si>
  <si>
    <t>Augusto, Mário/0000-0001-7345-1679; Matias Gama, Ana Paula/0000-0002-8064-6244; Geraldes, Susana/0000-0002-6581-3454;</t>
  </si>
  <si>
    <t>Augusto, Mário/JXM-9470-2024; Gama, Ana Paula/A-2622-2011</t>
  </si>
  <si>
    <t>susana.geraldes@ubi.pt; amatias@ubi.pt; maugusto@fe.uc.pt</t>
  </si>
  <si>
    <t>Geraldes, HSA (corresponding author), Univ Beira Interior, Res Ctr Business Sci NECE, Covilha, Portugal.</t>
  </si>
  <si>
    <t>Universidade da Beira Interior; Universidade de Coimbra</t>
  </si>
  <si>
    <t>[Amaral Geraldes, Helena Susana; Matias Gama, Ana Paula] Univ Beira Interior, Res Ctr Business Sci NECE, Covilha, Portugal; [Augusto, Mario] Univ Coimbra, Fac Econ, CeBER, Coimbra, Portugal</t>
  </si>
  <si>
    <t>Financial inclusion is a vital development policy concern; different combinations and conditions of access to (supply) and use of (demand) financial services may predict levels of financial inclusion. With a fuzzy set qualitative comparative analysis, conducted across 61 countries worldwide, the current research establishes that financial literacy and human development are conditions of high financial inclusion; supply-side drivers, such as bank concentration and bank branches, represent substitutive conditions for attaining high levels of financial inclusion. With separate analyses of a split sample, designating developed and developing countries, the authors also determine that the absence of financial literacy and human development, as demand-side drivers, leads to diminished financial inclusion for both sets of countries. In turn, this research offers novel ideas for achieving more efficient policies to prompt financial inclusion.</t>
  </si>
  <si>
    <t>ECONOMIC-GROWTH; BANKING SERVICES; LITERACY; ACCESS; IMPACT; DETERMINANTS; BARRIERS; MATTER; INCOME</t>
  </si>
  <si>
    <t>Financial inclusion; Financial literacy; Human development; Financial infrastructure</t>
  </si>
  <si>
    <t>Reaching Financial Inclusion: Necessary and Sufficient Conditions</t>
  </si>
  <si>
    <t>Amaral Geraldes, Helena Susana; Matias Gama, Ana Paula; Augusto, Mario</t>
  </si>
  <si>
    <t>WOS:001328894600001</t>
  </si>
  <si>
    <t>I2V9D</t>
  </si>
  <si>
    <t>10.5582/bst.2024.01220</t>
  </si>
  <si>
    <t>2024 SEP 26</t>
  </si>
  <si>
    <t>BioSci. Trends</t>
  </si>
  <si>
    <t>BIOSCI TRENDS</t>
  </si>
  <si>
    <t>1881-7823</t>
  </si>
  <si>
    <t>1881-7815</t>
  </si>
  <si>
    <t>PEARL CITY KOISHIKAWA 603, 2-4-5 KASUGA, BUNKYO-KU, TOKYO, 112-0003, JAPAN</t>
  </si>
  <si>
    <t>IRCA-BSSA</t>
  </si>
  <si>
    <t>Kinoshita, Shotaro/0000-0002-8168-383X;</t>
  </si>
  <si>
    <t>Kinoshita, Shotaro/GQQ-6349-2022; Kishimoto, Taishiro/U-3326-2019</t>
  </si>
  <si>
    <t>tkishimoto@keio.jp</t>
  </si>
  <si>
    <t>Kishimoto, T (corresponding author), Keio Univ, Sch Med, Hills Joint Res Lab Future Prevent Med &amp; Wellness, 7F Azabudai Hills Mori JP Tower 1-3-1 Azabudai,Min, Tokyo 1060041, Japan.</t>
  </si>
  <si>
    <t>Keio University; University of Tokyo; Keio University; Keio University</t>
  </si>
  <si>
    <t>[Kinoshita, Shotaro; Kishimoto, Taishiro] Keio Univ, Sch Med, Hills Joint Res Lab Future Prevent Med &amp; Wellness, 7F Azabudai Hills Mori JP Tower 1-3-1 Azabudai,Min, Tokyo 1060041, Japan; [Kinoshita, Shotaro] Univ Tokyo, Grad Sch Interdisciplinary Informat Studies, Tokyo, Japan; [Komamura, Kohei] Keio Univ, Res Ctr Financial Gerontol, Tokyo, Japan; [Komamura, Kohei] Keio Univ, Fac Econ, Tokyo, Japan</t>
  </si>
  <si>
    <t>Japan, the world's most rapidly aging society, faces increasing financial strains related to personalized dementia care. The government has shifted its focus from prevention to coexistence with dementia, as outlined in the 2023 Basic Act on Dementia. Emphasis on financial inclusion aligns with the G20's 2019 Fukuoka Policy Priorities on Aging and Financial Inclusion, which addresses financial exclusion due to cognitive decline and poor financial literacy. While economic activity among older adults is already hampered by legal challenges and risks associated with dementia, outcomes are expected to worsen as the assets of older adults with dementia are projected to reach 215 trillion JPY ($1.4 trillion USD) by 2030. Government measures and research in financial gerontology advocate for protecting older adults and promoting flexible financial practices. Enhanced efforts and shared research outcomes are crucial for Japan to be a leader as an advanced aging society</t>
  </si>
  <si>
    <t>dementia; policy; aging</t>
  </si>
  <si>
    <t>Letter; Early Access</t>
  </si>
  <si>
    <t>BIOSCIENCE TRENDS</t>
  </si>
  <si>
    <t>Financial inclusion and financial gerontology in Japan's aging society</t>
  </si>
  <si>
    <t>Kinoshita, Shotaro; Komamura, Kohei; Kishimoto, Taishiro</t>
  </si>
  <si>
    <t>Kinoshita, S; Komamura, K; Kishimoto, T</t>
  </si>
  <si>
    <t>WOS:001618431600001</t>
  </si>
  <si>
    <t>9ZB1M</t>
  </si>
  <si>
    <t>Business &amp; Economics; Health Care Sciences &amp; Services</t>
  </si>
  <si>
    <t>Economics; Health Policy &amp; Services</t>
  </si>
  <si>
    <t>10.1186/s13561-025-00693-w</t>
  </si>
  <si>
    <t>NOV 18</t>
  </si>
  <si>
    <t>Health Econ. Rev.</t>
  </si>
  <si>
    <t>HEALTH ECON REV</t>
  </si>
  <si>
    <t>2191-1991</t>
  </si>
  <si>
    <t>This project was funded by the Deanship of Scientific Research (DSR) at King Abdulaziz University, Jeddah, under grant no. IPP: 63-120-2025. The author, therefore, acknowledges with thanks the DSR for technical and financial support.</t>
  </si>
  <si>
    <t>Deanship of Scientific Research (DSR) at King Abdulaziz University(King Abdulaziz University)</t>
  </si>
  <si>
    <t>Deanship of Scientific Research (DSR) at King Abdulaziz University [IPP: 63-120-2025]</t>
  </si>
  <si>
    <t>Al-Hanawi, Mohammed/AAB-2455-2020</t>
  </si>
  <si>
    <t>Al-Hanawi, MK (corresponding author), King Abdulaziz Univ, Dept Hlth Serv, Fac Econ &amp; Adm, Jeddah, Saudi Arabia.;Al-Hanawi, MK (corresponding author), King Abdulaziz Univ, Hosp Adm, Fac Econ &amp; Adm, Jeddah, Saudi Arabia.;Al-Hanawi, MK (corresponding author), King Abdulaziz Univ, Hlth Econ Res Grp, Jeddah, Saudi Arabia.</t>
  </si>
  <si>
    <t>King Abdulaziz University; King Abdulaziz University; King Abdulaziz University</t>
  </si>
  <si>
    <t>[Al-Hanawi, Mohammed Khaled] King Abdulaziz Univ, Dept Hlth Serv, Fac Econ &amp; Adm, Jeddah, Saudi Arabia; [Al-Hanawi, Mohammed Khaled] King Abdulaziz Univ, Hosp Adm, Fac Econ &amp; Adm, Jeddah, Saudi Arabia; [Al-Hanawi, Mohammed Khaled] King Abdulaziz Univ, Hlth Econ Res Grp, Jeddah, Saudi Arabia</t>
  </si>
  <si>
    <t>Background While out-of-pocket health expenses continue to rise, households' coping strategies remain largely unexplored. When individuals and families rely on unsustainable mechanisms such as borrowing, they may face heightened financial vulnerability, which can be particularly severe among certain socio-economic groups. This study examined the determinants of medical borrowing and the associated inequalities in Saudi Arabia. Methods Nationally representative data from the 2021 World Bank Global Financial Inclusion (Global Findex) database were analysed. Descriptive statistics summarized respondents' characteristics, and Chi-squared tests assessed bivariate associations between socio-economic factors and medical borrowing. Multivariate logistic regression models were then estimated to identify independent determinants of medical borrowing. Socioeconomic inequalities were further evaluated using concentration curves and concentration indices. Results Approximately 16.3% of the 1019 respondents from the KSA reported borrowing money for medical purposes within the preceding 12 months. Medical borrowing was less common among higher-income and more educated individuals [Model 3 odds ratio = 0.561; 95% confidence interval: 0.391-0.807; p &lt; 0.01). Borrowing incidence was slightly lower for males than for females. Across all models, government employees showed consistently higher odds of borrowing for medical expenses. Inequality analysis showed a negative education-based concentration index (-0.117, p &lt; 0.01), indicating that medical borrowing was disproportionately concentrated among individuals with lower educational attainment. Conclusion Socio-economic inequalities in borrowing for medical purposes exist in Saudi Arabia, highlighting the need to curb distress financing, particularly among lower-income groups, less-educated individuals, and public sector employees. These findings underscore the importance of expanding equitable insurance coverage and reducing reliance on out-of-pocket spending. Strengthening public healthcare quality and aligning reforms with Vision 2030 goals will be critical to curbing medical indebtedness and enhancing financial protection for all in Saudi Arabia.</t>
  </si>
  <si>
    <t>CATASTROPHIC HEALTH EXPENDITURE; OF-POCKET PAYMENTS; CARE EXPENDITURE; DEBT; HOUSEHOLDS; CREDIT</t>
  </si>
  <si>
    <t>Inequalities; Concentration curve; Concentration index; Determinants; Medical borrowing; Health expenses; Saudi Arabia; Healthcare finance</t>
  </si>
  <si>
    <t>HEALTH ECONOMICS REVIEW</t>
  </si>
  <si>
    <t>Determinants of medical borrowing and associated inequalities in the Kingdom of Saudi Arabia: evidence from the Global Findex survey</t>
  </si>
  <si>
    <t>Al-Hanawi, Mohammed Khaled</t>
  </si>
  <si>
    <t>Al-Hanawi, MK</t>
  </si>
  <si>
    <t>WOS:000411492100002</t>
  </si>
  <si>
    <t>FH8YP</t>
  </si>
  <si>
    <t>J. Bank Financ. Law Pract.</t>
  </si>
  <si>
    <t>J BANK FINANC LAW PR</t>
  </si>
  <si>
    <t>1034-3040</t>
  </si>
  <si>
    <t>LEVEL 6, 19 HARRIS ST, PYRMONT, NSW 2009, AUSTRALIA</t>
  </si>
  <si>
    <t>PYRMONT</t>
  </si>
  <si>
    <t>LAWBOOK CO LTD</t>
  </si>
  <si>
    <t>Widjojo, F (corresponding author), Baker McKenzie, Sydney, NSW, Australia.</t>
  </si>
  <si>
    <t>[Widjojo, Francisco] Baker McKenzie, Sydney, NSW, Australia</t>
  </si>
  <si>
    <t>Microfinance has been used as a means to address financial exclusion in Australia since 2003. However, several factors are inhibiting the success of microfinance in Australia. First, in its current form, microfinance does not adequately address all the root causes of financial exclusion. Secondly, microfinance institutions in Australia do not operate under a financially sustainable business model. This article critically analyses the current legal framework underpinning microfinance in Australia and proposes a significant regulatory solution in the form of a mandatory referral regime to rectify the first limitation based on an approach being used in the UK banking sector. Ultimately, it is concluded that it is essential for the Australian government to intervene through law to better support microfinance and that, if it does not do so, it risks financial exclusion becoming more prevalent within Australian society.</t>
  </si>
  <si>
    <t>LOANS</t>
  </si>
  <si>
    <t>JOURNAL OF BANKING AND FINANCE LAW AND PRACTICE</t>
  </si>
  <si>
    <t>Microfinance in Australia: Is the Law Doing Enough to Address Financial Exclusion?</t>
  </si>
  <si>
    <t>Widjojo, Francisco</t>
  </si>
  <si>
    <t>Widjojo, F</t>
  </si>
  <si>
    <t>WOS:000814603000001</t>
  </si>
  <si>
    <t>10.1108/MF-05-2021-0234</t>
  </si>
  <si>
    <t>parvathymenon.vk@gmail.com</t>
  </si>
  <si>
    <t>Parvathy, VK (corresponding author), Christ Univ, Sch Business &amp; Management, Bangalore, Karnataka, India.</t>
  </si>
  <si>
    <t>[Parvathy, V. K.; Kumar, Jyothi] Christ Univ, Sch Business &amp; Management, Bangalore, Karnataka, India</t>
  </si>
  <si>
    <t>Purpose Financial capability is considered to be an important concept that has drawn the attention of many world nations. While the literature suggests various studies on financial capability and financial wellbeing, focus on their combined significance has been limited. The purpose of this paper is to examine how financial capability affects the financial wellbeing of women in community-based organizations and how decision-making ability mediated this relationship. Design/methodology/approach In total, 1,000 women who are associated with the community-based organization - Kudumbashree in the state of Kerala, India participated in the survey-based study. Findings The structural equation modelling results show that there exists a significant relationship between financial capability and the financial wellbeing of women in CBOs. Further, decision-making ability was identified as a significant mediator in this relationship thus establishing a partial mediation effect. Practical implications The financial social workers can focus their activities on promoting financial capability and decision making aspects of women from middle/low income families to facilitate their financial wellbeing. The scope for financial socialisation and proper orientation is more for the women associated with the community based organisations. This opportunity can be made use by the government authorities and other practitioners to change their financial outlook and contribute towards the empowerment of these women from the grass root level. Originality/value The studies related to financial literacy and financial inclusion are available in the Indian context, but the conceptualization of financial capability is still an under-researched area in India. Hence, this study is an attempt to explain the capability-wellbeing relationship from a financial point of view in the Indian context, and further establishes its connection with the individual's decision-making ability. To strengthen the research base, the study was conducted among the women in the community-based organization who belong to middle and low-income families.</t>
  </si>
  <si>
    <t>HOUSEHOLD; LITERACY; INVESTORS; EDUCATION; ATTITUDE; IMPACT; POWER; DEBT</t>
  </si>
  <si>
    <t>Capability; Wellbeing; Decision-making ability; Financial literacy; Financial inclusion; Social work; Community-based organizations</t>
  </si>
  <si>
    <t>Financial capability and financial wellbeing of women in community-based organizations: mediating role of decision-making ability</t>
  </si>
  <si>
    <t>WOS:000243756000006</t>
  </si>
  <si>
    <t>129UQ</t>
  </si>
  <si>
    <t>10.1111/j.1467-9302.2007.00552.x</t>
  </si>
  <si>
    <t>Public Money Manage.</t>
  </si>
  <si>
    <t>PUBLIC MONEY MANAGE</t>
  </si>
  <si>
    <t>1467-9302</t>
  </si>
  <si>
    <t>0954-0962</t>
  </si>
  <si>
    <t>McKay, Stephen/0000-0002-5080-8417; Collard, Sharon/0000-0001-6000-4298; Atkinson, Adele/0000-0002-1185-9078</t>
  </si>
  <si>
    <t>; Collard, Sharon/E-2304-2011; Atkinson, Adele/NGQ-6898-2025</t>
  </si>
  <si>
    <t>Atkinson, A (corresponding author), Univ Bristol, Personal Finance Res Ctr, Bristol BS8 1TH, Avon, England.</t>
  </si>
  <si>
    <t>University of Bristol; University of Bristol</t>
  </si>
  <si>
    <t>Univ Bristol, Personal Finance Res Ctr, Bristol BS8 1TH, Avon, England; Univ Bristol, Personal Finance &amp; Social Policy Res, Bristol BS8 1TH, Avon, England</t>
  </si>
  <si>
    <t>This article presents a new way of looking at and measuring financial literacy. Financial education work to date has focused on managing money, yet the survey described here shows that this is the area where levels of capability are highest. At least half of the UK population needs reminding that it is dangerous to live for the day and make no provision for changes in circumstance, unexpected expenditure, or retirement. In addition, with the low levels of financial capability identified by the survey, it is likely that mis-selling of financial products will continue in the UK. The authors conclude with policy priorities for the government.</t>
  </si>
  <si>
    <t>PUBLIC MONEY &amp; MANAGEMENT</t>
  </si>
  <si>
    <t>Levels of financial capability in the UK</t>
  </si>
  <si>
    <t>Atkinson, Adele; McKay, Stephen; Collard, Sharon; Kempson, Elaine</t>
  </si>
  <si>
    <t>Atkinson, A; Mckay, S; Collard, S; Kempson, E</t>
  </si>
  <si>
    <t>WOS:001311960600001</t>
  </si>
  <si>
    <t>F7Z7O</t>
  </si>
  <si>
    <t>10.1007/s13132-024-02305-0</t>
  </si>
  <si>
    <t>2024 SEP 14</t>
  </si>
  <si>
    <t>DOUT, Hamitande/0000-0003-2961-7314; YEKPA, Pagnamam/0000-0001-5081-5759</t>
  </si>
  <si>
    <t>ayi.ayayi@uqtr.ca; doutsylvain11@gmail.com; pyekpa@bidc-ebid.org; couchoro@hotmail.com</t>
  </si>
  <si>
    <t>Dout, H (corresponding author), Univ Lome, Econ Dept, BP 1515, Lome, Togo.</t>
  </si>
  <si>
    <t>[Ayayi, Ayi Gavriel] Univ Quebec Trois Rivieres, 3351 Blvd Forges CP 500, Quebec City, PQ G9A 5H7, Canada; [Dout, Hamitande; Couchoro, Mawuli Kodjovi] Univ Lome, Econ Dept, BP 1515, Lome, Togo; [Yekpa, Pagnamam] Economist ECOWAS Bank Investment &amp; Dev EBID, 05 BP 860, Lome, Togo</t>
  </si>
  <si>
    <t>Mobile money has transformed access to financial services in many countries in sub-Saharan Africa and has helped to reduce gaps in the financial inclusion of the unbanked poor. This paper analyzes the impact of the use of mobile money on household resilience to health shocks. Using the propensity score matching method and the probit model with instrumental variables, the results show that the use of mobile money reduces the vulnerability of households to health shocks. We also find that women use mobile money more frequently to alleviate the adverse effects of a health shock. Moreover, we find that mobile money has a greater impact on health shock in rural areas than in non-rural areas. The results also show that the use of mobile money's impact magnitude on health shock resilience increases with age and education level up to a threshold. Based on the paper's findings, we have highlighted some economic policies to improve household resilience to shocks. First, the expansion of mobile network coverage, particularly in rural areas, is essential to ensure widespread access to mobile money services. Second, reducing mobile money transaction and service costs is necessary to make these services accessible to low-income households. Third, training and awareness-raising programs on responsible financial management and the effective use of mobile money must be implemented to ensure that all population segments benefit fully from these services, particularly women and older people. Fourth, tax incentives could be offered to mobile operators expanding into rural areas and offering reduced rates for emergency transactions.</t>
  </si>
  <si>
    <t>PROPENSITY-SCORE; POVERTY EVIDENCE; PANEL EVIDENCE; INSURANCE; NETWORKS; BEHAVIOR; WELFARE; ACCESS</t>
  </si>
  <si>
    <t>Mobile money; Health shock; Propensity scores; Togo; G23; I31; O55</t>
  </si>
  <si>
    <t>Impact of Mobile Money on Resilience to Health Shocks in Sub-Saharan Africa: Evidence from Togo</t>
  </si>
  <si>
    <t>Ayayi, Ayi Gavriel; Dout, Hamitande; Yekpa, Pagnamam; Couchoro, Mawuli Kodjovi</t>
  </si>
  <si>
    <t>Ayayi, AG; Dout, H; Yekpa, P; Couchoro, MK</t>
  </si>
  <si>
    <t>WOS:000862763500005</t>
  </si>
  <si>
    <t>5A3AV</t>
  </si>
  <si>
    <t>10.21003/ea.V194-03</t>
  </si>
  <si>
    <t>suwitho, suwitho/0000-0002-3869-2319;</t>
  </si>
  <si>
    <t>suwitho, suwitho/HKF-4347-2023; Budiyanto, Budiyanto/HKN-1839-2023</t>
  </si>
  <si>
    <t>mimelientesa.irman@lecturer.pelitaindonesia.ac.id; Budiyanto@stiesia.ac.id; Suwitho@stiesia.ac.id</t>
  </si>
  <si>
    <t>Irman, M (corresponding author), Inst Business &amp; Technol Pelita Indonesia Jl Kayu J, Management Study Program, 11A, RW3 Rawamangun,Kec Pulo Gadung, Jakarta 13220, Indonesia.</t>
  </si>
  <si>
    <t>[Irman, Mimelientesa] Inst Business &amp; Technol Pelita Indonesia Jl Kayu J, Management Study Program, 11A, RW3 Rawamangun,Kec Pulo Gadung, Jakarta 13220, Indonesia; [Budiyanto; Suwitho] Sekolah Tinggi Ilmu Ekonomi Indonesia, Jl Kayu Jati Raya 11A, RW3,Rawamangun,Kec Pulo Gad, Jakarta 13220, Indonesia</t>
  </si>
  <si>
    <t>This study analyzes SMEs' performance problems in the trade sector in Pekanbaru by using several internal company factors to build a competitive strategy till the year 2021. The variables used in this study consisted of social capital, financial literacy, financial inclusion, and business performance. The study used 300 SMEs consisting of 26 wholesalers and 274 retailers in Pekanbaru, Riau. We used a structural equation model (SEM) approach with AMOS for hypothesis testing. The results show that social capital and financial literacy have a significant direct effect on the SME businesses' performance in the trade sector in Pekanbaru. This shows that social capital and financial literacy are two determining factors for the success of SME businesses. However, social capital does not affect business performance indirectly through the role of financial inclusion.</t>
  </si>
  <si>
    <t>Social Capital; Financial Literacy; Financial Inclusion; SMEs? Business Performance</t>
  </si>
  <si>
    <t>Financial inclusion as mediator in the relationship of social capital and financial literacy towards business performance of the trade sector SMEs in Pekanbaru, Indonesia</t>
  </si>
  <si>
    <t>Irman, Mimelientesa; Budiyanto; Suwitho</t>
  </si>
  <si>
    <t>Irman, M; Budiyanto; Suwitho</t>
  </si>
  <si>
    <t>WOS:000720775200003</t>
  </si>
  <si>
    <t>XA6SZ</t>
  </si>
  <si>
    <t>10.1177/01417789211040506</t>
  </si>
  <si>
    <t>Fem. Rev.</t>
  </si>
  <si>
    <t>FEMINIST REV</t>
  </si>
  <si>
    <t>1466-4380</t>
  </si>
  <si>
    <t>0141-7789</t>
  </si>
  <si>
    <t>My fieldwork was funded by my Australian Leadership Award scholarship while I was a Master's student in Gender and Development at the University of Melbourne.</t>
  </si>
  <si>
    <t>University of Melbourne(University of Melbourne); ESRC(UK Research &amp; Innovation (UKRI)Economic &amp; Social Research Council (ESRC))</t>
  </si>
  <si>
    <t>University of Melbourne; ESRC [ES/W007193/1] Funding Source: UKRI</t>
  </si>
  <si>
    <t>Parmanand, Sharmila/0000-0003-2461-7470</t>
  </si>
  <si>
    <t>Parmanand, Sharmila/ADY-9977-2022</t>
  </si>
  <si>
    <t>Parmanand, S (corresponding author), London Sch Econ &amp; Polit Sci LSE, Dept Gender Studies, London, England.</t>
  </si>
  <si>
    <t>University of London; London School Economics &amp; Political Science</t>
  </si>
  <si>
    <t>[Parmanand, Sharmila] London Sch Econ &amp; Polit Sci LSE, Dept Gender Studies, London, England</t>
  </si>
  <si>
    <t>The Philippines is a global leader in deploying microcredit to address poverty. These programmes are usually directed at women. Research on these programmes focuses on traditional economic indicators such as loan repayment rates but neglects impacts on women's agency and well-being, or their position in the household and relationships with their partners and children. It is taken for granted that access to microcredit leads to enhanced gender freedoms. In line with the growing body of work in feminist scholarship that critiques the instrumentalist logic of microfinance institutions (MFIs) in relation to women, this research foregrounds stories from interviews with female borrowers in Zamboanga City in Southern Philippines to provide grounded illustrations of how microcredit is reshaping relationships between women and their families, women and poverty and women and the state. Borrowers used loans to meet their family's needs even at the cost of harassment from creditors, indebtedness, increased workloads and conflict with partners. These narratives challenge the dominant neoliberal discourse of female empowerment through access to credit by exposing how microcredit is part of a complex set of regulations around 'good motherhood' and consumption, where women's moral worth is based on their willingness and ability to lift their families out of poverty.</t>
  </si>
  <si>
    <t>GENDER; PROGRAMS; POVERTY</t>
  </si>
  <si>
    <t>gender; development; poverty; microfinance; financial inclusion; Philippines; neoliberalism</t>
  </si>
  <si>
    <t>FEMINIST REVIEW</t>
  </si>
  <si>
    <t>regulating motherhood through markets: Filipino women's engagement with microcredit</t>
  </si>
  <si>
    <t>Parmanand, Sharmila</t>
  </si>
  <si>
    <t>Parmanand, S</t>
  </si>
  <si>
    <t>WOS:000991544100001</t>
  </si>
  <si>
    <t>G8JB2</t>
  </si>
  <si>
    <t>10.1016/j.jeoa.2023.100446</t>
  </si>
  <si>
    <t>The authors thank Kyle Musser and Kelsey Gordon for excellent research assistance. The project described received funding from the TIAA Institute and Wharton School's Pension Research Council/Boettner Center. The content is solely the responsibility of the author (s) and does not necessarily represent official views of the TIAA Institute or Wharton School's Pension Research Council/Boettner Center.</t>
  </si>
  <si>
    <t>TIAA Institute; Wharton School's Pension Research Council/Boettner Center</t>
  </si>
  <si>
    <t>maharvey3@wisc.edu; carly.urban@montana.edu</t>
  </si>
  <si>
    <t>Urban, C (corresponding author), Montana State Univ, Dept Ag Econ &amp; Econ, Bozeman, MT 59717 USA.;Urban, C (corresponding author), IZA, Bonn, Germany.</t>
  </si>
  <si>
    <t>University of Wisconsin System; University of Wisconsin Madison; Montana State University System; Montana State University Bozeman; IZA Institute Labor Economics</t>
  </si>
  <si>
    <t>[Harvey, Melody] Univ Wisconsin Madison, Dept Consumer Sci, Madison, WI USA; [Urban, Carly] Montana State Univ, Dept Ag Econ &amp; Econ, Bozeman, MT 59717 USA; [Urban, Carly] IZA, Bonn, Germany</t>
  </si>
  <si>
    <t>Since individuals are increasingly required to manage their own retirement portfolios, policy levers that increase retirement planning and saving have become increasingly important. We use variation in timing and presence of state-required personal finance coursework in high schools to estimate the effect of the financial education coursework on the likelihood of holding and amount in retirement accounts in adulthood (ages 25-40). Our results show no definitive increases in account ownership, non-retirement investment accounts, or homeown-ership. Since prior work finds required high school financial education improves credit and debt outcomes, we recommend that states and educators prioritize content that is more immediately relevant for 18-year-olds, such as budgeting, long-term debt, and credit.</t>
  </si>
  <si>
    <t>LITERACY; WEALTH; IMPACT; CURRICULUM</t>
  </si>
  <si>
    <t>Retirement savings; Financial education; Financial capability</t>
  </si>
  <si>
    <t>Does financial education affect retirement savings?</t>
  </si>
  <si>
    <t>Harvey, Melody; Urban, Carly</t>
  </si>
  <si>
    <t>Harvey, M; Urban, C</t>
  </si>
  <si>
    <t>WOS:000318271600008</t>
  </si>
  <si>
    <t>BEV39</t>
  </si>
  <si>
    <t>10.1057/9781137301925</t>
  </si>
  <si>
    <t>978-1-137-30192-5; 978-0-230-34846-2</t>
  </si>
  <si>
    <t>JSchicks@ulb.ac.be</t>
  </si>
  <si>
    <t>Schicks, J (corresponding author), Univ Libre Bruxelles, Ctr European Res Microfinance, Solvay Brussels Sch Econ &amp; Management, Brussels, Belgium.</t>
  </si>
  <si>
    <t>Solvay SA; Universite Libre de Bruxelles</t>
  </si>
  <si>
    <t>[Schicks, Jessica] Univ Libre Bruxelles, Ctr European Res Microfinance, Solvay Brussels Sch Econ &amp; Management, Brussels, Belgium</t>
  </si>
  <si>
    <t>DEBT; MICROFINANCE; INDEBTEDNESS; STRESS; ACCESS</t>
  </si>
  <si>
    <t>MICROFINANCE IN DEVELOPING COUNTRIES: ISSUES, POLICIES AND PERFORMANCE EVALUATION</t>
  </si>
  <si>
    <t>Formula a Supply Gap to a Demand Gap? The Risk and Consequences of Over-indebting the Underbanked</t>
  </si>
  <si>
    <t>Schicks, Jessica</t>
  </si>
  <si>
    <t>Gueyie, JP; Manos, R; Yaron, J</t>
  </si>
  <si>
    <t>Schicks, J</t>
  </si>
  <si>
    <t>WOS:000984278500002</t>
  </si>
  <si>
    <t>VM2NZ</t>
  </si>
  <si>
    <t>Rev. e-Mercatoria</t>
  </si>
  <si>
    <t>REV E-MERCATORIA</t>
  </si>
  <si>
    <t>1692-3960</t>
  </si>
  <si>
    <t>CALLE 12 NO 1-17 ESTE, BOGOTA, 00000, COLOMBIA</t>
  </si>
  <si>
    <t>UNIV EXTERNADO COLOMBIA</t>
  </si>
  <si>
    <t>dboteroz@poligran.edu.co; jchernandezz@poligran.edu.co; emrodriguezc@poligran.edu.co</t>
  </si>
  <si>
    <t>Zuluaga, DMB (corresponding author), Inst Univ Politecn Grancolombiano, Tiempo Completo, Bogota, Colombia.;Zuluaga, DMB (corresponding author), Inst Univ Politecn Grancolombiano, Semillero Responsabilidad &amp; Nuevas Tecnol, Bogota, Colombia.</t>
  </si>
  <si>
    <t>[Botero Zuluaga, Diana Marcela] Inst Univ Politecn Grancolombiano, Tiempo Completo, Bogota, Colombia; [Botero Zuluaga, Diana Marcela] Inst Univ Politecn Grancolombiano, Semillero Responsabilidad &amp; Nuevas Tecnol, Bogota, Colombia; [Hernandez Zuluaga, Jose Carlos; Marcelo Rodriguez, Edwin] Inst Univ Politecn Grancolombiano, Semillero Responsabilidad Civil &amp; Nuevas Tecnol, Bogota, Colombia</t>
  </si>
  <si>
    <t>Crypto assets are an unquestionable economic force. Since Satoshi Nakamoto ' s (2008) publication on a peer-to-peer communication protocol, designed to provide confidence to the participants, its applications have replicated to all areas of human life (Wright and Filippi 2015). This article aims to describe the principles from design that Blockchain technology has, in order to understand why it is the foundation of a whole generation of digital values whose incorporation into commerce grows every day. The objective is to analyze its potential as a means of payment of obligations in Colombia, based on the study of national and international regulatory trends regarding distributed ledger technologies -dlt- applied to assets. The conclusions show that more and more, crypto-assets are tools accepted by the governments of the world and that Colombia must align itself with that technological dynamic that facilitates financial inclusion, payment methods, the storage of value and international commercial traffic. However, its incorporation must be aware of public interests and monetary sovereignty, paying attention to the challenges that the state of knowledge poses about this transformative mechanism as a source of competitive advantage in the country.</t>
  </si>
  <si>
    <t>Crypto-actives; Bitcoin; Blockchain; New Technologies; Digital Market</t>
  </si>
  <si>
    <t>REVISTA E-MERCATORIA</t>
  </si>
  <si>
    <t>Official crypto-actives as a payment method in Colombia Technologic transition and competitive advantage</t>
  </si>
  <si>
    <t>Botero Zuluaga, Diana Marcela; Hernandez Zuluaga, Jose Carlos; Marcelo Rodriguez, Edwin</t>
  </si>
  <si>
    <t>Zuluaga, DMB; Zuluaga, JCH; Rodríguez, EM</t>
  </si>
  <si>
    <t>WOS:000983456900007</t>
  </si>
  <si>
    <t>10.1007/s13132-023-01272-2</t>
  </si>
  <si>
    <t>Khan, Wajid/0000-0001-9600-3721; Zahid, Rana Muhammad Ammar/0000-0002-4627-0917;</t>
  </si>
  <si>
    <t>; Zahid, Rana Muhammad Ammar/T-9202-2019; ULLAH, IKRAM/KEI-0622-2024</t>
  </si>
  <si>
    <t>amrzahid@gmail.com; safiambapugc@gmail.com; muzammil.khurshid@pugc.edu.pk; wajid.khan@uobs.edu.pk; ikramullah@uom.edu.pk</t>
  </si>
  <si>
    <t>Khan, W (corresponding author), Univ Baltistan, Dept Business Management, Skardu, Pakistan.</t>
  </si>
  <si>
    <t>Virtual University of Pakistan; University of Malakand</t>
  </si>
  <si>
    <t>[Zahid, R. M. Ammar] Yunnan Technol &amp; Business Univ, Sch Accounting, Kunming, Peoples R China; [Rafique, Safia] Virtual Univ Pakistan, Management Sci Dept, Lahore, Pakistan; [Khurshid, Muzammil] Univ Punjab, Dept Banking &amp; Finance, Gujranwala Campus, Gujranwala, Pakistan; [Khan, Wajid] Univ Baltistan, Dept Business Management, Skardu, Pakistan; [Ullah, Ikram] Univ Malakand, Dept Econ, Chakdara, Pakistan</t>
  </si>
  <si>
    <t>Financial literacy is crucial to financial inclusion and facilitates access to and use of formal financial services and products. This study aims to investigate the role of financial literacy in improving financial inclusion among Pakistan's women (a country characterized by a high gender gap and lower financial inclusion). A positivist philosophy was adopted and a survey design using a self-administered structured questionnaire was used to collect data from a sample of working women and university graduates. Initially, a pilot test was conducted on a sample of 80 respondents to confirm the reliability and validity of the questionnaire used. Final sample of 478 respondents was analyzed using inferential descriptive statistics and covariance-based structural equation modeling (CBSEM). The findings demonstrate that different aspects of financial literacy, i.e., savings management practice, debt management practice, investment management practice, and financial planning management practice, have a significant positive impact on financial inclusion among women. The findings are supported by theories of behavioral finance (i.e., self-efficacy and goal setting theory) and institutional theory. The study contributes to the existing literature on the relationship between financial literacy and financial inclusion and has implications for policymakers and practitioners in the financial sector in Pakistan.</t>
  </si>
  <si>
    <t>RESEARCH-AND-DEVELOPMENT; DEVELOPMENT SUBSIDIES; PUBLIC SUBSIDIES; EMPIRICAL-EVIDENCE; SECTORAL SYSTEMS; INNOVATION; SELECTION; INCENTIVES; ADDITIONALITY; HETEROGENEITY</t>
  </si>
  <si>
    <t>Financial inclusion; Financial literacy; Financial planning; Working women; Pakistan</t>
  </si>
  <si>
    <t>Do Women's Financial Literacy Accelerate Financial Inclusion? Evidence from Pakistan</t>
  </si>
  <si>
    <t>Zahid, R. M. Ammar; Rafique, Safia; Khurshid, Muzammil; Khan, Wajid; Ullah, Ikram</t>
  </si>
  <si>
    <t>Zahid, RMA; Rafique, S; Khurshid, M; Khan, W; Ullah, I</t>
  </si>
  <si>
    <t>WOS:000426698300126</t>
  </si>
  <si>
    <t>BJ6HU</t>
  </si>
  <si>
    <t>Business &amp; Economics; Information Science &amp; Library Science; Mathematical Methods In Social Sciences</t>
  </si>
  <si>
    <t>Business; Information Science &amp; Library Science; Management; Social Sciences, Mathematical Methods</t>
  </si>
  <si>
    <t>10.1016/j.procs.2017.11.459</t>
  </si>
  <si>
    <t>PROCEDIA COMPUT SCI</t>
  </si>
  <si>
    <t>1877-0509</t>
  </si>
  <si>
    <t>Goel, Sweta/0000-0003-3089-3930; Sharma, Rahul/0000-0003-2733-8573</t>
  </si>
  <si>
    <t>; Sharma, Rahul/AAV-4991-2021</t>
  </si>
  <si>
    <t>rahulgsharma@gmail.com</t>
  </si>
  <si>
    <t>Sharma, R (corresponding author), Jaypee Business Sch, Noida 201309, India.</t>
  </si>
  <si>
    <t>Amity University Noida; Jaypee Institute of Information Technology (JIIT)</t>
  </si>
  <si>
    <t>[Goel, Sweta] Amity Univ, Noida 201313, India; [Sharma, Rahul] Jaypee Business Sch, Noida 201309, India</t>
  </si>
  <si>
    <t>Finance has always been considered as one of the important parameter of the growth for any economic activity. The economic growth of a country can be enlarged by using financial inclusion as a bridge that would facilitate fuller participation by weaker sections of the country. Financial inclusion is a system through which a developing country like India can attain inclusive growth by connecting the contribution of weaker or rural population of the country with the main stream. If there is an easy access of weaker section to the financial system of the country, country can move towards higher economic growth. In the available literature, it has been found that one or the other indicator is absent for different reasons. However, since each of the indicator is important for calculating the more comprehensive financial inclusion index. The main objective of this paper is to introduce an index that allows for a general overview of India in terms of financial inclusion. The index is calculated using three dimensions related to the measurement of the levels of access and usage of financial services. (C) 2017 The Authors. Published by Elsevier B.V.</t>
  </si>
  <si>
    <t>Economic; Activity; Financial inclusion index; Parameter; growth Variables; indicators</t>
  </si>
  <si>
    <t>Int Acad Informat Technol &amp; Quantitat Management,Jaypee Business Sch,Chinese Acad Sci, Res Ctr Fictitious Econ &amp; Data Sci,Chinese Acad Sci, Key Lab Big Data Min &amp; Knowledge Management,Univ Chinese Acad Sci, Sch Econ &amp; Management,Chinese Acad Sci, Inst Policy &amp; Management,Univ Nebraska Omaha,Chinese Acad Management,Grad Sch Management Technol,Hoseo Univ,Chinese Assoc Artificial Intelligence</t>
  </si>
  <si>
    <t>New Delhi, INDIA</t>
  </si>
  <si>
    <t>DEC 08-10, 2017</t>
  </si>
  <si>
    <t>5th International Conference on Information Technology and Quantitative Management (ITQM)</t>
  </si>
  <si>
    <t>Procedia Computer Science</t>
  </si>
  <si>
    <t>5TH INTERNATIONAL CONFERENCE ON INFORMATION TECHNOLOGY AND QUANTITATIVE MANAGEMENT, ITQM 2017</t>
  </si>
  <si>
    <t>Developing a Financial Inclusion Index for India</t>
  </si>
  <si>
    <t>Goel, Sweta; Sharma, Rahul</t>
  </si>
  <si>
    <t>Ahuja, V; Shi, Y; Khazanchi, D; Abidi, N; Tian, Y; Berg, D; Tien, JM</t>
  </si>
  <si>
    <t>Goel, S; Sharma, R</t>
  </si>
  <si>
    <t>WOS:000787140000001</t>
  </si>
  <si>
    <t>9SE0I</t>
  </si>
  <si>
    <t>10.1108/JEAS-11-2021-0232</t>
  </si>
  <si>
    <t>Takyi, Paul Owusu/0000-0001-9033-0764; Nkansa Asante, Grace/0000-0003-1085-3106; Khan, Awais Farid/0000-0001-6301-6999</t>
  </si>
  <si>
    <t>potakyi2005@gmail.com; constancesorkpor@gmail.com; ofori35@yahoo.com</t>
  </si>
  <si>
    <t>Kwame Nkrumah University Science &amp; Technology; National Graduate Institute for Policy Studies</t>
  </si>
  <si>
    <t>[Takyi, Paul Owusu; Asante, Grace Nkansa] Kwame Nkrumah Univ Sci &amp; Technol, Dept Econ, Kumasi, Ghana; [Sorkpor, Constance] Natl Grad Inst Policy Studies, Global Governance, Minato Ku, Minato, Japan</t>
  </si>
  <si>
    <t>Purpose - The purpose of this paper is to explore the impact of mobile money on savings and saving practices among individuals in Ghana. Design/methodology/approach - Employing an instrumental variable (IV) estimation technique, comprehensive data from the Financial Inclusion Insight (FII) Survey is used, implemented by InterMedia company and conducted from December 2014 to January 2015 in Ghana. Findings - It is found that mobile money use generally increases savings and saving behavior among individuals in Ghana. In particular, our results show that mobile money use increases the probability of individuals saving for business startup or business expansion, child's education and emergencies. Also, for the heterogeneous effects of mobile money use on saving practices, strong evidence that the use of mobile money is more pronounced in rural areas than in urban centers is found. Originality/value - To the best of our knowledge, no empirical study has been done on Ghana to extensively examine how mobile money affects various saving practices in Ghana as it is done in this paper. The paper highlights the need for ongoing enhancement of financial inclusion in rural areas by the government of Ghana and other stakeholders to boost savings among rural folks, while not neglecting that in urban areas. Generally, the findings for this paper support the use of mobile money as a tool for enhancing the financial inclusion agenda by policymakers in Ghana and many other countries around the world.</t>
  </si>
  <si>
    <t>BEHAVIOR; ACCESS; POOR</t>
  </si>
  <si>
    <t>Mobile money; Financial inclusion; Saving practices; Ghana</t>
  </si>
  <si>
    <t>Mobile money for financial inclusion and saving practices: empirical evidence from Ghana</t>
  </si>
  <si>
    <t>Takyi, Paul Owusu; Sorkpor, Constance; Asante, Grace Nkansa</t>
  </si>
  <si>
    <t>Takyi, PO; Sorkpor, C; Asante, GN</t>
  </si>
  <si>
    <t>WOS:000932764900001</t>
  </si>
  <si>
    <t>8Y5VO</t>
  </si>
  <si>
    <t>10.1016/j.econmod.2023.106220</t>
  </si>
  <si>
    <t>Funding This work was supported by the UK Department for International Development (DFID) and the Economic and Social Research Council (ESRC) as part of their Growth Research Programme Call 3, Delivering Inclusive Financial Development and Growth [ES/N013344/1] .</t>
  </si>
  <si>
    <t>UK Department for International Development (DFID); Economic and Social Research Council (ESRC)(UK Research &amp; Innovation (UKRI)Economic &amp; Social Research Council (ESRC)); ESRC(UK Research &amp; Innovation (UKRI)Economic &amp; Social Research Council (ESRC)); Economic and Social Research Council(UK Research &amp; Innovation (UKRI)Economic &amp; Social Research Council (ESRC))</t>
  </si>
  <si>
    <t>UK Department for International Development (DFID); Economic and Social Research Council (ESRC) [ES/N013344/1]; ESRC [ES/T016213/1, ES/N013344/1, ES/P005241/1, ES/N013344/2, ES/P005241/2] Funding Source: UKRI; Economic and Social Research Council [ES/N013344/1, ES/N013344/2] Funding Source: researchfish</t>
  </si>
  <si>
    <t>C.J.Green@lboro.ac.uk</t>
  </si>
  <si>
    <t>Green, CJ (corresponding author), Loughborough Univ, Sch Business &amp; Econ, Loughborough LE11 3TU, Leics, England.</t>
  </si>
  <si>
    <t>Loughborough University; University of London; University of London School Oriental &amp; African Studies (SOAS)</t>
  </si>
  <si>
    <t>[Ahmad, Ahmad Hassan; Green, Christopher J.; Jiang, Fei] Loughborough Univ, Sch Business &amp; Econ, Loughborough LE11 3TU, Leics, England; [Murinde, Victor] SOAS Univ London, Sch Finance &amp; Management, Thornhaugh St, Russell Sq, London WC1H 0XG, England</t>
  </si>
  <si>
    <t>We investigate the contributions of fixed and mobile telecommunications (ICT) and mobile money to economic growth and financial inclusion in a 22-year panel of 146 countries. We extend the Solow growth model to include human capital, money, ICT, and mobile money, splitting the sample into sub-Saharan Africa (SSA) and the rest of the world (RoW) in addition to the whole sample analysis. We find mobile money affects economic growth through direct and indirect channels. Mobile money has a significant overall positive impact on growth, espe-cially in countries with better mobile phone penetration and more dispersed populations. But its total quanti-tative effect is not large. Mobile money also tends to improve financial inclusion which in turn promotes growth. There are important differences between the SSA and RoW parameters, implying that the quantitative de-terminants of growth are different to some extent as between SSA and RoW.</t>
  </si>
  <si>
    <t>ECONOMIC-GROWTH; INFORMATION-TECHNOLOGY; PANEL-DATA; MODEL</t>
  </si>
  <si>
    <t>ICT; Mobile; Financial inclusion; Africa</t>
  </si>
  <si>
    <t>Mobile money, ICT, financial inclusion and growth: How different is Africa?</t>
  </si>
  <si>
    <t>Ahmad, Ahmad Hassan; Green, Christopher J.; Jiang, Fei; Murinde, Victor</t>
  </si>
  <si>
    <t>Ahmad, AH; Green, CJ; Jiang, F; Murinde, V</t>
  </si>
  <si>
    <t>WOS:001204709400001</t>
  </si>
  <si>
    <t>ZC6O8</t>
  </si>
  <si>
    <t>10.1002/jid.3897</t>
  </si>
  <si>
    <t>Meenakshi Rajeev acknowledges the support of the RBI and ICSSR to ISEC.</t>
  </si>
  <si>
    <t>ICSSR</t>
  </si>
  <si>
    <t>saravanabhavan, shika/0000-0002-3486-964X</t>
  </si>
  <si>
    <t>shikha.saravan9@gmail.com; meenakshi.rajeev@iitjammu.ac.in</t>
  </si>
  <si>
    <t>Saravanabhavan, S (corresponding author), Kristu Jayanti Coll, Sch Management, Kothanur PO, Bangalore 77, India.;Rajeev, M (corresponding author), Indian Inst Technol, Dept Humanities &amp; Social Sci, Jammu, India.</t>
  </si>
  <si>
    <t>Indian Institute of Technology System (IIT System); Indian Institute of Technology (IIT) Jammu</t>
  </si>
  <si>
    <t>[Saravanabhavan, Shika] Kristu Jayanti Coll, Sch Management, Kothanur PO, Bangalore 77, India; [Saravanabhavan, Shika; Rajeev, Meenakshi] Inst Social &amp; Econ Change ISEC, Ctr Econ Studies &amp; Policy, Bangalore, India; [Rajeev, Meenakshi] Indian Inst Technol, Dept Humanities &amp; Social Sci, Jammu, India</t>
  </si>
  <si>
    <t>Though the relevance of grassroots institutions for financial inclusion (FI) is widely recognised, we still do not fully understand its differential effect on FI, particularly in relation to commercial banks. To investigate this issue, we consider the household's moneylender dependence as an indicator of financial exclusion and thus our outcome variable. Further, we have developed FI indices using indicators of commercial and cooperative banks, which we used as explanatory variables in our analysis. Our results show that, while there is a decreased dependence on moneylenders even at low levels of FI through cooperatives, commercial banks show an inverted U-shaped relationship implying a decreasing effect only after a threshold level.</t>
  </si>
  <si>
    <t>BANKING; CREDIT; MICROFINANCE; GROWTH</t>
  </si>
  <si>
    <t>cooperative banks; financial inclusion drive; moneylenders; primary agricultural credit societies</t>
  </si>
  <si>
    <t>Financial inclusion in India: How far do grassroots institutions matter?</t>
  </si>
  <si>
    <t>Saravanabhavan, Shika; Rajeev, Meenakshi</t>
  </si>
  <si>
    <t>Saravanabhavan, S; Rajeev, M</t>
  </si>
  <si>
    <t>WOS:001015670500001</t>
  </si>
  <si>
    <t>K3SL9</t>
  </si>
  <si>
    <t>10.3390/su15129817</t>
  </si>
  <si>
    <t>Li, Jiming/LFS-6149-2024</t>
  </si>
  <si>
    <t>lijm@zucc.edu.cn</t>
  </si>
  <si>
    <t>Li, JM (corresponding author), Hangzhou City Univ, Inst Digital Finance, Hangzhou 310015, Peoples R China.</t>
  </si>
  <si>
    <t>Hangzhou City University; Hangzhou City University</t>
  </si>
  <si>
    <t>[Li, Jiming] Hangzhou City Univ, Inst Digital Finance, Hangzhou 310015, Peoples R China; [Li, Xiaoxi; Wang, Jile] Hangzhou City Univ, Sch Business, Hangzhou 310015, Peoples R China</t>
  </si>
  <si>
    <t>Microfinance institutions (MFIs) play a significant role in financial-inclusion and poverty-alleviation activities. A critical challenge facing MFIs is of how they all can build their own capacity for sustainable and healthy development. By using the data from the pilot survey of 65 microcredit companies in Zhejiang, China, this paper explores the factors affecting MFIs activities by principal component analysis and analyzes the key Influencing factors and sustainable development performance with the analysis of variance and multi-regression model. The results indicate that four key factors of operational technology, external environment, financial condition, and institution size have a significant positive effect on the economic sustainability performance of MFIs, while the adjusted institution size has an insignificant positive effect on operational sustainability performance, which means that key factors of MFI sustainability have a greater impact on economic sustainability performance than operational sustainability performance.</t>
  </si>
  <si>
    <t>microfinance institutions; sustainable development; key influencing factors</t>
  </si>
  <si>
    <t>Empirical Study on the Key Influencing Factors and Development Mechanisms for the Sustainability of Microfinance Institutions Based on a Survey of Chinese Microcredit Companies</t>
  </si>
  <si>
    <t>Li, Jiming; Li, Xiaoxi; Wang, Jile</t>
  </si>
  <si>
    <t>Li, JM; Li, XX; Wang, JL</t>
  </si>
  <si>
    <t>WOS:000778406400001</t>
  </si>
  <si>
    <t>0H0BT</t>
  </si>
  <si>
    <t>10.1080/23322039.2022.2060552</t>
  </si>
  <si>
    <t>Alam, Mahmudul/0000-0002-7360-1259;</t>
  </si>
  <si>
    <t>Alam, Mahmudul/B-5889-2014; harun, mukaramah/AAZ-3583-2021</t>
  </si>
  <si>
    <t>triadjihad@gmail.com; mukaramah@uum.edu.my; rony000@gmail.com</t>
  </si>
  <si>
    <t>Tria, D (corresponding author), Univ Utara Malaysia UUM, Sch Econ Finance &amp; Banking, Sintok 06010, Kedah, Malaysia.</t>
  </si>
  <si>
    <t>[Tria, Djihad] Univ Utara Malaysia, Sch Econ Finance &amp; Banking, Sintok, Kedah, Malaysia; [Harun, Mukaramah; Alam, Mahmudul] Univ Utara Malaysia, Econ &amp; Financial Policy Inst, Sch Econ Finance &amp; Banking, Sintok, Kedah, Malaysia</t>
  </si>
  <si>
    <t>National governments and their development partners have considered microcredit as a strategic tool for vulnerable populations. Easy access to finance increases the client's ability to invest and allows clients to use resources to change their behaviour, increase their business opportunities and create employment. This paper aims to review studies that focused on microcredit and employment issues affecting beneficiaries, including gender-based employment creation and the informal sector. Through a systematic search of electronic databases and keywords to identify relevant studies, 40 core articles are identified for the period 1998-2021 . The results indicate the significant impacts of microcredit on women's employment creation and business revenue of microenterprises in the informal sector. Moreover, a few studies set out to integrate gender employment creation and the informal sector with reference to microcredit. A framework is proposed to address the relationship between employment structure and microcredit. Finally, this study recommends developing a financial social accounting matrix and run empirical analysis on macro modelling such as input-output or general equilibrium modelling. Doing so will help obtain better understanding of how microcredit participation is associated with employment creation in different sectors and different types of household groups.</t>
  </si>
  <si>
    <t>ISLAMIC MICROFINANCE; WOMENS EMPOWERMENT; POVERTY REDUCTION; IMPACT; INCOME; INTERVENTIONS; PROGRAMS; GROWTH</t>
  </si>
  <si>
    <t>Microcredit; informal sector; job creation; microenterprise</t>
  </si>
  <si>
    <t>Microcredit as a strategy for employment creation: A systematic review of literature</t>
  </si>
  <si>
    <t>Tria, Djihad; Harun, Mukaramah; Alam, Mahmudul</t>
  </si>
  <si>
    <t>Tria, D; Harun, M; Alam, M</t>
  </si>
  <si>
    <t>WOS:000477727600007</t>
  </si>
  <si>
    <t>IM1DB</t>
  </si>
  <si>
    <t>10.1080/14747731.2018.1560188</t>
  </si>
  <si>
    <t>SEP 19</t>
  </si>
  <si>
    <t>Johnston, Melissa/0000-0002-2400-7341; Gerard, Kelly/0000-0002-4725-6703</t>
  </si>
  <si>
    <t>Johnston, Melissa/MHP-8178-2025</t>
  </si>
  <si>
    <t>Kelly.Gerard@uwa.edu.au</t>
  </si>
  <si>
    <t>Gerard, K (corresponding author), Univ Western Australia, Sch Social Sci, Perth, WA, Australia.</t>
  </si>
  <si>
    <t>University of Western Australia; Monash University</t>
  </si>
  <si>
    <t>[Gerard, Kelly] Univ Western Australia, Sch Social Sci, Perth, WA, Australia; [Johnston, Melissa] Monash Univ, Ctr Gender Peace &amp; Secur, Clayton, Vic, Australia</t>
  </si>
  <si>
    <t>Microfinance has been unsuccessfully deployed as a poverty reduction strategy in the Global South. However, despite advocates acknowledging this shortcoming, the sector continues to grow. Moreover, over the past decade it has expanded its geographic scope, targeting poor communities in the Global North under the banner of financial inclusion. This article investigates the growth of the Australian sector. Analyzing the impacts of reforms to Australia's social security system alongside the political economy of the microfinance industry, it argues the debtfare state in Australia has provided fertile ground for microfinance's expansion. Documenting the advocacy strategies and tools to target vulnerable communities used by microfinance organizations and corporate partners, it charts how government support and subsidies have created a favourable regulatory environment, driving the sector's growth. This has benefitted these coalitions while displacing other forms of social security, despite the lack of robust evidence demonstrating microfinance's benefits for the poor.</t>
  </si>
  <si>
    <t>WELFARE; MICROCREDIT; POLITICS; GENDER</t>
  </si>
  <si>
    <t>Debtfare; microfinance; banking; social security; Australia</t>
  </si>
  <si>
    <t>Explaining microfinance's resilience: the case of microfinance in Australia</t>
  </si>
  <si>
    <t>Gerard, Kelly; Johnston, Melissa</t>
  </si>
  <si>
    <t>Gerard, K; Johnston, M</t>
  </si>
  <si>
    <t>WOS:000596579000001</t>
  </si>
  <si>
    <t>PX3BD</t>
  </si>
  <si>
    <t>10.1111/1467-8268.12462</t>
  </si>
  <si>
    <t>Alhassan, Abdul Latif/0000-0002-4993-335X</t>
  </si>
  <si>
    <t>Alhassan, Abdul Latif/G-1363-2013</t>
  </si>
  <si>
    <t>latif.alhassan@gsb.uct.ac.za</t>
  </si>
  <si>
    <t>Alhassan, AL (corresponding author), Univ Cape Town, Grad Sch Business, Dev Finance Ctr DEFIC, ZA-8002 Cape Town, South Africa.</t>
  </si>
  <si>
    <t>[Mndolwa, Florence D.; Alhassan, Abdul Latif] Univ Cape Town, Grad Sch Business, Dev Finance Ctr DEFIC, ZA-8002 Cape Town, South Africa</t>
  </si>
  <si>
    <t>This paper examines the status and determinants of gender disparities in financial inclusion using a sample of 4,466 individuals from the Finscope survey in Tanzania. The results provide evidence to support gender disparities in financial inclusion, mostly pronounced in formal savings (21.3%), formal accounts (10.6%) and mobile money accounts (9.4%). This is reflected in 17.1% less likelihood of female ownership of a formal savings account but a 2% higher likelihood to access formal credit. Finally, the paper documents evidence that gender disparities in financial inclusion are explained by lower levels of education, income and over-dependence of women on men. The findings support gender mainstreaming in other sectors to increase employment and education for women to close the gender gap in financial access.</t>
  </si>
  <si>
    <t>SUB-SAHARAN AFRICA; SAVINGS; ACCESS; WOMEN; ENTREPRENEURS; GAP</t>
  </si>
  <si>
    <t>Gender disparities in financial inclusion: Insights from Tanzania</t>
  </si>
  <si>
    <t>Mndolwa, Florence D.; Alhassan, Abdul Latif</t>
  </si>
  <si>
    <t>Mndolwa, FD; Alhassan, AL</t>
  </si>
  <si>
    <t>WOS:000377594900008</t>
  </si>
  <si>
    <t>DO2FI</t>
  </si>
  <si>
    <t>10.32609/0042-8736-2015-8-129-148</t>
  </si>
  <si>
    <t>Kuzina, Olga/LFS-9502-2024</t>
  </si>
  <si>
    <t>kuzina@hse.ru</t>
  </si>
  <si>
    <t>Kuzina, O (corresponding author), Natl Res Univ, Higher Sch Econ, Moscow, Russia.</t>
  </si>
  <si>
    <t>[Kuzina, Olga] Natl Res Univ, Higher Sch Econ, Moscow, Russia</t>
  </si>
  <si>
    <t>The main purpose of the study is to assess the level of financial capability of Russians by using the methodology of cross country comparison developed by the Russia Financial Literacy and Education Trust Fund. The paper gives a brief description of the methodology of financial literacy and financial capability measurements, as well as the results of the survey in Russia. From the analysis of the survey data, it is concluded that the weak areas of the financial capability of Russians concern issues related to planning of expenses and keeping these plans completed, creating reserves to pay for major planned or unexpected expenditures, lack of control over money spent using written records of incomes and expenses, developing regular saving habits, and lengthening time horizons.</t>
  </si>
  <si>
    <t>EDUCATION; IMPACT</t>
  </si>
  <si>
    <t>financial literacy; financial capability; financial behavior of households</t>
  </si>
  <si>
    <t>Financial Literacy and Financial Capability: Definitions, Measurement Methods, and Analysis in the Case of Russia</t>
  </si>
  <si>
    <t>Kuzina, Olga</t>
  </si>
  <si>
    <t>Kuzina, O</t>
  </si>
  <si>
    <t>WOS:000887606300001</t>
  </si>
  <si>
    <t>6K6JR</t>
  </si>
  <si>
    <t>10.3390/su142215093</t>
  </si>
  <si>
    <t>This research was funded by NSFC, Grant No.7217010477.</t>
  </si>
  <si>
    <t>NSFC(National Natural Science Foundation of China (NSFC))</t>
  </si>
  <si>
    <t>NSFC [7217010477]</t>
  </si>
  <si>
    <t>Su, Yunpeng/GVU-7905-2022</t>
  </si>
  <si>
    <t>claude@tju.edu.cn</t>
  </si>
  <si>
    <t>Lontchi, CB (corresponding author), Tianjin Univ, Coll Management &amp; Econ, Tianjin 300072, Peoples R China.</t>
  </si>
  <si>
    <t>Tianjin University</t>
  </si>
  <si>
    <t>[Lontchi, Claude Bernard; Yang, Baochen; Su, Yunpeng] Tianjin Univ, Coll Management &amp; Econ, Tianjin 300072, Peoples R China</t>
  </si>
  <si>
    <t>Financial inclusion has a wide range of positive effects on sustainable development, but studies indicate a lack of awareness about financial services in the large group of financially excluded individuals within the economy. This paper examines the mediating effects of financial literacy and the moderating role of social capital on the relationship between financial inclusion and sustainable development in Cameroon. A PLS-SEM model was used with 488 collected samples as empirical data from the residents of the Douala and Buea municipalities in Cameroon through a questionnaire survey. Financial inclusion was found to be positive and significantly related to financial literacy, and to have a positive and significant impact on sustainable development. Financial literacy and social capital positively and significantly affect sustainable development in Cameroon. However, financial literacy mediates, while social capital does not moderate the relationship between financial inclusion and sustainable development. The mediation is complementary because both the direct and indirect relationships are significant. The findings and contributions of this study provide useful insights and practical implications for financial institutions and governments, especially in developing countries. It provides empirical evidence and a better understanding of the link between financial inclusion and sustainable development, and the mediating effects and moderating role of financial literacy and social capital.</t>
  </si>
  <si>
    <t>INEQUALITY; ACCESS; IMPACT; MANAGEMENT; KNOWLEDGE; EDUCATION; INSIGHTS; POLICIES</t>
  </si>
  <si>
    <t>financial inclusion; financial literacy; social capital; sustainable development</t>
  </si>
  <si>
    <t>The Mediating Effect of Financial Literacy and the Moderating Role of Social Capital in the Relationship between Financial Inclusion and Sustainable Development in Cameroon</t>
  </si>
  <si>
    <t>Lontchi, Claude Bernard; Yang, Baochen; Su, Yunpeng</t>
  </si>
  <si>
    <t>Lontchi, CB; Yang, BC; Su, YP</t>
  </si>
  <si>
    <t>WOS:000852155600001</t>
  </si>
  <si>
    <t>4K7WT</t>
  </si>
  <si>
    <t>10.3389/fpsyg.2022.979588</t>
  </si>
  <si>
    <t>Funding This project is supported by the National Nature Science Foundation of China (Grant Nos. 72173121 and 72141003).</t>
  </si>
  <si>
    <t>National Nature Science Foundation of China(National Natural Science Foundation of China (NSFC)); ;</t>
  </si>
  <si>
    <t>National Nature Science Foundation of China; [72173121]; [72141003]</t>
  </si>
  <si>
    <t>fanyachen008@163.com</t>
  </si>
  <si>
    <t>Fan, YC (corresponding author), Chinese Acad Fiscal Sci, Beijing, Peoples R China.</t>
  </si>
  <si>
    <t>Chinese Academy of Social Sciences; Chinese Academy of Fiscal Sciences; China Agricultural University</t>
  </si>
  <si>
    <t>[Tian, Yaqun] Chinese Acad Social Sci, Rural Dev Inst, Beijing, Peoples R China; [Fan, Yachen] Chinese Acad Fiscal Sci, Beijing, Peoples R China; [He, Guangwen] China Agr Univ, Coll Econ &amp; Management, Beijing, Peoples R China</t>
  </si>
  <si>
    <t>Unlike existing research from the perspective of financiers or farmers' financial literacy, this Manuscript investigates the impact of personality traits on Chinese farmers' credit exclusion using data from 2018 to 2019 of China Agricultural University's Rural Inclusive Finance Survey. The empirical findings show that farmers' personality traits significantly affect their credit exclusion. Specifically, conscientiousness and extroversion alleviate the credit exclusion, while agreeableness significantly intensifies the credit exclusion. In addition, the Blinder-Oaxaca decomposition method is used to analyze the contribution of personality traits to each dimension of credit exclusion, and the results of the study show that personality traits mainly affected farmers' self-exclusion. Therefore, to develop inclusive finance in China, training and improving farmers' positive personality traits must be fostered.</t>
  </si>
  <si>
    <t>NONCOGNITIVE ABILITIES; COGNITIVE-ABILITIES; FINANCIAL EDUCATION; ECONOMICS; INVESTMENT; PSYCHOLOGY; DISTANCE; CHOICE; SKILLS</t>
  </si>
  <si>
    <t>personality traits; farmers; credit exclusion; extroversion factor; agreeableness factor</t>
  </si>
  <si>
    <t>Farmers' personality traits and credit exclusion: Evidence from rural China</t>
  </si>
  <si>
    <t>Tian, Yaqun; Fan, Yachen; He, Guangwen</t>
  </si>
  <si>
    <t>Tian, YQ; Fan, YC; He, GW</t>
  </si>
  <si>
    <t>WOS:001159358100001</t>
  </si>
  <si>
    <t>HK3O3</t>
  </si>
  <si>
    <t>10.1080/23311886.2024.2309000</t>
  </si>
  <si>
    <t>We appreciate Arba Minch University for sponsoring the research fund of this study</t>
  </si>
  <si>
    <t>Jerene, Wondwossen/IZD-5788-2023</t>
  </si>
  <si>
    <t>wossenjerene@yahoo.com</t>
  </si>
  <si>
    <t>Jerene, W (corresponding author), Arba Minch Univ, Dept accounting &amp; Finance, POB 21, Arba Minch, Ethiopia.</t>
  </si>
  <si>
    <t>Arba Minch University; Arba Minch University; Arba Minch University</t>
  </si>
  <si>
    <t>[Menza, Mesfin] Arba Minch Univ, Dept Econ, Arba Minch, Ethiopia; [Jerene, Wondwossen; Oumer, Mubarek] Arba Minch Univ, Dept Accounting &amp; Finance, Arba Minch, Ethiopia; [Jerene, Wondwossen] Arba Minch Univ, Dept accounting &amp; Finance, POB 21, Arba Minch, Ethiopia</t>
  </si>
  <si>
    <t>The digital economy is overwhelming the whole world and expected to help the socio-economic enhancement especially in the developing countries. The banking industry is significantly investing on introducing financial technologies especially in developing countries like Ethiopia ultimately to achieve financial inclusion goals. Hence, this study was aimed to investigate the effect of financial technology (Fintech) for financial inclusion in Ethiopia during this digital economic era. For this purpose, secondary data was collected from nine commercial banks (panel units) from the year 2015 to 2020. The random effect model was applied to estimate the effect of explanatory variables on the variable of interest based on Hausman test results and after testing all possible assumptions of the model. Accordingly, the finding revealed that ATM, mobile banking, POS, and agent banking were found to have statistically significant positive effect on financial inclusion. The authors suggested that increasing the adoption of digital financial technologies (Fintechs) in the rural and urban area would positively contribute for ensuring financial inclusion strategies of policy makers and banking practitioners.</t>
  </si>
  <si>
    <t>FINTECH; INNOVATION; SERVICES; BANKING; ACCESS</t>
  </si>
  <si>
    <t>Financial inclusion; under banked; Fintech; financial services; banking</t>
  </si>
  <si>
    <t>The effect of financial technology on financial inclusion in Ethiopia during the digital economy era</t>
  </si>
  <si>
    <t>Menza, Mesfin; Jerene, Wondwossen; Oumer, Mubarek</t>
  </si>
  <si>
    <t>Menza, M; Jerene, W; Oumer, M</t>
  </si>
  <si>
    <t>WOS:000390919100003</t>
  </si>
  <si>
    <t>EG3BQ</t>
  </si>
  <si>
    <t>Kurowski, Łukasz/0000-0002-3306-4276</t>
  </si>
  <si>
    <t>Kurowski, Łukasz/R-3631-2019</t>
  </si>
  <si>
    <t>Kurowski, L (corresponding author), Inst Finansow Szkoly Glownej Handlowej Warszawie, Warsaw, Poland.</t>
  </si>
  <si>
    <t>[Kurowski, Lukasz] Inst Finansow Szkoly Glownej Handlowej Warszawie, Warsaw, Poland; [Laskowska, Zuzanna] Inst Zarzadzania Szkoly Glownej Handlowej Warszaw, Warsaw, Poland</t>
  </si>
  <si>
    <t>The article aims to determine the relationship between the level of the financial and economic competences and the financial exclusion. The analysis was based on the research by The National Bank of Poland and The Kronenberg's Foundation at Citibank. The results of the research indicate that Polish society lacks the most important knowledge in the field of personal finance, financial institutions and foreign currency market. One of the vital reasons for such situation appears to be a really low quality of instruction given at secondary schools as a part of, The introduction to entrepreneurship subject. Firstly, due to students' lack of the appropriate approach towards broadening their financial knowledge. Secondly, the curriculum of the subject is built inadequately and does not support the development of students' entrepreneurial skills and increasing their knowledge of personal finances. Two major types of financial exclusion linked to the level of financial and economic competences determined by financial education were identified and discussed in this article. The first type is self-exclusion meant as an individual decision to resign from the benefits of using financial products and services. The second one is over-indebtedness, resulting from irresponsibly committing to debts or making risky decisions in terms of currency products. There is growing recognition that financial education has an important role to play in financial inclusion. Financial education is a mean to combat financial exclusion providing understanding of personal finance concepts, improving skills, increasing motivation and level of confidence to make informed financial choices and to participate in economic life.</t>
  </si>
  <si>
    <t>Does financial education reduce financial exclusion?</t>
  </si>
  <si>
    <t>Kurowski, Lukasz; Laskowska, Zuzanna</t>
  </si>
  <si>
    <t>Kurowski, L; Laskowska, Z</t>
  </si>
  <si>
    <t>WOS:000490330600008</t>
  </si>
  <si>
    <t>JD9TH</t>
  </si>
  <si>
    <t>10.14254/2071-789X.2019/12-3/8</t>
  </si>
  <si>
    <t>This work was supported by Universitas Kristen Indonesia in the framework of dissertation research. We also would like to thank Bank BRI -Indonesia, which has supported, especially in obtaining the data related to Branchless Banking agents. Thanks also to Mr. Karam Singh as English language proofreader of this manuscript.</t>
  </si>
  <si>
    <t>Universitas Kristen Indonesia</t>
  </si>
  <si>
    <t>Mangani, Ktut Silvanita/0000-0002-4940-778X; Arifin, Bustanul/0000-0002-4903-9227;</t>
  </si>
  <si>
    <t>; Arifin, Bustanul/HZL-7635-2023; Syaukat, Yusman/GPP-6267-2022</t>
  </si>
  <si>
    <t>ktut.silvanita@uki.ac.id; ysyaukat@gmail.com; barifin@uwalumni.com; mangara43tambunan@yahoo.com</t>
  </si>
  <si>
    <t>Mangani, KS (corresponding author), Univ Kristen Indonesia, Jakarta, Indonesia.</t>
  </si>
  <si>
    <t>The Christian University of Indonesia; Bogor Agricultural University; Universitas Lampung</t>
  </si>
  <si>
    <t>[Mangani, Ktut Silvanita] Univ Kristen Indonesia, Jakarta, Indonesia; [Syaukat, Yusman; Tambunan, Mangara] Bogor Agr Univ, Bogor, Indonesia; [Arifin, Bustanul] Univ Lampung, Lampung, Indonesia</t>
  </si>
  <si>
    <t>In Indonesia, branchless banking (BB) for low-income communities is a new financial channel to create a financial system accessible to all levels of society. This research aims to investigate how to develop BB programs to improve the performance of households' micro and small enterprises (MSEs) in rural areas. The data was collected from 97 MSEs who conducted financial transactions at BB agents. For a case study, as many as 32 agents out of 360 BB agents in Bogor District, West Java, Indonesia were chosen purposively from 13 sub-districts. Then, 97 MSEs were chosen with the experience of conducting transactions through BB agents. The study analyzes the household economic behavior using the model of a simultaneous structural equation, that has not been discussed in prior literature on Branchless Banking studies. The study has found that an increase in the value of financial transactions and investment variables have a positive impact with larger magnitudes on the production and other endogenous variables than an increase of those variables independently. However, the impact on household savings is small. The results imply that the development of MSEs through BB programs is not enough by only providing the speed and ease of financial transactions through the presence of BB agents in rural areas that are close to local businesses. Capacity building by increasing the investment value of micro and small enterprises becomes a factor driving the success of BB programs.</t>
  </si>
  <si>
    <t>branchless banking; financial inclusion; household economic behaviour; micro and small enterprise; simultaneous equation model</t>
  </si>
  <si>
    <t>THE ROLE OF BRANCHLESS BANKING IN PERFORMANCE OF HOUSEHOLDS' MICRO AND SMALL ENTERPRISES: THE EVIDENCE FROM INDONESIA</t>
  </si>
  <si>
    <t>Mangani, Ktut Silvanita; Syaukat, Yusman; Arifin, Bustanul; Tambunan, Mangara</t>
  </si>
  <si>
    <t>Mangani, KS; Syaukat, Y; Arifin, B; Tambunan, M</t>
  </si>
  <si>
    <t>WOS:000831436700001</t>
  </si>
  <si>
    <t>3G6BD</t>
  </si>
  <si>
    <t>10.3390/su14148667</t>
  </si>
  <si>
    <t>Mpofu, Favourate Y/0000-0002-6309-1697</t>
  </si>
  <si>
    <t>Mpofu, Favourate Y/AEL-3347-2022</t>
  </si>
  <si>
    <t>fmpofu@uj.ac.za</t>
  </si>
  <si>
    <t>Mpofu, FY (corresponding author), Univ Johannesburg, Sch Accounting, POB 524, ZA-2006 Johannesburg, South Africa.</t>
  </si>
  <si>
    <t>[Mpofu, Favourate Y.] Univ Johannesburg, Sch Accounting, POB 524, ZA-2006 Johannesburg, South Africa</t>
  </si>
  <si>
    <t>The use of mobile phones is a global phenomenon that provides developing countries with novel opportunities to enhance economic growth and facilitate improvement in the welfare of citizens. Governments have introduced mobile money taxes to improve tax revenue generation. This has been met with criticism by the public, media, and businesses on the basis that they hinder financial inclusion, constrain economic growth, and impede the attainment of some of the 2030 sustainable development goals, such as reduction in poverty, minimising inequality, building strong institutions, and providing decent work. Through a comprehensive critical review of literature, this study discusses mobile money taxes and their effects on revenue mobilisation, financial inclusion, and the attainment of the 2030 sustainable development goals. The findings reveal mixed opinions. While some scholars argued that mobile money taxes were instrumental in improving revenue generation, tax compliance, and reducing tax administration and compliance costs, some suggested otherwise, pointing out their negative impact. The unfavourable externalities include reduced financial inclusion, affordability challenges, reduction in usage of mobile money platforms, increased poverty and inequality, and ultimately the non-achievement of SDGs. The study contributes to the theoretical literature on the body of taxation and financial inclusion. It also gives insights to policymakers regarding likely implications of mobile money taxes.</t>
  </si>
  <si>
    <t>M-PESA</t>
  </si>
  <si>
    <t>mobile money; financial inclusion; revenue mobilisation; economic development; taxes</t>
  </si>
  <si>
    <t>Industry 4.0 in Financial Services: Mobile Money Taxes, Revenue Mobilisation, Financial Inclusion, and the Realisation of Sustainable Development Goals (SDGs) in Africa</t>
  </si>
  <si>
    <t>Mpofu, Favourate Y.</t>
  </si>
  <si>
    <t>Mpofu, FY</t>
  </si>
  <si>
    <t>WOS:001572619500001</t>
  </si>
  <si>
    <t>7JR0X</t>
  </si>
  <si>
    <t>10.3390/fintech4010004</t>
  </si>
  <si>
    <t>Croitoru, Ionut Marius/0009-0007-1290-6394;</t>
  </si>
  <si>
    <t>Romanita, Jumanca/NDR-9600-2025; Croitoru, Ionut Marius/IST-2656-2023; Ignat, Nicoleta/C-4579-2019</t>
  </si>
  <si>
    <t>ionut.croitoru0208@upb.ro; paula.dragan84@e-uvt.ro; nicoleta.ignat@upb.ro; romanita.jumanca@umft.ro</t>
  </si>
  <si>
    <t>Croitoru, IM (corresponding author), Natl Univ Sci &amp; Technol Politehn, Fac Entrepreneurship Engn &amp; Business Management, Bucharest 060042, Romania.</t>
  </si>
  <si>
    <t>National University of Science &amp; Technology POLITEHNICA Bucharest; West University of Timisoara; Victor Babes University of Medicine &amp; Pharmacy, Timisoara</t>
  </si>
  <si>
    <t>[Croitoru, Ionut Marius; Ignat, Nicoleta Daniela] Natl Univ Sci &amp; Technol Politehn, Fac Entrepreneurship Engn &amp; Business Management, Bucharest 060042, Romania; [Dragan (spiridon), Paula-Paraschiva] West Univ Timisoara, Doctoral Sch Econ &amp; Business Adm, Timisoara 300223, Romania; [Jumanca, Romanita] Univ Med &amp; Farm Timisoara, Romanian &amp; Foreign Languages Dept, Timisoara 300041, Romania</t>
  </si>
  <si>
    <t>This study explores the dynamic interaction between financial literacy and higher education, focusing on the critical role of financial education in improving individual financial well-being. Using bibliometric analysis and the VOSviewer software, this research examines thematic clusters in financial literacy, categorized into access, behavior, health, and education. By analyzing 469 articles from the Web of Science database (2020-2024), this study identifies trends and key linkages between financial literacy and societal well-being, highlighting the role of digital innovation. While FinTech is discussed as a facilitator of financial inclusion and education, the primary focus lies in understanding how financial literacy drives behavioral change, capacity building, and economic resilience. This paper provides information for policymakers and educators to design inclusive, behaviorally focused educational programs that address specific demographic needs, ultimately contributing to societal and economic resilience.</t>
  </si>
  <si>
    <t>FinTech; higher education; bibliometric research; VOSviewer; B26; D53; G32; I25; P34</t>
  </si>
  <si>
    <t>Exploring Financial Literacy in Higher Education with the Help of FinTech: A Bibliometric Analysis of Linkages to Access, Behavior, and Well-Being Through Digital Innovation</t>
  </si>
  <si>
    <t>Croitoru, Ionut Marius; Dragan (spiridon), Paula-Paraschiva; Ignat, Nicoleta Daniela; Jumanca, Romanita</t>
  </si>
  <si>
    <t>Croitoru, IM; Dragan, PP; Ignat, ND; Jumanca, R</t>
  </si>
  <si>
    <t>WOS:000298463600021</t>
  </si>
  <si>
    <t>867OL</t>
  </si>
  <si>
    <t>10.1016/j.jdeveco.2011.06.001</t>
  </si>
  <si>
    <t>Grants-in-Aid for Scientific Research(Ministry of Education, Culture, Sports, Science and Technology, Japan (MEXT)Japan Society for the Promotion of ScienceGrants-in-Aid for Scientific Research (KAKENHI))</t>
  </si>
  <si>
    <t>Grants-in-Aid for Scientific Research [23530334] Funding Source: KAKEN</t>
  </si>
  <si>
    <t>Montgomery, Hugh/0000-0001-8797-5019; Dehejia, Rajeev/0000-0002-0927-429X; Montgomery, Heather/0000-0002-0129-3701</t>
  </si>
  <si>
    <t>Montgomery, Hugh/JNS-8503-2023; Montgomery, Heather/JNS-8503-2023</t>
  </si>
  <si>
    <t>rajeev@dehejia.net; montgomery@icu.ac.jp; Jonathan.Morduch@nyu.edu</t>
  </si>
  <si>
    <t>Dehejia, R (corresponding author), Tufts Univ, Medford, MA 02155 USA.</t>
  </si>
  <si>
    <t>Tufts University; New York University; National Bureau of Economic Research; International Christian University</t>
  </si>
  <si>
    <t>[Dehejia, Rajeev] Tufts Univ, Medford, MA 02155 USA; [Dehejia, Rajeev; Morduch, Jonathan] NYU, New York, NY 10003 USA; [Dehejia, Rajeev] Natl Bur Econ Res, Cambridge, MA 02138 USA; [Montgomery, Heather] Int Christian Univ, Tokyo, Japan</t>
  </si>
  <si>
    <t>Best practice in microfinance holds that interest rates should be set at profit-making levels, based on the belief that even poor customers favor access to finance over low fees. Despite this core belief, little direct evidence exists on the price elasticity of credit demand in poor communities. We examine increases in the interest rate on microfinance loans in the slums of Dhaka, Bangladesh. Using unanticipated between-branch variation in prices, we estimate interest elasticities from -0.73 to -1.04, with our preferred estimate being at the upper end of this range. Interest income earned from most borrowers fell, but interest income earned from the largest increased, generating overall profitability at the branch level. (C) 2011 Elsevier BM. All rights reserved.</t>
  </si>
  <si>
    <t>MICROFINANCE; MICROENTERPRISES</t>
  </si>
  <si>
    <t>Microcredit; Interest rates; Loan demand; Credit constraints</t>
  </si>
  <si>
    <t>Do interest rates matter? Credit demand in the Dhaka slums</t>
  </si>
  <si>
    <t>Dehejia, Rajeev; Montgomery, Heather; Morduch, Jonathan</t>
  </si>
  <si>
    <t>Dehejia, R; Montgomery, H; Morduch, J</t>
  </si>
  <si>
    <t>WOS:001114125000001</t>
  </si>
  <si>
    <t>Z7VU0</t>
  </si>
  <si>
    <t>10.1177/21582440231210639</t>
  </si>
  <si>
    <t>Nguyen, Thi Anh Nhu/0000-0003-3619-4655; Luong, Thi Thuy Huong/0009-0007-1525-1004</t>
  </si>
  <si>
    <t>nhu.nta@ou.edu.vn</t>
  </si>
  <si>
    <t>Nguyen, TAN (corresponding author), Ho Chi Minh City Open Univ, Fac Finance Banking, 35-37 Ho Hao Hon,Dist 1, Ho Chi Minh City 700000, Vietnam.</t>
  </si>
  <si>
    <t>Ho Chi Minh City Open University; Kasetsart University; Ho Chi Minh City Open University</t>
  </si>
  <si>
    <t>[Nguyen, Thi Anh Nhu] Ho Chi Minh City Open Univ, Ho Chi Minh City, Vietnam; [Luong, Thi Thuy Huong] Kasetsart Univ, Bangkok, Thailand; [Nguyen, Thi Anh Nhu] Ho Chi Minh City Open Univ, Fac Finance Banking, 35-37 Ho Hao Hon,Dist 1, Ho Chi Minh City 700000, Vietnam</t>
  </si>
  <si>
    <t>While a large body of studies has captured macro financial inclusion on the supply side, this research paper contributes significantly to the literature on determining financial inclusion in Vietnam from the demand side. The primary target of this paper is to measure an overall financial inclusion index by employing micro data of 1,002 respondents in Vietnam from the World Bank. Additionally, based on the calculation of financial inclusion index, we investigate the determinants of financial inclusion and examine the barriers to financial inclusion in Vietnam. The ordinary least squares regression analysis and logit regression are employed to estimate the effect of demographic characteristics and the barriers to financial inclusion. The main findings reveal that people who are female, wealthier, more educated, or in the workforce exhibit a higher financial inclusion index. Besides, the financial inclusion level of high-income people is not affected by working status, while this level of middle and low-income people does. Women are also less likely to be financially included because they complain that financial institutions are too far away or because another family member has an account. Older people are more concerned about lack of documentation, lack of trust, and demand reasons. To achieve the purposes of robustness, the measurement of financial inclusion was changed following previous studies to confirm robust and stable baseline results. Accordingly, these findings contribute to issuing adequate policies that break the barriers to financial inclusion and enhance financial inclusion, especially for less educated, poor, out of the workforce, and old people.</t>
  </si>
  <si>
    <t>ACCESS; LITERACY; SERVICES; IMPACT</t>
  </si>
  <si>
    <t>financial inclusion; demographic characteristics; micro data</t>
  </si>
  <si>
    <t>The Determinants of Financial Inclusion in Vietnam: A Demand-Side Approach</t>
  </si>
  <si>
    <t>Nguyen, Thi Anh Nhu; Luong, Thi Thuy Huong</t>
  </si>
  <si>
    <t>Nguyen, TAN; Luong, TTH</t>
  </si>
  <si>
    <t>WOS:001508119200002</t>
  </si>
  <si>
    <t>3ST1I</t>
  </si>
  <si>
    <t>10.31181/ijes1412025182</t>
  </si>
  <si>
    <t>Int. J. Econ. Sci.</t>
  </si>
  <si>
    <t>INT J ECON SCI</t>
  </si>
  <si>
    <t>1804-9796</t>
  </si>
  <si>
    <t>Tekeriska 28a, Belgrade, SERBIA</t>
  </si>
  <si>
    <t>Belgrade</t>
  </si>
  <si>
    <t>Scientific Oasis Publisher</t>
  </si>
  <si>
    <t>Funding under grant 600-TNCPI 5/3/DDJ (ARI) (001/2023) and the Ministry of Higher Education (MOHE) , Malaysia.</t>
  </si>
  <si>
    <t>Ministry of Higher Education (MOHE) , Malaysia</t>
  </si>
  <si>
    <t>Ministry of Higher Education (MOHE) , Malaysia [600-TNCPI 5/3/DDJ, 001/2023]</t>
  </si>
  <si>
    <t>Ghazali, Aziatul Waznah/0000-0002-1324-5248; Mohd Sanusi, Zuraidah/0000-0002-8047-4219;</t>
  </si>
  <si>
    <t>Ghazali, Aziatul Waznah/S-8920-2019; Mohd Sanusi, Zuraidah/ABG-7681-2021; Mahyideen, Jamilah/AAK-4470-2020; SHAFIE, NUR AIMA/AAE-6616-2022; RODZI, ZAHARI/HNR-9908-2023; Andu, Yusrina/ABA-5534-2021</t>
  </si>
  <si>
    <t>zahari@uitm.edu.my</t>
  </si>
  <si>
    <t>Rodzi, ZMD (corresponding author), Univ Teknol MARA Negeri Sembilan, Coll Comp Informat &amp; Media, Kampus Seremban, Negeri Sembilan, Malaysia.;Rodzi, ZMD (corresponding author), Univ Kebangsaan Malaysia, Fac Sci &amp; Technol, Sch Math Sci, Bangi, Selangor, Malaysia.</t>
  </si>
  <si>
    <t>Universiti Kebangsaan Malaysia; Universiti Teknologi MARA; Universiti Kebangsaan Malaysia</t>
  </si>
  <si>
    <t>[Zaman, Muhammad Mukhlis Kamarul; Rodzi, Zahari M. D.] Univ Teknol MARA Negeri Sembilan, Coll Comp Informat &amp; Media, Kampus Seremban, Negeri Sembilan, Malaysia; [Rodzi, Zahari M. D.] Univ Kebangsaan Malaysia, Fac Sci &amp; Technol, Sch Math Sci, Bangi, Selangor, Malaysia; [Andu, Yusrina] Univ Teknol MARA Negeri Sembilan, Coll Comp Informat &amp; Media, Kuala Pilah Campus, Negeri Sembilan, Malaysia; [Shafie, Nur Aima; Sanusi, Zuraidah Mohd] Univ Teknol MARA, Accounting Res Inst, Shah Alam, Selangor, Malaysia; [Ghazali, Aziatul Waznah] Univ Kebangsaan Malaysia, Fac Econ &amp; Management, Bangi, Malaysia; [Mahyideen, Jamilah Mohd] Univ Teknol MARA Negeri Sembilan, Fac Business &amp; Management, Kampus Seremban, Negeri Sembilan, Malaysia</t>
  </si>
  <si>
    <t>Blockchain integration in microfinance is beginning to reshape the scenario of financial inclusion and economic empowerment in emerging markets. To support a strategic decision on adoption, the study introduces the Adaptive Utility Ranking Algorithm (AURA), a newly established Multi-Criteria Decision-Making (MCDM) method to be used in evaluating blockchain-based alternatives relevant to microfinance in Malaysia. AURA stands apart from traditional MCDM techniques in that it has a distance function that is flexible and a normalization scheme that is dynamic by nature, thereby making it capable of offering the decision maker more leverage in terms of adaptability to actual economic conditions. For demonstrating the methodology, a simulated dataset based on eight blockchain-modeled alternatives and six criteria considered important in economic performance was constructed. These criteria were used for sensitivity analysis; the application of comparative evaluation of well-known MCDM methods such as TOPSIS, VIKOR, and COBRA; and robustness checks with the simulation methodology, all of which helped attest to the reliability of AURA. Even though it was based on synthetic data, the study has provided strong conceptual insight into the possibility of financial institutions being able to prioritize options from the technology perspective under complex economic constraints. Portraying AURA as a competitive decision-support tool for technology evaluation in microfinance will certainly make an impact.</t>
  </si>
  <si>
    <t>DECISION-MAKING; VIKOR; SELECTION; CHOICE</t>
  </si>
  <si>
    <t>Economic decision-making; Multi-Criteria Decision-Making; MCDM; Blockchain technology; Adaptive Utility Ranking Algorithm; AURA; Technology evaluation; Financial inclusion</t>
  </si>
  <si>
    <t>INTERNATIONAL JOURNAL OF ECONOMIC SCIENCES</t>
  </si>
  <si>
    <t>Adaptive Utility Ranking Algorithm for Evaluating Blockchain-Enabled Microfinance in Emerging-A New MCDM Perspective</t>
  </si>
  <si>
    <t>Zaman, Muhammad Mukhlis Kamarul; Rodzi, Zahari M. D.; Andu, Yusrina; Shafie, Nur Aima; Sanusi, Zuraidah Mohd; Ghazali, Aziatul Waznah; Mahyideen, Jamilah Mohd</t>
  </si>
  <si>
    <t>Zaman, MMK; Rodzi, ZMD; Andu, Y; Shafie, NA; Sanusi, ZM; Ghazali, AW; Mahyideen, JM</t>
  </si>
  <si>
    <t>WOS:001603077100001</t>
  </si>
  <si>
    <t>9CM9L</t>
  </si>
  <si>
    <t>10.3390/admsci15100375</t>
  </si>
  <si>
    <t>SEP 23</t>
  </si>
  <si>
    <t>The authors would like to thank the University of Johannesburg for providing institutional support throughout the research process. Special appreciation is extended to colleagueswithin the College of Business and Economics who offered valuable feedback during the initial reviewof this study.</t>
  </si>
  <si>
    <t>University of Johannesburg(University of Johannesburg)</t>
  </si>
  <si>
    <t>soniav@uj.ac.za; scthaba@uj.ac.za</t>
  </si>
  <si>
    <t>Vorster, S; Thaba, SC (corresponding author), Univ Johannesburg, Dept Transport &amp; Supply Chain Management, ZA-2006 Johannesburg, South Africa.</t>
  </si>
  <si>
    <t>[Vorster, Sonia; Thaba, Sebonkile Cynthia] Univ Johannesburg, Dept Transport &amp; Supply Chain Management, ZA-2006 Johannesburg, South Africa</t>
  </si>
  <si>
    <t>Women entrepreneurs in rural South Africa face structural and socio-cultural barriers in accessing funding. This study investigated how existing financial structures and support programs influence the sustainability and growth of female-owned businesses in rural areas. Using bibliometric analysis and sentiment mapping with ATLAS.ti, 36 documents were analyzed from a screened pool of 613, focusing on keywords, titles, and abstracts. Results reveal that over 65% of documents reflect themes of discrimination and systemic financial exclusion. Findings show that while government initiatives and non-governmental organizations' (NGOs) efforts (e.g., Department of Small Business Development (DSBD Women's Development Business, (WDB) are making strides, challenges, such as collateral requirements, limited financial literacy, and infrastructure gaps, persist. The originality of this research lies in its hybrid methodological approach and the emphasis on rural-centric funding misalignments. The study contributes to policy dialogues by recommending tailored financial products co-designed with rural women, improved outreach programs, and integration of gender-sensitive financing mechanisms. It also lays a foundation for further empirical studies on institutional responses to female entrepreneurship in marginal communities. This study applied a novel hybrid method, combining bibliometric analysis with sentiment mapping using ATLAS.ti to uncover both systemic patterns and discursive trends. Its policy relevance lies in offering evidence-based recommendations that align with G20 strategies on gender equity and financial inclusion.</t>
  </si>
  <si>
    <t>FINANCIAL INCLUSION; WOMEN ENTREPRENEURS</t>
  </si>
  <si>
    <t>rural entrepreneurship; female entrepreneurs; financial inclusion; South Africa; ATLAS.ti; discrimination; microfinance; development finance</t>
  </si>
  <si>
    <t>Exploring Funding Options for Female Entrepreneurs in Rural Areas in South Africa</t>
  </si>
  <si>
    <t>Vorster, Sonia; Thaba, Sebonkile Cynthia</t>
  </si>
  <si>
    <t>Vorster, S; Thaba, SC</t>
  </si>
  <si>
    <t>WOS:000890075100001</t>
  </si>
  <si>
    <t>NB9G6</t>
  </si>
  <si>
    <t>10.1002/ijfe.2735</t>
  </si>
  <si>
    <t>Ghosh, Chanalekha/0000-0001-5598-4500;</t>
  </si>
  <si>
    <t>Ghosh, Chanalekha/ACE-1167-2022; Hom Chaudhury, Rimita/OTH-2589-2025</t>
  </si>
  <si>
    <t>ghoshchandralekha@yahoo.com</t>
  </si>
  <si>
    <t>Ghosh, C (corresponding author), West Bengal State Univ, Dept Econ, 24 Parganas North, Kolkata 700126, India.</t>
  </si>
  <si>
    <t>West Bengal State University</t>
  </si>
  <si>
    <t>[Ghosh, Chandralekha; Chaudhury, Rimita Hom] West Bengal State Univ, Dept Econ, 24 Parganas North, Kolkata 700126, India</t>
  </si>
  <si>
    <t>This article has proposed a new five-dimensional financial inclusion index (FII) incorporating important indicators of digital financial services and insurance services to evaluate the scenario of financial inclusion across 136 countries for the year 2017. Here, dimensions have been created depending upon the characteristics of variables. To carry out the analysis, we have used the two-stage principal component method. First, all five dimension indices (geographic outreach, demographic outreach, access, usage population, and usage volume) have been constructed, and then finally, the composite FII has been computed. One important addition in building this index is the inclusion of insurance-related and digital finance-related variables, which have not been included in previous cross-country studies. Another contribution of this study is the identification of the dimension(s) that ultimately have the greatest influence on the financial inclusion score. We discovered that dimensions (access and usage population) constructed based on demand-side factors dominate the level of financial inclusion. Therefore, top-ranking countries in the access and usage population index are more likely to score higher than others in the FII. This underlines the relevance of demand-side factors as indicators of financial inclusion over supply-side factors.</t>
  </si>
  <si>
    <t>ECONOMIC-GROWTH; SERVICES; ACCESS</t>
  </si>
  <si>
    <t>digital finance; financial inclusion; insurance; multi-dimensional financial inclusion index; principle component analysis</t>
  </si>
  <si>
    <t>Ranking of countries based on multi-dimensional financial inclusion index: A global perspective</t>
  </si>
  <si>
    <t>Ghosh, Chandralekha; Chaudhury, Rimita Hom</t>
  </si>
  <si>
    <t>Ghosh, C; Chaudhury, RH</t>
  </si>
  <si>
    <t>WOS:000556877400001</t>
  </si>
  <si>
    <t>MW2MI</t>
  </si>
  <si>
    <t>10.1108/JEAS-01-2019-0007</t>
  </si>
  <si>
    <t>Bongomin, GOC (corresponding author), Makerere Univ, Business Sch, FGSR, Kampala, Uganda.</t>
  </si>
  <si>
    <t>Makerere University; Syracuse University</t>
  </si>
  <si>
    <t>[Bongomin, George Okello Candiya; Munene, John C.] Makerere Univ, Business Sch, FGSR, Kampala, Uganda; [Yourougou, Pierre] Syracuse Univ, Whitman Sch Management, Syracuse, NY USA</t>
  </si>
  <si>
    <t>Purpose Premised on the assertion that financial digitalization is currently the panacea and game changer in delivering progress towards the sustainable development goals (SDGs) through universal financial inclusion, especially in developing countries, the purpose of this paper is to establish the moderating effect of transaction tax exemptions in the relationship between mobile money adoption and usage and financial inclusion. Design/methodology/approach A semi-structured questionnaire was used to collect data from 379 micro, small and medium enterprises (MSMEs), which use mobile money services drawn from the Northern District of Gulu in Uganda to provide responses for this study. The predictive relevancy and the effect size of the model were determined by running partial least square algorithm through structural equation model (SEM) with 5,000 bootstrap samples in SmartPLS-SEM 3.0. Findings The findings indicated that all the latent variables of transaction tax exemptions showed significant and positive impact on mobile money adoption and usage to advance financial inclusion in developing countries. Moreover, when combined together, the overall SEM predictive model revealed a significant moderating effect of transaction tax exemptions in the relationship between mobile money adoption and usage and financial inclusion. This implies that transaction tax exemptions on digital financial innovations such as the mobile money services can stimulate economic growth through increased level of financial inclusion labeled as the main enabler in achieving the SDGs by the year 2030. Research limitations/implications Whereas data were collected from users of mobile money services, the samples were drawn specifically from MSMEs' owners located in the Northern District of Gulu in Uganda. Thus, users located in other districts were not included in the sample for this study. Similarly, this study limited itself to only financial services offered through the mobile money platform. It ignored other digital financial channels such as the internet and electronic banking. Practical implications Going forward, in order to improve the economic well-being of households at the bottom of the pyramid, governments in developing countries should embrace the significant role of transaction tax exemptions in promoting digital financial innovations such as the mobile money services for increased level of financial inclusion. The governments in developing countries where mobile money has greatly spurred financial inclusion should not only reduce the existing transaction taxes on mobile money services but scrap it off in order to champion progressive increase in the level of universal financial inclusion prescribed as a key enabler in eliminating global poverty, especially in developing countries. Originality/value This study hints on the moderating effect of transaction tax exemptions in the relationship between mobile money adoption and usage and financial inclusion. The paradox in the current trends on transaction taxes on mobile money services, especially in developing countries remain a dearth in the nascent global FINTECH ecosystem.</t>
  </si>
  <si>
    <t>Developing countries; Sustainable development goals; Financial inclusion; Bottom of the pyramid households; Digital financial innovations; Mobile money tax</t>
  </si>
  <si>
    <t>Digital financial innovations in the twenty-first century Do transaction tax exemptions promote mobile money services for financial inclusion in developing countries?</t>
  </si>
  <si>
    <t>Bongomin, George Okello Candiya; Yourougou, Pierre; Munene, John C.</t>
  </si>
  <si>
    <t>Bongomin, GOC; Yourougou, P; Munene, JC</t>
  </si>
  <si>
    <t>WOS:001511143100001</t>
  </si>
  <si>
    <t>3XE5O</t>
  </si>
  <si>
    <t>10.1080/23311975.2025.2518492</t>
  </si>
  <si>
    <t>Geetha, E/0000-0002-1346-7641; Peter, Serin/0000-0002-1766-209X</t>
  </si>
  <si>
    <t>geetha.e@manipal.edu</t>
  </si>
  <si>
    <t>Elangovan, G (corresponding author), Manipal Acad Higher Educ, Manipal Sch Commerce &amp; Econ, Manipal, India.</t>
  </si>
  <si>
    <t>Manipal Academy of Higher Education (MAHE)</t>
  </si>
  <si>
    <t>[Peter, Serin; Elangovan, Geetha; Gupta, Anju] Manipal Acad Higher Educ, Manipal Sch Commerce &amp; Econ, Manipal, India</t>
  </si>
  <si>
    <t>The rising tide of women entrepreneurship, the unparalleled rise in fintech, and the inclusive nature of digital technologies led to the democratization of entrepreneurship, challenging structural constraints ascribed to gender-specific roles. The democratization underscores the economic implications of women entrepreneurs' digital engagement in response to global digital by default. Hence, through the social cognitive theory, the study examines whether leveraging Digital Financial Literacy ensures Financial Inclusion for women entrepreneurs, unveiling the potential of digital engagement in bridging the entrepreneurial-gendered financing gap, which has been explored less. A primary survey of 214 women entrepreneurs was analysed using Hayes PROCESS macro-model 8. The findings reveal that Digital Financial Literacy significantly influences Financial Inclusion and Firm Performance. Financial Inclusion partially mediates the relationship between Digital Financial Literacy and Firm Performance. However, Financial Behaviour negatively moderates the relationship between Digital Financial Literacy and Firm Performance and remains insignificant between Digital Financial Literacy and the Financial Inclusion link. Hence, the study offers insights to entrepreneurs, policymakers, and academicians on the potential of Digital Financial Literacy in narrowing the gender finance gap. It also emphasizes the need to improve the financial behavior of women entrepreneurs.</t>
  </si>
  <si>
    <t>ACCESS; WOMEN; PERFORMANCE; ENTERPRISES; DIVERSITY; LITERACY; MICRO</t>
  </si>
  <si>
    <t>Women entrepreneurship; gender bias; digital financial literacy; Firm performance; financial behavior; gender equality; Finance; Business, Management and Accounting; Gender Studies - Soc Sci; Gender &amp; Development</t>
  </si>
  <si>
    <t>Digital engagement in financial inclusion for bridging the gendered entrepreneurial financial gap: evidence from India</t>
  </si>
  <si>
    <t>Peter, Serin; Elangovan, Geetha; Gupta, Anju</t>
  </si>
  <si>
    <t>Peter, S; Elangovan, G; Gupta, A</t>
  </si>
  <si>
    <t>WOS:000417330203046</t>
  </si>
  <si>
    <t>BJ0ZM</t>
  </si>
  <si>
    <t>978-84-617-5895-1</t>
  </si>
  <si>
    <t>Russell, Mia/J-9619-2019</t>
  </si>
  <si>
    <t>Russell, M (corresponding author), Univ Maryland Extens, College Pk, MD USA.</t>
  </si>
  <si>
    <t>[Russell, M.; Maynard, P.] Univ Maryland Extens, College Pk, MD USA</t>
  </si>
  <si>
    <t>Financial literacy; youth; financial capability</t>
  </si>
  <si>
    <t>NOV 14-16, 2016</t>
  </si>
  <si>
    <t>9th Annual International Conference of Education, Research and Innovation (iCERi)</t>
  </si>
  <si>
    <t>ICERI2016: 9TH INTERNATIONAL CONFERENCE OF EDUCATION, RESEARCH AND INNOVATION</t>
  </si>
  <si>
    <t>IMPROVING FINANCIAL CAPABILITY: AN INTERGENERATIONAL APPROACH</t>
  </si>
  <si>
    <t>Russell, M.; Maynard, P.</t>
  </si>
  <si>
    <t>Russell, M; Maynard, P</t>
  </si>
  <si>
    <t>WOS:000515427900019</t>
  </si>
  <si>
    <t>10.1016/j.worlddev.2019.104843</t>
  </si>
  <si>
    <t>I thank the following for helpful comments and suggestions: two anonymous referees, Annette Krauss, Steven Ongena, Marek Hudon, Lesley Sherratt, Jahel Queralt, Michele Romano, and seminar and conference participants at the University of Zurich's Workshop on Rights for the Entrepreneurial Poor, the University of Michigan's 2018 Sustainability and Development Conference, and the 2018 World Finance Conference. Many thanks also to the respective country survey commissioning bodies for their provision of data, Adele Atkinson of the OECD, Chris Phillips of the UK's Money Advice Service, and Tamrynne Peyper of South Africa's Financial Services Board for their feedback, and Francis Cheneval, Christine Kaufmann, Hans Peter Wehrli, and Stefan Pohl for their respective support while writing this paper. The work was supported by the Swiss National Science Foundation (Grant number: 100011_150304) and the University of Zurich's Stiftung fur wissenschaftliche Forschung (Grant number: F-61811-04-01). These organizations provided financial support to the corresponding author for the conduct of research, but were not involved in the study's design, data collection, analysis, report writing, or submission for publication. Any errors and omissions are the author's own,</t>
  </si>
  <si>
    <t>Swiss National Science Foundation(Swiss National Science Foundation (SNSF)); University of Zurich's Stiftung fur wissenschaftliche Forschung; Swiss National Science Foundation (SNF)(Swiss National Science Foundation (SNSF))</t>
  </si>
  <si>
    <t>Swiss National Science Foundation [100011_150304]; University of Zurich's Stiftung fur wissenschaftliche Forschung [F-61811-04-01]; Swiss National Science Foundation (SNF) [100011_150304] Funding Source: Swiss National Science Foundation (SNF)</t>
  </si>
  <si>
    <t>Fu, Jonathan/0000-0003-0000-4995</t>
  </si>
  <si>
    <t>Jonathan.Fu@bf.uzh.ch</t>
  </si>
  <si>
    <t>Fu, J (corresponding author), Univ Zurich, Dept Banking &amp; Finance, Ctr Sustainable Finance &amp; Private Wealth, Plattenstr 32, CH-8032 Zurich, Switzerland.</t>
  </si>
  <si>
    <t>[Fu, Jonathan] Univ Zurich, Dept Banking &amp; Finance, Ctr Sustainable Finance &amp; Private Wealth, Plattenstr 32, CH-8032 Zurich, Switzerland</t>
  </si>
  <si>
    <t>This paper draws on nationally representative survey data from 11 emerging and developed economies to measure consumer financial well-being and provide a systematic analysis of its predictors. Whereas the extant literature has been dominated by studies emphasizing the role of individuals' levels of financial literacy and formal financial inclusion, the paper shifts focus towards contextual-level predictors by exploiting subregional variation in structural and institutional features of financial sectors, both within and across countries. It develops a conceptual framework that categorizes such features into 1) those that enhance or inhibit decision-making when selecting or using formal products and 2) those that provide viable substitutes or complements to formal products. It then provides empirical evidence on several examples. Specifically, it highlights the relative importance of having greater prevalence of independent information resources concerning financial products and services, additional provider choice, and some forms of semi-formal and informal finance. The main policy implications are that current efforts to improve broader welfare outcomes through financial literacy and inclusion interventions may still be too narrowly framed. Structural and institutional features related to financial sectors may hinder or enhance financial well-being, even if individuals have adequate financial literacy or be included in formal financial markets. The financial well-being concept may also serve as a useful indicator for monitoring progress towards SDGs 1, 3, 10, and 16. (C) 2019 Elsevier Ltd. All rights reserved.</t>
  </si>
  <si>
    <t>LITERACY; EDUCATION; MICROFINANCE; COMPETITION; MARKETS</t>
  </si>
  <si>
    <t>Financial well-being (financial health); Financial capability; Institutions; Personal finance</t>
  </si>
  <si>
    <t>Univ Michigan</t>
  </si>
  <si>
    <t>Univ Michigan, Ann Arbor, MI</t>
  </si>
  <si>
    <t>NOV 09-11, 2018</t>
  </si>
  <si>
    <t>Sustainability and Development Conference (SDC)</t>
  </si>
  <si>
    <t>Ability or opportunity to act: What shapes financial well-being?</t>
  </si>
  <si>
    <t>Fu, Jonathan</t>
  </si>
  <si>
    <t>Fu, J</t>
  </si>
  <si>
    <t>WOS:000750333900003</t>
  </si>
  <si>
    <t>N0EP3</t>
  </si>
  <si>
    <t>10.1007/s13132-022-00936-9</t>
  </si>
  <si>
    <t>Abedin, Mohammad Zoynul/0000-0002-4688-0619;</t>
  </si>
  <si>
    <t>Abedin, Mohammad Zoynul/K-2821-2019; Hasan, Mohammad/AAK-2185-2020; Usman, Muhammad/AAG-1781-2021; Gao, Jiechao/AAV-1830-2021</t>
  </si>
  <si>
    <t>arif.morshad@gmail.com; noormt@myumanitoba.ca; jg5ycn@virginia.edu; 320335@nau.edu.cn; abedinmz@yahoo.com</t>
  </si>
  <si>
    <t>Usman, M (corresponding author), Nanjing Audit Univ, Sch Accounting, Nanjing 211815, Jiangsu, Peoples R China.</t>
  </si>
  <si>
    <t>Murdoch University; University of Manitoba; University of Virginia; Nanjing Audit University; University of Teesside</t>
  </si>
  <si>
    <t>[Hasan, Morshadul] Murdoch Univ, Murdoch Business Sch, Perth, WA 6150, Australia; [Noor, Thuhid] Univ Manitoba, Dept Econ, Winnipeg, MB R3T 2N2, Canada; [Gao, Jiechao] Univ Virginia, Sch Comp Sci, Charlottesville, VA 22903 USA; [Usman, Muhammad] Nanjing Audit Univ, Sch Accounting, Nanjing 211815, Jiangsu, Peoples R China; [Abedin, Mohammad Zoynul] Teesside Univ, Int Business Sch, Dept Finance Performance &amp; Mkt, Middlesbrough TS1 3BX, Cleveland, England</t>
  </si>
  <si>
    <t>The study aims to show the impact of financial knowledge among rural consumers' access to financial technology services. In general, knowledge regarding any particular fact helps consumers to select or reject different options. Therefore, knowledge regarding financial services is considered a factor that influences access to financial technology services. This study carries out a survey-oriented method with a structured questionnaire. According to the data category, this study uses three well-known econometric models: logistic regression, probit regression, and complementary log-log regression, have been experimented. This study finds that knowledge regarding various factors significantly impact on access to financial technology services. Mainly, this study has important practical significance for the use of rural finance and financial technology in rural areas, which affects the entire economy.</t>
  </si>
  <si>
    <t>INTERNET FINANCE; INCLUSION; EDUCATION; IMPACT; POLICY</t>
  </si>
  <si>
    <t>Financial knowledge; Financial literacy; FinTech access; Financial inclusion in Bangladesh; Rural finance; Inclusive finance</t>
  </si>
  <si>
    <t>Rural Consumers' Financial Literacy and Access to FinTech Services</t>
  </si>
  <si>
    <t>Hasan, Morshadul; Noor, Thuhid; Gao, Jiechao; Usman, Muhammad; Abedin, Mohammad Zoynul</t>
  </si>
  <si>
    <t>Hasan, M; Noor, T; Gao, JC; Usman, M; Abedin, MZ</t>
  </si>
  <si>
    <t>WOS:000974904100010</t>
  </si>
  <si>
    <t>E3XI1</t>
  </si>
  <si>
    <t>Mathematical &amp; Computational Biology</t>
  </si>
  <si>
    <t>10.1504/IJDMB.2022.130330</t>
  </si>
  <si>
    <t>1-3</t>
  </si>
  <si>
    <t>Int. J. Data Min. Bioinform.</t>
  </si>
  <si>
    <t>INT J DATA MIN BIOIN</t>
  </si>
  <si>
    <t>1748-5681</t>
  </si>
  <si>
    <t>1748-5673</t>
  </si>
  <si>
    <t>richie.mwila@gmail.com; douglas.kunda@zcasu.edu.zm</t>
  </si>
  <si>
    <t>Mwila, R (corresponding author), Mulungushi Univ, Sch Sci Engn &amp; Technol, Kabwe, Central, Zambia.</t>
  </si>
  <si>
    <t>[Mwila, Richard; Kunda, Douglas] Mulungushi Univ, Sch Sci Engn &amp; Technol, Kabwe, Central, Zambia</t>
  </si>
  <si>
    <t>Mobile money has been known to be a successful venture around the world especially so, for African countries due to the many limitations that traditional banks have like operations, expensive transaction costs and cumbersome process to open account to mention but a few. The presence of mobile money has not only allowed the unbanked population to have accounts but has also alleviated poverty for many rural communities. Zambia has seen an increase of mobile money accounts and COVID-19 has exacerbated this increase. Therefore, this paper sought to determine data mining algorithm best predicts mobile money transaction growth. This paper was quantitative in nature and used aggregated monthly mobile money data (from Zambian mobile network operators) from 2013 to 2020 as its sample which was collected from Bank of Zambia and Zambia Information Communications and Technology Authority. The paper further used WEKA data mining tool for data analysis following the Cross-Industrial Standard Process for data mining guidelines. The performance from best to least is K-nearest neighbour, random forest, support vector machines, multilayer perceptron and linear regression. The predictions from data mining techniques can be deployed to predict growth of mobile money and hence be used in financial inclusion policy formulation and other strategies that can further improve service delivery by mobile network operators.</t>
  </si>
  <si>
    <t>MACHINE; CLASSIFIERS; TRENDS</t>
  </si>
  <si>
    <t>linear regression; support vector machine; random forest; mobile money transactions; KNN; K-nearest neighbour; multilayer perceptron</t>
  </si>
  <si>
    <t>INTERNATIONAL JOURNAL OF DATA MINING AND BIOINFORMATICS</t>
  </si>
  <si>
    <t>Predictive model to determine the growth of mobile money transactions in Zambia using data mining techniques</t>
  </si>
  <si>
    <t>Mwila, Richard; Kunda, Douglas</t>
  </si>
  <si>
    <t>Mwila, R; Kunda, D</t>
  </si>
  <si>
    <t>WOS:000499083700001</t>
  </si>
  <si>
    <t>10.1002/ijfe.1793</t>
  </si>
  <si>
    <t>Duppati, Geeta/H-9504-2015; Li, Leon/H-9013-2016; Reddy, Krishna/S-2704-2019</t>
  </si>
  <si>
    <t>University of Waikato</t>
  </si>
  <si>
    <t>[Alhassan, Abidin; Li, Leon; Reddy, Krishna; Duppati, Geeta] Univ Waikato, Waikato Management Sch, Hamilton, New Zealand</t>
  </si>
  <si>
    <t>What is the effect of political instability on financial inclusion (FI) in the Middle East and North Africa region? Using data for 2011, 2014, and 2017, from the Global Findex database, we test the asymmetry relationship between political instability and FI using the probit model with sample selection and a multiplicative interaction test of the asymmetric model. We also propose and test a political stability threshold model that may trigger FI. We find that (a) political instability positively correlates with lower degrees of FI with higher levels of persistence; (b) higher incomes and higher education are associated with higher degrees of FI; (c) a lack of documentation required by formal financial institutions proves to be a major barrier to FI; and (d) inefficient mechanisms to determine real interest rates, corruption, oil reliance, unemployment, and religious tensions also negatively affect FI. Further, we calculate the political stability threshold level that will trigger FI to be -0.960 for the Middle East and North Africa region. The policymakers could enhance and promote FI and economic well-being by targeting the minimum threshold value of political stability.</t>
  </si>
  <si>
    <t>INSTRUMENTAL VARIABLES; ACCESS; SERVICES; DEMAND; UNDERDEVELOPMENT; INEQUALITY; SAVINGS; GROWTH; SHOCKS; IMPACT</t>
  </si>
  <si>
    <t>Barriers; financial inclusion; MENA; political instability</t>
  </si>
  <si>
    <t>The relationship between political instability and financial inclusion: Evidence from Middle East and North Africa</t>
  </si>
  <si>
    <t>WOS:001237042600001</t>
  </si>
  <si>
    <t>SU8D1</t>
  </si>
  <si>
    <t>10.1016/j.bir.2024.01.006</t>
  </si>
  <si>
    <t>The authors appreciate the financial support from the National Social Science Fund of China (Project No: 20BJY158) . The authors deeply thank Professor Ali Kutan (the editor) and the anonymous reviewers for their invaluable comments, which enhanced the quality of our paper.</t>
  </si>
  <si>
    <t>National Social Science Fund of China [20BJY158]</t>
  </si>
  <si>
    <t>j.wu@leedsbeckett.ac.uk</t>
  </si>
  <si>
    <t>Wu, JJ (corresponding author), Leeds Beckett Univ, Leeds Business Sch, Rose Bowl,City Campus, Leeds LS1 3HB, England.</t>
  </si>
  <si>
    <t>Ningbo University; Leeds Beckett University</t>
  </si>
  <si>
    <t>[Lu, Zhiqiang; Li, Hongyu] Ningbo Univ, Business Sch, Ningbo, Peoples R China; [Wu, Junjie] Leeds Beckett Univ, Leeds Business Sch, Rose Bowl,City Campus, Leeds LS1 3HB, England</t>
  </si>
  <si>
    <t>This study explores whether financial literacy can enhance the ability to predict credit default by farmers using machine-learning models. It introduces a hybrid model combining k-means clustering and Adaboost to predict loan default using data on 10,396 farmers who obtained credit from Chinese rural commercial banks, including demographics, household finance, credit history, and financial literacy. We systemically compare the results of models with and without financial literacy variables, which indicate significant improvement in the predictive accuracy about credit risk when financial literacy factors are included. Our findings confirm that financial literacy is a crucial indicator of farmers' ability to make informed financial decisions, reducing their likelihood of loan default and suggesting its utility as a screening tool or supplementary credit risk assessment variable. This research has profound implications for financial inclusion and credit risk management, indicating that financial institutions can leverage financial literacy data to evaluate farmers' creditworthiness and design effective financial education programs. This study enriches the literature on credit risk prediction by introducing financial literacy as a predictor of credit default.</t>
  </si>
  <si>
    <t>INFORMATION; INVESTMENT; TREES</t>
  </si>
  <si>
    <t>Credit default; Credit risk prediction; Farmers; Financial literacy; Machine learning</t>
  </si>
  <si>
    <t>Exploring the impact of financial literacy on predicting credit default among farmers: An analysis using a hybrid machine learning model</t>
  </si>
  <si>
    <t>Lu, Zhiqiang; Li, Hongyu; Wu, Junjie</t>
  </si>
  <si>
    <t>Lu, ZQ; Li, HY; Wu, JJ</t>
  </si>
  <si>
    <t>WOS:000462897800030</t>
  </si>
  <si>
    <t>HR1MM</t>
  </si>
  <si>
    <t>10.24908/ss.v17i1/2.12924</t>
  </si>
  <si>
    <t>Surveill. Soc.</t>
  </si>
  <si>
    <t>SURVEILL SOC</t>
  </si>
  <si>
    <t>1477-7487</t>
  </si>
  <si>
    <t>UNIV NEWCASTLE UPON TYNE, GLOBAL URBAN RESEARCH UNIT, NEWCASTLE UPON TYNE, NE1 7RU, ENGLAND</t>
  </si>
  <si>
    <t>NEWCASTLE UPON TYNE</t>
  </si>
  <si>
    <t>SURVEILLANCE STUDIES NETWORK</t>
  </si>
  <si>
    <t>As a member of the Global Data Justice project at Tilburg University, the author has received funding from the European Research Council under the European Union's Horizon 2020 research and innovation programme (Grant Agreement no 757247). The author would like to thank Kevin Donovan, Shaz Jameson, Hellen Mukiri-Smith, Linnet Taylor, and an anonymous reviewer for their comments on the article. An early version of the paper was presented at the 2018 Amsterdam Privacy Conference panel on Data and the Global South organized by Payal Arora and Linnet Taylor.</t>
  </si>
  <si>
    <t>European Research Council under the European Union(European Research Council (ERC)); European Research Council (ERC)(European Research Council (ERC)Instituto Politecnico Nacional - Mexico)</t>
  </si>
  <si>
    <t>European Research Council under the European Union [757247]; European Research Council (ERC) [757247] Funding Source: European Research Council (ERC)</t>
  </si>
  <si>
    <t>a.k.martin@uvt.nl</t>
  </si>
  <si>
    <t>Martin, A (corresponding author), Tilburg Univ, Tilburg, Netherlands.</t>
  </si>
  <si>
    <t>Tilburg University</t>
  </si>
  <si>
    <t>[Martin, Aaron] Tilburg Univ, Tilburg, Netherlands</t>
  </si>
  <si>
    <t>Drawing on evidence from Sub-Saharan Africa, this paper explores the various forms of surveillance present on mobile money platforms. At the most basic level, mobile money is the provision of financial services through a mobile device. Over the past decade, these platforms have witnessed astonishing rates of adoption in Kenya, Tanzania, Uganda, Ghana, and elsewhere. While some authors have praised the transformative potential of mobile money, particularly in parts of the world in which large numbers of people remain unbanked, more critical voices have expressed concerns about the economic risks and regulatory challenges associated with mobile money. This article focuses on an underexplored but nevertheless significant feature of mobile money platforms: the ways in which they facilitate surveillance by service providers and government authorities. Relatively established forms of surveillance include mandates for identifying customers prior to service provision. I also discuss the monitoring of mobile money agents, who receive a commission for turning cash into electronic value (and vice versa). Well-established mobile money providers are said to operate in-house bank-grade monitoring systems to identify suspicious transactions and comply with anti-money laundering regulations. Government agencies are also implementing bespoke monitoring solutions in countries where authorities, distrustful of mobile money providers' self-reported data, seek to more stringently enforce regulatory compliance while also maximizing tax revenues from mobile money transactions. An analysis of these different forms of surveillance reveals their multipurpose and multi-scalar nature. I argue that the impacts of mobile money platform surveillance need to be better understood, particularly from a financial inclusion perspective.</t>
  </si>
  <si>
    <t>AFRICA</t>
  </si>
  <si>
    <t>SURVEILLANCE &amp; SOCIETY</t>
  </si>
  <si>
    <t>Mobile Money Platform Surveillance</t>
  </si>
  <si>
    <t>Martin, Aaron</t>
  </si>
  <si>
    <t>Martin, A</t>
  </si>
  <si>
    <t>WOS:000677997700001</t>
  </si>
  <si>
    <t>0Z1UI</t>
  </si>
  <si>
    <t>10.1108/JFEP-03-2021-0071</t>
  </si>
  <si>
    <t>APR 29</t>
  </si>
  <si>
    <t>biplab.ewu@ewubd.edu</t>
  </si>
  <si>
    <t>Nandi, BK (corresponding author), East West Univ, Dhaka, Bangladesh.</t>
  </si>
  <si>
    <t>East West University Bangladesh</t>
  </si>
  <si>
    <t>[Nandi, Biplob Kumar; Hasan, Gazi Quamrul; Kabir, Md Humayun] East West Univ, Dhaka, Bangladesh</t>
  </si>
  <si>
    <t>Purpose This study aims to examine the impact of financial inclusion on per capita gross domestic product (GDP) at varying degrees of financial inclusion for a sample of 76 developing countries between 2011 and 2017. To evaluate the heterogeneous impact, this paper constructs the multi-dimension index of financial inclusion to classify sample countries into two sub-samples in terms of the value of FIID, taking account of three dimensions of financial inclusion: access, usage and availability. Design/methodology/approach This study attempts to identify the presence of reverse causality and long-run relationship between financial inclusion and economic growth by using the Granger causality test (Wald test) and three alternative panel cointegration tests (Kao Test, Pedroni Test, Westerlund Test) respectively. Because of the existence of the bi-directional causality between financial inclusion and per capita GDP, this study uses a fixed effect instrumental variable model with lagged dependent variable to get unbiased estimators from the panel regressions for sample countries. Findings This paper finds a strong positive impact of financial inclusion on per capita GDP growth in sample developing countries, controlling for labor market structure, financial institutions' efficacy, infrastructural and governance issues. This study suggests that economic growth will be high in developing economies with a higher level of financial inclusion; however, the positive impact for two sub-samples countries (low and medium level of inclusion and high level of inclusion) are heterogeneous. The estimated result explains that a 1% increase in the financial inclusion index leads to a 0.0153% point increase in the per capita GDP for the countries with a low and medium level of financial inclusion, while this positive impact is significantly higher, 0.0794% point for countries with the high level of financial inclusion. This study also suggests that the higher concentration in the financial market by few agents and the lower level of governance may have an adverse impact on economic growth for the economies with a low and medium level of financial inclusion. Originality/value This study is an original study that contributes to the research gap by explaining the heterogeneous impact of financial inclusion on economic growth at varying degrees of inclusion in the two sub-sample countries. Moreover, this study posits greater appeal as it explores the issue using the sample of only developing economies.</t>
  </si>
  <si>
    <t>TESTS; COINTEGRATION; INEQUALITY; DEPENDENCE; MODELS</t>
  </si>
  <si>
    <t>Financial inclusion; Financial inclusion index; Economic growth; Panel granger causality; Panel fixed effect instrumental variable (FEIV) method; Degree of financial inclusion; Developing countries; Financial institutions and services; Economic growth and aggregate productivity</t>
  </si>
  <si>
    <t>A tale of the financial inclusion-growth nexus and the degree of financial inclusion: a dynamic panel approach on selected developing countries</t>
  </si>
  <si>
    <t>Nandi, Biplob Kumar; Hasan, Gazi Quamrul; Kabir, Md Humayun</t>
  </si>
  <si>
    <t>Nandi, BK; Hasan, GQ; Kabir, MH</t>
  </si>
  <si>
    <t>WOS:000541821800003</t>
  </si>
  <si>
    <t>MA3MP</t>
  </si>
  <si>
    <t>Ethnic Studies</t>
  </si>
  <si>
    <t>Can. Ethn. Stud.</t>
  </si>
  <si>
    <t>CAN ETHN STUD</t>
  </si>
  <si>
    <t>1913-8253</t>
  </si>
  <si>
    <t>0008-3496</t>
  </si>
  <si>
    <t>C/O DEPT HISTORY, UNIV CALGARY, 2500 UNIVERSITY DR, NW, CALGARY, AB T2N 1N4, CANADA</t>
  </si>
  <si>
    <t>CALGARY</t>
  </si>
  <si>
    <t>CANADIAN ETHNIC STUDIES ASSOC</t>
  </si>
  <si>
    <t>Khan, Mohammad/0000-0002-3115-8113;</t>
  </si>
  <si>
    <t>Ferrer, Ilyan/AAY-7077-2021; Lee, Yeonjung/HJY-3401-2023</t>
  </si>
  <si>
    <t>Ferrer, I (corresponding author), Univ Calgary, Fac Social Work, Calgary, AB, Canada.</t>
  </si>
  <si>
    <t>University of Calgary; University of Manitoba</t>
  </si>
  <si>
    <t>[Ferrer, Ilyan; Lee, Yeonjung] Univ Calgary, Fac Social Work, Calgary, AB, Canada; [Khan, Mohammad N.] Univ Manitoba, Fac Social Work, Winnipeg, MB, Canada</t>
  </si>
  <si>
    <t>This article describes a small-scale photovoice study examining the financial literacy of older immigrants in Canada. Older immigrants experience multiple forms of financial exclusion rooted in the intersections between age, race, gender, immigration, and labour history. While the existing literature notes how immigrants are more likely to be unbanked because of structural barriers such as inaccessible services and language barriers, few studies have explored how older immigrants discuss their experiences and financial conditions. Using a photovoice methodology, this paper explores the experiences of financial literacy among older immigrants in Calgary, Alberta through in-depth interviews and photographs taken by participants. We discuss the lived experiences and financial realities among older immigrants, how they perceive challenges to financial literacy as well as coping strategies. Themes focus on the ways in which histories of immigration and labour impact their financial security in later life. Photographs generated offer service providers and policy makers opportunities to think about and engage in interventions that better tackle issues of financial insecurity and inequality among older immigrants.</t>
  </si>
  <si>
    <t>CANADA; LITERACY; EXCLUSION; MIGRANTS; AGE; INTERSECTIONALITY; DETERMINANTS; INEQUALITY; CAPABILITY; EDUCATION</t>
  </si>
  <si>
    <t>Financial literacy and capability; financial realities; aging; older immigrants; structured dependency; photovoice; 10-year and 20-year dependency period</t>
  </si>
  <si>
    <t>CANADIAN ETHNIC STUDIES-ETUDES ETHNIQUES AU CANADA</t>
  </si>
  <si>
    <t>Understanding the Lived Experiences and Financial Realities of Older Immigrants</t>
  </si>
  <si>
    <t>Ferrer, Ilyan; Lee, Yeonjung; Khan, Mohammad N.</t>
  </si>
  <si>
    <t>Ferrer, I; Lee, Y; Khan, MN</t>
  </si>
  <si>
    <t>WOS:001411539400021</t>
  </si>
  <si>
    <t>U4L8Y</t>
  </si>
  <si>
    <t>10.25300/MISQ/2024/18340</t>
  </si>
  <si>
    <t>MIS Q.</t>
  </si>
  <si>
    <t>MIS QUART</t>
  </si>
  <si>
    <t>0276-7783</t>
  </si>
  <si>
    <t>UNIV MINNESOTA-SCH MANAGEMENT 271 19TH AVE SOUTH, MINNEAPOLIS, MN 55455 USA</t>
  </si>
  <si>
    <t>SOC INFORM MANAGE-MIS RES CENT</t>
  </si>
  <si>
    <t>We thank Dr. Mingjie Zhu, the chairman and CEO of CraiditX, for his unwavering support of our six-year-long project, including the provision of manpower, materials, and other resources. Our gratitude also extends to the co-editors of the special issue, Min-Seok Pang, Atreyi Kankanhalli, Margunn Aanestad, Sudha Ram, and Likoebe M. Maruping, as well as to the associate editor, Jennifer Jie Zhang, the transparency editor, and the reviewers for their constructive and developmental feedback throughout the review process. Chunxiao Li expresses gratitude for the support from the National Natural Science Foundation of China (NSFC) [Grant 72121001] . Hongchang Wang is the corresponding author of this paper.</t>
  </si>
  <si>
    <t>National Natural Science Foundation of China (NSFC)(National Natural Science Foundation of China (NSFC))</t>
  </si>
  <si>
    <t>National Natural Science Foundation of China (NSFC) [72121001]</t>
  </si>
  <si>
    <t>Wang, Hongchang/KFQ-7680-2024</t>
  </si>
  <si>
    <t>Chunxiao.li@ustc.edu.cn; hongchang.wang@utdallas.edu; jiangsongtao@craiditx.com; bgu@bu.edu</t>
  </si>
  <si>
    <t>Li, CX (corresponding author), Univ Sci &amp; Technol China, Fac Business Scitech, Sch Management, Dept Informat Syst, Hefei, Anhui, Peoples R China.</t>
  </si>
  <si>
    <t>Chinese Academy of Sciences; University of Science &amp; Technology of China, CAS; University of Texas System; University of Texas Dallas; Boston University</t>
  </si>
  <si>
    <t>[Li, Chunxiao] Univ Sci &amp; Technol China, Fac Business Scitech, Sch Management, Dept Informat Syst, Hefei, Anhui, Peoples R China; [Wang, Hongchang] Univ Texas Dallas, Naveen Jindal Sch Management, Dept Informat Syst, Dallas, TX USA; [Jiang, Songtao] CreditX Inc, Dept Data Sci, Shanghai, Peoples R China; [Gu, Bin] Boston Univ, Questrom Sch Business, Dept Informat Syst, Boston, MA USA</t>
  </si>
  <si>
    <t>We studied the effect of a major bank adopting an AI-enabled credit scoring model on financial inclusion as measured by changes to the approval rate, default rate, and utilization level of a personal loan product for an underserved population. The bank serves over 50 million customers and previously used a traditional rule-based model to evaluate the default risk of each loan application. It recently developed an AI model with a higher prediction accuracy of default risk and used the AI model and the traditional model together to assess loan applications for one of its personal loan products. Although the AI model may be more accurate in estimating default risk, little is known about its impact on financial inclusion. We investigated this question using a difference- in-differences approach by comparing changes in financial inclusion of the personal loan product that adopted the AI model to that of a similar personal loan product that did not adopt the AI model. We found that the AI model enhanced financial inclusion for the underserved population by simultaneously increasing the approval rate and reducing the default rate. Further analysis attributed the enhancement in financial inclusion to the use of weak signals (i.e., data not conventionally used to evaluate creditworthiness) by the AI model and its sophisticated machine learning algorithms. Our findings are consistent with statistical discrimination theory, as the use of weak signals and sophisticated machine learning algorithms improves prediction accuracy at the individual level, thus reducing the reliance on group characteristics that often lead to financial exclusion. We elaborated on the development process of the AI model to illustrate how and why the AI model can better evaluate members of underserved populations. We also found the impacts of the AI model to be heterogeneous across subgroups, and those with missing weak signals saw smaller improvements in the approval rate. A simulation- based analysis showed that simplified AI models were also able to increase the approval rate and reduce the default rate for this population. Our findings provide rich theoretical and practical implications for social justice by documenting how an AI model designed for improving prediction accuracy can enhance financial inclusion.</t>
  </si>
  <si>
    <t>FINTECH; NETWORKS</t>
  </si>
  <si>
    <t>Financial inclusion; credit scoring; AI models; weak signals; social justice</t>
  </si>
  <si>
    <t>MIS QUARTERLY</t>
  </si>
  <si>
    <t>THE EFFECT OF AI-ENABLED CREDIT SCORING ON FINANCIAL INCLUSION: EVIDENCE FROM AN UNDERSERVED POPULATION OF OVER ONE MILLION</t>
  </si>
  <si>
    <t>Li, Chunxiao; Wang, Hongchang; Jiang, Songtao; Gu, Bin</t>
  </si>
  <si>
    <t>Li, CX; Wang, HC; Jiang, ST; Gu, B</t>
  </si>
  <si>
    <t>WOS:000710911100001</t>
  </si>
  <si>
    <t>8H8TY</t>
  </si>
  <si>
    <t>10.1080/0376835X.2021.1978933</t>
  </si>
  <si>
    <t>vmatsebula@uwc.ac.za</t>
  </si>
  <si>
    <t>Matsebula, V (corresponding author), Univ Western Cape, Dept Econ, Private Bag X17, ZA-7535 Bellville, South Africa.</t>
  </si>
  <si>
    <t>[Mahalika, Ratema; Matsebula, Velenkosini; Yu, Derek] Univ Western Cape, Dept Econ, Private Bag X17, ZA-7535 Bellville, South Africa</t>
  </si>
  <si>
    <t>The literature on financial inclusion (FI) and poverty connections has received considerable attention, but there exists a scarcity of South African studies examining the relationship between FI and poverty. This study fills this research gap by analysing the 2011 and 2016 FinScope data. Principal Components Analysis was applied to consider indicators from four FI dimensions (access, usage, quality and welfare) to derive a financial inclusion index (FII), before the relative approach was used to distinguish the financially included and excluded individuals separately. The empirical findings indicated that lowly educated Africans residing in the rural areas of Eastern Cape, Free State and Limpopo provinces were associated with a greater likelihood of being financially excluded, whereas individuals coming from the lower FII quintiles suffered greater money-metric poverty likelihood. Lastly, the proportion of people who were both money-metric poor and financially excluded declined from 19.5% to 15.4% between 2011 and 2016.</t>
  </si>
  <si>
    <t>MICROFINANCE; INEQUALITY; REDUCTION; GROWTH; BANKS</t>
  </si>
  <si>
    <t>Financial development; financial inclusion; poverty; FinScope South Africa</t>
  </si>
  <si>
    <t>Investigating the relationship between financial inclusion and poverty in South Africa</t>
  </si>
  <si>
    <t>Mahalika, Ratema; Matsebula, Velenkosini; Yu, Derek</t>
  </si>
  <si>
    <t>Mahalika, R; Matsebula, V; Yu, DR</t>
  </si>
  <si>
    <t>WOS:000692876300018</t>
  </si>
  <si>
    <t>BS1LU</t>
  </si>
  <si>
    <t>Business &amp; Economics; Operations Research &amp; Management Science; Transportation</t>
  </si>
  <si>
    <t>Business; Business, Finance; Economics; Management; Operations Research &amp; Management Science; Transportation Science &amp; Technology</t>
  </si>
  <si>
    <t>10.7441/dokbat.2019.018</t>
  </si>
  <si>
    <t>978-80-7454-893-2</t>
  </si>
  <si>
    <t>NAM T G MASARYKA 5555, ZLIN, 760 01, CZECH REPUBLIC</t>
  </si>
  <si>
    <t>ZLIN</t>
  </si>
  <si>
    <t>TOMAS BATA UNIV ZLIN</t>
  </si>
  <si>
    <t>This paper was supported by the Internal Grant Agency of Faculty of Management and Economics, Tomas Bata University, no. IGA/FaME/2019/002: The role of institutional environment in fostering entrepreneurship.</t>
  </si>
  <si>
    <t>Internal Grant Agency of Faculty of Management and Economics, Tomas Bata University</t>
  </si>
  <si>
    <t>Internal Grant Agency of Faculty of Management and Economics, Tomas Bata University [IGA/FaME/2019/002]</t>
  </si>
  <si>
    <t>Ajaz Khan, Khurram/0000-0001-5728-8955; Kojku, Oksana/0000-0002-5387-7872; Çera, Gentjan/0000-0002-9324-181X</t>
  </si>
  <si>
    <t>cera@utb.cz; bekimpoleshi7@gmail.com; khan@utb.cz; ashumeli@ubt.edu.al; oksana.kojku@gmail.com</t>
  </si>
  <si>
    <t>Çera, G (corresponding author), Tomas Bata Univ Zlin, Fac Management &amp; Econ, Mostni 5139, Zlin 76001, Czech Republic.</t>
  </si>
  <si>
    <t>Tomas Bata University Zlin</t>
  </si>
  <si>
    <t>[Cera, Gentjan; Khan, Khurram Ajaz] Tomas Bata Univ Zlin, Fac Management &amp; Econ, Mostni 5139, Zlin 76001, Czech Republic; [Poleshi, Bekim] Epoka Univ, Fac Econ &amp; Adm Sci, Rr Tirane Rinas Km 12, Vore 1032, Tirana, Albania; [Shumeli, Arjan; Kojku, Oksana] Agr Univ Tirana, Fac Econ &amp; Agribusiness Pajsi Vodica, Tirana 1029, Albania</t>
  </si>
  <si>
    <t>Among scholars, academicians and policymakers there is a constant concern on how to improve financial literacy and capability of individuals. In this regard, this study seeks to investigate the effect of financial literacy along with demographic factors on individuals' financial capability. This research is administrated on an individual-level data collection through a survey. This paper uses hierarchical multiple regression with two steps in a dataset of 200 respondents from a transition country, Albania. Results demonstrated that financial capability is affected by financial knowledge and financial behaviour. In addition, individuals that were single, unemployed and young negatively influenced financial capabilities. However, having higher incomes positively impacted financial capability. These findings are consistent with the literature in the field of financial literacy. Financial attitude and gender did not show any significant effect on financial capability. This paper contributes to enriching the literature of the field by offering evidence on how financial literacy and demographic factors drive individuals' financial capability. In addition, this current study provides useful insights for academicians, educational institutions managers, and public-policy advocates responsible for designing curricula and strategies to increase the level of individuals' financial capability.</t>
  </si>
  <si>
    <t>LITERACY; EDUCATION; MODEL</t>
  </si>
  <si>
    <t>financial capability; financial attitude; financial knowledge; financial behaviour; hierarchical linear regression; Albania</t>
  </si>
  <si>
    <t>Tomas Bata Univ, Fac Management &amp; Econ</t>
  </si>
  <si>
    <t>Tomas Bata Univ, Fac Management &amp; Econ, Zlin, CZECH REPUBLIC</t>
  </si>
  <si>
    <t>NOV 07, 2019</t>
  </si>
  <si>
    <t>15th Annual International Bata Conference for Ph.D. Students and Young Researchers (DOKBAT)</t>
  </si>
  <si>
    <t>15TH ANNUAL INTERNATIONAL BATA CONFERENCE FOR PH.D. STUDENTS AND YOUNG RESEARCHERS (DOKBAT)</t>
  </si>
  <si>
    <t>DETERMINANTS OF FINANCIAL CAPABILITY: EVIDENCE FROM A TRANSITION COUNTRY</t>
  </si>
  <si>
    <t>Cera, Gentjan; Poleshi, Bekim; Khan, Khurram Ajaz; Shumeli, Arjan; Kojku, Oksana</t>
  </si>
  <si>
    <t>Ondra, P</t>
  </si>
  <si>
    <t>Çera, G; Poleshi, B; Khan, KA; Shumeli, A; Kojku, O</t>
  </si>
  <si>
    <t>WOS:000626242400006</t>
  </si>
  <si>
    <t>QS9WF</t>
  </si>
  <si>
    <t>10.22136/est20211641</t>
  </si>
  <si>
    <t>Econ. Soc. Territ.</t>
  </si>
  <si>
    <t>ECON SOC TERRIT</t>
  </si>
  <si>
    <t>2448-6183</t>
  </si>
  <si>
    <t>1405-8421</t>
  </si>
  <si>
    <t>EX-HACIENDA SANTA CRUZ LOS PATOS ZINACANTEPEC, ESTADO DE MEXICO, 51350, MEXICO</t>
  </si>
  <si>
    <t>ESTADO DE MEXICO</t>
  </si>
  <si>
    <t>COLEGIO MEXIQUENSE AC</t>
  </si>
  <si>
    <t>García-Mata, Osvaldo/0000-0001-7791-0983</t>
  </si>
  <si>
    <t>García-Mata, Osvaldo/AAW-1904-2021</t>
  </si>
  <si>
    <t>Mata, OG (corresponding author), Univ Autonoma Tamaulipas, Ciudad Victoria, Tamaulipas, Mexico.</t>
  </si>
  <si>
    <t>[Garcia Mata, Osvaldo] Univ Autonoma Tamaulipas, Ciudad Victoria, Tamaulipas, Mexico</t>
  </si>
  <si>
    <t>This paper aims to analyze the determinants of financial literacy in Mexico with a regional approach. Its originality lies in emphasizing the regional differences in financial attitude, financial behavior, and financial knowledge. It uses ordered logit models constructed with data from the National Survey on Financial Inclusion 2018. The results confirm that education is essential for financial literacy, but other factors have different effects in each region. Its main limitation is the lack of data to perform a longitudinal analysis to observe how contextual changes affect financial literacy. Its findings can help focalize the financial inclusion policy.</t>
  </si>
  <si>
    <t>financial literacy; financial inclusion; education; region</t>
  </si>
  <si>
    <t>ECONOMIA SOCIEDAD Y TERRITORIO</t>
  </si>
  <si>
    <t>A regional approach to financial literacy in Mexico</t>
  </si>
  <si>
    <t>Garcia Mata, Osvaldo</t>
  </si>
  <si>
    <t>Mata, OG</t>
  </si>
  <si>
    <t>WOS:001495208700002</t>
  </si>
  <si>
    <t>2ZT7S</t>
  </si>
  <si>
    <t>Rom. Stat. Rev.</t>
  </si>
  <si>
    <t>ROM STAT REV</t>
  </si>
  <si>
    <t>1844-7694</t>
  </si>
  <si>
    <t>1018-046X</t>
  </si>
  <si>
    <t>16 LIBERTATII BLVD, POSTAL CODE 050706, BUCHAREST, 5, ROMANIA</t>
  </si>
  <si>
    <t>NATL INST STATISTICS</t>
  </si>
  <si>
    <t>Johnson, S (corresponding author), Charles Univ Prague, Fac Sci, Dept Demog &amp; Geodemog, Prague, Czech Republic.</t>
  </si>
  <si>
    <t>Charles University Prague</t>
  </si>
  <si>
    <t>[Johnson, Stefan] Charles Univ Prague, Fac Sci, Dept Demog &amp; Geodemog, Prague, Czech Republic</t>
  </si>
  <si>
    <t>This study examines the temporal evolution of financial inclusion across Romania's 42 counties from 2011 to 2021, analyzing regional disparities through a multidimensional lens. Using the Mahalanobis Distance-Based Financial Inclusion Index (IFIMd), the Second Demographic Transition Behavioral Index (SDT1), and hierarchical clustering, this research assess the relationship between financial access, demographic changes, and socioeconomic factors. Our findings reveal persistent inequalities, with GDP, pensioner-to-elderly ratio, and physician-to-adult population ratio emerging as key predictors of financial inclusion at the panel level. NUTS3-specific analyses underscore the influence of urbanization and aging populations, with Bucharest consistently exhibiting the highest inclusion levels. Linear regression out-performs Holt's exponential smoothing in forecasting financial inclusion trends, capturing linear growth patterns. These insights highlight the need for targeted policy interventions to bridge regional financial inclusion gaps and foster equitable economic participation. By providing the first subnational application of SDT1 alongside the first application of IF-IMd longitudinally, this research advances understanding of financial inclusion dynamics in post-socialist contexts and informs strategies for addressing regional disparities.</t>
  </si>
  <si>
    <t>TRANSITION; EXCLUSION</t>
  </si>
  <si>
    <t>Financial Inclusion; Economic Demography; Romania; NUTS3; Demographic Change</t>
  </si>
  <si>
    <t>ROMANIAN STATISTICAL REVIEW</t>
  </si>
  <si>
    <t>The Interplay of Demographic and Socioeconomic Factors in Financial Inclusion Across Romania's Regions</t>
  </si>
  <si>
    <t>Johnson, Stefan</t>
  </si>
  <si>
    <t>WOS:000506485800001</t>
  </si>
  <si>
    <t>MP0QM</t>
  </si>
  <si>
    <t>10.1002/isd2.12129</t>
  </si>
  <si>
    <t>e12129</t>
  </si>
  <si>
    <t>FAUZI, ALI/0000-0002-8093-0560</t>
  </si>
  <si>
    <t>BAHRI, SHAMSHUL/B-9738-2010; FAUZI, ALI/B-8209-2010</t>
  </si>
  <si>
    <t>alifauzi@um.edu.my</t>
  </si>
  <si>
    <t>Fauzi, A (corresponding author), Univ Malaya, Dept Lib &amp; Informat Sci, Fac Comp Sci &amp; Informat Technol, Kuala Lumpur 50603, Malaysia.</t>
  </si>
  <si>
    <t>[Suwandaarachchi, Chaminda Methsiri] Univ Malaya, Inst Adv Studies, Kuala Lumpur 50603, Malaysia; [Bahri, Shamshul] Univ Malaya, Fac Business &amp; Accountancy, Dept Operat &amp; Management Informat Syst, Kuala Lumpur 50603, Malaysia; [Fauzi, Ali] Univ Malaya, Dept Lib &amp; Informat Sci, Fac Comp Sci &amp; Informat Technol, Kuala Lumpur 50603, Malaysia</t>
  </si>
  <si>
    <t>Mobile money brought bank-like facilities through low-cost operations and extensive agent networks to unbanked communities. Regulatory responses and support are essential, requiring significant changes to current regulatory practices. Due to their limited technical knowledge and financial technology resources, regulators worked with industry to overcome these challenges. Such collaborations are scarce. This study proposes a model for mobile money collaborative regulatory development. Actual practices were mapped with negotiated rulemaking theory to derive variations and extensions to the original theory. Regulators appointed a discussion committee with broader representation for objective decisions. Throughout the negotiation process, the central bank maintained close control; participants are motivated to compromise their interests to achieve joint gains. Findings reveal that collaboration gave participants the necessary knowledge and information to develop effective regulation. The central bank composed the executable rule through collaboration. Subsequent revisions are also key to regulatory development. These revisions were developed with stakeholder involvement as suggestions and comments. Mobility regulation also observes collaborative testing and benchmarking. Specialized subcommittees will further improve the negotiation process.</t>
  </si>
  <si>
    <t>NEGOTIATED RULEMAKING</t>
  </si>
  <si>
    <t>collaboration; financial inclusion; financial technologies; mobile money; regulation</t>
  </si>
  <si>
    <t>Collaborative approach in developing regulations for mobile money in Sri Lanka</t>
  </si>
  <si>
    <t>Suwandaarachchi, Chaminda Methsiri; Bahri, Shamshul; Fauzi, Ali</t>
  </si>
  <si>
    <t>Suwandaarachchi, CM; Bahri, S; Fauzi, A</t>
  </si>
  <si>
    <t>WOS:000579055100001</t>
  </si>
  <si>
    <t>WF3XO</t>
  </si>
  <si>
    <t>10.1002/ijfe.2063</t>
  </si>
  <si>
    <t>Ali, Minhaj/0000-0002-5876-1297; Nazir, Muhammad Rizwan/0000-0003-3946-2483; Hashmi, Shujahat Haider/0000-0001-7115-630X</t>
  </si>
  <si>
    <t>Ali, Minhaj/ABD-5896-2020; Bilal, Ahmer/HGC-7811-2022; Nazir, Muhammad/AAH-6470-2021; Hashmi, Shujahat Haider/K-7749-2019</t>
  </si>
  <si>
    <t>shujahat_hashmi@hotmail.com</t>
  </si>
  <si>
    <t>Hashmi, SH (corresponding author), Huazhong Univ Sci &amp; Technol, Sch Econ, Wuhan 430074, Peoples R China.</t>
  </si>
  <si>
    <t>Zhongnan University of Economics &amp; Law; Huazhong University of Science &amp; Technology; Zhongnan University of Economics &amp; Law</t>
  </si>
  <si>
    <t>[Ali, Minhaj; Bilal, Ahmer] Zhongnan Univ Econ &amp; Law, Sch Econ, Wuhan, Peoples R China; [Hashmi, Shujahat H.] Huazhong Univ Sci &amp; Technol, Sch Econ, Wuhan 430074, Peoples R China; [Nazir, Muhammad R.; Nazir, Muhammad, I] Zhongnan Univ Econ &amp; Law, Sch Finance, Wuhan, Peoples R China</t>
  </si>
  <si>
    <t>This innovative study examines the effect of financial inclusion measured by financial inclusion index (FII) on the economic growth of the Islamic Development Bank (IsDB) member countries. The data were collected on different elements of financial inclusion and economic growth for the period 2000-2016. To draw multi-dimensional results, we have set up the panel data for 45 countries, and we estimated the generalized method of moments (GMM), two-stage least squares (2SLS), panel vector autoregressive (VAR) and panel Granger causality tests. Based on the results of dynamic panel estimations, we find that FII has a positive effect on economic growth. The findings of Granger causality analysis reveals a bi-directional causality of FII indicators with economic growth and a unidirectional causality between the FII and economic growth. Therefore, it suggests that the financial inclusion index has a positive effect on the economic growth in IsDB member countries. These findings recommend that the policymakers should consider financial inclusion as a driver of the economic growth in the long run. The empirical findings have useful policy insights for the IsDB member countries.</t>
  </si>
  <si>
    <t>INSTITUTIONAL QUALITY; PANEL-DATA; POVERTY REDUCTION; IMPACT; BANKS; INEQUALITY; LINKAGES; ACCESS; MATTER; TESTS</t>
  </si>
  <si>
    <t>economic growth; financial inclusion index; GMM; IsDB; panel VAR</t>
  </si>
  <si>
    <t>Does financial inclusion enhance economic growth? Empirical evidence from theIsDBmember countries</t>
  </si>
  <si>
    <t>Ali, Minhaj; Hashmi, Shujahat H.; Nazir, Muhammad R.; Bilal, Ahmer; Nazir, Muhammad, I</t>
  </si>
  <si>
    <t>Ali, M; Hashmi, SH; Nazir, MR; Bilal, A; Nazir, M</t>
  </si>
  <si>
    <t>WOS:001049575200001</t>
  </si>
  <si>
    <t>W8B3C</t>
  </si>
  <si>
    <t>10.1108/JSTPM-07-2022-0114</t>
  </si>
  <si>
    <t>Jones, Sally/0000-0002-4760-5969; Njinyah, Sam/0000-0002-7746-9750;</t>
  </si>
  <si>
    <t>; Asongu, Simplice/K-3436-2014</t>
  </si>
  <si>
    <t>S.Njinyah@mmu.ac.uk; asongusimplice@yahoo.com; sjones@mmu.ac.uk</t>
  </si>
  <si>
    <t>Asongu, S (corresponding author), Univ Johannesburg, Sch Econ, Johannesburg, South Africa.;Asongu, S (corresponding author), New Uzbekistan Univ, Uzbekistan &amp; ERGO ANALYT LLC, Dept Econ &amp; Data Sci, Tashkent, Uzbekistan.</t>
  </si>
  <si>
    <t>Manchester Metropolitan University; University of Johannesburg</t>
  </si>
  <si>
    <t>[Njinyah, Sam; Jones, Sally] Manchester Metropolitan Univ, Dept Strategy Enterprise &amp; Sustainabil, Manchester, England; [Asongu, Simplice] Univ Johannesburg, Sch Econ, Johannesburg, South Africa; [Asongu, Simplice] New Uzbekistan Univ, Uzbekistan &amp; ERGO ANALYT LLC, Dept Econ &amp; Data Sci, Tashkent, Uzbekistan</t>
  </si>
  <si>
    <t>PurposeAfrica is becoming the fastest-growing continent despite significant challenges to accessing finance and the use of technology. This paper aims to examine the direct effect of mobile money adoption on firm performance and its moderation effect by examining how it moderates the effect of access to finance on firm performance. Design/methodology/approachQuantitative data were obtained from the World Bank Enterprise Survey for Cameroon, Ivory Coast and Zimbabwe. A series of hierarchical regression analyses were done to test the hypotheses. FindingsThe main findings show a negative significant relationship between mobile money adoption and firm performance, while access to finance had a positive relationship. The moderation effect though positive was not significant. Research examining the effect of mobile money adoption in Africa on firm performance is limited, and existing studies have focused on the determinants of mobile money usage. By examining the direct and contingency effect on other determinants of firm performance, this research makes both theoretical and practical contributions. Theoretically, this research shows that not all strategic resources are valuable in improving firm performance. Practically, this research provides insights into how technology could be embedded into business processes for firms to benefit from such technology. Originality/valueThis research has complemented by the extant literature by assessing the role of mobile money adoption in moderating the influence of access to finance on firm performance.</t>
  </si>
  <si>
    <t>TECHNOLOGY ADOPTION; E-BUSINESS; INNOVATION; IMPACT; INFORMATION; RESOURCES; CONSTRAINTS; AFRICA; GROWTH</t>
  </si>
  <si>
    <t>Mobile money; Access to finance; Firm performance; Resource-based view; Sub-Saharan Africa</t>
  </si>
  <si>
    <t>The role of mobile money adoption in moderating the influence of access to finance in firm performance</t>
  </si>
  <si>
    <t>Njinyah, Sam; Asongu, Simplice; Jones, Sally</t>
  </si>
  <si>
    <t>Njinyah, S; Asongu, S; Jones, S</t>
  </si>
  <si>
    <t>WOS:001186414700006</t>
  </si>
  <si>
    <t>10.1093/oxrep/grad049</t>
  </si>
  <si>
    <t>write.ser@gmail.com</t>
  </si>
  <si>
    <t>Rutherford, S (corresponding author), Hrishipara Daily Diaries Project, Hrishipara, Bangladesh.;Rutherford, S (corresponding author), Shohoz Shonchoy Cooperat, Dhaka, Bangladesh.</t>
  </si>
  <si>
    <t>[Rutherford, Stuart] Hrishipara Daily Diaries Project, Hrishipara, Bangladesh; [Rutherford, Stuart] Shohoz Shonchoy Cooperat, Dhaka, Bangladesh</t>
  </si>
  <si>
    <t>The paper discusses the degree to which their longstanding informal savings practices influenced the way in which the unbanked poor responded to modern microfinance. The practices are described using evidence from the author's many decades of talking to poor people about how they manage their money. The histories of four very different kinds of microfinance projects are reviewed to examine the extent to which they respect informal practices, and what the outcome was in terms of their success in offering good savings services to low-income households on a large scale. We see how a formal bank first showed how to offer a service comparable to popular 'money guards'; how an NGO-led movement has demonstrated the effectiveness of introducing robust informal group-based savings-and-loan devices to populations that had not previously been using them; and how Bangladesh's famous microcredit revolution eventually spawned a second microsavings revolution.</t>
  </si>
  <si>
    <t>savings; microfinance; indigenous money management systems</t>
  </si>
  <si>
    <t>Microfinance and savings</t>
  </si>
  <si>
    <t>Rutherford, Stuart</t>
  </si>
  <si>
    <t>Rutherford, S</t>
  </si>
  <si>
    <t>WOS:001586849100001</t>
  </si>
  <si>
    <t>8EQ3O</t>
  </si>
  <si>
    <t>10.1108/JES-06-2025-0386</t>
  </si>
  <si>
    <t>2025 OCT 2</t>
  </si>
  <si>
    <t>Singh, Pavneet/0000-0001-7070-1038</t>
  </si>
  <si>
    <t>Singh, Pavneet/ABD-4084-2021</t>
  </si>
  <si>
    <t>pavneets@iimamritsar.ac.in</t>
  </si>
  <si>
    <t>Singh, P (corresponding author), Indian Inst Management Amritsar, Dept Econ, Amritsar, India.</t>
  </si>
  <si>
    <t>Indian Institute of Management (IIM System); Indian Institute of Management Amritsar</t>
  </si>
  <si>
    <t>[Singh, Pavneet] Indian Inst Management Amritsar, Dept Econ, Amritsar, India</t>
  </si>
  <si>
    <t>PurposeThis study aims to identify the themes in the existing research on the role of digital technologies in financial inclusion. This study also highlights the important journals, authors and countries leading the research on this topic and points towards the directions for future research.Design/methodology/approachThe study uses a bibliometric analysis on a dataset of 653 articles in high-impact journals collected from Scopus. Science mapping and network analysis on this data are conducted using the Bibliometrix package in R and the VOS Viewer software.FindingsThe literature on the role of digital technologies in financial inclusion has grown exponentially in the last few years, especially in the developing countries. Lack of reliable databases on financial inclusion are an impediment to research. Seven important themes in existing research are identified - antecedents of digital financial inclusion (DFI), impact of DFI on macroeconomic outcomes, consumption patterns and sustainability, banks' stability and risk-taking, environmental impacts of financial technologies, improved access to credit for small businesses and economic geography-based critiques of these technologies.Originality/valueThis is the first bibliometric study on the role of digital technologies in financial inclusion and provides a thematic understanding of existing research clusters. The research gaps on the topic of DFI identified in this study can help drive future academic research.</t>
  </si>
  <si>
    <t>INDIA</t>
  </si>
  <si>
    <t>Financial technology; Mobile money; Financial inclusion; Inequality; Developing economies; Bibliometric analysis; Scopus</t>
  </si>
  <si>
    <t>Role of digital technologies in financial inclusion: a bibliometric analysis</t>
  </si>
  <si>
    <t>Singh, Pavneet</t>
  </si>
  <si>
    <t>Singh, P</t>
  </si>
  <si>
    <t>WOS:000504213100001</t>
  </si>
  <si>
    <t>QL0WK</t>
  </si>
  <si>
    <t>10.1080/15228916.2019.1695189</t>
  </si>
  <si>
    <t>Bongomin, GOC (corresponding author), Makerere Univ, Business Sch, FGSR, POB 1337, Kampala, Uganda.</t>
  </si>
  <si>
    <t>[Bongomin, George Okello Candiya; Munene, John C.] Makerere Univ, Business Sch, FGSR, POB 1337, Kampala, Uganda</t>
  </si>
  <si>
    <t>The main purpose of this study is to analyze the mediating role of cultural norms in the relationship between mobile money adoption and usage and financial inclusion of micro small and medium enterprises (MSMEs) in developing countries. The results revealed existence of significant and positive mediating role of cultural norms in the relationship between mobile money adoption and usage and financial inclusion of MSMEs in developing countries with data collected from Uganda. Accordingly, the designers of digital financial products and mobile network operators (MNOs) should consider the role of cultural norms while inventing financial products and services offered through the mobile money channel.</t>
  </si>
  <si>
    <t>FIRMS; TECHNOLOGY; ACCEPTANCE; SERVICES</t>
  </si>
  <si>
    <t>Mobile money; digital financial ecosystem; cultural norms; MSMEs; financial inclusion</t>
  </si>
  <si>
    <t>Analyzing the Relationship between Mobile Money Adoption and Usage and Financial Inclusion of MSMEs in Developing Countries: Mediating Role of Cultural Norms in Uganda</t>
  </si>
  <si>
    <t>Bongomin, George Okello Candiya; Munene, John C.</t>
  </si>
  <si>
    <t>Bongomin, GOC; Munene, JC</t>
  </si>
  <si>
    <t>WOS:000825261300005</t>
  </si>
  <si>
    <t>10.1891/JFCP-2021-0060</t>
  </si>
  <si>
    <t>jack@ficycle.org; phil@ficycle.org; andy@ficycle.org</t>
  </si>
  <si>
    <t>Marley-Payne, J (corresponding author), Financial Life Cycle Educ, Res, 65 Bleecker St, New York, NY 10012 USA.</t>
  </si>
  <si>
    <t>[Marley-Payne, Jack] Financial Life Cycle Educ, Res, 65 Bleecker St, New York, NY 10012 USA; [Dituri, Philip] Financial Life Cycle Educ, Educ, 65 Bleecker St, New York, NY 10012 USA; [Davidson, Andrew] Financial Life Cycle Educ, 65 Bleecker St, New York, NY 10012 USA</t>
  </si>
  <si>
    <t>A significant ongoing initiative is to identify the conditions under which financial education is most effective, as it has been shown to work much better in some circumstances than others. One factor to consider is mathematical capability, as it has been linked to improved financial knowledge and financial outcomes. In this paper; we investigated one aspect of math capability: math confidence (that is, self-reported math ability). We examined how this factor interacts with financial education (measured by the number of financial education courses taken) with data from the 2018 National Financial Capability Survey (NFCS). We found that both mathematical confidence and financial education were positively associated with financial behaviors and. moreover, that the effects were largely independent rather than acting as substitutes suggesting that future intervention work should consider both factors.</t>
  </si>
  <si>
    <t>financial behavior; financial education; financial literacy; financial wellbeing; personal finance</t>
  </si>
  <si>
    <t>Financial Education, Mathematical Confidence, and Financial Behavior</t>
  </si>
  <si>
    <t>Marley-Payne, Jack; Dituri, Philip; Davidson, Andrew</t>
  </si>
  <si>
    <t>Marley-Payne, J; Dituri, P; Davidson, A</t>
  </si>
  <si>
    <t>WOS:000391088500010</t>
  </si>
  <si>
    <t>EG5MR</t>
  </si>
  <si>
    <t>10.1111/lamp.12101</t>
  </si>
  <si>
    <t>Lat. Am. Policy</t>
  </si>
  <si>
    <t>LAT AM POLICY</t>
  </si>
  <si>
    <t>2041-7373</t>
  </si>
  <si>
    <t>2041-7365</t>
  </si>
  <si>
    <t>Schönerwald, C (corresponding author), Univ Fed Rio de Janeiro, BR-21941 Rio De Janeiro, Brazil.</t>
  </si>
  <si>
    <t>Universidade Federal do Rio de Janeiro; Bucknell University</t>
  </si>
  <si>
    <t>[Schonerwald, Carlos] Univ Fed Rio de Janeiro, BR-21941 Rio De Janeiro, Brazil; [Vernengo, Matias] Bucknell Univ, Lewisburg, PA 17837 USA</t>
  </si>
  <si>
    <t>Several political and academic circles have considered microfinance to be an important tool to promote economic development and the reduction of poverty. It became a worldwide phenomenon, and the practice disseminated in many developing countries such as Brazil. Even as many authors sing the praises of microfinance-in particular the success in developing countries-the actual experience has fallen short. The goal in this article is to provide a critical analysis of the recent practices of microfinance in Brazil. The article also presents the general characteristics of microcredit in Brazil within the context of the broader development strategy pursued, in particular since stabilization and the inception of neoliberal policies in the mid-1990s. It is argued that microfinance plays an insidious role, making market-friendly solutions for social problems more acceptable.</t>
  </si>
  <si>
    <t>economic development; microfinance; poverty; Brazil</t>
  </si>
  <si>
    <t>LATIN AMERICAN POLICY</t>
  </si>
  <si>
    <t>Microfinance, Financial Inclusion, and the Rhetoric of Reaction: The Evolution and Limitations of Microfinance in Brazil</t>
  </si>
  <si>
    <t>Schonerwald, Carlos; Vernengo, Matias</t>
  </si>
  <si>
    <t>Schönerwald, C; Vernengo, M</t>
  </si>
  <si>
    <t>WOS:001280937100001</t>
  </si>
  <si>
    <t>A2N0S</t>
  </si>
  <si>
    <t>10.1016/j.heliyon.2024.e34902</t>
  </si>
  <si>
    <t>e34902</t>
  </si>
  <si>
    <t>The author expresses his deepest gratitude to the Universiti Teknikal Malaysia Melaka for financial support in carrying out this research through a research grant with contract number ANTARABANGSA-YAPERTIB/2023/IPTK/A00055.</t>
  </si>
  <si>
    <t>Universiti Teknikal Malaysia Melaka</t>
  </si>
  <si>
    <t>Universiti Teknikal Malaysia Melaka [ANTARABANGSA-YAPERTIB/2023/IPTK/A00055]</t>
  </si>
  <si>
    <t>Adil, Hayder/AAE-8107-2019; Farhi, Faycal/JVZ-4345-2024; Al Mamun, Abdullah/B-6226-2013; Al-shami, Samer/AAL-3837-2020</t>
  </si>
  <si>
    <t>samshami79@gmail.com</t>
  </si>
  <si>
    <t>Al-shami, SA (corresponding author), Univ Teknikal Malaysia Melaka, Melaka, Malaysia.</t>
  </si>
  <si>
    <t>University Teknikal Malaysia Melaka; Universiti Teknologi Malaysia; Dijlah University College; Universiti Kebangsaan Malaysia</t>
  </si>
  <si>
    <t>[Al-shami, Samer Ali] Univ Teknikal Malaysia Melaka, Melaka, Malaysia; [Damayanti, Ratna] Islamic Batik Univ Surakarta, Surakarta, Indonesia; [Adil, Hayder] Dijlah Univ Coll, Dora, Iraq; [Farhi, Faycal] Al Ain Univ, Al Ain, U Arab Emirates; [Al Mamun, Abdullah] Univ Kebangsaan Malaysia, Bangi, Malaysia</t>
  </si>
  <si>
    <t>Batik, an Indonesian textile art form, holds immense economic and cultural importance. Small and medium enterprises (SMEs) specialising in batik play a crucial role in Indonesia's economic growth and cultural preservation, contributing significantly to the gross domestic product (GDP) and preserving the nation's heritage. Nevertheless, these enterprises face several challenges, such as slow growth and limited access to credit. The batik industry also lags in financial literacy and the adoption of digital marketing strategies, hindering its development. This quantitative study aims to investigate the relationship between financial literacy, digital financial literacy, and financial inclusion in batik SMEs and also examined the moderating effect of online social networks. A survey was conducted involving 535 managers, owners, and financial officers of small batik enterprises. Subsequently, the SmartPLS statistical analysis method was employed for data analysis. The results demonstrate that financial literacy and digital financial literacy play a significant role in accessing financial inclusion for batik small enterprises. Moreover, the utilisation of social media was found to moderate these relationships, amplifying the impact of financial and digital literacy on financial inclusion. The findings contribute to the existing knowledge, provide insights for enhancing batik small enterprises, and propose a digital financial model to promote financial inclusion.</t>
  </si>
  <si>
    <t>PERFORMANCE; INDUSTRY; ACCESS; IMPACT</t>
  </si>
  <si>
    <t>Batik small enterprises; Indonesia; Financial literacy; Digital financial literacy; Financial inclusion; Online social networks</t>
  </si>
  <si>
    <t>Financial and digital financial literacy through social media use towards financial inclusion among batik small enterprises in Indonesia</t>
  </si>
  <si>
    <t>Al-shami, Samer Ali; Damayanti, Ratna; Adil, Hayder; Farhi, Faycal; Al Mamun, Abdullah</t>
  </si>
  <si>
    <t>Al-shami, SA; Damayanti, R; Adil, H; Farhi, F; Al Mamun, A</t>
  </si>
  <si>
    <t>WOS:000817223500001</t>
  </si>
  <si>
    <t>4H7AO</t>
  </si>
  <si>
    <t>10.1108/JSM-09-2021-0362</t>
  </si>
  <si>
    <t>J. Serv. Mark.</t>
  </si>
  <si>
    <t>J SERV MARK</t>
  </si>
  <si>
    <t>0887-6045</t>
  </si>
  <si>
    <t>The first author gratefully acknowledges seed funding from Department of Management and Marketing, University of Melbourne and in-kind support from Department of Commerce, University of Mumbai for this project. We would also like to thank the reviewers and editors of this special issue for their invaluable feedback and openness during the review process.</t>
  </si>
  <si>
    <t>Department of Management and Marketing, University of Melbourne(University of Melbourne)</t>
  </si>
  <si>
    <t>Department of Management and Marketing, University of Melbourne</t>
  </si>
  <si>
    <t>Meshram, Kanika/0000-0002-5120-8480; Venkatraman, Rohan/0000-0002-1161-0942</t>
  </si>
  <si>
    <t>Meshram, Kanika/ITU-2678-2023; Venkatraman, Rohan/HJI-2962-2023</t>
  </si>
  <si>
    <t>kanika.meshram@unimelb.edu.au</t>
  </si>
  <si>
    <t>Meshram, K (corresponding author), Univ Melbourne, Dept Management &amp; Mkt, Melbourne Inst, Carlton, Vic, Australia.</t>
  </si>
  <si>
    <t>University of Melbourne; University of Birmingham</t>
  </si>
  <si>
    <t>[Meshram, Kanika] Univ Melbourne, Dept Management &amp; Mkt, Melbourne Inst, Carlton, Vic, Australia; [Venkatraman, Rohan] Univ Birmingham, Dept Mkt, Birmingham Business Sch, Birmingham, W Midlands, England</t>
  </si>
  <si>
    <t>Purpose This research aims to address the transformative service research (TSR) agenda by examining the issue of caste-based financial exclusion in microcredit lending services in India. To do so, it draws on statistical discrimination theory from labour economics to develop and test a multi-level prosocial service orientation framework. Design/methodology/approach Survey data come from 238 loan officers and 250 lower caste loan applicants across 43 microfinance institutions (MFIs) in India. The data are analysed using hierarchical linear modelling, a method appropriate for investigating micro- and macro-level organisational variables. Findings At the micro level, the service orientation factors of social dominance orientation and algorithmic-driven lending decisions affect financial exclusion of lower caste bottom-of-the-pyramid (BoP) vendors. At the macro level, the service orientation mechanism of inclusive service climate reduces caste-based financial exclusion, while the level of lending risk to reduce discrimination receives no support. Research limitations/implications Research in other contexts is warranted to confirm the prosocial service orientation model. Methodological challenges at the BoP also present avenues for insightful work. Social implications The study shows the importance of an inclusive service climate and reassessment of algorithmic-driven lending decisions to eliminate caste-based indicators in lending decisions. It also recommends policy reform of caste-based affirmative action at the macro- and micro-levels of lending decisions. Originality/value This research extends the TSR agenda to include caste-based discrimination in prosocial services. It takes a multidisciplinary perspective on services research by incorporating statistical discrimination theory from labour economics to extend understanding of service orientation.</t>
  </si>
  <si>
    <t>SOCIAL-DOMINANCE ORIENTATION; STATISTICAL DISCRIMINATION; MICROFINANCE INSTITUTIONS; PERFORMANCE; TECHNOLOGY; CLIMATE; DESIGN; IMPACT; MARKET; RISK</t>
  </si>
  <si>
    <t>Transformative service research; Caste-based discrimination; Microfinance institutions; Service orientation; Statistical discrimination</t>
  </si>
  <si>
    <t>JOURNAL OF SERVICES MARKETING</t>
  </si>
  <si>
    <t>A transformative service research perspective on caste-based discrimination in microcredit lending in India</t>
  </si>
  <si>
    <t>Meshram, Kanika; Venkatraman, Rohan</t>
  </si>
  <si>
    <t>Meshram, K; Venkatraman, R</t>
  </si>
  <si>
    <t>WOS:000423706800014</t>
  </si>
  <si>
    <t>FU2UZ</t>
  </si>
  <si>
    <t>10.1108/IJSE-12-2016-0371</t>
  </si>
  <si>
    <t>Samanta, Sasmita/0000-0003-1175-9517;</t>
  </si>
  <si>
    <t>Samanta, Sasmita/AAD-7338-2022; Nanda, Dr Ajaya Kumar/JQK-8657-2023</t>
  </si>
  <si>
    <t>ajayakumarnanda@gmail.com</t>
  </si>
  <si>
    <t>Nanda, AK (corresponding author), Kalinga Inst Social Sci, Dept Accounts &amp; Finance, Bhubaneswar, Orissa, India.</t>
  </si>
  <si>
    <t>Kalinga Institute of Industrial Technology (KIIT)</t>
  </si>
  <si>
    <t>[Nanda, Ajaya Kumar] Kalinga Inst Social Sci, Dept Accounts &amp; Finance, Bhubaneswar, Orissa, India; [Samanta, Sasmita] KIIT Univ, Bhubaneswar, Orissa, India</t>
  </si>
  <si>
    <t>Purpose - The present paper is an attempt to understand the various concepts related to financial literacy. For the development of this paper, secondary data have been considered by visiting various sources of information. The reviews are made on four parameters, which include social exclusion among tribes, government initiatives for tribal development, socio-economic condition of tribes and impact of financial literacy on the lives of tribes. The purpose of this paper is to identify the variables and to undertake an empirical research on this topic. It is found that excluded from income-generating activities, formal education, political system are not getting adequate exposure for maintaining the standard of living. Mostly, the changing economic scenario of consumers, discrimination of wage and employment, lack of capital and financial literacy leads to the mismanagement of money. The financial products are the various causes of financial exclusion and need to be addressed through adequate financial literacy. Moreover, the study attempts to understand the various reasons of financial exclusion and to comprehend the empirical research on the topic as well. Design/methodology/approach - The present paper is based on the secondary data. In this regard, various sources of information have been visited to collect the data. Findings - The study finds that owing to exclusion from income-generating activities, lack of formal education, absence of patronage political in adequate means for maintaining an acceptable standard of living, caste discriminations, poverty and migration, exploitation in the hands of money lenders, marginal increase in income, absence of infrastructure, unemployment, lack of financial literacy and its resultant mismanagement of money among the tribal community has pushed them to the utter stage of poverty universally. Originality/value - The paper can help administrators and the policymakers of different regions across the world to take appropriate measures to focus on educating the people on different financial products and to increase the accessibility. Moreover, the paper can help research scholars to build platform of their research banking upon the data presented in this study.</t>
  </si>
  <si>
    <t>Financial inclusion; Financial literacy; Financial exclusion; Tribes</t>
  </si>
  <si>
    <t>Mainstreaming tribals through financial literacy - a review of literature</t>
  </si>
  <si>
    <t>Nanda, Ajaya Kumar; Samanta, Sasmita</t>
  </si>
  <si>
    <t>Nanda, AK; Samanta, S</t>
  </si>
  <si>
    <t>WOS:001615664900005</t>
  </si>
  <si>
    <t>9UZ4C</t>
  </si>
  <si>
    <t>10.5325/jafrideve.26.2.0259</t>
  </si>
  <si>
    <t>J. Afr. Dev.</t>
  </si>
  <si>
    <t>J AFR DEV</t>
  </si>
  <si>
    <t>2689-4084</t>
  </si>
  <si>
    <t>2689-4092</t>
  </si>
  <si>
    <t>820 NORTH UNIV DRIVE, U S B 1, STE C, UNIVERSITY PK, PA 16802 USA</t>
  </si>
  <si>
    <t>UNIVERSITY PK</t>
  </si>
  <si>
    <t>PENN STATE UNIV PRESS</t>
  </si>
  <si>
    <t>This work was conducted using funds received by the Economic Policy Research Network (EPRN Rwanda) from the African Economic Research (AERC) under grant number R121512 as part of the broader project on financial inclusion and market development in East African Community economies, funded by the Bill and Melinda Gates Foundation. The authors and EPRN appreciate this financial support that enabled the collection of primary qualitative data to supplement secondary quantitative data. We are also grateful to the steering committee members of this research project as well as peer reviewers and par-ticipants at several workshops conducted in Kigali, Nairobi, and Dar es Salaam, all of whom helped to improve earlier versions of this manuscript. The authors take responsibility for any errors that may exist within the manuscript.</t>
  </si>
  <si>
    <t>Economic Policy Research Network (EPRN Rwanda) from the African Economic Research (AERC); Bill and Melinda Gates Foundation(Bill &amp; Melinda Gates Foundation)</t>
  </si>
  <si>
    <t>Economic Policy Research Network (EPRN Rwanda) from the African Economic Research (AERC) [R121512]; Bill and Melinda Gates Foundation</t>
  </si>
  <si>
    <t>kasimgm@gmail.com; info@eprnrwanda.org; akampresh@gmail.com</t>
  </si>
  <si>
    <t>Munyegera, KG (corresponding author), Mazima Res Consultancy Ltd, Kigali, Rwanda.</t>
  </si>
  <si>
    <t>[Munyegera, Kasim Ggombe; Kwizera, Seth] Mazima Res Consultancy Ltd, Kigali, Rwanda; [Akampumuza, Precious] Econ Policy Res Network EPRN Rwanda, Kigali, Rwanda</t>
  </si>
  <si>
    <t>Digital financial services (DFS) have the potential to promote payments' efficiency and boost financial inclusion even in remote areas with minimal traditional financial infrastructure such as bank branches. In Rwanda, the digitization of payments is a key policy strategy in a bid to transform the country toward a more cashless and knowledge-based economy. This article traces the development path of DFSs in Rwanda over the decade 2011 to 2021 using a mixed-methods approach, where the quantitative approach explores dynamics of key DFS indicators and the qualitative approach explores opportunities and challenges for further promoting DFS in the country. The findings indicate that between 2011 and 2021, the number of people using Internet and mobile banking increased quite substantially. The number of active mobile money subscribers increased from 1.6 million in 2012 to 5.1 million in 2021, while credit cards increased from 115,200 in 2011 to 686,309 in 2021. The transactional volume and value also increased remarkably, partly fueled by COVID-19 and innovative use of mobile money, including electronic tax payment. The article recommends improving Internet connectivity and quality, promoting digital literacy, improving interoperability, and enhancing cybersecurity to further boost DFS in Rwanda.</t>
  </si>
  <si>
    <t>MOBILE MONEY; INCLUSION; LITERACY; DETERMINANTS; ADOPTION; BANKING; GENDER; ACCESS</t>
  </si>
  <si>
    <t>digital financial services; financial inclusion; mixed methods; cashless economy; Rwanda</t>
  </si>
  <si>
    <t>JOURNAL OF AFRICAN DEVELOPMENT</t>
  </si>
  <si>
    <t>Development of the Digital Financial Ecosystem in Rwanda: Patterns, Trends, and Way Forward</t>
  </si>
  <si>
    <t>Munyegera, Kasim Ggombe; Kwizera, Seth; Akampumuza, Precious</t>
  </si>
  <si>
    <t>Munyegera, KG; Kwizera, S; Akampumuza, P</t>
  </si>
  <si>
    <t>WOS:001217876700001</t>
  </si>
  <si>
    <t>PZ4C3</t>
  </si>
  <si>
    <t>10.1080/16549716.2024.2342634</t>
  </si>
  <si>
    <t>Glob. Health Action</t>
  </si>
  <si>
    <t>GLOBAL HEALTH ACTION</t>
  </si>
  <si>
    <t>1654-9880</t>
  </si>
  <si>
    <t>Knowledge developed through AT2030, a programme funded by UK Aid and led by the Global Disability Innovation Hub, has contributed to this output. We are grateful for the strategic advice regarding financial inclusion provided by Ms Pollyanna Wardrop and Ms Elaine Draper of the Global Disability Innovation Hub.</t>
  </si>
  <si>
    <t>Monash Business School's Interdisciplinary Seed; UK Aid(CGIAR)</t>
  </si>
  <si>
    <t>Monash Business School's Interdisciplinary Seed [AT2030]; UK Aid</t>
  </si>
  <si>
    <t>Bell, Diane/0000-0003-2139-0012; Layton, Natasha/0000-0002-3213-8069; Puli, Louise/0000-0002-1866-0088</t>
  </si>
  <si>
    <t>Bell, Diane/AAZ-8163-2020; Layton, Natasha/I-5121-2017</t>
  </si>
  <si>
    <t>louise.puli@monash.edu</t>
  </si>
  <si>
    <t>Puli, L (corresponding author), Monash Univ, Monash Rehabil Ageing &amp; Independent Living Res Ctr, Australia Peninsular Campus Moorooduc Hwy, Melbourne, Vic 3199, Australia.</t>
  </si>
  <si>
    <t>Monash University; Stellenbosch University; University of London; University College London; Monash University</t>
  </si>
  <si>
    <t>[Puli, Louise; Layton, Natasha] Monash Univ, Monash Rehabil Ageing &amp; Independent Living Res Ctr, Australia Peninsular Campus Moorooduc Hwy, Melbourne, Vic 3199, Australia; [Bell, Diane] Stellenbosch Univ, Business Sch, Stellenbosch, South Africa; [Bell, Diane] UCL, Comp Sci, London, England; [Shahriar, Abu Zafar] Monash Univ, Dept Banking &amp; Finance, Melbourne, Australia</t>
  </si>
  <si>
    <t>BackgroundFinancial exclusion is a human rights issue affecting health equity. Evidence demonstrates that financial exclusion is exacerbated for people with disability and those in low- to middle-income countries (LMIC). Barriers to financial access include limited demand for services, banking inadequacies in catering to people with disability, and insufficiently accessible information technologies (ICT) and infrastructure.ObjectivesThis scoping review sought to identify barriers to and facilitators of financial inclusion for people with disability in LMIC. As a secondary objective, the study explored the potential of financial education and ICT utilisation as viable strategies for enhancing financial inclusion.MethodsThis review utilised the Arksey and O'Malley framework and PRISMA Checklist for systematic literature examination and data extraction. The WHO's Environmental Factors guided the analysis to propose potential interventions and to generate recommendations.ResultsThe review analysed 26 publications from various global regions and fields including finance, business, technology, health and disability policy. It identified consistent financial inclusion barriers for people with disability, resulting in a set of global recommendations across attitudes, environment, technology, services, and policy.ConclusionsRecommendations include using ICT, digital innovation and multi-stakeholder collaboration to address the financial barriers experienced by people with disability. These efforts, rooted in social justice, aim to include people with disability in LMIC as valued financial sector participants, promoting health and equity. Main findings: There are global access barriers and enablers to financial inclusion for people living with disability. Recommendations to improve access include countering stigma and attitudinal barriers, engaging in user centred design of financial services,providing financial education and ensuring accessibility of assistive technology and ICT, along with the physical environment of the bank.Added knowledge: This study reviews the literature and offers a global overview of financial inclusion for people with disabilities, along with recommendations for universally applicable actions to enhance access.Global health impact for policy and action: Identifying barriers to financial inclusion and suggesting strategies to overcome them provides valuable guidance for policymakers and advocates working to improve access to financial services for people with disability.</t>
  </si>
  <si>
    <t>Financial inclusion; ICT; disability; banking; assistive technology; training; exclusion</t>
  </si>
  <si>
    <t>Financial inclusion for people with disability: a scoping review</t>
  </si>
  <si>
    <t>Puli, Louise; Layton, Natasha; Bell, Diane; Shahriar, Abu Zafar</t>
  </si>
  <si>
    <t>Puli, L; Layton, N; Bell, D; Shahriar, A</t>
  </si>
  <si>
    <t>WOS:001517122300003</t>
  </si>
  <si>
    <t>4FZ6T</t>
  </si>
  <si>
    <t>10.1016/j.frl.2025.107776</t>
  </si>
  <si>
    <t>Seetharam, Yudhvir/0000-0003-4409-1015; Nyakurukwa, Kingstone/0000-0001-5854-4631; chipeta, Chimwemwe/0000-0002-4341-9114</t>
  </si>
  <si>
    <t>Seetharam, Yudhvir/AAH-9563-2021; Nyakurukwa, Kingstone/AAV-7669-2021</t>
  </si>
  <si>
    <t>knyakurukwa@gmail.com; Yudhvir.Seetharam@wits.ac.za; Chimwemwe.Chipeta@wits.ac.za</t>
  </si>
  <si>
    <t>Nyakurukwa, K (corresponding author), Univ Witwatersrand, Sch Econ &amp; Finance, Johannesburg, South Africa.</t>
  </si>
  <si>
    <t>[Nyakurukwa, Kingstone; Seetharam, Yudhvir; Chipeta, Chimwemwe] Univ Witwatersrand, Sch Econ &amp; Finance, Johannesburg, South Africa</t>
  </si>
  <si>
    <t>This study examines the extent to which individual- and country-level characteristics account for variations in the use of digital payments across 36 African countries. Using a two-level random intercept multilevel probit model, we analyse cross-sectional data to estimate the probability of digital financial inclusion while accounting for the hierarchical structure of individuals nested within countries. The analysis quantifies the proportion of variance in digital payment usage that is attributable to country-level versus individual-level factors, using intraclass correlation coefficients (ICCs). The results reveal that most of the explained variance (75 %) stems from individual characteristics like age, education, gender, income, employment, and internet access. However, country-level factors;particularly national education levels and employment levels, also play a meaningful role. These findings highlight the importance of both micro- and macro-level determinants in shaping digital financial behaviours and demonstrate the need for contextsensitive policies to promote inclusive digital finance.</t>
  </si>
  <si>
    <t>Digital financial inclusion; Fintech; Digital payments; Paytech; Africa</t>
  </si>
  <si>
    <t>Disaggregating digital financial inclusion in Africa: Explaining within- and between-country variance</t>
  </si>
  <si>
    <t>Nyakurukwa, Kingstone; Seetharam, Yudhvir; Chipeta, Chimwemwe</t>
  </si>
  <si>
    <t>Nyakurukwa, K; Seetharam, Y; Chipeta, C</t>
  </si>
  <si>
    <t>WOS:000899867100013</t>
  </si>
  <si>
    <t>7C5QL</t>
  </si>
  <si>
    <t>10.1016/j.frl.2022.103278</t>
  </si>
  <si>
    <t>The authors acknowledge financial support from the Spanish Ministry of Economy and Competitiveness, Project RTI2018-097,447-B-I00 and PID2020-118064GB-I00 and from the Professorship Excellence Program in accordance with the multi-year agreement signed by the Government of Madrid and the Autonoma University of Madrid (Line #3) .</t>
  </si>
  <si>
    <t>Spanish Ministry of Economy and Competitiveness(Spanish Government)</t>
  </si>
  <si>
    <t>Spanish Ministry of Economy and Competitiveness [RTI2018-097,447-B-I00, PID2020-118064GB-I00]</t>
  </si>
  <si>
    <t>Forcadell, Francisco Javier/0000-0003-0145-1842; UBEDA MELLINA, FERNANDO ANES/0000-0002-0456-399X;</t>
  </si>
  <si>
    <t>Forcadell, Francisco Javier/H-5072-2015; UBEDA MELLINA, FERNANDO ANES/K-8541-2017; Ubeda, Fernando/K-8541-2017</t>
  </si>
  <si>
    <t>a.mendez@lse.ac.uk</t>
  </si>
  <si>
    <t>Mendez, A (corresponding author), ESIC Univ, Madrid, Spain.;Mendez, A (corresponding author), London Sch Econ &amp; Polit Sci, London, England.</t>
  </si>
  <si>
    <t>ESIC; ESIC University; University of London; London School Economics &amp; Political Science; Universidad Rey Juan Carlos</t>
  </si>
  <si>
    <t>[ubeda, Fernando] Univ AutonomaMadrid, Madrid, Spain; [Mendez, Alvaro] ESIC Univ, Madrid, Spain; [Mendez, Alvaro] London Sch Econ &amp; Polit Sci, London, England; [Forcadell, Francisco Javier] Univ Rey Juan Carlos, Madrid, Spain; [Forcadell, Francisco Javier] UBI Business Sch, Brussels, Belgium</t>
  </si>
  <si>
    <t>Lack of access to banking generates inequality in the developing world; therefore, financial in-clusion is a crucial objective of the Sustainable Development Goals. We investigate the impact of sustainable practices of multinational banks (MNBs) on financial inclusion. A sample of 275 MNBs, 16 developing countries, and 16,618 individuals yield robust evidence confirming the positive effect of such practices on financial inclusion. Specifically, we find that as MNBs become sustainable, the use of mobile banking intensifies. This finding is consequential because mobile banking is one of the most powerful means to achieve financial inclusion in the developing world.</t>
  </si>
  <si>
    <t>Sustainable banking; Multinational banks; Financial inclusion; Mobile banking; Sustainable development goals</t>
  </si>
  <si>
    <t>The sustainable practices of multinational banks as drivers of financial inclusion in developing countries</t>
  </si>
  <si>
    <t>ubeda, Fernando; Mendez, Alvaro; Forcadell, Francisco Javier</t>
  </si>
  <si>
    <t>Ubeda, F; Mendez, A; Forcadell, FJ</t>
  </si>
  <si>
    <t>WOS:000504566300002</t>
  </si>
  <si>
    <t>JY7BS</t>
  </si>
  <si>
    <t>Social Issues; Social Work</t>
  </si>
  <si>
    <t>10.1017/S1474746419000125</t>
  </si>
  <si>
    <t>Soc. Policy Soc.</t>
  </si>
  <si>
    <t>SOC POLICY SOC</t>
  </si>
  <si>
    <t>1475-3073</t>
  </si>
  <si>
    <t>1474-7464</t>
  </si>
  <si>
    <t>We would like to thank all those Uniting Country South Australia (UCSA) and CatholicCare Northern Territory (NT) clients and workers who participated in and assisted with this study. We especially extend our gratitude to the respective UCSA and CatholicCare NT project team members. We also extend thanks to UCSA and CatholicCare NT for supporting this work.</t>
  </si>
  <si>
    <t>UCSA; CatholicCare NT</t>
  </si>
  <si>
    <t>Louth, Jonathon/0000-0003-2091-0354; Mackenzie, Catherine/0000-0001-6179-9571</t>
  </si>
  <si>
    <t>; Mackenzie, Catherine/Q-5773-2019</t>
  </si>
  <si>
    <t>Catherine.Mackenzie@unisa.edu.au; Jonathon.Louth@unisa.edu.au</t>
  </si>
  <si>
    <t>Mackenzie, C (corresponding author), Univ South Australia, UniSA Business Sch, Australian Alliance Social Enterprise, Adelaide, SA, Australia.</t>
  </si>
  <si>
    <t>Adelaide University; University of South Australia</t>
  </si>
  <si>
    <t>[Mackenzie, Catherine; Louth, Jonathon] Univ South Australia, UniSA Business Sch, Australian Alliance Social Enterprise, Adelaide, SA, Australia</t>
  </si>
  <si>
    <t>Neoliberalism as economic orthodoxy has facilitated the onset of social and public policy that is required to 'fit' with the common sense of our times. This article critiques the growth of government-supported financial capability programs in Australia. We explore the experiences of a sample of rural South Australians who have accessed microcredit. We found that microcredit provides an avenue for poverty survival by reducing the stresses associated with financial shocks through consumption smoothing, yet that the extent to which microcredit contributes to addressing poverty and inequality is questionable. We critique how the discourse of financial resilience aims to produce deserving neoliberal citizens who are moving toward self-reliance. We conclude that effort should be directed at developing a structural, proportionate universal approach that does not rely on financially vulnerable individuals navigating a regulatory environment that rewards and punishes in accordance to a market logic.</t>
  </si>
  <si>
    <t>WELFARE-STATE; HEALTH; INCOME</t>
  </si>
  <si>
    <t>Microfinance; neoliberalism; welfare; financialisation; financial resilience</t>
  </si>
  <si>
    <t>SOCIAL POLICY AND SOCIETY</t>
  </si>
  <si>
    <t>The Neoliberal Production of Deserving and Undeserving Poor: A Critique of the Australian Experience of Microfinance</t>
  </si>
  <si>
    <t>Mackenzie, Catherine; Louth, Jonathon</t>
  </si>
  <si>
    <t>Mackenzie, C; Louth, J</t>
  </si>
  <si>
    <t>WOS:000643640300001</t>
  </si>
  <si>
    <t>RS2VU</t>
  </si>
  <si>
    <t>10.3390/sym13040575</t>
  </si>
  <si>
    <t>Symmetry-Basel</t>
  </si>
  <si>
    <t>SYMMETRY-BASEL</t>
  </si>
  <si>
    <t>2073-8994</t>
  </si>
  <si>
    <t>This work was supported by a JSPS KAKENHI Grant (Grant Number JP19H04100).</t>
  </si>
  <si>
    <t>JSPS KAKENHI Grant(Ministry of Education, Culture, Sports, Science and Technology, Japan (MEXT)Japan Society for the Promotion of ScienceGrants-in-Aid for Scientific Research (KAKENHI))</t>
  </si>
  <si>
    <t>JSPS KAKENHI Grant [JP19H04100]</t>
  </si>
  <si>
    <t>Okami, Suguru/0000-0003-4402-0209</t>
  </si>
  <si>
    <t>Okami, Suguru/AFR-5321-2022</t>
  </si>
  <si>
    <t>naomi.simumba@keio.jp; yiu68252@nifty.com; akira.kodaka@sdm.keio.ac.jp; kohtake@sdm.keio.ac.jp</t>
  </si>
  <si>
    <t>Simumba, N (corresponding author), Keio Univ, Grad Sch Syst Design &amp; Management, Yokohama, Kanagawa 2238526, Japan.</t>
  </si>
  <si>
    <t>Keio University</t>
  </si>
  <si>
    <t>[Simumba, Naomi; Okami, Suguru; Kodaka, Akira; Kohtake, Naohiko] Keio Univ, Grad Sch Syst Design &amp; Management, Yokohama, Kanagawa 2238526, Japan</t>
  </si>
  <si>
    <t>Credit scoring of financially excluded persons is challenging for financial institutions because of a lack of financial data and long physical distances, which hamper data collection. The remote collection of alternative data has the potential to overcome these challenges, enabling credit access for such individuals. Whereas alternative data sources such as mobile phones have been investigated by previous researchers, this research proposes the integration of mobile-phone, satellite, and public geospatial data to improve credit evaluations where financial data are lacking. An approach to integrating these disparate data sources involving both spatial and temporal analysis methods such as spatial aggregation was employed, resulting in various data combinations. The resulting data sets were used to train classifiers of varying complexity, from logistic regression to ensemble learning. Comparisons were based on various performance metrics, including accuracy and the area under the receiver operating-characteristic curve. The combination of all three data sources performed significantly better than mobile-phone data, with the mean classifier accuracy and F1 score improving by 18% and 0.149, respectively. It is shown how these improvements can translate to cost savings for financial institutions through a reduction in misclassification errors. Alternative data combined in this manner could enhance credit provision to financially excluded persons while managing associated risks, leading to greater financial inclusion.</t>
  </si>
  <si>
    <t>credit scoring; satellite data; machine learning; ensemble learning; financial inclusion</t>
  </si>
  <si>
    <t>Spatiotemporal Integration of Mobile, Satellite, and Public Geospatial Data for Enhanced Credit Scoring</t>
  </si>
  <si>
    <t>Simumba, Naomi; Okami, Suguru; Kodaka, Akira; Kohtake, Naohiko</t>
  </si>
  <si>
    <t>Simumba, N; Okami, S; Kodaka, A; Kohtake, N</t>
  </si>
  <si>
    <t>WOS:001423645300001</t>
  </si>
  <si>
    <t>X2I3B</t>
  </si>
  <si>
    <t>10.1108/JIABR-03-2023-0111</t>
  </si>
  <si>
    <t>2025 FEB 19</t>
  </si>
  <si>
    <t>Osman, Abu/T-3726-2019</t>
  </si>
  <si>
    <t>mashraf@eco.uiu.ac.bd; tanzila@eco.uiu.ac.bd; aosman@su.edu.om</t>
  </si>
  <si>
    <t>Ashraf, MA (corresponding author), United Int Univ, Dept Econ, Dhaka, Bangladesh.</t>
  </si>
  <si>
    <t>United International University (UIU); Sohar University</t>
  </si>
  <si>
    <t>[Ashraf, Mohammad Ali; Amir, Tanzila] United Int Univ, Dept Econ, Dhaka, Bangladesh; [Osman, Abu Zafar Md. Rashed] Sohar Univ, Fac Business, Sohar, Oman</t>
  </si>
  <si>
    <t>PurposeThis study broadly intends to explore the impact of perceived consumer experience in branchless Islamic banking on consumer satisfaction, which may enhance financial inclusion of rural people in Islamic banking activities. Specifically, this study sets three objectives: first, to explore the effects of Islamic bank consumers' experience on disconfirmation and satisfaction; second, to investigate the impact of expectations on service performance, disconfirmation and consumer-perceived experience; and third, to examine consumer satisfaction in Islamic branchless banking to broadly examine the status of overall financial inclusion.Design/methodology/approachData were collected from selected consumers of Islami Bank Bangladesh Limited (IBBL) using a random sampling procedure. The selected consumers of eight remote branchless locations of the Islamic bank were interviewed face-to-face. Data were processed using PLS-SEM.FindingsThe results of the study show that all hypotheses were supported, indicating consumers' experience, expectations and performance significantly influence their branchless Islamic banking satisfaction. This indicates that branchless Islamic banking can enhance consumer satisfaction and ensure the wider financial inclusion of remotely located rural people in banking activities.Research limitations/implicationsFrom a theoretical perspective, the study findings show the robustness of the expectancy disconfirmation theory (EDT) for aiding to predict customer satisfaction in branchless Islamic banking activities. Other studies have also fruitfully used EDT as a theoretical framework from which to explain citizenship satisfaction in local governments of the public domain (Van Ryzen, 2004, 2006, 2013) or to explain customer satisfaction in variety of programs (Oliver, 1980, 1997, 2014). From the same perspective, the model implies that the important role of perceived consumer expectation significantly determines consumer satisfaction in the branchless Islamic banking initiative.Practical implicationsFrom a practical perspective, it is implied that digitally operated branchless Islamic banking is the most convenient banking process. On the one hand, it entails extensive financial inclusion of rural and remote areas of the country and minimizes operating costs of banking operations; on the other hand, it is opening the door to profit maximization for the banking industry. The findings from this research will practically imply the way for new horizons in the application of branchless banking within the Islamic banking and finance sector. In this regard, policy planners ought to be more careful in formulating banking and financial outlays by which digital or branchless banking facilities may be extensively spread to reach the unbanked populace across the nation within a short-possible time frame.Social implicationsThe findings from this research will pave the way for new horizons in the application FinTech within the Islamic banking and finance sector. Such studies should also take into account the emerging phenomenon of combining Shari'ah and FinTech, referred to as Shari'ah FinTech, to fully explore its potential and implications for the industry. Thus, the banking industry as a whole ought to be attentive to extending this type of digital transformation in the banking industry to provide win-win situations for both the client and agent in the financial and banking operations in the country.Originality/valueThis research is based on primary data and provides significant results in terms of digital customer satisfaction.</t>
  </si>
  <si>
    <t>SERVICE QUALITY DIMENSIONS; CUSTOMER SATISFACTION; DISCONFIRMATION THEORY; EXPECTATIONS; EXPERIENCE; COMMERCE; LOYALTY</t>
  </si>
  <si>
    <t>Financial inclusion; Branchless Islamic banking; Islamic bank consumer experience; Islamic bank consumer satisfaction</t>
  </si>
  <si>
    <t>Consumer satisfaction in branchless Islamic banking and financial inclusion: case for Islami Bank Bangladesh Limited (IBBL)</t>
  </si>
  <si>
    <t>Ashraf, Mohammad Ali; Amir, Tanzila; Osman, Abu Zafar Md. Rashed</t>
  </si>
  <si>
    <t>Ashraf, MA; Amir, T; Osman, AMR</t>
  </si>
  <si>
    <t>WOS:001412689600005</t>
  </si>
  <si>
    <t>U6E0H</t>
  </si>
  <si>
    <t>Rahahleh, Naseem/B-5955-2015</t>
  </si>
  <si>
    <t>nalrahahleh@kau.edu.sa</t>
  </si>
  <si>
    <t>Al Rahahleh, N (corresponding author), King Abdulaziz Univ, Finance Dept, Rabigh, Saudi Arabia.</t>
  </si>
  <si>
    <t>[Al Rahahleh, Naseem] King Abdulaziz Univ, Finance Dept, Rabigh, Saudi Arabia</t>
  </si>
  <si>
    <t>Focusing on the developing economy of Saudi Arabia, this study examines the impact of financial self-efficacy on the relationship between financial literacy and financial inclusion in the demand-side context. Using a quantitative approach, the study presents the first account of this relationship as it functions in the focal country. The association between financial literacy and financial inclusion is investigated on a quantitative basis via multiple hypotheses tested with partial least-squares structural equation modeling (PLS-SEM) as the methodology. The investigation is based on quantitative data collected from 887 respondents randomly selected using an online survey questionnaire designed specifically for this study. A significant positive relationship is found between financial literacy and financial inclusion. In particular, self-efficacy is identified as a significant predictor of financial inclusion and a partial mediator between financial literacy and financial inclusion.</t>
  </si>
  <si>
    <t>SERVICES; ACCESS; DETERMINANTS; KNOWLEDGE; BEHAVIOR; BELIEFS; STRESS; CAREER; BIAS</t>
  </si>
  <si>
    <t>PLS-SEM; Financial literacy; Financial inclusion; Self-efficacy; Investment; Factor analysis; Mediator</t>
  </si>
  <si>
    <t>From Literacy to Inclusion: The Essential Role of Financial Self-Efficacy</t>
  </si>
  <si>
    <t>Al Rahahleh, Naseem</t>
  </si>
  <si>
    <t>Al Rahahleh, N</t>
  </si>
  <si>
    <t>WOS:000847916600001</t>
  </si>
  <si>
    <t>7B5AG</t>
  </si>
  <si>
    <t>10.1111/acfi.13000</t>
  </si>
  <si>
    <t>This research was funded by the National Natural Science Foundation of China (grant no. 72173088) to Xiaolan Yang.</t>
  </si>
  <si>
    <t>yangxiaolan@shisu.edu.cn</t>
  </si>
  <si>
    <t>Yang, XL (corresponding author), Shanghai Int Studies Univ, Sch Business &amp; Management, Shanghai, Peoples R China.</t>
  </si>
  <si>
    <t>Zhejiang University; Shanghai International Studies University</t>
  </si>
  <si>
    <t>[Jin, Xuejun; Zhou, Xue] Zhejiang Univ, Coll Econ, Hangzhou, Peoples R China; [Yang, Xiaolan] Shanghai Int Studies Univ, Sch Business &amp; Management, Shanghai, Peoples R China</t>
  </si>
  <si>
    <t>This paper investigates the effect of economic policy uncertainty on the consumption response to household debt using household-level data from China. Our results suggest that there is a positive relationship between household debt and consumption. However, a higher level of economic policy uncertainty not only weakens this positive relationship but also inhibits the effect of household debt on the consumption structure. In addition, the negative impacts of policy uncertainty are stronger among households that are more liquidity constrained, whose heads have lower cognitive abilities and financial literacy, and that are located in provinces with lower levels of digital financial inclusion.</t>
  </si>
  <si>
    <t>WEALTH; INVESTMENT; CREDIT; TRADE; CHINA; PRICE</t>
  </si>
  <si>
    <t>economic policy uncertainty; household consumption; indebtedness</t>
  </si>
  <si>
    <t>How does economic policy uncertainty affect the relationship between household debt and consumption?</t>
  </si>
  <si>
    <t>Jin, Xuejun; Zhou, Xue; Yang, Xiaolan</t>
  </si>
  <si>
    <t>Jin, XJ; Zhou, X; Yang, XL</t>
  </si>
  <si>
    <t>WOS:000442368600006</t>
  </si>
  <si>
    <t>GR2CT</t>
  </si>
  <si>
    <t>10.1108/AFR-05-2017-0035</t>
  </si>
  <si>
    <t>bharti, nisha/0000-0003-0071-3732</t>
  </si>
  <si>
    <t>bharti, nisha/AAB-4928-2021</t>
  </si>
  <si>
    <t>nisha.bharti@gmail.com</t>
  </si>
  <si>
    <t>Bharti, N (corresponding author), Symbiosis Inst Int Business, Pune, Maharashtra, India.</t>
  </si>
  <si>
    <t>Symbiosis International University; Symbiosis Institute of International Business (SIIB)</t>
  </si>
  <si>
    <t>[Bharti, Nisha] Symbiosis Inst Int Business, Pune, Maharashtra, India</t>
  </si>
  <si>
    <t>Purpose - Lack of access to finance is one of the major contributing to low profitability in agriculture. Various policy interventions were performed for promoting access to finance. However, access to finance always remained one of the biggest challenges to Indian policymakers. The purpose of this paper is to explore the policy interventions in the areas of agriculture finance. Design/methodology/approach - This paper makes an attempt to explore the relation of earlier policy initiatives with the current microfinance industry as well. The data for the paper are collected from Reserve Bank of India Archive Museum at Pune. This Museum is having huge collection of archives of policy documents of the Indian financial sector and is one of its kinds in India. Findings - The study concludes that many of the interventions of today were earlier experimented or proposed in the past but, due to some or the other reason those, interventions were not successful. The study concludes that if those interventions had been implemented that time, it would have taken India in one of the tops in the list of financial inclusion. Originality/value - This paper is a unique in its feature as it has tried to link the evolution of agriculture finance and the microfinance industry of India as microfinance is an integral part of agricultural finance in India.</t>
  </si>
  <si>
    <t>IRDP</t>
  </si>
  <si>
    <t>Microfinance; History; Agriculture finance</t>
  </si>
  <si>
    <t>Evolution of agriculture finance in India: a historical perspective</t>
  </si>
  <si>
    <t>Bharti, Nisha</t>
  </si>
  <si>
    <t>Bharti, N</t>
  </si>
  <si>
    <t>WOS:000932513900001</t>
  </si>
  <si>
    <t>8Y2EU</t>
  </si>
  <si>
    <t>Business &amp; Economics; Energy &amp; Fuels; Environmental Sciences &amp; Ecology</t>
  </si>
  <si>
    <t>Economics; Energy &amp; Fuels; Environmental Sciences; Environmental Studies</t>
  </si>
  <si>
    <t>10.1016/j.enpol.2023.113422</t>
  </si>
  <si>
    <t>Energy Policy</t>
  </si>
  <si>
    <t>ENERG POLICY</t>
  </si>
  <si>
    <t>1873-6777</t>
  </si>
  <si>
    <t>0301-4215</t>
  </si>
  <si>
    <t>Guanghua Talent Project of Southwestern University of Finance and Economics.</t>
  </si>
  <si>
    <t>Guanghua Talent Project of Southwestern University of Finance and Economics</t>
  </si>
  <si>
    <t>IQBAL, SAJID/0000-0001-7729-8464</t>
  </si>
  <si>
    <t>chang06@mail.ustc.edu.cn; sajidiqbal.edu@gmail.com; leochen@swufe.edu.cn</t>
  </si>
  <si>
    <t>Chen, HE (corresponding author), Southwestern Univ Finance &amp; Econ, Fac Business Adm, Sch Business Adm, Chengdu, Peoples R China.</t>
  </si>
  <si>
    <t>Peking University; University of Management &amp; Technology (UMT); Southwestern University of Finance &amp; Economics - China</t>
  </si>
  <si>
    <t>[Chang, Lei] Peking Univ, Sch Econ, Beijing 100871, Peoples R China; [Iqbal, Sajid] Univ Management &amp; Technol, KUBEAC, Sialkot Campus, Sialkot, Pakistan; [Chen, Huangen] Southwestern Univ Finance &amp; Econ, Fac Business Adm, Sch Business Adm, Chengdu, Peoples R China</t>
  </si>
  <si>
    <t>Financing strategies and energy performance have been extensively studied previously, and researchers frequently overlook the co-movements of integration of financial inclusion and energy performance index in the E7 Context. To address this gap, current research estimates the co-movement between the financial inclusion index and sustainable energy performance index to reflect the consequences of the COVID-19 crisis. Our findings show that in E7 economies, China exceeds the other nations in terms of energy performance. With a steady score, Russia is second in the group. Indonesia and Turkey are respectively fourth and fifth, and their total results show excellent prospective performances for sustainability. Mexico and Brazil follow this ranking with bad results and the lowest scores reported in the study results. The study findings are helpful for policy formulation and assessment. The study presented recommendations about financial inclusion and energy management practices in COVID-19 and delivered insights about the energy performance index in E7 economies.</t>
  </si>
  <si>
    <t>ECONOMIC-GROWTH; CITIES</t>
  </si>
  <si>
    <t>Financial inclusion index; Energy performance index; Resources management; Inclusiveness; E7</t>
  </si>
  <si>
    <t>ENERGY POLICY</t>
  </si>
  <si>
    <t>Does financial inclusion index and energy performance index co-move?</t>
  </si>
  <si>
    <t>Chang, Lei; Iqbal, Sajid; Chen, Huangen</t>
  </si>
  <si>
    <t>Chang, L; Iqbal, S; Chen, HE</t>
  </si>
  <si>
    <t>WOS:001206769000001</t>
  </si>
  <si>
    <t>WC9Y5</t>
  </si>
  <si>
    <t>10.1002/tie.22381</t>
  </si>
  <si>
    <t>Thunderbird Int. Bus. Rev.</t>
  </si>
  <si>
    <t>THUNDERBIRD INT BUS</t>
  </si>
  <si>
    <t>1520-6874</t>
  </si>
  <si>
    <t>1096-4762</t>
  </si>
  <si>
    <t>Nutassey, Victoria/0000-0003-1491-8317</t>
  </si>
  <si>
    <t>Agyei, Samuel/V-9784-2019; Frimpong, Siaw/AEO-6397-2022</t>
  </si>
  <si>
    <t>victoria.nutassey20@gmail.com; sfrimpong@ucc.edu.gh; sagyei@ucc.edu.gh; amoakodoris@gmail.com</t>
  </si>
  <si>
    <t>Nutassey, VA (corresponding author), Catholic Univ Ghana, Fac Econ &amp; Business Adm, Dept Finance, Sunyani, Ghana.</t>
  </si>
  <si>
    <t>University of Cape Coast</t>
  </si>
  <si>
    <t>[Nutassey, Victoria Abena; Amoako, Doris] Catholic Univ Ghana, Fac Econ &amp; Business Adm, Dept Finance, Sunyani, Ghana; [Frimpong, Siaw; Agyei, Samuel Kwaku] Univ Cape Coast, Sch Business, Dept Finance, Cape Coast, Ghana</t>
  </si>
  <si>
    <t>We investigated the mediating role of financial inclusion in the relationship between financial literacy and financial well-being in Ghana. Using PLS-SEM, we found that financial inclusion indeed mediates financial literacy and financial well-being in Ghana. We also documented a positive and significant relationship between Ghanaians' financial literacy and financial well-being. Again, financial literacy has a direct positive effect on financial inclusion. Hence, to enhance the impact of financial literacy on financial well-being in Ghana, policymakers should grant financial institutions enough freedom to offer a variety of financial services; financial institutions that have lost credibility in Ghana (such as insurance companies) should be put in check to build the trust of Ghanaians in them; and the cost of using a mobile phone and internet services to access financial services in Ghana should be reduced. The management of financial institutions can utilize the freedom offered to them by policymakers to offer various financial services to the public, build trust in customers, and offer lower-cost services to help improve the financial well-being of Ghanaians.</t>
  </si>
  <si>
    <t>financial inclusion; financial literacy and financial well-being; Ghana</t>
  </si>
  <si>
    <t>THUNDERBIRD INTERNATIONAL BUSINESS REVIEW</t>
  </si>
  <si>
    <t>Financial literacy induced financial well-being in Ghana: Does financial inclusion mediate?</t>
  </si>
  <si>
    <t>Nutassey, Victoria Abena; Frimpong, Siaw; Agyei, Samuel Kwaku; Amoako, Doris</t>
  </si>
  <si>
    <t>Nutassey, VA; Frimpong, S; Agyei, SK; Amoako, D</t>
  </si>
  <si>
    <t>WOS:001646685100001</t>
  </si>
  <si>
    <t>AF1WT</t>
  </si>
  <si>
    <t>10.3390/ijfs13040237</t>
  </si>
  <si>
    <t>This research has been funded by the project: CADEMAS: Study, Analysis and Evaluation of Cooperative Automated Decision Making Systems (CADEMAS), Ministry of Science, Innovation and Universities (Research Project Code PID2023-146575NB-I00).</t>
  </si>
  <si>
    <t>Ministry of Science, Innovation and Universities</t>
  </si>
  <si>
    <t>Ministry of Science, Innovation and Universities [PID2023-146575NB-I00]</t>
  </si>
  <si>
    <t>Galera, Andrés/AAA-6599-2019; Lara-Rubio, Juan/L-4234-2014</t>
  </si>
  <si>
    <t>anamarschubert@correo.ugr.es; juanlara@ugr.es; angalera@ugr.es</t>
  </si>
  <si>
    <t>Lara-Rubio, J; Navarro-Galera, A (corresponding author), Univ Granada, Fac Econ &amp; Business Studies, Dept Financial Econ &amp; Accounting, Campus Univ Cartuja,S-N, Granada 18071, Spain.</t>
  </si>
  <si>
    <t>[Martin-Schubert, Ana; Lara-Rubio, Juan; Navarro-Galera, Andres] Univ Granada, Fac Econ &amp; Business Studies, Dept Financial Econ &amp; Accounting, Campus Univ Cartuja,S-N, Granada 18071, Spain</t>
  </si>
  <si>
    <t>In recent years, the financial sustainability and survival of microfinance institutions (MFIs) have been seriously threatened by factors such as the reduction in donations, cooperation funds and international aid, and increased competition from commercial banks. Faced with this hostile scenario, which may limit access to credit for disadvantaged groups, MFIs must apply techniques to improve their efficiency, viability, lending capacity and survival. The objective of this study is to design a microcredit pricing model based on the Internal Ratings-Based approach, Basel III and probability of default to enhance access to credit for disadvantaged groups. We analysed a sample of 4550 microcredit transactions and 30 influential variables (25 idiosyncratic and 5 systemic). Our empirical results reveal that the IRB system is more equitable for borrowers and more efficient for MFIs, as it allows lower interest rates to be applied to borrowers with better credit histories. The application of the proposed IRB model can improve the sustainability, competitiveness and viability of MFIs by promoting operational efficiency and reducing default rates, thus contributing to financial inclusion by increasing supply.</t>
  </si>
  <si>
    <t>ART CLASSIFICATION ALGORITHMS; CREDIT RISK; DETERMINANTS; BANKING; PERFORMANCE; COMPETITION; FOUNDATION; REPAYMENT; OUTREACH; SYSTEM</t>
  </si>
  <si>
    <t>microfinance institutions; credit risk; neural network; logit; pricing; VaR; expected loss; capital requirements</t>
  </si>
  <si>
    <t>Promoting Financial Inclusion by Optimising Financial Interest Rates Based on Artificial Intelligence in Microfinance Institutions</t>
  </si>
  <si>
    <t>Martin-Schubert, Ana; Lara-Rubio, Juan; Navarro-Galera, Andres</t>
  </si>
  <si>
    <t>Martín-Schubert, A; Lara-Rubio, J; Navarro-Galera, A</t>
  </si>
  <si>
    <t>WOS:000567171800001</t>
  </si>
  <si>
    <t>RE0NJ</t>
  </si>
  <si>
    <t>10.1177/2050303220952861</t>
  </si>
  <si>
    <t>Crit. Res. Relig.</t>
  </si>
  <si>
    <t>CRIT RES RELIG</t>
  </si>
  <si>
    <t>2050-3040</t>
  </si>
  <si>
    <t>2050-3032</t>
  </si>
  <si>
    <t>Bartel, Rebecca/0000-0001-6226-0703</t>
  </si>
  <si>
    <t>rbartel@sdsu.edu</t>
  </si>
  <si>
    <t>Bartel, RC (corresponding author), San Diego State Univ, Dept Religious Studies, San Diego, CA 92182 USA.</t>
  </si>
  <si>
    <t>California State University System; San Diego State University; California State University System; San Diego State University</t>
  </si>
  <si>
    <t>[Bartel, Rebecca C.] San Diego State Univ, Dept Religious Studies, San Diego, CA 92182 USA; [Bartel, Rebecca C.] San Diego State Univ, Ctr Latin Amer Studies, San Diego, CA 92182 USA</t>
  </si>
  <si>
    <t>Microfinance is the vanguard of financialization today. This is especially true in Colombia, where microfinance rivals any other type of formal credit. Entangled with Colombia's micro-financialization is the phenomenon of microfinance corporations in joint ventures with Christian organizations that broker their microfinance programs. These faith-based corporations temper the surge in microfinance with ascetic discipline and the infusion of an entrepreneurial spirit. Economic discipline, say the microfinanciers, is required for what is referred to as 'financial literacy' and 'financial inclusion' programs that instil a distinctly Christian corporate order. This article, based on 2 years of sustained fieldwork in Colombia, focuses on one such microfinance program run by a transnational Christian credit organization. With microfinance, souls are disciplined through debts and ideals of an ascetic prosperity. In the end, the article concludes that there is a Christian morality to financialized capitalism that is exercised at the level of the interior soul.</t>
  </si>
  <si>
    <t>Colombia; Christianity; microfinance; financialization; debt; credit</t>
  </si>
  <si>
    <t>CRITICAL RESEARCH ON RELIGION</t>
  </si>
  <si>
    <t>Financializing the soul: Christian microfinance and economic missionization in Colombia</t>
  </si>
  <si>
    <t>Bartel, Rebecca C.</t>
  </si>
  <si>
    <t>Bartel, RC</t>
  </si>
  <si>
    <t>WOS:001025602700003</t>
  </si>
  <si>
    <t>10.1007/s13132-023-01442-2</t>
  </si>
  <si>
    <t>Open access funding provided by FCT|FCCN (b-on). This work was supported by the Research Unit on Governance, Competitiveness and Public Policy (UIDB/04058/2020), funded by national funds through FCT (Fundacao para a Ciencia e a Tecnologia).</t>
  </si>
  <si>
    <t>FCT|FCCN (b-on); FCT (Fundacao para a Ciencia e a Tecnologia)(Fundacao para a Ciencia e a Tecnologia (FCT))</t>
  </si>
  <si>
    <t>FCT|FCCN (b-on); FCT (Fundacao para a Ciencia e a Tecnologia) [UIDB/04058/2020]</t>
  </si>
  <si>
    <t>Madaleno, Mara/0000-0002-4905-2771; Jungo, João Fernando/0000-0002-2681-4075</t>
  </si>
  <si>
    <t>Madaleno, Mara/A-6356-2018; Jungo, João/ADK-1960-2022; Botelho, Anabela/JYQ-5409-2024</t>
  </si>
  <si>
    <t>jungo@ua.pt; maramadaleno@ua.pt; anabela.botelho@ua.pt</t>
  </si>
  <si>
    <t>Jungo, J (corresponding author), Univ Aveiro, Dept Econ Management Ind Engn &amp; Tourism DEGEIT, Res Unit Governance Competitiveness &amp; Publ Pol GOV, Campus Univ Santiago, P-3810193 Aveiro, Portugal.</t>
  </si>
  <si>
    <t>Universidade de Aveiro</t>
  </si>
  <si>
    <t>[Jungo, Joao; Madaleno, Mara; Botelho, Anabela] Univ Aveiro, Dept Econ Management Ind Engn &amp; Tourism DEGEIT, Res Unit Governance Competitiveness &amp; Publ Pol GOV, Campus Univ Santiago, P-3810193 Aveiro, Portugal</t>
  </si>
  <si>
    <t>The purpose of this study is to examine the ability of financial literacy, financial innovation, and financial inclusion to mitigate the adverse effect of corruption on banks' credit risk, profitability, and financial stability, with this joint inclusion being the novelty explored. Furthermore, we aim to compare the results across four different groups of countries, namely African, Asian, American, and European countries. The Feasible Generalized Least Squares (FGLS) estimation results indicate that corruption increases credit risk, reducing profitability and bank stability, being these effects mitigated by financial literacy, financial innovation, and financial inclusion. Furthermore, we find that financial literacy, financial innovation, and financial inclusion reduce credit risk while increasing bank profitability and stability. These results enable policymakers and managers to promote inclusion, innovation, and financial literacy to achieve banking sector stability while combating corruption.</t>
  </si>
  <si>
    <t>POLITICAL CONNECTIONS; IMPACT; DETERMINANTS; PERFORMANCE; COMPETITION; AFRICA</t>
  </si>
  <si>
    <t>Financial literacy; Financial innovation; Financial inclusion; Corruption; Credit risk; Profitability; Banking stability</t>
  </si>
  <si>
    <t>Financial Literacy, Financial Innovation, and Financial Inclusion as Mitigating Factors of the Adverse Effect of Corruption on Banking Stability Indicators</t>
  </si>
  <si>
    <t>Jungo, Joao; Madaleno, Mara; Botelho, Anabela</t>
  </si>
  <si>
    <t>Jungo, J; Madaleno, M; Botelho, A</t>
  </si>
  <si>
    <t>WOS:001572735700001</t>
  </si>
  <si>
    <t>G8249</t>
  </si>
  <si>
    <t>10.1057/s41261-025-00292-z</t>
  </si>
  <si>
    <t>This article has been supported by several LJMU QR grants. We thank Dr Cordelia Jaiyeoba and Dr Modinat Adekoya for their excellent support with the data collection process.</t>
  </si>
  <si>
    <t>Liverpool John Moores University; LJMU QR grants</t>
  </si>
  <si>
    <t>A.Lui@ljmu.ac.uk</t>
  </si>
  <si>
    <t>Lui, AT (corresponding author), LJMU Law Sch, Redmonds Bldg,Brownlow Hill, Liverpool L3 5UZ, England.</t>
  </si>
  <si>
    <t>[Lui, Alison T.] LJMU Law Sch, Redmonds Bldg,Brownlow Hill, Liverpool L3 5UZ, England; [Ozor, Patience; Ezemonye, Lawrence; Odejimi, Deborah] Igbined Univ, Okada, Nigeria; [Emma-Ebere, Obiajulu; Uzochukwu, Sylvia] Fed Univ Oye Ekiti, Oye, Ekiti, Nigeria</t>
  </si>
  <si>
    <t>This article seeks to increase access to digital financial payment services for women and minority groups in the informal sector in urban-rural, south-south, south-west and north-central regions of Nigeria. Our data reveal that regardless of the participants' educational level, request for support for digital and financial literacy skills is high across all three regions. Regional variances, the dominance of social and cultural norms, poor enforcement of laws meant that previous attempts to improve womens' digital and financial inclusion having limited impact. Financial inclusion is a key catalyst and enabler for poverty reduction and economic growth. Our article proposes an original two-pronged strategy consisting of soft 'nudging' to influence human behavioural changes and a capacity based human rights framework targeting poverty reduction.</t>
  </si>
  <si>
    <t>NORMS; MICROFINANCE; IMPACT; AGENCY; LAW</t>
  </si>
  <si>
    <t>Capacity perspective; Digital inclusion and literacy; Financial inclusion and literacy; Poverty; Womens' human rights</t>
  </si>
  <si>
    <t>Improving women's digital and financial inclusion in Nigeria: a nudging and capacity based human rights framework</t>
  </si>
  <si>
    <t>Lui, Alison T.; Ozor, Patience; Emma-Ebere, Obiajulu; Uzochukwu, Sylvia; Ezemonye, Lawrence; Odejimi, Deborah</t>
  </si>
  <si>
    <t>Lui, AT; Ozor, P; Emma-Ebere, O; Uzochukwu, S; Ezemonye, L; Odejimi, D</t>
  </si>
  <si>
    <t>WOS:001462593700001</t>
  </si>
  <si>
    <t>1DS7G</t>
  </si>
  <si>
    <t>10.1080/23311975.2025.2483966</t>
  </si>
  <si>
    <t>This research was funded by the Lebanese International University, Beirut, Lebanon.</t>
  </si>
  <si>
    <t>Lebanese International University, Beirut, Lebanon</t>
  </si>
  <si>
    <t>mohamad.hijazi01@liu.edu.lb</t>
  </si>
  <si>
    <t>Hijazi, M (corresponding author), Lebanese Int Univ, Sch Business, Dept Finance, Beirut, Lebanon.</t>
  </si>
  <si>
    <t>[Hijazi, Mohamad; Saad, Mohamad] Lebanese Int Univ, Sch Business, Dept Finance, Beirut, Lebanon; [Sidani, Sarah] Arab Open Univ, Sch Business, Dept Management, Beirut, Lebanon</t>
  </si>
  <si>
    <t>Lebanon has been experiencing a severe economic crisis in recent years, leading to a significant decline in access to financial services. A survey found that around 25% of individuals have closed their formal accounts, contributing to an increase in financial exclusion. This situation raises concerns about the crisis's impact on financial inclusion. Therefore, this study aims to examine how the economic crisis has affected the level and determinants of financial inclusion in Lebanon. A quantitative approach was employed, using a causal research design with a sample of 1,050 Lebanese individuals from urban and rural areas. Logistic regression analysis was used to identify the demand-side factors influencing financial inclusion before and after the crisis. The findings indicate a one-third decrease in financial inclusion after the crisis. However, insurance and digital financial services remained relatively stable. Prior to the crisis, income was the primary factor influencing financial inclusion, but afterward, no specific demographic variable had a significant impact. The crisis has caused a loss of trust in Lebanon's formal financial institutions and created a common economic challenge, overshadowing individual differences. The study suggests that policymakers should focus on restoring public trust in these institutions to address the decline in financial inclusion.</t>
  </si>
  <si>
    <t>SOCIAL BANKING; CONSEQUENCES; MICROFINANCE; ACCESS</t>
  </si>
  <si>
    <t>Economic crisis; Financial exclusion; Financial inclusion; Financial stability; Logistic regression; Economics; Finance; Business, Management, and Accounting</t>
  </si>
  <si>
    <t>Financial inclusion in Lebanon after the economic crisis</t>
  </si>
  <si>
    <t>Hijazi, Mohamad; Saad, Mohamad; Sidani, Sarah</t>
  </si>
  <si>
    <t>Hijazi, M; Saad, M; Sidani, S</t>
  </si>
  <si>
    <t>WOS:000892369500060</t>
  </si>
  <si>
    <t>10.1007/978-3-031-08090-6_60</t>
  </si>
  <si>
    <t>Salameh, Anas A/0000-0002-4694-3771; Al Mamun, Abdullah/0000-0002-9713-742X</t>
  </si>
  <si>
    <t>Salameh, Anas A/JBJ-7007-2023; Zainol, Noor/G-2061-2018; Al Mamun, Abdullah/B-6226-2013</t>
  </si>
  <si>
    <t>raihani@umk.edu.my</t>
  </si>
  <si>
    <t>Zainol, NR (corresponding author), Univ Malaysia Kelantan, Fac Entrepreneurship &amp; Business, Kelantan, Malaysia.</t>
  </si>
  <si>
    <t>UCSI University; Universiti Malaysia Kelantan; Daffodil International University; Universiti Kebangsaan Malaysia; Prince Sattam Bin Abdulaziz University</t>
  </si>
  <si>
    <t>[Rhu, Ng Xin; Yian, Chong Tiang] UCSI Univ, Fac Business &amp; Management, Kuala Lumpur, Malaysia; [Zainol, Noor Raihani] Univ Malaysia Kelantan, Fac Entrepreneurship &amp; Business, Kelantan, Malaysia; [Abi, Tanvir] Daffodil Int Univ, Fac Business &amp; Entrepreneurship, Dhaka, Bangladesh; [Al Mamun, Abdullah] Univ Kebangsaan Malaysia, UKM Grad Sch Business, Bangi, Selangor, Malaysia; [Salameh, Anas A.] Prince Sattam Bin Abdulaziz Univ, Dept Management Informat Syst, Al Kharj, Saudi Arabia</t>
  </si>
  <si>
    <t>In Malaysia, many university students have different views on saving management based on different factors. Therefore, this study aims to examine the intention and behaviours towards saving among Malaysian students. A crosssectional designwas adopted to collect quantitative data from 307 Malaysian students and universities inKlangValley. Furthermore, the theory of planned behaviour (TPB) was applied, followed by an extension of TBP by embedding the constructs involved in the behaviour of saving. The results indicated that financial attitude, financial socialisation, financial capability, and self-control have a positive and significant effect on saving intention and behaviour among university students in Malaysia. However, financial education did not have a significant impact on saving intention and behaviour. Notably, the results offer a guideline to policymakers and awareness campaign to increase saving behaviour and financial management. The relevant agencies should focus on improving financial attitude, financial socialization, financial capability, financial education, and self-control towards saving intention and behaviour for their future planning in education and life.</t>
  </si>
  <si>
    <t>SELF-CONTROL; FINANCIAL LITERACY; MONEY; CAPABILITY; ATTITUDES; INSIGHT</t>
  </si>
  <si>
    <t>Saving behaviour; Financial attitude; Financial socialisation; Financial capability; Financial education; Self-control; Theory of planned behaviour</t>
  </si>
  <si>
    <t>Predicting Saving Intention and Behavior Among University Students Using Partial Least Square Structural Equation Modelling</t>
  </si>
  <si>
    <t>Rhu, Ng Xin; Yian, Chong Tiang; Zainol, Noor Raihani; Abi, Tanvir; Al Mamun, Abdullah; Salameh, Anas A.</t>
  </si>
  <si>
    <t>Rhu, NX; Yian, CT; Zainol, NR; Abi, T; Al Mamun, A; Salameh, AA</t>
  </si>
  <si>
    <t>WOS:000531470500002</t>
  </si>
  <si>
    <t>LL3QT</t>
  </si>
  <si>
    <t>10.1108/QRFM-12-2018-0131</t>
  </si>
  <si>
    <t>Baber, Hasnan/0000-0002-8951-3501</t>
  </si>
  <si>
    <t>Baber, Hasnan/JTU-8029-2023</t>
  </si>
  <si>
    <t>baber.bca@gmail.com</t>
  </si>
  <si>
    <t>Baber, H (corresponding author), Woosong Univ, Endicott Coll Int Studies, Daejeon, South Korea.</t>
  </si>
  <si>
    <t>[Baber, Hasnan] Woosong Univ, Endicott Coll Int Studies, Daejeon, South Korea</t>
  </si>
  <si>
    <t>Purpose - Using data from World Bank and Global Islamic Finance Report, this paper aims to compare the performance of countries following Islamic and conventional finance system in terms of financial inclusion and FinTech. Design/methodology/approach - Ten countries from both financial systems have been selected based on the presence of Islamic finance and conventional finance in the country. Data was analyzed from year 2011 to 2017 and keeping the former as base year to measure the change in the population fraction. Findings - The findings found that Islamic finance countries are more inclusive in terms of financial inclusion and women are financially more empowered as compared to the counterpart. On the contrary, countries with conventional finance have a higher number of FinTech users. Research limitations/implications - The difference between the performances of two systems in terms of financial inclusion is relatively small; therefore, future studies should incorporate more indicators for financial inclusion. Originality/value - This study will be useful for understanding the nature of both financial systems, and the further research can be done to find the determinants of financial inclusion.</t>
  </si>
  <si>
    <t>ACCESS; MICROCREDIT; EXCLUSION</t>
  </si>
  <si>
    <t>Finance; Financial inclusion; Islamic finance; FinTech; Conventional finance; Banking; Findex</t>
  </si>
  <si>
    <t>Financial inclusion and FinTech A comparative study of countries following Islamic finance and conventional finance</t>
  </si>
  <si>
    <t>Baber, Hasnan</t>
  </si>
  <si>
    <t>Baber, H</t>
  </si>
  <si>
    <t>WOS:000865162800003</t>
  </si>
  <si>
    <t>5D8CB</t>
  </si>
  <si>
    <t>10.2478/sbe-2022-0024</t>
  </si>
  <si>
    <t>Cisternas, Carla/0000-0001-7948-6194</t>
  </si>
  <si>
    <t>Castañeda, F (corresponding author), Univ Mayor, Fac Humanidades, Escuela Negocios, Providencia, Chile.</t>
  </si>
  <si>
    <t>Universidad Mayor</t>
  </si>
  <si>
    <t>[Castaneda, Francisco; Ormazabal, Francisco; Cisternas, Carla] Univ Mayor, Fac Humanidades, Escuela Negocios, Providencia, Chile</t>
  </si>
  <si>
    <t>This article analyses the sociodemographic determinants associated with the financial literacy levels of the Chilean population based on three dimensions: (1) knowledge; (2) behaviour; and (3) attitude. The study draws from data of the first and, thus far, the only national survey that has measured financial competency, conducted in 2016 by the Organisation for Economic Cooperation and Development (OECD), funded by the Financial Market Commission (CMF in Spanish) and the Andean Development Corporation (CAF in Spanish). It analyses the impact sociodemographic factors such as sex, age, education, and employment situation have on the financial literacy level of the population surveyed (N = 1.224). For each dimension, logistic regression models were adjusted consistent with the global financial literacy index. This method aimed to calculate, based on these variables, the probability that an individual may possess adequate knowledge, behaviour, and financial attitude. The findings indicate that a person between 30 and 60 years old, with a high education level, who earns a high income, will have a greater probability of possessing an adequate financial literacy level.</t>
  </si>
  <si>
    <t>Financial Literacy; Financial Education; Financial Inclusion; Sociodemographic Determinants; Chile</t>
  </si>
  <si>
    <t>SOCIODEMOGRAPHIC DETERMINANTS OF FINANCIAL LITERACY LEVELS</t>
  </si>
  <si>
    <t>Castaneda, Francisco; Ormazabal, Francisco; Cisternas, Carla</t>
  </si>
  <si>
    <t>Castañeda, F; Ormazábal, F; Cisternas, C</t>
  </si>
  <si>
    <t>WOS:000372538800004</t>
  </si>
  <si>
    <t>DH1IY</t>
  </si>
  <si>
    <t>10.1108/WJEMSD-04-2015-0020</t>
  </si>
  <si>
    <t>World J. Entrep. Manag. Sustain. Dev.</t>
  </si>
  <si>
    <t>WORLD J ENTREP MANAG</t>
  </si>
  <si>
    <t>2042-597X</t>
  </si>
  <si>
    <t>2042-5961</t>
  </si>
  <si>
    <t>habibauwal@yahoo.com</t>
  </si>
  <si>
    <t>Abubakar, HA (corresponding author), African Dev Bank, Tunis, Tunisia.</t>
  </si>
  <si>
    <t>[Abubakar, Habib Auwal] African Dev Bank, Tunis, Tunisia</t>
  </si>
  <si>
    <t>Purpose - The purpose of this paper is to analyse the level of financial literacy in Africa based on previous studies and evidence from financial literacy surveys, with the aim of establishing how financial literacy impacts entrepreneurship development in Africa. The study specifically looks at how financial literacy affects the household behaviour regarding financial decision making, as well as the gender gap in financial literacy. As financial literacy is gaining momentum both in developed economies with sophisticated financial systems and developing countries with low levels of financial services, this research seeks to establish a formal relationship between financial literacy and access to finance and what impact both have for developing an entrepreneurship society in Africa. It also focuses on the relationship between financial decision making and gender as well as access to finance with the aim of carefully examining the implications on entrepreneurship development. Design/methodology/approach - To attain the above objective, the study employed a mixed methodology research design where both quantitative and qualitative methods were used. A survey method on financial literacy, conducted by: (Finscope, OECD) was thoroughly analysed in addition to previous work on entrepreneurship development, financial literacy, access to finance and poverty reduction in Africa. Findings - The results show that the difficulties in access to finance, access to market, policy support and entrepreneurship culture are the main problems and constraints on entrepreneurship development in Africa which has a very strong implication for financial literacy on the continent particularly on micro, small and medium enterprises. Other important problems include unfavorable investment climate, absence of entrepreneurship training programmes, unfriendly investment business environment, gender gap and lack of value chain in the entrepreneurship ecosystem. Research limitations/implications -The paper is limited to the established survey and mainly concentrates on Africa. Practical implications - African governments and other development partners should re-evaluate their intervention programmes to strengthen financial literacy skills while simultaneously supporting entrepreneurship development by promoting an entrepreneurship culture through the right policy that will actively stimulate the development of entrepreneurs that will contribute to entrepreneurship ecosystems and ultimately enhance Africa's economic development. Originality/value - This paper aims at enhancing understanding of entrepreneurship development and financial literacy in Africa and will help policy makers and researcher fill the missing gap between financial literacy and entrepreneurship education. The recommendations made could significantly boost entrepreneurship activities as well as enhance financial literacy skills in the region, which can as well help increase access to finance on the continent.</t>
  </si>
  <si>
    <t>Finance; Entrepreneurship</t>
  </si>
  <si>
    <t>WORLD JOURNAL OF ENTREPRENEURSHIP MANAGEMENT AND SUSTAINABLE DEVELOPMENT</t>
  </si>
  <si>
    <t>Entrepreneurship development and financial literacy in Africa</t>
  </si>
  <si>
    <t>Abubakar, Habib Auwal</t>
  </si>
  <si>
    <t>Abubakar, HA</t>
  </si>
  <si>
    <t>WOS:000431158500005</t>
  </si>
  <si>
    <t>GE4BE</t>
  </si>
  <si>
    <t>10.1016/j.worlddev.2018.02.001</t>
  </si>
  <si>
    <t>This research was funded under the Partnership for Financial Inclusion in Sub-Saharan Africa. The Partnership is between The MasterCard Foundation and IFC bringing together the intellectual and financial capital of the Foundation with IFC's market knowledge, expertise and client base. The partnership is also joined by The Development Bank of Austria, OeEB, and collaborates with knowledge partners such as the World Bank and CGAP.</t>
  </si>
  <si>
    <t>Foundation with IFC's market knowledge, expertise and client base</t>
  </si>
  <si>
    <t>Cull, R (corresponding author), World Bank, Washington, DC 20433 USA.</t>
  </si>
  <si>
    <t>[Cull, Robert; Gine, Xavier] World Bank, Washington, DC 20433 USA; [Harten, Sven] German Inst Dev Evaluat, Bonn, Germany; [Heitmann, Soren; Rusu, Anca Bogdana] Int Finance Corp, Washington, DC USA</t>
  </si>
  <si>
    <t>The paper provides evidence on the number and volume of financial transactions undertaken by agents (local businesses that double as more convenient, lower cost alternatives to formal branches) of the largest microfinance institution operating in the Democratic Republic of Congo (DRC). To our knowledge, this is the first econometric study of the activities of agents in a country as underdeveloped as the DRC. More important than agents' personal characteristics, transactions are higher in low income, densely populated areas with high levels of commercial development, suggesting that the agent network has been best at supporting financial transactions among the urban poor. In addition, branding and effective liquidity management are strongly linked to agent activity. The results suggest that agents can be effective providers of basic financial services among the urban poor who lack suitable alternatives. But it remains to be seen how the agent banking model will play out in less densely populated areas of the DRC and other developing countries. (C) 2018 Published by Elsevier Ltd.</t>
  </si>
  <si>
    <t>CONSUMPTION; INSURANCE; ILLNESS; SHOCKS</t>
  </si>
  <si>
    <t>Microfinance institutions; Agent banking; Financial inclusion</t>
  </si>
  <si>
    <t>Agent banking in a highly under-developed financial sector: Evidence from Democratic Republic of Congo</t>
  </si>
  <si>
    <t>Cull, Robert; Gine, Xavier; Harten, Sven; Heitmann, Soren; Rusu, Anca Bogdana</t>
  </si>
  <si>
    <t>Cull, R; Gine, X; Harten, S; Heitmann, S; Rusu, AB</t>
  </si>
  <si>
    <t>WOS:000464334000002</t>
  </si>
  <si>
    <t>HT1OS</t>
  </si>
  <si>
    <t>10.3390/jrfm12010019</t>
  </si>
  <si>
    <t>We thank the Organisation for Economic Co-operation and Development (OECD), the National Bank of Cambodia, the State Bank of Vietnam and the Cambodia and Viet Nam resident missions of the Asian Development Bank for their support in carrying out this study. We also thank the staff of Indochina Research Ltd. for their diligent work on implementing the survey. All errors are our own.</t>
  </si>
  <si>
    <t>Organisation for Economic Co-operation and Development (OECD); National Bank of Cambodia; State Bank of Vietnam; Cambodia resident mission of the Asian Development Bank; Viet Nam resident mission of the Asian Development Bank</t>
  </si>
  <si>
    <t>Trinh, Long/0000-0002-7084-8133; Morgan, Peter/0000-0002-5973-5859</t>
  </si>
  <si>
    <t>pmorgan@adbi.org; ltrinh@adbi.org</t>
  </si>
  <si>
    <t>Morgan, PJ (corresponding author), Asian Dev Bank Inst, Tokyo 1006008, Japan.</t>
  </si>
  <si>
    <t>[Morgan, Peter J.; Trinh, Long Q.] Asian Dev Bank Inst, Tokyo 1006008, Japan</t>
  </si>
  <si>
    <t>Our paper extends the literature on the determinants and impacts of financial literacy by conducting the OECD/INFE survey in two relatively low-income Asian economies-Cambodia and Viet Nam-and analyzing the determinants of financial literacy and the effects of financial literacy on savings and financial inclusion. Generally, our study corroborates the findings of studies of other countries, but uncovers some differences as well. The main determinants of financial literacy are found to be educational level, income, age, and occupational status. Both financial literacy and general education levels are found to be positively and significantly related to savings behavior and financial inclusion, and these results generally hold even when correcting for possible endogeneity of financial literacy.</t>
  </si>
  <si>
    <t>financial literacy; financial inclusion; household saving; Cambodia; Viet Nam</t>
  </si>
  <si>
    <t>Determinants and Impacts of Financial Literacy in Cambodia and Viet Nam</t>
  </si>
  <si>
    <t>Morgan, Peter J.; Trinh, Long Q.</t>
  </si>
  <si>
    <t>Morgan, PJ; Trinh, LQ</t>
  </si>
  <si>
    <t>WOS:000645782100001</t>
  </si>
  <si>
    <t>RV4CE</t>
  </si>
  <si>
    <t>10.3390/su13063156</t>
  </si>
  <si>
    <t>Lara-Rubio, Juan/0000-0001-7703-5920; Verdu-Jover, Antonio J/0000-0002-6201-7196; Gálvez Sánchez, Francisco Jesús/0000-0001-5888-7298; MESEGUER SANCHEZ, J VÍCTOR/0000-0002-8924-3150</t>
  </si>
  <si>
    <t>Lara-Rubio, Juan/L-4234-2014; Verdu-Jover, Antonio J/C-8376-2012; Gálvez Sánchez, Francisco Jesús/AGE-2496-2022; MESEGUER SANCHEZ, J VÍCTOR/JGD-4710-2023</t>
  </si>
  <si>
    <t>francisco.galvez@goumh.umh.es; juanlara@ugr.es; ajverdu@umh.es; jvmeseguer@ucam.edu</t>
  </si>
  <si>
    <t>Gálvez-Sánchez, FJ (corresponding author), Miguel Hernandez Univ Elche, Dept Econ &amp; Financial Studies, Elche 03202, Spain.</t>
  </si>
  <si>
    <t>Universidad Miguel Hernandez de Elche; University of Granada; Universidad Miguel Hernandez de Elche; Universidad Catolica de Murcia</t>
  </si>
  <si>
    <t>[Galvez-Sanchez, Francisco Jesus] Miguel Hernandez Univ Elche, Dept Econ &amp; Financial Studies, Elche 03202, Spain; [Lara-Rubio, Juan] Univ Granada, Dept Financial Econ &amp; Accounting, Granada 18071, Spain; [Verdu-Jover, Antonio Jose] Miguel Hernandez Univ Elche, Dept Business Org, Elche 03202, Spain; [Meseguer-Sanchez, Victor] Catholic Univ Murcia, Int Chair Social Responsibil, Murcia 30107, Spain</t>
  </si>
  <si>
    <t>With intensifying competition in the financial system, new strategic applications are constantly being devised in the search for greater efficiency. In consequence, decisions are commonly based on locating and retaining market segments with high added value, and those which fail to supply the profitability required by the market are excluded. The aim of this study is to analyse the research advances made in the field of financial inclusion and the main lines of investigation currently being addressed by means of a bibliometric analysis. Among the scientific community, there is growing interest in this study area. The most assiduous in this respect are SA Asongu (the most productive author), Enterprise Development and Microfinance (the journal that has published the most articles in this field), Makerere University, Uganda (the most productive institution) and India (the country where most recent studies have taken place). Foreseeably inspiring future research, there is currently great interest in developing a more accessible financial system, especially through the use of digital money (Fintech) as an instrument to promote financial inclusion. For all this, a line of research is proposed that also includes the proposals from the 2030 Agenda for Sustainable Development and its 17 Sustainable Development Goals.</t>
  </si>
  <si>
    <t>MICROFINANCE; MANAGEMENT; INTENTION; ADOPTION; PERFORMANCE; SERVICES; SCIENCE; ACCESS; SCOPUS; WEB</t>
  </si>
  <si>
    <t>financial inclusion; financial literacy; fintech; microfinance; bibliometrics</t>
  </si>
  <si>
    <t>Research Advances on Financial Inclusion: A Bibliometric Analysis</t>
  </si>
  <si>
    <t>Galvez-Sanchez, Francisco Jesus; Lara-Rubio, Juan; Verdu-Jover, Antonio Jose; Meseguer-Sanchez, Victor</t>
  </si>
  <si>
    <t>Gálvez-Sánchez, FJ; Lara-Rubio, J; Verdú-Jóver, AJ; Meseguer-Sánchez, V</t>
  </si>
  <si>
    <t>WOS:000709101300044</t>
  </si>
  <si>
    <t>BS3BL</t>
  </si>
  <si>
    <t>Computer Science, Artificial Intelligence; Computer Science, Information Systems; Computer Science, Software Engineering; Computer Science, Theory &amp; Methods</t>
  </si>
  <si>
    <t>10.1007/978-3-030-79725-6_44</t>
  </si>
  <si>
    <t>978-3-030-79725-6; 978-3-030-79724-9</t>
  </si>
  <si>
    <t>Mutamimah, Mutamimah/0000-0002-4139-1955</t>
  </si>
  <si>
    <t>Mutamimah, Mutamimah/AAB-9787-2021</t>
  </si>
  <si>
    <t>mutamimah@unissula.ac.id</t>
  </si>
  <si>
    <t>Mutamimah (corresponding author), Univ Islam Sultan Agung UNISSULA, Fac Econ, Dept Management, Semarang, Indonesia.</t>
  </si>
  <si>
    <t>Kampus Unissula</t>
  </si>
  <si>
    <t>[Mutamimah; Sueztianingrum, Rima Yulia] Univ Islam Sultan Agung UNISSULA, Fac Econ, Dept Management, Semarang, Indonesia</t>
  </si>
  <si>
    <t>This study aims to analyse the role of fintech in mediating the effect of financial literacy and financial inclusion on Islamic Mutual funds investment. The population in this study was all investors in Islamic Mutual funds investors in Central Java. The sampling technique used purposive sampling, namely Islamic Mutual funds investment that has conducted digital transactions for at least 1 year. The type of data was primary data obtained by distributing questionnaires and interviews. Furthermore, this study used Multiple Regression Analysis for data analysis techniques. The results showed that financial literacy and financial inclusion have a positive influence on fintech. Financial literacy and financial inclusion have a positive influence on Islamic Mutual funds investment. Fintech can mediate the effect of financial literacy and financial inclusion on Islamic Mutual funds investment.</t>
  </si>
  <si>
    <t>Financial literacy; Financial inclusion; Fintech; Islamic Mutual funds investment</t>
  </si>
  <si>
    <t>Soon Chun Hyang Univ</t>
  </si>
  <si>
    <t>Soon Chun Hyang Univ, ELECTR NETWORK</t>
  </si>
  <si>
    <t>JUL 01-03, 2021</t>
  </si>
  <si>
    <t>15th International Conference on Complex, Intelligent and Software Intensive Systems (CISIS)</t>
  </si>
  <si>
    <t>COMPLEX, INTELLIGENT AND SOFTWARE INTENSIVE SYSTEMS, CISIS-2021</t>
  </si>
  <si>
    <t>Financial Technology and Islamic Mutual Funds Investment</t>
  </si>
  <si>
    <t>Mutamimah; Sueztianingrum, Rima Yulia</t>
  </si>
  <si>
    <t>Barolli, L; Yim, K; Enokido, T</t>
  </si>
  <si>
    <t>Mutamimah; Sueztianingrum, RY</t>
  </si>
  <si>
    <t>WOS:001296700900004</t>
  </si>
  <si>
    <t>D5P5U</t>
  </si>
  <si>
    <t>10.21511/bbs.17(1).2022.04</t>
  </si>
  <si>
    <t>mulianta, ari/0000-0002-2751-1199; Zilal Hamzah, Muhammad/0000-0001-6546-4736</t>
  </si>
  <si>
    <t>Mulianta, Ari/CAF-3087-2022; Sofilda, Eleonora/ABF-9584-2020; Zilal Hamzah, Muhammad/ABF-6786-2020</t>
  </si>
  <si>
    <t>Ginting, AM (corresponding author), Secretary Gen House Representat Indonesia, Res Ctr, Jakarta, Indonesia.</t>
  </si>
  <si>
    <t>Universitas Trisakti</t>
  </si>
  <si>
    <t>[Sofilda, Eleonora; Hamzah, Muhammad Zilal] Trisakti Univ, Fac Econ &amp; Business, Doctoral Program Econ Publ Policy Studies, Jakarta, Indonesia; [Ginting, Ari Mulianta] Secretary Gen House Representat Indonesia, Res Ctr, Jakarta, Indonesia</t>
  </si>
  <si>
    <t>In Indonesia financial inclusion remains a challenge. This study looked at how the human development index, gross domestic product, and the number of offices of banks affect the financial index in 34 Indonesian provinces for composite, conventional, and tions. According to the findings of this study, economic growth, human development index, regional gross domestic product per capita, and bank brances significantly influence the financial inclusion index of the composite banking. Meanwhile, economic Authority (OJK) and Bank Indonesia must promote a conducive climate for increas</t>
  </si>
  <si>
    <t>financial inclusion; human development index; economic growth; Islamic banking; panel data regression</t>
  </si>
  <si>
    <t>Analysis of determining the financial inclusion index of composite, conventional and sharia banking in Indonesia</t>
  </si>
  <si>
    <t>Sofilda, Eleonora; Hamzah, Muhammad Zilal; Ginting, Ari Mulianta</t>
  </si>
  <si>
    <t>Sofilda, E; Hamzah, MZ; Ginting, AM</t>
  </si>
  <si>
    <t>WOS:001482502500007</t>
  </si>
  <si>
    <t>BY6NW</t>
  </si>
  <si>
    <t>10.1007/978-3-031-81532-4_7</t>
  </si>
  <si>
    <t>978-3-031-81534-8; 978-3-031-81532-4; 978-3-031-81531-7</t>
  </si>
  <si>
    <t>Alber, N (corresponding author), Ain Shams Univ, Fac Business, Cairo, Egypt.</t>
  </si>
  <si>
    <t>Egyptian Knowledge Bank (EKB); Ain Shams University</t>
  </si>
  <si>
    <t>[Alber, Nader] Ain Shams Univ, Fac Business, Cairo, Egypt; [Takla, Dalal] Tamweely Microfinance, Cairo, Egypt</t>
  </si>
  <si>
    <t>As of 2021, 28% of the Egyptians live below the poverty line, and according to the Central Bank of Egypt, 43.8% of Egyptians do not have access to basic financial services (CBE, Financial stability report 2021. CBE, Cairo, 2022). Egyptians who live below the poverty line and do not have access to basic financial services can be covered through microfinance services, which face some barriers in Egypt, such as the legislative regulations that prevent microfinance institutions from deposit-taking. The aim of this chapter is to identify areas of improvement in the Egyptian microfinance ecosystem that can allow low-income people to be financially included. This is achieved by assessing the Egyptian market against the best practices of I-SIP theory, which considers three key factors: stability, integrity, and protection. This study emphasizes the significance of saving for individuals by analyzing data of ten nations, gathered from the databases of the World Bank's Findex 2021 and the International Monetary Fund. The study spans a period of 14 years, from 2008 to 2021. The results have revealed significance effects of each of number of deposit-taker branches, outstanding deposits (% of GDP), total deposit accounts, number of microfinance branches, multiple lending, and interest rate spread (lending rate minus deposit rate) on each of average no. of services per adult and nonperforming loans (NPL).</t>
  </si>
  <si>
    <t>Financial inclusion; Stability; Integrity; Protection; Microfinance; Financial service; Savings; Over-indebtedness; Nonperforming loans</t>
  </si>
  <si>
    <t>Ankara, TURKIYE</t>
  </si>
  <si>
    <t>MAY 23-25, 2024</t>
  </si>
  <si>
    <t>8th International Conference on Banking and Finance Perspectives-ICBFP</t>
  </si>
  <si>
    <t>TRANSFORMATIONAL TRENDS IN FINANCE, BANKING, AND ECONOMICS</t>
  </si>
  <si>
    <t>The Effect of Microfinance Ecosystem on Financial Inclusion in Egypt</t>
  </si>
  <si>
    <t>Alber, Nader; Takla, Dalal</t>
  </si>
  <si>
    <t>Ozatac, N; Gokmenoglu, KK; Ozudogru, H; Taspinar, N; Rustamov, B</t>
  </si>
  <si>
    <t>Alber, N; Takla, D</t>
  </si>
  <si>
    <t>WOS:001637628300001</t>
  </si>
  <si>
    <t>10.21919/remef.v19i1.967</t>
  </si>
  <si>
    <t>e967</t>
  </si>
  <si>
    <t>Syahrial, Murah/0009-0004-8462-6779</t>
  </si>
  <si>
    <t>evan.hamzah.m@gmail.com</t>
  </si>
  <si>
    <t>Muchtar, EH (corresponding author), STAI Asy Syukriyyah, Tangerang, Indonesia.</t>
  </si>
  <si>
    <t>[Barus, Elida Elfi] STAI Syeikh H Abdul Halim Al Ishlahiyah, Bandung, Indonesia; [Syahrial, Murah] IAI Lukman Edi, Pekanbaru, Indonesia; [Muchtar, Evan Hamzah] STAI Asy Syukriyyah, Tangerang, Indonesia; [Trianto, Budi] STEI Iqra Annisa, Pekanbaru, Indonesia</t>
  </si>
  <si>
    <t>This research aims to look at the role of Islamic financial literacy component in creating financial inclusion and developing micro-businesses in Indonesia. Cross sectional research design was employed in this study and data were collected from 138 micro-business located in Pekanbaru, Indonesia. The data was analyzed using path analysis and IBM SPSS 26 was adopted to testing the hypotesis. This study revealed that only two of Islamic financial literacy components positively and significant influences Islamic financial inclusion. This study also found that only one component of Islamic financial literacy positively and significantly influences microbusiness performance. Other findings show a positive and significant relationship between Islamic financial inclusion and micro-business performance. This study indicates that component of Islamic financial literacy play an important role in promoting Islamic financial inclution which is necessary for growth of micro-business in Indonesia. Owner or manager of micro-business should increase their Islamic financial literacy through various training programs. This is the first study in Indonesia in investigating the role of Islamic financial litaracy on financial inclusion and micro-business development . This study has limitations in sample size and research location.</t>
  </si>
  <si>
    <t>HOUSEHOLDS; ECONOMIES; GROWTH; IMPACT; POOR</t>
  </si>
  <si>
    <t>Islamic Financial Literacy; Islamic Financial Inclusion; Micro-Business Development; Indonesia</t>
  </si>
  <si>
    <t>Islamic Financial Literacy, Islamic Financial Inclusion and Micro-Business Performance</t>
  </si>
  <si>
    <t>Barus, Elida Elfi; Syahrial, Murah; Muchtar, Evan Hamzah; Trianto, Budi</t>
  </si>
  <si>
    <t>Barus, EE; Syahrial, M; Muchtar, EH; Trianto, B</t>
  </si>
  <si>
    <t>WOS:000216517500005</t>
  </si>
  <si>
    <t>V0S4Q</t>
  </si>
  <si>
    <t>10.1108/IJBM-06-2014-0081</t>
  </si>
  <si>
    <t>oumlila@wcsu.edu</t>
  </si>
  <si>
    <t>Oumlil, B (corresponding author), Western Connecticut State Univ, Ancell Sch Business, Danbury, CT 06810 USA.</t>
  </si>
  <si>
    <t>University of South Alabama; Connecticut State University System; Western Connecticut State University</t>
  </si>
  <si>
    <t>[Williams, Alvin J.] Univ S Alabama, Mitchell Coll Business, Mobile, AL 36688 USA; [Oumlil, Ben] Western Connecticut State Univ, Ancell Sch Business, Danbury, CT 06810 USA</t>
  </si>
  <si>
    <t>Purpose - The reviewed literature emphasized that the student loan debt issues have a lot of connections to the economy. This conclusion is in support with broader evidence that high student debt levels are a drag on economic growth. Additionally, disadvantaged and other vulnerable groups, including students, are more likely to be excluded from the formal, regulated financial sector and not be able to take advantage of mainstream financial service providers (e.g. lack access to credit, insurance, and other formal financial services). Among the primary reasons cited for this financial exclusion has to do with a lack of understanding or familiarity with traditional financial services. The aim of this paper is to look at alternate approaches in promoting financial literacy to manage the huge private debt burden facing this important segment of the population. The purpose of this paper is to advance a model of college students' financial capabilities enhancement to partially alleviate some of the problems related to deficits in financial knowledge among this population. The integrative model provides a framework to be operationalized by institutional decision-makers and policymakers at all levels. The model can be adapted to fit unique institutional circumstances and culture. Successful implementation of the model has the potential to enhance the quality of financial health among college students and young adults. Design/methodology/approach - The manuscript's aim is to advance a model of college students' financial capabilities in an effort to prevent their financial exclusion. The proposed model provides a framework to be operationalized by institutional decision-making processes. The model offers six distinct, but inter-related components - antecedent variables, program design and implementation, delivery modalities, program content, behavioral outcomes, and measurement and assessment. Findings - The underlying raison d'etre for the model is to offer a comprehensive, inclusive, across-theboard roadmap to guide universities, and other organizations in conceptualizing, planning, organizing, implementing, and assessing financial education-related systems and processes designed to enhance the long-term financial choices and behaviors of students. Through careful consideration of each of the phases of the model, decision-makers at all levels and all types of organizations should have a stronger grasp of the depth and breadth of actions required to effect the desired changes in students' financial behavior. Research limitations/implications - As with any paper there are limitations. The paper is conceptual and lacks data to test some of the linkages. Future research efforts should posit specific propositions to be tested based on the linkages offered in the model. Given the nature of the research theme, there is considerable benefit from taking a case-based approach to future research to offer more in-depth analyses of student financial literacy deficits across different situations and types, student markets, and educational institutions. The current research could also benefit from a stronger cross-cultural focus. While huge college student debt is probably more burdensome in the USA, it is helpful to get input from students in countries that lack a tradition of heavy borrowing to pay for college costs. Researching debt management trends across cultures should provide useful micro-and macro-economic data for policymakers and others. Practical implications - The paper introduces a model of college students' financial capabilities enhancement and financial exclusion's prevention that offers one avenue to partially remedy the direct and indirect ills perpetrated and perpetuated by insufficient financial knowledge among young adults, especially the college segment (i.e. to promote financial inclusion and financial exclusion's prevention). The model provides a comprehensive and integrative path for college administrators and others to consider when designing programs to enhance the overall financial knowledge acumen and savvy of college students. Specifically, the model discusses antecedent variables, program design and implementation, delivery modalities, program content, behavioral outcomes, and measure and evaluation options. Social implications - There is considerable concern among students, parents, marketers, and public policymakers regarding deficiencies in financial knowledge and capabilities among the young adult population. Students have massive student loan debt, collectively, and there is a multifaceted clarion call to develop integrative solutions to this daunting scenario. The paper discusses the gravity and consequences of financial literacy deficits among college students and some associated solutions. Originality/value - The model offers six distinct, but inter-related components - antecedent variables, program design and implementation, delivery modalities, program content, behavioral outcomes, and measurement and assessment. The model is posited as an intervention strategy capable of strengthening the capacity of young college adults to make informed financial decisions, thus impacting their quality of life over the long run. In particular the model offers a form of empowerment to this consumer segment. As stated, the underlying raison d'etre for the model is to offer a comprehensive, inclusive, across-the-board roadmap to guide universities and other organizations in conceptualizing, planning, organizing, implementing, and assessing financial education-related systems and processes designed to enhance the long-term financial choices and behaviors of students. Through careful consideration of each of the phases of the model, decisionmakers at all levels and all types of organizations should have a stronger grasp of the depth and breadth of actions required to effect the desired changes in students' financial behavior.</t>
  </si>
  <si>
    <t>UNIVERSITY-STUDENTS; LITERACY; DEBT; BEHAVIOR</t>
  </si>
  <si>
    <t>Financial literacy; Financial capability; Financial exclusion; Financial inclusion; Student credit card debt; Student debt</t>
  </si>
  <si>
    <t>College student financial capability A framework for public policy, research and managerial action for financial exclusion prevention</t>
  </si>
  <si>
    <t>Williams, Alvin J.; Oumlil, Ben</t>
  </si>
  <si>
    <t>Williams, AJ; Oumlil, B</t>
  </si>
  <si>
    <t>WOS:000792561300002</t>
  </si>
  <si>
    <t>10.1891/JFCP-20-00017</t>
  </si>
  <si>
    <t>gibsonp@winthrop.edu; jsam@shepherd.edu; chengy@winthrop.edu</t>
  </si>
  <si>
    <t>Gibson, P (corresponding author), Winthrop Univ, 202 Carroll Hall, Rock Hill, SC 29733 USA.</t>
  </si>
  <si>
    <t>Winthrop University</t>
  </si>
  <si>
    <t>[Gibson, Philip; Cheng, Yuanshan] Winthrop Univ, 202 Carroll Hall, Rock Hill, SC 29733 USA; [Sam, Janine K.] Shepherd Univ, Dept Business Adm, Box 5000, Shepherdstown, WV 25443 USA</t>
  </si>
  <si>
    <t>This study examines the timing of financial education and its impact on short-term and long-term financial behavior. We also explore the power of financial education on financial knowledge and examine the link between financial knowledge and positive financial behavior. Exposure to financial education during multiple life stages leads to a better financial outcome. Financial education taught via multiple channels, including high school, college, the workplace, and at home, is the most optimal in the long run. For those who did not attend college, being exposed to financial education in high school is significantly associated with positive financial behavior. We cite implications for all financial education advocates. Policymakers in the financial capability arena can stay abreast of the channels of financial education that produce the most fruitful economic and societal gains.</t>
  </si>
  <si>
    <t>HIGH-SCHOOL; LITERACY; KNOWLEDGE; BEHAVIOR; SOCIALIZATION; GENDER; INCOME; TERM</t>
  </si>
  <si>
    <t>financial behavior; financial education; financial knowledge; financial literacy</t>
  </si>
  <si>
    <t>The Value of Financial Education During Multiple Life Stages</t>
  </si>
  <si>
    <t>Gibson, Philip; Sam, Janine K.; Cheng, Yuanshan</t>
  </si>
  <si>
    <t>Gibson, P; Sam, JK; Cheng, YS</t>
  </si>
  <si>
    <t>WOS:001572536500001</t>
  </si>
  <si>
    <t>7JN8Z</t>
  </si>
  <si>
    <t>10.1177/0958305X251367103</t>
  </si>
  <si>
    <t>2025 SEP 16</t>
  </si>
  <si>
    <t>Energy Environ.</t>
  </si>
  <si>
    <t>ENERG ENVIRON-UK</t>
  </si>
  <si>
    <t>2048-4070</t>
  </si>
  <si>
    <t>0958-305X</t>
  </si>
  <si>
    <t>jiachen.zhao@uqconnect.edu.au</t>
  </si>
  <si>
    <t>Zhao, JC (corresponding author), Univ Queensland, Fac Business Econ &amp; Law, Brisbane, Qld, Australia.</t>
  </si>
  <si>
    <t>University of Queensland</t>
  </si>
  <si>
    <t>[Zhao, Jiachen] Univ Queensland, Fac Business Econ &amp; Law, Brisbane, Qld, Australia</t>
  </si>
  <si>
    <t>Aside from all the other factors, the connection between energy poverty (EP) and financial inclusion (FINC) in developing countries has not been given enough attention. This study applies a theoretical framework to define the optimal associations, which means it captures the best relations between FINC and EP. This research analyzes the impact of FINC on EP in a panel of 66 developing countries from 2004 to 2022. The countries selected constitute a broad set of developing economies with differing degrees of financial inclusiveness, institutional quality, government expenditures, economic growth, and human capital, thus making them representative of the developing world. The study employs dynamic common correlated effects and method of moments quantile regression estimation techniques to account for the varying effects that inclusion has on different quantiles. The main finding is that inclusion greatly lessens EP, which is its most significant contribution to the services of energy in developing countries. The study empirically validates the Armey curve for selected countries, demonstrating a nonlinear relationship between government spending and EP. This study adds to an enriched comprehension of this relationship and offers policy recommendations that enhance rural financial services with mobile banking and microfinance for clean energy investments and integrate financial literacy with energy initiatives. Strengthen governance and attract private investment through transparent regulations and public-private partnerships.</t>
  </si>
  <si>
    <t>GOVERNMENT SIZE; GROWTH; POLICY; REGRESSION; PANELS; NEXUS</t>
  </si>
  <si>
    <t>Financial inclusion; institutional performance; energy poverty; MMQR; DCCE; O16; Q40; Q56; G28; O17</t>
  </si>
  <si>
    <t>ENERGY &amp; ENVIRONMENT</t>
  </si>
  <si>
    <t>Investigating the impact of financial inclusion and institutional performance on energy poverty in developing economies</t>
  </si>
  <si>
    <t>Zhao, Jiachen</t>
  </si>
  <si>
    <t>Zhao, JC</t>
  </si>
  <si>
    <t>WOS:001021920800001</t>
  </si>
  <si>
    <t>L2WT3</t>
  </si>
  <si>
    <t>10.1016/j.heliyon.2023.e16330</t>
  </si>
  <si>
    <t>e16330</t>
  </si>
  <si>
    <t>Funding The project is funded by the Research and Innovation Directorate of Walter Sisulu University, Mthatha, South Africa (under the instrument of Small-scale Agribusiness and Rural Non -farm Enterprises Research Niche Area) .</t>
  </si>
  <si>
    <t>Research and Innovation Directorate of Walter Sisulu University, Mthatha, South Africa</t>
  </si>
  <si>
    <t>Ndhleve, Simbarashe/0000-0003-0428-4824;</t>
  </si>
  <si>
    <t>; Hosu, Yiseyon Sunday/GMX-1112-2022</t>
  </si>
  <si>
    <t>jakande@wsu.ac.za</t>
  </si>
  <si>
    <t>Akande, JO (corresponding author), Walter Sisulu Univ, Dept Accounting, Mthatha, South Africa.</t>
  </si>
  <si>
    <t>Walter Sisulu University; Walter Sisulu University; Walter Sisulu University; Walter Sisulu University</t>
  </si>
  <si>
    <t>[Akande, J. O.] Walter Sisulu Univ, Dept Accounting, Mthatha, South Africa; [Hosu, Y. S.] Walter Sisulu Univ, Dept Econ &amp; Business, Mthatha, South Africa; [Kabiti, H.; Ndhleve, S.] Walter Sisulu Univ, Risk &amp; Vulnerabil Sci Ctr, Mthatha, South Africa; [Garidzirai, R.] Walter Sisulu Univ, Dept Management, Butterworth, South Africa</t>
  </si>
  <si>
    <t>Finance and growth underpin the debate on the implication of financial literacy and financial inclusion for development among scholars. While financial inclusion and financial literacy are positioned as enablers of sustainable development, literature has failed to link the two with sustainable development, especially for rural agrarian dwellers in dire need of financial development attributes. Therefore, this study applied variance-based structural equation modelling to examine the implication of financial literacy and financial inclusion for the sustainable livelihood of rural agrarian settlers in the Eastern Cape province of South Africa. Global scales were adapted and validated before administering them to 283 farmers and subsistence businesses in the region. The results revealed that financial literacy positively and significantly influences financial inclusion (&amp; beta; = 0.452) and the attainment of sustainable livelihood (&amp; beta; = 0.444). Financial inclusion partially mediates the influence of financial literacy on sustainable livelihood (&amp; beta; = 0.253), as it directly explains the province's sustainable livelihood (&amp; beta; = 0.114). The study's implication informs structured intervention for improving financial literacy to assist the target group with access to requisite funding, which could support their economic activities for a decent living.</t>
  </si>
  <si>
    <t>POVERTY REDUCTION; VALIDITY; SAVINGS; IMPACT; INCOME</t>
  </si>
  <si>
    <t>Financial literacy; Financial inclusion; Sustainable livelihood; Rural farmers; Structural equation modelling</t>
  </si>
  <si>
    <t>Financial literacy and inclusion for rural agrarian change and sustainable livelihood in the Eastern Cape, South Africa</t>
  </si>
  <si>
    <t>Akande, J. O.; Hosu, Y. S.; Kabiti, H.; Ndhleve, S.; Garidzirai, R.</t>
  </si>
  <si>
    <t>Akande, JO; Hosu, YS; Kabiti, H; Ndhleve, S; Garidzirai, R</t>
  </si>
  <si>
    <t>WOS:000883048700003</t>
  </si>
  <si>
    <t>6E0BF</t>
  </si>
  <si>
    <t>10.1016/j.iref.2022.10.025</t>
  </si>
  <si>
    <t>Funding This work was supported by the National Natural Science Foundation of China [Grant No. 71673270] ; the Key Project of Social Science Foundation of Jiangsu Province [Grant No. 22EYA005] ; the Key Project of Social Science Foundation of Higher Education Institutions (Education Department of Jiangsu China) [Grant No. 2021SJZDA022] ; and Carbon Neutrality &amp; Energy Strategy Think Tank of China University of Mining and Technology [Grant No. 2021WHCC01] .</t>
  </si>
  <si>
    <t>National Natural Science Foundation of China(National Natural Science Foundation of China (NSFC)); Key Project of Social Science Foundation of Jiangsu Province; Key Project of Social Science Foundation of Higher Education Institutions (Education Department of Jiangsu China); Carbon Neutrality &amp; Energy Strategy Think Tank of China University of Mining and Technology; ; ; ;</t>
  </si>
  <si>
    <t>National Natural Science Foundation of China; Key Project of Social Science Foundation of Jiangsu Province; Key Project of Social Science Foundation of Higher Education Institutions (Education Department of Jiangsu China); Carbon Neutrality &amp; Energy Strategy Think Tank of China University of Mining and Technology; [71673270]; [22EYA005]; [2021SJZDA022]; [2021WHCC01]</t>
  </si>
  <si>
    <t>Wang, Feng/0000-0003-4279-0277</t>
  </si>
  <si>
    <t>yanbincom@cumt.edu.cn; fengwang@cumt.edu.cn; tianchen123@cumt.edu.cn; siyuliu@cumt.edu.cn; bxx@cumt.edu.cn</t>
  </si>
  <si>
    <t>Wang, F (corresponding author), 1 Daxue Rd, Xuzhou 221116, Jiangsu, Peoples R China.</t>
  </si>
  <si>
    <t>China University of Mining &amp; Technology</t>
  </si>
  <si>
    <t>[Yan, Bin; Wang, Feng; Chen, Tian; Liu, Siyu; Bai, Xiaoxuan] China Univ Min &amp; Technol, Sch Econ &amp; Management, Beijing 221116, Jiangsu, Peoples R China; [Wang, Feng] 1 Daxue Rd, Xuzhou 221116, Jiangsu, Peoples R China</t>
  </si>
  <si>
    <t>Applying the Peking University Digital Financial Inclusion Index from 2011 to 2018, we explore the dynamic spatial-temporal correlation effects of digital finance and environmental regulation on manufacturing carbon emissions, emphasizing competition and resolving endogeneity issues. The result reveals that: (1) digital finance reduces local carbon emissions while increasing those of neighbors to a large extent, the overall reduction effect gradually emerges over time; (2) environmental regulation mitigates carbon emissions in both the short and long term with a marginal increasing trend; and (3) financial institution competition promotes these reduction effects. Combining effective markets and responsive governments yields superior emission reduction.</t>
  </si>
  <si>
    <t>CO2 EMISSIONS; CARBON EMISSIONS; INNOVATION; EFFICIENCY; PROMOTE; GROWTH</t>
  </si>
  <si>
    <t>Digital finance; Environmental regulation; Financial institution competition; Manufacturing industry; Carbon emissions</t>
  </si>
  <si>
    <t>Digital finance, environmental regulation and emission reduction in manufacturing industry: New evidence incorporating dynamic spatial-temporal correlation and competition</t>
  </si>
  <si>
    <t>Yan, Bin; Wang, Feng; Chen, Tian; Liu, Siyu; Bai, Xiaoxuan</t>
  </si>
  <si>
    <t>Yan, B; Wang, F; Chen, T; Liu, SY; Bai, XX</t>
  </si>
  <si>
    <t>WOS:000595751600056</t>
  </si>
  <si>
    <t>PA6OE</t>
  </si>
  <si>
    <t>10.13106/jafeb.2020.vol7.no12.355</t>
  </si>
  <si>
    <t>This work has supported by the Thailand Research Fund (TRF) in collaboration with the Office of the Higher Education Commission (OHEC), Ministry of Education, Thailand under Research Grant for New Scholar (MRG 6280246)</t>
  </si>
  <si>
    <t>Thailand Research Fund (TRF)(Thailand Research Fund (TRF)); Office of the Higher Education Commission (OHEC), Ministry of Education, Thailand</t>
  </si>
  <si>
    <t>Thailand Research Fund (TRF); Office of the Higher Education Commission (OHEC), Ministry of Education, Thailand [MRG 6280246]</t>
  </si>
  <si>
    <t>dalina.a@psu.ac.th; pornpen_econ@yahoo.com</t>
  </si>
  <si>
    <t>Amonhaemanon, D (corresponding author), Prince Songkla Univ, Fac Commerce &amp; Management, 102 Moo 6, Muang Trang 92000, Trang, Thailand.</t>
  </si>
  <si>
    <t>Prince of Songkla University; National Institute of Development Administration - Thailand</t>
  </si>
  <si>
    <t>[Amonhaemanon, Dalina] Prince Songkla Univ, Fac Commerce &amp; Management, 102 Moo 6, Muang Trang 92000, Trang, Thailand; [Vora-Sitta, Pornpen] Natl Inst Dev Adm, Sch Dev Econ, Bangkok, Thailand</t>
  </si>
  <si>
    <t>This study aims to investigate whether financial attitude links financial literacy to financial capability. To make sound financial decisions, one essentially requires a certain level of financial literacy - knowledge and skill in finance. Even more effective is when one's financial literacy could be developed into financial capability. The samples comprised 342 individuals from informal labor in the South of Thailand. The stratified multistage sampling technique was utilized to select the respondents, while the interview questionnaires were used to collect the data. By using SmartPLS 3.0, the data analysis included descriptive statistics and structural equation modeling (SEM). The result revealed that the one with the highest debt was Gen Y compared to Gen B and Gen X. Considering financial literacy, financial attitude, and financial capacity across generations, it was found that Gen Y had the highest average score in financial literacy and financial capacity, higher than that of Gen X and Gen B. The impact of financial literacy on financial capability through financial attitude, it was found that the impact on Gen B was higher than that of Gen X and Gen Y. With the right financial attitude, people of all generations would be equipped with a higher level of financial capability.</t>
  </si>
  <si>
    <t>STUDENTS; SEM</t>
  </si>
  <si>
    <t>Financial Literacy; Financial Attitude; Financial Capability; Generation; Thailand</t>
  </si>
  <si>
    <t>From Financial Literacy to Financial Capability: A Preliminary Study of Difference Generations in Informal Labor Market</t>
  </si>
  <si>
    <t>Amonhaemanon, Dalina; Vora-Sitta, Pornpen</t>
  </si>
  <si>
    <t>Amonhaemanon, D; Vora-Sitta, P</t>
  </si>
  <si>
    <t>WOS:000342849200008</t>
  </si>
  <si>
    <t>BB3MD</t>
  </si>
  <si>
    <t>978-3-319-07638-6; 978-3-319-07637-9</t>
  </si>
  <si>
    <t>Ruggiero, Wilson/0000-0003-3612-3937</t>
  </si>
  <si>
    <t>he, shan/JUV-4092-2023</t>
  </si>
  <si>
    <t>ananya_m@mit.edu; winfield@mit.edu; shanhe@mit.edu; casalegno@mit.edu; wilson@larc.usp.br</t>
  </si>
  <si>
    <t>Mukherjee, A (corresponding author), MIT, Mobile Experience Lab, E15-320,20 Ames St, Cambridge, MA 02139 USA.</t>
  </si>
  <si>
    <t>Massachusetts Institute of Technology (MIT); Universidade de Sao Paulo</t>
  </si>
  <si>
    <t>[Mukherjee, Ananya; Winfield, Catherine; He, Shan; Casalegno, Federico] MIT, Mobile Experience Lab, E15-320,20 Ames St, Cambridge, MA 02139 USA; [Ruggiero, Wilson] Univ Sao Paulo, Escola Politecn, Comp Engn Dept, BR-05508010 Sao Paulo, Brazil</t>
  </si>
  <si>
    <t>In this paper, we are interested in designing a novel approach to financial learning and saving for the unbanked and under-banked populations in emerging economies, more specifically in Brazil. Despite efforts by governments, non-profits and privately held banks, unbanked and under-banked populations remain prone to unfavorable financial habits and are ill equipped to utilize financial services. In proposing new modes of engagement with the topic of financial literacy and saving, we evaluate 1) social and behavioral aspects of financial lives of said populations 2) productive learning models 3) results from an ethnographic study, to finally demonstrate potential applications.</t>
  </si>
  <si>
    <t>Design for behavioral change; financial literacy; user experience design for financial products</t>
  </si>
  <si>
    <t>Heraklion, GREECE</t>
  </si>
  <si>
    <t>JUN 22-27, 2014</t>
  </si>
  <si>
    <t>3rd International Conference on Design, User Experience, and Usability (DUXU)</t>
  </si>
  <si>
    <t>DESIGN, USER EXPERIENCE, AND USABILITY: USER EXPERIENCE DESIGN PRACTICE, PT IV</t>
  </si>
  <si>
    <t>Designing Financial Literacy and Saving Tools for the Unbanked and under-banked in Brazil</t>
  </si>
  <si>
    <t>Mukherjee, Ananya; Winfield, Catherine; He, Shan; Casalegno, Federico; Ruggiero, Wilson</t>
  </si>
  <si>
    <t>Marcus, A</t>
  </si>
  <si>
    <t>Mukherjee, A; Winfield, C; He, S; Casalegno, F; Ruggiero, W</t>
  </si>
  <si>
    <t>WOS:000456883600002</t>
  </si>
  <si>
    <t>HJ0WJ</t>
  </si>
  <si>
    <t>10.1108/IJBM-08-2017-0175</t>
  </si>
  <si>
    <t>Makerere University; Makerere University; Makerere University; Makerere University; Makerere University</t>
  </si>
  <si>
    <t>[Bongomin, George Okello Candiya; Malinga, Charles Akol] Makerere Univ, Sch Business, Kampala, Uganda; [Munene, John C.] Makerere Univ, Sch Business, Psychol, Kampala, Uganda; [Munene, John C.] Makerere Univ, Sch Business, PhD Programmes, Fac Grad Studies &amp; Res, Kampala, Uganda; [Ntayi, Joseph Mpeera] Makerere Univ, Sch Business, Procurement &amp; Logist Management, Kampala, Uganda; [Ntayi, Joseph Mpeera] Makerere Univ, Sch Business, Fac Econ Energy &amp; Management Sci, Kampala, Uganda</t>
  </si>
  <si>
    <t>Purpose - Premised on the argument that cognition structures the way how individuals think and make decisions, the purpose of this paper is to test the interaction effect of cognition in the relationship between financial literacy and financial inclusion of the poor in rural Uganda. Design/methodology/approach - The study used cross-sectional research design and quantitative data were collected and analyzed using Statistical Package for Social Sciences. Baron and Kenny guidelines were adopted to test for existence of moderating effect of cognition in the relationship between financial literacy and financial inclusion of the poor in rural Uganda. Furthermore, ModGraph excel software was used to establish the magnitude of moderating effect of cognition in the relationship between financial literacy and financial inclusion of the poor in rural Uganda. Findings - The results revealed that cognition significantly moderate the relationship between financial literacy and financial inclusion of the poor in rural Uganda. In addition, both cognition and financial literacy also have direct effects on financial inclusion of the poor in rural Uganda. Research limitations/implications - The study adopted cross-sectional research design and data were collected by use of only questionnaires. Future studies through longitudinal research design may be employed. Besides, further studies using interviews may be adopted. Furthermore, this study collected data from only tier 3 financial institutions, thus, ignoring the other financial institutions. Future studies could focus on financial institutions under the other tiers. Practical implications - The findings from the study enlightens policy-makers, managers of financial institutions, and financial inclusion advocates on the importance of cognition in enhancing financial literacy among the poor, especially in rural Uganda. Cognition combined with financial literacy helps the poor to make wise financial decisions and choices toward consuming financial services and products provided by formal financial institutions. This leads to increased scope of financial inclusion of the poor in rural Uganda. Therefore, advocates of financial literacy should assess community cultural cognition and utilize them to design and fashion effective financial literacy interventions that can promote financial inclusion. Originality/value - The study uses Baron and Kenny and ModGraph excel software to test for the interaction effect of cognition in the relationship between financial literacy and financial inclusion of the poor in rural Uganda. While several studies exist worldwide on financial inclusion, this study is the first to test the interaction effect of cognition in the relationship between financial literacy and financial inclusion of the poor in rural areas in a developing country context.</t>
  </si>
  <si>
    <t>FLUID</t>
  </si>
  <si>
    <t>Financial inclusion; Moderating effect; Financial literacy; Poor households; Cultural cognition; Procedural and declarative memories</t>
  </si>
  <si>
    <t>Nexus between financial literacy and financial inclusion Examining the moderating role of cognition from a developing country perspective</t>
  </si>
  <si>
    <t>Bongomin, George Okello Candiya; Munene, John C.; Ntayi, Joseph Mpeera; Malinga, Charles Akol</t>
  </si>
  <si>
    <t>Bongomin, GOC; Munene, JC; Ntayi, JM; Malinga, CA</t>
  </si>
  <si>
    <t>WOS:000913861000001</t>
  </si>
  <si>
    <t>F4JP3</t>
  </si>
  <si>
    <t>10.1080/02692171.2023.2167952</t>
  </si>
  <si>
    <t>anusha.goel92@gmail.com</t>
  </si>
  <si>
    <t>Goel, A (corresponding author), Univ Delhi, Shaheed Sukhdev Coll Business Studies, New Delhi, India.</t>
  </si>
  <si>
    <t>[Goel, Anusha] Univ Delhi, Shaheed Sukhdev Coll Business Studies, New Delhi, India</t>
  </si>
  <si>
    <t>Financial Inclusion means providing basic financial products and services to marginalised groups in society in a cost-effective manner. It is an aspect of financial development which helps to achieve higher growth, reduced inequality and reduced poverty. This article undertakes a thematic literature review of factors responsible for financial exclusion, recent trends regarding inclusion, and policy initiatives by government and regulatory bodies. The literature suggests that low earnings, gender gap, ignorance towards marginalised groups, low degree of financial literacy, remote locations and cultural barriers are all important issues behind financial inclusion. There have been improvements in the extent of inclusiveness alongside various reforms and the development of the digital infrastructure, especially during the past decade. However, certain aspects still necessitate pre-emptive measures by the authorities.</t>
  </si>
  <si>
    <t>Banking; Financial System; Inclusion; India; Reserve Bank of India</t>
  </si>
  <si>
    <t>Trends and reforms of financial inclusion in India</t>
  </si>
  <si>
    <t>WOS:001026156500003</t>
  </si>
  <si>
    <t>L9BY3</t>
  </si>
  <si>
    <t>10.1162/rest_a_01117</t>
  </si>
  <si>
    <t>We also thank the staff at the National Bank of Rwanda, the TransUnion Credit Reference Bureau, the Rwanda Cooperative Agency, and the National Institute of Statistics of Rwanda for providing the data used in this study, assistance with numerous queries, and helpful discussions. This paper was previously entitled Financial Access Under the Microscope and is part of a project on Macroeconomic Research in Low-Income Countries (project ID 60925) supported by the U.K.'s For-eign, Commonwealth &amp; Development Office (FCDO). The views expressed herein are those of the authors and should not be attributed to the National Bank of Rwanda, International Monetary Fund, FCDO, Federal Reserve Board, Federal Reserve Bank of Atlanta, or those affiliated with the Federal Reserve System. This paper is dedicated to the memory of Thomas Kigabo, Chief Economist of the National Bank of Rwanda, and a wonder-ful co-author and colleague, who passed away in January 2021.</t>
  </si>
  <si>
    <t>project on Macroeconomic Research in Low-Income Countries; U.K.'s Foreign, Commonwealth &amp; Development Office (FCDO)</t>
  </si>
  <si>
    <t>project on Macroeconomic Research in Low-Income Countries [60925]; U.K.'s Foreign, Commonwealth &amp; Development Office (FCDO)</t>
  </si>
  <si>
    <t>Presbitero, Anea/0000-0003-4622-941X; Minoiu, Camelia/0000-0003-4819-0934</t>
  </si>
  <si>
    <t>Agarwal, S (corresponding author), Natl Univ Singapore, Singapore, Singapore.</t>
  </si>
  <si>
    <t>National University of Singapore; Federal Reserve System - USA; Federal Reserve Bank - Atlanta; International Monetary Fund; Centre for Economic Policy Research - UK; Federal Reserve System - USA; Federal Reserve System Board of Governors</t>
  </si>
  <si>
    <t>[Agarwal, Sumit] Natl Univ Singapore, Singapore, Singapore; [Kigabo, Thomas] Natl Bank Rwanda, Kigali, Rwanda; [Minoiu, Camelia] Fed Reserve Bank Atlanta, Atlanta, GA USA; [Presbitero, Andrea F.] Int Monetary Fund, Washington, DC USA; [Presbitero, Andrea F.] CEPR, London, England; [Silva, Andre F.] Fed Reserve Board, Washington, DC USA</t>
  </si>
  <si>
    <t>A large-scale microcredit expansion program-together with a credit bureau accessible to all lenders-can enable unbanked borrowers to build a credit history, facilitating their transition to commercial banks. Loan-level data from Rwanda show the program improved access to credit and reduced poverty. A sizable share of first-time borrowers switched to commercial banks, which cream-skim less risky borrowers and grant them larger, cheaper, and longer-maturity loans. Switchers have lower default risk than nonswitchers and are not riskier than other bank borrowers. Switchers also obtain better loan terms from banks compared with first-time bank borrowers without a credit history.</t>
  </si>
  <si>
    <t>CREDIT EVIDENCE; MICROFINANCE; INFORMATION; FINANCE; GROWTH; ACCESS; IMPACT; PRICE; MODEL</t>
  </si>
  <si>
    <t>Serving the Underserved: Microcredit as a Pathway to Commercial Banks</t>
  </si>
  <si>
    <t>Agarwal, Sumit; Kigabo, Thomas; Minoiu, Camelia; Presbitero, Andrea F.; Silva, Andre F.</t>
  </si>
  <si>
    <t>Agarwal, S; Kigabo, T; Minoiu, C; Presbitero, AF; Silva, AF</t>
  </si>
  <si>
    <t>WOS:001589087400001</t>
  </si>
  <si>
    <t>8HX8L</t>
  </si>
  <si>
    <t>10.1108/JES-05-2025-0359</t>
  </si>
  <si>
    <t>2025 OCT 7</t>
  </si>
  <si>
    <t>emailsaibal@gmail.com</t>
  </si>
  <si>
    <t>Ghosh, S (corresponding author), Qatar Cent Bank, Doha, Qatar.</t>
  </si>
  <si>
    <t>[Ghosh, Saibal] Qatar Cent Bank, Doha, Qatar</t>
  </si>
  <si>
    <t>PurposeWhile a substantial body of literature has explored the role of patience in shaping both microeconomic and macroeconomic outcomes, its influence on financial inclusion remains underexplored. By promoting a long-term outlook and discouraging impulsive behaviour such as market timing, patience can help households navigate financial volatility and better align their decisions with long-term financial objectives. Using India as a case study, this paper investigates the impact of patience on financial inclusion, a dimension that has received limited scholarly attention.Design/methodology/approachFinancial inclusion is examined through two key dimensions: account ownership and savings behaviour. A logit model is employed to assess the determinants of account ownership, while a Heckman probit model is used to analyse savings behaviour, since it is conditional on the former. To ensure robustness, the analysis is supplemented with an instrumental variable (IV) approach.FindingsThe results reveal a nonlinear relationship between patience and financial inclusion, encompassing both account ownership and savings. Patient households tend to allocate a greater share of resources to physical rather than financial assets. Within the realm of financial assets, their savings are more heavily skewed towards safer instruments than towards riskier alternatives. These findings are robust across various specifications.Research limitations/implicationsThe cross-sectional nature of the data suggests that these findings should be interpreted as conditional correlations rather than causal effects.Practical implicationsThe analysis highlights the crucial role of patience in promoting financial inclusion. By fostering a long-term mindset, patience can guide households towards more prudent financial behaviour, minimising exposure to risk and enhancing their ability to build a sustainable financial foundation. These insights hold valuable implications for the design of financial literacy and inclusion programs.Originality/valueTo the best of our understanding, this is one of the early studies to analyse the linkage between patience and financial inclusion.</t>
  </si>
  <si>
    <t>DETERMINANTS; CULTURE; AVERSION; INDIA; POOR</t>
  </si>
  <si>
    <t>Financial inclusion; Household; Patience; India; G 21; D 12; Z 10</t>
  </si>
  <si>
    <t>Financial inclusion and the role of patience</t>
  </si>
  <si>
    <t>Ghosh, Saibal</t>
  </si>
  <si>
    <t>Ghosh, S</t>
  </si>
  <si>
    <t>WOS:000560543500001</t>
  </si>
  <si>
    <t>XI1JM</t>
  </si>
  <si>
    <t>10.1080/13662716.2020.1806489</t>
  </si>
  <si>
    <t>Mobile Money, Inclusive Finance and Enterprise Innovativeness: An Analysis of East African Nations (Jun, 10.1080/13662716.2020.1774867, 2020)</t>
  </si>
  <si>
    <t>Lorenz, E.; Pommet, S.</t>
  </si>
  <si>
    <t>WOS:001485664700001</t>
  </si>
  <si>
    <t>2LT1G</t>
  </si>
  <si>
    <t>10.1080/00128775.2025.2501083</t>
  </si>
  <si>
    <t>2025 MAY 13</t>
  </si>
  <si>
    <t>East. Eur. Econ.</t>
  </si>
  <si>
    <t>EASTERN EUR ECON</t>
  </si>
  <si>
    <t>1557-9298</t>
  </si>
  <si>
    <t>0012-8775</t>
  </si>
  <si>
    <t>Johnson, Stefan/0000-0002-2859-7588</t>
  </si>
  <si>
    <t>stefan.johnson@natur.cuni.cz</t>
  </si>
  <si>
    <t>Despite the increasing global focus on financial inclusion, a significant gap remains in analyses at the NUTS3 level, particularly within the European context. This study addresses this gap by using Romania as a case study to assess regional disparities in financial inclusion across its NUTS3 regions. Two indexing methods are compared - the Mahalanobis distance-based model (IFIMd) proposed by Li and Wang and the Euclidean distance-based model (IFIEd) proposed by Sarma-to construct a Financial Inclusion Index (FII) for 2018. The findings reveal considerable regional disparities, with Bucharest exhibiting the highest inclusion rates and Caras-Severin the lowest. The Mahalanobis distance model demonstrates superior accuracy in clustering these regions with similar financial inclusion characteristics, offering a more nuanced understanding of these regional dynamics. This research contributes to the literature by highlighting the critical need for advanced indexing methods at the subnational level to effectively capture financial inclusion disparities, providing valuable insights for policymakers seeking to enhance financial access in Romania and beyond.</t>
  </si>
  <si>
    <t>Euclidean distancing; financial inclusion; Mahalanobis distancing; NUTS3; regional disparities; R11</t>
  </si>
  <si>
    <t>EASTERN EUROPEAN ECONOMICS</t>
  </si>
  <si>
    <t>Unveiling Regional Disparities: A Comparative Analysis of Financial Inclusion Using Mahalanobis and Euclidean Distance Indices in the Case of Romania</t>
  </si>
  <si>
    <t>WOS:000415990500001</t>
  </si>
  <si>
    <t>FN4PZ</t>
  </si>
  <si>
    <t>10.1108/MF-04-2017-0117</t>
  </si>
  <si>
    <t>[Bongomin, George Okello Candiya; Munene, John C.] Makerere Univ, Sch Business, Fac Grad Studies &amp; Res, Kampala, Uganda; [Ntayi, Joseph Mpeera] Makerere Univ, Sch Business, Fac Econ Energy &amp; Management Sci, Kampala, Uganda; [Malinga, Charles Akol] Bank Uganda, Kampala, Uganda; [Malinga, Charles Akol] Makerere Univ, Sch Business, Dept Finance, Kampala, Uganda</t>
  </si>
  <si>
    <t>Purpose - The purpose of this paper is to examine the impact of individual components of financial literacy in promoting financial inclusion of poor households in rural Uganda. Design/methodology/approach - The study was cross-sectional combined with correlation and regression analyses. Data were collected from 400 poor households drawn from four regions in rural Uganda. Hierarchical regression analysis was used to test for the contribution of individual components of financial literacy on financial inclusion of poor households in rural Uganda. In addition, confirmatory factor analysis was used to establish existence of convergent validity between the items used to measure the different constructs under study. Furthermore, analysis of variance was also adopted to test for variation in perceptions of poor households on being financially included. Findings - The results generated from the study revealed that only attitude as a component of financial literacy significantly and positively predicts financial inclusion of poor households in rural Uganda. Contrary to previous thinking and empirical studies, behavior, knowledge, and skills are not significant predictors of financial inclusion of poor households in rural Uganda. Overall, the combined effect of the different components of financial literacy explains about 11.2 percent of the variance in financial inclusion of poor households in rural Uganda. Research limitations/implications - The study was not without limitations. The study adopted only cross-sectional study design, thus, leaving out longitudinal study. Therefore, future studies employing longitudinal research design worth undertaking. Furthermore, the sample although large enough focused only on poor households located in rural Uganda, therefore, ignoring peri-urban and urban areas in Uganda. Besides, the study used only quantitative data, thus, qualitative study using key informant interviews may be considered for further research. Practical implications - The paper indicates that policy makers, advocates of financial inclusion and researchers, should reconsider investigating individual contribution of the different components of financial literacy in promoting financial inclusion of poor households in rural Uganda. For researchers, it is important to re-analyze the individual components of financial literacy of behavior, knowledge, skills, and attitude in influencing financial inclusion of poor households in rural Uganda. Originality/value - This paper combines both functional components (behavior and attitude) and non-functional measures (knowledge and skills) of financial literacy to explain financial inclusion of poor households in rural Uganda. Most financial literacy studies have mainly adopted only non-functional measures of knowledge and skills. Besides, these studies ignore the individual contribution of functional components and non-functional measures of financial literacy in explaining financial inclusion of poor households. Thus, this study is the first to examine the impact of individual components of financial literacy in explaining financial inclusion of poor households in rural Uganda.</t>
  </si>
  <si>
    <t>Financial inclusion; Financial literacy; Behaviour and attitude; Financial knowledge and skills; Functional components; Rural Uganda</t>
  </si>
  <si>
    <t>Financial literacy in emerging economies Do all components matter for financial inclusion of poor households in rural Uganda?</t>
  </si>
  <si>
    <t>WOS:001536210700001</t>
  </si>
  <si>
    <t>5IC1D</t>
  </si>
  <si>
    <t>10.1177/09721509251356954</t>
  </si>
  <si>
    <t>2025 JUL 26</t>
  </si>
  <si>
    <t>, Ramesh Annemalla/0009-0004-0239-563X</t>
  </si>
  <si>
    <t>ramesh@cess.ac.in</t>
  </si>
  <si>
    <t>Annemalla, R (corresponding author), Ctr Econ &amp; Social Studies, Nizamiah Observ Campus,Begumpet, Hyderabad 500016, Telangana, India.</t>
  </si>
  <si>
    <t>[Annemalla, Ramesh] Ctr Econ &amp; Social Studies, Nizamiah Observ Campus,Begumpet, Hyderabad 500016, Telangana, India; [Kasturi, Alivelu] Ctr Econ &amp; Social Studies, Div Grad Studies, Nizamiah Observ Campus, Hyderabad, Telangana, India</t>
  </si>
  <si>
    <t>The purpose of this study is to know the level of financial inclusion (FI) among Indian states for the two-decade period. With the help of the two-stage principal component analysis (PCA) method, we constructed a composite financial inclusion index (FII) to measure the level of FI. We have collected data from secondary sources such as the Reserve Bank of India (RBI) and Economic and Political Weekly Research Foundation reports for 2000-2020. The study has built an overall FII, which is considered a comprehensive measure of FI using the dimensions-Availability, Penetration and Usage. The results show that Goa, Kerala and Tamil Nadu states topped with high FI, while Mizoram, Nagaland, Manipur and Meghalaya states ranked with low FI in the entire study period. To achieve complete FI, the RBI, government, National Bank for Agriculture and Rural Development and the other implementing agencies will have to work together so that FI can be achieved in a short period.</t>
  </si>
  <si>
    <t>Financial inclusion; financial inclusion index; measuring financial inclusion, economic growth, financial services, principal component analysis</t>
  </si>
  <si>
    <t>Financial Inclusion Among Indian States: An Analysis Through Financial Inclusion Index</t>
  </si>
  <si>
    <t>Annemalla, Ramesh; Kasturi, Alivelu</t>
  </si>
  <si>
    <t>Annemalla, R; Kasturi, A</t>
  </si>
  <si>
    <t>WOS:000562234000001</t>
  </si>
  <si>
    <t>PU4BD</t>
  </si>
  <si>
    <t>10.1002/jid.3513</t>
  </si>
  <si>
    <t>We would like to thank the Department for International Development (DFID), UK for supporting and funding the Livelihoods and Food Security Programme managed by Food and Agriculture Organization of the United Nations in Zimbabwe. We would like to acknowledge World Vision, Zimbabwe for giving us access to the data. We also thank the research assistants for administering the survey and smallholder rural households for providing the survey responses.</t>
  </si>
  <si>
    <t>Department for International Development (DFID), UK</t>
  </si>
  <si>
    <t>Murendo, Conrad/0000-0002-0267-7731</t>
  </si>
  <si>
    <t>Murendo, Conrad/AAI-3781-2020</t>
  </si>
  <si>
    <t>cmurendo@hotmail.com</t>
  </si>
  <si>
    <t>Murendo, C (corresponding author), Int Crops Res Inst Semi Arid Trop, Socioecon, Bulawayo, Zimbabwe.</t>
  </si>
  <si>
    <t>CGIAR; International Crops Research Institute for the Semi-Arid-Tropics (ICRISAT)</t>
  </si>
  <si>
    <t>[Murendo, Conrad; Murenje, Gamuchirai; Chivenge, Pepukai Prince] Int Crops Res Inst Semi Arid Trop, Socioecon, Bulawayo, Zimbabwe; [Murenje, Gamuchirai] Midlands State Univ, Dept Agr Econ &amp; Dev, Gweru, Zimbabwe; [Mtetwa, Rumbidzai] World Vis Int, Monitoring &amp; Evaluat, Harare, Zimbabwe</t>
  </si>
  <si>
    <t>This article assessed the association between financial inclusion and nutrition among 987 rural households in two districts of Zimbabwe. Poisson and negative binomial regressions were used for model estimations. Financial inclusion increased dietary diversity and food consumption by 12 and 14 per cent, respectively. Using concentration indices, our results show pro-rich advantages in financial inclusion and household nutrition. Promoting inclusive financial services among rural and poorer households is crucial. This can be achieved through establishing microfinance and agency banking in rural areas. Promoting pro-poor financial inclusion strategies, for example reduction of transaction and banking fees, is important to enhance equity. (c) 2020 John Wiley &amp; Sons, Ltd.</t>
  </si>
  <si>
    <t>SUB-SAHARAN AFRICA; DIETARY DIVERSITY; FOOD SECURITY; CONCENTRATION INDEX; FARM PRODUCTION; MARKET ACCESS; CONSUMPTION; MICROCREDIT; IMPACT; DETERMINANTS</t>
  </si>
  <si>
    <t>financial inclusion; nutrition; rural households; socio-economic status; Zimbabwe</t>
  </si>
  <si>
    <t>Financial Inclusion, Nutrition and Socio-Economic Status Among Rural Households in Guruve and Mount Darwin Districts, Zimbabwe</t>
  </si>
  <si>
    <t>Murendo, Conrad; Murenje, Gamuchirai; Chivenge, Pepukai Prince; Mtetwa, Rumbidzai</t>
  </si>
  <si>
    <t>Murendo, C; Murenje, G; Chivenge, PP; Mtetwa, R</t>
  </si>
  <si>
    <t>WOS:000661683800033</t>
  </si>
  <si>
    <t>SS3XV</t>
  </si>
  <si>
    <t>10.13106/jafeb.2021.vol8.no6.0347</t>
  </si>
  <si>
    <t>Ghazali, Zahiruddin/K-6477-2019</t>
  </si>
  <si>
    <t>misbahnoreen343@yahoo.com; uddin@uum.edu.my; Shahin@uum.edu.my</t>
  </si>
  <si>
    <t>Ghazali, Z (corresponding author), Univ Utara Malaysia UUM, Coll Business COB, Sch Econ Finance &amp; Banking SEFB, Sintok 06010, Kedah, Malaysia.</t>
  </si>
  <si>
    <t>Universiti Utara Malaysia</t>
  </si>
  <si>
    <t>[Noreen, Misbah; Ghazali, Zahiruddin; Mia, Md Shahin] Univ Utara Malaysia UUM, Coll Business COB, Sch Econ Finance &amp; Banking SEFB, Sintok 06010, Kedah, Malaysia</t>
  </si>
  <si>
    <t>In Pakistan, usage of mobile money services is very poor due to several reasons including lack of understanding of services, low financial literacy rate, and fear of losing their hard-earned money. Moreover, the association between perceived risk, perceived trust, and mobile money adoption has not yet been examined comprehensively. Therefore, this study aims to assess the impact of perceived risk and perceived trust on the adoption of mobile money services in Pakistan. This study carried out a cross-sectional survey using a standardized questionnaire to collect primary data from the mobile money users in the Punjab Province, Pakistan. Smart-PLS Algorithm and bootstrapping method were employed to analyze the data. The study found that three dimensions of perceived risk, namely, security risk, privacy risk, and financial risk have a significant impact on adoption of mobile money services in Pakistan. Perceived trust was also found to be a significant factor for mobile money adoption in the country. Moreover, the respondents reported that mobile money services save their time and reduce costs in performing financial transactions. The empirical findings of the study might be useful for the policymakers and service providers in enhancing the usage of mobile money services among financially-excluded segments of society.</t>
  </si>
  <si>
    <t>FINANCIAL INCLUSION; BANKING; ONLINE; USAGE; PERCEPTIONS; INTENTION; ACCEPTANCE</t>
  </si>
  <si>
    <t>Mobile Money Services; Perceived Risk; Perceived Trust; Pakistan</t>
  </si>
  <si>
    <t>The Impact of Perceived Risk and Trust on Adoption of Mobile Money Services: An Empirical Study in Pakistan</t>
  </si>
  <si>
    <t>Noreen, Misbah; Ghazali, Zahiruddin; Mia, Md Shahin</t>
  </si>
  <si>
    <t>Noreen, M; Ghazali, Z; Mia, MS</t>
  </si>
  <si>
    <t>WOS:001543951400017</t>
  </si>
  <si>
    <t>BZ1PG</t>
  </si>
  <si>
    <t>10.1007/978-981-96-7071-0_17</t>
  </si>
  <si>
    <t>978-981-96-7070-3; 978-981-96-7071-0</t>
  </si>
  <si>
    <t>2945-9133</t>
  </si>
  <si>
    <t>Woo, Sejun/0009-0000-4067-2184; Yagi, Marina/0009-0008-0394-3596</t>
  </si>
  <si>
    <t>marina.yagi@keio.jp; sesejun2@keio.jp; zhangy66669@keio.jp; htaka@keio.jp</t>
  </si>
  <si>
    <t>Yagi, M (corresponding author), Keio Univ, Grad Sch Business Adm, Minato, Japan.</t>
  </si>
  <si>
    <t>[Yagi, Marina; Woo, Sejun; Zhang, Ying; Takahashi, Hiroshi] Keio Univ, Grad Sch Business Adm, Minato, Japan</t>
  </si>
  <si>
    <t>Financial inclusion requires equitable access to financial services, yet linguistic barriers hinder non-native Japanese speakers. This study examines using large language models (LLMs) to generate Easy Japanese for financial literacy education and proposes a reference-free evaluation framework. The study assesses the effectiveness of LLMs through manual, automated, and machine-based evaluations using Zero-shot and One-shot prompting. The findings demonstrate that LLM-generated Easy Japanese enhances accessibility while preserving accuracy. Additionally, SHAP analysis of linguistic features across Japanese, Chinese, and Korean speakers reveals that hiragana, kanji, and particle usage influence text difficulty. This study provides a scalable solution for financial education and contributes to advancing financial inclusion.</t>
  </si>
  <si>
    <t>Financial Inclusion; Text Simplification; Large Language Models</t>
  </si>
  <si>
    <t>Osaka, JAPAN</t>
  </si>
  <si>
    <t>MAY 26-27, 2025</t>
  </si>
  <si>
    <t>2025 JSAI International Symposia on Artificial Intelligence-JSAI-isAI</t>
  </si>
  <si>
    <t>NEW FRONTIERS IN ARTIFICIAL INTELLIGENCE, JSAI-ISAI 2025</t>
  </si>
  <si>
    <t>Financial Inclusion with Large Language Models: Prompt Design and Evaluation for Easy Japanese Generation</t>
  </si>
  <si>
    <t>Yagi, Marina; Woo, Sejun; Zhang, Ying; Takahashi, Hiroshi</t>
  </si>
  <si>
    <t>Nakano, Y; Suzumura, T</t>
  </si>
  <si>
    <t>Yagi, M; Woo, S; Zhang, Y; Takahashi, H</t>
  </si>
  <si>
    <t>WOS:000836540200004</t>
  </si>
  <si>
    <t>3O0OA</t>
  </si>
  <si>
    <t>10.1016/j.ememar.2021.100846</t>
  </si>
  <si>
    <t>Kass-Hanna, Josephine/0000-0003-3498-2703; Liu, Fan/0000-0002-9661-0334</t>
  </si>
  <si>
    <t>josephine.kasshanna@usj.edu.lb; anglyons@illinois.edu; Fan.Liu@xjtlu.edu.cn</t>
  </si>
  <si>
    <t>Kass-Hanna, J (corresponding author), St Joseph Univ Beirut, Fac Business Adm &amp; Management, Campus Social Sci,Huvelin St, Beirut 11042020, Lebanon.</t>
  </si>
  <si>
    <t>University of Illinois System; University of Illinois Urbana-Champaign; Xi'an Jiaotong-Liverpool University</t>
  </si>
  <si>
    <t>[Kass-Hanna, Josephine] St Joseph Univ Beirut, Fac Business Adm &amp; Management, Campus Social Sci,Huvelin St, Beirut 11042020, Lebanon; [Lyons, Angela C.] Univ Illinois, Dept Agr &amp; Consumer Econ, 440 Mumford Hall,1301 W Gregory Dr, Urbana, IL 61801 USA; [Liu, Fan] Xian Jiaotong Liverpool Univ, Int Business Sch Suzhou, 111 Renai Rd,Suzhou Ind Pk, Suzhou 215123, Jiangsu, Peoples R China</t>
  </si>
  <si>
    <t>Globally, 1.7 billion adults still lack access to formal financial services, with a large percentage living in South Asia and Sub-Saharan Africa. Current financial inclusion strategies seek to enhance these vulnerable populations' access to financial services with the aim of building more inclusive and financially resilient societies. With the Fintech movement and over 67% of the world's population having a mobile phone, digital financial literacy is gaining momentum. Nevertheless, negligible research has measured its impacts on financial behavior. This study uses data from the InterMedia Financial Inclusion Insights (FII) surveys for seven South Asian and Sub-Saharan African countries to investigate the relationship between multidimensional measures of financial and digital literacy and resilience-building financial behaviors, including saving, borrowing, and risk management. The findings consistently show that both financial and digital literacy are key factors to building inclusiveness and financial resilience. Heterogeneities are identified across regions, as well as for poor, rural, and female households. A robustness check is also included to address potential endogeneity. The results emphasize the need to redefine traditional financial literacy to include digital literacy, with important implications for countries considering both as a dual approach to improving households' long-run financial resilience.</t>
  </si>
  <si>
    <t>MOBILE MONEY; SAVINGS ACCOUNTS; FIELD EXPERIMENT; RISK; DECISIONS; INCLUSION; KNOWLEDGE; EDUCATION; SERVICES; BANKING</t>
  </si>
  <si>
    <t>Financial inclusion; Financial services; Financial literacy; Digital literacy; South Asia; Sub-Saharan Africa</t>
  </si>
  <si>
    <t>Building financial resilience through financial and digital literacy in South Asia and Sub-Saharan Africa</t>
  </si>
  <si>
    <t>Kass-Hanna, Josephine; Lyons, Angela C.; Liu, Fan</t>
  </si>
  <si>
    <t>Kass-Hanna, J; Lyons, AC; Liu, F</t>
  </si>
  <si>
    <t>WOS:000353772100035</t>
  </si>
  <si>
    <t>BC6CE</t>
  </si>
  <si>
    <t>978-606-93691-3-5</t>
  </si>
  <si>
    <t>STRADA MOLDOVEI, NR 8, TARGU-MURES, MURES 540519, ROMANIA</t>
  </si>
  <si>
    <t>TARGU-MURES</t>
  </si>
  <si>
    <t>ARHIPELAG XXI PRESS</t>
  </si>
  <si>
    <t>Buzatu, C (corresponding author), Babes Bolyai Univ Cluj Napoca, Cluj Napoca, Romania.</t>
  </si>
  <si>
    <t>Babes Bolyai University from Cluj</t>
  </si>
  <si>
    <t>Babes Bolyai Univ Cluj Napoca, Cluj Napoca, Romania</t>
  </si>
  <si>
    <t>According to classical economists, individuals should make perfectly rational choices, take into account all available information, make all mathematical calculations and choose the best option for their interest. Behavioral economists, beginning with early. 80, tried to emphasize and measure the influence of behavioral factors affecting financial decisions. Nowadays, especially after the financial crisis, researchers highlighted factors as financial literacy, financial capability, and financial inclusion which can influence decisions. In this paper I developed a theoretical approach to behavioral and educational factors affecting decisions, with specific reference to the Romanian market. Finally I analyzed frequent errors and proposed possible actions to correct them.</t>
  </si>
  <si>
    <t>RATIONAL CHOICE</t>
  </si>
  <si>
    <t>financial decision; behavioral; financial literacy; Romania</t>
  </si>
  <si>
    <t>Tirgu Mures, ROMANIA</t>
  </si>
  <si>
    <t>MAY 29-30, 2014</t>
  </si>
  <si>
    <t>2nd International Conference on Globalization, Intercultural Dialogue and National Identity</t>
  </si>
  <si>
    <t>GLOBALIZATION AND INTERCULTURAL DIALOGUE: MULTIDISCIPLINARY PERSPECTIVES - ECONOMY AND MANAGEMENT</t>
  </si>
  <si>
    <t>PERSONAL FINANCIAL DECISION IN ROMANIA BEHAVIORAL AND EDUCATIONAL DETERMINANTS</t>
  </si>
  <si>
    <t>Buzatu, Cristian</t>
  </si>
  <si>
    <t>Boldea, I</t>
  </si>
  <si>
    <t>Buzatu, C</t>
  </si>
  <si>
    <t>WOS:000697469500001</t>
  </si>
  <si>
    <t>WN7OZ</t>
  </si>
  <si>
    <t>10.1108/IJSE-09-2019-0555</t>
  </si>
  <si>
    <t>OCT 27</t>
  </si>
  <si>
    <t>Yosa, Francis/0000-0002-5747-1538; Okello Candiya Bongomin, George/0000-0001-9758-1646;</t>
  </si>
  <si>
    <t>Bongomin, GOC (corresponding author), Makerere Univ, Fac Grad Studies &amp; Res, Business Sch, Kampala, Uganda.</t>
  </si>
  <si>
    <t>[Bongomin, George Okello Candiya] Makerere Univ, Fac Grad Studies &amp; Res, Business Sch, Kampala, Uganda; [Yosa, Francis] Makerere Univ, Management, Business Sch, Kampala, Uganda; [Ntayi, Joseph Mpeera] Makerere Univ, Management Sci, Business Sch, Kampala, Uganda</t>
  </si>
  <si>
    <t>Purpose Mobile money is a service in which the mobile phone is used to access financial services. Thus, the mobile money platform should be user-friendly with hedonic features that are attractive and pleasurable to the users. The main purpose of this paper is to establish the mediating effect of hedonism in the relationship between mobile money adoption and usage and financial inclusion of micro small and medium enterprises (MSMEs) in Uganda. Design/methodology/approach This study reports interesting findings by using data obtained from MSMEs located in northern Uganda. The structural equation and measurement models were generated in analysis of moment structures (AMOS) to answer the hypotheses of this study. Findings The findings suggest that including hedonism in the model improves mobile money adoption and usage by 12.7 percentage points in order to promote financial inclusion of MSMEs in Uganda. Hedonism is found to affect mobile money adoption and usage, which in turn influences financial inclusion. Research limitations/implications This study used cross-sectional data to document the mediating effect of hedonism in the relationship between mobile money adoption and usage and financial inclusion. The study analyzed mobile money adoption and usage, hedonism, and financial inclusion from the MSMEs owners' perspective. Future research could use relevant longitudinal data to verify multiple benefits of hedonism in enhancing mobile money adoption and usage as well as other potential digital financial technologies. Practical implications This study categorically informs mobile telephone network operators and inventors of mobile money applications to invest more in developing pleasurable and user-friendly mobile money features that can attract more users. The digital financial services' application developers should design user-friendly mobile money applications that suit the needs of all users. This requires careful understanding of diverse attractive features of mobile money services. Originality/value This study offers direction to developers of mobile money applications to design pleasurable and user-friendly mobile money platform with features, which are attractive to the different users. Particularly, it highlights the role of hedonic motivation in promoting adoption and use of mobile money technology to increase the scope of financial inclusion of MSMEs in a developing country like Uganda. Indeed, the novelty in this paper is grounded on a blend of financial technology and psychology to promote financial inclusion in under developed economies.</t>
  </si>
  <si>
    <t>USER ACCEPTANCE; ADOPTION; BANKING; TECHNOLOGY; ACCESS; DETERMINANTS; ENTERPRISES; EXPERIENCE; HOUSEHOLDS; EXTENSION</t>
  </si>
  <si>
    <t>MSMEs; Mobile money services; Financial inclusion; Hedonic motivation; Mobile network operators; Northern Uganda</t>
  </si>
  <si>
    <t>Reimaging the mobile money ecosystem and financial inclusion of MSMEs in Uganda: Hedonic motivation as mediator</t>
  </si>
  <si>
    <t>Bongomin, George Okello Candiya; Yosa, Francis; Ntayi, Joseph Mpeera</t>
  </si>
  <si>
    <t>Bongomin, GOC; Yosa, F; Ntayi, JM</t>
  </si>
  <si>
    <t>WOS:000455058400029</t>
  </si>
  <si>
    <t>BL7IY</t>
  </si>
  <si>
    <t>978-94-6252-565-8</t>
  </si>
  <si>
    <t>The research project of the basic scientific research project of the province of Harbin Finance University, which is based on the financial ethics perspective, the research stage of the financial development evaluation of the county area (2017-KYYWF-0088); The research on the innovation of financial ethics education in financial institutions under the background of Internet plus in the 13th five-year plan of education science in Heilongjiang province. Periodic results. (GJD1316020) Heilongjiang youth innovation talent training program project: One Belt And One Road background of the research stage of cross-border economic cooperation in Heilongjiang province along the border of Heilongjiang province, (UNPYSCT-2017045)</t>
  </si>
  <si>
    <t>basic scientific research project of the province of Harbin Finance University; research on the innovation of financial ethics education in financial institutions under the background of Internet plus in the 13th five-year plan of education science in Heilongjiang province; Heilongjiang youth innovation talent training program project: One Belt And One Road background of the research stage of cross-border economic cooperation in Heilongjiang province along the border of Heilongjiang province</t>
  </si>
  <si>
    <t>basic scientific research project of the province of Harbin Finance University [2017-KYYWF-0088]; research on the innovation of financial ethics education in financial institutions under the background of Internet plus in the 13th five-year plan of education science in Heilongjiang province [GJD1316020]; Heilongjiang youth innovation talent training program project: One Belt And One Road background of the research stage of cross-border economic cooperation in Heilongjiang province along the border of Heilongjiang province [UNPYSCT-2017045]</t>
  </si>
  <si>
    <t>Liu, XY (corresponding author), Harbin Finance Univ, Harbin, Heilongjiang, Peoples R China.</t>
  </si>
  <si>
    <t>Harbin Finance University</t>
  </si>
  <si>
    <t>[Liu, Xiaoyu] Harbin Finance Univ, Harbin, Heilongjiang, Peoples R China</t>
  </si>
  <si>
    <t>Currently, inclusive finance has become the realistic choice of China's financial development strategy, Through analyzing the problems existing in the development of inclusive finance in China, the paper puts forward some countermeasures and Suggestions to optimize the development of inclusive finance.</t>
  </si>
  <si>
    <t>microfinance; inclusive finance; finance code</t>
  </si>
  <si>
    <t>Russian State Univ Humanities, Domodedovo Branch,Int Sci &amp; Culture Ctr Academic Contacts,Henan Univ Minsheng College,Zhengzhou Yingchun Conference planning Co Ltd</t>
  </si>
  <si>
    <t>Domodedovo, RUSSIA</t>
  </si>
  <si>
    <t>APR 01-04, 2018</t>
  </si>
  <si>
    <t>3rd International Conference on Judicial, Administrative and Humanitarian Problems of State Structures and Economic Subjects (JAHP)</t>
  </si>
  <si>
    <t>PROCEEDINGS OF THE 3RD INTERNATIONAL CONFERENCE ON JUDICIAL, ADMINISTRATIVE AND HUMANITARIAN PROBLEMS OF STATE STRUCTURES AND ECONOMIC SUBJECTS (JAHP 2018)</t>
  </si>
  <si>
    <t>Research on the Development of Inclusive Finance in China</t>
  </si>
  <si>
    <t>Liu, Xiaoyu</t>
  </si>
  <si>
    <t>Green, R; Solovjeva, I; Zhang, Y; Hou, R; McAnally, E</t>
  </si>
  <si>
    <t>Liu, XY</t>
  </si>
  <si>
    <t>WOS:001076557600001</t>
  </si>
  <si>
    <t>T2TK1</t>
  </si>
  <si>
    <t>10.1016/j.jebo.2023.08.014</t>
  </si>
  <si>
    <t>Financial support from the Inter-American Development Bank (IDB) and BBVA Edufin 2019 Grants is gratefully acknowledged. We are very thankful to the fieldwork team from SAYARI, who monitored the use of the apps. We also thank the fieldwork supervision provided by Microfinance Opportunities (MFO) , represented by Guy Stuart and Daniela Ortega. We thank Carly Urban, Diego Vera and seminar participants at the 6th Cherry Blossom Financial Education Institute (GFLEC-GW University) and Development Economics Network Berlin (DENeB) for useful comments. This study is registered in the AEA RCT Registry and the unique identifying number is: AEARCTR-0008174. All data collection activities were conducted once the Advarra Institutional Review Board (IRB) determined that the evaluation activities were exempt from IRB oversight (protocol number Pro00029927) .</t>
  </si>
  <si>
    <t>Inter-American Development Bank (IDB); BBVA Edufin 2019 Grants</t>
  </si>
  <si>
    <t>Prina, Silvia/HLX-2155-2023</t>
  </si>
  <si>
    <t>vfrisancho@caf.com</t>
  </si>
  <si>
    <t>Frisancho, V (corresponding author), Dev Bank Latin Amer, CAF, Ave Eduardo Madero 900,C1106ACV, Buenos Aires, Argentina.</t>
  </si>
  <si>
    <t>Northeastern University</t>
  </si>
  <si>
    <t>[Frisancho, Veronica] Dev Bank Latin Amer, CAF, Ave Eduardo Madero 900,C1106ACV, Buenos Aires, Argentina; [Herrera, Alejandro] Inst Adv Dev Studies INESAD, La Paz, Bolivia; [Prina, Silvia] Northeastern Univ, Dept Econ, 310A Lake Hall, Boston, MA 02115 USA</t>
  </si>
  <si>
    <t>We study the impact of a mobile-app-based behavioral intervention on youth's financial literacy and financial behavior in Peru. To maximize the chances to reach out-of-school youth, we provided access to a user-friendly budget recording tool coupled with regular enumerators' visits and the delivery of SMSs during a 27-week period. The bundled treatment had positive and significant effects on financial literacy and knowledge about prices of goods and services. The probability of saving and savings deposits were not affected, but usage of credit increased both at the extensive and intensive margins. Average treatment effects on financial literacy and behavior were driven by youth without previous exposure to financial education, suggesting that the bundled intervention prompted specific subgroups (i.e., youth with lower levels of financial knowledge) to invest more in financial literacy.</t>
  </si>
  <si>
    <t>EDUCATION; IMPACT; LITERACY</t>
  </si>
  <si>
    <t>Financial inclusion; Financial diaries; Financial literacy; Youth</t>
  </si>
  <si>
    <t>Can a mobile-app-based behavioral intervention teach financial skills to youth? Experimental evidence from a financial diaries study *</t>
  </si>
  <si>
    <t>Frisancho, Veronica; Herrera, Alejandro; Prina, Silvia</t>
  </si>
  <si>
    <t>Frisancho, V; Herrera, A; Prina, S</t>
  </si>
  <si>
    <t>WOS:001637944900008</t>
  </si>
  <si>
    <t>10.1016/j.bir.2025.10.015</t>
  </si>
  <si>
    <t>Vieira, Kelmara/AAU-7480-2020</t>
  </si>
  <si>
    <t>anaparaboni@gmail.com; anipotrich@gmail.com; kelmara.vieira@ufsm.br</t>
  </si>
  <si>
    <t>Paraboni, AL (corresponding author), Fed Univ Santa Catarina UFSC, Postgrad Program Adm, Campus Reitor Joao David Ferreira Lima S-N, BR-88040900 Florianopolis, SC, Brazil.</t>
  </si>
  <si>
    <t>Universidade Federal de Santa Maria (UFSM)</t>
  </si>
  <si>
    <t>[Paraboni, Ana Luiza; Potrich, Ani Caroline Grigion] Fed Univ Santa Catarina UFSC, Postgrad Program Adm, Campus Reitor Joao David Ferreira Lima S-N, BR-88040900 Florianopolis, SC, Brazil; [Vieira, Kelmara Mendes] Fed Univ Santa Maria UFSM, Postgrad Program Management Publ Org, Ave Roraima 1000,Predio 74C,4212, BR-97105900 Santa Maria, RS, Brazil</t>
  </si>
  <si>
    <t>This study proposed and validated a model of financial citizenship that integrates financial literacy, inclusion, and protection, comparing its applicability and mean differences between Brazilians and French. A sample from both countries was investigated. The data were analyzed using descriptive statistics, structural equation modeling, model invariance testing, and mean differences analysis. The invariance analysis confirmed that the model has an equivalent factor structure in both countries, enabling valid and consistent comparisons. The results indicated no significant differences in the mean scores for financial literacy and financial protection between the groups, possibly due to similarities in national financial education strategies. However, Brazilians scored significantly higher in financial inclusion and citizenship, suggesting some advances in financial practices in Brazil (e.g., the adoption of PIX) and thus expand access to digital banking services. This work advances the cross-cultural validity of the financial citizenship model and demonstrates its usefulness for international research.</t>
  </si>
  <si>
    <t>Financial citizenship; Financial literacy; Financial inclusion; Financial protection; Nationality</t>
  </si>
  <si>
    <t>Financial citizenship beyond borders: Validation of a model between Brazil and France</t>
  </si>
  <si>
    <t>Paraboni, Ana Luiza; Potrich, Ani Caroline Grigion; Vieira, Kelmara Mendes</t>
  </si>
  <si>
    <t>Paraboni, AL; Potrich, ACG; Vieira, KM</t>
  </si>
  <si>
    <t>WOS:000413051500013</t>
  </si>
  <si>
    <t>FJ8XI</t>
  </si>
  <si>
    <t>10.1186/s40854-016-0033-x</t>
  </si>
  <si>
    <t>The authors wish to thank the Bank of Uganda for the financial contributions towards this work. The authors also thank their colleagues in the economics research department of the Bank of Uganda for their vital critique and overall assessment of the paper.</t>
  </si>
  <si>
    <t>Bank of Uganda</t>
  </si>
  <si>
    <t>Nampewo, Dorothy/0000-0003-4820-4793; KAWOOYA, DUNCAN ROY/0000-0002-9310-8402</t>
  </si>
  <si>
    <t>dnampewo@bou.or.ug</t>
  </si>
  <si>
    <t>Nampewo, D (corresponding author), Bank Uganda, Econ Res Dept, Kampala, Uganda.</t>
  </si>
  <si>
    <t>[Nampewo, Dorothy; Tinyinondi, Grace Ainomugisha; Kawooya, Duncan Roy; Ssonko, George Wilson] Bank Uganda, Econ Res Dept, Kampala, Uganda</t>
  </si>
  <si>
    <t>Background: Mobile money services have been associated with unprecedented access to financial services, notably to under-banked and unbanked populations. Thus, mobile money opens a channel through which to examine the supply of private sector credit in Uganda. This study investigates how mobile money services influence private sector credit growth. Methods: We applied the vector error correction (VEC) model and Granger causality analysis to Ugandan data from March 2009 to February 2016, the period when mobile money services were introduced. Results: The VEC model reveals that mobile money has a significant positive long-run association with private sector credit growth. Granger causality analysis reveals long-run unidirectional causality from mobile money to private sector credit. Conclusions: Mobile money is critical for financial intermediation because it attracts resources from both the banked and the unbanked populations into the formal financial system, facilitating private sector credit growth.</t>
  </si>
  <si>
    <t>Mobile money; Private sector credit; Uganda</t>
  </si>
  <si>
    <t>Determinants of private sector credit in Uganda: the role of mobile money</t>
  </si>
  <si>
    <t>Nampewo, Dorothy; Tinyinondi, Grace Ainomugisha; Kawooya, Duncan Roy; Ssonko, George Wilson</t>
  </si>
  <si>
    <t>Nampewo, D; Tinyinondi, GA; Kawooya, DR; Ssonko, GW</t>
  </si>
  <si>
    <t>WOS:000422994200003</t>
  </si>
  <si>
    <t>FT2RR</t>
  </si>
  <si>
    <t>10.1111/rode.12327</t>
  </si>
  <si>
    <t>MEXT (Ministry of Education, Culture, Sports, Science and Technology), Global Center of Excellence; JSPS KANENHI Grant No. 25101002</t>
  </si>
  <si>
    <t>MEXT (Ministry of Education, Culture, Sports, Science and Technology), Global Center of Excellence(Ministry of Education, Culture, Sports, Science and Technology, Japan (MEXT));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</si>
  <si>
    <t>MEXT (Ministry of Education, Culture, Sports, Science and Technology), Global Center of Excellence; JSPS [25101002]; Grants-in-Aid for Scientific Research [26301018, 15H02619, 25101002] Funding Source: KAKEN</t>
  </si>
  <si>
    <t>Matsumoto, Tomoya/0000-0002-1570-2713</t>
  </si>
  <si>
    <t>Matsumoto, Tomoya/NRA-8433-2025</t>
  </si>
  <si>
    <t>kasimgm@gmail.com</t>
  </si>
  <si>
    <t>Munyegera, GK (corresponding author), Natl Grad Inst Policy Studies, Minato Ku, 7-22-1 Roppongi, Tokyo 1068677, Japan.</t>
  </si>
  <si>
    <t>National Graduate Institute for Policy Studies</t>
  </si>
  <si>
    <t>[Munyegera, Ggombe Kasim; Matsumoto, Tomoya] Natl Grad Inst Policy Studies, Tokyo, Japan</t>
  </si>
  <si>
    <t>Mobile money usage has expanded tremendously in Uganda, reaching over 40% of the adult population within 8 years of inception. We use data from 820 rural households to examine the effect of this financial innovation on their financial behavior. We find that using mobile money services increases the likelihood of saving, borrowing, and receiving remittances. The corresponding amounts of each service are also significantly higher among mobile money user households relative to their nonuser counterparts. We demonstrate that the mechanism of this impact is a reduction in transaction costsa combination of transportation fares and service chargesassociated with household proximity to mobile money agents. To illustrate the convenience of service proximity, we demonstrate that the household's likelihood and frequency of using mobile money services reduces with the distance to the nearest mobile money agent. This distance variable is then used to instrument for the potentially endogenous mobile money adoption. We finally perform propensity score matching to reinforce the robustness of our results; our results are consistent across all these specifications. The results imply that developing and enhancing access to and usage of pro-poor financial products could be a first step to achieving greater financial inclusion.</t>
  </si>
  <si>
    <t>ECONOMIC-GROWTH; KENYA</t>
  </si>
  <si>
    <t>ICT for financial access: Mobile money and the financial behavior of rural households in Uganda</t>
  </si>
  <si>
    <t>Munyegera, Ggombe Kasim; Matsumoto, Tomoya</t>
  </si>
  <si>
    <t>Munyegera, GK; Matsumoto, T</t>
  </si>
  <si>
    <t>WOS:001200695600001</t>
  </si>
  <si>
    <t>PL6S5</t>
  </si>
  <si>
    <t>10.1108/AFR-09-2023-0121</t>
  </si>
  <si>
    <t>Gan, Christopher/0000-0002-5618-1651; Jin, Shan/0000-0001-8707-4624;</t>
  </si>
  <si>
    <t>Gan, Christopher/JSL-2036-2023; Le Trang Anh, Dao/ABR-3638-2022</t>
  </si>
  <si>
    <t>shan.jin@lincolnuni.ac.nz</t>
  </si>
  <si>
    <t>Jin, S (corresponding author), Lincoln Univ, Fac Agribusiness &amp; Commerce, Dept Financial &amp; Business Syst, Lincoln, New Zealand.</t>
  </si>
  <si>
    <t>Lincoln University - New Zealand; Royal Melbourne Institute of Technology (RMIT)</t>
  </si>
  <si>
    <t>[Jin, Shan; Gan, Christopher] Lincoln Univ, Fac Agribusiness &amp; Commerce, Dept Financial &amp; Business Syst, Lincoln, New Zealand; [Anh, Dao Le Trang] RMIT Univ, Business Sch, Hanoi, Vietnam</t>
  </si>
  <si>
    <t>PurposeFocusing on micro-level indicators, we investigate financial inclusion levels in rural China, examining its determinants and impact on household welfare. We construct a financial inclusion index of four essential financial services: savings, digital payments, credit and insurance. We identify factors influencing financial inclusion among Chinese rural households and assess the effects of financial inclusion on household welfare.Design/methodology/approachWith the entropy method, we use data from the 2019 China Household Finance Survey to assess financial inclusion levels in rural China. Determinants and their impact on welfare are analyzed through probit and ordinary least squares models, respectively. Propensity scoring matching is applied to address potential endogeneity.FindingsWe reveal that rural households exhibit limited usage of formal financial services, with notable regional disparities. The eastern region enjoys the highest financial inclusion and the central region lags behind. Household characteristics such as family size, education level of the household head, income, employment status and financial literacy significantly influence financial inclusion. Financial inclusion positively impacts household welfare as indicated by household consumption expenditure. The use of different types of financial services is crucial with varying but significant effects on household welfare.Originality/valueThis study offers valuable insights into China's rural financial inclusion progress, highlighting potential barriers and guiding government actions.</t>
  </si>
  <si>
    <t>PROPENSITY SCORE; ACCESS; LITERACY; SERVICES</t>
  </si>
  <si>
    <t>Financial inclusion; Credit; Rural household China; Household welfare; G21; I31; O18; P34</t>
  </si>
  <si>
    <t>Financial inclusion toward economic inclusion: empirical evidence from China's rural household</t>
  </si>
  <si>
    <t>Jin, Shan; Gan, Christopher; Anh, Dao Le Trang</t>
  </si>
  <si>
    <t>Jin, S; Gan, C; Anh, DLT</t>
  </si>
  <si>
    <t>WOS:001614443800002</t>
  </si>
  <si>
    <t>9TE7G</t>
  </si>
  <si>
    <t>10.1057/s41599-025-05995-2</t>
  </si>
  <si>
    <t>NOV 14</t>
  </si>
  <si>
    <t>Hussain, Babar/HHN-1226-2022; Khalid, Muhammad/AAV-3406-2021; Umair, Muhammad/NGR-2712-2025; ahmad, waqar/JED-9648-2023; Lehnhardt, Fatima/Q-5092-2019</t>
  </si>
  <si>
    <t>m.waqas.barakzai@gmail.com; Fatima.Lehnhardt@zalf.de</t>
  </si>
  <si>
    <t>Khalid, MW (corresponding author), Univ Catania, Catania, Italy.;Lambarraa-Lehnhardt, F (corresponding author), Leibniz Ctr Agr Landscape Res, Muncheberg, Germany.</t>
  </si>
  <si>
    <t>Jiangxi Normal University; International Islamic University, Pakistan; University of Catania; Leibniz Association; Leibniz Zentrum fur Agrarlandschaftsforschung (ZALF)</t>
  </si>
  <si>
    <t>[Fu, Jianru] Jiangxi Normal Univ, Sch Econ &amp; Management, Nanchang, Peoples R China; [Ahmad, Waqar; Hussain, Babar] Int Islamic Univ Islamabad, Islamabad, Pakistan; [Khalid, Muhammad Waqas] Univ Catania, Catania, Italy; [Lambarraa-Lehnhardt, Fatima] Leibniz Ctr Agr Landscape Res, Muncheberg, Germany; [Umair, Muhammad] Emerson Univ Multan, Multan, Pakistan</t>
  </si>
  <si>
    <t>Shadow economy creates a significant barrier to economic progress in developing economies, whereas financial inclusion plays a crucial role in boosting economic performance. This study examines the impact of the shadow economy on economic growth and explores how financial inclusion moderates this relationship. We use two key dimensions of financial inclusion, including financial market development and financial institution development. We apply system GMM and difference GMM techniques on a dataset of 120 selected developing economies worldwide, from 2002 to 2020. The estimation results reveal that a sizeable shadow economy significantly hampers economic growth, while higher levels of financial inclusion improve it. Additionally, financial inclusion, particularly through the development of financial markets and institutions, moderates the adverse effects of the shadow economy on economic growth, suggesting a significant substitutability between the shadow economy and financial inclusion. This indicates that increasing financial inclusion reduces the size of the shadow economy and mitigates its harmful effects on economic growth. These results remain robust when using an alternative measure of the shadow economy. Based on the findings, we recommend governments promote financial inclusion initiatives, such as expanding banking services, advancing mobile banking, and increasing financial literacy.</t>
  </si>
  <si>
    <t>PANEL-DATA; INFORMAL SECTOR; INFLATION; INSTITUTIONS; ENDOGENEITY; TESTS; SIZE; GMM</t>
  </si>
  <si>
    <t>Shadow economy, financial inclusion and economic growth Nexus: evidence from developing countries</t>
  </si>
  <si>
    <t>Fu, Jianru; Ahmad, Waqar; Hussain, Babar; Khalid, Muhammad Waqas; Lambarraa-Lehnhardt, Fatima; Umair, Muhammad</t>
  </si>
  <si>
    <t>Fu, JR; Ahmad, W; Hussain, B; Khalid, MW; Lambarraa-Lehnhardt, F; Umair, M</t>
  </si>
  <si>
    <t>WOS:000561117208002</t>
  </si>
  <si>
    <t>BP7AN</t>
  </si>
  <si>
    <t>The authors appreciate Covenant University for sponsoring their participation at the conference.</t>
  </si>
  <si>
    <t>lawrence.okoye@covenantuniversity.edu.ng; alexander.omankhanlen@covenantuniversity.edu.ng; hilgozokoye@gmail.com; ese.urhie@covenantuniversity.edu.ng; okohjohnson1@gmail.com; felixezeji67@gmail.com</t>
  </si>
  <si>
    <t>Okoye, LU (corresponding author), Covenant Univ Ota, Dept Banking &amp; Finance, Ota, Nigeria.</t>
  </si>
  <si>
    <t>Covenant University; Covenant University</t>
  </si>
  <si>
    <t>[Okoye, Lawrence Uchenna; Omankhanlen, Alexander Ehimare] Covenant Univ Ota, Dept Banking &amp; Finance, Ota, Nigeria; [Okoye, Hilda Chigozie] Abia State Univ Uturu Okigwe, Dept Educ Management &amp; Planning, Uturu, Nigeria; [Urhie, Ese] Covenant Univ Ota, Dept Econ &amp; Dev Studies, Ota, Nigeria; [Okoh, Johnson, I] Natl Open Univ Nigeria, Dept Financial Studies, Lagos, Nigeria; [Ezeji, Felix N.] Ebonyi State Univ, Dept Banking &amp; Finance, Abakaliki, Nigeria</t>
  </si>
  <si>
    <t>The study examined the nexus between financial literacy and poverty reduction using the survey research method with data generated from five hundred and twenty-five households randomly selected from three densely populated sub-urban areas across three geographical regions in Nigeria. The Likert-type research instrument was used to elicit the opinion of respondents on a number of research statements and data generated from the survey was analyzed and evaluated based on the method of means. The result indicates that financial literacy affects the quality if financial decisions made by households and that poverty results from poor financial decisions. Based on the findings, the study concludes that financial literacy is a potential instrument of poverty alleviation. It is therefore recommended that financial literacy should be promoted in all its ramifications through the introduction of financial education as a part of core curriculum at all levels of the school system and as part of informal education propagated at home and other educational media. Also, it is one thing to gather knowledge but it is another to engage it productively. It is advised that wisdom be applied in household financial management to achieve prudence in the procurement and deployment of financial resources.</t>
  </si>
  <si>
    <t>Financial literacy; Financial Education; Financial capability; Poverty alleviation</t>
  </si>
  <si>
    <t>Financial Literacy as an Intrument of Poverty Alleviation</t>
  </si>
  <si>
    <t>Okoye, Lawrence Uchenna; Omankhanlen, Alexander Ehimare; Okoye, Hilda Chigozie; Urhie, Ese; Okoh, Johnson, I; Ezeji, Felix N.</t>
  </si>
  <si>
    <t>Okoye, LU; Omankhanlen, AE; Okoye, HC; Urhie, E; Okoh, JI; Ezeji, FN</t>
  </si>
  <si>
    <t>WOS:001333603700006</t>
  </si>
  <si>
    <t>I9T4Y</t>
  </si>
  <si>
    <t>10.3846/bmee.2024.21449</t>
  </si>
  <si>
    <t>Bus. Manag. Econ. Eng.</t>
  </si>
  <si>
    <t>BUS MANAG ECON ENG</t>
  </si>
  <si>
    <t>2669-249X</t>
  </si>
  <si>
    <t>2669-2481</t>
  </si>
  <si>
    <t>Lomachynska, Iryna/0000-0002-6112-6884; Arsawan, I Wayan Edi/0000-0001-8493-5249; Kazancoglu, Yigit/0000-0001-9199-671X; Skyba, Hanna/0000-0003-3751-0082</t>
  </si>
  <si>
    <t>Lomachynska, Iryna/E-9174-2018; Arsawan, I Wayan Edi/ACV-1356-2022; Koval, Viktor/B-8479-2018; Kazancoglu, Yigit/E-7705-2015; Ratnawati, Kusuma/HDO-7933-2022; Skyba, Hanna/HOC-1168-2023</t>
  </si>
  <si>
    <t>victor-koval@ukr.net</t>
  </si>
  <si>
    <t>Koval, V (corresponding author), Izmail State Univ Humanities, Dept Business &amp; Tourism Management, Izmail, Ukraine.</t>
  </si>
  <si>
    <t>Brawijaya University; Izmail State University of Humanities; Yasar University; Ministry of Education &amp; Science of Ukraine; Odesa I. I. Mechnikov National University; Interregional Academy of Personnel Management</t>
  </si>
  <si>
    <t>[Ratnawati, Kusuma] Univ Brawijaya, Fac Econ &amp; Business, Dept Management, Malang, Indonesia; [Koval, Viktor] Izmail State Univ Humanities, Dept Business &amp; Tourism Management, Izmail, Ukraine; [Arsawan, I. Wayan Edi] Politekn Negeri Bali, Dept Business Adm, Bali, Indonesia; [Kazancoglu, Yigit] Yasar Univ, Dept Logist Management, Izmir, Turkiye; [Lomachynska, Iryna] Odesa II Mechnikov Natl Univ, Dept Econ &amp; Entrepreneurship, Odesa, Ukraine; [Skyba, Hanna] Interreg Acad Personnel Management, Kiev, Ukraine</t>
  </si>
  <si>
    <t>Purpose - The current study evaluates the linkage between financial literacy and the sustainable business performance model with access to finance and fintech adoption. Further, the moderating role of top management support in the linkage between financial literacy toward access to finance and fintech adoption was verified. Research methodology - This research was conducted in the SME sector in Indonesia. The sample frame were 261 SMEs and 783 respondents from three levels of management. Data was collected in the October-December 2023 period. Data were obtained utilizing Likert-scaled questionnaires and analyzed using SmartPLS. Findings - The results demonstrate that financial literacy is an instrumental driver of access to finance and fintech adoption that promotes sustainability performance. Subsequently, the study highlights the critical role of access to finance and fintech adoption as the mediator and top management support as moderator. Research limitations - The study is solely performed on the SME sector in one country; thus, the findings' generalization is lacking. Practical implications - SME managers need to upgrade their financial literacy because financially knowledgeable managers are keenly informed of the costs, benefits, and risks related to funding schemes to encourage sustainable performance. Originality/Value / Value - Empirical research that explores the implication of financial literacy on access to finance and fintech adoption in promoting sustainability performance is lacking, reported solely on manufacturing companies and banks. Meanwhile, the SME sector, especially in developing countries, is understudied. Consequently, the initial study leads the examination of financial literacy's role in enhancing access to finance and fintech adoption to foster the sustainability performance of SMEs.</t>
  </si>
  <si>
    <t>ENVIRONMENTAL PERFORMANCE; MANAGEMENT-PRACTICES; BEHAVIORAL-RESEARCH; FIRM RESOURCES; IMPACT; ENTERPRISES; INFORMATION; KNOWLEDGE; ACCESS; SMES</t>
  </si>
  <si>
    <t>financial literacy; knowledge; fintech adoption; sustainable business performance</t>
  </si>
  <si>
    <t>BUSINESS MANAGEMENT AND ECONOMICS ENGINEERING</t>
  </si>
  <si>
    <t>LEVERAGING FINANCIAL LITERACY INTO SUSTAINABLE BUSINESS PERFORMANCE: A MEDIATED-MODERATED MODEL</t>
  </si>
  <si>
    <t>Ratnawati, Kusuma; Koval, Viktor; Arsawan, I. Wayan Edi; Kazancoglu, Yigit; Lomachynska, Iryna; Skyba, Hanna</t>
  </si>
  <si>
    <t>Ratnawati, K; Koval, V; Arsawan, IWE; Kazancoglu, Y; Lomachynska, I; Skyba, H</t>
  </si>
  <si>
    <t>WOS:000448326200006</t>
  </si>
  <si>
    <t>GY1WL</t>
  </si>
  <si>
    <t>10.1108/JSBED-01-2018-0021</t>
  </si>
  <si>
    <t>J. Small Bus. Enterp. Dev.</t>
  </si>
  <si>
    <t>J SMALL BUS ENTERP D</t>
  </si>
  <si>
    <t>1758-7840</t>
  </si>
  <si>
    <t>1462-6004</t>
  </si>
  <si>
    <t>Salia, Samuel/0009-0009-5297-6033; karimu, Amin/0000-0003-3931-8828</t>
  </si>
  <si>
    <t>; karimu, Amin/JFK-6275-2023</t>
  </si>
  <si>
    <t>Javed.Hussain@bcu.ac.uk</t>
  </si>
  <si>
    <t>Hussain, J (corresponding author), Birmingham City Univ, Business Sch, Birmingham, W Midlands, England.</t>
  </si>
  <si>
    <t>Birmingham City University; University of Wolverhampton; University of Ghana</t>
  </si>
  <si>
    <t>[Hussain, Javed] Birmingham City Univ, Business Sch, Birmingham, W Midlands, England; [Salia, Samuel] Univ Wolverhampton, Business Sch, Wolverhampton, W Midlands, England; [Karim, Amin] Univ Ghana, Sch Social Sci, Accra, Ghana</t>
  </si>
  <si>
    <t>Purpose The purpose of this paper is to examine the relationship between financial literacy, access to finance and growth among small- and medium-sized enterprises (SMEs) within the Midlands region of the UK. It assesses whether financial literacy assists SMEs to overcome information asymmetry, mitigates the need for collateral, optimizes capital structure and improves access to finance. Design/methodology/approach To gain a deeper insight into the complex relationship between financial literacy, access to finance and growth, a qualitative research is carried out among SMEs that have operated for over five years or longer. Using the purposive sampling technique, 37 firms were selected based on size, location and characteristics, mainly from the city of Birmingham and the joining conurbations. Open-ended and a combination of dichotomous questions were used for the survey. Interviews were recorded, transcribed and thematically analyzed. Findings Financial literacy is an interconnecting resource that mitigates information asymmetry and collateral deficit when evaluating loan applications, therefore financial literacy should be part of school curriculum. The analysis suggests enhanced financial literacy, reduces monitoring cost and serves to optimize firms' capital structure that positively impacts on SMEs growth. Financial management knowledge is recognized as the core resource that aids an effective decision making by owners of SMEs. Research limitations/implications The limitation of this research is the small sample that limits its generalization. Its findings could be enhanced by a larger sample and by conducting comparative studies in other regions or economies. SMEs growth is seen as a strategic policy to stimulate enterprise but the finance gap tends to constrain that objective. The UK Government's effort to improve access to finance and to mitigate excessive collateral demands by lenders has proved elusive. This empirical research provides evidence that financial literacy enhances access to finance and, in turn, promotes growth potentials. Practical implications The results of this study advocate the provision of financial literacy at schools and target support for SMEs to acquire financial management skills in order to mitigate information asymmetry between lenders and borrowers. Social implications Findings suggest that financial literacy mediates access to finance, enables enterprises to use optimal financial structure to mitigate business failure, creates employment and reduces public sector support for social benefits. Originality/value This study is novel in that it examines financial literacy and its implications for access to finance and firm growth in the UK. The study is an effort to highlight the role of financial information in mitigating barriers to finance for SMEs.</t>
  </si>
  <si>
    <t>RESOURCE-BASED VIEW; SMALL BUSINESS; ENTREPRENEURIAL ORIENTATION; JOB CREATION; FIRM GROWTH; DETERMINANTS; EDUCATION; MARKET; INFORMATION; PERSPECTIVE</t>
  </si>
  <si>
    <t>SMEs; Growth; Financial literacy; Access to finance</t>
  </si>
  <si>
    <t>JOURNAL OF SMALL BUSINESS AND ENTERPRISE DEVELOPMENT</t>
  </si>
  <si>
    <t>Is knowledge that powerful? Financial literacy and access to finance: An analysis of enterprises in the UK</t>
  </si>
  <si>
    <t>Hussain, Javed; Salia, Samuel; Karim, Amin</t>
  </si>
  <si>
    <t>Hussain, J; Salia, S; Karim, A</t>
  </si>
  <si>
    <t>WOS:000303261800010</t>
  </si>
  <si>
    <t>BZX82</t>
  </si>
  <si>
    <t>10.1596/978-0-8213-7912-7</t>
  </si>
  <si>
    <t>978-0-8213-7913-4</t>
  </si>
  <si>
    <t>Klein, MU (corresponding author), World Bank IFC, Washington, DC USA.</t>
  </si>
  <si>
    <t>[Klein, Michael U.] World Bank IFC, Washington, DC USA</t>
  </si>
  <si>
    <t>PREVENTING MONEY LAUNDERING AND TERRORIST FINANCING: A PRACTICAL GUIDE FOR BANK SUPERVISORS</t>
  </si>
  <si>
    <t>Annex 1: Designing an Effective AML/CFT Framework That Supports Initiatives to Broaden and Deepen Financial Access by the Poor</t>
  </si>
  <si>
    <t>Chatain, PL; McDowell, J; Mousset, C; Schott, PA; DeWillebois, EV</t>
  </si>
  <si>
    <t>Klein, Michael U.</t>
  </si>
  <si>
    <t>Klein, MU</t>
  </si>
  <si>
    <t>WOS:001098408200023</t>
  </si>
  <si>
    <t>BW0NT</t>
  </si>
  <si>
    <t>Computer Science; Government &amp; Law; Public Administration</t>
  </si>
  <si>
    <t>Computer Science, Interdisciplinary Applications; Political Science; Public Administration</t>
  </si>
  <si>
    <t>10.1145/3560107.3560136</t>
  </si>
  <si>
    <t>978-1-4503-9635-6</t>
  </si>
  <si>
    <t>Bokhari, Hasnain/0000-0002-0944-173X</t>
  </si>
  <si>
    <t>hasnain.bokhari@uni-erfurt.de</t>
  </si>
  <si>
    <t>Bokhari, H (corresponding author), Univ Erfurt, Willy Brandt Sch Publ Policy, Erfurt, Germany.</t>
  </si>
  <si>
    <t>University of Erfurt</t>
  </si>
  <si>
    <t>[Bokhari, Hasnain] Univ Erfurt, Willy Brandt Sch Publ Policy, Erfurt, Germany</t>
  </si>
  <si>
    <t>This paper aims to present and analyse the digital payment platform that espouses to transform the electronic service delivery in Pakistan. More than half of Pakistan's workforce works in the informal sector. For several years, successive governments have tried to create initiatives to incorporate its grey economy within the formal financial sector. By reviewing Pakistan's digital inclusion efforts in retrospect, the paper attempts to analyse if a technological platform and gateway named Raast rolled out by the State Bank of Pakistan has the potential to encourage people to opt for a formal financial sector from an informal one. Similarly, this paper also tries to analyse if Raast can become a future ecosystem for future fintech development in Pakistan. This paper's findings suggest an upward trend in eGovernment applications that offer financial solutions.</t>
  </si>
  <si>
    <t>E-GOVERNMENT</t>
  </si>
  <si>
    <t>Raast; eGovernment for development; Digital Inclusion; Financial Inclusion; Government as Platform; Mobile banking</t>
  </si>
  <si>
    <t>Adm Modernizat Agcy,Univ Minho,United Nat Univ Operating Unit Policy Driven Elect Governance,Norte Portugal Reg Operat Programme 2020</t>
  </si>
  <si>
    <t>Guimaraes, PORTUGAL</t>
  </si>
  <si>
    <t>OCT 04-07, 2022</t>
  </si>
  <si>
    <t>15th International Conference on Theory and Practice of Electronic Governance (ICEGOV)</t>
  </si>
  <si>
    <t>PROCEEDINGS OF THE 15TH INTERNATIONAL CONFERENCE ON THEORY AND PRACTICE OF ELECTRONIC GOVERNANCE, ICEGOV 2022</t>
  </si>
  <si>
    <t>Digital Financial Inclusion of the Informal Sector: The case of Raast Platform in Pakistan</t>
  </si>
  <si>
    <t>Bokhari, Hasnain</t>
  </si>
  <si>
    <t>Amaral, L; Soares, D; Zheng, L</t>
  </si>
  <si>
    <t>Bokhari, H</t>
  </si>
  <si>
    <t>WOS:000581787700007</t>
  </si>
  <si>
    <t>OG3KO</t>
  </si>
  <si>
    <t>Engineering, Industrial</t>
  </si>
  <si>
    <t>10.7232/iems.2020.19.3.543</t>
  </si>
  <si>
    <t>Ind. Eng. Manag. Syst.</t>
  </si>
  <si>
    <t>IND ENG MANAG SYST</t>
  </si>
  <si>
    <t>2234-6473</t>
  </si>
  <si>
    <t>1598-7248</t>
  </si>
  <si>
    <t>VICTORIA BLDG RM 509, 705-1 YEOKSAM-DONG, KANGNAM-GU, SEOUL, 135-080, SOUTH KOREA</t>
  </si>
  <si>
    <t>KOREAN INST INDUSTRIAL ENGINEERS</t>
  </si>
  <si>
    <t>Ismeal, Walaa/0000-0002-2654-3455;</t>
  </si>
  <si>
    <t>; Ismael, Walaa/S-4548-2019</t>
  </si>
  <si>
    <t>alnassar.wala.ismael@gmail.com</t>
  </si>
  <si>
    <t>Alnassar, WI (corresponding author), Univ Baghdad, Coll Adm &amp; Econ, Baghdad, Iraq.</t>
  </si>
  <si>
    <t>University of Baghdad</t>
  </si>
  <si>
    <t>[Alnassar, Walaa Ismael] Univ Baghdad, Coll Adm &amp; Econ, Baghdad, Iraq</t>
  </si>
  <si>
    <t>The ABSTRACT this paper extends the literature on the elements and effect of financial literacy by investigating the elements of financial literacy and the impact of financial literacy on financial inclusion and savings. This research confirms the results of researches of other economies but exposes some dissimilarities as well. The principal factors of financial literacy are discovered to be government efficiency, educational level, income, economic performance and infrastructure. Both education levels and financial literacy are found to be meaningfully and positively linked to financial inclusion and savings in G20 economies.</t>
  </si>
  <si>
    <t>Financial Literacy; Financial Behavior; Financial Inclusion; Economic Analysis; G20; Economic Performance; Government Efficiency; Infrastructure</t>
  </si>
  <si>
    <t>INDUSTRIAL ENGINEERING AND MANAGEMENT SYSTEMS</t>
  </si>
  <si>
    <t>Economic Analysis of the Financial Literacy Effects in G20</t>
  </si>
  <si>
    <t>Alnassar, Walaa Ismael</t>
  </si>
  <si>
    <t>Alnassar, WI</t>
  </si>
  <si>
    <t>WOS:001521017200001</t>
  </si>
  <si>
    <t>4LS6Q</t>
  </si>
  <si>
    <t>10.1080/10293523.2025.2503099</t>
  </si>
  <si>
    <t>2025 JUL 1</t>
  </si>
  <si>
    <t>Invest. Anal. J.</t>
  </si>
  <si>
    <t>INVEST ANAL J</t>
  </si>
  <si>
    <t>2077-0227</t>
  </si>
  <si>
    <t>1029-3523</t>
  </si>
  <si>
    <t>PO BOX 131, FERNDALE, 2160, SOUTH AFRICA</t>
  </si>
  <si>
    <t>FERNDALE</t>
  </si>
  <si>
    <t>INVESTMENT ANALYSTS SOC SOUTHERN AFRICA</t>
  </si>
  <si>
    <t>mlilo, mthokozisi/0000-0001-9599-6442;</t>
  </si>
  <si>
    <t>mlilo, mthokozisi/Y-8766-2019; Lemma, Tesfaye/HZK-3433-2023</t>
  </si>
  <si>
    <t>Mthokozisi.mlilo@wits.ac.za</t>
  </si>
  <si>
    <t>Mlilo, M (corresponding author), Univ Witwatersrand, Sch Econ &amp; Finance, Johannesburg, South Africa.</t>
  </si>
  <si>
    <t>University System of Maryland; Towson University; University of Witwatersrand</t>
  </si>
  <si>
    <t>[Lemma, Tesfaye T.] Towson Univ, Coll Business sand Econ, Dept Accounting, Towson, MD 21252 USA; [Mlilo, Mthokozisi] Univ Witwatersrand, Sch Econ &amp; Finance, Johannesburg, South Africa</t>
  </si>
  <si>
    <t>The rapid expansion of digital financial services has sparked discussions about their potential to help financially constrained businesses overcome performance challenges. We investigate whether female-owned businesses, which are often more financially constrained than male-owned businesses, could reduce their performance gap by a more extensive use of mobile money. Analysing data pertaining to 317 enterprises in Kenya, drawn from the Enterprise Survey database of the World Bank, the study finds that a more extensive use of mobile money narrows the gendered performance gap for women-owned businesses. Specifically, employing the Oaxaca-Blinder decomposition, we demonstrate that female-owned establishments could reduce the gendered performance differential stemming from obstacles in accessing finance by about 42.5% through a more extensive use of mobile money. Further analysis indicates that access to traditional financial services does not affect the influence of extensive use of mobile money on enterprise performance. The findings underscore the potential of mobile money technology to help female-owned businesses narrow the gendered performance gap.</t>
  </si>
  <si>
    <t>FIRM PERFORMANCE; FINANCIAL INCLUSION; GENDER-DIFFERENCES; BUSINESS; INVESTMENT; ENTREPRENEURS; AFRICA; ACCESS; CONSTRAINTS; OWNERSHIP</t>
  </si>
  <si>
    <t>access to finance; mobile money; female-owned businesses; firm performance</t>
  </si>
  <si>
    <t>INVESTMENT ANALYSTS JOURNAL</t>
  </si>
  <si>
    <t>Mobile money usage and performance of women-owned enterprises: Evidence from Kenya</t>
  </si>
  <si>
    <t>Lemma, Tesfaye T.; Mlilo, Mthokozisi</t>
  </si>
  <si>
    <t>Lemma, TT; Mlilo, M</t>
  </si>
  <si>
    <t>WOS:001577423700005</t>
  </si>
  <si>
    <t>7QT2M</t>
  </si>
  <si>
    <t>10.5209/REVE.104779</t>
  </si>
  <si>
    <t>E104779</t>
  </si>
  <si>
    <t>REVESCO-Rev. Estud. Coop.</t>
  </si>
  <si>
    <t>REVESCO-REV ESTUD CO</t>
  </si>
  <si>
    <t>1135-6618</t>
  </si>
  <si>
    <t>1885-8031</t>
  </si>
  <si>
    <t>CIUDAD UNIV, OBISPO TREJO 3, MADRID, 28040, SPAIN</t>
  </si>
  <si>
    <t>UNIV COMPLUTENSE MADRID, SERVICIO PUBLICACIONES</t>
  </si>
  <si>
    <t>Rubio Ugalde, Gema Jazmín/0000-0002-0727-013X</t>
  </si>
  <si>
    <t>Gómez, GL (corresponding author), Univ Autonoma Queretaro, Santiago De Queretaro, Mexico.</t>
  </si>
  <si>
    <t>Universidad Autonoma de Queretaro</t>
  </si>
  <si>
    <t>[Gomez, Graciela Lara; Ugalde, Gema Jazmin Rubio; Maldonado, Jesus Hurtado] Univ Autonoma Queretaro, Santiago De Queretaro, Mexico</t>
  </si>
  <si>
    <t>ENG Abstract. The aim of this article is to outline the legal framework and public policies that underpin the participation of savings and loan cooperatives in financial inclusion strategies in Mexico. The analysis is grounded in a theoretical approach that posits access to and use of financial services as key factors in mitigation inequality and poverty among vulnerable populations. Using the exegetical method, this study analyzes the legal mechanisms, institutional frameworks, and regulatory applications that structure the operation of savings and credit cooperatives, in the context of financial inclusion. It also examines public policies and evaluates the progress made in addressing financial exclusion. The findings of this research indicate that cooperatives, by virtue of their mission rooted in solidarity and mutual support, are particularly well-positioned to implement initiatives aimed at eliminating financial exclusion. The study reaffirms that financial education, a legal framework that ensures security and legal certainty, as well as the integration of technological infrastructure in remote areas, are essential components for achieving the broader objective of promoting financial inclusion across the population.</t>
  </si>
  <si>
    <t>Financial inclusion; politics; regulation; legislation; cooperatives</t>
  </si>
  <si>
    <t>REVESCO-REVISTA DE ESTUDIOS COOPERATIVOS</t>
  </si>
  <si>
    <t>Financial inclusion and savings and loan cooperatives in Mexico</t>
  </si>
  <si>
    <t>Gomez, Graciela Lara; Ugalde, Gema Jazmin Rubio; Maldonado, Jesus Hurtado</t>
  </si>
  <si>
    <t>Gómez, GL; Ugalde, GJR; Maldonado, JH</t>
  </si>
  <si>
    <t>WOS:000454746200015</t>
  </si>
  <si>
    <t>HG1UJ</t>
  </si>
  <si>
    <t>10.1016/j.geoforum.2018.06.014</t>
  </si>
  <si>
    <t>Loomis, Jessa/0000-0003-4503-9665</t>
  </si>
  <si>
    <t>jessaloomis@uky.edu</t>
  </si>
  <si>
    <t>Loomis, JM (corresponding author), Univ Kentucky, Dept Geog, 817 Patterson Off Tower, Lexington, KY 40506 USA.</t>
  </si>
  <si>
    <t>University of Kentucky</t>
  </si>
  <si>
    <t>[Loomis, Jessa M.] Univ Kentucky, Dept Geog, 817 Patterson Off Tower, Lexington, KY 40506 USA</t>
  </si>
  <si>
    <t>After the financial crisis, concerns about consumer financial protection and financial security in the United States (US) resulted in a renewed interest in promoting financial education. Targeting primarily low and moderate-income (LMI) participants, financial literacy and capability programs have been supported by national nonprofit organizations, as well as by city, state and federal agencies. While these programs have grown exponentially and now appear in major cities across the US, little is known about their everyday implementation. This article focuses on financial literacy and capability programs in the greater metropolitan area of Boston, Massachusetts to offer a close read of these under-examined nonprofit spaces of financial empowerment and inclusion in the US context. Based on over 180 hours of participant observation and 45 semi-structured interviews during 14 months of in-depth qualitative research, this article identifies and analyzes a recent change in financial education from group-based workshops to a model of one-on-one financial coaching. In documenting the coaching turn, this article offers a novel focus on the nonprofit spaces of financial inclusion and empowerment. As part of this, I examine how these programs shape personal financial habits and expand access to financial products and services for their LMI clients. By focusing on the spaces where the financial practices of populations at the margins of the financial economy are actively being shaped, this research reveals how the active growth of the financial sector is contingent upon making previously unfit market actors into viable debtors in the pedagogical spaces of financial inclusion. This research therefore shows how financial literacy and capability programs are expanding the reach of finance, especially into the lives of LMI populations. As such, this article offers insights into the evolving geographies of financial inclusion and exclusion and is an important complement to literature in geography on the social and scalar relations of financialization.</t>
  </si>
  <si>
    <t>EVERYDAY; LITERACY; GENDER; CREDIT; EXCLUSION; STATE; GEOGRAPHIES; CITIZENSHIP; BEHAVIOR; ECONOMY</t>
  </si>
  <si>
    <t>Financial inclusion; Poverty; Financial security; Debt; Financial literacy; Financialization</t>
  </si>
  <si>
    <t>Rescaling and reframing poverty: Financial coaching and the pedagogical spaces of financial inclusion in Boston, Massachusetts</t>
  </si>
  <si>
    <t>Loomis, Jessa M.</t>
  </si>
  <si>
    <t>Loomis, JM</t>
  </si>
  <si>
    <t>WOS:000503976900008</t>
  </si>
  <si>
    <t>JX8KI</t>
  </si>
  <si>
    <t>10.2478/cer-2019-0036</t>
  </si>
  <si>
    <t>Comp. Econ. Res.</t>
  </si>
  <si>
    <t>COMP ECON RES</t>
  </si>
  <si>
    <t>2082-6737</t>
  </si>
  <si>
    <t>1508-2008</t>
  </si>
  <si>
    <t>UL LINDLEYA 8, LODZ, 90-131, POLAND</t>
  </si>
  <si>
    <t>LODZ</t>
  </si>
  <si>
    <t>LODZ UNIV PRESS</t>
  </si>
  <si>
    <t>nyokac@unisa.ac.za</t>
  </si>
  <si>
    <t>Nyoka, C (corresponding author), Univ South Africa, Dept Finance Risk Management &amp; Banking, Pretoria, South Africa.</t>
  </si>
  <si>
    <t>[Nyoka, Charles] Univ South Africa, Dept Finance Risk Management &amp; Banking, Pretoria, South Africa</t>
  </si>
  <si>
    <t>Financial inclusion has recently become an issue of concern the world over for governments, policymakers, non-governmental organizations (NGOs), and financial and non-financial institutions alike. McKinnon (1973) and Shaw (1973), in seminal presentations, brought the world's attention to the importance of an effective financial system for economic development. In recent years, there has been growing theoretical and empirical works showing the strong linkages between financial development with economic growth and poverty alleviation. After conducting statistical analysis using Stata version 14 for Windows with a multivariate binary logistic regression modeling technique applied, this paper tested and concluded that there is a statically significant relationship between educational levels on the one-hand and income levels on the other on the probability of one having a mobile banking account in South Africa. From a policy perspective, this information will assist policymakers in making more informed decisions with respect to education, and from the banking fraternity point of view it will help, them in the developments of products that are more in line with the population's education and income levels.</t>
  </si>
  <si>
    <t>ECONOMY; ACCESS</t>
  </si>
  <si>
    <t>financial inclusion; level of education; level of income; mobile banking</t>
  </si>
  <si>
    <t>COMPARATIVE ECONOMIC RESEARCH-CENTRAL AND EASTERN EUROPE</t>
  </si>
  <si>
    <t>Education Level and Income Disparities: Implications for Financial Inclusion through Mobile Money Adoption in South Africa</t>
  </si>
  <si>
    <t>Nyoka, Charles</t>
  </si>
  <si>
    <t>Nyoka, C</t>
  </si>
  <si>
    <t>WOS:001515962700001</t>
  </si>
  <si>
    <t>4EH2F</t>
  </si>
  <si>
    <t>10.3390/ijfs13020103</t>
  </si>
  <si>
    <t>Yoon, Soon Suk/0000-0001-9506-731X; Oh, Ingyu/0000-0002-1645-8767</t>
  </si>
  <si>
    <t>; Oh, Ingyu/AAM-7089-2020</t>
  </si>
  <si>
    <t>ss-yoon@wiu.edu; oingyu@kansaigaidai.ac.jp; spark@csusm.edu</t>
  </si>
  <si>
    <t>Park, SS (corresponding author), Calif State Univ San Marcos, Coll Business Adm, 333 S Twin Oaks Valley RD, San Marcos, CA 92096 USA.</t>
  </si>
  <si>
    <t>Western Illinois University; California State University System; California State University San Marcos</t>
  </si>
  <si>
    <t>[Yoon, Soon Suk] Western Illinois Univ, Coll Business &amp; Technol, 1 Univ Circle, Macomb, IL 61455 USA; [Oh, Ingyu] Kansai Gaidai Univ, Coll Global Engagement, 16-1 Nakamiya Higashinocho, Osaka 5731195, Japan; [Park, Shawn S.] Calif State Univ San Marcos, Coll Business Adm, 333 S Twin Oaks Valley RD, San Marcos, CA 92096 USA</t>
  </si>
  <si>
    <t>This paper investigates whether countries' investments in financial inclusion, beyond what their economic capacity would predict, help mitigate gender and income-group gaps in financial opportunities. We construct a novel index, the Abnormal Financial Inclusion Index (AbFII), as the residuals from a regression of financial inclusion on GDP per capita to isolate country-specific efforts in advancing financial inclusion. Using data from 100 countries between 2014 and 2021, we find that higher AbFII is associated with lower gender and rich-poor inequalities in financial inclusion, particularly in low-income and high-inequality countries. A one-standard-deviation increase in AbFII corresponds to a 1.2 percentage point reduction in gender and income-group disparities in financial access. We also find that AbFII predicts subsequent improvements in broader gender inequality, especially in reproductive health. The results are robust to various controls and remain consistent under instrumental variable analysis using broadband penetration as an instrument. Our findings suggest that financial inclusion policies exceeding the level expected by economic development can significantly reduce social disparities.</t>
  </si>
  <si>
    <t>INSURANCE; OUTCOMES</t>
  </si>
  <si>
    <t>financial inclusion; gender inequality; income inequality</t>
  </si>
  <si>
    <t>Does Disproportionate Financial Inclusion Reduce Gender and Income-Group Inequality? Global Evidence</t>
  </si>
  <si>
    <t>Yoon, Soon Suk; Oh, Ingyu; Park, Shawn S.</t>
  </si>
  <si>
    <t>Yoon, SS; Oh, I; Park, SS</t>
  </si>
  <si>
    <t>WOS:001622290200001</t>
  </si>
  <si>
    <t>E1913</t>
  </si>
  <si>
    <t>10.1016/j.telpol.2025.103034</t>
  </si>
  <si>
    <t>fcharlesyedehou@gmail.com; axerines@gmail.com</t>
  </si>
  <si>
    <t>Faton, CY (corresponding author), Univ Abomey Calavi, Lab Economie Publ, Abomey Calavi, Benin.</t>
  </si>
  <si>
    <t>[Faton, Charles Yedehou] Univ Abomey Calavi, Lab Economie Publ, Abomey Calavi, Benin; [Monwanou, Djohodo Ines] Univ Natl Agr, Lab Econ Publ, Porto Novo, Benin</t>
  </si>
  <si>
    <t>The objective of this work is to analyze the impact of mobile money on the economic empowerment of women in Benin. To achieve this objective, we used data from FineScope (2018) on 3687 women in Benin. Descriptive statistics and a two-step Heckman model were used to first identify the determinants of mobile money adoption by women in Benin. Thus, the determinants of mobile money adoption are: age, having an account in a microfinance institution, level of education and area of residence. The second part of our work will show the effect of mobile money on women's empowerment in Benin. The results of this model reveal that the use of mobile money, income level and age increase the likelihood that women undertake an activity. Furthermore, we used an instrumental variable model to correct for endogeneity and the results obtained are identical to the Heckman model. The results of our estimates suggest making information technology infrastructure available to ensure network coverage and encourage women to adopt mobile money more.</t>
  </si>
  <si>
    <t>FINANCIAL INCLUSION; HOUSEHOLD WELFARE</t>
  </si>
  <si>
    <t>Mobile money; Gender inequality; Empowerment; Endogeneity; Heckman model</t>
  </si>
  <si>
    <t>Impact of mobile money on the economic empowerment of women in Benin</t>
  </si>
  <si>
    <t>Faton, Charles Yedehou; Monwanou, Djohodo Ines</t>
  </si>
  <si>
    <t>Faton, CY; Monwanou, DI</t>
  </si>
  <si>
    <t>WOS:000730544900001</t>
  </si>
  <si>
    <t>XP0DH</t>
  </si>
  <si>
    <t>10.1186/s43093-021-00090-9</t>
  </si>
  <si>
    <t>Yahya, Farzan/0000-0001-5666-1279;</t>
  </si>
  <si>
    <t>Yahya, Farzan/AAP-1221-2020; Waqas, Muhammad/U-5854-2018</t>
  </si>
  <si>
    <t>farzan.yahya@yahoo.com</t>
  </si>
  <si>
    <t>Yahya, F (corresponding author), Inst Southern Punjab, 9-KM,Bosan Rd, Multan, Pakistan.</t>
  </si>
  <si>
    <t>Jiangsu University</t>
  </si>
  <si>
    <t>[Hussain, Muhammad; Yahya, Farzan] Inst Southern Punjab, 9-KM,Bosan Rd, Multan, Pakistan; [Waqas, Muhammad] Jiangsu Univ, Sch Management, 301 Xuefu Rd, Zhenjiang, Jiangsu, Peoples R China</t>
  </si>
  <si>
    <t>This study examines the interlinkages between financial literacy, economic freedom, government quality, and financial inclusion using cross-sectional and panel data analysis. Using a sample of 98 countries from the year 2007 to 2018, OLS and system GMM estimators were used to analyze the results. The estimation results indicate that financial literacy and government quality positively influence financial inclusion. Results also find that governance quality strengthens the effect of financial literacy on financial inclusion. The results derived from the dynamic panel model also reasonably conclude the positive effect of economic freedom on financial inclusion while government quality acts as a catalyst for their link. Our results are also robust to sub-panels based on the level of country risk.</t>
  </si>
  <si>
    <t>MEDIATOR; QUALITY</t>
  </si>
  <si>
    <t>Financial inclusion; Economic freedom; Financial literacy; Governance quality</t>
  </si>
  <si>
    <t>Does strong governance stimulate the effect of economic freedom and financial literacy on financial inclusion? a cross-country evidence</t>
  </si>
  <si>
    <t>Hussain, Muhammad; Yahya, Farzan; Waqas, Muhammad</t>
  </si>
  <si>
    <t>Hussain, M; Yahya, F; Waqas, M</t>
  </si>
  <si>
    <t>WOS:001620138800001</t>
  </si>
  <si>
    <t>C0532</t>
  </si>
  <si>
    <t>10.1080/23322039.2025.2588925</t>
  </si>
  <si>
    <t>This study was funded by the Lembaga Pengelola Dana Pendidikan (LPDP), Ministry of Finance, Republic of Indonesia.</t>
  </si>
  <si>
    <t>Kementerian Keuangan Republik Indonesia; Lembaga Pengelola Dana Pendidikan</t>
  </si>
  <si>
    <t>setyo.tw@ub.ac.id</t>
  </si>
  <si>
    <t>Wahyudi, ST (corresponding author), Univ Brawijaya, Fac Econ &amp; Business, Dept Econ, MT Haryono St 165, Malang, E Java, Indonesia.</t>
  </si>
  <si>
    <t>[Kadir, Rifadli D.; Tri Wahyudi, Setyo; Maski, Ghozali; Devia Sagita Sumantri, Vietha] Univ Brawijaya, Fac Econ &amp; Business, Dept Econ, MT Haryono St 165, Malang, E Java, Indonesia</t>
  </si>
  <si>
    <t>This study investigates the roles of financial inclusion in alleviating both absolute poverty and multidimensional poverty at the household level in Eastern Indonesia, a region characterized by persistent inequality and limited access to financial infrastructure. Using microdata from the 2024 National Socio-Economic Survey (Susenas) covering 100,113 households across 16 provinces, we apply probit and instrumental variable probit (IV Probit) models to address endogeneity concerns. Financial inclusion index (FII) and Households Multidimensional poverty index (HMP) indices are constructed using the Multiple Correspondence Analysis (MCA) approach. The findings reveal that financial inclusion significantly reduces both forms of poverty, with stronger effects observed once endogeneity is accounted for. Credit access emerges as the most influential driver of poverty reduction, while savings and insurance show weaker and mixed effects. The results highlight the urgent need to expand inclusive financial services in rural and geographically dispersed areas, where physical access barriers remain critical. By focusing on household microdata and applying a multidimensional poverty lens, this study makes a novel contribution to the literature on financial inclusion, poverty, and provides policy-relevant evidence for achieving Sustainable Development Goals (SDG 1 and SDG 10).</t>
  </si>
  <si>
    <t>CONSUMPTION; INEQUALITY; REDUCTION; GROWTH</t>
  </si>
  <si>
    <t>Financial inclusion; household poverty; multidimensional poverty; inclusive finance; probit model; D14; I32; G21; C36; Economics and Development; Economics; Finance</t>
  </si>
  <si>
    <t>The role of financial inclusion in reducing household poverty: insights from Eastern Indonesia</t>
  </si>
  <si>
    <t>Kadir, Rifadli D.; Tri Wahyudi, Setyo; Maski, Ghozali; Devia Sagita Sumantri, Vietha</t>
  </si>
  <si>
    <t>Kadir, RD; Wahyudi, ST; Maski, G; Sumantri, VDS</t>
  </si>
  <si>
    <t>WOS:001435511600001</t>
  </si>
  <si>
    <t>0NP6F</t>
  </si>
  <si>
    <t>10.1007/s40622-025-00426-2</t>
  </si>
  <si>
    <t>Ghosh, Nabanita/0000-0001-5176-7314; JOSE, JESWIN/0000-0001-8414-3356</t>
  </si>
  <si>
    <t>Ghosh, Nabanita/AIB-9048-2022; JOSE, JESWIN/MVW-8279-2025</t>
  </si>
  <si>
    <t>jeswin.jose@res.christuniversity.in; nabanita.ghosh@christuniversity.in</t>
  </si>
  <si>
    <t>Jose, J (corresponding author), CHRIST Univ, Dept Commerce, Bengaluru, Karnataka, India.</t>
  </si>
  <si>
    <t>[Jose, Jeswin; Ghosh, Nabanita] CHRIST Univ, Dept Commerce, Bengaluru, Karnataka, India</t>
  </si>
  <si>
    <t>Financial literacy is the backbone of financial inclusion. In the post-COVID world, exploring how digital financial literacy (DFL) can contribute to financial inclusion is essential. This scoping review aims to synthesise existing knowledge on the relationship between DFL and financial inclusion specifically in the context of the global south and provide future avenues in the research domain in light of achieving sustainable development goals (SDGs). The review follows the PRISMA-ScR framework. Databases such as Scopus, Science Direct, Sage, Emerald, Taylor &amp; Francis, and Wiley were systematically searched to identify relevant literature. Conceptual studies, literature reviews, and empirical studies (quantitative, qualitative, and mixed-method studies) were included in the review. The screening was conducted in two stages-title and abstract screening and full-text screening. The findings indicate a positive relationship between financial literacy and financial inclusion. Despite the importance of digital financial literacy and financial inclusion in the global south, the studies are minimal in this context, with an orientation to achieve SDG goals. Changes need to be implemented at the level of policy in order to ensure greater digital financial literacy and financial inclusion at both micro and macro levels, which will, in turn, help in achieving the SDG goals.</t>
  </si>
  <si>
    <t>Digital financial literacy; Financial inclusion; SDG; Global south; G5 Household Finance; G53 Financial Literacy</t>
  </si>
  <si>
    <t>Digital financial literacy and financial inclusion in the global south for a sustainable future: A scoping review</t>
  </si>
  <si>
    <t>Jose, Jeswin; Ghosh, Nabanita</t>
  </si>
  <si>
    <t>Jose, J; Ghosh, N</t>
  </si>
  <si>
    <t>WOS:001249792400001</t>
  </si>
  <si>
    <t>UR5G0</t>
  </si>
  <si>
    <t>10.1111/aswp.12318</t>
  </si>
  <si>
    <t>e12318</t>
  </si>
  <si>
    <t>Australian Government Research Training Program (RTP) scholarship. Most of the content of this article is published as a conference paper at the Australasian Aid Conference 2020, Australian National University, Australia. Open access publishing facilitated by The University of Queensland, as part of the Wiley - The University of Queensland agreement via the Council of Australian University Librarians.</t>
  </si>
  <si>
    <t>Australian Government Research Training Program Scholarship(Australian GovernmentDepartment of Industry, Innovation and Science); Australian Government Research Training Program (RTP) scholarship(Australian GovernmentDepartment of Industry, Innovation and Science); University of Queensland, as part of the Wiley - The University of Queensland agreement via the Council of Australian University Librarians</t>
  </si>
  <si>
    <t>Australian Government Research Training Program Scholarship; Australian Government Research Training Program (RTP) scholarship; University of Queensland, as part of the Wiley - The University of Queensland agreement via the Council of Australian University Librarians</t>
  </si>
  <si>
    <t>Sarker, Debashis/0000-0001-6948-2974</t>
  </si>
  <si>
    <t>Sarker, Debashis/HNQ-4822-2023</t>
  </si>
  <si>
    <t>d.sarker@uq.net.au</t>
  </si>
  <si>
    <t>Sarker, D (corresponding author), Univ Queensland, Sch Social Sci, St Lucia, Qld, Australia.</t>
  </si>
  <si>
    <t>University of Queensland; University of Sydney</t>
  </si>
  <si>
    <t>[Sarker, Debashis] Univ Queensland, Sch Social Sci, St Lucia, Qld, Australia; [Sarker, Debashis] Univ Sydney, Univ Sydney Business Sch, Sydney, Australia</t>
  </si>
  <si>
    <t>Due to limited access to affordable financial products and services, many people with disabilities experience social exclusion and struggle to secure their financial well-being. While microfinance has been widely used in Bangladesh for more than three decades as a tool to reduce poverty and empower people living in poverty, few people with disabilities have had access to microfinance services. Therefore, the aim of this research is to identify the barriers and challenges that people with disabilities experience to access microfinance in Bangladesh. Drawing on a qualitative case study approach, the findings of a thematic analysis show that people with disabilities experience significant barriers in accessing microfinance such as stigma against people with disabilities, stringent credit conditions, negative staff attitudes, insufficient training, and the absence of an integrated approach. The research suggests that inclusive policies and their effective implementation are vital to ensure that people with disabilities have access to financial resources so that they could work to enjoy greater socio-economic independence and contribute equally to society with others.</t>
  </si>
  <si>
    <t>FINANCIAL INCLUSION; SERVICES</t>
  </si>
  <si>
    <t>access to microcredit; Bangladesh; barriers; financial inclusion; microfinance; people with disabilities</t>
  </si>
  <si>
    <t>Money does not understand disability: Barriers to microfinance for people with disabilities in Bangladesh</t>
  </si>
  <si>
    <t>Sarker, Debashis</t>
  </si>
  <si>
    <t>Sarker, D</t>
  </si>
  <si>
    <t>WOS:001424746400001</t>
  </si>
  <si>
    <t>X3Y5N</t>
  </si>
  <si>
    <t>10.1177/21582440251320484</t>
  </si>
  <si>
    <t>Khan, Ahsan Aslam/OAJ-6795-2025; Yusof, Mohd Faizal/GQP-7615-2022; Ahmad, Zaki/ACC-9247-2022</t>
  </si>
  <si>
    <t>Khan, AA (corresponding author), Univ Utara Malaysia, Sch Econ Finance &amp; Banking, Sintok 06010, Kedah, Malaysia.</t>
  </si>
  <si>
    <t>Universiti Utara Malaysia; Universiti Malaysia Perlis</t>
  </si>
  <si>
    <t>[Bin Hidthir, Mohammad Helmi; Khan, Ahsan Aslam; Ahmad, Zaki] Univ Utara Malaysia, Sintok, Kedah, Malaysia; [Junoh, Mohd Zukime Mat] Univ Malaysia Perlis, Kangar, Malaysia; [Yusof, Mohd Faizal Bin] Rabdan Acad, Abu Dhabi, U Arab Emirates</t>
  </si>
  <si>
    <t>The present study aims to compute the level of financial inclusiveness in MENA region countries, considering the three fundamental dimensions that impact financial inclusion: depth, accessibility, and usage of financial services. Moreover, this article incorporates digital payments-related indicators, credit and debit cards, total borrowers, savers, and other indicators to create a more comprehensive financial inclusion index. A two-step PCA methodology with endogenous weighting is employed to develop the financial inclusion index. The data was collected from the IMF and the World Bank from 2010 to 2021. The resulting composite financial inclusion index (FI Index) can be compared across other countries in the MENA region over time, providing a valuable tool for policymakers and evaluators. The two-stage PCA approach implemented in this study addresses the issue of random weight selection and results in a more comprehensive evaluation of the degree of financial inclusion. In summary, this research enhances our understanding of financial inclusion in MENA region countries and offers a methodology to gauge and monitor progress.</t>
  </si>
  <si>
    <t>ECONOMIC-GROWTH; INCLUSION; ACCESS; BANKING</t>
  </si>
  <si>
    <t>financial inclusion; index; MENA region; measuring financial inclusion; principal components analysis</t>
  </si>
  <si>
    <t>Development of the Financial Composite Index for MENA Region: A Two-Staged Principal Components Analysis</t>
  </si>
  <si>
    <t>Bin Hidthir, Mohammad Helmi; Khan, Ahsan Aslam; Junoh, Mohd Zukime Mat; Yusof, Mohd Faizal Bin; Ahmad, Zaki</t>
  </si>
  <si>
    <t>Bin Hidthir, MH; Khan, AA; Junoh, MZM; Yusof, MFB; Ahmad, Z</t>
  </si>
  <si>
    <t>WOS:001107327500001</t>
  </si>
  <si>
    <t>Y7WN8</t>
  </si>
  <si>
    <t>10.1016/j.ceqi.2023.08.001</t>
  </si>
  <si>
    <t>China Econ. Q. Int.</t>
  </si>
  <si>
    <t>CHINA ECON Q INT</t>
  </si>
  <si>
    <t>2666-9331</t>
  </si>
  <si>
    <t>This research was supported by National Social Science Fund of China (19BJY252) ,Ningbo Science and Technology Bureau Major Research Project (2019B10038) , Ningbo Science and Technology Bureau Soft Science Research Project (2022R018) . We would like to thank the Centre for Inclusive Finance co-founded by the People's Bank of China Ningbo Central Sub-branch and the University of Nottingham Ningbo China, the UNNC-NFTZ Blockchain Laboratory, and the Ningbo Social Science Leaders project. We are responsible for any omissions or errors in the paper.</t>
  </si>
  <si>
    <t>National Social Science Fund of China; Ningbo Science and Technology Bureau Major Research Project; Ningbo Science and Technology Bureau Soft Science Research Project; University of Nottingham Ningbo China</t>
  </si>
  <si>
    <t>National Social Science Fund of China [19BJY252]; Ningbo Science and Technology Bureau Major Research Project [2019B10038]; Ningbo Science and Technology Bureau Soft Science Research Project [2022R018]; University of Nottingham Ningbo China</t>
  </si>
  <si>
    <t>Bi, Jianda/0000-0001-6423-0225; Hua, Xiuping/0000-0002-9989-7668; Shi, Haoqian/0000-0002-4649-1752</t>
  </si>
  <si>
    <t>Bi, Jianda/LVS-2777-2024</t>
  </si>
  <si>
    <t>Xiuping.Hua@nottingham.edu.cn; Jianda.Bi@nottingham.edu.cn; shihaoqian@hotmail.com</t>
  </si>
  <si>
    <t>Bi, JD (corresponding author), Room 455,Trent Bldg,199 Taikang East Rd, Ningbo 315100, Peoples R China.</t>
  </si>
  <si>
    <t>University of Nottingham Ningbo China; University of Nottingham Ningbo China</t>
  </si>
  <si>
    <t>[Hua, Xiuping; Bi, Jianda; Shi, Haoqian] Nottingham Univ Business Sch, Sch Business, Ningbo, Peoples R China; [Hua, Xiuping; Bi, Jianda] UNNC NFTZ Blockchain Lab, Ningbo, Peoples R China; [Shi, Haoqian] Univ Nottingham, Ctr Inclus Finance, Ningbo, Peoples R China; [Bi, Jianda] Room 455,Trent Bldg,199 Taikang East Rd, Ningbo 315100, Peoples R China</t>
  </si>
  <si>
    <t>We construct a global financial inclusion index using data from the World Bank, IMF, and V-Lab and propose an inverted U-shaped relationship between financial inclusion and financial stability. The empirical evidence supports our hypotheses, and the impact of financial inclusion on financial stability is less prominent under strong regulation and supervision. In addition, we use our constructed financial inclusion index, capital adequacy ratio, market power, and macroeconomic variables to simulate and predict the financial crisis. Our research has important policy implications and provides valuable insights to financial regulatory authorities in making decisions related to financial inclusion and financial stability.</t>
  </si>
  <si>
    <t>BANK MARKET POWER; CAPITAL SHORTFALL; COMPETITION; CREDIT; ACCESS; HOUSEHOLD</t>
  </si>
  <si>
    <t>Systemic risk; Financial inclusion; Financial stability</t>
  </si>
  <si>
    <t>CHINA ECONOMIC QUARTERLY INTERNATIONAL</t>
  </si>
  <si>
    <t>The appropriate level of financial inclusion: The perspective of financial stability</t>
  </si>
  <si>
    <t>Hua, Xiuping; Bi, Jianda; Shi, Haoqian</t>
  </si>
  <si>
    <t>Hua, XP; Bi, JD; Shi, HQ</t>
  </si>
  <si>
    <t>WOS:000740428300001</t>
  </si>
  <si>
    <t>F8YD3</t>
  </si>
  <si>
    <t>10.1007/s13132-021-00863-1</t>
  </si>
  <si>
    <t>Shakana, Abera Alemu/0000-0003-0763-3866; Ganewo, Zerhun/0000-0002-3181-6980</t>
  </si>
  <si>
    <t>Shakana, Abera Alemu/ABG-1397-2021; Ganewo, Zerhun/AFI-1702-2022</t>
  </si>
  <si>
    <t>abrish8353@gmail.com</t>
  </si>
  <si>
    <t>Alemu, A (corresponding author), Hawassa Univ, Dept Rural Dev &amp; Agr Extens, Coll Agr, Hawassa, Ethiopia.</t>
  </si>
  <si>
    <t>Hawassa University; Hawassa University</t>
  </si>
  <si>
    <t>[Alemu, Abera] Hawassa Univ, Dept Rural Dev &amp; Agr Extens, Coll Agr, Hawassa, Ethiopia; [Ganewo, Zerhun] Hawassa Univ, Dept Agribusiness &amp; Value Chain Management, Coll Agr, Hawassa, Ethiopia</t>
  </si>
  <si>
    <t>Microcredit has been found to be a critical instrument in improving the livelihood of poor people who have no financial access from other formal financial institutions. This study examined the impact of formal microcredit on income of borrowers in the rural areas of Sidama Region, Ethiopia. Data was collected from 456 sampled rural households consisting of 200 borrowers and 256 non-borrowers. This study applied propensity score matching (PSM) model to analyze the impact of microcredit on income of the borrowers. The result of this analysis indicates that microcredit had a positive and significant impact on the income of the borrowers. The sensitivity analysis result showed that the impact result estimated by this study is insensitive to unobserved selection bias and it is a true impact of formal microcredit. Therefore, microfinance institutions, other governmental, and nongovernmental organizations working in credit provision should expand access to credit to rural households in poverty reduction strategies.</t>
  </si>
  <si>
    <t>MICROFINANCE; PARTICIPATION</t>
  </si>
  <si>
    <t>Formal credit; Income; Propensity score matching; Rural households</t>
  </si>
  <si>
    <t>Impact Analysis of Formal Microcredit on Income of Borrowers in Rural Areas of Sidama Region, Ethiopia: A Propensity Score Matching Approach</t>
  </si>
  <si>
    <t>Alemu, Abera; Ganewo, Zerhun</t>
  </si>
  <si>
    <t>Alemu, A; Ganewo, Z</t>
  </si>
  <si>
    <t>WOS:001464736400003</t>
  </si>
  <si>
    <t>1GW9C</t>
  </si>
  <si>
    <t>10.1186/s43093-025-00495-w</t>
  </si>
  <si>
    <t>M, Shravan/JEZ-7513-2023; Kankanala, Devender/LHA-4669-2024; GOLI, Dr GURUNADHAM/GLS-2227-2022</t>
  </si>
  <si>
    <t>devenderapple143@gmail.com; gurunadhan.g@sru.edu.in; modemshravan20@gmail.com</t>
  </si>
  <si>
    <t>Devender, K (corresponding author), SR Univ, Sch Business, Warangal 506371, India.</t>
  </si>
  <si>
    <t>[Devender, K.; Goli, Gurunadham; Shravan, M.] SR Univ, Sch Business, Warangal 506371, India</t>
  </si>
  <si>
    <t>In this study, the level of financial literacy among SMEs was examined through bibliometric and content analyses. Thoroughly analyzing and quantifying the literature on financial literacy and SMEs are the goal of bibliometric research. This comprehensive overview aims to pinpoint trends, research gaps, important authors, and key ideas in order to guide future studies and policy initiatives aimed at improving the financial literacy and welfare of small- and medium-sized enterprises (SMEs). A comprehensive search of articles was conducted in 2024 to extract data. The search utilized the Scopus database and included inclusion and exclusion criteria. A total of 195 articles published between 2021 and 2024 were identified. Key concepts, including Global Financial Literacy, were discovered through the use of the Biblioshiny app and VOS viewer program, which allows for the visualization of networks involving keywords and bibliographic coupling. Topics include: Empowerment through financial literacy: Overcoming the manacles of Domestic violence; SMEs Development and planning and preparedness; Addressing the gap in financial inclusion and personal finance behavior; and Addressing disparities and enhancing education. The following are potential areas for future research: the level of financial literacy among small- and medium-sized enterprises (SMEs) around the world, the effectiveness of targeted interventions to improve SMEs' financial literacy, the role of SMEs in domestic violence policies, the factors that influence SMEs' planning processes, and the promotion of global equality and financial well-being.</t>
  </si>
  <si>
    <t>INCLUSION; PERFORMANCE; EMPOWERMENT; INNOVATION; CAPABILITY; WOMEN</t>
  </si>
  <si>
    <t>Financial literacy; SMEs; Financial inclusion; Bibliometric; Financial education</t>
  </si>
  <si>
    <t>Bibliometric trends in SMEs financial literacy research from 2021 to 2024</t>
  </si>
  <si>
    <t>Devender, K.; Kafila, Gurunadham; Goli, Gurunadham; Shravan, M.</t>
  </si>
  <si>
    <t>Devender, K; Kafila; Goli, G; Shravan, M</t>
  </si>
  <si>
    <t>WOS:000778732900012</t>
  </si>
  <si>
    <t>0H4WE</t>
  </si>
  <si>
    <t>10.20397/2177-6652/2022.v22i1.1721</t>
  </si>
  <si>
    <t>Ferriera, Bruno/AAW-3569-2021; Vidal, Vidal Francisco/ABE-3085-2021</t>
  </si>
  <si>
    <t>j.guilhermemagalhaes@gmail.com; fbarbosa@face.ufmg.br; brunoperez.bh@gmail.com</t>
  </si>
  <si>
    <t>Magalhaes-Timotio, JG (corresponding author), Univ Fed Minas Gerais, CEPEAD Ctr Posgrad &amp; Pesquisas Adm, Belo Horizonte, MG, Brazil.</t>
  </si>
  <si>
    <t>Universidade Federal de Minas Gerais; Universidade Federal de Minas Gerais; Universidade Federal de Minas Gerais</t>
  </si>
  <si>
    <t>[Magalhaes-Timotio, Joao Guilherme] Univ Fed Minas Gerais, CEPEAD Ctr Posgrad &amp; Pesquisas Adm, Belo Horizonte, MG, Brazil; [Barbosa, Francisco Vidal] Univ Fed Minas Gerais, Belo Horizonte, MG, Brazil; [Barbosa, Francisco Vidal] Univ Appl Sci Schmalkalden, Schmalkalden, Germany; [Ferreira, Bruno Perez] Univ Fed Minas Gerais, Programa Mestrado &amp; Doutorado Adm, Belo Horizonte, MG, Brazil</t>
  </si>
  <si>
    <t>Study objective: This work aimed to develop a composite index of financial inclusion for the Brazilian territory. Methodology/approach: The Displaced Ideal Method was used to operationalize the data. Originality/relevance: an inclusive financial system necessarily involves the democratization of finance. Financial inclusion represents a multidimensional social phenomenon that is characterized by the availability, access and use by people and companies of the products and services offered by financial institutions. Main results: the results show that, although the financial system in Brazil is accessible and available, the use by people and companies of its products and services is still limited, something seen as a barrier for the potential of finance to promote the broader social and economic development. Contributions to knowledge: it essentially consists of presenting a research frontier, endowed with contributions in a state of scientific turmoil and that therefore deserves to receive new studies that envision new perspectives, as well as confirmations and projections of new scenarios. Technical and corporate contributions: the study offers a consistent analysis of a model that can be applied to decisions, both in terms of public and corporate policies.</t>
  </si>
  <si>
    <t>GROWTH; EXCLUSION; ACCESS</t>
  </si>
  <si>
    <t>Financial system; Financial inclusion; Composite index; Displaced Ideal Method; Brazil</t>
  </si>
  <si>
    <t>CONSTRUCTING A COMPOSITE FINANCIAL INCLUSION INDEX FOR BRAZIL</t>
  </si>
  <si>
    <t>Magalhaes-Timotio, Joao Guilherme; Barbosa, Francisco Vidal; Ferreira, Bruno Perez</t>
  </si>
  <si>
    <t>Magalhaes-Timotio, JG; Barbosa, FV; Ferreira, BP</t>
  </si>
  <si>
    <t>WOS:001221742900070</t>
  </si>
  <si>
    <t>BW9TY</t>
  </si>
  <si>
    <t>Automation &amp; Control Systems; Computer Science</t>
  </si>
  <si>
    <t>Automation &amp; Control Systems; Computer Science, Artificial Intelligence; Computer Science, Theory &amp; Methods</t>
  </si>
  <si>
    <t>PR MACH LEARN RES</t>
  </si>
  <si>
    <t>2640-3498</t>
  </si>
  <si>
    <t>1269 LAW ST, SAN DIEGO, CA, UNITED STATES</t>
  </si>
  <si>
    <t>JMLR-JOURNAL MACHINE LEARNING RESEARCH</t>
  </si>
  <si>
    <t>XIYUD@ANDREW.CMU.EDU; CHRISTIAN.PARYOTO@GMAIL.COM; ADHIRAJC@ANDREW.CMU.EDU; ASSANEG@ANDREW.CMU.EDU; NIANGJUNCHEN@SUTD.EDU.SG; YNAKAHIR@ANDREW.CMU.EDU</t>
  </si>
  <si>
    <t>Deng, XY (corresponding author), 5000 Forbes Ave, Pittsburgh, PA 15213 USA.</t>
  </si>
  <si>
    <t>[Deng, Xiyu; Kurniawan, Christian; Chakraborty, Adhiraj; Nakahira, Yorie] 5000 Forbes Ave, Pittsburgh, PA 15213 USA; [Gueye, Assane] Reg ICT Ctr Excellence, Bldg Plot A8,Kigali Special Econ Zone Phase 2, Kigali, Rwanda; [Chen, Niangjun] 8 Somapah Rd, Singapore, Singapore</t>
  </si>
  <si>
    <t>While microfinance has excellent potential for poverty reduction, microfinance institutions (MFIs) are facing sustainability hardships due to high default rates. Existing methods in traditional finance are not directly applicable to microfinance due to the following unique characteristics: (a) insufficient prior loan histories to establish a credit scoring system; (b) applicants may have difficulty providing all the information required by MFIs to predict default probabilities accurately, and (c) many MFIs use group liability (instead of collateral) to secure repayment. In this paper, we present a novel control-theoretic model of microfinance that accounts for these characteristics and an algorithm to optimize the financing decision in real-time. We characterize the convergence conditions to Pareto-optimum. We demonstrate that the proposed method produces fast decisions and is robust against missing information while still accounting for financial inclusion, fairness, social welfare, sustainability, and the complexities induced by group liability. To the best of our knowledge, this paper is the first to connect microfinance and control theory.</t>
  </si>
  <si>
    <t>CREDIT; PERFORMANCE</t>
  </si>
  <si>
    <t>Microfinance; Control System; Learning</t>
  </si>
  <si>
    <t>Philadelphia, PA</t>
  </si>
  <si>
    <t>JUN 15-16, 2023</t>
  </si>
  <si>
    <t>5th Annual Conference on Learning for Dynamics and Control</t>
  </si>
  <si>
    <t>Proceedings of Machine Learning Research</t>
  </si>
  <si>
    <t>LEARNING FOR DYNAMICS AND CONTROL CONFERENCE, VOL 211</t>
  </si>
  <si>
    <t>A Learning and Control Perspective for Microfinance</t>
  </si>
  <si>
    <t>Deng, Xiyu; Kurniawan, Christian; Chakraborty, Adhiraj; Gueye, Assane; Chen, Niangjun; Nakahira, Yorie</t>
  </si>
  <si>
    <t>Pappas, GJ; Matni, N; Morari, M</t>
  </si>
  <si>
    <t>Deng, XY; Kurniawan, C; Chakraborty, A; Gueye, A; Chen, NJ; Nakahira, Y</t>
  </si>
  <si>
    <t>WOS:001333093600001</t>
  </si>
  <si>
    <t>I8Z9S</t>
  </si>
  <si>
    <t>Agriculture; Food Science &amp; Technology</t>
  </si>
  <si>
    <t>Agriculture, Multidisciplinary; Food Science &amp; Technology</t>
  </si>
  <si>
    <t>10.1016/j.jafr.2024.101448</t>
  </si>
  <si>
    <t>J. Agric. Food Res.</t>
  </si>
  <si>
    <t>J AGR FOOD RES</t>
  </si>
  <si>
    <t>2666-1543</t>
  </si>
  <si>
    <t>This research was funded by the Research Management Committee (RMC) of Bangabandhu Sheikh Mujibur Rahman Agricultural University (BSMRAU) , Bangladesh under grant number 11 (RMC/2020-23) .</t>
  </si>
  <si>
    <t>Research Management Committee (RMC) of Bangabandhu Sheikh Mujibur Rahman Agricultural University (BSMRAU) , Bangladesh</t>
  </si>
  <si>
    <t>Research Management Committee (RMC) of Bangabandhu Sheikh Mujibur Rahman Agricultural University (BSMRAU) , Bangladesh [11 (RMC/2020-23)]</t>
  </si>
  <si>
    <t>Sarker, Nazirul Islam/0000-0002-8887-521X</t>
  </si>
  <si>
    <t>Mitra, Sandip/JPK-7921-2023; Khatun, Nilufa/AAW-4864-2020; Sarker, Nazirul Islam/K-7928-2018</t>
  </si>
  <si>
    <t>nilufa@bsmrau.edu.bd</t>
  </si>
  <si>
    <t>Khatun, MN (corresponding author), Bangabandhu Sheikh Mujibur Rahman Agr Univ, Dept Agr Finance &amp; Cooperat, Gazipur, Bangladesh.</t>
  </si>
  <si>
    <t>Gazipur Agricultural University (GAU); Griffith University; Daffodil International University</t>
  </si>
  <si>
    <t>[Khatun, Most Nilufa; Mitra, Sandip] Bangabandhu Sheikh Mujibur Rahman Agr Univ, Dept Agr Finance &amp; Cooperat, Gazipur, Bangladesh; [Khatun, Most Nilufa] Griffith Univ, Griffith Business Sch, Dept Accounting Finance &amp; Econ, Nathan, Australia; [Sarker, Md Nazirul Islam] Daffodil Int Univ, Dept Dev Studies, Dhaka 1216, Bangladesh</t>
  </si>
  <si>
    <t>This study investigates the factors driving mobile banking adoption and user satisfaction to enhance financial inclusion among rural farming communities, using survey data from 400 farmers. An unpaired t-test reveals a significant difference in receiving international remittance, fund transfers, mobile recharge, and allowance during and before COVID-19, but no significant difference in cash-in, cash-out, and utility bill payments. During the pandemic, most mobile banking transactions increased in volume and frequency. The result also reveals that the majority of rural people (approximately 88 %) enjoy mobile banking services. The Index value of farmers' satisfaction level towards mobile banking transactions indicates that respondents were satisfied with various mobile banking transactions but were dissatisfied with the higher service fees. Logit estimation shows that age, education, income, farm size, and distance from the bank branch were the primary factors driving the adoption of mobile banking among rural farming communities. However, expansion of agent service, reduction of service charges, and protection from fraudulent transactions are essential for expanding the adoption of mobile banking services in rural areas and accelerating their financial inclusion.</t>
  </si>
  <si>
    <t>TECHNICAL EFFICIENCY; BANGLADESH; DETERMINANTS; FARMERS; POVERTY; IMPACT</t>
  </si>
  <si>
    <t>Digital financial technology; Mobile banking; Satisfaction level; COVID-19 pandemic; Farming community; Financial inclusion</t>
  </si>
  <si>
    <t>JOURNAL OF AGRICULTURE AND FOOD RESEARCH</t>
  </si>
  <si>
    <t>Adoption of mobile banking to promote financial inclusion among rural farming community: Drivers and satisfaction level perspective</t>
  </si>
  <si>
    <t>Khatun, Most Nilufa; Sarker, Md Nazirul Islam; Mitra, Sandip</t>
  </si>
  <si>
    <t>Khatun, MN; Sarker, MNI; Mitra, S</t>
  </si>
  <si>
    <t>WOS:001637628300006</t>
  </si>
  <si>
    <t>10.21919/remef.v19i1.933</t>
  </si>
  <si>
    <t>e933</t>
  </si>
  <si>
    <t>García-Martínez, Julio C/0000-0001-7434-8171; Torres Ramírez, Estela/0000-0002-9601-7274</t>
  </si>
  <si>
    <t>Martínez, JCG (corresponding author), Univ Politecn Victoria, Victoria, Mexico.</t>
  </si>
  <si>
    <t>[Martinez, Julio Cesar Garcia; Delgado, Daniela Cruz; Ramirez, Estela Torres] Univ Politecn Victoria, Victoria, Mexico</t>
  </si>
  <si>
    <t>The objective of the research was to measure the financial literacy index (FAI) of the participants and determine the factors that influence it based on data from the 2021 National Financial Inclusion Survey. To measure the index, the OECD methodology was used (2015) and adapted by the CNBV (2019). To analyze the determining factors, a generalized linear model was used with complex samples using SPSS version 26 software. People with business activity obtained an index of 63.6 on a scale from 0 to 100, 5 points above the general population in Mexico (58.6). The variables sex, education, access to financial education and trust in the system were significant. It is recommended in future studies to report whether there are differences between obstacles by company size. The originality lies in having used a nationally representative sample with advantages as a target population. Financial education should especially serve the youngest, with a lower educational level and without access to financial information to improve their behavior according to the regression analysis.</t>
  </si>
  <si>
    <t>Financial Literacy; Financial Education; Financial Knowledge; Financial Behavior; Generalized Linear Model</t>
  </si>
  <si>
    <t>Determinants of Employer Financial Literacy in Mexico</t>
  </si>
  <si>
    <t>Martinez, Julio Cesar Garcia; Delgado, Daniela Cruz; Ramirez, Estela Torres</t>
  </si>
  <si>
    <t>Martínez, JCG; Delgado, DC; Ramírez, ET</t>
  </si>
  <si>
    <t>WOS:000544127100009</t>
  </si>
  <si>
    <t>VJ1SE</t>
  </si>
  <si>
    <t>10.3138/cjpe.36295</t>
  </si>
  <si>
    <t>Can. J. Program Eval.</t>
  </si>
  <si>
    <t>CAN J PROGRAM EVAL</t>
  </si>
  <si>
    <t>0834-1516</t>
  </si>
  <si>
    <t>We thank Isabelle Bourgeois, our anonymous reviewers, and the participants in the annual conferences of the Canadian Evaluation Society for very helpful comments. We thank our community partners, especially Barry Rieder, for valuable input. Nazanin Ghanavizi and Erika MacDonald, as well as Shazma Abdulla, Lazerd Aliu, John Cosentino, Bogdan Panasyuk, and Vladimir Perisic, provided helpful research assistance with the Microcredit Project. This research was supported by the Social Sciences and Humanities Research Council of Canada and by York University.</t>
  </si>
  <si>
    <t>Social Sciences and Humanities Research Council of Canada(Social Sciences &amp; Humanities Research Council of Canada (SSHRC)); York University</t>
  </si>
  <si>
    <t>Social Sciences and Humanities Research Council of Canada; York University</t>
  </si>
  <si>
    <t>spotton@yorku.ca</t>
  </si>
  <si>
    <t>Visano, BS (corresponding author), York Univ, Dept Econ, Toronto, ON M3J 1P3, Canada.;Visano, BS (corresponding author), York Univ, Sch Publ Policy &amp; Adm, Toronto, ON M3J 1P3, Canada.</t>
  </si>
  <si>
    <t>[Britto, Neil] Intersect Project, Brooklyn, NY USA; [Visano, Brenda Spotton] York Univ, Dept Econ, Toronto, ON M3J 1P3, Canada; [Visano, Brenda Spotton] York Univ, Sch Publ Policy &amp; Adm, Toronto, ON M3J 1P3, Canada</t>
  </si>
  <si>
    <t>Microcredit programs operating in high-income countries with well-developed banking systems present unique challenges for performance assessment that are addressed by neither professional microfinance institution evaluation systems nor social performance indicators. The potential contributions of microcredit programs designed to supply small loans for business incubation and development in Canada's inner cities may extend beyond supplementing individual income to include community capacity-building outputs and impacts such as social capital development, business skills development, and promoting financial inclusion. This article shares our recommendation for a set of performance metrics that accounts for these additional contributions. Developed in partnership with a small inner-city program, these performance metrics are suitable for use by small community-based microcredit programs staffed largely by volunteers.</t>
  </si>
  <si>
    <t>capacity building; microcredit (Canada); performance metrics</t>
  </si>
  <si>
    <t>CANADIAN JOURNAL OF PROGRAM EVALUATION</t>
  </si>
  <si>
    <t>Building Community Capacity: Self-Assessment Performance Metrics for Canadian Microcredit Programs</t>
  </si>
  <si>
    <t>Britto, Neil; Visano, Brenda Spotton</t>
  </si>
  <si>
    <t>Britto, N; Visano, BS</t>
  </si>
  <si>
    <t>WOS:000392264700127</t>
  </si>
  <si>
    <t>kanyiwamuyu@yahoo.com</t>
  </si>
  <si>
    <t>Kanyi Wamuyu, P (corresponding author), US Int Univ Africa, POB 14634-00800, Nairobi, Kenya.</t>
  </si>
  <si>
    <t>[Kanyi Wamuyu, Patrick] US Int Univ Africa, POB 14634-00800, Nairobi, Kenya</t>
  </si>
  <si>
    <t>With most households in rural Kenya dependent on meagre wages from manual labor, the task of balancing immediate family needs with long-term financial goals is usually a difficult task, which in most cases leave families with minimal or no savings. This paper articulates a study to investigate the potential of using mobile money accounts as a money management platform that can help promote a savings culture as well as establish and nurture financial discipline among poor households in Kenya. Based on the premises that 41% of Kenyans do not save regularly because they do not have enough money to live on let alone save for a rainy day, the study examined innovative ways in which poor households could use mobile money accounts as a tool for financial inclusion, achieving household financial security, and enhancing family role performance. The study took place in Nairobi's Mathare slum. It aimed to understand, in depth, mobile money savings accounts usage among poor households. Key informants were low income traders, who earns a daily income of less than two dollars ( about 200 Kenya Shillings). Data was collected using a questionnaire, informal conversations and contextual interviews and supplemented by in-depth interviews with managers from a leading mobile money service provider and the mobile money provider commercial banks. The study results indicates that lack of awareness on the available and affordable mobile money savings products, low interest rates on mobile money fixed deposit savings accounts and high transaction costs when making mobile money payments impacts negatively on mobile money fixed deposit savings accounts usage while availability of microcredit on mobile money savings accounts has a positive effect on the usage. The study provides policy and technology design recommendations that could aid in mobile money lock savings accounts acceptance.</t>
  </si>
  <si>
    <t>CREDIT ASSOCIATIONS</t>
  </si>
  <si>
    <t>Mobile money savings account; transaction costs; microcredit; interest rates; family role; low income earners</t>
  </si>
  <si>
    <t>Promoting Savings among Low Income Earners in Kenya through Mobile Money</t>
  </si>
  <si>
    <t>Kanyi Wamuyu, Patrick</t>
  </si>
  <si>
    <t>Kanyi Wamuyu, P</t>
  </si>
  <si>
    <t>WOS:001629176000001</t>
  </si>
  <si>
    <t>L0543</t>
  </si>
  <si>
    <t>10.1111/rode.70095</t>
  </si>
  <si>
    <t>2025 DEC 2</t>
  </si>
  <si>
    <t>yuichiro.uchida@port.kobe.u.ac.jp</t>
  </si>
  <si>
    <t>Uchida, Y (corresponding author), Kobe Univ, Grad Sch Int Cooperat Studies, Kobe, Japan.</t>
  </si>
  <si>
    <t>[Adishetu, Hamidu Naabo] Minist Finance, Accra, Ghana; [Uchida, Yuichiro] Kobe Univ, Grad Sch Int Cooperat Studies, Kobe, Japan</t>
  </si>
  <si>
    <t>This study examines the impact of mobile money usage on saving behaviors among petty traders in the Accra Central District of Ghana. We collected primary data through a structured survey and applied probit and logit models to assess factors affecting mobile money use for saving. The results reveal that petty traders with higher monthly incomes are more likely to save for anticipated expenses using mobile money compared to those with lower incomes. Moreover, petty traders aged 15-30 tend to embrace mobile money saving services more than their older counterparts aged 31-50. These patterns suggest that younger petty traders are both curious about and comfortable with new financial technologies. Overall, mobile money users are much more likely to be financially included than non-users. These findings point to the substantial potential of mobile technology in expanding financial access and promoting inclusion within Ghana's informal sector.</t>
  </si>
  <si>
    <t>Ghana; informal sector; mobile money; petty traders</t>
  </si>
  <si>
    <t>Mobile Money and Financial Inclusion: Evidence From Petty Traders in Ghana's Informal Sector</t>
  </si>
  <si>
    <t>Adishetu, Hamidu Naabo; Uchida, Yuichiro</t>
  </si>
  <si>
    <t>Adishetu, HN; Uchida, Y</t>
  </si>
  <si>
    <t>WOS:000626929500062</t>
  </si>
  <si>
    <t>QT9TM</t>
  </si>
  <si>
    <t>10.13106/jafeb.2021.vol8.no1.637</t>
  </si>
  <si>
    <t>salgotra, ajay/0000-0002-3627-7779</t>
  </si>
  <si>
    <t>dr.ajaysalgotra@gmail.com; kandari1980@gmail.com; umabahugunaa@gmail.com</t>
  </si>
  <si>
    <t>Salgotra, AK (corresponding author), Univ Jammu, Dept Econ, Udhampur Campus, Udhampur, Jammu &amp; Kashmir, India.</t>
  </si>
  <si>
    <t>University of Jammu; Hemwati Nandan Bahuguna Garhwal University; Hemwati Nandan Bahuguna Garhwal University</t>
  </si>
  <si>
    <t>[Salgotra, Ajay Kumar] Univ Jammu, Dept Econ, Udhampur Campus, Udhampur, Jammu &amp; Kashmir, India; [Kandari, Prashant] HNB Garhwal Univ, Dept Econ, Srinagar, Uttarakhand, India; [Bahuguna, Uma] HNB Garhwal Univ, Dept Sociol &amp; Social Work, Srinagar, Uttarakhand, India</t>
  </si>
  <si>
    <t>The main objective of this study was to investigate the impact of access to finance on the different dimensions of poverty. To achieve the objectives of the study, the participants/beneficiaries of the Mudra scheme were included and sample of target respondents was extracted through multistage random sampling technique. The sample for the study was taken from the Union Territory of Jammu and Kashmir of India. The study further utilized secondary data from the government official websites and lead banks. A paired t-test was applied to test the impact of access to finance across the various dimensions of poverty by constructing the Multidimensional Poverty Index(MPI), after checking the normality of the data. MPI incorporates dimensions such as education, health, and standard of living.The finding of the study revealed that dimensions of poverty responded positively to access to finance. The study shows that larger access to finance has helped in reducing the multidimensional poverty by having moderate, but positive impact on the standard of living, health, and education, thereby improving the lives of the poor. The present study identified that the level of impact of access to finance is moderate and further explains its importance for policy implications.</t>
  </si>
  <si>
    <t>IMPACT; MICROFINANCE; HOUSEHOLDS; REDUCTION; GROWTH; BANGLADESH; PROGRAMS; THAILAND</t>
  </si>
  <si>
    <t>Financial Inclusion; Microfinance; Poverty; Multidimensional Poverty; Government Scheme</t>
  </si>
  <si>
    <t>Does Access to Finance Eradicate Poverty? A Case Study of Mudra Beneficiaries</t>
  </si>
  <si>
    <t>Salgotra, Ajay Kumar; Kandari, Prashant; Bahuguna, Uma</t>
  </si>
  <si>
    <t>Salgotra, AK; Kandari, P; Bahuguna, U</t>
  </si>
  <si>
    <t>WOS:001278215000001</t>
  </si>
  <si>
    <t>0BN6V</t>
  </si>
  <si>
    <t>10.1108/IJSE-01-2024-0062</t>
  </si>
  <si>
    <t>Heryana, Toni/0009-0001-9609-6048; Aniana, Denny/0000-0003-3167-0261;</t>
  </si>
  <si>
    <t>Sari, Maya/N-5546-2019; Heryana, Toni/GOJ-7480-2022; Aniana, Denny/GOJ-8284-2022; Nugraha, Nugraha/U-7939-2019; Supriatono Purnomo, Budi/GSE-2041-2022; Ahiase, Godwin/IQT-0961-2023</t>
  </si>
  <si>
    <t>godwinahiase@upi.edu; mayasari@upi.edu; denny.andriana@upi.edu; nugraha@upi.edu; budi.purnomo@upi.edu; toniheryana@upi.edu</t>
  </si>
  <si>
    <t>Ahiase, G (corresponding author), Univ Pendidikan Indonesia, Dept Management, Bandung, Indonesia.</t>
  </si>
  <si>
    <t>Universitas Pendidikan Indonesia; Universitas Pendidikan Indonesia</t>
  </si>
  <si>
    <t>[Ahiase, Godwin; Sari, Maya] Univ Pendidikan Indonesia, Dept Management, Bandung, Indonesia; [Andriana, Denny; Nugraha, Nugraha; Purnomo, Budi Supriatono; Heryana, Toni] Univ Pendidikan Indonesia, Dept Accounting &amp; Finance, Bandung, Indonesia</t>
  </si>
  <si>
    <t>PurposeThis study examines the moderating role of debt sustainability on the nexus between financial and economic growth in African countries.Design/methodology/approachThis study utilised data from various sources, such as the World Bank and International Monetary Fund databases, specifically the World Development Indicators and Financial Access Survey. The data covered the period from 2004 to 2021 and focused on 53 African countries to examine the moderating effect of debt sustainability on the relationship between financial inclusion and economic growth using a two-step generalised method of moments system with forward orthogonal deviations.FindingsThe study findings indicate a direct link between financial inclusion and economic growth in African nations. In particular, the availability and utilisation of mobile money services are significant factors in promoting financial inclusion. Our study also highlights that excessive debt can impede economic growth by limiting the capacity of financial institutions to offer loans and other vital financial services.Practical implicationsPolicymakers in Africa should promote economic growth by prioritising financial inclusion through mobile money and ATMs while ensuring sustainable debt levels.Originality/valueThis study adds to the ongoing discussion on the relationship between FI and economic growth in African countries. It explores how debt sustainability affects this relationship, and emphasises the importance of finding a balance between financial inclusion and debt management for long-term economic growth and development.Peer reviewThe peer review history for this article is available at: https://publons.com/publon/10.1108/IJSE-01-2024-0062</t>
  </si>
  <si>
    <t>PANEL-DATA; GOVERNANCE</t>
  </si>
  <si>
    <t>Financial inclusion; Economic growth; Debt sustainability; African countries; Mobile money services; System GMM</t>
  </si>
  <si>
    <t>Unveiling the African growth puzzle: relationship between financial inclusion, debt sustainability and economic growth</t>
  </si>
  <si>
    <t>Ahiase, Godwin; Sari, Maya; Andriana, Denny; Nugraha, Nugraha; Purnomo, Budi Supriatono; Heryana, Toni</t>
  </si>
  <si>
    <t>Ahiase, G; Sari, M; Andriana, D; Nugraha, N; Purnomo, BS; Heryana, T</t>
  </si>
  <si>
    <t>WOS:001417292000002</t>
  </si>
  <si>
    <t>W2Y4C</t>
  </si>
  <si>
    <t>10.33736/ijbs.8356.2024</t>
  </si>
  <si>
    <t>iyant@ustjogja.ac.id</t>
  </si>
  <si>
    <t>Suyanto (corresponding author), Univ Sarjanawiyata Tamansiswa, Yogyakarta 55165, Indonesia.</t>
  </si>
  <si>
    <t>[Suyanto] Univ Sarjanawiyata Tamansiswa, Yogyakarta 55165, Indonesia</t>
  </si>
  <si>
    <t>This study investigates the influence of financial literacy, social capital, demography, and financial inclusion on financial performance and the role of alignment moderation in information technology (IT). The samples used in this study were 701 respondents from micro, small, and medium enterprises (MSMEs). The data were analyzed using the regression method and test of Moderated Regression Analysis Interaction. The results show that the financial performance of those MSMEs might be positively influenced by financial literacy, social capital, and financial inclusion. The financial inclusion of SMEs cannot be influenced by demography. The financial inclusion of MSMEs might be positively influenced by financial literacy, social capital, and financial inclusion in financial performance. However, the alignment of IT usage cannot promote the demographic influence on financial performance. This study also includes some consideration of the effectivity of the application of IT as a moderating factor for the influence of financial literacy, social capital, demography, and financial inclusion on the financial performance of those MSMEs.</t>
  </si>
  <si>
    <t>MEDIATING ROLE; FIRM; DETERMINANTS; GROWTH; VIEW</t>
  </si>
  <si>
    <t>gender; social capital; financial literacy; financial performance; financial inclusion; use of information technology</t>
  </si>
  <si>
    <t>FINANCIAL LITERACY, SOCIAL CAPITAL, DEMOGRAPHY, FINANCIAL INCLUSION, AND FINANCIAL PERFORMANCE: THE ROLE OF THE ALIGNMENT USE OF INFORMATION TECHNOLOGY</t>
  </si>
  <si>
    <t>Suyanto</t>
  </si>
  <si>
    <t>WOS:000383113900126</t>
  </si>
  <si>
    <t>DV7KD</t>
  </si>
  <si>
    <t>10.1166/asl.2016.6706</t>
  </si>
  <si>
    <t>Trinugroho, Irwan/0000-0003-4911-7982</t>
  </si>
  <si>
    <t>Trinugroho, Irwan/O-6374-2019</t>
  </si>
  <si>
    <t>Trinugroho, I (corresponding author), Univ Sebelas Maret, Fac Econ &amp; Business, Surakarta 57126, Indonesia.</t>
  </si>
  <si>
    <t>[Santoso, Arief Budi] Bank Indonesia, Representat Off Yogyakarta, Yogyakarta 55121, Indonesia; [Trinugroho, Irwan; Nugroho, Linggar Ikhsan; Saputro, Nugroho; Indra Purnama, Muhammad Yusuf] Univ Sebelas Maret, Fac Econ &amp; Business, Surakarta 57126, Indonesia</t>
  </si>
  <si>
    <t>We investigate the determinants of the level of financial literacy and financial inclusion of poor people within a region in Indonesia by studying 970 financially constrained households. We do find that the lower level of financial literacy and financial inclusion is strongly correlated with less educated and older people. Moreover, those living in rural areas are less financially literate than people in the urban areas. Some policy implications are discussed.</t>
  </si>
  <si>
    <t>Financial Literacy; Financial Inclusion; Household; Education; Age; Ruralness</t>
  </si>
  <si>
    <t>Bali, INDONESIA</t>
  </si>
  <si>
    <t>SEP 29-OCT 01, 2015</t>
  </si>
  <si>
    <t>International Symposium on Social Sciences, Arts and Humanities (SYSSARM)</t>
  </si>
  <si>
    <t>Determinants of Financial Literacy and Financial Inclusion Disparity Within a Region: Evidence from Indonesia</t>
  </si>
  <si>
    <t>Santoso, Arief Budi; Trinugroho, Irwan; Nugroho, Linggar Ikhsan; Saputro, Nugroho; Indra Purnama, Muhammad Yusuf</t>
  </si>
  <si>
    <t>Santoso, AB; Trinugroho, I; Nugroho, LI; Saputro, N; Purnama, MYI</t>
  </si>
  <si>
    <t>WOS:000658072500001</t>
  </si>
  <si>
    <t>WP4PM</t>
  </si>
  <si>
    <t>10.1007/s10198-021-01320-1</t>
  </si>
  <si>
    <t>Eur. J. Health Econ.</t>
  </si>
  <si>
    <t>EUR J HEALTH ECON</t>
  </si>
  <si>
    <t>1618-7601</t>
  </si>
  <si>
    <t>1618-7598</t>
  </si>
  <si>
    <t>Kooon, Isaac/S-8710-2019</t>
  </si>
  <si>
    <t>ikoomso2@une.edu.au; abdul.mumuni@upsamail.edu.gh; tonyabbam@gmail.com</t>
  </si>
  <si>
    <t>Koomson, I (corresponding author), Univ New England, UNE Business Sch, Fac Sci Agr Business &amp; Law, Armidale, NSW, Australia.;Koomson, I (corresponding author), Network Socioecon Res &amp; Adv NESRA, Accra, Ghana.</t>
  </si>
  <si>
    <t>[Koomson, Isaac] Univ New England, UNE Business Sch, Fac Sci Agr Business &amp; Law, Armidale, NSW, Australia; [Abdul-Mumuni, Abdallah] Univ Profess Studies, Dept Banking &amp; Finance, Accra, Ghana; [Abbam, Anthony] Univ Educ, Fac Social Sci Educ, Dept Econ, Winneba, Ghana; [Koomson, Isaac; Abdul-Mumuni, Abdallah] Network Socioecon Res &amp; Adv NESRA, Accra, Ghana</t>
  </si>
  <si>
    <t>Empirical evidence on the link between financial inclusion and out-of-pocket health expenditure remains sparse while existing studies have mainly not used a multidimensional financial inclusion index. This study examines the link between financial inclusion and out-of-pocket health expenditure in Ghana using data from the seventh round of the Ghana Living Standards Survey. To ensure robustness in findings, the standard instrumental variable (with external instruments) and Lewbel's heteroskedasticity-based instrumental variable approaches are both applied. Our findings indicate that a standard deviation increase in financial inclusion is associated with an increase in households' out-of-pocket health expenditure between 0.1367 and 1.7608 standard deviations. This finding is more pronounced for female-headed and urban-located households. Financial inclusion has a bigger association with expenses on medical products/appliances than on outpatient services. Policymakers are encouraged to design and implement programs to scale up the level of financial inclusion which has the potential of facilitating demand for health, thereby leading to better health outcomes.</t>
  </si>
  <si>
    <t>POVERTY REDUCTION; HOUSEHOLDS; MICROFINANCE; DEMAND; GROWTH; SHOCKS</t>
  </si>
  <si>
    <t>Financial inclusion; Health expenditure; Well-being; Development; Ghana</t>
  </si>
  <si>
    <t>EUROPEAN JOURNAL OF HEALTH ECONOMICS</t>
  </si>
  <si>
    <t>Effect of financial inclusion on out-of-pocket health expenditure: empirics from Ghana</t>
  </si>
  <si>
    <t>Koomson, Isaac; Abdul-Mumuni, Abdallah; Abbam, Anthony</t>
  </si>
  <si>
    <t>Koomson, I; Abdul-Mumuni, A; Abbam, A</t>
  </si>
  <si>
    <t>WOS:001224277300005</t>
  </si>
  <si>
    <t>QX9F1</t>
  </si>
  <si>
    <t>10.1504/IJESB.2022.124456</t>
  </si>
  <si>
    <t>Yahya, Sofri/E-9539-2012; Ramadani, Veland/B-5731-2015</t>
  </si>
  <si>
    <t>Rharbi@tu.edu.sa; sofri@usm.my; v.ramadani@seeu.edu.mk</t>
  </si>
  <si>
    <t>Alharbi, RK (corresponding author), Taif Univ, Coll Adm &amp; Financial Sci, Taif, Saudi Arabia.</t>
  </si>
  <si>
    <t>Taif University; Universiti Sains Malaysia</t>
  </si>
  <si>
    <t>[Alharbi, Raed Khamis] Taif Univ, Coll Adm &amp; Financial Sci, Taif, Saudi Arabia; [Alharbi, Raed Khamis; Yahya, Sofri] Univ Sains, Grad Sch Business, Gelugor, Malaysia; [Ramadani, Veland] South East European Univ, Fac Business &amp; Econ, Tetovo, North Macedonia</t>
  </si>
  <si>
    <t>This paper seeks to explore the impact of access to finance and financial literacy on the SMEs performance in an Islamic context. The study adopted a cross-sectional research design by employing 255 SMEs in Saudi Arabia. The findings showed a positive mediating effect of access to finance on the relationship between financial awareness, financial attitude and SMEs performance while access to finance does not mediate the nexus between financial knowledge and SMEs performance. Subsequently, the findings revealed that access to finance have positive effect on SMEs performance. This study also found that access to finance increases the positive relationship between financial literacy and SMEs performance. The role of religiosity was found to positively increase access to finance towards affecting SMEs performance. The findings of this study provide SMEs with the knowledge to increase their religious practices to access government Islamic funds, i.e., Mudarabah and Musharakah while Islamic banking firms should increase their Islamic products and services to attract SMEs in Saudi Arabia.</t>
  </si>
  <si>
    <t>COMPETITIVE ADVANTAGE; ENTREPRENEURSHIP; CAPABILITIES; ENTERPRISES; MANAGEMENT; VALIDITY; MODELS; GROWTH; VALUES; SIZE</t>
  </si>
  <si>
    <t>financial literacy; access to finance; SMEs performance; Islamic religiosity; Saudi Arabia</t>
  </si>
  <si>
    <t>Financial literacy, access to finance, SMEs performance and Islamic religiosity: evidence from Saudi Arabia</t>
  </si>
  <si>
    <t>Alharbi, Raed Khamis; Yahya, Sofri; Ramadani, Veland</t>
  </si>
  <si>
    <t>Alharbi, RK; Yahya, S; Ramadani, V</t>
  </si>
  <si>
    <t>WOS:000411104800004</t>
  </si>
  <si>
    <t>FH4ES</t>
  </si>
  <si>
    <t>10.1111/fcsr.12227</t>
  </si>
  <si>
    <t>gary.mottola@finra.org</t>
  </si>
  <si>
    <t>Mottola, GR (corresponding author), FINRA Investor Educ Fdn, 1735 K St NW, Washington, DC 20006 USA.</t>
  </si>
  <si>
    <t>[Mottola, Gary R.; Kieffer, Christine N.] FINRA Investor Educ Fdn, 1735 K St NW, Washington, DC 20006 USA</t>
  </si>
  <si>
    <t>This article describes the National Financial Capability Study (NFCS) and provides general and methodological information to aid researchers in using these publically available and free data sets. The NFCS is a large-scale, ongoing study aimed at monitoring and better understanding financial capability in America. Data from the NFCS can be analyzed at the national, state, and regional levels. We provide detailed information about all nine data sets that currently comprise the NFCS, including sampling procedures, weight construction, and survey design. The article concludes with a discussion of high-level learnings from the NFCS and the future of the NFCS project.</t>
  </si>
  <si>
    <t>financial capability; financial education; financial literacy; personal finance; public use data</t>
  </si>
  <si>
    <t>Understanding and Using Data From the National Financial Capability Study</t>
  </si>
  <si>
    <t>Mottola, Gary R.; Kieffer, Christine N.</t>
  </si>
  <si>
    <t>Mottola, GR; Kieffer, CN</t>
  </si>
  <si>
    <t>WOS:001384584200001</t>
  </si>
  <si>
    <t>Q4R9O</t>
  </si>
  <si>
    <t>10.3390/ijfs12040120</t>
  </si>
  <si>
    <t>This research was funded by Council for Scientific and Technological Development (CNPq) grant number 308953/2022-3.</t>
  </si>
  <si>
    <t>Council for Scientific and Technological Development (CNPq)(Conselho Nacional de Desenvolvimento Cientifico e Tecnologico (CNPQ));</t>
  </si>
  <si>
    <t>Council for Scientific and Technological Development (CNPq); [308953/2022-3]</t>
  </si>
  <si>
    <t>Tavares, Fernando/0000-0002-9672-8770; Matheis, Taiane Keila/0000-0003-2427-878X; Lehnhart, Eliete dos Reis/0000-0001-6676-8547; Vieira, Kelmara Mendes/0000-0002-8847-0941</t>
  </si>
  <si>
    <t>Tavares, Fernando/GRX-5739-2022; Matheis, Taiane Keila/HPE-5124-2023; Vieira, Kelmara Mendes/AAU-7480-2020</t>
  </si>
  <si>
    <t>kelmara.vieira@ufsm.br; taiane.keila@acad.ufsm.br; eliete.lehnhart@ufsm.br; ftavares@upt.pt</t>
  </si>
  <si>
    <t>Vieira, KM (corresponding author), Fed Univ St Maria, Dept Adm Sci, BR-97105900 Santa Maria, Brazil.</t>
  </si>
  <si>
    <t>Universidade Portucalense Infante D. Henrique; Universidade de Coimbra</t>
  </si>
  <si>
    <t>[Vieira, Kelmara Mendes; Lehnhart, Eliete dos Reis] Fed Univ St Maria, Dept Adm Sci, BR-97105900 Santa Maria, Brazil; [Matheis, Taiane Keila] Fed Univ St Maria, Grad Program Adm, BR-97105900 Santa Maria, Brazil; [Tavares, Fernando Oliveira] Univ Portucalense, Dept Econ &amp; Management, REMIT Res Econ Management &amp; Informat Technol, P-4200072 Porto, Portugal; [Tavares, Fernando Oliveira] Inst Super Miguel Torga, Largo Cruz Celas 1, P-3000132 Coimbra, Portugal</t>
  </si>
  <si>
    <t>This work aims to create and validate the digital financial knowledge scale (DFKS). Three studies were carried out, including a focus group, expert validation, pre-testing, and the application of item response theory. From these procedures, two versions of the scale were constructed and validated. An evaluation and classification methodology was proposed. Two versions for measuring digital financial knowledge are presented. The long version is composed of 40 items and the short version has 26 items. Applying the proposed methodology, it is possible to classify the level of digital financial knowledge as low, intermediate, or high. The DFKS can be useful for both financial system agents and governments and researchers, who can use it in different contexts. In the banking sector, identifying the level of digital financial knowledge can reduce risks, as losses suffered by clients due to an uninformed adoption of digital banking services break the relationship of trust and can lead to lower financial inclusion.</t>
  </si>
  <si>
    <t>digital financial capability; digital financial knowledge; mobile banking; psychometric tests; financial literacy; digital literacy; digital financial services</t>
  </si>
  <si>
    <t>Digital Financial Knowledge Scale (DFKS): Insights from a Developing Economy</t>
  </si>
  <si>
    <t>Vieira, Kelmara Mendes; Matheis, Taiane Keila; Lehnhart, Eliete dos Reis; Tavares, Fernando Oliveira</t>
  </si>
  <si>
    <t>Vieira, KM; Matheis, TK; Lehnhart, ED; Tavares, FO</t>
  </si>
  <si>
    <t>WOS:001451183600001</t>
  </si>
  <si>
    <t>9KU3P</t>
  </si>
  <si>
    <t>10.1080/09614524.2025.2481516</t>
  </si>
  <si>
    <t>Zidana, Richard/0000-0001-6481-4351</t>
  </si>
  <si>
    <t>richardzidana@gmail.com</t>
  </si>
  <si>
    <t>Zidana, R (corresponding author), Mzuzu Univ, Dept Agrisci, Mzuzu, Malawi.</t>
  </si>
  <si>
    <t>[Zidana, Richard] Mzuzu Univ, Dept Agrisci, Mzuzu, Malawi</t>
  </si>
  <si>
    <t>For decades, providing access to credit has been regarded as a powerful intervention for advancing the economic empowerment of the poor in developing countries. Notwithstanding, a growing body of evidence argues that these credit initiatives have reverse impoverishing outcomes for poor beneficiaries because, rather than promoting financial inclusion and microentrepreneurship, the loans impose debt burdens on them. Drawing on published empirical sources from across space, this viewpoint discusses the flaws of microcredit and joins the growing discourse which argues for the propagation of voluntary and member-owned savings and loans schemes as a more effective form of microfinance relevant for the rural poor and low-income economies like Malawi, due to their proven capabilities to promote economic empowerment and inclusivity. While Bateman argued that the dismantling of these localised models was bad for East Asia, this paper suggests his proposition is relevant regardless of geography.</t>
  </si>
  <si>
    <t>MICROFINANCE; IMPACT</t>
  </si>
  <si>
    <t>Financial inclusion; microcredit; savings and loans schemes; small-scale enterprise; women's empowerment</t>
  </si>
  <si>
    <t>Towards an effective model for small-scale enterprise financing in a developing economy: a Malawian perspective</t>
  </si>
  <si>
    <t>Zidana, Richard</t>
  </si>
  <si>
    <t>Zidana, R</t>
  </si>
  <si>
    <t>WOS:000842118100001</t>
  </si>
  <si>
    <t>3W1MO</t>
  </si>
  <si>
    <t>10.1080/23322039.2022.2111799</t>
  </si>
  <si>
    <t>Guvuriro, Sevias/0000-0002-1365-3591</t>
  </si>
  <si>
    <t>Chamboko, Richard/AAQ-4608-2021; Guvuriro, Sevias/AEW-3295-2022</t>
  </si>
  <si>
    <t>Chamboko, R (corresponding author), World Bank Grp, Int Finance Corp, Washington, DC 20433 USA.</t>
  </si>
  <si>
    <t>[Chamboko, Richard] World Bank Grp, Dev Impact Measurement Dept, Int Finance Corp, Washington, DC USA; [Chamboko, Richard] Univ Johannesburg, Fac Engn &amp; Built Environm, Inst Intelligent Syst, Johannesburg, South Africa; [Guvuriro, Sevias] Univ Free State, Dept Econ &amp; Finance, Bloemfontein, South Africa</t>
  </si>
  <si>
    <t>Microfinance institutions (MFIs) are a prominent financial inclusion initiative in many developing countries. In Zimbabwe, however, less is known about microfinance borrowers, determinants of loan utilisation and borrowers' repayment behaviour. Demonstrating that MFIs serve those who are economically marginalised and traditionally excluded from the formal financial system is useful in a country where most of the economic activities are in the informal sector. This study investigated the factors associated with the utilisation of microfinance loans and delinquency among microfinance borrowers using the Poisson, logit and the zero-truncated Poisson regression models on 6165 unique borrowers in Zimbabwe. The study findings revealed that microfinance loans were significantly more likely to be accessed by low-income individuals, who took small loans with relatively high instalments. Women were less likely to access microfinance loans, and reliable borrowers were more likely to access repeat loans. The level of income, number of previous loans and loan terms explained the delinquency among borrowers. Largely, the findings suggest that microfinance in Zimbabwe serves the needs of the low-income group. However, policies that seek to improve access to credit for women and youth remain a priority.</t>
  </si>
  <si>
    <t>FINANCIAL INCLUSION; PERFORMANCE; REPAYMENT; KENYA; WOMEN; DETERMINANTS; INSTITUTIONS; MICROCREDIT; BANGLADESH; GOVERNANCE</t>
  </si>
  <si>
    <t>Credit; microfinance institutions; delinquency; Zimbabwe; poisson regression</t>
  </si>
  <si>
    <t>On the predictors of loan utilization and delinquency among microfinance borrowers in Zimbabwe: A Poisson regression approach</t>
  </si>
  <si>
    <t>WOS:000416476300010</t>
  </si>
  <si>
    <t>BI9UT</t>
  </si>
  <si>
    <t>10.4018/978-1-61520-993-4</t>
  </si>
  <si>
    <t>10.4018/978-1-61520-993-4.ch007</t>
  </si>
  <si>
    <t>978-1-61520-994-1; 978-1-61520-993-4</t>
  </si>
  <si>
    <t>701 E CHOCOLATE AVE, STE 200, HERSEY, PA 17033-1240 USA</t>
  </si>
  <si>
    <t>HERSEY</t>
  </si>
  <si>
    <t>Shrivastava, P (corresponding author), Monitise Grp Plc, Emerging Markets, London, England.</t>
  </si>
  <si>
    <t>[Shrivastava, Prateek] Monitise Grp Plc, Emerging Markets, London, England</t>
  </si>
  <si>
    <t>Globally, only about a sixth of the 3 billion poor people of working age currently have access to formal financial services. This translates to 17% coverage of the market, leaving 83% under-served or unbanked. Addressing the needs of these people is the self-sustaining approach to microfinance. Mobile banking is one of the newest approaches to the provision of financial services made possible by the widespread adoption of mobile phones in low income countries. However, reports show that potential users may not be using these systems despite already being available. This study was conducted in 2008. It extends the Luarn &amp; Lin mobile banking adoption model by adding two additional constructs: Enhancement of image and the enhancement of quality of life by having access to financial service to test the attitude toward mobile banking. In order to test these constructs, 11 hypotheses are proposed. The chapter successfully applies Luarn &amp; Lin's model in a new geographic and economic context. Consistent with their study, perceived usefulness, perceived credibility, perceived ease of use and perceived self-efficacy were found to be significant antecedents. Perceived financial costs, however, was found to have a positive relationship with attitude. This finding is diametrically opposite to Luarn &amp; Lin's study. Perceived enhancement to quality of life showed a strong relationship and Perceived enhanced image showed a weak relationship with the attitude toward mobile banking. The control group analysis showed the previously unbanked group (Mzansi) had the highest expectation of mobile banking and also found the idea most attractive. This study therefore concludes that mobile banking can indeed be a channel to reach out to low income groups.</t>
  </si>
  <si>
    <t>INDIVIDUAL-DIFFERENCES; TECHNOLOGY ACCEPTANCE; BEHAVIORAL INTENTION; USER ACCEPTANCE; ADOPTION; DETERMINANTS; BANKING; MODEL</t>
  </si>
  <si>
    <t>ADVANCED TECHNOLOGIES FOR MICROFINANCE: SOLUTIONS AND CHALLENGES</t>
  </si>
  <si>
    <t>Predicting the Attitude toward Mobile Financial Services in Developing Countries</t>
  </si>
  <si>
    <t>Shrivastava, Prateek</t>
  </si>
  <si>
    <t>Shrivastava, P</t>
  </si>
  <si>
    <t>WOS:000864536100001</t>
  </si>
  <si>
    <t>5C8XD</t>
  </si>
  <si>
    <t>10.1016/j.telpol.2022.102387</t>
  </si>
  <si>
    <t>MOUSSEUKNADJI KOULADOUM, Jean-Claude/0000-0002-4943-4227; Nchofoung, Tii/0000-0003-2436-6659; , Wirajing Muhamadu Awal Kindzeka/0000-0001-6151-4417</t>
  </si>
  <si>
    <t>MOUSSEUKNADJI KOULADOUM, Jean-Claude/GZM-2660-2022; Nchofoung, Tii/AAU-5995-2021; , Wirajing Muhamadu Awal Kindzeka/JLM-2631-2023</t>
  </si>
  <si>
    <t>kouladoum@gmail.com; wirajingmuhamadu@gmail.com; ntii12@yahoo.com</t>
  </si>
  <si>
    <t>Nchofoung, TN (corresponding author), Univ Dschang, Cameroon &amp; Minist Trade, Dschang, Cameroon.</t>
  </si>
  <si>
    <t>Universite de Dschang; Universite de Dschang</t>
  </si>
  <si>
    <t>[Kouladoum, Jean-Claude] Univ Moundou, Dept Econ, Moundou, Chad; [Wirajing, Muhamadu Awal Kindzeka] Univ Dschang, Dschang, Cameroon; [Nchofoung, Tii N.] Univ Dschang, Cameroon &amp; Minist Trade, Dschang, Cameroon</t>
  </si>
  <si>
    <t>The study investigates the digital technology-financial inclusion nexus in 43 Sub-Saharan African countries between 2004 and 2019. The methodologies are the Generalized Method of Moment (GMM) to take care of double causality and country heterogeneity and IV-Tobit to take into ac-count the limited range in the dependent variables. At all levels, digital technology measured by ICT indicators of the subscription rate of fixed and mobile telephone users, fixed broadband, internet users and a composite indicator of digitalization have positive significant effects on financial inclusion. A further robustness check is conducted by computing a composite indicator of financial inclusion to determine how it is affected by digital technology. The findings indicate that the rate of financial inclusion in Sub Saharan Africa rises with increasing digital technologies. There should be more investments in terms of promoting financial and technological in-frastructures and also in the human capital sector since financial literacy can play an important part in promoting financial stability and inclusive finance in Africa.</t>
  </si>
  <si>
    <t>ECONOMIC-GROWTH; ICT; ACCESS; INEQUALITY; EDUCATION</t>
  </si>
  <si>
    <t>Digital technologies; Financial inclusion; Sub saharan africa</t>
  </si>
  <si>
    <t>Digital technologies and financial inclusion in Sub-Saharan Africa</t>
  </si>
  <si>
    <t>Kouladoum, Jean-Claude; Wirajing, Muhamadu Awal Kindzeka; Nchofoung, Tii N.</t>
  </si>
  <si>
    <t>Kouladoum, JC; Wirajing, MAK; Nchofoung, TN</t>
  </si>
  <si>
    <t>WOS:001103790200002</t>
  </si>
  <si>
    <t>KR2B9</t>
  </si>
  <si>
    <t>10.1007/s11205-023-03264-w</t>
  </si>
  <si>
    <t>Rani, Neelam/0000-0002-7020-8283</t>
  </si>
  <si>
    <t>Globally, financial well-being has received considerable attention from researchers and policymakers as an indicator of financial health in the aftermath of financial shocks. Additionally, financial inclusion has been a priority for developing countries in their efforts towards poverty alleviation and bringing vulnerable populations into the mainstream financial system. Moreover, the shift in digital technologies and financial services has overcome access and usage barriers through the acquisition of digital financial literacy. This paper develops novel multidimensional indices and investigates the relationship between financial well-being, financial inclusion, and digital financial literacy. The study utilizes data from InterMedia's Financial Inclusion Insight (FII) 2016 Survey conducted in India. The results indicate that both financial inclusion and digital financial literacy have a significant positive impact on financial well-being. However, considering the potential endogeneity bias, instrumental variable 2SLS regression reveals that financial inclusion plays the most crucial role in defining financial well-being. Our findings help policymakers recognize the importance of demand-side financial inclusion and digital financial literacy in promoting financial well-being, which may be achieved through robust financial and digital literacy programs. Additionally, the study contributes to the financial well-being literature by incorporating essential attributes of financial inclusion and digital financial literacy.</t>
  </si>
  <si>
    <t>HOUSEHOLDS; BANGLADESH; SERVICES</t>
  </si>
  <si>
    <t>Financial well-being; Financial Inclusion; Financial Literacy; Digital Financial Literacy; Vulnerable; India; I31; G20; G50; G530</t>
  </si>
  <si>
    <t>Financial Inclusion and Digital Financial Literacy: Do they Matter for Financial Well-being?</t>
  </si>
  <si>
    <t>WOS:001387296300001</t>
  </si>
  <si>
    <t>Q8S1K</t>
  </si>
  <si>
    <t>Computer Science, Information Systems; Computer Science, Interdisciplinary Applications; Multidisciplinary Sciences</t>
  </si>
  <si>
    <t>10.3389/fdata.2024.1448571</t>
  </si>
  <si>
    <t>Front. Big Data</t>
  </si>
  <si>
    <t>FRONT BIG DATA</t>
  </si>
  <si>
    <t>2624-909X</t>
  </si>
  <si>
    <t>Moonesar RD, Immanuel Azaad/0000-0003-4027-3508; M V, Manoj Kumar/0000-0002-9848-6234; Rao, Ananth/0000-0002-8110-5423; Almuraqab, Nasser/0000-0002-9220-8604</t>
  </si>
  <si>
    <t>Moonesar RD, Immanuel Azaad/AAG-9619-2021; M V, Manoj Kumar/AAC-6434-2019; Rao, Ananth/A-8154-2016; Almuraqab, Nasser/GLS-2900-2022</t>
  </si>
  <si>
    <t>manojmv24@gmail.com; nasser@ud.ac.ae; immanuel.moonesar@mbrsg.ac.ae; udo.braendle@fh-krems.ac.at; arao@ud.ac.ae</t>
  </si>
  <si>
    <t>Kumar, MVM (corresponding author), Nitte Meenakshi Inst Technol, Dept Informat Sci &amp; Engn, Bangalore, India.;Almuraqab, N; Rao, A (corresponding author), Univ Dubai, Dubai Business Sch, Dubai, U Arab Emirates.;Moonesar, IA; Rao, A (corresponding author), Mohammed Bin Rashid Sch Govt, Dubai, U Arab Emirates.;Braendle, UC (corresponding author), IMC Univ Appl Sci Krems, Krems An Der Donau, Lower Austria, Austria.</t>
  </si>
  <si>
    <t>NITTE (Deemed to be University); Nitte Meenakshi Institute of Technology; University of Dubai</t>
  </si>
  <si>
    <t>[Kumar, M. V. Manoj] Nitte Meenakshi Inst Technol, Dept Informat Sci &amp; Engn, Bangalore, India; [Almuraqab, Nasser; Rao, Ananth] Univ Dubai, Dubai Business Sch, Dubai, U Arab Emirates; [Moonesar, Immanuel Azaad; Rao, Ananth] Mohammed Bin Rashid Sch Govt, Dubai, U Arab Emirates; [Braendle, Udo Christian] IMC Univ Appl Sci Krems, Krems An Der Donau, Lower Austria, Austria</t>
  </si>
  <si>
    <t>Introduction The expanded BRICS block presents significant opportunities for SMEs (Small and Medium Enterprises), but challenges related to financial literacy and digital access hinder their potential. While global efforts emphasize financial literacy and digitization as key drivers of economic growth, especially in developing regions, their specific impact on SMEs in the BRICS block remains underexplored. This paper contributes to the literature by contextualizing how financial literacy and digital financial access influence SME sustainability and economic progress, particularly in light of ongoing efforts to bridge the digital divide.Methods Using Principal Component Analysis to reduce dimensionality, the study uses advanced Random Forest Tree modeling, to evaluate current practices in SME finance, credit access, and digitization.Results Results indicate that both financial literacy and digitalization play pivotal roles in driving sustainable economic development, with significant implications for policy interventions aimed at supporting SME growth in emerging economies.Discussion This study addresses the crucial intersection of SME financial literacy and digital financial access, focusing on their role in fostering economic development within the expanded BRICS block-a group now comprising major emerging economies that collectively face substantial disparities in financial inclusion. The study results are relevant not only for understanding the BRICS context but also for shaping global strategies toward inclusive financial systems and SME resilience in the digital era.</t>
  </si>
  <si>
    <t>INVESTMENT</t>
  </si>
  <si>
    <t>PCA; Random Forest Tree; digitalization; GMM; SME financial awareness; SDG 8; 9; 10</t>
  </si>
  <si>
    <t>FRONTIERS IN BIG DATA</t>
  </si>
  <si>
    <t>How critical is SME financial literacy and digital financial access for financial and economic development in the expanded BRICS block?</t>
  </si>
  <si>
    <t>Kumar, M. V. Manoj; Almuraqab, Nasser; Moonesar, Immanuel Azaad; Braendle, Udo Christian; Rao, Ananth</t>
  </si>
  <si>
    <t>Kumar, MVM; Almuraqab, N; Moonesar, IA; Braendle, UC; Rao, A</t>
  </si>
  <si>
    <t>WOS:001259502100003</t>
  </si>
  <si>
    <t>XC5P6</t>
  </si>
  <si>
    <t>The authors would like to express their gratitude and appreciation for the assistance provided by Geran Penyelidikan SRP/UNNES Grant No: 600RMC/SRP-UNNES/5/3 (001/2020) for this research work. Our appreciation also goes to the Faculty of Accountancy, Universiti Teknologi MARA, Malaysia for funding and facilitating this research project.</t>
  </si>
  <si>
    <t>Geran Penyelidikan SRP/UNNES; Faculty of Accountancy, Universiti Teknologi MARA, Malaysia</t>
  </si>
  <si>
    <t>Geran Penyelidikan SRP/UNNES [600RMC/SRP-UNNES/5/3 (001/2020)]; Faculty of Accountancy, Universiti Teknologi MARA, Malaysia</t>
  </si>
  <si>
    <t>Rahim, Nurhazrina/AAA-1346-2020; YANTO, HERI/ABE-1090-2021; Ali, Norli/HKE-4870-2023</t>
  </si>
  <si>
    <t>sitin256@uitm.edu.my</t>
  </si>
  <si>
    <t>Ali, N (corresponding author), Univ Teknol MARA, Fac Accountancy, Shah Alam, Selangor, Malaysia.</t>
  </si>
  <si>
    <t>Universiti Teknologi MARA; Universiti Teknologi MARA; Universitas Negeri Semarang</t>
  </si>
  <si>
    <t>[Ali, Norli] Univ Teknol MARA, Fac Accountancy, Shah Alam, Selangor, Malaysia; [Rahim, Nurhazrina Mat] Univ Teknol MARA, Fac Accountancy, Puncak Alam, Selangor, Malaysia; [Yanto, Heri; Baroroh, Niswah] Univ Negeri Semarang, Fac Econ, Cent Java, Indonesia</t>
  </si>
  <si>
    <t>Financial literacy is closely linked to the Sustainable Development Goals (SDGs) as it can empower individuals and communities to achieve economic growth, reduce poverty, and improve overall well-being. Moreover, financial literacy can also promote financial inclusion, which is essential for achieving SDG 1 (No Poverty) and SDG 8 (Decent Work and Economic Growth). By providing access to financial services and promoting financial education, individuals and communities can better participate in economic activities and benefit from economic growth. Therefore, financial literacy is an important component of the SDGs, as it can contribute to achieving several of the goals, including SDGs 1, 4 (Quality Education), 8, and 10 (Reduced Inequalities). This study investigated the extent of financial literacy among Malaysian university students. The study used an independent t-test to investigate the difference in students' financial literacy based on demographic, academic discipline, program level, and financial management courses attended. The relationship between those variables and students' financial literacy was tested using the PLS-SEM approach. The study documented that financial management courses helped students to become more financially literate. By promoting financial education and empowering students with financial skills, we can help to achieve several of the goals.</t>
  </si>
  <si>
    <t>DISCRIMINANT VALIDITY; LITERACY; INCOME; SEM</t>
  </si>
  <si>
    <t>Financial literacy; financially sustainable future; financial decision; Sustainable Development Goals (SDGs)</t>
  </si>
  <si>
    <t>Financially Sustainable Future, Are Tertiary Students Ready?</t>
  </si>
  <si>
    <t>Ali, Norli; Rahim, Nurhazrina Mat; Yanto, Heri; Baroroh, Niswah</t>
  </si>
  <si>
    <t>Ali, N; Rahim, NM; Yanto, H; Baroroh, N</t>
  </si>
  <si>
    <t>WOS:000556337402050</t>
  </si>
  <si>
    <t>Baskoro, Rahmat/AAP-4185-2021</t>
  </si>
  <si>
    <t>coktria@gmail.com; aryobaskoro.feui@gmail.com</t>
  </si>
  <si>
    <t>Irwan, CO (corresponding author), Univ Indonesia, Depok, Indonesia.</t>
  </si>
  <si>
    <t>[Irwan, Cindy Oktria; Baskoro, Rahmat Aryo] Univ Indonesia, Depok, Indonesia</t>
  </si>
  <si>
    <t>This study aims to determine the influence of financial literacy and the level of financial inclusion on financial decision making which in this case, investment decision is measured by looking at the amount of variation on investment. This study uses a quantitative method with the amount of data sourced from 298 respondents and processed through multiple linear regression statistical method. The result of this study shows that financial literacy and financial inclusion are significantly influence towards financial decisions (investment) in Indonesia. In other words, the higher the level of financial literacy and the level of financial inclusion of a person, the more the variation of investment he has. In addition, financial inclusion is more influence the number of variations on investment than financial literacy, but each has a significant influence on the amount of investment variation.</t>
  </si>
  <si>
    <t>Financial Literacy; Financial Inclusion; Investment; Investment Instrument</t>
  </si>
  <si>
    <t>The Influence of Financial Literacy and Financial Inclusion on Financial Decision Making (Investment) in Indonesia</t>
  </si>
  <si>
    <t>Irwan, Cindy Oktria; Baskoro, Rahmat Aryo</t>
  </si>
  <si>
    <t>Irwan, CO; Baskoro, RA</t>
  </si>
  <si>
    <t>WOS:001299031000001</t>
  </si>
  <si>
    <t>L6O7U</t>
  </si>
  <si>
    <t>10.1002/jid.3943</t>
  </si>
  <si>
    <t>KDI School of Public Policy and Management</t>
  </si>
  <si>
    <t>Biru, Ashenafi/0000-0003-0586-8733; Navon, Yoni/0000-0002-9372-2488</t>
  </si>
  <si>
    <t>Biru, Ashenafi/AGZ-8193-2022</t>
  </si>
  <si>
    <t>ashenafi.biru@rmit.edu.au</t>
  </si>
  <si>
    <t>Biru, A (corresponding author), RMIT Univ, Sch Management, 445 Swanston St, Melbourne, Vic 3000, Australia.</t>
  </si>
  <si>
    <t>Royal Melbourne Institute of Technology (RMIT); Royal Melbourne Institute of Technology (RMIT); Royal Melbourne Institute of Technology (RMIT)</t>
  </si>
  <si>
    <t>[Biru, Ashenafi] RMIT Univ, Sch Management, 445 Swanston St, Melbourne, Vic 3000, Australia; [Molla, Alemayehu] RMIT Univ, Dept Informat Syst &amp; Business Analyt, Melbourne, Vic, Australia; [Ferraro, Salvatore; Navon, Yonatan] RMIT Univ, Sch Econ Finance &amp; Mkt, Melbourne, Vic, Australia</t>
  </si>
  <si>
    <t>Developing an inclusive financial system is an important policy intervention to improve livelihood and reduce poverty. Despite this, the empirical evidence on the impacts of financial inclusion remains mixed. This study reports a meta-analysis of studies on the impact of financial inclusion. The findings show that financial inclusion outcomes reflect small, positive and statistically significant average effects on consumption, income, asset and other poverty-related indicators. The results of meta-regression analysis also show that financial inclusion has a significant positive effect on household consumption. We discuss some of the sources of inconsistencies in financial inclusion studies, policy implications and future research directions.</t>
  </si>
  <si>
    <t>INCOME INEQUALITY; POVERTY REDUCTION; ECONOMIC-GROWTH; PANEL-DATA; MICRO-CREDIT; MICROFINANCE; MICROCREDIT; PROGRAMS; ACCESS; EMPOWERMENT</t>
  </si>
  <si>
    <t>Financial inclusion; meta-analysis; household livelihood; policy intervention; poverty; developing economies</t>
  </si>
  <si>
    <t>The impact of financial inclusion initiatives: Evidence from meta-analysis</t>
  </si>
  <si>
    <t>Biru, Ashenafi; Molla, Alemayehu; Ferraro, Salvatore; Navon, Yonatan</t>
  </si>
  <si>
    <t>Biru, A; Molla, A; Ferraro, S; Navon, Y</t>
  </si>
  <si>
    <t>WOS:000465909400001</t>
  </si>
  <si>
    <t>ME2NW</t>
  </si>
  <si>
    <t>10.1080/13504851.2019.1606401</t>
  </si>
  <si>
    <t>shenyan@xaut.edu.cn</t>
  </si>
  <si>
    <t>Shen, Y (corresponding author), Xian Univ Technol, Dept Accounting &amp; Finance, Xian, Shaanxi, Peoples R China.</t>
  </si>
  <si>
    <t>Xi'an University of Technology; Western Michigan University; Zhongnan University of Economics &amp; Law</t>
  </si>
  <si>
    <t>[Shen, Yan; Hu, Wenxiu] Xian Univ Technol, Dept Accounting &amp; Finance, Xian, Shaanxi, Peoples R China; [Hueng, C. James] Western Michigan Univ, Dept Econ, Kalamazoo, MI 49008 USA; [Hueng, C. James] Zhongnan Univ Econ &amp; Law, Sch Econ, Wuhan, Hubei, Peoples R China</t>
  </si>
  <si>
    <t>We investigate the channels through which financial inclusion can be achieved in China. The Partial Least Squares approach to Structural Equation Modelling is used to analyse the relationships among financial literacy, Internet usage, digital financial products usage, and financial inclusion. We show that Internet usage has no direct impact on financial inclusion. Rather, the direct impact comes from the level of financial literacy and the use of digital financial products, which are advanced by popularity of the Internet. Internet usage and digital financial products usage play a multiple mediation role between financial literacy and financial inclusion. We conclude that to achieve the goal of advancing financial inclusion, Chinese policymakers should improve the consumers' financial literacy and promote the use of digital financial products.</t>
  </si>
  <si>
    <t>Financial inclusion; financial literacy; internet usage; digital financial products usage; partial least squares</t>
  </si>
  <si>
    <t>Using digital technology to improve financial inclusion in China</t>
  </si>
  <si>
    <t>WOS:000377436100005</t>
  </si>
  <si>
    <t>DN9YH</t>
  </si>
  <si>
    <t>Development Studies; International Relations; Government &amp; Law</t>
  </si>
  <si>
    <t>Development Studies; International Relations; Political Science</t>
  </si>
  <si>
    <t>10.1007/s12116-015-9211-5</t>
  </si>
  <si>
    <t>Stud. Comp. Int. Dev.</t>
  </si>
  <si>
    <t>STUD COMP INT DEV</t>
  </si>
  <si>
    <t>1936-6167</t>
  </si>
  <si>
    <t>0039-3606</t>
  </si>
  <si>
    <t>csmduggan@gmail.com</t>
  </si>
  <si>
    <t>Duggan, CSM (corresponding author), African Leadership Univ, Sch Business, Management &amp; Polit Econ, Kigali, Rwanda.;Duggan, CSM (corresponding author), Univ Oxford, Said Businesss Sch, Oxford, England.</t>
  </si>
  <si>
    <t>University of Oxford</t>
  </si>
  <si>
    <t>[Duggan, Catherine S. M.] African Leadership Univ, Sch Business, Management &amp; Polit Econ, Kigali, Rwanda; [Duggan, Catherine S. M.] Univ Oxford, Said Businesss Sch, Oxford, England</t>
  </si>
  <si>
    <t>Microcredit transactions in developing countries create risks for borrowers that are routinely overlooked in the literature. This paper argues that common microfinance-lending methodologies that allow lenders to collateralize loans and unilaterally collect this security create opportunities for malicious lenders to steal from clients in good standing. In places where any lender can simply call itself a microfinance institution (MFI), opportunistic lenders can use the halo effect associated with microfinance to encourage borrowers to make themselves unusually vulnerable to theft. Evidence of these abuses can be seen in a case study of Uganda, where theft and fraud by a small number of microfinance institutions created a large-scale crisis and contributed to a precipitous decline in trust in the financial sector as a whole. Even when it occurs only on the margins of the sector, I conclude, this type of opportunism may have problematic implications for all MFIs and undermine efforts to increase financial inclusion. This possibility provides a new impetus to consider innovative regulatory approaches for microfinance.</t>
  </si>
  <si>
    <t>Microfinance; Economic development; Financial supervision; Reputation; Financial inclusion; Fraud; Africa; Uganda</t>
  </si>
  <si>
    <t>STUDIES IN COMPARATIVE INTERNATIONAL DEVELOPMENT</t>
  </si>
  <si>
    <t>Doing Bad by Doing Good? Theft and Abuse by Lenders in the Microfinance Markets of Uganda</t>
  </si>
  <si>
    <t>Duggan, Catherine S. M.</t>
  </si>
  <si>
    <t>Duggan, CSM</t>
  </si>
  <si>
    <t>WOS:001314779700003</t>
  </si>
  <si>
    <t>G2C9A</t>
  </si>
  <si>
    <t>10.1257/aer.20220711</t>
  </si>
  <si>
    <t>Am. Econ. Rev.</t>
  </si>
  <si>
    <t>AM ECON REV</t>
  </si>
  <si>
    <t>1944-7981</t>
  </si>
  <si>
    <t>0002-8282</t>
  </si>
  <si>
    <t>Rema Hanna was the coeditor for this article. We thank David Atkin, Abhijit Banerjee, Lauren Bergquist, Nick Bloom, Arun Chandrasekhar, Shawn Cole, Dave Donaldson, Sean Higgins, Jonas Hjort, Dean Karlan, Miklos Koren, David McKenzie, Timea Molnar, Ben Olken, Martin Rotemberg, Antoinette Schoar, Eric Verhoogen, Chris Woodruff, and seminar and conference participants for helpful comments. We are grateful for funding from the Private Enterprise Development in Low-Income Countries, the University of Michigan, Central European University, the European Research Council under the European Union's Seventh Framework Program (FP7/2007-2013) grant agreement number 283484, and the European Research Council under the European Union's Horizon 2020 research and innovation programme grant agreement number 724501. University of Michigan claims IRB approval is not required for the research in this paper (Study eResearch ID: HUM00087864). This study was registered in the American Economic Association Registry for randomized control trials under trial number AEARCTR-0009506.</t>
  </si>
  <si>
    <t>Private Enterprise Development in Low-Income Countries; University of Michigan(University of Michigan System); Central European University; European Research Council under the European Union's Seventh Framework Program (FP7/2007-2013) grant(European Research Council (ERC)); European Research Council under the European Union's Horizon 2020 research and innovation programme(European Research Council (ERC))</t>
  </si>
  <si>
    <t>Private Enterprise Development in Low-Income Countries; University of Michigan; Central European University; European Research Council under the European Union's Seventh Framework Program (FP7/2007-2013) grant [283484]; European Research Council under the European Union's Horizon 2020 research and innovation programme [724501]</t>
  </si>
  <si>
    <t>Szeidl, Adam/0000-0001-9750-4843</t>
  </si>
  <si>
    <t>cai516@umd.edu; szeidla@ceu.edu</t>
  </si>
  <si>
    <t>Cai, J (corresponding author), Univ Maryland, Dept Agr &amp; Resource Econ, College Pk, MD 20742 USA.</t>
  </si>
  <si>
    <t>University System of Maryland; University of Maryland College Park</t>
  </si>
  <si>
    <t>[Cai, Jing] Univ Maryland, Dept Agr &amp; Resource Econ, College Pk, MD 20742 USA; [Szeidl, Adam] Cent European Univ, Dept Econ, Vienna, Austria</t>
  </si>
  <si>
    <t>We created experimental variation across markets in China in the share of firms having access to a new loan product. Access to finance had a large positive direct effect on the performance of treated firms but a similar-sized negative indirect effect on that of firms with treated competitors, , leading to nondetectable gains in producer surplus. Access to finance had a positive direct effect on business quality and consumer satisfaction and a negative effect on price, , which were not offset by indirect effects, , implying net gains in consumer surplus. We document other indirect effects and combine effects in a welfare evaluation. ( JEL D22, G21, G32, L81, O16, P31, P34) )</t>
  </si>
  <si>
    <t>FIRM-LEVEL EVIDENCE; MICROFINANCE EVIDENCE; RANDOMIZED EXPERIMENT; MICROCREDIT EVIDENCE; IMPACTS; INFORMATION; TECHNOLOGY; RETURNS; PROGRAM; GROWTH</t>
  </si>
  <si>
    <t>AMERICAN ECONOMIC REVIEW</t>
  </si>
  <si>
    <t>Indirect Effects of Access to Finance</t>
  </si>
  <si>
    <t>Cai, Jing; Szeidl, Adam</t>
  </si>
  <si>
    <t>Cai, J; Szeidl, A</t>
  </si>
  <si>
    <t>WOS:000961971200001</t>
  </si>
  <si>
    <t>C4XV8</t>
  </si>
  <si>
    <t>10.1016/j.techfore.2023.122451</t>
  </si>
  <si>
    <t>Bangaké, C (corresponding author), Univ Artois, UMR9221, Lille Econ Management LEM, F-62000 Arras, France.</t>
  </si>
  <si>
    <t>Universite d'Artois; Universite de Dschang</t>
  </si>
  <si>
    <t>[Avom, Desire] Univ Yaounde IL SOA, Ctr Etud &amp; Rech Econ &amp; Gest CEREG, Soa, Cameroon; [Bangake, Chrysost] Univ Artois, UMR9221, Lille Econ Management LEM, F-62000 Arras, France; [Ndoya, Hermann] Univ Dschang, Lab Rech Econ Fondamentale &amp; Appl LAREFA, Dschang, Cameroon</t>
  </si>
  <si>
    <t>This paper investigates the impact of financial innovations (mobile money) on financial inclusion. Using both parametric and nonparametric methods on panel data from 50 African countries over the period 2004-2020, we find that mobile money adoption positively affects financial inclusion. Indeed, the results from propensity score matching show that mobile money adoption promotes financial inclusion in a range of 12-14 %. These results stem from the match between the services offered to individuals and their needs. Our results remain robust to a battery of robustness checks, including alternative measures of financial inclusion, alternative sample, hetero-geneity analysis, as well as alternative estimation method. Overall, this study contributes to the construction of a hitherto underdeveloped literature on the macroeconomic impact of mobile money in the context of digitali-zation of the financial system.</t>
  </si>
  <si>
    <t>PROPENSITY SCORE; ACCESS; DESIGN; RISK</t>
  </si>
  <si>
    <t>Financial innovations; Financial inclusion; Mobile money; Africa</t>
  </si>
  <si>
    <t>Do financial innovations improve financial inclusion? Evidence from mobile money adoption in Africa</t>
  </si>
  <si>
    <t>Avom, Desire; Bangake, Chrysost; Ndoya, Hermann</t>
  </si>
  <si>
    <t>Avom, D; Bangaké, C; Ndoya, H</t>
  </si>
  <si>
    <t>WOS:000261892200006</t>
  </si>
  <si>
    <t>386OJ</t>
  </si>
  <si>
    <t>10.1093/wber/lhn016</t>
  </si>
  <si>
    <t>jonathan.morduch@nyu.edu</t>
  </si>
  <si>
    <t>Morduch, J (corresponding author), NYU, Robert F Wagner Grad Sch Publ Serv, New York, NY 10003 USA.</t>
  </si>
  <si>
    <t>New York University</t>
  </si>
  <si>
    <t>[Morduch, Jonathan] NYU, Robert F Wagner Grad Sch Publ Serv, New York, NY 10003 USA</t>
  </si>
  <si>
    <t>To analyze the prospects for expanding financial access to the poor, bank professionals assessed 1,438 households in six provinces in Indonesia to judge their creditworthiness. About 40 percent of poor households were judged creditworthy according to the criteria of Indonesia's largest microfinance bank, but fewer than 10 percent had recently borrowed from a microbank or formal lender. Possessing collateral appeared as a minor determinant of creditworthiness, in keeping with microfinance innovations. Although these households were judged able to service loans reliably, most desired small loans. Calculations show that the bank, given its current fee structure and banking practices, would lose money when lending at the scales desired. So, while innovations have helped to extend financial access, it remains difficult to lend in small amounts and cover costs.</t>
  </si>
  <si>
    <t>The Unbanked: Evidence from Indonesia</t>
  </si>
  <si>
    <t>Johnston, Don, Jr.; Morduch, Jonathan</t>
  </si>
  <si>
    <t>Johnston, D; Morduch, J</t>
  </si>
  <si>
    <t>WOS:000752918100002</t>
  </si>
  <si>
    <t>YV7PH</t>
  </si>
  <si>
    <t>Rev. Gen. Derecho Europeo</t>
  </si>
  <si>
    <t>REV GEN DERECHO EURO</t>
  </si>
  <si>
    <t>1696-9634</t>
  </si>
  <si>
    <t>C PRINCESA NO 29, 2A DCHA, MADRID, 28008, SPAIN</t>
  </si>
  <si>
    <t>IUSTEL</t>
  </si>
  <si>
    <t>The research for this article has been funded by research projects RTI2018-101041-B-I00, awarded by the Spanish Ministry of Science, Innovation and Universities, and ASEJ-299-UGR18, awarded by the FEDER-Junta de Andalucia.</t>
  </si>
  <si>
    <t>Spanish Ministry of Science, Innovation and Universities(Spanish Government); FEDER-Junta de Andalucia</t>
  </si>
  <si>
    <t>Spanish Ministry of Science, Innovation and Universities [RTI2018-101041-B-I00]; FEDER-Junta de Andalucia [ASEJ-299-UGR18]</t>
  </si>
  <si>
    <t>de Guereñu, Laura/K-2429-2012</t>
  </si>
  <si>
    <t>hinojosa@ugr.es</t>
  </si>
  <si>
    <t>Martínez, LMH (corresponding author), Univ Granada, Derecho Int Publ &amp; Relac Int, Granada, Spain.</t>
  </si>
  <si>
    <t>[Hinojosa Martinez, Luis M.] Univ Granada, Derecho Int Publ &amp; Relac Int, Granada, Spain</t>
  </si>
  <si>
    <t>Blockchain (or distributed ledger technology - DLT) is one of the vectors that are accelerating the process of technological transformation of the financial market. In 2008, Bitcoin opened the way for the creation of currencies accessible to the general public through the use of blockchain, but this technology has spread widely to an increasing variety of areas. Today there are a large number of crypto-currencies and, more generally, crypto-assets that are constantly increasing their number and market capitalization. Crypto-assets can produce positive economic and social effects (enhanced competition, a lowering of costs, financial inclusion, etc.) but may generate also serious concerns (money laundering, data protection, effectiveness of monetary policy, etc.). These risks are exacerbated by the fact that many crypto-assets are not covered by existing financial legislation and operate in a legal limbo. This work analyzes the Regulation proposal on Markets in Crypto-assets (COM (2020) 593) (MiCA) presented by the Commission on 24 September 2020 to fill this regulatory gap. This work demonstrates that MiCA reproduces concepts and standards already known in previous financial legislation with the necessary adaptations to the DLT environment. It offers constructive suggestions to improve the Commission's text and some thoughts on crypto-assets' implications for state sovereignty and an effective transmission of monetary policy. It submits that a coherent, mindful and explicit political decision on the future of monetary policy should precede the definitive MiCA Regulation to safeguard a very valuable public good: financial stability.</t>
  </si>
  <si>
    <t>MiCA; crypto-asset; crypto-currency; token; asset-referenced token; electronic money; financial inclusion; monetary policy; EBA; ESMA; ECB; stablecoin; financial stability; libra; diem; bitcoin; integrity; fraud</t>
  </si>
  <si>
    <t>REVISTA GENERAL DE DERECHO EUROPEO</t>
  </si>
  <si>
    <t>CLEARING THE CRYPTO-ASSETS WILDERNESS: THE EU COMMISSION'S MICA PROPOSAL</t>
  </si>
  <si>
    <t>Hinojosa Martinez, Luis M.</t>
  </si>
  <si>
    <t>Martínez, LMH</t>
  </si>
  <si>
    <t>WOS:000647672500001</t>
  </si>
  <si>
    <t>RY1JK</t>
  </si>
  <si>
    <t>10.1080/23322039.2021.1920149</t>
  </si>
  <si>
    <t>Adem, Mohammed/GRF-3397-2022</t>
  </si>
  <si>
    <t>mameyaadem@gmail.com</t>
  </si>
  <si>
    <t>Adem, M (corresponding author), Samara Univ, Dept Accounting &amp; Finance, Coll Business &amp; Econ, Afar, Samara, Ethiopia.</t>
  </si>
  <si>
    <t>Samara University</t>
  </si>
  <si>
    <t>[Abdu, Esmael; Adem, Mohammd] Samara Univ, Dept Accounting &amp; Finance, Coll Business &amp; Econ, Afar, Samara, Ethiopia</t>
  </si>
  <si>
    <t>This paper examined the determinants of financial inclusion in Afar Region. To address the objectives of the study, two purposively selected woredas (Awash and Asaita) and one city administration (Samara-logia) were used. Three hundred and eighty-four sample households were selected for this study. Data collected from administered structured questionnaires were analyzed using the binary logistic regression model. The results show that age, use, financial literacy, and mobile banking are positively and significantly related to financial inclusion. On the other hand, barrier and income negatively and significantly affect financial inclusion. The study results reveal that 31.25% of households were included and 68.75% of households are excluded from formal financial services. Further results show that barriers to financial inclusion such as problem of access to credit, absence of collateral, interest rate, lack of literacy, lack of internet access, lack of trust for financial institutions, lack of money, problem of access to bank branches and ATMs are main obstacles of financial inclusion in Afar region. This study recommends that government and financial institutions should encourage financial service providers, offer fiscal incentives or request financial institutions and serve poor or low-income people. Financial institutions should adopt technologies that ensure financial services are more accessible such as mobile banking. Moreover, households should enhance the saving habits that are helpful to increase amount of income and the literacy level of their children for the best use of financial services.</t>
  </si>
  <si>
    <t>Afar region; financial inclusion; financial institution; logit regression</t>
  </si>
  <si>
    <t>Determinants of financial inclusion in Afar Region: Evidence from selected woredas</t>
  </si>
  <si>
    <t>Abdu, Esmael; Adem, Mohammd</t>
  </si>
  <si>
    <t>Abdu, E; Adem, M</t>
  </si>
  <si>
    <t>WOS:001427403900001</t>
  </si>
  <si>
    <t>X7W4Z</t>
  </si>
  <si>
    <t>10.1016/j.eiar.2025.107849</t>
  </si>
  <si>
    <t>Environ. Impact Assess. Rev.</t>
  </si>
  <si>
    <t>ENVIRON IMPACT ASSES</t>
  </si>
  <si>
    <t>1873-6432</t>
  </si>
  <si>
    <t>0195-9255</t>
  </si>
  <si>
    <t>This research was supported by the National Natural Science Foundation of China (72033005) and major grant in the National Social Sciences of China (23VRC037, 24VHQ018). The authors also would like to thank the editors and anonymous reviewers for their insightful comments. Dr. L.D. also thanks the support of the Joint Project funded by the National Science Foundation, China (NSFC), the Dutch Research Council (NWO) [NSFC grant number 72061137071; NWO grant number 482.19.608], and the National Natural Science Foundation of China [41701636].</t>
  </si>
  <si>
    <t>National Natural Science Foundation of China(National Natural Science Foundation of China (NSFC)); National Social Sciences of China; National Science Foundation, China (NSFC)(National Natural Science Foundation of China (NSFC)); Dutch Research Council (NWO)(Netherlands Organization for Scientific Research (NWO)); National Natural Science Foundation of China(National Natural Science Foundation of China (NSFC))</t>
  </si>
  <si>
    <t>National Natural Science Foundation of China [72033005]; National Social Sciences of China [23VRC037, 24VHQ018]; National Science Foundation, China (NSFC); Dutch Research Council (NWO) [72061137071, 482.19.608]; National Natural Science Foundation of China [41701636]</t>
  </si>
  <si>
    <t>Dong, Liang/0000-0001-9747-5851; Zhao, Yuanshuang/0009-0005-3327-5398</t>
  </si>
  <si>
    <t>Zhang, Ning/HCI-7860-2022; Dong, Liang/IAR-4638-2023</t>
  </si>
  <si>
    <t>nz293@cam.ac.uk</t>
  </si>
  <si>
    <t>Zhang, N (corresponding author), Shandong Univ, Inst Blue &amp; Green Dev, Weihai 264209, Peoples R China.</t>
  </si>
  <si>
    <t>Shandong University; City University of Hong Kong; City University of Hong Kong; City University of Hong Kong; University of Cambridge</t>
  </si>
  <si>
    <t>[Zhao, Yuanshuang; Zhang, Ning] Shandong Univ, Inst Blue &amp; Green Dev, Weihai 264209, Peoples R China; [Zhao, Yuanshuang; Dong, Liang] City Univ Hong Kong, Sch Energy &amp; Environm SEE, Hong Kong 999077, Peoples R China; [Dong, Liang; Sun, Yuhang] City Univ Hong Kong, Dept Publ &amp; Int Affairs PIA, Hong Kong 999077, Peoples R China; [Dong, Liang] City Univ Hong Kong, Ctr Sustainable Hong Kong CSHK, Hong Kong 999077, Peoples R China; [Zhang, Ning] Univ Cambridge, Dept Land Econ, Cambridge, England; [Zhang, Ning] Ctr Environm Energy &amp; Nat Resource Governance, Cambridge, England</t>
  </si>
  <si>
    <t>We present the first empirical study investigating the aggravation of household energy poverty due to extreme precipitation, utilizing household survey data in China spanning 2016 to 2020. Furthermore, we evaluate the moderating role of digital inclusive finance as a policy tool in mitigating this association. On days with extreme precipitation, compared to sunny days, households are 2 % more likely to experience energy poverty, with their energy consumption ratio rising by 0.44 %. Chinese households incur an additional 33 % in energy costs on days with extreme precipitation. After considering the households' adaptation to climate change, the conclusion remains robust. Additionally, we demonstrate seasonal effects, highlighting that unusually severe summer precipitation exerts the most significant impact. Socially disadvantaged groups are disproportionately vulnerable to energy poverty caused by extreme precipitation. For influence mechanisms, extreme precipitation exacerbates energy poverty by incrementing energy expenditure and decreasing household income. Families may cope with the effects of extreme precipitation by repairing their houses as a kind of defensive behaviour. Finally, we find that the development of digital inclusive finance significantly reduces households' probability of falling into energy poverty because of extreme precipitation. The moderating impact of digital inclusive finance is primarily influenced by the depth of development and the escalating level of digitization. Merely expanding the coverage of digital financial inclusion is insufficient to effectively exert its moderating impact. These findings are crucial for understanding the adverse effects of extreme precipitation on SDGs and the role of inclusive finance as a policy tool in poverty alleviation.</t>
  </si>
  <si>
    <t>CLIMATE-CHANGE; FUEL POVERTY; PHYSICAL-ACTIVITY; WEATHER; ADAPTATION; HEALTH; IMPACT; SHOCKS; VULNERABILITY; TEMPERATURE</t>
  </si>
  <si>
    <t>Energy poverty; Extreme precipitation; Digital inclusive finance; China</t>
  </si>
  <si>
    <t>ENVIRONMENTAL IMPACT ASSESSMENT REVIEW</t>
  </si>
  <si>
    <t>Extreme precipitation, energy poverty and the moderating effects of digital inclusive finance: Evidence from China's householders</t>
  </si>
  <si>
    <t>Zhao, Yuanshuang; Dong, Liang; Sun, Yuhang; Zhang, Ning</t>
  </si>
  <si>
    <t>Zhao, YS; Dong, L; Sun, YH; Zhang, N</t>
  </si>
  <si>
    <t>WOS:000444650000012</t>
  </si>
  <si>
    <t>GT6SN</t>
  </si>
  <si>
    <t>This work was carried out with the aid of a grant from the International Development Research Centre, Canada and the Department for International Aid, UK.</t>
  </si>
  <si>
    <t>International Development Research Centre, Canada; Department for International Aid, UK</t>
  </si>
  <si>
    <t>Moshi, Goodiel/HNS-4400-2023</t>
  </si>
  <si>
    <t>eaalampay@up.edu.ph; gcmoshi@udom.ac.tz</t>
  </si>
  <si>
    <t>Alampay, EA (corresponding author), Univ Philippines, NCPAG, Quezon City, Philippines.</t>
  </si>
  <si>
    <t>University of the Philippines System; University of the Philippines Diliman</t>
  </si>
  <si>
    <t>[Alampay, Erwin A.] Univ Philippines, NCPAG, Quezon City, Philippines; [Moshi, Goodiel C.] Univ Dodoma, CIVE, Dodoma, Tanzania</t>
  </si>
  <si>
    <t>Considerable optimism exists regarding the potential of using mobile phones as a conduit for reaching the unbanked, given the ubiquity of mobile phones in developing countries and the development of mobile-phone-based financial services. As such, use of mobile financial services is seen as a strategy for increasing financial inclusion. This systematic review was conducted to determine the impact of mobile financial services in developing countries based on the most robust quantitative studies available. In particular, this systematic review looked at the impact of mobile financial services on the volume, frequency, and diversity of sources of remittances received by mobile money users; on household savings and consumption of goods and services; and on livelihoods and income.</t>
  </si>
  <si>
    <t>MONEY; BANKING</t>
  </si>
  <si>
    <t>mobile money; mobile financial services; systematic review</t>
  </si>
  <si>
    <t>Impact of Mobile Financial Services in Low- and Lower-Middle-Income Countries: A Systematic Review</t>
  </si>
  <si>
    <t>Alampay, Erwin A.; Moshi, Goodiel C.</t>
  </si>
  <si>
    <t>Alampay, EA; Moshi, GC</t>
  </si>
  <si>
    <t>WOS:000209914900001</t>
  </si>
  <si>
    <t>V46WS</t>
  </si>
  <si>
    <t>WIN</t>
  </si>
  <si>
    <t>Cathol. Univ. Law Rev.</t>
  </si>
  <si>
    <t>CATHOL U LAW REV</t>
  </si>
  <si>
    <t>0008-8390</t>
  </si>
  <si>
    <t>620 MICHIGAN AVENUE NE ADMIN BLDG ROOM 303, WASHINGTON, DC 20064 USA</t>
  </si>
  <si>
    <t>CATHOLIC UNIV AMER PRESS</t>
  </si>
  <si>
    <t>CHRISTOPHER, CHRISTINA/AAD-3120-2022</t>
  </si>
  <si>
    <t>Christopher, CM (corresponding author), Texas Tech Univ, Sch Law, Lubbock, TX 79409 USA.</t>
  </si>
  <si>
    <t>Texas Tech University System; Texas Tech University</t>
  </si>
  <si>
    <t>[Christopher, Catherine Martin] Texas Tech Univ, Sch Law, Lubbock, TX 79409 USA</t>
  </si>
  <si>
    <t>CATHOLIC UNIVERSITY LAW REVIEW</t>
  </si>
  <si>
    <t>MOBILE BANKING: THE ANSWER FOR THE UNBANKED IN AMERICA?</t>
  </si>
  <si>
    <t>Christopher, Catherine Martin</t>
  </si>
  <si>
    <t>Christopher, CM</t>
  </si>
  <si>
    <t>WOS:000670698600007</t>
  </si>
  <si>
    <t>TF4OQ</t>
  </si>
  <si>
    <t>10.1002/jsc.2432</t>
  </si>
  <si>
    <t>dhib, nahla/0000-0002-9213-9071; Ashta, Arvind/0000-0002-6160-5375</t>
  </si>
  <si>
    <t>; Ashta, Arvind/ADJ-8303-2022</t>
  </si>
  <si>
    <t>nahla@unice.fr</t>
  </si>
  <si>
    <t>Dhib, N (corresponding author), Cote dAzur Univ, Math &amp; Interact Lab JA Dieudonne, Dept Math, CNRS UMR 7351, Valrose Pk, F-06108 Nice 02, France.</t>
  </si>
  <si>
    <t>Universite Cote d'Azur; Universite Bourgogne Europe; Burgundy School of Business</t>
  </si>
  <si>
    <t>[Dhib, Nahla] Cote dAzur Univ, Dept Math, Math &amp; Interact Lab JA Dieudonne, Nice, France; [Ashta, Arvind] Univ Bourgogne Franche Comte, CEREN EA 7477, Burgundy Sch Business, Dijon, France</t>
  </si>
  <si>
    <t>For microfinance institutions (MFIs) with double bottom line objectives and trade-offs, the optimal loan size can be determined by using a combination of Markovian Chains with transition probabilities and expected cash flows. Progressive lending may be safe over a range of loan sizes, beyond which a rational borrower would indulge in a strategic default. This range of safe loan sizes may depend on borrower characteristics (risk-taking, self-confidence, productivity, interest rates, subsistence needs) and the Microfinance Institution's strategy (financial inclusion objective, progressive lending). MFIs can improve the objective functions by better communication and encouragement of borrowers to increase their confidence in each stage and reassuring them that entrepreneurial failure will not mean being denied a second chance.</t>
  </si>
  <si>
    <t>MICROFINANCE INSTITUTIONS; MICROCREDIT; INFORMATION; PERFORMANCE; INCENTIVES; SELECTION; IMPACT; NGOS</t>
  </si>
  <si>
    <t>financial inclusion; Markovian chains; microfinance institutions; optimal loan; progressive lending</t>
  </si>
  <si>
    <t>How far can we go? Determining the optimal loan size in progressive lending</t>
  </si>
  <si>
    <t>Dhib, Nahla; Ashta, Arvind</t>
  </si>
  <si>
    <t>Dhib, N; Ashta, A</t>
  </si>
  <si>
    <t>WOS:000589328103151</t>
  </si>
  <si>
    <t>BQ4FH</t>
  </si>
  <si>
    <t>978-0-9966831-6-6</t>
  </si>
  <si>
    <t>P.O. BOX 2712, ATLANTA, GA 30301-2712 USA</t>
  </si>
  <si>
    <t>wnan@bentley.edu</t>
  </si>
  <si>
    <t>Nan, WX (corresponding author), Bentley Univ, Waltham, MA 02452 USA.</t>
  </si>
  <si>
    <t>Bentley University</t>
  </si>
  <si>
    <t>[Nan, Wenxiu] Bentley Univ, Waltham, MA 02452 USA</t>
  </si>
  <si>
    <t>In emerging economies, digital innovation has become a driving force of financial inclusion and socioeconomic development. However, who are the users? This simple yet crucial question has often been neglected. This paper argues that in order for a digital innovation for financial inclusion to generate expected outcomes, we need to examine whether the users are the intended users. This paper explores this issue by examining one particular instance M-Shwari the mobile-based digital savings service, which is intended to bank the unbanked, low-income population in rural areas in Kenya. In contrast to the expectation, the findings show that M-Shwari is likely to be used by high-income households in urban areas, who are already banked. This paper contributes to the emerging digital innovation and financial inclusion literature by calling for further research toward users in this particular context.</t>
  </si>
  <si>
    <t>MOBILE MONEY; SYSTEMS; TECHNOLOGY; NETWORKS; INCOME; RISK</t>
  </si>
  <si>
    <t>Users; digital innovation; financial inclusion; M-Shwari; savings</t>
  </si>
  <si>
    <t>New Orleans, LA</t>
  </si>
  <si>
    <t>AUG 16-18, 2018</t>
  </si>
  <si>
    <t>24th Americas Conference on Information Systems (AMCIS) - Digital Disruption</t>
  </si>
  <si>
    <t>AMCIS 2018 PROCEEDINGS</t>
  </si>
  <si>
    <t>Who Are the Users of Digital Innovation for Financial Inclusion? The Case of M-Shwari Completed Research</t>
  </si>
  <si>
    <t>Nan, Wenxiu</t>
  </si>
  <si>
    <t>Assoc Informat Syst</t>
  </si>
  <si>
    <t>Nan, WX</t>
  </si>
  <si>
    <t>WOS:000920351700001</t>
  </si>
  <si>
    <t>VL8SN</t>
  </si>
  <si>
    <t>10.3390/jrfm14110561</t>
  </si>
  <si>
    <t>ashenafi@sun.ac.za; KingstoneM@finmark.org.za</t>
  </si>
  <si>
    <t>Fanta, A (corresponding author), Univ Stellenbosch, Business Sch, ZA-7530 Cape Town, South Africa.</t>
  </si>
  <si>
    <t>[Fanta, Ashenafi] Univ Stellenbosch, Business Sch, ZA-7530 Cape Town, South Africa; [Mutsonziwa, Kingstone] FinMark Trust, ZA-1632 Johannesburg, South Africa</t>
  </si>
  <si>
    <t>Efforts are being exerted in many developing countries to promote financial inclusion by increasing individuals' access to financial products and services. However, literature suggests that increasing the supply of financial products and services per se may not help in expanding financial inclusion unless concerted efforts are exerted in enhancing financial literacy. This is because financially literate individuals are more likely to appreciate the value of financial services and hence take up financial products. This paper reports the link between financial literacy and inclusion using data from a demand side financial inclusion survey conducted in Kenya and Tanzania in 2016 covering a total of 6029 individuals. Results from our instrumental variable regression analysis confirmed that financial literacy is a strong driver of financial inclusion. This implies that efforts to promote financial inclusion need to be accompanied with financial literacy campaigns in both countries.</t>
  </si>
  <si>
    <t>East Africa; instrumental variable; financial knowledge; financial behaviour</t>
  </si>
  <si>
    <t>Financial Literacy as a Driver of Financial Inclusion in Kenya and Tanzania</t>
  </si>
  <si>
    <t>Fanta, Ashenafi; Mutsonziwa, Kingstone</t>
  </si>
  <si>
    <t>Fanta, A; Mutsonziwa, K</t>
  </si>
  <si>
    <t>WOS:000345768900002</t>
  </si>
  <si>
    <t>AU7GN</t>
  </si>
  <si>
    <t>10.1093/jae/eju015</t>
  </si>
  <si>
    <t>Valenzuela, Patricio/0000-0001-8171-9751; Carletti, Elena/0000-0002-5792-4437</t>
  </si>
  <si>
    <t>Valenzuela, Patricio/F-8264-2016; Carletti, Elena/MTD-2774-2025</t>
  </si>
  <si>
    <t>patriciov@dii.uchile.cl</t>
  </si>
  <si>
    <t>Valenzuela, P (corresponding author), Univ Chile, Dept Ind Engn, Santiago, Chile.</t>
  </si>
  <si>
    <t>Imperial College London; Bocconi University; Bocconi University; Centre for Economic Policy Research - UK; The World Bank; Shanghai Jiao Tong University; Boston College; University System of Maryland; University of Maryland College Park; African Economic Research Consortium (AERC); Universidad de Chile</t>
  </si>
  <si>
    <t>[Allen, Franklin] Univ London Imperial Coll Sci Technol &amp; Med, London SW7 2AZ, England; [Carletti, Elena] Bocconi Univ, Milan, Italy; [Carletti, Elena] IGIER, Milan, Italy; [Carletti, Elena] CEPR, London, England; [Cull, Robert] World Bank, Washington, DC 20433 USA; [Qian, Jun 'QJ'] Shanghai Jiao Tong Univ, Shanghai Adv Inst Finance, Shanghai 200030, Peoples R China; [Qian, Jun 'QJ'] Boston Coll, Chestnut Hill, MA 02167 USA; [Senbet, Lemma] Univ Maryland, College Pk, MD 20742 USA; [Senbet, Lemma] African Econ Res Consortium, Nairobi, Kenya; [Valenzuela, Patricio] Univ Chile, Dept Ind Engn, Santiago, Chile</t>
  </si>
  <si>
    <t>This paper investigates the African financial development and financial inclusion gaps relative to other peer developing countries. Using a set of variables related to financial development and inclusion, we first estimate the gaps between African countries and other developing countries with similar degrees of economic development. Then, we explore the determinants of financial development and inclusion. We find that population density is considerably more important for financial development and inclusion in Africa than elsewhere. Finally, we show evidence that a recent innovation in financial services, mobile banking, has helped to overcome infrastructural problems and improve financial access.</t>
  </si>
  <si>
    <t>financial development; financial inclusion; development gaps; Africa; G2; O1; R2</t>
  </si>
  <si>
    <t>The African Financial Development and Financial Inclusion Gaps</t>
  </si>
  <si>
    <t>Allen, Franklin; Carletti, Elena; Cull, Robert; Qian, Jun 'QJ'; Senbet, Lemma; Valenzuela, Patricio</t>
  </si>
  <si>
    <t>Allen, F; Carletti, E; Cull, R; Qian, J; Senbet, L; Valenzuela, P</t>
  </si>
  <si>
    <t>WOS:001616975100001</t>
  </si>
  <si>
    <t>9WX3R</t>
  </si>
  <si>
    <t>10.1080/19452829.2025.2584447</t>
  </si>
  <si>
    <t>2025 NOV 12</t>
  </si>
  <si>
    <t>J. Hum. Dev. Capab.</t>
  </si>
  <si>
    <t>J HUM DEV CAPABIL</t>
  </si>
  <si>
    <t>1945-2837</t>
  </si>
  <si>
    <t>1945-2829</t>
  </si>
  <si>
    <t>Moharaj, Prasanta/HIR-6628-2022</t>
  </si>
  <si>
    <t>Sethy, SK (corresponding author), Rajendra Univ, Dept Econ, Balangir 767002, Odisha, India.</t>
  </si>
  <si>
    <t>[Sethy, Susanta Kumar; Meher, Sasmita] Rajendra Univ, Dept Econ, Balangir 767002, Odisha, India; [Moharaj, Prasanta] Dayananda Sagar Univ, Sch Law, Bangalore, India</t>
  </si>
  <si>
    <t>The nexus between financial inclusion and human development has gained increasing attention as a mechanism for fostering equitable growth, particularly within developing economies. This study empirically assesses the relationship between financial inclusion and human development in seven South Asian countries, using annual data from 2004 to 2018. For this analysis, we construct a multidimensional financial inclusion index and a modified human development index for each country. This study employs Feasible Generalised Least Squares (FGLS) and Panel-Corrected Standard Errors (PCSE) to analyse the relation between financial inclusion and human development. The empirical findings demonstrate that financial inclusion exerts a significant positive impact on human development, underscoring the role of savings, deposits, insurance and affordable credit in empowering individuals, especially women and marginalised groups, by enhancing their financial assistance. This empowerment is shown to be instrumental in enhancing human development. The study further emphasises that to promote human development, policy efforts should prioritise digital infrastructure, expand digital financial services, improve financial literacy and enhance transparency. These strategies are essential for leveraging financial inclusion as a tool for sustainable human development in South Asia.</t>
  </si>
  <si>
    <t>ECONOMIC-GROWTH; DEPENDENCE; INDEX; PANEL; ICT</t>
  </si>
  <si>
    <t>Financial inclusion; human development; South Asia; panel data analysis; FGLS; PCSE</t>
  </si>
  <si>
    <t>JOURNAL OF HUMAN DEVELOPMENT AND CAPABILITIES</t>
  </si>
  <si>
    <t>Does Financial Inclusion Influence Human Development? An Empirical Evidence from South Asia</t>
  </si>
  <si>
    <t>Sethy, Susanta Kumar; Moharaj, Prasanta; Meher, Sasmita</t>
  </si>
  <si>
    <t>Sethy, SK; Moharaj, P; Meher, S</t>
  </si>
  <si>
    <t>WOS:000337939000030</t>
  </si>
  <si>
    <t>BA8AV</t>
  </si>
  <si>
    <t>Business, Finance; International Relations</t>
  </si>
  <si>
    <t>10.1007/978-81-322-1650-6</t>
  </si>
  <si>
    <t>10.1007/978-81-322-1650-6_28</t>
  </si>
  <si>
    <t>IND STUD BUS ECON</t>
  </si>
  <si>
    <t>978-81-322-1650-6; 978-81-322-1649-0</t>
  </si>
  <si>
    <t>2198-0012</t>
  </si>
  <si>
    <t>7TH FLOOR, VIJAYA BUILDING, 17, BARAKHAMBA RD, NEW DELHI, 110 001, INDIA</t>
  </si>
  <si>
    <t>SINHA, RAM PRATAP/0000-0002-6134-0522</t>
  </si>
  <si>
    <t>SINHA, RAM PRATAP/A-1148-2015</t>
  </si>
  <si>
    <t>rampratapsinha39@gmail.com</t>
  </si>
  <si>
    <t>Sinha, RP (corresponding author), Govt Coll Engn &amp; Leather Technol, Kolkata 700098, India.</t>
  </si>
  <si>
    <t>Government College of Engineering &amp; Leather Technology</t>
  </si>
  <si>
    <t>Govt Coll Engn &amp; Leather Technol, Kolkata 700098, India</t>
  </si>
  <si>
    <t>India Studies in Business and Economics</t>
  </si>
  <si>
    <t>ANALYTICAL ISSUES IN TRADE, DEVELOPMENT AND FINANCE: ESSAYS IN HONOUR OF BISWAJIT CHATTERJEE</t>
  </si>
  <si>
    <t>Index of Financial Inclusion: Some Empirical Results</t>
  </si>
  <si>
    <t>Sinha, Ram Pratap</t>
  </si>
  <si>
    <t>Ghosh, AN; Karmakar, AK</t>
  </si>
  <si>
    <t>Sinha, RP</t>
  </si>
  <si>
    <t>WOS:000442370500006</t>
  </si>
  <si>
    <t>GR2DI</t>
  </si>
  <si>
    <t>10.1108/JFEP-11-2015-0065</t>
  </si>
  <si>
    <t>Barik, Rajesh/0000-0002-8658-0207; Lenka, Sanjaya Kumar/0000-0001-9353-6872</t>
  </si>
  <si>
    <t>; Lenka, Sanjaya Kumar/AAZ-4076-2020</t>
  </si>
  <si>
    <t>sanjaya.iitindore19@gmail.com</t>
  </si>
  <si>
    <t>Lenka, SK (corresponding author), Consumer Unity &amp; Trust Soc, Jaipur, Rajasthan, India.</t>
  </si>
  <si>
    <t>[Lenka, Sanjaya Kumar] Consumer Unity &amp; Trust Soc, Jaipur, Rajasthan, India; [Barik, Rajesh] Indian Inst Technol, Dept Econ, Indore, India</t>
  </si>
  <si>
    <t>Purpose The purpose of this study is to measure the availability, accessibility and usability of financial products and services in both rural and urban India from 1991 to 2014. Design/methodology/approach This paper uses principal component analysis (PCA) method to construct financial inclusion index that serves as a proxy variable for indicating the inclusiveness of financial products and services among the rural and urban people. To fulfill this objective, the study proposes separate indexes of financial inclusion for both rural and urban India from 1991 to 2014. The paper uses annual time series data from 1991 to 2014 to construct the rural-urban financial inclusion index. The used data have been collected from the basic statistical returns of Reserve Bank of India and Economic Political Weekly research foundation. Findings The study inferences that though there is a remarkable increase in financial inclusion in India from 1991 onwards, it does not result in sizeable growth of financial access to rural masses in comparison to urban masses. The rural India does not substantiate an equivalent growth to that of urban India, contrasting a perceptible increase in financial inclusion. The finding of this study will help the researchers and policymakers to understand the status of financial inclusion in the context of both rural and urban India. Furthermore, policymakers can take appropriate policy initiatives to fulfill the financial inclusion gap that exists between rural and urban people. Additionally, the proposed index is easy to compute and can be used to make comparison across countries for further studies. Originality/value The present paper attempts to include all possible dimensions (and indicators within a dimension) that have been considered so far by various authors. Therefore, the authors hope that this index will be more indicative and accurate than previous index. Again, the authors propose to use PCA for the first time to assign the weight of factors in the financial inclusion index for rural and urban India separately.</t>
  </si>
  <si>
    <t>BANKING; GROWTH</t>
  </si>
  <si>
    <t>Economic growth; Financial markets and the macroeconomy; Financial economics; International finance; Macroeconomics and monetary economics; Financial inclusion; PCA (principal component analysis)</t>
  </si>
  <si>
    <t>A discourse analysis of financial inclusion: post-liberalization mapping in rural and urban India</t>
  </si>
  <si>
    <t>Lenka, Sanjaya Kumar; Barik, Rajesh</t>
  </si>
  <si>
    <t>Lenka, SK; Barik, R</t>
  </si>
  <si>
    <t>WOS:001537326200001</t>
  </si>
  <si>
    <t>5JS8N</t>
  </si>
  <si>
    <t>10.1016/j.jbef.2025.101081</t>
  </si>
  <si>
    <t>Liu, Zilong/KHU-2079-2024</t>
  </si>
  <si>
    <t>zilongl@illinois.edu; liangh@illinois.edu</t>
  </si>
  <si>
    <t>Liu, ZL (corresponding author), Univ Illinois, Gies Coll Business, Dept Business Adm, Champaign, IL 61820 USA.</t>
  </si>
  <si>
    <t>[Liu, Zilong; Liang, Hongyan] Univ Illinois, Gies Coll Business, Champaign, IL USA</t>
  </si>
  <si>
    <t>This study investigates whether credit scoring systems inherently disadvantage women within the subprime borrowing context, where alternative credit data is frequently used. While recent advancements in machine learning and alternative data usage promise greater fairness and accuracy in lending, our findings highlight systemic biases embedded within current credit scoring models. Using a comprehensive sample of alternative borrowers, our analysis reveals that women consistently receive lower credit scores than men, despite exhibiting lower default rates and controlling for extensive credit risk variables. Furthermore, credit scores demonstrate systematically reduced predictive accuracy for women compared to men, underscoring gender biases embedded within these scoring systems. These findings emphasize the urgent need to recalibrate credit scoring models to enhance fairness, accuracy, and financial inclusivity.</t>
  </si>
  <si>
    <t>MORTGAGE; DISCRIMINATION; RACE</t>
  </si>
  <si>
    <t>Gender bias; Credit scoring; Algorithmic fairness; Alternative data; Subprime borrowers; Financial inclusion; Credit risk assessment</t>
  </si>
  <si>
    <t>Are credit scores gender-neutral? Evidence of mis-calibration from alternative and traditional borrowing data</t>
  </si>
  <si>
    <t>Liu, Zilong; Liang, Hongyan</t>
  </si>
  <si>
    <t>Liu, ZL; Liang, HY</t>
  </si>
  <si>
    <t>WOS:001651045000004</t>
  </si>
  <si>
    <t>AL6JQ</t>
  </si>
  <si>
    <t>10.1007/s43621-025-02368-2</t>
  </si>
  <si>
    <t>NOV 27</t>
  </si>
  <si>
    <t>The authors thank the Ministry of Higher Education Malaysia for the research funding and are grateful to Multimedia University for the publication funding.</t>
  </si>
  <si>
    <t>Ministry of Higher Education Malaysia(Ministry of Education, Malaysia)</t>
  </si>
  <si>
    <t>Ministry of Higher Education Malaysia [FRGS/1/2022/SS01/MMU/03/11]</t>
  </si>
  <si>
    <t>Lye, Chun-Teck/D-8558-2018; Ng, Tuan-Hock/V-8650-2019</t>
  </si>
  <si>
    <t>ctlye@mmu.edu.my; lytay@mmu.edu.my; thng@mmu.edu.my; aishahnadhirahnazmi@gmail.com</t>
  </si>
  <si>
    <t>Lye, CT (corresponding author), Multimedia Univ, Ctr Accounting, Finance &amp; Econ, CoE Sustainabil &amp; Governance, Cyberjaya, Malaysia.;Lye, CT (corresponding author), Multimedia Univ, Fac Business, Jalan Ayer Keroh Lama, Bukit Beruang 75450, Melaka, Malaysia.</t>
  </si>
  <si>
    <t>Multimedia University; Multimedia University</t>
  </si>
  <si>
    <t>[Lye, Chun-Teck; Tay, Lee-Ying; Ng, Tuan-Hock] Multimedia Univ, Ctr Accounting, Finance &amp; Econ, CoE Sustainabil &amp; Governance, Cyberjaya, Malaysia; [Lye, Chun-Teck; Tay, Lee-Ying; Ng, Tuan-Hock; Ahmad-Nazmi, Aishah Nadhirah] Multimedia Univ, Fac Business, Jalan Ayer Keroh Lama, Bukit Beruang 75450, Melaka, Malaysia</t>
  </si>
  <si>
    <t>This paper follows the Preferred Reporting Items for Systematic Reviews and Meta-Analyses protocol to transparently and systematically search, screen and review 185 peer-reviewed journal articles on fintech and the financial inclusion of vulnerable groups. These articles were published in 136 indexed journals before 2025, involving 160 authors and affiliations from 64 countries. Descriptive statistics show that research focusing on women, poverty and rural communities has received much attention, whereas research concerning the elderly and people with disabilities remains limited. Additionally, there has been a significant upward trend in both the number of publications and citations in this field in recent years. The literature generally suggests that while fintech has the potential to facilitate financial inclusion for vulnerable groups, persistent challenges remain, particularly in addressing geographic, demographic and socio-economic inequalities. The limitations and recommendations of previous studies, and four key research gaps along with corresponding future research directions are outlined. First, the growing threats and risks associated with the use of fintech, such as digital financial fraud, cybersecurity breaches, and system vulnerabilities. Second, the need for more research on fintech and financial inclusion among the elderly, people with disabilities and migrants, especially the challenges and impacts of digital financial inclusion. Third, the interaction and bi-directional relationships, and the integration or substitution of fintech and traditional finance within the context of vulnerable groups. Finally, the role and function of regulatory frameworks, and regulatory and supervisory mechanisms in promoting digital financial inclusion for vulnerable groups amid the rapid growth and evolution in fintech.</t>
  </si>
  <si>
    <t>DIGITAL FINANCE; INCOME; IMPACTS; ACCESS; CHINA; GAP</t>
  </si>
  <si>
    <t>Elderly; Entrepreneur; Financial literacy; Migrant, people with disabilities; Prisma; Psalsar; Rural; SDG; Women</t>
  </si>
  <si>
    <t>A systematic literature review of fintech, financial inclusion and vulnerable groups</t>
  </si>
  <si>
    <t>Lye, Chun-Teck; Tay, Lee-Ying; Ng, Tuan-Hock; Ahmad-Nazmi, Aishah Nadhirah</t>
  </si>
  <si>
    <t>Lye, CT; Tay, LY; Ng, TH; Ahmad-Nazmi, AN</t>
  </si>
  <si>
    <t>WOS:000607806800001</t>
  </si>
  <si>
    <t>10.1108/AFR-07-2020-0099</t>
  </si>
  <si>
    <t>This research paper was financially supported by the World Bank Robert S. McNamara Fellowship Programme.</t>
  </si>
  <si>
    <t>World Bank Robert S. McNamara Fellowship Programme</t>
  </si>
  <si>
    <t>Machethe, Charles/0000-0002-5215-2132</t>
  </si>
  <si>
    <t>Machethe, Charles/AAH-5466-2019</t>
  </si>
  <si>
    <t>olayinkadegbite@gmail.com; charles.machethe@up.ac.za; cla@uw.edu</t>
  </si>
  <si>
    <t>Adegbite, OO (corresponding author), Univ Pretoria, Dept Agr Econ Extens &amp; Rural Dev, Pretoria, South Africa.</t>
  </si>
  <si>
    <t>University of Pretoria; University of Washington; University of Washington Seattle</t>
  </si>
  <si>
    <t>[Adegbite, Olayinka O.; Machethe, Charles L.] Univ Pretoria, Dept Agr Econ Extens &amp; Rural Dev, Pretoria, South Africa; [Anderson, C. Leigh] Univ Washington, Daniel J Evans Sch Publ Policy &amp; Governance, Seattle, WA 98195 USA</t>
  </si>
  <si>
    <t>Purpose-This study aims to develop and apply a multidimensional measure of financial inclusion (FI) to address measurement issues and determine the level of FI of rural smallholder farmers and the contribution of domain indicators to the level of FI in Nigeria. Design/methodology/approach- The paper adapts the Alkire-Foster method to develop a multidimensional FI index (MFII). A stratified two-stage sampling procedure is used to select 2,300 rural respondents from the 2016 Consultative Group to Assist the Poor (CGAP) Smallholder Household Survey. Findings-Results indicate that 78% of rural smallholder farmers in Nigeria are financially excluded. In addition, owning a formal account is significantly different (p &lt; 0.00) from being financially adequate. The financial capability domain contributes the least (29.66%) to the multidimensional FI (MFI) of rural smallholder farmers relative to financial participation and financial well-being. Financial literacy, consumer protection, overcoming barriers such as high transaction costs and financial planning indicators contribute the least to FI relative to formal access. Practical implications-Results of the study lead to policy recommendations for increasing the FI of rural smallholder farmers in Nigeria, which may be applicable to other countries. Social implications Achieving sustainable FI requires that interventions increase the FI of rural smallholder farmers by strengthening financial capability, participation and well-being and not only focus on formal account owners. Originality/value-The study provides a new methodological and empirical contribution to the FI literature on rural smallholder farmers.</t>
  </si>
  <si>
    <t>Rural farmers; Financial inclusion; Alkire-Foster method; Smallholder agriculture; Nigeria</t>
  </si>
  <si>
    <t>Revisiting the measurement of financial inclusion of rural smallholder farmers in Nigeria</t>
  </si>
  <si>
    <t>Adegbite, Olayinka O.; Machethe, Charles L.; Anderson, C. Leigh</t>
  </si>
  <si>
    <t>Adegbite, OO; Machethe, CL; Anderson, CL</t>
  </si>
  <si>
    <t>WOS:000560240400001</t>
  </si>
  <si>
    <t>OI4WX</t>
  </si>
  <si>
    <t>10.1108/IJOES-04-2020-0054</t>
  </si>
  <si>
    <t>Ahmi, Aidi/0000-0002-8488-6966;</t>
  </si>
  <si>
    <t>Ahmi, Aidi/F-2858-2013; Zauro, Nurudeen/AAR-7503-2021</t>
  </si>
  <si>
    <t>ram@uum.edu.my</t>
  </si>
  <si>
    <t>Saad, RA (corresponding author), Univ Utara Malaysia, Tunku Puteri Intan Safinaz Sch Accountancy, Sintok, Kedah, Malaysia.</t>
  </si>
  <si>
    <t>Central Bank of Nigeria; Universiti Utara Malaysia; Universiti Pendidikan Sultan Idris</t>
  </si>
  <si>
    <t>[Zauro, Nurudeen Abubakar] Cent Bank Nigeria, Abuja, Nigeria; [Saad, Ram Al Jaffri; Ahmi, Aidi] Univ Utara Malaysia, Tunku Puteri Intan Safinaz Sch Accountancy, Sintok, Kedah, Malaysia; [Hussin, Mohd Yahya Mohd] Univ Pendidikan Sultan Idris, Fac Management &amp; Econ, Tanjung Malim, Malaysia</t>
  </si>
  <si>
    <t>Purpose - This paper aims to discuss the role of Waqf as a means of enhancing financial inclusion and socio-economic justice in Nigeria. Design/methodology/approach - The methodology in this paper is that the data were elicited from secondary sources such as the Al-Qur'an, Hadiths and other empirical studies in the existing literature. The Tawhidi epistemology (Islamic world view) also has been obtained to deliver better understanding on the findings. Findings - The paper implores Islamic societies to take advantages of integrating Waqf to support the financing needs of disadvantaged members of the Muslims communities, especially the Muslims, dominated northern Nigeria with a high level of financial exclusion. The Waqf funds if integrated and institutionalized will support the region by making the fewer privilege members of that community-engaged thereby economically and enhancing the financial inclusion. This will also lead to economic growth and socio-economic development of Nigeria. Practical implications - The paper concludes by suggesting the establishment of Waqf funds to supports the less privileged people through Islamic Microfinance as means of enhancing socio-economic justice in Nigeria's Muslims' communities, which is negatively affected by the high rate of financial exclusion and poverty. This paper also provides critical suggestions on the ways the integration of Waqf funds will contribute significantly towards assisting Nigeria in achieving its vision of reducing the financial exclusion rate and may foster inclusive growth and sustainable development. Originality/value - This paper is a conceptual study and, therefore, limited to the content of the existing literature. Hence, the future researchers may replicate and test it empirically for a more scientific justification regarding the roles of Waqf towards enhancing financial inclusion in Nigeria.</t>
  </si>
  <si>
    <t>ISLAMIC MICROFINANCE MODEL</t>
  </si>
  <si>
    <t>Nigeria; Waqf; Financial inclusion; Socio-economic justice; Development</t>
  </si>
  <si>
    <t>Integration of Waqf towards enhancing financial inclusion and socio-economic justice in Nigeria</t>
  </si>
  <si>
    <t>Zauro, Nurudeen Abubakar; Saad, Ram Al Jaffri; Ahmi, Aidi; Hussin, Mohd Yahya Mohd</t>
  </si>
  <si>
    <t>Zauro, NA; Saad, RA; Ahmi, A; Hussin, MYM</t>
  </si>
  <si>
    <t>WOS:000457506800006</t>
  </si>
  <si>
    <t>HJ9GL</t>
  </si>
  <si>
    <t>Computer Science, Artificial Intelligence; Computer Science, Information Systems; Operations Research &amp; Management Science</t>
  </si>
  <si>
    <t>10.1016/j.dss.2018.10.015</t>
  </si>
  <si>
    <t>Decis. Support Syst.</t>
  </si>
  <si>
    <t>DECIS SUPPORT SYST</t>
  </si>
  <si>
    <t>1873-5797</t>
  </si>
  <si>
    <t>0167-9236</t>
  </si>
  <si>
    <t>Zaffar, Muhammad Adeel/0000-0002-9986-9149</t>
  </si>
  <si>
    <t>adeel.zaffar@lums.edu.pk; rlkumar@uncc.edu; kzhao2@uncc.edu</t>
  </si>
  <si>
    <t>Zaffar, MA (corresponding author), Lahore Univ Management Sci, Suleman Dawood Sch Business, DHA, Lahore 54792, Pakistan.</t>
  </si>
  <si>
    <t>Lahore University of Management Sciences; University of North Carolina; University of North Carolina Charlotte</t>
  </si>
  <si>
    <t>[Zaffar, Muhammad Adeel] Lahore Univ Management Sci, Suleman Dawood Sch Business, DHA, Lahore 54792, Pakistan; [Kumar, Ram L.; Zhao, Kexin] Univ N Carolina, Belk Coll Business, 9201 Univ City Blvd, Charlotte, NC 28223 USA</t>
  </si>
  <si>
    <t>Branchless Banking Services (BBS) were launched in 2009 in Pakistan with the promise of providing banking services to the unbanked. Since then the overall size of BBS has grown. Despite the popularity of the over-the-counter (OTC) channel, growth in m-wallets or mobile accounts (MA) has been slow. We investigate diffusion of MA through the development of an agent-based simulation model that captures the dynamics of the multi-sided BBS platform market. We identify important factors that drive MA diffusion and illustrate main and interaction effects between these factors. Furthermore, we examine how the relative effects of the different sides of the market have evolved over the course of the MA diffusion across both rural and urban consumer segments. The proposed model helps to understand the dynamics of diffusion of an important financial technology innovation. it can also serve as the starting point for future -research on technology diffusion in multi-sided markets.</t>
  </si>
  <si>
    <t>PAYMENT SERVICES; ADOPTION; INTENTION</t>
  </si>
  <si>
    <t>Branchless banking; Agent-based modelling; Innovation diffusion</t>
  </si>
  <si>
    <t>DECISION SUPPORT SYSTEMS</t>
  </si>
  <si>
    <t>Using agent-based modelling to investigate diffusion of mobile-based branchless banking services in a developing country</t>
  </si>
  <si>
    <t>Zaffar, Muhammad Adeel; Kumar, Ram L.; Zhao, Kexin</t>
  </si>
  <si>
    <t>Zaffar, MA; Kumar, RL; Zhao, KX</t>
  </si>
  <si>
    <t>WOS:000441905200004</t>
  </si>
  <si>
    <t>GQ7GS</t>
  </si>
  <si>
    <t>10.1108/JFRC-06-2017-0054</t>
  </si>
  <si>
    <t>ONAY, CEYLAN/0000-0002-2039-5930; Öztürk, Elif/0000-0002-9000-5395</t>
  </si>
  <si>
    <t>ONAY, CEYLAN/I-5076-2015; Öztürk, Elif/KMA-2360-2024</t>
  </si>
  <si>
    <t>ceylano@boun.edu.tr; elifozturk.bogazici@gmail.com</t>
  </si>
  <si>
    <t>Onay, C (corresponding author), Bogazici Univ, Dept MIS, Istanbul, Turkey.</t>
  </si>
  <si>
    <t>Bogazici University</t>
  </si>
  <si>
    <t>[Onay, Ceylan; Ozturk, Elif] Bogazici Univ, Dept MIS, Istanbul, Turkey</t>
  </si>
  <si>
    <t>Purpose - This paper aims to survey the credit scoring literature in the past 41 years (1976-2017) and presents a research agenda that addresses the challenges and opportunities Big Data bring to credit scoring. Design/methodology/approach - Content analysis methodology is used to analyze 258 peer-reviewed academic papers from 147 journals from two comprehensive academic research databases to identify their research themes and detect trends and changes in the credit scoring literature according to content characteristics. Findings - The authors find that credit scoring is going through a quantitative transformation, where data-centric underwriting approaches, usage of non-traditional data sources in credit scoring and their regulatory aspects are the up-coming avenues for further research. Practical implications - The paper's findings highlight the perils and benefits of using Big Data in credit scoring algorithms for corporates, governments and non-profit actors who develop and use new technologies in credit scoring. Originality/value - This paper presents greater insight on how Big Data challenges traditional credit scoring models and addresses the need to develop new credit models that identify new and secure data sources and convert them to useful insights that are in compliance with regulations.</t>
  </si>
  <si>
    <t>CONSUMER-CREDIT; REJECT INFERENCE; SCORED SOCIETY; MODELS; RISK; PRIVACY; CLASSIFICATION; MICROFINANCE; DISCRIMINATION; INFORMATION</t>
  </si>
  <si>
    <t>Big Data; Financial inclusion; Credit scoring; Access to credit; Data privacy; Discriminatory scoring</t>
  </si>
  <si>
    <t>A review of credit scoring research in the age of Big Data</t>
  </si>
  <si>
    <t>Onay, Ceylan; Ozturk, Elif</t>
  </si>
  <si>
    <t>Onay, C; Öztürk, E</t>
  </si>
  <si>
    <t>WOS:000435614500004</t>
  </si>
  <si>
    <t>GJ8BO</t>
  </si>
  <si>
    <t>10.1080/15228916.2017.1396791</t>
  </si>
  <si>
    <t>Gosavi, Aparna/0000-0001-9113-3068</t>
  </si>
  <si>
    <t>gosaviaa@wssu.edu</t>
  </si>
  <si>
    <t>Gosavi, A (corresponding author), Univ N Carolina, Winston Salem State Univ, Dept Econ, Coll Arts Sci Business &amp; Educ, Chapel Hill, NC 27599 USA.;Gosavi, A (corresponding author), Univ N Carolina, Winston Salem State Univ, Finance Reynolds Ctr, Coll Arts Sci Business &amp; Educ, Chapel Hill, NC 27599 USA.</t>
  </si>
  <si>
    <t>Winston-Salem State University; University of North Carolina; University of North Carolina Chapel Hill; University of North Carolina; University of North Carolina Chapel Hill; Winston-Salem State University</t>
  </si>
  <si>
    <t>[Gosavi, Aparna] Univ N Carolina, Winston Salem State Univ, Dept Econ, Coll Arts Sci Business &amp; Educ, Chapel Hill, NC 27599 USA; [Gosavi, Aparna] Univ N Carolina, Winston Salem State Univ, Finance Reynolds Ctr, Coll Arts Sci Business &amp; Educ, Chapel Hill, NC 27599 USA</t>
  </si>
  <si>
    <t>Mobile money is a mobile-phone-based financial tool that can transfer money safely and quickly across a wide geographical area. Mobile money has transformed the way businesses in Eastern sub-Saharan Africa operate. Nowadays, banks team up with mobile-money-service providers and pay interest on deposits and grant loans based on financial transactions in mobile-money accounts. In this paper, these recent developments are investigated in order to determine whether the adoption of mobile money by firms can actually help them mitigate the vexing problem of access to finance. To answer this question, the World Bank's Enterprise Surveys Program data set for the year 2013 is used, thus making the study applicable to the present time. The results obtained, after controlling for a large number of firm-level characteristics and using a newly introduced measure to identify access-to-finance status of the firms, indicate that firms which use mobile money are more likely to obtain loans or lines of credit. Further analysis shows that the firms that use mobile money are more productive than other firms in the region.</t>
  </si>
  <si>
    <t>CREDIT; ENTRY</t>
  </si>
  <si>
    <t>Mobile money; access to finance; firms; banks; service providers; Eastern sub-Saharan Africa</t>
  </si>
  <si>
    <t>Can Mobile Money Help Firms Mitigate the Problem of Access to Finance in Eastern sub-Saharan Africa?</t>
  </si>
  <si>
    <t>Gosavi, Aparna</t>
  </si>
  <si>
    <t>Gosavi, A</t>
  </si>
  <si>
    <t>WOS:000964194400001</t>
  </si>
  <si>
    <t>C8EV2</t>
  </si>
  <si>
    <t>10.1057/s41599-023-01640-y</t>
  </si>
  <si>
    <t>Singh, Priyanka/0000-0003-4682-637X; saluja, omika bhalla/0000-0001-9831-1947; Kumar, Harit/0000-0003-3385-4056</t>
  </si>
  <si>
    <t>Singh, Priyanka/ISB-7582-2023; saluja, omika bhalla/GXN-0399-2022; Kumar, Harit/HKO-4843-2023</t>
  </si>
  <si>
    <t>omikabhalla@rediffmail.com</t>
  </si>
  <si>
    <t>Saluja, OB (corresponding author), Pranveer Singh Inst Technol, Kanpur, India.</t>
  </si>
  <si>
    <t>[Saluja, Omika Bhalla; Singh, Priyanka; Kumar, Harit] Pranveer Singh Inst Technol, Kanpur, India</t>
  </si>
  <si>
    <t>This study aims to reduce ambiguity in theoretical and empirical underpinning by synthesizing various knowledge concepts through a systematic review of barriers and interventions to promote the financial inclusion of women. The surrounding literature is vast, complex, and difficult to comprehend, necessitating frequent reviews. However, due to the sheer size of the literature, such reviews are generally fragmented focusing only on the factors causing the financial exclusion of women while ignoring the interventions that have been discussed all along. Filling up this gap, this study attempts to provide a bird's-view to systematically connect all the factors as well as mediations found in past studies with the present and future. PRISMA approach has been used to explain various inclusions and exclusions extracted from Scopus &amp; WOS databases with the backward and forward searches of important studies. Collaborative peer review selection with a qualitative synthesis of results is used to explain various barriers and interventions in financial inclusion that affected women's empowerment in the period 2000-2020. Out of 1740 records identified, 67 studies are found eligible based on systematic screening for detailed investigation. This study has identified patriarchy structures, psychological factors, low income/wages, low financial literacy, low financial accessibility and ethnicity as six prominent barriers and government &amp; corporate programs/policies, microfinance, formal saving accounts &amp; services, cash &amp; asset transfer, self-help groups, and digital inclusion as six leading interventions to summarize the literature and highlight its gaps.</t>
  </si>
  <si>
    <t>INTIMATE PARTNER VIOLENCE; GENDER INEQUALITY; MICROFINANCE; IMPACT; LEADERSHIP; BANKING; FUTURE</t>
  </si>
  <si>
    <t>Barriers and interventions on the way to empower women through financial inclusion: a 2 decades systematic review (2000-2020)</t>
  </si>
  <si>
    <t>Saluja, Omika Bhalla; Singh, Priyanka; Kumar, Harit</t>
  </si>
  <si>
    <t>Saluja, OB; Singh, P; Kumar, H</t>
  </si>
  <si>
    <t>WOS:000730607500001</t>
  </si>
  <si>
    <t>ZX4MS</t>
  </si>
  <si>
    <t>10.1002/jid.3604</t>
  </si>
  <si>
    <t>layaoencg@bsp.gov.ph</t>
  </si>
  <si>
    <t>Layaoen, CWG (corresponding author), Bangko Sentral Ng Pilipinas, Supervisory Policy &amp; Res Dept, Mabini St Cor P Ocampo St, Manila 1004, Metro Manila, Philippines.</t>
  </si>
  <si>
    <t>[Layaoen, Cherry Wyle G.] Bangko Sentral Ng Pilipinas, Supervisory Policy &amp; Res Dept, Mabini St Cor P Ocampo St, Manila 1004, Metro Manila, Philippines; [Takahashi, Kazushi] Natl Grad Inst Policy Studies, Grad Sch Policy Studies, Tokyo, Japan</t>
  </si>
  <si>
    <t>This study examines whether microfinance lending increases or decreases the likelihood and amount of credit that households demand from informal lenders. Multivariate probit and seemingly unrelated regression models are applied using nationally representative data collected in the Philippines. The estimation results indicate that microfinance 'crowds out' informal lending from both moneylenders and relatives and friends. Moreover, households with microfinance loans are less likely to borrow from other formal financial institutions. These results highlight the importance of developing a well-tailored microfinance scheme that reaches the entire population in order to achieve financial inclusion.</t>
  </si>
  <si>
    <t>RURAL CREDIT; MICROCREDIT; IMPACT; POLICIES; MARKETS; DEMAND; ACCESS</t>
  </si>
  <si>
    <t>crowding out; informal lender; microfinance; multivariate probit model; Philippines; seemingly unrelated regression</t>
  </si>
  <si>
    <t>Can microfinance lending crowd out informal lenders? Evidence from the Philippines</t>
  </si>
  <si>
    <t>Layaoen, Cherry Wyle G.; Takahashi, Kazushi</t>
  </si>
  <si>
    <t>Layaoen, CWG; Takahashi, K</t>
  </si>
  <si>
    <t>WOS:000749646900001</t>
  </si>
  <si>
    <t>10.1111/aepr.12379</t>
  </si>
  <si>
    <t>pmorgan@adbi.org</t>
  </si>
  <si>
    <t>Morgan, PJ (corresponding author), Asia Dev Bank Inst, Chiyoda Ku, Kasumigaseki Bldg,8F,3-2-5 Kasumigaseki, Tokyo 1006008, Japan.</t>
  </si>
  <si>
    <t>[Morgan, Peter J.] Asia Dev Bank Inst, Tokyo, Japan</t>
  </si>
  <si>
    <t>Financial inclusion, that is, access of excluded households and small firms to financial products and services, is seen as a way to promote more inclusive growth by providing the previously unbanked with access to means for savings, investment, consumption smoothing, and insurance. Financial technology (Fintech), that is, using software, applications, and digital platforms to deliver financial services to consumers and businesses through digital devices such as smartphones, has become recognized as a promising tool to promote financial inclusion. The present paper investigates the developments of financial inclusion and Fintech in the Association of Southeast Asian Nations (ASEAN) member countries and India to identify the ways that Fintech is contributing and can potentially contribute to increased financial inclusion. It also examines potential risks arising from use of Fintech, highlights differences in the strategies and implementation of financial inclusion and Fintech between India and ASEAN, and draws lessons and policy recommendations from these findings.</t>
  </si>
  <si>
    <t>Association of Southeast Asian Nations; digital currency; financial inclusion; Fintech; India; mobile money; D14; E42; E51; G21</t>
  </si>
  <si>
    <t>Fintech and Financial Inclusion in Southeast Asia and India</t>
  </si>
  <si>
    <t>Morgan, Peter J.</t>
  </si>
  <si>
    <t>Morgan, PJ</t>
  </si>
  <si>
    <t>WOS:000727531800001</t>
  </si>
  <si>
    <t>K2PJ2</t>
  </si>
  <si>
    <t>Public Administration; Social Issues; Social Work</t>
  </si>
  <si>
    <t>10.1017/S0047279421000738</t>
  </si>
  <si>
    <t>PII S0047279421000738</t>
  </si>
  <si>
    <t>J. Soc. Policy</t>
  </si>
  <si>
    <t>J SOC POLICY</t>
  </si>
  <si>
    <t>1469-7823</t>
  </si>
  <si>
    <t>0047-2794</t>
  </si>
  <si>
    <t>The study was financially supported by the University of Pennsylvania Global Engagement Fund and by Nitte University. None of the authors have any conflict of interest.</t>
  </si>
  <si>
    <t>University of Pennsylvania Global Engagement Fund; Nitte University</t>
  </si>
  <si>
    <t>cnaan@upenn.edu; Marquisha.Scott@du.edu; dan_heist@byu.edu; directorgi@nitte.edu.in</t>
  </si>
  <si>
    <t>Cnaan, RA (corresponding author), Univ Penn, Sch Social Policy &amp; Practice, Philadelphia, PA 19104 USA.;Cnaan, RA (corresponding author), Kyung Hee Univ, Grad Inst Peace Studies, Seoul, South Korea.</t>
  </si>
  <si>
    <t>University of Pennsylvania; Kyung Hee University; University of Denver; Brigham Young University; NITTE (Deemed to be University)</t>
  </si>
  <si>
    <t>[Cnaan, Ram A.] Univ Penn, Sch Social Policy &amp; Practice, Philadelphia, PA 19104 USA; [Cnaan, Ram A.] Kyung Hee Univ, Grad Inst Peace Studies, Seoul, South Korea; [Scott, Marquisha Lawrence] Univ Denver, Grad Sch Social Work, Denver, CO USA; [Heist, H. Daniel] Brigham Young Univ, George W Romney Inst Publ Serv &amp; Eth, Provo, UT 84602 USA; [Moodithaya, M. S.] Nitte Univ, Mangalore, India</t>
  </si>
  <si>
    <t>In the digital age, financial inclusion continues to be connected to social inclusion. While most personal financial transactions are shifting from cash currency to digital transactions, we must ensure that marginalized members of society are not unbanked and excluded from financial opportunities. Many countries are declaring their intention to transform to cashless societies. India is one such country. As a case study, we investigated rural Indian villages that declared themselves as cashless to assess the financial reality of villagers. We conducted a survey of households (N=3,159) within villages across seven Indian states. In each state, we studied a village that was officially declared cashless and a nearby comparison village. Our findings suggest that the comparison villages did as well as the cashless villages, as financial inclusion via digital banking was minimal to nonexistent. Alongside significant state variations, we found that financial literacy and online access were the best predictors of performing any digital banking activity. This study concludes with a warning against rushing toward digital banking and the formation of cashless societies, as marginalized populations may be excluded.</t>
  </si>
  <si>
    <t>LITERACY; SERVICES</t>
  </si>
  <si>
    <t>Financial inclusion; financial literacy; digital banking; exploitation; rural villages; India</t>
  </si>
  <si>
    <t>JOURNAL OF SOCIAL POLICY</t>
  </si>
  <si>
    <t>Financial inclusion in the digital banking age: Lessons from rural India</t>
  </si>
  <si>
    <t>Cnaan, Ram A.; Scott, Marquisha Lawrence; Heist, H. Daniel; Moodithaya, M. S.</t>
  </si>
  <si>
    <t>Cnaan, RA; Scott, ML; Heist, HD; Moodithaya, MS</t>
  </si>
  <si>
    <t>WOS:000569997900001</t>
  </si>
  <si>
    <t>TL9ZM</t>
  </si>
  <si>
    <t>10.1080/1331677X.2020.1820362</t>
  </si>
  <si>
    <t>The authors are thankful to the Internal Grant Agency of FaME TBU No. IGA/FaME/2019/002 for financial support to carry out this research.</t>
  </si>
  <si>
    <t>Internal Grant Agency of FaME TBU</t>
  </si>
  <si>
    <t>Internal Grant Agency of FaME TBU [IGA/FaME/2019/002]</t>
  </si>
  <si>
    <t>Ajaz Khan, Khurram/0000-0001-5728-8955; Çera, Gentjan/0000-0002-9324-181X</t>
  </si>
  <si>
    <t>cera@utb.cz</t>
  </si>
  <si>
    <t>Çera, G (corresponding author), Tomas Bata Univ, Fac Management &amp; Econ, Zlin, Czech Republic.;Çera, G (corresponding author), Agr Univ Tirana, Fac Econ &amp; Agribusiness, Tirana, Albania.</t>
  </si>
  <si>
    <t>Tomas Bata University Zlin; Staffordshire University; Prague University of Economics &amp; Business</t>
  </si>
  <si>
    <t>[Cera, Gentjan; Khan, Khurram Ajaz] Tomas Bata Univ, Fac Management &amp; Econ, Zlin, Czech Republic; [Cera, Gentjan] Agr Univ Tirana, Fac Econ &amp; Agribusiness, Tirana, Albania; [Mlouk, Ahmad] Staffordshire Univ, Sch Econ, Stoke On Trent, Staffs, England; [Brabenec, Tomas] Univ Econ, Fac Finance &amp; Accounting, Prague, Czech Republic</t>
  </si>
  <si>
    <t>This paper investigates the collective impact of financial literacy and inclusion on individuals' financial capability focusing on the mediating role of financial behaviour. The research is conducted on an individual-level survey. The relationships were examined by using PLS-SEM. Financial capability can be improved by increasing individuals' financial knowledge, financial behaviour and promoting their inclusion in financial services. Furthermore, the indirect effect of financial knowledge and attitude on financial capability is found to be significant, highlighting the importance of financial behaviour. The results assist policymakers and industry leaders in understanding the most influential factors on financial capability in the context of a post-communist transition country. This enables them to design policies and services aimed at equipping citizens with knowledge and skills to make best use of their financial resources.</t>
  </si>
  <si>
    <t>MONEY ATTITUDES; SELF-EFFICACY; LITERACY; KNOWLEDGE; EDUCATION; INCOME; MODEL; MILLENNIALS; SEEKING; ADVICE</t>
  </si>
  <si>
    <t>Financial capability; financial attitude; financial knowledge; financial behaviour; financial inclusion; transition country</t>
  </si>
  <si>
    <t>Improving financial capability: the mediating role of financial behaviour</t>
  </si>
  <si>
    <t>Cera, Gentjan; Khan, Khurram Ajaz; Mlouk, Ahmad; Brabenec, Tomas</t>
  </si>
  <si>
    <t>Çera, G; Khan, KA; Mlouk, A; Brabenec, T</t>
  </si>
  <si>
    <t>WOS:000975951300001</t>
  </si>
  <si>
    <t>E5LI9</t>
  </si>
  <si>
    <t>10.3934/QFE.2023010</t>
  </si>
  <si>
    <t>Quant. Financ. Econ.</t>
  </si>
  <si>
    <t>QUANT FINANC ECON</t>
  </si>
  <si>
    <t>2573-0134</t>
  </si>
  <si>
    <t>PO BOX 2604, SPRINGFIELD, MO 65801-2604, UNITED STATES</t>
  </si>
  <si>
    <t>SPRINGFIELD</t>
  </si>
  <si>
    <t>AMER INST MATHEMATICAL SCIENCES-AIMS</t>
  </si>
  <si>
    <t>This work was supported by the projects named Social inclusion: Innovations and public policies. A regional analysis (PUE: 22920160100069CO) and Tools for Financial Inclusion CONICET (PIP - Cod. 11220200102828CO).</t>
  </si>
  <si>
    <t>Social inclusion: Innovations and public policies. A regional analysis; Tools for Financial Inclusion CONICET</t>
  </si>
  <si>
    <t>Social inclusion: Innovations and public policies. A regional analysis [PUE: 22920160100069CO]; Tools for Financial Inclusion CONICET [PIP - Cod. 11220200102828CO]</t>
  </si>
  <si>
    <t>Orazi, Sofia/0000-0002-0611-8179</t>
  </si>
  <si>
    <t>sofiaorazi@iiess-conicet.gov.ar</t>
  </si>
  <si>
    <t>Orazi, S (corresponding author), UNS CONICET, Inst Invest Econ &amp; Sociales del Sur, Bahia Blanca, Argentina.;Orazi, S (corresponding author), Univ Nacl Sur, Dept Econ, Bahia Blanca, Argentina.;Orazi, S (corresponding author), Univ Prov Sudoeste, Bahia Blanca, Argentina.</t>
  </si>
  <si>
    <t>Consejo Nacional de Investigaciones Cientificas y Tecnicas (CONICET); National University of the South; Instituto de Investigaciones en Ingenieria Electrica (IIIE)</t>
  </si>
  <si>
    <t>[Orazi, Sofia; Martinez, Lisana B.; P. Viger, Hernan] UNS CONICET, Inst Invest Econ &amp; Sociales del Sur, Bahia Blanca, Argentina; [Orazi, Sofia; Martinez, Lisana B.; P. Viger, Hernan] Univ Nacl Sur, Dept Econ, Bahia Blanca, Argentina; [Orazi, Sofia; Martinez, Lisana B.; P. Viger, Hernan] Univ Prov Sudoeste, Bahia Blanca, Argentina</t>
  </si>
  <si>
    <t>The benefits of financial inclusion could be particularly important in Latin America, where the levels of ownership and use of different instruments lag behind those of developed countries. An improvement in the ownership and use of formal financial instruments could result in a reduction in informality, the promotion of formal savings and productive credit, and, therefore, an inclusive economic growth. The objective of this paper is to analyze the financial inclusion of a group of Latin American countries in order to detect the most used financial instruments and the main socioeconomic determinants that explain their ownership or use. At the same time, the evolution of the main variables was also studied for the years 2011, 2014, 2017 and 2021. Micro-data from the Global Findex database was examined (except for 2021, in which only macro-data are available). Statistical models and multivariate econometrics are applied to understand the individual socioeconomic characteristics of people who are still very unlikely to own and use formal financial instruments. Finally, the main reasons for not having an account were analyzed in order to delve into the main restrictions on which the financial market must focus to achieve greater financial inclusion.</t>
  </si>
  <si>
    <t>SOCIAL BANKING; MIDDLE-EAST; INEQUALITY; MATTER</t>
  </si>
  <si>
    <t>financial inclusion; Latin America; demand side</t>
  </si>
  <si>
    <t>QUANTITATIVE FINANCE AND ECONOMICS</t>
  </si>
  <si>
    <t>Determinants and evolution of financial inclusion in Latin America: A demand side analysis</t>
  </si>
  <si>
    <t>Orazi, Sofia; Martinez, Lisana B.; P. Viger, Hernan</t>
  </si>
  <si>
    <t>Orazi, S; Martinez, LB; Viger, HP</t>
  </si>
  <si>
    <t>WOS:000596493700001</t>
  </si>
  <si>
    <t>5K6DA</t>
  </si>
  <si>
    <t>10.1002/ijfe.2357</t>
  </si>
  <si>
    <t>ibrahim.niankara@aau.ac.ae</t>
  </si>
  <si>
    <t>Relying on a pooled-cross-sectional panel of the 2014 and 2017 Global Findex data, and a random utility theoretic model for revealed financial preferences data analysis, this paper examines the impact of government and private sectors' electronic transfer practices on financial inclusion, in terms of individuals' ability to save and borrow within the Economic Community of the West African States (ECOWAS). For sensitivity analysis, we adopt a sequential empirical strategy, in which we estimate and contrast four specifications of the saving and borrowing processes. Overall, our findings are stable across all specifications and show that along with socio-economic factors such as age and income, public welfare transfers and employment-based salary transfers foster financial inclusion by significantly raising individuals' marginal propensity to save (MPS) (by 11.6% and 12.9% respectively) and marginal propensity to borrow (MPB) (by 12.6% and 8.2% respectively) within ECOWAS. We found however that, within ECOWAS, both MPS and MPB have decreased by 21.4% and 7.2%, respectively, between 2014 and 2017. Therefore, in addition to other economic growth promoting fiscal tools in national governments' toolkits, mandates on public (governments to citizens) and private (Business to citizens) electronic financial transfers are significant policy leverages for improving financial inclusion and growth within ECOWAS.</t>
  </si>
  <si>
    <t>GROWTH; ACCESS</t>
  </si>
  <si>
    <t>borrowing; economic growth; ECOWAS; electronic government; financial inclusion; saving</t>
  </si>
  <si>
    <t>Government and private sectors' electronic transfer practices and financial inclusion in the economic community of the West African States</t>
  </si>
  <si>
    <t>WOS:001384688500001</t>
  </si>
  <si>
    <t>Q4V9R</t>
  </si>
  <si>
    <t>10.3390/ijfs12040128</t>
  </si>
  <si>
    <t>This research received partial funding from the Ministry of Higher Education, Research and Innovation, Oman.</t>
  </si>
  <si>
    <t>Ministry of Higher Education, Research and Innovation, Oman</t>
  </si>
  <si>
    <t>Tawfik, Omar Ikbal/0000-0003-0904-2373; almashikhi, mohammed/0009-0003-9449-2615</t>
  </si>
  <si>
    <t>Tawfik, Omar Ikbal/ABI-3582-2020; Elmaasrawy, Hamada/CAI-6131-2022</t>
  </si>
  <si>
    <t>otawfik@du.edu.om; m.a.a.almashikhi@gmail.com; hamada.ghazi@commerce.tanta.edu.eg</t>
  </si>
  <si>
    <t>Dhofar University; Egyptian Knowledge Bank (EKB); Tanta University</t>
  </si>
  <si>
    <t>[Tawfik, Omar Ikbal] Dhofar Univ, Dept Accounting, Salalah 211, Oman; [Ahmed, Mohammed Ali] Royal Court Affairs, Muscat 113, Oman; [Elmaasrawy, Hamada Elsaid] Tanta Univ, Fac Commerce, Accounting Dept, Gharbiya 31512, Egypt</t>
  </si>
  <si>
    <t>Purpose: This study aims to demonstrate the impact of Foreign Investment (FI) on the disclosure of digital Financial Inclusion (FIN) through mobile banking (MB) and the performance of banks, as well as the direct impact of disclosing digital FIN indicators through MB on bank performance. Design/methodology/approach: This study utilized actual data from all banks listed on the stock exchange in the Sultanate of Oman between 2015 and 2023. The hypotheses were tested using the partial least squares structural equation model (PLS-SEM). Findings: This study revealed a positive influence of FI on both bank performance and the disclosure of FIN indicators through MB. It also identified a negative effect of disclosing FIN indicators through MB on bank performance. However, the mediation of the disclosure of FIN indicators through MB did not show any impact of FI on bank performance. Practical Implications: This study's results offer valuable insights and recommendations. Firstly, for bank managers, it is crucial to find a balance between expanding MB services and enhancing bank profitability by studying customer trends and preferences in MB usage. This approach will aid in offering banking services that retain existing customers and attract new ones, ultimately boosting bank profitability. Secondly, for policymakers and regulators, this study enhances the understanding of current practices in disclosing FIN indicators through MB, which may prompt a reevaluation of accounting standards related to traditional and digital FIN indicator disclosure. Originality/value: This study is groundbreaking in its examination of the influence of FI on the disclosure of digital FIN indicators through mobile banking. It also represents the first investigation into the indirect impact of FI on banks' financial performance (FP) through the disclosure of digital FIN indicators via mobile banking.</t>
  </si>
  <si>
    <t>INSTITUTIONAL INVESTORS; OWNERSHIP CONCENTRATION; DEVELOPING-ECONOMY; PLS-SEM; ADOPTION; QUALITY; MONEY</t>
  </si>
  <si>
    <t>mobile banking; financial performance; financial inclusion; foreign investment</t>
  </si>
  <si>
    <t>The Mediating Role of Mobile Banking-Based Financial Inclusion Disclosure on the Relationship Between Foreign Investment and Bank Performance</t>
  </si>
  <si>
    <t>Tawfik, Omar Ikbal; Ahmed, Mohammed Ali; Elmaasrawy, Hamada Elsaid</t>
  </si>
  <si>
    <t>Tawfik, OI; Ahmed, MA; Elmaasrawy, HE</t>
  </si>
  <si>
    <t>WOS:000951056200001</t>
  </si>
  <si>
    <t>F3LR1</t>
  </si>
  <si>
    <t>10.1177/09716858231154396</t>
  </si>
  <si>
    <t>J. Hum. Values</t>
  </si>
  <si>
    <t>J HUM VALUES</t>
  </si>
  <si>
    <t>0973-0737</t>
  </si>
  <si>
    <t>0971-6858</t>
  </si>
  <si>
    <t>Baag, Pankaj/0000-0002-6053-3111; Malhotra, NISHI/0000-0003-0000-3749</t>
  </si>
  <si>
    <t>Baag, Pankaj/B-2928-2015; Baag, Pankaj/B-2928-2015</t>
  </si>
  <si>
    <t>nishim13fpm@iimk.ac.in</t>
  </si>
  <si>
    <t>Malhotra, N (corresponding author), Indian Inst Management Kozhikode, Dept Finance Accounts &amp; Control, Kozhikode 673571, Kerala, India.</t>
  </si>
  <si>
    <t>Indian Institute of Management (IIM System); Indian Institute of Management Kozhikode; Indian Institute of Management (IIM System); Indian Institute of Management Kozhikode</t>
  </si>
  <si>
    <t>[Malhotra, Nishi; Baag, Pankaj Kumar] Indian Inst Management Kozhikode, Dept Finance Accounts &amp; Control, Kozhikode, Kerala, India; [Malhotra, Nishi] Indian Inst Management Kozhikode, Dept Finance Accounts &amp; Control, Kozhikode 673571, Kerala, India</t>
  </si>
  <si>
    <t>The COVID-19 pandemic has shaken the world. After liberalization in 1991, microfinance became a panacea for poor people without collateral and information asymmetry. The higher cost of microfinance and debt traps highlighted the need for the state to intervene in resource redistribution. In addition, national lockdowns and COVID-19 restrictions have made it difficult for emerging economies like India to achieve this sustainable development goal. The Reserve Bank of India introduced self-help group (SHG) bank linkage to ensure the financial inclusion of the poor. The difference-in-difference method examined how SHGs affect entrepreneur households' income. CMIE Consumer Pyramid dx data were used for analysis. The data establish that SHGs have increased the income of the households, and demographic factors such as education, income level and gender also impact the financial inclusion of the poor.</t>
  </si>
  <si>
    <t>MICROFINANCE; PERSPECTIVES; MICROCREDIT; BANGLADESH; POVERTY; POOR</t>
  </si>
  <si>
    <t>Self-help group; microfinance; COVID-19; U; N; sustainable development goals</t>
  </si>
  <si>
    <t>JOURNAL OF HUMAN VALUES</t>
  </si>
  <si>
    <t>Impact of COVID-19 on the Income of Entrepreneurs Who Borrowed from SHG</t>
  </si>
  <si>
    <t>Malhotra, Nishi; Baag, Pankaj Kumar</t>
  </si>
  <si>
    <t>Malhotra, N; Baag, PK</t>
  </si>
  <si>
    <t>WOS:001174671200001</t>
  </si>
  <si>
    <t>JQ6N4</t>
  </si>
  <si>
    <t>10.1016/j.frl.2024.105034</t>
  </si>
  <si>
    <t>Acknowledgments This research was supported by the National Natural Science Foundation of China (72303050) . References</t>
  </si>
  <si>
    <t>National Natural Science Foundation of China [72303050]</t>
  </si>
  <si>
    <t>guo, mengting/PCR-8596-2025</t>
  </si>
  <si>
    <t>yuchenyang@hznu.edu.cn</t>
  </si>
  <si>
    <t>Yu, CY (corresponding author), Hangzhou Normal Univ, Sch Econ, Hangzhou 311121, Peoples R China.</t>
  </si>
  <si>
    <t>Hangzhou Normal University; Zhejiang Financial College</t>
  </si>
  <si>
    <t>[Fu, Changluan; Sun, Xinyue; Yu, Chenyang] Hangzhou Normal Univ, Sch Econ, Hangzhou 311121, Peoples R China; [Guo, Mengting] Zhejiang Financial Coll, Sch Accountancy, Hangzhou 310018, Peoples R China</t>
  </si>
  <si>
    <t>Encouraging rural households to increase their own financial investment in agriculture is necessary for agricultural productivity. Digital inclusive finance can help rural households access financial resources and increase productive investments. This paper employs data from the CHFS to conduct an empirical analysis. The findings indicate that digital inclusive finance significantly enhances rural household productive investment. The expansion of rural household social networks and the improvement of financial literacy both have a positive influence on this effect. Based on these conclusions, this paper suggests increasing support for rural digital inclusive finance as a means to enhance rural household productive investment.</t>
  </si>
  <si>
    <t>SOCIAL NETWORKS</t>
  </si>
  <si>
    <t>Digital inclusive finance; Rural household productive investment; Social network; Financial literacy</t>
  </si>
  <si>
    <t>Can digital inclusive finance facilitate productive investment in rural households?-An empirical study based on the China Household Finance Survey</t>
  </si>
  <si>
    <t>Fu, Changluan; Sun, Xinyue; Guo, Mengting; Yu, Chenyang</t>
  </si>
  <si>
    <t>Fu, CL; Sun, XY; Guo, MT; Yu, CY</t>
  </si>
  <si>
    <t>WOS:000818916000006</t>
  </si>
  <si>
    <t>2O2TD</t>
  </si>
  <si>
    <t>10.1504/IJICBM.2022.122846</t>
  </si>
  <si>
    <t>Chhatoi, Biswajit Prasad/0000-0002-3515-761X</t>
  </si>
  <si>
    <t>Chhatoi, Biswajit Prasad/AFI-1462-2022</t>
  </si>
  <si>
    <t>biswajitpchhatoi@gmail.com</t>
  </si>
  <si>
    <t>Chhatoi, BP (corresponding author), Berhampur Univ, Berhampur, India.</t>
  </si>
  <si>
    <t>[Chhatoi, Biswajit Prasad] Berhampur Univ, Berhampur, India</t>
  </si>
  <si>
    <t>To ensure significant progress in global poverty eradication, countries combating poverty consider it a socio-political, and ethical-economic issue. Limited control over productive resources and/or no access to financial resources is the prime driver of income inequality and poverty. Microfinance is a policy tool that assists the deprived mass in creating productive assets through hassle-free access to credit. The current research focuses on evaluating the effectiveness of micro-enterprises in poverty eradication across different wealth groups. A quasi-experimental research carried out over 476 microcredit beneficiaries, selected proportionately. A well-structured schedule was designed, and data collected through direct interaction. The bank linked microcredit programs are effectively creating employment opportunity. The wealth creation rates of households are not uniform across different wealth groups. The current research is limited to the geographical scope and sample size of the study. The study adopts a novel approach towards identifying the impact of microfinance across different wealth groups.</t>
  </si>
  <si>
    <t>FINANCIAL INCLUSION; WOMENS EMPOWERMENT; VALUE CREATION; MICROCREDIT; SAVINGS; POOR; IMPACTS; POVERTY; ECONOMIES; REDUCTION</t>
  </si>
  <si>
    <t>microcredit; asset creation; savings accumulation; employment generation</t>
  </si>
  <si>
    <t>Sustainable micro-enterprise: matching and analysing success of microfinance</t>
  </si>
  <si>
    <t>WOS:000836434100001</t>
  </si>
  <si>
    <t>3N8ZH</t>
  </si>
  <si>
    <t>10.1016/j.jbef.2022.100662</t>
  </si>
  <si>
    <t>I am grateful for valuable comments by Nathan Fiala, Jorg Peters, and Maximiliane Sievert. I gratefully acknowledge the support of a special grant (Sondertatbestand) from the German Federal Ministry for Economic Affairs and Energy and the Ministry of Innovation, Science, Germany, and Research of the State of North Rhine-Westphalia, Germany.</t>
  </si>
  <si>
    <t>German Federal Ministry for Economic Affairs and Energy; Ministry of Innovation, Science, Germany, and Research of the State of North Rhine-Westphalia, Germany</t>
  </si>
  <si>
    <t>aschoofs@rwi-essen.de</t>
  </si>
  <si>
    <t>Schoofs, A (corresponding author), RWI Leibniz Inst Econ Res, Essen, Germany.</t>
  </si>
  <si>
    <t>Leibniz Association; RWI - Leibniz Institut fur Wirtschaftsforschung</t>
  </si>
  <si>
    <t>[Schoofs, Annekathrin] RWI Leibniz Inst Econ Res, Essen, Germany</t>
  </si>
  <si>
    <t>This study evaluates CARE Canada's financial education programme for members of savings groups in rural Rwanda two years after the intervention. The programme was designed to help group members gain better financial understanding and to encourage the usage of formal financial services. My difference-in-differences estimation only allows me to rule out an effect larger than 0.33 points of a financial literacy score measuring participants' ability to calculate financial trade-offs. This is large considering an average score of 1.7 at baseline. Among the final impacts, I find no evidence that the intervention impacts formal savings, assets, or subjective resilience, with the possible exception of a change from informal borrowing to formal borrowing. Overall, my findings suggest a mixed picture for usage of formal financial services. (C) 2022 Elsevier B.V. All rights reserved.</t>
  </si>
  <si>
    <t>LITERACY; IMPACT; BEHAVIOR</t>
  </si>
  <si>
    <t>Financial education; Financial literacy; Financial behaviour; Savings; Borrowings; Rwanda</t>
  </si>
  <si>
    <t>Promoting financial inclusion for savings groups: A financial education programme in rural Rwanda</t>
  </si>
  <si>
    <t>Schoofs, Annekathrin</t>
  </si>
  <si>
    <t>Schoofs, A</t>
  </si>
  <si>
    <t>WOS:001585885500003</t>
  </si>
  <si>
    <t>8DF3U</t>
  </si>
  <si>
    <t>10.1007/s44202-025-00385-w</t>
  </si>
  <si>
    <t>SEP 30</t>
  </si>
  <si>
    <t>Discov. Psychol.</t>
  </si>
  <si>
    <t>DISCOV PSYCHOL</t>
  </si>
  <si>
    <t>2731-4537</t>
  </si>
  <si>
    <t>The material from this paper is extracted from the author's PhD thesis. Hence, the author thanks Martin Upton, William Brambley, Dr Helen Roby, and Professor Ali Ataullah for their supervision and comments on her work.</t>
  </si>
  <si>
    <t>This work was supported by The True Potential Centre for the Public Understanding of Finance (PUFin).</t>
  </si>
  <si>
    <t>tamnc29@gmail.com</t>
  </si>
  <si>
    <t>Nguyen-Cousins, T (corresponding author), CU Coventry, 8 Mile Lane, Coventry CV1 2TU, W Midlands, England.</t>
  </si>
  <si>
    <t>[Nguyen-Cousins, Tam; Upton, Martin] CU Coventry, 8 Mile Lane, Coventry CV1 2TU, W Midlands, England</t>
  </si>
  <si>
    <t>Despite the expansion of online financial education, many learners struggle to achieve improved financial well-being (FWB). This study examines determinants of FWB among participants in online financial education, integrating hedonic and eudaimonic perspectives through perceived well-being and financial needs satisfaction. Using a mixed-methods approach, we surveyed 398 learners from the Managing My Money course and conducted qualitative interviews with six participants. Our results reveal that financial capacity, rather than financial behaviour, is the primary driver of both FWB components. Subjective financial literacy enhances the link between financial attitudes and needs satisfaction; it also mediates the effect of attitudes on needs satisfaction via behaviour. These insights can help educators and policymakers design more effective and sustainable FWB initiatives focused on financial capacity and other key determinants.</t>
  </si>
  <si>
    <t>SATISFACTION; LITERACY; CAPABILITY; INCOME; LIFE</t>
  </si>
  <si>
    <t>Subjective financial well-being; Financial needs satisfaction; Financial capability; Positive psychology; Financial literacy; Money management</t>
  </si>
  <si>
    <t>DISCOVER PSYCHOLOGY</t>
  </si>
  <si>
    <t>Determinants of financial well-being among online financial education learners: a mixed-methods study</t>
  </si>
  <si>
    <t>Nguyen-Cousins, Tam; Upton, Martin</t>
  </si>
  <si>
    <t>Nguyen-Cousins, T; Upton, M</t>
  </si>
  <si>
    <t>WOS:000862208500003</t>
  </si>
  <si>
    <t>4Z4VN</t>
  </si>
  <si>
    <t>10.1016/j.ribaf.2022.101759</t>
  </si>
  <si>
    <t>Uch, Raksmey/ISS-0501-2023; Kakinaka, Makoto/O-2150-2015</t>
  </si>
  <si>
    <t>kraksmey@iuj.ac.jp; clin@iuj.ac.jp; kakinaka@fc.ritsumei.ac.jp</t>
  </si>
  <si>
    <t>Raksmey, U (corresponding author), Natl Bank Cambodia, Econ Res &amp; Int Cooperat Dept, 88 St 102 Corner St 19, Khan Daun Penh, Phnom Penh, Cambodia.</t>
  </si>
  <si>
    <t>Ritsumeikan University; Hiroshima University</t>
  </si>
  <si>
    <t>[Raksmey, Uch] Natl Bank Cambodia, Econ Res &amp; Int Cooperat Dept, 88 St 102 Corner St 19, Khan Daun Penh, Phnom Penh, Cambodia; [Lin, Ching-Yang] Int Univ Japan, Grad Sch Int Relat, 777 Kokusai cho, Niigata 9497277, Japan; [Kakinaka, Makoto] Ritsumeikan Univ, Fac Econ, 1-1-1 Noji Higashi, Kusatsu, Shiga 5258577, Japan; [Kakinaka, Makoto] Hiroshima Univ, Network Educ &amp; Res Peace &amp; Sustainabil NERPS, 1-3-1 Kagamiyama, Hiroshima, Hiroshima 7398530, Japan</t>
  </si>
  <si>
    <t>In this study, we provide evidence of the negative influence of macroprudential regulation on financial inclusion. Our results suggest that in developing countries, macroprudential regulation leads to adverse effects on the use of banking services because some people are prevented from accessing the credit market. The results remain robust even when we change the measure of financial inclusion to indicators of mobile banking. In developed countries, however, the effect is complicated. Macroprudential regulation still decreases the use of banking services, but it also increases people's access to banking services. This finding implies that banks might have responded to the regulations by expanding their geographic coverage or engaging in noninterest income activities.</t>
  </si>
  <si>
    <t>MOBILE MONEY; PANEL-DATA; POLICY; EXCLUSION; LITERACY; BANKING</t>
  </si>
  <si>
    <t>Macroprudential regulation; Policy target; Financial inclusion; access to and use of; banking services</t>
  </si>
  <si>
    <t>Macroprudential regulation and financial inclusion: Any difference between developed and developing countries?</t>
  </si>
  <si>
    <t>Raksmey, Uch; Lin, Ching-Yang; Kakinaka, Makoto</t>
  </si>
  <si>
    <t>Raksmey, U; Lin, CY; Kakinaka, M</t>
  </si>
  <si>
    <t>WOS:000415624400007</t>
  </si>
  <si>
    <t>FM9XA</t>
  </si>
  <si>
    <t>10.1108/RIBS-04-2017-0037</t>
  </si>
  <si>
    <t>Rev. Int. Bus. Strategy</t>
  </si>
  <si>
    <t>REV INT BUS STRATEGY</t>
  </si>
  <si>
    <t>1758-8529</t>
  </si>
  <si>
    <t>2059-6014</t>
  </si>
  <si>
    <t>[Bongomin, George Okello Candiya; Munene, John C.] Makerere Univ, Fac Grad Studies &amp; Res, Business Sch, Kampala, Uganda; [Ntayi, Joseph Mpeera] Makerere Univ, Fac Econ Energy &amp; Management Sci, Business Sch, Dept Procurement &amp; Logist, Kampala, Uganda; [Malinga, Charles Akol] Bank Uganda, Currency, Kampala, Uganda; [Malinga, Charles Akol] Makerere Univ, Dept Finance, Business Sch, Kampala, Uganda</t>
  </si>
  <si>
    <t>Purpose - The purpose of this paper is to establish the moderating effect of financial literacy in the relationship between access to finance and growth of small and medium enterprises (SMEs) in developing economies. Thus, this study seeks to establish whether financial literacy moderates the relationship between access to finance and growth of SMEs in a developing economy like Uganda. Design/methodology/approach - Cross-sectional research design was used in the study and data were collected from 169 SMEs located in Jinja and Iganga central markets. ModGraph (excel programme) was used to test for the moderating effect of financial literacy in the relationship between access to finance and growth of SMEs in developing economies. Findings - The findings reveal a positive and significant moderating effect of financial literacy in the relationship between access to finance and growth of SMEs in developing economies. In addition, financial literacy and access to finance also have significant and positive effects on growth of SMEs in developing economies. Research limitations/implications - The study collected data from only SMEs located in Uganda, and there is an opportunity to test this finding in other developing economies. Furthermore, the findings from the study are based on quantitative data collected through use of semi-structured questionnaires. Besides, the study was purely cross-sectional; hence, it ignores the characteristics of SMEs, which could be investigated using a longitudinal study design. Practical implications - The study highlights the importance of financial literacy in promoting access to finance, which is necessary for the growth of SMEs in developing economies. Owners of SMEs could attend financial literacy programmes provided by entrepreneurial skill development organizations to enable them to acquire financial knowledge and skills to make wise and better financial decisions and choices. Originality/value - The study contributes to existing international entrepreneurship literature by indicating the moderating effect of financial literacy in the relationship between access to finance and growth of SMEs in developing economies. The study shows that for SMEs to access finance to grow there is a need for financial literacy that promotes effective and efficient use of loans/credits. SMEs in developing economies need financial literacy, which helps them make wise financial decisions and choices before accessing financial services like loans.</t>
  </si>
  <si>
    <t>ENTREPRENEURSHIP; ENTERPRISES</t>
  </si>
  <si>
    <t>SMEs; Entrepreneurship; Uganda; Access to finance; Financial literacy; Developing economies</t>
  </si>
  <si>
    <t>REVIEW OF INTERNATIONAL BUSINESS AND STRATEGY</t>
  </si>
  <si>
    <t>The relationship between access to finance and growth of SMEs in developing economies Financial literacy as a moderator</t>
  </si>
  <si>
    <t>Bongomin, George Okello Candiya; Ntayi, Joseph Mpeera; Munene, John C.; Malinga, Charles Akol</t>
  </si>
  <si>
    <t>Bongomin, GOC; Ntayi, JM; Munene, JC; Malinga, CA</t>
  </si>
  <si>
    <t>WOS:001402168600001</t>
  </si>
  <si>
    <t>T0Q7Y</t>
  </si>
  <si>
    <t>10.1108/IJOES-08-2024-0243</t>
  </si>
  <si>
    <t>2025 JAN 23</t>
  </si>
  <si>
    <t>The authors would like to thank Lembaga Penelitian dan Pengabdian Masyarak at Universitas Negeri Padang for funding this work with a contract number: 768/UN35.13/LT/2021.</t>
  </si>
  <si>
    <t>Lembaga Penelitian dan Pengabdian Masyarak at Universitas Negeri Padang</t>
  </si>
  <si>
    <t>Lembaga Penelitian dan Pengabdian Masyarak at Universitas Negeri Padang [768/UN35.13/LT/2021]</t>
  </si>
  <si>
    <t>Yanuarta RE, Ramel/0000-0001-5693-0459</t>
  </si>
  <si>
    <t>Marta, Joan/AAP-4023-2020</t>
  </si>
  <si>
    <t>aimatulyumna@gmail.com; joan@fe.unp.ac.id; ramel.yanuarta@fe.unp.ac.id</t>
  </si>
  <si>
    <t>Yumna, A (corresponding author), Univ Negeri Padang, Dept Management, Padang, Indonesia.</t>
  </si>
  <si>
    <t>Universitas Negeri Padang; Universitas Negeri Padang</t>
  </si>
  <si>
    <t>[Yumna, Aimatul; Yanuarta, R. E. Ramel] Univ Negeri Padang, Dept Management, Padang, Indonesia; [Marta, Joan] Univ Negeri Padang, Dept Econ, Padang, Indonesia</t>
  </si>
  <si>
    <t>PurposeThis study aims to examine the impact of social and financial inclusion on the welfare of the impoverished through a Waqf-based microfinance organization.Design/methodology/approachThis study used a structured questionnaire to collect primary data from 282 respondents, 150 of whom were customers and 132 of whom were not customers of an Indonesian Waqf-based microfinance organization. The impacts of financial and social inclusion on well-being were examined using generalized least squares with random effects.FindingsThis study discovered that financial inclusion has little influence on customer well-being, but it significantly improves the well-being of non-customers. Social inclusion, on the other hand, has a major influence on improving the well-being of consumers but has little effect on noncustomers. This study demonstrates that financial and social inclusion have varied effects on the well-being of two distinct groups of respondents.Practical implicationsThese findings have significant implications for Waqf-based microfinance to restructure its programs to enhance financial inclusion by promoting financial literacy and developing partnership with commercial financial institutions.Originality/valuePrevious study examined into qard hassan's contribution to financial inclusion and well-being, but the impact of social inclusion on well-being has received less attention. Thus, the objective of this research is to understand how financial and social inclusion might improve the well-being of Waqf-based microfinance customers.</t>
  </si>
  <si>
    <t>Financial inclusion; Well-being; Social capital; Qard hassan; Waqf; D64; G20; G21; G51</t>
  </si>
  <si>
    <t>The impact of financial and social inclusion on well-being: evidence from a Waqf-based microfinance institution in Indonesia</t>
  </si>
  <si>
    <t>Yumna, Aimatul; Marta, Joan; Yanuarta, R. E. Ramel</t>
  </si>
  <si>
    <t>Yumna, A; Marta, J; Yanuarta, RER</t>
  </si>
  <si>
    <t>WOS:000648470600001</t>
  </si>
  <si>
    <t>ZJ9RD</t>
  </si>
  <si>
    <t>10.1080/09614524.2021.1911940</t>
  </si>
  <si>
    <t>Forkuor, David/NTQ-1487-2025; Serbeh, Richard/ADV-2580-2022</t>
  </si>
  <si>
    <t>serrich203@gmail.com</t>
  </si>
  <si>
    <t>Serbeh, R (corresponding author), Kwame Nkrumah Univ Sci &amp; Technol, Dept Geog &amp; Rural Dev, Kumasi, Ashanti Region, Ghana.</t>
  </si>
  <si>
    <t>[Serbeh, Richard; Adjei, Prince Osei-Wusu; Forkuor, David] Kwame Nkrumah Univ Sci &amp; Technol, Dept Geog &amp; Rural Dev, Kumasi, Ashanti Region, Ghana</t>
  </si>
  <si>
    <t>This paper explores the financial inclusion prospects of mobile money by drawing on the experiences of rural households in the Sunyani West District of Ghana. By employing a qualitative approach, we argue that the suitability of mobile money to financial inclusion in rural areas has a checquered outlook. This is because although the platform ensures easy, nearness and speedy transaction, digital illiteracy, irregular service delivery and poor network connectivity question the goodness of fit between mobile money and the rural environment. While mobile money provided transfer and savings services, the persistence of these constraints negatively influenced these financial inclusion potentials.</t>
  </si>
  <si>
    <t>Rural; mobile money; financial inclusion; poverty reduction</t>
  </si>
  <si>
    <t>Financial inclusion of rural households in the mobile money era: insights from Ghana</t>
  </si>
  <si>
    <t>Serbeh, Richard; Adjei, Prince Osei-Wusu; Forkuor, David</t>
  </si>
  <si>
    <t>Serbeh, R; Adjei, POW; Forkuor, D</t>
  </si>
  <si>
    <t>WOS:000887515600001</t>
  </si>
  <si>
    <t>H4XV4</t>
  </si>
  <si>
    <t>10.1007/s10436-022-00417-8</t>
  </si>
  <si>
    <t>Ann. Financ.</t>
  </si>
  <si>
    <t>ANN FINANC</t>
  </si>
  <si>
    <t>1614-2454</t>
  </si>
  <si>
    <t>1614-2446</t>
  </si>
  <si>
    <t>Funding was provided by Fonds De La Recherche Scientifique -FNRS (Grant No. FRESH PhD Grant).</t>
  </si>
  <si>
    <t>Fonds De La Recherche Scientifique -FNRS(Fonds de la Recherche Scientifique - FNRS)</t>
  </si>
  <si>
    <t>Fonds De La Recherche Scientifique -FNRS</t>
  </si>
  <si>
    <t>Caballero-Montes, Tristan/0000-0002-6694-9898</t>
  </si>
  <si>
    <t>tristan.caballero-montes@umons.ac.be</t>
  </si>
  <si>
    <t>Caballero-Montes, T (corresponding author), Univ Mons, CERMi, Ctr European Res Microfinance, Pl Warocque 17, B-7000 Mons, Belgium.</t>
  </si>
  <si>
    <t>University of Mons</t>
  </si>
  <si>
    <t>[Caballero-Montes, Tristan] Univ Mons, CERMi, Ctr European Res Microfinance, Pl Warocque 17, B-7000 Mons, Belgium</t>
  </si>
  <si>
    <t>Microfinance rapidly developed and commercialized, exacerbating competition and the attention paid to profits. In response, many governments have capped microcredit interest rates. Using unique data on interest rate caps and a dataset comprising 1115 microfinance institutions over 2015-2018, we investigate the effect of such regulatory measures on loan sizes, with fixed-effect and two-stage residual inclusion regressions. Going further with a moderation analysis and multiple measurements of competition, we investigate whether market conditions affect this relationship. We find that microfinance institutions facing interest rate caps are associated with larger loans and financial exclusion, and that competition emphasizes this adverse effect. We suggest two mechanisms explaining such results: the deterioration of cross-subsidization possibilities and the exacerbation of risk-taking strategies of microfinance institutions, both favored by competition. Therefore, we argue against interest rate restrictions, and for the adoption of a more systemic analysis of regulatory outcomes integrating market conditions.</t>
  </si>
  <si>
    <t>USURY LAWS; INSTITUTIONS; PERFORMANCE; OUTREACH; SUSTAINABILITY; DETERMINANTS; MICROCREDIT; CEILINGS; CRISIS; TESTS</t>
  </si>
  <si>
    <t>Microfinance; Interest rate cap; Regulation; Competition; Social outreach; Moderation</t>
  </si>
  <si>
    <t>ANNALS OF FINANCE</t>
  </si>
  <si>
    <t>Integrating market conditions into regulatory decisions on microfinance interest rates: does competition matter?</t>
  </si>
  <si>
    <t>Caballero-Montes, Tristan</t>
  </si>
  <si>
    <t>Caballero-Montes, T</t>
  </si>
  <si>
    <t>WOS:000260726700020</t>
  </si>
  <si>
    <t>369XH</t>
  </si>
  <si>
    <t>10.1016/j.jbankfin.2008.05.004</t>
  </si>
  <si>
    <t>Honohan, Patrick/0000-0003-2095-1375</t>
  </si>
  <si>
    <t>phonohan@tcd.ie</t>
  </si>
  <si>
    <t>Honohan, P (corresponding author), Trinity Coll Dublin, Inst Int Integrat Studies, Dublin, Ireland.</t>
  </si>
  <si>
    <t>Trinity College Dublin</t>
  </si>
  <si>
    <t>Trinity Coll Dublin, Inst Int Integrat Studies, Dublin, Ireland</t>
  </si>
  <si>
    <t>This paper presents estimates, for more than 160 Countries, of the fraction of the adult population using formal financial intermediaries. The estimates are constructed by combining information on account numbers at banks and microfinance institutions (together with banking depth and GDP data) with estimates from household surveys for a smaller set of countries. All illustrative application of the data compares them with information on poverty: there is a correlation, but it is not clearly causal. (C) 2008 Elsevier B.V. All rights reserved.</t>
  </si>
  <si>
    <t>Access to finance; Financial exclusion; Microfinance; Worldwide database</t>
  </si>
  <si>
    <t>Axiss Australia,New S Wales Dept Reg &amp; State Dev,Reserve Bank Australia,Barclays Global Investors</t>
  </si>
  <si>
    <t>DEC, 2006</t>
  </si>
  <si>
    <t>19th Australasian Finance and Banking Conference</t>
  </si>
  <si>
    <t>Cross-country variation in household access to financial services</t>
  </si>
  <si>
    <t>Honohan, Patrick</t>
  </si>
  <si>
    <t>Honohan, P</t>
  </si>
  <si>
    <t>WOS:000886493700001</t>
  </si>
  <si>
    <t>K2IP3</t>
  </si>
  <si>
    <t>10.1108/IJBM-06-2022-0242</t>
  </si>
  <si>
    <t>Wann, CR (corresponding author), Univ Tennessee Chattanooga, Gary Rollins Coll Business, Chattanooga, TN 37403 USA.</t>
  </si>
  <si>
    <t>University of Tennessee System; University of Tennessee at Chattanooga</t>
  </si>
  <si>
    <t>[Wann, Christi R.; Burke-Smalley, Lisa] Univ Tennessee Chattanooga, Gary Rollins Coll Business, Chattanooga, TN 37403 USA</t>
  </si>
  <si>
    <t>PurposeThe purpose of this study is to determine the nature of financial inclusion for individuals with various types of disabilities.Design/methodology/approachData from 2015, 2017 and 2019 FDIC Survey of Household Use of Banking and Financial Services was pooled, and binary logistic regressions were used to investigate differences in barriers to financial inclusion (e.g. unbanked) between people with different types of disabilities (e.g. cognitive) and those without such disabilities.FindingsUsing five separate barrier measures, the authors found specific disability types face different barriers to financial inclusion. For example, respondents with cognitive, ambulatory or two or more disabilities were more likely to use nonbank transaction products and alternative financial services. And, those with vision or cognitive disabilities were more likely to be denied or receive reduced credit. When examining aggregate barriers to financial inclusion (total number of barriers faced) respondents with cognitive, ambulatory, hearing or two or more disabilities experienced the lowest degree of financial inclusion in the authors' dataset.Research limitations/implicationsCausal inference cannot be made due to the cross-sectional nature of the data. The data only covers the US population, and the measurement of disability type could include those with short-term impairments. Further, there may be an omitted variable bias.Practical implicationsBest practices to maximize financial inclusion for those with different disability types should address accessibility issues, bank staff education, financial literacy education and poverty issues. Additional government policies and oversight are also needed to protect and enhance the overall financial inclusion of people with disabilities.Originality/valueTo the best of the authors' knowledge, this paper is the first to examine the relationship between various barriers to financial inclusion and aggregate barriers to financial inclusion by disability type. Specific disability types are found to face different barriers to financial inclusion.</t>
  </si>
  <si>
    <t>RESILIENCE; CAPABILITY; HEALTH</t>
  </si>
  <si>
    <t>Financial inclusion; People with disabilities; Unbanked; Alternative financial services; Nonbank transaction products; Credit denial; Discouraged borrower</t>
  </si>
  <si>
    <t>Differences in financial inclusion by disability type</t>
  </si>
  <si>
    <t>Wann, Christi R.; Burke-Smalley, Lisa</t>
  </si>
  <si>
    <t>Wann, CR; Burke-Smalley, L</t>
  </si>
  <si>
    <t>WOS:001317815100001</t>
  </si>
  <si>
    <t>Q8W5B</t>
  </si>
  <si>
    <t>10.1108/JIMA-07-2022-0197</t>
  </si>
  <si>
    <t>Trianto, Budi/0000-0002-5600-1868;</t>
  </si>
  <si>
    <t>; Sukmana, Raditya/AER-6387-2022</t>
  </si>
  <si>
    <t>raditya-s@feb.unair.ac.id; budi_asamandiri@yahoo.com</t>
  </si>
  <si>
    <t>Sukmana, R (corresponding author), Univ Airlangga, Fac Econ &amp; Business, Dept Islamic Econ, Surabaya, Indonesia.</t>
  </si>
  <si>
    <t>Airlangga University; Airlangga University</t>
  </si>
  <si>
    <t>[Masrizal] Univ Airlangga, Dept Islamic Econ, Surabaya, Indonesia; [Sukmana, Raditya] Univ Airlangga, Fac Econ &amp; Business, Dept Islamic Econ, Surabaya, Indonesia; [Trianto, Budi] Univ Abdurrab, Dept Islamic Econ, Pekanbaru, Indonesia</t>
  </si>
  <si>
    <t>PurposeRecently, financial inclusion promoters have observed that financial literacy is a vital tool for financial inclusion growth, especially among the poor who are considered financially illiterate. The purpose of this paper is to look at the role of Islamic financial literacy (IFL) and inclusion in improving the performance of micro, small and medium enterprises (MSMEs) in Indonesia.Design/methodology/approachThis study uses questionnaire data collected as many as 197 MSMEs. This study was analyzed using structural equation modeling approach to test the hypothesis.FindingsThe results show that IFL is an important variable to increase Islamic financial inclusion. The results also show that both have a significant influence in developing the MSME sector business.Research limitations/implicationsThis research is not without limitations. This study only adopted a sample in one Province in Indonesia with focus on creative economy sector and some others sectors located in the province of Riau, therefore ignoring suburban and urban areas in Indonesia. Therefore, future studies using a cross-sectional research design are feasible. In addition, this study only uses quantitative data, so that qualitative research with key informant interviews can be considered for further research.Practical implicationsThe findings of this study enlighten policymakers, managers of financial institutions and advocates of financial literacy and inclusion about the importance of improving the performance of MSMEs. As a policy recommendation, this study suggests that Islamic policy makers and financial institutions should play a proactive role in increasing service outreach and providing the regulatory environment needed for MSMEs given the important role MSMEs play in the Indonesian economy.Originality/valueThis study combines functional components (behaviors and attitudes) and nonfunctional measures (knowledge and skills) of financial literacy and financial inclusion in explaining the performance of MSMEs. Thus, this research is an initial effort to explain financial literacy and inclusion on the performance of MSMEs.</t>
  </si>
  <si>
    <t>MICROFINANCE INSTITUTIONS; NEXUS; DETERMINANTS; BEHAVIORS; BANKING; IMPACT; CREDIT; SMES; SEM</t>
  </si>
  <si>
    <t>Islamic financial literacy; Islamic financial inclusion; MSMEs; Performance; Social exchange theory; Reduce inequality</t>
  </si>
  <si>
    <t>The effect of Islamic financial literacy on business performance with emphasis on the role of Islamic financial inclusion: case study in Indonesia</t>
  </si>
  <si>
    <t>Masrizal; Sukmana, Raditya; Trianto, Budi</t>
  </si>
  <si>
    <t>Masrizal; Sukmana, R; Trianto, B</t>
  </si>
  <si>
    <t>WOS:000578958400001</t>
  </si>
  <si>
    <t>10.1002/ijfe.2201</t>
  </si>
  <si>
    <t>Lotto, J (corresponding author), Inst Finance Management, POB 3918,5 Shaaban Robert St, Dar Es Salaam 11101, Tanzania.</t>
  </si>
  <si>
    <t>[Lotto, Josephat] Inst Finance Management, Dept Accounting &amp; Finance, Dar Es Salaam, Tanzania</t>
  </si>
  <si>
    <t>This paper primarily aimed at examining the level, and determinants of financial inclusion in Tanzania, comparing it with other East African Region member countries using the Global Findex (2017) database. The study reports some insightful findings. The results show that, financial inclusion is less developed in Tanzania than in other East African countries contrary to expectations. According to expectations from development finance theories financial inclusion directly relates to economic development. However, Tanzania having better GDP than its neighbour countries ranks behind other countries with lower GDPs. One may say that weak financial system, inappropriate policy and poor financial instruments hamper significant effect of finance on growth. The paper argues that regardless of a significant economic growth reported in Tanzania inability of the financial system to reach majority of the population may be considered as a major reason behind the unexpected link between economic growth and financial inclusion. Furthermore, the study shows that financial inclusion is positively related to the income level and education level of the households, and negatively relates to gender. Moreover, a non-linear relationship between age and financial inclusion is reported- that is the relation is positive at a certain age level, and change to negative at a higher age level.Consequently, the study recommends promoting equal participation in both labor and financial markets, and that East African's Governments to fully capture the dynamics of markets and track informal as well as formal economic activities to attract inclusive economy which will, ultimately, match with financial inclusion agenda.</t>
  </si>
  <si>
    <t>age; borrowing; education; financial inclusion; gender; income; savings</t>
  </si>
  <si>
    <t>Understanding financial inclusion in East Africa: How does Tanzania compare?</t>
  </si>
  <si>
    <t>WOS:001102610400012</t>
  </si>
  <si>
    <t>EH5V9</t>
  </si>
  <si>
    <t>10.1007/s11356-023-30371-5</t>
  </si>
  <si>
    <t>xzcxsj@126.com</t>
  </si>
  <si>
    <t>Sun, J (corresponding author), Xuzhou Vocat Technol Acad Finance &amp; Econ, Accounting Dept, Xuzhou, Peoples R China.</t>
  </si>
  <si>
    <t>[Sun, Jing] Xuzhou Vocat Technol Acad Finance &amp; Econ, Accounting Dept, Xuzhou, Peoples R China</t>
  </si>
  <si>
    <t>A promising approach forfacilitating China's shift towards renewable energy sources entails combining digital finance and green financing. The present research investigates the supply chains and reverse logistics of significant financial indices, including the S&amp;P Green Bond Index, the MSCI Global Markets Index, and the S&amp;P Global Renewable Energy Index. The analysis encompasses the period from the creation of these indices on September 28, 2008, through January 12, 2022. To minimize risk, portfolios have increasingly adopted diverse indices, such as the S&amp;P Global Clean Energy Index and the S&amp;P Green Bond Index. This study investigates the intricate relationship between green financing and digital finance, shedding light on their combined impact on the uptake of renewable energy in China. This study examines the role of digital financial technologies, including blockchain, mobile payment systems, and big data analytics, in enhancing the accessibility of green financing choices for renewable energy projects. A comprehensive analysis of existing literature and empirical research is conducted to achieve this objective. The results emphasize the significant progress in improving financial inclusion, risk management, and transparency by integrating green financing and digital finance. As mentioned earlier, the enhancements have significantly enhanced the level of trust and assurance among investors operating within the renewable energy industry. Moreover, the report highlights the crucial need for continuous governmental backing and financial investments in digital financial infrastructure to drive China towards a more environmentally friendly and sustainable energy framework.</t>
  </si>
  <si>
    <t>Digital finance; Renewable energy; Sustainable energy; Blockchain</t>
  </si>
  <si>
    <t>How does digital finance encourage the use of renewable energy in China? Inverse relationships from green finance</t>
  </si>
  <si>
    <t>Sun, Jing</t>
  </si>
  <si>
    <t>Sun, J</t>
  </si>
  <si>
    <t>WOS:001639350300001</t>
  </si>
  <si>
    <t>W1877</t>
  </si>
  <si>
    <t>10.1108/JSTPM-04-2024-0135</t>
  </si>
  <si>
    <t>2025 DEC 18</t>
  </si>
  <si>
    <t>This work is an outcome of the Minor Research Project titled New Horizons of Digitalized India and Financial Inclusion - A Comparative Study of Urban and Rural Areas funded by the Odisha State Higher Education Council (OSHEC), Government of Odisha under OURIIP (2020).</t>
  </si>
  <si>
    <t>Minor Research Project titled New Horizons of Digitalized India - Odisha State Higher Education Council (OSHEC), Government of Odisha</t>
  </si>
  <si>
    <t>elinakanungo83@yahoo.co.in</t>
  </si>
  <si>
    <t>Kanungo, E (corresponding author), BJB Autonomous Coll, Dept Commerce, Bhubaneswar, India.</t>
  </si>
  <si>
    <t>[Kanungo, Elina] BJB Autonomous Coll, Dept Commerce, Bhubaneswar, India</t>
  </si>
  <si>
    <t>PurposeThe current study aims to explore the nexus among digital financial literacy (DFL), access to digital infrastructure, digital financial inclusion (DFI), the purpose of using digital financial services (DFS) and modes of digital operations (DOP) within the context of the Puri district of Odisha, India. It has considered DOP a mediator and will investigate how reliance on others for digital operations affects the use of DFS.Design/methodology/approachThe current study's evaluation was conducted using Bootstrap to test the hypotheses formulated using PLS-SEM, based on a structured questionnaire administered to 776 respondents.FindingsThe findings revealed a significant association between DFL and DFI (the ownership and usage of DFS). The study's results highlighted that DFI significantly affects the purpose of using financial services on a virtual platform. The study also highlights that, despite people using the digital pathway for various purposes, it remains exclusive, mainly, with some individuals observed to be dependent on others for digital transactions. The presence of the digital divide concerning age and place is also reflected in the study.Research limitations/implicationsThe research paper does not throw light on the reasons for low level of DFL among the people in the place of research.Practical implicationsFirstly, this study enriches the current works of research on DFI based on the SEM. The model developed in the study has identified DFL as a higher-order construct (HOC) constituting three items or elements namely proficiency in using digital money accounts (DMP), financial literacy (FL) and awareness of DOP. Secondly, the study highlighted that DFL and access affect the ownership and usage of DFS. It makes people digitally and financially inclusive. An inclusive person uses these DFS for making varied monetary operations through the digital pathway. In the state of inclusiveness, however, it is observed that though people are using the digital pathway for different purposes, they are not inclusive in the real sense. Thirdly, a picture of overall digitalization in the Puri district is presented in the study by showing the digitalization in both urban and rural populations of Puri. The DFL level also varies in the sample of the population.Originality/valueTo the best of the author's knowledge, the present paper is the first of its kind to reflect DOP as the mediator. The novelty in the present work lies in the fact that research has focused on framing a model of DFI by considering DFL as an HOC to reduce the number of connections between its elements and build a parsimonious and comprehensive model.</t>
  </si>
  <si>
    <t>Digital financial literacy; Digital financial inclusion; Mediator; Higher-order construct; PLS-SEM</t>
  </si>
  <si>
    <t>Determinants of digital financial literacy and its impact on digital financial inclusion in Odisha, India - a study on the mediating role of digital operations</t>
  </si>
  <si>
    <t>Kanungo, Elina</t>
  </si>
  <si>
    <t>Kanungo, E</t>
  </si>
  <si>
    <t>WOS:001631688500017</t>
  </si>
  <si>
    <t>N5529</t>
  </si>
  <si>
    <t>10.29063/ajrh2025/v29i11.17</t>
  </si>
  <si>
    <t>Jakovljevic, Mihajlo/B-3002-2014; Osabohien, Romanus/R-2284-2019; Abdu, Musa/AAW-6677-2020</t>
  </si>
  <si>
    <t>zxd997152429@163.com</t>
  </si>
  <si>
    <t>Zhang, XD (corresponding author), Ningbo Univ Finance &amp; Econ, Coll Finance &amp; Informat, Ningbo 315175, Zhejiang, Peoples R China.</t>
  </si>
  <si>
    <t>Ningbo University of Finance &amp; Economics; Shaanxi University of Technology; University of Kragujevac</t>
  </si>
  <si>
    <t>[Zhang, Xindan] Ningbo Univ Finance &amp; Econ, Coll Finance &amp; Informat, Ningbo 315175, Zhejiang, Peoples R China; [Abdu, Musa] Gombe State Univ, Dept Econ, Gombe, Nigeria; [Abdu, Musa; Osabohien, Romanus] DePECOS Inst &amp; Dev Res Ctr DIaDeRC, Ota, Nigeria; [Osabohien, Romanus] Monarch Univ, Dept Econ, Iyesi Ota, Nigeria; [Jakovljevic, Mihajlo] UNESCO TWAS, Trieste, Italy; [Jakovljevic, Mihajlo] Shaanxi Univ Technol, Hanzhong, Peoples R China; [Jakovljevic, Mihajlo] Univ Kragujevac, Dept Global Hlth Econ &amp; Policy, Kragujevac, Serbia</t>
  </si>
  <si>
    <t>As healthcare expenses continue to rise without social security, many households in developing countries, are grappling with financial strain and uncertainty, leading to a growing concern known as medical cost anxiety. The level of financial innovation among individuals plays a critical role in how they navigate and manage healthcare costs. Understanding financial concepts, making informed decisions, and effectively planning for medical expenses can significantly impact an individual's ability to cope with medical cost anxiety. This study examines the relationship between medical cost anxiety, financial innovation, and household income mobility in China. Using the 2021 survey data obtained from Global Financial Inclusion (Global Findex) for China, we employed the Ordered Probit Regression and Linear Probability regression models to analyse the impact of medical cost anxiety and financial innovation on household income mobility. The results show that individuals who experience greater medical cost anxiety are 20% more inclined to move from the middle 20% income quintile to the fourth 20% income quintile than those with lower levels of medical cost anxiety in the same income quintile. This indicates that medical cost anxiety drives middle-income individuals to strive for a higher income group more strongly than it motivates low-income individuals to move to a middle-income group. Overall, medical cost anxieties have negative effects on the probability of individuals to move from lower income quintiles to higher ones. These findings highlight the importance of addressing healthcare affordability and promoting financial inclusion to enhance household income mobility in China.</t>
  </si>
  <si>
    <t>HOUSEHOLD CONSUMPTION; INSURANCE</t>
  </si>
  <si>
    <t>medical cost; health anxiety; financial literacy; financial innovation; income mobility</t>
  </si>
  <si>
    <t>Managing financial risk in healthcare: Medical cost anxiety, financial innovation, and income mobility in China</t>
  </si>
  <si>
    <t>Zhang, Xindan; Abdu, Musa; Osabohien, Romanus; Jakovljevic, Mihajlo</t>
  </si>
  <si>
    <t>Zhang, XD; Abdu, M; Osabohien, R; Jakovljevic, M</t>
  </si>
  <si>
    <t>WOS:001628573500001</t>
  </si>
  <si>
    <t>K4555</t>
  </si>
  <si>
    <t>10.1080/00220388.2025.2590457</t>
  </si>
  <si>
    <t>2025 NOV 29</t>
  </si>
  <si>
    <t>moustapha.mounmemi@univ-orleans.fr</t>
  </si>
  <si>
    <t>Mounmemi, M (corresponding author), Univ Orleans, LEO Orleans Econ Lab, Orleans, France.</t>
  </si>
  <si>
    <t>Universite de Orleans</t>
  </si>
  <si>
    <t>[Mounmemi, Moustapha] Univ Orleans, LEO Orleans Econ Lab, Orleans, France; [Kouandou, Arouna] UBS Univ Bretagne Sud, IAE LEGO, Vannes, France</t>
  </si>
  <si>
    <t>The choice of cooking fuel is a critical economic and health decision for rural households, with significant implications for well-being and environmental sustainability. This paper examines whether rural non-farm entrepreneurship promotes the adoption of cleaner cooking fuels, specifically liquefied petroleum gas (LPG). Using large, nationally representative data from eight WAEMU countries - Benin, Burkina Faso, C &amp; ocirc;te d'Ivoire, Guinea-Bissau, Mali, Niger, Senegal, and Togo - we apply econometric techniques to address endogeneity and selection bias. Our findings show that households engaged in non-farm entrepreneurial activities are significantly more likely to adopt LPG. We further show that non-farm entrepreneurship enhances financial inclusion by improving access to microfinance, mobile banking, and informal savings groups (ROSCAs), thereby easing liquidity constraints that limit investments in clean energy. These results suggest that promoting rural non-farm enterprises, along with expanding financial services and infrastructure, can effectively reduce energy poverty and improve health outcomes in sub-Saharan Africa.</t>
  </si>
  <si>
    <t>SUB-SAHARAN AFRICA; WELFARE IMPACTS; FOOD SECURITY; MOBILE MONEY; DETERMINANTS; CHOICE; ELECTRIFICATION; EMPLOYMENT; GENDER; FUELS</t>
  </si>
  <si>
    <t>Clean cooking fuels; LPG adoption; rural non-farm entrepreneurship; financial inclusion; energy poverty; WAEMU; sub-Saharan Africa</t>
  </si>
  <si>
    <t>Starting a Non-Farm Enterprise to Escape Energy Poverty: Household Level Evidence from Rural West Africa</t>
  </si>
  <si>
    <t>Mounmemi, Moustapha; Kouandou, Arouna</t>
  </si>
  <si>
    <t>Mounmemi, M; Kouandou, A</t>
  </si>
  <si>
    <t>WOS:001325452400001</t>
  </si>
  <si>
    <t>H7U3F</t>
  </si>
  <si>
    <t>10.1111/jmcb.13208</t>
  </si>
  <si>
    <t>2024 OCT 3</t>
  </si>
  <si>
    <t>J. Money Credit Bank.</t>
  </si>
  <si>
    <t>J MONEY CREDIT BANK</t>
  </si>
  <si>
    <t>1538-4616</t>
  </si>
  <si>
    <t>0022-2879</t>
  </si>
  <si>
    <t>van Oordt, Maarten/0000-0002-9830-287X;</t>
  </si>
  <si>
    <t>; Zhu, Yu/JXM-0469-2024</t>
  </si>
  <si>
    <t>cmkahn@illinois.edu; m.van.oordt@vu.nl; zhuyuzlf57@gmail.com</t>
  </si>
  <si>
    <t>Kahn, CM (corresponding author), Univ Illinois, Champaign, IL 61820 USA.</t>
  </si>
  <si>
    <t>University of Illinois System; University of Illinois Urbana-Champaign; Tinbergen Institute; Vrije Universiteit Amsterdam; Renmin University of China</t>
  </si>
  <si>
    <t>[Kahn, Charles m.] Univ Illinois, Champaign, IL 61820 USA; [VAN Oordt, Maarten r. c.] Vrije Univ Amsterdam, Tinbergen Inst, Amsterdam, Netherlands; [Zhu, Yu] Renmin Univ China, Beijing, Peoples R China</t>
  </si>
  <si>
    <t>Physical cash enables payments in the absence of electricity or network coverage. Such offline payment functionality promotes the operational resilience and, particularly in developing countries, the accessibility of payments. Central banks are exploring issuing digital cash substitutes with similar offline payment functionality. Such substitutes could incorporate novel features, making them more desirable than physical cash. This paper considers automating personal loss recovery for offline digital currency balances through the introduction of an expiry date. Our results show this functionality could have a substantial positive impact on consumer demand for offline digital currency balances. We find an asymmetric impact on welfare of adjustments to the expiry date: small increases from the optimum cause little damage, but small decreases from the optimal expiry date can have a large negative impact. More information-sharing between user devices and the central bank can improve loss recovery but has an ambiguous impact on social welfare.</t>
  </si>
  <si>
    <t>TRANSACTIONS DEMAND; BEHAVIOR; MONEY; CASH</t>
  </si>
  <si>
    <t>accessibility; CBDC; financial inclusion; offline payments; resilience</t>
  </si>
  <si>
    <t>JOURNAL OF MONEY CREDIT AND BANKING</t>
  </si>
  <si>
    <t>Best Before? Expiring Central Bank Digital Currency and Loss Recovery</t>
  </si>
  <si>
    <t>Kahn, Charles m.; VAN Oordt, Maarten r. c.; Zhu, Yu</t>
  </si>
  <si>
    <t>Kahn, CM; VAN Oordt, MRC; Zhu, Y</t>
  </si>
  <si>
    <t>WOS:000359621300003</t>
  </si>
  <si>
    <t>CP1FI</t>
  </si>
  <si>
    <t>10.1093/wbro/lkv009</t>
  </si>
  <si>
    <t>World Bank Res. Observ.</t>
  </si>
  <si>
    <t>WORLD BANK RES OBSER</t>
  </si>
  <si>
    <t>1564-6971</t>
  </si>
  <si>
    <t>0257-3032</t>
  </si>
  <si>
    <t>mmiller5@worldbank.org; bzia@worldbank.org</t>
  </si>
  <si>
    <t>This paper presents a systematic and comprehensive meta-analysis of the literature on financial education interventions that focuses on financial education studies designed to strengthen the financial knowledge and behaviors of consumers. The analysis identifies 188 papers and articles that present impact results of interventions designed to increase consumers' financial knowledge (financial literacy) or skills, attitudes, and behaviors (financial capability). These papers are diverse across a number of dimensions, including objectives of the program intervention, expected outcomes, intensity and duration of the intervention, delivery channel used, and type of population targeted. However, there are a few key outcome indicators where a subset of papers are comparable, including those that address savings behavior, defaults on loans, and financial skills such as record keeping. The results from the meta-analysis indicate that financial literacy and capability interventions can have a positive impact in some areas (e.g., increasing savings) but not in others (e.g., reducing loan defaults). Financial education, financial literacy, meta Analysis.</t>
  </si>
  <si>
    <t>WORLD BANK RESEARCH OBSERVER</t>
  </si>
  <si>
    <t>Can You Help Someone Become Financially Capable? A Meta-Analysis of the Literature</t>
  </si>
  <si>
    <t>Miller, Margaret; Reichelstein, Julia; Salas, Christian; Zia, Bilal</t>
  </si>
  <si>
    <t>Miller, M; Reichelstein, J; Salas, C; Zia, B</t>
  </si>
  <si>
    <t>WOS:000412435400004</t>
  </si>
  <si>
    <t>FJ0XU</t>
  </si>
  <si>
    <t>10.3926/ic.946</t>
  </si>
  <si>
    <t>Intang. Cap.</t>
  </si>
  <si>
    <t>INTANG CAP</t>
  </si>
  <si>
    <t>1697-9818</t>
  </si>
  <si>
    <t>2014-3214</t>
  </si>
  <si>
    <t>TERRASSA, BARCELONA, 00000, SPAIN</t>
  </si>
  <si>
    <t>OMNIASCIENCE</t>
  </si>
  <si>
    <t>Turriago-Hoyos, Álvaro/0000-0001-9868-2203; Thoene, Ulf/0000-0003-2243-1752</t>
  </si>
  <si>
    <t>; Thoene, Ulf/R-6015-2019</t>
  </si>
  <si>
    <t>ulf.thoene@unisabana.edu.co; alvaroth@unisabana.edu.co</t>
  </si>
  <si>
    <t>Thoene, U (corresponding author), Univ La Sabana, Chia, Colombia.</t>
  </si>
  <si>
    <t>Universidad de La Sabana</t>
  </si>
  <si>
    <t>[Thoene, Ulf; Turriago-Hoyos, Alvaro] Univ La Sabana, Chia, Colombia</t>
  </si>
  <si>
    <t>Purpose: The paper provides an extensive, comprehensive and up-to-date qualitative scoping literature review of financial inclusion and other related concepts, and focuses in particular on the Colombian context, and the accessibility as well as barriers to banking services. It structures the themes and dimensions of scholarly debates on financial inclusion in the literature highlighting avenues for future research to fill various gaps. Design/methodology: This scoping literature review rigorously identifies the most relevant research and variables pertaining to financial inclusion and social innovation. Findings: Based on a scoping literature review, a comprehensive framework of key concepts of financial inclusion, scholarly contributions, countries and variables is presented. Research limitations/implications: Owing to the methodological approach of this paper and its rather theoretical nature, this research seeks to enrich scientific debates pertaining to the empirical data displayed, especially on the case of Colombia. Practical implications: The most central variables that are linked to the theme of financial inclusion are explored, and hence this paper forms a basis for future qualitative and quantitative studies. Social implications: This research article contributes to public policy making on financial inclusion aimed at reducing levels of socio-economic inequality. Originality/value: In business and management research a degree of conceptual confusion prevails on the theme of financial inclusion. This paper attempts to clarify different types of variables and one country specific case to provide more solid analytical tools for scholars and analysts.</t>
  </si>
  <si>
    <t>SOCIAL INNOVATION; CREDIT UNIONS; BRANCHLESS BANKING; EXCLUSION; MANAGEMENT; SERVICES; POLICIES; INSTITUTIONS; COMMUNITIES; STRATEGY</t>
  </si>
  <si>
    <t>Colombia; Financial inclusion; Financial exclusion; Social entrepreneurship; Social innovation</t>
  </si>
  <si>
    <t>INTANGIBLE CAPITAL</t>
  </si>
  <si>
    <t>Financial inclusion in Colombia: A scoping literature review</t>
  </si>
  <si>
    <t>Thoene, Ulf; Turriago-Hoyos, Alvaro</t>
  </si>
  <si>
    <t>Thoene, U; Turriago-Hoyos, A</t>
  </si>
  <si>
    <t>WOS:000987245400001</t>
  </si>
  <si>
    <t>G2AI9</t>
  </si>
  <si>
    <t>10.3390/su15097045</t>
  </si>
  <si>
    <t>APR 23</t>
  </si>
  <si>
    <t>This research is funded by Northeast Forestry University and the Chinese Government Scholarship Council, grant number 201741006.</t>
  </si>
  <si>
    <t>Raza, Ali/0009-0001-4042-1227; Erokhin, Vasily/0000-0002-3745-5469; Bobryshev, Aleksey/0000-0001-5039-507X; Malinovskaya, Natal’ya/0000-0001-8153-2233</t>
  </si>
  <si>
    <t>Raza, Ali/KHC-4052-2024; Erokhin, Vasily/K-1608-2013; Bobryshev, Aleksey/E-9982-2017; Malinovskaya, Natal’ya/Q-9445-2018</t>
  </si>
  <si>
    <t>Northeast Forestry University - China; Harbin Engineering University; Stavropol State Agrarian University; Plekhanov Russian University of Economics; Financial University Under the Government of Russian Federation</t>
  </si>
  <si>
    <t>[Raza, Ali; Tong, Guangji] Northeast Forestry Univ, Coll Econ &amp; Management, Harbin 150040, Peoples R China; [Erokhin, Vasilii] Harbin Engn Univ, Sch Econ &amp; Management, Harbin 150001, Peoples R China; [Bobryshev, Alexey] Stavropol State Agrarian Univ, Fac Accounting &amp; Finance, Stavropol 355017, Russia; [Chaykovskaya, Lyubov] Plekhanov Russian Univ Econ, Higher Sch Econ &amp; Business, Moscow 117997, Russia; [Malinovskaya, Natalya] Financial Univ Govt Russian Federat, Dept Audit &amp; Corp Reporting, Moscow 125167, Russia</t>
  </si>
  <si>
    <t>The unceasingly augmenting emission of greenhouse gases (GHG) has contributed substantially to the degradation of the key environmental parameters and the deterioration of performance of the agricultural sector globally. The food insecurity problem has been aggravated consequently. Due to a variety of economic and social issues, many farmers in developing economies use low-efficient and environmentally unfriendly agricultural practices. Adopting innovative technologies and practices linked with sustainable farming remains a complex issue across the developing world. In particular, financial exclusion and low financial literacy are commonly cited as the critical obstacles to achieving sustainable development. To contribute to resolving this development problem, the study attempts to investigate the effects of financial inclusion and literacy on establishing a sustainable performance of farms. A structured questionnaire was used to collect the data from 220 farmers within the Central Punjab region of Pakistan. Small-scale farms demonstrated a potential to sustain their performance by improving financial inclusion and financial literacy. Trust in extension services for agriculture plays a significant role in moderating the impact of eight independent variables (knowledge, skills, attitude, behavior, access, usage, quantity, welfare) on sustainable farm performance. The study implies that increased trust in financial services is essential for improving sustainable performance in the agricultural sector. The effect imposed by financial actors is crucial for establishing trust in financial services linked to sustainability within the agricultural industry.</t>
  </si>
  <si>
    <t>AGRICULTURE; ADOPTION; IMPACT; LAND; EMISSIONS; MODERATOR; NEXUS; STATE; CROP</t>
  </si>
  <si>
    <t>financial institutions; credit; extension services; financial inclusion; sustainable agriculture; financial literacy</t>
  </si>
  <si>
    <t>Sustaining Performance of Wheat-Rice Farms in Pakistan: The Effects of Financial Literacy and Financial Inclusion</t>
  </si>
  <si>
    <t>Raza, Ali; Tong, Guangji; Erokhin, Vasilii; Bobryshev, Alexey; Chaykovskaya, Lyubov; Malinovskaya, Natalya</t>
  </si>
  <si>
    <t>Raza, A; Tong, GJ; Erokhin, V; Bobryshev, A; Chaykovskaya, L; Malinovskaya, N</t>
  </si>
  <si>
    <t>WOS:000521650500001</t>
  </si>
  <si>
    <t>KX1NS</t>
  </si>
  <si>
    <t>10.1080/23311975.2020.1743618</t>
  </si>
  <si>
    <t>Karnadi, Erwin/0000-0001-7116-1678</t>
  </si>
  <si>
    <t>Pangestu, Stevanus/AAB-7546-2021</t>
  </si>
  <si>
    <t>pangestu@atmajaya.ac.id</t>
  </si>
  <si>
    <t>Pangestu, S (corresponding author), Atma Jaya Catholic Univ Indonesia, Fac Econ &amp; Business, Jalan Jenderal Sudirman 51, Jakarta, Indonesia.</t>
  </si>
  <si>
    <t>University Katolik Indonesia Atma Jaya</t>
  </si>
  <si>
    <t>[Pangestu, Stevanus; Karnadi, Erwin Bramana] Atma Jaya Catholic Univ Indonesia, Fac Econ &amp; Business, Jalan Jenderal Sudirman 51, Jakarta, Indonesia</t>
  </si>
  <si>
    <t>The purpose of this research is to analyze the influence of financial literacy and materialism on the savings decision of Indonesia's generation Z. This study was motivated by the country's agenda to achieve financial inclusion and develop human resources throughout the nation. We distributed questionnaires to 430 university students to measure their financial literacy score and materialism level, as well as the savings rate of every respondent. Through a series of regression analyses, we find that (i) age, gender, and major of study significantly influence financial literacy score; (ii) financial literacy positively influences savings decision; and (iii) materialism negatively influences savings decision. Our findings generally foretell favourable financial conditions for future generations of Indonesians. Finally, we also strongly recommend policymakers to start integrating financial education as a compulsory part of every school's curriculum, regardless of level.</t>
  </si>
  <si>
    <t>VALUES; BEHAVIOR; SCALE</t>
  </si>
  <si>
    <t>Financial literacy; materialism; financial behaviour; savings; generation Z</t>
  </si>
  <si>
    <t>The effects of financial literacy and materialism on the savings decision of generation Z Indonesians</t>
  </si>
  <si>
    <t>Pangestu, Stevanus; Karnadi, Erwin Bramana</t>
  </si>
  <si>
    <t>Pangestu, S; Karnadi, EB</t>
  </si>
  <si>
    <t>WOS:000460597800002</t>
  </si>
  <si>
    <t>HO0MO</t>
  </si>
  <si>
    <t>10.1057/s41288-018-0108-1</t>
  </si>
  <si>
    <t>Geneva Pap. Risk Insur.-Issues Pract.</t>
  </si>
  <si>
    <t>GENEVA PAP R I-ISS P</t>
  </si>
  <si>
    <t>1468-0440</t>
  </si>
  <si>
    <t>1018-5895</t>
  </si>
  <si>
    <t>Porto, Nilton/0000-0002-7020-2279</t>
  </si>
  <si>
    <t>xiao@uri.edu; nilton_porto@uri.edu</t>
  </si>
  <si>
    <t>Xiao, JJ (corresponding author), Univ Rhode Isl, Dept Human Dev &amp; Family Studies, 2 Lower Coll Rd, Kingston, RI 02881 USA.</t>
  </si>
  <si>
    <t>[Xiao, Jing Jian; Porto, Nilton] Univ Rhode Isl, Dept Human Dev &amp; Family Studies, 2 Lower Coll Rd, Kingston, RI 02881 USA</t>
  </si>
  <si>
    <t>The purpose of this study is to examine the potential effects of consumer financial education on insurance advice seeking with a large and representative national data set in the U.S. Previous research has examined factors associated with insurance advice seeking. After controlling for these factors, financial education, which has not been examined in previous research, is positively associated with this behaviour. Specifically, high school and workplace financial education show positive associations with insurance advice seeking. Further analyses show that there are differences in insurance advice seeking between consumers with and without life insurance.</t>
  </si>
  <si>
    <t>LITERACY; CAPABILITY</t>
  </si>
  <si>
    <t>Advice; Consumer behaviour; Consumer education; Financial capability; Financial literacy; Insurance</t>
  </si>
  <si>
    <t>GENEVA PAPERS ON RISK AND INSURANCE-ISSUES AND PRACTICE</t>
  </si>
  <si>
    <t>Financial education and insurance advice seeking</t>
  </si>
  <si>
    <t>WOS:001134110000006</t>
  </si>
  <si>
    <t>DS6W4</t>
  </si>
  <si>
    <t>10.22452/MJES.vol60no2.3</t>
  </si>
  <si>
    <t>Malays. J. Econ. Stud.</t>
  </si>
  <si>
    <t>MALAYS J ECON STUD</t>
  </si>
  <si>
    <t>1511-4554</t>
  </si>
  <si>
    <t>C/O NEW BLOCK FAC ECON &amp; ADM, UNIV MALAYASIA, KUALA LUMPUR, 50603, MALAYSIA</t>
  </si>
  <si>
    <t>PERSATUAN EKONOMI MALAYSIA</t>
  </si>
  <si>
    <t>Law, Siong/AAF-6672-2020; Sabri, Mohamad Fazli/D-3861-2019; MD JAMIL, ABD RAHIM/JFE-7424-2023</t>
  </si>
  <si>
    <t>lyme27@yahoo.com; lawsh@upm.edu.my; fazli@upm.edu.my; mhdkhair@upm.edu.my</t>
  </si>
  <si>
    <t>Law, SH (corresponding author), Univ Putra Malaysia, Sch Business &amp; Econ, UPM Serdang 43400, Selangor, Malaysia.</t>
  </si>
  <si>
    <t>[Jamil, Abd Rahim Md; Law, Siong Hook; Afham, Mohamad Khair] Univ Putra Malaysia, Sch Business &amp; Econ, UPM Serdang 43400, Selangor, Malaysia; [Sabri, Mohamad Fazli] Univ Putra Malaysia, Fac Human Ecol, UPM Serdang 43400, Selangor, Malaysia</t>
  </si>
  <si>
    <t>This study investigated the nexus between financial literacy and financial inclusion using the cross-section threshold regression model and the quantile regression technique. The sample covered 73 developing countries categorised as lower-middle income or upper-middle-income economies. The main results of the threshold model revealed that financial literacy had no inverted U-shaped effect on financial inclusion in the sample of developing countries. This situation indicated that financial literacy had a linear or monotone relationship with financial inclusion. The quantile regression model was used to compare the findings in this investigation. The empirical result indicated that the financial literacy variable had a limited impact on the conditional distribution of financial inclusion. However, the coefficient values were much larger at high than low quantiles. This study's results are necessary for policymakers and financial institutions to implement financial literacy programs targeted at specific behaviours and underserved populations in developing countries.</t>
  </si>
  <si>
    <t>SERVICES; KNOWLEDGE; DEMAND; IMPACT</t>
  </si>
  <si>
    <t>Financial literacy; financial inclusion; threshold estimation; quantile regres- sion estimation</t>
  </si>
  <si>
    <t>MALAYSIAN JOURNAL OF ECONOMIC STUDIES</t>
  </si>
  <si>
    <t>Does Financial Literacy Improve Financial Inclusion in Developing Countries? A Nonlinearity and Quantile Regression Analysis</t>
  </si>
  <si>
    <t>Jamil, Abd Rahim Md; Law, Siong Hook; Sabri, Mohamad Fazli; Afham, Mohamad Khair</t>
  </si>
  <si>
    <t>Jamil, AM; Law, SH; Sabri, MF; Afham, MK</t>
  </si>
  <si>
    <t>WOS:000471010300273</t>
  </si>
  <si>
    <t>IC5LV</t>
  </si>
  <si>
    <t>10.3390/su11102990</t>
  </si>
  <si>
    <t>MAY 2</t>
  </si>
  <si>
    <t>Kulathunga, KMMCB/0000-0003-2079-5114</t>
  </si>
  <si>
    <t>Kulathunga, KMMCB/AAP-6023-2020</t>
  </si>
  <si>
    <t>jianmuye@126.com; maduranga99a@gmail.com</t>
  </si>
  <si>
    <t>Kulathunga, KMMCB (corresponding author), Wuhan Univ Technol, Sch Management, Wuhan 430070, Hubei, Peoples R China.;Kulathunga, KMMCB (corresponding author), Uva Wellassa Univ Sri Lanka, Fac Management, Dept Management Sci, Badulla 90000, Sri Lanka.</t>
  </si>
  <si>
    <t>Wuhan University of Technology; Uva Wellassa University</t>
  </si>
  <si>
    <t>[Ye, Jianmu; Kulathunga, K. M. M. C. B.] Wuhan Univ Technol, Sch Management, Wuhan 430070, Hubei, Peoples R China; [Kulathunga, K. M. M. C. B.] Uva Wellassa Univ Sri Lanka, Fac Management, Dept Management Sci, Badulla 90000, Sri Lanka</t>
  </si>
  <si>
    <t>Role of the knowledge-based resources in promoting sustainability in small and medium enterprises (SMEs) is currently a topic of debate. Financial literacy has been identified as a vital knowledge resource for financial decision making, but insufficient attention has been given to how SMEs' financial literacy affects their sustainability. Drawing upon a knowledge-based perspective, peaking order theory and dual process theory, we constructed an integrated model to examine the impact of financial literacy, access to finance and financial risk attitude on SMEs' sustainability. The sample included 291 chief financial officers (CFOs) of SMEs in Sri Lanka. The output of structural equation modelling revealed direct positive effects of financial literacy, access to finance and financial risk attitude on sustainability. Financial literacy also emerged as a predictor of access to finance and financial risk attitude. Moreover, access to finance and financial risk attitude were found to be partial mediators of the relationship between financial literacy and SMEs' sustainability. Theoretical implications and practical implications for policymakers, industry practitioners and academics interested in promoting sustainability amongst SMEs are discussed.</t>
  </si>
  <si>
    <t>RESOURCE-BASED THEORY; RISK-TAKING; ENTREPRENEURIAL ORIENTATION; FIRM GROWTH; ACCESS; PERFORMANCE; ENTERPRISES; KNOWLEDGE; ATTITUDE; INVESTMENT</t>
  </si>
  <si>
    <t>financial literacy; access to finance; financial risk attitude; SMEs sustainable performance</t>
  </si>
  <si>
    <t>How Does Financial Literacy Promote Sustainability in SMEs? A Developing Country Perspective</t>
  </si>
  <si>
    <t>Ye, Jianmu; Kulathunga, K. M. M. C. B.</t>
  </si>
  <si>
    <t>Ye, JM; Kulathunga, KMMCB</t>
  </si>
  <si>
    <t>WOS:001290608000001</t>
  </si>
  <si>
    <t>C6Q8J</t>
  </si>
  <si>
    <t>10.1016/j.irfa.2024.103473</t>
  </si>
  <si>
    <t>Abedin, Mohammad Zoynul/K-2821-2019; Hoque, Ariful/ABB-2497-2020; Hasan, Mohammad/AAK-2185-2020</t>
  </si>
  <si>
    <t>m.hasan@murdoch.edu.au; a.hoque@murdoch.edu.au; m.z.abedin@swansea.ac.uk; d.gasbarro@murdoch.edu.au</t>
  </si>
  <si>
    <t>Abedin, MZ (corresponding author), Swansea Univ, Sch Management, Swansea, Wales.</t>
  </si>
  <si>
    <t>Murdoch University; Swansea University</t>
  </si>
  <si>
    <t>[Hasan, Morshadul; Hoque, Ariful; Gasbarro, Dominic] Murdoch Univ, Murdoch Business Sch, Murdoch, WA, Australia; [Abedin, Mohammad Zoynul] Swansea Univ, Sch Management, Swansea, Wales</t>
  </si>
  <si>
    <t>We conducted a systematic literature review (SLR) by integrating FinTech with the the United Nations' (UN) Sustainable Development Goals (SDGs). By focusing on three dimensions (inclusive finance, economy, and environment), we identify how FinTech may influence sustainable development. We innovate using human- and machine-generated processing to develop themes, making systematic literature reviews more objective and advancing replicability and reproducibility. This study demonstrates the contribution of FinTech in expanding the investment opportunity set by including environmental projects and increasing the diversity and participation rates of savers and lenders. Through this process, FinTech increases its market completeness. Accordingly, FinTech can increase economic growth by achieving higher productivity and sustainable growth through diversification, technological upgrades, entrepreneurship, creativity, and innovation. Additionally, FinTech can accelerate investments in poverty eradication and reduce income inequality. These contributions are aligned with specific SDGs and show that FinTech is an appropriate new technology for financial services.</t>
  </si>
  <si>
    <t>FINANCIAL INCLUSION; CARBON EMISSIONS; ECONOMIC-GROWTH; INNOVATION; INSIGHTS; MONEY</t>
  </si>
  <si>
    <t>FinTech; Sustainable development; Machine processing; Human processing; Access to finance; Poverty eradication; Economic growth; Financial literacy; CO2 reduction</t>
  </si>
  <si>
    <t>FinTech and sustainable development: A systematic thematic analysis using human- and machine-generated processing</t>
  </si>
  <si>
    <t>Hasan, Morshadul; Hoque, Ariful; Abedin, Mohammad Zoynul; Gasbarro, Dominic</t>
  </si>
  <si>
    <t>Hasan, M; Hoque, A; Abedin, MZ; Gasbarro, D</t>
  </si>
  <si>
    <t>WOS:001131054100001</t>
  </si>
  <si>
    <t>1TQ6A</t>
  </si>
  <si>
    <t>10.1108/IJAIM-07-2023-0168</t>
  </si>
  <si>
    <t>APR 28</t>
  </si>
  <si>
    <t>Int. J. Account. Inf. Manag.</t>
  </si>
  <si>
    <t>INT J ACCOUNT INF MA</t>
  </si>
  <si>
    <t>1758-9037</t>
  </si>
  <si>
    <t>1834-7649</t>
  </si>
  <si>
    <t>ksandhu@une.edu.au</t>
  </si>
  <si>
    <t>Sandhu, K (corresponding author), Univ New England, UNE Business Sch, Armidale, Australia.</t>
  </si>
  <si>
    <t>University of New England; University of Alaska System; University of Alaska Anchorage; Indian Institute of Management (IIM System); Indian Institute of Management Kozhikode</t>
  </si>
  <si>
    <t>[Sandhu, Kamaljeet] Univ New England, UNE Business Sch, Armidale, Australia; Univ Alaska Anchorage, Dept Accounting &amp; Finance, Anchorage, AK USA; [Kuntluru, Sudershan] Indian Inst Management Kozhikode, Dept Accounting &amp; Finance, Kozhikode, India</t>
  </si>
  <si>
    <t>PurposeThe purpose of this study is to examine the key research question, which is whether fintech innovation for financial inclusion has been successful in India? As fintech has been popular in many countries, there is very little understanding on how successful it has performed in India for financial inclusion. This research attempts to ravel important factors that may or may not have a direct or indirect impact on fintech innovation for financial inclusion, thereby dissecting the empirical data to reveal important information for the reader.Design/methodology/approachThis study covers a comprehensive literature review, from which key variables are discovered, then develops hypotheses to be examined, followed by proposing a research model. The survey data examines important research instruments for fintech inclusion in India, identifying and measuring factors, leading to partial least squares (PLS) model testing. Finally, the key findings are reported.FindingsThe findings reveal that fintech innovation from variables such as users experience and motivation for digital payments drives usefulness and ease of use leading to financial inclusion. The security, trust, transparency and customer support when built into the fintech innovation for digital payments influences perceived ease of use (PEOU) and usefulness that mediates to uplift financial inclusion directly. Whereas perceived usefulness (PU) anchoring happens to be a precursor for the financial inclusion. On the contrary, cultural values for fintech innovation through PEOU and usefulness had no impact whatsoever on financial inclusion, thus demystifying cultural influences as non-influential factor.Research limitations/implicationsResearch limitations are that the study was conducted in India, and may not be generalised in other countries; however, it can be modified to fit future research. Survey data captured was from a particular region of South India, which may differ from the rest of the country. The sample size and research period were adequate; however, larger data sets would be more meaningful for longitudinal studies. As India is the second most populous country in the world, a comparison with other similar countries of the same size and geographical location will be useful for future research.Practical implicationsThis research reveals that financial inclusion is much more complex than previously known and that the penetration of fintech has the capacity to go deeper and include a large number of people into the mainstream financial system and ameliorate the inequities in urban-rural gender and caste. The user's experience, culture and motivations positively influenced the usefulness and ease of use for driving the financial inclusion of digital payments. Further security, trust, transparency and customer support can facilitate the use of central bank digital currency (CBDC) as a tool for financial inclusion.Social implicationsFintech innovation for financial inclusion is based on the successful acceptance of the digital payment system by people in the society. This research has identified that for any fintech innovation, it is essential that society needs to benefit from it. Encouraging a larger population to switch to digital payments offer challenges and opportunities. While the opportunities are enormous research suggests that early adopters of new technology go through different phases of testing, in which a society can completely accept an innovation or can completely reject an innovation if the two mediating factors such as PU and ease of use do not perform as predicted, thus having a higher failure rate. On the other side, if such an innovation as fintech becomes successful it has the capacity to bring billions of people into mainstream financial inclusion, a success story that can greatly benefit the Indian society and which can be replicated among other countries in the world.Originality/valueTo the best of the authors' knowledge, this study is the first attempt in an effort to understand the influential factors from the point of view of users for the adoption of CBDC for financial inclusion. The main contribution of this paper is to examine the role of CBDC as an instrument to foster financial inclusion in India, which has not been attempted so far. The originality also lies to the heart of the research is dissecting and making meaningful sense of the empirical data, developing and measuring research instruments and hypotheses and finally adopting a PLS model to answer the key research question, which is whether fintech innovation for financial inclusion can be successful for India?</t>
  </si>
  <si>
    <t>PERCEIVED USEFULNESS; VIRTUAL WORLDS; TRUST; MOTIVATIONS; GLOBE; EASE; TAM</t>
  </si>
  <si>
    <t>Innovation; Financial inclusion; Fintech; Central bank digital currency; Digital payments</t>
  </si>
  <si>
    <t>INTERNATIONAL JOURNAL OF ACCOUNTING AND INFORMATION MANAGEMENT</t>
  </si>
  <si>
    <t>Fintech innovation for financial inclusion: can India make it?</t>
  </si>
  <si>
    <t>Sandhu, Kamaljeet; Dayanandan, Ajit; Kuntluru, Sudershan</t>
  </si>
  <si>
    <t>Sandhu, K; Dayanandan, A; Kuntluru, S</t>
  </si>
  <si>
    <t>WOS:001089442600001</t>
  </si>
  <si>
    <t>W1QH8</t>
  </si>
  <si>
    <t>10.1016/j.ceqi.2022.11.006</t>
  </si>
  <si>
    <t>We appreciate insightful comments and suggestions from Lixing Li (the Editor) and two anonymous reviewers. We also would like to thank Guowei Cai, Yiping Huang, Jingwen Yu, ShilinZheng for their valuable comments. The authors thank The National Social Science Fund of China (No. 18ZDA091) for their financial support.</t>
  </si>
  <si>
    <t>National Social Science Fund of China [18ZDA091]</t>
  </si>
  <si>
    <t>xunwang@nsd.pku.edu.cn; xwang2017@nsd.pku.edu.cn</t>
  </si>
  <si>
    <t>Wang, X (corresponding author), Peking Univ, Natl Sch Dev, 5 Yiheyuan Rd, Beijing, Peoples R China.</t>
  </si>
  <si>
    <t>[Wang, Xun; Wang, Xue] Peking Univ, Inst Digital Finance, China Ctr Econ Res, Natl Sch Dev, 5 Yiheyuan Rd, Beijing, Peoples R China; [Wang, Xun] Peking Univ, Natl Sch Dev, 5 Yiheyuan Rd, Beijing, Peoples R China</t>
  </si>
  <si>
    <t>This paper examines how digital finance development affects household risk sharing in China. We provide convincing evidence that households that experience idiosyncratic negative shocks on income growth exhibit a disproportionally lower level of reduction in idiosyncratic consumption growth in regions with better digital financial inclusion. Improved risk sharing through reduction in transaction costs of remittance that digital finance generates, and the liquidity and saving effects that digital financial products provide are two possible mechanisms through which digital financial inclusion affects household risk sharing. However, the development of traditional banking credit market does not appear to promote risk sharing.</t>
  </si>
  <si>
    <t>INSURANCE; CONSUMPTION; INTEGRATION; INFORMATION; CREDIT</t>
  </si>
  <si>
    <t>Household finance; Digital finance inclusion; Credit market; Risk sharing; Self insurance</t>
  </si>
  <si>
    <t>Digital financial inclusion and household risk sharing: Evidence from China's digital finance revolution</t>
  </si>
  <si>
    <t>Wang, Xun; Wang, Xue</t>
  </si>
  <si>
    <t>Wang, X; Wang, X</t>
  </si>
  <si>
    <t>WOS:000435614500005</t>
  </si>
  <si>
    <t>10.1080/15228916.2017.1416214</t>
  </si>
  <si>
    <t>[Bongomin, George Okello Candiya; Munene, John C.] Makerere Univ, Business Sch, FGSR, Kampala, Uganda; [Ntayi, Joseph M.] Makerere Univ, Business Sch, Procurement &amp; Logist, Kampala, Uganda; [Malinga, Charles Akol] Makerere Univ, Business Sch, Finance, Kampala, Uganda; [Malinga, Charles Akol] Bank Uganda, Currency, Kampala, Uganda</t>
  </si>
  <si>
    <t>The purpose of this article is to test the moderating effect of social networks in the relationship between mobile money usage and financial inclusion in rural Uganda. The results revealed that there is a significant and positive moderating effect of social networks in the relationship between mobile money usage and financial inclusion in rural Uganda. Besides, mobile money usage and social networks have direct and significant effects on financial inclusion in rural Uganda. Thus, the findings suggest that existence of social networks of strong and weak ties among mobile money users promote financial inclusion in rural Uganda. Previous studies have concentrated only on investigating the impact of mobile money in promoting financial inclusion in developing economies, especially in Sub-Saharan Africa. However, this particular study introduces the moderating effect of social networks in the relationship between mobile money usage and financial inclusion in rural Uganda, which seems to be sparse and lacking in literature.</t>
  </si>
  <si>
    <t>ACCESS; SERVICES; ADOPTION; CREDIT; KENYA; RISK</t>
  </si>
  <si>
    <t>Mobile money services; financial inclusion; rural Uganda; Sub-Saharan Africa; network ties</t>
  </si>
  <si>
    <t>Mobile Money and Financial Inclusion in Sub-Saharan Africa: the Moderating Role of Social Networks</t>
  </si>
  <si>
    <t>Bongomin, George Okello Candiya; Ntayi, Joseph M.; Munene, John C.; Malinga, Charles Akol</t>
  </si>
  <si>
    <t>WOS:000670698600001</t>
  </si>
  <si>
    <t>10.1002/jsc.2426</t>
  </si>
  <si>
    <t>Caballero-Montes, T (corresponding author), Univ Mons, Ctr European Res Microfinance, Pl Warocque 17, B-7000 Mons, Belgium.</t>
  </si>
  <si>
    <t>[Caballero-Montes, Tristan; Godfroid, Cecile; Labie, Marc] Univ Mons, Ctr European Res Microfinance, Pl Warocque 17, B-7000 Mons, Belgium</t>
  </si>
  <si>
    <t>Interest rate caps may generate adverse effects for microfinance institutions and their clients. Interest rate caps imposed in competitive and highly saturated markets may favor the commercial mindset of microfinance institutions to the detriment of social outreach. In Cambodia, the recent interest rate cap has likely not contributed to protecting the poor, slowing down the market, or reducing the risk of over-indebtedness. Policymakers and regulators should consider market conditions, especially the degree of competition when making regulatory decisions that may substantially affect the microfinance industry.</t>
  </si>
  <si>
    <t>USURY LAWS; INDEBTEDNESS; MICROCREDIT; COMPETITION; CRISIS</t>
  </si>
  <si>
    <t>Cambodia; financial inclusion; interest rate cap; microfinance; regulation</t>
  </si>
  <si>
    <t>Are interest rate caps a relevant tool to cool down overheating microfinance markets?</t>
  </si>
  <si>
    <t>Caballero-Montes, Tristan; Godfroid, Cecile; Labie, Marc</t>
  </si>
  <si>
    <t>Caballero-Montes, T; Godfroid, C; Labie, M</t>
  </si>
  <si>
    <t>WOS:000803139200001</t>
  </si>
  <si>
    <t>HC8M6</t>
  </si>
  <si>
    <t>10.1108/JIABR-01-2022-0022</t>
  </si>
  <si>
    <t>Anwar, Mokhamad/0000-0003-2641-7667; Ahmad Faisal, Yudi/0000-0001-7957-6253</t>
  </si>
  <si>
    <t>Sevriana, Lufthia/ACX-9623-2022; Anwar, Mokhamad/AAI-5720-2021</t>
  </si>
  <si>
    <t>lufthia.sevriana@uai.ac.id; erie_febrian@fe.unpad.ac.id; mokhamad.anwar@unpad.ac.id; yudi.ahmad@unpad.ac.id</t>
  </si>
  <si>
    <t>Sevriana, L (corresponding author), Univ Al Azhar Indonesia UAI, Dept Management, Fac Econ &amp; Business, Jakarta, Indonesia.;Sevriana, L (corresponding author), Univ Padjadjaran, Fac Econ &amp; Business, Management Sci, Sumedang, Indonesia.</t>
  </si>
  <si>
    <t>Universitas Al Azhar Indonesia; Universitas Padjadjaran; Universitas Padjadjaran</t>
  </si>
  <si>
    <t>[Sevriana, Lufthia] Univ Al Azhar Indonesia UAI, Dept Management, Fac Econ &amp; Business, Jakarta, Indonesia; [Sevriana, Lufthia] Univ Padjadjaran, Fac Econ &amp; Business, Management Sci, Sumedang, Indonesia; [Febrian, Erie; Anwar, Mokhamad; Ahmad Faisal, Yudi] Univ Padjadjaran, Fac Econ &amp; Business, Sumedang, Indonesia</t>
  </si>
  <si>
    <t>Purpose In Indonesia, the Islamic Economics and Finance Sector is growing rapidly, but the literature on Islamic financial literacy is still minimal. This study aims to show research opportunities with the theme of Islamic financial literacy, especially inclusive Islamic financial planning through bibliometric analysis of Scopus and connected papers. Design/methodology/approach A comma separated value (CSV) file containing more than 2,000 references meta data was used for analysis on Vos Viewer in the period of 1963-2020. The grouping of network visualization maps is done using six keywords, namely, Financial Literacy, Financial Inclusion, Islamic Financial Literacy, Financial Planning, Personal Finance and Household Finance. Findings The findings complement the keywords that are generally used as references in the formation of theories regarding inclusive Islamic financial planning. After combining the ris file from the connected paper, the most used terms are financial knowledge, financial education, financial behavior, financial decision-making process, financial inclusion, risk sharing and financial discourse. Originality/value The proportion which planned to be applied in Indonesia will differentiate the inclusive Islamic financial planning framework from what has been done before. This study outlines the basis of the relevant literature review in the theme of Islamic financial literacy research, especially inclusive Islamic financial planning.</t>
  </si>
  <si>
    <t>ZAKAT; BUSINESS; POVERTY</t>
  </si>
  <si>
    <t>Financial inclusion; Islamic financial literacy; Financial planning; Household finance; Personal finance; G51; G53; J13; Z12</t>
  </si>
  <si>
    <t>A proposition to implement inclusive Islamic financial planning in Indonesia through bibliometric analysis</t>
  </si>
  <si>
    <t>Sevriana, Lufthia; Febrian, Erie; Anwar, Mokhamad; Ahmad Faisal, Yudi</t>
  </si>
  <si>
    <t>Sevriana, L; Febrian, E; Anwar, M; Faisal, YA</t>
  </si>
  <si>
    <t>WOS:000550094800001</t>
  </si>
  <si>
    <t>QA3OY</t>
  </si>
  <si>
    <t>10.1080/09537325.2020.1795111</t>
  </si>
  <si>
    <t>FEB 1</t>
  </si>
  <si>
    <t>Agwu, Edwin/0000-0002-3384-4088</t>
  </si>
  <si>
    <t>edwinagwu@yahoo.co.uk</t>
  </si>
  <si>
    <t>Agwu, ME (corresponding author), Pan Atlantic Univ, Fac Strategy &amp; Entrepreneurship, Lagos Business Sch, Km 22,Lekki Epe Expressway, Ajah, Lagos State, Nigeria.</t>
  </si>
  <si>
    <t>[Agwu, M. E.] Pan Atlantic Univ, Fac Strategy &amp; Entrepreneurship, Lagos Business Sch, Km 22,Lekki Epe Expressway, Ajah, Lagos State, Nigeria</t>
  </si>
  <si>
    <t>Poverty reduction and income inequality have remained major challenges in all economies especially in developing countries. It is evident that digital financial service, as a platform, enhances great opportunities to access finances in various areas. Unfortunately, the markets in developing economies are fragmented and the use of digital financial services has not yet gained popularity. The often-cited barriers to mobile money adoption in these economies include but not limited to illiteracy, limited knowledge about mobile money and very low levels of trusts and above all poor infrastructures. The high-level disparity between the rural and urban dwellers is another very big issue based on their inability to benefit from the services. And these financially excluded are those who do not use any financial services or products to manage their finances. It is on record that technology interventions assist financial institutions to reduce costs and affords them increased customer reachability; however, most of the rural dwellers are not on their radar. This paper sets out to determine the extent to which the visible and ever increasing gap of financial exclusions can be bridged with the application of technology. Findings however revealed that most financially excluded individuals and businesses find solace in the informal sectors due to the traditional human touch involved. And the informal sector offers them the benefits of deeper customer relationships as opposed to endless forms that need to be filled in the formal financial institutions. The paper recommends a rethink on the part of the financial institution managers and the inclusion of some aspects of the activities of the informal sector in order to woo the unbanked and the under-banked.</t>
  </si>
  <si>
    <t>MOBILE BANKING; INFORMATION; ACCESS; INDIA; MODEL</t>
  </si>
  <si>
    <t>Technology; financial inclusion; rural areas; under-banked and unbanked</t>
  </si>
  <si>
    <t>Can technology bridge the gap between rural development and financial inclusions?</t>
  </si>
  <si>
    <t>Agwu, M. E.</t>
  </si>
  <si>
    <t>Agwu, ME</t>
  </si>
  <si>
    <t>WOS:001307365500017</t>
  </si>
  <si>
    <t>BX6CA</t>
  </si>
  <si>
    <t>Business; Management; Social Issues</t>
  </si>
  <si>
    <t>978-1-032-78287-4; 978-1-003-48718-0</t>
  </si>
  <si>
    <t>Kushwah, R (corresponding author), Medi Caps Univ, Indore, Madhya Pradesh, India.</t>
  </si>
  <si>
    <t>[Kushwah, Ruchi] Medi Caps Univ, Indore, Madhya Pradesh, India</t>
  </si>
  <si>
    <t>Recent studies have revealed that women and girls have lower scores than men and boys on a range of indicators that contribute to poverty. Women are a significant and growing segment of the informal economy and are often neglected. Many microfinance organizations have responded by focusing on women. Financial inclusion is a key concept that is widely accepted as essential for the growth and prosperity of societies worldwide. To ensure that all people have access to affordable financial services, India has made inclusive financial services a top priority. The G-20 nations have highlighted this concept as a way to promote gender equality and other sustainable development goals. Women empowerment is a revolutionary idea that aims to shift power dynamics in favor of the female gender and is considered an essential factor in global development. The purpose of this paper is to bridge the gender gap by constructing a financial inclusion index specifically designed for women, with a particular emphasis on digital services. Additionally, the paper seeks to assess the performance of individual countries based on the data available from 20 countries, in comparison to the gender-specific FI measure that has been developed. Furthermore, the paper proposes policy recommendations to improve the digital financial access of women and thus promote gender equality for more equitable growth.</t>
  </si>
  <si>
    <t>Financial inclusion; women empowerment; gender equality</t>
  </si>
  <si>
    <t>Univ Hyderabad, Sch Management Studies</t>
  </si>
  <si>
    <t>Acad Value Based Management,Univ Saskatchewan, Edwards Business Sch,Univ Pondicherry, Dept Management Studies</t>
  </si>
  <si>
    <t>Univ Hyderabad, Sch Management Studies, Hyderabad, INDIA</t>
  </si>
  <si>
    <t>FEB 19-21, 2024</t>
  </si>
  <si>
    <t>International Conference on Diversity, Equity, and Inclusion - Creating Value-Based Sustainable Organizations</t>
  </si>
  <si>
    <t>DIVERSITY, EQUITY, AND INCLUSION</t>
  </si>
  <si>
    <t>Sustainable Development of G-20 Countries by Empowering Gender Equality and Financial Inclusion of Women in India</t>
  </si>
  <si>
    <t>Kushwah, Ruchi</t>
  </si>
  <si>
    <t>Jyothi, P; Kalagnanam, S; Sengupta, SS; Charumathi, B</t>
  </si>
  <si>
    <t>Kushwah, R</t>
  </si>
  <si>
    <t>WOS:001637621800003</t>
  </si>
  <si>
    <t>T4652</t>
  </si>
  <si>
    <t>10.21919/remef.v18i2.760</t>
  </si>
  <si>
    <t>e760</t>
  </si>
  <si>
    <t>González Sierra, Juan Antonio/0000-0003-4229-5989</t>
  </si>
  <si>
    <t>PÉREZ-HERNÁNDEZ, CARLA/IVH-3248-2023</t>
  </si>
  <si>
    <t>juan_gonzalez@uaeh.edu.mx</t>
  </si>
  <si>
    <t>Sierra, JAG (corresponding author), Circuito Concepcion Km 2-5 Col San Juan Tilcuautla, San Agustin Tlaxiaca 42160, Hidalgo, Mexico.</t>
  </si>
  <si>
    <t>Universidad Autonoma del Estado de Hidalgo</t>
  </si>
  <si>
    <t>[Sierra, Juan Antonio Gonzalez; Hernandez, Carla Carolina Perez; Moheno, Jessica Mendoza] Univ Autonoma Estado Hidalgo, San Agustin Tlaxiaca, Hidalgo, Mexico</t>
  </si>
  <si>
    <t>The aim of this paper is to examine the relationship between financial inclusion and economic complexity in Mexico. An empirical study was developed calculating the Index of Economic Complexity and the Index of Financial Inclusion (access and use) for the year 2018. Subsequently, we performed a descriptive analysis, correlational and Exploratory Spatial Data Analysis. The results show that financial inclusion and economic complexity have an intense, direct and significant correlation, as well as a positive spatial correlation. The value of the empirical evidence is that the poles with high economic complexity are poles of financial inclusion (use) and the zones with low significant complexity are sectors of financial exclusion (access). The limitation of the research is that it is based only on two of the four dimensions of financial inclusion. The originality of the study lies in the fact that: a) there are no previous studies of the relationship between financial inclusion and complexity, and b) complexity was calculated through a better proxy of industrial capabilities and municipal data.</t>
  </si>
  <si>
    <t>ACCESS; SERVICES; BANKING; SAVINGS; POOR</t>
  </si>
  <si>
    <t>financial inclusion; economic complexity and exploratory spatial data analysis</t>
  </si>
  <si>
    <t>Financial Inclusion and Economic Complexity in Mexico</t>
  </si>
  <si>
    <t>Sierra, Juan Antonio Gonzalez; Hernandez, Carla Carolina Perez; Moheno, Jessica Mendoza</t>
  </si>
  <si>
    <t>Sierra, JAG; Hernández, CCP; Moheno, JM</t>
  </si>
  <si>
    <t>WOS:000568673400009</t>
  </si>
  <si>
    <t>NN3EB</t>
  </si>
  <si>
    <t>10.1016/j.joep.2020.102306</t>
  </si>
  <si>
    <t>1872-7719</t>
  </si>
  <si>
    <t>Sargent, Carol/0000-0003-3213-4647</t>
  </si>
  <si>
    <t>Sargent, Carol/R-4288-2019</t>
  </si>
  <si>
    <t>bb67@uakron.edu; carol.sargent@mga.edu</t>
  </si>
  <si>
    <t>Balasubramnian, B (corresponding author), Univ Akron, Coll Business Adm, Dept Finance, 259 South Broadway St, Akron, OH 44325 USA.</t>
  </si>
  <si>
    <t>University System of Ohio; University of Akron</t>
  </si>
  <si>
    <t>[Balasubramnian, Bhanu] Univ Akron, Coll Business Adm, Dept Finance, 259 South Broadway St, Akron, OH 44325 USA; [Sargent, Carol Springer] Middle Georgia State Univ, Sch Business, 100 Univ Pkwy, Macon, GA 31206 USA</t>
  </si>
  <si>
    <t>We examine whether inflated perceptions of financial literacy affect financial decision making. Gaps between objective financial literacy and self-reported (perceived) financial literacy (blind spots) predict 19 financial behaviors better than age, gender, income, ethnicity, marital status, self-employment status, and general education levels. Only two predictors, perceived financial literacy and financial education, carried similar levels of predictive power on financial behaviors. Those with inflated perceptions of financial literacy are more likely to miss mortgage payments, receive a collection call, use informal debt, and have poor banking behavior. Those without blind spots make better financial decisions. The differences between those with and without blind spots are more pronounced among individuals with higher education and income.</t>
  </si>
  <si>
    <t>GENDER-DIFFERENCES; SELF-CONTROL; OVERCONFIDENCE; EDUCATION; MISCONCEPTIONS; COMPREHENSION; KNOWLEDGE; INVESTORS</t>
  </si>
  <si>
    <t>Financial literacy; Financial capability; Consumer economics; Cognitive biases; Dunning-Kruger effect; Overconfidence</t>
  </si>
  <si>
    <t>Impact of inflated perceptions of financial literacy on financial decision making</t>
  </si>
  <si>
    <t>Balasubramnian, Bhanu; Sargent, Carol Springer</t>
  </si>
  <si>
    <t>Balasubramnian, B; Sargent, CS</t>
  </si>
  <si>
    <t>WOS:001617583200001</t>
  </si>
  <si>
    <t>9XU6V</t>
  </si>
  <si>
    <t>10.1186/s40854-025-00867-9</t>
  </si>
  <si>
    <t>Martinez-Blasco, Monica/C-4038-2011</t>
  </si>
  <si>
    <t>monica.martinez@iqs.url.edu; francesc.prior@iqs.url.edu; francesc.martori@iqs.url.edu</t>
  </si>
  <si>
    <t>Martinez-Blasco, M (corresponding author), Univ Ramon Llull, IQS Sch Management, Via Augusta 390, Barcelona 08017, Spain.</t>
  </si>
  <si>
    <t>Universitat Ramon Llull; Institut Quimic de Sarria</t>
  </si>
  <si>
    <t>[Martinez-Blasco, Monica; Sanz, Francesc Prior; Adrian, Francesc Martori] Univ Ramon Llull, IQS Sch Management, Via Augusta 390, Barcelona 08017, Spain</t>
  </si>
  <si>
    <t>This study employs bibliometric and visualisation techniques to analyse global trends in financial inclusion and the innovative tools that promote it. By examining a multi-database compilation of 4202 documents sourced from Scopus and Web of Science, the significant role of book chapters in disseminating research in this field is highlighted. Our analysis reveals rapid growth in publications, particularly from China and India, and identifies key influential works and authors. Additionally, it is observed that financial inclusion is approached from a multidisciplinary perspective. The findings of this study also indicate a shift in research focus from traditional concepts such as housing and banking to digitalisation and sustainability. Key research trends in financial innovative tools include regulatory frameworks, mobile money, and financial education. The issues discussed in this article seek to contribute to the ongoing dialogue on developing intellectual frameworks withing the financial inclusion literature. They offer valuable insights for policymakers, industry practitioners, and researchers in the fields of financial innovation and inclusion.</t>
  </si>
  <si>
    <t>MOBILE MONEY; BANKING SERVICES; SCIENCE; POVERTY; ACCESS; SCOPUS; WEB; REMITTANCES; PERFORMANCE; TECHNOLOGY</t>
  </si>
  <si>
    <t>Financial inclusion; Bibliometric analysis; WoS; Scopus; Co-citation; Co-occurrence; G21; G23; G28</t>
  </si>
  <si>
    <t>Mapping innovation tools and financial inclusion: a bibliometric analysis</t>
  </si>
  <si>
    <t>Martinez-Blasco, Monica; Sanz, Francesc Prior; Adrian, Francesc Martori</t>
  </si>
  <si>
    <t>Martinez-Blasco, M; Sanz, FP; Adrian, FM</t>
  </si>
  <si>
    <t>WOS:000567400600006</t>
  </si>
  <si>
    <t>NL4PT</t>
  </si>
  <si>
    <t>10.1108/IMEFM-07-2019-0279</t>
  </si>
  <si>
    <t>Besim, Mustafa/0000-0003-0749-1861</t>
  </si>
  <si>
    <t>mustafa.besim@emu.edu.tr</t>
  </si>
  <si>
    <t>Besim, M (corresponding author), Eastern Mediterranean Univ, Dept Banking &amp; Finance, Famagusta, Turkey.</t>
  </si>
  <si>
    <t>Eastern Mediterranean University</t>
  </si>
  <si>
    <t>[Khmous, Duha Farouq; Besim, Mustafa] Eastern Mediterranean Univ, Dept Banking &amp; Finance, Famagusta, Turkey</t>
  </si>
  <si>
    <t>Purpose - This study aims to investigate how the Islamic banking share (percentage of total Islamic banking assets relative to total banking sector assets) and individual characteristics (gender, age, income and education) affect financial inclusion in 14 Middle Eastern and North African (MENA) countries with different income levels. Design/methodology/approach - This study uses data from the 2014 World Bank Global Findex database to analyze the impact of individual characteristics, Islamic banking share and countries' developmental levels on financial inclusion and its barriers in MENA countries. The probit estimation method is used for estimations. Findings - The findings indicate that financial inclusion, particularly in middle-income MENA countries, is lower than the global average. While being male, rich and older positively affects financial inclusion in these countries, education does not. Islamic banking practises also contribute to financial inclusion, especially for individuals with strong religious affiliations. The effect of Islamic banking on financial inclusion is found to be greater in middle-income MENA countries. Practical implications - Islamic banking institutions could play a greater role in promoting financial inclusion in the MENA region by offering Sharia-compliant products that meet individuals' needs, matching the specific requirements and status of each country with affordable costs and offering adequate information to customers. Governments should promote more Islamic banking and incentivise investments in technology, which helps expand financial inclusion. Originality/value - This is the first study to examine the influence of Islamic banking share and countries' levels of development on financial inclusion in the MENA region.</t>
  </si>
  <si>
    <t>ECONOMIC-GROWTH; DETERMINANTS; INTENTION; SERVICES</t>
  </si>
  <si>
    <t>Financial inclusion; Financial intermediaries; Financial services; Individual characteristics; Islamic banking; MENA</t>
  </si>
  <si>
    <t>Impact of Islamic banking share on financial inclusion: evidence from MENA</t>
  </si>
  <si>
    <t>Khmous, Duha Farouq; Besim, Mustafa</t>
  </si>
  <si>
    <t>Khmous, DF; Besim, M</t>
  </si>
  <si>
    <t>WOS:000642474500002</t>
  </si>
  <si>
    <t>RQ5QX</t>
  </si>
  <si>
    <t>Remote Sensing</t>
  </si>
  <si>
    <t>10.1016/j.jag.2021.102325</t>
  </si>
  <si>
    <t>Int. J. Appl. Earth Obs. Geoinf.</t>
  </si>
  <si>
    <t>INT J APPL EARTH OBS</t>
  </si>
  <si>
    <t>1872-826X</t>
  </si>
  <si>
    <t>1569-8432</t>
  </si>
  <si>
    <t>Danish Innovation Fund, Niras/Alectia Foundation</t>
  </si>
  <si>
    <t>Danish Innovation Fund; Niras/Alectia Foundation(ACEV Foundation)</t>
  </si>
  <si>
    <t>Danish Innovation Fund; Niras/Alectia Foundation</t>
  </si>
  <si>
    <t>Jokar Arsanjani, Jamal/0000-0001-6347-2935; Keßler, Carsten/0000-0002-9724-820X</t>
  </si>
  <si>
    <t>Jokar Arsanjani, Jamal/AAS-8078-2021</t>
  </si>
  <si>
    <t>cfi@plan.aau.dk</t>
  </si>
  <si>
    <t>Fibæk, CS (corresponding author), Lyneborggade 8, DK-2300 Copenhagen S, Denmark.</t>
  </si>
  <si>
    <t>[Fibaek, Casper Samso; Kessler, Carsten; Arsanjani, Jamal Jokar] Aalborg Univ, Dept Planning, AC Meyers Vaenge 15, DK-2450 Copenhagen SV, Denmark; [Fibaek, Casper Samso] NIRAS Consulting, Sortemosevej 19, DK-3450 Allerod, Denmark; [Laufer, Hanna] Oxford Policy Management, Clarendon House,Level 3,52 Cornmarket St, Oxford OX1 3HJ, England</t>
  </si>
  <si>
    <t>Financial Inclusion is, in many ways, a spatial planning issue: Where do financial institutions provide services, how far do customers travel to access mobile money, which services are available where and how is agent cashflow handled? Utilising geodata can contribute significantly to measuring financial access and thus assist in improving Financial Inclusion by expanding the reach of services and locating areas of economic exclusion. This study presents a new Spatial Decision Support System, with a frontend embedded directly within a spreadsheet interface, that enables measuring and planning financial access through geospatial analysis and Earth Observation derived products. The purpose is to complement existing Financial Inclusion measures, which rely significantly on large-scale representative household surveys to quantify financial access and opportunity to proxy quality of inclusion. The Decision Support System relies on Earth Observation and Public Participatory GIS, which enables a decoupling from the census cycle and global reach. Our findings indicate that a geospatial approach to measuring and making decisions regarding the location of financial access points can positively affect both tracking and delivering Financial Inclusion and reducing the urban?rural service cliff-edge. Our proposed geospatial methodology is useful for decision-makers in two ways: a) It allows the measurement of the large-scale geospatial reach of financial services ? useful for decision-makers, planners, politicians, national statistical offices, and NGOs in charge of tracking progress towards the Sustainable Development Goals. b) It helps with planning and optimising services for local financial entities such as mobile money agents, brick and mortar bank branches, and less formal saving mechanisms such as saving clubs. The Spatial Decision Support System is currently used by several Financial Service Providers in Ghana and undergoing implementation for one in North-western Tanzania.</t>
  </si>
  <si>
    <t>SENTINEL-1</t>
  </si>
  <si>
    <t>Financial inclusion; Sustainable development goals; Decision support system; Earth observation; Copernicus programme</t>
  </si>
  <si>
    <t>INTERNATIONAL JOURNAL OF APPLIED EARTH OBSERVATION AND GEOINFORMATION</t>
  </si>
  <si>
    <t>Geodata-driven approaches to financial inclusion-Addressing the challenge of proximity</t>
  </si>
  <si>
    <t>Fibaek, Casper Samso; Laufer, Hanna; Kessler, Carsten; Arsanjani, Jamal Jokar</t>
  </si>
  <si>
    <t>Fibæk, CS; Laufer, H; Kessler, C; Arsanjani, JJ</t>
  </si>
  <si>
    <t>WOS:001032934000001</t>
  </si>
  <si>
    <t>M8VJ2</t>
  </si>
  <si>
    <t>10.1016/j.jebo.2023.05.030</t>
  </si>
  <si>
    <t>We are thankful for the funding received from the Robert Wood Johnson Foundation through the Interdisciplinary Leadership Program. We also thank the Office of the Provost at Pepperdine University for providing supplemental funding to this work. We are thankful to the staff of the partner community organizations, the Eastmont Community Center and Mexican American Opportunity Foundation, who contributed to this work, specially Maria Perez and Susy Contreras. We are thankful to Center for Economic and Social Research for their support to this work, specially to Arie Kapteyn for his mentorship in the design and evaluation of Mind your Money and to Tania Gutsche, Bas Weerman, Michael Moldoff, and Eva Ortega for their work developing and managing our platform. We are thankful to Pepperdine MPP students who helped carrying out this work as research assistants/project coordinators: Alexander Baker, Angelica Carranza, Rosemary Gutierrez, Evelyn Torres Callejas, and Courtney Sheldon. We thank other Pepperdine staff who supported these effort s, specially Sheryl Covey and Karin Taylor. We also thank Evelyn Aleman from Media Image Public Relations for support disseminating the findings from this work in the community. We are thankful for the comments received at the Association for Public Policy Analysis and Management Meetings in Austin, and specially to Naomi Sewde from UCLA for discussing this manuscript. The views expressed are those of the authors, and do not necessarily reflect those of the Robert Wood Johnson Foundation.</t>
  </si>
  <si>
    <t>Robert Wood Johnson Foundation through the Interdisciplinary Leadership Program; Office of the Provost at Pepperdine University</t>
  </si>
  <si>
    <t>Serido, Joyce/0000-0001-8010-2143</t>
  </si>
  <si>
    <t>Blanco, Luisa/B-7978-2009; Serido, Joyce/KVA-6895-2024</t>
  </si>
  <si>
    <t>lblanco@pepperdine.edu</t>
  </si>
  <si>
    <t>Pepperdine University; University of California System; University of California Los Angeles; University of California System; University of California Los Angeles; University of Minnesota System; University of Minnesota Twin Cities</t>
  </si>
  <si>
    <t>[Blanco, Luisa R.] Pepperdine Univ, Sch Publ Policy, 24255 Pacific Coast Highway, Malibu, CA 90265 USA; [Hernandez, Isaias] Eastmont Community Ctr, 701 Hofner Ave, Los Angeles, CA 90022 USA; [Thames, April D.] Univ Calif Los Angeles, Dept Psychiat &amp; Biobehav Sci, 740 Westwood Plaza C8-841, Los Angeles, CA 90024 USA; [Chen, Lucia] Univ Calif Los Angeles, Dept Med Stat Core, 1100 Glendon Ave, Los Angeles, CA 90024 USA; [Serido, Joyce] Univ Minnesota, Dept Family Social Sci, 1985 Buford Ave, St Paul, MN 55108 USA</t>
  </si>
  <si>
    <t>We explored the potential benefits of digital financial education programs among Hispanics, through the design, implementation and evaluation of a community-based digital intervention called Mind Your Money (MYM). This program sought to improve financial capability and reduce financial stress among low-to-moderate income Hispanics residing in the Greater Los Angeles area. We assessed the program through a randomized controlled trial with a wait-list control group. Our digital financial education program had a high retention rate and a positive statistical significant effect on financial capability. Participants who completed program activities were more likely to have a budget or spending plan and felt more confident about their ability to pay for unexpected expenses. We also find that those in the treatment group show lower levels of financial stress in comparison to the control group. &amp; COPY; 2023 Elsevier B.V. All rights reserved.</t>
  </si>
  <si>
    <t>EDUCATION; LITERACY</t>
  </si>
  <si>
    <t>Financial education; financial literacy; field experiment; digital technology</t>
  </si>
  <si>
    <t>Mind your money: A community-based digital intervention for improving financial capability among Hispanics</t>
  </si>
  <si>
    <t>Blanco, Luisa R.; Hernandez, Isaias; Thames, April D.; Chen, Lucia; Serido, Joyce</t>
  </si>
  <si>
    <t>Blanco, LR; Hernandez, I; Thames, AD; Chen, LC; Serido, J</t>
  </si>
  <si>
    <t>WOS:001029991000001</t>
  </si>
  <si>
    <t>M4NM5</t>
  </si>
  <si>
    <t>10.1186/s40461-023-00147-9</t>
  </si>
  <si>
    <t>JUL 20</t>
  </si>
  <si>
    <t>CHOUDHARY, HEENA/0000-0002-1226-229X</t>
  </si>
  <si>
    <t>CHOUDHARY, HEENA/ACK-4910-2022</t>
  </si>
  <si>
    <t>heenachoudhary0601@gmail.com</t>
  </si>
  <si>
    <t>Choudhary, H (corresponding author), Malaviya Natl Inst Technol Jaipur, Jaipur, India.</t>
  </si>
  <si>
    <t>National Institute of Technology (NIT System); Malaviya National Institute of Technology Jaipur; Indian Institute of Management (IIM System); Indian Institute of Management Indore</t>
  </si>
  <si>
    <t>[Choudhary, Heena] Malaviya Natl Inst Technol Jaipur, Jaipur, India; [Jain, Himanshi] Indian Inst Management Indore, Indore, India</t>
  </si>
  <si>
    <t>The development of financial literacy (FL) is significantly influenced by financial literacy training programs (FLTPs), which aid in creating an ecosystem that is more inclusive and participative. This study reviewed 22 studies on FLTPs for marginalised women in developed and developing countries. It seeks to comprehend (a) the characteristics of FLTPs and (b) the impact of FLTPs on women's financial behaviour. The findings highlight that existing research has demonstrated an overall improvement in post-training financial behaviour, particularly in bank ownership, savings, and expenditure. This indicates that FL programs and interventions can positively impact women's financial inclusion and empowerment. However, the study also acknowledges the need for further research to delve into women's specific challenges in various regions and contexts. Understanding these unique challenges is crucial for developing targeted strategies that address women's particular needs and circumstances in different situations. This study provides valuable insights and guidance to various stakeholders - practitioners, academics, and policymakers - enabling them to make informed decisions and implement impactful measures to promote FL and inclusion among women.</t>
  </si>
  <si>
    <t>EDUCATION; WOMEN; EMPOWERMENT; SAVINGS; SOCIALIZATION; CONSEQUENCES</t>
  </si>
  <si>
    <t>Financial literacy; Financial inclusion; Women; Training; Sustainable development; Empowerment</t>
  </si>
  <si>
    <t>Addressing Financial Exclusion through Financial Literacy training programs: a Systematic Literature Review</t>
  </si>
  <si>
    <t>Choudhary, Heena; Jain, Himanshi</t>
  </si>
  <si>
    <t>Choudhary, H; Jain, H</t>
  </si>
  <si>
    <t>WOS:000621545900001</t>
  </si>
  <si>
    <t>SN4SK</t>
  </si>
  <si>
    <t>10.1108/JEC-07-2020-0127</t>
  </si>
  <si>
    <t>J. Enterp. Communities</t>
  </si>
  <si>
    <t>J ENTERP COMMUNITIES</t>
  </si>
  <si>
    <t>1750-6212</t>
  </si>
  <si>
    <t>1750-6204</t>
  </si>
  <si>
    <t>Museba, James/KXR-6570-2024; Ranganai, Edmoreoq2p/GQH-6218-2022; Gianfrate, Gianfranco/AAG-6891-2021</t>
  </si>
  <si>
    <t>jamesmuseba@hotmail.com</t>
  </si>
  <si>
    <t>Museba, TJ (corresponding author), Int Sch Management, Paris, France.</t>
  </si>
  <si>
    <t>International School of Management, Paris; University of South Africa; Erasmus University Rotterdam; Erasmus University Rotterdam - Excl Erasmus MC</t>
  </si>
  <si>
    <t>[Museba, Tapiwanashe James] Int Sch Management, Paris, France; [Ranganai, Edmore] Univ South Africa, Coll Sci Engn &amp; Technol, Sch Sci, Dept Stat, Pretoria, South Africa; [Gianfrate, Gianfranco] Erasmus Univ, Rotterdam Sch Management, Rotterdam, Netherlands</t>
  </si>
  <si>
    <t>Purpose This paper aims to investigate the impact of fintech, mobile money and digital financial services in Uganda and factors impacting adoption of the services. The study will also determine their social impact through financial inclusion in the Ugandan market. Design/methodology/approach This study covers the adoption and use of fintech, mobile money and digital financial services in Uganda. A case study approach was used through a survey questionnaire for 400 randomly selected participants within the Kampala region. Questionnaire was designed to measure customer perception of digital financial services and adoption including mobile money and agency banking. Findings The adoption of mobile money services is driven by mobile devices penetration and the need for access to financial products and services for the unbanked. Results support CGAP (2013) that observed that mobile money adoption was based on two key variables: social network and social interactions of the customer and a segment of customers who can be described as mobile technology leaders (early adopters). There has been positive impact on person to person transfers, grocery payments and mobile money providers have to continue to simplify the access to financial services and bring convenience to the bottom of the pyramid. And mobile money positively impacts sustainable developmental goals covering Gender Equality (SDG5), SDG 8 - Decent Work and Economic Growth; expanding financial inclusion through mobile money and SDG 10 - Reduce Inequalities. Research limitations/implications This study has limitations commonly prevalent with qualitative research, including the small size limited to Kampala and challenges of making generalisations beyond this context. Practical implications The paper might serve as a valuable source of information for government and fintech companies in developing the digital financial services ecosystem as well as for students and academics for further case studies in this area. Originality/value This paper serves as one of the first qualitative research papers concerning mobile money and digital financial services adoption, solely focused on Uganda. Its value is in its showcasing of the importance of mobile money among customers in emerging markets.</t>
  </si>
  <si>
    <t>Disruptive innovation; Mobile money; Financial inclusion; Fintech; Digital financial services</t>
  </si>
  <si>
    <t>JOURNAL OF ENTERPRISING COMMUNITIES-PEOPLE AND PLACES IN THE GLOBAL ECONOMY</t>
  </si>
  <si>
    <t>Customer perception of adoption and use of digital financial services and mobile money services in Uganda</t>
  </si>
  <si>
    <t>Museba, Tapiwanashe James; Ranganai, Edmore; Gianfrate, Gianfranco</t>
  </si>
  <si>
    <t>Museba, TJ; Ranganai, E; Gianfrate, G</t>
  </si>
  <si>
    <t>WOS:000428276800005</t>
  </si>
  <si>
    <t>GA4CI</t>
  </si>
  <si>
    <t>10.1080/13563467.2017.1349091</t>
  </si>
  <si>
    <t>The author acknowledges the financial support during his postdoctoral research at Queen's University at Kingston, by Scientific and Technological Research Council of Turkey (TUBITAK).</t>
  </si>
  <si>
    <t>Scientific and Technological Research Council of Turkey (TUBITAK)(Turkiye Bilimsel ve Teknolojik Arastirma Kurumu (TUBITAK))</t>
  </si>
  <si>
    <t>Scientific and Technological Research Council of Turkey (TUBITAK)</t>
  </si>
  <si>
    <t>Güngen, Ali Rıza/0000-0002-9176-8300</t>
  </si>
  <si>
    <t>Güngen, Ali Rıza/AAI-8338-2020</t>
  </si>
  <si>
    <t>aliriza.gungen@gmail.com</t>
  </si>
  <si>
    <t>Güngen, AR (corresponding author), Turkish Social Sci Assoc, Aziziye Mahallesi,Hava Sokak 25-1, Ankara, Turkey.</t>
  </si>
  <si>
    <t>[Gungen, Ali Riza] Turkish Social Sci Assoc, Aziziye Mahallesi,Hava Sokak 25-1, Ankara, Turkey</t>
  </si>
  <si>
    <t>As in many other cases in the global South, creating more aware financial consumers is a prominent goal of the financial inclusion process in Turkey. The Turkish case has two peculiarities: the non-commercial character of the microcredit sector, which is partly organised by the state; and the state's proactive role in Turkey's financial transformation. This article analyses how the global financial inclusion agenda has been adapted for the Turkish context. The strength of Turkey's financial infrastructure motivated policy-makers to focus on financial consumers, with the state intervening to spread further the financial modes of calculation. The article argues that the financial integration of large segments of Turkish society creates conundrums which cannot be easily overcome.</t>
  </si>
  <si>
    <t>DEBT; TURKEY; TRANSFORMATION; MICROFINANCE; POVERTY; MARKET; LABOR</t>
  </si>
  <si>
    <t>Financial inclusion; Turkey; debt; state intervention</t>
  </si>
  <si>
    <t>Financial Inclusion and Policy-Making: Strategy, Campaigns and Microcredit a la Turca</t>
  </si>
  <si>
    <t>Gungen, Ali Riza</t>
  </si>
  <si>
    <t>Güngen, AR</t>
  </si>
  <si>
    <t>WOS:001138908100001</t>
  </si>
  <si>
    <t>EK8J0</t>
  </si>
  <si>
    <t>Health Policy &amp; Services</t>
  </si>
  <si>
    <t>10.1186/s12962-023-00506-z</t>
  </si>
  <si>
    <t>JAN 9</t>
  </si>
  <si>
    <t>Cost Effect. Resour Alloc.</t>
  </si>
  <si>
    <t>COST EFFECT RESOUR A</t>
  </si>
  <si>
    <t>1478-7547</t>
  </si>
  <si>
    <t>Al-Hanawi, Mohammed Khaled/0000-0002-8419-2219;</t>
  </si>
  <si>
    <t>Al-Hanawi, Mohammed Khaled/AAB-2455-2020; Rahahleh, Naseem/B-5955-2015</t>
  </si>
  <si>
    <t>Al-Hanawi, MK (corresponding author), King Abdulaziz Univ, Dept Hlth Serv &amp; Hosp Adm, Fac Econ &amp; Adm, Jeddah, Saudi Arabia.;Al-Hanawi, MK (corresponding author), King Abdulaziz Univ, Hlth Econ Res Grp, Jeddah, Saudi Arabia.</t>
  </si>
  <si>
    <t>[Al-Hanawi, Mohammed Khaled] King Abdulaziz Univ, Dept Hlth Serv &amp; Hosp Adm, Fac Econ &amp; Adm, Jeddah, Saudi Arabia; [Al-Hanawi, Mohammed Khaled] King Abdulaziz Univ, Hlth Econ Res Grp, Jeddah, Saudi Arabia; [Al Rahahleh, Naseem] King Abdulaziz Univ, Fac Econ &amp; Adm, Finance Dept, Jeddah, Saudi Arabia</t>
  </si>
  <si>
    <t>Access to convenient quality healthcare at all times is considered a basic human right; however, many countries are still striving to achieve this goal for their populations. The persistent rise in healthcare expenditure remains a significant obstacle in achieving universal health coverage on a global scale. The aim of this study was to investigate the role of financial inclusion in addressing the financial hardship related to health and medical expense concerns in the Kingdom of Saudi Arabia. Probit models were applied to analyse nationally representative data from the Global Financial Inclusion (Global Findex) database. The results showed that financial inclusion had a significant impact on reducing the hardship associated with obtaining money for emergency expenses within 30 days as indicated by a significant coefficient of -0.262. Additionally, Financial inclusion substantially increases the likelihood of borrowing money for health or medical purposes in the past 12 months, with a coefficient of 0.585. Moreover, correlations were identified between low income levels and decreased likelihood of borrowing for health/medical purposes, increased difficulty in obtaining money for emergency expenses, and heightened concern regarding the ability to afford medical costs in the event of serious illness or accidents. These findings highlight the need for policy makers and health providers to prioritize financial inclusion and support programs for low-income individuals to achieve equity in health treatment for all in Saudi Arabia.</t>
  </si>
  <si>
    <t>HEALTH-CARE; KINGDOM; GENDER</t>
  </si>
  <si>
    <t>Financial inclusion; Financial hardship; Healthcare; Medical expenses; Saudi Arabia</t>
  </si>
  <si>
    <t>COST EFFECTIVENESS AND RESOURCE ALLOCATION</t>
  </si>
  <si>
    <t>Mitigating role of financial inclusion on the perceived difficulties, concerns, and borrowing for medical expenses in Saudi Arabia</t>
  </si>
  <si>
    <t>Al-Hanawi, Mohammed Khaled; Al Rahahleh, Naseem</t>
  </si>
  <si>
    <t>Al-Hanawi, MK; Al Rahahleh, N</t>
  </si>
  <si>
    <t>WOS:001271962300001</t>
  </si>
  <si>
    <t>Q8W8N</t>
  </si>
  <si>
    <t>10.1108/DPRG-02-2024-0021</t>
  </si>
  <si>
    <t>The authors have used Grammarly for language editing of the manuscript.</t>
  </si>
  <si>
    <t>Sahu, Jagadish/X-3107-2019</t>
  </si>
  <si>
    <t>shivani.phd2115@iimkashipur.ac.in</t>
  </si>
  <si>
    <t>Jain, S (corresponding author), Indian Instituteof Management Kashipur, Dept Econ, Kashipur, India.</t>
  </si>
  <si>
    <t>[Jain, Shivani; Sahu, Jagadish Prasad] Indian Instituteof Management Kashipur, Dept Econ, Kashipur, India</t>
  </si>
  <si>
    <t>PurposeThe surge in internet usage has generated widespread speculation and optimism regarding its potential impact on the accessibility to financial services. The aim of this study is to investigate the effect of internet penetration on the accessibility of banking services in developed and developing countries.Design/methodology/approachPanel data regression methods are used to estimate the impact of internet penetration on accessibility to banking services in a sample of 74 countries from Global Findex survey waves of 2011, 2014, 2017 and 2021. To mitigate potential issues related to heteroscedasticity, autocorrelation and cross-sectional dependence, the study has implemented cluster robust standard errors testing. Furthermore, as a sensitivity check, the sample has been segregated into developed and developing country groups.FindingsThe study finds a significant positive correlation between internet penetration and banking access in full sample. Subsample analysis reveals that this relationship is statistically significant in developed countries, but not in developing ones, despite being positive. The research discusses the implications of these findings for both country groups.Originality/valueResearch to date has largely investigated the link between information and communication technology (ICT) and financial inclusion, often treating internet penetration as one component of ICT, which obscures its individual influence. This study, however, isolates internet penetration to specifically analyze its distinct effects on banking accessibility across developed and developing countries.</t>
  </si>
  <si>
    <t>FINANCIAL INCLUSION; MOBILE PHONES; ICT; DETERMINANTS; DIFFUSION; ACCESS; MONEY</t>
  </si>
  <si>
    <t>Accessibility to banking services; Internet penetration; Panel data regression; Random effects regression; Fixed effects regression; Developed and developing countries; Cluster robust standard errors</t>
  </si>
  <si>
    <t>Banking the unbanked: exploring the impact of internet penetration on accessibility to banking services in developed and developing economies</t>
  </si>
  <si>
    <t>Jain, Shivani; Sahu, Jagadish Prasad</t>
  </si>
  <si>
    <t>Jain, S; Sahu, JP</t>
  </si>
  <si>
    <t>WOS:000541815200009</t>
  </si>
  <si>
    <t>MA3KC</t>
  </si>
  <si>
    <t>10.22187/rfd2020n48a9</t>
  </si>
  <si>
    <t>e20204809</t>
  </si>
  <si>
    <t>Rev. Fac. Derecho</t>
  </si>
  <si>
    <t>REV FAC DERECHO</t>
  </si>
  <si>
    <t>2301-0665</t>
  </si>
  <si>
    <t>0797-8316</t>
  </si>
  <si>
    <t>AVDA 18 JULIO 1824, MONTEVIDEO, 11200, URUGUAY</t>
  </si>
  <si>
    <t>MONTEVIDEO</t>
  </si>
  <si>
    <t>UNIV REPUBLICA, FAC DERECHO</t>
  </si>
  <si>
    <t>jgoldenb@uc.cl</t>
  </si>
  <si>
    <t>Serrano, JLG (corresponding author), Pontificia Univ Catolica Chile, Dept Derecho Privado, Santiago, Chile.;Serrano, JLG (corresponding author), Univ Salamanca, Salamanca, Spain.</t>
  </si>
  <si>
    <t>Pontificia Universidad Catolica de Chile; University of Salamanca</t>
  </si>
  <si>
    <t>[Goldenberg Serrano, Juan Luis] Pontificia Univ Catolica Chile, Dept Derecho Privado, Santiago, Chile; [Goldenberg Serrano, Juan Luis] Univ Salamanca, Salamanca, Spain</t>
  </si>
  <si>
    <t>Financial inclusion refers to an expansive model of the supply of financial products and services to the broadest spectrum of the population, based on the fact that, especially through credit, a greater participation in economic activity is promoted, formulating a public/private strategy for overcoming poverty. However, this model must consider the greater vulnerability of the low-income population, strengthening the tools for financial consumer protection. In the Chilean context, where financial inclusion has been embraced as a governmental purpose, this second dimension shall be stressed as to avoid the construction of an over-indebted society.</t>
  </si>
  <si>
    <t>Financial Inclusion; Financial Exclusion; Poverty; Protection of the Financial Consumer; Overindebtedness</t>
  </si>
  <si>
    <t>REVISTA DE LA FACULTAD DE DERECHO</t>
  </si>
  <si>
    <t>The Dilemmas of Financial Inclusion: Context and Appraisal from the Chilean Reality</t>
  </si>
  <si>
    <t>Goldenberg Serrano, Juan Luis</t>
  </si>
  <si>
    <t>Serrano, JLG</t>
  </si>
  <si>
    <t>WOS:000336502800012</t>
  </si>
  <si>
    <t>AH9YU</t>
  </si>
  <si>
    <t>10.1111/jofi.12091</t>
  </si>
  <si>
    <t>Bruhn, M (corresponding author), World Bank, Dev Econ Res Grp DECRG, Washington, DC 20433 USA.</t>
  </si>
  <si>
    <t>The World Bank; University of Hawaii System; University of Hawaii Manoa; The World Bank</t>
  </si>
  <si>
    <t>[Bruhn, Miriam] World Bank, Dev Econ Res Grp DECRG, Washington, DC 20433 USA; [Love, Inessa] Univ Hawaii Manoa, Honolulu, HI 96822 USA; [Love, Inessa] World Bank, DECRG, Washington, DC 20433 USA</t>
  </si>
  <si>
    <t>This paper provides new evidence on the impact of access to finance on poverty. It highlights an important channel through which access affects povertythe labor market. The paper exploits the opening of Banco Azteca in Mexico, a unique natural experiment in which over 800 bank branches opened almost simultaneously in preexisting Elektra stores. Importantly, the bank has focused on previously underserved low-income clients. Our key finding is a sizeable effect of access to finance on labor market activity and income levels, especially among low-income individuals and those located in areas with lower preexisting bank penetration.</t>
  </si>
  <si>
    <t>CREDIT PROGRAMS; MICROFINANCE; MICROCREDIT; RETURNS; BANKS; POOR</t>
  </si>
  <si>
    <t>The Real Impact of Improved Access to Finance: Evidence from Mexico</t>
  </si>
  <si>
    <t>Bruhn, Miriam; Love, Inessa</t>
  </si>
  <si>
    <t>Bruhn, M; Love, I</t>
  </si>
  <si>
    <t>WOS:000388988000004</t>
  </si>
  <si>
    <t>ED6TB</t>
  </si>
  <si>
    <t>10.1108/JFEP-06-2015-0037</t>
  </si>
  <si>
    <t>llamb@tru.ca</t>
  </si>
  <si>
    <t>Lamb, L (corresponding author), Thompson Rivers Univ, Kamloops, BC, Canada.</t>
  </si>
  <si>
    <t>Thompson Rivers University</t>
  </si>
  <si>
    <t>[Lamb, Laura] Thompson Rivers Univ, Kamloops, BC, Canada</t>
  </si>
  <si>
    <t>Purpose - The financially excluded are often denied basic financial services from mainstream banking institutions, leading them to high-cost fringe finance institutions (FFIs) such as payday loan companies and pawnshops. While strategies to address financial exclusion often include financial capabilities education, there does not appear to be evidence suggesting such education is an appropriate solution. The purpose of this study is to explore the relationship between financial capability and financial exclusion with survey data collected from the Canadian city of Kamloops located in the southern interior of British Columbia. Design/methodology/approach - This exploratory research addresses the objective with survey data collected on the banking habits and financial capability levels of fringe finance users in a Canadian city. Findings - The results imply that fringe finance users do not have lower levels of financial capability than those who do not use fringe finance, when education and income are controlled. Research limitations/implications - Limitations include the relatively small survey sample of 105 people in one urban center in Canada. Originality/value - While financial literacy is acknowledged to be an important life skill for all members of society, there is no conclusive evidence suggesting it is a solution to financial exclusion. This is the first research to examine the relationship between financial exclusion and fringe finance use in Canada by collecting data on fringe finance users with face-to-face interviews.</t>
  </si>
  <si>
    <t>Banks; Behavioral economics; Financial institutions and services</t>
  </si>
  <si>
    <t>Financial exclusion and financial capabilities in Canada</t>
  </si>
  <si>
    <t>Lamb, Laura</t>
  </si>
  <si>
    <t>Lamb, L</t>
  </si>
  <si>
    <t>WOS:000686212900004</t>
  </si>
  <si>
    <t>UC0GC</t>
  </si>
  <si>
    <t>10.26414/A148</t>
  </si>
  <si>
    <t>JOUTI, AHMED/AAG-3542-2021</t>
  </si>
  <si>
    <t>a.tahiri@almaaligroup.com</t>
  </si>
  <si>
    <t>Jouti, AT (corresponding author), Al Maali Inst, Casablanca, Morocco.</t>
  </si>
  <si>
    <t>[Jouti, Ahmed Tahiri] Al Maali Inst, Casablanca, Morocco</t>
  </si>
  <si>
    <t>This paper addresses the concept of financial literacy in Islamic finance and suggests a methodology to elaborate an effective Islamic financial literacy policy (IFLP). Based on a literature review, the paper summarizes the conclusions of studies and surveys conducted in the field of conventional financial literacy while identifying the specificities of the Islamic finance industry. Indeed, the paper would help financial authorities and Islamic financial institutions in elaborating Islamic financial literacy policies (IFLPs) in order to contribute to the sustainable growth of the industry. It promotes the idea that qualitative aspects are worth studying when elaborating an Islamic financial literacy policy that has to take into account many factors such as the maturity of the industry, the objectives of the policy (inclusion or migration), the degree of Shari'ah awareness, the understanding of Arabic terminologies, etc. Finally, the IFLP measurement should include quantitative (Total reach and number of people reached) as well as qualitative aspects (level of financial literacy, impact on financial behaviour).</t>
  </si>
  <si>
    <t>Financial literacy; Financial inclusion; Financial education; Islamic financial literacy policy; Fintech; Nudging</t>
  </si>
  <si>
    <t>What Policy for Islamic Financial Literacy?</t>
  </si>
  <si>
    <t>Jouti, Ahmed Tahiri</t>
  </si>
  <si>
    <t>Jouti, AT</t>
  </si>
  <si>
    <t>WOS:001027440500001</t>
  </si>
  <si>
    <t>M0WV2</t>
  </si>
  <si>
    <t>10.1177/21582440231187603</t>
  </si>
  <si>
    <t>Thathsarani, Shanika/0000-0002-3385-4972;</t>
  </si>
  <si>
    <t>Thathsarani, Shanika/JDC-3425-2023; ALARIQI, Mona/NFS-1052-2025</t>
  </si>
  <si>
    <t>thathsarani0@gmail.com</t>
  </si>
  <si>
    <t>Thathsarani, S (corresponding author), Wuhan Univ Technol, Econ Sch, Wuhan 430070, Peoples R China.</t>
  </si>
  <si>
    <t>Wuhan University of Technology; Sabaragamuwa University of Sri Lanka; Wuhan University of Technology</t>
  </si>
  <si>
    <t>[Thathsarani, Shanika; Jianguo, Wei; Alariqi, Mona] Wuhan Univ Technol, Wuhan, Peoples R China; [Thathsarani, Shanika] Sabaragamuwa Univ Sri Lanka, Belihuloya, Sri Lanka; [Thathsarani, Shanika] Wuhan Univ Technol, Econ Sch, Wuhan 430070, Peoples R China</t>
  </si>
  <si>
    <t>Greater access to finance by SMEs in developing countries is one of the most import powerful strategies to reduce poverty and unemployment issues and promote economic growth. The main objective of this study is to construct financial inclusion index for SMEs and identify the determinants of SMEs' financial inclusion. The data are collected from the primary survey conducted in Sabaragamuwa province using the Stratified Random sampling method to achieve the abovementioned aims. A sample of 139 SMEs is used to analyze the data from a well-structured questionnaire. Principal Component Analysis (PCA) and Multiple Regression Analysis are applied to construct an index and identifying factors. The study's findings reveal that the financial inclusion index for SMEs is weighted equally by access and quality of the financial services as the pillars. Further, the financial inclusion of SMEs is mainly determined by demand-side factors (ability to manage economic changes, proffer record keeping, and willingness to expand the business), supply-side factors (collateral requirements and application procedure), institutional factors (ownership type and sector of the firm), and some demographic characteristics of owner-manager of SMEs. The study recommends that the state bankers, commercial bankers, and policymakers should put in place policies that encourage financial service providers to set up their operations close and incorporate innovative approaches to ensure that they adopt technologies and financial services that are more accessible.</t>
  </si>
  <si>
    <t>ACCESS; PERFORMANCE; CREDIT; FIRM</t>
  </si>
  <si>
    <t>factors; financial inclusion; index; SMEs; Sri Lanka</t>
  </si>
  <si>
    <t>How Do Demand, Supply, and Institutional Factors Influence SME Financial Inclusion: A Developing Country Perspective</t>
  </si>
  <si>
    <t>Thathsarani, Shanika; Jianguo, Wei; Alariqi, Mona</t>
  </si>
  <si>
    <t>Thathsarani, S; Jianguo, W; Alariqi, M</t>
  </si>
  <si>
    <t>WOS:000535800500001</t>
  </si>
  <si>
    <t>NE3UG</t>
  </si>
  <si>
    <t>10.1111/joes.12372</t>
  </si>
  <si>
    <t>This research is funded by the UK Department for International Development and the Economic and Social Research Council as part of the DFID-ESRC Growth Research Programme Call 3, under grant no. ES/N013344/1: Delivering Inclusive Financial Development and Growth. We thank David Llewellyn and participants in the Delivering Inclusive Financial Development and Growth Workshop on March 3rd - 4th 2017 at SOAS, University of London for some very helpful comments on an earlier draft. We also thank the referees and editors of the Journal for some very helpful comments which have improved the paper.</t>
  </si>
  <si>
    <t>UK Department for International Development; Economic and Social Research Council as part of the DFID-ESRC Growth Research Programme Call 3; Economic and Social Research Council(UK Research &amp; Innovation (UKRI)Economic &amp; Social Research Council (ESRC)); ESRC(UK Research &amp; Innovation (UKRI)Economic &amp; Social Research Council (ESRC))</t>
  </si>
  <si>
    <t>UK Department for International Development; Economic and Social Research Council as part of the DFID-ESRC Growth Research Programme Call 3 [ES/N013344/1]; Economic and Social Research Council [ES/N013344/1, ES/N013344/2] Funding Source: researchfish; ESRC [ES/N013344/2, ES/N013344/1] Funding Source: UKRI</t>
  </si>
  <si>
    <t>Ahmad, Ahmad Hassan/0000-0002-6004-0181</t>
  </si>
  <si>
    <t>Ahmad, Ahmad Hassan/S-7906-2019</t>
  </si>
  <si>
    <t>A.H.Ahmad@lboro.ac.uk</t>
  </si>
  <si>
    <t>Ahmad, AH (corresponding author), Loughborough Univ, Sch Business &amp; Econ, Loughborough, Leics, England.</t>
  </si>
  <si>
    <t>[Ahmad, Ahmad Hassan; Green, Christopher; Jiang, Fei] Loughborough Univ, Sch Business &amp; Econ, Loughborough, Leics, England</t>
  </si>
  <si>
    <t>Survey literature on mobile money and its contribution in promoting financial inclusion and development, with a focus on sub-Saharan Africa. We use taxonomic, descriptive and analytical methods to evaluate the state of knowledge in the area. We analyse how mobile technology in general may contribute to economic development and financial inclusion in theory and practise. We explain the mechanics of mobile money using Kenya's M-Pesa as a canonical example; and consider whether the literature has fully established the potential economic impact of mobile money especially its contribution to financial inclusion. We also consider market structure, pricing and regulatory implications of mobile money. We conclude by highlighting issues that require further investigation: the take-up of mobile money; mobile money and financial inclusion; substitutability between mobile money and conventional finance; and regulatory structures for institutions providing mobile money services.</t>
  </si>
  <si>
    <t>BANKING SERVICES; GROWTH; ACCESS; PHONES; DETERMINANTS; PRODUCTIVITY; INFORMATION; INEQUALITY</t>
  </si>
  <si>
    <t>Development; Financial inclusion; Mobile money</t>
  </si>
  <si>
    <t>MOBILE MONEY, FINANCIAL INCLUSION AND DEVELOPMENT: A REVIEW WITH REFERENCE TO AFRICAN EXPERIENCE</t>
  </si>
  <si>
    <t>Ahmad, Ahmad Hassan; Green, Christopher; Jiang, Fei</t>
  </si>
  <si>
    <t>Ahmad, AH; Green, C; Jiang, F</t>
  </si>
  <si>
    <t>WOS:001637944900003</t>
  </si>
  <si>
    <t>10.1016/j.bir.2025.09.001</t>
  </si>
  <si>
    <t>Hamurcu, Çağrı/AAC-6456-2021</t>
  </si>
  <si>
    <t>cagri.hamurcu@gmail.com; ahazar@baskent.edu.tr; babuscu@baskent.edu.tr</t>
  </si>
  <si>
    <t>Hamurcu, Ç (corresponding author), Yukariovecler Mah 1274 Sok Ugur Apt 4-12 Cankaya, Ankara, Turkiye.</t>
  </si>
  <si>
    <t>Aksaray University; Baskent University</t>
  </si>
  <si>
    <t>[Hamurcu, Cagri] Aksaray Univ, Ortakoy Vocat Sch Higher Educ, Dept Finance Banking &amp; Insurance, Aksaray, Turkiye; [Hazar, Adalet; Babuscu, Senol] Baskent Univ, Fac Commercial Sci, Dept Int Finance &amp; Banking, Ankara, Turkiye</t>
  </si>
  <si>
    <t>This study develops a portfolio-focused behavioral model to investigate how the multidimensional components of financial literacy-knowledge, attitude, and behavior-shape financial risk tolerance among mutual fund investors in T &amp; uuml;rkiye. Whereas most papers evaluate the influence of financial literacy on investment decisions using broad investor samples, this study centers on individuals who make professionally managed, portfoliobased investment decisions, thereby making a contribution to the literature. Mutual fund investors typically have higher financial awareness and structured decision-making processes, enabling a more nuanced analysis of the impact of financial literacy dimensions on risk tolerance. Drawing on behavioral finance, financial capability theory, and the theory of planned behavior, the model traces direct and indirect paths from literacy components to risk preferences. Based on data from 703 Turkish mutual fund investors and using validated Organization for Economic Cooperation and Development (OECD)/International Network on Financial Education (INFE) and Grable-Lytton scales, our structural equation model (SEM) reveals that financial behavior is the primary driver of risk tolerance, mediating the influence of knowledge and attitudes. These findings emphasize that financial literacy translates into risk-related decision-making primarily through behavior. The study highlights the behavioral dynamics of financial capability in emerging markets and calls for financial education programs that go beyond knowledge transfer to cultivate actionable attitudes and proactive behaviors among informed investors.</t>
  </si>
  <si>
    <t>GENDER; WOMEN; DETERMINANTS; SATISFACTION</t>
  </si>
  <si>
    <t>Behavioral finance; Financial attitude; Financial behavior; Financial knowledge; Financial literacy; Mutual fund investors; Risk tolerance</t>
  </si>
  <si>
    <t>A portfolio-focused behavioral model linking financial literacy and risk tolerance: Evidence from mutual fund investors in Türkiye</t>
  </si>
  <si>
    <t>Hamurcu, Cagri; Hazar, Adalet; Babuscu, Senol</t>
  </si>
  <si>
    <t>Hamurcu, Ç; Hazar, A; Babuscu, S</t>
  </si>
  <si>
    <t>WOS:000486770100001</t>
  </si>
  <si>
    <t>KG7JT</t>
  </si>
  <si>
    <t>10.1080/00036846.2019.1659496</t>
  </si>
  <si>
    <t>FEB 25</t>
  </si>
  <si>
    <t>COUCHORO, Mawuli/0000-0002-9573-0684; Gbandi, Tchapo/0000-0002-9696-0342</t>
  </si>
  <si>
    <t>komivi.afawubo@univ-lorraine.fr</t>
  </si>
  <si>
    <t>Afawubo, K (corresponding author), Univ Lorraine, CEREFIGE, Nancy, France.</t>
  </si>
  <si>
    <t>Universite de Lorraine; Universite Marie et Louis Pasteur; University of Lome; University of Lome</t>
  </si>
  <si>
    <t>[Afawubo, Komivi] Univ Lorraine, CEREFIGE, Nancy, France; [Afawubo, Komivi] Univ Franche Comte, CRESE, Nancy, France; [Couchoro, Mawuli K.; Gbandi, Tchapo] Univ Lome, Fac Sci Econom &amp; Gest FaSEG, Monnaie Finance &amp; Developpement MoFiD, Lome, Togo; [Agbaglah, Messan] Univ Lome, Ctr Anaysis Trade &amp; Econ Transit CATT, UPPA CATT France Monnaie Finance &amp; Dev MoFiD, Projet Appui Inst Union Europeenne Etat Togola PA, Lome, Togo</t>
  </si>
  <si>
    <t>We investigate the determinants of mobile money adoption process and whether its use helps households in Togo to be resilient to predictable and unpredictable life events. Using ordered logit and sequential logit models, our results show that in the adoption process, households benefit from weak ties of social groups such as religious group and informal saving group for the adoption of mobile money. We equally find that being client of banks or microfinance institutions act as powerful channels from one step to another in the process. Besides, our findings reveal that households whoever use mobile money seem to be more resilient to climatic shocks such as drought, irregular rain, soil degradation, erosion and fertility reduction and to shock that affect households' assets (non-climatic: high prices of agricultural inputs). However, the picture is more contrasted when the individuals are classified by disadvantaged groups such as rural people, women, less educated and people with low incomes.</t>
  </si>
  <si>
    <t>INSTRUMENTAL VARIABLES; FINANCIAL INCLUSION; BANKING ADOPTION; RESOURCES; NETWORKS; STRENGTH; SERVICES; PAYMENT; KENYA; TIES</t>
  </si>
  <si>
    <t>Mobile money; financial inclusion; economic shocks; Togo</t>
  </si>
  <si>
    <t>Mobile money adoption and households' vulnerability to shocks: Evidence from Togo</t>
  </si>
  <si>
    <t>Afawubo, Komivi; Couchoro, Mawuli K.; Agbaglah, Messan; Gbandi, Tchapo</t>
  </si>
  <si>
    <t>Afawubo, K; Couchoro, MK; Agbaglah, M; Gbandi, T</t>
  </si>
  <si>
    <t>WOS:001011458400001</t>
  </si>
  <si>
    <t>J7NS3</t>
  </si>
  <si>
    <t>10.1016/j.telpol.2023.102571</t>
  </si>
  <si>
    <t>SODOKIN, KOFFI/0000-0002-1763-4363; Kokouvi Joseph, DJAFON/0000-0003-0095-8940</t>
  </si>
  <si>
    <t>SODOKIN, KOFFI/IST-4018-2023</t>
  </si>
  <si>
    <t>ksodokin@univ-lome.tg; djafonjoseph@gmail.com; ydandonougbo@gmail.com; renceakakpo912@gmail.com; couchoro@hotmail.com; adagbodji@yahoo.fr</t>
  </si>
  <si>
    <t>Sodokin, K (corresponding author), Res Ctr Appl Econ &amp; Management Org CREAMO, Lome, Togo.</t>
  </si>
  <si>
    <t>[Sodokin, Koffi; Djafon, Joseph Kokouvi; Dandonougbo, Yevesse; Akakpo, Afi; Couchoro, Mawuli K.; Agbodji, Akoete Ega] Res Ctr Appl Econ &amp; Management Org CREAMO, Lome, Togo; [Sodokin, Koffi; Djafon, Joseph Kokouvi; Dandonougbo, Yevesse; Akakpo, Afi; Couchoro, Mawuli K.; Agbodji, Akoete Ega] Univ Lome, Lome, Togo</t>
  </si>
  <si>
    <t>Financing microstructures are increasingly recognized as critical for promoting financial inclusion and improving overall well-being in developing countries. In practice, the digital transformation in finance has the potential to accelerate the optimal functioning of financing microstructures, including households' access to microfinance and microinsurance. Increased access to finance can lead to a reduction in income inequality and overall well-being for households. This paper investigates the impact of access to digital finance and financing microstructures on household wellbeing and the reduction of income inequality. To achieve this, we use a combination of propensity score matching, double difference, and smooth instrumental quantile regression as estimation methods with two periods of survey data. Specifically, the paper uses the FinScope consumer data (2016) and the Harmonized Living Standards Measurement Study (2018) from Togo in a comparative perspective. The results suggest that access to both digital finance and financing microstructure is a cultural game-changer that significantly improves overall household wellbeing and contributes to reducing income inequality.</t>
  </si>
  <si>
    <t>RURAL CREDIT PROGRAMS; HEALTH-INSURANCE; PROPENSITY SCORE; WOMENS EMPOWERMENT; HOUSEHOLD WELFARE; MICROFINANCE; MICROCREDIT; CONSUMPTION; GROWTH; VULNERABILITY</t>
  </si>
  <si>
    <t>Financing microstructures; Microinsurance; Microfinance; Digital finance; Well-being; Income inequality</t>
  </si>
  <si>
    <t>Technological change, completeness of financing microstructures, and impact on well-being and income inequality</t>
  </si>
  <si>
    <t>Sodokin, Koffi; Djafon, Joseph Kokouvi; Dandonougbo, Yevesse; Akakpo, Afi; Couchoro, Mawuli K.; Agbodji, Akoete Ega</t>
  </si>
  <si>
    <t>Sodokin, K; Djafon, JK; Dandonougbo, Y; Akakpo, A; Couchoro, MK; Agbodji, AE</t>
  </si>
  <si>
    <t>WOS:000851749000001</t>
  </si>
  <si>
    <t>4K1WK</t>
  </si>
  <si>
    <t>10.3390/su141711061</t>
  </si>
  <si>
    <t>SHARMA, RAKESH KUMAR/0000-0001-7656-6957; Kiran, Ravi/0000-0003-2434-9103</t>
  </si>
  <si>
    <t>SHARMA, RAKESH KUMAR/V-8601-2017; Kiran, Ravi/AFP-6571-2022</t>
  </si>
  <si>
    <t>amitpandey@thapar.edu</t>
  </si>
  <si>
    <t>Pandey, A (corresponding author), Thapar Inst Engn &amp; Technol, Sch Humanities &amp; Social Sci, Patiala 147004, Punjab, India.</t>
  </si>
  <si>
    <t>Thapar Institute of Engineering &amp; Technology</t>
  </si>
  <si>
    <t>[Pandey, Amit; Kiran, Ravi; Sharma, Rakesh Kumar] Thapar Inst Engn &amp; Technol, Sch Humanities &amp; Social Sci, Patiala 147004, Punjab, India</t>
  </si>
  <si>
    <t>The present study examines how successful we are in achieving financial inclusiveness, investigating the influence of the drivers of financial inclusion (FI), financial literacy, and financial initiatives on sustainable growth. The drivers of FI considered are digitalization, technology, and usage. This study proceeds with a difference and investigates the impact of the drivers on sustainable growth through the mediation of financial literacy. The basic purpose is to understand whether mediation assists in enhancing the impact of the drivers of FI on sustainable growth. Sustainable growth is measured by knowing customers' perceptions regarding FI success through the achievement of the SDGs, viz., SDGs 1, 3, 5, 8, 9, 10, 11, and 17, especially related to poverty alleviation; removing gender inequality; and promoting industrial growth. The study uses PLS-SEM modeling to investigate the impact of the drivers of FI, financial literacy, and financial initiatives on sustainable growth. The results highlight that usage, digitalization, and FinTech emerged as significant drivers of FI. The study assesses the direct impact of the drivers of FI on sustainable growth and the indirect effect through the mediation of financial literacy. This is indicative of the importance of financial literacy in accentuating the impact of the drivers on sustainable growth. However, financial initiatives positively impact sustainable growth in the northern region of India as well.</t>
  </si>
  <si>
    <t>SERVICES; ACCESS; MICROFINANCE; KNOWLEDGE; POVERTY; ISSUES; CREDIT; POLICY; INCOME; MODEL</t>
  </si>
  <si>
    <t>financial inclusion; financial literacy; sustainable development goals (SDGs); financial policy; digitalization; technology; PLS-SEM</t>
  </si>
  <si>
    <t>Investigating the Impact of Financial Inclusion Drivers, Financial Literacy and Financial Initiatives in Fostering Sustainable Growth in North India</t>
  </si>
  <si>
    <t>Pandey, Amit; Kiran, Ravi; Sharma, Rakesh Kumar</t>
  </si>
  <si>
    <t>Pandey, A; Kiran, R; Sharma, RK</t>
  </si>
  <si>
    <t>WOS:001206290500001</t>
  </si>
  <si>
    <t>OZ4B3</t>
  </si>
  <si>
    <t>10.1108/DPRG-10-2023-0149</t>
  </si>
  <si>
    <t>amrita@mse.ac.in</t>
  </si>
  <si>
    <t>Chatterjee, A (corresponding author), Madras Sch Econ, Chennai, India.</t>
  </si>
  <si>
    <t>Madras School of Economics</t>
  </si>
  <si>
    <t>[Chatterjee, Amrita] Madras Sch Econ, Chennai, India</t>
  </si>
  <si>
    <t>PurposeEven if digital financial services have a positive impact on financial inclusion, it creates a digital as well as gender divide within and across countries, creating regional disparity even within developing nations. Though pandemic has initiated digitalization of various services, there has been scanty research on whether digital transfer of income can improve digital financial inclusion in post-pandemic era, especially in developing countries. The purpose of the current study is to explain the regional disparity within developing countries from three regions East Asia Pacific, South Asia and Sub-Saharan Africa, using latest World Findex data, 2021.Design/methodology/approachThe author takes an instrumental variable approach to run bivariate probit model to find the factors that motivate the users to make digital payments.FindingsThe study observes that electronic transfer of wages, government transfers and remittances can motivate individuals to make use of digital mode of transactions and mobile. The practice of formal saving and borrowings are the prerequisites. However, this mechanism holds good for East Asia Pacific and not for South Asia and Sub-Saharan Africa, which are poor in information and communication technology infrastructure. Women are lagging behind men, but digital transfer of wages motivate them to make digital transaction.Practical implicationsDigitalization of all government services and provision of affordable mobile network and internet services are necessary for regions like South Asia and Sub-Saharan Africa. In East Asia Pacific region, data protection, data governance and better regulatory framework are required. Higher female labor force participation with digital transfer of wages and empowerment with smartphones are key to reducing the Gender gap.Originality/valueThe current study corrects for the possible endogeneity issue, which the extant literature has not paid attention to, and provides region-specific and gender-specific policy recommendations for an improved digital inclusion.</t>
  </si>
  <si>
    <t>MOBILE MONEY; INCLUSION; STABILITY; SERVICES; ADOPTION</t>
  </si>
  <si>
    <t>Digital finance; Electronic wage transfer; World Findex data; Bivariate probit model; Instrumental variable; G21, J3, J160</t>
  </si>
  <si>
    <t>Digital finance: a developing country perspective with special focus on gender and regional disparity</t>
  </si>
  <si>
    <t>Chatterjee, Amrita</t>
  </si>
  <si>
    <t>Chatterjee, A</t>
  </si>
  <si>
    <t>WOS:001074221200003</t>
  </si>
  <si>
    <t>S9ID9</t>
  </si>
  <si>
    <t>Rehabilitation</t>
  </si>
  <si>
    <t>Alter</t>
  </si>
  <si>
    <t>ALTER</t>
  </si>
  <si>
    <t>1875-0680</t>
  </si>
  <si>
    <t>1875-0672</t>
  </si>
  <si>
    <t>105 BD RASPAIL, PARIS, 75006, FRANCE</t>
  </si>
  <si>
    <t>ECOLE HAUTES ETUDES &amp; SCIENCES SOC-EHESS, COLL FRANCE</t>
  </si>
  <si>
    <t>I am delighted to give my very special thanks to Professor Marc Labie, First Vice Rector, University of Mons, and Co-Director, CERMi, Belgium, for supporting me in gaining financial support from The University of Mons, Belgium, for data collection. I am very happy to thank all the participants in this research. Moreover, my special thanks go to the two anonymous reviewers for their supportive comments.</t>
  </si>
  <si>
    <t>University of Mons, Belgium</t>
  </si>
  <si>
    <t>Sarker, Debashis/AAJ-4214-2021</t>
  </si>
  <si>
    <t>Sarker, D (corresponding author), Univ Queensland, Sch Social Sci, Brisbane, Qld, Australia.</t>
  </si>
  <si>
    <t>[Sarker, Debashis] Univ Queensland, Sch Social Sci, Brisbane, Qld, Australia</t>
  </si>
  <si>
    <t>This paper represents the experiences of people with physical disabilities in accessing microfinance lending. Microfinance emerged as a tool to eradicate poverty and empower poor people; however, accessing it is challenging for many people with physical disabilities. This qualitative study was conducted through semi-structured in-depth interviews with twenty people with physical disabilities in Bangladesh to explore their insights into the issues that they face in accessing microfinance. Data was collected from both urban and rural areas and both male and female participants. Underpinned by the social model of disability, this study finds that people with physical disabilities experience substantial exclusion, stigma and barriers in accessing microfinance. In many cases, despite the efforts of microfinance institutions, credit is unavailable to many people with physical disabilities, as they experience negative and unfriendly behaviour from microfinance staff and unaffordable credit conditions. Moreover, people with physical disabilities have fewer opportunities to access non-credit services, such as savings, insurance, training and complaints mechanisms. To address these challenges, microfinance institutions need to develop disability-friendly and robust institutional policy reforms. People with disabilities should be actively involved in the policy development process. This study will not only share the experiences of people with physical disabilities from a context in the Global South, but also provides insights which might be useful to understanding the challenges that other people with disabilities in different countries face in terms of financial inclusion.</t>
  </si>
  <si>
    <t>MICROCREDIT; DISCRIMINATION; STIGMA; IMPACT; POOR</t>
  </si>
  <si>
    <t>Financial Inclusion; Microfinance; People with Physical Disabilities; Microcredit; Bangladesh</t>
  </si>
  <si>
    <t>ALTER-EUROPEAN JOURNAL OF DISABILITY RESEARCH</t>
  </si>
  <si>
    <t>Experiences of people with physical disabilities when accessing microfinance services in Bangladesh: A qualitative study</t>
  </si>
  <si>
    <t>WOS:000377104600003</t>
  </si>
  <si>
    <t>DN5KC</t>
  </si>
  <si>
    <t>10.1080/13691066.2015.1079952</t>
  </si>
  <si>
    <t>Adomako, Samuel/0000-0002-7139-0988; Danso, Albert/0000-0002-1971-413X; Damoah, John Ofori/0000-0003-3617-6502</t>
  </si>
  <si>
    <t>Adomako, Samuel/HOC-1666-2023; Danso, Albert/J-8427-2014</t>
  </si>
  <si>
    <t>s.adomako@warwick.ac.uk</t>
  </si>
  <si>
    <t>Adomako, S (corresponding author), Univ Warwick, Warwick Business Sch, Coventry CV4 7AL, W Midlands, England.</t>
  </si>
  <si>
    <t>University of Warwick; University of York - UK</t>
  </si>
  <si>
    <t>[Adomako, Samuel] Univ Warwick, Warwick Business Sch, Coventry CV4 7AL, W Midlands, England; [Danso, Albert] Univ York, York Management Sch, York YO10 5DD, N Yorkshire, England; [Damoah, John Ofori] Cent Univ Coll, Cent Business Sch, Accra, Ghana</t>
  </si>
  <si>
    <t>The literature on access to finance has confirmed a positive relationship between access to finance and firm growth. Yet the boundary conditions for such linkage are less examined in the context of developing economies. This study draws on resource-based view to introduce financial literacy as a moderator of the relationship between access to finance and firm growth. This theoretically derived research model is empirically tested using survey data from 201 small and medium-sized enterprises in Ghana. Our empirical findings suggest that financial literacy positively enhances the access to finance-firm growth relationship.</t>
  </si>
  <si>
    <t>ENTREPRENEURIAL ORIENTATION; DYNAMIC CAPABILITIES; STRATEGIC ORIENTATION; BUSINESS PERFORMANCE; VENTURE CAPITALISTS; POLITICAL TIES; RESOURCES; COUNTRY; IMPACT; ENVIRONMENTS</t>
  </si>
  <si>
    <t>Access to finance; financial literacy; SMEs; growth; Ghana</t>
  </si>
  <si>
    <t>The moderating influence of financial literacy on the relationship between access to finance and firm growth in Ghana</t>
  </si>
  <si>
    <t>Adomako, Samuel; Danso, Albert; Damoah, John Ofori</t>
  </si>
  <si>
    <t>Adomako, S; Danso, A; Damoah, JO</t>
  </si>
  <si>
    <t>WOS:000710204100001</t>
  </si>
  <si>
    <t>WL1WL</t>
  </si>
  <si>
    <t>10.15544/mts.2021.29</t>
  </si>
  <si>
    <t>Manag. Theory Stud. Rural Bus. Infrastruct. Dev.</t>
  </si>
  <si>
    <t>MANAG THEORY STUD RU</t>
  </si>
  <si>
    <t>2345-0355</t>
  </si>
  <si>
    <t>1822-6760</t>
  </si>
  <si>
    <t>K DONELAICIO G 52-304, KAUNAS, 44244, LITHUANIA</t>
  </si>
  <si>
    <t>VYTAUTAS MAGNUS UNIV</t>
  </si>
  <si>
    <t>Nedilska, Larysa/0000-0002-0528-9021; Abramova, Iryna/0000-0003-3724-0342</t>
  </si>
  <si>
    <t>Nedilska, Larysa/ABA-7484-2020; Abramova, Iryna/U-4293-2017</t>
  </si>
  <si>
    <t>irina79abramova@gmail.com; lorka_nedelskaya@ukr.net; kurovska@gmail.com; g.martinyuk66@gmail.com</t>
  </si>
  <si>
    <t>Abramova, I (corresponding author), Polissia Natl Univ, Old Blvd 7, UA-10008 Zhytomyr, Zhytomyr Region, Ukraine.</t>
  </si>
  <si>
    <t>Ministry of Education &amp; Science of Ukraine; Polissia National University</t>
  </si>
  <si>
    <t>[Abramova, Iryna; Nedilska, Larysa; Kurovska, Nataliia; Martynyuk, Halyna] Polissia Natl Univ, Old Blvd 7, UA-10008 Zhytomyr, Zhytomyr Region, Ukraine</t>
  </si>
  <si>
    <t>Financial inclusion is a means to make full use of financial services, which stimulates the introduction of innovation, mobilization of savings and investment support, and thus contributes to the economic development of territories. The purpose of the study is to substantiate scientific and practical approaches to determining the role and place of financial inclusion in sustainable development of rural areas. The state of financial inclusion in rural areas has been assessed having applied the statistical-economic and calculation-constructive methods. The abstract-logical method made it possible to prove the positive impact of financial inclusion on the sustainable development of rural areas and to offer proposals for its further advancement. It has been argued that the key tasks of financial inclusion in the context of sustainable development of rural areas are financial education, access to financial services, and protection of the rights of consumers of financial services.</t>
  </si>
  <si>
    <t>financial education; financial inclusion; financial literacy; financial service; payment infrastructure; rural areas; rural development</t>
  </si>
  <si>
    <t>MANAGEMENT THEORY AND STUDIES FOR RURAL BUSINESS AND INFRASTRUCTURE DEVELOPMENT</t>
  </si>
  <si>
    <t>FINANCIAL INCLUSION IN THE CONTEXT OF SUSTAINABLE DEVELOPMENT OF RURAL AREAS</t>
  </si>
  <si>
    <t>Abramova, Iryna; Nedilska, Larysa; Kurovska, Nataliia; Martynyuk, Halyna</t>
  </si>
  <si>
    <t>Abramova, I; Nedilska, L; Kurovska, N; Martynyuk, H</t>
  </si>
  <si>
    <t>WOS:000581788600001</t>
  </si>
  <si>
    <t>PH6OR</t>
  </si>
  <si>
    <t>10.1111/joca.12336</t>
  </si>
  <si>
    <t>Porto, Nilton/0000-0002-7020-2279; Xiao, Jing Jian/0000-0003-3252-5672</t>
  </si>
  <si>
    <t>Xiao, JJ (corresponding author), Univ Rhode Isl, Human Dev &amp; Family Studies, Kingston, RI 02881 USA.</t>
  </si>
  <si>
    <t>University of Rhode Island; University of Rhode Island</t>
  </si>
  <si>
    <t>[Xiao, Jing Jian; Porto, Nilton] Univ Rhode Isl, Human Dev &amp; Family Studies, Kingston, RI 02881 USA; [Mason, Irene McIvor] Univ Rhode Isl, Human Dev &amp; Family Sci, Kingston, RI 02881 USA</t>
  </si>
  <si>
    <t>Effective consumer financial education provides relevant information to meet special needs of targeted audiences. The purpose of this study is to examine differences in financial capability among student loan holders who are college students, graduates, and dropouts. Using data from the 2015 U.S. National Financial Capability Study, the results show that student loan holders who have completed their education program have higher scores in all financial capability indicators than college students and dropouts. Further analyses show differences in specific financial knowledge items among college students, graduates, and dropouts. In addition, college graduates are more likely to perform several specific desirable financial behaviors than college students and dropouts. The findings suggest that financial educators should emphasize action taking when they provide financial education for student loan holders who are college students and dropouts.</t>
  </si>
  <si>
    <t>YOUNG-ADULTS; EDUCATION; LITERACY; DEBT; BEHAVIOR; SATISFACTION; DECISIONS; HEALTH; RISKY</t>
  </si>
  <si>
    <t>financial capability; financial literacy; financial behavior</t>
  </si>
  <si>
    <t>Financial capability of student loan holders who are college students, graduates, or dropouts</t>
  </si>
  <si>
    <t>Xiao, Jing Jian; Porto, Nilton; Mason, Irene McIvor</t>
  </si>
  <si>
    <t>Xiao, JJ; Porto, N; Mason, IM</t>
  </si>
  <si>
    <t>WOS:000380517100012</t>
  </si>
  <si>
    <t>BF3AT</t>
  </si>
  <si>
    <t>Computer Science, Hardware &amp; Architecture; Computer Science, Information Systems; Green &amp; Sustainable Science &amp; Technology</t>
  </si>
  <si>
    <t>978-1-4673-7910-6</t>
  </si>
  <si>
    <t>Shakya, Subarna/AAD-1059-2019</t>
  </si>
  <si>
    <t>maheshmanmaharjan@gmail.com; drss@ioe.edu.np</t>
  </si>
  <si>
    <t>Maharjan, M (corresponding author), Singhania Univ, Dept Comp Sci &amp; Engn, Jhunjhunu, Rajasthan, India.</t>
  </si>
  <si>
    <t>Tribhuvan University</t>
  </si>
  <si>
    <t>[Maharjan, Mahesh] Singhania Univ, Dept Comp Sci &amp; Engn, Jhunjhunu, Rajasthan, India; [Shakya, Subama] Tribhuvan Univ Pulchowk, Inst Engn, Dept Elect &amp; Comp Engn, Lalitpur, Nepal</t>
  </si>
  <si>
    <t>Social security is a basic right of a citizen. Every citizen but mostly poor, old, weak and helpless citizen of a nation is in need of social security. In order to maintain minimum living standard, government provides social security to its citizens. In Nepal, the number of social security allowance beneficiaries has been increasing each year. Mostly in rural areas, direct cash distribution to beneficiaries is a common practice by local government through manual process. In urban areas where there is access of banks, social cash transfer has been carried out through banking channel through manual process. Because of manual process, some are benefitted twice and needy citizens are missing from the programme. The manual process is really time consuming, irritating, problems at time of payment and extracting report is difficult. Therefore, digitization of beneficiaries list and process of social security cash transfer needs to be automatic. The main motive of financial institutions is to increase maximum profit that's why they have been providing banking facilities at core market area and hesitate to reach to rural areas. Branchless banking is a new innovative idea to reach to poor and unbanked people of rural areas. The research aims to design system architecture for social security cash transfer through branchless banking.</t>
  </si>
  <si>
    <t>Social security; Cash transfer; Digitization; Branchless banking</t>
  </si>
  <si>
    <t>GALGOTIAS Educ Inst</t>
  </si>
  <si>
    <t>IEEE Advancing Technol Human,IEEE UP Sect India,IEEE Comp Soc,IEEE Syst Man &amp; Cybernet Soc,Malaysia Chapter,Inst Neural Network Soc</t>
  </si>
  <si>
    <t>GALGOTIAS Educ Inst, Greater Noida, INDIA</t>
  </si>
  <si>
    <t>OCT 08-10, 2015</t>
  </si>
  <si>
    <t>International Conference on Green Computing and Internet of Things (ICGCIoT)</t>
  </si>
  <si>
    <t>2015 International Conference on Green Computing and Internet of Things (ICGCIoT)</t>
  </si>
  <si>
    <t>System Architecture for Social Security Cash Transfer Through Branchless Banking in Nepal</t>
  </si>
  <si>
    <t>Maharjan, Mahesh; Shakya, Subama</t>
  </si>
  <si>
    <t>Maharjan, M; Shakya, S</t>
  </si>
  <si>
    <t>WOS:001041749400003</t>
  </si>
  <si>
    <t>10.1891/JFCP-2022-0003</t>
  </si>
  <si>
    <t>mokhtari@umd.edu; isha@umd.edu</t>
  </si>
  <si>
    <t>Mokhtari, M (corresponding author), Univ Maryland, Dept Family Sci, College Pk, MD 20742 USA.</t>
  </si>
  <si>
    <t>[Mokhtari, Mitch; Chawla, Isha] Univ Maryland, Dept Family Sci, College Pk, MD 20742 USA</t>
  </si>
  <si>
    <t>This study provides theory and evidence on the relation between financial literacy overconfidence (FLO) and high-cost borrowing and its mediation and moderation through mobile financial services (MFS). We investigate whether MFS carry the effect of FLO on the household demand for alternative financial services (AFS), such as payday loans. Using the 2018 National Financial Capability Study, we show that using MFS both mediates and moderates the effect of FLO on the use of AFS. We find that unbanked households, who make up around 5% of the sample, are twice as likely to take out payday loans and three times as likely to use AFS than households with access to the banking system. Estimates show that 4% of the total effect of FLO on using AFS and taking out payday loans is mediated by using MFS. We find that households who use MFS are two to three times more likely to access AFS and take out payday loans than those who do not use MFS.</t>
  </si>
  <si>
    <t>MEDIATION; KNOWLEDGE; EXPERIENCES; CONFIDENCE; ACCESS</t>
  </si>
  <si>
    <t>alternative financial services; financial literacy overconfidence; mobile financial services; payday loans; unbanked</t>
  </si>
  <si>
    <t>Financial Literacy Overconfidence, Mobile Financial Service Use, and High-Cost Borrowing</t>
  </si>
  <si>
    <t>Mokhtari, Mitch; Chawla, Isha</t>
  </si>
  <si>
    <t>Mokhtari, M; Chawla, I</t>
  </si>
  <si>
    <t>WOS:000586871000001</t>
  </si>
  <si>
    <t>ON7IZ</t>
  </si>
  <si>
    <t>10.3390/jrfm13100239</t>
  </si>
  <si>
    <t>This research was partially funded by Banque Populaire and by Conseil Regional de Bourgogne Franche Comte.</t>
  </si>
  <si>
    <t>Banque Populaire; Conseil Regional de Bourgogne Franche Comte(Region Bourgogne-Franche-Comte)</t>
  </si>
  <si>
    <t>Banque Populaire; Conseil Regional de Bourgogne Franche Comte</t>
  </si>
  <si>
    <t>mohamedou91@hotmail.com; arvind.ashta@bsb-education.com; zaka.ratsimalahelo@univ-fcomte.fr</t>
  </si>
  <si>
    <t>Bouasria, M (corresponding author), Univ Bourgogne Franche Comte, CRESE EA 3190, F-25000 Besancon, France.</t>
  </si>
  <si>
    <t>Universite Marie et Louis Pasteur; Universite Marie et Louis Pasteur</t>
  </si>
  <si>
    <t>[Bouasria, Mohamedou; Ratsimalahelo, Zaka] Univ Bourgogne Franche Comte, CRESE EA 3190, F-25000 Besancon, France; [Ashta, Arvind] Univ Bourgogne Franche Comte, CEREN EA 7477, Burgundy Sch Business, F-25000 Besancon, France</t>
  </si>
  <si>
    <t>The objective of the study was to enhance our knowledge on institutional bottlenecks for financial development, financial inclusion, and microfinance, using Mauritania as a case study. We used a mixed-methods' methodology that combines analysis of secondary data and an expert interview. First, a logit model with dummy independent variables was used to investigate the factors that impact the households' access to credit, the main advantage of this model being to avoid confounding effects by analyzing the association of all variables together. Our study found that access to financial services is equal in Mauritania between men and women, but that access to credit is higher for public sector employees, educated people, and households with smaller families. Second, using principal components' analysis, we found that the different regions of Mauritania can be divided based on unemployment, income, literacy, financial inclusion, and population density into two main dimensions, yielding four quadrants: Attractive, industrious, moderate, and resource cursed. We expected that sparsely populated countries would have less access to credit. Counterintuitively, we found that within a low-density country, people in the lowest-density regions have higher odds of getting credit. Third, based on an interview with an expert, we noted the key challenges that microfinance is facing in Mauritania and provided recommendations to overcome these. As in most case studies, external validity was limited.</t>
  </si>
  <si>
    <t>MEKONG RIVER DELTA; MICROCREDIT; INSTITUTIONS; CREDIT; IMPACT; MANAGEMENT; EVOLUTION; LESSONS; ROSCAS</t>
  </si>
  <si>
    <t>microfinance; microcredit; financial inclusion; regional analysis; population density; logit model</t>
  </si>
  <si>
    <t>Bottlenecks to Financial Development, Financial Inclusion, and Microfinance: A Case Study of Mauritania</t>
  </si>
  <si>
    <t>Bouasria, Mohamedou; Ashta, Arvind; Ratsimalahelo, Zaka</t>
  </si>
  <si>
    <t>Bouasria, M; Ashta, A; Ratsimalahelo, Z</t>
  </si>
  <si>
    <t>WOS:000986530100002</t>
  </si>
  <si>
    <t>Neelamahirwal16@gamil.com; Sonali_bhattacharya@scmhrd.edu</t>
  </si>
  <si>
    <t>Neelam (corresponding author), Symbiosis Int Deemed Univ, Pune 412115, India.</t>
  </si>
  <si>
    <t>[Neelam, Sonali] Symbiosis Int Deemed Univ, Pune 412115, India; [Bhattacharya, Sonali] Symbiosis Int Deemed Univ, Symbiosis Ctr Management &amp; Human Resource Dev, Pune 411057, India</t>
  </si>
  <si>
    <t>In the age of technology, the usage of mobile payment apps is playing a significant role in financially strengthening urban areas. This research aims to identify the enablers affecting the use of mobile technology by the urban poor households in Pune, Maharashtra, India, and to identify the user behaviour in technology adaptation. The published literature was thoroughly reviewed with respect to mobile payment, financial technology, and financial inclusion. The data was collected through a field survey. Simultaneously, a structural equation model is developed using Amos software, and SPSS is used to perform factor analysis. The theoretical framework is based on the Unified theory of acceptance and the use of technology (UTAUT-2) Model. The enablers are Performance Expectancy (P.E.), Economic Benefit (E.B.), Convenience, Technical conditions (T.C.), Hedonic motivation (H.M.), and Behavioural intention (B.I.), Social influence (S.I.) are impacting the use of mobile apps related to finance under the mediating effect of behavioral intention, thereby supporting financial inclusion. Gender, education, occupation, and income are the control variables. Men are more frequent users of mobile payment apps. This study is unique in the context of urban poor households regarding the use of m-payment app and to understand their behavior and actual usage pattern. The current study also has some implications for the banking and mobile technology industry. They may start new strategies for mobile industries, and certain factors such as security, convenience, and technical conditions can influence customer intention of using m-payment apps; hence, it needs proper consideration. Simultaneously, banks and technology industries must verify their privacy norms and make it easy for customers to use technology.</t>
  </si>
  <si>
    <t>TECHNOLOGY ACCEPTANCE MODEL; UNIFIED THEORY; INFORMATION-TECHNOLOGY; CONSUMER ACCEPTANCE; GENDER-DIFFERENCES; USER ACCEPTANCE; ADOPTION; INTENTION; PERSPECTIVE; SERVICES</t>
  </si>
  <si>
    <t>Mobile Payment App; Urban Poor Households; Structural Equation Modeling; Unified Theory of Acceptance; Use of Technology (UTAUT-2)</t>
  </si>
  <si>
    <t>The Role of Mobile Payment Apps in Inclusive Financial Growth</t>
  </si>
  <si>
    <t>Neelam, Sonali; Bhattacharya, Sonali</t>
  </si>
  <si>
    <t>WOS:000414304900001</t>
  </si>
  <si>
    <t>FL5SB</t>
  </si>
  <si>
    <t>10.1177/0266242617719314</t>
  </si>
  <si>
    <t>Int. Small Bus. J.-Res. Entrep.</t>
  </si>
  <si>
    <t>1741-2870</t>
  </si>
  <si>
    <t>Schwarz, Susan/0000-0002-6982-9373; Newman, Alexander/0000-0003-1170-8947; Ahlstrom, David/0000-0001-9752-1248</t>
  </si>
  <si>
    <t>Schwarz, Susan/AAM-9289-2021; Newman, Alexander/AAH-7376-2020; Ahlstrom, David/H-3967-2019</t>
  </si>
  <si>
    <t>a.newman@deakin.edu.au</t>
  </si>
  <si>
    <t>Newman, A (corresponding author), Deakin Univ, Sch Business &amp; Econ, 221 Burwood Highway, Burwood, Vic 3125, Australia.</t>
  </si>
  <si>
    <t>Deakin University; Aston University; Chinese University of Hong Kong</t>
  </si>
  <si>
    <t>[Newman, Alexander] Deakin Univ, Burwood, Vic, Australia; [Schwarz, Susan] Aston Univ, Birmingham, W Midlands, England; [Ahlstrom, David] Chinese Univ Hong Kong, Sch Business, Hong Kong, Hong Kong, Peoples R China</t>
  </si>
  <si>
    <t>As microfinance gains increasing attention and application as a financing mechanism for entrepreneurs at the base of the economic pyramid, this Special Issue of International Small Business Journal aims to enhance scholarly understanding of how microfinance fosters entrepreneurial activity. Microfinance brings a range of financial services, including microcredit loans, savings, and insurance, within the reach of millions of poor households not served by traditional banks. This introduction summarizes the articles in this Special Issue of International Small Business Journal on Microfinance', which address a range of topics in this important domain of research and practice.</t>
  </si>
  <si>
    <t>EMERGING ECONOMIES; FIELD EXPERIMENT; OPPORTUNITIES; SAVINGS; POOR</t>
  </si>
  <si>
    <t>bottom of the pyramid; entrepreneurship; financial inclusion; financing; microfinance</t>
  </si>
  <si>
    <t>INTERNATIONAL SMALL BUSINESS JOURNAL-RESEARCHING ENTREPRENEURSHIP</t>
  </si>
  <si>
    <t>Microfinance and entrepreneurship: An introduction</t>
  </si>
  <si>
    <t>Newman, Alexander; Schwarz, Susan; Ahlstrom, David</t>
  </si>
  <si>
    <t>Newman, A; Schwarz, S; Ahlstrom, D</t>
  </si>
  <si>
    <t>WOS:000443840000001</t>
  </si>
  <si>
    <t>GS6WG</t>
  </si>
  <si>
    <t>10.1080/00036846.2018.1486990</t>
  </si>
  <si>
    <t>Toni Mora gratefully acknowledges the financial support from the Chair of Public Finance: Healthcare and Education Policy Assessment.</t>
  </si>
  <si>
    <t>Chair of Public Finance: Healthcare and Education Policy Assessment</t>
  </si>
  <si>
    <t>Mora, T (corresponding author), Univ Internac Catalunya, Sch Econ &amp; Social Sci, Barcelona 08017, Spain.</t>
  </si>
  <si>
    <t>[Mora, Toni; Prior, Francesc] Univ Int Catalunya, Res Inst Evaluat &amp; Publ Policies, Barcelona, Spain</t>
  </si>
  <si>
    <t>This paper studies the impact of Mobile Financial Systems' usage on microcredit delinquency ratios in Tunisia by using either a two-part model or matching econometric procedures. Our large dataset contains all of the administrative registers that belong to the six branches of Enda, the incumbent Institution leader in Tunisia. We find a significant reduction of 4.92days of late repayment for an average user of MFS in an environment where 15% of loans have been paid late at least once. We foresee a tremendous opportunity to improve the MFIs' repayment ratios and, consequently, provide microcredit customers with more financing for income generating activities.</t>
  </si>
  <si>
    <t>REPAYMENT PERFORMANCE; MONEY; INSTITUTIONS; MICROCREDIT; ECONOMIES; BORROWERS</t>
  </si>
  <si>
    <t>Financial inclusion; Mobile Financial Services; microfinance; delinquency</t>
  </si>
  <si>
    <t>The impact of mobile financial services' usage on microfinance delinquency</t>
  </si>
  <si>
    <t>Mora, Toni; Prior, Francesc</t>
  </si>
  <si>
    <t>Mora, T; Prior, F</t>
  </si>
  <si>
    <t>WOS:001052170400001</t>
  </si>
  <si>
    <t>O2R9E</t>
  </si>
  <si>
    <t>10.1108/JSTPM-03-2023-0035</t>
  </si>
  <si>
    <t>NOV 29</t>
  </si>
  <si>
    <t>Dr Prabhakar Nandru (Corresponding author) is the awardee of the Indian Council of Social Science Research (ICSSR) Post-Doctoral Fellowship (F.No: 3-191/2021-22/PDF/SC). This research paper is primarily an outcome of the Post-Doctoral Fellowship sponsored by the ICSSR.</t>
  </si>
  <si>
    <t>Indian Council of Social Science Research (ICSSR) Post-Doctoral Fellowship; ICSSR</t>
  </si>
  <si>
    <t>Indian Council of Social Science Research (ICSSR) Post-Doctoral Fellowship [3-191/2021-22/PDF/SC]; ICSSR</t>
  </si>
  <si>
    <t>SA, SENTHIL KUMAR/0000-0002-8209-7090</t>
  </si>
  <si>
    <t>Chendragiri, Madhavaiah/ABF-5225-2020; SA, SENTHIL KUMAR/AAU-9256-2021</t>
  </si>
  <si>
    <t>prabhakarnandru2020@gmail.com; drsasenthilkumar@gmail.com; drcmadhavaiah@gmail.com</t>
  </si>
  <si>
    <t>Nandru, P (corresponding author), Pondicherry Univ, Dept Management Studies, Karaikal Campus, Karaikal, India.</t>
  </si>
  <si>
    <t>Pondicherry University</t>
  </si>
  <si>
    <t>[Nandru, Prabhakar; Kumar, S. A. Senthil; Chendragiri, Madhavaiah] Pondicherry Univ, Dept Management Studies, Karaikal Campus, Karaikal, India</t>
  </si>
  <si>
    <t>PurposeRecently, the Government of India has emphasized digital financial inclusion for promoting cashless transactions with a vision to transform India from a traditional cash-based economy into a cashless economy. Technology-driven payment apps are facilitated greater access to cashless financial services and improve the speed, efficiency, accuracy and effectiveness of financial transactions. This study aims to explore the determinants of quick response (QR) code mobile payment (m-payment) adoption intention among marginalized street vendors in India. Design/methodology/approachThe proposed research model was tested using 320 responses from QR code m-payment users. An interview schedule was performed using the structured questionnaire from marginalized street vendors by adopting a purposive sampling technique. The proposed research framework of this study developed on the Unified Theory of Acceptance and Use of Technology (UTAUT). In addition to the existing variables proposed in the UTAUT model, three more variables have been added, namely, digital financial literacy (DFL), personal innovativeness (PI) and perceived trust (PT). Besides, the study used confirmatory factor analysis and structural equation modeling techniques to analyze the data. FindingsThis study confirms that factors such as performance expectancy, effort expectancy, facilitating conditions, PT and customers' DFL are significant determinants of street vendors' intention to use QR code m-payment services. However, social influence and PI have shown an insignificant relationship with adopting a QR code m-payment system. Research limitations/implicationsThe results provide insights for policymakers and service providers. Specifically, government and bankers design promotional campaigns emphasizing the ease of use, perceived benefits, security and faster business transactions to accept and use the QR code m-payment system to encourage prospective users to achieve a cashless economy. Originality/valueMany prior studies have widely concentrated on m-payment adoption intention in India. However, only a few studies have attempted to examine the factors influencing the adoption of QR code m-payment services among merchants from emerging economies. There is a dearth of studies on QR code adoption from an unorganized sector perspective, specifically marginalized street vendors. Therefore, this study explicitly examines the extent to which the determinants of adoption intention toward QR code-based m-payment services among marginalized street vendors within the framework of the extended UTAUT model by incorporating DFL, PI and PT. The findings of this study contribute, theoretically and practically, to the existing literature.</t>
  </si>
  <si>
    <t>USER ACCEPTANCE; PERSONAL INNOVATIVENESS; BEHAVIORAL INTENTION; BANKING ADOPTION; INDIA; INFORMATION; TECHNOLOGY; SERVICES; WALLET; ICT</t>
  </si>
  <si>
    <t>QR code mobile payment system; Digital financial literacy; Effort expectancy; Performance expectancy; Perceived trust; Personal innovativeness</t>
  </si>
  <si>
    <t>Adoption intention of mobile QR code payment system among marginalized street vendors: an empirical investigation from an emerging economy</t>
  </si>
  <si>
    <t>Nandru, Prabhakar; Kumar, S. A. Senthil; Chendragiri, Madhavaiah</t>
  </si>
  <si>
    <t>Nandru, P; Kumar, SAS; Chendragiri, M</t>
  </si>
  <si>
    <t>WOS:000351219200006</t>
  </si>
  <si>
    <t>10.1111/joca.12054</t>
  </si>
  <si>
    <t>Support for the SEED for Oklahoma Kids experiment comes from the Ford Foundation and Charles Stewart Mott Foundation. We especially value our partnership with the State of Oklahoma: Ken Miller, State Treasurer; Scott Meacham, former State Treasurer; Tins Allen, Deputy Treasurer for Communications and Program Administration; and James Wilbanks, former Director of Revenue and Fiscal Policy, We appreciate the contributions of staff at RTI International, especially those of Ellen Marks and Bryan Rhodos, The Oklahoma 529 College Savings Plan Program Manager, TIAA-CREF, has also been a valuable partner. We are grateful to Mark Schreiner, Sandy Beverly, and Youngmi Kim for their careful review and insightful comments; to Mark Schreiner and Nora Wikoff for their assistance in managing the survey data; to Chris leiker for providing editorial assistance; and to staff on the SEED OK team over several years.</t>
  </si>
  <si>
    <t>Ford Foundation; Charles Stewart Mott Foundation</t>
  </si>
  <si>
    <t>jhuang5@slu.edu; yunjunam@buffalo.edu; sherrad@wustl.edu; mclancy@wustl.edu</t>
  </si>
  <si>
    <t>Huang, J (corresponding author), St Louis Univ, Coll Publ Hlth &amp; Social Justice, St Louis, MO 63103 USA.</t>
  </si>
  <si>
    <t>Saint Louis University; State University of New York (SUNY) System; University at Buffalo, SUNY; Washington University (WUSTL); Washington University (WUSTL)</t>
  </si>
  <si>
    <t>[Huang, Jin] St Louis Univ, Coll Publ Hlth &amp; Social Justice, St Louis, MO 63103 USA; [Nam, Yunju] SUNY Buffalo, Sch Social Work, Buffalo, NY 14260 USA; [Sherraden, Michael] Washington Univ, George Warren Brown Sch Social Work, Ctr Social Dev, St Louis, MO 63130 USA; [Clancy, Margaret] Washington Univ, George Warren Brown Sch Social Work, Ctr Social Dev, St Louis, MO 63130 USA</t>
  </si>
  <si>
    <t>On the basis of theoretical framework of financial capability, this study investigates the roles of financial access and financial knowledge in savings and asset accumulation for children's postsecondary education. We use data from SEED for Oklahoma Kids (N =2,704), a statewide policy experiment offering Child Development Accounts (CDAs) to treatment participants. This study employs quantile regressions with two dependent variables: savings amount (net deposits made by caregivers of children) and total asset amount (the sum of savings, financial incentives offered by the experiment, and investment earnings). Results identify positive and statistically significant interactions between treatment status and financial knowledge, suggesting that access to CDAs moderates the association between financial knowledge and asset accumulation. Providing empirical support for the theory of financial capability, the findings call for interventions that enhance financial knowledge, expand financial access, and improve asset accumulation for all children.</t>
  </si>
  <si>
    <t>KNOWLEDGE; ACCESS; POLICY</t>
  </si>
  <si>
    <t>Asset Building; Child Development Accounts; College Savings; Financial Access; Financial Capability; Financial Literacy; Wealth</t>
  </si>
  <si>
    <t>Financial Capability and Asset Accumulation for Children's Education: Evidence from an Experiment of Child Development Accounts</t>
  </si>
  <si>
    <t>Huang, Jin; Nam, Yunju; Sherraden, Michael; Clancy, Margaret</t>
  </si>
  <si>
    <t>Huang, J; Nam, Y; Sherraden, M; Clancy, M</t>
  </si>
  <si>
    <t>WOS:001072768100001</t>
  </si>
  <si>
    <t>10.1111/rode.13056</t>
  </si>
  <si>
    <t>I declare that this manuscript is original and has not been published before. It is not currently being considered for publication elsewhere. I received no financial support for this study. As the only author, I have approved the final version of the manuscript and agree to be accountable for all aspects of this work.</t>
  </si>
  <si>
    <t>I declare that this manuscript is original and has not been published before. It is not currently being considered for publication elsewhere. I received no financial support for this study. As the only author, I have approved the final version of the manus</t>
  </si>
  <si>
    <t>Mhella, Deogratius Joseph/0000-0002-2147-0779</t>
  </si>
  <si>
    <t>kadenge@hotmail.com</t>
  </si>
  <si>
    <t>Mhella, DJ (corresponding author), Univ Bristol, Sch Sociol Polit &amp; Int Studies, Bristol, England.</t>
  </si>
  <si>
    <t>University of Bristol</t>
  </si>
  <si>
    <t>[Mhella, Deogratius Joseph] Univ Bristol, Sch Sociol Polit &amp; Int Studies, Bristol, England</t>
  </si>
  <si>
    <t>The article addresses the need for comprehensive analytical frameworks or perspectives in mobile money research. It also proposes and develops a conceptual framework utilizing classical and neoclassical perspectives. The interdisciplinary nature of mobile money studies and the need for robust analytical frameworks or perspectives pose a significant challenge to researchers, creating a political-economic gap in analyzing mobile money. In this case, classical and neoclassical mindsets bridge this gap in mobile money analysis. Moreover, the article also addresses the following research question: How have classical and neoclassical perspectives influenced the emergence and growth of mobile money in Tanzania throughout the past 15 years? The argument posits that implementing and dismantling neoliberal policies have facilitated the introduction and advancement of mobile money, drawing upon classical and neoclassical principles. In-depth, unstructured interviews and content analysis from relevant and scholarly sources have been used as data collection methods. Thematic analysis has also been used for data analysis. The findings indicate that researchers can rely on classical and neoclassical perspectives to analyze mobile money's advent, growth, and consolidation. The implications are that classical and neoclassical perspectives provide a context and a unit of analysis that can be used to study the political-economic issues of mobile money and other digital financial innovations.</t>
  </si>
  <si>
    <t>FINANCIAL INCLUSION; POVERTY REDUCTION; DEVELOPING-COUNTRIES; NEOLIBERALISM; EXCLUSION; BANKING; FUTURE; PHONES; POLICY; ICT</t>
  </si>
  <si>
    <t>digital platforms; financial exclusion; financial inclusion; global political economy; mobile money; neoliberalism; Tanzania; theoretical framework</t>
  </si>
  <si>
    <t>The classical and neoclassical perspectives: A theoretical framework for studying the advent and growth of mobile money-The Tanzanian experience</t>
  </si>
  <si>
    <t>Mhella, Deogratius Joseph</t>
  </si>
  <si>
    <t>Mhella, DJ</t>
  </si>
  <si>
    <t>WOS:001343077000001</t>
  </si>
  <si>
    <t>K3R3D</t>
  </si>
  <si>
    <t>10.30784/epfad.1433921</t>
  </si>
  <si>
    <t>Ekmen, İbrahim/0009-0003-8972-5138</t>
  </si>
  <si>
    <t>Ekmen, İbrahim/MGV-8724-2025</t>
  </si>
  <si>
    <t>iekmen76@gmail.com; karatepe@politics.ankara.edu.tr</t>
  </si>
  <si>
    <t>Ekmen, I (corresponding author), Banking Regulat &amp; Supervis Agcy, Istanbul, Turkiye.</t>
  </si>
  <si>
    <t>Ankara University</t>
  </si>
  <si>
    <t>[Ekmen, Ibrahim] Banking Regulat &amp; Supervis Agcy, Istanbul, Turkiye; [Karatepe, Yalcin] Ankara Univ, Fac Polit Sci, Ankara, Turkiye</t>
  </si>
  <si>
    <t>The relationship between finance and economy is a long-standing debate in the development literature. While some researchers argue that finance simply follows economic development, others argue that finance is a critical determinant of economic growth. Research findings on this issue vary across countries, periods, data sets, and research methodologies. On the other hand, the relationship between economic growth and financial inclusion is a relatively new area of study in the academic literature. The primary goal of financial inclusion is to ensure that everyone can access and use financial products at an affordable cost. In this context, access to and use of financial products is seen in the context of financial citizenship. This paper examines the impact of digital banking and financial inclusion on economic growth and household consumption in Turkey. For this purpose, financial inclusion and digital banking indices have been constructed. Furthermore, the relationship of these indices with the GDP index and household consumption index is examined using the three-stage least square (3SLS) method with two separate equations. The results show that digital banking and financial inclusion have a positive impact on economic growth and household consumption in Turkey.</t>
  </si>
  <si>
    <t>Financial Inclusion Index; Digital Banking Index; Economic Growth; Digital Financial Inclusion; 3SLS; Household Consumption Capital Expenditure</t>
  </si>
  <si>
    <t>EXAMINING THE NEXUS OF FINANCIAL INCLUSION, HOUSEHOLD CONSUMPTION, AND ECONOMIC GROWTH: A 3SLS APPROACH</t>
  </si>
  <si>
    <t>Ekmen, Ibrahim; Karatepe, Yalcin</t>
  </si>
  <si>
    <t>Ekmen, I; Karatepe, Y</t>
  </si>
  <si>
    <t>WOS:000482394200011</t>
  </si>
  <si>
    <t>IS8IU</t>
  </si>
  <si>
    <t>10.1007/s10639-019-09880-9</t>
  </si>
  <si>
    <t>Educ. Inf. Technol.</t>
  </si>
  <si>
    <t>EDUC INF TECHNOL</t>
  </si>
  <si>
    <t>1573-7608</t>
  </si>
  <si>
    <t>1360-2357</t>
  </si>
  <si>
    <t>Simplice, Asongu/0000-0001-5227-5135; Odhiambo, Nicholas M/0000-0003-4988-0259</t>
  </si>
  <si>
    <t>[Asongu, Simplice A.; Odhiambo, Nicholas M.] Univ South Africa, Dept Econ, UNISA, POB 392, ZA-0003 Pretoria, South Africa</t>
  </si>
  <si>
    <t>This research assesses the relevance of information and communication technology (ICT) in primary education quality in a panel of 49 Sub-Saharan African countries for the period 2000-2012. The empirical evidence is based on Two Stage Least Squares (2SLS) and Instrumental Quantile regressions (IQR). From the 2SLS: (i) mobile phone and internet penetration rates reduce poor quality education and enhancing internet penetration has a net negative effect of greater magnitude. From the IQR: (i) with the exception of the highest quantile for mobile phone penetration and top quantiles for internet penetration, ICT consistently has a negative effect on poor education quality with a non-monotonic pattern. (ii) Net negative effects are exclusively apparent in the median and top quantiles of internet-related regressions. It follows that enhancing internet penetration will benefit countries with above-median levels of poor education quality while enhancing internet penetration is not immediately relevant to reducing poor education quality in countries with below-median levels of poor education quality.</t>
  </si>
  <si>
    <t>E-WALLET PROGRAM; FINANCIAL ACCESS; MOBILE TELEPHONY; KNOWLEDGE; PARTICIPATION; PRODUCTIVITY; INFORMATION; CORRUPTION; INVESTMENT; DIFFUSION</t>
  </si>
  <si>
    <t>ICT; Primary school education; Development; Sub-Saharan Africa</t>
  </si>
  <si>
    <t>EDUCATION AND INFORMATION TECHNOLOGIES</t>
  </si>
  <si>
    <t>Enhancing ICT for quality education in sub-Saharan Africa</t>
  </si>
  <si>
    <t>WOS:001624398400001</t>
  </si>
  <si>
    <t>G2949</t>
  </si>
  <si>
    <t>10.3390/socsci14110658</t>
  </si>
  <si>
    <t>Soc. Sci.-Basel</t>
  </si>
  <si>
    <t>SOC SCI-BASEL</t>
  </si>
  <si>
    <t>2076-0760</t>
  </si>
  <si>
    <t>marielam.hidalgo@unach.edu.ec; mariana.puente@unach.edu.ec; francisco.perez@unach.edu.ec; geovanna.guerrero@unach.edu.ec; alopez@unach.edu.ec</t>
  </si>
  <si>
    <t>Puente-Riofrio, MI (corresponding author), Univ Nacl Chimborazo, Fac Ciencias Polit &amp; Adm, Riobamba 060101, Ecuador.</t>
  </si>
  <si>
    <t>Universidad Nacional de Chimborazo</t>
  </si>
  <si>
    <t>[Hidalgo-Mayorga, Mariela De Los Angeles; Puente-Riofrio, Mariana Isabel; Perez-Salas, Francisco Paul; Guerrero-Arrieta, Katherine Geovanna; Lopez-Naranjo, Alexandra Lorena] Univ Nacl Chimborazo, Fac Ciencias Polit &amp; Adm, Riobamba 060101, Ecuador</t>
  </si>
  <si>
    <t>Financial literacy, defined as the set of knowledge, skills, and attitudes that enable individuals to make informed economic decisions and manage resources efficiently, is fundamental for social inclusion and the reduction of inequalities. This study, through a systematic review of the scientific literature using the PRISMA methodology, selected 120 primary studies that met the inclusion and exclusion criteria and presented a low risk of bias. These studies examined aspects related to financial literacy programs, the populations benefited, their effects, the challenges encountered, and the lessons that can guide the replication of these initiatives. The results show that the most frequent programs include training in basic financial concepts-savings, budgeting, access to banking services and microfinance-as well as workshops, seminars, and group training sessions. The populations most benefited were rural communities and women, although informal workers, migrants, and refugees could also significantly improve their financial inclusion and economic resilience. Among the positive effects, improvements were observed in income and expense management, increased savings, investment planning, preparation for emergencies and retirement, and the strengthening of economic empowerment and the sustainability of microenterprises and small enterprises. These findings highlight the importance of implementing financial literacy programs adapted to specific contexts to promote inclusion and economic well-being.</t>
  </si>
  <si>
    <t>financial education; economic well-being; vulnerable populations; inclusion; empowerment; PRISMA</t>
  </si>
  <si>
    <t>SOCIAL SCIENCES-BASEL</t>
  </si>
  <si>
    <t>Financial Literacy as a Tool for Social Inclusion and Reduction of Inequalities: A Systematic Review</t>
  </si>
  <si>
    <t>Hidalgo-Mayorga, Mariela De Los Angeles; Puente-Riofrio, Mariana Isabel; Perez-Salas, Francisco Paul; Guerrero-Arrieta, Katherine Geovanna; Lopez-Naranjo, Alexandra Lorena</t>
  </si>
  <si>
    <t>Hidalgo-Mayorga, MD; Puente-Riofrio, MI; Pérez-Salas, FP; Guerrero-Arrieta, KG; Lopez-Naranjo, AL</t>
  </si>
  <si>
    <t>WOS:001337451200001</t>
  </si>
  <si>
    <t>S6G5R</t>
  </si>
  <si>
    <t>10.1108/IJBM-01-2024-0053</t>
  </si>
  <si>
    <t>This research was co-funded by the Ministry of Science, Higher Education and Youth, Sarajevo Canton, Bosnia and Herzegovina, co-financing agreement number 27-02-35-35137-52/22. This research is part of the project Financial Literacy in Bosnia and Herzegovina which is being implemented at the University of Sarajevo, Bosnia and Herzegovina, 2022-2024. Survey of adult financial literacy in Bosnia and Herzegovina, report forthcoming.</t>
  </si>
  <si>
    <t>Ministry of Science, Higher Education and Youth, Sarajevo Canton, Bosnia and Herzegovina; Financial Literacy in Bosnia and Herzegovina; University of Sarajevo, Bosnia and Herzegovina</t>
  </si>
  <si>
    <t>Ministry of Science, Higher Education and Youth, Sarajevo Canton, Bosnia and Herzegovina [27-02-35-35137-52/22]; Financial Literacy in Bosnia and Herzegovina; University of Sarajevo, Bosnia and Herzegovina</t>
  </si>
  <si>
    <t>Zaimovic, Azra/0000-0002-3956-4626; Nuhic Meskovic, Minela/0000-0002-9207-5784; Torlakovic, Anes/0000-0002-8247-9726; Dedovic, Lejla/0000-0002-0377-0604; Arnaut - Berilo, Almira/0000-0002-3285-9122; Omanović, Adna/0000-0002-5865-9794;</t>
  </si>
  <si>
    <t>Zaimovic, Azra/N-6276-2019; Nuhic Meskovic, Minela/LOR-2584-2024; Torlakovic, Anes/GLU-3944-2022; Dedovic, Lejla/KFA-6545-2024; Arnaut - Berilo, Almira/AEY-8165-2022; Zaimovic, Tarik/AAH-7849-2021</t>
  </si>
  <si>
    <t>azra.zaimovic@efsa.unsa.ba; adna.o@live.com; minela.nuhic-meskovic@efsa.unsa.ba; almira.arnaut@efsa.unsa.ba; tarik.zaimovic@efsa.unsa.ba; lejla.dedovic@efsa.unsa.ba; anes.torlakovic@efsa.unsa.ba</t>
  </si>
  <si>
    <t>Zaimovic, A (corresponding author), Univ Sarajevo, Sch Econ &amp; Business, Dept Finance, Sarajevo, Bosnia &amp; Herceg.</t>
  </si>
  <si>
    <t>University of Sarajevo; University of Sarajevo; University of Sarajevo</t>
  </si>
  <si>
    <t>[Zaimovic, Azra; Dedovic, Lejla; Torlakovic, Anes] Univ Sarajevo, Sch Econ &amp; Business, Dept Finance, Sarajevo, Bosnia &amp; Herceg; [Omanovic, Adna] Int Commiss Missing Persons, Corp Serv Dept Finance, Sarajevo, Bosnia &amp; Herceg; [Meskovic, Minela Nuhic; Arnaut-Berilo, Almira] Univ Sarajevo, Sch Econ &amp; Business, Dept Quantitat Econ, Sarajevo, Bosnia &amp; Herceg; [Zaimovic, Tarik] Univ Sarajevo, Sch Econ &amp; Business, Dept Management &amp; Informat Technol, Sarajevo, Bosnia &amp; Herceg</t>
  </si>
  <si>
    <t>Purpose The purpose of this study is to measure financial inclusion (FI) and to examine the role of digital financial literacy (DFL) and its components, and various socio-demographics in relation to FI. In addition, the mediating effect of digital financial attitudes (DFA) on the relationship between digital financial knowledge (DFK) and digital financial behaviour (DFB), as well mediating effect of DFA and DFB on the relationship between DFK and FI, is being explored.Design/methodology/approach Using a cross-sectional research design, we utilize a dataset from the survey of adults' financial literacy in Bosnia and Herzegovina, collected from the representative sample of 1,096 adults in 2022. The main methodology relies on logistic and ordinal logistic regression analyses and PROCESS for mediation analyses.Findings The findings suggest that the effect of DFK on DFB is partially mediated by DFA. In addition, the effect of DFK on FI is fully mediated through three pathways: DFA, DFB, and DFA and DFB in serial mediation. Age, education, employment status and residence are significantly related to FI. Internet access is significant only for FI scores but not for adults' banking status. Although women are almost twice as unbanked as men, we find no gender-based differences in financial product holdings, FI or adults' banking status.Practical implications There is a need to enhance DFK and DFA to enable adults to use financial products. Financial institutions could use our results in designing and promoting their services.Social implications Policy implications are seen in the need for developing national strategies for financial education, with an emphasis on strengthening DFL, especially DFK and DFA, which will enhance the formal FI of adults. Also, governments should work on expanding Internet access.Originality/value The results make a contribution to the theory of planned behaviour. They contribute to the limited empirical evidence of the mediating role of DFA in relationship to DFB, as well as the mediating role of DFA and DFB in relationship to FI.</t>
  </si>
  <si>
    <t>Financial inclusion; Banking status; Digital financial literacy; Digital financial knowledge; Digital financial attitudes; Digital financial behaviour; Internet access; Bosnia and Herzegovina</t>
  </si>
  <si>
    <t>The nexus between digital financial knowledge and financial inclusion: digital financial attitudes and behaviour as mediators enhancing financial inclusion</t>
  </si>
  <si>
    <t>Zaimovic, Azra; Omanovic, Adna; Meskovic, Minela Nuhic; Arnaut-Berilo, Almira; Zaimovic, Tarik; Dedovic, Lejla; Torlakovic, Anes</t>
  </si>
  <si>
    <t>Zaimovic, A; Omanovic, A; Meskovic, MN; Arnaut-Berilo, A; Zaimovic, T; Dedovic, L; Torlakovic, A</t>
  </si>
  <si>
    <t>WOS:001503090700002</t>
  </si>
  <si>
    <t>3LI5N</t>
  </si>
  <si>
    <t>10.1007/s43621-025-00997-1</t>
  </si>
  <si>
    <t>The authors acknowledge the Indian Council of Social Science Research (ICSSR), New Delhi, India for the financial support under Research Projects.</t>
  </si>
  <si>
    <t>Indian Council of Social Science Research (ICSSR), New Delhi, India</t>
  </si>
  <si>
    <t>Das, Chanika Prasad/0000-0002-3077-3747; Sethi, Maheswar/0000-0002-7456-9203; Bisoyi, Tushar/0009-0003-8830-5107; , Sumanbindu/0000-0003-0763-1190</t>
  </si>
  <si>
    <t>Das, Chanika Prasad/J-2392-2017; Sethi, Maheswar/GLU-9148-2022; , Sumanbindu/KBC-1789-2024</t>
  </si>
  <si>
    <t>maheswar.sethi1989@gmail.com; chandrika.das9@gmail.com; sumanbindu43@gmail.com; tusharbisoyi7@gmail.com</t>
  </si>
  <si>
    <t>Sethi, M (corresponding author), Univ Berhampur, PG Dept Commerce, Berhampur 760007, Odisha, India.</t>
  </si>
  <si>
    <t>[Sethi, Maheswar; Das, Chandrika Prasad; Bisoyi, Tushar] Univ Berhampur, PG Dept Commerce, Berhampur 760007, Odisha, India; [Bindu, Suman] SBR Govt Womens Coll, Dept Commerce, Berhampur 760001, Odisha, India</t>
  </si>
  <si>
    <t>Sustainable Development Goals (SDGs) emphasise poverty reduction and economic well-being of people in all strata. In line with SDGs, reducing economic vulnerability by ensuring financial resilience has become the policy priority of governments across the globe. However, ensuring financial resilience among people grappling with lower and uncertain income remains a concern for most economies. Amidst this grievous situation, financial inclusion is presumed to equip people against financial adversities and bring financial resilience. Studies have unfurled the nexus between financial inclusion and financial resilience to assess and supplement the government's priority. In this context, this study makes a bibliometric and content analysis of 62 studies gathered from Scopus, Web of Science, EBSCO, JSTOR, ProQuest and Google scholar databases. The study reveals that though studies have been attempted throughout the world but, very few are based on emerging economies, including India. Further, this field suffers from sluggish growth of literature due to lack of collaboration and focus on specific classes of people, economic activity, etc. Furthermore, the study reveals that though areas like country, business houses, consumers, age, and gender have been amply addressed but, areas of digital financial inclusion, fishermen community, marine fishermen, people with uncertain income, etc., have been unheeded.</t>
  </si>
  <si>
    <t>BITCOIN; MICROFINANCE; PATTERNS; IMPACTS</t>
  </si>
  <si>
    <t>Financial inclusion; Digital financial inclusion; Financial resilience; Bibliometric analysis; Content analysis</t>
  </si>
  <si>
    <t>Financial inclusion and financial resilience: insights from current literature and future research agenda through bibliometric and content analysis approach</t>
  </si>
  <si>
    <t>Sethi, Maheswar; Das, Chandrika Prasad; Bindu, Suman; Bisoyi, Tushar</t>
  </si>
  <si>
    <t>Sethi, M; Das, CP; Bindu, S; Bisoyi, T</t>
  </si>
  <si>
    <t>WOS:001470889300001</t>
  </si>
  <si>
    <t>1PY8V</t>
  </si>
  <si>
    <t>10.1016/j.econmod.2025.107105</t>
  </si>
  <si>
    <t>Wei, Honghong/0000-0003-3648-058X</t>
  </si>
  <si>
    <t>r.lahiri@qut.edu.au; annabelle-wei@outlook.com</t>
  </si>
  <si>
    <t>Wei, HH (corresponding author), Shanghai Univ, Shanghai, Peoples R China.</t>
  </si>
  <si>
    <t>Queensland University of Technology (QUT); Shanghai University</t>
  </si>
  <si>
    <t>[Lahiri, Radhika] Queensland Univ Technol, Brisbane, Qld 4000, Australia; [Wei, Honghong] Shanghai Univ, Shanghai, Peoples R China</t>
  </si>
  <si>
    <t>This study examines the impact of microcredit duration on both pecuniary dimensions of welfare, such as saving and income, and non-pecuniary dimensions such as social capital among microfinance clients, issues that are underexplored in the literature. Using survey data from three cities in India, we employ a Two-Stage Least-Squares model to estimate financial impacts and an Ordered-Probit model to assess social capital outcomes. The findings reveal that longer microcredit duration significantly improves income and savings, with Pune, relative to Mumbai and Satara, showing the strongest effects. However, evidence for social capital formation is mixed, with negligible impacts in most cases and negative outcomes in some, highlighting limitations of joint-liability loan structures in fostering social networks. These results underscore the need for policies that go beyond financial inclusion, focusing on strengthening social capital through tailored programs that promote trust, cooperation, and community engagement, ultimately enhancing the broader developmental impact of microfinance.</t>
  </si>
  <si>
    <t>RANDOMIZED EXPERIMENT; INJURY SEVERITY; CREDIT PROGRAMS; IMPACT; MICROCREDIT; PERFORMANCE</t>
  </si>
  <si>
    <t>Microfinance; India; Income; Saving; Social capital</t>
  </si>
  <si>
    <t>Microfinance duration and development: The case of three cities in India</t>
  </si>
  <si>
    <t>Lahiri, Radhika; Wei, Honghong</t>
  </si>
  <si>
    <t>Lahiri, R; Wei, HH</t>
  </si>
  <si>
    <t>WOS:000366264102036</t>
  </si>
  <si>
    <t>BE0LK</t>
  </si>
  <si>
    <t>Computer Science, Information Systems; Computer Science, Theory &amp; Methods; Operations Research &amp; Management Science</t>
  </si>
  <si>
    <t>10.1109/HICSS.2015.260</t>
  </si>
  <si>
    <t>P ANN HICSS</t>
  </si>
  <si>
    <t>978-1-4799-7367-5</t>
  </si>
  <si>
    <t>1060-3425</t>
  </si>
  <si>
    <t>Potnis, Devena/0000-0003-2507-8157</t>
  </si>
  <si>
    <t>Potnis, Devena/OEN-9869-2025</t>
  </si>
  <si>
    <t>lmohan@albany.edu; dpotnis@utk.edu</t>
  </si>
  <si>
    <t>Mohan, L (corresponding author), SUNY Albany, Sch Business, Albany, NY 12222 USA.</t>
  </si>
  <si>
    <t>State University of New York (SUNY) System; University at Albany, SUNY; University of Tennessee System; University of Tennessee Knoxville</t>
  </si>
  <si>
    <t>[Mohan, Lakshmi] SUNY Albany, Sch Business, Albany, NY 12222 USA; [Potnis, Devendra] Univ Tennessee, Sch Informat Sci, Knoxville, TN USA</t>
  </si>
  <si>
    <t>Mobile banking has created a new channel to reach over 2.5 billion unbanked poor in developing countries. Conventional mobile banking services require clients to be able to own a mobile phone and know how to operate it. However, a majority of the unbanked poor in developing countries are illiterate or semi-literate earning fluctuating incomes, often less than USD2.00 a day, and live in remote rural areas without reliable technology infrastructure. We evaluate three companies providing innovative mobile banking services, ZERO, FINO, and ESE, which do not require the poor to own a mobile phone or know how to operate it. All three companies employ human agents equipped with combinations of mobile technologies like NFC and smart cards, who meet the poor in their villages to conduct financial transactions. We reflect on the economic impact, market opportunity, and other issues related to innovative mobile banking services in the concluding section.</t>
  </si>
  <si>
    <t>IEEE Comp Soc,Univ Hawaii, Shidler Coll Business,Univ Hawaii, Dept EE,Univ Hawaii, Informat Sci Program,ONR,AFOSR,Natl Sci Fdn,IEEE Syst Sci &amp; Cybernet Soc,ACM,SIAM,IEEE Hawaii Sect,IEEE Control Syst Soc,IEEE Grp Informat Theory,IEEE Grp Automat Control,ARO,Reg Med Program Hawaii,Univ Hawaii, Coll Business Adm,Nasdaq</t>
  </si>
  <si>
    <t>Kauai, HI</t>
  </si>
  <si>
    <t>JAN 05-08, 2015</t>
  </si>
  <si>
    <t>48th Annual Hawaii International Conference on System Sciences (HICSS)</t>
  </si>
  <si>
    <t>Proceedings of the Annual Hawaii International Conference on System Sciences</t>
  </si>
  <si>
    <t>2015 48TH HAWAII INTERNATIONAL CONFERENCE ON SYSTEM SCIENCES (HICSS)</t>
  </si>
  <si>
    <t>Mobile Banking for the Unbanked Poor without Mobile Phones: Comparing Three Innovative Mobile Banking Services in India</t>
  </si>
  <si>
    <t>Mohan, Lakshmi; Potnis, Devendra</t>
  </si>
  <si>
    <t>Bui, TX; Sprague, RH</t>
  </si>
  <si>
    <t>Mohan, L; Potnis, D</t>
  </si>
  <si>
    <t>WOS:000696027300002</t>
  </si>
  <si>
    <t>UQ4HX</t>
  </si>
  <si>
    <t>10.35716/IJED/20245</t>
  </si>
  <si>
    <t>sahai.aniruddh@gmail.com</t>
  </si>
  <si>
    <t>Sahai, A (corresponding author), Jamia Millia Islamia, Dept Commerce &amp; Business Studies, Fac Social Sci, New Delhi 110025, India.</t>
  </si>
  <si>
    <t>Jamia Millia Islamia</t>
  </si>
  <si>
    <t>[Sahai, Aniruddh; Kumar, Ravinder] Jamia Millia Islamia, Dept Commerce &amp; Business Studies, Fac Social Sci, New Delhi 110025, India</t>
  </si>
  <si>
    <t>Policymakers generally associate financial inclusion with economic growth and poverty alleviation. This paper explores the empirical relationship between the Human Development Index (HDI) and Index of Financial Inclusion (IFI) across 128 countries using correlation and regression analysis in STATA. The study revealed their interdependence and showed that developed nations (with high incomes and HDI Ranks) had greater inclusion than less-developed countries. Other socioeconomic variables, including per-capita income, urbanization, and literacy rate, also exhibited a strong correlation. Hence, reducing inequalities and focusing on the inclusion of certain sections of society (especially rural, poor, women, and farmers) in the financial system is crucial. Structured programs by RBI, Government, and NGOs can help to improve financial literacy. Deeper penetration of financial services in specific states (Bihar, Uttar Pradesh, Jharkhand, and the North-Eastern States) and enhanced internet connectivity will also be helpful.</t>
  </si>
  <si>
    <t>GROWTH; IMPACT</t>
  </si>
  <si>
    <t>Banking; economic development; financial inclusion; human development index; RBI</t>
  </si>
  <si>
    <t>A Cross Country Study of Financial Inclusion and Economic Development with Special Emphasis on India</t>
  </si>
  <si>
    <t>Sahai, Aniruddh; Kumar, Ravinder</t>
  </si>
  <si>
    <t>Sahai, A; Kumar, R</t>
  </si>
  <si>
    <t>WOS:000337628400004</t>
  </si>
  <si>
    <t>AJ4FR</t>
  </si>
  <si>
    <t>10.1111/ecot.12046</t>
  </si>
  <si>
    <t>Econ. Transit.</t>
  </si>
  <si>
    <t>ECON TRANSIT</t>
  </si>
  <si>
    <t>1468-0351</t>
  </si>
  <si>
    <t>0967-0750</t>
  </si>
  <si>
    <t>simonsonnekalb@gmail.com</t>
  </si>
  <si>
    <t>Sonnekalb, S (corresponding author), Goethe Univ Frankfurt, D-60054 Frankfurt, Germany.</t>
  </si>
  <si>
    <t>Goethe Univ Frankfurt, D-60054 Frankfurt, Germany</t>
  </si>
  <si>
    <t>Using rich survey data of micro firms in Eastern Europe and Central Asia, I analze the effect of recent changes in microcredit market structure on perceived financing obstacles. Controlling for country, time and firm characteristics, lower microcredit market concentration is associated with firms reporting financing as a more severe obstacle to their operations. This indicates that rising competition between microfinance institutions may have led to reduced financial access. The results are consistent with information-based theoretical predictions that lenders with less market power have weaker incentives to invest in lending relationships with opaque firms and that greater competition aggravates borrower screening.</t>
  </si>
  <si>
    <t>CASH FLOW SENSITIVITIES; BANK COMPETITION; MICROFINANCE; CREDIT; CONSTRAINTS; ACCESS; GROWTH; LIBERALIZATION; DETERMINANTS; EFFICIENCY</t>
  </si>
  <si>
    <t>Microcredit; market structure; financing obstacles; competition; concentration</t>
  </si>
  <si>
    <t>ECONOMICS OF TRANSITION</t>
  </si>
  <si>
    <t>Microcredit market structure and financing obstacles for micro firms</t>
  </si>
  <si>
    <t>Sonnekalb, Simon</t>
  </si>
  <si>
    <t>Sonnekalb, S</t>
  </si>
  <si>
    <t>WOS:000826664700001</t>
  </si>
  <si>
    <t>3U9YS</t>
  </si>
  <si>
    <t>10.1177/01171968221113342</t>
  </si>
  <si>
    <t>Asian Pac. Migr. J.</t>
  </si>
  <si>
    <t>ASIAN PAC MIGR J</t>
  </si>
  <si>
    <t>2057-049X</t>
  </si>
  <si>
    <t>0117-1968</t>
  </si>
  <si>
    <t>Kim, Minjung/0000-0002-1403-8961; Koo, Hye-Gyoung/0000-0003-3317-9687; Jang, Juyoung/0000-0001-5692-0904</t>
  </si>
  <si>
    <t>; Jang, Juyoung/K-8424-2013</t>
  </si>
  <si>
    <t>jy.jang@mrtc.or.kr</t>
  </si>
  <si>
    <t>Jang, J (corresponding author), Migrat Res &amp; Training Ctr, Res &amp; Educ Dept, 93 Mokdongnam Ro, Seoul 08100, South Korea.</t>
  </si>
  <si>
    <t>Chungnam National University</t>
  </si>
  <si>
    <t>[Kim, Minjung; Koo, Hye-Gyoung] Chungnam Natl Univ, Daejeon, South Korea; [Jang, Juyoung] Migrat Res &amp; Training Ctr, Seoul, South Korea</t>
  </si>
  <si>
    <t>This study aimed to identify factors affecting the financial behavior of overseas Filipino workers. Responses from a survey of 116 Filipino workers in Korea were analyzed using descriptive statistics and hierarchical regression. The results revealed that some Filipino workers showed sound financial behavior only for simple financial activities; many were not equipped with complex financial management skills. Migrant workers with high financial self-efficacy in the Philippines were likely to have more positive financial behavior. However, this was not significantly associated with financial literacy or attendance in financial education programs. Implications for the development of financial education for migrant workers are discussed.</t>
  </si>
  <si>
    <t>FIELD EXPERIMENT; EDUCATION; MIGRANTS; LITERACY</t>
  </si>
  <si>
    <t>overseas Filipino workers; financial capability; financial behavior; financial literacy; financial education</t>
  </si>
  <si>
    <t>ASIAN AND PACIFIC MIGRATION JOURNAL</t>
  </si>
  <si>
    <t>Financial capabilities and financial behavior of overseas Filipino workers in South Korea</t>
  </si>
  <si>
    <t>Kim, Minjung; Koo, Hye-Gyoung; Jang, Juyoung</t>
  </si>
  <si>
    <t>Kim, M; Koo, HG; Jang, J</t>
  </si>
  <si>
    <t>WOS:000747479600001</t>
  </si>
  <si>
    <t>YN8CF</t>
  </si>
  <si>
    <t>10.1080/23322039.2021.2023955</t>
  </si>
  <si>
    <t>This work was supported by the Department for International Development, UK Government [Ref ES/NO13344/1:]; Department for International Development, UK Government [Ref ES/NO13344/1:].</t>
  </si>
  <si>
    <t>Department for International Development, UK Government; Economic and Social Research Council(UK Research &amp; Innovation (UKRI)Economic &amp; Social Research Council (ESRC))</t>
  </si>
  <si>
    <t>Department for International Development, UK Government [[ES/NO13344/1:]]; Economic and Social Research Council [ES/N013344/2, ES/N013344/1] Funding Source: researchfish</t>
  </si>
  <si>
    <t>Abor, Joshua Yindenaba/0000-0002-3424-7760;</t>
  </si>
  <si>
    <t>; Amidu, Mohammed/IWL-9840-2023; Coffie, William/GYR-1653-2022</t>
  </si>
  <si>
    <t>mamidu@ug.edu.gh</t>
  </si>
  <si>
    <t>Amidu, M (corresponding author), Univ Ghana, Dept Accounting, Business Sch, POB LG 78, Legon, Accra, Ghana.</t>
  </si>
  <si>
    <t>[Akakpo, Agnes Akpene; Amidu, Mohammed; Coffie, William] Univ Ghana, Dept Accounting, Business Sch, POB LG 78, Legon, Accra, Ghana; [Abor, Joshua Yindenaba] Univ Ghana, Dept Finance, Business Sch, Legon, Ghana</t>
  </si>
  <si>
    <t>This paper examines the impact of financial literacy and financial inclusion on stock market participation in Ghana. It employs a sample of 1,966 respondents across the 10 regions of Ghana for the year 2018. We employ biprobit models to estimate the influence of financial literacy on financial inclusion, while robust probit models are used to independently analyse the effect of financial literacy and financial inclusion on stock market participation as well as their joint effect. We find the following results: first, financial literacy positively influences financial inclusion. Second, the study does not support previous findings that financial literacy is not a determinant of stock market participation in Ghana. Third, financial inclusion through using an account to save significantly affects stock market participation. Finally, the interaction of financial literacy and financial inclusion on stock market participation provides evidence of no significant effect.</t>
  </si>
  <si>
    <t>Financial literacy; financial inclusion; stock market; developing country</t>
  </si>
  <si>
    <t>Financial literacy, financial inclusion and participation of individual on the Ghana stock market</t>
  </si>
  <si>
    <t>Akakpo, Agnes Akpene; Amidu, Mohammed; Coffie, William; Abor, Joshua Yindenaba</t>
  </si>
  <si>
    <t>Akakpo, AA; Amidu, M; Coffie, W; Abor, JY</t>
  </si>
  <si>
    <t>WOS:000592706600001</t>
  </si>
  <si>
    <t>XA4YU</t>
  </si>
  <si>
    <t>10.1108/ITP-06-2020-0418</t>
  </si>
  <si>
    <t>SENY KAN, Konan Anderson/0000-0002-3211-1659; Senyo, PK/0000-0001-7126-3826; Osabutey, Ellis LC/0000-0003-4788-5224</t>
  </si>
  <si>
    <t>SENY KAN, Konan Anderson/AAN-7639-2021; Senyo, PK/ABA-5334-2021</t>
  </si>
  <si>
    <t>p.k.senyo@soton.ac.uk; Ellis.Osabutey@roehampton.ac.uk; konan.senykan@otago.ac.nz</t>
  </si>
  <si>
    <t>Senyo, PK (corresponding author), Univ Southampton, Decis Analyt &amp; Risk, Southampton, Hants, England.</t>
  </si>
  <si>
    <t>University of Southampton; Roehampton University; University of Otago</t>
  </si>
  <si>
    <t>[Senyo, P. K.] Univ Southampton, Decis Analyt &amp; Risk, Southampton, Hants, England; [Osabutey, Ellis L. C.] Univ Roehampton, Roehampton Business Sch, Int Business &amp; Strategy, London, England; [Seny Kan, Konan A.] Univ Otago, Otago Business Sch, Dunedin, New Zealand</t>
  </si>
  <si>
    <t>Purpose The purpose of this study is to investigate and explain pathways through which mobile money can improve financial inclusion. Design/methodology/approach The study used 294 survey responses from mobile money users in Ghana. The data were analysed using fuzzy set qualitative comparative analysis (fsQCA). Findings The findings reveal four pathways for improving financial inclusion through mobile money. In addition, the study identified three distinct user topologies as well as their associated pathways through which mobile money can be used to improve financial inclusion. Practical implications Managers and financial service organisations need to design products and services to align with different pathways and user topologies to improve financial inclusion through mobile money. Moreover, they need to take into account people's diverse social and economic backgrounds. Originality/value The study makes theoretical and empirical contributions by unpacking pathways through which mobile money can improve financial inclusion. In addition, this study reveals three distinct user topologies, being ease-of-use, behavioural intention and coverage-price-service driven and associated pathways through which mobile money can improve financial inclusion. These pathways and user topologies are important to tailor mobile money services and financial inclusion policies. Lastly, this study is arguably the first to utilise the unified theory of acceptance and use of technology (UTAUT) in fsQCA to extend the mobile money literature.</t>
  </si>
  <si>
    <t>INFORMATION-TECHNOLOGY; ADOPTION; ACCEPTANCE; BEHAVIOR; INTENTION; UTAUT</t>
  </si>
  <si>
    <t>Mobile money; Financial inclusion; fsQCA; Fintech; Technology innovation</t>
  </si>
  <si>
    <t>Pathways to improving financial inclusion through mobile money: a fuzzy set qualitative comparative analysis</t>
  </si>
  <si>
    <t>Senyo, P. K.; Osabutey, Ellis L. C.; Seny Kan, Konan A.</t>
  </si>
  <si>
    <t>Senyo, PK; Osabutey, ELC; Kan, KAS</t>
  </si>
  <si>
    <t>WOS:000860820200001</t>
  </si>
  <si>
    <t>5Y7XC</t>
  </si>
  <si>
    <t>10.1108/DPRG-09-2021-0111</t>
  </si>
  <si>
    <t>Wiredu, Gamel/AAW-5345-2021</t>
  </si>
  <si>
    <t>sodei-appiah@gimpa.edu.gh</t>
  </si>
  <si>
    <t>Appiah, SO (corresponding author), Ghana Inst Management &amp; Publ Adm GIMPA, Sch Technol, Accra, Ghana.</t>
  </si>
  <si>
    <t>[Appiah, Solomon Ode; Wiredu, Gamel; Adjei, Joseph Kwame] Ghana Inst Management &amp; Publ Adm GIMPA, Sch Technol, Accra, Ghana</t>
  </si>
  <si>
    <t>Purpose Financial Technology (FinTech) innovations enable the provision of financial services to many unbanked across the world by increasing access. The key role of FinTech to drive financial inclusion however suffers significant impediments including the digital divide. Nevertheless, there is paucity of elaborate theories on financial inclusion while extant literature on FinTech only identify factors that drive its acceptance and use with little attention to inhibitors such as the digital divide. This study aims to investigate the impact of FinTech usage on financial inclusion amid the digital divide. Design/methodology/approach This study uses the unified theory of acceptance and use of technology (UTAUT2) and the model of digital inequality. A structural equation modeling technique is applied to data collected from 282 respondents in an online survey. Findings The findings confirm a positive influence of FinTech use on financial inclusion as well as the influence of performance expectancy and facilitating conditions on behavioral intentions. The results also show that digital divide measured with access, resource and force moderate the use of FinTech. Originality/value This study presents a theoretical model which is unique given that UTAUT2 was combined with digital divide moderators from the model of digital inequality to explain how FinTech usage impacts on financial inclusion. Addressing the research questions has led several theoretical contributions including the extension of the applicability of UTAUT2.</t>
  </si>
  <si>
    <t>INFORMATION-TECHNOLOGY; MOBILE PAYMENT; UNIFIED THEORY; ACCEPTANCE; ADOPTION; INEQUALITY; MODELS</t>
  </si>
  <si>
    <t>Digital inequality; Digital divide; Financial inclusion; UTAUT2; FinTech</t>
  </si>
  <si>
    <t>Fintech use, digital divide and financial inclusion</t>
  </si>
  <si>
    <t>Appiah, Solomon Ode; Wiredu, Gamel; Adjei, Joseph Kwame</t>
  </si>
  <si>
    <t>Appiah, SO; Wiredu, G; Adjei, JK</t>
  </si>
  <si>
    <t>WOS:000471793400016</t>
  </si>
  <si>
    <t>ID6MS</t>
  </si>
  <si>
    <t>10.1016/j.ijinfomgt.2019.01.001</t>
  </si>
  <si>
    <t>This work was supported by the Spanish Ministry of Education and Science and the European Regional Development Fund [ECO2013-45568-R], and by the Government of Aragon [Ref. S38_17R]. The funding sources had no involvement in the study design; in the collection, analysis, or interpretation of data; in the writing of the report; or in the decision to submit the article for publication.</t>
  </si>
  <si>
    <t>Spanish Ministry of Education and Science(Spanish Government); European Regional Development Fund(European Union (EU)); Government of Aragon(Gobierno de Aragon)</t>
  </si>
  <si>
    <t>Spanish Ministry of Education and Science [ECO2013-45568-R]; European Regional Development Fund [ECO2013-45568-R]; Government of Aragon [S38_17R]</t>
  </si>
  <si>
    <t>Serrano Cinca, Carlos/0000-0003-2596-9638</t>
  </si>
  <si>
    <t>Serrano Cinca, Carlos/K-1744-2017</t>
  </si>
  <si>
    <t>bgn@unizar.es</t>
  </si>
  <si>
    <t>Gutiérrez-Nieto, B (corresponding author), Univ Zaragoza, Dept Accounting &amp; Finance, Sch Econ &amp; Business Studies, Gran Via 2, Zaragoza 50005, Spain.</t>
  </si>
  <si>
    <t>University of Zaragoza</t>
  </si>
  <si>
    <t>[Gutierrez-Nieto, Begona; Serrano-Cinca, Carlos] Univ Zaragoza, Dept Accounting &amp; Finance, Zaragoza, Spain</t>
  </si>
  <si>
    <t>In the last 20 years, microfinance has moved from a promise to reality, although with ups and downs. This paper reviews 1874 papers published from 1997 to 2017 to perform a scientometric analysis of the microfinance field. The literature review is based on bibliometric data: keyword co-occurrence networks and citation networks were exploited for knowledge mapping. Data analysis shows the two research traditions: papers focusing on clients (welfarists) and papers focusing on microfinance entities themselves (institutionalists). Institutionalism, which had little presence in the early research in microfinance, now exhibits great strength. A chronological analysis reveals the evolution of the topics most interesting to researchers: the first stage described the innovations of the microcredit practices and their impact; the second and very expansive stage in which microfinance institutions' peculiarities were analyzed; and nowadays the sector is mature but with negative aspects arising, such as mission drift. The keywords analysis discovers emerging research topics, shows the use of sophisticated techniques, and recognizes an emerging trend of the sector: achieving financial inclusion.</t>
  </si>
  <si>
    <t>INTIMATE-PARTNER VIOLENCE; RURAL CREDIT PROGRAMS; WOMENS EMPOWERMENT; JOINT LIABILITY; REPAYMENT PERFORMANCE; MICROCREDIT PROGRAMS; MICRO-FINANCE; IMPACT; OUTREACH; INSTITUTIONS</t>
  </si>
  <si>
    <t>Microfinance; Microcredit; Literature review; Scientometrics; Welfarism; Institutionalism</t>
  </si>
  <si>
    <t>20 years of research in microfinance: An information management approach</t>
  </si>
  <si>
    <t>Gutierrez-Nieto, Begona; Serrano-Cinca, Carlos</t>
  </si>
  <si>
    <t>Gutiérrez-Nieto, B; Serrano-Cinca, C</t>
  </si>
  <si>
    <t>WOS:000736254700001</t>
  </si>
  <si>
    <t>XX4FW</t>
  </si>
  <si>
    <t>10.3390/bs11120176</t>
  </si>
  <si>
    <t>Park, Chong Myung/0000-0003-4351-5445; Kraus, Aidan/0000-0001-7118-0385; Howard, Kimberly/0000-0001-9341-228X; Solberg, V Scott H/0000-0003-0456-2302</t>
  </si>
  <si>
    <t>cmpark@bu.edu; ekkraus@bu.edu; yldai@bu.edu; cfantry@investgirls.org; tblock@bu.edu; bkelder@investgirls.org; khoward@bu.edu; ssolberg@bu.edu</t>
  </si>
  <si>
    <t>Park, CM (corresponding author), Boston Univ, Wheelock Coll Educ &amp; Human Dev, Boston, MA 02215 USA.</t>
  </si>
  <si>
    <t>Boston University</t>
  </si>
  <si>
    <t>[Park, Chong Myung; Kraus, Aidan D.; Dai, Yanling; Block, Turner; Howard, Kimberly A. S.; Solberg, V. Scott H.] Boston Univ, Wheelock Coll Educ &amp; Human Dev, Boston, MA 02215 USA; [Fantry, Crystal; Kelder, Betsy] Invest Girls, New York, NY 10168 USA</t>
  </si>
  <si>
    <t>This study examines the effectiveness of a financial literacy program, Invest in Girls (IIG), in promoting financial capability among high school girls. Using a quasi-experimental separate-samples pretest-posttest design and a longitudinal qualitative study, the study aims to assess the program efficacy and investigate the perspectives of the female students on its impact on their knowledge, behavior, and future goals and aspirations. The results indicated that the participants had significantly higher confidence for engaging in financial literacy after the program. The findings from the longitudinal study also suggested that that the program was influencing the students in positive ways, increasing their financial capability and leading them to consider wide occupational pathways available in finance. Given the lack of female leaders in the world of finance, the IIG program aims to address gender disparity in financial knowledge and highlight the importance of building financial literacy skills among girls.</t>
  </si>
  <si>
    <t>EDUCATION; SUCCESS; BEHAVIOR</t>
  </si>
  <si>
    <t>financial literacy; financial education; career development; female leaders</t>
  </si>
  <si>
    <t>Empowering Women in Finance through Developing Girls' Financial Literacy Skills in the United States</t>
  </si>
  <si>
    <t>Park, Chong Myung; Kraus, Aidan D.; Dai, Yanling; Fantry, Crystal; Block, Turner; Kelder, Betsy; Howard, Kimberly A. S.; Solberg, V. Scott H.</t>
  </si>
  <si>
    <t>Park, CM; Kraus, AD; Dai, YL; Fantry, C; Block, T; Kelder, B; Howard, KAS; Solberg, VSH</t>
  </si>
  <si>
    <t>WOS:001155044400001</t>
  </si>
  <si>
    <t>GT9P4</t>
  </si>
  <si>
    <t>10.1016/j.techfore.2023.123179</t>
  </si>
  <si>
    <t>This research was funded by the Key Scientific Research Projects of Colleges and Universities in Henan Province (23A790017) . the China Scholarship Council (202008410007) , the National Social Science Foundation for Youth Program (19CJY001) , the National Natural Science Foundation of China (NSFC) General Program (42171182) , Henan Province University Science and Technology Innovation Talent Support Program (24HASTIT020) , Henan Province Natural Science Outstanding Youth Fund Project (222300420021) .</t>
  </si>
  <si>
    <t>Key Scientific Research Projects of Colleges and Universities in Henan Province; China Scholarship Council(China Scholarship CouncilInstituto Politecnico Nacional - Mexico); National Social Science Foundation for Youth Program; National Natural Science Foundation of China (NSFC) General Program(National Natural Science Foundation of China (NSFC)); Henan Province University Science and Technology Innovation Talent Support Program; Henan Province Natural Science Outstanding Youth Fund Project</t>
  </si>
  <si>
    <t>Key Scientific Research Projects of Colleges and Universities in Henan Province [23A790017]; China Scholarship Council [202008410007]; National Social Science Foundation for Youth Program [19CJY001]; National Natural Science Foundation of China (NSFC) General Program [42171182]; Henan Province University Science and Technology Innovation Talent Support Program [24HASTIT020]; Henan Province Natural Science Outstanding Youth Fund Project [222300420021]</t>
  </si>
  <si>
    <t>Chen, Xiaohui/0000-0002-4719-4354;</t>
  </si>
  <si>
    <t>Chen, Xiaohui/MTD-5151-2025; SONG, YUNXING/MZQ-7430-2025; Gong, Yuanyuan/ODK-4721-2025</t>
  </si>
  <si>
    <t>syx@unc.edu; yygong@huel.edu.cn; ys@email.unc.edu; xhchenc@aliyun.com</t>
  </si>
  <si>
    <t>Chen, XH (corresponding author), Guangxi Univ, Sch Econ, 100 Univ Rd, Nanning, Guangxi Zhuang, Peoples R China.</t>
  </si>
  <si>
    <t>Henan University of Economics &amp; Law; University of North Carolina; University of North Carolina Chapel Hill; University of North Carolina School of Medicine; Guangxi University; Guangxi University</t>
  </si>
  <si>
    <t>[Song, Yunxing; Gong, Yuanyuan] Henan Univ Econ &amp; Law, Coll Econ, Zhengzhou 450046, Peoples R China; [Song, Yunxing; Song, Yan] Univ North Carolina Chapel Hill, Dept City &amp; Reg Planning, Chapel Hill, NC 27599 USA; [Chen, Xiaohui] Guangxi Univ, Sch Econ, Nanning 530004, Peoples R China; [Chen, Xiaohui] Guangxi Univ, Sch Econ, 100 Univ Rd, Nanning, Guangxi Zhuang, Peoples R China</t>
  </si>
  <si>
    <t>The application of digital technology has reshaped all aspects of social life, and the impact of financial technology on the economy is unprecedented. Consumption is an eternal issue in economic development; however, most existing studies have concentrated on how digital inclusive Finance affects household consumption levels, giving little attention to consumption volatility. Nonetheless, policies that overlook consumption volatility are less likely to achieve societal welfare goals, particularly in developing countries. This study aims to fill this gap and unveil the black box of the impact of digital inclusive Finance on consumption volatility, which can benefit the development of economic resilience. Utilizing data from the China Household Finance Survey, our research assesses the impact of digital inclusive Finance on household consumption volatility and discovers that digital inclusive Finance significantly smooths out these fluctuations. Mechanism tests further indicate that the main transmission channels for this impact are promoting entrepreneurship and reducing income volatility. Moreover, heterogeneity tests show that the effect of digital inclusive Finance in smoothing household consumption volatility is more pronounced in households with sound financial standing, higher financial literacy, and internet access, especially in rural areas. These findings enrich the literature on digital inclusive Finance's role in managing volatility and extend the theory on the inclusive nature of digital inclusive Finance, offering valuable practical implications for developing countries.</t>
  </si>
  <si>
    <t>MOBILE MONEY; POVERTY; COSTS</t>
  </si>
  <si>
    <t>Digital inclusive finance; Consumption volatility; Entrepreneurship; Income volatility</t>
  </si>
  <si>
    <t>Exploring the impact of digital inclusive finance on consumption volatility: Insights from household entrepreneurship and income volatility</t>
  </si>
  <si>
    <t>Song, Yunxing; Gong, Yuanyuan; Song, Yan; Chen, Xiaohui</t>
  </si>
  <si>
    <t>Song, YX; Gong, YY; Song, Y; Chen, XH</t>
  </si>
  <si>
    <t>WOS:000495158400001</t>
  </si>
  <si>
    <t>10.1080/1351847X.2019.1686709</t>
  </si>
  <si>
    <t>We gratefully acknowledge financial support from UGC-UKIERI grant on 'Mainstreaming' of the Financial Inclusion Agenda in India' (IND/CONT/G/16-17/67).</t>
  </si>
  <si>
    <t>UGC-UKIERI grant on 'Mainstreaming' of the Financial Inclusion Agenda in India'</t>
  </si>
  <si>
    <t>UGC-UKIERI grant on 'Mainstreaming' of the Financial Inclusion Agenda in India' [IND/CONT/G/16-17/67]</t>
  </si>
  <si>
    <t>Girardone, Claudia/0000-0002-7347-7526; Shaban, Mais/0000-0002-7073-3133;</t>
  </si>
  <si>
    <t>; Girardone, Claudia/AGU-9655-2022</t>
  </si>
  <si>
    <t>m.shaban@zuj.edu.jo</t>
  </si>
  <si>
    <t>Sha'ban, M (corresponding author), Al Zaytoonah Univ Jordan, Amman, Jordan.</t>
  </si>
  <si>
    <t>Al-Zaytoonah University of Jordan; University of Essex</t>
  </si>
  <si>
    <t>[Sha'ban, Mais] Al Zaytoonah Univ Jordan, Amman, Jordan; [Girardone, Claudia; Sarkisyan, Anna] Univ Essex, Essex Business Sch, Colchester, Essex, England</t>
  </si>
  <si>
    <t>Recent years have witnessed a global commitment to advancing financial inclusion as a key enabler for promoting equal opportunity and reducing poverty. In this paper, we use the IMF's Financial Access Survey data and two different approaches to construct a multidimensional financial inclusion index for a global sample of 95 countries over 2004-15. Results reveal an overall progress in financial inclusion over the period under study, most markedly in the use and access dimensions. Financial inclusion appears to be positively and significantly associated with GDP per capita, employment, bank competition, human development, government integrity, and internet usage. Our evidence also points to the importance of considering the level of national income when designing policies to boost financial inclusion.</t>
  </si>
  <si>
    <t>BANK COMPETITION; ACCESS; EXCLUSION; SERVICES</t>
  </si>
  <si>
    <t>Financial inclusion; banking conditions; cross-country analysis; principal component analysis</t>
  </si>
  <si>
    <t>Cross-country variation in financial inclusion: a global perspective</t>
  </si>
  <si>
    <t>Sha'ban, Mais; Girardone, Claudia; Sarkisyan, Anna</t>
  </si>
  <si>
    <t>Sha'ban, M; Girardone, C; Sarkisyan, A</t>
  </si>
  <si>
    <t>WOS:000431498300049</t>
  </si>
  <si>
    <t>GE8RG</t>
  </si>
  <si>
    <t>10.1166/asl.2017.9330</t>
  </si>
  <si>
    <t>Damayanti, Sylviana Maya/0000-0002-1717-8505</t>
  </si>
  <si>
    <t>Febriana, RN (corresponding author), Inst Teknol Bandung, Sch Business &amp; Management, Bandung, Indonesia.</t>
  </si>
  <si>
    <t>Institute Technology of Bandung</t>
  </si>
  <si>
    <t>[Febriana, Rachel Nevi; Damayanti, Sylviana Maya] Inst Teknol Bandung, Sch Business &amp; Management, Bandung, Indonesia</t>
  </si>
  <si>
    <t>The global financial crisis provoked countries to individuals to be more aware of the financial knowledge. Many improvements have taken place in Indonesia following the financial crisis. However, as the economic getting stronger, Indonesia now is facing the emerging challenge known as ASEAN Economic Community Era. As AEC offers many great opportunities, it also demands people to be more competitive, financially literate, and encourage financial inclusiveness. Being aware of this situation, the aim this research was to analyze student, particularly in Institut Teknologi Bandung, financial literacy and inclusion level and its determinant. This study found out that although the student have already got financial-related course, their advanced financial literacy is still low; while, basic financial literacy is now in the low-to-medium level. Furthermore, using multi linear regression, the research found out that age and education are two important for financial literacy, while to be financially inclusive, the determinants are age, education and head of family' occupation. This is a unique finding to help government and academic institution create strategies to increase student financial literacy and inclusion. In the end, the author also provides the study with feasible recommendations which is to develop a practical-based course, encouraging financial education as a mandatory course across all major to be taught as early as possible, and recommending further research to expand the respondent and investigated other factors than demographic.</t>
  </si>
  <si>
    <t>Financial Education; Financial Literacy; Financial Inclusion; Indonesia Student</t>
  </si>
  <si>
    <t>Semarang, INDONESIA</t>
  </si>
  <si>
    <t>AUG 03-04, 2016</t>
  </si>
  <si>
    <t>2nd International Research Conference on Business and Economics (IRCBE)</t>
  </si>
  <si>
    <t>The Relationship Between Demographic Factors Towards Financial Literacy and Financial Inclusion Among Financially Educated Student in Institut Teknologi Bandung</t>
  </si>
  <si>
    <t>Febriana, Rachel Nevi; Damayanti, Sylviana Maya</t>
  </si>
  <si>
    <t>Febriana, RN; Damayanti, SM</t>
  </si>
  <si>
    <t>WOS:000663439700008</t>
  </si>
  <si>
    <t>SU9GZ</t>
  </si>
  <si>
    <t>10.1016/j.pacfin.2021.101552</t>
  </si>
  <si>
    <t>This work was supported by Financial Literacy Australia [Grant 2015067] .</t>
  </si>
  <si>
    <t>Financial Literacy Australia</t>
  </si>
  <si>
    <t>Financial Literacy Australia [2015067]</t>
  </si>
  <si>
    <t>Gerrans, Paul/0000-0002-5690-7141</t>
  </si>
  <si>
    <t>paul.gerrans@uwa.edu.au</t>
  </si>
  <si>
    <t>Gerrans, P (corresponding author), 35 Stirling Highway, Crawley, WA 6027, Australia.</t>
  </si>
  <si>
    <t>University of Western Australia</t>
  </si>
  <si>
    <t>[Gerrans, Paul] Univ Western Australia, UWA Business Sch, Perth, WA, Australia</t>
  </si>
  <si>
    <t>University is a significant transition period for young adults as they seek and gain independence, including financial independence. This would appear an ideal teachable moment for delivering financial education, though evidence of financial education intervention outcomes is mixed. We report medium-term empirical evidence, three years after the completion of an undergraduate personal finance semester-length unit, evidence notably absent in the literature. We find students retain significant objective and subjective financial literacy effects, with modest decay, three years after completing a unit of personal finance education. Effects on behavior and behavior intentions are less robust over time as boosts reported immediately after completion dissipate three years hence, though in absolute terms positive behaviors remain high. We found little evidence to link completion of a unit of study with overconfidence, as has previously been suggested, and students overall appear more discerning in their search for financial information sources after the unit.</t>
  </si>
  <si>
    <t>BEHAVIOR; IMPACT; KNOWLEDGE; ATTITUDES</t>
  </si>
  <si>
    <t>Financial literacy; Financial education; Financial capability; Consumer finance; Undergraduate education; Overconfidence</t>
  </si>
  <si>
    <t>Undergraduate student financial education interventions: Medium term evidence of retention, decay, and confidence in financial literacy</t>
  </si>
  <si>
    <t>Gerrans, Paul</t>
  </si>
  <si>
    <t>Gerrans, P</t>
  </si>
  <si>
    <t>WOS:000501800100024</t>
  </si>
  <si>
    <t>JU6QX</t>
  </si>
  <si>
    <t>10.1016/j.techsoc.2019.101154</t>
  </si>
  <si>
    <t>Mushtaq, Rizwan/0000-0001-8545-8210</t>
  </si>
  <si>
    <t>rizwanhcc@gmail.com</t>
  </si>
  <si>
    <t>Mushtaq, R (corresponding author), Univ Jean Moulin Lyon 3, Ctr Rech Magellan Iaelyon, Lyon, France.</t>
  </si>
  <si>
    <t>Universite Jean Moulin Lyon 3</t>
  </si>
  <si>
    <t>[Mushtaq, Rizwan] Univ Jean Moulin Lyon 3, Ctr Rech Magellan Iaelyon, Lyon, France; [Bruneau, Catherine] Univ Paris 1 Pantheon Sorbonne, Ctr Econ Sorbonne, Paris, France</t>
  </si>
  <si>
    <t>This study assesses the role of Information and Communication Technologies (ICT) in poverty &amp; inequality reduction by fostering financial inclusion, using panel dataset of sixty-two countries between 2001 and 2012. It mainly focuses on two different dimensions of financial inclusion e.g., inclusion by commercial banks and by microfinance institutions (MFIs). As the formal financial institutions deal with wealthy and well-off clients, whereas the MFIs claim to be the bankers of poor. A large number of poor people are still un-banked in low income countries; however, research in development finance suggests that accessible and timely finance has the potential to bring poor out of poverty. The importance of MFIs in providing credit and other financial services at the doorstep of financially excluded households is globally acknowledged. Thus, it is inevitable to investigate the determinants of (MFIs)/financial inclusion particularly in developing countries. In the first step of data analysis, we find positive association of ICT diffusion with financial inclusion and a negative relationship with poverty &amp; inequality. Furthermore, the results of the study indicate poverty reducing effects of financial inclusion measured either way. It was also observed that the ICT dimensions when used as instruments for financial inclusion accelerate economic growth and reduce poverty &amp; inequality. Therefore, policies to promote information and communication infrastructure could stimulate financial inclusion by promoting digital finance. Moreover, better collaboration between ICT and financial sector will likely to advance digital financial inclusion that could help to bridge the financial infrastructure gap.</t>
  </si>
  <si>
    <t>ECONOMIC-GROWTH; PANEL-DATA; ACCESS; DETERMINANTS; INSTITUTIONS; REDUCTION; BANKING; CREDIT; SECTOR; IMPACT</t>
  </si>
  <si>
    <t>ICT; Financial inclusion; Microfinance; Poverty &amp; inequality</t>
  </si>
  <si>
    <t>Microfinance, financial inclusion and ICT: Implications for poverty and inequality</t>
  </si>
  <si>
    <t>WOS:000680206000001</t>
  </si>
  <si>
    <t>7E0PP</t>
  </si>
  <si>
    <t>10.1002/pa.2722</t>
  </si>
  <si>
    <t>e2722</t>
  </si>
  <si>
    <t>Lenka, Sanjaya Kumar/0000-0001-9353-6872</t>
  </si>
  <si>
    <t>Lenka, Sanjaya Kumar/AAZ-4076-2020</t>
  </si>
  <si>
    <t>Lenka, SK (corresponding author), CHRIST Deemed Univ, Dept Econ, Bannerghatta Main Rd, Bengaluru 560076, Karnataka, India.</t>
  </si>
  <si>
    <t>[Lenka, Sanjaya Kumar] CHRIST Deemed Univ, Sch Social Sci, Dept Econ, BGR Campus,Bannerghatta Main Rd, Bengaluru 560076, Karnataka, India</t>
  </si>
  <si>
    <t>A dynamic chain of financial activities and services can be served from debtors to creditors in the international economy through an efficient and effective financial sector. The motivation behind this study is to investigate the linkages between financial inclusion and financial development in India during the period (1980-2017). For this, the study employ principal component analysis (PCA) to construct both financial inclusion index and financial development index which measures financial access and financial depth position respectively. Using a set of determinants related to financial inclusion and financial development, the present study estimates there is a unidirectional relationship between financial inclusion and financial development in India. So, it reveals that financial inclusion is an essential element for financial sector development especially in a developing country like India.</t>
  </si>
  <si>
    <t>ECONOMIC-GROWTH; DETERMINANTS</t>
  </si>
  <si>
    <t>financial development; financial inclusion; India; principal component analysis</t>
  </si>
  <si>
    <t>Relationship between financial inclusion and financial development in India: Is there any link?</t>
  </si>
  <si>
    <t>Lenka, Sanjaya Kumar</t>
  </si>
  <si>
    <t>Lenka, SK</t>
  </si>
  <si>
    <t>WOS:000459704100006</t>
  </si>
  <si>
    <t>HM8BT</t>
  </si>
  <si>
    <t>10.1111/ijcs.12498</t>
  </si>
  <si>
    <t>Statutory funds from Ministry of Science and Higher Education of Poland; National Science Centre, Poland, grant no. 2017/01/X/HS4/00634.</t>
  </si>
  <si>
    <t>Ministry of Science and Higher Education of Poland(Ministry of Science and Higher Education, Poland); National Science Centre, Poland(National Science Centre, Poland)</t>
  </si>
  <si>
    <t>Ministry of Science and Higher Education of Poland; National Science Centre, Poland [2017/01/X/HS4/00634]</t>
  </si>
  <si>
    <t>Cierpiał-Wolan, Marek/0000-0003-2672-3234; Potocki, Tomasz/0000-0001-7309-7892</t>
  </si>
  <si>
    <t>Cierpiał-Wolan, Marek/AHE-4480-2022</t>
  </si>
  <si>
    <t>tpotocki@ur.edu.pl</t>
  </si>
  <si>
    <t>Potocki, T (corresponding author), Univ Rzeszow, Fac Econ, Dept Financial Markets &amp; Publ Finance, Cwiklinskiej 2 St, PL-35601 Rzeszow, Poland.</t>
  </si>
  <si>
    <t>University of Rzeszow; University of Rzeszow</t>
  </si>
  <si>
    <t>[Potocki, Tomasz] Univ Rzeszow, Fac Econ, Dept Financial Markets &amp; Publ Finance, Cwiklinskiej 2 St, PL-35601 Rzeszow, Poland; [Cierpial-Wolan, Marek] Univ Rzeszow, Fac Econ, Dept Quantitat Methods &amp; Econ Informat, Rzeszow, Poland</t>
  </si>
  <si>
    <t>The two-fold purpose of this study was to explore the financial capability of low-income consumers from rural regions of Poland, using Xiao's financial capability index, while accounting for their poverty status, demographic and financial characteristics. To test the relevant hypothesis of the study, a micro database of low-income consumers was used. Factor, descriptive and correlation analyses were employed for preliminary examinations. One-way ANOVA was used to examine the impact of different poverty indicators on financial capability index variables. Multiple OLS regressions were used to examine the influence of the selected factors on the level of financial capability. Six sets of linear regression models were used to explore the effects of factors associated with the financial capability variables. The findings of our study suggest that financial inclusion is an essential component of the financial capability index. The results also show that all five variables play a significant role in the financial capability index. Therefore, Xiao's financial capability index captures a specific combination of financial literacy and financial behaviour of low-income consumers from rural regions of Poland.</t>
  </si>
  <si>
    <t>LITERACY; EDUCATION; BEHAVIOR; CONSEQUENCES; DECISIONS</t>
  </si>
  <si>
    <t>capability approach; financial capability; financial fragility; financial inclusion; low-income consumers; poverty indicators; rural regions; Xiao's financial capability index</t>
  </si>
  <si>
    <t>Factors shaping the financial capability of low-income consumers from rural regions of Poland</t>
  </si>
  <si>
    <t>Potocki, Tomasz; Cierpial-Wolan, Marek</t>
  </si>
  <si>
    <t>Potocki, T; Cierpial-Wolan, M</t>
  </si>
  <si>
    <t>WOS:000531417000001</t>
  </si>
  <si>
    <t>10.1002/jsc.2339</t>
  </si>
  <si>
    <t>c.milana@bbk.ac.uk</t>
  </si>
  <si>
    <t>Milana, C (corresponding author), Univ London, Birkbeck Coll, Malet St, London WC1E 7HX, England.</t>
  </si>
  <si>
    <t>University of London; Birkbeck University London; Universite Bourgogne Europe; Burgundy School of Business</t>
  </si>
  <si>
    <t>[Milana, Carlo] Univ London, Birkbeck Coll, Malet St, London WC1E 7HX, England; [Ashta, Arvind] Univ Bourgogne Franche Comte, Burgundy Sch Business, Dijon, France</t>
  </si>
  <si>
    <t>Lifting the poor from poverty through financial and social inclusion is the ultimate target and raison d'etre of microfinance. As the most recent literature has recognized, microfinance institutions have economically worked well in operating microcredit, but the aim of raising the living standard of their indigent clients has not been generally met. The expected encouragement of entrepreneurship from microcredit is still not detected in the empirical data, let alone women's social integration in working activities. The articles collected in this thematic issue bring new empirical elements of discussion pointing to many aspects of the social divides and the inequalities that plague the emerging countries. This overview article recalls the main questions that are still open and the framework of topics discussed in this thematic issue.</t>
  </si>
  <si>
    <t>SOCIAL ENTREPRENEURSHIP; MICROCREDIT EVIDENCE; INSTITUTIONS; PERFORMANCE; IMPACT; BANKING; LESSONS; CREDIT; INDIA; RESPONSIBILITY</t>
  </si>
  <si>
    <t>Microfinance and financial inclusion: Challenges and opportunities</t>
  </si>
  <si>
    <t>Milana, Carlo; Ashta, Arvind</t>
  </si>
  <si>
    <t>Milana, C; Ashta, A</t>
  </si>
  <si>
    <t>WOS:001127162500001</t>
  </si>
  <si>
    <t>OT7H7</t>
  </si>
  <si>
    <t>10.1108/IJBM-04-2023-0214</t>
  </si>
  <si>
    <t>Wasiuzzaman, Shaista/0000-0002-0244-2174</t>
  </si>
  <si>
    <t>Wasiuzzaman, Shaista/H-8403-2019</t>
  </si>
  <si>
    <t>shaistaw76@gmail.com</t>
  </si>
  <si>
    <t>Wasiuzzaman, S (corresponding author), Univ Teknol Brunei, Sch Business, Gadong, Brunei.</t>
  </si>
  <si>
    <t>[Talip, Siti Nor Suriana Hj; Wasiuzzaman, Shaista] Univ Teknol Brunei, Sch Business, Gadong, Brunei</t>
  </si>
  <si>
    <t>PurposeThe authors investigate the role of financial literacy in influencing the relationship between human capital and social capital, with access to finance of micro, small and medium enterprises (MSMEs).Design/methodology/approachData were gathered from 337 MSMEs in Brunei Darussalam, and analysis on the data was carried out using a number of statistical methods. The relationships between human capital, social capital, financial literacy and access to finance were analyzed using PLS-SEM.FindingsThe results show that human capital does influence access to finance but contrary to previous studies, the influence is negative. Financial literacy is an important element in the relationship between human capital, social capital and access to finance, although it plays a greater role in the relationship between social capital and access to finance. Further analysis shows that financial knowledge is significant in moderating the relationships between human and social capital with access to finance. Financial skills is found to only moderate the relationship between social capital and access to finance.Originality/valueTo the authors' knowledge, this study is the first that integrates the human capital, social capital, financial literacy and access to finance in a single model. The authors also highlight the importance of enhancing the financial literacy of MSMEs so that the problem of access to finance can be alleviated, especially in developing countries.</t>
  </si>
  <si>
    <t>MODERATING ROLE; FIRM GROWTH; ENTREPRENEURS; KNOWLEDGE; CREDIT; PERFORMANCE; IMPACT; SMES; ENTERPRISES; NETWORKS</t>
  </si>
  <si>
    <t>Human capital; Social capital; Access to finance; Financial literacy; Financial knowledge; Financial skills</t>
  </si>
  <si>
    <t>Influence of human capital and social capital on MSME access to finance: assessing the mediating role of financial literacy</t>
  </si>
  <si>
    <t>Talip, Siti Nor Suriana Hj; Wasiuzzaman, Shaista</t>
  </si>
  <si>
    <t>Talip, SNSH; Wasiuzzaman, S</t>
  </si>
  <si>
    <t>WOS:000355704400005</t>
  </si>
  <si>
    <t>CJ7UE</t>
  </si>
  <si>
    <t>10.1007/s11518-015-5272-2</t>
  </si>
  <si>
    <t>J. Syst. Sci. Syst. Eng.</t>
  </si>
  <si>
    <t>J SYST SCI SYST ENG</t>
  </si>
  <si>
    <t>1861-9576</t>
  </si>
  <si>
    <t>1004-3756</t>
  </si>
  <si>
    <t>hninpwintaye24@gmail.com; nakamori0212@gmail.com</t>
  </si>
  <si>
    <t>Aye, HP (corresponding author), Japan Adv Inst Sci &amp; Technol, Sch Knowledge Sci, 1-1 Asahi Dai, Nomi, Ishikawa 9231292, Japan.</t>
  </si>
  <si>
    <t>Japan Advanced Institute of Science &amp; Technology (JAIST)</t>
  </si>
  <si>
    <t>[Aye, Hnin Pwint; Nakamori, Yoshiteru] Japan Adv Inst Sci &amp; Technol, Sch Knowledge Sci, Nomi, Ishikawa 9231292, Japan</t>
  </si>
  <si>
    <t>In Myanmar, the formal financial institution does not provide uncollateralized credits. The rural unbanked under the poverty line is depending on the informal money-lenders with high interest rate. Private Agency Collaboration Together is only one microfinance institution providing the credits without collateral and with low interest rate to the unbanked in Myanmar. Half of the unbanked are unable to borrow the loans from the microfinance institution because of the weakness of the information contribution and the strict legal policies of the microfinance institution. Therefore, the objective of this study is to construct a system to improve the relationship between the microfinance institution and the unbanked by reducing the obstacles in the current system of microfinance institution. The legal policy is studied from the vision of the local unbanked as the originality of this research and the i-System methodology is applied to accomplish the research. The current system comprises the information contribution, loans and legal policies. The current system is only one relationship between the microfinance institution and unbanked. When the ten obstacles occurred in the current system, the unbanked cannot approach to the microfinance institution. An access system including four sub-systems is developed depending on the collected ideas to solve these obstacles and intend to improve the relationship between microfinance institution and the unbanked.</t>
  </si>
  <si>
    <t>RURAL CREDIT MARKETS</t>
  </si>
  <si>
    <t>Legal policy; microfinance institution; unbanked; access system; obstacles</t>
  </si>
  <si>
    <t>JOURNAL OF SYSTEMS SCIENCE AND SYSTEMS ENGINEERING</t>
  </si>
  <si>
    <t>Constructing an access system for unbanked in Myanmar to a microfinance institution</t>
  </si>
  <si>
    <t>Aye, Hnin Pwint; Nakamori, Yoshiteru</t>
  </si>
  <si>
    <t>Aye, HP; Nakamori, Y</t>
  </si>
  <si>
    <t>WOS:000217450600006</t>
  </si>
  <si>
    <t>V2C3N</t>
  </si>
  <si>
    <t>Arts &amp; Humanities - Other Topics</t>
  </si>
  <si>
    <t>Humanities, Multidisciplinary</t>
  </si>
  <si>
    <t>10.1080/08263663.2015.1090707</t>
  </si>
  <si>
    <t>Can. J. Lat. Am. Caribb. Stud.</t>
  </si>
  <si>
    <t>CAN J LAT AM CARIBB</t>
  </si>
  <si>
    <t>2333-1461</t>
  </si>
  <si>
    <t>0826-3663</t>
  </si>
  <si>
    <t>I am most grateful to the Third World Network and its leaders, Hazel Brown and Terry Ince in Port of Spain, for assisting me to carry out this work in Laventille and east Port of Spain. Stuart Black, a business consultant, who works extensively in the Caribbean, provided helpful ideas about partisan politics. The University of West Indies/St Augustine's Gary Darrell Edwards and finance expert, Carmen Gomez-Triggs, provided excellent feedback to an early draft of this article. The author also thanks the two anonymous reviewers who made insightful remarks on this paper. I thank York University's Liberal Arts and Professional Studies minor grant and the Social Science Humanities Research Council (SSHRC) small projects grant, awarded in 2012 and 2014, which funded the fieldwork and time to analyze the work.</t>
  </si>
  <si>
    <t>Social Science Humanities Research Council (SSHRC)</t>
  </si>
  <si>
    <t>Hossein, Caroline/0000-0002-6696-2064</t>
  </si>
  <si>
    <t>chossein@yorku.ca</t>
  </si>
  <si>
    <t>Hossein, CS (corresponding author), York Univ, Dept Social Sci, Toronto, ON, Canada.</t>
  </si>
  <si>
    <t>[Hossein, Caroline Shenaz] York Univ, Dept Social Sci, Toronto, ON, Canada</t>
  </si>
  <si>
    <t>Microfinance is commonly known as banking upside down because micro-lending institutions make very small loans available to businesspeople excluded from conventional banks. Microfinance has piqued the interest of political elites in many Global South countries because of its support by the poor masses. The case of the Trinidadian microfinance sector shows that the state dominates the micro-lending sector through its agency, the National Entrepreneurship Development Company (NEDCO). The main argument for this paper is that government-owned microfinance is in fact political microfinance because of its exclusionary tendency of the small businesspeople in the slums of east Port of Spain. On the ground, the current party politics have fuelled the perception that persons of African descent are the most excluded from accessing a small loan. However, this paper finds that no matter which party is in power, the state has co-opted NEDCO to make loans available to its own party supporters, and this practice goes against the microfinance sector's goal of inclusive finance.</t>
  </si>
  <si>
    <t>microfinance; financial exclusion; persons of African descent; elites; class bias; Trinidad and Tobago; states; party politics; state lending; NEDCO; slums</t>
  </si>
  <si>
    <t>CANADIAN JOURNAL AMERICAN AND CARIBBEAN STUDIES</t>
  </si>
  <si>
    <t>Government-owned micro-bank and financial exclusion: a case study of small business people in east Port of Spain, Trinidad and Tobago</t>
  </si>
  <si>
    <t>Hossein, Caroline Shenaz</t>
  </si>
  <si>
    <t>Hossein, CS</t>
  </si>
  <si>
    <t>WOS:001186414700010</t>
  </si>
  <si>
    <t>10.1093/oxrep/grad056</t>
  </si>
  <si>
    <t>Morduch, Jonathan/0000-0002-1837-9579</t>
  </si>
  <si>
    <t>jonathan.morduch@nyu.edu; timothy.ogden@nyu.edu</t>
  </si>
  <si>
    <t>Morduch, J (corresponding author), NYU, Wagner Grad Sch Publ Serv, New York, NY 10012 USA.</t>
  </si>
  <si>
    <t>New York University; New York University</t>
  </si>
  <si>
    <t>[Morduch, Jonathan] NYU, Wagner Grad Sch Publ Serv, New York, NY 10012 USA; [Ogden, Timothy] NYU, Wagner Grad Sch Publ Serv, Financial Access Initiat, New York, NY USA</t>
  </si>
  <si>
    <t>The modern microfinance industry was built on the idea that lenders could (and should) profit while serving poor and excluded customers. This idea-that lenders could 'win' while customers would also 'win'-inspired the broader field of social enterprise and opened possibilities for business-driven responses to social problems. However, in hindsight it is possible to see that not only was the idea flawed-important claims underpinning the core idea have failed to find empirical support-but the lingering belief that 'win-win' was right continues to handicap not only financial inclusion and consumer protection policies, but the social investment and finance industry as a whole. The win-win formulation was driven by the assertion that customers would be indifferent to the level of interest rates on loans and that it was simply access to finance that mattered most to customers. The argument was used to justify charging the highest interest rates to the most operationally expensive customers, who turned out to not coincidentally be the poorest customers. However, studies show that customers are indeed sensitive to interest rates and that high interest rates discourage borrowers. Moreover, despite charging high rates, financial data show that most lenders failed to earn profit after fully accounting for the subsidies received from donors and social investors. Microfinance and the social investment industry it helped spawn remain important tools for addressing poverty and inequality, but both sectors are overdue for a transparent reckoning of the roles of subsidy (including its benefits) and greater recognition of the potential for exclusion caused by high prices and the drive for profitability or 'sustainability'. Muddled thinking on subsidy and prices handicapped the past but does not need to handicap the future.</t>
  </si>
  <si>
    <t>CREDIT EVIDENCE; QUALITY; DEMAND; LOANS</t>
  </si>
  <si>
    <t>subsidy; social investment; interest rates; microcredit</t>
  </si>
  <si>
    <t>What win-win lost: rethinking microfinance subsidy in the past and designing for the future</t>
  </si>
  <si>
    <t>Morduch, Jonathan; Ogden, Timothy</t>
  </si>
  <si>
    <t>Morduch, J; Ogden, T</t>
  </si>
  <si>
    <t>WOS:001017861400001</t>
  </si>
  <si>
    <t>K6XV0</t>
  </si>
  <si>
    <t>10.3390/su15129358</t>
  </si>
  <si>
    <t>This research was co-funded by Ministry of Science, Higher Education and Youth, Sarajevo Canton, Bosnia and Herzegovina, co-financing agreement number 27-02-35-35137-52/22. This research is part of the project Financial Literacy in Bosnia and Herzegovina which is being implemented at University of Sarajevo, Bosnia and Herzegovina.</t>
  </si>
  <si>
    <t>Ministry of Science, Higher Education and Youth, Sarajevo Canton, Bosnia and Herzegovina</t>
  </si>
  <si>
    <t>Ministry of Science, Higher Education and Youth, Sarajevo Canton, Bosnia and Herzegovina [27-02-35-35137-52/22]</t>
  </si>
  <si>
    <t>Dedovic, Lejla/0000-0002-0377-0604; Zaimovic, Azra/0000-0002-3956-4626; Nuhic Meskovic, Minela/0000-0002-9207-5784; Arnaut - Berilo, Almira/0000-0002-3285-9122; Torlakovic, Anes/0000-0002-8247-9726;</t>
  </si>
  <si>
    <t>Dedovic, Lejla/KFA-6545-2024; Zaimovic, Azra/N-6276-2019; Nuhic Meskovic, Minela/LOR-2584-2024; Arnaut - Berilo, Almira/AEY-8165-2022; Torlakovic, Anes/GLU-3944-2022; Zaimovic, Tarik/AAH-7849-2021</t>
  </si>
  <si>
    <t>azra.zaimovic@efsa.unsa.ba; anes.torlakovic@efsa.unsa.ba; almira.arnaut@efsa.unsa.ba; tarik.zaimovic@efsa.unsa.ba; lejla.dedovic@efsa.unsa.ba; minela.nuhic-meskovic@efsa.unsa.ba</t>
  </si>
  <si>
    <t>Zaimovic, A (corresponding author), Univ Sarajevo, Sch Econ &amp; Business, Trg Oslobodjenja Alija Izetbegov 1, Sarajevo 71000, Bosnia &amp; Herceg.</t>
  </si>
  <si>
    <t>University of Sarajevo</t>
  </si>
  <si>
    <t>[Zaimovic, Azra; Torlakovic, Anes; Arnaut-Berilo, Almira; Zaimovic, Tarik; Dedovic, Lejla; Meskovic, Minela Nuhic] Univ Sarajevo, Sch Econ &amp; Business, Trg Oslobodjenja Alija Izetbegov 1, Sarajevo 71000, Bosnia &amp; Herceg</t>
  </si>
  <si>
    <t>Financial literacy is a critical life skill that is essential for achieving financial security and individual well-being, economic growth and overall sustainable development. Based on the analysis of research on financial literacy, we aim to provide a balance sheet of current research and a starting point for future research with the focus on identifying significant predictors of financial literacy, as well as variables that are affected by financial literacy. The main methods of our research are a systematic literature review, and bibliometric and bibliographical analysis. We establish a chronological path of the financial literacy topic in the scientific research. Based on the analysis of the most cited articles, we develop a comprehensive conceptual framework for mapping financial literacy. We identified a large number of predictors of financial literacy starting with education, gender, age, knowledge, etc. Financial literacy also affects variables such as retirement planning, financial inclusion, return on wealth, risk diversification, etc. We discuss in detail the main trends and topics in financial literacy research by involving financial literacy of the youth, financial literacy from the gender perspective, financial inclusion, retirement planning, digital finance and digital financial literacy. Our research can help policymakers in their pursuit of improving the levels of individual financial literacy by enabling individuals to make better financial decisions, avoid financial stress and achieve their financial goals. It can also help governments in their efforts in achieving sustainable development goals (SDGs).</t>
  </si>
  <si>
    <t>GENDER-DIFFERENCES; YOUNG-ADULTS; EDUCATION; BEHAVIOR; INCLUSION; IMPACT; MONEY; GAP; PARTICIPATION; SATISFACTION</t>
  </si>
  <si>
    <t>financial literacy; personal finance; financial education; bibliometric analysis; youth; young adults; gender; retirement planning; financial inclusion; digital finance; digital financial literacy; SDGs</t>
  </si>
  <si>
    <t>Mapping Financial Literacy: A Systematic Literature Review of Determinants and Recent Trends</t>
  </si>
  <si>
    <t>Zaimovic, Azra; Torlakovic, Anes; Arnaut-Berilo, Almira; Zaimovic, Tarik; Dedovic, Lejla; Meskovic, Minela Nuhic</t>
  </si>
  <si>
    <t>Zaimovic, A; Torlakovic, A; Arnaut-Berilo, A; Zaimovic, T; Dedovic, L; Meskovic, MN</t>
  </si>
  <si>
    <t>WOS:000412540400004</t>
  </si>
  <si>
    <t>FJ2FR</t>
  </si>
  <si>
    <t>10.1002/jid.3244</t>
  </si>
  <si>
    <t>The authors wish to acknowledge the contributions of all the partners in the Dominican Republic, namely the managers and staff of the MFIs involved in the study. The authors also wish to thank the European Investment Bank for funding the Microfinance in Crisis project, making this research possible, and the reviewers for their valuable comments. Finally, a special thanks is due to the interviewees who willingly gave their time and shared their experiences.</t>
  </si>
  <si>
    <t>European Investment Bank</t>
  </si>
  <si>
    <t>Silva Afonso, Joana/0000-0002-6256-8713; Morvant-Roux, Solene/0000-0003-2609-268X;</t>
  </si>
  <si>
    <t>; Guerin, Isabelle/AAU-4398-2021</t>
  </si>
  <si>
    <t>joana.silvaafonso@myport.ac.uk</t>
  </si>
  <si>
    <t>Afonso, JS (corresponding author), Univ Portsmouth, 5 Dartmouth Mews,Cecil Pl, Southsea PO5 3DL, Hants, England.</t>
  </si>
  <si>
    <t>University of Portsmouth; University of Geneva; Institut de Recherche pour le Developpement (IRD); Universite Libre de Bruxelles</t>
  </si>
  <si>
    <t>[Afonso, Joana Silva] Univ Portsmouth, 5 Dartmouth Mews,Cecil Pl, Southsea PO5 3DL, Hants, England; [Morvant-Roux, Solene] Univ Geneva, Geneva, Switzerland; [Guerin, Isabelle] IRD, Marseille, France; [Forcella, Davide] Univ Libre Bruxelles, Brussels, Belgium; [Forcella, Davide] CERMi, Brussels, Belgium</t>
  </si>
  <si>
    <t>The Dominican Republic's microfinance sector is considered to be a solid market where over-indebtedness prevention best practices are widely and successfully implemented. Relying on qualitative data collection tools and analysis, we identify these best practices' as self-regulation mechanisms, and we show how they fail to fully fulfil their goals in the Dominican market. While financial exclusion supports the idea of a sizable microcredit market, we argue that the focus on growth and high competition strongly jeopardizes the positive social outcomes of microcredit, and that only a paradigm shift within the sector will really change the present situation. Copyright (c) 2016 John Wiley &amp; Sons, Ltd.</t>
  </si>
  <si>
    <t>Dominican Republic; financial practices; microfinance; over-indebtedness prevention; self-regulation</t>
  </si>
  <si>
    <t>Doing Good by Doing Well? Microfinance, Self-Regulation and Borrowers' Over-indebtedness in the Dominican Republic</t>
  </si>
  <si>
    <t>Afonso, Joana Silva; Morvant-Roux, Solene; Guerin, Isabelle; Forcella, Davide</t>
  </si>
  <si>
    <t>Afonso, JS; Morvant-Roux, S; Guérin, I; Forcella, D</t>
  </si>
  <si>
    <t>WOS:000947609600001</t>
  </si>
  <si>
    <t>9U3IR</t>
  </si>
  <si>
    <t>10.3390/su15054505</t>
  </si>
  <si>
    <t>Chatterjee, Swarn/0000-0003-4916-1369; Zhang, Yu/0000-0001-8053-8449</t>
  </si>
  <si>
    <t>Chatterjee, Swarn/D-7114-2016; Zhang, Yu/JFJ-5805-2023</t>
  </si>
  <si>
    <t>swarn@uga.edu</t>
  </si>
  <si>
    <t>Chatterjee, S (corresponding author), Univ Georgia, Coll Family &amp; Consumer Sci, Dept Financial Planning Housing &amp; Consumer Econ, Athens, GA 30602 USA.</t>
  </si>
  <si>
    <t>[Zhang, Yu; Chatterjee, Swarn] Univ Georgia, Coll Family &amp; Consumer Sci, Dept Financial Planning Housing &amp; Consumer Econ, Athens, GA 30602 USA</t>
  </si>
  <si>
    <t>This paper examines the role of financial stress in explaining the relationship between financial literacy and financial well-being among individuals in the United States. The 2018 FINRA National Financial Capability Study dataset is used for the empirical analyses of this study. The results found that financial literacy was positively associated with financial well-being. The study also found that the association between financial literacy and financial well-being was mediated by perceived financial stress experienced by individuals. Additionally, the results from the moderated mediation model showed that while financial stress mediated the association between financial literacy and financial well-being, the association between financial stress and financial well-being was moderated by financial literacy. Financial education was positively associated with financial literacy in this study. The broader implications of the main findings of this study for individuals' sustainable financial well-being are presented for policymakers, financial educators, and financial counselors and planners.</t>
  </si>
  <si>
    <t>EDUCATION; IMPACT; WORKPLACE; MEDIATION; UTILITY</t>
  </si>
  <si>
    <t>economic sustainability; financial education; financial literacy; financial well-being; financial stress; financial sustainability; poverty; social sustainability</t>
  </si>
  <si>
    <t>Financial Well-Being in the United States: The Roles of Financial Literacy and Financial Stress</t>
  </si>
  <si>
    <t>Zhang, Yu; Chatterjee, Swarn</t>
  </si>
  <si>
    <t>Zhang, Y; Chatterjee, S</t>
  </si>
  <si>
    <t>WOS:001245892900001</t>
  </si>
  <si>
    <t>W1C4A</t>
  </si>
  <si>
    <t>10.1108/AJEMS-08-2023-0323</t>
  </si>
  <si>
    <t>Umar, Umar Habibu/0000-0003-0663-1439;</t>
  </si>
  <si>
    <t>Umar, Umar Habibu/AEY-7326-2022; Baita, Abubakar/AAX-7966-2021; Abduh, Muhamad/C-3497-2012</t>
  </si>
  <si>
    <t>uhumar21@gmail.com</t>
  </si>
  <si>
    <t>Umar, UH (corresponding author), Yusuf Maitama Sule Univ Kano, Dept Accounting, Kano, Nigeria.</t>
  </si>
  <si>
    <t>[Umar, Umar Habibu] Yusuf Maitama Sule Univ Kano, Dept Accounting, Kano, Nigeria; Yusuf Maitama Sule Univ Kano, Kano, Nigeria; Univ Islam Int Indonesia, Fac Econ &amp; Business, Depok, Indonesia; Univ Brunei Darussalam Sch Business &amp; Econ, Dept Accounting &amp; Finance, Gadong, Brunei</t>
  </si>
  <si>
    <t>PurposeThis study examined the impact of digital finance on SME financial inclusion in Africa.Design/methodology/approachThe study obtained data from the International Monetary Fund's Financial Access Survey and World Development Indicators covering the period from 2011 to 2022. Heteroskedastic panels corrected standard errors (HPCSE) and feasible generalized least squares regressions were employed in the analysis.FindingsThe findings indicate that digital finance (volume and intensity) significantly improves SME financial inclusion in Africa.Research limitations/implicationsDue to the paucity of data, the study covered only 17 African countries over 12 years (2011-2022).Practical implicationsThe findings imply the need for African central banks and other relevant regulatory bodies to establish effective regulations mandating Deposit Money Banks and other financial institutions to operate agent banking. This would facilitate access to financial services for SME owners. Such measures could financially include more unbanked SME owners, especially those in rural areas. Moreover, these initiatives must be strongly supported by introducing user-friendly digital financial technologies and registering more financial technology (fintech) companies.Social implicationsImplementing necessary measures to enhance access to digital financial services for SMEs in Africa is likely to reduce unemployment and poverty and contribute to the economic growth and development of the region.Originality/valueThis study provides empirical evidence showing how digital finance affects SME financial inclusion in Africa.</t>
  </si>
  <si>
    <t>Digital finance; SMEs; Financial inclusion; Africa</t>
  </si>
  <si>
    <t>Digital finance and SME financial inclusion in Africa</t>
  </si>
  <si>
    <t>Umar, Umar Habibu; Baita, Abubakar Jamilu; Hamadou, Issa; Abduh, Muhamad</t>
  </si>
  <si>
    <t>Umar, UH; Baita, AJ; Hamadou, I; Abduh, M</t>
  </si>
  <si>
    <t>WOS:000612708300001</t>
  </si>
  <si>
    <t>SF9BI</t>
  </si>
  <si>
    <t>10.1057/s41264-020-00085-7</t>
  </si>
  <si>
    <t>Younas, Waqar/0000-0002-0312-5824</t>
  </si>
  <si>
    <t>Younas, Waqar/AAE-6263-2019</t>
  </si>
  <si>
    <t>waqary89@gmail.com; k.ramanathan@limkokwing.edu.my</t>
  </si>
  <si>
    <t>Younas, W (corresponding author), Limkokwing Univ Creat Technol, Inovasi 1-1, Cyberjaya 63000, Malaysia.</t>
  </si>
  <si>
    <t>[Younas, Waqar; Kalimuthu, K. Ramanathan] Limkokwing Univ Creat Technol, Inovasi 1-1, Cyberjaya 63000, Malaysia</t>
  </si>
  <si>
    <t>The purpose of the study is to compare the growth rate of commercial banks with microfinance banks, under the shadow of financial exclusion, and to provide a way forward for commercial banks. As we are living in the age of transformation, businesses cannot survive without evolution and necessary transformation. The Telecom sector of Pakistan suffered at the hands of Over-The-Top services, so is happening with the commercial banking. Telecom companies have chosen microfinance banking as their alternative revenue stream which is affecting commercial banks. Microfinance banks, typically mobile phone banking, are showing more growth in deposits and loans than commercial banks. Along with the analysis of industry reports, commercial banks' managers are also interviewed to perform an accurate analysis of the situation. It has been concluded that commercial banks are suffering due to financial exclusion and their deposits and lending rates are also decreasing due to microfinance banks. It is important for commercial banks to formulate their strategies and introduce new services according to the needs and preferences of their customers and they also need to increase banking awareness of their potential customers.</t>
  </si>
  <si>
    <t>TECHNOLOGY ACCEPTANCE MODEL; MOBILE-BANKING; ADOPTION; INCLUSION; INTERNET; POVERTY; IMPACT; PREFERENCES; PERCEPTIONS; INTENTIONS</t>
  </si>
  <si>
    <t>Transformation; Telecom microfinance banking; Commercial banking; Financial exclusion; Customer preferences; Banking awareness</t>
  </si>
  <si>
    <t>Telecom microfinance banking versus commercial banking: a battle in the financial services sector</t>
  </si>
  <si>
    <t>Younas, Waqar; Kalimuthu, K. Ramanathan</t>
  </si>
  <si>
    <t>Younas, W; Kalimuthu, KR</t>
  </si>
  <si>
    <t>WOS:000315505200004</t>
  </si>
  <si>
    <t>097WW</t>
  </si>
  <si>
    <t>10.1002/bltj.21573</t>
  </si>
  <si>
    <t>Bell Labs Tech. J.</t>
  </si>
  <si>
    <t>BELL LABS TECH J</t>
  </si>
  <si>
    <t>1089-7089</t>
  </si>
  <si>
    <t>ONE MONTGOMERY ST, SUITE 1200, SAN FRANCISCO, CA 94104 USA</t>
  </si>
  <si>
    <t>WILEY PERIODICALS, INC</t>
  </si>
  <si>
    <t>Lal, Siddhartha/A-1414-2013; Kumar, Nishant/AAW-7613-2021</t>
  </si>
  <si>
    <t>Kumar, N (corresponding author), Univ Calif Berkeley, Sch Informat, Berkeley, CA 94720 USA.</t>
  </si>
  <si>
    <t>University of California System; University of California Berkeley; University of Toronto; International Institute of Information Technology Bangalore (IIIT Bangalore)</t>
  </si>
  <si>
    <t>[Kumar, Neha] Univ Calif Berkeley, Sch Informat, Berkeley, CA 94720 USA; [Mathur, Akhil] Bell Labs, Enabling Comp Technol Dept, Bangalore, Karnataka, India; [Mathur, Akhil] Univ Toronto, Toronto, ON M5S 1A1, Canada; [Lal, Siddhartha] Int Inst Informat Technol, Bangalore, Karnataka, India</t>
  </si>
  <si>
    <t>The market for mobile financial services in India is growing steadily. With 41 percent of India's adults financially excluded, however, promoting financial literacy requires serious attention. We present Banking 101a contextually relevant, mobile storytelling tool that, if integrated with mobile financial offerings, can offer a holistic solution to financial exclusion. (c) 2013 Alcatel-Lucent.</t>
  </si>
  <si>
    <t>BELL LABS TECHNICAL JOURNAL</t>
  </si>
  <si>
    <t>Banking 101: Mobile-izing Financial Inclusion in an Emerging India</t>
  </si>
  <si>
    <t>Kumar, Neha; Mathur, Akhil; Lal, Siddhartha</t>
  </si>
  <si>
    <t>Kumar, N; Mathur, A; Lal, S</t>
  </si>
  <si>
    <t>WOS:000538525800001</t>
  </si>
  <si>
    <t>OG9AY</t>
  </si>
  <si>
    <t>10.1108/ARLA-12-2018-0287</t>
  </si>
  <si>
    <t>Acad.-Rev. Latinoam. Adm.</t>
  </si>
  <si>
    <t>ACAD-REV LATINOAM AD</t>
  </si>
  <si>
    <t>2056-5127</t>
  </si>
  <si>
    <t>1012-8255</t>
  </si>
  <si>
    <t>This work is located in the framework of a Project denominated Proyecto de Unidades Ejecutoras en el Instituto de Investigaciones Economicas y Sociales del Sur (UNS-CONICET) called Social inclusion: innovations and public policies. A regional analysis (PUE: 22920160100069CO).</t>
  </si>
  <si>
    <t>Project denominated Proyecto de Unidades Ejecutoras en el Instituto de Investigaciones Economicas y Sociales del Sur (UNS-CONICET)</t>
  </si>
  <si>
    <t>Project denominated Proyecto de Unidades Ejecutoras en el Instituto de Investigaciones Economicas y Sociales del Sur (UNS-CONICET) [22920160100069CO]</t>
  </si>
  <si>
    <t>Scherger, Valeria/0000-0002-2759-2582; Orazi, Sofia/0000-0002-0611-8179</t>
  </si>
  <si>
    <t>; Orazi, Sofia/HMD-8000-2023</t>
  </si>
  <si>
    <t>lbmartinez@iiess-conicet.gob.ar; valeria.scherger@uns.edu.ar; mbguercio@iiess-conicet.gob.ar; sofiaorazi@iiess-conicet.gob.ar</t>
  </si>
  <si>
    <t>Martinez, LB (corresponding author), Univ Nacl Sur, Inst Invest Econ &amp; Sociales Sur IIESS, Dept Econ, CONICET, Bahia Blanca, Buenos Aires, Argentina.;Martinez, LB (corresponding author), Univ Prov Sudoeste, Bahia Blanca, Buenos Aires, Argentina.</t>
  </si>
  <si>
    <t>[Martinez, Lisana B.; Scherger, Valeria; Guercio, M. Belen; Orazi, Sofia] Univ Nacl Sur, Inst Invest Econ &amp; Sociales Sur IIESS, Dept Econ, CONICET, Bahia Blanca, Buenos Aires, Argentina; [Martinez, Lisana B.; Guercio, M. Belen] Univ Prov Sudoeste, Bahia Blanca, Buenos Aires, Argentina</t>
  </si>
  <si>
    <t>Purpose This paper analyses the evolution of the financial inclusion and its main determinants in seven Latin American countries. Design/methodology/approach The database used is the Global Findex from the World Bank for the latest data released that includes the years 2011 and 2014. The variables used are formal financial accounts, formal savings and formal credit as proxies of financial inclusion for the years of study. Moreover, the use of debit and credit cards is considered. The methodologies applied are the mean difference tests, in order to contrast the hypotheses of the inclusion evolution and binary probit regressions models. Findings The results of the analysis show that there is a positive evolution in the use of financial instruments in the countries of the sample, especially in the use of formal accounts. On the other hand, considering the characteristics of the individuals, age, level of education and income positively affect their financial inclusion. Originality/value There are no similar works for the region of study that allow us to evaluate the evolution of financial inclusion considering the variables selected in the literature. It is possible to clearly fulfil the proposed objective, highlighting the importance of implementing financial inclusion policies in view of the low percentage of use of the instruments in the analyzed countries.</t>
  </si>
  <si>
    <t>Financial institutions; Emerging markets; Financial inclusion</t>
  </si>
  <si>
    <t>ACADEMIA-REVISTA LATINOAMERICANA DE ADMINISTRACION</t>
  </si>
  <si>
    <t>Evolution of financial inclusion in Latin America Management area: Business Economics</t>
  </si>
  <si>
    <t>Martinez, Lisana B.; Scherger, Valeria; Guercio, M. Belen; Orazi, Sofia</t>
  </si>
  <si>
    <t>Martinez, LB; Scherger, V; Guercio, MB; Orazi, S</t>
  </si>
  <si>
    <t>WOS:000417488800003</t>
  </si>
  <si>
    <t>FP2ZP</t>
  </si>
  <si>
    <t>10.1080/19439342.2017.1363802</t>
  </si>
  <si>
    <t>This work was supported by Consultative Group to Assist the Poor (CGAP's) client at the Center Financial Inclusion Research Fund, which was managed by the MicroInsurance Center.</t>
  </si>
  <si>
    <t>Consultative Group to Assist the Poor (CGAP's) client at the Center Financial Inclusion Research Fund</t>
  </si>
  <si>
    <t>Bauchet, Jonathan/0000-0002-0583-5678; Larsen, Vance/0000-0003-3918-2027</t>
  </si>
  <si>
    <t>jbauchet@purdue.edu</t>
  </si>
  <si>
    <t>Bauchet, J (corresponding author), Purdue Univ, Dept Consumer Sci, 812 West State St, W Lafayette, IN 47907 USA.</t>
  </si>
  <si>
    <t>Purdue University System; Purdue University; Macalester College</t>
  </si>
  <si>
    <t>[Bauchet, Jonathan; Larsen, Vance] Purdue Univ, Dept Consumer Sci, 812 West State St, W Lafayette, IN 47907 USA; [Damon, Amy] Macalester Coll, Dept Econ, St Paul, MN 55105 USA</t>
  </si>
  <si>
    <t>Bundling micro-insurance with loans should help not only decrease costs and therefore increase take-up but may also decrease financial inclusion if the insurance and/or loan are refused. We implement a randomised control trial in which a voluntary crop micro-insurance product is offered jointly with a loan application or separately (at a later date). The delayed offer of insurance did not influence overall insurance take-up or coverage amount but had heterogeneous impacts by crop, supporting the idea that bundling microfinance products is an opportunity more than a constraint. Yet, low product understanding also highlights the need for well-designed and effective consumer protection policies.</t>
  </si>
  <si>
    <t>HEALTH-INSURANCE; INDIA; MICROINSURANCE; CREDIT; BARRIERS; DEMAND; FIELD</t>
  </si>
  <si>
    <t>Micro-insurance; financial inclusion; crop insurance; smallholder farmer; risk management</t>
  </si>
  <si>
    <t>Microfinance bundling and consumer protection: experimental evidence from Colombia</t>
  </si>
  <si>
    <t>Bauchet, Jonathan; Damon, Amy; Larsen, Vance</t>
  </si>
  <si>
    <t>Bauchet, J; Damon, A; Larsen, V</t>
  </si>
  <si>
    <t>WOS:000458884500006</t>
  </si>
  <si>
    <t>HL6ZC</t>
  </si>
  <si>
    <t>10.1177/0007650317701227</t>
  </si>
  <si>
    <t>Bus. Soc.</t>
  </si>
  <si>
    <t>BUS SOC</t>
  </si>
  <si>
    <t>1552-4205</t>
  </si>
  <si>
    <t>0007-6503</t>
  </si>
  <si>
    <t>The authors thank the anonymous reviewers and the editors-in-chief at Business &amp; Society for their very helpful suggestions on revising this article. The authors also would like to thank IRDC (International Development Research Center), SSHRC (Social Sciences and Humanities Research Council of Canada), HEC Montreal, and Escola de Administracao de Fundacao Getulio Vargas (FGV/EAESP) for their support to the completion of this research project.</t>
  </si>
  <si>
    <t>IRDC (International Development Research Center); SSHRC (Social Sciences and Humanities Research Council of Canada)(Social Sciences &amp; Humanities Research Council of Canada (SSHRC)); HEC Montreal; Escola de Administracao de Fundacao Getulio Vargas (FGV/EAESP)</t>
  </si>
  <si>
    <t>IRDC (International Development Research Center); SSHRC (Social Sciences and Humanities Research Council of Canada); HEC Montreal; Escola de Administracao de Fundacao Getulio Vargas (FGV/EAESP)</t>
  </si>
  <si>
    <t>Christopoulos, Tania/MHQ-3266-2025; POZZEBON, MARLEI/MXM-3035-2025</t>
  </si>
  <si>
    <t>marlei.pozzebon@hec.ca</t>
  </si>
  <si>
    <t>Pozzebon, M (corresponding author), HEC Montreal, 3000 Chemin Cote St Catherine, Montreal, PQ H3T 2A7, Canada.</t>
  </si>
  <si>
    <t>Universite de Montreal; HEC Montreal; Universidade de Sao Paulo; Universidade de Sao Paulo</t>
  </si>
  <si>
    <t>[Pozzebon, Marlei; Lavoie, Frederic] HEC Montreal, 3000 Chemin Cote St Catherine, Montreal, PQ H3T 2A7, Canada; [Pozzebon, Marlei] Escola Adm Fundacao Getulio Vargas FGV EAESP, Sao Paulo, Brazil; [Christopoulos, Tania Pereira] Univ Sao Paulo, Undergrad Mkt Program, Sao Paulo, Brazil; [Christopoulos, Tania Pereira] Univ Sao Paulo, Grad Program Sustainabil, Sao Paulo, Brazil</t>
  </si>
  <si>
    <t>Although a number of microfinance initiatives have improved financial inclusion in various regions of developing countries, the transferability of their foundations from one context to another is still a challenge. This study proposes an innovative process-based model targeting the initial stages of the transfer process that links three interconnected categories: local contextual conditions, transferring practices, and initial developmental consequences. The results were produced through a longitudinal study of the implementation of three community development banks on the periphery of Sao Paulo based on a highly successful Brazilian model known as Banco Palmas. In addition to the process-based model, our findings contribute to the microfinance and bottom of the pyramid (BOP) literatures, showing a cross-fertilization that has been insufficiently explored.</t>
  </si>
  <si>
    <t>PYRAMID MARKETS; BUSINESS MODELS; RURAL FINANCE; MICROFINANCE; CONTEXT; ENTREPRENEURSHIP; CITIZENSHIP; GOVERNANCE; INNOVATION; RESOURCE</t>
  </si>
  <si>
    <t>bottom of the pyramid (BOP); community development bank; financial inclusion; microcredit; microfinance; process-based model; transferability</t>
  </si>
  <si>
    <t>BUSINESS &amp; SOCIETY</t>
  </si>
  <si>
    <t>The Transferability of Financial Inclusion Models: A Process-Based Approach</t>
  </si>
  <si>
    <t>Pozzebon, Marlei; Christopoulos, Tania Pereira; Lavoie, Frederic</t>
  </si>
  <si>
    <t>Pozzebon, M; Christopoulos, TP; Lavoie, F</t>
  </si>
  <si>
    <t>WOS:001130354700001</t>
  </si>
  <si>
    <t>DE5A5</t>
  </si>
  <si>
    <t>10.1016/j.heliyon.2023.e21379</t>
  </si>
  <si>
    <t>e21379</t>
  </si>
  <si>
    <t>The authors would like to acknowledge the support of Prince Sultan University for paying the Article Processing Charges (APC) for this publication.</t>
  </si>
  <si>
    <t>Prince Sultan University for paying the Article Processing Charges (APC)</t>
  </si>
  <si>
    <t>Kamaludin, Kamilah/T-8808-2018; D.Sundarasen, Sheela/C-1541-2015</t>
  </si>
  <si>
    <t>ssundarasen@psu.edu.sa; urajagopalan@psu.edu.sa; malathi.kanapathy@qiu.edu.my; kkamaludin@psu.edu.sa</t>
  </si>
  <si>
    <t>Sundarasen, S (corresponding author), Prince Sultan Univ, Dept Accounting, POB 66833 Rafha St, Riyadh 11586, Saudi Arabia.</t>
  </si>
  <si>
    <t>Prince Sultan University; Quest International University Perak</t>
  </si>
  <si>
    <t>[Sundarasen, Sheela; Rajagopalan, Usha; Kamaludin, Kamilah] Prince Sultan Univ, Dept Accounting, POB 66833 Rafha St, Riyadh 11586, Saudi Arabia; [Kanapathy, Malathi] Quest Int Univ, Sch Business &amp; Management, 227 Jalan Raja Permaisuri Bainun, Ipoh 30250, Perak, Malaysia</t>
  </si>
  <si>
    <t>This study undertakes a bibliometric and content analysis on women's financial literacy. The purpose of a bibliometric research on financial literacy and women is to carefully evaluate and quantify the body of literature on this subject. It attempts to identify trends, research gaps, significant authors, and essential ideas, offering a thorough overview that might direct future research and policy activities to increase women's financial literacy and well-being. The data extraction commenced in January 2023 with a thorough criteria search for articles, which includes inclusion and exclusion criteria using Web of Science Core database, resulting in 312 articles, published between 1998 and 2022. Biblioshiny application as well as the VOSviewer software for network visualization of keywords and bibliographic coupling is used. Based on the outcomes of the scientific bibliographic coupling, dominant themes were identified - Global Financial Literacy: Addressing Disparities and Enhancing Education, Addressing gender gap in financial inclusion and personal finance behaviour, Empowerment through Financial Literacy: Overcoming the Manacles of Domestic Violence and Women's retirement planning and preparedness. Future research in this area could examine global gender differences in financial literacy, implement targeted financial education interventions, incorporate financial literacy and economic empowerment into domestic violence policies, investigate factors influencing women's retirement planning, and advance gender equality and financial well-being globally. The outcome from the future research is anticipated to assist regulatory bodies, government agencies and nonprofit organization in enhancing existing regulations (specifically for women) and provide the platform for a sustainable wealth management and well-being program for women.</t>
  </si>
  <si>
    <t>ECONOMIC EMPOWERMENT; GENDER; RETIREMENT; RISK; PARTICIPATION; DETERMINANTS; INCLUSION; EDUCATION; SAVINGS; IMPACT</t>
  </si>
  <si>
    <t>Bibliometric; Women; Financial literacy; Financial education; Financial planning; Financial inclusion; Retirement planning</t>
  </si>
  <si>
    <t>Women's financial literacy: A bibliometric study on current research and future directions</t>
  </si>
  <si>
    <t>Sundarasen, Sheela; Rajagopalan, Usha; Kanapathy, Malathi; Kamaludin, Kamilah</t>
  </si>
  <si>
    <t>Sundarasen, S; Rajagopalan, U; Kanapathy, M; Kamaludin, K</t>
  </si>
  <si>
    <t>WOS:001472722400001</t>
  </si>
  <si>
    <t>4WB6A</t>
  </si>
  <si>
    <t>10.1002/jid.4001</t>
  </si>
  <si>
    <t>Agurto and Torres acknowledge the financial and scientific support from the Partnership for Economic Policy (PEP), with funding from the Department for International Development (DFID) of the United Kingdom (or UK Aid) and the Government of Canada through the International Development Research Centre (IDRC): PIERI Award No. 12942. IRB approval obtained from PEP Ethical Committee on 2017-08-08. Study registration: AEARCTR-0002479. We are grateful to Santiago Levy and participants at the 2019 Partnership for Economic Policy Conference for their comments on an earlier draft. We are also grateful to the associate editor, two anonymous referees and seminar participants at multiple seminars and conferences for their helpful feedback. Rodrigo Chang provided excellent research assistance.</t>
  </si>
  <si>
    <t>Department for International Development (DFID) of the United Kingdom (or UK Aid)(CGIAR); Partnership for Economic Policy (PEP); Department for International Development (DFID); Government of Canada through the International Development Research Centre (IDRC): PIERI</t>
  </si>
  <si>
    <t>Department for International Development (DFID) of the United Kingdom (or UK Aid); Partnership for Economic Policy (PEP); Department for International Development (DFID) [12942, AEARCTR-0002479]; Government of Canada through the International Development Research Centre (IDRC): PIERI</t>
  </si>
  <si>
    <t>Sarangi, Sudipta/0000-0003-4068-9132; Torres Gómez, Javier Antonio/0000-0001-6850-1395</t>
  </si>
  <si>
    <t>; Silupú, Brenda/AAW-8268-2020; Trivelli, Carolina/PCS-3288-2025</t>
  </si>
  <si>
    <t>j.torresgomez@up.edu.pe</t>
  </si>
  <si>
    <t>Torres, J (corresponding author), Univ Pacif, Lima, Peru.</t>
  </si>
  <si>
    <t>Universidad de Piura; Institut de Recherche pour le Developpement (IRD); Aix-Marseille Universite; Centre National de la Recherche Scientifique (CNRS); Virginia Polytechnic Institute &amp; State University; Universidad de Piura; Universidad de Piura</t>
  </si>
  <si>
    <t>[Agurto, M.] Univ Piura, Lima Sch Econ, Piura, Peru; [Djebbari, H.] Aix Marseille Univ, CNRS, EHESS, Cent Marseille,IRD,AMSE, Marseille, France; [Sarangi, S.] Virginia Tech, Dept Econ, Blacksburg, VA USA; [Silupu, B.] Univ Piura, Piura, Peru; [Silupu, B.] UDEP, CAM, Piura, Peru; [Trivelli, C.] Inst Estudios Peruanos, Lima, Peru; [Torres, J.] Univ Pacif, Lima, Peru</t>
  </si>
  <si>
    <t>A large proportion of adults in the developing world remain without access to formal banking. We assess the effectiveness of a network-based information delivery strategy in fostering interest to learn about and subscribe to mobile money services in rural and peri-urban communities in Peru. We posit that lack of information about mobile money technology is a barrier to financial inclusion, which can be mitigated through social proximity. We designed a randomized controlled trial where workshops were led by individuals personally known to participants (local ambassadors-treatment) or by external agents (control). We find that attendance and BiM subscription rates were twice as high in the local ambassadors' group, especially among low-trust individuals.</t>
  </si>
  <si>
    <t>DEMAND; LONG</t>
  </si>
  <si>
    <t>asymmetric information; financial inclusion; network-based information experiment; trust</t>
  </si>
  <si>
    <t>The Provision of Information on Mobile Banking by Local Ambassadors: Experimental Evidence From Peru</t>
  </si>
  <si>
    <t>Agurto, M.; Djebbari, H.; Sarangi, S.; Silupu, B.; Trivelli, C.; Torres, J.</t>
  </si>
  <si>
    <t>Agurto, M; Djebbari, H; Sarangi, S; Silupú, B; Trivelli, C; Torres, J</t>
  </si>
  <si>
    <t>WOS:001093742900001</t>
  </si>
  <si>
    <t>W7YK1</t>
  </si>
  <si>
    <t>10.3390/su152014854</t>
  </si>
  <si>
    <t>The authors used MiluAI to assist in English translation, grammar checking, and editing. Moreover, the authors appreciate the constructive comments and valuable suggestions from the Board of Editors and the anonymous reviewers. This work would not have been possible without the financial support of the University of Economics Ho Chi Minh City, Vietnam, and Van Lang University, Vietnam.</t>
  </si>
  <si>
    <t>The authors used MiluAI to assist in English translation, grammar checking, and editing. Moreover, the authors appreciate the constructive comments and valuable suggestions from the Board of Editors and the anonymous reviewers. This work would not have bee; University of Economics Ho Chi Minh City, Vietnam; Van Lang University, Vietnam</t>
  </si>
  <si>
    <t>Le Vu Linh, Toan/0000-0003-3477-703X; Pham, Khanh Duy/0000-0002-6091-5603</t>
  </si>
  <si>
    <t>Le Vu Linh, Toan/JLY-3565-2023; Pham, Khanh Duy/JAC-5973-2023</t>
  </si>
  <si>
    <t>duy.pham@ueh.edu.vn; toan.lvl@vlu.edu.vn</t>
  </si>
  <si>
    <t>Le, VLT (corresponding author), Van Lang Univ, Fac Finance &amp; Banking, Ho Chi Minh City 70000, Vietnam.</t>
  </si>
  <si>
    <t>University of Economics Ho Chi Minh City; Van Lang University</t>
  </si>
  <si>
    <t>[Pham, Khanh Duy] Univ Econ Ho Chi Minh City, Sch Banking, Ho Chi Minh City 70000, Vietnam; [Le, Vu Linh Toan] Van Lang Univ, Fac Finance &amp; Banking, Ho Chi Minh City 70000, Vietnam</t>
  </si>
  <si>
    <t>This study examines the relationship between financial education, financial literacy, and financial behavior among young Vietnamese adults. Based on survey data from over 1000 participants, this study measures financial literacy through objective and subjective knowledge and financial ability. Financial behavior is assessed in terms of short-term behaviors (emergency funds, spending, overdraft, and budgeting) and long-term behaviors (retirement planning, having a retirement account, investment, and setting financial goals). Logistic and ordered logistic regression models are employed to analyze the data. The findings indicate a significant difference in financial behavior between individuals who have received financial education and those who have not. This study also reveals that financial literacy has a negative impact on short-term financial behaviors but a positive effect on long-term financial behaviors. This novel finding highlights the importance of considering different time horizons when examining the interplay between financial literacy and behaviors. The insights from this study hold implications for policymakers, educators, and financial institutions in developing countries like Vietnam, as they can inform the design of effective financial education programs. Ultimately, this research contributes to enhancing the financial well-being of young adults and supporting the country's overall economic growth.</t>
  </si>
  <si>
    <t>KNOWLEDGE; IMPACT; GENDER; OVERCONFIDENCE; MILLENNIALS</t>
  </si>
  <si>
    <t>financial literacy; financial education; financial behavior; young adults; developing countries; financial inclusion</t>
  </si>
  <si>
    <t>Nexus between Financial Education, Literacy, and Financial Behavior: Insights from Vietnamese Young Generations</t>
  </si>
  <si>
    <t>Pham, Khanh Duy; Le, Vu Linh Toan</t>
  </si>
  <si>
    <t>Pham, KD; Le, VLT</t>
  </si>
  <si>
    <t>WOS:001471798600001</t>
  </si>
  <si>
    <t>D6156</t>
  </si>
  <si>
    <t>10.1108/JIMA-02-2024-0072</t>
  </si>
  <si>
    <t>chetioui, youssef/0000-0003-2684-3404;</t>
  </si>
  <si>
    <t>; Lebdaoui, Hind/GPT-4388-2022</t>
  </si>
  <si>
    <t>hajarchetioui1992@gmail.com; h.lebdaoui@aui.ma; hajarchetioui1992@gmail.com; y.chetioui@aui.ma; mohamed.makhtari@usmba.ac.ma</t>
  </si>
  <si>
    <t>Chetioui, H (corresponding author), Sidi Mohamed Ben Abdellah Univ, Natl Sch Business &amp; Management Fez ENCG Fez, Fes, Morocco.</t>
  </si>
  <si>
    <t>Sidi Mohamed Ben Abdellah University of Fez; Al Akhawayn University; Sidi Mohamed Ben Abdellah University of Fez</t>
  </si>
  <si>
    <t>[Chetioui, Hajar] Sidi Mohamed Ben Abdellah Univ, Natl Sch Business &amp; Management Fez ENCG Fez, Fes, Morocco; [Lebdaoui, Hind; Satt, Harit; Chetioui, Youssef] Al Akhawayn Univ Ifrane, Sch Business Adm, Ifrane, Morocco; [Makhtari, Mohamed] Sidi Mohamed Ben Abdellah Univ, FSJES, Fes, Morocco</t>
  </si>
  <si>
    <t>PurposeWhile prior research reveals that women generally have lower levels of financial literacy compared to men, there is still a lack of research examining the factors that influence financial literacy among women in comparison to men. This study aims to investigate the key factors influencing financial literacy and its impact on financial inclusion among women in Morocco, a majority-Muslim emerging economy. The research proposes and tests a comprehensive model to explore the mechanisms that contribute to women's financial literacy and its role in promoting financial inclusion during a period characterized by high inflation and economic slowdown. In addition, the study examines how age and education moderate these effects using multi-group analysis.Design/methodology/approachThe hypotheses were tested using structural equation modeling with survey data collected from a sample of 409 Moroccan women.FindingsThis study finds that financial literacy significantly contributes to increasing women's financial inclusion. Financial literacy is significantly influenced by financial socialization, financial knowledge and parental norms. However, financial attitude and financial socialization were found to have no significant impact on women's financial literacy. In addition, the moderation effects of age and education were confirmed, with more educated women demonstrating a stronger ability to translate financial behaviors into higher financial literacy, while age moderates the relationship between financial attitude and behavior.Practical implicationsThe findings suggest that financial literacy is a key driver in promoting financial inclusion for women. Policymakers in Morocco, and in similar developing countries, could leverage these results to design targeted financial literacy programs aimed at increasing women's financial inclusion. Specifically, financial literacy programs should be tailored to different ages and educational groups to maximize their effectiveness. Furthermore, education policymakers are encouraged to incorporate financial literacy into school curricula to foster financial knowledge from an early age.Originality/valueThis study contributes to the existing literature by offering empirical insights into financial literacy among women in Muslim-majority and emerging market contexts. It emphasizes the importance of tailored financial education programs that consider the unique demographic characteristics of women, particularly age and education. To the best of the author's knowledge, this is the first study of its kind to explore the impact of financial literacy on women in the MENA region, particularly in light of the economic challenges posed by the COVID-19 pandemic and ongoing geopolitical instability.</t>
  </si>
  <si>
    <t>WOMEN; EXPERIENCES; KNOWLEDGE; BEHAVIOR; TERM</t>
  </si>
  <si>
    <t>Financial literacy; Financial inclusion; Females; Financial knowledge; Economic stagnation</t>
  </si>
  <si>
    <t>How does financial literacy contribute to Muslim females' financial inclusion: the moderating effect of age and education using PLS-MGA</t>
  </si>
  <si>
    <t>Chetioui, Hajar; Lebdaoui, Hind; Satt, Harit; Chetioui, Youssef; Makhtari, Mohamed</t>
  </si>
  <si>
    <t>Chetioui, H; Lebdaoui, H; Satt, H; Chetioui, Y; Makhtari, M</t>
  </si>
  <si>
    <t>WOS:000635677600021</t>
  </si>
  <si>
    <t>RG6XA</t>
  </si>
  <si>
    <t>10.17059/ekon.reg.2021-1-21</t>
  </si>
  <si>
    <t>Alhassan, Tijani Forgor/0000-0002-8979-1587</t>
  </si>
  <si>
    <t>atijaniforgor@yahoo.com; sgury-anov@yahoo.com; vashny87@gmail.com</t>
  </si>
  <si>
    <t>Alhassan, TF (corresponding author), Peoples Friendship Univ Russia, Dept Finance &amp; Credit, 6 Mikluho Maklaja Str, Moscow 117198, Russia.</t>
  </si>
  <si>
    <t>[Alhassan, Tijani F.; Guryanov, Sergey A.; Kouadio, Ahou J.] Peoples Friendship Univ Russia, Dept Finance &amp; Credit, 6 Mikluho Maklaja Str, Moscow 117198, Russia</t>
  </si>
  <si>
    <t>Mobile money has become a mode of banking for the unbanked residents and the system has been gaining patronage among citizens of developing countries. This trend especially refers to sub-Saharan Africa, where the level of financial inclusion is low. Thus, the expansion of the mobile money as well as easy access to it promotes the development of the financial sector in the region. To define the role of the financial elements in innovation growth in sub-Saharan African countries, we examined the relationship between mobile money activities, remittance, financial development, and innovation growth in sub-Saharan Africa (SSA). Using partial least squares (PLS), we conducted a comprehensive analysis to econometrically establish the nexus between innovation development and financial activities in sub-Saharan African region. The results show that significant positive relationship exists between all the independent variables and innovation growth (the dependent variable). Thus, this study indicates that mobile money services, financial development and remittances have significant impact on economic growth. However, mobile money services are the most influential variable. Hence, these results can be used by policymakers to encourage and improve mobile money payment and banking system as this could facilitate the pooling of resources and their effective allocation to productive sectors, thus leading to the promotion of innovative growth in the region.</t>
  </si>
  <si>
    <t>MIGRATION</t>
  </si>
  <si>
    <t>mobile money; banking; economic growth; GDP per capita; developing economies; financial inclusion; remittances; financial system; electronic payment system; finance</t>
  </si>
  <si>
    <t>The impact of mobile money, remittances, and financial development on innovative growth in sub-Saharan Africa</t>
  </si>
  <si>
    <t>Alhassan, Tijani F.; Guryanov, Sergey A.; Kouadio, Ahou J.</t>
  </si>
  <si>
    <t>Alhassan, TF; Guryanov, SA; Kouadio, AJ</t>
  </si>
  <si>
    <t>WOS:001349716200038</t>
  </si>
  <si>
    <t>BX9RF</t>
  </si>
  <si>
    <t>Automation &amp; Control Systems; Computer Science, Interdisciplinary Applications</t>
  </si>
  <si>
    <t>10.1109/ICAC61394.2024.10718745</t>
  </si>
  <si>
    <t>979-8-3503-6088-2; 979-8-3503-6089-9</t>
  </si>
  <si>
    <t>Biswas, Mriganka/0000-0001-7573-4816</t>
  </si>
  <si>
    <t>Biswas, Mriganka/Y-6375-2019</t>
  </si>
  <si>
    <t>bi24yw@student.sunderland.ac.uk; mriganka.biswas@sunderland.ac.uk</t>
  </si>
  <si>
    <t>Bosua, AP (corresponding author), Univ Sunderland, Sch Comp Sci, Sunderland, England.</t>
  </si>
  <si>
    <t>University of Sunderland</t>
  </si>
  <si>
    <t>[Bosua, Amarachukwu Patience; Biswas, Mriganka] Univ Sunderland, Sch Comp Sci, Sunderland, England</t>
  </si>
  <si>
    <t>This study investigates public perception and the factors influencing the widespread adoption of the eNaira, Nigeria's Central Bank Digital Currency (CBDC). The eNaira aims to ensure secure transactions, encourage financial inclusion, and support the drive for a cashless society, yet adoption rates have fallen short of expectations. Using an online survey form, we gathered data from 467 respondents, focusing on factors such as privacy concerns, convenience, and financial inclusion. Our analysis of the data, employing one-way ANOVA, independent t-test, and correlation tests revealed interesting insights. Findings indicate that eNaira is believed to be a valuable digital payment option, also its perceived convenience and ability to reduce reliance on cash are significant for its acceptance. Education levels greatly impacted people's belief in the eNaira, with less educated people showing more faith in government adoption strategies. This study emphasizes the importance of tailored adoption strategies that respond to demographic variations. By addressing these variables, decision-makers and interested parties can create efficient plans to encourage the broad implementation of the eNaira and other CBDCs.</t>
  </si>
  <si>
    <t>eNaira; eNaira adoption analysis; digital currency acceptance; data-driven solutions</t>
  </si>
  <si>
    <t>Univ Sunderland</t>
  </si>
  <si>
    <t>Chinese Automat &amp; Comp Soc,IEEE Robot &amp; Automat Soc,Yanshan Univ,Unitree Robot Ltd,Dobot Robot Ltd</t>
  </si>
  <si>
    <t>Univ Sunderland, Sunderland, ENGLAND</t>
  </si>
  <si>
    <t>AUG 28-30, 2024</t>
  </si>
  <si>
    <t>29th International Conference on Automation and Computing (ICAC)</t>
  </si>
  <si>
    <t>2024 29TH INTERNATIONAL CONFERENCE ON AUTOMATION AND COMPUTING, ICAC 2024</t>
  </si>
  <si>
    <t>Public Perception and Adoption Approaches for Digital Currencies: Analysing Influencing Factors</t>
  </si>
  <si>
    <t>Bosua, Amarachukwu Patience; Biswas, Mriganka</t>
  </si>
  <si>
    <t>Bosua, AP; Biswas, M</t>
  </si>
  <si>
    <t>WOS:000387327700011</t>
  </si>
  <si>
    <t>EB4GF</t>
  </si>
  <si>
    <t>10.1007/s10834-015-9475-y</t>
  </si>
  <si>
    <t>tfriedline@ku.edu; west.stacia@gmail.com</t>
  </si>
  <si>
    <t>Friedline, T (corresponding author), Univ Kansas, Sch Social Welf, 1545 Lilac Lane,307 Twente Hall, Lawrence, KS 66045 USA.</t>
  </si>
  <si>
    <t>University of Kansas; University of Kansas</t>
  </si>
  <si>
    <t>[Friedline, Terri] Univ Kansas, Sch Social Welf, 1545 Lilac Lane,307 Twente Hall, Lawrence, KS 66045 USA; [West, Stacia] Univ Kansas, Sch Social Welf, 1545 Lilac Lane,306 Twente Hall, Lawrence, KS 66045 USA</t>
  </si>
  <si>
    <t>Financial education sans opportunities for hands-on experience and knowledge operationalization may be insufficient for promoting healthy financial behaviors. Financial capability combines financial education with financial inclusion via a savings account, thereby giving an opportunity translate knowledge into practice. This study used data from the 2012 National Financial Capability Study to examine relationships between the financial capability and financial behaviors of United States Millennials (N = 6865). Compared to their financially excluded peers, Millennials who were financially capable were 176 % more likely to afford unexpected expenses, 224 % more likely to save for emergencies, 21 % less likely to use alternative financial services, and 30 % less likely to carry burdensome debt. Interventions that focus solely on financial education or inclusion may be insufficient for facilitating Millennials' healthy financial behaviors; interventions should instead develop financial capability.</t>
  </si>
  <si>
    <t>YOUNG ADULTHOOD CHILDREN; DEVELOPMENT ACCOUNTS; MISSING DATA; SOCIALIZATION; INSTITUTIONS; LITERACY; PEOPLE</t>
  </si>
  <si>
    <t>Young adults; Millennials; Financial capability; Emergency savings; Debt; Payday lenders</t>
  </si>
  <si>
    <t>Financial Education is not Enough: Millennials May Need Financial Capability to Demonstrate Healthier Financial Behaviors</t>
  </si>
  <si>
    <t>Friedline, Terri; West, Stacia</t>
  </si>
  <si>
    <t>Friedline, T; West, S</t>
  </si>
  <si>
    <t>WOS:001019864400001</t>
  </si>
  <si>
    <t>K9WM6</t>
  </si>
  <si>
    <t>10.1016/j.frl.2023.103956</t>
  </si>
  <si>
    <t>Mbona, Nokulunga/0000-0002-2660-764X</t>
  </si>
  <si>
    <t>Mbona, Nokulunga/JAC-7333-2023</t>
  </si>
  <si>
    <t>nokulunga.mbona@stud.uni-corvinus.hu</t>
  </si>
  <si>
    <t>Nokulunga, M (corresponding author), Corvinus Univ Budapest, Inst Econ, Fovamter 8, H-1093 Budapest, Hungary.</t>
  </si>
  <si>
    <t>[Nokulunga, Mbona; Klara, Major] Corvinus Univ Budapest, Inst Econ, Fovamter 8, H-1093 Budapest, Hungary</t>
  </si>
  <si>
    <t>The determinants of the usage of the formal versus the informal financial sector within the BRICS countries are analysed. Regression tree and probit methods are applied to a subset of observations from the 2021 Global Findex database. Results of these different methods are robust and com-plement each other. The main findings are: (a) Individuals with regular income has higher probability of using the formal financial sector; (b) There is a nonlinear relationship with age and the financial sector channels, individual above 36 are less likely to use the informal channel but are more likely to use the formal channel.</t>
  </si>
  <si>
    <t>Household finance; Financial inclusion</t>
  </si>
  <si>
    <t>Determinants of using formal vs informal financial sector in BRICS group</t>
  </si>
  <si>
    <t>Nokulunga, Mbona; Klara, Major</t>
  </si>
  <si>
    <t>Nokulunga, M; Klara, M</t>
  </si>
  <si>
    <t>WOS:000696027400022</t>
  </si>
  <si>
    <t>UQ4HY</t>
  </si>
  <si>
    <t>10.35716/IJED/20241</t>
  </si>
  <si>
    <t>ALAMELU, K/K-7254-2019</t>
  </si>
  <si>
    <t>sukumar44@yahoo.com</t>
  </si>
  <si>
    <t>Sukumaran, K (corresponding author), Alagappa Univ, Dept Banking Management, Karaikkudi 630003, Tamil Nadu, India.</t>
  </si>
  <si>
    <t>Alagappa University</t>
  </si>
  <si>
    <t>[Sukumaran, K.; Alamelu, K.] Alagappa Univ, Dept Banking Management, Karaikkudi 630003, Tamil Nadu, India</t>
  </si>
  <si>
    <t>The Covid-19 situation has thrown lights for a reality check about managing personal finance among the households. The research was designed in the context of the pandemic affecting the personal finance of millions of households. It stressed the need for financial literacy by explaining the various aspects - understanding the concept, identifying the benefits out of acquiring knowledge and skills in financial literacy, establishing the relationship of financial literacy with financial wellbeing, mapping the global situation in financial literacy, suggesting the remedial measures in ensuring financial wellness in the Covid-19 pandemic situation. The methodology of the study was to review the existing literature on financial literacy and education. The approaches and practices of financial education followed by countries interpreted by researchers in this field were reviewed and documented. The study contributes to the existing literature by summarizing the findings of the researchers in terms of knowledge one possesses in financial products and processes, the ability to make appropriate decisions to invest, borrow and secure, to understand the importance of savings and investment for retired life, etc. The global scenario versus India in financial literacy was brought out, throwing the light that India needs to travel further in the financial literacy landscape. It concludes by prescribing a series of financial wellness measures to make people resilient and reach financial well-being. The policy options suggested by the authors to start the learning of financial literacy from school education onwards, introduce financial education at the workplace, and implement financial education for the elderly and women invite the attention of policymakers and practitioners. The study can influence policymakers and practitioners to design target-specific financial education measures.</t>
  </si>
  <si>
    <t>Access to financial services; financial education; financial inclusion; financial literacy; financial well-being</t>
  </si>
  <si>
    <t>Demystifying Financial Literacy in Covid-19 Environment: A Review</t>
  </si>
  <si>
    <t>Sukumaran, K.; Alamelu, K.</t>
  </si>
  <si>
    <t>Sukumaran, K; Alamelu, K</t>
  </si>
  <si>
    <t>WOS:000863269000003</t>
  </si>
  <si>
    <t>5B0LS</t>
  </si>
  <si>
    <t>10.1016/j.heliyon.2022.e10385</t>
  </si>
  <si>
    <t>e10385</t>
  </si>
  <si>
    <t>Supriani, Ini/0000-0001-5279-5042; Raza Rabbani, Mustafa/0000-0002-9263-5657; Saba, Irum/0000-0002-5647-0453; Alshater, Muneer/0000-0001-6876-3301</t>
  </si>
  <si>
    <t>Supriani, Ini/JRY-5220-2023; Raza Rabbani, Mustafa/HKV-8999-2023; Saba, Irum/ADL-8307-2022; Alshater, Muneer/ABI-3497-2020</t>
  </si>
  <si>
    <t>muneermaher@gmail.com</t>
  </si>
  <si>
    <t>Alshater, MM (corresponding author), Philadelphia Univ, Fac Business, Amman, Jordan.</t>
  </si>
  <si>
    <t>Philadelphia University Jordan; Institute of Business Administration, Karachi; Brawijaya University; University of Bahrain</t>
  </si>
  <si>
    <t>[Alshater, Muneer M.] Philadelphia Univ, Fac Business, Amman, Jordan; [Saba, Irum] Inst Business Adm, Karachi, Pakistan; [Supriani, Indri] Univ Brawijaya, Fac Econ &amp; Business, Dept Econ, Malang, Indonesia; [Rabbani, Mustafa Raza] Univ Bahrain, Coll Business Adm, Dept Econ &amp; Finance, Zallaq, Bahrain</t>
  </si>
  <si>
    <t>This study reviews Islamic FinTech research development from 2017 to 2022. The study adopts a hybrid approach combining bibliometric and content analysis to reveal the current research trend of Islamic FinTech research. Using the Scopus database, we retrieve 85 documents and analyze them using RStudio and VOSviewer. The content analysis categorizes the research output in Islamic FinTech into four distinct streams. The study finds potential for cointegrating FinTech into Islamic finance to benefit the unbanked and small-medium-size busi-nesses, the adoption of FinTech in Islamic finance will also help the government improve financial inclusion, conquer financial crises, such as COVID-19, and achieve SDGs for a sustainable nation. However, the lack of legal regulation and the lower financial literacy becomes the primary obstacle to the development of FinTech in Islamic finance.</t>
  </si>
  <si>
    <t>INCLUSION; BANKING; BITCOIN; CRYPTOCURRENCY; BLOCKCHAIN; IMPACT; POLICY; HALAL; SMES</t>
  </si>
  <si>
    <t>Islamic FinTech; Crowdfunding; Payments; Blockchain; Cryptocurrency; P2P lending</t>
  </si>
  <si>
    <t>Fintech in islamic finance literature: A review</t>
  </si>
  <si>
    <t>Alshater, Muneer M.; Saba, Irum; Supriani, Indri; Rabbani, Mustafa Raza</t>
  </si>
  <si>
    <t>Alshater, MM; Saba, I; Supriani, I; Rabbani, MR</t>
  </si>
  <si>
    <t>WOS:000657453100001</t>
  </si>
  <si>
    <t>WJ3QA</t>
  </si>
  <si>
    <t>10.1111/ecno.12186</t>
  </si>
  <si>
    <t>e12186</t>
  </si>
  <si>
    <t>Singh, Bhanu/0000-0002-1757-9763</t>
  </si>
  <si>
    <t>Banaras Hindu University (BHU); University of Hyderabad</t>
  </si>
  <si>
    <t>[Singh, Bhanu Pratap; Kumari, Annu] Banaras Hindu Univ, Econ Sect, Mahila Mahavidyalaya, Varanasi 221005, Uttar Pradesh, India; [Sharma, Tanya] LN Mithla Univ, Dept Econ, Darbhanga, Bihar, India; [Malhotra, Abhishek] Univ Hyderabad, Sch Econ, Hyderabad, India</t>
  </si>
  <si>
    <t>The study examines the impact of financial inclusion, promoted through the Pradhan Mantri Jan Dhan Yojna (PMJDY) scheme, on the economic performance across the Indian states. Using the index of financial inclusion developed in Sarma (2008), the current study develops a three-dimensional financial inclusion index for 25 major Indian states from 2011 to 2016 to assess the status of financial inclusion across Indian states. The impact of financial inclusion promoted through the PMJDY scheme on the economic performance of the Indian states is investigated using bootstrap corrected fixed effects estimation and inference in the dynamic panel. The study's finding suggests that most Indian states fall under the low or medium level of financial inclusion. The dynamic panel results reveal a positive and significant association between financial inclusion and economic growth across Indian states. Further, results show PMJDY scheme marginally improved the pace of economic growth but failed to improve the overall economic prosperity level across states. Poor usage of financial services and a rise in the number of dormant accounts after the PMJDY scheme's launch are the significant limitations of the PMJDY scheme's failure.</t>
  </si>
  <si>
    <t>LINKAGE; NEXUS</t>
  </si>
  <si>
    <t>dynamic panel; economic growth; financial inclusion; PMJDY scheme</t>
  </si>
  <si>
    <t>Financial inclusion, Pradhan Mantri Jan Dhan Yojna Scheme and economic growth: Evidence from Indian States</t>
  </si>
  <si>
    <t>Singh, Bhanu Pratap; Kumari, Annu; Sharma, Tanya; Malhotra, Abhishek</t>
  </si>
  <si>
    <t>Singh, BP; Kumari, A; Sharma, T; Malhotra, A</t>
  </si>
  <si>
    <t>WOS:000756633900001</t>
  </si>
  <si>
    <t>5E4PB</t>
  </si>
  <si>
    <t>10.1002/jid.3633</t>
  </si>
  <si>
    <t>Bedaiwy, Shymaa/0000-0003-0092-9672</t>
  </si>
  <si>
    <t>shymaa.allam001@umb.edu</t>
  </si>
  <si>
    <t>Bedaiwy, S (corresponding author), Univ Massachusetts, Sch Global Inclus &amp; Social Dev, Boston, MA 02125 USA.</t>
  </si>
  <si>
    <t>University of Massachusetts System; University of Massachusetts Boston</t>
  </si>
  <si>
    <t>[Bedaiwy, Shymaa; Peter, Dimity] Univ Massachusetts, Sch Global Inclus &amp; Social Dev, Boston, MA 02125 USA</t>
  </si>
  <si>
    <t>This paper examines the strengths and challenges of the Egyptian microfinance laws and regulations that protect impoverished women from overindebtedness. The focus of the analysis is on the regulation of microfinance in the nonbanking sector, that is, microfinance primarily provided by non-governmental organizations. Although a number of significant laws and regulations have been enacted that provide some protection from overindebtedness, it was found that these protections do not extend far enough, and some critical protections are absent. This leaves the most impoverished Egyptian women using microfinance, vulnerable to overindebtedness.</t>
  </si>
  <si>
    <t>SOCIAL PERFORMANCE; OVER-INDEBTEDNESS; PROGRAMS; MISSION; CREDIT; DRIFT; INSTITUTIONS; MICROCREDIT; PATRIARCHY; WELL</t>
  </si>
  <si>
    <t>economic empowerment; financial inclusion; microfinance; nonbanking financial services; overindebtedness; women</t>
  </si>
  <si>
    <t>An evaluation of Egyptian microfinance laws and regulations preventing overindebtedness of women</t>
  </si>
  <si>
    <t>Bedaiwy, Shymaa; Peter, Dimity</t>
  </si>
  <si>
    <t>Bedaiwy, S; Peter, D</t>
  </si>
  <si>
    <t>WOS:001137772100003</t>
  </si>
  <si>
    <t>EG5C6</t>
  </si>
  <si>
    <t>10.1007/s43508-021-00026-7</t>
  </si>
  <si>
    <t>We are first very grateful to the many respondents that willingly gave up time to speak with us and share their stories and experiences. We are also grateful to numerous Cambodia research assistants who were key to enabling us to undertake data collection. The research used in this article came from three separate projects. First, data on the brick sector came from a project funded by the Economic and Social Research Council (ESRC) and the former UK Department for International Development (ref: ES/R00238X/1). Second, research on the garment sector came from the 'ReFashion' project funded by the Global Challenges Research Fund (ref: EP/V026054/1). Sabina Lawreniuk is also grateful to the Leverhulme Trust (ref: ECF-2017-270) for her postdoctoral fellowship which also facilitated data collection used in the garment case study.</t>
  </si>
  <si>
    <t>Engineering and Physical Sciences Research Council(UK Research &amp; Innovation (UKRI)Engineering &amp; Physical Sciences Research Council (EPSRC)); Economic and Social Research Council (ESRC)(UK Research &amp; Innovation (UKRI)Economic &amp; Social Research Council (ESRC)); Second, research on the garment sector - Global Challenges Research Fund; Leverhulme Trust(Leverhulme Trust); ESRC(UK Research &amp; Innovation (UKRI)Economic &amp; Social Research Council (ESRC)); GCRF(UK Research &amp; Innovation (UKRI)); Economic and Social Research Council(UK Research &amp; Innovation (UKRI)Economic &amp; Social Research Council (ESRC))</t>
  </si>
  <si>
    <t>Engineering and Physical Sciences Research Council [ES/R00238X/1]; Economic and Social Research Council (ESRC) [EP/V026054/1]; Second, research on the garment sector - Global Challenges Research Fund [ECF-2017-270]; Leverhulme Trust; ESRC [ES/R00238X/1] Funding Source: UKRI; GCRF [EP/V026054/1] Funding Source: UKRI; Economic and Social Research Council [ES/R00238X/1] Funding Source: researchfish</t>
  </si>
  <si>
    <t>Natarajan, Nithya/0000-0002-9363-0102</t>
  </si>
  <si>
    <t>Nithya.Natarajan@kcl.ac.uk; Katherine.Brickell@rhul.ac.uk; Vincent.Guermond@rhul.ac.uk; Sabina.Lawreniuk@nottingham.ac.uk; Laurie.Parsons@rhul.ac.uk</t>
  </si>
  <si>
    <t>Brickell, K (corresponding author), Univ London, Dept Geog, Royal Holloway, London, England.</t>
  </si>
  <si>
    <t>University of London; King's College London; University of London; Royal Holloway University London; University of Nottingham</t>
  </si>
  <si>
    <t>[Natarajan, Nithya] Kings Coll London, Dept Int Dev, London, England; [Brickell, Katherine; Guermond, Vincent; Parsons, Laurie] Univ London, Dept Geog, Royal Holloway, London, England; [Lawreniuk, Sabina] Univ Nottingham, Sch Geog, Nottingham, England</t>
  </si>
  <si>
    <t>In this paper, we question the promotion of financial inclusion, and microfinance specifically, as a means to achieve 'Decent Work' (DW) under the International Labor Organization's (ILO) programme. Drawing upon original research findings from two types of internal migrants in Cambodia, we make a twin contention: first, that excessive levels of microfinance borrowing by garment workers are part-outcome of the failings of the DW programme to engender 'decent enough work', and second, that microfinance borrowing is actually eroding rather than contributing to the prospect of decent work for debt-bonded brickmakers in the country. The data presented on two of the largest sectors contributing to Cambodia's growth in recent decades, enable the paper to show how microfinance and labour precarity are intertwined through the over-indebtedness of workers in both cases. The paper ultimately looks to caution the ILO on its current promotion of financial inclusion and microfinance in particular, stressing the need for significant sectoral reforms before this form of credit can be considered to align with the core principles of the DW programme.</t>
  </si>
  <si>
    <t>DEBT; MICROCREDIT; MIGRATION; LABOR; MICROFINANCE; POVERTY; ECONOMY; GENDER; RETURN; INDIA</t>
  </si>
  <si>
    <t>Financial inclusion; Decent work; ILO; Debt; Microfinance; Cambodia; Migration</t>
  </si>
  <si>
    <t>Challenging the financial inclusion-decent work nexus: evidence from Cambodia's over-indebted internal migrants</t>
  </si>
  <si>
    <t>Natarajan, Nithya; Brickell, Katherine; Guermond, Vincent; Lawreniuk, Sabina; Parsons, Laurie</t>
  </si>
  <si>
    <t>Natarajan, N; Brickell, K; Guermond, V; Lawreniuk, S; Parsons, L</t>
  </si>
  <si>
    <t>WOS:000405313900008</t>
  </si>
  <si>
    <t>FA3AS</t>
  </si>
  <si>
    <t>10.1007/s40299-017-0339-0</t>
  </si>
  <si>
    <t>Asia-Pac. Educ. Res.</t>
  </si>
  <si>
    <t>ASIA-PAC EDUC RES</t>
  </si>
  <si>
    <t>2243-7908</t>
  </si>
  <si>
    <t>0119-5646</t>
  </si>
  <si>
    <t>This study was funded by a research grant awarded by the Indonesia Endowment Fund for Education (LPDP Indonesia). The authors would also like to thank the participants who attended the financial literacy programs organized by the Research Centre of the Yogyakarta State University, Financial Service Authority Yogyakarta (Otoritas Jasa Keuangan Yogyakarta) and participants of The 4th International Conference on Educational Research and Innovation (ICERI). Last but not least, appreciation to ThinkSmart Scholar (TS Scholar) during the review's board, preparation, and improvement processes of this article.</t>
  </si>
  <si>
    <t>Indonesia Endowment Fund for Education (LPDP Indonesia)</t>
  </si>
  <si>
    <t>Rika Fatimah, PL/GRE-5969-2022; ratna candra, sari/IQW-0286-2023</t>
  </si>
  <si>
    <t>rika_paper@yahoo.com</t>
  </si>
  <si>
    <t>Fatimah, PLR (corresponding author), Univ Gadjah Mada, Fac Econ &amp; Business, Dept Management, Jl Sosio Humaniora 01, Bulaksumur, Yogyakarta, Indonesia.</t>
  </si>
  <si>
    <t>Universitas Negeri Yogyakarta; Gadjah Mada University; Universitas Negeri Yogyakarta</t>
  </si>
  <si>
    <t>[Sari, Ratna Candra] Univ Negeri Yogyakarta, Fac Econ, Dept Accounting, Jl Colombo 1, Sleman, Yogyakarta, Indonesia; [Fatimah, P. L. Rika] Univ Gadjah Mada, Fac Econ &amp; Business, Dept Management, Jl Sosio Humaniora 01, Bulaksumur, Yogyakarta, Indonesia; [Suyanto] Univ Negeri Yogyakarta, Fac Econ, Dept Econ Educ, Jl Colombo 1, Sleman, Yogyakarta, Indonesia</t>
  </si>
  <si>
    <t>The level of financial literacy tends to be low in children, while information and financial education for children are very limited, especially in developing countries without mandatory financial education in schools. This study examined the effects of a classroom financial education program on financial knowledge. We used Financial Intelligence Curriculum designed for elementary school students from grade 1-6, focusing on the need and want, priority needs, income, spending, saving, and sharing. Using experimental method with pre-post-test and control group design, we found that the treatment group who received financial education has improved financial knowledge relative to the control group. The study provides evidence that elementary school students are appropriate targets for financial education and that it is necessary to develop mechanisms for effective learning to improve financial capability at an early age.</t>
  </si>
  <si>
    <t>LITERACY; EXPERIENCE; CHILDHOOD; CHILDREN</t>
  </si>
  <si>
    <t>Financial education; Financial socialization; Financial literacy; Emerging economy; Elementary years</t>
  </si>
  <si>
    <t>ASIA-PACIFIC EDUCATION RESEARCHER</t>
  </si>
  <si>
    <t>Bringing Voluntary Financial Education in Emerging Economy: Role of Financial Socialization During Elementary Years</t>
  </si>
  <si>
    <t>Sari, Ratna Candra; Fatimah, P. L. Rika; Suyanto</t>
  </si>
  <si>
    <t>Sari, RC; Fatimah, PLR; Suyanto</t>
  </si>
  <si>
    <t>WOS:001632096100001</t>
  </si>
  <si>
    <t>N9602</t>
  </si>
  <si>
    <t>10.1108/SEF-04-2025-0277</t>
  </si>
  <si>
    <t>2025 DEC 9</t>
  </si>
  <si>
    <t>Stud. Econ. Financ.</t>
  </si>
  <si>
    <t>STUD ECON FINANC</t>
  </si>
  <si>
    <t>1755-6791</t>
  </si>
  <si>
    <t>1086-7376</t>
  </si>
  <si>
    <t>Tarek, Amira/KLY-6236-2024</t>
  </si>
  <si>
    <t>amira.tarek@giu-uni.de; mireille.daaboul@giu-uni.de</t>
  </si>
  <si>
    <t>Tarek, A (corresponding author), German Int Univ, Dept Accounting &amp; Finance, Cairo, Egypt.</t>
  </si>
  <si>
    <t>[Tarek, Amira] German Int Univ, Dept Accounting &amp; Finance, Cairo, Egypt; [Daaboul, Mireille] German Int Univ, Dept Entrepreneurship &amp; SME Management, Cairo, Egypt</t>
  </si>
  <si>
    <t>PurposeThis study aims to examine the impact of FinTech development on financial inclusion and entrepreneurial finance, particularly the availability of equity and debt financing for small and medium enterprises (SMEs) across both emerging and developed economies. By examining these dynamics, the study highlights the link between FinTech development and SMEs' growth, emphasizing how enhanced financial accessibility promotes economic development.Design/methodology/approachThe sample includes 41 countries listed in the Global FinTech Index country rankings report (Findexable, 2021) and the Global Financial Inclusion Index report (2023). A series of regression analyses is conducted to examine this relationship, controlling for a range of other country characteristics over the period 2022-2023.FindingsThe results indicate that countries with high Fintech development exhibit higher financial inclusion and score high in the availability of financial resources to SMEs. The findings highlight the transformative role that FinTech development plays in promoting financial inclusion and advancing entrepreneurial finances.Practical implicationsThe study highlights the importance of investing in FinTech infrastructure and financial literacy to enhance FinTech-driven inclusion and entrepreneurship. It also points to significant investment opportunities in emerging markets, where FinTech can address existing financial access gaps.Originality/valueThis study uniquely examines FinTech development in three dimensions: quantity, quality and environment, and its impact on financial inclusion and entrepreneurial finance. By situating FinTech within a global context, this research seeks to advance the expanding body of literature on FinTech's evolving role in modern financial ecosystems, providing deeper insights into its implications for economic growth and innovation.</t>
  </si>
  <si>
    <t>SME growth; Economic growth; Financial inclusion; Entrepreneurial finance; Fintech Development</t>
  </si>
  <si>
    <t>STUDIES IN ECONOMICS AND FINANCE</t>
  </si>
  <si>
    <t>FinTech development: transformative impact on financial inclusion and entrepreneurial finance</t>
  </si>
  <si>
    <t>Tarek, Amira; Daaboul, Mireille</t>
  </si>
  <si>
    <t>Tarek, A; Daaboul, M</t>
  </si>
  <si>
    <t>WOS:001182244300001</t>
  </si>
  <si>
    <t>KT6B8</t>
  </si>
  <si>
    <t>10.1016/j.heliyon.2024.e25779</t>
  </si>
  <si>
    <t>e25779</t>
  </si>
  <si>
    <t>This research was made possible through the financial support provided by Direktorat Riset dan Pengabdian Pada Masyarakat (DRPM) Universitas Padjadjaran. We gratefully acknowledge the funding received from DRPM, which played a vital role in facilitating this study.</t>
  </si>
  <si>
    <t>Direktorat Riset dan Pengabdian Pada Masyarakat (DRPM) Universitas Padjadjaran</t>
  </si>
  <si>
    <t>Pranajaya, Eko/0009-0007-1517-9145</t>
  </si>
  <si>
    <t>eko19004@mail.unpad.ac.id; mohammad.benny@unpad.ac.id; arianis.chan@unpad.ac.id; b.hermanto@unpad.ac.id</t>
  </si>
  <si>
    <t>Pranajaya, E (corresponding author), Padjadjaran State Univ, Fac social &amp; polit Sci, Dept business Adm, Kabupaten Sumedang, Indonesia.</t>
  </si>
  <si>
    <t>Universitas Padjadjaran</t>
  </si>
  <si>
    <t>[Pranajaya, Eko; Alexandri, Mohammad Benny; Chan, Arianis; Hermanto, Bambang] Padjadjaran State Univ, Fac social &amp; polit Sci, Dept business Adm, Kabupaten Sumedang, Indonesia</t>
  </si>
  <si>
    <t>This study delves into the contemporary landscape of potential financial inclusion in investment decision -making, leveraging bibliometric research methods. Analyzing 161 publications from the Scopus database (2006-2023), the authors employ performance analysis and scientific mapping tools, including VOSviewer and Biblioshiny R studio. Through co -citation analysis, bibliographic coupling, co -occurrence of keywords analysis, thematic mapping, and thematic evolution analysis, the study uncovers the essential characteristics of the research field. The Result underscores that Innovative financial technologies are positioned as enablers of financial inclusion, with fintech's potential to drive positive social impact. The findings underscore that fostering financial literacy, addressing challenges in fintech adoption, and supporting entrepreneurship are crucial for maximizing the benefits of financial technologies. Overall, the study advocates for a comprehensive approach that combines financial inclusion, individual attitudes, and expertise, and fintech innovation to enhance access to financial services and expand investment opportunities for a more inclusive and prosperous economic landscape. However, the study acknowledges limitations, such as reliance on a single database and exclusion of specific keywords, urging a more inclusive approach to ensure a comprehensive understanding of relevant literature in this dynamic field.</t>
  </si>
  <si>
    <t>MICROFINANCE; MICROCREDIT; REPAYMENT; MANAGEMENT; INFORMATION; IMPACTS; DESIGN; POLICY; FIELD</t>
  </si>
  <si>
    <t>Financial inclusion; Investment decision; Bibliometric analysis; Research trends</t>
  </si>
  <si>
    <t>Examining the influence of financial inclusion on investment decision: A bibliometric review</t>
  </si>
  <si>
    <t>Pranajaya, Eko; Alexandri, Mohammad Benny; Chan, Arianis; Hermanto, Bambang</t>
  </si>
  <si>
    <t>Pranajaya, E; Alexandri, MB; Chan, A; Hermanto, B</t>
  </si>
  <si>
    <t>WOS:001317348900001</t>
  </si>
  <si>
    <t>9ZP1K</t>
  </si>
  <si>
    <t>10.1108/JFRA-06-2024-0337</t>
  </si>
  <si>
    <t>SEP 22</t>
  </si>
  <si>
    <t>Conflicting interests: The author(s) declared no potential conflicts of interest concerning this article's research, authorship and publication. Funding: The author(s) received no financial support for this article's research, authorship and publication.</t>
  </si>
  <si>
    <t>Abdallah, Wael/0000-0001-5697-5198;</t>
  </si>
  <si>
    <t>Abdallah, Wael/ACG-7989-2022; Harraf, Arezou/GRY-3302-2022; Ghura, Hasan/MZQ-4618-2025</t>
  </si>
  <si>
    <t>w.abdallah@bhck.edu.kw; a.harraf@bhck.edu.kw; h.ghura@kcst.edu.kw; maryam40043248@msm-kuwait.com</t>
  </si>
  <si>
    <t>Harraf, A (corresponding author), Box Hill Inst Box Hill Coll Kuwait, Business Sch, Safat, Kuwait.</t>
  </si>
  <si>
    <t>[Abdallah, Wael] Box Hill Inst Box Hill Coll Kuwait, Dept Business Studies, Safat, Kuwait; [Harraf, Arezou] Box Hill Inst Box Hill Coll Kuwait, Business Sch, Safat, Kuwait; [Ghura, Hasan] Kuwait Coll Sci &amp; Technol, Safat, Kuwait; [Abrar, Maryam] Maastricht Sch Management Kuwait, Kuwait, Kuwait</t>
  </si>
  <si>
    <t>PurposeThe current study examines the relationship between financial literacy and small and the performance of medium enterprises (SMEs), focusing on the moderating role of financial access.Design/methodology/approachThe population of this study consists of present SMEs in Kuwait, from whom a sample of 155 businesses was chosen. This study adopted a cross-sectional time frame and analyzed the collected data using partial least square structural equation modeling, and Smart-pls 4 software was applied for calculation.FindingsThis research reveals that financial literacy significantly influences SME performance, consistent with previous studies, showing that higher financial literacy promotes entrepreneurs' financial management capabilities and enhances business outcomes. Also, the study supports that financial access significantly moderates this relationship, pointing out that adequate access to financial services boosts the benefits of financial literacy.Research limitations/implicationsMajor implications of this study compromise the urgent need for customized financial literacy programs and policies promoting financial thoroughness, particularly in enhancing economies. The study recognizes limitations such as its cross-sectional design, small sample size and reliance on self-reported measures, suggesting further research use longitudinal approaches, a larger sample and objective measures.Practical implicationsThe authors' recommendations contain comprehensive financial literacy training, development of targeted financial education initiatives, promotion of sound financial management practices and policies to enhance financial access and inclusion, all aimed at boosting SME performance and contributing to economic growth.Originality/valueTo the best of the authors' knowledge, this study is Kuwait's first of its sort. Thus, the research is even more critical in Kuwait, where social and corporate values differ significantly. Therefore, this study aimed to investigate the relationship between financial literacy and the performance of Kuwait's SMEs moderated by financial access.</t>
  </si>
  <si>
    <t>SMEs; Entrepreneurship; Financial literacy; Financial access; SmartPLS4; Kuwait</t>
  </si>
  <si>
    <t>Financial literacy and small and medium enterprises performance: the moderating role of financial access</t>
  </si>
  <si>
    <t>Abdallah, Wael; Harraf, Arezou; Ghura, Hasan; Abrar, Maryam</t>
  </si>
  <si>
    <t>Abdallah, W; Harraf, A; Ghura, H; Abrar, M</t>
  </si>
  <si>
    <t>WOS:001647171400001</t>
  </si>
  <si>
    <t>AF9BU</t>
  </si>
  <si>
    <t>10.3390/fintech4040075</t>
  </si>
  <si>
    <t>jenei.szonja@sze.hu; enemeth@metropolitan.hu</t>
  </si>
  <si>
    <t>Németh, E (corresponding author), Metropolitan Univ, Commun &amp; Media Stud Fac, H-1048 Budapest, Hungary.</t>
  </si>
  <si>
    <t>University of Istvan Szechenyi</t>
  </si>
  <si>
    <t>[Szalai, Szilvia Modosne; Jenei, Szonja] Szecheny Istvan Univ, Dept Int &amp; Appl Econ, H-9026 Gyor, Hungary; [Nemeth, Erzsebet] Metropolitan Univ, Commun &amp; Media Stud Fac, H-1048 Budapest, Hungary</t>
  </si>
  <si>
    <t>Purpose: The central research question of the study is how objective financial knowledge and subjective financial confidence interact and relate to digital financial behavior and the use of FinTech tools. By examining both objective knowledge refers to measured, test-based financial competence and subjective confidence denote self-assessed financial understanding, the research offers insight into the psychological and demographic drivers of FinTech use and perceived financial well-being. Design/methodology/approach: Based on the OECD's 2023 international financial literacy survey, the study uses a nationally representative Hungarian sample. It employs non-parametric statistical methods, linear regression, and two-step cluster analysis. Three composite indicators, general digital activity, digital financial engagement frequency, perceived financial security were developed to measure general digital activity, frequency of digital financial engagement, and perceived financial security. Findings: Results reveal a moderate but significant correlation between actual and self-assessed financial knowledge. Men score higher on both measures, though self-assessment bias does not significantly differ by gender. Higher education and income levels are associated with stronger financial literacy and more frequent use of FinTech tools, while age correlates negatively. However, the accuracy of self-perception is not explained by these demographic factors. Cluster analysis identifies four distinct financial knowledge profiles and five consumer digital behavior types, revealing disparities in digital financial inclusion and confidence. Originality: This research contributes a multidimensional perspective on how consumer capabilities, attitudes, and digital behavior influence FinTech adoption. By integrating behavioral, demographic, and psychological factors, the study offers practical implications for targeted financial education and the design of inclusive, human-centered digital financial services-especially relevant for emerging European markets.</t>
  </si>
  <si>
    <t>financial literacy; perceived financial literacy; digital financial literacy; digital inclusion; financial behavior; FinTech adoption; digital activity; A13; D12; G53; I2</t>
  </si>
  <si>
    <t>Knowledge or Confidence? Exploring the Interplay of Financial Literacy, Digital Financial Behavior, and Self-Assessment in the FinTech Era</t>
  </si>
  <si>
    <t>Szalai, Szilvia Modosne; Jenei, Szonja; Nemeth, Erzsebet</t>
  </si>
  <si>
    <t>Szalai, SM; Jenei, S; Németh, E</t>
  </si>
  <si>
    <t>WOS:001008636300001</t>
  </si>
  <si>
    <t>O8AB0</t>
  </si>
  <si>
    <t>10.1080/01436597.2023.2221190</t>
  </si>
  <si>
    <t>Third World Q.</t>
  </si>
  <si>
    <t>THIRD WORLD Q</t>
  </si>
  <si>
    <t>1360-2241</t>
  </si>
  <si>
    <t>0143-6597</t>
  </si>
  <si>
    <t>bylander@lclark.edu</t>
  </si>
  <si>
    <t>Bylander, M (corresponding author), Lewis &amp; Clark Coll, Dept Sociol &amp; Anthropol, Portland, OR 97219 USA.</t>
  </si>
  <si>
    <t>[Bylander, Maryann] Lewis &amp; Clark Coll, Dept Sociol &amp; Anthropol, Portland, OR 97219 USA</t>
  </si>
  <si>
    <t>Across the Global South, microfinance providers have begun offering formalised pre-departure loans as part of their broader efforts to promote migrant financial inclusion. This article critically examines the logic behind these migration loans, drawing on data from Bangladesh to denaturalise the discursive shifts justifying these programs. Advocates of formalised migration loans view them as enabling the 'worthwhile investment' of migration, while reducing migration costs and risks. Yet these claims ignore the systemic precarity of migrant labour, the potential for abuse and dispossession via microcredit, and the ways that formal debt can heighten vulnerability for migrants. In making these claims, I draw attention to the infrastructures that have enabled contemporary forms of migration lending, highlighting that migration loans are now possible precisely because financial institutions have found ways to reshape the risks of lending to mobile populations. As such, I make the case for seeing migration loans as a form of migration speculation-in which migrant experiences become a site of investment and profit for microfinance institutions.</t>
  </si>
  <si>
    <t>DEVELOPMENT FINANCE; MIGRANT WORKERS; LABOR; MICROCREDIT; PRECARITY; DEBT; REMITTANCES</t>
  </si>
  <si>
    <t>Migration; development; microfinance; debt; Bangladesh; financial inclusion</t>
  </si>
  <si>
    <t>THIRD WORLD QUARTERLY</t>
  </si>
  <si>
    <t>Migration speculation: microfinance and migration in the Global South</t>
  </si>
  <si>
    <t>Bylander, Maryann</t>
  </si>
  <si>
    <t>Bylander, M</t>
  </si>
  <si>
    <t>WOS:001023976700001</t>
  </si>
  <si>
    <t>T0TT7</t>
  </si>
  <si>
    <t>10.1007/s12083-023-01526-5</t>
  </si>
  <si>
    <t>Peer Peer Netw. Appl.</t>
  </si>
  <si>
    <t>PEER PEER NETW APPL</t>
  </si>
  <si>
    <t>1936-6450</t>
  </si>
  <si>
    <t>1936-6442</t>
  </si>
  <si>
    <t>Ali, Javid/0000-0003-1418-881X</t>
  </si>
  <si>
    <t>Ali, Javid/ABB-9528-2021</t>
  </si>
  <si>
    <t>antoprince001@gmail.com; jwaran78@gmail.com; lathaselvi2012@gmail.com; javidinaug77@gmail.com</t>
  </si>
  <si>
    <t>Gandhimaruthian, L (corresponding author), St Josephs Coll Engn, Dept Informat Technol, Chennai, Tamil Nadu, India.</t>
  </si>
  <si>
    <t>St. Joseph's College of Engineering, Chennai</t>
  </si>
  <si>
    <t>[John, Antony Prince; Devaraj, Jagadhiswaran; Gandhimaruthian, Lathaselvi] St Josephs Coll Engn, Dept Informat Technol, Chennai, Tamil Nadu, India; [Liakath, Javid Ali] St Josephs Inst Technol, Dept Informat Technol, Chennai, Tamil Nadu, India</t>
  </si>
  <si>
    <t>Conventional loan avenues generally focus more on the formal sector than the unbanked sector. A peer to-peer (p2p) lending platform built on blockchain can help bridge the gap between potential lenders and borrowers in need of money in a secure and decentralized environment. The Ethereum blockchain allows for the creation of smart contracts to perform actions in the network by setting logic rules and conditions thereby removing the need for middlemen and can be inclusive of the unbanked sector. The p2p platform introduces swarm learning for credit scoring, which is a novel methodology that utilizes smart contracts to train decentralized machine learning models. Each training round happens on the local device with the user data, which then exchanges the training parameters and weights to the machine learning model maintained in the smart contract. This allows for preserving the privacy of the user data by ensuring the data never leaves the device but only the inference does. Upon analyzing the user's behavior, a statistical credit score is assessed for validating the chances of the user to default his/her loan repayment. The performance of the proposed model that has been trained using the swarm learning technique is close to the model that had been trained in a centralized environment while overcoming the drawbacks of federated learning by incorporating blockchain and swarm methodology.</t>
  </si>
  <si>
    <t>Peer-to-peer network; Ethereum blockchain; Swarm learning; Smart contracts; Decentralized machine learning; Credit scoring</t>
  </si>
  <si>
    <t>PEER-TO-PEER NETWORKING AND APPLICATIONS</t>
  </si>
  <si>
    <t>Swarm learning based credit scoring for P2P lending in block chain</t>
  </si>
  <si>
    <t>John, Antony Prince; Devaraj, Jagadhiswaran; Gandhimaruthian, Lathaselvi; Liakath, Javid Ali</t>
  </si>
  <si>
    <t>John, AP; Devaraj, J; Gandhimaruthian, L; Liakath, JA</t>
  </si>
  <si>
    <t>WOS:000510953800088</t>
  </si>
  <si>
    <t>KH9FF</t>
  </si>
  <si>
    <t>10.1016/j.worlddev.2019.104755</t>
  </si>
  <si>
    <t>olayinkadegbite@gmail.com; charles.ma-chethe@up.ac.za</t>
  </si>
  <si>
    <t>Adegbite, OO (corresponding author), Univ Pretoria, Dept Agr Econ Extens &amp; Rural Dev, ZA-0002 Pretoria, South Africa.</t>
  </si>
  <si>
    <t>[Adegbite, Olayinka O.; Machethe, Charles L.] Univ Pretoria, Dept Agr Econ Extens &amp; Rural Dev, ZA-0002 Pretoria, South Africa; [Adegbite, Olayinka O.] Natl Hort Res Inst, PMB 5432, Ibadan, Nigeria</t>
  </si>
  <si>
    <t>The sustainable development of Nigeria is being challenged by a persistent large financial inclusion gender gap (FIGG). The same gender gap in the country's smallholder agriculture frustrates the multifunctional potentials of agriculture in achieving sustainable development outcomes. The smallholders drive the agricultural sector, comprise majority of the worlds' poor and are found in all regions in Nigeria. This study used a mixed method review from secondary sources (Global Findex Databases 2011, 2014, 2017, Nigeria - CGAP Smallholder Household Survey 2016 and literatures) to investigate the trend in FIGG in smallholder agriculture in Nigeria. The causes and effects of FIGG on sustainable development were also identified by this study and the strategies to bridge the gap. Our study found that the FIGG in smallholder agriculture was 12% in 2016, while considering the whole population; it increased from 7% in 2011 to 20% in 2014 and 24% in 2017. The causes of FIGG were ascribed to socioeconomic, socio-cultural, institutional, legal and regulatory factors which affect the demand and supply of formal financial services. The FIGG in smallholder agriculture has interlinked negative effects like high cost on agricultural productivity, income inequality, food insecurity, limited market access and poverty which retards sustainable development. This study argued that bridging the FIGG in smallholder agriculture through targeted strategies like digital financial inclusion and gender responsive agricultural finance innovations would not only advance efforts aimed at closing the FIGG in Nigeria but would also reposition the country in achieving SGD5 and other sustainable outcomes. Progress made by Nigeria would contribute to African continent's advancement and also fast track the global realization of the SDGs by 2030 given Nigeria's highest population in Africa. (C) 2019 Elsevier Ltd. All rights reserved.</t>
  </si>
  <si>
    <t>ACCESS; WOMEN</t>
  </si>
  <si>
    <t>Financial inclusion; Gender gap; Smallholder agriculture; SDGs; Nigeria</t>
  </si>
  <si>
    <t>Bridging the financial inclusion gender gap in smallholder agriculture in Nigeria: An untapped potential for sustainable development</t>
  </si>
  <si>
    <t>Adegbite, Olayinka O.; Machethe, Charles L.</t>
  </si>
  <si>
    <t>Adegbite, OO; Machethe, CL</t>
  </si>
  <si>
    <t>WOS:000435587100105</t>
  </si>
  <si>
    <t>GJ7RP</t>
  </si>
  <si>
    <t>10.3390/su10051409</t>
  </si>
  <si>
    <t>The authors would like to express their sincere appreciation to KDDI Foundation for supporting this study with funds for fieldwork and for publishing.</t>
  </si>
  <si>
    <t>KDDI Foundation(KDDI Corporation)</t>
  </si>
  <si>
    <t>KDDI Foundation</t>
  </si>
  <si>
    <t>Apiors, EK (corresponding author), Univ Tokyo, Grad Program Sustainabil Sci Global Leadership In, Kashiwa, Chiba 2778563, Japan.</t>
  </si>
  <si>
    <t>University of Tokyo; University of Tokyo</t>
  </si>
  <si>
    <t>[Apiors, Emmanuel Kwablah] Univ Tokyo, Grad Program Sustainabil Sci Global Leadership In, Kashiwa, Chiba 2778563, Japan; [Suzuki, Aya] Univ Tokyo, Dept Int Studies, Kashiwa, Chiba 2770882, Japan</t>
  </si>
  <si>
    <t>While many studies that are focused on mobile money concern the effects of mobile money on consumption and informal risk-sharing, little evidence is provided on how mobile money influences payments and microbusiness investment for low-income people. We estimate the effects of access to mobile money on individuals' payments and income-generating activities by using data from the Ashanti Region of Ghana. Based on propensity-score matching and propensity-score weighted regression, we find that participation in mobile money is not dependent on individuals' financial status. We also observe that mobile-money users are likely to send and receive larger volumes of payments and remittances. We further find that mobile-money users are more likely to save higher amounts, invest more in education, microbusinesses, land, and buildings, and also consume more relative to non-users.</t>
  </si>
  <si>
    <t>PROPENSITY SCORE; FIELD EXPERIMENT; RURAL UGANDA; MISSING DATA; MICROCREDIT; RISK; IMPACTS; KENYA; POOR</t>
  </si>
  <si>
    <t>mobile money; financial inclusion; payments; investments; Ghana</t>
  </si>
  <si>
    <t>Mobile Money, Individuals' Payments, Remittances, and Investments: Evidence from the Ashanti Region, Ghana</t>
  </si>
  <si>
    <t>WOS:001392794800001</t>
  </si>
  <si>
    <t>R6V2A</t>
  </si>
  <si>
    <t>10.1080/23322039.2024.2448574</t>
  </si>
  <si>
    <t>P, Meenakshi/0000-0001-6495-280X; , Satish/0000-0002-7007-2064; Shetty, Sowjanya/0000-0002-9682-6733</t>
  </si>
  <si>
    <t>satish.k@manipal.edu; sowjanya@ppc.ac.in</t>
  </si>
  <si>
    <t>Kumar, S (corresponding author), Manipal Acad Higher Educ MAHE, Dept Commerce, Manipal, Karnataka, India.;Shetty, S (corresponding author), Poornaprajna Coll, Econ, Udupi, Karnataka, India.</t>
  </si>
  <si>
    <t>[Meenakshi, P.; Kumar, Satish] Manipal Acad Higher Educ MAHE, Dept Commerce, Manipal, Karnataka, India; [Shetty, Sowjanya] Poornaprajna Coll, Econ, Udupi, Karnataka, India</t>
  </si>
  <si>
    <t>Understanding the determinants of digital financial service adoption and gender disparities is crucial for fostering inclusive growth. This study aims to investigate the factors influencing the shift in the usage of digital financial products and services in India with a focus on addressing the gender divide in their adoption. The analysis is carried out through pooled logit regression and fairly decomposition technique, with the data processed through STATA-18 software. To this end, India's micro-level data were pooled from the Global Findex Database for the years 2017 and 2021, with a sample size of 3,000 for each year. The results indicate a substantial increase in nearly all forms of digital transactions since the pandemic, with notable increases in mobile usage and online banking, excluding government transfers. Additionally, socioeconomic factors, such as education, income, and workforce participation, along with the ownership of digital financial products, have significantly contributed to the adoption of digital financial products and services. Despite this increase, there has been a widening gender gap in the adoption of digital financial services over the years. This is primarily influenced by women's low literacy and low access to digital financial products. Future research could benefit from qualitative studies exploring the underlying reasons for the persistent gender disparity in digital finance usage.</t>
  </si>
  <si>
    <t>INCLUSION; ASIA</t>
  </si>
  <si>
    <t>Digital financial inclusion; COVID-19; gender divide; pooled logistic regression; Fairlie decomposition technique</t>
  </si>
  <si>
    <t>Beyond the screen: unfolding digital finance usage through a gendered lens during and after COVID-19</t>
  </si>
  <si>
    <t>Meenakshi, P.; Kumar, Satish; Shetty, Sowjanya</t>
  </si>
  <si>
    <t>Meenakshi, P; Kumar, S; Shetty, S</t>
  </si>
  <si>
    <t>WOS:001541731400001</t>
  </si>
  <si>
    <t>5QF3X</t>
  </si>
  <si>
    <t>10.1007/s40847-025-00461-w</t>
  </si>
  <si>
    <t>2025 AUG 1</t>
  </si>
  <si>
    <t>The author gratefully acknowledges the financial support from the Banking Academy of Vietnam.</t>
  </si>
  <si>
    <t>National University Ireland, Galway; Banking Academy of Vietnam</t>
  </si>
  <si>
    <t>Tran, Huu Tuyen/0000-0002-0596-4429</t>
  </si>
  <si>
    <t>t.tran1@universityofgalway.ie</t>
  </si>
  <si>
    <t>Tran, HT (corresponding author), Econ Univ Galway, JE Cairnes Sch Business, Galway, Ireland.;Tran, HT (corresponding author), Banking Acad Vietnam, Hanoi, Vietnam.</t>
  </si>
  <si>
    <t>[Tran, Huu Tuyen] Econ Univ Galway, JE Cairnes Sch Business, Galway, Ireland; [Tran, Huu Tuyen] Banking Acad Vietnam, Hanoi, Vietnam</t>
  </si>
  <si>
    <t>Hand-to-mouth (HtM) behavior matters to macroeconomic policies and economic stability, yet its determinants and link to financial access remain underexplored in Asian developing countries. This study addresses this gap using the Global Findex Database 2021 across twenty-seven economies. A novel Financial Access Index (FAI) is constructed via a two-stage principal component analysis (PCA), integrating traditional and digital financial dimensions. A univariate probit model is employed to examine correlations. Results show a negative correlation between financial access and HtM behavior, with individuals in higher-FAI countries being less likely to be HtM. Significant heterogeneity exists across different country groups, subregions, rural and urban areas, and vulnerable populations. Key determinants include tertiary education and income levels. The unemployment rate, share of the informal sector and share of employment working in agriculture are positively associated with HtM behavior, while there is a negative linkage between the Human Development Index (HDI) and the behavior. This study contributes by providing empirical evidence on financial access and HtM behavior in Asian developing countries, offering policy insights to enhance financial access and conduct macroeconomic policies.</t>
  </si>
  <si>
    <t>MONETARY; CONSUMPTION; INCLUSION; POLICY</t>
  </si>
  <si>
    <t>Consumption behavior; Developing economies; Financial access; Hand-to-mouth behavior; D12; D19; G59</t>
  </si>
  <si>
    <t>Determinants of hand-to-mouth behavior in Asian developing countries: Does financial access matter?</t>
  </si>
  <si>
    <t>Tran, Huu Tuyen</t>
  </si>
  <si>
    <t>Tran, HT</t>
  </si>
  <si>
    <t>WOS:001420160400014</t>
  </si>
  <si>
    <t>10.1007/978-981-97-6687-1_10</t>
  </si>
  <si>
    <t>Prakash, J Vineesh/0000-0002-4923-8365</t>
  </si>
  <si>
    <t>raginialc@gmail.com</t>
  </si>
  <si>
    <t>Ragini, B (corresponding author), SRM Univ AP, Amaravati, India.</t>
  </si>
  <si>
    <t>[Ragini, Bellapu; Prakash, J. Vineesh] SRM Univ AP, Amaravati, India</t>
  </si>
  <si>
    <t>This research highlights the role of the Unified Payments Interface (UPI) in addressing the financial inclusion challenges within the informal sector of the economy. It considers variables such as financial literacy, financial self-efficacy, documentation process, etc. to examine the association with UPI usage. Data for this research have been obtained from 120 informal sector respondents, working in the construction sector in the Krishna and Guntur districts of Andhra Pradesh, India through a questionnaire-based survey. Ordinal logistic regression has been used to assess the association between variables. This research reveals that financial literacy and financial self-efficacy have a significant association with financial inclusion via the use of UPI. The documentation process acted as a strong impediment to financial inclusion. Further, the research finds that young respondents are more inclined to use UPI services. All these findings suggest that UPI services are pertinent for financial inclusiveness in the informal sector of the economy.</t>
  </si>
  <si>
    <t>SELF-EFFICACY; MOBILE BANKING; LITERACY; SERVICES; DETERMINANTS; ACCEPTANCE; MEDIATOR; ADOPTION</t>
  </si>
  <si>
    <t>Does Unified Payment Interface (UPI) Contribute to Financial Inclusion? The Case of Construction Workers in Andhra Pradesh</t>
  </si>
  <si>
    <t>Ragini, Bellapu; Prakash, J. Vineesh</t>
  </si>
  <si>
    <t>Ragini, B; Prakash, JV</t>
  </si>
  <si>
    <t>WOS:000595052800017</t>
  </si>
  <si>
    <t>OZ6SG</t>
  </si>
  <si>
    <t>10.20511/pyr2020.v8n3.504</t>
  </si>
  <si>
    <t>e504</t>
  </si>
  <si>
    <t>SEP-DEC</t>
  </si>
  <si>
    <t>The study was carried out with the financial support of the Russian Federal Property Fund as part of scientific project No. 19-413-480013.</t>
  </si>
  <si>
    <t>Russian Federal Property Fund</t>
  </si>
  <si>
    <t>Russian Federal Property Fund [19-413-480013]</t>
  </si>
  <si>
    <t>Safronova, Tatiana/AAG-8933-2020; Chernousova, Nataliya/AAG-1529-2020</t>
  </si>
  <si>
    <t>Chernousova, N (corresponding author), Bunin Yelets State Univ, Yelets, Lipetsk Oblast, Russia.</t>
  </si>
  <si>
    <t>[Safronova, Tatiana; Chernousova, Natalia; Safronova, Maria] Bunin Yelets State Univ, Yelets, Lipetsk Oblast, Russia</t>
  </si>
  <si>
    <t>Financial literacy and financial capacity of schoolchildren should be developed to meet the requirements of the rapidly developing society and increasingly complicated financial system of the Russian Federation. The authors focused on the financial education of schoolchildren who represent a special target group in financial relations. The main research methods were general scientific methods of cognition: systematization of theoretical and practical material, induction, deduction, comparative analysis, and synthesis. The authors defined the concepts of financial literacy and financial capacity and substantiated their interdependence using a synergistic approach. The authors considered school math course as a special tool for the formation of financial literacy and financial capacity of schoolchildren, explored the possibility of their development among Russian students in grades 7-9 in the course of algebra, stated the main problems, and formulated conclusions and recommendations.</t>
  </si>
  <si>
    <t>Financial Literacy; Financial Capability; Mathematics Education; Students; Competencies</t>
  </si>
  <si>
    <t>Financial Literacy and Financial Capability: Interdependence of Concepts and Possibilities to Form Them in a School Course of Mathematics</t>
  </si>
  <si>
    <t>WOS:000756204000003</t>
  </si>
  <si>
    <t>10.13106/jafeb.2021.vol8.no12.0019</t>
  </si>
  <si>
    <t>HANSHIN OFFICETEL STE 1030, 2463-4, SHINHEUNG-DONG SUJEONG-GU, Seongnam City, Gyeonggi-do 461-713, SOUTH KOREA</t>
  </si>
  <si>
    <t>khan, Usman Shaukat/0000-0002-4397-8725; Ali, Jahed/0000-0002-5656-0256</t>
  </si>
  <si>
    <t>khan, Usman Shaukat/ACH-2125-2022; Ali, Jahed/ABI-7801-2020</t>
  </si>
  <si>
    <t>jamshed_ali1991@yahoo.com; arshadkhan881@hotmail.com; misbah.wadood@iiu.edu.pk; usmanshaukatkhan@gmail.com</t>
  </si>
  <si>
    <t>COMSATS University Islamabad (CUI); COMSATS University Islamabad (CUI); Pakistan Institute of Development Economics; International Islamic University, Pakistan</t>
  </si>
  <si>
    <t>[Ali, Jamshed; Khan, Usman Shaukat] COMSATS Univ, Dept Management Sci, Pk Rd, Islamabad 45550, Pakistan; [Khan, Muhammad Arshad] COMSATS Univ, Dept Econ, Islamabad, Pakistan; [Khan, Muhammad Arshad] Pakistan Inst Dev Econ, Islamabad, Pakistan; [Wadood, Misbah] Int Islam Univ, Dept Business Adm, Fac Management Sci, Islamabad, Pakistan</t>
  </si>
  <si>
    <t>This study aims to measure financial inclusion and examine its impact on income inequality in a panel of 18 Asian countries over the period 1997-2017. Two alternative approaches for developing financial inclusion index are used: one approach following the methodology of Sarma (2008), while the other is the Dynamic Factor Model (DFM)-based index. The impact of individual indicators and index of financial inclusion on inequality in income is analyzed. The Generalized Method of Moment (GMM) approach is used for empirical analysis. The results indicate that micro-level financial inclusion has a weak negative and statistically significant impact on income inequality. Macro-level index and all individual indicators of financial inclusion do not affect income inequality in the selected sample of economies. The income inequality issues have different natures and cannot be fixed by financial inclusion only. It needs holistic structural reforms to enable fair distribution of income and make an equitable financial system. Financial inclusion is a relatively less important intervention tool regarding fixing the issue of income inequality. This is one of the first studies that used the DFM method for financial inclusion indices construction.</t>
  </si>
  <si>
    <t>EMPLOYMENT; GROWTH; IMPACT</t>
  </si>
  <si>
    <t>Financial Inclusion; Income Inequality; Dynamic Factor Model</t>
  </si>
  <si>
    <t>Revisiting Financial Inclusion and Income Inequality Nexus: Evidences from Selected Economies in Asia</t>
  </si>
  <si>
    <t>Ali, Jamshed; Khan, Muhammad Arshad; Wadood, Misbah; Khan, Usman Shaukat</t>
  </si>
  <si>
    <t>Ali, J; Khan, MA; Wadood, M; Khan, US</t>
  </si>
  <si>
    <t>WOS:000593427800004</t>
  </si>
  <si>
    <t>OX2VC</t>
  </si>
  <si>
    <t>10.1093/wber/lhz006</t>
  </si>
  <si>
    <t>The research for this article was supported financially by the George Shultz Fellowship from the Stanford Institute for Economic Policy Research and the W. Glenn Campbell and Rita Ricardo-Campbell National Fellowship at Stanford University. The authors are grateful to Entrepreneurial Finance Lab and partners for providing data. The authors thank Jeff Berens, Nathan Eagle, Alfredo Ebentreich, Javier Frassetto, and Seema Jayachandran for helpful discussions, as well as audiences at the American Economic Association Annual Meetings, NEUDC, Microsoft Research, NBER IT and Digitization, and the AMID/BREAD Summer School in Development Economics. A supplementary online appendix is available with this article at The World Bank Economic Review website.</t>
  </si>
  <si>
    <t>Stanford Institute for Economic Policy Research; W. Glenn Campbell and Rita Ricardo-Campbell National Fellowship at Stanford University</t>
  </si>
  <si>
    <t>Björkegren, Daniel/0000-0002-7272-9883</t>
  </si>
  <si>
    <t>dan@bjorkegren.com; dgrissen@gmail.com</t>
  </si>
  <si>
    <t>Björkegren, D (corresponding author), Brown Univ, Providence, RI 02912 USA.</t>
  </si>
  <si>
    <t>Brown University</t>
  </si>
  <si>
    <t>[Bjorkegren, Daniel] Brown Univ, Providence, RI 02912 USA; [Grissen, Darrell] Entrepreneurial Finance Lab, Cambridge, MA USA</t>
  </si>
  <si>
    <t>Many households in developing countries lack formal financial histories, making it difficult for firms to extend credit, and for potential borrowers to receive it. However, many of these households have mobile phones, which generate rich data about behavior. This article shows that behavioral signatures in mobile phone data predict default, using call records matched to repayment outcomes for credit extended by a South American telecom. On a sample of individuals with (thin) financial histories, this article's method actually outperforms models using credit bureau information, both within-time and when tested on a different time period. But the method also attains similar performance on those without financial histories, who cannot be scored using traditional methods. Individuals in the highest quintile of risk by the measure used in this article are 2.8 times more likely to default than those in the lowest quintile. The method forms the basis for new forms of credit that reach the unbanked.</t>
  </si>
  <si>
    <t>credit scoring; machine learning; digital credit; mobile phones; financial inclusion</t>
  </si>
  <si>
    <t>Behavior Revealed in Mobile Phone Usage Predicts Credit Repayment</t>
  </si>
  <si>
    <t>Bjorkegren, Daniel; Grissen, Darrell</t>
  </si>
  <si>
    <t>Björkegren, D; Grissen, D</t>
  </si>
  <si>
    <t>WOS:001086048900001</t>
  </si>
  <si>
    <t>U6RE7</t>
  </si>
  <si>
    <t>10.1016/j.frl.2023.104489</t>
  </si>
  <si>
    <t>Ma, Chao/0000-0002-7443-6267; Zhou, Linjiang/0000-0003-3886-1300</t>
  </si>
  <si>
    <t>Ma, Chao/GNP-4534-2022; Zhou, Linjiang/JFJ-9678-2023</t>
  </si>
  <si>
    <t>gaolih@btbu.edu.cn</t>
  </si>
  <si>
    <t>Gao, LH (corresponding author), 11 &amp; 33 Fucheng Rd, Beijing 100048, Peoples R China.</t>
  </si>
  <si>
    <t>Wuhan University; Zhongnan University of Economics &amp; Law; Beijing Technology &amp; Business University</t>
  </si>
  <si>
    <t>[Zhou, Linjiang; Shi, Xiaochuan; Ma, Chao] Wuhan Univ, Sch Cyber Sci &amp; Engn, Wuhan, Hubei, Peoples R China; [Bao, Yaxiong] Zhongnan Univ Econ &amp; Law, Sch Journalism &amp; Culture Commun, Wuhan, Hubei, Peoples R China; [Gao, Lihua] Beijing Technol &amp; Business Univ, Innovat Ctr Digital Business &amp; Capital Dev, Beijing, Peoples R China; [Gao, Lihua] 11 &amp; 33 Fucheng Rd, Beijing 100048, Peoples R China</t>
  </si>
  <si>
    <t>Recently, the role of digital finance in promoting consumer upgrades has become increasingly evident. By applying boosting trees and Shapley values, we proposed an explainable artificial intelligence method to obtain more effective analysis results than those obtained using linear regression models.We studied the China Household Finance Survey data and the Digital Financial Inclusion Index of Peking University, which includes data from 34,643 and 40,013 households in 2019 and 2017, respectively. Our research shows that, the explainable artificial intelligence techniques can provide more innovative economic insights.</t>
  </si>
  <si>
    <t>Explainable artificial intelligence; Machine learning; Shapley values; Digital finance; Consumption upgrading</t>
  </si>
  <si>
    <t>Explainable artificial intelligence for digital finance and consumption upgrading</t>
  </si>
  <si>
    <t>Zhou, Linjiang; Shi, Xiaochuan; Bao, Yaxiong; Gao, Lihua; Ma, Chao</t>
  </si>
  <si>
    <t>Zhou, LJ; Shi, XC; Bao, YX; Gao, LH; Ma, C</t>
  </si>
  <si>
    <t>WOS:001460394100005</t>
  </si>
  <si>
    <t>1AM6H</t>
  </si>
  <si>
    <t>10.20430/ete.v92i366.2210</t>
  </si>
  <si>
    <t>tania.fialho@unimontes.br; luciana.cordeiro@unimontes.br; joao.timotio@unimontes.br; deiro@unimontes.br</t>
  </si>
  <si>
    <t>Fialho, TM (corresponding author), Univ Estatal Montes Claros, Dept Econ, Montes Claros, MG, Brazil.</t>
  </si>
  <si>
    <t>Universidade Estadual de Montes Claros; Universidade Estadual de Montes Claros; Universidade Estadual de Montes Claros</t>
  </si>
  <si>
    <t>[Fialho, Tania Maia; Cordeiro, Luciana Costa] Univ Estatal Montes Claros, Dept Econ, Montes Claros, MG, Brazil; [Timotio, Joao Guilherme Magalhaes] Univ Estatal Montes Claros, Dept Adm, Montes Claros, MG, Brazil; [Santiago, Wagner de Paulo] Univ Estatal Montes Claros, Dept Ciencias Contables, Montes Claros, MG, Brazil</t>
  </si>
  <si>
    <t>This article analyzes the behavior of financial inclusion in Brazil and its interrelationship with social inclusion as a fundamental pillar of sustainable development. We employed indicators of access and use of financial services provided by the Global Findex Database and the Time Series Generator System of the Central Bank of Brazil, considering the period from 2011 to 2021. From the analysis of the data and the documentary sources, we conclude that financial inclusion in Brazil follows the demand-pull pattern since it is much more driven by the distributive public policies of the federal government than by measures aimed at greater access and use of financial services, which are typical of the system. Hence the perception that there is no financial inclusion without social inclusion and that both are interdependent. For financial inclusion to be effective, it is essential to have a new regulation of the financial system that not only privileges the profitability rate of the sector, but also establishes a new order that considers the insertion in the system, its use, and the use of financial services of economically less favored classes.</t>
  </si>
  <si>
    <t>Financial inclusion; social inclusion; credit; income</t>
  </si>
  <si>
    <t>The relationship between financial inclusion and social inclusion: Evidence from Brazil</t>
  </si>
  <si>
    <t>Fialho, Tania Maia; Cordeiro, Luciana Costa; Timotio, Joao Guilherme Magalhaes; Santiago, Wagner de Paulo</t>
  </si>
  <si>
    <t>Fialho, TM; Cordeiro, LC; Timotio, JGM; Santiago, WD</t>
  </si>
  <si>
    <t>WOS:001605618200001</t>
  </si>
  <si>
    <t>9GF9K</t>
  </si>
  <si>
    <t>10.1177/21582440251389326</t>
  </si>
  <si>
    <t>Dalvadi, Yagneshkumar/GMX-4858-2022</t>
  </si>
  <si>
    <t>kivarawilliam@gmail.com</t>
  </si>
  <si>
    <t>Daudi, KW (corresponding author), Sardar Patel Univ, Dept Business Studies, Vallabh Vidyanagar 388120, Gujarat, India.</t>
  </si>
  <si>
    <t>Sardar Patel University</t>
  </si>
  <si>
    <t>[Daudi, Kivara William; Dalvadi, Yagnesh M.] Sardar Patel Univ, Vallabh Vidyanagar, Gujarat, India; [Daudi, Kivara William] Moshi Cooperat Univ, Moshi, Tanzania</t>
  </si>
  <si>
    <t>Microfinancing, as a transformative financial tool for financial inclusion, has gained important consideration for its potential to empower rural populations and disadvantaged groups, including women and people with disabilities, by providing access to credit and other financial services in fostering economic development and reducing poverty. This study explores the bibliometric analysis of Scopus-indexed articles covering the period 2016-2024 to map the research landscape of microfinance. The study utilised the PRISMA technique in the sampling procedure, which resulted in 1,439 sampled papers. VOSviewer software was used to assess publication trends, influential authors, and themes in the research domains. The findings show that microfinance it's an active field that engages in publishing quality academic papers which address potential issues related to national and individual development. The statistics indicate that Carlos Serrano-Cinca is a prominent author in microfinancing literature, with 68 citations per paper. The principal research themes identified encompass financial inclusion, microfinance, microcredit, women's empowerment, and poverty alleviation. Nonetheless, the identified significant deficiencies in microfinance research, the intersection of microfinance and technology is are underexplored area that requires attention to augment microfinance's contribution to financial inclusion, sustainable economic development and poverty alleviation in financially marginalised communities. This study offers significant understandings for legislators, researchers, and other stakeholders of financial inclusion, aiming to enhance microfinance institutions worldwide to promote financial inclusion and sustainable development.</t>
  </si>
  <si>
    <t>SUSTAINABLE DEVELOPMENT GOALS; FINANCIAL INCLUSION; INSTITUTIONS; WOMEN; ENTREPRENEURSHIP; TRANSFORMATIONS; RELEVANT; BUSINESS; IMPACT</t>
  </si>
  <si>
    <t>microfinancing; financial inclusion; bibliometrics; co-citations; co-occurrence</t>
  </si>
  <si>
    <t>Mapping the Research Landscape of Microfinance: A Bibliometric Analysis (2016-2024)</t>
  </si>
  <si>
    <t>Daudi, Kivara William; Dalvadi, Yagnesh M.</t>
  </si>
  <si>
    <t>Daudi, KW; Dalvadi, YM</t>
  </si>
  <si>
    <t>WOS:001096869500001</t>
  </si>
  <si>
    <t>X2NH2</t>
  </si>
  <si>
    <t>10.1016/j.frl.2023.104535</t>
  </si>
  <si>
    <t>xzfeng321@163.com</t>
  </si>
  <si>
    <t>Feng, XZ (corresponding author), Nanjing Univ Aeronaut &amp; Astronaut, Coll Econ &amp; Management, Nanjing 211106, Jiangsu, Peoples R China.</t>
  </si>
  <si>
    <t>Nanjing University of Aeronautics &amp; Astronautics</t>
  </si>
  <si>
    <t>[Feng, Xinzhen; Du, Gang] Nanjing Univ Aeronaut &amp; Astronaut, Coll Econ &amp; Management, Nanjing 211106, Jiangsu, Peoples R China</t>
  </si>
  <si>
    <t>This paper examines the impact of residents' financial knowledge on the scale and structure of their consumption. The survey data of CHFS in 2017, 2019 and 2021 are selected as the research samples. The study finds that: improved financial knowledge can significantly promote consumption upgrading; the impact of financial knowledge on the scale of residents' consumption has a more significant marginal effect in rural households, divided into urban and rural households; the digital financial inclusion index will significantly weaken the positive impact of financial knowledge on the scale and structure of households' consumption.</t>
  </si>
  <si>
    <t>Financial knowledge; Consumption upgrading; Mediation effect</t>
  </si>
  <si>
    <t>Does financial knowledge contribute to the upgrading of the resident's consumption?</t>
  </si>
  <si>
    <t>Feng, Xinzhen; Du, Gang</t>
  </si>
  <si>
    <t>Feng, XZ; Du, G</t>
  </si>
  <si>
    <t>WOS:001599946000005</t>
  </si>
  <si>
    <t>10.14254/2071-789X.2025/18-3/5</t>
  </si>
  <si>
    <t>Ruiz, Elisabet/AEC-7477-2022; Llados-Masllorens, Josep/E-3650-2019</t>
  </si>
  <si>
    <t>eruizd@uoc.edu; jlladosm@uoc.edu; niestroj@ue.katowice.pl</t>
  </si>
  <si>
    <t>Ruiz-Dotras, E (corresponding author), Univ Oberta Catalunya, Econ &amp; Business Dept, Barcelona, Spain.</t>
  </si>
  <si>
    <t>UOC Universitat Oberta de Catalunya; University of Economics in Katowice</t>
  </si>
  <si>
    <t>[Ruiz-Dotras, Elisabet; Llados-Masllorens, Josep] Univ Oberta Catalunya, Econ &amp; Business Dept, Barcelona, Spain; [Mitrega-Niestroj, Krystyna] Univ Econ Katowice, Dept Banking &amp; Financial Markets, Katowice, Poland</t>
  </si>
  <si>
    <t>This study investigates how individuals choose to become financially literate and how these decisions account for the gender gap in financial literacy, the underlying mechanisms of which are not clear enough. To this end, a sample group of undergraduates at an online university is explored and multivariate regression analyses and Oaxaca-Blinder decompositions are performed in relation to the different learning options and personal features. Results indicate that individuals who utilize multiple learning sources tend to achieve higher levels of financial literacy. The study also reveals the different strategies adopted by men and women in their endeavours to enhance their financial skills. While men show a stronger interest in financing their financial education through non-formal and self-directed learning processes, women tend to prefer acquiring financial skills through formal education, workplace training and the use of internet, which are often available at no cost. Understanding how and why men and women have different levels of financial literacy is crucial for the design and implementation of policies to improve personal and household financial management, reduce the gender gap and improve financial inclusion.</t>
  </si>
  <si>
    <t>SELF-EFFICACY; WOMEN; GAP; PARTICIPATION; KNOWLEDGE; EDUCATION; ATTITUDE</t>
  </si>
  <si>
    <t>financial literacy; financial inclusion; gender differences; financial education; Spain</t>
  </si>
  <si>
    <t>EXPLORING GENDER DIFFERENCES IN THE FINANCIAL LITERACY DECISION-MAKING</t>
  </si>
  <si>
    <t>Ruiz-Dotras, Elisabet; Llados-Masllorens, Josep; Mitrega-Niestroj, Krystyna</t>
  </si>
  <si>
    <t>Ruiz-Dotras, E; Lladós-Masllorens, J; Mitrega-Niestrój, K</t>
  </si>
  <si>
    <t>WOS:000458981700021</t>
  </si>
  <si>
    <t>VI0OH</t>
  </si>
  <si>
    <t>10.1177/2158244016633731</t>
  </si>
  <si>
    <t>Kishore S V, Krishna/0000-0001-5065-9637; Sequeira, Aloysius Henry/0000-0002-4783-2010</t>
  </si>
  <si>
    <t>; Sequeira, Aloysius Henry/V-4266-2018</t>
  </si>
  <si>
    <t>krishnakishore_sv@yahoo.com</t>
  </si>
  <si>
    <t>Kishore, SVK (corresponding author), Natl Inst Technol Karnataka, Mangalore 575025, Karnataka, India.</t>
  </si>
  <si>
    <t>National Institute of Technology (NIT System); National Institute of Technology Karnataka; National Institute of Technology (NIT System); National Institute of Technology Karnataka</t>
  </si>
  <si>
    <t>[Kishore, S. V. Krishna] Natl Inst Technol Karnataka, Mangalore 575025, Karnataka, India; [Sequeira, Aloysius Henry] Natl Inst Technol Karnataka, Sch Management, Mangalore, India</t>
  </si>
  <si>
    <t>Government of India (GOI) initialized financial inclusion campaign to quell exclusion. The campaign did not gain expected progress. Government employed technologies to speed up the process. Among banking technologies, mobile banking appeared as a possible solution for financial exclusion with wide mobile phone coverage. Inputs on rural people's intention toward technologies for effective financial inclusion were essential. Technology adoption factors, performance expectancy, effort expectancy, social influence, attitude, perceived risk, and behavioral intention (BI), were short listed after literature review. Factors were subjected to reliability, exploratory factor analysis (EFA), multiple regression, and interaction analysis. Rural provinces in Karnataka state were surveyed. We used mixed sampling technique to reach 959 samples. Multiple regression-interaction analysis revealed age and gender moderated attitude's path toward BI.</t>
  </si>
  <si>
    <t>TECHNOLOGY ACCEPTANCE MODEL; INFORMATION-SYSTEMS CONTINUANCE; E-GOVERNMENT; USER ACCEPTANCE; DEVELOPING-COUNTRIES; GENDER-DIFFERENCES; INTERNET BANKING; PERCEIVED EASE; PERSONAL INNOVATIVENESS; CUSTOMER SATISFACTION</t>
  </si>
  <si>
    <t>mobile banking; adoption; rural; Karnataka</t>
  </si>
  <si>
    <t>An Empirical Investigation on Mobile Banking Service Adoption in Rural Karnataka</t>
  </si>
  <si>
    <t>Kishore, S. V. Krishna; Sequeira, Aloysius Henry</t>
  </si>
  <si>
    <t>Kishore, SVK; Sequeira, AH</t>
  </si>
  <si>
    <t>WOS:000670698600006</t>
  </si>
  <si>
    <t>10.1002/jsc.2431</t>
  </si>
  <si>
    <t>Hom Chaudhury, Rimita/0000-0001-6837-0815; Bhandare, Purushottam/0000-0002-9392-0855;</t>
  </si>
  <si>
    <t>Ghosh, Chandralekha/ACE-1167-2022; Bhandare, Purushottam/HSG-5422-2023; Hom Chaudhury, Rimita/OTH-2589-2025</t>
  </si>
  <si>
    <t>samapti@tiss.edu</t>
  </si>
  <si>
    <t>Guha, S (corresponding author), Tata Inst Social Sci, Flat 1,Fac Quarters 1,TISS Main Campus, Mumbai 400088, Maharashtra, India.</t>
  </si>
  <si>
    <t>Tata Institute of Social Sciences; Tata Institute of Social Sciences; West Bengal State University; West Bengal State University</t>
  </si>
  <si>
    <t>[Bhandare, Purushottam Vishnu] Tata Inst Social Sci, Sch Management &amp; Labour Studies, Mumbai, Maharashtra, India; [Guha, Samapti] Tata Inst Social Sci, Ctr Social Entrepreneurship, Mumbai, Maharashtra, India; [Chaudhury, Rimita Hom] West Bengal State Univ, Econ, Barasat, India; [Ghosh, Chandralekha] West Bengal State Univ, Dept Econ, Barasat, India</t>
  </si>
  <si>
    <t>Different financial literacy models adopted by formal and semi-formal institutes have dissimilar impacts on individuals' decision-making and financial behavior. Individuals who participated in semi-formal financial literacy training are more likely to borrow than those who participated in the formal financial literacy training program. Decomposition suggests that people who participated in the formal financial literacy program are more likely to subscribe to insurance services than people trained from semi-formal financial literacy program. Individuals who participated in the semi-formal financial literacy training program are more satisfied with their current financial situation than those who participated in the formal literacy training program.</t>
  </si>
  <si>
    <t>MICROFINANCE; EDUCATION</t>
  </si>
  <si>
    <t>financial behavior; financial inclusion; financial literacy; insurance services; money management</t>
  </si>
  <si>
    <t>Impact of financial literacy models on the financial behavior of individuals: An empirical study on the Indian context</t>
  </si>
  <si>
    <t>Bhandare, Purushottam Vishnu; Guha, Samapti; Chaudhury, Rimita Hom; Ghosh, Chandralekha</t>
  </si>
  <si>
    <t>Bhandare, PV; Guha, S; Chaudhury, RH; Ghosh, C</t>
  </si>
  <si>
    <t>WOS:001453778300001</t>
  </si>
  <si>
    <t>0QT3R</t>
  </si>
  <si>
    <t>10.3390/econometrics13010012</t>
  </si>
  <si>
    <t>MAR 6</t>
  </si>
  <si>
    <t>Econometrics</t>
  </si>
  <si>
    <t>ECONOMETRICS</t>
  </si>
  <si>
    <t>2225-1146</t>
  </si>
  <si>
    <t>This research was supported and funded by the research sector, Arab Open University-Kuwait Branch under decision number 25070.</t>
  </si>
  <si>
    <t>Research sector, Arab Open University-Kuwait Branch</t>
  </si>
  <si>
    <t>Research sector, Arab Open University-Kuwait Branch [25070]</t>
  </si>
  <si>
    <t>Arslan, Muhammad/0000-0001-5046-7627; Ben Belgacem, Samira/0000-0002-6619-2784; TALBI, NAJOUA/0000-0002-6399-5848</t>
  </si>
  <si>
    <t>Arslan, Muhammad/L-6219-2014; Ben Belgacem, Samira/HLH-4858-2023; Alqatan, Ahmad/AFP-1701-2022</t>
  </si>
  <si>
    <t>aalqatan@aou.edu.kw; najoua.talbi@yahoo.fr; hbehbehani@aou.edu.kw; samira.benbelgacem@fsjegj.rnu.tn; muhammad.arslan@openpolytechnic.ac.nz; wsbeiti@auk.edu.kw</t>
  </si>
  <si>
    <t>Arslan, M (corresponding author), Open Polytech Te Pukenga, Dept Accounting, Lower Hutt 5011, New Zealand.</t>
  </si>
  <si>
    <t>Arab Open University-Kuwait; Universite de Sousse; American University of Kuwait</t>
  </si>
  <si>
    <t>[Alqatan, Ahmad; Behbehani, Hasan] Arab Open Univ, Business Dept, Ardiya 92400, Kuwait; [Talbi, Najoua] Univ Sousse, Higher Inst Finance &amp; Taxat Sousse, Sousse 4002, Tunisia; [Ben Belgacem, Samira] BESTMOD ISG, Fac Law Econ &amp; Management Sci Jandouba, Dept Management Sci, Jendouba 8189, Tunisia; [Arslan, Muhammad] Open Polytech Te Pukenga, Dept Accounting, Lower Hutt 5011, New Zealand; [Sbeiti, Wafaa] Amer Univ Kuwait, Coll Business &amp; Econ, Safat 13034, Kuwait</t>
  </si>
  <si>
    <t>Microfinance aims to promote financial inclusion among underprivileged individuals, particularly through progressive microcredit, which enables borrowers to access increasing loan amounts over time. This study examines the conditions under which progressive microcredit positively impacts both small business performance and household well-being, considering borrower characteristics and business activity conditions. Using a dataset of 278 households across 110 administrative sectors in Tunisia from 2012 to 2020, this study employs two-stage least squares (2SLS) and three-stage least squares (3SLS) econometric techniques to estimate simultaneous equation models. The findings reveal that the cumulative amount of progressive microcredit received is mainly determined by project capital, suggesting that businesses with higher capital requirements tend to secure larger loans over successive cycles. Household well-being is significantly influenced by progressive microcredit, household income, net business benefit, rate of development index, and homeownership. Meanwhile, business profitability is driven by project capital and total fixed assets, highlighting the long-term impact of microcredit. The results highlight the critical role of microfinance in enabling small-scale entrepreneurs to expand their businesses while simultaneously improving household financial security. By promoting sustainable income generation, progressive microcredit serves as a key instrument in poverty alleviation and economic stability. This study underscores the necessity for microfinance institutions (MFIs) to tailor their lending strategies, ensuring optimal loan progression that balances business expansion with financial sustainability. Additionally, policymakers should refine microcredit frameworks to enhance accessibility and long-term economic benefits for low-income borrowers. Overall, these insights contribute to the broader discourse on financial inclusion and sustainable development, emphasizing that progressive microcredit not only facilitates entrepreneurship, but also serves as a driver of socioeconomic mobility.</t>
  </si>
  <si>
    <t>PANEL-DATA; CREDIT; IMPACT; ACCESS; POVERTY; WELFARE; DETERMINANTS; INDEBTEDNESS; REPAYMENT; FINANCE</t>
  </si>
  <si>
    <t>progressive microcredit; sustainable development small business; household welfare; net benefit; simultaneous equations</t>
  </si>
  <si>
    <t>Dynamic Interaction Between Microfinance and Household Well-Being: Evidence from the Microcredit Progressive Model for Sustainable Development</t>
  </si>
  <si>
    <t>Alqatan, Ahmad; Talbi, Najoua; Behbehani, Hasan; Ben Belgacem, Samira; Arslan, Muhammad; Sbeiti, Wafaa</t>
  </si>
  <si>
    <t>Alqatan, A; Talbi, N; Behbehani, H; Ben Belgacem, S; Arslan, M; Sbeiti, W</t>
  </si>
  <si>
    <t>WOS:000464032600003</t>
  </si>
  <si>
    <t>HS7EK</t>
  </si>
  <si>
    <t>10.1177/1465750319832478</t>
  </si>
  <si>
    <t>Int. J. Entrep. Innov.</t>
  </si>
  <si>
    <t>INT J ENTREP INNOV</t>
  </si>
  <si>
    <t>2043-6882</t>
  </si>
  <si>
    <t>1465-7503</t>
  </si>
  <si>
    <t>Atiase, Victor/0000-0002-4051-2073; Mahmood, Samia/0000-0002-6103-1578</t>
  </si>
  <si>
    <t>; Mahmood, Samia/AAG-1455-2021</t>
  </si>
  <si>
    <t>ac8946@coventry.ac.uk</t>
  </si>
  <si>
    <t>Atiase, VY (corresponding author), Coventry Univ, Int Ctr Transformat Entrepreneurship, Gosford St, Coventry CV1 5DL, W Midlands, England.</t>
  </si>
  <si>
    <t>Coventry University; University of Wolverhampton</t>
  </si>
  <si>
    <t>[Atiase, Victor Yawo] Coventry Univ, Int Ctr Transformat Entrepreneurship, Gosford St, Coventry CV1 5DL, W Midlands, England; [Wang, Yong; Mahmood, Samia] Univ Wolverhampton, Business Sch, Wolverhampton, W Midlands, England</t>
  </si>
  <si>
    <t>Financial non-governmental organizations (FNGOs) are regulated microfinance institutions that operate with a social welfare logic in the delivery of microcredit to the financially excluded in Ghana. The microcredit is aimed at supporting the financially excluded individuals to create sustainable micro and small enterprises (MSEs) for the generation of both skilled and unskilled employment. From the institutional theory perspective, this study aims at investigating the impact of microcredit provided by FNGOs on employment growth among MSEs in Ghana. The major contribution of this study is the fact that, there is a little study on FNGOs and their impact on employment growth in the Ghanaian context. Therefore, this is one of the few studies that highlights the role of FNGOs in promoting financial inclusion through the provision of microcredit for employment generation purposes. Through a multiple regression analysis, the study uses primary data collected from 506 MSEs in Ghana. The results show that microcredit which is flexible in repayment mode, accessible and adequate has a positive impact on employment generation among MSEs in Ghana. However, the current cost of microcredit in Ghana has a negative impact on employment growth among MSEs.</t>
  </si>
  <si>
    <t>WOMEN ENTREPRENEURS; POVERTY REDUCTION; TRADE CREDIT; MICROFINANCE; ACCESS; MICRO; ENTERPRISES; ECONOMIES; OPPORTUNITIES; INTENTIONS</t>
  </si>
  <si>
    <t>employment growth; financial inclusiveness; FNGOs; Ghana; micro and small enterprises; microcredit</t>
  </si>
  <si>
    <t>INTERNATIONAL JOURNAL OF ENTREPRENEURSHIP AND INNOVATION</t>
  </si>
  <si>
    <t>FNGOs and financial inclusion: Investigating the impact of microcredit on employment growth in Ghana</t>
  </si>
  <si>
    <t>Atiase, Victor Yawo; Wang, Yong; Mahmood, Samia</t>
  </si>
  <si>
    <t>Atiase, VY; Wang, Y; Mahmood, S</t>
  </si>
  <si>
    <t>WOS:001196034100015</t>
  </si>
  <si>
    <t>BW7SV</t>
  </si>
  <si>
    <t>10.1201/9781003278788-15</t>
  </si>
  <si>
    <t>978-1-032-24486-0; 978-1-003-27878-8; 978-1-032-24482-2</t>
  </si>
  <si>
    <t>6000 BROKEN SOUND PARKWAY NW, STE 300, BOCA RATON, FL 33487-2742 USA</t>
  </si>
  <si>
    <t>BOCA RATON</t>
  </si>
  <si>
    <t>CRC PRESS-TAYLOR &amp; FRANCIS GROUP</t>
  </si>
  <si>
    <t>This work is supported by grant of the National Social Science Fund titled A Multidimensional Study on the Comparative Evaluation and Enhancement Mechanism of Inclusive Finance under Digital Empowerment (No: 21BJL087), thank you very much for anonymous reviewers suggestions.</t>
  </si>
  <si>
    <t>National Social Science Fund</t>
  </si>
  <si>
    <t>National Social Science Fund [21BJL087]</t>
  </si>
  <si>
    <t>Zhu, EQ (corresponding author), Beijing Language &amp; Culture Univ, Dept Finance, Beijing, Peoples R China.</t>
  </si>
  <si>
    <t>[Zhu, Erqian; Song, Xiaoling; Zeng, Zijiao; Wang, Rui; Wu, Siyi] Beijing Language &amp; Culture Univ, Dept Finance, Beijing, Peoples R China</t>
  </si>
  <si>
    <t>In order to explore ways to enhance financial inclusion in the context of digital economy, this study uses extended UTAUT model, and constructs a structural equation model (SEM) of the factors impacting users' adoption behavior of digital inclusive finance. We collected data through an online questionnaire distributed across villages and towns in remote areas in 18 provinces of China and used Amos26.0 for path analysis and moderating effect. The results show that performance expectations, effort expectations, social influence, and facility conditions have a positive impact on behavioral intention. Perceived risk negatively affects behavioral intention. Financial education and supervision can significantly reduce perceived risk and positively affect behavioral intentions. Based on the individual characteristics of users, age and individual innovation played a moderating role between effort expectation and use intention, financial education and supervision, and perceived risk. Therefore, the key to promoting the development of digital inclusive finance in China lies in increasing investment in capital resources, improving digital infrastructure, and strengthening financial education for inclusive groups.</t>
  </si>
  <si>
    <t>OCT 24-25, 2022</t>
  </si>
  <si>
    <t>7th International Conference on Economic and Business Management (FEBM)</t>
  </si>
  <si>
    <t>ECONOMIC AND BUSINESS MANAGEMENT 2022</t>
  </si>
  <si>
    <t>How will people adopt digital inclusive finance? - Evidence from China</t>
  </si>
  <si>
    <t>Zhu, Erqian; Song, Xiaoling; Zeng, Zijiao; Wang, Rui; Wu, Siyi</t>
  </si>
  <si>
    <t>Lent, B; Zhang, C</t>
  </si>
  <si>
    <t>Zhu, EQ; Song, XL; Zeng, ZJ; Wang, R; Wu, SY</t>
  </si>
  <si>
    <t>WOS:001249243600011</t>
  </si>
  <si>
    <t>UP4H9</t>
  </si>
  <si>
    <t>10.1257/aer.20230585</t>
  </si>
  <si>
    <t>Skrastins, Janis/GWU-8920-2022; Schoenherr, David/MSX-9408-2025</t>
  </si>
  <si>
    <t>bemardus.doomik@bcb.gov.br; gomes@wustl.edu; a081891@snu.ac.kr; jskrastins@wustl.edu</t>
  </si>
  <si>
    <t>VAN Doornik, B (corresponding author), Bank Int Settlements, Basel, Switzerland.;VAN Doornik, B (corresponding author), Banco Cent Brasile, Brasilia, Brazil.</t>
  </si>
  <si>
    <t>Bank for International Settlements (BIS); Washington University (WUSTL); Seoul National University (SNU)</t>
  </si>
  <si>
    <t>[Van Doornik, Bernardus] Bank Int Settlements, Basel, Switzerland; [Van Doornik, Bernardus] Banco Cent Brasile, Brasilia, Brazil; [Gomes, Armando] Washington Univ St Louis, St Louis, MO USA; [Schoenherr, David; Skrastins, Janis] Seoul Natl Univ, Seoul, South Korea</t>
  </si>
  <si>
    <t>We assess the employment and income effects of access to credit dedicated to investment in individual mobility by exploiting time -series variation in access to credit through lotteries for participants in a group -lending mechanism in Brazil. We find that access to credit for investment in individual mobility increases formal employment rates and salaries , yielding an annual rate of return of 12 to 15 percent. Consistent with a geographically broader job search , individuals transition to jobs farther from home and public transportation. Our results suggest that accessing distant labor markets through credit for investment in individual mobility yields high and persistent returns. ( JEL D44, E24, G21, G51, J61, J64, O15 )</t>
  </si>
  <si>
    <t>MICROFINANCE EVIDENCE; MICROCREDIT EVIDENCE; IMPACTS</t>
  </si>
  <si>
    <t>Financial Access and Labor Market Outcomes: Evidence from Credit Lotteriest</t>
  </si>
  <si>
    <t>Van Doornik, Bernardus; Gomes, Armando; Schoenherr, David; Skrastins, Janis</t>
  </si>
  <si>
    <t>VAN Doornik, B; Gomes, A; Schoenherr, D; Skrastins, J</t>
  </si>
  <si>
    <t>WOS:000883065200001</t>
  </si>
  <si>
    <t>6E0GW</t>
  </si>
  <si>
    <t>10.1016/j.heliyon.2022.e10860</t>
  </si>
  <si>
    <t>e10860</t>
  </si>
  <si>
    <t>Sadik-Zada, Elkhan Richard/0000-0001-8898-7994; Gatto, Anea/0000-0003-1005-3571</t>
  </si>
  <si>
    <t>Sadik-Zada, Elkhan Richard/AAV-5087-2021; Gatto, Anea/L-1210-2019</t>
  </si>
  <si>
    <t>Gatto, A (corresponding author), Wenzhou Kean Univ, Wenzhou 325060, Zhejiang, Peoples R China.;Gatto, A (corresponding author), Azerbaijan State Univ Econ UNEC, Ctr Studies Europe, Baku, Azerbaijan.;Gatto, A (corresponding author), Ctr Econ Dev Social Change, CED, Naples, Italy.</t>
  </si>
  <si>
    <t>Wenzhou-Kean University; Ministry of Education of Azerbaijan Republic; Azerbaijan State University of Economics (UNEC); Ruhr University Bochum; Ruhr University Bochum; Ministry of Education of Azerbaijan Republic; Azerbaijan State University of Economics (UNEC)</t>
  </si>
  <si>
    <t>[Gatto, Andrea] Wenzhou Kean Univ, Wenzhou 325060, Zhejiang, Peoples R China; [Gatto, Andrea] Azerbaijan State Univ Econ UNEC, Ctr Studies Europe, Baku, Azerbaijan; [Gatto, Andrea] Ctr Econ Dev Social Change, CED, Naples, Italy; [Sadik-Zada, Elkhan Richard] Ruhr Univ, Inst Dev Res &amp; Dev Policy IEE, Bochum, Germany; [Sadik-Zada, Elkhan Richard] Ruhr Univ, Ctr Environm Resources &amp; Energy Econ CURE, Bochum, Germany; [Sadik-Zada, Elkhan Richard] Azerbaijan State Univ Econ UNEC, Ctr Studies Europe AIM, Baku, Azerbaijan</t>
  </si>
  <si>
    <t>This research paper aims to address the problem of financial inclusion and resilience in the current sustainable development framework. The development agenda designs access to finance a human right and a prior strategy to achieve Sustainable Development Goals (SDGs). Microfinance can play a decisive role in smoothing the risk of adverse events It acts as resilience policy, tackling vulnerability and poverty, empowering people and vulnerable categories and improving and enlarging their capabilities. This work explores the existing connections between the development agenda and microfinance as a strategy to foster financial access. To this end, summative content analysis is performed on the United Nations General Assembly Resolution A/RES/69/315 - fulfilling a research gap. This inquiry handles 6 selected SDGs, ascribable to 3 dimensions, detecting 5 sub-dimensions and 16 domains. Analysing Millennium Development Goals and Sustainable Development Goals, the study also finds increased importance attributed to the topic, key issues and policy strengths and limitations. Importantly, the analysis shows that the environmental dimension is still neglected in the analysed corpus, not appearing in any of the examined SDGs. The findings suggest investing in these channels, drafting governance patterns and modelling resilience and development policy to vehiculate improved ecological and institutional results and concerns.</t>
  </si>
  <si>
    <t>IMPACT; PERSPECTIVE; SERVICES; FIRMS</t>
  </si>
  <si>
    <t>Microfinance; Sustainable development; SDGs; Access to finance; Resilience; Capabilities; Content analysis; Development policy</t>
  </si>
  <si>
    <t>Access to microfinance as a resilience policy to address sustainable development goals: A content analysis</t>
  </si>
  <si>
    <t>Gatto, Andrea; Sadik-Zada, Elkhan Richard</t>
  </si>
  <si>
    <t>Gatto, A; Sadik-Zada, ER</t>
  </si>
  <si>
    <t>WOS:000390145900005</t>
  </si>
  <si>
    <t>10.1080/10705422.2016.1233477</t>
  </si>
  <si>
    <t>This research was supported in part by The John Randolph Haynes and Dora Haynes Foundation. We also thank Dr. M. Elana Delavega for coining unbankable, our reviewers for thoughtful feedback, and most of all our participants and their institutions for their valuable time</t>
  </si>
  <si>
    <t>John Randolph Haynes and Dora Haynes Foundation</t>
  </si>
  <si>
    <t>jdoran2@calstatela.edu</t>
  </si>
  <si>
    <t>Doran, JK (corresponding author), Calif State Univ Los Angeles, Sch Social Work, 5151 Univ Dr, Los Angeles, CA 90032 USA.</t>
  </si>
  <si>
    <t>California State University System; California State University Los Angeles</t>
  </si>
  <si>
    <t>[Padua, Larissa A.; Doran, Joanna K.] Calif State Univ Los Angeles, Sch Social Work, 5151 Univ Dr, Los Angeles, CA 90032 USA</t>
  </si>
  <si>
    <t>Appropriate use of formal financial institutions facilitates saving and asset building. Yet 20% of the US Latino population is unbanked. In this cross-sectional qualitative study, 34 community experts were interviewed regarding financial practices in the predominantly low-income Latino and immigrant community of East Los Angeles. Thematic analysis of these in-depth, semistructured interviews suggests that immigration status fuels fears regarding banking and ultimately the persistence of unbanked status; limited financial education prompts community members to move from being unbanked to being unbankable. Techniques employed to reverse this cycle appear helpful, but ultimately overwhelmed by the magnitude of community mistrust and misinformation.</t>
  </si>
  <si>
    <t>Asset building; banking habits; East Lost Angeles; financial literacy; financial services; immigrant; Latino; low-income; unbanked; undocumented</t>
  </si>
  <si>
    <t>From Being Unbanked to Becoming Unbanked or Unbankable: Community Experts Describe Financial Practices of Latinos in East Los Angeles</t>
  </si>
  <si>
    <t>Padua, Larissa A.; Doran, Joanna K.</t>
  </si>
  <si>
    <t>Padua, LA; Doran, JK</t>
  </si>
  <si>
    <t>WOS:000393354400162</t>
  </si>
  <si>
    <t>BG9JX</t>
  </si>
  <si>
    <t>978-7-5629-5431-6</t>
  </si>
  <si>
    <t>122 LUOSHI RD, WUHAN 430070, PEOPLES R CHINA</t>
  </si>
  <si>
    <t>WUHAN</t>
  </si>
  <si>
    <t>WUHAN UNIV TECHNOLOGY PRESS</t>
  </si>
  <si>
    <t>mosebigirimana@yahoo.com; steven64@163.com</t>
  </si>
  <si>
    <t>Moïse, B (corresponding author), Wuhan Univ Technol, Sch Management, Wuhan 430070, Peoples R China.</t>
  </si>
  <si>
    <t>[Moise, Bigirimana; Xu Hongyi] Wuhan Univ Technol, Sch Management, Wuhan 430070, Peoples R China</t>
  </si>
  <si>
    <t>Financial inclusion is a major policy concern with governments across the world. Rwanda as a country with fast development averaging to 6.9% from 2011 to 2015 has done an improvement in financial inclusion as well. This country with stable growth interested the researchers to know whether this development goes hand in hand with financial inclusion. This paper is an attempt to show the overview of financial inclusion in Rwanda. Secondary data from Rwanda Fin scope survey 2008, 2012 and 2016 were used in this study. Apart from that, this paper uses data from Banque National du Rwanda from 2011 to 2015. Many researches were conducted on financial inclusion in different countries but none of them took Rwanda as a special case. The results show that there is an improvement in fmancial inclusion in Rwanda as the number of financially excluded dropped from 52% in 2008 to 11% in 2016. The problem is that the number of banked adults did not increase from 2008 to 2016. Banked adults in Rwanda were 14% in 2008, 23% in 2012 and 26% in 2016. This shows that many Rwandan adults are not banked. The government should continue to mobilize citizens to join banks. Mobile payment improved tremendously and this should be strengthened and more regulated as it is serving many Rwandans.</t>
  </si>
  <si>
    <t>POOR</t>
  </si>
  <si>
    <t>Financial inclusion; Financial exclusion; Rwanda</t>
  </si>
  <si>
    <t>Malaysia-Japan Int Inst Technol</t>
  </si>
  <si>
    <t>Yamaguchi Univ,Wuhan Univ Technol China,Tilburg Univ,NEF Pontif Catholic Univ Sao Paulo Brazil,Univ Vaasa Finland</t>
  </si>
  <si>
    <t>Malaysia-Japan Int Inst Technol, Kuala Lumpur, MALAYSIA</t>
  </si>
  <si>
    <t>NOV 28-30, 2016</t>
  </si>
  <si>
    <t>13th International Conference on Innovation and Management (ICIM 2016)</t>
  </si>
  <si>
    <t>PROCEEDINGS OF THE 13TH INTERNATIONAL CONFERENCE ON INNOVATION AND MANAGEMENT, VOLS I &amp; II</t>
  </si>
  <si>
    <t>Financial Inclusion in Rwanda: An Overview</t>
  </si>
  <si>
    <t>Moise, Bigirimana; Xu Hongyi</t>
  </si>
  <si>
    <t>Yusof, R; Kaminishi, K; Aimin, W</t>
  </si>
  <si>
    <t>Moïse, B; Xu, HY</t>
  </si>
  <si>
    <t>WOS:000828260500001</t>
  </si>
  <si>
    <t>8L2WW</t>
  </si>
  <si>
    <t>10.1007/s10644-022-09428-x</t>
  </si>
  <si>
    <t>Econ. Chang. Restruct.</t>
  </si>
  <si>
    <t>ECON CHANG RESTRUCT</t>
  </si>
  <si>
    <t>1574-0277</t>
  </si>
  <si>
    <t>1573-9414</t>
  </si>
  <si>
    <t>Saha CFA, Sumanta Kumar/0000-0003-3960-0655; Qin, Jie/0000-0001-8742-5228</t>
  </si>
  <si>
    <t>sumantabb08@yahoo.com</t>
  </si>
  <si>
    <t>Saha, SK (corresponding author), Cent Bank Bangladesh, Financial Stabil Dept, Bangladesh Bank, Flat B2,52-1, Dhaka 521, Bangladesh.</t>
  </si>
  <si>
    <t>Ritsumeikan University</t>
  </si>
  <si>
    <t>[Saha, Sumanta Kumar] Cent Bank Bangladesh, Financial Stabil Dept, Bangladesh Bank, Flat B2,52-1, Dhaka 521, Bangladesh; [Qin, Jie] Ritsumeikan Univ, Coll Econ, Nojihigashi 1-1-1, Kusatsu, Shiga 5250058, Japan</t>
  </si>
  <si>
    <t>This study analyzes the impact of financial inclusion on poverty reduction in 156 countries belonging to different income groups during the 2004-2019 period. We construct a novel composite financial inclusion index and apply both static and dynamic panel estimation methods to examine the impact of financial inclusion on two different poverty levels. Our results indicate that financial inclusion has a significant negative association with extreme poverty in developing countries but not in high-income countries. The effect of financial inclusion on moderate poverty is weaker than that on extreme poverty. We also examine the conditional relationship between gender inequality and financial inclusion, finding that improvement in gender inequality enhances the effect of financial inclusion on both extreme and moderate poverty in developing countries. The effectiveness of financial inclusion is influenced by how equally the disadvantaged groups, particularly women, can access and utilize financial services. Our findings suggest that policymakers can use financial inclusion as a poverty reduction tool.</t>
  </si>
  <si>
    <t>SAVINGS; DECISIONS</t>
  </si>
  <si>
    <t>Financial inclusion; Poverty alleviation; Gender inequality; Access to finance</t>
  </si>
  <si>
    <t>ECONOMIC CHANGE AND RESTRUCTURING</t>
  </si>
  <si>
    <t>Financial inclusion and poverty alleviation: an empirical examination</t>
  </si>
  <si>
    <t>Saha, Sumanta Kumar; Qin, Jie</t>
  </si>
  <si>
    <t>Saha, SK; Qin, J</t>
  </si>
  <si>
    <t>WOS:000924854300032</t>
  </si>
  <si>
    <t>8N0OY</t>
  </si>
  <si>
    <t>10.1371/journal.pone.0275577</t>
  </si>
  <si>
    <t>e0275577</t>
  </si>
  <si>
    <t>OCT 14</t>
  </si>
  <si>
    <t>yl931111@163.com</t>
  </si>
  <si>
    <t>Liu, YY (corresponding author), Si Chuan Univ, Sch Econ, Chengdu, Peoples R China.</t>
  </si>
  <si>
    <t>Nanjing University; Jiangsu Vocational Institute of Commerce; Sichuan University</t>
  </si>
  <si>
    <t>[Jiang, Youxue] Nanjing Univ, Sch Econ, Nanjing, Peoples R China; [Jiang, Youxue] Jiangsu Vocat Inst Commerce, Sch Finance, Nanjing, Peoples R China; [Liu, Yangyi] Si Chuan Univ, Sch Econ, Chengdu, Peoples R China</t>
  </si>
  <si>
    <t>This paper investigates the impact of financial Inclusion on household poverty and vulnerability by constructing a household financial inclusion index using the China Household Finance Survey 2015. It is found that financial Inclusion significantly reduces the probability of poverty and vulnerability of households and has a more significant impact on vulnerable groups such as rural and urban low-income people. Further, financial Inclusion has a more significant effect on poor families that do not receive government support for poverty alleviation and can complement co-insurance mechanisms to help families better cope with vulnerabilities caused by synergistic community shocks. Finally, promoting entrepreneurship and improving risk management capabilities are the main channels of financial Inclusion.</t>
  </si>
  <si>
    <t>REDUCTION; MICROFINANCE; INEQUALITY; CAUSALITY; BANKS</t>
  </si>
  <si>
    <t>Does financial inclusion help alleviate household poverty and vulnerability in China?</t>
  </si>
  <si>
    <t>Jiang, Youxue; Liu, Yangyi</t>
  </si>
  <si>
    <t>Jiang, YX; Liu, YY</t>
  </si>
  <si>
    <t>WOS:001403508800001</t>
  </si>
  <si>
    <t>T2Q1P</t>
  </si>
  <si>
    <t>10.1016/j.frl.2024.106682</t>
  </si>
  <si>
    <t>nelbahna@lsus.edu</t>
  </si>
  <si>
    <t>Elbahnasawy, NG (corresponding author), Louisiana State Univ, Dept Econ &amp; Finance, Shreveport, LA 71115 USA.</t>
  </si>
  <si>
    <t>University System of Ohio; Kent State University; Kent State University Salem; Kent State University Kent; Louisiana State University System; Louisiana State University Shreveport; University System of Ohio; Kent State University; Kent State University Kent; Kent State University Salem</t>
  </si>
  <si>
    <t>[Razavi, Rouzbeh] Kent State Univ, Dept Informat Syst &amp; Business Analyt, Kent, OH USA; [Elbahnasawy, Nasr G.] Louisiana State Univ, Dept Econ &amp; Finance, Shreveport, LA 71115 USA; [Elbahnasawy, Nasr G.] Kent State Univ, Dept Econ, Kent, OH USA</t>
  </si>
  <si>
    <t>A significant portion of the global adult population, particularly in developing markets, lacks access to formal credit due to the absence of traditional credit histories. This presents a major challenge for financial institutions, FinTech companies, and policymakers aiming to promote financial inclusion. While conventional credit scoring models are built on established financial data, the growing penetration of mobile phones offers an alternative means to assess credit risk. Unlike prior research focused on Call Detail Records (CDRs)-data generated by telecommunication providers capturing users' call and message activities, such as duration, frequency, and timing-this study investigates the predictive power of a broader spectrum of mobile usage data, including non-CDR attributes like social media engagement and web browsing habits, in assessing credit risk. Using a broad range of machine learning algorithms on actual mobile usage data from over 1,500 demographically diverse individuals over a two-week period, we find that while these mobile usage attributes alone cannot fully replace FICO scores in regression models (R2=0.30), they significantly enhance the accuracy of classification models, especially when combined with CDR data (Accuracy=0.89). These findings have important implications for credit markets in emerging economies, pathways for financial institutions and FinTech companies to engage with unbanked populations and support the growth of alternative credit assessment tools.</t>
  </si>
  <si>
    <t>Credit risk; Non-CDR data; Mobile data; Financial inclusion; Fintech; Machine learning; Unbanked populations</t>
  </si>
  <si>
    <t>Unlocking credit access: Using non-CDR mobile data to enhance credit scoring for financial inclusion</t>
  </si>
  <si>
    <t>Razavi, Rouzbeh; Elbahnasawy, Nasr G.</t>
  </si>
  <si>
    <t>Razavi, R; Elbahnasawy, NG</t>
  </si>
  <si>
    <t>WOS:000809638800003</t>
  </si>
  <si>
    <t>This paper is the result of research supported by a grant by the Romanian Ministry of Education and Research, CNCS-UEFISCDI, project number PN-III-P1-1.1-TE-2019-0415, within the PNCDI III. This article is part of a research working paper on financial literacy, financial well-being, and financial inclusion in Romania.</t>
  </si>
  <si>
    <t>Romanian Ministry of Education and Research, CNCS-UEFISCDI within the PNCDI III</t>
  </si>
  <si>
    <t>Romanian Ministry of Education and Research, CNCS-UEFISCDI within the PNCDI III [PN-III-P1-1.1-TE-2019-0415]</t>
  </si>
  <si>
    <t>Moagar Poladian, Simona/0000-0002-0930-1729; Clichici, Dorina/0000-0002-8337-6489</t>
  </si>
  <si>
    <t>Moagar Poladian, Simona/KHZ-5860-2024; Clichici, Dorina/ABE-4956-2020</t>
  </si>
  <si>
    <t>dorina.clichici@iem.ro; poladian@iem.ro</t>
  </si>
  <si>
    <t>Clichici, D (corresponding author), Inst World Econ, Dept Econ Integrat &amp; Financial Markets, Bucharest, Romania.</t>
  </si>
  <si>
    <t>[Clichici, Dorina] Inst World Econ, Dept Econ Integrat &amp; Financial Markets, Bucharest, Romania; [Moagar-Poladian, Simona] Inst World Econ, Bucharest, Romania; [Moagar-Poladian, Simona] Romanian Acad, Econ, Bucharest, Romania</t>
  </si>
  <si>
    <t>An adequate level of basic financial knowledge of the population contributes to achieving individual well-being, ensuring the stability of financial markets, and proper functioning of the economy. This paper aims to identify Romania's position on financial literacy indicators, compared to other European countries, and to investigate the link between financial literacy, economic development, and financial development at a cross-country level. The findings reveal that Romania has the lowest level of financial literacy, although its income per capita is not the lowest in the European Union (EU). The low financial inclusion in Romania is strongly linked to inadequate financial education. Moreover, the population underestimates the benefits of long-term savings. These results challenge Romanian policymakers to develop effective financial education tools and programs, aimed at increasing financial awareness and financial literacy of population.</t>
  </si>
  <si>
    <t>financial literacy; economic development; financial development; Romania; European Union</t>
  </si>
  <si>
    <t>Financial Literacy, Economic Development and Financial Development: A Cross-Country Analysis</t>
  </si>
  <si>
    <t>Clichici, Dorina; Moagar-Poladian, Simona</t>
  </si>
  <si>
    <t>Clichici, D; Moagar-Poladian, S</t>
  </si>
  <si>
    <t>WOS:000210181000006</t>
  </si>
  <si>
    <t>V50VB</t>
  </si>
  <si>
    <t>10.1016/j.iimb.2015.09.004</t>
  </si>
  <si>
    <t>arun, thankom/0000-0002-2552-0462</t>
  </si>
  <si>
    <t>arun, thankom/AGZ-7354-2022</t>
  </si>
  <si>
    <t>TGArun@uclan.ac.uk</t>
  </si>
  <si>
    <t>Arun, T (corresponding author), Univ Cent Lancashire, Preston PR1 2HE, Lancs, England.</t>
  </si>
  <si>
    <t>University of Lancashire; Indian Institute of Management (IIM System); Indian Institute of Management Bangalore</t>
  </si>
  <si>
    <t>[Arun, Thankom] Univ Cent Lancashire, Preston PR1 2HE, Lancs, England; [Kamath, Rajalaxmi] Indian Inst Management, Bangalore, Karnataka, India</t>
  </si>
  <si>
    <t>As a key enabler for development, financial inclusion is firmly placed on the agenda of most governments as a key policy priority. Against this background, this round table provides a global and regional perspective on the policies and practices of financial inclusion. Using macro data, the collection reveals the diversity in the efforts towards achieving financial inclusion and the need for a progressive approach in financial inclusion. Further to this, the round table provides the regional perspectives on the policies and practices of financial inclusion in India, South Africa, and Australia. (C) 2015 Production and hosting by Elsevier Ltd on behalf of Indian Institute of Management Bangalore.</t>
  </si>
  <si>
    <t>MZANSI INTERVENTION; ECONOMIC-GROWTH</t>
  </si>
  <si>
    <t>Financial inclusion; Access to finance; Progressive approach; Behavioural constraints; Financial capability</t>
  </si>
  <si>
    <t>Financial inclusion: Policies and practices</t>
  </si>
  <si>
    <t>Arun, Thankom; Kamath, Rajalaxmi</t>
  </si>
  <si>
    <t>Arun, T; Kamath, R</t>
  </si>
  <si>
    <t>WOS:001308625800001</t>
  </si>
  <si>
    <t>O1I7V</t>
  </si>
  <si>
    <t>10.1108/JED-10-2023-0185</t>
  </si>
  <si>
    <t>J. Econ. Dev.</t>
  </si>
  <si>
    <t>J ECON DEV-VIETNAM</t>
  </si>
  <si>
    <t>2632-5330</t>
  </si>
  <si>
    <t>1859-0020</t>
  </si>
  <si>
    <t>Atta-Aidoo, J (corresponding author), Kwame Nkrumah Univ Sci &amp; Technol, Dept Agr Econ Agribusiness &amp; Extens, Kumasi, Ghana.</t>
  </si>
  <si>
    <t>Kwame Nkrumah University Science &amp; Technology; CGIAR; International Institute of Tropical Agriculture (IITA); Sokoine University of Agriculture</t>
  </si>
  <si>
    <t>[Atta-Aidoo, Jonathan] Kwame Nkrumah Univ Sci &amp; Technol, Dept Agr Econ Agribusiness &amp; Extens, Kumasi, Ghana; [Bizoza, Saidi] Int Inst Trop Agr, Ibadan, Nigeria; [Matthew, Ester Cosmas] Sokoine Univ Agr, Dept Agr Econ &amp; Agribusiness, Morogoro, Tanzania; [Saleh, Abdulkarim Onah] Nasarawa State Univ, Keffi, Nigeria</t>
  </si>
  <si>
    <t>PurposeAttaining the Sustainable Development Goal 2 (SDG2) of zero hunger continues to be a challenge in most parts of Sub-Saharan Africa. However, financial inclusion is seen as a potential pathway for reducing food insecurity among poor households. Mobile money is a financial inclusion instrument that is easily accessible to poor households and has the potential to increase the level of financial inclusion. This paper contributes to the literature by examining the determinants of mobile money adoption, its effects on household food security and the choice of coping strategies in Burundi, a post-conflict and fragile country.Design/methodology/approachUsing survey data that involved 860 households in Burundi, we adopted the Household Hunger Scale (HHS) developed under the Food and Nutrition Technical Assistance Project to measure household food security. We further employ the endogenous switching regression treatment effects model for ordered outcomes and the multivariate probit model to achieve our aims.FindingsThe results of our study reveal that the adoption of mobile money is influenced by factors such as gender, marital status, age, formal education, membership in a social network, area of residence and access to a tarred road network. Additionally, the food security status of a household was determined by marital status, formal education, social network membership, access to tarred roads, off-farm income, access to credit and land tenure security. We confirm that mobile money adoption has a significantly positive effect on the food security status of households with heterogeneity in gender and area of residence. We also find that mobile money adoption reduces the likelihood of households adopting consumption-related coping strategies.Practical implicationsThe promotion of mobile money should, therefore, be included in Burundi's national food security policies.Originality/valueThis study contributes to the literature by providing empirical evidence on the effect of mobile money adoption on household food security and the choice of coping strategies in a post-conflict context.</t>
  </si>
  <si>
    <t>FINANCIAL INCLUSION; ADOPTION; INSECURITY; NETWORKS; FARMERS; GROWTH</t>
  </si>
  <si>
    <t>Food insecurity; Digital financial inclusion; Endogenous switching regression; Impact; Heterogeneous effects</t>
  </si>
  <si>
    <t>JOURNAL OF ECONOMICS AND DEVELOPMENT</t>
  </si>
  <si>
    <t>Mobile money, food security and coping strategies in a post-conflict and fragile context: evidence from Burundi</t>
  </si>
  <si>
    <t>Atta-Aidoo, Jonathan; Bizoza, Saidi; Matthew, Ester Cosmas; Saleh, Abdulkarim Onah</t>
  </si>
  <si>
    <t>Atta-Aidoo, J; Bizoza, S; Matthew, EC; Saleh, AO</t>
  </si>
  <si>
    <t>WOS:000500948700002</t>
  </si>
  <si>
    <t>VI6DV</t>
  </si>
  <si>
    <t>AFR REV ECON FINANC-</t>
  </si>
  <si>
    <t>PO BOX 392, PRETORIA, 0003, SOUTH AFRICA</t>
  </si>
  <si>
    <t>UNISA PRESS</t>
  </si>
  <si>
    <t>Aziakpono, Meshach/0000-0002-5290-3311; Tita, Anthanasius Fomum/0000-0003-3718-669X</t>
  </si>
  <si>
    <t>; Tita, Anthanasius Fomum/JFJ-5422-2023</t>
  </si>
  <si>
    <t>Aziakpono, MJ (corresponding author), Univ Stellenbosch, Business Sch, Dev Finance, POB 610, Cape Town, South Africa.</t>
  </si>
  <si>
    <t>[Tita, Anthanasius Fomum; Aziakpono, Meshach Jesse] Univ Stellenbosch, Business Sch, Dev Finance, POB 610, Cape Town, South Africa</t>
  </si>
  <si>
    <t>Over two decades sub-Saharan Africa has grown by an average of 4.8 percent per annum, a trend called Africa rising in the literature but this robust economic growth has benefited only a minority of elite individuals as poverty in the region remains high and income inequality continues to rise. This study analyses the relationship between various aspects of financial inclusion and income inequality in sub-Saharan African using the World Bank Global Findex 2011 with the intention to determine which aspects of financial inclusion have the greatest effect on income inequality. Our results show that account use for business, electronic payments and formal savings have a positive relationship with income inequality. This possibly reflects colonial institutional design as Obeng-Odoom (2016) indicated that colonial administration left behind uneven development structure which in some cases are re-enforced by current urban governance practices and processes. These colonial institutions significantly define financial sector development and shape the distribution of economic opportunities. Thus, we argue that though account ownership has improved, it does not necessarily imply an increase in credit accessibility. This is because of problems of information asymmetry associated with lack of financial infrastructure in the region that encourages banks to hold excess liquidity and thus grant fewer loans. The study accordingly recommends genuine efforts to engage in democratic governance to improve the quality and functioning of institutions to support financial sector development. Furthermore, a holistic approach to development that involves both top-down and bottom-up is recommended to encourage participation by all the sectors of the economy.</t>
  </si>
  <si>
    <t>Financial inclusion; Financial institutions; Financial services; Welfare and poverty</t>
  </si>
  <si>
    <t>The relationship between financial inclusion and income inequality in sub-Saharan Africa: Evidence from disaggregated data</t>
  </si>
  <si>
    <t>Tita, Anthanasius Fomum; Aziakpono, Meshach Jesse</t>
  </si>
  <si>
    <t>Tita, AF; Aziakpono, MJ</t>
  </si>
  <si>
    <t>WOS:001629193000001</t>
  </si>
  <si>
    <t>L0711</t>
  </si>
  <si>
    <t>10.1108/AJEMS-01-2025-0053</t>
  </si>
  <si>
    <t>2025 DEC 4</t>
  </si>
  <si>
    <t>Saba, Charles/IQV-0003-2023</t>
  </si>
  <si>
    <t>sasekamathonsi@gmail.com; sabacharlesshaaba@yahoo.com</t>
  </si>
  <si>
    <t>Saba, CS (corresponding author), Univ Johannesburg, Coll Business &amp; Econ, Sch Econ, Auckland Pk Kingsway Campus, Johannesburg, South Africa.</t>
  </si>
  <si>
    <t>[Mathonsi, Saseka Olga; Saba, Charles Shaaba] Univ Johannesburg, Coll Business &amp; Econ, Sch Econ, Auckland Pk Kingsway Campus, Johannesburg, South Africa</t>
  </si>
  <si>
    <t>PurposeThis study aims to examine the relationship between financial inclusion and inclusive growth in South Africa using time series data from 2000 to 2022.Design/methodology/approachThe study utilizes principal component analysis (PCA) to construct composite indices for financial inclusion and inclusive growth. It employs the autoregressive distributed lag (ARDL) model to examine long-term relationships, complemented by unit root tests, fully modified ordinary least squares for cointegration analysis and Granger causality tests to identify causal relationships.FindingsThe study finds a positive long-run relationship between financial inclusion and inclusive growth in South Africa. Financial inclusion significantly impacts inclusive growth, with financial access, availability and penetration contributing positively. However, financial usage shows limited statistical significance. The findings highlight financial inclusion's role in addressing inequality and promoting economic stability.Research limitations/implicationsThe study's results underscore the importance of financial inclusion in driving inclusive growth in South Africa. Policy implications include the need for reforms to reduce transaction costs and enhance microfinance access, particularly for small, medium and micro enterprises and/or micro, small and medium enterprises. Additionally, integrating technological advancements to expand financial literacy and service usage among low-income households can bridge financial gaps and support sustainable economic development.Originality/valueThe originality of this study lies in its focus on South Africa, a context often overlooked in financial inclusion research, despite its socioeconomic disparities. Using time series data from 2000 to 2022, the study employs PCA and ARDL modeling to construct multidimensional indices for financial inclusion and inclusive growth. It uniquely identifies policy-oriented solutions, such as reducing transaction costs and fostering microfinance, tailored to South Africa's specific challenges in achieving inclusive growth.</t>
  </si>
  <si>
    <t>ECONOMIC-GROWTH; INEQUALITY; CAUSALITY; POVERTY; IMPACT; PANEL</t>
  </si>
  <si>
    <t>Financial inclusion; Inclusive growth; Autoregressive distributed lag (ARDL); South Africa; G21; I30; O15; O16</t>
  </si>
  <si>
    <t>The relationship between financial inclusion and inclusive growth in South Africa</t>
  </si>
  <si>
    <t>Mathonsi, Saseka Olga; Saba, Charles Shaaba</t>
  </si>
  <si>
    <t>Mathonsi, SO; Saba, CS</t>
  </si>
  <si>
    <t>WOS:001296466000001</t>
  </si>
  <si>
    <t>0QR5P</t>
  </si>
  <si>
    <t>10.1108/JFEP-02-2024-0048</t>
  </si>
  <si>
    <t>MAR 28</t>
  </si>
  <si>
    <t>The authors are very grateful to Massimo Tamberi, Giorgia Barboni and Andrea Presbitero for fruitful exchanges and discussion during the preparation of this manuscript. The authors also thank Matteo Picchio, Francesca Scaturro and the participants at the seminars at the Department of Economics and Social Sciences (Ancona, Italy) for useful comments and suggestions. All errors are our own. Funding: We declare that no funds, grants or other support were received during the preparation of this manuscript and that we have no relevant financial or non-financial interests to disclose. Data availability statement: The data underlying this article were provided by the Ghana Statistical Service (GSS) by permission. Ghana Statistical Service (GSS) requires all users to keep data strictly confidential. Data obtained from GSS are protected by copyright law and, therefore, not for redistribution. Data will be shared on request to the corresponding author with permission of GSS.</t>
  </si>
  <si>
    <t>Abokyi, Eric/0000-0002-1149-2931;</t>
  </si>
  <si>
    <t>Abokyi, Eric/JCN-8623-2023; BETTIN, GIULIA/AAF-4345-2021</t>
  </si>
  <si>
    <t>ericabokyi@gmail.com</t>
  </si>
  <si>
    <t>Abokyi, E (corresponding author), Univ Politecn Marche, Dept Econ &amp; Social Sci, Ancona, Italy.</t>
  </si>
  <si>
    <t>Marche Polytechnic University; Marche Polytechnic University</t>
  </si>
  <si>
    <t>[Abokyi, Eric] Univ Politecn Marche, Dept Econ &amp; Social Sci, Ancona, Italy; [Bettin, Giulia] Univ Politecn Marche, Dept Econ &amp; Social Sci &amp; Mo Fi R, Ancona, Italy</t>
  </si>
  <si>
    <t>Purpose This study aims to investigate the relationship between financial inclusion and household expenditure behaviour among Ghanaian households, by taking into account both formal and informal financial inclusion channels. Design/methodology/approach Propensity score matching as well as instrumental variable techniques are applied to data from the Ghana Living Standard Survey to investigate the effect of financial inclusion on the share of total expenditure devoted to different categories, including food, health, education, housing, durables, temptation goods and other goods. Findings Informal financial inclusion seems to have no substantial effect on households' consumption behaviour, whereas formal financial inclusion significantly affects it. The study finds that formal financial inclusion is inversely related to the budget share devoted to short-term expenditure (food, temptation goods and other goods such as transport and recreation). Conversely, financially included households spend more on long-term expenditure such as education, housing and consumer durables, thus, suggesting a diversion effect towards investment in long-term physical and human capital. Practical implications The investigation of the heterogeneous impact across households (male vs female headed, rural vs urban) has essential policy implications on how financial inclusion can be improved among the disadvantaged groups, and with what effects. Originality/value The study focuses on the importance of financial inclusion in Ghana, considering both formal and informal financial inclusion channels. Previous studies only examined the overall effects on household welfare, overlooking the impact on household expenditure composition and consumption shares. The analysis also considers the heterogeneous impact of financial inclusion on households based on the gender of the household head and the location where households reside (rural, urban).</t>
  </si>
  <si>
    <t>PROPENSITY SCORE; MICROFINANCE EVIDENCE; MOBILE MONEY; POVERTY; GROWTH; ACCESS; MICROCREDIT; REMITTANCES; BANKING; IMPACT</t>
  </si>
  <si>
    <t>Financial inclusion; Household expenditure; Ghana; Economic development: financial markets; Financial economics</t>
  </si>
  <si>
    <t>Financial inclusion and household consumption behaviour in Ghana</t>
  </si>
  <si>
    <t>Abokyi, Eric; Bettin, Giulia</t>
  </si>
  <si>
    <t>Abokyi, E; Bettin, G</t>
  </si>
  <si>
    <t>WOS:000751887100001</t>
  </si>
  <si>
    <t>0O5SS</t>
  </si>
  <si>
    <t>10.1002/jid.3610</t>
  </si>
  <si>
    <t>Balliester Reis, Thereza/0000-0002-8566-9787</t>
  </si>
  <si>
    <t>thereza.balliester@gmail.com</t>
  </si>
  <si>
    <t>Reis, TB (corresponding author), SOAS Univ London, Dept Econ, London, England.</t>
  </si>
  <si>
    <t>[Reis, Thereza Balliester] SOAS Univ London, Dept Econ, London, England</t>
  </si>
  <si>
    <t>Financial inclusion is a central theme in development policy. While it involves changes at the individual level and comprises several interrelated financial activities, most existing measures rely on macroeconomic variables. We construct an alternative index of financial inclusion using the World Bank Findex-a microdata dataset with 451,372 observations. Applying it, we first analyse the socio-economic determinants of financial inclusion. Second, we propose a new country ranking of financial inclusion. Our findings comprise three features. First, we do not find evidence of a gender gap in low- and middle-income countries. Second, richer individuals display higher levels of financial inclusion. Third, countries with high self-employment rates exhibit lower levels of financial inclusion. Our results suggest that financial inclusion is more related to income and employment status than gender disparities, which could lead to a different approach from policymakers on promoting the inclusion of the poor into the formal financial system.</t>
  </si>
  <si>
    <t>POVERTY; EXCLUSION; GROWTH; ACCESS; INCOME; DEBT; LITERACY</t>
  </si>
  <si>
    <t>financial inclusion; high-income countries; index; low- and middle-income countries; multidimensional measurement; multiple correspondence analysis</t>
  </si>
  <si>
    <t>Socio-economic determinants of financial inclusion: An evaluation with a microdata multidimensional index</t>
  </si>
  <si>
    <t>Reis, Thereza Balliester</t>
  </si>
  <si>
    <t>Reis, TB</t>
  </si>
  <si>
    <t>WOS:000469921000056</t>
  </si>
  <si>
    <t>BM8QZ</t>
  </si>
  <si>
    <t>Engineering; Operations Research &amp; Management Science</t>
  </si>
  <si>
    <t>Engineering, Industrial; Engineering, Electrical &amp; Electronic; Operations Research &amp; Management Science</t>
  </si>
  <si>
    <t>978-1-5386-4446-1</t>
  </si>
  <si>
    <t>Simumba, N (corresponding author), Keio Univ, Grad Sch Syst Design &amp; Management, Yokohama, Kanagawa, Japan.</t>
  </si>
  <si>
    <t>[Simumba, Naomi; Okami, Suguru; Kodaka, Akira; Kohtake, Naohiko] Keio Univ, Grad Sch Syst Design &amp; Management, Yokohama, Kanagawa, Japan</t>
  </si>
  <si>
    <t>Financial exclusion has a major socio-economic impact on the poor and unbanked. Financially excluded smallholder farmers face challenges accessing credit facilities to fund their farming activities because they lack the financial history data required to create credit scores for credit risk evaluations. Non-financial data sources such as mobile applications have been proposed for the development of credit scoring models. However, context-specific alternative scoring factors which are independent of financial history information, must be developed for credit decision systems that use non-financial data. This research proposes an approach to developing alternative scoring factors based on stakeholder's requirements. An example of implementation of the proposed method is given using data collected from farmers in rural Cambodia through surveys and a mobile application. Alternative scoring factors are developed based on stakeholder's requirements and collected data. Multiple logistic regression and support vector machine models are trained and tested on this data to evaluate the selected factors. Models are compared by area under the receiver operating characteristics curve values and accuracy. Additional considerations are made to determine the most suitable model in this context. This stakeholder requirements-based approach can be used to design credit decision systems using non-financial data for financially excluded persons and facilitates greater financial inclusion.</t>
  </si>
  <si>
    <t>Credit Scores; Stakeholder Requirements; Decision Making; Agriculture; Mobile Applications</t>
  </si>
  <si>
    <t>IEEE,IEEE Syst Council</t>
  </si>
  <si>
    <t>OCT 01-03, 2018</t>
  </si>
  <si>
    <t>4th IEEE International Symposium on Systems Engineering (ISSE)</t>
  </si>
  <si>
    <t>2018 4TH IEEE INTERNATIONAL SYMPOSIUM ON SYSTEMS ENGINEERING (ISSE)</t>
  </si>
  <si>
    <t>Alternative Scoring Factors using Non-Financial Data for Credit Decisions in Agricultural Microfinance</t>
  </si>
  <si>
    <t>WOS:001604218900015</t>
  </si>
  <si>
    <t>10.20448/ijsam.v9i1.7270</t>
  </si>
  <si>
    <t>The author deeply appreciates the academic and institutional support that Universitas Multimedia Nusantara provided during the research process. Universitas Multimedia Nusantara offered financial support for the study under Contract No. 0062-RD-LPPM-UMN/P-INT/VI/2024.</t>
  </si>
  <si>
    <t>Universitas Multimedia Nusantara</t>
  </si>
  <si>
    <t>Universitas Multimedia Nusantara [0062-RD-LPPM-UMN/P-INT/VI/2024]</t>
  </si>
  <si>
    <t>Kurniasari, Florentina/0000-0001-5528-247X; Dwi Lestari, Elissa/0000-0001-6732-0066; Loebiantoro, Ika Yanuarti/0000-0001-7932-6254</t>
  </si>
  <si>
    <t>Kurniasari, Florentina/AAR-6990-2021; Dwi Lestari, Elissa/GZB-1748-2022</t>
  </si>
  <si>
    <t>elissa.lestari@umn.ac.id</t>
  </si>
  <si>
    <t>Lestari, ED (corresponding author), Univ Multimedia Nusantara, Fac Business, Dept Management, Tangerang, Indonesia.</t>
  </si>
  <si>
    <t>Multimedia Nusantara University; Multimedia Nusantara University</t>
  </si>
  <si>
    <t>[Lestari, Elissa Dwi; Loebiantoro, Ika Yanuarti] Univ Multimedia Nusantara, Fac Business, Dept Management, Tangerang, Indonesia; [Kurniasari, Florentina] Univ Multimedia Nusantara, Fac Business, Management Technol, Tangerang, Indonesia</t>
  </si>
  <si>
    <t>Women MSME actors in Indonesia play an essential role in economic growth but still face challenges in accessing formal financial services equally. Gaps in financial knowledge, limited digital access, and structural barriers hinder equitable and sustainable financial inclusion. In response, FinTech offers a promising pathway to bridge these disparities. This study investigates the effect of financial literacy on FinTech-based financial access and its subsequent impact on financial inclusion and business sustainability among women entrepreneurs. It further explores the mediation role of FinTech access as a mediator that has rarely been examined in the context of women entrepreneurs in emerging countries. A quantitative approach was employed using Partial Least Squares Structural Equation Modeling (PLSSEM). The sample comprised 345 women MSME owners who had operated their businesses for at least one year and used FinTech services. The results show that financial literacy enhances FinTech access and financial inclusion. Access to digital finance mediates the link between financial literacy and inclusion, emphasizing the need for enabling factors beyond knowledge. Lastly, financial inclusion significantly financial literacy as a personal capability and FinTech access as a strategic resource using Capability Theory and the Resource-Based View. This dual-theoretical perspective emphasizes skills and systems' interconnectedness in inclusive entrepreneurship. The findings underscore the relevance of financial acumen and inclusive digital infrastructure for women's formal finance involvement and business sustainability.</t>
  </si>
  <si>
    <t>RESOURCE-BASED VIEW; MODELING PLS-SEM; FIRM</t>
  </si>
  <si>
    <t>financial literacy; financial inclusion; business sustainability; FinTech; women entrepreneurs; PLS-SEM</t>
  </si>
  <si>
    <t>Financial Literacy and FinTech Access as Drivers of Financial Inclusion and Business Sustainability among Women Entrepreneurs</t>
  </si>
  <si>
    <t>Lestari, Elissa Dwi; Kurniasari, Florentina; Loebiantoro, Ika Yanuarti</t>
  </si>
  <si>
    <t>Lestari, ED; Kurniasari, F; Loebiantoro, IY</t>
  </si>
  <si>
    <t>WOS:000417409500006</t>
  </si>
  <si>
    <t>FP1XZ</t>
  </si>
  <si>
    <t>10.24212/2179-3565.2017v8i3p75-84</t>
  </si>
  <si>
    <t>RISUS</t>
  </si>
  <si>
    <t>2179-3565</t>
  </si>
  <si>
    <t>RUA LUIS FELIPE ATALHA 9, ALTO MOOCA, SAO PAULO, SP 03180-070, BRAZIL</t>
  </si>
  <si>
    <t>PONTIFICIA UNIV CATOLICA SAO PAULO-PUC-SP</t>
  </si>
  <si>
    <t>BNR. Monetary policy and financial stability report 2016, (February), 1-68; FinScope. Financial Inclusion in Rwanda 2016.; Finscope Rwanda. Financial inclusion in Rwanda 2008.</t>
  </si>
  <si>
    <t>BNR; FinScope; Finscope Rwanda</t>
  </si>
  <si>
    <t>mosebigirimana@yahoo.com; steven_64@163.com</t>
  </si>
  <si>
    <t>Financial inclusion is a major policy concern with governments across the world. Rwanda as a country with fast development averaging to 6.9% from 2011 to 2015 has done an improvement in financial inclusion as well. This country with stable growth interested the researchers to know whether this development goes hand in hand with financial inclusion. This paper is an attempt to show the overview of financial inclusion in Rwanda. Secondary data from Rwanda Fin scope survey 2008, 2012 and 2016 were used in this study. Apart from that, this paper uses data from Banque National du Rwanda from 2011 to 2015. Many researches were conducted on financial inclusion in different countries but none of them took Rwanda as a special case. The results show that there is an improvement in financial inclusion in Rwanda as the number of financially excluded dropped from 52% in 2008 to 11% in 2016. The problem is that the number of banked adults did not increase from 2008 to 2016. Banked adults in Rwanda were 14% in 2008, 23% in 2012 and 26% in 2016. This shows that many Rwandan adults are not banked. The government should continue to mobilize citizens to join banks. Mobile payment improved tremendously and this should be strengthened and more regulated as it is serving many Rwandans.</t>
  </si>
  <si>
    <t>INDIA; POOR</t>
  </si>
  <si>
    <t>RISUS-JOURNAL ON INNOVATION AND SUSTAINABILITY</t>
  </si>
  <si>
    <t>FINANCIAL INCLUSION IN RWANDA: AN OVERVIEW</t>
  </si>
  <si>
    <t>WOS:000884855300002</t>
  </si>
  <si>
    <t>6G6HW</t>
  </si>
  <si>
    <t>10.1016/j.techfore.2022.122045</t>
  </si>
  <si>
    <t>Acknowledgement This study was funded by the University of Economics Ho Chi Minh City under Grant Number 2021-07-06-0452.</t>
  </si>
  <si>
    <t>University of Economics Ho Chi Minh City;</t>
  </si>
  <si>
    <t>University of Economics Ho Chi Minh City; [2021-07-06-0452]</t>
  </si>
  <si>
    <t>Mogaji, Emmanuel/0000-0003-0544-4842; Phong Nguyen, Nguyen/0000-0002-9724-8939</t>
  </si>
  <si>
    <t>Mogaji, Emmanuel/B-8900-2014; Phong Nguyen, Nguyen/Y-9028-2019</t>
  </si>
  <si>
    <t>e.o.mogaji@greenwich.ac.uk; nguyenphongnguyen@ueh.edu.vn</t>
  </si>
  <si>
    <t>Mogaji, E (corresponding author), Univ Greenwich, Greenwich Business Sch, London, England.;Mogaji, E (corresponding author), Univ Econ Ho Chi Minh City, Dept Res Adm &amp; Int Relat, Ho Chi Minh City, Vietnam.</t>
  </si>
  <si>
    <t>University of Greenwich; University of Economics Ho Chi Minh City; University of Economics Ho Chi Minh City</t>
  </si>
  <si>
    <t>[Mogaji, Emmanuel] Univ Greenwich, Greenwich Business Sch, London, England; [Mogaji, Emmanuel] Univ Econ Ho Chi Minh City, Dept Res Adm &amp; Int Relat, Ho Chi Minh City, Vietnam; [Nguyen, Nguyen Phong] Univ Econ Ho Chi Minh City, Sch Accounting, Ho Chi Minh City, Vietnam</t>
  </si>
  <si>
    <t>Advancements in money transfer protocols have resulted in the growth of financial technology (FinTech) and the acceleration of digitalisation, yet studies have often focused on the advantages of adopting these protocols without empirically recognising the disadvantages that may jeopardise the success of this innovation. This study aimed to qualitatively examine the dark side of mobile money by engaging with key stakeholders in the mobile money ecosystem of Sub-Saharan Africa (SSA). Qualitative data from interviews with financially vulnerable customers, mobile money agents and FinTech developers were analysed thematically. A typology of four re-lationships between the stakeholders - customer-developer, customer-agent, developer-agent and devel-oper-regulator - was found along with issues of fraud, security, information privacy and emotional connections with money. The customer-developer relationship requires effective communication, engagement and reassur-ance. The customer-agent relationship requires assurances that customers' information is safe and not vulnerable to fraud and other security threats. The developer-agent relationship requires training, security and technical support. Developer-regulator relations should recognise the inherent challenges of policies and regulations and the uniqueness of business operations in SSA. Firms must have contingency plans in place should policies change, which may affect their business activities.</t>
  </si>
  <si>
    <t>ELECTRONIC COMMERCE; SOCIAL MEDIA; ADOPTION; PAYMENT; INTENTION; INNOVATIVENESS; DETERMINANTS; TECHNOLOGY; SERVICES; RISK</t>
  </si>
  <si>
    <t>Mobile payment; Mobile money; Dark side; Financial inclusion; Nigeria</t>
  </si>
  <si>
    <t>The dark side of mobile money: Perspectives from an emerging economy</t>
  </si>
  <si>
    <t>Mogaji, Emmanuel; Nguyen, Nguyen Phong</t>
  </si>
  <si>
    <t>Mogaji, E; Nguyen, NP</t>
  </si>
  <si>
    <t>WOS:001089195200001</t>
  </si>
  <si>
    <t>NB5S3</t>
  </si>
  <si>
    <t>10.1111/rode.13062</t>
  </si>
  <si>
    <t>We are sincerely grateful to the Editor and anonymous reviewers for their constructive comments and suggestions in shaping this manuscript.</t>
  </si>
  <si>
    <t>Bukari, Chei/0000-0002-3872-4050; Kooon, Isaac/0000-0002-2929-4992</t>
  </si>
  <si>
    <t>Bukari, Chei/JUF-2193-2023; Annim, Samuel/P-8229-2016; Kooon, Isaac/S-8710-2019</t>
  </si>
  <si>
    <t>bncbu@leeds.ac.uk</t>
  </si>
  <si>
    <t>Bukari, C (corresponding author), Univ Leeds, Leeds Univ, Dept Econ, Business Sch, Leeds LS2 9JT, England.</t>
  </si>
  <si>
    <t>University of Leeds; University of Queensland; Ghana Health Service; University of Leeds</t>
  </si>
  <si>
    <t>[Bukari, Chei] Univ Leeds, Leeds Univ Business Sch, Dept Econ, Leeds, England; [Koomson, Isaac] Univ Queensland, Ctr Business &amp; Econ Hlth, St Lucia, Australia; [Annim, Samuel Kobina] Ghana Stat Serv, Accra, Ghana; [Bukari, Chei] Univ Leeds, Leeds Univ, Dept Econ, Business Sch, Leeds LS2 9JT, England</t>
  </si>
  <si>
    <t>Policy emphasis on financial inclusion and deepening has shifted away from measures capturing formal financial services only and towards the development of more inclusive financial markets which account for both formal and informal services. This study examines the effect of financial inclusion and vulnerability coping strategies on multidimensional poverty, where the conceptualisation of financial inclusion is based on four perspectives-(i) one that focuses on only the formal financial sector, (ii) another that concentrates on only the informal financial sector, (iii) one that considers only the mobile money sector and (iv) finally, one that combines all financial markets (i.e., formal and informal including mobile money). Findings show that the conceptualisation of financial inclusion does not only matter in identifying the financially included but also has an implication on how financial inclusion influences multidimensional poverty. Financial inclusion measures that use only formal financial products and services understate their potential effects on multidimensional poverty, thus, justifying the need for a financial inclusion measure that considers both formal and informal sectors. Incorporating informal financial products and services in the measure reduces multidimensional poverty more for female-headed households and those in rural settings. Households' adoption of vulnerability coping strategies has the potential to reduce the likelihood of being multidimensionally poor.</t>
  </si>
  <si>
    <t>COOPERATIVE MEMBERSHIP; HOUSEHOLD WELFARE; MOBILE MONEY; MICROFINANCE; REDUCTION; SAVINGS; ACCESS; REMITTANCES; INSURANCE; WOMEN</t>
  </si>
  <si>
    <t>financial inclusion; poverty; vulnerability</t>
  </si>
  <si>
    <t>Financial inclusion, vulnerability coping strategies and multidimensional poverty: Does conceptualisation of financial inclusion matter?</t>
  </si>
  <si>
    <t>Bukari, Chei; Koomson, Isaac; Annim, Samuel Kobina</t>
  </si>
  <si>
    <t>Bukari, C; Koomson, I; Annim, SK</t>
  </si>
  <si>
    <t>WOS:001153792600001</t>
  </si>
  <si>
    <t>Z0P6H</t>
  </si>
  <si>
    <t>10.1080/13504851.2023.2289380</t>
  </si>
  <si>
    <t>MAR 12</t>
  </si>
  <si>
    <t>The gender gap in financial inclusion has remained stubbornly high. At the same time, policymakers have become increasingly focused on the potential impact of climate risk and, in particular, on the banking sector. The study combines these two strands of literature. In particular, it analyses the relevance of climate risk on bank stability when there exists a gender gap in financial inclusion. To inform this debate, we integrate data on climate risk with multiple waves of Findex data, focusing on both account ownership and use. The findings reveal that in countries with higher adaptive capacity, lower gender gap in account ownership exerts a positive impact on bank stability. In case of use, the impact is manifest more strongly in case of savings as compared with borrowings. The key takeaway from the analysis is policymakers need to be mindful of climate risk while assessing the link between financial inclusion and banking stability.</t>
  </si>
  <si>
    <t>Financial inclusion; gender gap; climate risk; green complexity index</t>
  </si>
  <si>
    <t>Gender gap in financial inclusion and financial stability: does climate risk make a difference?</t>
  </si>
  <si>
    <t>WOS:001384758300001</t>
  </si>
  <si>
    <t>Q4Y6N</t>
  </si>
  <si>
    <t>10.3390/ijfs12040124</t>
  </si>
  <si>
    <t>This research was funded by CNPq [grant numbers: PQ 2 301879/2022-2 (S.D.S.) and PQ 2 311548/2022-9 (R.M.)]; Capes [grant number: PPG 001]; and FAP-DF [grant number: 1229/2016]. The APC was funded by CNPq (R.M. and S.D.S.).</t>
  </si>
  <si>
    <t>CNPq(Conselho Nacional de Desenvolvimento Cientifico e Tecnologico (CNPQ)); Capes(Coordenacao de Aperfeicoamento de Pessoal de Nivel Superior (CAPES)); FAP-DF(Fundacao de Apoio a Pesquisa do Distrito Federal (FAPDF))</t>
  </si>
  <si>
    <t>CNPq; Capes [PPG 001]; FAP-DF [1229/2016]</t>
  </si>
  <si>
    <t>Paraboni, Ana Luiza/0000-0001-5997-1889; Da Silva, Sergio/0000-0002-7987-4098; Matsushita, Raul/0000-0001-8864-6356</t>
  </si>
  <si>
    <t>; Da Silva, Sergio/A-2477-2008; Matsushita, Raul/W-4047-2018</t>
  </si>
  <si>
    <t>professorsergiodasilva@gmail.com; ana.paraboni@ufsc.br; raulmta@unb.br</t>
  </si>
  <si>
    <t>Da Silva, S (corresponding author), Univ Fed Santa Catarina, Socioecon Ctr, Dept Econ, BR-88049970 Florianopolis, SC, Brazil.</t>
  </si>
  <si>
    <t>Universidade Federal de Santa Catarina (UFSC); Universidade Federal de Santa Catarina (UFSC); Universidade de Brasilia</t>
  </si>
  <si>
    <t>[Da Silva, Sergio] Univ Fed Santa Catarina, Socioecon Ctr, Dept Econ, BR-88049970 Florianopolis, SC, Brazil; [Paraboni, Ana] Univ Fed Santa Catarina, Socioecon Ctr, Dept Business Adm, BR-88049970 Florianopolis, SC, Brazil; [Matsushita, Raul] Univ Brasilia, Inst Exact Sci, Dept Stat, BR-70910900 Brasilia, DF, Brazil</t>
  </si>
  <si>
    <t>This study examined the influence of cognitive biases on financial literacy test outcomes across four generational groups: Gen Z, Millennials, Gen X, and Baby Boomers. Using the National Financial Capability Test and an online in silico experiment, we analyzed how cognitive biases influence the likely responses of each generation. The results indicate that the current test format aligns more closely with Baby Boomers, who are less affected by certain biases but tend to exhibit resistance to new financial strategies. A key contribution of this research is the identification of generational bias profiles and actionable recommendations for tailoring financial literacy assessments to reflect these differences. Our approach not only advances behavioral finance literature but also introduces innovative methodology through AI-driven simulations, providing a replicable framework for exploring cognitive influences in decision-making. The findings underscore the need for tailored financial education programs that consider these cognitive biases, aiming to foster unbiased financial decision-making across age groups.</t>
  </si>
  <si>
    <t>CONFIDENCE; DECISION</t>
  </si>
  <si>
    <t>financial literacy; cognitive biases; generational differences; National Financial Capability Test; behavioral finance; bias mitigation; financial education</t>
  </si>
  <si>
    <t>Adapting the National Financial Capability Test to Address Generational Differences in Cognitive Biases</t>
  </si>
  <si>
    <t>Da Silva, Sergio; Paraboni, Ana; Matsushita, Raul</t>
  </si>
  <si>
    <t>Da Silva, S; Paraboni, A; Matsushita, R</t>
  </si>
  <si>
    <t>WOS:000856856100001</t>
  </si>
  <si>
    <t>4R6EZ</t>
  </si>
  <si>
    <t>10.3390/socsci11090402</t>
  </si>
  <si>
    <t>This work was partially supported by a project grant from the Fondazione Chiesa Valdese.</t>
  </si>
  <si>
    <t>Fondazione Chiesa Valdese</t>
  </si>
  <si>
    <t>Dotsey, Senyo/0000-0002-2164-1734</t>
  </si>
  <si>
    <t>Dotsey, Senyo/AAJ-1854-2020</t>
  </si>
  <si>
    <t>senyo.dotsey@unimi.it</t>
  </si>
  <si>
    <t>Dotsey, S (corresponding author), Univ Milan, Dept Social &amp; Polit Sci, I-20122 Milan, Italy.</t>
  </si>
  <si>
    <t>University of Milan</t>
  </si>
  <si>
    <t>[Dotsey, Senyo] Univ Milan, Dept Social &amp; Polit Sci, I-20122 Milan, Italy</t>
  </si>
  <si>
    <t>This paper reports the findings from a microcredit (financial inclusion) scheme that has been operated by a non-governmental organization since 2012 in a local community in Ghana, and sustained through the COVID-19 pandemic. It first examines microfinance, women's empowerment and third-sector organizational dynamics. It then provides an overview of microfinance in Ghana within the context of the COVID-19 pandemic, followed by dissecting the organization's microcredit, training and women's empowerment programmes. The following part documents the findings, with brief concluding thoughts and policy implications appearing in the last section. It is argued here that financial schemes, particularly those operated by third-sector organizations, can play a significant role in helping women in particular to deal with the secondary effects of COVID-19 by providing improved non-financial services and easy access to microfinance at low, sustainable interest rates. These findings have implications for policy formulation and sustainable development.</t>
  </si>
  <si>
    <t>COVID-19; financial inclusion; women empowerment; third-sector organizations</t>
  </si>
  <si>
    <t>COVID-19 and Microcredit: Dissecting an NGO's Training, Financial Support, and Women Empowerment Programmes</t>
  </si>
  <si>
    <t>Dotsey, Senyo</t>
  </si>
  <si>
    <t>Dotsey, S</t>
  </si>
  <si>
    <t>WOS:000799940800021</t>
  </si>
  <si>
    <t>1M4KU</t>
  </si>
  <si>
    <t>10.1016/j.jbusres.2022.04.070</t>
  </si>
  <si>
    <t>Gupta, Suraksha/LDE-6139-2024</t>
  </si>
  <si>
    <t>suraksha.gupta@newcastle.ac.uk; rama.kanungo@newcastle.ac.uk</t>
  </si>
  <si>
    <t>Gupta, S (corresponding author), Newcastle Univ London, 102 Middlesex St, London E1 7EZ, England.</t>
  </si>
  <si>
    <t>[Gupta, Suraksha; Kanungo, Rama Prasad] Newcastle Univ London, 102 Middlesex St, London E1 7EZ, England</t>
  </si>
  <si>
    <t>The bottom of the pyramid (BOP) in every developing and frontier economy represents a largely untapped segment of the market that is excluded from formal financial markets because it cannot be served using the traditional financial market channels. We use a mixed-method approach to examine the challenges and intricacies of financial inclusion for the BOP segment in developing and frontier economies. To build a foundation for this debate, we conduct a review of the financial services and intermediaries serving the BOP, using case studies, experts' insights, and quantitative analysis. Perspectives drawn from case studies of microfinancing firms and experts' insights are used to explain the collaborations between businesses and formal institutions that can create a viable economic channel useful for serving the BOP segment. Further quantitative analysis demonstrates that a higher degree of financial inclusion for the BOP segment is likely to be achieved through the digitalisation of formal financial intermediaries, like banks.</t>
  </si>
  <si>
    <t>MOBILE MONEY; DISRUPTIVE INNOVATION; BRANCHLESS BANKING; MARKET ENTRY; BUSINESS; SERVICES; BASE; TECHNOLOGY; INSIGHTS; CREATION</t>
  </si>
  <si>
    <t>BOP; Unserved Population; Disruptive Innovation; Economic Viability; Financial Inclusion</t>
  </si>
  <si>
    <t>Financial inclusion through digitalisation: Economic viability for the bottom of the pyramid (BOP) segment</t>
  </si>
  <si>
    <t>Gupta, Suraksha; Kanungo, Rama Prasad</t>
  </si>
  <si>
    <t>Gupta, S; Kanungo, RP</t>
  </si>
  <si>
    <t>WOS:001024168000001</t>
  </si>
  <si>
    <t>R0GX9</t>
  </si>
  <si>
    <t>10.1111/1759-3441.12399</t>
  </si>
  <si>
    <t>c.konou@aui.ma</t>
  </si>
  <si>
    <t>Konou, CM (corresponding author), Al Akhawayn Univ, Sch Business Adm, POB 104,Hassan II Avenue, Ifrane 53000, Morocco.</t>
  </si>
  <si>
    <t>Al Akhawayn University; Al Akhawayn University</t>
  </si>
  <si>
    <t>[Konou, Comlanvi Martin] Al Akhawayn Univ Ifrane, Sch Business Adm, Ifrane, Morocco; [Konou, Comlanvi Martin] Al Akhawayn Univ, Sch Business Adm, POB 104,Hassan II Avenue, Ifrane 53000, Morocco</t>
  </si>
  <si>
    <t>The inception of financial technologies (Fintech) has enabled expanded use of financial services. Fintech contributes to financial inclusion and by doing so provides impacts on income inequality, poverty and economic growth. A prospective route of influence exerted by Fintech is to assist economic agents in taking entrepreneurial risks. The purpose of this study was to investigate the impact of digital financial inclusion, as enhanced by FinTech, on entrepreneurial risk. An index for measuring levels of digital financial inclusion was constructed based on variation patterns in several indicators of digital activities. A cross-country model was proposed that relates entrepreneurial risk to digital financial inclusion as well as to a variety of other economic and social factors. Estimation results based on a panel of countries show that digital financial inclusion (0.265), institutional quality (0.169), per capita GDP (0.0456) and education (0.0475) have positive and significant effects on entrepreneurial risk. In contrast, time required to start a business (-0.136) and effective tax rates on capital (-0.494) provide negative and significant effects. In addition, a significant quadratic relationship between entrepreneurial risk and remittances (employee compensation and personal transfers) was found.</t>
  </si>
  <si>
    <t>entrepreneurial risk; financial inclusion; panel data; bootstrap; cross-country analysis</t>
  </si>
  <si>
    <t>Entrepreneurial Risk and Digital Financial Inclusion: A Cross-Country Analysis</t>
  </si>
  <si>
    <t>Konou, Comlanvi Martin</t>
  </si>
  <si>
    <t>Konou, CM</t>
  </si>
  <si>
    <t>WOS:000573716900051</t>
  </si>
  <si>
    <t>BQ0UB</t>
  </si>
  <si>
    <t>Science &amp; Technology - Other Topics; Social Sciences - Other Topics</t>
  </si>
  <si>
    <t>Multidisciplinary Sciences; Social Sciences, Interdisciplinary</t>
  </si>
  <si>
    <t>10.12955/cbup.v6.1175</t>
  </si>
  <si>
    <t>978-80-270-5038-3</t>
  </si>
  <si>
    <t>JACHYMOVA 27-4, PRAGUE 1, CZECH REPUBLIC</t>
  </si>
  <si>
    <t>PRAGUE 1</t>
  </si>
  <si>
    <t>CBU RESEARCH INST S R O</t>
  </si>
  <si>
    <t>Litvinova, Svetlana/J-4178-2018</t>
  </si>
  <si>
    <t>sv-lit@mail.ru</t>
  </si>
  <si>
    <t>Litvinova, SA (corresponding author), Russian Presidential Acad Natl Econ &amp; Publ Adm RA, Moscow, Russia.</t>
  </si>
  <si>
    <t>Russian Presidential Academy of National Economy &amp; Public Administration</t>
  </si>
  <si>
    <t>[Litvinova, Svetlana A.] Russian Presidential Acad Natl Econ &amp; Publ Adm RA, Moscow, Russia</t>
  </si>
  <si>
    <t>The article touches upon the issues of financial literacy development in Russia. The author considers financial literacy as a set of procedures that build up the system of financial literacy institution development including financial inclusion, an increase in financial literacy and a strengthening of the protection of consumers' rights in regard to financial services. The author presents research findings that indicate a poor financial literacy level in Russia. The key conclusion reflects the goal of the paper: the development of the financial literacy system depends on the demand for innovative financial services and the measures taken by the government to develop the financial literacy system.</t>
  </si>
  <si>
    <t>Financial literacy; financial knowledge; financial learning; financial education; financial services; financial literacy strategy</t>
  </si>
  <si>
    <t>CBU Res Inst s r o</t>
  </si>
  <si>
    <t>Russian Presidential Acad Natl Econ &amp; Publ Adm,Unicorn Coll s r o</t>
  </si>
  <si>
    <t>CBU Res Inst s r o, Prague, CZECH REPUBLIC</t>
  </si>
  <si>
    <t>MAR 21-23, 2018</t>
  </si>
  <si>
    <t>CBU International Conference on Innovations in Science and Education</t>
  </si>
  <si>
    <t>CBU INTERNATIONAL CONFERENCE PROCEEDINGS 2018: INNOVATIONS IN SCIENCE AND EDUCATION</t>
  </si>
  <si>
    <t>THE DEVELOPMENT OF A FINANCIAL LITERACY SYSTEM IN RUSSIA</t>
  </si>
  <si>
    <t>Litvinova, Svetlana A.</t>
  </si>
  <si>
    <t>Hajek, P; Vit, O</t>
  </si>
  <si>
    <t>Litvinova, SA</t>
  </si>
  <si>
    <t>WOS:000490251200001</t>
  </si>
  <si>
    <t>JD8RY</t>
  </si>
  <si>
    <t>10.1111/1467-8268.12388</t>
  </si>
  <si>
    <t>Simplice, Asongu/K-3436-2014; SIMEN TCHAMYOU, Vanessa/ODM-9984-2025</t>
  </si>
  <si>
    <t>simenvanessa@yahoo.com; asongus@afridev.org; odhianm@unisa.ac.za</t>
  </si>
  <si>
    <t>Tchamyou, VS (corresponding author), Univ Antwerp, Dept Econ, Fac Appl Econ, Stadscampus,Prinsstr 13, B-2000 Antwerp, Belgium.</t>
  </si>
  <si>
    <t>University of Antwerp; University of South Africa</t>
  </si>
  <si>
    <t>[Tchamyou, Vanessa S.] Univ Antwerp, Dept Econ, Fac Appl Econ, Stadscampus,Prinsstr 13, B-2000 Antwerp, Belgium; [Asongu, Simplice A.; Odhiambo, Nicholas M.] Univ South Africa, Dept Econ, UNISA, POB 392, ZA-0003 Pretoria, South Africa</t>
  </si>
  <si>
    <t>This study assesses the role of information and communication technologies (ICT) in modulating the impact of education and lifelong learning on income inequality and economic growth. It focuses on a sample of 48 African countries from 2004 to 2014. The empirical evidence is based on the generalized method of moments. The following findings are established. First, mobile phone and internet each interact with primary school education to decrease income inequality. Second, all ICT indicators interact with secondary school education to exert a negative impact on the Gini index. Third, fixed broadband distinctly interacts with primary school education and lifelong learning to have a positive effect on economic growth. Fourth, ICT indicators do not significantly influence inequality and economic growth through tertiary school education and lifelong learning. These main findings are further substantiated. Policy implications are discussed.</t>
  </si>
  <si>
    <t>INCLUSIVE HUMAN-DEVELOPMENT; SUB-SAHARAN AFRICA; E-WALLET PROGRAM; FINANCIAL ACCESS; GENDER EQUALITY; MOBILE PHONE; INFORMATION; POVERTY; PARTICIPATION</t>
  </si>
  <si>
    <t>The Role of ICT in Modulating the Effect of Education and Lifelong Learning on Income Inequality and Economic Growth in Africa</t>
  </si>
  <si>
    <t>Tchamyou, Vanessa S.; Asongu, Simplice A.; Odhiambo, Nicholas M.</t>
  </si>
  <si>
    <t>Tchamyou, VS; Asongu, SA; Odhiambo, NM</t>
  </si>
  <si>
    <t>WOS:000377152600002</t>
  </si>
  <si>
    <t>DN6AI</t>
  </si>
  <si>
    <t>10.1590/S0034-759020160302</t>
  </si>
  <si>
    <t>RAE-Rev. Adm. Empres.</t>
  </si>
  <si>
    <t>RAE-REV ADMIN EMPRES</t>
  </si>
  <si>
    <t>2178-938X</t>
  </si>
  <si>
    <t>0034-7590</t>
  </si>
  <si>
    <t>ESCOLA ADMIN EMPRESAS SAO PAULO, AV 9 DE JULHO, 2-029, BELA VISTA, SAO PAULO SP, 01313-902, BRAZIL</t>
  </si>
  <si>
    <t>SAO PAULO SP</t>
  </si>
  <si>
    <t>FUNDACAO GETULIO VARGAS</t>
  </si>
  <si>
    <t>We would like to include special thanks for The Social Sciences and Humanities Research Council (SSHRC), The International Development Research Centre (IDRC) and Conselho Nacional de Conselho Nacional de Desenvolvimento Cientifico e Tecnologico (CNPq [National Counsel of Technological and Scientific Development]) for financial support.</t>
  </si>
  <si>
    <t>Social Sciences and Humanities Research Council (SSHRC)(Social Sciences &amp; Humanities Research Council of Canada (SSHRC)); International Development Research Centre (IDRC)(International Development Research Centre - IDRC); Conselho Nacional de Conselho Nacional de Desenvolvimento Cientifico e Tecnologico (CNPq [National Counsel of Technological and Scientific Development])(Conselho Nacional de Desenvolvimento Cientifico e Tecnologico (CNPQ)Fundacao de Apoio a Pesquisa do Distrito Federal (FAPDF))</t>
  </si>
  <si>
    <t>Social Sciences and Humanities Research Council (SSHRC); International Development Research Centre (IDRC); Conselho Nacional de Conselho Nacional de Desenvolvimento Cientifico e Tecnologico (CNPq [National Counsel of Technological and Scientific Development])</t>
  </si>
  <si>
    <t>Birochi, Rene/0000-0003-0690-0870</t>
  </si>
  <si>
    <t>rene.birochi@ufsc.br; marlei.pozzebon@hec.ca</t>
  </si>
  <si>
    <t>Birochi, R (corresponding author), Univ Fed Santa Catarina, Dept Ciencias Adm, Florianopolis, SC, Brazil.</t>
  </si>
  <si>
    <t>Universidade Federal de Santa Catarina (UFSC); Universite de Montreal; HEC Montreal; Getulio Vargas Foundation</t>
  </si>
  <si>
    <t>[Birochi, Rene] Univ Fed Santa Catarina, Dept Ciencias Adm, Florianopolis, SC, Brazil; [Pozzebon, Marlei] HEC Montreal, Dept Int Business, Montreal, PQ, Canada; [Pozzebon, Marlei] Escola Adm Empresas Sao Paulo, Fundacao Getulio Vargas, Sao Paulo, SP, Brazil</t>
  </si>
  <si>
    <t>Empirical research suggests that financial inclusion initiatives such as facilitating access to financial resources or providing microcredit are alone not enough to lower socioeconomic disparities. In this article, we adopt a critical stance as a guide for our empirical investigation. Our aim is to propose a financial education framework, tailored to low-income micro-entrepreneurs, that embraces new information and communication technologies (ICTs) and seeks to improve financial inclusion and social emancipation. This empirical study was conducted in an Amazonian municipality in Brazil where recent access to ICTs has brought about important and varied socioeconomic changes. Results show that ICT-supported and tailored critical financial education can play a dual role: on the one hand, access to financial education might decrease the effects of generative mechanisms on global/local tensions, triggered by standardized ICT applications; on the other hand, such access might increase financial inclusion and social transformation through the integration of guiding principles into financial education programs.</t>
  </si>
  <si>
    <t>Financial education; financial inclusion; Information and Communication Technology for Development; social emancipation; empowerment</t>
  </si>
  <si>
    <t>RAE-REVISTA DE ADMINISTRACAO DE EMPRESAS</t>
  </si>
  <si>
    <t>IMPROVING FINANCIAL INCLUSION: TOWARDS A CRITICAL FINANCIAL EDUCATION FRAMEWORK</t>
  </si>
  <si>
    <t>Birochi, Rene; Pozzebon, Marlei</t>
  </si>
  <si>
    <t>Birochi, R; Pozzebon, M</t>
  </si>
  <si>
    <t>WOS:000270724000016</t>
  </si>
  <si>
    <t>BLP35</t>
  </si>
  <si>
    <t>10.1007/978-0-387-93769-4</t>
  </si>
  <si>
    <t>10.1007/978-0-387-93769-4_16</t>
  </si>
  <si>
    <t>MILKEN INST SER FINA</t>
  </si>
  <si>
    <t>978-0-387-93768-7</t>
  </si>
  <si>
    <t>1571-4772</t>
  </si>
  <si>
    <t>233 SPRING STREET, NEW YORK, NY 10013, UNITED STATES</t>
  </si>
  <si>
    <t>florayufeng@yahoo.com.cn; zhongfeizhou@yahoo.cn</t>
  </si>
  <si>
    <t>Gong, YF (corresponding author), Shanghai Univ Finance &amp; Econ, Shanghai, Peoples R China.</t>
  </si>
  <si>
    <t>Shanghai University of Finance &amp; Economics</t>
  </si>
  <si>
    <t>[Gong, Yufeng; Zhou, Zhongfei] Shanghai Univ Finance &amp; Econ, Shanghai, Peoples R China</t>
  </si>
  <si>
    <t>The past 10 years have witnessed great achievements made by the Chinese government in enhancing disadvantaged people's access to financial services. Without fundamental regulatory arrangements, however, no sustainable improvement would be achieved in combating financial inclusion in China. A banking regulatory structure being granted operational independence and accountability is helpful to establish an appropriate, facilitative, and incentive-compatible regulatory and legal environment for developing microfinance. In addition to the objectives of banking system stability and depositor protection, promoting financial inclusion should be incorporated into the regulatory objectives of a banking regulator, the result of which is that the banking regulator would more proactively take mandatory measures to fulfill the responsibility in this regard. Although there is debate as regards whether corporate social responsibility of banks is a statutory obligation, the imposition of the duty of increasing financial inclusion on banks in the form of law would contribute greatly to facilitating more access of disadvantaged people to financial services. Bearing in mind the differences between microfinance providers and general commercial banks, the authors argue that prudential regulation timing at preventing systemic risks and protecting depositors should not be applied to microfinance providers. A tiered, cost-effective regulatory framework taking into account the special features and risk profile of microfinance should be put in place for microfinance providers to balance promotional and prudential objectives.</t>
  </si>
  <si>
    <t>Financial exclusion; Financial inclusion; Corporate social responsibility; Regulatory objective; Tiered regulatory framework</t>
  </si>
  <si>
    <t>Milken Institute Series on Financial Innovation and Economic Growth</t>
  </si>
  <si>
    <t>CHINA'S EMERGING FINANCIAL MARKETS: CHALLENGES AND OPPORTUNTIES</t>
  </si>
  <si>
    <t>Combating Financial Exclusion in China: A Banking Regulatory Perspective</t>
  </si>
  <si>
    <t>Gong, Yufeng; Zhou, Zhongfei</t>
  </si>
  <si>
    <t>Barth, JR; Tatom, JA; Yago, G</t>
  </si>
  <si>
    <t>Gong, YF; Zhou, ZF</t>
  </si>
  <si>
    <t>WOS:000463687300009</t>
  </si>
  <si>
    <t>HS2JQ</t>
  </si>
  <si>
    <t>10.1016/j.respol.2018.12.010</t>
  </si>
  <si>
    <t>This work was funded by the Ministry of Foreign Affairs of The Netherlands through NWO-WOTRO as part of the research agenda of the Knowledge Platform for Development Policies (Grant number W 08.350.102). The authors would like to thank NWO-WOTRO for making available the resources that made this research possible. The authors would also like to extend their gratitude to a number of individuals at the Partnerships Resource Centre and elsewhere that facilitated data collection for this project, most notably Siri Lijfering, Pedro Besugo, Rianne Strijker-van Asperen, Marieke de Wal, Sacha Goudsward, Kristine Van Tubergen, Ronny Reshef and Sietze Vellema. The authors would also like to gratefully acknowledge three anonymous reviewers for their constructive feedback on earlier drafts of the manuscript.</t>
  </si>
  <si>
    <t>Ministry of Foreign Affairs of The Netherlands through NWO-WOTRO as part of the research agenda of the Knowledge Platform for Development Policies</t>
  </si>
  <si>
    <t>Ministry of Foreign Affairs of The Netherlands through NWO-WOTRO as part of the research agenda of the Knowledge Platform for Development Policies [W 08.350.102]</t>
  </si>
  <si>
    <t>Lashitew, Addisu/0000-0001-6405-5682; van Tulder, Rob/0000-0003-1749-0299</t>
  </si>
  <si>
    <t>Lashitew, Addisu/K-7625-2019</t>
  </si>
  <si>
    <t>lashitew@rsm.nl; rtulder@rsm.nl; yann.liasse@aev.etat.lu</t>
  </si>
  <si>
    <t>van Tulder, R (corresponding author), Erasmus Univ, Rotterdam Sch Management, Burgemeester Oudlaan 50, NL-3062 PA Rotterdam, Netherlands.</t>
  </si>
  <si>
    <t>[Lashitew, Addisu A.; van Tulder, Rob; Liasse, Yann] Erasmus Univ, Rotterdam Sch Management, Burgemeester Oudlaan 50, NL-3062 PA Rotterdam, Netherlands</t>
  </si>
  <si>
    <t>Mobile money innovations are expanding rapidly in developing countries, where they appear to be on track to extend financial services to billions of unbanked populations. However, adoption rates differ significantly across countries, and the success of innovations is also radically different within countries. To understand the factors that affect the development and diffusion of mobile money services, this study uses a mixed research method that combines cross-country data of adoption rates and an in-depth case study of a successful mobile money innovation. Quantitative analysis of adoption rates across countries indicates the varying role of institutional and economic factors on the adoption and usage of mobile money innovations. We undertake an in-depth study of M-Pesa in Kenya, one of the world's most known mobile money innovations, to gain nuanced understanding of the development and diffusion of the innovation. Analysis using the functional innovation system approach reveals the key role of the lead firm in guiding the innovation process, and the importance of a supportive regulatory environment that sought to advance financial inclusion. The results further reveal how the power and interest dynamics of key actors in the innovation system can shape the emergence of inclusive innovations that aim to address social issues.</t>
  </si>
  <si>
    <t>SYSTEM; TECHNOLOGY; KENYA; DIGESTION; FRAMEWORK; SERVICES; ICT</t>
  </si>
  <si>
    <t>Mobile money; Innovation systems; Appropriate technology; Technology diffusion; Financial inclusion; Inclusive innovation</t>
  </si>
  <si>
    <t>Mobile phones for financial inclusion: What explains the diffusion of mobile money innovations?</t>
  </si>
  <si>
    <t>Lashitew, Addisu A.; van Tulder, Rob; Liasse, Yann</t>
  </si>
  <si>
    <t>Lashitew, AA; van Tulder, R; Liasse, Y</t>
  </si>
  <si>
    <t>WOS:001048270700067</t>
  </si>
  <si>
    <t>BV5HB</t>
  </si>
  <si>
    <t>Computer Science; Public Administration; Social Issues</t>
  </si>
  <si>
    <t>Computer Science, Interdisciplinary Applications; Public Administration; Social Issues</t>
  </si>
  <si>
    <t>10.1145/3598469.3598537</t>
  </si>
  <si>
    <t>979-8-4007-0837-4</t>
  </si>
  <si>
    <t>Koelmann, Holger/0000-0003-1599-9585; Stamm, Laura Katharina/0009-0003-1431-588X</t>
  </si>
  <si>
    <t>laura.katharina.stamm@gmail.com; holger.koelmann@ercis.uni-muenster.de</t>
  </si>
  <si>
    <t>Stamm, LK (corresponding author), Univ Munster, ERCIS, Munster, Germany.</t>
  </si>
  <si>
    <t>University of Munster</t>
  </si>
  <si>
    <t>[Stamm, Laura Katharina; Koelmann, Holger] Univ Munster, ERCIS, Munster, Germany</t>
  </si>
  <si>
    <t>In recent years, the amount of research on Central Bank Digital Currencies (CBDCs) by central banks has increased extensively. These can cover a broad range of applications, from the settlement of mass transactions to interbank payments. Depending on the design, different objectives can be pursued when introducing a CBDC, such as financial inclusion or enhancing payment efficiency. Although first attempts to organize the design aspects of CBDCs have been conducted, there seems to be no construct that comprehensively characterizes the essential design decisions. Considering both conceptual and empirical sources, we address this shortcoming by developing a taxonomy that represents and characterizes the fundamental design decisions to be made by central banks when creating a CBDC. The taxonomy enables its users to classify CBDCs and compare existing configurations. Moreover, it supports the derivation and discussion of implications as well as interactions between design decisions. The article thereby contributes to the existing literature by enhancing the understanding of the concept of CBDC, thus strengthening the conceptual foundation for future research. Furthermore, our findings can support the development of further frameworks addressing their design at a more profound level.</t>
  </si>
  <si>
    <t>SCIENCE</t>
  </si>
  <si>
    <t>central bank digital currency; taxonomy; digital asset; financial sector digitalization</t>
  </si>
  <si>
    <t>Elsevier,Digital Govt Soc,Gdansk Univ Technol, Res Univ Excellence Initiat,Fdn Lech Walesa Inst,Marshal Pomorskie Voivodeship,President City Gdansk,Rector Gdansk Univ Technol,Gdansk Univ Technol, Fac Management &amp; Econ</t>
  </si>
  <si>
    <t>Gdansk, POLAND</t>
  </si>
  <si>
    <t>JUL 11-14, 2023</t>
  </si>
  <si>
    <t>24th Annual International Conference on Digital Government Research (DGO) - Together in the Unstable World - Digital Government and Solidarity</t>
  </si>
  <si>
    <t>TOGETHER IN THE UNSTABLE WORLD: DIGITAL GOVERNMENT AND SOLIDARITY</t>
  </si>
  <si>
    <t>A Taxonomy of Design Decisions for Central Bank Digital Currencies Student Track Paper</t>
  </si>
  <si>
    <t>Stamm, Laura Katharina; Koelmann, Holger</t>
  </si>
  <si>
    <t>Sabatini, N; Hagen, L; Liao, HC; Cid, DD</t>
  </si>
  <si>
    <t>Stamm, LK; Koelmann, H</t>
  </si>
  <si>
    <t>WOS:000632278100008</t>
  </si>
  <si>
    <t>VJ8DT</t>
  </si>
  <si>
    <t>10.4073/csr.2019.2</t>
  </si>
  <si>
    <t>e1012</t>
  </si>
  <si>
    <t>The International Initiative for Impact Evaluation (3ie) is funding this work.</t>
  </si>
  <si>
    <t>International Initiative for Impact Evaluation (3ie)</t>
  </si>
  <si>
    <t>Duvendack, Maren/0000-0002-8125-9115; Mader, Philip/0000-0002-8833-1917</t>
  </si>
  <si>
    <t>m.duvendack@uea.ac.uk; p.mader@ids.ac.uk</t>
  </si>
  <si>
    <t>Duvendack, M (corresponding author), Univ East Anglia, Sch Int Dev, Norwich Res Pk, Norwich NR4 7TJ, Norfolk, England.;Mader, P (corresponding author), Univ Sussex, Inst Dev Studies, Lib Rd, Brighton BN1 9RE, E Sussex, England.</t>
  </si>
  <si>
    <t>University of East Anglia; University of Sussex</t>
  </si>
  <si>
    <t>[Duvendack, Maren] Univ East Anglia, Sch Int Dev, Norwich Res Pk, Norwich NR4 7TJ, Norfolk, England; [Mader, Philip] Univ Sussex, Inst Dev Studies, Lib Rd, Brighton BN1 9RE, E Sussex, England</t>
  </si>
  <si>
    <t>INTIMATE-PARTNER VIOLENCE; WOMENS EMPOWERMENT EVIDENCE; RURAL CREDIT PROGRAMS; HIV RISK BEHAVIOR; MICRO-CREDIT; MICROCREDIT PROGRAMS; LIVELIHOOD IMPACTS; MICROFINANCE; HEALTH; POVERTY</t>
  </si>
  <si>
    <t>Impact of financial inclusion in low- and middle-income countries: A systematic review of reviews</t>
  </si>
  <si>
    <t>Duvendack, Maren; Mader, Philip</t>
  </si>
  <si>
    <t>Duvendack, M; Mader, P</t>
  </si>
  <si>
    <t>WOS:000309911300004</t>
  </si>
  <si>
    <t>021UQ</t>
  </si>
  <si>
    <t>10.1111/j.1467-7679.2012.00596.x</t>
  </si>
  <si>
    <t>s.z.johnson@bath.ac.uk</t>
  </si>
  <si>
    <t>Johnson, S (corresponding author), Univ Bath, Ctr Dev Studies, Bath BA2 7AY, Avon, England.</t>
  </si>
  <si>
    <t>University of Bath; University of Bath</t>
  </si>
  <si>
    <t>[Johnson, Susan] Univ Bath, Ctr Dev Studies, Bath BA2 7AY, Avon, England; [Arnold, Steven] Univ Bath, Dept Econ, Bath BA2 7AY, Avon, England</t>
  </si>
  <si>
    <t>Policy emphasis on financial-sector development has shifted away from microfinance and towards the development of inclusive financial markets. But, for inclusion to take place, policy must address barriers to access. This article analyses the socio-economic, demographic and geographical factors associated with financial-service use across formal, semi-formal and informal financial services in Kenya between 2006 and 2009, including the new and rapidly growing mobile-phone-based payments service M-PESA. It finds that, despite an expansion of services, evidence of access barriers is now clearer than it was in 2006. However, there is some evidence that M-PESA is reversing age as a barrier to inclusion, but, as yet, it is more of a complement than a substitute for formal services.</t>
  </si>
  <si>
    <t>Microfinance; financial access; financial inclusion; mobile money transfer; Kenya</t>
  </si>
  <si>
    <t>Inclusive Financial Markets: Is Transformation Under Way in Kenya?</t>
  </si>
  <si>
    <t>Johnson, Susan; Arnold, Steven</t>
  </si>
  <si>
    <t>Johnson, S; Arnold, S</t>
  </si>
  <si>
    <t>WOS:001157487700001</t>
  </si>
  <si>
    <t>RX0Q2</t>
  </si>
  <si>
    <t>10.1080/20421338.2023.2296681</t>
  </si>
  <si>
    <t>I acknowledge the African Economic Research Consortium (AERC) for funding the research and the mentorship provided through the Thematic Research Programme.</t>
  </si>
  <si>
    <t>ahodode.bernadin@gmail.com</t>
  </si>
  <si>
    <t>Ahodode, BGC (corresponding author), Univ Abomey Calavi, Dept Econ Sci, Abomey Calavi, Benin.</t>
  </si>
  <si>
    <t>[Ahodode, Bernadin Geraud Comlan] Univ Abomey Calavi, Dept Econ Sci, Abomey Calavi, Benin; [Eloundou, Eugene Bertrand Okala] Univ Yaounde II, Dept Dev Econ, Soa, Cameroon</t>
  </si>
  <si>
    <t>This study analyzed the effects of the use of financial services (financial innovation and financial inclusion) on the enterprises' performance in Cameroon. Ordinary least squares and logit model estimation methods were used for the empirical analyses. The data used are those of the World Bank's Enterprise Survey 2016 data. The results reveal, on the one hand, positive effects of all financial services on the productivity of the enterprise's workforce and on their probability of exporting, with the respective exception of the unique use of microfinance and mobile money. On the other hand, the contribution of banking services to the improvement of manufacturing turnover, and in particular of banking, microfinance, and mobile money services to the improvement of trade and services turnover, is noted. Thus, it is necessary to liberalize the financial sector for the benefit of network operators so that they can also operate internationally and in terms of microfinance institutions for the improvement of enterprise performance in Cameroon like their peers in Ghana and Kenya.</t>
  </si>
  <si>
    <t>FIRMS; SERVICES; BANKING; ACCESS</t>
  </si>
  <si>
    <t>financial innovation; financial inclusion; business performance; Cameroon; G; G18; L20; O55</t>
  </si>
  <si>
    <t>Financial innovation, financial inclusion, and enterprise performance: A sectoral analysis</t>
  </si>
  <si>
    <t>Ahodode, Bernadin Geraud Comlan; Eloundou, Eugene Bertrand Okala</t>
  </si>
  <si>
    <t>Ahodode, BGC; Eloundou, EBO</t>
  </si>
  <si>
    <t>WOS:000905024100058</t>
  </si>
  <si>
    <t>BU4RF</t>
  </si>
  <si>
    <t>978-1-6654-8476-3</t>
  </si>
  <si>
    <t>张, 永奇/GSO-2922-2022</t>
  </si>
  <si>
    <t>805402922@qq.com; 746829160@qq.co</t>
  </si>
  <si>
    <t>Zhuang, TH (corresponding author), Sichuan Agr Univ, Sch Econ, Chengdu, Sichuan, Peoples R China.</t>
  </si>
  <si>
    <t>[Zhang, Yongqi; Zhuang, Tianhui] Sichuan Agr Univ, Sch Econ, Chengdu, Sichuan, Peoples R China</t>
  </si>
  <si>
    <t>Based on the panel data of CFPS 2014 and 2018, combined with the digital inclusive finance index (PKU-DFIIC) in the corresponding period, we deeply analyzed the degree of impact of digital inclusive finance on rural land transfer and the theoretical mechanism. It is found that, firstly, digital inclusive finance can lower the financial access threshold of farmers and improve their financial accessibility, thus providing beneficial conditions for farmers to adjust their economic decisions and realize the marketization of land transfer. Second, the positive effect of digital inclusive finance on land transfer varies significantly depending on the direction of transfer, subject, and digital inclusive finance dimensions. Third, digital inclusive finance can indirectly drive land transfer through three channels: alleviating information asymmetry, improving financial literacy, and increasing disembedding social capital. Through the posterior performance of the three intermediate channels, it is further concluded that digital inclusive finance can accelerate the land transfer out of farmers through non-farm employment, risk preference, and job stability approaches. It facilitates the research conclusion that farmers land transfer in with the help of transaction cost, the scale of operation, and long-term lending path. The paper expands the theoretical research scope of digital inclusive finance. It provides a new perspective and empirical evidence for integrating rural land resource allocation and solid marketization of agricultural land transfer under the general trend of rural revitalization and urban-rural integration.</t>
  </si>
  <si>
    <t>MOBILE PHONES; MARKETS</t>
  </si>
  <si>
    <t>igital inclusive finance; rural land transfer; digital economy; financial literacy; disembedding social capital</t>
  </si>
  <si>
    <t>JAN 20-22, 2022</t>
  </si>
  <si>
    <t>International Conference on Big Data, Information and Computer Network (BDICN)</t>
  </si>
  <si>
    <t>2022 INTERNATIONAL CONFERENCE ON BIG DATA, INFORMATION AND COMPUTER NETWORK (BDICN 2022)</t>
  </si>
  <si>
    <t>Study on the impact of digital inclusive finance on rural land transfer and its mechanism : Empirical evidence from CFPS and PKU-DFIIC</t>
  </si>
  <si>
    <t>Zhang, Yongqi; Zhuang, Tianhui</t>
  </si>
  <si>
    <t>Zhang, YQ; Zhuang, TH</t>
  </si>
  <si>
    <t>WOS:000978375900001</t>
  </si>
  <si>
    <t>E9AD9</t>
  </si>
  <si>
    <t>10.3390/su15086731</t>
  </si>
  <si>
    <t>qiaogeli@stu.xjtu.edu.cn</t>
  </si>
  <si>
    <t>Li, QG (corresponding author), Xi An Jiao Tong Univ, Sch Econ &amp; Finance, Xian 710061, Peoples R China.</t>
  </si>
  <si>
    <t>Xianyang Normal University; Xi'an Jiaotong University; University of Essex</t>
  </si>
  <si>
    <t>[Zhang, Chenjing] Xianyang Normal Univ, Sch Econ &amp; Management, Xianyang 712000, Peoples R China; [Li, Qiaoge] Xi An Jiao Tong Univ, Sch Econ &amp; Finance, Xian 710061, Peoples R China; [Mao, Di] Univ Essex, Business Sch, Colchester CO4 3SQ, England; [Wang, Mancang] Xian Eurasia Univ, Finance &amp; Data Sci Sch, Xian 710199, Peoples R China</t>
  </si>
  <si>
    <t>The study aims to investigate how the internet has affected China's financial inclusion from the standpoint of developing internet technologies. Firstly, using the coefficient of variation method and the principal component analysis method, the financial inclusion index (IFI) and the internet development index (INT) were built from multiple dimensions based on the 2006-2016 provincial panel data of China. Then, the fixed-effect panel threshold model, the fixed-effect estimate, and the 2SLS estimate were used to empirically test the impact of internet development on inclusive finance in China. We found that China's financial inclusion was significantly and positively affected by internet development. Additionally, this effect was nonlinear, and there was a threshold effect on the proportion of internet users. The development of the internet had a significant positive effect on financial inclusion when the internet user proportion (ISP) was higher than 19%, and the effect on IFI became stronger when ISP rose above 53%. This study complements earlier research, in which internet finance is usually perceived as a composite notion, by thoroughly examining the effects of internet information technology on the growth of financial inclusion. Based on our findings, we further put forward policy recommendations for the sustainable development of inclusive finance in terms of the intelligent integration and collaboration of internet communication technologies. Financial inclusion is critical for achieving sustainability because it provides access to affordable financial services to underserved individuals and businesses, and brings them into the formal financial sector, thereby improving their livelihoods while reducing poverty and inequality.</t>
  </si>
  <si>
    <t>BROAD-BAND; MOBILE; COMMERCE; POVERTY; ACCESS; MONEY</t>
  </si>
  <si>
    <t>financial inclusion; internet; network externality; threshold effect</t>
  </si>
  <si>
    <t>Research on the Threshold Effect of Internet Development on Regional Inclusive Finance in China</t>
  </si>
  <si>
    <t>Zhang, Chenjing; Li, Qiaoge; Mao, Di; Wang, Mancang</t>
  </si>
  <si>
    <t>Zhang, CJ; Li, QG; Mao, D; Wang, MC</t>
  </si>
  <si>
    <t>WOS:001414978900001</t>
  </si>
  <si>
    <t>0YC7K</t>
  </si>
  <si>
    <t>10.1108/CAER-01-2024-0026</t>
  </si>
  <si>
    <t>This work was supported by the National Natural Science Foundation of China [Grant number 71973064, 72473069]; The Ministry of Education of Humanities and Social Science project [Grant number 23YJC790207]. China Postdoctoral Science Foundation funded project [Grant number 2023M740095]; The National Social Science Fund of China [Grant number 23FYB019].</t>
  </si>
  <si>
    <t>National Natural Science Foundation of China(National Natural Science Foundation of China (NSFC)); Ministry of Education of Humanities and Social Science project; China Postdoctoral Science Foundation(China Postdoctoral Science Foundation); National Social Science Fund of China</t>
  </si>
  <si>
    <t>National Natural Science Foundation of China [71973064, 72473069]; Ministry of Education of Humanities and Social Science project [23YJC790207]; China Postdoctoral Science Foundation [2023M740095]; National Social Science Fund of China [23FYB019]</t>
  </si>
  <si>
    <t>Zhang, Longyao/AAE-4468-2020</t>
  </si>
  <si>
    <t>zhounan@pku.edu.cn; wenli.cheng@monash.edu; zhangly@njau.edu.cn</t>
  </si>
  <si>
    <t>Zhang, LY (corresponding author), Nanjing Agr Univ, Coll Finance, Nanjing, Peoples R China.</t>
  </si>
  <si>
    <t>Nanjing Agricultural University; Peking University; Monash University</t>
  </si>
  <si>
    <t>[Zhou, Nan; Zhang, Longyao] Nanjing Agr Univ, Coll Finance, Nanjing, Peoples R China; [Zhou, Nan] Peking Univ, Beijing, Peoples R China; [Cheng, Wenli] Monash Univ, Melbourne, Australia</t>
  </si>
  <si>
    <t>PurposeThis study assesses the impact of microfinance experience on rural households' subsequent bank credit access, defined as the stepping-stone effect. We evaluate the average impact, heterogeneity and mechanisms of this effect and draw policy implications.Design/methodology/approachBased on 2018 survey data from 2,347 rural households in six Chinese provinces, this study uses the IV-Probit model to evaluate the stepping-stone effect.FindingsThe microfinance experience increases rural households' probability of obtaining subsequent bank credit by six percentage points. Whether distinguished by social capital or economic wealth, this effect is at least as significant among households previously excluded from bank credit as it is among those originally favored by bank credit. Two mechanisms behind this effect are identified: (1) the microfinance experience provides financial education, transforming hidden demand for bank credit into effective demand and (2) the microfinance experience creates a credit record in the National Credit Information System, increasing the ability to obtain bank credit by providing banks with credible credit information.Originality/valueThis study provides evidence of a progressive relationship in which microfinance acts as a stepping stone to deliver credit graduate clients to bank credit. And we also provide a different perspective for understanding MFIs' relatively high interest rates. We may treat a part of the interest payment as a tuition for financial education and a price for credit information.HighlightsWe study whether microfinance in China had the stepping-stone effect of improving a rural household's subsequent access to bank credit and investigate the likely mechanisms behind it.Microfinance served as a stepping stone to bank credit: the microfinance experience increases rural households' probability of obtaining subsequent bank credit by six percentage points.Whether distinguished by social capital or economic wealth, this effect is at least as significant among households previously excluded from bank credit as it is among those originally favored by bank credit.On the credit demand side, the microfinance experience provides financial education, transforming hidden demand for bank credit into effective demand.On the credit supply side, the microfinance experience creates a credit record in the National Credit Information System, increasing the ability to obtain bank credit by providing banks with credible credit information.</t>
  </si>
  <si>
    <t>CREDIT ACCESS; MICROCREDIT; INVESTMENT; POVERTY; MARKETS; RISK</t>
  </si>
  <si>
    <t>Microfinance; Stepping-stone effect; Bank credit; Financial inclusion; Credit graduation</t>
  </si>
  <si>
    <t>Stepping stone: the logic of financial inclusion through microfinance - evidence from China's largest commercial microfinance institution</t>
  </si>
  <si>
    <t>Zhou, Nan; Cheng, Wenli; Zhang, Longyao</t>
  </si>
  <si>
    <t>Zhou, N; Cheng, WL; Zhang, LY</t>
  </si>
  <si>
    <t>WOS:000820905800019</t>
  </si>
  <si>
    <t>2R1YA</t>
  </si>
  <si>
    <t>10.1016/j.frl.2022.102694</t>
  </si>
  <si>
    <t>Perrin, Caroline/0000-0002-8776-039X</t>
  </si>
  <si>
    <t>caroline.perrin@em-strasbourg.eu; laurent.weill@unistra.fr</t>
  </si>
  <si>
    <t>Weill, L (corresponding author), Sci Po Strasbourg, 7 Rue Ecarlate, F-67082 Strasbourg, France.</t>
  </si>
  <si>
    <t>Universites de Strasbourg Etablissements Associes; Universite de Strasbourg; MGIMO University</t>
  </si>
  <si>
    <t>[Perrin, Caroline; Weill, Laurent] Univ Strasbourg, EM Strasbourg Business Sch, Strasbourg, France; [Weill, Laurent] MGIMO Univ, Moscow State Inst Int Relat, Moscow, Russia</t>
  </si>
  <si>
    <t>Literature has found that women outperform men in terms of loan repayment. We can therefore question whether more gender equality in access to credit fosters financial stability. We test this hypothesis using cross-country data on financial inclusion from the World Bank's Global Findex database and bank-level data on financial stability. We perform regressions at the bank level to check the existence of a relation between the female-to-male ratio of access to credit and financial stability. We find evidence of a negative relation between the gender gap in access to credit and financial stability. Therefore our findings support the view that enhancing access to credit for women relative to men is beneficial for financial stability.</t>
  </si>
  <si>
    <t>BANK; PROGRAMS; MATTER</t>
  </si>
  <si>
    <t>Financial inclusion; Access to credit; Financial stability; Gender equality</t>
  </si>
  <si>
    <t>No man, No cry? Gender equality in access to credit and financial stability</t>
  </si>
  <si>
    <t>Perrin, Caroline; Weill, Laurent</t>
  </si>
  <si>
    <t>Perrin, C; Weill, L</t>
  </si>
  <si>
    <t>WOS:001529067500012</t>
  </si>
  <si>
    <t>4XO7O</t>
  </si>
  <si>
    <t>10.21834/e-bpj.v10iSI28.6942</t>
  </si>
  <si>
    <t>We would like to express our sincere gratitude to all those who made this article possible. We appreciate the financial support and guidance provided under Geran Penyelidikan Fakulti UiTM Cawangan Selangor (DUCS-FAKULTI) 2022(600-UiTMSEL (PI. 5/4) (106/2022). Finally, we acknowledge the valuable feedback and edits provided by the anonymous reviewers that helped to improve the quality of this article. Thank you all for your invaluable contributions.</t>
  </si>
  <si>
    <t>Geran Penyelidikan Fakulti UiTM Cawangan Selangor (DUCS-FAKULTI) 2022</t>
  </si>
  <si>
    <t>Geran Penyelidikan Fakulti UiTM Cawangan Selangor (DUCS-FAKULTI) 2022 [600-UiTMSEL (PI. 5/4) (106/2022]</t>
  </si>
  <si>
    <t>Samat, Nusrah/V-5740-2018; SAAD, ABIDAH/LSK-2001-2024; Hassim, Nurulhalim Bin/AGZ-7783-2022</t>
  </si>
  <si>
    <t>abidahsaad@uitm.edu.my; ridzuandba@uitm.edu.my; nikhaz@ukm.edu.my; nusrah@oum.edu.my</t>
  </si>
  <si>
    <t>Saad, A (corresponding author), UiTM Cawangan Kedah, Fac Business &amp; Management, Kedah, Malaysia.</t>
  </si>
  <si>
    <t>[Saad, Abidah] UiTM Cawangan Kedah, Fac Business &amp; Management, Kedah, Malaysia; [Aziz, Muhammad Ridzuan Abdul] UiTM Cawangan Selangor, Fac Business &amp; Management, Puncak Alam, Malaysia; [Hashim, Nik Mohd Hazrul Nik] Univ Kebangsaan Malaysia, Grad Sch Business, Bangi, Malaysia; [Samat, Nusrah] Open Univ Malaysia, Fac Business &amp; Management, Petaling Jaya, Malaysia</t>
  </si>
  <si>
    <t>This study presents a bibliometric analysis of the financial literacy research landscape by examining academic publications to identify key trends, themes, and research gaps. Using Harzing's Publish or Perish software for bibliometric data extraction and VOS viewer for citation mapping, the findings reveal a growing focus on financial education, behavior, and inclusion. Understanding the factors influencing financial literacy and its outcomes is vital, underscoring the need for interventions to improve skills and knowledge. However, gaps remain in assessing long-term program impacts, technology's role, and cultural influences. Interdisciplinary, evidence-based research is crucial for shaping effective policies and enhancing financial well-being.</t>
  </si>
  <si>
    <t>Financial literacy; bibliometric analysis; financial education; financial inclusion</t>
  </si>
  <si>
    <t>Suan Sunandha Rajabhat Univ</t>
  </si>
  <si>
    <t>Univ Teknologi MARA</t>
  </si>
  <si>
    <t>Suan Sunandha Rajabhat Univ, Bangkok, THAILAND</t>
  </si>
  <si>
    <t>OCT 24-25, 2024</t>
  </si>
  <si>
    <t>3rd International Conference on Business Finance Management and Economics (BizFame) / Kedah International Conference on Social Sciences (KICSS)</t>
  </si>
  <si>
    <t>Uncovering the Hidden Treasures of Financial Literacy: Unearthing deep insights and trends with comprehensive bibliometrics</t>
  </si>
  <si>
    <t>Saad, Abidah; Aziz, Muhammad Ridzuan Abdul; Hashim, Nik Mohd Hazrul Nik; Samat, Nusrah</t>
  </si>
  <si>
    <t>Saad, A; Aziz, MRA; Hashim, NMHN; Samat, N</t>
  </si>
  <si>
    <t>WOS:000415099000012</t>
  </si>
  <si>
    <t>10.1108/IJSE-02-2015-0032</t>
  </si>
  <si>
    <t>Bongomin, GOC (corresponding author), Makerere Univ Business Sch, Fac Grad Studies &amp; Res, Kampala, Uganda.</t>
  </si>
  <si>
    <t>[Bongomin, George Okello Candiya; Munene, John C.] Makerere Univ Business Sch, Fac Grad Studies &amp; Res, Kampala, Uganda; [Ntayi, Joseph Mpeera] Makerere Univ Business Sch, Dept Management Sci, Kampala, Uganda</t>
  </si>
  <si>
    <t>Purpose-The purpose of this paper is to establish the mediating effect of financial literacy in the relationship between institutional framing and financial inclusion among poor households in Uganda with a specific focus on Mokono district. Design/methodology/approach-The study adopted a cross-sectional design. Data were analyzed using structural equation modeling (SEM), which adopted Analysis of Moment Structures to test for mediating effect of financial literacy in the relationship between institutional framing and financial inclusion. Findings-The results revealed that financial literacy had a partial mediating effect in the relationship between institutional framing and financial inclusion. Furthermore, the results indicated that while institutional framing has a direct effect on financial inclusion, it also exerts an indirect effect through financial literacy. This supports the argument that institutional framing that structure the way how poor households interpret, evaluate, comprehend and make sound financial decisions and choices, is enhanced by knowledge and skills acquired through financial literacy by poor households. Research limitations/implications-This study has been limited by adopting only cross-sectional design and quantitative research approach, therefore ignoring longitudinal design and qualitative research approach. Besides, the study uses SEM bootstrap approach and ignores MedGraph method, which is also recommended for testing mediation. Practical implications-Since the results suggest that institutional framing of poor households are partially enhanced by financial literacy to increase financial inclusion, policy makers, practitioners and managers of financial institutions should ensure extending financial literacy programs closer to the poor in order to expand the scope of financial inclusion beyond the current sphere. Indeed, financial literacy programs will boost cognitive abilities of poor households resulting into better financial decisions and choices and, hence increase in demand and consumption of financial services. Originality/value-The study significantly generates empirical evidence by testing the mediating role of financial literacy in the relationship between institutional framing and financial inclusion using SEM bootstrap approach. The study portrays the influential partial effect of financial literacy in enhancing institutional frames of poor households in order to cause improvement in financial inclusion. Indeed, financial literacy programs that entail acquisition of financial knowledge and skills boost cognitive abilities of poor households to easily interpret, evaluate, comprehend meanings, and take correct decisions and actions on financial matters. The mediating effect of financial literacy in the relationship between institutional framing and financial inclusion seems to be lacking in literature and theory. Thus, the paper is the first to relate the influential partial effect of financial literacy in the relationship between institutional framing and financial inclusion among poor households, especially in a developing country context.</t>
  </si>
  <si>
    <t>Microfinance; Uganda; Structural equation modeling; Financial literacy; Financial inclusion; Institutional framing; Rural poor households</t>
  </si>
  <si>
    <t>Institutional framing and financial inclusion Testing the mediating effect of financial literacy using SEM bootstrap approach</t>
  </si>
  <si>
    <t>Bongomin, George Okello Candiya; Ntayi, Joseph Mpeera; Munene, John C.</t>
  </si>
  <si>
    <t>Bongomin, GOC; Ntayi, JM; Munene, JC</t>
  </si>
  <si>
    <t>WOS:001325696400001</t>
  </si>
  <si>
    <t>H8D7B</t>
  </si>
  <si>
    <t>10.1007/s10834-024-09992-6</t>
  </si>
  <si>
    <t>We are thankful for the feedback we received on the manuscript from the discussant of the session Household Finance, Debt and Vulnerability at the 2023 International Conference on Household Finance at Beijing Technology and Business University, Beijing, China. We also thank two anonymous reviewers and the journal editors for valuable feedback.</t>
  </si>
  <si>
    <t>Anhui Provincial Natural Science Foundation(Natural Science Foundation of Anhui Province)</t>
  </si>
  <si>
    <t>Anhui Provincial Natural Science Foundation</t>
  </si>
  <si>
    <t>achulian@163.com; acshengdi@163.com; raleigh2002@qq.com; wangds55@aufe.edu.cn; 18130281946@163.com</t>
  </si>
  <si>
    <t>Wang, DS (corresponding author), Anhui Univ Finance &amp; Econ, Sch Econ, Bengbu 233030, Peoples R China.</t>
  </si>
  <si>
    <t>Anhui University of Finance &amp; Economics; Anhui University of Finance &amp; Economics; Beijing Technology &amp; Business University</t>
  </si>
  <si>
    <t>[Hu, Lian; Sheng, Di; Wang, Dianshuang; Fang, Xinwei] Anhui Univ Finance &amp; Econ, Sch Econ, Bengbu 233030, Peoples R China; [Hu, Lian] Anhui Univ Finance &amp; Econ, Urban &amp; Rural Dev Res Ctr, Bengbu 233030, Peoples R China; [Ni, Guohua] Beijing Technol &amp; Business Univ, Sch Econ, Beijing 100048, Peoples R China</t>
  </si>
  <si>
    <t>As the anti-poverty process is dynamic and stochastic and low-income communities are vulnerable to various shocks and stressors, scholars have rapidly embraced the concept of resilience. Motivated by the fact that China has achieved significant progress in eliminating absolute poverty and has quickly developed digital financial inclusion (DFI), utilizing data from the China Household Finance Survey for 2013-2019 and Peking University's DFI data, this study measures the poverty-alleviation resilience (PAR) of rural Chinese households (split into poverty-eradication and development resilience) and thoroughly analyzes the influence of DFI on PAR. The study finds that (1) DFI improves poverty-eradication and development resilience, and the impact of DFI on development resilience is higher than that of poverty-eradication resilience. This suggests that rural households effectively utilize DFI to improve resilience after escaping poverty. (2) DFI affects the PAR by improving financial literacy, easing credit constraints, and enhancing risk-coping capacities. (3) DFI positively influences PAR for rural households that do not receive pro-poor transfer income, while the impact of DFI on PAR of households who receive pro-poor transfer income is insignificant. Moreover, regional heterogeneity in the impact exists across regions.</t>
  </si>
  <si>
    <t>Digital Financial Inclusion; Poverty-Alleviation Resilience; Poverty-Eradication Resilience; Development Resilience</t>
  </si>
  <si>
    <t>Digital Financial Inclusion and Poverty-Alleviation Resilience of Chinese Rural Households</t>
  </si>
  <si>
    <t>Hu, Lian; Sheng, Di; Ni, Guohua; Wang, Dianshuang; Fang, Xinwei</t>
  </si>
  <si>
    <t>Hu, L; Sheng, D; Ni, GH; Wang, DS; Fang, XW</t>
  </si>
  <si>
    <t>WOS:000403575600001</t>
  </si>
  <si>
    <t>EX9KA</t>
  </si>
  <si>
    <t>Social Sciences - Other Topics; Mathematics</t>
  </si>
  <si>
    <t>Social Sciences, Interdisciplinary; Statistics &amp; Probability</t>
  </si>
  <si>
    <t>10.1007/s11135-016-0342-1</t>
  </si>
  <si>
    <t>Qual. Quant.</t>
  </si>
  <si>
    <t>QUAL QUANT</t>
  </si>
  <si>
    <t>1573-7845</t>
  </si>
  <si>
    <t>0033-5177</t>
  </si>
  <si>
    <t>Baskaran, Angathevar/0000-0002-5723-8795;</t>
  </si>
  <si>
    <t>Baskaran, Angathevar/I-4218-2016; RASIAH, RAJAH/B-9552-2010</t>
  </si>
  <si>
    <t>shamimanasrin5@gmail.com; anga_bas@yahoo.co.uk; rajah@um.edu.my</t>
  </si>
  <si>
    <t>Baskaran, A (corresponding author), Univ Malaya, Fac Econ &amp; Adm, Dept Dev Studies, Kuala Lumpur 50603, Malaysia.;Baskaran, A (corresponding author), Tshwane Univ Technol, SARChI Innovat &amp; Dev, Pretoria, South Africa.</t>
  </si>
  <si>
    <t>Universiti Malaya; Tshwane University of Technology</t>
  </si>
  <si>
    <t>[Nasrin, Shamima; Baskaran, Angathevar; Rasiah, Rajah] Univ Malaya, Fac Econ &amp; Adm, Dept Dev Studies, Kuala Lumpur 50603, Malaysia; [Nasrin, Shamima] Govt Bangladesh, Dhaka, Bangladesh; [Baskaran, Angathevar] Tshwane Univ Technol, SARChI Innovat &amp; Dev, Pretoria, South Africa</t>
  </si>
  <si>
    <t>Despite rapid financial development, the coverage of the formal banking sector and population holding deposit accounts in Bangladesh (53.7 %) is still below the global average (62 %). As a consequence, Micro Finance Institutions (MFIs) have started providing financial services to these large section of people who have little access to finance otherwise. This paper examines empirically the impact of MFIs on the savings of poor in Bangladesh using the data from Microcredit Regulatory Authority database. The sample comprises 719 MFIs with data over the period, 2007-2012. The results show that MFI numbers and number of branches are positively associated with saving in the sector, which supports the institutional savings theory that posits that availability of financial institutions shapes saving behavior of people. Also, number of employees and number of borrowers positively affect saving. These findings from a large database contributes to the literature on the impact MFIs on savings behavior.</t>
  </si>
  <si>
    <t>FINANCIAL DEVELOPMENT; GROWTH; BANKING; CONVERGENCE; PERFORMANCE; MODEL</t>
  </si>
  <si>
    <t>Micro Finance Institutions; Savings; Unbanked people; Formal banking sector; Institutional savings theory; Bangladesh</t>
  </si>
  <si>
    <t>QUALITY &amp; QUANTITY</t>
  </si>
  <si>
    <t>Microfinance and savings among the poor: evidence from Bangladesh microfinance sector</t>
  </si>
  <si>
    <t>Nasrin, Shamima; Baskaran, Angathevar; Rasiah, Rajah</t>
  </si>
  <si>
    <t>Nasrin, S; Baskaran, A; Rasiah, R</t>
  </si>
  <si>
    <t>WOS:000344811800013</t>
  </si>
  <si>
    <t>AT3BZ</t>
  </si>
  <si>
    <t>10.1007/s11187-014-9578-0</t>
  </si>
  <si>
    <t>Bourles, Renaud/0000-0001-9537-1258</t>
  </si>
  <si>
    <t>Bourles, Renaud/AAJ-3766-2020</t>
  </si>
  <si>
    <t>anastasia.cozarenco@univ-amu.fr</t>
  </si>
  <si>
    <t>Cozarenco, A (corresponding author), Aix Marseille Univ, Aix Marseille Sch Econ, CNRS, 2 Rue Charite, F-13236 Marseille 02, France.</t>
  </si>
  <si>
    <t>Aix-Marseille Universite; Centre National de la Recherche Scientifique (CNRS); Aix-Marseille Universite; Centre National de la Recherche Scientifique (CNRS); Aix-Marseille Universite</t>
  </si>
  <si>
    <t>[Bourles, Renaud] Ecole Cent Marseille, Aix Marseille Sch Econ, CNRS, F-13013 Marseille, France; [Bourles, Renaud] Ecole Cent Marseille, EHESS, F-13013 Marseille, France; [Cozarenco, Anastasia] Aix Marseille Univ, Aix Marseille Sch Econ, CNRS, F-13236 Marseille 02, France; [Cozarenco, Anastasia] Aix Marseille Univ, EHESS, F-13236 Marseille 02, France</t>
  </si>
  <si>
    <t>We analyze in this paper how various forms of state intervention can impact microfinance institutions' lending behavior. Using a simple model where entrepreneurs receive individual uncollateralized loans, we show that, not surprisingly, state intervention through the loan guarantee increases the number of entrepreneurs receiving a loan. However, after modeling business development services (BDS) provided by the microfinance institution, we show that the loan guarantee can have a counterproductive effect by reducing the number of entrepreneurs benefiting from such services. We therefore analyze an alternative policy: BDS subsidization. We show that if BDS are efficient enough and are targeted toward less performing borrowers, then-for fixed government expenditures-such subsidies do better in terms of financial inclusion than the loan guarantee. Moreover, we argue that-under similar conditions-BDS subsidization alone does better in terms of financial inclusion than a mix of policies.</t>
  </si>
  <si>
    <t>MORAL HAZARD; MICROFINANCE; INSURANCE; SUBSIDIES</t>
  </si>
  <si>
    <t>Microcredit; Loan guarantee; Business development services; Microfinance institution</t>
  </si>
  <si>
    <t>State intervention and the microcredit market: the role of business development services</t>
  </si>
  <si>
    <t>Bourles, Renaud; Cozarenco, Anastasia</t>
  </si>
  <si>
    <t>Bourlès, R; Cozarenco, A</t>
  </si>
  <si>
    <t>WOS:001483032300001</t>
  </si>
  <si>
    <t>2HW4V</t>
  </si>
  <si>
    <t>10.1016/j.eap.2025.04.025</t>
  </si>
  <si>
    <t>This study was funded by the Shanghai Office of Philosophy and Social Science Youth Foundation (Grant No 2022EGL002) .</t>
  </si>
  <si>
    <t>Shanghai Office of Philosophy and Social Science Youth Foundation</t>
  </si>
  <si>
    <t>Shanghai Office of Philosophy and Social Science Youth Foundation [2022EGL002]</t>
  </si>
  <si>
    <t>Li, Bin/0000-0002-7083-4065</t>
  </si>
  <si>
    <t>binli@shnu.edu.cn; panyaya79@163.com</t>
  </si>
  <si>
    <t>Li, B (corresponding author), Shanghai Normal Univ, Sch Finance &amp; Business, 100 Guilin Rd, Shanghai, Peoples R China.</t>
  </si>
  <si>
    <t>Shanghai Normal University</t>
  </si>
  <si>
    <t>[Li, Bin; Pan, Ya] Shanghai Normal Univ, Sch Finance &amp; Business, 100 Guilin Rd, Shanghai, Peoples R China</t>
  </si>
  <si>
    <t>This study explores the impact of digital inclusive finance on the survival of rural entrepreneurs in China, with a particular emphasis on the moderating roles of digital and financial literacy. Using data from the 2017 and 2019 China Household Finance Surveys, the analysis employs a logit model to examine entrepreneurial survival among 648 rural entrepreneurs. The findings indicate that higher levels of regional digital inclusive finance significantly enhance entrepreneurial survival, with the effect being more pronounced for individuals possessing greater digital and financial literacy. Furthermore, the results reveal that digital inclusive finance improves entrepreneurial survival primarily by enhancing business performance. This research contributes to the literature by identifying digital inclusive finance as a key determinant of entrepreneurial survival, emphasizing the moderating effects of digital and financial literacy, and providing actionable insights for policymakers and rural entrepreneurs to leverage digital financial tools for sustainable business success.</t>
  </si>
  <si>
    <t>FIRM SURVIVAL; BUSINESS SURVIVAL; FOUNDERS HUMAN; POVERTY; GROWTH; IMPACT</t>
  </si>
  <si>
    <t>Digital inclusive finance; Entrepreneurial survival; Digital literacy; Financial literacy</t>
  </si>
  <si>
    <t>Digital inclusive finance and rural entrepreneurial survival: The moderating role of digital and financial literacy</t>
  </si>
  <si>
    <t>Li, Bin; Pan, Ya</t>
  </si>
  <si>
    <t>Li, B; Pan, Y</t>
  </si>
  <si>
    <t>WOS:001625446300001</t>
  </si>
  <si>
    <t>H3394</t>
  </si>
  <si>
    <t>10.1080/23311975.2025.2593078</t>
  </si>
  <si>
    <t>This research was financially supported by Universitas Multimedia Nusantara under Contract No. 0062-RD-LPPM-UMN/P-INT/VI/2024.</t>
  </si>
  <si>
    <t>Kurniasari, Florentina/AAR-6990-2021; Lestari, Elissa/GZB-1748-2022</t>
  </si>
  <si>
    <t>elissa.lestari@lecturer.umn.ac.id</t>
  </si>
  <si>
    <t>Lestari, ED (corresponding author), Univ Multimedia Nusantara, Fac Business, Tangerang, Indonesia.</t>
  </si>
  <si>
    <t>Multimedia Nusantara University; Coimbatore Institute of Technology; Asia Pacific University of Technology &amp; Innovation</t>
  </si>
  <si>
    <t>[Lestari, Elissa Dwi; Kurniasari, Florentina; Pratiwi, Putu Yani] Univ Multimedia Nusantara, Fac Business, Tangerang, Indonesia; [Thilaga, S.] Coimbatore Inst Technol, Management Studies, Coimbatore, India; [Ooi, Bee Wah] Asia Pacific Univ Technol &amp; Innovat, Fac Business &amp; Informat Sci, Kuala Lumpur, Malaysia</t>
  </si>
  <si>
    <t>Financial inclusion is critical to supporting women's entrepreneurial endeavors in today's changing financial landscape. Despite representing the majority of micro and small businesses (SMEs) in Indonesia, women entrepreneurs continue to confront challenges to their development and sustainability. Supply-side discrimination, low financial literacy, restricted access to formal institutions, and a low demand for capital all hinder their ability to obtain finance, which is frequently biased against male entrepreneurs. This study looks at how financial literacy, financial inclusion, and financial access affect entrepreneurial development, firm performance, and sustainability among Indonesian women entrepreneurs. Five hundred forty-two responses were collected from women entrepreneurs during June-July 2024 and analyzed using Partial Least Squares Structural Equation Modeling (PLS-SEM). The results show that financial inclusion (beta = 0.524) and financial literacy (beta = 0.296) significantly improve financial access, which positively affects women's entrepreneurial development (beta = 0.484) and business performance (beta = 0.383). Women's entrepreneurial development also contributes to performance (beta = 0.364), strongly affecting business sustainability (beta = 0.502). Notably, the model explains 55.8% of the variance in women-owned SMEs' business sustainability (R2 = 0.558), the highest among all endogenous constructs. This study enhances existing knowledge by emphasizing the interrelated roles of financial literacy, inclusion, and access in shaping women's entrepreneurial ecosystems. This highlights the necessity for specific policies and initiatives aimed at tackling structural obstacles and gender inequalities in the financial sector. Enhancing these components can enable women entrepreneurs, improve SME performance, and foster sustainable, inclusive economic growth in Indonesia.</t>
  </si>
  <si>
    <t>RESOURCE-BASED VIEW; MODERATING INFLUENCE; GENDER; FEMALE; CAPABILITIES; ENTERPRISES; MANAGEMENT; KNOWLEDGE; VARIANCE; FIRM</t>
  </si>
  <si>
    <t>Women entrepreneurs; financial inclusion; financial literacy; financial access; women entrepreneur development; gender equality; Finance; Business, Management and Accounting; Economics</t>
  </si>
  <si>
    <t>Empowering women entrepreneurs: the role of financial literacy, inclusion, and access in enhancing MSE's performance and sustainability via women development program in Indonesia</t>
  </si>
  <si>
    <t>Lestari, Elissa Dwi; Kurniasari, Florentina; Pratiwi, Putu Yani; Thilaga, S.; Ooi, Bee Wah</t>
  </si>
  <si>
    <t>Lestari, ED; Kurniasari, F; Pratiwi, PY; Thilaga, S; Ooi, BW</t>
  </si>
  <si>
    <t>WOS:000856902200001</t>
  </si>
  <si>
    <t>4R6WS</t>
  </si>
  <si>
    <t>10.3390/jrfm15090376</t>
  </si>
  <si>
    <t>Maciko, Loyiso/0000-0003-2435-3460; Simatele, Munacinga Chinyama/0000-0001-9182-2701</t>
  </si>
  <si>
    <t>; Simatele, Munacinga Chinyama/F-8378-2017</t>
  </si>
  <si>
    <t>loyisomaciko@gmail.com</t>
  </si>
  <si>
    <t>Maciko, L (corresponding author), Univ Ft Hare, Econ Dept, ZA-5200 East London, South Africa.</t>
  </si>
  <si>
    <t>[Simatele, Munacinga; Maciko, Loyiso] Univ Ft Hare, Econ Dept, ZA-5200 East London, South Africa</t>
  </si>
  <si>
    <t>Financial inclusion efforts have resulted in a rapid increase in access to financial services. However, the usage of these financial services has not expanded at the same pace, especially in rural areas. The paper explores the factors that have caused usage to lag behind access using a qualitative approach. Data is collected from two predominantly rural provinces in South Africa using focus group discussions. While supply-side factors of distance and transaction costs are important, demand-side factors, including lack of employment, low and irregular incomes, financial illiteracy, and risk and trust perceptions, play a more significant role. We suggest that creating an enabling environment for the development of mobile money could overcome proximity barriers and result in better inclusion of rural communities. There is a need to invest in technology to improve network and Internet reception in rural areas. In addition, the government needs to reconsider the exclusive issuance of e-money by banks. Partnerships with supermarket money markets also have the potential to expand financial inclusion. Moreover, post-adoption financial education should complement efforts to expand financial inclusion. Simplified and transparent cost structures could help resolve the mistrust of banks.</t>
  </si>
  <si>
    <t>LITERACY; SERVICES; BANKING; SAVINGS; COSTS; POOR</t>
  </si>
  <si>
    <t>financial inclusion; financial literacy; usage; access</t>
  </si>
  <si>
    <t>Financial Inclusion in Rural South Africa: A Qualitative Approach</t>
  </si>
  <si>
    <t>Simatele, Munacinga; Maciko, Loyiso</t>
  </si>
  <si>
    <t>Simatele, M; Maciko, L</t>
  </si>
  <si>
    <t>WOS:000681177600001</t>
  </si>
  <si>
    <t>5D4PT</t>
  </si>
  <si>
    <t>10.1080/13504851.2021.1963404</t>
  </si>
  <si>
    <t>This work was supported by the Youth Scholar Team in Social Sciences of Wuhan University `New Perspective for Development Economics Research' [2020]; Fundamental Research Funds for the Central Universities [2020]; National Natural Science Foundation of China [71661137003,71773084].</t>
  </si>
  <si>
    <t>Youth Scholar Team in Social Sciences of Wuhan University `New Perspective for Development Economics Research' [2020]; Fundamental Research Funds for the Central Universities [2020]; National Natural Science Foundation of China(National Natural Science Foundation of China (NSFC))</t>
  </si>
  <si>
    <t>Youth Scholar Team in Social Sciences of Wuhan University `New Perspective for Development Economics Research' [2020]; Fundamental Research Funds for the Central Universities [2020]; National Natural Science Foundation of China [71661137003, 71773084]</t>
  </si>
  <si>
    <t>YU, JINGWEN/KRQ-6490-2024</t>
  </si>
  <si>
    <t>jwyu@whu.edu.cn</t>
  </si>
  <si>
    <t>Yu, JW (corresponding author), Wuhan Univ, Econ &amp; Management Sch, Ctr Econ Dev Res, Wuhan 430072, Peoples R China.</t>
  </si>
  <si>
    <t>Wuhan University; Shanghai University</t>
  </si>
  <si>
    <t>[Li, Yuanyuan; Wu, Binyang; Yu, Jingwen] Wuhan Univ, Ctr Econ Dev Res, Wuhan, Hubei, Peoples R China; [Tan, Jing] Shanghai Univ, Sch Econ, Shanghai, Peoples R China</t>
  </si>
  <si>
    <t>We investigate the effects of digital finance on migrants' entrepreneurship using the merged data of Digital Financial Inclusion Index and China Migrants Dynamic Survey. Our findings reveal that digital finance could help migrant to get rid of low-income survival-oriented entrepreneurship, and has no effect on entrepreneur-oriented entrepreneurship. We then interpret these results from two aspects. First, the digital finance has created a better business environment, which enables migrant to obtain more employment opportunities. Second, the low human capital of migrant suppresses the entrepreneur-oriented entrepreneurship.</t>
  </si>
  <si>
    <t>Digital finance; entrepreneurship; employment; migrant</t>
  </si>
  <si>
    <t>Does digital finance promote entrepreneurship of migrant? Evidence from China</t>
  </si>
  <si>
    <t>Li, Yuanyuan; Tan, Jing; Wu, Binyang; Yu, Jingwen</t>
  </si>
  <si>
    <t>Li, YY; Tan, J; Wu, BY; Yu, JW</t>
  </si>
  <si>
    <t>WOS:000571811300008</t>
  </si>
  <si>
    <t>NR8LJ</t>
  </si>
  <si>
    <t>10.1002/jsc.2367</t>
  </si>
  <si>
    <t>The authors would like to express gratitude for the financial support provided to the first author by the Indian Council of Social Science Research (ICSSR), New Delhi, as part of the Doctoral Fellowship program. ICSSR was instrumental in funding this empirical research. The authors would like to thank Ms. Aindrila Mokkapati for her critical reading, editing, and feedback.</t>
  </si>
  <si>
    <t>Indian Council of Social Science Research (ICSSR), New Delhi</t>
  </si>
  <si>
    <t>chidam65@gmail.com; samapti@tiss.edu</t>
  </si>
  <si>
    <t>Chidambaranathan, M; Guha, S (corresponding author), Tata Inst Social Sci TISS, Sch Management &amp; Labour Studies, Ctr Social Entrepreneurship, Naorojee Campus,VN Purav Marg, Mumbai 400088, Maharashtra, India.</t>
  </si>
  <si>
    <t>Tata Institute of Social Sciences</t>
  </si>
  <si>
    <t>[Chidambaranathan, Mani; Guha, Samapti] Tata Inst Social Sci TISS, Sch Management &amp; Labour Studies, Ctr Social Entrepreneurship, Naorojee Campus,VN Purav Marg, Mumbai 400088, Maharashtra, India</t>
  </si>
  <si>
    <t>Financial capability (FC) of the households involved in microfinance (MF) activities is better than those who are not. MF model, especially the traditional informal group structure, provides a platform for financial socialization and hence, it enables to build the FC of its members. Socioeconomic factors and behavioral economic variables significantly influence the level of FC of the households involved in MF activities. While designing FC enhancement programs, one should consider social capital structures and behavioral economic aspects.</t>
  </si>
  <si>
    <t>LITERACY EDUCATION; LOSS AVERSION; INCLUSION; ATTITUDES</t>
  </si>
  <si>
    <t>behavioral biases; financial capability; microfinance; indigenous households; financial inclusion</t>
  </si>
  <si>
    <t>Can behavioral biases improve the financial capability of microfinance clients in the tribal states of India?</t>
  </si>
  <si>
    <t>Chidambaranathan, Mani; Guha, Samapti</t>
  </si>
  <si>
    <t>Chidambaranathan, M; Guha, S</t>
  </si>
  <si>
    <t>WOS:001535038400001</t>
  </si>
  <si>
    <t>5GJ1A</t>
  </si>
  <si>
    <t>10.1142/S2424862225500034</t>
  </si>
  <si>
    <t>2025 JUL 25</t>
  </si>
  <si>
    <t>J. Ind. Integr. Manag.</t>
  </si>
  <si>
    <t>J IND INTEGR MANAG</t>
  </si>
  <si>
    <t>2424-8630</t>
  </si>
  <si>
    <t>2424-8622</t>
  </si>
  <si>
    <t>Ge, Jing/0000-0003-1355-8049</t>
  </si>
  <si>
    <t>gejing1205@126.com; jlsui@163.com; 1204721547@qq.com</t>
  </si>
  <si>
    <t>Tang, BK (corresponding author), Changchun Univ Technol, Changchun, Peoples R China.</t>
  </si>
  <si>
    <t>Changchun University of Technology</t>
  </si>
  <si>
    <t>[Ge, Jing; Sui, Jianli; Tang, Bingkai] Changchun Univ Technol, Changchun, Peoples R China</t>
  </si>
  <si>
    <t>According to the report, the 19th Congress stated that our country's economy is at a critical stage of structural upgrading, transitioning from high-speed growth to high-quality development. Based on the domestic and foreign history of the development of high-quality development experience, it is evident that high-quality economic development is a key factor in a country's overall economic progress. Digital inclusive finance plays an important role in the promotion of digital finance and the realization of regional high-quality development. The recent 24th Meeting of the Commission for Deepening Overall Reform also emphasized orderly promotion of the development of digital inclusive finance. Jilin Province responded positively, and Tonghua City and Siping City were approved as national pilot zones for inclusive finance reform. The difference finance development special planning of Jilin province also proposed to build the Jilin regional financial inclusion index system, to develop the digital financial inclusion (DFI). Based on the empirical analysis of the actual impact mechanism of digital inclusive finance on the high-quality economic development of Jilin Province, this study provides feasible policy suggestions to promote the high-quality economic development of Jilin Province and accelerate the promotion of the use of digital inclusive finance. Based on the review of relevant literature and theories, this study first establishes relevant indicators for digital inclusive finance and high-quality economic development. It then calculates and analyzes the comprehensive index of digital inclusive finance development and high-quality economic development index of Jilin Province by using the coefficient of variation method and entropy method, respectively. Second, the study explores the influence mechanism of three aspects: the direct impact mechanism, indirect effect mechanism and the spatial spillover effect. By using data from 2012 to 2021, it employs a combination of sthe fixed effects model, the moderating effect model, and spatial econometric models to conduct an empirical test of the effects and transmission pathways between digital inclusive finance and high-quality economic development. Finally, a variety of robustness tests are used to prove the robustness and reliability of the empirical results of this study. Therefore, this study puts forward the following four policy implications: first, closely follow the digital Jilin, adhere to the linkage between mountains and seas, and formulate a regional coordinated and cooperative development strategy. Second, stick to driving the development of science and technology innovation, and give full play to radiating and driving play dual-core Fuzhou and Xiamen. Again, we will improve the mechanism of financial services to protect, to strengthen the construction of a digital inclusive financial services regulatory system. Finally, we should focus on industrial digitalization and accelerate the construction of a modern industrial system.</t>
  </si>
  <si>
    <t>Digital inclusive finance; high-quality economic development; moderating effect; spatial econometric model; spatial spillover effect</t>
  </si>
  <si>
    <t>JOURNAL OF INDUSTRIAL INTEGRATION AND MANAGEMENT-INNOVATION AND ENTREPRENEURSHIP</t>
  </si>
  <si>
    <t>Research on the Influence Mechanism and Spatial Effect of Digital Inclusive Finance in Emerging Economies: A Case Study of a Province in China</t>
  </si>
  <si>
    <t>Ge, Jing; Sui, Jianli; Tang, Bingkai</t>
  </si>
  <si>
    <t>Ge, J; Sui, JL; Tang, BK</t>
  </si>
  <si>
    <t>WOS:000547785100001</t>
  </si>
  <si>
    <t>OI6AR</t>
  </si>
  <si>
    <t>10.1080/09614524.2020.1782844</t>
  </si>
  <si>
    <t>The views expressed in this article are those of the authors and do not necessarily represent the views of the institutions with which they are affiliated. The authors acknowledge financial, research and administrative support from the FCT (UBI PTDC/EGE/OGE/31246/2017).</t>
  </si>
  <si>
    <t>FCT(Fundacao para a Ciencia e a Tecnologia (FCT))</t>
  </si>
  <si>
    <t>FCT [UBI PTDC/EGE/OGE/31246/2017]</t>
  </si>
  <si>
    <t>Duarte, Fábio/0000-0002-4919-0736; Matias Gama, Ana Paula/0000-0002-8064-6244</t>
  </si>
  <si>
    <t>Duarte, Fábio/ABA-7472-2020; Matias Gama, Ana Paula/A-2622-2011</t>
  </si>
  <si>
    <t>fdd@estg.ipp.pt</t>
  </si>
  <si>
    <t>Duarte, F (corresponding author), Polytech Porto, Sch Technol &amp; Management, Porto, Portugal.;Duarte, F (corresponding author), CIICESI Ctr Innovat &amp; Res Business Sci &amp; Syst Inf, Felgueiras, Portugal.</t>
  </si>
  <si>
    <t>Instituto Politecnico do Porto; Universidade da Beira Interior</t>
  </si>
  <si>
    <t>[Nogueira, Serafim; Duarte, Fabio] Polytech Porto, Sch Technol &amp; Management, Porto, Portugal; [Duarte, Fabio] CIICESI Ctr Innovat &amp; Res Business Sci &amp; Syst Inf, Felgueiras, Portugal; [Gama, Ana Paula] Univ Beira Interior, Res Ctr Business Sci, Covilha, Portugal</t>
  </si>
  <si>
    <t>This article provides a systematic literature review of growing research on microfinance, as promoted by scholars and policymakers in an entrepreneurial finance context. The results suggest promising opportunities for further research on microfinance in developed countries. Bibliometric analyses were used to identify three main dimensions of microfinance that guide academic research: social considerations, economic effects, and performance of microfinance institutions. Most literature focuses on developing countries, reflecting the success of microfinance as an instrument for promoting social and economic development. A keyword co-occurrence analysis reveals that financial inclusion and entrepreneurship domains remain empirically underexplored.</t>
  </si>
  <si>
    <t>FINANCIAL INCLUSION; CREDIT PROGRAMS; MICRO-FINANCE; UNITED-STATES; INSTITUTIONS; EFFICIENCY; IMPACT; MICROCREDIT; PERFORMANCE; ENTREPRENEURSHIP</t>
  </si>
  <si>
    <t>Labour and livelihoods - Poverty reduction; Microfinance; Economics</t>
  </si>
  <si>
    <t>Microfinance: where are we and where are we going?</t>
  </si>
  <si>
    <t>Nogueira, Serafim; Duarte, Fabio; Gama, Ana Paula</t>
  </si>
  <si>
    <t>Nogueira, S; Duarte, F; Gama, AP</t>
  </si>
  <si>
    <t>WOS:000621921400001</t>
  </si>
  <si>
    <t>RZ4ZR</t>
  </si>
  <si>
    <t>10.1108/IJSE-08-2020-0549</t>
  </si>
  <si>
    <t>Haini, Hazwan/0000-0002-0007-7409</t>
  </si>
  <si>
    <t>Haini, Hazwan/AAI-2697-2020</t>
  </si>
  <si>
    <t>hazwan.haini@ubd.edu.bn</t>
  </si>
  <si>
    <t>Haini, H (corresponding author), Univ Brunei Darussalam, Sch Business &amp; Econ, Bandar Seri Begawan, Brunei.</t>
  </si>
  <si>
    <t>[Haini, Hazwan] Univ Brunei Darussalam, Sch Business &amp; Econ, Bandar Seri Begawan, Brunei</t>
  </si>
  <si>
    <t>Purpose This study examines the impact of financial institutions access and financial institutions depth on economic growth in 51 low- and lower-middle-income countries from 1996 to 2017. Design/methodology/approach The study employs an index of financial institutions depth and financial institutions access that considers the multidimensional nature of finance. The study employs a generalised least squares model as the baseline fixed effects model suffers from serial correlation. In addition, the study examines the marginal impact of financial development on growth at varying levels of financial access. Findings The results show that both financial access and financial depth are positive to growth. However, the marginal impact of financial depth is negative at low levels of financial access, while the finance-growth relationship becomes positive at higher levels of financial access. Results suggest the importance of developing inclusive financial systems that emphasise quality rather than quantity to promote economic growth. Research limitations/implications The major limitation lies in the measurement of financial access as it focusses more on financial system penetration and overlooks the other aspects of financial inclusion such as financial literacy and cultural differences. Practical implications Developing countries should continue to develop an inclusive financial system that supports the Universal Financial Access 2020 initiative. Originality/value This study provides further empirical evidence on the finance-growth literature focussing on the impact of financial inclusion which is scarce. Furthermore, the study employs an index of finance that captures the multidimensional nature of finance.</t>
  </si>
  <si>
    <t>PANEL-DATA; SERIAL-CORRELATION; POVERTY REDUCTION; INCLUSION; NORMALITY; SERVICES; POLICY</t>
  </si>
  <si>
    <t>Financial access; Access to finance; Economic growth; Finance-growth; Financial development</t>
  </si>
  <si>
    <t>Financial access and the finance-growth nexus: evidence from developing economies</t>
  </si>
  <si>
    <t>Haini, Hazwan</t>
  </si>
  <si>
    <t>Haini, H</t>
  </si>
  <si>
    <t>WOS:000918827200001</t>
  </si>
  <si>
    <t>8E2RP</t>
  </si>
  <si>
    <t>10.1016/j.ememar.2022.100994</t>
  </si>
  <si>
    <t>toka.mohamed@georgetown.edu; m.elgammal@qu.edu.qa</t>
  </si>
  <si>
    <t>Elgammal, MM (corresponding author), Qatar Univ, Coll Business &amp; Econ, Ctr Entrepreneurship &amp; Org Excellence, Doha, Qatar.</t>
  </si>
  <si>
    <t>Qatar University; Qatar University; Qatar Foundation (QF); Georgetown University in Qatar</t>
  </si>
  <si>
    <t>[Mohamed, Toka S.] Qatar Univ, Coll Business &amp; Econ, Doha, Qatar; [Elgammal, Mohammed M.] Qatar Univ, Coll Business &amp; Econ, Ctr Entrepreneurship &amp; Org Excellence, Doha, Qatar; [Mohamed, Toka S.] Georgetown Univ Qatar, Econ Dept, Ar Rayyan, Qatar</t>
  </si>
  <si>
    <t>Using international data, we find that Islamic MFIs experience reduced credit risk by offering more groups loans, serving more women, and serving more borrowers in rural locations. Conventional MFIs benefit from fewer group loans, less loans to rural borrowers, and a greater focus on female borrowers. Our results contribute to microfinance and financial inclusion literature by highlighting the potential of tapping into the social dynamics within Muslim communities. We present encouraging insights for Islamic MFIs donors and managers on the possibility of promoting the financial inclusion of women and rural borrowers without compromising the quality of the credit portfolio.</t>
  </si>
  <si>
    <t>REPAYMENT PERFORMANCE; PANEL-DATA; BANKING; BANGLADESH; GMM; ENDOGENEITY; MICROCREDIT; INCENTIVES; EFFICIENCY; PROGRAMS</t>
  </si>
  <si>
    <t>Microfinance; Credit risk; Islamic microfinance; Risk management; Financial inclusion</t>
  </si>
  <si>
    <t>Credit risk in Islamic microfinance institutions: The role of women, groups, and rural borrowers</t>
  </si>
  <si>
    <t>WOS:001484049200001</t>
  </si>
  <si>
    <t>2JJ3C</t>
  </si>
  <si>
    <t>10.1108/JIABR-09-2023-0296</t>
  </si>
  <si>
    <t>Mawardi, Imron/0000-0003-2423-1631</t>
  </si>
  <si>
    <t>Mawardi, Imron/ACG-7038-2022</t>
  </si>
  <si>
    <t>syarif_asad@umy.ac.id; ronmawardi@feb.unair.ac.id; slich@feb.unair.ac.id</t>
  </si>
  <si>
    <t>As'ad, S (corresponding author), Univ Muhammadiyah Yogyakarta, Dept Sharia Econ, Bantul, Indonesia.;As'ad, S (corresponding author), Univ Airlangga, Fac Econ &amp; Business, Surabaya, Indonesia.</t>
  </si>
  <si>
    <t>Universitas Muhammadiyah Yogyakarta; Airlangga University</t>
  </si>
  <si>
    <t>[As'ad, Syarif] Univ Muhammadiyah Yogyakarta, Dept Sharia Econ, Bantul, Indonesia; [As'ad, Syarif; Mawardi, Imron; Anshori, Muslich] Univ Airlangga, Fac Econ &amp; Business, Surabaya, Indonesia</t>
  </si>
  <si>
    <t>PurposeThe purpose of this paper is to investigate the relationship between Islamic branding and marketing communication with Islamic financial inclusion, with Islamic financial literacy as a mediator. This paper also provides a better understanding of how these factors interrelate and contribute to the overall objectives of Islamic finance.Design/methodology/approachThis study uses cluster sampling with a purposive technique. The research sample consists of customers who have savings or deposits in Bank Syariah Indonesia, totaling 165 customers. Data analysis is conducted using structural equation modeling adopting Analysis of Moment Structures to examine the mediating effect of Islamic financial literacy on the relationship between Islamic branding and marketing communication with Islamic financial inclusion.FindingsThe research findings indicate that Islamic financial literacy partially mediates the relationship between Islamic branding and marketing communication with Islamic financial inclusion. Moreover, the study reveals that marketing communication has a direct effect on Islamic financial inclusion, while also exerting an indirect effect through Islamic financial literacy. These findings support the argument that Islamic financial literacy plays a crucial role in the implementation of marketing communication toward Islamic financial inclusion.Research limitations/implicationsThis study obtained exclusive data from clients of Bank Syariah Indonesia in three major cities in Indonesia, namely, Surabaya, Semarang and Yogyakarta, enabling significant potential for generalizing these findings to other Islamic financial institutions and metropolitan areas, both domestically and internationally. The data collection method primarily used a semistructured questionnaire to gather quantitative data. The study is purely cross-sectional; thus, its approach does not consider factors of clients that could be investigated through a longitudinal approach.Practical implicationsThis study underscores the importance of Islamic financial literacy in enhancing Islamic financial inclusion through marketing communication. It highlights that marketing efforts targeting Islamic banking customers can significantly influence Islamic financial inclusion, both directly and by improving Islamic financial literacy. Therefore, Islamic financial institutions need to focus not only on building a strong Islamic brand image but also on strengthening customers' understanding of Islamic financial principles through effective communication strategies. This would facilitate increased community participation and engagement in Shariah-compliant financial products and services.Originality/valueIt is essential for a large Muslim population globally, such as in Indonesia, to ascertain the effectiveness of Islamic communication and branding by Shariah-compliant banks. There should be mediating factors such as strengthening Islamic financial literacy intensively through various media to enhance Shariah financial inclusion.</t>
  </si>
  <si>
    <t>BANKING; PERSPECTIVES; INDONESIA; PRODUCTS; ATTITUDE; LOYALTY</t>
  </si>
  <si>
    <t>Financial literacy; Islamic Bank; Inclusive finance; Islamic financial literacy; Indonesian Sharia Bank</t>
  </si>
  <si>
    <t>Linking Islamic branding and marketing communication with Islamic financial inclusion: the mediating role of Islamic financial literacy</t>
  </si>
  <si>
    <t>As'ad, Syarif; Mawardi, Imron; Anshori, Muslich</t>
  </si>
  <si>
    <t>As'ad, S; Mawardi, I; Anshori, M</t>
  </si>
  <si>
    <t>WOS:000691794700009</t>
  </si>
  <si>
    <t>UK2HA</t>
  </si>
  <si>
    <t>10.1016/j.irfa.2021.101833</t>
  </si>
  <si>
    <t>a.kara@hud.ac.uk; haoyong.zhou@ju.se; yifan.zhou@leicester.ac.uk</t>
  </si>
  <si>
    <t>Kara, A (corresponding author), Univ Huddersfield, Business Sch, Huddersfield, W Yorkshire, England.</t>
  </si>
  <si>
    <t>University of Huddersfield; Jonkoping University; University of Leicester</t>
  </si>
  <si>
    <t>[Kara, Alper] Univ Huddersfield, Business Sch, Huddersfield, W Yorkshire, England; [Zhou, Haoyong] Jonkoping Univ, Jonkoping Int Business Sch, Jonkoping, Sweden; [Zhou, Yifan] Univ Leicester, Sch Business, Leicester, Leics, England</t>
  </si>
  <si>
    <t>Access to credit may have a direct effect on achieving United Nations (UN) Sustainable Development Goals (SDGs) in ending poverty, improving health and education, and reducing inequality. In this paper, we systematically review the growing empirical evidence on whether individuals' demographic characteristics (such as gender and race) and socio-economic features (such as income and education) effect their ability in accessing credit. Our survey covers peer-reviewed articles providing empirical evidence, using quantitative and qualitative data, published between 2000 and 2020 (February). We find that having more education and/or being more financially literate increases households' and entrepreneurs' access to credit. Individuals with lower income and less wealth are less likely to obtain credit from the mainstream financial institutions. In emerging countries, women are more likely to be rejected and deprived from formal credit, and pay higher cost. Non-Whites, ethnic minorities, disabled people and immigrants are also more likely to be excluded from the formal credit markets. We find that abovementioned credit deprived segments of the society resort to fringe finance providers, such as pay-day lenders or pawnbrokers, with higher costs. These findings are remarkably similar across developed and developing countries. Finally, we provide direction for further research in achieving SDGs through financial inclusion and access to credit by highlighting various shortcomings of the existing literature and empirical evidence.</t>
  </si>
  <si>
    <t>CONSUMER-CREDIT; ANDHRA-PRADESH; FORMAL CREDIT; EXCLUSION; MICROFINANCE; SERVICES; BANKING; DISCRIMINATION; EMPOWERMENT; MICROCREDIT</t>
  </si>
  <si>
    <t>Sustainable development goals; Financial inclusion; Financial exclusion; Access to credit; Systematic literature review</t>
  </si>
  <si>
    <t>Achieving the United Nations' sustainable development goals through financial inclusion: A systematic literature review of access to finance across the globe</t>
  </si>
  <si>
    <t>Kara, Alper; Zhou, Haoyong; Zhou, Yifan</t>
  </si>
  <si>
    <t>Kara, A; Zhou, HY; Zhou, YF</t>
  </si>
  <si>
    <t>WOS:000617934300001</t>
  </si>
  <si>
    <t>0F7RG</t>
  </si>
  <si>
    <t>10.1002/sej.1394</t>
  </si>
  <si>
    <t>The authors thank INSEAD for funding this research. We also thank Christiane Bode, Laura Doering, Vibha Gaba, Martine Haas, Leena Kinger Hans, Phanish Puranam, Devanshee Shukla, Bala Vissa, and seminar and conference participants at various locations for very helpful comments. The authors are particularly grateful to the managers and employees of our research site for their support, and to Strategic Entrepreneurship Journal Associate Editor Gary Dushnitsky and two anonymous reviewers for very constructive and helpful feedback. Any errors remain their own.</t>
  </si>
  <si>
    <t>INSEAD</t>
  </si>
  <si>
    <t>Adbi, Arzi/0000-0003-2099-2484; Singh, Jasjit/0000-0002-7395-5989;</t>
  </si>
  <si>
    <t>Adbi, Arzi/U-8529-2019; Singh, Jasjit/B-3664-2010; Dutt, Pushan/B-3656-2010</t>
  </si>
  <si>
    <t>jasjit.singh@insead.edu</t>
  </si>
  <si>
    <t>Singh, J (corresponding author), INSEAD, 1 Ayer Rajah Ave, Singapore 138676, Singapore.</t>
  </si>
  <si>
    <t>INSEAD Business School; National University of Singapore</t>
  </si>
  <si>
    <t>[Singh, Jasjit; Dutt, Pushan] INSEAD, 1 Ayer Rajah Ave, Singapore 138676, Singapore; [Adbi, Arzi] NUS Business Sch, Singapore, Singapore</t>
  </si>
  <si>
    <t>Research Summary There continues to be substantial debate on whether and how providing inclusive access to finance through microcredit promotes entrepreneurship-led development at the base of the pyramid. We contribute to this literature by examining differences in household-level outcomes associated with microfinance loans given for different purposes, and identifying conditions under which the most impact is achieved. Defying common expectations, loans funding microenterprises do not exhibit greater impact than those funding traditional livelihood activities, and loans funding new microenterprises fare particularly poorly. However, loan impact improves when multiple members of a borrower group seek livelihood loans together, and when the provided loans better match the individual financial needs of the borrowers. Our findings underscore the need to refine how microfinance is applied as a tool for development. Managerial Summary Comparing across microfinance loans given for different purposes, we find that the average impact associated with loans supporting traditional livelihoods is at least as high as that for loans supporting microenterprises, and that the impact of loans specifically funding new microenterprises is lower than those for growing existing microenterprises. We also find that the impact of livelihood loans is greater when multiple members of a borrower group are engaged in livelihood-focused activities, and that loans that better match borrowers' specific needs have a superior impact. We conclude that we need to move beyond the black-or-white debate regarding whether microfinance works to a nuanced understanding of when it is effective, that is, examining conditions under which microcredit customers-whether aspiring entrepreneurs or not-can thrive.</t>
  </si>
  <si>
    <t>COMMERCIAL MICROFINANCE; INFORMAL FIRMS; MICROCREDIT; INNOVATION; FAMILY; OPPORTUNITIES; CONSEQUENCES; PERSPECTIVE; ADAPTATIONS; EXPERIENCE</t>
  </si>
  <si>
    <t>access to finance; base of the pyramid (BOP); economic development; emerging economies; microcredit; microenterprise; microfinance; necessity entrepreneurship</t>
  </si>
  <si>
    <t>Microfinance and entrepreneurship at the base of the pyramid</t>
  </si>
  <si>
    <t>Singh, Jasjit; Dutt, Pushan; Adbi, Arzi</t>
  </si>
  <si>
    <t>Singh, J; Dutt, P; Adbi, A</t>
  </si>
  <si>
    <t>WOS:001191810100001</t>
  </si>
  <si>
    <t>1LO6P</t>
  </si>
  <si>
    <t>10.1002/ijfe.2963</t>
  </si>
  <si>
    <t>We would like to express our heartfelt gratitude to the Editor-in-Chief and the two anonymous referees for dedicating their time, patience, and kindness to providing constructive feedback to enhance the quality of this article. Additionally, we thank the Vietnam National Foundation for Science and Technology Development (NAFOSTED) for funding this project.</t>
  </si>
  <si>
    <t>National Foundation for Science and Technology Development; Vietnam National Foundation for Science and Technology Development (NAFOSTED)(National Foundation for Science &amp; Technology Development (NAFOSTED))</t>
  </si>
  <si>
    <t>National Foundation for Science and Technology Development; Vietnam National Foundation for Science and Technology Development (NAFOSTED)</t>
  </si>
  <si>
    <t>Nguyen, Kim/0000-0002-5892-5917; Sensoy, Ahmet/0000-0001-7967-5171; Ha, Dao/0000-0002-0228-1630</t>
  </si>
  <si>
    <t>Nguyen, Kim/HTQ-6861-2023; Sensoy, Ahmet/ABV-1043-2022; Ha, Dao/AAN-5595-2020</t>
  </si>
  <si>
    <t>Nguyen, K (corresponding author), Univ Lincoln, Lincoln, England.;Nguyen, K (corresponding author), Ho Chi Minh City Univ Banking, Ho Chi Minh City 700000, Vietnam.</t>
  </si>
  <si>
    <t>Ho Chi Minh University of Banking (HUB); Foreign Trade University FTU; Ho Chi Minh University of Banking (HUB); University of Lincoln; Ihsan Dogramaci Bilkent University; Lebanese American University; University of Lincoln; Ho Chi Minh University of Banking (HUB)</t>
  </si>
  <si>
    <t>[Ha, Dao] Ho Chi Minh Univ Banking, Grad Fac, Ho Chi Minh, Vietnam; [Nguyen, Mai] Foreign Trade Univ, Fac Basic Subjects, Ho Chi Minh Campus, Ho Chi Minh, Vietnam; [Nguyen, Kim] Ho Chi Minh Univ Banking, Fac Finance, Ho Chi Minh, Vietnam; [Nguyen, Kim] Univ Lincoln, Dept Accounting Finance &amp; Econ, Lincoln, England; [Sensoy, Ahmet] Bilkent Univ, Fac Business Adm, Ankara, Turkiye; [Sensoy, Ahmet] Lebanese Amer Univ, Adnan Kassar Sch Business, Beirut, Lebanon; [Nguyen, Kim] Univ Lincoln, Lincoln, England; [Nguyen, Kim] Ho Chi Minh City Univ Banking, Ho Chi Minh City 700000, Vietnam</t>
  </si>
  <si>
    <t>This article examines the determinants of financial inclusion in the Association of Southeast Asian Nations (ASEANs), with a particular focus on the role of financial technology (fintech). We constructed an extensive and up-to-date Global Financial Inclusion database (2011, 2014, 2017, and 2021) to generate 26,185 observations for seven ASEAN countries over a decade, and conducted a separate case study for Singapore, the region's most financially developed member. The results reveal that financial inclusion and financial technology have experienced robust growth in ASEAN but to varying degrees amongst the member countries. Fintech has a significant impact on financial inclusion over the specified period. The relationship between age and financial inclusion follows an inverted U-shaped pattern, with the turning point occurring between the ages of 29 and 45. Surprisingly, gender does not appear to be a determining factor. These results align with the aspirations of ASEAN policymakers to promote financial inclusion in line with the sustainable development goals.</t>
  </si>
  <si>
    <t>ACCESS; BANKING; DETERMINANTS; SERVICES; ACCEPTANCE; ADOPTION; POVERTY; QUALITY</t>
  </si>
  <si>
    <t>age threshold; ASEAN; financial inclusion; fintech; global findex; SDGs</t>
  </si>
  <si>
    <t>Unveiling financial inclusion dynamics: Fintech's resonance in Association of Southeast Asian Nations (ASEAN)</t>
  </si>
  <si>
    <t>Ha, Dao; Nguyen, Mai; Nguyen, Kim; Sensoy, Ahmet</t>
  </si>
  <si>
    <t>Ha, D; Nguyen, M; Nguyen, K; Sensoy, A</t>
  </si>
  <si>
    <t>WOS:000449454000056</t>
  </si>
  <si>
    <t>BL3AD</t>
  </si>
  <si>
    <t>Psychology; Social Sciences - Other Topics</t>
  </si>
  <si>
    <t>Psychology, Multidisciplinary; Social Sciences, Interdisciplinary</t>
  </si>
  <si>
    <t>10.15405/epsbs.2018.05.53</t>
  </si>
  <si>
    <t>EUR PROC SOC BEHAV</t>
  </si>
  <si>
    <t>2357-1330</t>
  </si>
  <si>
    <t>PO BOX 24333, NICOSIA, 1703, CYPRUS</t>
  </si>
  <si>
    <t>NICOSIA</t>
  </si>
  <si>
    <t>FUTURE ACAD</t>
  </si>
  <si>
    <t>Hassan, Wan/AAM-1570-2020</t>
  </si>
  <si>
    <t>Osman, F (corresponding author), Univ Teknol Malaysia, MJIIT, Commun Syst &amp; Network iKohza Res Grp, Jalan Semarak, Kuala Lumpur 54100, Malaysia.</t>
  </si>
  <si>
    <t>Universiti Teknologi Malaysia; Universiti Teknologi Malaysia</t>
  </si>
  <si>
    <t>[Osman, Fouad; Hassan, Wan Haslina; Yamada, Yoshihide; Goudarzi, Shidrok] Univ Teknol Malaysia, MJIIT, Commun Syst &amp; Network iKohza Res Grp, Jalan Semarak, Kuala Lumpur 54100, Malaysia; [Nakanishi, Hiroshi] Univ Teknol Malaysia, MJIIT, Intellectual Property Ikohza IP, Jalan Semarak, Kuala Lumpur 54100, Malaysia</t>
  </si>
  <si>
    <t>Mobile monetary transaction services are engulfing in most of the developing countries predominantly east Africa and providing financial inclusion to large unbanked communities. Mobile money is an electronic carrier money that allows users and customers to deposit, withdraw, transfer, pay bill, top up and internet recharge through their mobile money system without carrying any hard cash. Mobile money has included large unbanked population in to the financial transaction system which banks have never reached. Though mobile money has changed the traditional way of financial transactions, there are challenges that the new electronic financial system is confronting. First policy, rules and regulations are non-existence as this machinery is embryonic to the commercial environment. Banks who are the ultimate money regulators comprehends the intensification of mobile money as threat to themselves and if they are not involved in the implementation, policy and rules of the currency it will get worse because the telecommunication network operators who run mobile money have no knowledge and experience the financial management. Moreover, governments which are also the definitive money controller are afraid this money transfer platform, because of the scarcity of financial inflation, money laundering, security and privacy vulnerability and terrorist transaction involvements. In all together, the mobile money are changing the traditional financial risk management requirements and transaction policy control environment. In this survey paper we highlighted the importance of mobile monetary transactions, policy, rules, regulations and challenges in the developing east African countries. The paper also outlines the potential security fraudsters and attackers. (C) 2018 Published by Future Academy www.FutureAcademy.org .UK</t>
  </si>
  <si>
    <t>Mobile money transfer; mobile monetary; network operator; financial inclusion</t>
  </si>
  <si>
    <t>Univ Teknologi Malaysia, Johor Bharu, MALAYSIA</t>
  </si>
  <si>
    <t>MAY 01-02, 2017</t>
  </si>
  <si>
    <t>Asia International Multidisciplinary Conference (AIMC)</t>
  </si>
  <si>
    <t>European Proceedings of Social and Behavioural Sciences</t>
  </si>
  <si>
    <t>AIMC 2017 - ASIA INTERNATIONAL MULTIDISCIPLINARY CONFERENCE</t>
  </si>
  <si>
    <t>MOBILE MONEY CHALLENGES ON POLICIES, REGULATION AND SECURITY FRAUDS IN EAST AFRICA</t>
  </si>
  <si>
    <t>Osman, Fouad; Hassan, Wan Haslina; Nakanishi, Hiroshi; Yamada, Yoshihide; Goudarzi, Shidrok</t>
  </si>
  <si>
    <t>Qureshi, MI</t>
  </si>
  <si>
    <t>Osman, F; Hassan, WH; Nakanishi, H; Yamada, Y; Goudarzi, S</t>
  </si>
  <si>
    <t>WOS:000887813500004</t>
  </si>
  <si>
    <t>10.1891/JFCP-2021-0039</t>
  </si>
  <si>
    <t>Yu.Zhang5@uga.edu; lufan@uga.edu</t>
  </si>
  <si>
    <t>Zhang, Y (corresponding author), Univ Georgia, Dept Financial Planning Housing &amp; Consumer Econ, 262 Dawson Hall, Athens, GA 30602 USA.</t>
  </si>
  <si>
    <t>University System of Georgia; University of Georgia; University System of Georgia; University of Georgia</t>
  </si>
  <si>
    <t>[Zhang, Yu] Univ Georgia, Dept Financial Planning Housing &amp; Consumer Econ, 262 Dawson Hall, Athens, GA 30602 USA; [Fan, Lu] Univ Georgia, Dept Financial Planning Housing &amp; Consumer Econ, Coll Family &amp; Consumer Sci, 407 Sanford Dr, Athens, GA 30602 USA</t>
  </si>
  <si>
    <t>This study used the 2015 National Financial Capability Study to investigate the relationships among financial capability, financial education, and student loan debt outcomes. Specifically, this study examines four student loan outcomes: delinquency, stress, preparation, and satisfaction among borrowers who obtained loans for themselves. Three forms of financial capability (objective financial knowledge, subjective financial knowledge, and perceived financial capability) and two forms of financial education (formal school/workplace education and informal parental education) were used as potential predictors in the study. The Probit regression results showed that expectedly, several financial capability and financial education factors were positively associated with desirable financial outcomes such as loan calculation and loan satisfaction, and negatively associated with undesirable outcomes such as loan stress and loan delinquency. However, this study also showed several unexpected results. For example, objective financial knowledge was negatively associated with loan calculation and loan satisfaction, and subjective knowledge and formal financial education were positively associated with loan delinquency.</t>
  </si>
  <si>
    <t>HIGH-SCHOOL; SUBJECTIVE KNOWLEDGE; PERSONAL FINANCE; YOUNG-ADULTS; LITERACY; BEHAVIOR; IMPACT; SOCIALIZATION; DEFAULT; SATISFACTION</t>
  </si>
  <si>
    <t>delinquency; financial education; financial knowledge; financial literacy; stress; student loan</t>
  </si>
  <si>
    <t>Financial Capability, Financial Education, and Student Loan Debt: Expected and Unexpected Results</t>
  </si>
  <si>
    <t>WOS:001132184100001</t>
  </si>
  <si>
    <t>DL4L4</t>
  </si>
  <si>
    <t>10.1016/j.infoecopol.2023.101068</t>
  </si>
  <si>
    <t>We thank Marc Bourreau (editor) , two anonymous referees, as well as Sabrine Bair, Daniel Bjorkegren, Seth Garz and Hakan OEzy &amp; imath;lmaz for very useful comments. We acknowledge financial support from the FIT IN Initiative, a research partnership between the Toulouse School of Economics and the Bill &amp; Melinda Gates Foundation, and from ANR (ANR-17-EURE-0010 grant) . Renato Gomes and Vatsala Shreeti gratefully acknowledges financial support from the European Research Council (ERC) under the European Union's Horizon 2020 research and innovation programme (grant agreement No. 759733-PLATFORM) . Andrew Rhodes gratefully acknowledges financial support from the European Union (ERC, DMPDE, grant no 101088307) . Views and opinions expressed are however those of the authors only and do not necessarily reflect those of the European Union or the European Research Council Executive Agency or the BIS or the Central Bank of Brazil.</t>
  </si>
  <si>
    <t>FIT IN Initiative; Bill &amp; Melinda Gates Foundation(Bill &amp; Melinda Gates FoundationBill &amp; Melinda Gates Foundation Grand Challenges Explorations InitiativeCGIAR); ANR(Agence Nationale de la Recherche (ANR)); European Research Council (ERC) under the European Union(European Research Council (ERC)); European Union (ERC)(European Union (EU)European Research Council (ERC))</t>
  </si>
  <si>
    <t>FIT IN Initiative; Bill &amp; Melinda Gates Foundation; ANR [ANR-17-EURE-0010]; European Research Council (ERC) under the European Union [759733-PLATFORM]; European Union (ERC) [101088307]</t>
  </si>
  <si>
    <t>Bianchi, Milo/0000-0003-4346-3147</t>
  </si>
  <si>
    <t>milo.bianchi@tse-fr.eu; matthieu.bouvard@tse-fr.eu; renato.gomes@tse-fr.eu; andrew.rhodes@tse-fr.eu; vatsala.shreeti@bis.org</t>
  </si>
  <si>
    <t>Bianchi, M (corresponding author), Univ Toulouse Capitole, Toulouse Sch Econ, TSM R, IUF, Toulouse, France.</t>
  </si>
  <si>
    <t>Universite de Toulouse; Universite Toulouse 1 Capitole; Toulouse School of Economics; Universite de Toulouse; Universite Toulouse 1 Capitole; Toulouse School of Economics; Central Bank of Brazil; Universite de Toulouse; Universite Toulouse 1 Capitole; Toulouse School of Economics; Bank for International Settlements (BIS)</t>
  </si>
  <si>
    <t>[Bianchi, Milo] Univ Toulouse Capitole, Toulouse Sch Econ, TSM R, IUF, Toulouse, France; [Bouvard, Matthieu] Univ Toulouse Capitole, Toulouse Sch Econ, TSM R, Toulouse, France; [Gomes, Renato] Cent Bank Brazil, Rio De Janeiro, Brazil; [Gomes, Renato; Rhodes, Andrew] Univ Toulouse Capitole, Toulouse Sch Econ, Toulouse, France; [Rhodes, Andrew] CEPR UK, London, England; [Shreeti, Vatsala] Bank Int Settlements, Basel, Switzerland</t>
  </si>
  <si>
    <t>We connect various streams of academic literature to analyze how alternative competition and regulatory policies may affect the development of digital financial services, and particularly of mobile payments. Our main objective is to highlight the extent to which existing models, often coming from related industries (such as telecom, payments, and banking) can be applied to study the effects of mobile money interoperability. We focus on four dimensions of interoperability. First, we consider mobile network interoperability (whether clients of one telecom can access another telecom's payment services) in connection with the IO literature on tying. Second, we discuss platform level interoperability (the ability to send money off-network) in light of the literature on compatibility. We also build on the behavioral IO literature to suggest how the effects of interoperability may be very heterogeneous across various types of firms and consumers, or even backfire. Third, we consider interoperability in the cash-in-cash-out agent network, in light of the literature on co-investment in network industries, and of more specific studies on ATMs' interoperability. Fourth, we discuss how the literature in banking and on data ownership can be used to understand interoperability of data. We conclude with some broader remarks on policy implications and on possible directions for future research.</t>
  </si>
  <si>
    <t>INFORMATION DISCLOSURE; PRICE ELASTICITIES; INTERCHANGE FEES; FIELD EXPERIMENT; CREDIT; COMPETITION; PRODUCT; MODEL; COMPATIBILITY; CONSTRAINTS</t>
  </si>
  <si>
    <t>Mobile payments; Interoperability; Financial inclusion; Competition policy</t>
  </si>
  <si>
    <t>Mobile payments and interoperability: Insights from the academic literature</t>
  </si>
  <si>
    <t>Bianchi, Milo; Bouvard, Matthieu; Gomes, Renato; Rhodes, Andrew; Shreeti, Vatsala</t>
  </si>
  <si>
    <t>Bianchi, M; Bouvard, M; Gomes, R; Rhodes, A; Shreeti, V</t>
  </si>
  <si>
    <t>WOS:000365661300004</t>
  </si>
  <si>
    <t>CX4HV</t>
  </si>
  <si>
    <t>10.1080/00036846.2015.1078447</t>
  </si>
  <si>
    <t>The work reported in this article was supported by the Spanish Ministry of Education and Science [grant ECO2010-20228] and the European Regional Development Fund and by the Government of Aragon [grant Ref. S-14 (3) and S-86].</t>
  </si>
  <si>
    <t>Spanish Ministry of Education and Science [ECO2010-20228]; European Regional Development Fund; Government of Aragon [S-14 (3), S-86]</t>
  </si>
  <si>
    <t>Gutiérrez Nieto, Begoña/0000-0003-3044-4983; Cuéllar Fernández, Beatriz/0000-0002-5557-0380; Serrano Cinca, Carlos/0000-0003-2596-9638</t>
  </si>
  <si>
    <t>; Serrano Cinca, Carlos/K-1744-2017</t>
  </si>
  <si>
    <t>bcuellar@unizar.es</t>
  </si>
  <si>
    <t>Cuéllar-Fernández, B (corresponding author), Univ Zaragoza, Dept Accounting &amp; Finance, Zaragoza, Spain.</t>
  </si>
  <si>
    <t>[Cuellar-Fernandez, Beatriz; Fuertes-Callen, Yolanda; Serrano-Cinca, Carlos; Gutierrez-Nieto, Begona] Univ Zaragoza, Dept Accounting &amp; Finance, Zaragoza, Spain</t>
  </si>
  <si>
    <t>Microfinance institutions (MFIs) lend to the poor. However, microfinance clients suffer from high interest rates, a type of poverty penalty. This article analyses the margin determinants in MFIs. A banking model has been adapted to microfinance. This model has been tested using 9-year panel data. Some factors explaining bank margin also explain MFI margin, with operating costs being the most important factor. Specific microfinance factors are donations and legal status, as regulated MFIs can collect deposits. It has also been found that MFIs operating in countries with a high level of financial inclusion have low margins.</t>
  </si>
  <si>
    <t>BANK INTEREST MARGINS; OUTREACH; CREDIT; SUSTAINABILITY; MICROCREDIT; EFFICIENCY; OWNERSHIP; IMPACT; POOR; COST</t>
  </si>
  <si>
    <t>Microfinance institutions; mission drift; banking; net interest income; outreach; financial inclusion</t>
  </si>
  <si>
    <t>Determinants of margin in microfinance institutions</t>
  </si>
  <si>
    <t>Cuellar-Fernandez, Beatriz; Fuertes-Callen, Yolanda; Serrano-Cinca, Carlos; Gutierrez-Nieto, Begona</t>
  </si>
  <si>
    <t>Cuéllar-Fernández, B; Fuertes-Callén, Y; Serrano-Cinca, C; Gutiérrez-Nieto, B</t>
  </si>
  <si>
    <t>WOS:000598672800001</t>
  </si>
  <si>
    <t>SK0KY</t>
  </si>
  <si>
    <t>Area Studies; Asian Studies</t>
  </si>
  <si>
    <t>10.1177/0262728020964605</t>
  </si>
  <si>
    <t>South Asia Res.</t>
  </si>
  <si>
    <t>SOUTH ASIA RES</t>
  </si>
  <si>
    <t>1741-3141</t>
  </si>
  <si>
    <t>0262-7280</t>
  </si>
  <si>
    <t>Singh, Dharmena/0000-0003-0966-6530; Stakic, Nikola/0000-0003-3732-5813</t>
  </si>
  <si>
    <t>dharmendra@mcbs.edu.om; nstakic@singidunum.ac.rs</t>
  </si>
  <si>
    <t>Singh, D (corresponding author), Modern Coll Business &amp; Sci, Finance, Muscat, Oman.;Singh, D (corresponding author), Modern Coll Business &amp; Sci, POB 100,Al Khuwair 133, Muscat, Oman.</t>
  </si>
  <si>
    <t>[Singh, Dharmendra] Modern Coll Business &amp; Sci, Finance, Muscat, Oman; [Singh, Dharmendra] Modern Coll Business &amp; Sci, POB 100,Al Khuwair 133, Muscat, Oman; [Stakic, Nikola] Singidunum Univ, Fac Business, Belgrade, Serbia; [Stakic, Nikola] Danijelova 32, Belgrade 11000, Serbia</t>
  </si>
  <si>
    <t>This article examines the nexus between financial inclusion index and economic growth in all eight South Asian Association for Regional Cooperation (SAARC) countries, using annual data from 2004 to 2017. In order to determine the possible long-run relationship between these variables, the study adopted the Pedroni panel co-integration test and two types of co-integration regression methods, the Fully Modified Ordinary Least Square (FMOLS) and the Dynamic Ordinary Least Square (DOLS) methods. The Pedroni panel co-integration test confirms the existence of a long-run relationship between financial inclusion and economic growth in the SAARC countries. The coefficients of FMOLS and DOLS indicate that the index of financial inclusion and selected control variables together support economic growth. In addition, the Granger causality test confirmed bi-directional causality between FI and economic growth.</t>
  </si>
  <si>
    <t>PANEL-DATA; UNIT ROOTS; TESTS; COINTEGRATION; POWER</t>
  </si>
  <si>
    <t>banking; development; DOLS; economic growth; financial inclusion; FMOLS; SAARC</t>
  </si>
  <si>
    <t>SOUTH ASIA RESEARCH</t>
  </si>
  <si>
    <t>Financial inclusion and economic growth nexus: Evidence from SAARC countries</t>
  </si>
  <si>
    <t>Singh, Dharmendra; Stakic, Nikola</t>
  </si>
  <si>
    <t>Singh, D; Stakic, N</t>
  </si>
  <si>
    <t>WOS:001107933900001</t>
  </si>
  <si>
    <t>Y8TO8</t>
  </si>
  <si>
    <t>10.3390/economies11110282</t>
  </si>
  <si>
    <t>The authors gratefully acknowledge support from the Universiti Malaysia Sarawak (UNIMAS) and Weifang Institute of Technology (WFIT).</t>
  </si>
  <si>
    <t>Universiti Malaysia Sarawak (UNIMAS); Weifang Institute of Technology (WFIT)</t>
  </si>
  <si>
    <t>Puah, Chin-Hong/0000-0003-0187-7413; Jong, Meng-Chang/0009-0000-5704-7684</t>
  </si>
  <si>
    <t>Arip, M. Affendy/AFA-4499-2022; Puah, Chin-Hong/O-9658-2018</t>
  </si>
  <si>
    <t>20010035@siswa.unimas.my; chpuah@unimas.my</t>
  </si>
  <si>
    <t>Puah, CH (corresponding author), Univ Malaysia Sarawak, Fac Econ &amp; Business, Kota Samarahan 94300, Malaysia.</t>
  </si>
  <si>
    <t>University of Malaysia Sarawak</t>
  </si>
  <si>
    <t>[Liu, Jing; Puah, Chin-Hong; Arip, Mohammad Affendy; Jong, Meng-Chang] Univ Malaysia Sarawak, Fac Econ &amp; Business, Kota Samarahan 94300, Malaysia; [Liu, Jing] Weifang Inst Technol, Fac Econ &amp; Management, Weifang 262500, Peoples R China</t>
  </si>
  <si>
    <t>This study aims to investigate the influence of digital financial inclusion on China's urban-rural income disparity. A comparative analysis on income differences between western and eastern regions in China was conducted in this paper. The study utilized a static panel approach as it consisted of 22 provinces in China that covered the period from 2011 to 2020. This paper employs Stata software for the data analysis. The dependent variable of this study is the urban-rural income gap. Meanwhile, the independent variables consist of the total index level, breadth of coverage, depth of use, degree of digitization, digital payment level, digital insurance level, and digital credit level. The control variables employed in this article are education level, financial support, economic transformation, technological progress, and trade openness. The empirical outcomes indicate that the seven independent variables potentially minimize the urban-rural income gap between the two regions. However, digital financial inclusion appears to have a more significant effect in lessening the urban-rural gap in the western region compared to the eastern region in China. The findings demonstrate that all the variables exhibit a higher degree of influence on the urban-rural income differences in the west than in the east, except for the credit index. The outcome reveals that the effect of the credit index in the western region (0.10%) is slightly lower than the eastern region (0.11%). In general, the present findings can provide valuable insights for policy makers in their efforts to address the urban-rural income gap in the two regions through the implementation of digital financial inclusion initiatives. The study should be conducted regularly to observe the trend of the income disparities between the western and eastern regions in China. Future studies can also focus on other regions or narrow the focus to provincial and city levels to capture more detailed information.</t>
  </si>
  <si>
    <t>digital financial inclusion; urban-rural income disparity; eastern region; western region</t>
  </si>
  <si>
    <t>Impacts of Digital Financial Inclusion on Urban-Rural Income Disparity: A Comparative Research of the Eastern and Western Regions in China</t>
  </si>
  <si>
    <t>Liu, Jing; Puah, Chin-Hong; Arip, Mohammad Affendy; Jong, Meng-Chang</t>
  </si>
  <si>
    <t>Liu, J; Puah, CH; Arip, MA; Jong, MC</t>
  </si>
  <si>
    <t>WOS:000669744900001</t>
  </si>
  <si>
    <t>3L2TR</t>
  </si>
  <si>
    <t>10.1080/15228916.2021.1926856</t>
  </si>
  <si>
    <t>This paper aims to first, develop an analytical framework that examines the role of financial inclusion in promoting investment and economic growth, through the reduction of financial imperfections and considering the heterogeneity of access to the financial system. When performing a comparative analysis of the levels of financial inclusion in Africa, we mobilize the principal component analysis methodology to build the African Financial Inclusion Index (AFIndex). To test the empirical validity of the analytical conclusions, we use a panel data regression technique on a database constituted of 33 African countries over the period 2004-2019. Based on model simulations, financial inclusion stimulates investment and economic growth. Empirical results provide evidence attesting to the fact that financial inclusion has a significant and positive impact on investment and economic growth in Africa. The AFIndex shows that most African economies have a low level of financial inclusion. Our model is original as it provides analytical evidence on the negative impact of financial exclusion on economic growth, emphasizing the vital role of financial inclusion for economic growth. The AFIndex is a useful tool for designing and evaluating policies and/or programs intended for promoting financial inclusion in Africa.</t>
  </si>
  <si>
    <t>INSTITUTIONS; CAUSALITY; SERVICES</t>
  </si>
  <si>
    <t>Financial inclusion; financial frictions; economic growth; investment; contract enforceability; institutional failures; African Financial Inclusion Index; panel data; principal component analysis; Africa</t>
  </si>
  <si>
    <t>Financial Inclusion, Financial Frictions, and Economic Growth: Evidence from Africa</t>
  </si>
  <si>
    <t>WOS:000811413800001</t>
  </si>
  <si>
    <t>MZ4H1</t>
  </si>
  <si>
    <t>10.1007/s10660-022-09549-5</t>
  </si>
  <si>
    <t>This work was supported by the Fundamental Research Funds for the Central Universities (No. QCDC-2020-21), and the Shanghai Philosophy and Social Science Planning Annual Project (No. 2021BJB003).</t>
  </si>
  <si>
    <t>Fundamental Research Funds for the Central Universities(Fundamental Research Funds for the Central UniversitiesPrince of Songkla UniversityInstituto Politecnico Nacional - Mexico); Shanghai Philosophy and Social Science Planning Annual Project</t>
  </si>
  <si>
    <t>Fundamental Research Funds for the Central Universities [QCDC-2020-21]; Shanghai Philosophy and Social Science Planning Annual Project [2021BJB003]</t>
  </si>
  <si>
    <t>Li, Xing/0000-0002-3428-983X; Zhao, Chunkai/0000-0003-1918-9598</t>
  </si>
  <si>
    <t>; Zhao, Chunkai/AHE-3526-2022</t>
  </si>
  <si>
    <t>ckz_zhao@163.com; Xingli277@126.com</t>
  </si>
  <si>
    <t>Li, X (corresponding author), Southwest Univ, Coll Econ &amp; Management, 2 Tiansheng Rd, Chongqing, Peoples R China.</t>
  </si>
  <si>
    <t>South China Agricultural University; Southwest University - China; Shanghai University of Finance &amp; Economics</t>
  </si>
  <si>
    <t>[Zhao, Chunkai] South China Agr Univ, Coll Econ &amp; Management, 483 Wushan, Guangzhou, Guangdong, Peoples R China; [Li, Xing] Southwest Univ, Coll Econ &amp; Management, 2 Tiansheng Rd, Chongqing, Peoples R China; [Yan, Jianfeng] Shanghai Univ Finance &amp; Econ, Inst Finance &amp; Econ Res, 777 Guoding Rd, Shanghai, Peoples R China</t>
  </si>
  <si>
    <t>With the popularization of digital finance in China, mobile payments have penetrated into all aspects of residents' daily life. However, few studies have examined the potential impact of mobile payments on people's happiness in China. Using the nationally representative data from the China Household Finance Survey (CHFS), this study adopts the ordered probit regression with endogenous treatment to adjust for possible endogeneity to assess the effect of mobile payments on residents' happiness. The results suggest an association between mobile payment usage and increases in happiness, which is supported by several robustness checks, such as using an alternative instrumental variable (IV), replacing the explained variable, and removing some extreme observations. In addition, we explore the mechanisms by which mobile payments affect residents' happiness from multiple perspectives. Positive mechanisms include promoting quality of life, reducing transaction costs, stimulating entrepreneurship, and increasing social interaction. However, as a non-cash payment method, mobile payments may also lead to over-consumption, which is detrimental to residents' happiness. Furthermore, the heterogeneous analysis shows inclusive attributes of mobile payments. We find mobile payments have a greater positive effect on happiness of some socially disadvantaged groups, such as elderly individuals, rural residents, the low-educated, and low-income households. These findings supplement the literature on online happiness and financial inclusion and refer to the possible negative impact of mobile payments. Therefore, it is necessary to actively promote mobile payments to benefit more socially vulnerable groups and prevent potential risks from over-consumption.</t>
  </si>
  <si>
    <t>LIQUIDITY CONSTRAINTS; TRANSACTIONS COSTS; OLDER-ADULTS; INTERNET USE; CONSUMPTION; BEHAVIOR; ADOPTION; MONEY; INCLUSION; IMPACT</t>
  </si>
  <si>
    <t>Digital finance; Mobile payments; Happiness; Ordered probit regression with endogenous treatment; China</t>
  </si>
  <si>
    <t>The effect of digital finance on Residents' happiness: the case of mobile payments in China</t>
  </si>
  <si>
    <t>Zhao, Chunkai; Li, Xing; Yan, Jianfeng</t>
  </si>
  <si>
    <t>Zhao, CK; Li, X; Yan, JF</t>
  </si>
  <si>
    <t>WOS:001463398500001</t>
  </si>
  <si>
    <t>1EX4U</t>
  </si>
  <si>
    <t>10.1111/ijcs.70058</t>
  </si>
  <si>
    <t>e70058</t>
  </si>
  <si>
    <t>lufan@uga.edu</t>
  </si>
  <si>
    <t>Fan, L (corresponding author), Univ Georgia, Dept Financial Planning Housing &amp; Consumer Econ, Athens, GA 30602 USA.</t>
  </si>
  <si>
    <t>[Fan, Lu] Univ Georgia, Dept Financial Planning Housing &amp; Consumer Econ, Athens, GA 30602 USA; [Zeng, Yingying] Univ Georgia, Sch Social Work, Athens, GA USA</t>
  </si>
  <si>
    <t>This study creates a framework to examine the interrelationship between financial education mandates and the financial wellbeing of young adults and the intermediary roles played by financial capability factors. This study extends a widely used framework of financial capability to include independent financial decision-making. Using a multi-year, multi-source, cross-sectional database in the US and structural equation modeling, this study examined the direct effects and mediated pathways between financial education mandates, the mediators, and financial wellness. The results demonstrated that implementing education mandates directly and positively related to young adults' financial knowledge and indirectly enhanced financial access, healthy financial practices, and financial wellbeing. Healthy financial behaviors were closely linked to improved financial wellness, while financial access showed an indirect positive association. However, independent financial decision-making was negatively associated with financial wellbeing. This study offers significant insights for policymakers, financial educators, financial service institutions, and young consumers.</t>
  </si>
  <si>
    <t>SHORT-TERM; LITERACY; BEHAVIOR; ACCESS; TRANSITION; IMPACT; INDEPENDENCE; MILLENNIALS; CONCEPTIONS; CURRICULUM</t>
  </si>
  <si>
    <t>financial access; financial behavior; financial capability; financial education; financial independence; financial knowledge; financial wellbeing; young adults</t>
  </si>
  <si>
    <t>Financial Education Mandates and Financial Wellbeing of Young Adults: Examining Financial Capability Factors as Mediators</t>
  </si>
  <si>
    <t>Fan, Lu; Zeng, Yingying</t>
  </si>
  <si>
    <t>Fan, L; Zeng, YY</t>
  </si>
  <si>
    <t>WOS:001277011800001</t>
  </si>
  <si>
    <t>ZR4P8</t>
  </si>
  <si>
    <t>10.3390/risks12070115</t>
  </si>
  <si>
    <t>KAMARA, ABDUL KARIM/0009-0003-7527-0080</t>
  </si>
  <si>
    <t>abdulkarimkamara270@gmail.com; bryu@uibe.edu.cn</t>
  </si>
  <si>
    <t>Kamara, AK; Yu, BR (corresponding author), Univ Int Business &amp; Econ, Sch Insurance &amp; Econ, Beijing 100029, Peoples R China.</t>
  </si>
  <si>
    <t>[Kamara, Abdul Karim; Yu, Baorong] Univ Int Business &amp; Econ, Sch Insurance &amp; Econ, Beijing 100029, Peoples R China</t>
  </si>
  <si>
    <t>This study investigates the impact of FinTech adoption on traditional financial inclusion in 22 countries in sub-Saharan Africa (SSA). The study utilizes the World Bank's World Development Indicators data and the International Monetary Fund's Financial Access Survey data. This study employed Principal Component Analysis (PCA) to construct the dimensions of traditional financial inclusion and the overall financial inclusion index. Applying the Generalized Method of Moments estimation technique to annual data spanning from 2004 to 2022, the findings show that FinTech has a negative and statistically significant effect on the geographic and usage dimensions. However, it has a positive and statistically significant impact on the demographic dimension and the overall traditional financial inclusion index. These findings indicate that FinTech does not have a detrimental impact on traditional financial inclusion, which is contrary to the findings of other studies. Therefore, in order to enhance the degree of financial inclusion in SSA, it is important for traditional financial inclusion to effectively utilize FinTech.</t>
  </si>
  <si>
    <t>POVERTY REDUCTION; ACCESS</t>
  </si>
  <si>
    <t>FinTech; traditional financial inclusion; Principal Component Analysis; Generalized Method of Moments</t>
  </si>
  <si>
    <t>The Impact of FinTech Adoption on Traditional Financial Inclusion in Sub-Saharan Africa</t>
  </si>
  <si>
    <t>Kamara, Abdul Karim; Yu, Baorong</t>
  </si>
  <si>
    <t>Kamara, AK; Yu, BR</t>
  </si>
  <si>
    <t>WOS:000456688000001</t>
  </si>
  <si>
    <t>HI8EL</t>
  </si>
  <si>
    <t>10.1093/wbro/lky001</t>
  </si>
  <si>
    <t>Janine Aron is a Senior Research Fellow at the Institute for New Economic Thinking at the Oxford Martin School, University of Oxford, UK; Centre for the Study of African Economies, Department of Economics, Manor Road Building, Oxford OX1 3UQ. This work was supported by the Gates Foundation (grant number MQRYDE00), the Open Society Foundations and the Oxford Martin School. Special thanks go to John Muellbauer (Nuffield College, Oxford University). The author also thanks Chris Adam (Oxford University), Tony Atkinson (Oxford University), John Duca (Federal Reserve Bank of Dallas, USA), Colin Mayer (SAID Business School, Oxford University), Ggombe Kasim Munyegera (IGC), David Porteous (Bankable Frontier Associates), Emma Riley (Oxford University), Federico Varese (Oxford University) and Sebastian Walker (IMF) for their helpful comments.</t>
  </si>
  <si>
    <t>Gates Foundation(Bill &amp; Melinda Gates Foundation); Open Society Foundations; Oxford Martin School</t>
  </si>
  <si>
    <t>Gates Foundation [MQRYDE00]; Open Society Foundations; Oxford Martin School</t>
  </si>
  <si>
    <t>Aron, J (corresponding author), Univ Oxford, Oxford Martin Sch, Inst New Econ Thinking, Oxford, England.;Aron, J (corresponding author), Ctr Study African Econ, Dept Econ, Manor Rd Bldg, Oxford OX1 3UQ, England.</t>
  </si>
  <si>
    <t>[Aron, Janine] Univ Oxford, Oxford Martin Sch, Inst New Econ Thinking, Oxford, England; [Aron, Janine] Ctr Study African Econ, Dept Econ, Manor Rd Bldg, Oxford OX1 3UQ, England</t>
  </si>
  <si>
    <t>Mobile money is a recent innovation that provides financial transaction services via mobile phone, including to the unbanked global poor. The technology has spread rapidly in the developing world, leapfrogging the provision of formal banking services by solving the problems of weak institutional infrastructure and the cost structure of conventional banking. This article examines the evolution of mobile money and its important role in widening financial inclusion. It explores the channels of economic influence of mobile money from a micro perspective, and critically reviews the empirical literature on the economic impact of mobile money. The evidence convincingly suggests that mobile money fosters risk-sharing, but direct evidence of the promotion of welfare and saving is still mostly rather less robust.</t>
  </si>
  <si>
    <t>NETWORKS; POVERTY; PHONES</t>
  </si>
  <si>
    <t>Mobile Money and the Economy: A Review of the Evidence</t>
  </si>
  <si>
    <t>Aron, Janine</t>
  </si>
  <si>
    <t>Aron, J</t>
  </si>
  <si>
    <t>WOS:000485927600001</t>
  </si>
  <si>
    <t>IX8HP</t>
  </si>
  <si>
    <t>10.1108/IJMF-05-2018-0132</t>
  </si>
  <si>
    <t>Int. J. Manag. Financ.</t>
  </si>
  <si>
    <t>INT J MANAG FINANC</t>
  </si>
  <si>
    <t>1758-6569</t>
  </si>
  <si>
    <t>1743-9132</t>
  </si>
  <si>
    <t>Agbloyor, Elikplimi Komla/0000-0003-3945-5224; Abor, Joshua Yindenaba/0000-0002-3424-7760</t>
  </si>
  <si>
    <t>ustarz2000@yahoo.com</t>
  </si>
  <si>
    <t>Kriese, M (corresponding author), Univ Ghana, Dept Finance, Business Sch, Accra, Ghana.</t>
  </si>
  <si>
    <t>[Kriese, Maryam; Abor, Joshua Yindenaba; Agbloyor, Elikplimi] Univ Ghana, Dept Finance, Business Sch, Accra, Ghana</t>
  </si>
  <si>
    <t>Purpose The purpose of this paper is to examine the moderating role of financial consumer protection (FCP) in the access-development nexus. Design/methodology/approach The study is based on cross-country data on 102 countries surveyed in the World Bank Global Survey on FCP and Financial Literacy (2013). The White heteroscedasticity adjusted regressions and Two-stage least squares regressions (2SLS) are used for the estimation. Findings Interactions between FCP regulations that foster fair treatment, disclosure, dispute resolution and recourse and financial access have positive net effects on economic development. However, there is no sufficient evidence to suggest that interactions between financial access and enforcement and compliance monitoring regulations have a significant effect on economic development. Originality/value This study extends evidence in the law-finance-growth literature by providing empirical evidence on the effect of legal institution specific to the protection of retail financial consumers on the access-development nexus using a nouvel data set, the World Bank Global survey on FCP and Financial Literacy (2013).</t>
  </si>
  <si>
    <t>INSTITUTIONS; VARIABLES; FREEDOM; BANKING; GROWTH; CREDIT</t>
  </si>
  <si>
    <t>Economic development; Financial access; Financial consumer protection</t>
  </si>
  <si>
    <t>INTERNATIONAL JOURNAL OF MANAGERIAL FINANCE</t>
  </si>
  <si>
    <t>Financial access and economic development: the moderating role of financial consumer protection</t>
  </si>
  <si>
    <t>Kriese, Maryam; Abor, Joshua Yindenaba; Agbloyor, Elikplimi</t>
  </si>
  <si>
    <t>Kriese, M; Abor, JY; Agbloyor, E</t>
  </si>
  <si>
    <t>WOS:000758009200001</t>
  </si>
  <si>
    <t>ZD2BM</t>
  </si>
  <si>
    <t>10.1080/23311975.2022.2034236</t>
  </si>
  <si>
    <t>Imtiaz, Salma/0000-0003-3689-9663; khan, Falak/0000-0003-4341-1072</t>
  </si>
  <si>
    <t>; khan, Falak/AEQ-3882-2022</t>
  </si>
  <si>
    <t>falak.khan@nu.edu.pk</t>
  </si>
  <si>
    <t>Khan, F (corresponding author), Natl Univ Comp &amp; Emerging Sci, Fast Sch Management, Islamabad, Pakistan.</t>
  </si>
  <si>
    <t>International Islamic University, Pakistan</t>
  </si>
  <si>
    <t>[Khan, Falak; Siddiqui, Muhammad Ayub] Natl Univ Comp &amp; Emerging Sci, Fast Sch Management, Islamabad, Pakistan; [Imtiaz, Salma] Int Islamic Univ, Dept Comp Sci &amp; Software Engn, Islamabad, Pakistan</t>
  </si>
  <si>
    <t>Financial inclusion is an international policy agenda and can be achieved through financially literate people, who can make informed financial decisions and improve individuals' well-being. The area of Financial Literacy and Financial Inclusion is fairly highlighted in the literature; however, the collective importance of how these two areas are researched together needs scholarly attention. This paper carries out a mapping, scientometric and content analysis by compiling studies at the intersection of financial literacy and financial inclusion from a sample of 10,091 studies spread over the last 45 years and conducted on a sample of more than 850,000 individuals worldwide. We find that the number of studies increases; by fields, Finance and Economics dominate the literature; by countries, most studies come from developed countries, in particular the US; by authors, citations are skewed and by measures; studies are moving from non-functional measures to functional measures. Overall, the interest in financial literacy in bringing financial inclusion and its multifaceted role is elaborated using conceptual framework following which future research is positioned. Thus, aiding policymakers, regulators, and academicians to know the distinction of Financial literacy in Financial inclusion and to identify the potential research areas.</t>
  </si>
  <si>
    <t>OLDER ASIAN IMMIGRANTS; MODERATING ROLE; SELF-EFFICACY; GROWTH NEXUS; CAPABILITY; SERVICES; INCOME; EDUCATION; SAVINGS; ACCESS</t>
  </si>
  <si>
    <t>financial literacy; financial inclusion; universal financial access; united nations sustainable development goals (sdg); systematic mapping study; bibliometrics; systematic literature review</t>
  </si>
  <si>
    <t>Role of financial literacy in achieving financial inclusion: A review, synthesis and research agenda</t>
  </si>
  <si>
    <t>Khan, Falak; Siddiqui, Muhammad Ayub; Imtiaz, Salma</t>
  </si>
  <si>
    <t>Khan, F; Siddiqui, MA; Imtiaz, S</t>
  </si>
  <si>
    <t>WOS:000544805200003</t>
  </si>
  <si>
    <t>ME7AG</t>
  </si>
  <si>
    <t>10.20885/ejem.vol12.iss1.art3</t>
  </si>
  <si>
    <t>Firdaus, Muhammad/GPK-6945-2022</t>
  </si>
  <si>
    <t>iwan.fathi@bps.go.id</t>
  </si>
  <si>
    <t>Fauzan, IF (corresponding author), Stat Indonesia, Jakarta, Indonesia.</t>
  </si>
  <si>
    <t>Statistics Indonesia; Bogor Agricultural University</t>
  </si>
  <si>
    <t>[Fauzan, Iwan Fathi] Stat Indonesia, Jakarta, Indonesia; [Firdaus, Muhammad; Sahara] IPB Univ, Dept Econ Sci, Fac Econ &amp; Management, Bogor, Indonesia</t>
  </si>
  <si>
    <t>This paper builds a financial inclusion index of thirty-three provinces in Indonesia from formal financial institutions banks. It aims at analyzing how the financial inclusion index relates to regional poverty using a spatial panel econometric approach. Findings/Originality: The results show that the average financial inclusion index of each province in Indonesia is still in a low category, and there is a financial system development inequality between DKI Jakarta Province and other regions. We also find that poverty has a significant negative effect on the financial inclusion index. With the recent migration of residents as a spatial weighting matrix, we decompose the global effect of the poverty variable on the financial inclusion index into a local effect for each province.</t>
  </si>
  <si>
    <t>Financial inclusion index; poverty; spatial panel econometrics</t>
  </si>
  <si>
    <t>Regional financial inclusion and poverty: Evidence from Indonesia</t>
  </si>
  <si>
    <t>Fauzan, Iwan Fathi; Firdaus, Muhammad; Sahara</t>
  </si>
  <si>
    <t>Fauzan, IF; Firdaus, M; Sahara</t>
  </si>
  <si>
    <t>WOS:001250910600001</t>
  </si>
  <si>
    <t>UV7U0</t>
  </si>
  <si>
    <t>10.1016/j.heliyon.2024.e27750</t>
  </si>
  <si>
    <t>e27750</t>
  </si>
  <si>
    <t>KENFACK HIKOUATCHA, Prince Dubois/0000-0003-0447-429X</t>
  </si>
  <si>
    <t>hikouatcha@gmail.com; alainfoka58@yahoo.fr; carinlaguarta2010@yahoo.fr; hervemboyou@gmail.com</t>
  </si>
  <si>
    <t>Hikouatcha, P (corresponding author), Univ Dschang, Fac Econ &amp; Management, Ctr Res &amp; Studies Management &amp; Econ CRSME, POB 110, Dschang, Cameroon.</t>
  </si>
  <si>
    <t>Universite de Dschang; Universite de Dschang; Universite de Dschang</t>
  </si>
  <si>
    <t>[Hikouatcha, Prince] Univ Dschang, Fac Econ &amp; Management, Ctr Res &amp; Studies Management &amp; Econ CRSME, POB 110, Dschang, Cameroon; [Foka, Alain Gilles Tagne] Univ Dschang, Fac Econ &amp; Management, Dschang Sch Econ &amp; Management, POB 110, Dschang, Cameroon; [Kountelejouo, Carine Laguarta Tindang] Univ Yaounde 2, Fac Econ &amp; Management, POB 1365, Yaounde, Cameroon; [Mfokue, Herve Mboyou] Univ Dschang, Fac Econ &amp; Management, Lab Management Res, POB 110, Dschang, Cameroon</t>
  </si>
  <si>
    <t>The issue of culture is becoming ever more interesting, especially when interconnected with other business factors like finance. Although intriguing, the relationship between culture and finance has long been neglected. Unlike existing research, this article aims at assessing the impact of culture on financial inclusion and financial literacy among Cameroonian small business managers. In this quantitative investigation, the indices are built using Principal Component Analysis (PCA), and the estimation is done using Ordinary Least Squares (OLS). The data used is from a research survey on 161 small enterprises in the cities of Douala, Bafoussam, Foumban, Foumbot, and Dschang. The findings demonstrate that organizational culture, in contrast to its social component, is positively and strongly associated with financial literacy and financial inclusion. Additionally, firm and manager variables like age, turnover variation, and education level significantly explain these financial variables. Thus, it is essential to promote organizational culture in Cameroonian businesses.</t>
  </si>
  <si>
    <t>NATIONAL CULTURE; CORPORATE CULTURE; INDIVIDUALISM; MANAGEMENT; ATTITUDES; EMOTION; VALUES</t>
  </si>
  <si>
    <t>Culture; Financial inclusion; Financial literacy; Small business</t>
  </si>
  <si>
    <t>Does culture empower inclusive finance? Empirical investigation into small business in Cameroon</t>
  </si>
  <si>
    <t>Hikouatcha, Prince; Foka, Alain Gilles Tagne; Kountelejouo, Carine Laguarta Tindang; Mfokue, Herve Mboyou</t>
  </si>
  <si>
    <t>Hikouatcha, P; Foka, AGT; Kountelejouo, CLT; Mfokue, HM</t>
  </si>
  <si>
    <t>WOS:000519969300001</t>
  </si>
  <si>
    <t>KU8NP</t>
  </si>
  <si>
    <t>10.1016/j.ijinfomgt.2019.04.009</t>
  </si>
  <si>
    <t>Venkatesh, Viswanath/0000-0001-8473-376X</t>
  </si>
  <si>
    <t>Venkatesh, Viswanath/ABD-9343-2020</t>
  </si>
  <si>
    <t>vvenkatesh@vvenkatesh.us</t>
  </si>
  <si>
    <t>Venkatesh, V (corresponding author), Univ Arkansas, Fayetteville, AR 72701 USA.</t>
  </si>
  <si>
    <t>University of Arkansas System; University of Arkansas Fayetteville</t>
  </si>
  <si>
    <t>[Schuetz, Sebastian; Venkatesh, Viswanath] Univ Arkansas, Fayetteville, AR 72701 USA</t>
  </si>
  <si>
    <t>The economic development of rural India requires connecting remote villages to local and global supply chains. Yet, high rates of financial exclusion inhibit rural Indians from participating in these supply networks. We review the literature on financial inclusion, adoption, and blockchain in India, and posit that to resolve financial exclusion, the four challenges of geographical access, high cost, inappropriate banking products, and financial illiteracy need to be overcome. Next, we argue that blockchain technologies hold the potential to overcome most of these challenges. However, for blockchain technologies to become the cornerstone of financial inclusion initiatives, an understanding of technology adoption in India is needed. To guide the development of such understanding, we develop a research agenda on the antecedents of adoption, adoption patterns, and outcomes of adoption. Answering these research questions will lead to a nuanced understanding of adoption of blockchain-based technologies in rural India. The practical contribution of this paper is the discussion of how blockchain can alleviate the issue of financial exclusion in rural India, thereby providing a basis for a solution that could connect rural Indians to global supply chain networks. The theoretical contribution lies in the identification of knowledge gaps that should be answered to achieve financial inclusion of rural Indians.</t>
  </si>
  <si>
    <t>RURAL INDIA; INFORMATION-SYSTEMS; UNIFIED THEORY; SUPPLY CHAIN; TECHNOLOGY; ACCEPTANCE; PERSPECTIVE; PERSONALITY; CHALLENGES; KNOWLEDGE</t>
  </si>
  <si>
    <t>Blockchain; Adoption; Financial inclusion; India; Research opportunities</t>
  </si>
  <si>
    <t>Blockchain, adoption, and financial inclusion in India: Research opportunities</t>
  </si>
  <si>
    <t>Schuetz, Sebastian; Venkatesh, Viswanath</t>
  </si>
  <si>
    <t>Schuetz, S; Venkatesh, V</t>
  </si>
  <si>
    <t>WOS:001053033200001</t>
  </si>
  <si>
    <t>P8HT0</t>
  </si>
  <si>
    <t>10.1016/j.techfore.2023.122503</t>
  </si>
  <si>
    <t>Mußhoff, Oliver/AAZ-1868-2021; Parlasca, Martin/AAQ-2132-2021</t>
  </si>
  <si>
    <t>Constantin.johnen@uni-goettingen.de; mparlasc@uni-bonn.de; Oliver.Musshoff@agr.uni-goettingen.de</t>
  </si>
  <si>
    <t>University of Gottingen; University of Bonn</t>
  </si>
  <si>
    <t>[Johnen, Constantin; Musshoff, Oliver] Univ Goettingen, Dept Agr Econ &amp; Rural Dev, Gottingen, Germany; [Parlasca, Martin] Univ Bonn, Ctr Dev Res ZEF, Bonn, Germany</t>
  </si>
  <si>
    <t>It has been frequently shown that the proximity of households to mobile money agents is a decisive factor for the adoption of mobile money. However, merely measuring the distance to agents overshadows the fact that agents are a heterogenous group, offering different services and abilities to costumers; differences, which could affect mobile money adoption. The present study therefore investigates, under the lens of the Technology Adoption Model (TAM), how agent characteristics affect mobile money adoption, using georeferenced data from a na-tionally representative Kenyan household survey and a census of all mobile money agents in Kenya. Results from logistic regressions show that people are statistically significantly more likely to adopt mobile money, if nearby agents offer account opening services, or if nearby agents have received formal training. The study further shows that agent training is particularly important for mobile money adoption among people without formal education. Considering that only 59 % of agents offer account opening services and only 58 % of the agents are formally trained, this article points towards a large potential for mobile money lenders and policy makers to foster financial inclusion in the future.</t>
  </si>
  <si>
    <t>BANKING ADOPTION; PANEL EVIDENCE; ACCEPTANCE; RISK; TRUST; UTAUT; MODEL; TTF</t>
  </si>
  <si>
    <t>Mobile money adoption; Agent banking; Financial inclusion</t>
  </si>
  <si>
    <t>Mobile money adoption in Kenya: The role of mobile money agents</t>
  </si>
  <si>
    <t>Johnen, Constantin; Parlasca, Martin; Musshoff, Oliver</t>
  </si>
  <si>
    <t>Johnen, C; Parlasca, M; Musshoff, O</t>
  </si>
  <si>
    <t>WOS:000905726500001</t>
  </si>
  <si>
    <t>10.1111/joca.12505</t>
  </si>
  <si>
    <t>Simplice, Asongu/0000-0001-5227-5135; Acheampong, Alex Opoku/0000-0002-5462-5466; Kooon, Isaac/0000-0002-2929-4992</t>
  </si>
  <si>
    <t>Simplice, Asongu/K-3436-2014; Acheampong, Alex Opoku/AFU-9688-2022; Kooon, Isaac/S-8710-2019</t>
  </si>
  <si>
    <t>i.koomson@uq.edu.au</t>
  </si>
  <si>
    <t>Koomson, I (corresponding author), Univ Queensland, Ctr Business &amp; Econ Hlth, St Lucia, Qld, Australia.</t>
  </si>
  <si>
    <t>University of Queensland; University of South Africa; Bond University</t>
  </si>
  <si>
    <t>[Koomson, Isaac] Univ Queensland, Ctr Business &amp; Econ Hlth, St Lucia, Qld, Australia; [Koomson, Isaac] Network Socioecon Res &amp; Advancement NESRA, Accra, Ghana; [Asongu, Simplice A.] Univ South Africa, Dept Econ, Pretoria, South Africa; [Acheampong, Alex O.] Bond Univ, Bond Business Sch, Gold Coast, Qld, Australia</t>
  </si>
  <si>
    <t>Considering the worsening levels of food insecurity globally, studies exploring the link between financial inclusion and food insecurity have become imperative. This paper contributes to the literature by examining the effect of financial inclusion on food insecurity using a multidimensional index of financial inclusion and a food insecurity construct obtained from the Food Insecurity Experience Scale. Based on data extracted from the seventh round of the Ghana Living Standards Survey, our preferred endogeneity-corrected results indicate that improvements in financial inclusion is associated with a reduction in food insecurity. This finding is consistent across different conceptualisations of food insecurity, alternative weighting schemes and cut-offs for the financial inclusion index and different quasi-experimental methods. Financial inclusion is mainly effective in reducing food insecurity in male-headed and rural-located households. Our findings reveal that entrepreneurship is an important pathway through which financial inclusion influences food insecurity.</t>
  </si>
  <si>
    <t>POVERTY REDUCTION; HOUSEHOLDS; INCOME; HEALTH; PRODUCTIVITY; STRATEGIES; SECURITY; RETURNS</t>
  </si>
  <si>
    <t>financial inclusion; food insecurity; gender; Ghana; rural</t>
  </si>
  <si>
    <t>Financial inclusion and food insecurity: Examining linkages and potential pathways</t>
  </si>
  <si>
    <t>Koomson, Isaac; Asongu, Simplice A.; Acheampong, Alex O.</t>
  </si>
  <si>
    <t>Koomson, I; Asongu, SA; Acheampong, AO</t>
  </si>
  <si>
    <t>WOS:001580801100001</t>
  </si>
  <si>
    <t>7VS8F</t>
  </si>
  <si>
    <t>10.3390/fintech4030039</t>
  </si>
  <si>
    <t>BUSTILLO MESANZA, RICARDO/Y-1197-2019; Giraldo Gordillo, Francisco/OKS-5091-2025</t>
  </si>
  <si>
    <t>fgiraldo001@ikasle.ehu.eus; ricardo.bustillo@ehu.eus</t>
  </si>
  <si>
    <t>Bustillo-Mesanza, R (corresponding author), Univ Basque Country, Dept Publ Policies &amp; Econ Hist, UPV EHU, Bilbao 48015, Spain.</t>
  </si>
  <si>
    <t>University of Basque Country</t>
  </si>
  <si>
    <t>[Giraldo-Gordillo, Francisco Elieser; Bustillo-Mesanza, Ricardo] Univ Basque Country, Dept Publ Policies &amp; Econ Hist, UPV EHU, Bilbao 48015, Spain</t>
  </si>
  <si>
    <t>This paper measures the post-treatment effects of Central Bank Digital Currencies (CBDCs) on mobile money and outstanding loans from commercial banks as a percentage of the GDP in Nigeria and the Bahamas, respectively, from the perspective of financial inclusion. The literature on the topic has primarily focused on the technological specifications of CBDCs and their potential future implementation. This article addresses a gap in the empirical literature by examining the effects of CBDCs. To this end, a Synthetic Control Method (SCM) is applied to the Bahamas (SandDollar) and Nigeria (eNaira) to construct a counterfactual scenario and assess the impact of CBDCs on mobile money and commercial bank loans. Nigeria's mobile money transactions as a percentage of the GDP increased significantly compared to the synthetic control group, suggesting a notable positive effect of the eNaira. Conversely, in the Bahamas, actual performance fell below the synthetic control, implying that SandDollar may have contributed to a decline in outstanding loans. These results suggest that CBDCs could pose a deposit substitution risk for commercial banks. However, they may also enhance the performance of other Fintech tools, as observed in the case of mobile money. As CBDC implementations worldwide remain in their early stages, their long-term effects require further analysis.</t>
  </si>
  <si>
    <t>Central Bank Digital Currencies-CBDC; eNaira; Fintech; financial inclusion; liquidity risk; mobile money; SandDollar</t>
  </si>
  <si>
    <t>The Effects of CBDCs on Mobile Money and Outstanding Loans: Evidence from the eNaira and SandDollar Experiences</t>
  </si>
  <si>
    <t>Giraldo-Gordillo, Francisco Elieser; Bustillo-Mesanza, Ricardo</t>
  </si>
  <si>
    <t>Giraldo-Gordillo, FE; Bustillo-Mesanza, R</t>
  </si>
  <si>
    <t>WOS:000297743600014</t>
  </si>
  <si>
    <t>857TN</t>
  </si>
  <si>
    <t>10.1111/j.1748-3131.2011.01205.x</t>
  </si>
  <si>
    <t>jay_rosengard@harvard.edu</t>
  </si>
  <si>
    <t>Rosengard, JK (corresponding author), Harvard Kennedy Sch, 79 John F Kennedy St, Cambridge, MA 02138 USA.</t>
  </si>
  <si>
    <t>Harvard University; University Katolik Indonesia Atma Jaya</t>
  </si>
  <si>
    <t>[Rosengard, Jay K.] Harvard Univ, Cambridge, MA 02138 USA; [Prasetyantoko, A.] Atma Jaya Catholic Univ, Jakarta, Indonesia</t>
  </si>
  <si>
    <t>Indonesia's financial sector has two paradoxes: (i) Indonesia has been a global leader in microfinance for the past 25 years, but access to microfinance services is declining; and (ii) Indonesia's commercial banks are liquid, solvent, and profitable, and the Indonesian economy has been doing well over the past decade, but small and medium enterprises are facing a credit crunch. Although Indonesia is underbanked, most commercial banks have been unresponsive to unmet effective demand. The behavior of banks has been in their own short-term best interests, primarily because of the unintended consequences of Indonesia's financial sector reregulation after the East Asian crisis and contradictory monetary policies, which have produced a prudentially sound but inefficient, narrow, and homogenized banking oligopoly. Indonesia should not respond to financial exclusion by artificially pumping out and administratively allocating more credit. Instead, it should promulgate smart regulation so that banks maintain their sound risk management without pursuing noncompetitive and noninclusive business practices.</t>
  </si>
  <si>
    <t>bank regulation; financial sector reform; Indonesia; microfinance; SME finance; G21; O16</t>
  </si>
  <si>
    <t>If the Banks are Doing So Well, Why Can't I Get a Loan? Regulatory Constraints to Financial Inclusion in Indonesia</t>
  </si>
  <si>
    <t>Rosengard, Jay K.; Prasetyantoko, A.</t>
  </si>
  <si>
    <t>Rosengard, JK; Prasetyantoko, A</t>
  </si>
  <si>
    <t>WOS:001208591600001</t>
  </si>
  <si>
    <t>OP9H1</t>
  </si>
  <si>
    <t>10.1016/j.telpol.2024.102718</t>
  </si>
  <si>
    <t>Kshetri, N (corresponding author), Univ North Carolina Greensboro, Greensboro, NC 27412 USA.</t>
  </si>
  <si>
    <t>[Kshetri, Nir] Univ North Carolina Greensboro, Greensboro, NC 27412 USA</t>
  </si>
  <si>
    <t>This editorial provides an overview of the economic, social, and political impacts of blockchain and introduces the papers published in the special issue. It discusses how blockchain can facilitate entrepreneurial ventures, optimize business operations, and enhance supply chain efficiency. The potential of central bank digital currencies to improve transaction efficiency and financial inclusion is also highlighted. Socially, blockchain is positioned to address labor abuses, improve working conditions, and combat corruption through enhanced transparency and accountability. However, risks such as illicit financing and high energy consumption are acknowledged. Overall, blockchain holds promise to transform economies, societies, and organizations, but thoughtful policymaking is needed to maximize benefits and mitigate unintended consequences. This editorial introduces papers in this special issue, which aim to expand understanding of blockchain's diverse applications and implications across institutional governance, business, sustainability, energy, and payments systems.</t>
  </si>
  <si>
    <t>RESEARCH AGENDA; RESPONSIBILITY; TECHNOLOGY</t>
  </si>
  <si>
    <t>Blockchain; Central bank digital currency; Cryptocurrency; Governance structure; Sustainability</t>
  </si>
  <si>
    <t>Editorial: Economic, social and political impacts of blockchain</t>
  </si>
  <si>
    <t>WOS:000657825200001</t>
  </si>
  <si>
    <t>SO8JB</t>
  </si>
  <si>
    <t>10.1108/SEF-09-2020-0388</t>
  </si>
  <si>
    <t>JUN 7</t>
  </si>
  <si>
    <t>The earlier version of this paper was presented at the 14th BMEB conference organised by the Bank Indonesia. The authors acknowledge helpful comments from the guest editor Prof Paresh Narayan and three anonymous referees, as well as helpful discussions with Dr Mohsin Ali, Prof M. Kabir Hassan, Prof M. Niaz Asadullah, APAEA and Bank Indonesia team. This study was partially funded by the Faculty of Business and Accountancy, Universiti Malaya, Malaysia (Grant Number: GPF043A-2020). The usual disclaimer applies.</t>
  </si>
  <si>
    <t>Faculty of Business and Accountancy, Universiti Malaya, Malaysia</t>
  </si>
  <si>
    <t>Faculty of Business and Accountancy, Universiti Malaya, Malaysia [GPF043A-2020]</t>
  </si>
  <si>
    <t>Banna, Hasanul/0000-0002-6902-8525</t>
  </si>
  <si>
    <t>Alam, Md Rabiul/HNJ-1879-2023; Banna, Hasanul/F-7482-2011</t>
  </si>
  <si>
    <t>banna@um.edu.my; rabiulalam_84@yahoo.com</t>
  </si>
  <si>
    <t>Banna, H (corresponding author), Univ Malaya, Ungku Aziz Ctr Dev Studies, Fac Econ &amp; Adm, Kuala Lumpur, Malaysia.</t>
  </si>
  <si>
    <t>Universiti Malaya; Universiti Malaya</t>
  </si>
  <si>
    <t>[Banna, Hasanul] Univ Malaya, Ungku Aziz Ctr Dev Studies, Fac Econ &amp; Adm, Kuala Lumpur, Malaysia; [Alam, Md Rabiul] Univ Malaya, Fac Educ, Dept Language &amp; Literacy Educ, Kuala Lumpur, Malaysia</t>
  </si>
  <si>
    <t>Purpose This paper aims to investigate how digital financial inclusion (DFI) can be a potential factor to maintain banking stability in Association of Southeast Asian Nations (ASEAN) countries and whether the relationship could bring a possible implication for the post-Covid-19 pandemic era. Design/methodology/approach Using an unbalanced panel data of 213 banks of 4 ASEAN countries, the study has deployed principal component analysis, ordinary least square, two-step dynamic system generalised method of moments and panel corrected standard errors techniques. Findings The empirical study finds that the full-fledged application of DFI accelerates the ASEAN banking stability which not only decreases the default risk of the banks but also upturns the financial mobility in the region. The results also suggest that ASEAN banks are, with the implementation of DFI, likely to uphold the banking sector stability by reducing liquidity crisis and non-performing loans during and in the post-Covid-19 era. Therefore, accelerating digital finance in ASEAN countries is considered as one of the significant means for the banking sector stability that subsequently leads to economic and financial resilience even in the face of any crises. Originality/value Prevailing studies have mostly investigated the association between financial inclusion and banking stability in different contexts. However, this study is unique to empirically investigate the association between DFI and the ASEAN banking stability.</t>
  </si>
  <si>
    <t>MARKET</t>
  </si>
  <si>
    <t>ASEAN; Banking stability; Fintech; COVID-19; Digital financial inclusion index</t>
  </si>
  <si>
    <t>Impact of digital financial inclusion on ASEAN banking stability: implications for the post-Covid-19 era</t>
  </si>
  <si>
    <t>Banna, Hasanul; Alam, Md Rabiul</t>
  </si>
  <si>
    <t>Banna, H; Alam, MR</t>
  </si>
  <si>
    <t>WOS:000405479400003</t>
  </si>
  <si>
    <t>FA5JN</t>
  </si>
  <si>
    <t>10.1108/IJSE-10-2015-0277</t>
  </si>
  <si>
    <t>khakeez@gmail.com</t>
  </si>
  <si>
    <t>Khaki, AR (corresponding author), Amer Univ Middle East, Dept Finance, Coll Business, Kuwait, Kuwait.</t>
  </si>
  <si>
    <t>[Khaki, Audil Rashid] Amer Univ Middle East, Dept Finance, Coll Business, Kuwait, Kuwait; [Sangmi, Mohi-ud-Din] Univ Kashmir, Dept Business &amp; Financial Studies, Srinagar, Jammu &amp; Kashmir, India</t>
  </si>
  <si>
    <t>Purpose - The purpose of this paper is to question and analyse the basic tenets of financial inclusion and to understand the relationship between access to finance and poverty reduction. The paper attempts to elaborate the importance of unrestrained access to finance in building an inclusive financial sector, which is believed to reduce poverty by enabling poor and excluded people to participate in the economic process by employing their skill sets, labour and innovations in the productive activities of the economy, thereby not only increasing their own welfare and standards of living but also contributing at very high marginal returns to the overall economic growth. Design/methodology/approach - This study evaluates the progression of the participants/beneficiaries of National Rural Livelihood Mission Scheme (erstwhile Swarnjayanti Gram Swarozgar Yojana Scheme) across various dimensions of poverty by making use of the Multidimensional Poverty Index (MPI). Findings - The results suggest that the participation has in fact lead to increase in the standard of living, thereby reducing multidimensional poverty. Further, the results suggest that participation does not reduce deprivations in the education dimension, whereas in all other dimensions reduction in deprivations is significant. The results also suggest that the programme under study seems to be seriously mistargeting by allocating the programme to non-poor sections rather than absolute poor. Research limitations/implications - The study has been conducted without following the participants over a longer period of time. The study has adopted a pre-post methodology, collecting the responses at only one point using a reflexive quasi-experimental design which leads to a recall limitation. Originality/value - The paper tries to evaluate the impact of access to financial inclusion through a new perspective - the MPI. The paper examines the targeting of government-sponsored programmes and the utility of such intervention in the changing milieu of financial services.</t>
  </si>
  <si>
    <t>CREDIT PROGRAMS; MICROFINANCE; GROWTH; CONTROVERSIES; COUNTRIES; MARKETS; IMPACT; POOR</t>
  </si>
  <si>
    <t>Microfinance; Poverty alleviation; Financial inclusion; Inclusive finance</t>
  </si>
  <si>
    <t>Does access to finance alleviate poverty? A case study of SGSY beneficiaries in Kashmir Valley</t>
  </si>
  <si>
    <t>Khaki, Audil Rashid; Sangmi, Mohi-ud-Din</t>
  </si>
  <si>
    <t>Khaki, AR; Sangmi, MUD</t>
  </si>
  <si>
    <t>WOS:001511861200001</t>
  </si>
  <si>
    <t>3YF9V</t>
  </si>
  <si>
    <t>10.1057/s41264-025-00310-1</t>
  </si>
  <si>
    <t>Singla, Anju/0000-0002-8350-7872</t>
  </si>
  <si>
    <t>piyushhooda.ubs@gmail.com; anjusingla@pec.edu.in; shivanigupta@pec.edu.in</t>
  </si>
  <si>
    <t>Singla, A (corresponding author), Punjab Engn Coll, Ctr Management &amp; Humanities CMH, Sect 12, Chandigarh 160012, India.</t>
  </si>
  <si>
    <t>[Hooda, Piyush; Singla, Anju; Gupta, Shivani] Punjab Engn Coll, Ctr Management &amp; Humanities CMH, Sect 12, Chandigarh 160012, India</t>
  </si>
  <si>
    <t>Financial well-being (FWB) has emerged as a critical tool for fostering resilience and sustainability among small business owners. It plays a vital role in ensuring their long-term survival and growth, as they largely depend on their personal financial capacities within a rapidly changing business landscape. Grounded in the Theory of Financial Capability, this study explores the role of financial capability (FC), a multidimensional construct with sub-dimensions financial literacy (FL) and financial inclusion (FI), in driving FWB. The study also investigates the moderating effect of Grit in strengthening this relationship. A quantitative survey of 494 MSE owners based on snowball sampling was collected from North India. Measurement and structural model were accessed using two-stage disjoint approach in PLS SEM. The results demonstrate that both FL and FI are significant dimensions of FC, with FL having a stronger influence. This finding suggests that enhancing financial education, skills, and awareness has a more substantial impact on owners' capabilities to manage financial resources effectively. Additionally, FC was found to have a significant positive effect on FWB. Furthermore, the study revealed that Grit strengthens the relationship between FC and FWB, amplifying the positive outcomes of the capabilities. This study presents a Holistic Financial Capability Development Model, designed by integrating various dimensions of FL and FI which offers a well-rounded perspective to develop and enhance entrepreneurial financial capabilities and foster FWB. Moreover, this study addresses the conceptualization of Grit within the context of finance, an area not extensively examined in the previous research.</t>
  </si>
  <si>
    <t>INCLUSION; VALIDATION; LITERACY; QUALITY</t>
  </si>
  <si>
    <t>Financial literacy; Financial inclusion; Financial capability; Grit; Financial well-being; SEM</t>
  </si>
  <si>
    <t>Financial capability and financial well-being among small business owners: Does grit moderate the association?</t>
  </si>
  <si>
    <t>Hooda, Piyush; Singla, Anju; Gupta, Shivani</t>
  </si>
  <si>
    <t>Hooda, P; Singla, A; Gupta, S</t>
  </si>
  <si>
    <t>WOS:000584248100001</t>
  </si>
  <si>
    <t>OJ9BQ</t>
  </si>
  <si>
    <t>10.3390/su12187480</t>
  </si>
  <si>
    <t>The APC was funded by the incentive granted to the authors by the Asociacion de Amigos de la UCAV-Catholic University of Avila.</t>
  </si>
  <si>
    <t>Asociacion de Amigos de la UCAV-Catholic University of Avila</t>
  </si>
  <si>
    <t>Reier, Ricardo/0000-0002-4790-0351; Jorge-Vázquez, Javier/0000-0003-3654-7203; Náñez Alonso, Sergio Luis/0000-0001-5353-2017;</t>
  </si>
  <si>
    <t>; Jorge-Vázquez, Javier/AAA-2725-2020; Náñez Alonso, Sergio Luis/AAJ-9071-2020; Reier Forradellas, Ricardo/AEL-6188-2022</t>
  </si>
  <si>
    <t>sergio.nanez@ucavila.es; Javier.jorge@ucavila.es; ricardo.reier@ucavila.es</t>
  </si>
  <si>
    <t>Alonso, SLN (corresponding author), Catholic Univ Avila, DEKIS Res Grp, Dept Econ, Canteros St, Avila 05005, Spain.</t>
  </si>
  <si>
    <t>Santa Teresa Jesus Catholic University of Avila</t>
  </si>
  <si>
    <t>[Nanez Alonso, Sergio Luis; Jorge-Vazquez, Javier; Reier Forradellas, Ricardo Francisco] Catholic Univ Avila, DEKIS Res Grp, Dept Econ, Canteros St, Avila 05005, Spain</t>
  </si>
  <si>
    <t>The ability to access quality financial services and cash has been indicated by various organizations, such as the World Bank or UN, as a fundamental aspect to guarantee regional sustainable development. However, access to cash is not always guaranteed, especially in rural regions. The present study is based in the avila region of Spain. A parameter called the access to cash index is constructed here. It is used to detect rural areas where the ability to access cash and banking services is more difficult. Based on the access to cash index, two sustainable solutions are proposed: The first (in the short term), based on extending access to cash, takes advantage of the existing pharmacy network. With this measure, a notable reduction of more than 55% of the average distance required to access this service is verified here. The second is based on the implementation of a central bank digital currency. Here, the results show an acceptance of 75%. However, it is known that elderly people and those without relevant education and/or low incomes would reject its widespread use. Such a circumstance would require the development of training and information policies on the safety and effectiveness of this type of currency.</t>
  </si>
  <si>
    <t>SOCIETY; FUTURE; EXCLUSION</t>
  </si>
  <si>
    <t>financial inclusion; vulnerable rural areas; sustainable solutions; central bank digital currency; social sustainability; pharmacy network; sustainable development; sustainable access to cash</t>
  </si>
  <si>
    <t>Detection of Financial Inclusion Vulnerable Rural Areas through an Access to Cash Index: Solutions Based on the Pharmacy Network and a CBDC. Evidence Based on avila (Spain)</t>
  </si>
  <si>
    <t>Nanez Alonso, Sergio Luis; Jorge-Vazquez, Javier; Reier Forradellas, Ricardo Francisco</t>
  </si>
  <si>
    <t>Alonso, SLN; Jorge-Vazquez, J; Forradellas, RFR</t>
  </si>
  <si>
    <t>WOS:000901675001060</t>
  </si>
  <si>
    <t>BU4JT</t>
  </si>
  <si>
    <t>Computer Science, Information Systems; Computer Science, Software Engineering</t>
  </si>
  <si>
    <t>978-0-692-25320-5</t>
  </si>
  <si>
    <t>dibia.victor@my.cityu.edu.hk</t>
  </si>
  <si>
    <t>Victor, D (corresponding author), City Univ Hong Kong, Hong Kong, Peoples R China.</t>
  </si>
  <si>
    <t>City University of Hong Kong</t>
  </si>
  <si>
    <t>[Victor, Dibia] City Univ Hong Kong, Hong Kong, Peoples R China</t>
  </si>
  <si>
    <t>In developing regions of the world such as Sub-Saharan Africa, access to basic financial services such as funds transfer and bill payments are unavailable to over 70% of the population. Mobile money technologies, which entail the use of mobile technology in facilitating financial transactions, have presented themselves as viable methods of reaching this segment of the population known as the unbanked. However, there is an unfortunate dearth of studies that examine the limitations of mobile money implementations and provide recommendations for improving this important tool for financial inclusion. To this end, this research provides a review of the evolution of mobile money technologies as an example of user centered innovation and identifies the important actors in the mobile money ecosystem. Through a case study of the performance of mobile money deployments in two regions of Africa (Kenya and Nigeria), critical success factors are identified and discussed. Specifically, it is highlighted that : a mobile first approach to designing the ecosystem, balanced regulatory policies, a useable base of distribution agents and alignment with the needs of the unbanked are four important factors for successful mobile money implementations in developing nations.</t>
  </si>
  <si>
    <t>Mobile money; user-centered Innovation; developing countries; ICT for development</t>
  </si>
  <si>
    <t>Savannah, GA</t>
  </si>
  <si>
    <t>AUG 07-09, 2014</t>
  </si>
  <si>
    <t>20th Americas Conference on Information Systems</t>
  </si>
  <si>
    <t>AMCIS 2014 PROCEEDINGS</t>
  </si>
  <si>
    <t>On the User-centric Evolution of Mobile Money Technologies in Developing Nations: Successes and Lessons</t>
  </si>
  <si>
    <t>Victor, Dibia</t>
  </si>
  <si>
    <t>Victor, D</t>
  </si>
  <si>
    <t>WOS:001428238100001</t>
  </si>
  <si>
    <t>X9C5K</t>
  </si>
  <si>
    <t>10.1556/032.2024.00023</t>
  </si>
  <si>
    <t>DEC 20</t>
  </si>
  <si>
    <t>levente.kovacs@uni-miskolc.hu; elemertertak@gmail.hu</t>
  </si>
  <si>
    <t>Kovács, L (corresponding author), Univ Miskolc, Inst Finance &amp; Accounting, Egyet U 1, H-3515 Miskolc, Hungary.;Kovács, L (corresponding author), Hungarian Banking Assoc, Szeged, Hungary.</t>
  </si>
  <si>
    <t>University of Miskolc</t>
  </si>
  <si>
    <t>[Kovacs, Levente] Univ Miskolc, Inst Finance &amp; Accounting, Egyet U 1, H-3515 Miskolc, Hungary; [Kovacs, Levente; Tertak, Elemer] Hungarian Banking Assoc, Szeged, Hungary; [Tertak, Elemer] Hungarian Econ Assoc, Budapest, Hungary</t>
  </si>
  <si>
    <t>Today's world is characterised by the rapid spread of digital technology in the financial industry. Strongly connected with this development, financial products have become increasingly complex. Globalisation has increased the number of financial products offered worldwide, and almost every daily decision has a financial aspect. Thus, for the last three decades, a widening government-level agreement has emerged that individuals, particularly young people, need appropriate financial literacy to handle their finances successfully, prevent financial exclusion, and protect themselves against possible financial fraud. This deficiency is even more severe in the CEE countries, where savings, borrowing opportunities, and financial self-care options were limited; financial markets were practically non-existent.This paper reviews the existing efforts in financial education, drawing lessons from traditional methods and established channels. It also highlights recent initiatives that aim to bolster financial literacy.</t>
  </si>
  <si>
    <t>financial education; financial literacy; financial behaviour; digitalisation; A20; D91; G40</t>
  </si>
  <si>
    <t>Thematic review of financial education and financial literacy in the digital age</t>
  </si>
  <si>
    <t>Kovacs, Levente; Tertak, Elemer</t>
  </si>
  <si>
    <t>Kovács, L; Terták, E</t>
  </si>
  <si>
    <t>WOS:000414304900003</t>
  </si>
  <si>
    <t>10.1177/0266242617700699</t>
  </si>
  <si>
    <t>Muñoz, Pablo/0000-0002-8843-5943; Kimmitt, Jonathan/0000-0003-1121-5181</t>
  </si>
  <si>
    <t>Muñoz, Pablo/HPC-5854-2023</t>
  </si>
  <si>
    <t>jonathan.kimmitt@ncl.ac.uk</t>
  </si>
  <si>
    <t>Kimmitt, J (corresponding author), Newcastle Univ, Sch Business, 5 Barrack Rd, Newcastle Upon Tyne NE1 4SE, Tyne &amp; Wear, England.</t>
  </si>
  <si>
    <t>Newcastle University - UK; University of Leeds; Universidad del Desarrollo</t>
  </si>
  <si>
    <t>[Kimmitt, Jonathan] Newcastle Univ, Business Sch, Entrepreneurship, Newcastle Upon Tyne, Tyne &amp; Wear, England; [Munoz, Pablo] Univ Leeds, Sustainabil Res Inst, Business &amp; Sustainable Change, Leeds, W Yorkshire, England; [Munoz, Pablo] Univ Desarrollo, Santiago, Chile</t>
  </si>
  <si>
    <t>This article investigates the interrelated nature of instrumental freedoms and how they combine to engender financial inclusion among low-income entrepreneurs. Drawing from Sen's capabilities approach, we emphasize a need for understanding the freedoms associated with institutional arrangements and the complex causal processes that lead to financial inclusion among micro-entrepreneurs. We perform a fuzzy set qualitative comparative analysis of 19 countries in Latin America and the Caribbean. The findings indicate four causal combinations for financial inclusion. Our findings indicate that no single instrumental freedom is necessary for financial inclusion; it does not necessarily depend on the provision of microfinance and that political freedom is an important peripheral condition for inclusion. This allows us to question some of the assumptions about how microfinance operates amid a set of complex institutional instrumental freedoms.</t>
  </si>
  <si>
    <t>INSTITUTIONAL COMPLEXITY; EMERGING ECONOMIES; MICROFINANCE; GROWTH; STRATIFICATION; ORGANIZATION; INNOVATION; FRAMEWORK; MICROCREDIT; BUSINESS</t>
  </si>
  <si>
    <t>financial inclusion; fuzzy set qualitative comparative analysis; institutions; instrumental freedoms; microfinance</t>
  </si>
  <si>
    <t>Entrepreneurship and financial inclusion through the lens of instrumental freedoms</t>
  </si>
  <si>
    <t>Kimmitt, Jonathan; Munoz, Pablo</t>
  </si>
  <si>
    <t>Kimmitt, J; Muñoz, P</t>
  </si>
  <si>
    <t>WOS:000591083200001</t>
  </si>
  <si>
    <t>PB7VU</t>
  </si>
  <si>
    <t>10.1108/WJSTSD-06-2020-0058</t>
  </si>
  <si>
    <t>OCT 5</t>
  </si>
  <si>
    <t>World J. Sci. Technol. Sustain. Dev.</t>
  </si>
  <si>
    <t>WORLD J SCI TECHNOL</t>
  </si>
  <si>
    <t>2042-5945</t>
  </si>
  <si>
    <t>2042-5953</t>
  </si>
  <si>
    <t>chikalipah@yahoo.co.uk</t>
  </si>
  <si>
    <t>Chikalipah, S (corresponding author), Univ Cape Town, Fac Commerce, Dept Finance Tax, Cape Town, South Africa.</t>
  </si>
  <si>
    <t>[Chikalipah, Sydney] Univ Cape Town, Fac Commerce, Dept Finance Tax, Cape Town, South Africa</t>
  </si>
  <si>
    <t>Purpose This study investigates the possible effect of mobile money services, which forms part of FinTech, in achieving the Sustainable Development Goals (SDGs). Design/methodology/approach This study uses field data from the Chongwe district of Zambia. The data were collected in 2019. Findings The findings strongly suggest that (1) the factors that hinder access to credit and savings by the poor do not simply recede following the adoption of mobile money services and (2) that mobile money is not a silver bullet of ending financial exclusion but merely a tool which contributes to other financial inclusion strategies. Practical implications This study argues that mobile money is winning the battle but losing the war - implying that the service is mainly used to transfer funds (OTC transactions) among users. Originality/value This is the first study to have been conducted in Zambia to assess the possible contributing effect of FinTech (mobile money) on SDGs.</t>
  </si>
  <si>
    <t>FINANCIAL INCLUSION; MOBILE; SERVICES</t>
  </si>
  <si>
    <t>Financial inclusion; FinTech; Mobile money; Sustainable development goals; Zambia</t>
  </si>
  <si>
    <t>WORLD JOURNAL OF SCIENCE TECHNOLOGY AND SUSTAINABLE DEVELOPMENT</t>
  </si>
  <si>
    <t>The pyrrhic victory of FinTech and its implications for achieving the Sustainable Development Goals: evidence from fieldwork in rural Zambia</t>
  </si>
  <si>
    <t>Chikalipah, Sydney</t>
  </si>
  <si>
    <t>Chikalipah, S</t>
  </si>
  <si>
    <t>WOS:000218229200002</t>
  </si>
  <si>
    <t>V3G2Z</t>
  </si>
  <si>
    <t>10.1002/jsc.2006</t>
  </si>
  <si>
    <t>shanka.savita@gmail.com</t>
  </si>
  <si>
    <t>Shankar, S (corresponding author), Homat Virgiania 405 4-11-2 Minamiazabu,Minato Ku, Tokyo 1060047, Japan.</t>
  </si>
  <si>
    <t>[Shankar, Savita] Keio Business Sch, Yokohama, Kanagawa, Japan</t>
  </si>
  <si>
    <t>Microfinance institutions can enhance their contribution to financial inclusion promotion by expanding their suite of financial services, participating in a credit bureau, and providing portability of accounts, greater flexibility in operation, and financial literacy training.</t>
  </si>
  <si>
    <t>Application of an Alternate Framework for Assessing Microfinance Programs' Contribution to Development: An Empirical Study in Tamil Nadu, India</t>
  </si>
  <si>
    <t>Shankar, Savita</t>
  </si>
  <si>
    <t>Shankar, S</t>
  </si>
  <si>
    <t>WOS:000553840800007</t>
  </si>
  <si>
    <t>MR8KW</t>
  </si>
  <si>
    <t>10.1177/1468017319860308</t>
  </si>
  <si>
    <t>J. Soc. Work</t>
  </si>
  <si>
    <t>J SOC WORK</t>
  </si>
  <si>
    <t>1741-296X</t>
  </si>
  <si>
    <t>1468-0173</t>
  </si>
  <si>
    <t>Clees, Thomas/0000-0002-3391-1201; McGarity, Stephen/0000-0002-8235-5133</t>
  </si>
  <si>
    <t>mcgarity@utk.edu</t>
  </si>
  <si>
    <t>McGarity, SV (corresponding author), Univ Tennessee, 193 Polk Ave,Suite E, Knoxville, TN 37210 USA.</t>
  </si>
  <si>
    <t>University of Tennessee System; University of Tennessee Knoxville; University System of Georgia; University of Georgia</t>
  </si>
  <si>
    <t>[McGarity, Stephen, V] Univ Tennessee, 193 Polk Ave,Suite E, Knoxville, TN 37210 USA; [Okech, David O.; Risler, Edwin; Clees, Thomas J.] Univ Georgia, Athens, GA 30602 USA</t>
  </si>
  <si>
    <t>People with disabilities are five times more likely to experience poverty than the general population, yet very little is known about how financial capability can help increase their financial well-being. Using secondary data from the 2015 National Financial Capabilities Study, this study used path analysis to test Sherraden's theoretical model of building financial capability on a nationally representative sample of people with disabilities. This included assessing how variables of ability (i.e., financial literacy) and variables of opportunity (i.e., financial inclusion) combine to improve one's financial well-being and stability. Findings Multiple fit indices suggested that the data fit the path model well:chi(2) = 37.73 (14),p = .001, RMSEA = 0.04 (90% CI: 0.03-0.05), TLI = 0.97, CFI = 0.99. Findings indicate that financial literacy and financial access both impact the financial well-being in this sample of people with disabilities (N = 1232). Also, access to financial products moderated financial literacy to increase its impact. This study empirically substantiated the selected financial capability framework. Applications Implications of this study are targeted toward social work researchers and practitioners. There have been very few empirical studies on building financial capability among people with disabilities, so this article serves as a foundation for much needed research in this area while also filling a gap in the extant literature. Additionally, disability case managers will find this research useful, as it provides evidence for practical steps they can take to help their clients work toward achieving financial well-being.</t>
  </si>
  <si>
    <t>FIT INDEXES; MILLENNIALS; LITERACY</t>
  </si>
  <si>
    <t>Social work; disability; poverty; social inclusion; equalities; access to services</t>
  </si>
  <si>
    <t>JOURNAL OF SOCIAL WORK</t>
  </si>
  <si>
    <t>Assessing financial capability among people with disabilities</t>
  </si>
  <si>
    <t>McGarity, Stephen, V; Okech, David O.; Risler, Edwin; Clees, Thomas J.</t>
  </si>
  <si>
    <t>McGarity, SV; Okech, DO; Risler, E; Clees, TJ</t>
  </si>
  <si>
    <t>WOS:000856692000001</t>
  </si>
  <si>
    <t>4R3UA</t>
  </si>
  <si>
    <t>10.3390/land11091444</t>
  </si>
  <si>
    <t>Land</t>
  </si>
  <si>
    <t>LAND-BASEL</t>
  </si>
  <si>
    <t>2073-445X</t>
  </si>
  <si>
    <t>The study was coordinated by Tropenbos International within the framework of the Mobilising More for Climate and Working Landscape programs with the financial support of the Dutch Ministry of Foreign Affairs. It also received financial support from the CGIAR Research Program on Forests, Trees and Agroforestry (FTA) and from the NWO-WOTRO senior expert program of the Dutch Ministry of Foreign Affairs (grant 17953). Funding for EcoAgriculture staff inputs to the paper was generously provided by the Hitz Family Foundation.</t>
  </si>
  <si>
    <t>Dutch Ministry of Foreign Affairs; CGIAR Research Program on Forests, Trees and Agroforestry (FTA)(CGIAR); NWO-WOTRO senior expert program of the Dutch Ministry of Foreign Affairs; Hitz Family Foundation</t>
  </si>
  <si>
    <t>Dutch Ministry of Foreign Affairs; CGIAR Research Program on Forests, Trees and Agroforestry (FTA); NWO-WOTRO senior expert program of the Dutch Ministry of Foreign Affairs [17953]; Hitz Family Foundation</t>
  </si>
  <si>
    <t>Louman, Bas/0000-0002-7958-3178; Gitz, Vincent/0000-0002-8648-1524</t>
  </si>
  <si>
    <t>bas.louman@tropenbos.org</t>
  </si>
  <si>
    <t>Louman, B (corresponding author), Tropenbos Int, Horaplantsoen 12, NL-6717 LT Ede, Netherlands.</t>
  </si>
  <si>
    <t>CGIAR; Center for International Forestry Research (CIFOR)</t>
  </si>
  <si>
    <t>[Louman, Bas; Di Girolami, Erica; Primo, Luis Gomes] Tropenbos Int, Horaplantsoen 12, NL-6717 LT Ede, Netherlands; [Shames, Seth; Scherr, Sara J.] Ecoagr Partners, Oakton, VA 22124 USA; [Gitz, Vincent; Meybeck, Alexandre; Brady, Michael] Ctr Int Forestry Res CIFOR, Bogor 16115, Indonesia</t>
  </si>
  <si>
    <t>Access to finance is a key element of sustainable and inclusive landscapes. We conducted a literature review to identify the factors that contribute to or hinder inclusive financing for micro/small/medium-sized enterprises and projects across sectors in ways that collectively contribute to more sustainable landscapes in the tropics. The key factors in the design of inclusive landscape finance are landscape governance, the financial literacy of local stakeholders, access to finance technology and services, and inclusive finance facilities and associated mechanisms for integrated (i.e., multi-project, multi-sector, spatially coordinated) landscape finance. The most frequent challenges are the types of existing financial products, the lack of livelihood assets among recipients (such as capital and income), the lack of transparency in finance mechanisms, the small scale of potential business cases, and the high risks perceived by finance providers and their customers. From this review, we propose components specifically focused on financial inclusion that complement the framework for integrated landscape finance developed by the Finance Solutions Design Team for the 1000 Landscapes for 1 Billion People Initiative. We suggest how the revised framework can be applied in designing and assessing the inclusiveness of finance mechanisms for integrated landscape management and to guide further research.</t>
  </si>
  <si>
    <t>CLIMATE-CHANGE; CHALLENGES; POLICIES; LESSONS</t>
  </si>
  <si>
    <t>sustainable finance; inclusive finance; resilient landscape; integrated landscape management; landscape finance assessment framework</t>
  </si>
  <si>
    <t>LAND</t>
  </si>
  <si>
    <t>Access to Landscape Finance for Small-Scale Producers and Local Communities: A Literature Review</t>
  </si>
  <si>
    <t>Louman, Bas; Di Girolami, Erica; Shames, Seth; Primo, Luis Gomes; Gitz, Vincent; Scherr, Sara J.; Meybeck, Alexandre; Brady, Michael</t>
  </si>
  <si>
    <t>Louman, B; Di Girolami, E; Shames, S; Primo, LG; Gitz, V; Scherr, SJ; Meybeck, A; Brady, M</t>
  </si>
  <si>
    <t>WOS:001423957500001</t>
  </si>
  <si>
    <t>2HW8R</t>
  </si>
  <si>
    <t>10.1002/bse.4178</t>
  </si>
  <si>
    <t>Bus. Strateg. Environ.</t>
  </si>
  <si>
    <t>BUS STRATEG ENVIRON</t>
  </si>
  <si>
    <t>1099-0836</t>
  </si>
  <si>
    <t>0964-4733</t>
  </si>
  <si>
    <t>We are grateful to Geri Mason and the participants at the 7th European Research Conference on Microfinance for helpful comments on an early version of this paper. We would like to thank YAPU Solutions GmbH for the collection and provision of the survey data used in this paper and all microfinance institutions as well as their staff who responded to the survey for their involvement and valuable answers. We are grateful to the e-MFP Green Inclusive and Climate Smart Finance Action Group (GICSF-AG) and to Laura Camila Ariza Salinas who, during her internship with the GICSF-AG, conducted valuable preparatory work on part of the data used in this paper. We also thank Atlas and MicroFinanza Rating srl for having provided access to the Atlasdata.org database for the research presented in this paper, under the framework of their collaboration with the e-MFP GICSF-AG. Andreas Gerckens gratefully acknowledges funding by the Hanns-Seidel-Foundation with funds from the German Federal Ministry of Education and Research. Open Access funding enabled and organized by Projekt DEAL.</t>
  </si>
  <si>
    <t>Hanns-Seidel-Foundation; German Federal Ministry of Education and Research(Federal Ministry of Education &amp; Research (BMBF))</t>
  </si>
  <si>
    <t>Hanns-Seidel-Foundation; German Federal Ministry of Education and Research</t>
  </si>
  <si>
    <t>Gerckens, Aneas/0000-0002-9983-398X; Dorfleitner, Gregor/0000-0003-0270-0660</t>
  </si>
  <si>
    <t>Dorfleitner, G (corresponding author), Univ Regensburg, Dept Finance, Regensburg, Germany.;Dorfleitner, G (corresponding author), European Microfinance Platform e MFP, Green Inclus &amp; Climate Smart Finance Act Grp, Luxembourg, Luxembourg.;Dorfleitner, G (corresponding author), Ctr European Res Microfinance CERMi, Brussels, Belgium.</t>
  </si>
  <si>
    <t>University of Regensburg</t>
  </si>
  <si>
    <t>[Dorfleitner, Gregor; Gerckens, Andreas] Univ Regensburg, Dept Finance, Regensburg, Germany; [Forcella, Davide] JuST Inst Climate Biodivers &amp; Inclus Finance, Paris, France; [Dorfleitner, Gregor; Forcella, Davide] European Microfinance Platform e MFP, Green Inclus &amp; Climate Smart Finance Act Grp, Luxembourg, Luxembourg; [Dorfleitner, Gregor; Forcella, Davide] Ctr European Res Microfinance CERMi, Brussels, Belgium</t>
  </si>
  <si>
    <t>Climate change poses new challenges to the social mission and financial viability of microfinance institutions (MFIs). These include the vulnerability of borrowers, increased credit risks and the need to adapt to the changing climate. Using a novel microcredit data set, we first study the prevalence of climatic hazards and vulnerabilities in the portfolios of MFIs across Latin America and the Caribbean as well as sub-Saharan Africa. We find evidence of microborrower vulnerability to climatic hazards and associated heightened credit risk. We then explore ecosystem-based adaptation (EbA) as a potential strategic complement to inclusive finance in aiding adaptation. Our analysis finds widespread autonomous implementation of EbA by agricultural microborrowers. While EbA measures appear to negatively moderate the association between climatic hazards and microborrower vulnerabilities, we do not find them to be directly associated with lower vulnerabilities. Furthermore, lenders do not appear to increase financing of adaptation in portfolios with greater exposure to climatic hazards. The findings suggest a need to enhance the effectiveness of adaptive actions and further potential to expand the financing of EbA by MFIs.</t>
  </si>
  <si>
    <t>ECOSYSTEM-BASED ADAPTATION; CORPORATE SOCIAL-RESPONSIBILITY; SMALLHOLDER FARMERS; STAKEHOLDER THEORY; NATURAL DISASTERS; CREDIT RISK; MICROFINANCE; PERFORMANCE; AGRICULTURE; ADOPTION</t>
  </si>
  <si>
    <t>climate change adaptation; climate finance; inclusive finance; microfinance</t>
  </si>
  <si>
    <t>BUSINESS STRATEGY AND THE ENVIRONMENT</t>
  </si>
  <si>
    <t>Climate Change in Microcredit Portfolios: Evidence on Vulnerability, Adaptation and Implications for Inclusive Finance</t>
  </si>
  <si>
    <t>Dorfleitner, Gregor; Forcella, Davide; Gerckens, Andreas</t>
  </si>
  <si>
    <t>Dorfleitner, G; Forcella, D; Gerckens, A</t>
  </si>
  <si>
    <t>WOS:000876883800001</t>
  </si>
  <si>
    <t>10.1007/s10834-022-09869-6</t>
  </si>
  <si>
    <t>Sun, Sicong/0000-0003-4508-604X; Chen, Yu-Chih/0000-0002-5678-5850</t>
  </si>
  <si>
    <t>Sun, Sicong/JXL-9420-2024; Chen, Yu-Chih/J-9529-2019</t>
  </si>
  <si>
    <t>s-sun@ku.edu; yuchih@hku.hk</t>
  </si>
  <si>
    <t>Sun, SC (corresponding author), Univ Kansas, Sch Social Welf, 1545 Lilac Lane, Lawrence, KS 66045 USA.</t>
  </si>
  <si>
    <t>University of Kansas; University of Hong Kong</t>
  </si>
  <si>
    <t>[Sun, Sicong] Univ Kansas, Sch Social Welf, 1545 Lilac Lane, Lawrence, KS 66045 USA; [Chen, Yu-Chih] Univ Hong Kong, Dept Social Work &amp; Social Adm, Hong Kong, Peoples R China</t>
  </si>
  <si>
    <t>Financial capability, the combination of financial literacy (ability to act) and financial access (opportunity to act), improves people's access to resources, and thus has the potential to improve health and well-being. This paper positions financial capability under the framework of social determinants of health and discusses theory and presents empirical evidence on the link between financial capability and health. Using data from the RAND American Life Panel and the structural equation modeling approach, we distinguish financial capability from the common socioeconomic position indicators such as income and education. We find that financial capability has a positive and longitudinal effect on health, independent of race/ethnicity, gender, income, education, and employment. This study demonstrates that financial capability is an independent social determinant of health. It can be theoretically and conceptually defined, empirically measured, and can inform clinical interventions that may improve population health and well-being. Implications for future research, practice, and policy are discussed.</t>
  </si>
  <si>
    <t>FUNDAMENTAL CAUSE; RACISM; WOMEN; DISPARITIES; LITERACY; ISSUES; WORK</t>
  </si>
  <si>
    <t>social determinants of health; financial capability; socioeconomic position; socioeconomic status; financial access; financial literacy</t>
  </si>
  <si>
    <t>Is Financial Capability a Determinant of Health? Theory and Evidence</t>
  </si>
  <si>
    <t>Sun, Sicong; Chen, Yu-Chih</t>
  </si>
  <si>
    <t>Sun, SC; Chen, YC</t>
  </si>
  <si>
    <t>WOS:000457918100004</t>
  </si>
  <si>
    <t>VH9PF</t>
  </si>
  <si>
    <t>10.1177/2277975215607251</t>
  </si>
  <si>
    <t>Singh, Vijeta/R-2697-2018</t>
  </si>
  <si>
    <t>vijju.golu@gmail.com</t>
  </si>
  <si>
    <t>Singh, V (corresponding author), Indian Inst Technol, Dept Humanities &amp; Social Sci, Powai 400076, Maharashtra, India.</t>
  </si>
  <si>
    <t>Indian Institute of Technology System (IIT System); Indian Institute of Technology (IIT) - Bombay</t>
  </si>
  <si>
    <t>[Singh, Vijeta; Padhi, Puja] Indian Inst Technol, Dept Humanities &amp; Social Sci, Mumbai, India</t>
  </si>
  <si>
    <t>Financial sector has witnessed transformation with the adoption of information and communication technology (ICT) in providing financial services that ensured financial services to distant customers and reduced cost of providing financial services. The advent of ICT in financial system in general and microfinance sector in particular would not only scale up the access to finance but also attempt to ensure provision of financial services to the remotest and far-flung areas. Adoption of technology by microfinance institutions (MFIs) has increased its outreach and achieved cost reduction but confronted numerous challenges especially with respect to regulatory issues and delivery channels used. In this context, this article aims to assess the impact of ICT in client management, risk management and work efficiency of MFIs based on the case study of three MFIs (Cashpor Microcredit, SKS Microfinance Ltd and Utkarsh Microfinance Pvt Ltd). The article finds that the use of ICT has succeeded in bringing efficiency in terms of cost and client management, yet ICT adoption in MFIs needs a policy overhaul especially in terms of regulatory and infrastructure issues taking into account the aspirations and problems of all the stakeholders to microfinance sector.</t>
  </si>
  <si>
    <t>PERCEIVED USEFULNESS; USER ACCEPTANCE; BANKING; FRAMES; EASE</t>
  </si>
  <si>
    <t>Microfinance institutions; information and communication technology; point of sales; mobile banking; personal digital assistants; software</t>
  </si>
  <si>
    <t>Information and Communication Technology in Microfinance Sector: Case Study of Three Indian MFIs</t>
  </si>
  <si>
    <t>Singh, Vijeta; Padhi, Puja</t>
  </si>
  <si>
    <t>Singh, V; Padhi, P</t>
  </si>
  <si>
    <t>WOS:000776002200059</t>
  </si>
  <si>
    <t>0D4YH</t>
  </si>
  <si>
    <t>10.1371/journal.pone.0264647</t>
  </si>
  <si>
    <t>e0264647</t>
  </si>
  <si>
    <t>MAR 3</t>
  </si>
  <si>
    <t>yangxiaolista@yeah.net</t>
  </si>
  <si>
    <t>Yang, XL (corresponding author), Wuhan Univ, Sch Econ, Wuhan, Peoples R China.</t>
  </si>
  <si>
    <t>Zhejiang University of Technology; Zhejiang University of Technology; Wuhan University</t>
  </si>
  <si>
    <t>[Yao, Lianying] Zhejiang Univ Technol, Sch Econ, Hangzhou, Peoples R China; [Yao, Lianying] Zhejiang Univ Technol, Global Inst Zhejiang Merchants Dev, Hangzhou, Peoples R China; [Yang, Xiaoli] Wuhan Univ, Sch Econ, Wuhan, Peoples R China</t>
  </si>
  <si>
    <t>This paper summarizes the transmission chain of digital finance-financing constraint-firm innovation at the theoretical and practical levels, incorporates digital finance into the empirical analysis framework of firm innovation, selects the data of Chinese GEM(Growth Enterprise Market)-listed companies from 2011 to 2020, and matches the data of the digital inclusive finance index. The paper empirically examines the incentive effect and impact mechanism of digital finance on SME innovation through the two-way fixed-effects model and mediated-effects model by matching the data of China GEM-listed companies from 2011 to 2020 with the digital financial inclusion index data. The findings show that the digital development and promotion of digital finance play a significantly positive impact in helping SMEs innovate and stimulate innovation. The effect is realized by alleviating corporate financing constraints. Further, digital finance has different incentive effects on enterprises with varying rights of property nature, as well as on other regions.</t>
  </si>
  <si>
    <t>RESEARCH-AND-DEVELOPMENT; CASH FLOW; INVESTMENT; ENTERPRISES; KNOWLEDGE; ENTREPRENEURSHIP; INFORMATION; EFFICIENCY; EXCLUSION; SERVICES</t>
  </si>
  <si>
    <t>Can digital finance boost SME innovation by easing financing constraints?: Evidence from Chinese GEM-listed companies</t>
  </si>
  <si>
    <t>Yao, Lianying; Yang, Xiaoli</t>
  </si>
  <si>
    <t>Yao, LY; Yang, XL</t>
  </si>
  <si>
    <t>WOS:000770803500007</t>
  </si>
  <si>
    <t>VK9TB</t>
  </si>
  <si>
    <t>vmatsebula@uwc.ac.za; dyu@uwc.ac.za</t>
  </si>
  <si>
    <t>[Matsebula, Velenkosini; Yu, Derek] Univ Western Cape, Dept Econ, Private Bag X17, ZA-7535 Bellville, South Africa</t>
  </si>
  <si>
    <t>South Africa is notorious for numerous persistent economic problems of inequality, poverty and high unemployment. The country is simultaneously praised for a well-developed financial sector that provides a sophisticated array of financial products. Financial inclusion plays an important role to eradicate poverty and boost economic prosperity, yet financial inclusion is an under-researched topic in South Africa. This study examined the usage of financial services and products using the first four waves of the National Income Dynamics Study (NIDS) data. We conducted OLS and probit regressions to examine the impact of various personal- and household-level characteristics on the financial inclusion index and the probability of households being completely financially excluded, respectively. We found that households headed by more educated, older individuals enjoyed significantly higher financial inclusion index, whereas households residing in rural areas, mostly constituted by black people, in Eastern Cape, KwaZulu-Natal and Limpopo, with low real per capita income and fewer employed members, were associated with a significantly greater likelihood of complete financial exclusion. Lastly, the empirical findings suggested that poverty was associated with financial exclusion, including discrimination by banks against the poor. Not only is financial inclusion observed to be associated with systemic inequalities in South Africa, there is also a clear need for its pursuit that is aimed at avoiding the widening of inter-group inequalities. These findings call into question the holy grail in development economics.</t>
  </si>
  <si>
    <t>Financial inclusion; financial services; NIDS; South Africa</t>
  </si>
  <si>
    <t>An analysis of financial inclusion in South Africa</t>
  </si>
  <si>
    <t>Matsebula, Velenkosini; Yu, Derek</t>
  </si>
  <si>
    <t>Matsebula, V; Yu, D</t>
  </si>
  <si>
    <t>WOS:000541263600019</t>
  </si>
  <si>
    <t>LZ5KU</t>
  </si>
  <si>
    <t>Environmental Sciences &amp; Ecology; International Relations</t>
  </si>
  <si>
    <t>Environmental Studies; International Relations</t>
  </si>
  <si>
    <t>10.1016/j.marpol.2020.103982</t>
  </si>
  <si>
    <t>Mar. Pol.</t>
  </si>
  <si>
    <t>MAR POLICY</t>
  </si>
  <si>
    <t>1872-9460</t>
  </si>
  <si>
    <t>0308-597X</t>
  </si>
  <si>
    <t>This project was supported by Rare with funding support from the Bloomberg Philanthropies Vibrant Oceans Initiative, United States. The authors thank two anonymous reviewers for their useful comments.</t>
  </si>
  <si>
    <t>Bloomberg Philanthropies Vibrant Oceans Initiative, United States</t>
  </si>
  <si>
    <t>Robert.pomeroy@uconn.edu; carango@rare.org; clomboy@rare.org; sbox@rare.org</t>
  </si>
  <si>
    <t>Pomeroy, R (corresponding author), Univ Connecticut, Connecticut Sea Grant, 1080 Shennecossett Rd, Groton, CT 06340 USA.</t>
  </si>
  <si>
    <t>University of Connecticut</t>
  </si>
  <si>
    <t>[Pomeroy, Robert] Univ Connecticut, Connecticut Sea Grant, 1080 Shennecossett Rd, Groton, CT 06340 USA; [Arango, Carlos; Box, Steve] Rare, 1310 North Courthouse Rd,Suite 110, Arlington, VA 22201 USA; [Lomboy, Cristopher G.] Rare Philippines, 3rd Floor Trends Plaza,F Ramos St, Cebu 6000, Philippines</t>
  </si>
  <si>
    <t>Lack of access to financial services leaves fishing households and their fishing businesses with limited options to obtain financing and manage cash flow for family expenses or business investments. The lack of access is filled by informal lenders that can also be the primary buyers of fish or the owners of the boats. For rural fishing households, access to formal financial services, also known as financial inclusion, can bring increased financial resilience to the household. The paper reviews the current barriers to financial inclusion of small-scale fishing households such as limited financial capability and literacy, lack of assets for collateral, geographic distance from a financial institution and lack of formal identification. It also discusses solutions to address these barriers including financial literacy, de-risking financial institutions, financial data collection, provision of a range of financial services besides credit, and understanding the client that will enable fishing households to retain control over their earnings and savings. Financial inclusion can help reduce the different vulnerabilities of poor fishing households and rural communities and lead to improved economic resilience.</t>
  </si>
  <si>
    <t>MOBILE MONEY; SERVICES</t>
  </si>
  <si>
    <t>MARINE POLICY</t>
  </si>
  <si>
    <t>Financial inclusion to build economic resilience in small-scale fisheries</t>
  </si>
  <si>
    <t>Pomeroy, Robert; Arango, Carlos; Lomboy, Cristopher G.; Box, Steve</t>
  </si>
  <si>
    <t>Pomeroy, R; Arango, C; Lomboy, CG; Box, S</t>
  </si>
  <si>
    <t>WOS:000463534200004</t>
  </si>
  <si>
    <t>HS0ES</t>
  </si>
  <si>
    <t>10.2478/saeb-2019-0004</t>
  </si>
  <si>
    <t>Etudaiye-Muhtar, Oyebola Fatima/0000-0003-4094-7496</t>
  </si>
  <si>
    <t>Etudaiye-Muhtar, Oyebola Fatima/AAE-6413-2020</t>
  </si>
  <si>
    <t>abdulmumin.ba@unilorin.edu.ng; fatimaetudaiyemuhtar@yahoo.com; ajidejoke@gmail.com; oladejiridwanullahi@yahoo.com</t>
  </si>
  <si>
    <t>Abdulmumin, BA (corresponding author), Univ Ilorin, Dept Finance, Ilorin, Nigeria.</t>
  </si>
  <si>
    <t>University of Ilorin</t>
  </si>
  <si>
    <t>[Abdulmumin, Biliqees Ayoola; Etudaiye-Muhtar, Oyebola Fatima; Jimoh, Abdulrasaq Taiye; Sakariyahu, Ola Ridwan] Univ Ilorin, Dept Finance, Ilorin, Nigeria</t>
  </si>
  <si>
    <t>Financial inclusion is crucial for redistribution of economic resources between the deficit and surplus units in an economy. Despite the importance of financial inclusion, especially for economic growth of developing regions such as Sub-Saharan Africa, the prevailing level financial inclusion remain an open question. Against this background, this study investigates the level of financial inclusion in Sub-Saharan Africa between 2005 and 2015. This study employs secondary data obtained from the International Monetary Fund (IMF). The data obtained was subjected to Principal Component Analysis to determine the level of financial inclusion in Sub-Saharan Africa. The findings show that Sub-Saharan Africa has a medium level of financial inclusion during the observed period with Index of Financial Inclusion (IFI) value of 0.095023. The study concludes that Sub-Saharan Africa has high propensity to achieve a high level of financial inclusion in the region if more outlets of financial institutions are established.</t>
  </si>
  <si>
    <t>LAW; DETERMINANTS; ACCESS</t>
  </si>
  <si>
    <t>financial inclusion; financial inclusion index; Sub-Saharan Africa</t>
  </si>
  <si>
    <t>An Investigation into the Level of Financial Inclusion in Sub-Saharan Africa</t>
  </si>
  <si>
    <t>Abdulmumin, Biliqees Ayoola; Etudaiye-Muhtar, Oyebola Fatima; Jimoh, Abdulrasaq Taiye; Sakariyahu, Ola Ridwan</t>
  </si>
  <si>
    <t>Abdulmumin, BA; Etudaiye-Muhtar, OF; Jimoh, AT; Sakariyahu, OR</t>
  </si>
  <si>
    <t>WOS:000825115100017</t>
  </si>
  <si>
    <t>2X3NU</t>
  </si>
  <si>
    <t>Education, Special</t>
  </si>
  <si>
    <t>10.9756/INTJECSE/V14I2.903</t>
  </si>
  <si>
    <t>Int. J. Early Child. Spec. Educ.</t>
  </si>
  <si>
    <t>INT J EARLY CHILD SP</t>
  </si>
  <si>
    <t>1308-5581</t>
  </si>
  <si>
    <t>INST FINE ARTS, ESKISEHIR, 26470, TURKEY</t>
  </si>
  <si>
    <t>ESKISEHIR</t>
  </si>
  <si>
    <t>ANADOLU UNIV</t>
  </si>
  <si>
    <t>Neha, Pujari/OPN-9184-2025</t>
  </si>
  <si>
    <t>npujari@gitam.edu; rsakha@gitam.edu</t>
  </si>
  <si>
    <t>Neha, P (corresponding author), GITAM Deemed Univ, GITAM Inst Management, Visakhapatnam, Andhra Pradesh, India.</t>
  </si>
  <si>
    <t>Gandhi Institute of Technology &amp; Management (GITAM)</t>
  </si>
  <si>
    <t>[Neha, Pujari; Rao, Sakha Gangadhara Rama] GITAM Deemed Univ, GITAM Inst Management, Visakhapatnam, Andhra Pradesh, India</t>
  </si>
  <si>
    <t>Nations' economic growth is dependent on their financial system. Financial literacy is the only viable approach for attaining the financial system's objective. Financial literacy programs differ from country to country significantly in their Vision and their strategic objectives. In India, the need for financial literacy is increasing due to the low literacy rate and the vast proportion of the population that remains outside the formal financial system. The purpose of this paper is to present a snapshot of the current condition of financial literacy in India using various surveys and the numerous financial education initiatives started in India using multiple degrees of financial literacy.</t>
  </si>
  <si>
    <t>Financial Literacy; Financial Education; Financial Regulators; School level Curriculum; financial inclusion</t>
  </si>
  <si>
    <t>INTERNATIONAL JOURNAL OF EARLY CHILDHOOD SPECIAL EDUCATION</t>
  </si>
  <si>
    <t>A Study on Ways to Boost Financial Literacy Among the Individuals in India</t>
  </si>
  <si>
    <t>Neha, Pujari; Rao, Sakha Gangadhara Rama</t>
  </si>
  <si>
    <t>Neha, P; Rao, SGR</t>
  </si>
  <si>
    <t>WOS:001466410200001</t>
  </si>
  <si>
    <t>1JJ0X</t>
  </si>
  <si>
    <t>10.1016/j.digbus.2025.100119</t>
  </si>
  <si>
    <t>UNED funding for open access publishing.</t>
  </si>
  <si>
    <t>UNED; UNED</t>
  </si>
  <si>
    <t>FernandezBonilla, Fernando/LTY-8711-2024; Ruiz-Rua, Aurora/ABB-1937-2021; Martinez-de-Ibarreta, Carlos/N-3009-2016; Gijon, Covadonga/KFS-7630-2024</t>
  </si>
  <si>
    <t>charlie@icade.comillas.edu; auroraruizrua@cee.uned.es; cgijon@cee.uned.es; f.fernandezbonilla@cee.uned.es</t>
  </si>
  <si>
    <t>Gijón, C (corresponding author), UNED, Fac Laws, Obispo Trejo 2, Madrid 28040, Spain.</t>
  </si>
  <si>
    <t>Comillas Pontifical University; Universidad Nacional de Educacion a Distancia (UNED); Universidad Nacional de Educacion a Distancia (UNED)</t>
  </si>
  <si>
    <t>[de Ibarreta, Carlos Martinez] Univ Pontificia Comillas, ICADE, Rey Francisco 4, Madrid 28008, Spain; [Ruiz-Rua, Aurora; Fernandez-Bonilla, Fernando] UNED, Fac Econ, Senda Rey 11, Madrid 28040, Spain; [Gijon, Covadonga] UNED, Fac Laws, Obispo Trejo 2, Madrid 28040, Spain</t>
  </si>
  <si>
    <t>This paper examines the impact of banking digitalization in Spain, focusing on the consequences of branch closures and digital barriers for financial inclusion. Using panel data from the Survey on Equipment and Use of Information and Communication Technologies in Households (2017-2021), a logit model with random effects is estimated to analyse the determinants of e-banking adoption. The findings reveal that a lower density of bank branches per 1000 inhabitants significantly increases the propensity to use e-banking. However, digital financial inclusion remains uneven, with age, digital skills, gender, and geographic location playing critical roles in adoption patterns. While the COVID-19 pandemic accelerated e-banking uptake, structural inequalities persist, particularly among older adults and rural populations. Additionally, despite rising e-banking adoption, engagement with advanced digital financial services (e.g., stock trading, insurance, loans) remains limited, suggesting that digital financial literacy gaps continue to hinder full participation in digital banking. These findings highlight the need for targeted financial education programs, improved digital infrastructure, and hybrid banking models that ensure accessibility for vulnerable populations.</t>
  </si>
  <si>
    <t>ADOPTION; RESISTANCE; USAGE</t>
  </si>
  <si>
    <t>Aging population; Banking digitalization; Digital divide; E -banking adoption; Financial inclusion; Panel data analysis; Rural banking</t>
  </si>
  <si>
    <t>Banking digitalization in Spain: How branch closures and digital barriers reshape financial inclusion</t>
  </si>
  <si>
    <t>de Ibarreta, Carlos Martinez; Ruiz-Rua, Aurora; Gijon, Covadonga; Fernandez-Bonilla, Fernando</t>
  </si>
  <si>
    <t>de Ibarreta, CM; Ruíz-Rúa, A; Gijón, C; Fernández-Bonilla, F</t>
  </si>
  <si>
    <t>WOS:001227497100001</t>
  </si>
  <si>
    <t>10.1108/JSMA-07-2023-0175</t>
  </si>
  <si>
    <t>ARTURO DELGADO, BOLÍVAR/0000-0003-1905-7173; CEBALLOS GOMEZ, HUGO FERNANDO/0000-0002-0451-1583; Avelar, Aline Bento Ambrósio Avelar/0000-0002-0187-3677</t>
  </si>
  <si>
    <t>; CEBALLOS GOMEZ, HUGO FERNANDO/AAG-7857-2021; Avelar, Aline Bento Ambrósio Avelar/GOE-5885-2022</t>
  </si>
  <si>
    <t>aline.avelar@online.uscs.edu.br</t>
  </si>
  <si>
    <t>Avelar, ABA (corresponding author), Univ Municipal Sao Caetano do Sul USCS, Sao Caetano do Sul, Brazil.</t>
  </si>
  <si>
    <t>[Delgado, Bolivar Arturo] Univ Mariana, San Juan De Pasto, Colombia; [Avelar, Aline Bento Ambrosio] Univ Municipal Sao Caetano do Sul USCS, Sao Caetano do Sul, Brazil</t>
  </si>
  <si>
    <t>PurposeThe study focused on the impact of microcredit on the short-term finances of microentrepreneurs at the Galer &amp; iacute;as Shopping Center in San Juan de Pasto, Colombia, from 2019 to 2023.Design/methodology/approachThe design of the paper is empirical-analytical, focusing on the tangible and unique aspects of reality that can be fragmented for measurement. This approach privileges the use of data from the study population's experience, which is treated analytically through statistics to establish frequencies and correlations between variables. The research involved a structured questionnaire based on bibliographic references and considering the operational framework of the variables, which underwent expert review, necessary adjustments, a pilot test and subsequent validation in 2019 and 2023. The reliability of the instrument was assessed using Cronbach's alpha, ensuring a reliable indicator when equal to or greater than 0.7 in each analysis period. This methodology aimed to identify practices and how the financial profile influences short term.FindingsThe findings from the survey conducted with the microentrepreneurs at Galer &amp; iacute;as Shopping Center reveal several significant connections to the theoretical framework. The study revealed that many microentrepreneurs relied on their personal funds for business financing, indicating a limited understanding of financial principles. Additionally, a significant portion of microentrepreneurs mitigated investment risk by securing loans from financial institutions, yet none utilized government subsidies like entrepreneurship loans, pointing to a lack of advice. The findings underscore the importance of financial education and suitable financial services for business development.Research limitations/implicationsOne limitation of this study is the lack of detailed data on the financial structure of microentrepreneurs' businesses, as well as specific information on interest rates and the terms and conditions of the microcredit used. These limitations may affect the generalization of the results and the comprehensive understanding of the impact of microcredit on the short-term finances of microentrepreneurs. Future research could include a larger sample size and more accurate data on the financial structure of businesses, as well as a detailed investigation of interest rates and terms and conditions of microcredit, to provide a more comprehensive understanding of the financial impacts for microentrepreneurs.Practical implicationsThe findings of this study have practical implications for microentrepreneurs in the Galer &amp; iacute;as Shopping Center. The research emphasizes the need for improved financial knowledge, accounting practices and debt management among microentrepreneurs. It also highlights the importance of financial education and access to suitable financial services for business development. The study's insights can guide the development of training programs and initiatives aimed at enhancing financial literacy and financial management among microentrepreneurs, leading to more informed decision-making and improved financial outcomes.Social implicationsFrom a social perspective, this research contributes to promoting economic development and financial inclusion. By addressing the mismanagement of microcredit by microentrepreneurs and providing insights into their short-term finances, the study aims to foster economic empowerment and sustainable development within communities. The findings underscore the significance of microfinance in driving economic growth, reducing poverty and promoting social inclusion. The research emphasizes the importance of equitable access to financial services, which can contribute to narrowing the gap between the financially excluded population and the conventional financial system.Originality/valueThis research adds originality and value to the academic community by addressing the incidence of microcredit on the short-term finances of microentrepreneurs in the specific context of the Galer &amp; iacute;as Shopping Center in San Juan de Pasto, Colombia. By characterizing the financial profile of microentrepreneurs, establishing the relationship between microcredit characteristics and the financial profile and proposing an action plan, the study provides valuable insights for decision-making in both the academic and microfinance fields. The research contributes to the existing literature on microfinance and financial inclusion, offering a unique perspective and potential solutions for optimizing the use of microcredit-funded resources by microentrepreneurs.</t>
  </si>
  <si>
    <t>Microfinance; Microcredit; Microentrepreneurs</t>
  </si>
  <si>
    <t>Impact of microcredit on the short-term finances of microentrepreneurs</t>
  </si>
  <si>
    <t>Gomez, Hugo Fernando Ceballos; Delgado, Bolivar Arturo; Avelar, Aline Bento Ambrosio</t>
  </si>
  <si>
    <t>Gomez, HFC; Delgado, BA; Avelar, ABA</t>
  </si>
  <si>
    <t>WOS:000399080500008</t>
  </si>
  <si>
    <t>ER8OV</t>
  </si>
  <si>
    <t>10.1108/RIBS-06-2014-0072</t>
  </si>
  <si>
    <t>Bongomin, GOC (corresponding author), MUBS, Dept Finance, Kampala, Uganda.</t>
  </si>
  <si>
    <t>[Bongomin, George Okello Candiya; Nabeta, Isaac Nkote] MUBS, Dept Finance, Kampala, Uganda; [Ntayi, Joseph Mpeera] MUBS, Procurement &amp; Logist Management Dept, Kampala, Uganda; [Munene, John C.] MUBS, Grad &amp; Res Ctr, Kampala, Uganda</t>
  </si>
  <si>
    <t>Purpose - The purpose of this paper is to examine the mediating role of social capital in financialliteracy and financial inclusion relationship in rural Uganda. The major aim is to establish the role of social capital in the relationship between financial literacy and financial inclusion. Design/methodology/approach - The paper adopts and uses MedGraph programme (Excel version 3.0), Sobel and Kenny and Baron tests to test the mediation effect of social capital in the relationship between financial literacy and financial inclusion. Findings - The results reveals that social capital is a significant mediator in the relationship between financial literacy and financial inclusion of rural poor in Uganda. Financial literacy did not have a direct effect on financial inclusion, but through full mediation of social capital. Existence of social capital into the relationship boosts the relationship between financial literacy and financial inclusion by 61.6 per cent among rural poor households in Uganda. Thus, the finding suggests that with the absence of social capital, financial literacy may fail to enhance the level of financial inclusion among rural poor households in Uganda. Research limitations/implications - This study adopted only single research approach using a questionnaire. However, future research through interview may be of importance. Besides, for the purpose of triangulation, a study involving financial institutions' staff may be viable. Moreover this study was limited by the fact that it was cross-sectional. Furthermore, a longitudinal study may be useful in future to investigate the mediating impact of social capital spanning over a long period of time. Practical implications - Managers, policymakers and financial inclusion practitioners should advocate and embark on building social capital among rural communities, so as to improve on the level of financial inclusion. Originality/value - While a large body of research has been carried out on financial literacy, this paper is the first to test the mediating role of social capital in the relationship between financial literacy and financial inclusion, especially in rural Uganda. This study generates evidence and contributes to the powerful influence of social capital in enhancing the level of financial inclusion based on financial literacy.</t>
  </si>
  <si>
    <t>Microfinance; Uganda; Social capital; Financial inclusion/exclusion; Financial literacy/education; Poor households</t>
  </si>
  <si>
    <t>Social capital: mediator of financial literacy and financial inclusion in rural Uganda</t>
  </si>
  <si>
    <t>WOS:000313020500136</t>
  </si>
  <si>
    <t>BDF49</t>
  </si>
  <si>
    <t>Economics; Management; Regional &amp; Urban Planning</t>
  </si>
  <si>
    <t>978-7-5629-3854-5</t>
  </si>
  <si>
    <t>wangjing.wh@hotmail.com; whuthgh@yahoo.com.cn; catherinelei@126.com</t>
  </si>
  <si>
    <t>[Wang Jing; Hu Guohui; Lei Yinghui] Wuhan Univ Technol, Sch Econ, Wuhan 430070, Peoples R China</t>
  </si>
  <si>
    <t>This article studies the theory, structure and function of inclusive financial system in China through examining the financial exclusion of disadvantaged fields. It highlights the importance of building an inclusive financial system for supporting disadvantaged fields, and explores a system model with the cash flow and information flow which can integrate microfinance and the separate parts of the system into a unity. The study proposes that building an inclusive financial system should integrate the excluded, coordinate all components and follow the evolutionary laws of the system.</t>
  </si>
  <si>
    <t>Inclusive finance; Microfinance; Disadvantaged fields; Financial exclusion; System theory</t>
  </si>
  <si>
    <t>Eindhoven Univ Technol</t>
  </si>
  <si>
    <t>Pontif Catholic Univ Sao Paulo,Yamaguchi Univ,Wuhan Univ Technol</t>
  </si>
  <si>
    <t>Eindhoven Univ Technol, Eindhoven, NETHERLANDS</t>
  </si>
  <si>
    <t>NOV 14-16, 2012</t>
  </si>
  <si>
    <t>9th International Conference on Innovation and Management</t>
  </si>
  <si>
    <t>PROCEEDINGS OF THE 9TH INTERNATIONAL CONFERENCE ON INNOVATION AND MANAGEMENT</t>
  </si>
  <si>
    <t>Research on Inclusive Financial System in China: From the Perspective of Financial Support for Disadvantaged Fields</t>
  </si>
  <si>
    <t>Wang Jing; Hu Guohui; Lei Yinghui</t>
  </si>
  <si>
    <t>Duysters, G; DeHoyos, A; Kaminishi, K</t>
  </si>
  <si>
    <t>Wang, J; Hu, GH; Lei, YH</t>
  </si>
  <si>
    <t>WOS:000899796700001</t>
  </si>
  <si>
    <t>FO9D3</t>
  </si>
  <si>
    <t>10.1002/jid.3722</t>
  </si>
  <si>
    <t>Bros, Catherine/0000-0002-6895-5132; Fareed, Fozan/0000-0003-2765-1375</t>
  </si>
  <si>
    <t>ffareed@imf.org</t>
  </si>
  <si>
    <t>Fareed, F (corresponding author), Int Monetary Fund IMF, Washington, DC 20431 USA.</t>
  </si>
  <si>
    <t>Universite Gustave-Eiffel; International Monetary Fund; Universite Paris-Est-Creteil-Val-de-Marne (UPEC)</t>
  </si>
  <si>
    <t>[Bros, Catherine] Univ Gustave Eiffel, Champs Sur Marne, France; [Bros, Catherine] ERUDITE Res Unit, Champs Sur Marne, France; [Fareed, Fozan] Int Monetary Fund IMF, Washington, DC 20431 USA; [Lochard, Julie] Univ Paris Est Creteil, Creteil, France; [Lochard, Julie] ERUDITE Res Unit, Creteil, France</t>
  </si>
  <si>
    <t>Financial inclusion has received widespread attention from policymakers and researchers in recent years and is viewed in most macroeconomic studies as an engine of economic growth. By contrast, analyses at the micro-level have largely focused on microcredit rather than microfinance and reached more ambiguous conclusions. In particular, the literature concurs on the modesty of the impact of such programmes on poverty, if any. In this paper, we examine the effect of access to microfinance rather than microcredit only, as other financial services, such as savings for instance, can be put to the same use as credit by loosening constraints on investment or helping poor households to withstand shocks. Using nationally representative micro-data from Pakistan, we provide evidence that having geographical access to a microfinance institution raises the likelihood for an individual to move from a low-earning occupation such as being a salaried employee, farm worker or even a housewife to a more profitable entrepreneurship status. The effect is stronger in poorer regions, even after accounting for the nonrandom opening of financial branches. We conclude that financial inclusion should be further regarded as an effective ally in the fight against poverty.</t>
  </si>
  <si>
    <t>POVERTY ALLEVIATION; IMPACT; BANGLADESH; GENDER; MICROCREDIT; HOUSEHOLDS; SAVINGS; PROBIT; CREDIT</t>
  </si>
  <si>
    <t>entrepreneurship; financial inclusion; microfinance; Pakistan; poverty</t>
  </si>
  <si>
    <t>Climbing the economic ladder: The role of microfinance institutions in promoting entrepreneurship in Pakistan</t>
  </si>
  <si>
    <t>Bros, Catherine; Fareed, Fozan; Lochard, Julie</t>
  </si>
  <si>
    <t>Bros, C; Fareed, F; Lochard, J</t>
  </si>
  <si>
    <t>WOS:001536632300012</t>
  </si>
  <si>
    <t>5IS2K</t>
  </si>
  <si>
    <t>10.2478/picbe-2025-0116</t>
  </si>
  <si>
    <t>Renata Alves is Researcher of the University Blockchain Research Initiative with scholarship of Silicon Valley Community Foundation (SVCF) and Fundacao Getulio Vargas (FGV-EESP).</t>
  </si>
  <si>
    <t>Silicon Valley Community Foundation (SVCF); Fundacao Getulio Vargas (FGV-EESP)</t>
  </si>
  <si>
    <t>renatayumi92@gmail.com</t>
  </si>
  <si>
    <t>Alves, RA (corresponding author), Fundacao Getulio Vargas FGV, Sch Econ EESP, Sao Paulo, SP, Brazil.</t>
  </si>
  <si>
    <t>[Alves, Renata Ayumi] Fundacao Getulio Vargas FGV, Sch Econ EESP, Sao Paulo, SP, Brazil</t>
  </si>
  <si>
    <t>The Central Bank Digital Currencies (CBDC) can refine monetary statistics, fiscal policymaking, controls against illicit activities and promote financial inclusion. However, it could also raise concerns about data leakage and privacy. This paper analyzes the sentiment score of news towards CBDC using ChatGPT 4.0. The author extracted 11,679 news of LexisNexis database from 2018 to 2024, grouped in selected topics and create a new sentiment analysis index (CBDCSX). The results show i. Most of news related to CBDC were positive, wherein the events that drove to more positive news were related to the announcement of launches/pilot; and to more negative news were related to political speeches and legislation/consultation. ii. For the CBDC projects progress, the privacy concern should be overcome, since privacy is the main concern of citizens and professionals and that most appeared on the news, instead of cyber, attacks, digital thefts, and competition or association between cryptocurrencies versus CBDC. Therefore, the likelihood of a Central Bank issuing wholesale CBDC exceeds of issuing a retail CBDC, due to the privacy risk being reduced. And to CBDC become adopted by relevant economies, the regulatory and perception of the privacy concern should be solved, considering that USA and Europe government officials were the most mentioned on the news. This study enriches literature with the overall CBDC's sentiment and their events that triggered positive and negative sentiment, and highlights that privacy may guide the future of CBDC projects; and differentiates from the literature with the analysis of different languages using ChatGPT-4.0.</t>
  </si>
  <si>
    <t>ChatGPT; CBDC; Central Bank Digital Currency; sentiment analysis; topic modeling; privacy</t>
  </si>
  <si>
    <t>Central Bank Digital Currencies (CBDC) Sentiment Score Analysis of News using Chat GPT-4.0 from January 2018 to June 2024</t>
  </si>
  <si>
    <t>Alves, Renata Ayumi</t>
  </si>
  <si>
    <t>Alves, RA</t>
  </si>
  <si>
    <t>WOS:000731009700005</t>
  </si>
  <si>
    <t>XP6YU</t>
  </si>
  <si>
    <t>10.1142/S2194565921500093</t>
  </si>
  <si>
    <t>Glob. Econ. J.</t>
  </si>
  <si>
    <t>GLOB ECON J</t>
  </si>
  <si>
    <t>1553-5304</t>
  </si>
  <si>
    <t>2194-5659</t>
  </si>
  <si>
    <t>This work was financially supported by the research unit on Governance, Competitiveness and Public Policy (UIDB/04058/2020), funded by national funds through FCT - Fundacao para a Ciencia e a Tecnologia.</t>
  </si>
  <si>
    <t>national funds through FCT - Fundacao para a Ciencia e a Tecnologia(Fundacao para a Ciencia e a Tecnologia (FCT)); Fundação para a Ciência e a Tecnologia(Fundacao para a Ciencia e a Tecnologia (FCT)Instituto Politecnico Nacional - Mexico)</t>
  </si>
  <si>
    <t>national funds through FCT - Fundacao para a Ciencia e a Tecnologia [UIDB/04058/2020]; Fundação para a Ciência e a Tecnologia [UIDB/04058/2020] Funding Source: FCT</t>
  </si>
  <si>
    <t>Madaleno, Mara/0000-0002-4905-2771; Jungo, João Fernando/0000-0002-2681-4075;</t>
  </si>
  <si>
    <t>Madaleno, Mara/A-6356-2018; Botelho, Anabela/JYQ-5409-2024; Jungo, João/ADK-1960-2022</t>
  </si>
  <si>
    <t>Jungo, J (corresponding author), Univ Aveiro, Dept Econ Management Ind Engn &amp; Tourism DEGEIT, Res Unit Governance Competitiveness &amp; Publ Polici, Campus Univ Santiago, P-3810193 Aveiro, Portugal.</t>
  </si>
  <si>
    <t>[Jungo, Joao; Madaleno, Mara; Botelho, Anabela] Univ Aveiro, Dept Econ Management Ind Engn &amp; Tourism DEGEIT, Res Unit Governance Competitiveness &amp; Publ Polici, Campus Univ Santiago, P-3810193 Aveiro, Portugal</t>
  </si>
  <si>
    <t>Financial inclusion has allowed financial products with very high-interest rates and complex conditions to become increasingly affordable. Financial inclusion programs, which aim to reach all social strata, strongly expose financial institutions to risk and particularly credit risk. That said, additional interventions such as financial education of those included are needed. We aim to examine the impact of financial literacy and financial inclusion of households on bank performance. Specifically, we want to examine the impact of financial literacy on credit risk, competitiveness among banks and financial stability. The FGLS estimation results suggest that financial literacy and financial inclusion reduce credit risk and enhance the stability of banks, and regarding competitiveness, our results were inconclusive as they show different effects for each competitiveness indicator, although they point to improved competitiveness in some cases. This research allows policymakers to understand that individual financial attitudes can be reflected in the general welfare of financial institutions and encourages the intensification of programs aimed at improving household financial literacy.</t>
  </si>
  <si>
    <t>SUB-SAHARAN AFRICA; MARKET COMPETITION; EFFICIENCY; MONOPOLY; IMPACT</t>
  </si>
  <si>
    <t>Financial literacy; financial inclusion; competitiveness; credit risk; banking stability; feasible generalized least squared estimation</t>
  </si>
  <si>
    <t>GLOBAL ECONOMY JOURNAL</t>
  </si>
  <si>
    <t>FINANCIAL LITERACY AND FINANCIAL INCLUSION EFFECTS ON STABILITY AND COMPETITIVENESS INDICATORS IN THE BANKING SECTOR: CROSS COUNTRY EVIDENCE FOR AFRICA AND THE WORLD</t>
  </si>
  <si>
    <t>WOS:001082510400001</t>
  </si>
  <si>
    <t>U1MJ2</t>
  </si>
  <si>
    <t>10.1080/23322039.2023.2267270</t>
  </si>
  <si>
    <t>FAN, YANG/LSL-8229-2024; MASRON, TAJUL/B-9724-2011</t>
  </si>
  <si>
    <t>yangfanusmzuimei@student.usm.my</t>
  </si>
  <si>
    <t>Yang, F (corresponding author), Univ Sains Malaysia, Sch Management, Georgetown 10050, Pulau Pinang, Malaysia.</t>
  </si>
  <si>
    <t>Universiti Sains Malaysia; Universiti Sains Malaysia; Universiti Sains Malaysia</t>
  </si>
  <si>
    <t>[Yang, Fan] Univ Sains Malaysia, Sch Management, Gelugor, Pulau Pinang, Malaysia; [Masron, Tajul Ariffin] Univ Sains Malaysia, Sch Management, Finance Sect, Gelugor, Pulau Pinang, Malaysia; [Yang, Fan] Univ Sains Malaysia, Sch Management, Georgetown 10050, Pulau Pinang, Malaysia</t>
  </si>
  <si>
    <t>Digital transformation remains a passion. Globally, science and technology are transforming businesses to make them more competitive and conducive to sustainable development. However, rapid advancements in financial technology have enabled financial institutions to steal customers from traditional banks, resulting in their demise. Consequently, this study employs the System GMM-two step estimator and data from 118 Chinese banks from 2014 to 2021 investigate the issue. Empirical evidence suggests that banks' digital transformation has a negative impact on their profitability to some extent, but digital inclusive finance has enabled the bank to change its digital transformation behavior and enhance its operational performance. Therefore, banks must continue to strengthen their digital transformation by expanding online customer services, increasing the use of e-accounts and mobile applications, providing digital offline services, strengthening digital risk management and privacy and security controls, reducing customer psychological risk, and promoting financial inclusion. Financial inclusion should simultaneously achieve reduced financial exclusion of customers and increased financial literacy of customers. All these factors will help banks to maintain profitability by leveraging synergies with financial inclusion in the process of digital transformation.</t>
  </si>
  <si>
    <t>INFORMATION-TECHNOLOGY; PROFITABILITY EVIDENCE; EFFICIENCY; INNOVATION; DIVERSIFICATION; DETERMINANTS; INVESTMENT; FINTECH; IMPACT; INCOME</t>
  </si>
  <si>
    <t>digital transformation; financial inclusion; commercial bank; profitability; GMM; China</t>
  </si>
  <si>
    <t>Does financial inclusion moderate the effect of digital transformation on banks' performance in China?</t>
  </si>
  <si>
    <t>Yang, Fan; Masron, Tajul Ariffin</t>
  </si>
  <si>
    <t>Yang, F; Masron, TA</t>
  </si>
  <si>
    <t>WOS:000930999400009</t>
  </si>
  <si>
    <t>8W0FX</t>
  </si>
  <si>
    <t>10.17705/1CAIS.05036</t>
  </si>
  <si>
    <t>Commun. Assoc. Inf. Syst.</t>
  </si>
  <si>
    <t>COMMUN ASSOC INF SYS</t>
  </si>
  <si>
    <t>1529-3181</t>
  </si>
  <si>
    <t>Marrone, Mauricio/0000-0003-3896-6049; Linnenluecke, Martina/0000-0001-7984-9717; Cai, Cynthia Weiyi/0000-0002-4216-843X</t>
  </si>
  <si>
    <t>; Marracci, Mirko/HPE-4327-2023; Linnenluecke, Martina/J-7237-2013; Cai, Cynthia Weiyi/K-4944-2019</t>
  </si>
  <si>
    <t>cynthia.cai@mq.edu.au; mauricio.marrone@mq.edu.au; martina.linnenluecke@mq.edu.au</t>
  </si>
  <si>
    <t>Cai, C (corresponding author), Macquarie Univ, Macquarie Business Sch, Sydney, NSW, Australia.</t>
  </si>
  <si>
    <t>Macquarie University; Macquarie University</t>
  </si>
  <si>
    <t>[Cai, Cynthia; Marrone, Mauricio] Macquarie Univ, Macquarie Business Sch, Sydney, NSW, Australia; [Linnenluecke, Martina] Macquarie Univ, Ctr Corp Sustainabil &amp; Environm Finance, Macquarie Business Sch, Sydney, NSW, Australia</t>
  </si>
  <si>
    <t>This paper offers a systematic review of academic and practitioner-oriented literature on FinTech to determine the literature's existing scope and examine the intersection with work in the Information Systems (IS) field. Findings from our review show that the practitioner-oriented literature foreshadowed the rise of FinTech by extensively reporting on algorithm-based and electronic trading (2009 onwards), followed by reporting on FinTech start-ups and funding successes (2014 onwards). The practitioner literature subsequently reported on alternative finance models, the introduction of cryptocurrencies, and risks and regulatory issues. Academic literature on FinTech began to rise from 2014 onwards, focusing initially on the development of FinTech in the aftermath of the 2007-2008 global financial crisis. Research attention subsequently shifted to FinTech innovations (alternative finance, cryptocurrency and blockchain, machine-based methods for financial analysis and forecasting, including artificial intelligence), as well as risk and regulatory issues. IS work on FinTech started to emerge from 2015 onwards, initially focusing on mobile payment systems and peer-to-peer lending. However, the body of work at the intersection of FinTech and IS is still small. Our review sheds light on several opportunities for future research, including financial inclusion, the impacts arising from COVID-19, and the emergence of new business models, such as Banking as a Service (BaaS).</t>
  </si>
  <si>
    <t>ONLINE; TECHNOLOGY; IMPACT; CLASSIFICATION; COOPERATION; MANAGEMENT; BLOCKCHAIN; ECOSYSTEM; FINANCE; MODELS</t>
  </si>
  <si>
    <t>AlgoTrading; Cryptocurrency; Literature Review; Machine-based Learning; Research Trends; Risk and Regulation; Financial Inclusion; COVID-19; Banking as a Service (BaaS); RegTech</t>
  </si>
  <si>
    <t>COMMUNICATIONS OF THE ASSOCIATION FOR INFORMATION SYSTEMS</t>
  </si>
  <si>
    <t>Trends in FinTech Research and Practice: Examining the Intersection with the Information Systems Field</t>
  </si>
  <si>
    <t>Cai, Cynthia; Marrone, Mauricio; Linnenluecke, Martina</t>
  </si>
  <si>
    <t>Cai, C; Marrone, M; Linnenluecke, M</t>
  </si>
  <si>
    <t>WOS:000924067500007</t>
  </si>
  <si>
    <t>8L8ZG</t>
  </si>
  <si>
    <t>10.33436/v32i4y202207</t>
  </si>
  <si>
    <t>Rom. J. Infor. Tech. Autom. Control</t>
  </si>
  <si>
    <t>ROM J INF TECH AUT C</t>
  </si>
  <si>
    <t>1841-4303</t>
  </si>
  <si>
    <t>1220-1758</t>
  </si>
  <si>
    <t>8-10 MARESAL A AVERESCU AV, SECTOR 1, BUCHAREST, 011455, ROMANIA</t>
  </si>
  <si>
    <t>INST NATL CERCETARE-DEZVOLTARE INFORMATICA-ICI</t>
  </si>
  <si>
    <t>Arulanandam, Benedict Valentine/0000-0002-9653-4183; Ivascu, Larisa/0000-0003-1506-5467</t>
  </si>
  <si>
    <t>Arulanandam, Benedict Valentine/KFE-1386-2024; Ivascu, Larisa/E-5644-2016</t>
  </si>
  <si>
    <t>banciudoina@gmail.com; benedicta@sunway.edu.my; trymre@gmail.com; larisa.ivascu@upt.ro</t>
  </si>
  <si>
    <t>Banciu, D (corresponding author), Acad Romanian Scientists, Bucharest, Romania.</t>
  </si>
  <si>
    <t>Academy of Romanian Scientists (AOSR); Universitatea Politehnica Timisoara</t>
  </si>
  <si>
    <t>[Banciu, Doina] Acad Romanian Scientists, Bucharest, Romania; [Arulanandam, Benedict Valentine] Sunway Coll KL, Kuala Lumpur, Malaysia; [Munhenga, Trymore] Journey Our Communities, Siem Reap, Cambodia; [Ivascu, Larisa] Politehn Univ Timisoara, Timisoara, Romania</t>
  </si>
  <si>
    <t>This research uses an exploratory approach to evaluate digital financial literacy education and its impact on financial knowledge and financial behavior of rural residents. The villages in Siem Reap province were selected for this analysis, both for the provision of digital financial literacy education and for themeasurement of digital financial literacy with the purpose of determining their impact on reducing poverty. This study reveals that access to financial inclusion services has extended and the low levels of literacy and financial literacy of the people in the selected villages have contributed to their unsustainable financial habits and in the end, they led to overindebtedness. A new approach to digital institutional economics was introduced as a tool for the evaluation of microfinancing. The institutionalization of financial inclusion strategies to incorporate financial literacy and the adherence to the laws of financial markets and the commercialization of operations are in order to pave the way for individual financial well-being, institutional growth, and sustainable economic development.</t>
  </si>
  <si>
    <t>SYSTEM</t>
  </si>
  <si>
    <t>financial literacy; financial inclusion; microfinance; poverty; sustainability</t>
  </si>
  <si>
    <t>ROMANIAN JOURNAL OF INFORMATION TECHNOLOGY AND AUTOMATIC CONTROL-REVISTA ROMANA DE INFORMATICA SI AUTOMATICA</t>
  </si>
  <si>
    <t>Digital financial literacy and and microfinancing among underprivileged communities in Cambodia</t>
  </si>
  <si>
    <t>Banciu, Doina; Arulanandam, Benedict Valentine; Munhenga, Trymore; Ivascu, Larisa</t>
  </si>
  <si>
    <t>Banciu, D; Arulanandam, BV; Munhenga, T; Ivascu, L</t>
  </si>
  <si>
    <t>WOS:000294348000015</t>
  </si>
  <si>
    <t>813DW</t>
  </si>
  <si>
    <t>10.1002/bltj.20512</t>
  </si>
  <si>
    <t>COMMERCE PLACE, 350 MAIN STREET, MALDEN, MA 02148-529 USA</t>
  </si>
  <si>
    <t>Mampaey, MJ (corresponding author), Alcatel Lucent Bell Labs, Technol Advisory Grp, Antwerp, Belgium.</t>
  </si>
  <si>
    <t>Alcatel-Lucent; Alcatel-Lucent; Alcatel-Lucent</t>
  </si>
  <si>
    <t>[Mampaey, Marcel J.] Alcatel Lucent Bell Labs, Technol Advisory Grp, Antwerp, Belgium; [Mampaey, Marcel J.] Alcatel Antwerp Res Ctr, Antwerp, Belgium; [Mampaey, Marcel J.] TINA C, Core Team, New York, NY USA; [Mampaey, Marcel J.] Alcatel, Paris, France; [Mampaey, Marcel J.] TINA C, Object Management Grp, New York, NY USA; [Mampaey, Marcel J.] IMS Secur 3GPP SA3, Sophia Antipolis, France</t>
  </si>
  <si>
    <t>This paper proposes a novel electronic monetary transaction scheme that provides secure access to a set of mobile payment services for unbanked consumers equipped with mobile handsets. It considers a realistic scenario of a remittance service, i.e., a user-to-user transfer of funds, in which users do not necessarily trust intermediate parties (called agents) or their infrastructures and therefore require end-to-end security and privacy protection. Since the payment solutions market is very fragmented, we also assume that users and agents are subscribed to different payment solution providers. The paper proposes a holistic approach to securing payment services by focusing on securing the transaction rather than requiring users to authenticate with unknown agent infrastructures and by using a mechanism of delegation of trust. It also proposes a novel security approach for securing payment transactions over insecure communication channels based on the Identity Based Authenticated Key Exchange (IBAKE). (C) 2011 Alcatel-Lucent.</t>
  </si>
  <si>
    <t>Secure Remittance Transaction to Bankless Consumers in a Fragmented Applications Market</t>
  </si>
  <si>
    <t>Mampaey, Marcel J.</t>
  </si>
  <si>
    <t>Mampaey, MJ</t>
  </si>
  <si>
    <t>WOS:000615822200001</t>
  </si>
  <si>
    <t>ZS6RF</t>
  </si>
  <si>
    <t>Social Issues; Social Sciences - Other Topics; Women's Studies</t>
  </si>
  <si>
    <t>Social Issues; Social Sciences, Interdisciplinary; Women's Studies</t>
  </si>
  <si>
    <t>10.1080/09589236.2021.1884536</t>
  </si>
  <si>
    <t>J. Gend. Stud.</t>
  </si>
  <si>
    <t>J GENDER STUD</t>
  </si>
  <si>
    <t>1465-3869</t>
  </si>
  <si>
    <t>0958-9236</t>
  </si>
  <si>
    <t>kh_kim@hufs.ac.kr</t>
  </si>
  <si>
    <t>Kim, K (corresponding author), Hankuk Univ Foreign Studies HUFS, Dept Middle East &amp; African Studies, Seoul 130791, South Korea.</t>
  </si>
  <si>
    <t>[Kim, Kyungha] SOAS Dept Econ, London, England</t>
  </si>
  <si>
    <t>This paper assesses to what extent, and in what ways, mobile money has affected the financial inclusion of women in Nairobi. Women in Kenya have limited property rights and continue to require approval from their husbands or male family members to conduct financial activities. Besides, most women are concentrated in the informal economy, which has exacerbated their level of financial exclusion since they struggle to provide the documentation that financial institutions require, thus making them more dependent on informal finance. This paper demonstrates how mobile money has significantly decreased the proportion of women in Nairobi excluded from using financial services. Drawing upon survey work conducted by the author across eight areas of Nairobi, this research reveals how mobile money has enabled women to benefit from instant remittance and payment services, and has offered a means of storing money safely, which is an attribute particularly valued by younger women and those with lower levels of educational attainment and income. Although mobile money does not address many of the structural drivers of gendered financial inequality, it has improved levels of financial inclusion by increasing women's access to various financial channels from which they were previously excluded.</t>
  </si>
  <si>
    <t>financial inclusion; fintech; mobile money; gender; women’ s empowerment</t>
  </si>
  <si>
    <t>JOURNAL OF GENDER STUDIES</t>
  </si>
  <si>
    <t>Assessing the impact of mobile money on improving the financial inclusion of Nairobi women</t>
  </si>
  <si>
    <t>Kim, Kyungha</t>
  </si>
  <si>
    <t>Kim, K</t>
  </si>
  <si>
    <t>WOS:000373817800006</t>
  </si>
  <si>
    <t>DI9JD</t>
  </si>
  <si>
    <t>10.1080/02255189.2016.1140022</t>
  </si>
  <si>
    <t>I am grateful to the Financial Sector Deepening Trust, Kenya, for funding this research.</t>
  </si>
  <si>
    <t>Financial Sector Deepening Trust, Kenya</t>
  </si>
  <si>
    <t>Johnson, S (corresponding author), Univ Bath, Dept Social &amp; Policy Sci, Bath BA2 7AY, Avon, England.</t>
  </si>
  <si>
    <t>University of Bath</t>
  </si>
  <si>
    <t>[Johnson, Susan] Univ Bath, Dept Social &amp; Policy Sci, Bath BA2 7AY, Avon, England</t>
  </si>
  <si>
    <t>Financial inclusion policy has been ignited globally by the rise of money transfer services over mobile phones led by the example of Kenya. This article examines the financial practices of low-income people and the social relational dimensions of debt that underlie these transactions, and contrasts these with widely used services of informal groups and banks' services. This highlights a fiduciary culture where relationships of equality and negotiability dominate in contrast to a tendency towards hierarchical relations with banks. This questions policy-makers' expectations that mobile money transfer will seamlessly facilitate engagement with the formal sector for savings and credit.</t>
  </si>
  <si>
    <t>CREDIT ASSOCIATIONS; ANTHROPOLOGY</t>
  </si>
  <si>
    <t>Financial inclusion; microfinance; mobile money; Kenya; Africa</t>
  </si>
  <si>
    <t>Competing visions of financial inclusion in Kenya: the rift revealed by mobile money transfer</t>
  </si>
  <si>
    <t>Johnson, Susan</t>
  </si>
  <si>
    <t>WOS:000636054800024</t>
  </si>
  <si>
    <t>VJ8JE</t>
  </si>
  <si>
    <t>Duvendack, M (corresponding author), Univ East Anglia, Sch Int Dev, Norwich Res Pk, Norwich NR2 3HT, Norfolk, England.</t>
  </si>
  <si>
    <t>[Duvendack, Maren] Univ East Anglia, Sch Int Dev, Norwich Res Pk, Norwich NR2 3HT, Norfolk, England; [Mader, Philip] Univ Sussex, Inst Dev Studies, Lib Rd, Brighton BN1 9RE, E Sussex, England</t>
  </si>
  <si>
    <t>MICROFINANCE; MHEALTH; HEALTH; INTERVENTIONS; POVERTY; MICROCREDIT; STRATEGIES; HIV/AIDS; POLICY; GRADE</t>
  </si>
  <si>
    <t>Protocol: Impact of financial inclusion in low-and middle-income countries: a systematic review of reviews</t>
  </si>
  <si>
    <t>WOS:000563539900001</t>
  </si>
  <si>
    <t>SO2WU</t>
  </si>
  <si>
    <t>10.1111/ecot.12262</t>
  </si>
  <si>
    <t>Osei-Tutu, Francis/0000-0003-2176-3456</t>
  </si>
  <si>
    <t>Osei-Tutu, Francis/AAZ-3683-2020</t>
  </si>
  <si>
    <t>Weill, L (corresponding author), Univ Strasbourg, Sci Po Strasbourg, 7 Rue Ecarlate, F-67000 Strasbourg, France.</t>
  </si>
  <si>
    <t>Universites de Strasbourg Etablissements Associes; Universite de Strasbourg; Universites de Strasbourg Etablissements Associes; Universite de Strasbourg; MGIMO University</t>
  </si>
  <si>
    <t>[Osei-Tutu, Francis] Univ Strasbourg, Strasbourg, France; [Weill, Laurent] Univ Strasbourg, EM Strasbourg Business Sch, Strasbourg, France; [Weill, Laurent] MGIMO Univ, Moscow State Inst Int Relat, Moscow, Russia</t>
  </si>
  <si>
    <t>Reference to gender in language can lead individuals to draw distinctions between genders and reinforce traditional views of gender roles. To test our hypothesis that language gender marking exerts an influence on the gender gap in financial inclusion, we draw on data for 117 countries in the World Bank's Global Findex database and perform logit estimations at the individual level. We find the gender gap in the probability of owning a formal account, having access to a formal credit, as well as having savings in a formal financial institution is higher for countries with gendered languages than for countries with genderless languages. These findings are confirmed in robustness checks that control for alternative measures of culture and estimations at the country level.</t>
  </si>
  <si>
    <t>GENDER-ROLES; WOMEN; CREDIT; DETERMINANTS; ACCESS</t>
  </si>
  <si>
    <t>financial inclusion; gender; language</t>
  </si>
  <si>
    <t>Sex, language and financial inclusion*</t>
  </si>
  <si>
    <t>Osei-Tutu, Francis; Weill, Laurent</t>
  </si>
  <si>
    <t>Osei-Tutu, F; Weill, L</t>
  </si>
  <si>
    <t>WOS:000407466100002</t>
  </si>
  <si>
    <t>FD3XQ</t>
  </si>
  <si>
    <t>Business &amp; Economics; Geography</t>
  </si>
  <si>
    <t>Business; Economics; Geography</t>
  </si>
  <si>
    <t>10.1177/1024529417712830</t>
  </si>
  <si>
    <t>Compet. Chang.</t>
  </si>
  <si>
    <t>COMPET CHANG</t>
  </si>
  <si>
    <t>1477-2221</t>
  </si>
  <si>
    <t>1024-5294</t>
  </si>
  <si>
    <t>raitken@ualberta.ca</t>
  </si>
  <si>
    <t>Aitken, R (corresponding author), Univ Alberta, Dept Polit Sci, Edmonton, AB T6G 2R3, Canada.</t>
  </si>
  <si>
    <t>University of Alberta</t>
  </si>
  <si>
    <t>[Aitken, Rob] Univ Alberta, Edmonton, AB, Canada</t>
  </si>
  <si>
    <t>Global financial and data capitalism has constituted new forms of knowledge, novel inscriptions which make that knowledge tangible and new ways of visualizing sources of value and profit. This paper examines a cluster of new practices designed to make visible - and extract value from - those without formal credit scores in contemporary financial markets. Many financial inclusion' projects now attempt to score the credit invisible' by drawing on a range of alternative data - non-financial payment streams, academic records, behavioural signals gleaned from online or social media footprints and results generated via digitized psychometric testing - and by assessing that data in relation to models of risk assessment based on the analysis of big data. I argue in this paper that these experiments in alternative credit scoring constitute the unbanked as an important, and dubious, category of knowledge and intervention. I also argue that attempts to score the unbanked offer a revealing glimpse of many of the social and political limitations associated with projects of inclusion'. Although often imagined as forms of pristine incorporation, inclusion projects often constitute troubling new kinds of social sorting and segmentation.</t>
  </si>
  <si>
    <t>FINANCIALIZATION; FINANCE; POLITICS; ECONOMY; CRISIS</t>
  </si>
  <si>
    <t>Financialization; credit invisibles; big data; unbanked; inclusion; exclusion; visualization</t>
  </si>
  <si>
    <t>COMPETITION &amp; CHANGE</t>
  </si>
  <si>
    <t>All data is credit data': Constituting the unbanked</t>
  </si>
  <si>
    <t>Aitken, Rob</t>
  </si>
  <si>
    <t>Aitken, R</t>
  </si>
  <si>
    <t>WOS:001397410200001</t>
  </si>
  <si>
    <t>6VO7U</t>
  </si>
  <si>
    <t>10.1080/26437015.2024.2432385</t>
  </si>
  <si>
    <t>Peter, Serin/0000-0002-1766-209X; Geetha, E/0000-0002-1346-7641; G, Vidya Bai/0000-0001-8785-0152</t>
  </si>
  <si>
    <t>Elangovan, G (corresponding author), Manipal Acad Higher Educ, Dept Commerce, New Management Block, Manipal 576104, Karnataka, India.</t>
  </si>
  <si>
    <t>[Peter, Serin; Elangovan, Geetha; Bai, Gokarna Vidya] Manipal Acad Higher Educ, Dept Commerce, New Management Block, Manipal 576104, Karnataka, India</t>
  </si>
  <si>
    <t>The imperative role of financial inclusion (FI) indispensably ensures the sustainability of women's entrepreneurial endeavors in the evolving financial landscape. Scholarly narration provides evidence that women entrepreneurs fail to access financing due to their lower demand for funds, supply-side discrimination, and perceived structural barriers. Financial literacy (FL) is vital for FI. The study gauges the level of FI among Indian women entrepreneurs and its effect on firm performance (FP) with the moderating effect of FL. Data were collected from 216 women entrepreneurs through a structured questionnaire on the LinkedIn platform to assess the level of FL in the financial technologies era. The study revealed that traditional financial inclusion and digital financial inclusion significantly impact the FP of women's enterprises. Further, there is evidence that a relatively lower mean score, FL, does not moderate the relationship between FI and FP. It urges policy reformers, financial institutions, entrepreneurial educators, and government bodies to promulgate policies and training programs on antecedents that enable long-term women's entrepreneurial financial inclusiveness.</t>
  </si>
  <si>
    <t>ENTREPRENEURIAL ORIENTATION; FIRM GROWTH; ACCESS; RESOURCES; KNOWLEDGE; IMPACT; CAPABILITY; BEHAVIORS; CREDIT; MICRO</t>
  </si>
  <si>
    <t>Financial inclusion; digital finance; financial literacy; women entrepreneurship</t>
  </si>
  <si>
    <t>Unveiling the nexus: Financial inclusion, financial literacy, and financial performance as catalyst for women-owned enterprises in India</t>
  </si>
  <si>
    <t>Peter, Serin; Elangovan, Geetha; Bai, Gokarna Vidya</t>
  </si>
  <si>
    <t>Peter, S; Elangovan, G; Bai, GV</t>
  </si>
  <si>
    <t>WOS:000588514100001</t>
  </si>
  <si>
    <t>10.1108/JFEP-10-2019-0207</t>
  </si>
  <si>
    <t>Safdar, Muhammad Nabeel/0000-0002-6231-676X; Amin, Saba/0000-0001-8473-5001</t>
  </si>
  <si>
    <t>Safdar, Muhammad Nabeel/AAA-8096-2019</t>
  </si>
  <si>
    <t>ownpowerz@outlook.com; tianlin@zzu.edu.cn; sabanabeel916@gmail.com</t>
  </si>
  <si>
    <t>Safdar, MN (corresponding author), Zhengzhou Univ, Sch Business, Zhengzhou, Peoples R China.</t>
  </si>
  <si>
    <t>Zhengzhou University</t>
  </si>
  <si>
    <t>[Safdar, Muhammad Nabeel; Lin, Tian; Amin, Saba] Zhengzhou Univ, Sch Business, Zhengzhou, Peoples R China</t>
  </si>
  <si>
    <t>Purpose This study, a symposium, aims to explore the determinants of financial inclusion, impact of cross-country income-variations on financial inclusion, do high-income countries really uplift the financial inclusion and does the higher financial inclusion index indicate the larger economy? Design/methodology/approach This study adopts the panel data model to investigate the impact of high-income countries and low- and middle-income countries on financial inclusion. However, this study further adopts the principal component analysis rather than Sarma's approach to calculate the financial inclusion index. Findings Based on the Data of World Bank, United Nations, International Monetary Fund, World Development Indicators, this study concludes that there is no nexus between income variations and financial inclusion, as the study reveals that some low- and middle-income countries have greater financial inclusion index such as Thailand (2.8538FII), Brazil (1.9526FII) and Turkey (0.8582FII). In low- and middle-income countries, the gross domestic product per capita, information technology and communication, the rule of law, age dependency ratio and urbanization have a noteworthy impact on financial inclusion that accumulatively describe the 83% of the model. Whereas, in high-income countries, merely, information technology and urbanization have a substantial influence on the growth of financial revolution and financial inclusion that describes the 70% of the total. Research limitations/implications The biggest limitation is the availability of data from different countries. Originality/value The originality of this paper is its technique, which is used in this paper to calculate the financial inclusion index. Furthermore, this study contributes to 40 different countries based on income, which could help to boost financial inclusion, and ultimately, it leads them toward economic growth.</t>
  </si>
  <si>
    <t>Microfinance institutions; Personal finance; Financial inclusion; High-income countries; Low- and middle-income countries; Information technology; Urbanization; Rule of law; Age dependency ratio</t>
  </si>
  <si>
    <t>Cross-country income variations and inclusive financing</t>
  </si>
  <si>
    <t>Safdar, Muhammad Nabeel; Lin, Tian; Amin, Saba</t>
  </si>
  <si>
    <t>Safdar, MN; Lin, T; Amin, S</t>
  </si>
  <si>
    <t>WOS:001547670000001</t>
  </si>
  <si>
    <t>5YY2R</t>
  </si>
  <si>
    <t>10.1177/09763996251356998</t>
  </si>
  <si>
    <t>2025 AUG 7</t>
  </si>
  <si>
    <t>HOWLADER, SAJIB/0009-0005-1559-6198;</t>
  </si>
  <si>
    <t>; Halder, Papi/PDW-1360-2025</t>
  </si>
  <si>
    <t>phalder.fin01@gmail.com</t>
  </si>
  <si>
    <t>Halder, P (corresponding author), Univ Barishal, Dept Finance &amp; Banking, Barishal, Bangladesh.</t>
  </si>
  <si>
    <t>University of Barishal</t>
  </si>
  <si>
    <t>[Howlader, Sajib; Halder, Papi] Univ Barishal, Dept Finance &amp; Banking, Barishal, Bangladesh</t>
  </si>
  <si>
    <t>This research article investigates the impact of fintech, particularly mobile financial services (MFS), on financial inclusion in Bangladesh. Utilizing time-series data spanning from 2004 to 2021, the study constructs an index of financial inclusion (FII) based on three dimensions: penetration, availability and usage. The research reveals that the financial inclusion index in MFS has shown a remarkable increase of approximately 99% in 2021. Despite advancements in the financial sector, many people, especially those residing in rural and underprivileged areas, still lack access to essential banking services. MFS expands banking access through mobile technology, enhancing financial inclusion. The advent of MFS, facilitated by fintech innovations, has revolutionized access to financial services, offering new opportunities for financial inclusion. This study emphasizes the critical role of technology economic prosperity in driving financial inclusion and expanding access to financial services across all segments of the population in Bangladesh.</t>
  </si>
  <si>
    <t>Fintech; MFS; financial inclusion; penetration; availability and usage</t>
  </si>
  <si>
    <t>Fintech's Impact on Financial Inclusion Through Mobile Financial Services in Bangladesh</t>
  </si>
  <si>
    <t>Howlader, Sajib; Halder, Papi</t>
  </si>
  <si>
    <t>Howlader, S; Halder, P</t>
  </si>
  <si>
    <t>WOS:001200187400008</t>
  </si>
  <si>
    <t>NJ8W2</t>
  </si>
  <si>
    <t>10.7203/CIRIEC-E.110.25755</t>
  </si>
  <si>
    <t>Alonso, Sergio/AAJ-9071-2020; Albert, Juan Francisco/AAY-8105-2021</t>
  </si>
  <si>
    <t>Juan.F.Albert@uv.es; Nerea.Gomez@uv.es; sergio.nanez@ucavila.es</t>
  </si>
  <si>
    <t>University of Valencia; University of Valencia</t>
  </si>
  <si>
    <t>[Albert, Juan Francisco; Fernandez, Nerea Gomez] Univ Valencia, Dept Econ Aplicada, Valencia, Spain; [Fernandez, Nerea Gomez] Univ Valencia, EvalPub, Valencia, Spain; [Alonso, Sergio Luis Nanez] Univ Catolica Avila, Dept Econ &amp; Grp Invest DEKIS, Grp Invest DEKIS, Avila, Spain</t>
  </si>
  <si>
    <t>In recent years, two processes of monetary innovation have occurred simultaneously: the digitization of money and the rise of social currencies. These trends have been integrated and have led to the emergence of what we call digital social currencies. This paper has two objectives. On the one hand, we assess the advantages and disadvantages of a complete digitization of social currencies. While new technologies and digitization offer significant advantages for social currencies, such as the possibility of making them more far-reaching and efficient, they can also have several challenges and problems. Among the most important problems is the exclusion of use by individuals with little interest or digital skills. Focusing on this problem, in the second part of the paper we conduct a quantitative analysis, using multilevel logistic models and data from the Global Findex survey, to discern which part of the population are less susceptible to the use digital money. Knowing which population groups might be excluded from digital social currencies can be used to develop and design public policies aimed at improving financial and digital inclusion for the entire population.</t>
  </si>
  <si>
    <t>COMMUNITY; CRYPTOCURRENCIES; GREEN</t>
  </si>
  <si>
    <t>Social currencies; digital currencies; financial inclusion; Global Findex</t>
  </si>
  <si>
    <t>Expanded abstract Social Currencies in the Digital Era: Challenges and Opportunities</t>
  </si>
  <si>
    <t>Albert, Juan Francisco; Fernandez, Nerea Gomez; Alonso, Sergio Luis Nanez</t>
  </si>
  <si>
    <t>Albert, JF; Fernández, NG; Alonso, SLN</t>
  </si>
  <si>
    <t>WOS:000698688000009</t>
  </si>
  <si>
    <t>BS2BA</t>
  </si>
  <si>
    <t>978-1-931971-39-3</t>
  </si>
  <si>
    <t>This work was supported by a grant from the Bill &amp; Melinda Gates Foundation, and approved by ethics committees at the University of Cambridge and at Strathmore University.</t>
  </si>
  <si>
    <t>Sevilla, Joseph/0000-0002-9112-824X; Mutegi, Lorna/0000-0002-3617-1659</t>
  </si>
  <si>
    <t>; Mutegi, Lorna/AAL-7349-2020</t>
  </si>
  <si>
    <t>Khaled.Baqer@cl.cam.ac.uk; Ross.Anderson@cl.cam.ac.uk; jp@jeunesepayne.com; lmutegi@strathmore.edu; joe@strathmore.edu</t>
  </si>
  <si>
    <t>Baqer, K (corresponding author), Univ Cambridge, Comp Lab, Cambridge, England.</t>
  </si>
  <si>
    <t>University of Cambridge; Strathmore University</t>
  </si>
  <si>
    <t>[Baqer, Khaled; Anderson, Ross] Univ Cambridge, Comp Lab, Cambridge, England; [Mutegi, Lorna; Sevilla, Joseph] Strathmore Univ, Nairobi, Kenya</t>
  </si>
  <si>
    <t>Mobile payments support a range of services in many less developed countries including everyday payments, migrant remittances, credit, tax collection, and welfare benefits. These services depend entirely on the mobile phone network as their carrier, so they stop where the network does. This leaves millions of the very poorest people stranded - people living in remote areas where there is little to no network service. It also leaves urban users at the mercy of network congestion. We developed a prototype system, DigiTally, which lets users make offline payments by copying short strings of digits from one mobile handset to another. Offline payments are already used for electricity (both in prepayment meters and pay-as-you-go solar); can we extend them into a general-purpose payment system, to increase service resilience in the face of network congestion or outage, and provide service to currently excluded areas? We report the results of a preliminary study with an early prototype of DigiTally, tested on participants from a university in Nairobi (Kenya). The code-sharing process presented a possible usability challenge. To explore this and other aspects of an early prototype, DigiTally was introduced to Kenyan participants in order to resolve any major issues before a later field trial. We discuss the lessons learned from our field visits and initial evaluation; we hope that this contribution is helpful for researchers and policy makers interested in mobile payments and financial inclusion. We also present our findings and observations. We found that, although offline payments involve copying codes in both directions between the payer's phone and the payee's, the extra workload was acceptable to most users.</t>
  </si>
  <si>
    <t>USABILITY</t>
  </si>
  <si>
    <t>USENIX Assoc,NSF,Facebook,Google,Microsoft,NetApp,ACM Queue,Distributed Management Task Force</t>
  </si>
  <si>
    <t>Santa Clara, CA</t>
  </si>
  <si>
    <t>JUL 12-14, 2017</t>
  </si>
  <si>
    <t>13th Symposium on Usable Privacy and Security (SOUPS)</t>
  </si>
  <si>
    <t>PROCEEDINGS OF THIRTEENTH SYMPOSIUM ON USABLE PRIVACY AND SECURITY (SOUPS 2017)</t>
  </si>
  <si>
    <t>DigiTally: Piloting Offline Payments for Phones</t>
  </si>
  <si>
    <t>Baqer, Khaled; Anderson, Ross; Payne, Jeunese Adrienne; Mutegi, Lorna; Sevilla, Joseph</t>
  </si>
  <si>
    <t>Baqer, K; Anderson, R; Payne, JA; Mutegi, L; Sevilla, J</t>
  </si>
  <si>
    <t>WOS:001271258100001</t>
  </si>
  <si>
    <t>YV4X3</t>
  </si>
  <si>
    <t>10.1016/j.gfj.2024.101008</t>
  </si>
  <si>
    <t>The authors would like to acknowledge InfraVis for providing application expertise for visualization through Swedish Research Council grant 2021-00181.</t>
  </si>
  <si>
    <t>Nourallah, Mustafa/0000-0002-3321-3366;</t>
  </si>
  <si>
    <t>; Nourallah, Mustafa/D-1324-2015</t>
  </si>
  <si>
    <t>mustafa.nourallah@miun.se</t>
  </si>
  <si>
    <t>Nourallah, M (corresponding author), Mid Sweden Univ, Ctr Res Econ Relat, Dept Econ Geog Law &amp; Tourism, SE-85170 Sundsvall, Sweden.</t>
  </si>
  <si>
    <t>Mid-Sweden University</t>
  </si>
  <si>
    <t>[Nourallah, Mustafa; Ohman, Peter; Hamati, Samer] Mid Sweden Univ, Ctr Res Econ Relat, Sundsvall, Sweden</t>
  </si>
  <si>
    <t>Enhancing household financial capability is important for mitigating severe economic challenges. In the European Union (EU), financial technology (FinTech) solutions are considered critical for managing household finance, but their role in enhancing financial capability is ambiguous. Herein, we measure financial capability in the EU and investigate the effect of FinTech using three waves of panel data from Global Findex (2014, 2017, and 2021) and Eurostat Databases. According to the analyses, EU countries vary greatly in terms of FinTech and financial capability, with countries in the Union's north scoring remarkably high. Results emphasize a considerable effect of FinTech on financial capability and highlight an increase in the latter when the Human Development Index increases. Practical guidelines for measuring financial capability are also presented to assist countries that require additional efforts to effectively address financial capability challenges.</t>
  </si>
  <si>
    <t>INSTRUMENTAL VARIABLE ESTIMATION; PANEL-DATA; FINTECH; TESTS; TRANSFORMATION; SPECIFICATION; COUNTRIES; LITERACY; INCOME</t>
  </si>
  <si>
    <t>Financial capability; Financial technology; Financial well-being; Personal finance; European Union</t>
  </si>
  <si>
    <t>Financial technology and financial capability: Study of the European Union</t>
  </si>
  <si>
    <t>Nourallah, Mustafa; Ohman, Peter; Hamati, Samer</t>
  </si>
  <si>
    <t>Nourallah, M; Öhman, P; Hamati, S</t>
  </si>
  <si>
    <t>WOS:000321535700006</t>
  </si>
  <si>
    <t>179QF</t>
  </si>
  <si>
    <t>10.1016/j.telpol.2012.10.004</t>
  </si>
  <si>
    <t>6-7</t>
  </si>
  <si>
    <t>Bisht, Shailena/0000-0001-7571-1470;</t>
  </si>
  <si>
    <t>Bisht, Shailena/U-8057-2017; Mishra, Vishal/KIG-5438-2024</t>
  </si>
  <si>
    <t>mevishal@gmail.com; shailendrabisht@gmail.com</t>
  </si>
  <si>
    <t>Mishra, V (corresponding author), IBS, Dontanapalli Campus,Shankarpalli Rd, Hyderabad 501203, Andhra Pradesh, India.</t>
  </si>
  <si>
    <t>The ICFAI Foundation for Higher Education (IFHE); ICFAI Business School (IBS)</t>
  </si>
  <si>
    <t>[Mishra, Vishal; Bisht, Shailendra Singh] IBS, Hyderabad 501203, Andhra Pradesh, India</t>
  </si>
  <si>
    <t>India needs inclusive growth to pull millions out of poverty. Despite the best efforts of mainstream financial institutions, financial exclusion is depriving millions of poor any chance to attain adequate standard of living. Telecommunication infrastructure growth especially mobile phone penetration has created an opportunity for providing financial inclusion. The current state of mobile banking is characterized by a top-down approach. This paper presents a bottom-up approach of designing mobile banking service which would be acceptable and accessible to the poor customers. The results point to clear preference of the urban poor for a joint bank-telecom led mobile banking model. Conjoint analysis of the data points to preference for attributes related to security/safety of a bank along with the coverage, accessibility and nimbleness of a telecom service provider with minimal documentation. The paper in its conclusion exhorts the regulators, telecom service providers and financial institutions to involve end-users in order to create a sustainable mobile banking service for financial inclusion. (c) 2012 Elsevier Ltd. All rights reserved.</t>
  </si>
  <si>
    <t>Financial inclusion; Mobile banking; Telecommunication infrastructure; Urban poor; Developing economy; India</t>
  </si>
  <si>
    <t>Mobile banking in a developing economy: A customer-centric model for policy formulation</t>
  </si>
  <si>
    <t>Mishra, Vishal; Bisht, Shailendra Singh</t>
  </si>
  <si>
    <t>Mishra, V; Bisht, SS</t>
  </si>
  <si>
    <t>WOS:000210905500008</t>
  </si>
  <si>
    <t>V61NS</t>
  </si>
  <si>
    <t>10.1108/H-07-2014-0051</t>
  </si>
  <si>
    <t>Hassan, Abul/0000-0001-9368-5552; Hassan, Abul/0000-0002-6355-1884</t>
  </si>
  <si>
    <t>Hassan, Abul/M-6865-2014; Hassan, Abul/M-6865-2014</t>
  </si>
  <si>
    <t>abulhassan03@yahoo.co.uk</t>
  </si>
  <si>
    <t>Hassan, A (corresponding author), King Fahad Univ Petr &amp; Minerals, Ctr Res Excellence Islamic Banking &amp; Finance, Dhahran, Saudi Arabia.</t>
  </si>
  <si>
    <t>King Fahd University of Petroleum &amp; Minerals</t>
  </si>
  <si>
    <t>[Hassan, Abul] King Fahad Univ Petr &amp; Minerals, Ctr Res Excellence Islamic Banking &amp; Finance, Dhahran, Saudi Arabia</t>
  </si>
  <si>
    <t>Purpose -The purpose of this paper is to initiate a direct discourse towards an Islamic microfinance focus agenda for the economic enlistment of the poor minority community and to allow poorer households in the financial inclusion. The issue of the Indian conventional microfinance institutions in failing to attract the poorest of the poor amongst Muslims is important for the purpose of this paper. This study explores a Shari'ah-compliant microfinance system which will create a level of playing-field with respect to the financial inclusion of the poor. Design/methodology/approach -The paper is a theoretical discussion on Islamic microfinancial services for financial inclusion of the poor. Therefore, there is little to say about methodology other than the conventional microfinance model is reviewed, and an alternative model of Islamic microfinancial service has been suggested to allow poorer households in the financial inclusion. Findings -The paper finds that there are some opportunities capable of improving the economic condition of the poor Muslim communities through some innovative approaches. To illustrate this finding, the paper emphasises on designing and delivering Islamic microfinancial products suitable for the poor based on the principle of Islamic solidarity. It argues that this service will help the poor and turn their savings into sums large enough to satisfy a wide range of personal, social and asset-building needs as well as needs relating to small businesses and consumption. Research limitations/implications -The paper's findings are limited to the matter of financial inclusion of the poor through Islamic microfinancial services in India. Originality/value -Combining the Islamic social principle of solidarity for the less fortunate with the power of microfinance to provide financial access to the poor has the potential to reach out to millions more people. The ideas presented in this paper are designed to direct discourse towards an Islamic microfinance focus agenda for the economic enlistment of the poor Muslims in India.</t>
  </si>
  <si>
    <t>Conventional microfinance; Economic enlistment; Financial inclusion; Islamic microfinancial service; Income generating; Policymakers</t>
  </si>
  <si>
    <t>Financial inclusion of the poor: from microcredit to Islamic microfinancial services</t>
  </si>
  <si>
    <t>Hassan, Abul</t>
  </si>
  <si>
    <t>Hassan, A</t>
  </si>
  <si>
    <t>WOS:001464259700001</t>
  </si>
  <si>
    <t>3IZ9O</t>
  </si>
  <si>
    <t>10.1177/14727978251318815</t>
  </si>
  <si>
    <t>J. Comput. Methods Sci. Eng.</t>
  </si>
  <si>
    <t>J COMPUT METHODS SCI</t>
  </si>
  <si>
    <t>1875-8983</t>
  </si>
  <si>
    <t>1472-7978</t>
  </si>
  <si>
    <t>The author(s) disclosed receipt of the following financial support for the research, authorship, and/or publication of this article: This work was supported by the Research on the Mechanism of Digital Inclusive Finance Supporting Poverty Alleviation Areas in Henan Province under the Background of Rural Revitalization (2024.01 Henan Province Key Research and Promotion Special Project (Soft Science), 242400410172, Hosted) (242400410172) and the Research on the Mechanism of Financial Support for Poverty Alleviation in Henan Province under the Background of Rural Revitalization (Key Research Project of Higher Education Institutions in Henan Province, September 2022, 23A790033, Hosted) (23A790033).</t>
  </si>
  <si>
    <t>Research on the Mechanism of Digital Inclusive Finance Supporting Poverty Alleviation Areas in Henan Province under the Background of Rural Revitalization; Research on the Mechanism of Financial Support for Poverty Alleviation in Henan Province under the Background of Rural Revitalization (Key Research Project of Higher Education Institutions in Henan Province)</t>
  </si>
  <si>
    <t>Research on the Mechanism of Digital Inclusive Finance Supporting Poverty Alleviation Areas in Henan Province under the Background of Rural Revitalization [2024.01, 242400410172]; Research on the Mechanism of Financial Support for Poverty Alleviation in Henan Province under the Background of Rural Revitalization (Key Research Project of Higher Education Institutions in Henan Province) [23A790033]</t>
  </si>
  <si>
    <t>zhu, weiwei/HGE-2866-2022</t>
  </si>
  <si>
    <t>zhuwewei1008@126.com</t>
  </si>
  <si>
    <t>Zhu, WW (corresponding author), Luoyang Polytech, Coll Ecommerce Logist, 6 Keji Ave, Luoyang 720000, Peoples R China.</t>
  </si>
  <si>
    <t>Kyrgyz Economic University</t>
  </si>
  <si>
    <t>[Zhu, Weiwei] Luoyang Polytech, Coll Ecommerce Logist, 6 Keji Ave, Luoyang 720000, Peoples R China; [Zhu, Weiwei] Kyrgyz Econ Univ, Bishkek, Kyrgyzstan</t>
  </si>
  <si>
    <t>This study examines the impact of digital financial inclusion (DFI) and graph neural networks (GNNs) on preventing poverty recurrence and promoting sustainable rural revitalization in Henan Province. Significant differences in poverty alleviation policies across counties and cities in Henan affect the demand for and effectiveness of digital financial services, thus influencing the efficiency of policy implementation. Using the feasible generalized least squares method, the study measures multidimensional poverty vulnerability and explores the roles of DFI and GNNs in mitigating poverty risks. The study integrates data from the CFPS (China Family Panel Studies), Peking University Digital Financial Inclusion Index, and Henan Statistical Yearbook, employing graph convolutional networks and SHAP (Shapley Additive Explanation) to analyze the causes of poverty and identify high-risk households. Fixed effects and instrumental variable methods address endogeneity, with robustness verified through Probit and Logit regression models. Empirical results show that DFI and GNNs significantly reduce farmers' poverty vulnerability, with coefficients of -0.641 and -0.236, respectively, indicating a strong negative correlation with poverty vulnerability at the 1% significance level. In central and southern Henan, DFI alleviates poverty vulnerability, particularly in the economically weaker areas, but the digitalization index is positively correlated with poverty vulnerability, highlighting regional economic disparities. The findings suggest that DFI and GNNs are essential for poverty alleviation in Henan, particularly in underdeveloped areas, and should be tailored to local conditions for effective poverty reduction.</t>
  </si>
  <si>
    <t>digital financial inclusion; poverty recurrence; graph neural network; rural revitalization in Henan Province; multidimensional poverty vulnerability</t>
  </si>
  <si>
    <t>JOURNAL OF COMPUTATIONAL METHODS IN SCIENCES AND ENGINEERING</t>
  </si>
  <si>
    <t>Using digital financial inclusion and graph neural networks to prevent poverty recurrence in the revitalization of multiple villages in Henan Province</t>
  </si>
  <si>
    <t>Zhu, Weiwei</t>
  </si>
  <si>
    <t>Zhu, WW</t>
  </si>
  <si>
    <t>WOS:000512153300001</t>
  </si>
  <si>
    <t>KJ6EV</t>
  </si>
  <si>
    <t>10.1177/2158244019901252</t>
  </si>
  <si>
    <t>The author(s) disclosed receipt of the following financial support for the research, authorship, and/or publication of this article: This study received financial support from Professor Lu Yajuan (Xuzhou Medical University, Xuzhou and School of Finance, Nanjing Audit University, Nanjing, China).</t>
  </si>
  <si>
    <t>Xuzhou Medical University, Xuzhou; School of Finance, Nanjing Audit University, Nanjing, China</t>
  </si>
  <si>
    <t>Mahmud, Appel/0000-0003-4499-0846;</t>
  </si>
  <si>
    <t>Mahmud, Appel/AAR-2183-2020; Hasan, Mohammad/AAK-2185-2020</t>
  </si>
  <si>
    <t>luyajuan66@126.com</t>
  </si>
  <si>
    <t>Lu, YJ (corresponding author), Nanjing Audit Univ, Sch Finance, Nanjing 211815, Peoples R China.;Lu, YJ (corresponding author), Xuzhou Med Univ, Xuzhou 221002, Jiangsu, Peoples R China.</t>
  </si>
  <si>
    <t>Nanjing Audit University; Xuzhou Medical University; Chinese Academy of Sciences; University of Science &amp; Technology of China, CAS</t>
  </si>
  <si>
    <t>[Hasan, Md Morshadul; Lu Yajua] Nanjing Audit Univ, Sch Finance, Nanjing 211815, Peoples R China; [Lu Yajua] Xuzhou Med Univ, Xuzhou 221002, Jiangsu, Peoples R China; [Mahmud, Appel] Univ Sci &amp; Technol China, Sch Management, Hefei, Peoples R China</t>
  </si>
  <si>
    <t>Financial technology, commonly used the term as FinTech, is a key emerging driver of inclusive finance. This is also one of the emerging issues of finance as well as financial research. This research is done with the purpose of showing the present status of China's FinTech in inclusive finance development. In addition, the study raises regional disparity and critical issues related to the inclusive development. A secondary data analysis methods are systematically carried out to demonstrate the present situation of internet finance in the development of inclusive finance in China, as well as the developing status of different provinces through internet finance. The ultimate finding of this research is that, despite significant development in China's financial system, there is still a development inequality between the most and least developed regions. This study also identifies some important issues that should be taken care of by the policy makers. This research is done from authentic data also sources with appropriate explanations, which help the readers, academicians, researchers, and others to get comprehensive understanding of China's FinTech and its influence on inclusive development.</t>
  </si>
  <si>
    <t>FINTECH START-UPS; INTERNET FINANCE; ECOSYSTEM; INVESTMENT; INNOVATION; PAYMENTS; SERVICES</t>
  </si>
  <si>
    <t>internet finance; FinTech; inclusive finance; financial inclusion; Chinese economy; mobile payment; inclusive development</t>
  </si>
  <si>
    <t>Regional Development of China's Inclusive Finance Through Financial Technology</t>
  </si>
  <si>
    <t>Hasan, Md Morshadul; Lu Yajua; Mahmud, Appel</t>
  </si>
  <si>
    <t>Hasan, MM; Lu, YJ; Mahmud, A</t>
  </si>
  <si>
    <t>WOS:001279532800001</t>
  </si>
  <si>
    <t>A0L1Y</t>
  </si>
  <si>
    <t>10.1016/j.irfa.2024.103481</t>
  </si>
  <si>
    <t>Mertzanis, Charilaos/OJV-5282-2025</t>
  </si>
  <si>
    <t>suwaidi.reem@gmail.com; charilaos.mertzanis@adu.ac.ae</t>
  </si>
  <si>
    <t>AlSuwaidi, RA (corresponding author), Abu Dhabi Univ, Abu Dhabi, U Arab Emirates.</t>
  </si>
  <si>
    <t>Abu Dhabi University</t>
  </si>
  <si>
    <t>[AlSuwaidi, Reem Ahmed; Mertzanis, Charilaos] Abu Dhabi Univ, Abu Dhabi, U Arab Emirates</t>
  </si>
  <si>
    <t>Leveraging new data on fintech financing from the Bank of International Settlements, this study establishes a strong, positive association between financial literacy and the growth of the FinTech market across 114 countries from 2013 to 2019. We construct a new education policy-based measure of financial literacy based on the extent to which financial education is planned and subsequently integrated in public education curricula, using data from the World Bank's Global Financial Inclusion and Consumer Protection Survey. Additionally, we use the Standard and Poor's Global Financial Literacy Survey to obtain a market-based measure of financial literacy reflecting individuals' financial knowledge. We identify nonlinear effects within this relationship. This correlation between financial literacy and FinTech market growth remained consistent in varying economic, technological, and institutional contexts, validated through rigorous sensitivity tests and endogeneity analysis. The results imply that higher levels of financial literacy within a population could serve as a catalyst for expanding the FinTech market, underscoring the key role of financial knowledge in fostering the adoption and utilization of FinTech products and services thereby providing useful policy directions.</t>
  </si>
  <si>
    <t>TRANSFORMATION; SERVICES; ADOPTION</t>
  </si>
  <si>
    <t>FinTech finance; Financial literacy, technological adoption; Institutions; Global</t>
  </si>
  <si>
    <t>Financial literacy and FinTech market growth around the world</t>
  </si>
  <si>
    <t>AlSuwaidi, Reem Ahmed; Mertzanis, Charilaos</t>
  </si>
  <si>
    <t>AlSuwaidi, RA; Mertzanis, C</t>
  </si>
  <si>
    <t>WOS:001002970800001</t>
  </si>
  <si>
    <t>FN7L3</t>
  </si>
  <si>
    <t>10.1108/IJSSP-03-2023-0056</t>
  </si>
  <si>
    <t>13/14</t>
  </si>
  <si>
    <t>JUN 12</t>
  </si>
  <si>
    <t>DODARO, MARIA/0000-0002-4693-0145</t>
  </si>
  <si>
    <t>DODARO, MARIA/HOH-9927-2023</t>
  </si>
  <si>
    <t>maria.dodaro@unipd.it; lavinia.bifulco@unimib.it</t>
  </si>
  <si>
    <t>Dodaro, M (corresponding author), Univ Padua, Dept Philosophy Sociol Educ &amp; Appl Psychol, Padua, Italy.</t>
  </si>
  <si>
    <t>University of Padua; University of Milano-Bicocca</t>
  </si>
  <si>
    <t>[Dodaro, Maria] Univ Padua, Dept Philosophy Sociol Educ &amp; Appl Psychol, Padua, Italy; [Bifulco, Lavinia] Univ Milano Bicocca, Dept Sociol &amp; Social Res, Milan, Italy</t>
  </si>
  <si>
    <t>PurposeThe purpose of this paper is to explore two financial inclusion measures adopted within the local welfare context of the city of Milan, Italy, examining their functioning and underpinning representations. The aim is also to understand how such representations take concrete shape in the practices of local actors, and their implications for the opportunities and constraints regarding individuals' effective inclusion. To this end, this paper takes a wide-ranging look at the interplay between the rise of financial inclusion and the individualisation and responsibilisation models informing welfare policies, within the broader context of financialisation processes overall.Design/methodology/approachThis paper draws on the sociology of public action approach and provides a qualitative analysis of two case studies, a social microcredit service and a financial education programme, based on direct observation and semi-structured interviews conducted with key policy actors.FindingsThis paper sheds light on the rationale behind two financial inclusion services and illustrates how the instruments involved incorporate and tend to reproduce, individualising logics that reduce the problem of financial exclusion, and the social and economic vulnerability which underlies it, to a matter of personal responsibility, thus fuelling depoliticising tendencies in public action. It also discusses the contradictions underlying financial inclusion instruments, showing how local actors negotiate views and strategies on the problems to be addressed.Originality/valueThe paper makes an original contribution to the field of sociology and social policy by focusing on two under-researched instruments of financial inclusion and improving understanding of the finance-welfare state nexus and of the contradictions underpinning attempts at financial inclusion of the most vulnerable.</t>
  </si>
  <si>
    <t>EUROPE</t>
  </si>
  <si>
    <t>Financial inclusion; Financial education; Financialisation; Individualisation; Depoliticisation; Microcredit; Social policy; Responsibilisation</t>
  </si>
  <si>
    <t>The depoliticisation of social policy through financial inclusion</t>
  </si>
  <si>
    <t>Dodaro, Maria; Bifulco, Lavinia</t>
  </si>
  <si>
    <t>Dodaro, M; Bifulco, L</t>
  </si>
  <si>
    <t>WOS:000487309000010</t>
  </si>
  <si>
    <t>IZ7WD</t>
  </si>
  <si>
    <t>10.15408/etk.v18i1.9070</t>
  </si>
  <si>
    <t>Etikonomi</t>
  </si>
  <si>
    <t>ETIKONOMI</t>
  </si>
  <si>
    <t>2461-0771</t>
  </si>
  <si>
    <t>1412-8969</t>
  </si>
  <si>
    <t>FAC ECONOMIC &amp; BUSINESS, JL IR H JUANDA 95, CIPUTAT, SOUTH TANGERANG, BANTEN, 15412, INDONESIA</t>
  </si>
  <si>
    <t>BANTEN</t>
  </si>
  <si>
    <t>SYARIF SYARIF HIDAYATULLAH STATE UNIV JAKARTA</t>
  </si>
  <si>
    <t>etty.susilowati@budiluhur.ac.id; leonnard.ong@ipmi.ac.id</t>
  </si>
  <si>
    <t>Susilowati, E (corresponding author), Budi Luhur Univ, Jl Ciledug Raya, Jakarta, Indonesia.</t>
  </si>
  <si>
    <t>University Budi Luhur</t>
  </si>
  <si>
    <t>[Susilowati, Etty] Budi Luhur Univ, Jl Ciledug Raya, Jakarta, Indonesia; [Leonnard] IPMI Int Business Sch, Jl Rawajati Timur 1-1, Jakarta, Indonesia</t>
  </si>
  <si>
    <t>In order to increase access to formal financial institutions, the Indonesian government has issued various national strategies. However, Indonesia's inclusive financial index is still under other ASEAN countries. Therefore, in this study, we investigate the factors that influence financial inclusion in Indonesia. The microdata from global findex 2014 was carried out in this study by using binary logistic regression analysis. The finding indicates that there is a significant positive relationship between individual characteristics, including financial inclusion, constraints to financial inclusion, utilization of financial services motivation, and loan sources. Since the main targets of financial inclusion are the poor, this finding becomes an essential proposition for policies in the banking sector, that besides the factors of gender, age, education, and type of jobs, income is the primary factor that influences access and utilization of financial services. Mainly regarding loans, increased income will increase the opportunities of the poor to getting loans because only high-income groups have collateral in applying for loans.</t>
  </si>
  <si>
    <t>ACCESS; DETERMINANTS; SERVICES; DISPARITY; GENDER</t>
  </si>
  <si>
    <t>financial inclusion; individual characteristics; saving; loans</t>
  </si>
  <si>
    <t>Factors Influence Financial Inclusion: Evidence from Indonesian Micro Data</t>
  </si>
  <si>
    <t>Susilowati, Etty; Leonnard</t>
  </si>
  <si>
    <t>Susilowati, E; Leonnard</t>
  </si>
  <si>
    <t>WOS:001011120100001</t>
  </si>
  <si>
    <t>J7AX9</t>
  </si>
  <si>
    <t>10.1080/23311886.2023.2225829</t>
  </si>
  <si>
    <t>The work was supported by the~Kingdom University [2017-52].</t>
  </si>
  <si>
    <t>Kingdom University</t>
  </si>
  <si>
    <t>Kingdom University [2017-52]</t>
  </si>
  <si>
    <t>Rahiman, Habeeb Ur/0000-0002-8042-7375; PARVIN, S M RIHA/0000-0003-4030-6445; Kulal, Abhinandan/0000-0001-6114-3150; Panakaje, Niyaz/0000-0003-4568-1658; Siddiq, Abbokar/0000-0001-7199-7133</t>
  </si>
  <si>
    <t>Rahiman, Habeeb Ur/AAS-4483-2021; PARVIN, S M RIHA/KDO-6027-2024; Kulal, Abhinandan/GSN-5451-2022; Panakaje, Niyaz/ADD-0717-2022</t>
  </si>
  <si>
    <t>Kulalabhinandan@gmail.com</t>
  </si>
  <si>
    <t>Kulal, A (corresponding author), Univ Evening Coll Mangaluru, Mangalore, India.</t>
  </si>
  <si>
    <t>Yenepoya (Deemed to be University); Yenepoya Institute of Arts Science Commerce &amp; Management</t>
  </si>
  <si>
    <t>[Panakaje, Niyaz] Deemed Univ, Yenepoya Inst Arts Sci Commerce &amp; Management, Mangalore, India; [Rahiman, Habeeb Ur] Kingdom Univ, Coll Business Adm, Riffa, Bahrain; [Parvin, S. M. Riha] Srinivas Univ, Inst Management &amp; Commerce, Mangalore, India; [Kulal, Abhinandan] Univ Evening Coll Mangaluru, Mangalore, India; [Siddiq, Abbokar] Univ Coll, Dept Commerce, Mangalore, India</t>
  </si>
  <si>
    <t>Financial literacy as a major catalyst in the area of inclusive growth has obtained utmost prevalence, based on which this study intended to analyze the role of financial literacy in ensuring financial inclusion which further enhances socio-economic empowerment in rural areas of Karnataka, India. In order to conduct the study 398 responses (i.e. 93% response rate) were collected through comprehensive questionnaire which was then analyzed using SPSS 26 and SPSS AMOS 23 software, as SEM (Structural Equation Modeling) was used to evaluate the proposed conceptual model, as well as two-way ANOVA to analyze the demographic effect on the components. The study outcome confirmed that financial inclusion is highly affected by the financial literacy of a rural community in a direct way; but when they can take effective financial decision and are responsible in financial behavior, they tend to show more financial inclusion which has contributed to their socio-economic empowerment. Realizing the dominant role of financial literacy one of the key policy implications of this article is that the Indian government may begin spending considerable amounts of money to promote financial literacy, which can significantly expand financial inclusion. Furthermore, measures might be taken to discover the gaps in digital financial transaction (online and mobile banking) where the Government of India should be aggressive in building the infrastructure for financial inclusion, which would aid in the socio-economic growth of the rural people.</t>
  </si>
  <si>
    <t>EDUCATION; POVERTY; IMPACT; PARTICIPATION; CAPABILITY; COUNTRY; COSTS; MODEL</t>
  </si>
  <si>
    <t>Financial literacy; financial inclusion; financial decision making; financial management behaviour; socio-economic empowerment; rural community</t>
  </si>
  <si>
    <t>Socio-economic empowerment in rural India: Do financial inclusion and literacy matters?</t>
  </si>
  <si>
    <t>Panakaje, Niyaz; Rahiman, Habeeb Ur; Parvin, S. M. Riha; Kulal, Abhinandan; Siddiq, Abbokar</t>
  </si>
  <si>
    <t>Panakaje, N; Rahiman, HU; Parvin, SMR; Kulal, A; Siddiq, A</t>
  </si>
  <si>
    <t>WOS:000515675500035</t>
  </si>
  <si>
    <t>BO4XS</t>
  </si>
  <si>
    <t>Business; Computer Science, Theory &amp; Methods</t>
  </si>
  <si>
    <t>10.1007/978-3-030-02131-3_35</t>
  </si>
  <si>
    <t>978-3-030-02131-3; 978-3-030-02130-6</t>
  </si>
  <si>
    <t>This study is supported by internal research project No. 2103 Investment evaluation within concept Industry 4.0 at Faculty of Informatics and Management, University of Hradec Kralove, Czech Republic. We would like to thank student Martin Kral for cooperation in the processing of the article.</t>
  </si>
  <si>
    <t>Hedvicakova, M (corresponding author), Univ Hradec Kralove, Fac Informat &amp; Management, Rokitanskeho 62, Hradec Kralove 50003, Czech Republic.</t>
  </si>
  <si>
    <t>Financial literacy now appears to be a key component of a successful national economy and successful personal finance and budgeting. Financial education, financial consumer protection and financial inclusion are the goal of top country policies. For this reason, it is necessary to assess the levels of financial literacy in each country. There are several solutions for education in this field. The aim of the article is to state selected solutions that will support financial literacy of pupils at secondary school in the Czech Republic. Paper is starting point to this issue for future analysis. Digital dementia is one of the issues solved in the article. Advanced technologies and their use are some presented solutions as are web portals, learning management systems, PC and Internet games, social networks, blogs or other possibilities. Three web portals that can be used for getting higher competencies in financial literacy will be presented and evaluated at the end of the article. Primary and secondary sources were used in the processing of the article.</t>
  </si>
  <si>
    <t>Financial literacy; Web portals; Education; Digital dementia; Competencies</t>
  </si>
  <si>
    <t>Gulf Univ Sci &amp; Technol</t>
  </si>
  <si>
    <t>Int Federat Informat Proc,Int Federat Informat Proc Working Grp 6 11,Coll Business Adm</t>
  </si>
  <si>
    <t>Gulf Univ Sci &amp; Technol, Kuwait City, KUWAIT</t>
  </si>
  <si>
    <t>OCT 30-NOV 01, 2018</t>
  </si>
  <si>
    <t>17th International-Federation-of-Information-Processing (IFIP) WG 6.11 Conference on e-Business, e-Services, and e-Society (I3E)</t>
  </si>
  <si>
    <t>CHALLENGES AND OPPORTUNITIES IN THE DIGITAL ERA</t>
  </si>
  <si>
    <t>Solutions for Higher Competence in Financial Literacy of Pupils at Secondary School in the Czech Republic</t>
  </si>
  <si>
    <t>AlSharhan, SA; Simintiras, AC; Dwivedi, YK; Janssen, M; Mantymaki, M; Tahat, Y; Moughrabi, I; Ali, TM; Rana, NP</t>
  </si>
  <si>
    <t>Hedvicakova, M; Svobodova, L</t>
  </si>
  <si>
    <t>WOS:000843892100007</t>
  </si>
  <si>
    <t>10.1080/17530350.2022.2087718</t>
  </si>
  <si>
    <t>p.mader@ids.ac.uk</t>
  </si>
  <si>
    <t>Mader, P (corresponding author), Inst Dev Studies, Brighton, E Sussex, England.</t>
  </si>
  <si>
    <t>University of East Anglia</t>
  </si>
  <si>
    <t>[Mader, Philip; Macdonald, Keir] Inst Dev Studies, Brighton, E Sussex, England; [Duvendack, Maren] Univ East Anglia, Sch Int Dev, Norwich, Norfolk, England</t>
  </si>
  <si>
    <t>The rise of digital financial services has attracted growing attention from governments in Sub-Saharan Africa seeking to raise tax revenue. In the context of global concerns around how governments can tax the digital economy and fintech, we evaluate recent debates over mobile money taxation in Africa as fundamentally political, rather than technical matters. We assess in depth three such debates, in Kenya, Uganda and Malawi. In doing so, we draw on a critical reading of recent political economy literature on taxation, state-business relations, and the ambiguity of financial inclusion. Our research highlights how political questions about tax materialize as technical ones, how governments' tax bargaining is influenced by business interests, and how the ambiguity of financial inclusion allows qualms over adverse effects on financial services to frustrate and supersede other policy concerns.</t>
  </si>
  <si>
    <t>CULTURAL ECONOMY; POLITICS</t>
  </si>
  <si>
    <t>Digital financial inclusion; mobile money; taxation; tax bargaining; political economy; Sub-Saharan Africa</t>
  </si>
  <si>
    <t>Fintech and tax in Sub-Saharan Africa: taxation versus financial inclusion</t>
  </si>
  <si>
    <t>Mader, Philip; Duvendack, Maren; Macdonald, Keir</t>
  </si>
  <si>
    <t>Mader, P; Duvendack, M; Macdonald, K</t>
  </si>
  <si>
    <t>WOS:001518499100001</t>
  </si>
  <si>
    <t>4IA3V</t>
  </si>
  <si>
    <t>10.1080/23311975.2025.2487837</t>
  </si>
  <si>
    <t>The study was performed with financial support by the Universitas Multimedia Nusantara with Contract No. 005-RD-LPPM-UMN/P-HD/V/2023.</t>
  </si>
  <si>
    <t>Universitas Multimedia Nusantara [005-RD-LPPM-UMN/P-HD/V/2023]</t>
  </si>
  <si>
    <t>Abd Hamid, Nadiah/0000-0003-4438-415X; Kurniasari, Florentina/0000-0001-5528-247X; Dwi Lestari, Elissa/0000-0001-6732-0066</t>
  </si>
  <si>
    <t>Abd Hamid, Nadiah/AFT-8310-2022; Kurniasari, Florentina/AAR-6990-2021; Dwi Lestari, Elissa/GZB-1748-2022</t>
  </si>
  <si>
    <t>Kurniasari, F (corresponding author), Univ Multimedia Nusantara, Dept Business, Tangerang, Indonesia.</t>
  </si>
  <si>
    <t>Multimedia Nusantara University; Universiti Teknologi MARA; Multimedia Nusantara University</t>
  </si>
  <si>
    <t>[Kurniasari, Florentina] Univ Multimedia Nusantara, Dept Business, Tangerang, Indonesia; [Abd Hamid, Nadiah] Univ Teknol MARA, Dept Accountancy, Shah Alam, Malaysia; [Lestari, Elissa Dwi] Univ Multimedia Nusantara, Dept Management, Tangerang, Indonesia</t>
  </si>
  <si>
    <t>This study investigates the impact of financial access, technology adoption, and literacy on the performance and sustainability of small and medium enterprises (SMEs) in Indonesia. Using data from 469 SMEs and employing a serial mediation model alongside importance-performance mapping analysis (IPMA), the research reveals that financial literacy enhances both loan availability and FinTech adoption. However, FinTech adoption has minimal direct impact on financial access. While the links between financial literacy, capital access, and business performance are moderate, financing access plays a crucial mediating role between FinTech adoption, financial literacy, and business outcomes. Financial literacy also serves as a key mediator in driving SME success when coupled with FinTech usage and funding access. To support long-term SME sustainability, policymakers should prioritize initiatives that strengthen financial literacy and access to capital. Although the study offers valuable insights, its scope is limited to Indonesian SMEs operating in traditional markets. Future research should broaden the framework to other regions and industries, and improve data reliability through triangulation methods.</t>
  </si>
  <si>
    <t>PLS-SEM; SMES; CONSTRAINTS; STRATEGIES; CREDIT; FIRMS</t>
  </si>
  <si>
    <t>Financial literacy; financial technology adoption; access to finance; business performance; business sustainability; Finance; Business, Management and Accounting</t>
  </si>
  <si>
    <t>Unraveling the impact of financial literacy, financial technology adoption, and access to finance on small medium enterprises business performance and sustainability: a serial mediation model</t>
  </si>
  <si>
    <t>Kurniasari, Florentina; Abd Hamid, Nadiah; Lestari, Elissa Dwi</t>
  </si>
  <si>
    <t>Kurniasari, F; Abd Hamid, N; Lestari, ED</t>
  </si>
  <si>
    <t>WOS:000851392300047</t>
  </si>
  <si>
    <t>10.1109/ICBIR54589.2022.9786477</t>
  </si>
  <si>
    <t>Jain, Rachit/0000-0002-3001-2438; Pandey, Anand Kumar/0000-0003-2432-4053; Sharma, Bhuvanesh Kumar/0000-0002-8133-6758</t>
  </si>
  <si>
    <t>Jain, Pooja/JFS-4148-2023; Jain, Rachit/JNS-3418-2023; Pandey, Anand Kumar/IYJ-0409-2023; Sharma, Bhuvanesh Kumar/AAH-9697-2021</t>
  </si>
  <si>
    <t>pjain1203@gmail.com; sharma.bhuvanesh86@gmail.com; rachit2709@gmail.com; anandpandey.ind@gmail.com; shubhi.khare17@gmail.com</t>
  </si>
  <si>
    <t>Jain, P (corresponding author), ITM Univ, Sch Management, Gwalior, India.</t>
  </si>
  <si>
    <t>ITM University, Gwalior; Symbiosis International University; Symbiosis Institute of Business Management (SIBM) Pune; ITM University, Gwalior; ITM University, Gwalior; ITM University, Gwalior</t>
  </si>
  <si>
    <t>[Jain, Pooja] ITM Univ, Sch Management, Gwalior, India; [Sharma, Bhuvanesh Kumar] Symbiosis Int Deemed Univ, Symbiosis Inst Business Management, Pune, Maharashtra, India; [Jain, Rachit] ITM, Dept Elect &amp; Commun, Gwalior, India; [Pandey, Anand Kumar] ITM Univ, Dept Comp Sci &amp; Applicat, Gwalior, India; [Khare, Shubhi] ITM Univ, Gwalior, India</t>
  </si>
  <si>
    <t>This study aims to determine the challenges customers face during mobile banking adoption. Mobile banking usage is increasing in India, yet not at that pace, especially in rural areas where smartphones' penetration also increases. It is pertinent to address the issues that encounter the diffusion of mobile banking at the mass label. This research determines customers' various risks and their impact on mobile banking adoption. This research is a descriptive study that collected data through a structured questionnaire from 250 respondents from a small district of India, Gwalior. The study concluded that the three risks of perceived privacy, perceived security, and convenience risk significantly influence mobile banking adoption. This research will be useful for banking and financial organizations, and policymakers to address these challenges at the grassroots level to further diffuse this advanced banking channel.</t>
  </si>
  <si>
    <t>IMPACT; RISK</t>
  </si>
  <si>
    <t>Mobile banking adoption; perceived risk; perceived security; convenience risk</t>
  </si>
  <si>
    <t>Mobile Banking Adoption for Digital Financial Inclusion</t>
  </si>
  <si>
    <t>Jain, Pooja; Sharma, Bhuvanesh Kumar; Jain, Rachit; Pandey, Anand Kumar; Khare, Shubhi</t>
  </si>
  <si>
    <t>Jain, P; Sharma, BK; Jain, R; Pandey, AK; Khare, S</t>
  </si>
  <si>
    <t>WOS:000504895700034</t>
  </si>
  <si>
    <t>JZ1WU</t>
  </si>
  <si>
    <t>Hom Chaudhury, Rimita/0000-0001-6837-0815;</t>
  </si>
  <si>
    <t>; Hom Chaudhury, Rimita/OTH-2589-2025; Ghosh, Chandralekha/ACE-1167-2022</t>
  </si>
  <si>
    <t>ghoshchandralekha@yahoo.com; rimitahomchaudhury@gmail.com</t>
  </si>
  <si>
    <t>Ghosh, C (corresponding author), West Bengal State Univ, Kolkata, W Bengal, India.</t>
  </si>
  <si>
    <t>[Ghosh, Chandralekha; Chaudhury, Rimita Hom] West Bengal State Univ, Kolkata, W Bengal, India</t>
  </si>
  <si>
    <t>The existence of gender gap in financial inclusion has come into prominence in recent times. In this context, using global Findex household-level database for the year 2017 our study aims to evaluate the presence of gender gap in financial inclusion for India. The empirical findings suggest that women are significantly less likely to be financially included as compared to their male counterparts. Using Fairlie Decomposition technique, this paper also finds the statistical evidence which reveals that gender differences in socio economic variables largely explain the gender gap in financial inclusion. More precisely, it is observed that lower employment status within females is a crucial reason of not having formal account, formal saving and formal credit requirement. However, lower education among females predominantly prohibits them from using digital financial services.</t>
  </si>
  <si>
    <t>BLINDER-OAXACA DECOMPOSITION</t>
  </si>
  <si>
    <t>Gender Gap in case of Financial Inclusion: An Empirical Analysis in Indian Context</t>
  </si>
  <si>
    <t>WOS:001003113800001</t>
  </si>
  <si>
    <t>CS0A7</t>
  </si>
  <si>
    <t>10.1007/s40847-023-00250-3</t>
  </si>
  <si>
    <t>Rajatsingh.yadav@gipe.ac.in; sivareddykalluru@gmail.com</t>
  </si>
  <si>
    <t>Yadav, RS (corresponding author), Gokhale Inst Polit &amp; Econ, Pune, Maharashtra, India.</t>
  </si>
  <si>
    <t>[Yadav, Rajat Singh; Reddy, Kalluru Siva] Gokhale Inst Polit &amp; Econ, Pune, Maharashtra, India</t>
  </si>
  <si>
    <t>This paper tests the absolute and conditional convergence hypothesis in financial inclusion performance and investigates the spatial convergence factors affecting the financial inclusion and exclusion levels based on continuous data from India from 2011 to 2018. By using the Global Moran's I and local indicators of spatial association (LISA), we find evidence of the presence of spatial dependencies in the financial inclusion index (FII) across 591 Indian Districts. FII scores converged by 15.4% using socioeconomic factors and 17% using financial literacy factors as conditional variables. The spatial convergence results show that low banking services are associated with the pattern of spatial disparities in distribution of vulnerable populations, who are likely to be less financially inclusive in the district, and the neighborhood effect exists with the low financial soundness population. The findings of this study are more suited for both political and economic debate because, after a local cluster it is recognized as 'hot spots' and 'cold spots,' i.e., regions with high and low levels of financial inclusion with similar neighbors, respectively. It is now up to local governments or policymakers to determine the source of the cluster based on socioeconomic criteria and minimize financial disparity through financial literacy and awareness initiatives in order to create inclusive and sustainable growth in India.</t>
  </si>
  <si>
    <t>INCLUSION; GROWTH</t>
  </si>
  <si>
    <t>Financial inclusion index (FII); Convergence; Spatial econometrics; Policy implications; India</t>
  </si>
  <si>
    <t>Spatial financial inclusion/exclusion hot spots and its determinants in India: a district-level analysis</t>
  </si>
  <si>
    <t>Yadav, Rajat Singh; Reddy, Kalluru Siva</t>
  </si>
  <si>
    <t>Yadav, RS; Reddy, KS</t>
  </si>
  <si>
    <t>WOS:001602254900001</t>
  </si>
  <si>
    <t>D7939</t>
  </si>
  <si>
    <t>10.1108/IJBM-01-2024-0022</t>
  </si>
  <si>
    <t>This work was supported by Universitas Islam Negeri Sultan Syarif Kasim Riau, Indonesia (Award Number: International Research Collaboration Cluster 2023 No. 172/Un.04/PPK.2/TL.00/03/2023).</t>
  </si>
  <si>
    <t>Universitas Islam Negeri Sultan Syarif Kasim Riau, Indonesia</t>
  </si>
  <si>
    <t>Universitas Islam Negeri Sultan Syarif Kasim Riau, Indonesia [172/Un.04/PPK.2/TL.00/03/2023]</t>
  </si>
  <si>
    <t>Sukor, Mohd Edil Abd/B-9079-2010; Muat, Susnaningsih/JOK-9426-2023; Mahdzan, Nurul/B-9441-2010</t>
  </si>
  <si>
    <t>susnaningsih@uin-suska.ac.id; n_shahnaz@um.edu.my; mohdedil@um.edu.my; nanasari1995@gmail.com</t>
  </si>
  <si>
    <t>Mahdzan, NS (corresponding author), Univ Malaya, Dept Finance, Kuala Lumpur, Malaysia.</t>
  </si>
  <si>
    <t>Universiti Malaya</t>
  </si>
  <si>
    <t>[Muat, Susnaningsih; Fachrurrozi; Sari, Nana] Univ Islam Negeri Sultan Syarif Kasim Riau, Fac Econ &amp; Social Sci, Dept Management, Pekanbaru, Indonesia; [Mahdzan, Nurul Shahnaz; Sukor, Mohd Edil Abdul] Univ Malaya, Dept Finance, Kuala Lumpur, Malaysia</t>
  </si>
  <si>
    <t>Purpose- This study examines the mediating effect of digital payment adoption (DPA) on the relationship between financial inclusion dimensions (access, usage and quality) and financial literacy dimensions (financial knowledge, behavior and attitude) on Indonesian millennials' financial well-being (FWB). Design/methodology/approach- This study employs a quantitative approach using Indonesian millennials as the study sample. Self-administered questionnaires were distributed using a purposive sampling technique, yielding 1,026 valid responses. Data were analyzed using partial least squares-structural equation modeling. Findings- The findings indicate that the relationship between financial inclusion dimensions (ACCESS, USAGE and QUALITY) and FWB are positively mediated by DPA. The relationship between the dimensions of financial literacy (specifically, financial knowledge) and FWB is positively mediated by DPA, whereas the relationship between the dimensions of financial literacy (specifically, financial behavior) and FWB is negatively mediated by DPA. Practical implications- To promote inclusive finance, especially among millennials, the Indonesian government must pay greater attention to promoting not only financial access but also digital engagement. Policies aimed at expanding financial infrastructure should be accompanied by initiatives that foster digital literacy, simplify user experience and build trust in digital financial ecosystems. As digital financial service providers, financial institutions must offer suitable products and services that suit millennials' needs to capture and retain them as customers. Additionally, educators or policymakers should integrate digital finance education into formal curricula and community programs to enhance millennials' financial engagement. Originality/value- The findings of this study add to the body of knowledge deliberating on the relationship between financial inclusion (ACCESS, USAGE and QUALITY) and financial literacy dimensions (financial knowledge, attitude and behavior) and FWB, as well as the mediating effect of DPA. This study contributes to the literature by unraveling the factors influencing FWB among Indonesian millennials and how they interact in the context of a demographic dividend country like Indonesia, where millennials are the majority in the demographic structure.</t>
  </si>
  <si>
    <t>DISCRIMINANT VALIDITY; CAPABILITY; SEM; RECOMMENDATIONS; EDUCATION; IMPACT; POOR</t>
  </si>
  <si>
    <t>Digital payment; Financial well-being; Financial inclusion; Financial literacy</t>
  </si>
  <si>
    <t>The role of financial inclusion, financial literacy and digital payment adoption in Indonesian millennials' financial well-being</t>
  </si>
  <si>
    <t>Muat, Susnaningsih; Mahdzan, Nurul Shahnaz; Sukor, Mohd Edil Abdul; Fachrurrozi; Sari, Nana</t>
  </si>
  <si>
    <t>Muat, S; Mahdzan, NS; Sukor, MEA; Fachrurrozi; Sari, N</t>
  </si>
  <si>
    <t>WOS:001448688100001</t>
  </si>
  <si>
    <t>2JH2V</t>
  </si>
  <si>
    <t>10.1002/jid.3992</t>
  </si>
  <si>
    <t>SODOKIN, KOFFI/0000-0002-1763-4363</t>
  </si>
  <si>
    <t>ksodokin@univ-lome.tg</t>
  </si>
  <si>
    <t>Sodokin, K (corresponding author), Univ Lome, Res Ctr Appl Econ &amp; Management Org CREAMO, Lome, Togo.</t>
  </si>
  <si>
    <t>[Sodokin, Koffi; Djafon, Joseph Kokouvi] Univ Lome, Res Ctr Appl Econ &amp; Management Org CREAMO, Lome, Togo</t>
  </si>
  <si>
    <t>Despite significant advancements, disparities in access to financial services persist across developing nations. The Covid-19 pandemic has significantly influenced the adoption of digital finance, particularly in West African Economic and Monetary Union countries. Using World Bank Global Findex data (2017 and 2021), this study employs heteroscedastic binary choice and difference-in-differences methodologies to evaluate the impact of digital finance on financial inclusion, considering factors such as gender, age, income, location and the pandemic. The findings indicate that while overall financial inclusion experienced a decline, the increased adoption of digital finance mitigated this trend, suggesting the importance of system interoperability.</t>
  </si>
  <si>
    <t>MOBILE PHONES; INFORMATION; LITERACY</t>
  </si>
  <si>
    <t>Covid-19 effect; digital finance; financial inclusion; West Africa</t>
  </si>
  <si>
    <t>Role of Digital Transformation in Closing the Financial Inclusion Disparities in West African Economic and Monetary Union and the Covid-19 Effect</t>
  </si>
  <si>
    <t>Sodokin, Koffi; Djafon, Joseph Kokouvi</t>
  </si>
  <si>
    <t>Sodokin, K; Djafon, JK</t>
  </si>
  <si>
    <t>WOS:000890146300001</t>
  </si>
  <si>
    <t>6O3MA</t>
  </si>
  <si>
    <t>10.3389/fenvs.2022.985620</t>
  </si>
  <si>
    <t>Funding This research was funded by 2020 Young Backbone Teacher Training Program of Henan Higher Education Institution, grant number 2020GGJS092.</t>
  </si>
  <si>
    <t>2020 Young Backbone Teacher Training Program of Henan Higher Education Institution;</t>
  </si>
  <si>
    <t>2020 Young Backbone Teacher Training Program of Henan Higher Education Institution; [2020GGJS092]</t>
  </si>
  <si>
    <t>Xiong, Mingzhao/0000-0001-8029-3437</t>
  </si>
  <si>
    <t>Teo, Brian Sheng Xian/ABA-2562-2021</t>
  </si>
  <si>
    <t>liwenqi1023@163.com; brian_teo@msu.edu.my</t>
  </si>
  <si>
    <t>Xian, BTS (corresponding author), Management &amp; Sci Univ, Post Grad Ctr, Shah Alam, Malaysia.;Li, WQ (corresponding author), Henan Univ Technol, Sch Econ &amp; Trade, Zhengzhou, Peoples R China.</t>
  </si>
  <si>
    <t>Management Science University; Henan University of Technology</t>
  </si>
  <si>
    <t>[Xiong, Mingzhao; Xian, Brian Teo Sheng] Management &amp; Sci Univ, Post Grad Ctr, Shah Alam, Malaysia; [Xiong, Mingzhao; Fan, Jingjing; Li, Wenqi] Henan Univ Technol, Sch Econ &amp; Trade, Zhengzhou, Peoples R China</t>
  </si>
  <si>
    <t>The development of digital inclusive finance in China can help alleviate the problems of the three rural areas  and contribute to rural revitalization. The impact of digital inclusive finance on rural revitalization is examined by multiple linear regression, mediated effect model, and threshold effect model in a sample of 30 provinces in China from 2011 to 2020. It is found that (1) the digital inclusive finance index and its sub-indicators - the breadth of digital financial coverage and depth of digital financial use - can promote rural revitalization in China, but the digitalization degree of its sub-indicators does not have a significant linear effect on rural revitalization, but a U  shaped relationship of first inhibiting and then promoting, with 2017 as the boundary. (2) The regional heterogeneity test reveals that the promotion effect of the digital financial inclusion index and its sub-indicators of digital financial coverage breadth and digital financial usage depth on rural revitalization is more significant in the eastern coastal and central inland provinces, and insignificant in the western remote areas. (3) The mediating effect test finds that digital inclusive finance in China can contribute to rural revitalization by promoting economic growth in rural areas and narrowing the income gap between urban and rural areas. (4) The threshold effect test reveals that there is a single threshold effect of digital inclusive finance and its three sub-indicators on rural revitalization in China. When the digital inclusive finance index and the three sub-dimensions are below the threshold value, they have a facilitating effect on rural revitalization, and after crossing the threshold value, their facilitating effect on rural revitalization becomes more significant. Based on the empirical analysis results, this paper puts forward suggestions for improving the development mechanism of digital inclusive finance, formulating differentiated financial support policies and strengthening financial supervision according to regional differences, and establishing a long-term mechanism for rural revitalization, to promote China's rural revitalization.</t>
  </si>
  <si>
    <t>digital inclusive finance; rural revitalization; urban-rural income gap; threshold effect; mediation effect</t>
  </si>
  <si>
    <t>Can China's digital inclusive finance help rural revitalization? A perspective based on rural economic development and income disparity</t>
  </si>
  <si>
    <t>Xiong, Mingzhao; Fan, Jingjing; Li, Wenqi; Xian, Brian Teo Sheng</t>
  </si>
  <si>
    <t>Xiong, MZ; Fan, JJ; Li, WQ; Xian, BTS</t>
  </si>
  <si>
    <t>WOS:000501410300004</t>
  </si>
  <si>
    <t>JU1AM</t>
  </si>
  <si>
    <t>10.15611/aoe.2019.2.04</t>
  </si>
  <si>
    <t>Argum. Oecon.</t>
  </si>
  <si>
    <t>ARGUM OECON</t>
  </si>
  <si>
    <t>1233-5835</t>
  </si>
  <si>
    <t>KOMANDORSKA 118-120, WORCLAW, 53-345, POLAND</t>
  </si>
  <si>
    <t>WORCLAW</t>
  </si>
  <si>
    <t>WROCLAW UNIV ECONOMICS</t>
  </si>
  <si>
    <t>Potocki, Tomasz/0000-0001-7309-7892</t>
  </si>
  <si>
    <t>Potocki, T (corresponding author), Univ Rzeszow, Dept Econ Policy, Rzeszow, Poland.</t>
  </si>
  <si>
    <t>University of Rzeszow</t>
  </si>
  <si>
    <t>[Potocki, Tomasz] Univ Rzeszow, Dept Econ Policy, Rzeszow, Poland</t>
  </si>
  <si>
    <t>This paper examines low-income households' financial capability by looking at their financial literacy, financial behaviour as well as financial inclusion. Using the data from micro-study, the author proves that even though financial literacy among low-income households is very low, most financial behaviour (especially the basic ones like managing a financial budget) are rather high. It seems that being financially illiterate does not stop low-income households from being financially capable, which might be mainly connected with some social and environmental factors that shape their capability and help low-income members of households to find some other ways of achieving satisfactory level of financial behaviour than just through increasing financial literacy. Moreover, having little money forces low-income households to become very careful financial decision-makers. Additionally, the multivariate analysis has shown that being financially literate (especially risk and debt literate) and being financially included are key latent factors in understanding financial capability among low-income households from rural regions of Poland. These two factors also play a significant role in understanding the adaptation to low-income among the polled households (measured by the marginal effects of pseudo-R-2 ratio in logit model).</t>
  </si>
  <si>
    <t>INEQUALITY; ECONOMICS; LITERACY; RISKS</t>
  </si>
  <si>
    <t>financial capability; financial literacy; personal finance; low-income; financial inclusion; capability approach; poverty; rural regions</t>
  </si>
  <si>
    <t>ARGUMENTA OECONOMICA</t>
  </si>
  <si>
    <t>FINANCIAL CAPABILITY AMONG LOW-INCOME HOUSEHOLDS IN RURAL PARTS OF POLAND</t>
  </si>
  <si>
    <t>Potocki, Tomasz</t>
  </si>
  <si>
    <t>Potocki, T</t>
  </si>
  <si>
    <t>WOS:000677480300001</t>
  </si>
  <si>
    <t>TP3FW</t>
  </si>
  <si>
    <t>10.3934/GF.2021013</t>
  </si>
  <si>
    <t>Green Financ.</t>
  </si>
  <si>
    <t>GREEN FINANC</t>
  </si>
  <si>
    <t>2643-1092</t>
  </si>
  <si>
    <t>This article is a preliminary output of a research project which was approved in 2020 for 2 years research grant from RMC (Research Management Committee) of BSMRAU (Bangabandhu Sheikh Mujibur Rahman Agricultural University) in Bangladesh, and grant number 11 (RMC/2020-23). The project title is Financial inclusion of farmers through mobile banking: Empirical evidence from Mymensingh and Narsingdi district of Bangladesh.</t>
  </si>
  <si>
    <t>RMC (Research Management Committee) of BSMRAU (Bangabandhu Sheikh Mujibur Rahman Agricultural University) in Bangladesh</t>
  </si>
  <si>
    <t>RMC (Research Management Committee) of BSMRAU (Bangabandhu Sheikh Mujibur Rahman Agricultural University) in Bangladesh [11 (RMC/2020-23)]</t>
  </si>
  <si>
    <t>Sarker, Nazirul Islam/0000-0002-8887-521X; Khatun, Most Nilufa/0000-0002-4036-0073</t>
  </si>
  <si>
    <t>Sarker, Nazirul Islam/K-7928-2018; Mitra, Sandip/JPK-7921-2023; Khatun, Most Nilufa/AAW-4864-2020</t>
  </si>
  <si>
    <t>Khatun, MN (corresponding author), Bangabandhu Sheikh Mujibur Rahman Agr Univ, Dept Agr Finance &amp; Cooperat, Gazipur 1706, Bangladesh.</t>
  </si>
  <si>
    <t>Gazipur Agricultural University (GAU); Neijiang Normal University</t>
  </si>
  <si>
    <t>[Khatun, Most Nilufa; Mitra, Sandip] Bangabandhu Sheikh Mujibur Rahman Agr Univ, Dept Agr Finance &amp; Cooperat, Gazipur 1706, Bangladesh; [Sarker, Md Nazirul Islam] Neijiang Normal Univ, Sch Polit Sci &amp; Publ Adm, Neijiang, Sichuan, Peoples R China</t>
  </si>
  <si>
    <t>Limited access to financial services is considered as a vital bottleneck for curbing poverty in Bangladesh. Digital technology such as mobile banking can contribute to accelerate people's access to finance but did not receive proper attention before COVID-19. This study intends to explore the use of mobile banking services to accelerate people's financial access in Bangladesh due to the emergence of the COVID-19 pandemic by using secondary data. Mainly documentation techniques and descriptive statistical methods are used to collect and analyze the data. The study reveals that the number of registered mobile banking customers has escalated during the COVID-19 era. Mainly government policies regarding different mobile banking transactions such as cash in, cash out, person to person (P2P) transaction, salary and utility bill payments etc., have significantly contributed to rise the people's digital financial access during this pandemic. People's changing habit towards digital transactions has also contributed to increasing their financial access. The government should provide a convenient financial access platform to create a cashless society in the country.</t>
  </si>
  <si>
    <t>INTERNET BANKING; ADOPTION; DETERMINANTS; INFORMATION</t>
  </si>
  <si>
    <t>mobile banking; COVID-19 pandemic; financial services; digital payment; digital financial transaction</t>
  </si>
  <si>
    <t>GREEN FINANCE</t>
  </si>
  <si>
    <t>Mobile banking during COVID-19 pandemic in Bangladesh: A novel mechanism to change and accelerate people's financial access</t>
  </si>
  <si>
    <t>Khatun, Most Nilufa; Mitra, Sandip; Sarker, Md Nazirul Islam</t>
  </si>
  <si>
    <t>Khatun, MN; Mitra, S; Sarker, MNI</t>
  </si>
  <si>
    <t>WOS:000685164900011</t>
  </si>
  <si>
    <t>UA4XC</t>
  </si>
  <si>
    <t>10.1111/dech.12674</t>
  </si>
  <si>
    <t>GCRF [ES/T003197/1] Funding Source: UKRI</t>
  </si>
  <si>
    <t>Natarajan, Nithya/0000-0002-9363-0102; Guermond, Vincent/0000-0002-0137-6451; Venkatasubramanian, Ganesan/0000-0002-0949-898X</t>
  </si>
  <si>
    <t>Guerin, Isabelle/AAU-4398-2021; Venkatasubramanian, Ganesan/AAD-9117-2019</t>
  </si>
  <si>
    <t>isabelle.guerin@ird.fr; vincent.guermond@rhul.ac.uk; nithya.joseph@ifpindia.org; nithya.natarajan@kcl.ac.uk; venkat@ifpindia.org</t>
  </si>
  <si>
    <t>University of London; Royal Holloway University London; University of London; King's College London</t>
  </si>
  <si>
    <t>[Guerin, Isabelle] French Natl Inst Res Sustainable Dev, Paris, France; [Guerin, Isabelle; Joseph, Nithya] French Inst Pondicherry, Pondicherry, India; [Guermond, Vincent] Royal Holloway Univ London, Egham, Surrey, England; [Nataraj, Nithya] Kings Coll London, Int Dev, London, England; [Venkatasubramanian, Govindan] French Inst Pondicherry, Dept Social Sci, Pondicherry, India</t>
  </si>
  <si>
    <t>This article discusses the impact of the COVID-19 pandemic on microfinance borrowers in Tamil Nadu, India. Through an examination of the social and financial infrastructures underpinning inclusive finance, the article demonstrates how the COVID-19 pandemic exposes the limits and exclusionary tendencies of the for-profit financial inclusion industry. The unequalizing breakdown of financial inclusion infrastructures during the pandemic prioritizes future revenue extraction over current livelihood needs, throwing hard-hit borrowers back on hierarchical informal financial and social infrastructures to cope with COVID-19-induced risk. Tracing the experiences of poor microfinance borrowers in Tamil Nadu, this article examines how COVID-19 is reshaping inclusive financial infrastructures in ways that reveal the dynamics of exclusion at the heart of financial inclusion.</t>
  </si>
  <si>
    <t>COVID-19 and the Unequalizing Infrastructures of Financial Inclusion in Tamil Nadu</t>
  </si>
  <si>
    <t>Guerin, Isabelle; Guermond, Vincent; Joseph, Nithya; Nataraj, Nithya; Venkatasubramanian, Govindan</t>
  </si>
  <si>
    <t>Guérin, I; Guermond, V; Joseph, N; Nataraj, N; Venkatasubramanian, G</t>
  </si>
  <si>
    <t>WOS:001037054000001</t>
  </si>
  <si>
    <t>N4XG6</t>
  </si>
  <si>
    <t>10.1080/23311975.2023.2238124</t>
  </si>
  <si>
    <t>Hundie, Shemelis Kebede/0000-0003-2316-0544;</t>
  </si>
  <si>
    <t>Hundie, Shemelis Kebede/GQB-1068-2022; Tulu, Daniel Tadesse/ABH-1862-2020</t>
  </si>
  <si>
    <t>shimelis2012ju@gmail.com</t>
  </si>
  <si>
    <t>Hundie, SK (corresponding author), Ethiopian Civil Serv Univ, Sch Policy Studies, Addis Ababa, Ethiopia.</t>
  </si>
  <si>
    <t>Ambo University</t>
  </si>
  <si>
    <t>[Hundie, Shemelis Kebede] Ethiopian Civil Serv Univ, Sch Policy Studies, Addis Ababa, Ethiopia; [Hundie, Shemelis Kebede] Ethiopian Civil Serv Univ, Sch Policy Studies, Addis Ababa, Ethiopia; [Tulu, Daniel Tadesse] Ambo Univ, Coll Business &amp; Econ, Dept Management, Ambo, Ethiopia</t>
  </si>
  <si>
    <t>In Ethiopia, the gender gap in financial inclusion is high, and the effect of socioeconomic variables on the gap is not well investigated. The main objective of this study is to investigate determinants of the financial inclusion gender gap in Ethiopia using the World Bank's Global Findex database from 2017. Different decomposition techniques were employed to examine the effect of socioeconomic characteristics of individuals on the financial inclusion gender gap. The finding shows a statistically significant gender gap in all indicators of financial inclusion under study in Ethiopia. More specifically, males are 6.3%, 7%, 9.8%, 8.4 %, and 5.8% more likely to have a formal account, formal saving, formal borrowing, emergency fund, and debit card ownership, respectively. The result from the Daymont and Andrisani approach reveals that differences in socioeconomic characteristics between males and females explain the gender gap in formal saving, formal account ownership, debit card ownership, and emergency fund, while the gap in formal borrowing is attributed to differences in returns to these characteristics. Besides, the observed gender gap in all indicators of financial inclusion is explained by gender disparity in commitment in financial markets. Age, income, education, employment, and mobile ownership are determinants of the gender gap in financial inclusion in Ethiopia. Being older, more educated, employed, and having mobile, and wealthier favor financial inclusion, with age, employment, and education having a greater effect. Gender mainstreaming in economic activities to increase income, employment opportunities, and education for females to bridge the gender gap in financial inclusion is important.</t>
  </si>
  <si>
    <t>BLINDER-OAXACA DECOMPOSITION; DISCRIMINATION; SERVICES; POVERTY</t>
  </si>
  <si>
    <t>Ethiopia; gender gap; financial inclusion; decomposition analysis</t>
  </si>
  <si>
    <t>Determinants of financial inclusion gender gap in Ethiopia: Evidence from decomposition analysis</t>
  </si>
  <si>
    <t>Hundie, Shemelis Kebede; Tulu, Daniel Tadesse</t>
  </si>
  <si>
    <t>Hundie, SK; Tulu, DT</t>
  </si>
  <si>
    <t>WOS:001216747100001</t>
  </si>
  <si>
    <t>AL9CY</t>
  </si>
  <si>
    <t>10.1108/JAL-10-2023-0190</t>
  </si>
  <si>
    <t>Wallace, Damien/0000-0002-4029-8628; Reddy, Krishna/0000-0002-7812-9141; Shen, Yun/0000-0002-1924-1301; Agyekum, Francis/0000-0001-9729-9202</t>
  </si>
  <si>
    <t>Wallace, Damien/JQJ-5478-2023; Reddy, Krishna/S-2704-2019; Shen, Yun/AAW-5097-2020; Agyekum, Francis/JTT-9208-2023</t>
  </si>
  <si>
    <t>yun.shen@uts.edu.au</t>
  </si>
  <si>
    <t>Shen, Y (corresponding author), Univ Technol Sydney, Ctr Climate Risk &amp; Resillience, Sydney, Australia.</t>
  </si>
  <si>
    <t>University of Technology Sydney; University of Waikato; Toi Ohomai Institute of Technology; James Cook University</t>
  </si>
  <si>
    <t>[Shen, Yun] Univ Technol Sydney, Ctr Climate Risk &amp; Resillience, Sydney, Australia; [Agyekum, Francis] Valley View Univ, Oyibi, Ghana; [Agyekum, Francis] Univ Waikato, Hamilton, New Zealand; [Reddy, Krishna] Toi Ohomai Inst Technol, Rotorua, New Zealand; [Wallace, Damien] James Cook Univ, Coll Business Law &amp; Governance, Townsville, Australia</t>
  </si>
  <si>
    <t>Purpose - This paper provides a systematic review of literature pertaining to the welfare impact of financial inclusion. We identify the 50 most influential publications in the field that have evolved into three distinct categories, each of which we critically review to identify the main contributions of this research area. Design/methodology/approach - By conducting a state-of-the-art literature review, this paper identifies the most influential papers in the research fields on the welfare impact of financial inclusion. One caveat is that as newer publications generally have fewer citations, reviewing prior work can result in a misleading account of emerging trends and research directions. Manual assessment of publications after 2018 facilitates a discussion of important emerging research trends and their directions. Findings - The three key research streams are identified as financial services and financial accessibility, financial capability, and financial literacy and household welfare. By assessing publications from 2018 to 2023, we also document four key emerging research trends: Fintech and digital financial inclusion, sustainability and climate change, growth, poverty, income inequality, financial stability, and Entrepreneurship. Drawing on these emerging trends, we highlight the opportunities for future research. Research limitations/implications - Keyword searches have limitations as some papers might be overlooked if they do not match the specific search criteria, despite their relation and significance to the overall topic of the welfare impact of financial inclusion. To address this issue, we have expanded this review by incorporating more literature from other databases, such as the Scopus database which may alleviate this issue. Practical implications - The three key research streams contribute to a comprehensive understanding of the welfare impact of financial inclusion. The emerging trends integrate existing knowledge and leave the chance for innovative research to expand the research frontier. Originality/value - This paper fulfils the systematic literature review streams in the welfare impact of financial inclusion and provides fruitful opportunities for future research.</t>
  </si>
  <si>
    <t>ECONOMIC-GROWTH; INCOME INEQUALITY; MODERATING ROLE; ACCESS; LITERACY; SERVICES; POVERTY; CAPABILITY; BARRIERS; DETERMINANTS</t>
  </si>
  <si>
    <t>Financial inclusion; Household welfare; Financial accessibility; Financial capability; Financial literacy</t>
  </si>
  <si>
    <t>The welfare impact of financial inclusion: a research agenda</t>
  </si>
  <si>
    <t>Shen, Yun; Agyekum, Francis; Reddy, Krishna; Wallace, Damien</t>
  </si>
  <si>
    <t>Shen, Y; Agyekum, F; Reddy, K; Wallace, D</t>
  </si>
  <si>
    <t>WOS:000747222000025</t>
  </si>
  <si>
    <t>YN4HX</t>
  </si>
  <si>
    <t>The article was prepared based on the results of a research funded by the National Research Fund of Ukraine Optimization and automation of financial monitoring processes to increase information security in Ukraine (registration number: 0120U104810).</t>
  </si>
  <si>
    <t>National Research Fund of Ukraine Optimization and automation of financial monitoring processes to increase information security in Ukraine''</t>
  </si>
  <si>
    <t>National Research Fund of Ukraine Optimization and automation of financial monitoring processes to increase information security in Ukraine'' [0120U104810]</t>
  </si>
  <si>
    <t>Shymanska, Kateryna/E-9966-2015; Vasylieva, Tetiana/K-5592-2018; Olha, Osadcha/ABE-1010-2020; Didenko, Iryna/C-3076-2019</t>
  </si>
  <si>
    <t>i.didenko@uabs.sumdu.edu.ua; tavasilyeva@fem.sumdu.edu.ua; o.o.osadcha@nuwm.edu.ua; kv.shymanska@gmail.com</t>
  </si>
  <si>
    <t>Didenko, I (corresponding author), Sumy State Univ, Sumy, Ukraine.</t>
  </si>
  <si>
    <t>Ministry of Education &amp; Science of Ukraine; Sumy State University; Ministry of Education &amp; Science of Ukraine; National University of Water &amp; Environmental Engineering; Ministry of Education &amp; Science of Ukraine; Zhytomyr Polytechnic State University</t>
  </si>
  <si>
    <t>[Didenko, I; Vasilyeva, T.] Sumy State Univ, Sumy, Ukraine; [Osadcha, O.] Natl Univ Water &amp; Environm Engn, Rivne, Ukraine; [Shymanska, K.] Zhytomyr Polytech State Univ, Zhytomyr, Ukraine</t>
  </si>
  <si>
    <t>The importance of understanding why and how vital financial inclusion is is recognizing that finance or financial development plays an essential role in shaping economic stability. According to the current international assessment, finance has a positive impact on the economy. Essential functions perform information production; distribution of capital for production use; investment control and corporate control; mobilization and consolidation of savings; trade facilitation, diversification, risk management; and facilitating the exchange of goods and services. Thus, we can determine that the country's financial development depends on the implementation of the above functions. For regulators and the state as a whole, financial inclusion is a tool to reduce the level of the &lt;&lt; shadow &gt;&gt; economy, through which there is money laundering, tax evasion, and so on. It is important to note that low levels of financial inclusion are mainly a problem in the economies of developing countries, although developed countries also face such challenges. The article sets and substantiates the impact of financial inclusion of the population on the level of illegally obtained income of countries with different levels of economic development. The study is conducted in several stages: the formation of an array of indicators that characterize the financial inclusion of the population and the level of illicit income for 91 countries with different levels of economic development, determination of the integrated index of financial inclusion based on factor analysis, correlation and regression analysis the Financial Inclusion Index and its components and the Basel Laundering Index. In general, it was found that the level of financial involvement of the population has a positive effect on the fight against money laundering in all countries studied. The construction of multiple regression with the inclusion as independent variable components of the financial inclusion index (activation of consumers in the financial services market, which is manifested through more active use of banking services and Internet resources to buy and pay for necessary goods or services, allows money laundering) confirm the result.</t>
  </si>
  <si>
    <t>financial inclusion; financial literacy; illicit income; Basel laundering index; economic development</t>
  </si>
  <si>
    <t>THE INFLUENCE OF THE FINANCIAL INCLUSION OF THE POPULATION ON THE LEVEL OF ILLEGALLY INCOME IN COUNTRIES WITH DIFFERENT LEVELS OF ECONOMIC DEVELOPMENT</t>
  </si>
  <si>
    <t>Didenko, I; Vasilyeva, T.; Osadcha, O.; Shymanska, K.</t>
  </si>
  <si>
    <t>Didenko, I; Vasilyeva, T; Osadcha, O; Shymanska, K</t>
  </si>
  <si>
    <t>WOS:000559404500001</t>
  </si>
  <si>
    <t>QG3YP</t>
  </si>
  <si>
    <t>10.1007/s10834-020-09699-4</t>
  </si>
  <si>
    <t>Loibl, Caezilia/0000-0002-7586-3295; Nam, Youngwon/0000-0001-7630-5896</t>
  </si>
  <si>
    <t>Loibl, Caezilia/O-8282-2019</t>
  </si>
  <si>
    <t>nam.155@osu.edu; loibl.3@osu.edu</t>
  </si>
  <si>
    <t>Nam, Y (corresponding author), Ohio State Univ, Dept Human Sci, 1787 Neil Ave, Columbus, OH 43210 USA.</t>
  </si>
  <si>
    <t>University System of Ohio; Ohio State University</t>
  </si>
  <si>
    <t>[Nam, Youngwon; Loibl, Cazilia] Ohio State Univ, Dept Human Sci, 1787 Neil Ave, Columbus, OH 43210 USA</t>
  </si>
  <si>
    <t>Financial capability is an important public policy concern, particularly as it relates to retirement preparedness. Almost one-third of older adults in the United States, those over the age of 55, have neither retirement savings nor accumulated pension benefits. Focusing on low-income adults who are nearing retirement, we explore the relationship between financial-planning behaviors (paying bills on time, emergency savings, and retirement planning) and two key components of financial capability, financial education and financial inclusion. Using data from the 2015 National Financial Capability Study, the results point to the role of financial inclusion for financial-planning behaviors. Having access to mainstream financial services was more strongly associated with the three financial-planning behaviors than was participating in financial education in the workplace. These results for low-income older adults held for the middle-income groups but were weaker for higher-income households. The results highlight efforts targeting financial inclusion for the financial planning of low-income older adults nearing retirement age. Policy implications include suggestions for interventions to facilitate financial inclusion for those nearing retirement age.</t>
  </si>
  <si>
    <t>MULTIPLE IMPUTATION; ECONOMIC HARDSHIP; SAVING BEHAVIOR; SELF-EFFICACY; LITERACY; EDUCATION; POVERTY; MODELS; DEBT</t>
  </si>
  <si>
    <t>Financial capability; Older adults; Financial inclusion; Financial education; Financial-planning behaviors; National financial capability study</t>
  </si>
  <si>
    <t>Financial Capability and Financial Planning at the Verge of Retirement Age</t>
  </si>
  <si>
    <t>Nam, Youngwon; Loibl, Cazilia</t>
  </si>
  <si>
    <t>Nam, Y; Loibl, C</t>
  </si>
  <si>
    <t>WOS:000845577700001</t>
  </si>
  <si>
    <t>4B1WU</t>
  </si>
  <si>
    <t>10.3390/info13080390</t>
  </si>
  <si>
    <t>Thathsarani, Shanika/0000-0002-3385-4972</t>
  </si>
  <si>
    <t>Thathsarani, Shanika/JDC-3425-2023</t>
  </si>
  <si>
    <t>Thathsarani, US (corresponding author), Wuhan Univ Technol, Sch Econ, Wuhan 430070, Peoples R China.;Thathsarani, US (corresponding author), Sabaragamuwa Univ Sri Lanka, Dept Econ &amp; Stat, POB 02, Belihuloya 70140, Sri Lanka.</t>
  </si>
  <si>
    <t>Wuhan University of Technology; Sabaragamuwa University of Sri Lanka</t>
  </si>
  <si>
    <t>[Thathsarani, Udullage Shanika] Wuhan Univ Technol, Sch Econ, Wuhan 430070, Peoples R China; [Thathsarani, Udullage Shanika; Jianguo, Wei] Sabaragamuwa Univ Sri Lanka, Dept Econ &amp; Stat, POB 02, Belihuloya 70140, Sri Lanka</t>
  </si>
  <si>
    <t>Digital inclusive finance, as a vital engine for the country's high-quality growth, provides new impetus and prospects for encouraging economic development during the looming economic downturn. SMEs play a significant role in economic growth and development, particularly in developing countries. However, value promoting financial inclusion for SMEs through digitalization is still understudied. The objectives aimed at by this investigation were: to study the impact of financial inclusion on SME performances, to observe the influence of digital financing on financial inclusion and SME performance association as a mediator and to examine how the Technology Acceptance Model (TAM) supports financial inclusion and SME performance. A well-structured questionnaire using a quantitative research approach was utilized to gather data from 366 owner-managers among Sri Lankan SMEs. The study's findings are presented: financial inclusion, digital financing and TAM play influential roles in SME performance. More precisely, digital financing and TAM mediate positively the relationship between financial inclusion and performance in SMEs. The findings of this research endeavor to shed light on developing and popularizing digital financing by providing services which are cheap, secure and low risk from a supply-side perspective, as well as adopting and adjusting digital financing by enhancing financial literacy, which would be necessary from the demand-side perspective.</t>
  </si>
  <si>
    <t>EMPIRICAL-EVIDENCE; MOBILE BANKING; ACCESS; ENTERPRISES; INTENTION; GROWTH</t>
  </si>
  <si>
    <t>digital financing; financial inclusion; SME performance; TAM; Sri Lanka</t>
  </si>
  <si>
    <t>Do Digital Finance and the Technology Acceptance Model Strengthen Financial Inclusion and SME Performance?</t>
  </si>
  <si>
    <t>Thathsarani, Udullage Shanika; Jianguo, Wei</t>
  </si>
  <si>
    <t>Thathsarani, US; Wei, JG</t>
  </si>
  <si>
    <t>WOS:000798561400007</t>
  </si>
  <si>
    <t>1K4GN</t>
  </si>
  <si>
    <t>Thermodynamics; Energy &amp; Fuels</t>
  </si>
  <si>
    <t>10.1016/j.energy.2022.123922</t>
  </si>
  <si>
    <t>Energy</t>
  </si>
  <si>
    <t>ENERGY</t>
  </si>
  <si>
    <t>1873-6785</t>
  </si>
  <si>
    <t>0360-5442</t>
  </si>
  <si>
    <t>Acknowledgments The article is sponsored by the National Social Science Foun-dation of China (Grant No. 20VGQ0 03) . The authors gratefully acknowledge the helpful reviews and comments from the editors and anonymous reviewers, which improved this manuscript considerably. Certainly, all remaining errors are our own.</t>
  </si>
  <si>
    <t>National Social Science Foun-dation of China(National Office of Philosophy and Social Sciences)</t>
  </si>
  <si>
    <t>National Social Science Foun-dation of China [20VGQ0 03]</t>
  </si>
  <si>
    <t>Zhao, Jun/0000-0003-0784-2035;</t>
  </si>
  <si>
    <t>Zhao, Jun/AEH-7840-2022; Dou, Yue/AHA-5883-2022; dong, jiajia/J-5851-2014</t>
  </si>
  <si>
    <t>jd2020@bu.edu; douyue000@163.com; jiangqz@uibe.edu.cn; zhaojun4768@163.com</t>
  </si>
  <si>
    <t>Zhao, J (corresponding author), Univ Int Business &amp; Econ, Sch Int Trade &amp; Econ, Beijing 100029, Peoples R China.;Zhao, J (corresponding author), Univ Int Business &amp; Econ, UIBE Belt &amp; Rd Energy Trade &amp; Dev Ctr, Beijing 100029, Peoples R China.</t>
  </si>
  <si>
    <t>Boston University; University of International Business &amp; Economics; University of International Business &amp; Economics</t>
  </si>
  <si>
    <t>[Dong, Jiajia] Boston Univ, Metropolitan Coll, Boston, MA 02215 USA; [Dou, Yue; Jiang, Qingzhe; Zhao, Jun] Univ Int Business &amp; Econ, Sch Int Trade &amp; Econ, Beijing 100029, Peoples R China; [Dou, Yue; Jiang, Qingzhe; Zhao, Jun] Univ Int Business &amp; Econ, UIBE Belt &amp; Rd Energy Trade &amp; Dev Ctr, Beijing 100029, Peoples R China</t>
  </si>
  <si>
    <t>With the vigorous popularization of inclusive finance, its carbon emission-reduction effect deserves great attention. For this purpose, we check the spatial effect of financial inclusion on carbon dioxide (CO2) emissions by building a composite index of financial inclusion. After conducting a series of robust tests, we also examine how energy efficiency adjusts and affects the financial inclusion-CO2 nexus. The primary findings highlight that: (i) China's financial inclusion is positively correlated with the greenhouse effect; in other words, increased inclusive finance cannot facilitate carbon emission reduction; (ii) the interaction and synergy between energy efficiency and financial inclusion can effectively weaken the promotion effect of financial inclusion on carbon emissions and enhance the reduction effect of energy efficiency; and (3) in addition to the direct effect, China's financial inclusion can also facilitate green-house effect by impeding the innovation of energy technologies. Following the three results, we propose the corresponding policy implications. (c) 2022 Elsevier Ltd. All rights reserved.</t>
  </si>
  <si>
    <t>MITIGATE CO2 EMISSIONS; RENEWABLE ENERGY; ECONOMIC-GROWTH; EMPIRICAL-EVIDENCE; CONSUMPTION; PANEL; PARTICIPATION; CONSERVATION; STRATEGIES; REDUCTION</t>
  </si>
  <si>
    <t>Financial inclusion; CO2 emissions; Moderating and mediating effects; Energy efficiency; China</t>
  </si>
  <si>
    <t>Can financial inclusion facilitate carbon neutrality in China? The role of energy efficiency</t>
  </si>
  <si>
    <t>Dong, Jiajia; Dou, Yue; Jiang, Qingzhe; Zhao, Jun</t>
  </si>
  <si>
    <t>Dong, JJ; Dou, Y; Jiang, QZ; Zhao, J</t>
  </si>
  <si>
    <t>WOS:001317867400001</t>
  </si>
  <si>
    <t>9HD9F</t>
  </si>
  <si>
    <t>10.1177/03128962241270809</t>
  </si>
  <si>
    <t>Aust. J. Manag.</t>
  </si>
  <si>
    <t>AUST J MANAGE</t>
  </si>
  <si>
    <t>1327-2020</t>
  </si>
  <si>
    <t>0312-8962</t>
  </si>
  <si>
    <t>Wallace, Damien/0000-0002-4029-8628; Reddy, Krishna/0000-0002-7812-9141;</t>
  </si>
  <si>
    <t>Wallace, Damien/JQJ-5478-2023; Reddy, Krishna/S-2704-2019; Hewa Wellalage, Nirosha/H-7776-2014</t>
  </si>
  <si>
    <t>damien.wallace@jcu.edu.au</t>
  </si>
  <si>
    <t>Wallace, D (corresponding author), James Cook Univ, Coll Business Law &amp; Governance, James Cook Dr, Townsville, Qld 4811, Australia.</t>
  </si>
  <si>
    <t>Toi Ohomai Institute of Technology; James Cook University; Adelaide University; University of South Australia</t>
  </si>
  <si>
    <t>[Reddy, Krishna] Te Pukenga, Toi Ohomai Inst Technol, Postgrad Business, Fac Business Design &amp; Serv Ind, Rotorua, New Zealand; [Wallace, Damien] James Cook Univ, Coll Business Law &amp; Governance, James Cook Dr, Townsville, Qld 4811, Australia; [Wallace, Damien; Wellalage, Nirosha Hewa] Univ South Australia, UniSA Business, Adelaide, SA, Australia</t>
  </si>
  <si>
    <t>Using survey data of owners of micro, small and medium enterprises (MSMEs), we investigate the nexus between financial literacy (FL) and financial inclusion (FI). Furthermore, we examine whether the FL_FI nexus is different by gender. Our results show that FL has statistically significant positive effects on all three dimensions of FI (access, usage and quality). Our findings highlight policy implications for countries desiring to enhance FI by improving the financial literacy and education levels of MSME owners. Furthermore, our findings suggest that targeted financial education programmes result in better outcomes.JEL Classification: G10, G50, G53</t>
  </si>
  <si>
    <t>GENDER; BEHAVIOR; RISK</t>
  </si>
  <si>
    <t>Female; financial inclusion; financial literacy; New Zealand; micro; small and medium enterprises</t>
  </si>
  <si>
    <t>AUSTRALIAN JOURNAL OF MANAGEMENT</t>
  </si>
  <si>
    <t>The impact of financial literacy on financial inclusion</t>
  </si>
  <si>
    <t>Reddy, Krishna; Wallace, Damien; Wellalage, Nirosha Hewa</t>
  </si>
  <si>
    <t>Reddy, K; Wallace, D; Wellalage, NH</t>
  </si>
  <si>
    <t>WOS:000531005600003</t>
  </si>
  <si>
    <t>LK6WY</t>
  </si>
  <si>
    <t>10.21121/eab.729532</t>
  </si>
  <si>
    <t>BOZKURT, İbrahim/0000-0003-4921-8767</t>
  </si>
  <si>
    <t>KARAKUS, Rifat/LWI-2617-2024; BOZKURT, İbrahim/LUZ-1042-2024</t>
  </si>
  <si>
    <t>ibozkurt@karatekin.edu.tr; rifatkarakus@hotmail.com</t>
  </si>
  <si>
    <t>Bozkurt, I (corresponding author), Cankiri Karatekin Univ, Fac Econ &amp; Adm Sci, Dept Banking &amp; Finance, Cankiri, Turkey.</t>
  </si>
  <si>
    <t>[Bozkurt, Ibrahim; Karakus, Rifat] Cankiri Karatekin Univ, Fac Econ &amp; Adm Sci, Dept Banking &amp; Finance, Cankiri, Turkey</t>
  </si>
  <si>
    <t>This present study explores the drivers affecting the provincial financial inclusion levels by using data belonging to 81 Turkish provinces during 2011 - 2016. After computing the index of financial inclusion for each province, we used spatial regression methods which control for spatial dependences because Moran's I statistic and Local Indicator of Spatial Association (LISA) analysis revealed that there are the spatial spillover and heterogeneity in provincial financial inclusion. To cope with the possible endogeneity problems, we estimated the spatial models via System GMM estimator. The findings show that unemployment, urban, tourism, married, education, inflation and crime variables are the determinants of provincial financial inclusion for Turkey. We also detect a convergence in financial inclusion levels of provinces.</t>
  </si>
  <si>
    <t>ACCESS; PATTERNS; VIOLENCE; WOMEN</t>
  </si>
  <si>
    <t>Financial inclusion; financial inclusion index; spatial econometrics; System GMM; convergence of financial inclusion</t>
  </si>
  <si>
    <t>Provincial Financial Inclusion in Turkey: Measurement and Its Spatial Determinants</t>
  </si>
  <si>
    <t>Bozkurt, Ibrahim; Karakus, Rifat</t>
  </si>
  <si>
    <t>Bozkurt, I; Karakus, R</t>
  </si>
  <si>
    <t>WOS:000339151700025</t>
  </si>
  <si>
    <t>AL5CS</t>
  </si>
  <si>
    <t>10.1007/s11205-013-0414-8</t>
  </si>
  <si>
    <t>Chen, Fuzhong/0000-0001-9116-3304; Xiao, Jing Jian/0000-0003-3252-5672</t>
  </si>
  <si>
    <t>Chen, Fuzhong/AAE-6103-2022; Xiao, Jing Jian/R-1415-2016</t>
  </si>
  <si>
    <t>[Xiao, Jing Jian] Univ Rhode Isl, Dept Human Dev &amp; Family Studies, Transit Ctr, Kingston, RI 02881 USA; [Chen, Cheng; Chen, Fuzhong] Renmin Univ China, Sch Business, Beijing 100872, Peoples R China</t>
  </si>
  <si>
    <t>The purpose of this study was to examine associations between consumer financial capability and financial satisfaction. Consumer financial capability was measured by three sets of variables, perceived financial capability, financial literacy, and financial behavior. Using data from the 2009 US State-by-State Survey of Financial Capability, the results indicated the positive association between perceived financial capability and financial satisfaction. The findings suggested that desirable financial behavior increases while risky financial behavior decreases financial satisfaction. Subjective financial literacy was also found to contribute positively to financial satisfaction. The positive association between objective financial literacy and financial satisfaction was found in bivariate analyses but not in multivariate analyses. The results imply that to enhance consumer financial well-being, consumer financial education programs should emphasize action taking and encourage consumers to avoid risky financial behavior, engage in desirable financial behavior, and improve financial self-efficacy.</t>
  </si>
  <si>
    <t>HAPPINESS; BEHAVIOR</t>
  </si>
  <si>
    <t>Financial satisfaction; Financial capability; Financial literacy; Financial behavior; Financial knowledge</t>
  </si>
  <si>
    <t>Consumer Financial Capability and Financial Satisfaction</t>
  </si>
  <si>
    <t>Xiao, Jing Jian; Chen, Cheng; Chen, Fuzhong</t>
  </si>
  <si>
    <t>Xiao, JJ; Chen, C; Chen, FZ</t>
  </si>
  <si>
    <t>WOS:000304918700001</t>
  </si>
  <si>
    <t>954BG</t>
  </si>
  <si>
    <t>10.1080/00220388.2011.621944</t>
  </si>
  <si>
    <t>Divn Of Social and Economic Sciences; Direct For Social, Behav &amp; Economic Scie(National Science Foundation (NSF)NSF - Directorate for Social, Behavioral &amp; Economic Sciences (SBE))</t>
  </si>
  <si>
    <t>Divn Of Social and Economic Sciences; Direct For Social, Behav &amp; Economic Scie [0960423] Funding Source: National Science Foundation</t>
  </si>
  <si>
    <t>Maurer, Bill/0000-0001-5339-9893</t>
  </si>
  <si>
    <t>Maurer, Bill/L-8561-2015</t>
  </si>
  <si>
    <t>wmmaurer@uci.edu</t>
  </si>
  <si>
    <t>Maurer, B (corresponding author), Univ Calif Irvine, Dept Anthropol, 3151 Social Sci Plaza, Irvine, CA 92697 USA.</t>
  </si>
  <si>
    <t>University of California System; University of California Irvine</t>
  </si>
  <si>
    <t>Univ Calif Irvine, Dept Anthropol, Irvine, CA 92697 USA</t>
  </si>
  <si>
    <t>This article explores the emerging field of 'mobile money': mobile phone-enabled systems for value transfer and storage, primarily in the developing world, which are heralded as signal interventions in the effort to broaden financial inclusion and bank the 'unbanked.' Focusing on the stories that circulate in the emergent network of expertise that is calling 'mobile money' into being, it discusses how economic techniques and social narratives about markets - specifically, narratives about the opportunities for profit and financial inclusion in the 'payments space' - format a consumer market for mobile money. Furthermore, it asks whether end-users' repurposing of mobile money - and the use of airtime as currency - heralds a new means of exchange or store of value, potentially remaking money in the process.</t>
  </si>
  <si>
    <t>ANTHROPOLOGY; EQUALITY; ACCESS; LABOR</t>
  </si>
  <si>
    <t>Mobile Money: Communication, Consumption and Change in the Payments Space</t>
  </si>
  <si>
    <t>Maurer, Bill</t>
  </si>
  <si>
    <t>Maurer, B</t>
  </si>
  <si>
    <t>WOS:001023854200001</t>
  </si>
  <si>
    <t>L5SE2</t>
  </si>
  <si>
    <t>10.1080/23322039.2023.2230725</t>
  </si>
  <si>
    <t>JUN 15</t>
  </si>
  <si>
    <t>The work was supported by the Research, Publication &amp; amp; Community Service Bureau of the Satya Wacana Christian University, Indonesia (2021).</t>
  </si>
  <si>
    <t>Research, Publication amp; Community Service Bureau of the Satya Wacana Christian University, Indonesia</t>
  </si>
  <si>
    <t>Atahau, Apriani Dorkas Rambu/0000-0002-0186-0796; huruta, anian/0000-0001-7676-5294; Kim, Min-Sun/0000-0001-9667-4971; Madea Sakti, Imanuel/0000-0001-9296-2482</t>
  </si>
  <si>
    <t>Atahau, Apriani Dorkas Rambu/AAB-9654-2021; Huruta, Andrian/M-2654-2019; huruta, anian/M-2654-2019; Kim, Min-Sun/AEL-7891-2022; Madea Sakti, Imanuel/IWE-3675-2023</t>
  </si>
  <si>
    <t>imanuel.sakti@uksw.edu</t>
  </si>
  <si>
    <t>Sakti, IM (corresponding author), Satya Wacana Christian Univ, Fac Econ &amp; Business, 52-60 Diponegoro Rd, Salatiga 50711, Indonesia.</t>
  </si>
  <si>
    <t>Universitas Kristen Satya Wacana; Chung Yuan Christian University</t>
  </si>
  <si>
    <t>[Atahau, Apriani Dorkas Rambu; Sakti, Imanuel Madea; Huruta, Andrian Dolfriandra] Satya Wacana Christian Univ, Fac Econ &amp; Business, 52-60 Diponegoro Rd, Salatiga 50711, Indonesia; [Hutar, Alliny Namilana Rambu] Wira Wacana Christian Univ, Fac Business Econ &amp; Humanities, East Sumba, Indonesia; [Kim, Min-Sun] Chung Yuan Christian Univ, Int Undergraduate Program Business &amp; Management, Taoyuan, Taiwan</t>
  </si>
  <si>
    <t>This research aims to examine the mediating role of microfinance governance in the relationship between financial literacy and microfinance sustainability. The research used the purposive sampling method to collect data from the Women Farmers Group (WFG) Tapa Walla Badi in Mbatakapidu village, East Sumba, Indonesia. The survey was conducted from November through December 2021 with the valid sample for analysis was 200 questionnaires. The Partial Least Squares-Structural Equation Model (PLS-SEM) was used for analysis. The bootstrapping and the Sobel test were required for a better understanding of the findings. Robust test and focus group discussion (FGD) made our methodology more reliable. The findings show that financial literacy plays an important role in the transformation of rural microfinance institutions (MFIs). Financial literacy works positively on the sustainability of rural microfinance via governance. Age, gender, education, and employment situation were taken into account in financial literacy. This research provides a comprehensive view to policymakers in developing rural MFIs, thus implies the urgency to promote financial literacy and improve governance structures within MFIs. The local government may create pro-financial inclusion policies that support sustainable MFIs by implementing financial literacy curriculum in formal and non-formal education.</t>
  </si>
  <si>
    <t>DIRECTORS; GHANA</t>
  </si>
  <si>
    <t>financial literacy; microfinance sustainability; governance; financial literacy index; rural microfinance institutions; &gt;</t>
  </si>
  <si>
    <t>Financial literacy and sustainability of rural microfinance: The mediating effect of governance</t>
  </si>
  <si>
    <t>Atahau, Apriani Dorkas Rambu; Sakti, Imanuel Madea; Hutar, Alliny Namilana Rambu; Huruta, Andrian Dolfriandra; Kim, Min-Sun</t>
  </si>
  <si>
    <t>Atahau, ADR; Sakti, IM; Hutar, ANR; Huruta, AD; Kim, MS</t>
  </si>
  <si>
    <t>WOS:000638057200001</t>
  </si>
  <si>
    <t>RO7ZX</t>
  </si>
  <si>
    <t>10.1007/s12243-021-00840-4</t>
  </si>
  <si>
    <t>Ann. Telecommun.</t>
  </si>
  <si>
    <t>ANN TELECOMMUN</t>
  </si>
  <si>
    <t>1958-9395</t>
  </si>
  <si>
    <t>0003-4347</t>
  </si>
  <si>
    <t>Urien, Pascal/0000-0002-7887-6139</t>
  </si>
  <si>
    <t>kodjo.Agbezoutsi@telecom-paris.fr; Pascal.Urien@telecom-paris.fr; mdandjinou@gmail.com</t>
  </si>
  <si>
    <t>Agbezoutsi, KE (corresponding author), LTCI Telecom ParisTech, 19 Pl Marguer Perey, F-91120 Palaiseau, France.</t>
  </si>
  <si>
    <t>IMT - Institut Mines-Telecom; Institut Polytechnique de Paris; Telecom Paris</t>
  </si>
  <si>
    <t>[Agbezoutsi, Kodjo Edem; Urien, Pascal] LTCI Telecom ParisTech, 19 Pl Marguer Perey, F-91120 Palaiseau, France; [Dandjinou, Tounde Mesmin] Univ Nazi BONI, 01 BP 1091, Bobo Dioulasso 01, Burkina Faso</t>
  </si>
  <si>
    <t>This paper discusses a new approach to mobile money, a money transfer solution via mobile phone, which uses accounts associated with Subscriber Identity Module (SIM) identifiers, and which is managed by the Mobile Network Operators (MNOs). The first solution M-PESA launched in Kenya in 2007 is one of the world's major mobile money services. Mobile money becomes the new monopoly of MNOs in an economic system where the rate of unbanked adults is very high. Currently, in 2019 Orange Money makes nearly 1.5 million transactions per day, which corresponds to a monetary value of nearly 15 billion CFA francs (CFA franc, officially African Financial Community franc) per day. The Unstructured Supplementary Service Data (USSD) is the heart technology of mobile money transactions. Blockchain, which is the underlying technology of the first cryptocurrency, Bitcoin, has drawn a lot of global attention in recent years. Blockchain does not stop seeing its field of action widen. The rate of unbanked is so high in developing countries that it does not favor economy development. According to the World Bank, mobile money contributes to skip this obstacle. In this paper, we present the state-of-the-art of mobile money and its underlying technologies in the sub-Saharan countries in general, and in Burkina-Faso particularly. We propose a mobile money solution based on the blockchain, in order to increase security, trust, and move towards a federation of mobile money platforms.</t>
  </si>
  <si>
    <t>Security; Blockchain; Payments; Mobile Money; USSD; Traceability; Trust</t>
  </si>
  <si>
    <t>ANNALS OF TELECOMMUNICATIONS</t>
  </si>
  <si>
    <t>Mobile money traceability and federation using blockchain services</t>
  </si>
  <si>
    <t>Agbezoutsi, Kodjo Edem; Urien, Pascal; Dandjinou, Tounde Mesmin</t>
  </si>
  <si>
    <t>Agbezoutsi, KE; Urien, P; Dandjinou, TM</t>
  </si>
  <si>
    <t>WOS:000571473300006</t>
  </si>
  <si>
    <t>NR3OV</t>
  </si>
  <si>
    <t>Engineering; Business &amp; Economics; Operations Research &amp; Management Science</t>
  </si>
  <si>
    <t>Engineering, Industrial; Management; Operations Research &amp; Management Science</t>
  </si>
  <si>
    <t>10.1016/j.technovation.2020.102155</t>
  </si>
  <si>
    <t>Technovation</t>
  </si>
  <si>
    <t>TECHNOVATION</t>
  </si>
  <si>
    <t>1879-2383</t>
  </si>
  <si>
    <t>0166-4972</t>
  </si>
  <si>
    <t>Senyo, PK/0000-0001-7126-3826; Osabutey, Ellis LC/0000-0003-4788-5224</t>
  </si>
  <si>
    <t>Senyo, PK/ABA-5334-2021</t>
  </si>
  <si>
    <t>p.k.senyo@soton.ac.uk</t>
  </si>
  <si>
    <t>Senyo, PK (corresponding author), Univ Southampton, Southampton Business Sch, Dept Decis Analyt &amp; Risk, Southampton SO17 1BJ, Hants, England.</t>
  </si>
  <si>
    <t>University of Southampton; Solent University; Roehampton University</t>
  </si>
  <si>
    <t>[Senyo, P. K.] Univ Southampton, Southampton Business Sch, Dept Decis Analyt &amp; Risk, Southampton SO17 1BJ, Hants, England; [Osabutey, Ellis L. C.] Univ Roehampton, Roehampton Business Sch, London SW15 5PJ, England</t>
  </si>
  <si>
    <t>Fintech innovations are enabling access to financial services through mobile devices for many unbanked in the world. Though fintech innovations are touted as game changers in deepening financial inclusion, their wide acceptance and use still remain limited. In the extant literature, technological and behavioural antecedents that influence users' behaviour toward financial technologies are not fully understood. This study argues that understanding antecedents to the actual use of fintech innovations will lead to deepening financial inclusion. Using mobile money-a type of fintech innovation, this study adopts the Unified Theory of Acceptance and Use of Technology 2 (UTAUT2) and the Prospect theory. Drawing on survey data collected from 294 respondents, this study applies the partial least square structural equation modelling technique. The findings show that performance and effort expectancy have significant relationship with the intention to use mobile money services. However, contrary to well-established positions, price value, hedonic motivation, social influence and perceived risk do not influence intention and use of mobile money services. The study makes significant theoretical contributions and offers practical and policy implications for deepening financial inclusion.</t>
  </si>
  <si>
    <t>MOBILE MONEY SERVICES; TECHNOLOGY ACCEPTANCE; INFORMATION-TECHNOLOGY; CONSUMER ACCEPTANCE; PROSPECT-THEORY; PERCEIVED RISK; UNIFIED THEORY; ADOPTION; INTENTION; COMMUNICATION</t>
  </si>
  <si>
    <t>FinTech; Antecedents; Mobile money; UTAUT2; Prospect theory; SEM; Financial inclusion</t>
  </si>
  <si>
    <t>Unearthing antecedents to financial inclusion through FinTech innovations</t>
  </si>
  <si>
    <t>Senyo, P. K.; Osabutey, Ellis L. C.</t>
  </si>
  <si>
    <t>Senyo, PK; Osabutey, ELC</t>
  </si>
  <si>
    <t>WOS:000466551600077</t>
  </si>
  <si>
    <t>HW2WV</t>
  </si>
  <si>
    <t>10.3390/su11071900</t>
  </si>
  <si>
    <t>APR 1</t>
  </si>
  <si>
    <t>This research was funded by the National Social Science Foundation of China (no. 15ZDC027, no. 18AJL002) and the research base of humanities and social science in Chinese Ministry of Education (no. 14JJD790042, no. 16JJD790044).</t>
  </si>
  <si>
    <t>National Social Science Foundation of China(National Office of Philosophy and Social Sciences); research base of humanities and social science in Chinese Ministry of Education</t>
  </si>
  <si>
    <t>National Social Science Foundation of China [15ZDC027, 18AJL002]; research base of humanities and social science in Chinese Ministry of Education [14JJD790042, 16JJD790044]</t>
  </si>
  <si>
    <t>yyl7772@163.com; 2016101050047@whu.edu.cn</t>
  </si>
  <si>
    <t>Fu, CY (corresponding author), Wuhan Univ, Ctr Econ Dev Res, Sch Econ &amp; Management, Wuhan 430072, Hubei, Peoples R China.</t>
  </si>
  <si>
    <t>Wuhan University; Wuhan University</t>
  </si>
  <si>
    <t>[Fu, Chenyu] Wuhan Univ, Ctr Econ Dev Res, Sch Econ &amp; Management, Wuhan 430072, Hubei, Peoples R China; Wuhan Univ, Ctr Populat Resource &amp; Environm Econ Res, Sch Econ &amp; Management, Wuhan 430072, Hubei, Peoples R China</t>
  </si>
  <si>
    <t>Inclusive finance is often considered to be a critical element that makes growth inclusive, as access to finance can enable the poor to lift themselves from income poverty. However, can it play such a role when the poor are in multidimensional poverty? Why does financial exclusion and poverty still exist in countries with vigorous development of inclusive finance? We build an evolutionary game model to analyze the equilibrium strategies of inclusive financial institutions and the poor in poverty reduction activities to find the answers. As there is a high incidence of poverty and serious financial exclusion in rural areas of China, we test the poverty reduction effectiveness of inclusive financial development on the poor with different labor capacity in rural China from 2010 to 2016 based on survey data of China Family Panel Studies and relevant statistics collected from 21 provinces. Our study finds there are differences in poverty alleviation effects of inclusive financial development among the poor with different labor capacities; if financial institutions target the service precisely to the working-age population in rural areas, they will achieve the dual goals of maintaining institutional sustainable development and alleviating poverty; And the development of inclusive finance in aspects of permeability, usability, and utility can significantly reduce multidimensional poverty. Therefore, to further improve the multidimensional poverty reduction performance and stimulate the endogenous motivation of the poor, it is necessary to strengthen the support for financial resources served to the working-age population, and to improve the development of rural inclusive finance in aspects of quality and affordability.</t>
  </si>
  <si>
    <t>inclusive finance; multidimensional poverty; targeted poverty reduction; evolutionary game; China</t>
  </si>
  <si>
    <t>Inclusive Financial Development and Multidimensional Poverty Reduction: An Empirical Assessment from Rural China</t>
  </si>
  <si>
    <t>Yang, Yanlin; Fu, Chenyu</t>
  </si>
  <si>
    <t>Yang, YL; Fu, CY</t>
  </si>
  <si>
    <t>WOS:000424741600158</t>
  </si>
  <si>
    <t>BJ4AP</t>
  </si>
  <si>
    <t>Computer Science, Artificial Intelligence; Engineering, Electrical &amp; Electronic</t>
  </si>
  <si>
    <t>AFRICON</t>
  </si>
  <si>
    <t>978-1-5386-2775-4</t>
  </si>
  <si>
    <t>2153-0025</t>
  </si>
  <si>
    <t>Oyelere, Solomon Sunday/0000-0001-9895-6796; Olaleye, Sunday Adewale/0000-0002-0266-3989;</t>
  </si>
  <si>
    <t>Oyelere, Solomon Sunday/AAE-7541-2020; Olaleye, Sunday Adewale/AAH-2285-2019; Sanusi, Ismaila Temitayo/AAE-6972-2020</t>
  </si>
  <si>
    <t>sunday.olaleye@oulu.fi; ismails@uef.fi; solomon.oyelere@uef.fi</t>
  </si>
  <si>
    <t>Olaleye, SA (corresponding author), Univ Oulu, Oulu Business Sch, Oulu, Finland.</t>
  </si>
  <si>
    <t>University of Oulu; University of Eastern Finland</t>
  </si>
  <si>
    <t>[Olaleye, Sunday A.] Univ Oulu, Oulu Business Sch, Oulu, Finland; [Sanusi, Ismaila T.; Oyelere, Solomon S.] Univ Eastern Finland, Sch Comp, Philosoph Fac, Joensuu, Finland</t>
  </si>
  <si>
    <t>Mobile money is an upshot of the conventional banking system that creates an opportunity for the financially excluded group of people. It allows the unbanked in the rural areas and the underbanked in the urban centers to have access to financial services. User experience is all encompassing as it affects the emotion and the attitude of the user of a product or services. This study reviewed the related literature about mobile money user's experience. Quantitative data analysis technique was used in the study. The study contributes positively to the mobile money literature with a framework that highlights the importance of privacy, security, and convenience as an enhancer of mobile money user's experience while the system anxiety negatively depicts the mobile money users'. We explicate the theoretical contributions, implications for the managers and offers a useful suggestion for the future study.</t>
  </si>
  <si>
    <t>TECHNOLOGY ACCEPTANCE MODEL; EMPIRICAL-EVALUATION; PRIVACY; ONLINE</t>
  </si>
  <si>
    <t>Mobile money; User experience; Nigeria</t>
  </si>
  <si>
    <t>IEEE,mlab,IEEE Reg 8,IEEE S Africa Sect,IES,Univ Pretoria,SAiEE,IBM,Altair,CST</t>
  </si>
  <si>
    <t>SEP 18-20, 2017</t>
  </si>
  <si>
    <t>IEEE AFRICON Conference - Science, Technology and Innovation for Africa</t>
  </si>
  <si>
    <t>Africon</t>
  </si>
  <si>
    <t>2017 IEEE AFRICON</t>
  </si>
  <si>
    <t>Users Experience of Mobile Money in Nigeria</t>
  </si>
  <si>
    <t>Olaleye, Sunday A.; Sanusi, Ismaila T.; Oyelere, Solomon S.</t>
  </si>
  <si>
    <t>Cornish, DR</t>
  </si>
  <si>
    <t>WOS:001499197900001</t>
  </si>
  <si>
    <t>4CA2T</t>
  </si>
  <si>
    <t>10.1007/s40797-025-00334-5</t>
  </si>
  <si>
    <t>Ital. Econ. J.</t>
  </si>
  <si>
    <t>ITAL ECON J</t>
  </si>
  <si>
    <t>2199-3238</t>
  </si>
  <si>
    <t>2199-322X</t>
  </si>
  <si>
    <t>Korczak, Dieter/0009-0009-6977-0701</t>
  </si>
  <si>
    <t>Korczak, Dieter/AFT-2995-2022</t>
  </si>
  <si>
    <t>dieter.korczak@gp-f.com</t>
  </si>
  <si>
    <t>Korczak, D (corresponding author), GP Forschungsgrp, Bernau, Germany.</t>
  </si>
  <si>
    <t>[Korczak, Dieter] GP Forschungsgrp, Bernau, Germany</t>
  </si>
  <si>
    <t>This paper deals with the influence of financial literacy on the prevention of financial fragility and over-indebtedness. Financial literacy is differentiated from financial education, financial fragility, financial resilience and financial capabilities. Over-indebtedness is regarded as a multifaceted phenomenon. It is mainly caused by ongoing low income, financial shocks and irresponsible lending practices by the financial industry. Financial illiteracy plays only a minor role for getting into over-indebtedness. Financial literacy is regarded as a prerequisite for financial inclusion and achieving financial well-being. It functions as a kind of primary/ universal prevention. 50 per cent of the EU population is in financial fragility. There is a great need to change the disadvantageous circumstances of their life and to have a deeper look what causes financial fragility. The analysis of conversion factors is important for financial capabilities and could be helpful. There is no scientific proof yet that an effective behavior change for the prevention of over-indebtedness can be reached by financial education. On the other hand, there is evidence that over-indebted people develop a high level of everyday competence to get by with little money. Therefore literacy initiatives (as primary prevention) should go hand in hand withimproving people's income levels, good consumer protection, better regulation and financial supervision.</t>
  </si>
  <si>
    <t>Financial literacy; Financial education; Financial fragility; Financial resilience; Over-indebtedness; Debt advice; D1; D63; D82; D91; G51; I31; I320</t>
  </si>
  <si>
    <t>ITALIAN ECONOMIC JOURNAL</t>
  </si>
  <si>
    <t>The Role of Financial Education for the Prevention of Financial Fragility and Over-Indebtedness</t>
  </si>
  <si>
    <t>Korczak, Dieter</t>
  </si>
  <si>
    <t>Korczak, D</t>
  </si>
  <si>
    <t>WOS:001221544300001</t>
  </si>
  <si>
    <t>QN4S2</t>
  </si>
  <si>
    <t>10.1016/j.frl.2024.105312</t>
  </si>
  <si>
    <t>We thank the comments from the editor and two anonymous referees. We would like to thank the financial support from the General project of Educational Scientific Planning of Hubei Province (No. 2022GB160) , Scientific Research Project of Education Department of Hubei Province (No. B2021339) , All errors remain our own.</t>
  </si>
  <si>
    <t>General project of Educational Scientific Planning of Hubei Province; Scientific Research Project of Education Department of Hubei Province</t>
  </si>
  <si>
    <t>General project of Educational Scientific Planning of Hubei Province [2022GB160]; Scientific Research Project of Education Department of Hubei Province [B2021339]</t>
  </si>
  <si>
    <t>zhang, chenglong/HSH-7245-2023</t>
  </si>
  <si>
    <t>szn9001@163.com</t>
  </si>
  <si>
    <t>Shen, ZN (corresponding author), Zhongnan Univ Econ &amp; Law, Sch Marxism, Wuhan 430073, Hubei, Peoples R China.</t>
  </si>
  <si>
    <t>Hubei Engineering University; Zhongnan University of Economics &amp; Law</t>
  </si>
  <si>
    <t>[Xu, Ting; Zhang, Hui; Zhang, Chenglong; Huang, Honglei] Hubei Engn Univ, Sch Econ &amp; Management, Xiaogan 432000, Hubei, Peoples R China; [Shen, Zhenni] Zhongnan Univ Econ &amp; Law, Sch Marxism, Wuhan 430073, Hubei, Peoples R China</t>
  </si>
  <si>
    <t>To promote digital transformation by enterprises and provide more convenient and efficient financial services, this study analyzes enterprise digital transformation ' s promotion mechanism and economic influence factors globally and clarifies the role of inclusive digital finance in selfregulation and reducing financing difficulties during enterprise transformation. Finally, an economic resilience model is constructed to select parameters of economic factors, refined into two dimensions: enterprise transformation ability and enterprise upgrading ability. The digital economy is found to be conducive to improving the gross profit margin of enterprises with a significance greater than 0. A regression analysis shows that the estimated coefficients of the digital financial inclusion index, breadth of coverage, and depth of use are all significantly positive, and the different nature of the firms passes the significance test at the 1 % level. Thus, inclusive digital finance reduces the business risk of digital transformation and promotes the development of enterprises in the direction of specialization and innovation.</t>
  </si>
  <si>
    <t>Coverage breadth; Digital transformation; Economic resilience; Inclusive finance; Regression analysis</t>
  </si>
  <si>
    <t>Digital HP finance 's role in the economic resilience of enterprises ' digital transformation</t>
  </si>
  <si>
    <t>Xu, Ting; Shen, Zhenni; Zhang, Hui; Zhang, Chenglong; Huang, Honglei</t>
  </si>
  <si>
    <t>Xu, T; Shen, ZN; Zhang, H; Zhang, CL; Huang, HL</t>
  </si>
  <si>
    <t>WOS:000795077200025</t>
  </si>
  <si>
    <t>1F3NG</t>
  </si>
  <si>
    <t>10.1371/journal.pone.0265606</t>
  </si>
  <si>
    <t>e0265606</t>
  </si>
  <si>
    <t>This study was supported by the Project Team Building Research Fund of Chongqing University (No. 0203005303127). The funder had no role in study design, data collection and analysis, decision to publish, or preparation of the manuscript.</t>
  </si>
  <si>
    <t>Project Team Building Research Fund of Chongqing University</t>
  </si>
  <si>
    <t>Project Team Building Research Fund of Chongqing University [0203005303127]</t>
  </si>
  <si>
    <t>xiong, ailun/ACF-7588-2022</t>
  </si>
  <si>
    <t>20080340@cqu.edu.cn</t>
  </si>
  <si>
    <t>Ye, Y (corresponding author), Chongqing Univ, Sch Econ &amp; Business Adm, Chongqing, Peoples R China.</t>
  </si>
  <si>
    <t>Chongqing University; Chongqing Technology &amp; Business University</t>
  </si>
  <si>
    <t>[Ye, Yun; Pu, Yongjian] Chongqing Univ, Sch Econ &amp; Business Adm, Chongqing, Peoples R China; [Xiong, Ailun] Chongqing Technol &amp; Business Univ, Sch Management, Chongqing, Peoples R China</t>
  </si>
  <si>
    <t>Chinese households have overinvested in risk-free financial assets, resulting in a single structure of financial assets. However, this proportion declined as digital finance developed. By combing the data from the China Household Finance Survey Data and the Peking University Digital Financial Inclusion Index of China, we find that digital finance significantly promotes household participation in risky financial markets. Further mechanistic analysis unveils that digital finance mainly affects households' participation in risky financial markets by reducing the lack of investment channels, promoting households' access to financial information and increasing the possibility of household risk appetite. In addition, the heterogeneity analysis suggests that digital finance effectively reduces the deterrent effect of wealth and cognitive thresholds on all households, reflecting the inclusive nature of financial development. Our findings provide an empirical basis for the mainstream positioning of digital finance in the development of inclusive finance, and display its positive impact on social welfare.</t>
  </si>
  <si>
    <t>PORTFOLIO CHOICE EVIDENCE; FINTECH DEVELOPMENT; ENTRY COSTS; CONSUMPTION; INNOVATION; ADOPTION; LONG</t>
  </si>
  <si>
    <t>The impact of digital finance on household participation in risky financial markets: Evidence-based study from China</t>
  </si>
  <si>
    <t>Ye, Yun; Pu, Yongjian; Xiong, Ailun</t>
  </si>
  <si>
    <t>Ye, Y; Pu, YJ; Xiong, AL</t>
  </si>
  <si>
    <t>WOS:001147911600001</t>
  </si>
  <si>
    <t>FS7N9</t>
  </si>
  <si>
    <t>10.1016/j.ipm.2023.103478</t>
  </si>
  <si>
    <t>Inf. Process. Manage.</t>
  </si>
  <si>
    <t>INFORM PROCESS MANAG</t>
  </si>
  <si>
    <t>1873-5371</t>
  </si>
  <si>
    <t>0306-4573</t>
  </si>
  <si>
    <t>Funding The study is supported by the Humanities and Social Sciences Research Planning Fund of the Ministry of Education of China (Grant No. 22YJA790023) .</t>
  </si>
  <si>
    <t>Zhai, Chenzhe/MYR-3943-2025; Hu, Debao/AFR-4583-2022</t>
  </si>
  <si>
    <t>guofang@gduf.edu.cn</t>
  </si>
  <si>
    <t>Renmin University of China; Guangdong University of Finance</t>
  </si>
  <si>
    <t>[Hu, Debao; Zhai, Chenzhe] Renmin Univ China, Int Coll, 58 Zhongguancun St, Beijing 100872, Peoples R China; [Guo, Fang] Guangdong Univ Finance, Sch Insurance, 527 Yingfu Rd, Guangzhou 510521, Guangdong, Peoples R China</t>
  </si>
  <si>
    <t>Using three waves of data from the China Family Panel Studies and the Digital Financial Inclusion Index of China, we analyze the relationship between digital finance, entrepreneurship and household income disparity. Following a theoretical analysis, we demonstrate the inverted U-shaped relationship between digital finance and household income gap. The empirical analysis finds that digital finance has a Kuznets curve effect for the Theil index and the Gini coefficient. Our findings remain robust to testing for the endogeneity problem. We also discuss three mechanisms of household entrepreneurship, liquidity constraints, and investment efficiency. For heterogeneity discussion, comparisons include urban and rural areas, different regions, and various income sources, and existing differences are demonstrated accordingly. For example, inflection points vary, which may be attributed to inherent unbalanced development in China and the Chinese-style income segmentation of within the system or outside the system. Our findings further provide empirical evidence that digital finance helps reduce household income equality in the long run, and enriches related research.</t>
  </si>
  <si>
    <t>Digital finance; Household entrepreneurship; Inclusive finance; Income gap</t>
  </si>
  <si>
    <t>INFORMATION PROCESSING &amp; MANAGEMENT</t>
  </si>
  <si>
    <t>Digital finance, entrepreneurship and the household income gap: Evidence from China</t>
  </si>
  <si>
    <t>Hu, Debao; Guo, Fang; Zhai, Chenzhe</t>
  </si>
  <si>
    <t>Hu, DB; Guo, F; Zhai, CZ</t>
  </si>
  <si>
    <t>WOS:000713581900001</t>
  </si>
  <si>
    <t>10.1080/00220388.2021.1988078</t>
  </si>
  <si>
    <t>This work was supported by the Deutsche Forschungsgemeinschaft [ME 1070/10, RTG 1723].</t>
  </si>
  <si>
    <t>Deutsche Forschungsgemeinschaft [ME 1070/10, RTG 1723]</t>
  </si>
  <si>
    <t>Lehmann-Uschner, Katharina/0000-0001-8504-0930; Haan, Jana Samira/0000-0002-9686-6081</t>
  </si>
  <si>
    <t>lmenkhoff@diw.de</t>
  </si>
  <si>
    <t>Menkhoff, L (corresponding author), German Inst Econ Res DIW Berlin, Dept Int Econ, Mohrenstr 58, D-10117 Berlin, Germany.</t>
  </si>
  <si>
    <t>Humboldt University of Berlin; Leibniz Association; DIW Berlin - Deutsches Institut fur Wirtschaftsforschung; Leibniz Association; DIW Berlin - Deutsches Institut fur Wirtschaftsforschung</t>
  </si>
  <si>
    <t>[Hamdan, Jana S.; Menkhoff, Lukas] Humboldt Univ, Dept Int Econ, Berlin, Germany; [Hamdan, Jana S.] German Inst Econ Res DIW Berlin, Berlin, Germany; [Lehmann-Uschner, Katharina] Climate Analyt gGmbH, Climate Sci &amp; Impacts, Berlin, Germany; [Menkhoff, Lukas] DIW Berlin, Berlin, Germany</t>
  </si>
  <si>
    <t>Mobile money is an important instrument to improve the degree of financial inclusion, especially in developing countries. However, having a mobile money account does not imply that this account is actually used. In our sample, 86% of microentrepreneurs own a mobile money account, but only 49% actively use it - the resulting gap indicates unmet opportunities. We estimate that mobile money reaches up to 40% of those without prior access to (semi-)formal financial services, still leaving a substantial group behind in which women and the most disadvantaged are overrepresented. A choice experiment shows that high fees hinder mobile money usage for a substantial number of microentrepreneurs. Moreover, insufficient physical infrastructure, i.e. a small number and unfavourable spatial distribution of mobile money agents, also limits access, while a lack of financial education seems to contribute to comparatively low price sensitivity. Based on these results, we suggest policy measures that reduce the remaining barriers limiting the contribution of mobile money to financial inclusion.</t>
  </si>
  <si>
    <t>TRANSFERS</t>
  </si>
  <si>
    <t>Financial inclusion; mobile money; microentrepreneurs; choice experiment</t>
  </si>
  <si>
    <t>Mobile Money, Financial Inclusion, and Unmet Opportunities. Evidence from Uganda</t>
  </si>
  <si>
    <t>Hamdan, Jana S.; Lehmann-Uschner, Katharina; Menkhoff, Lukas</t>
  </si>
  <si>
    <t>Hamdan, JS; Lehmann-Uschner, K; Menkhoff, L</t>
  </si>
  <si>
    <t>WOS:000681563600003</t>
  </si>
  <si>
    <t>BS0FE</t>
  </si>
  <si>
    <t>10.1109/csnet47905.2019.9108970</t>
  </si>
  <si>
    <t>978-1-7281-3949-4</t>
  </si>
  <si>
    <t>kodjo.Agbezoutsi@telecom-paristech.fr; Pascal.Urien@telecom-paristech.fr; Dandjimes@yahoo.fr</t>
  </si>
  <si>
    <t>Agbezoutsi, KE (corresponding author), 23 Ave Italie, F-75013 Paris, France.</t>
  </si>
  <si>
    <t>[Agbezoutsi, Kodjo Edem; URIENe, Pascal] 23 Ave Italie, F-75013 Paris, France; [Dandjinou, Tounde Mesmin] Univ Nazi BONI, 01 BP 1091, Dinderesso, Burkina Faso</t>
  </si>
  <si>
    <t>This paper discusses a new approach to mobile money, a money transfer solution via mobile phone, which uses accounts associated with SIM (Subscriber Identity Module) identifiers, and which are managed by the Mobile Network Operators (MNOs). The first solution launched in Kenya in 2007, M-PESA is one of the world major mobile money services. Mobile money becomes the new monopoly of MMOs in an economic system where the rate of unbanked adults is very high. Currently in 2019 Orange Money makes nearly 1.5 million transactions per day, which corresponds to a monetary value of nearly 15 billion CFA francs per day. The USSD is the technology at the heart of the Mobile-money transactions. Blockchain, which is the underlying technology of the first crypto currency Bitcoin, has drawn a lot of global attention in recent years. Blockchain does not stop seeing its field of action widen. The field of action of the Blockchain has not yet completed its enlargement. The rate of unbanked is still very high in developing countries; this rate is a factor that does not favor the emergence of the economy. It is necessary to count on the mobile money to skip this obstacle (according to the World Bank) we make here the state of the art on the mobile money and its underlying technologies in the sub-Saharan countries and in Burkina-Faso. We propose a mobile-money solution based on the Blockchain, in order to increase security, trust, and move towards a federation of mobile-money platforms.</t>
  </si>
  <si>
    <t>Security; Blockchain; Payments; mobile money; USSD; traceability; trust</t>
  </si>
  <si>
    <t>Quito, ECUADOR</t>
  </si>
  <si>
    <t>OCT 23-25, 2019</t>
  </si>
  <si>
    <t>3rd Cyber Security in Networking Conference (CSNet)</t>
  </si>
  <si>
    <t>2019 3RD CYBER SECURITY IN NETWORKING CONFERENCE (CSNET)</t>
  </si>
  <si>
    <t>Towards Blockchain Services For Mobile Money Traceability And Federation</t>
  </si>
  <si>
    <t>Agbezoutsi, Kodjo Edem; URIENe, Pascal; Dandjinou, Tounde Mesmin</t>
  </si>
  <si>
    <t>Agbezoutsi, KE; URIENe, P; Dandjinou, TM</t>
  </si>
  <si>
    <t>WOS:000508384500004</t>
  </si>
  <si>
    <t>10.1109/MC.2019.2959903</t>
  </si>
  <si>
    <t>Kshetri, N (corresponding author), Univ N Carolina, Management, Bryan Sch Business &amp; Econ, Greensboro, NC 27412 USA.</t>
  </si>
  <si>
    <t>[Kshetri, Nir] Univ N Carolina, Management, Bryan Sch Business &amp; Econ, Greensboro, NC 27412 USA</t>
  </si>
  <si>
    <t>Several blckchain-based financial technologies and cryptocurrencies have been launched for low-income people. Blockchain's technical potential can be used to serve the needs of unbanked and underbanked populations, but there is no evidence that these needs are being met.</t>
  </si>
  <si>
    <t>WOS:000968077100001</t>
  </si>
  <si>
    <t>D3WY0</t>
  </si>
  <si>
    <t>10.1016/j.evalprogplan.2022.102215</t>
  </si>
  <si>
    <t>Eval. Program Plan.</t>
  </si>
  <si>
    <t>EVAL PROGRAM PLANN</t>
  </si>
  <si>
    <t>1873-7870</t>
  </si>
  <si>
    <t>0149-7189</t>
  </si>
  <si>
    <t>Liu, Aiping/0000-0002-3900-0206; Rodríguez-López, Ángel/0000-0002-5276-9642</t>
  </si>
  <si>
    <t>; Urquía-Grande, Elena/AAK-3465-2021; Rodríguez-López, Ángel/KBA-6258-2024</t>
  </si>
  <si>
    <t>aliu@ucm.es; eurquiag@ucm.es; p.lopez.prof@ufv.es; arlopez@ccee.ucm.es</t>
  </si>
  <si>
    <t>Liu, AP (corresponding author), Campus Somosagua, Fac CCEE &amp; EE, Carretera Humera S-N, Madrid 28223, Spain.</t>
  </si>
  <si>
    <t>Complutense University of Madrid; Universidad Francisco de Vitoria</t>
  </si>
  <si>
    <t>[Liu, Aiping; Urquia-Grande, Elena; Rodriguez-Lopez, Angel] Univ Complutense Madrid, Madrid, Spain; [Lopez-Sanchez, Pilar] Univ Francisco Vitoria, Madrid, Spain</t>
  </si>
  <si>
    <t>Information and communication technologies (ICTs) play an ever-increasing role in improving the efficiency, profitability, and sustainability of microfinance institutions. This paper aims to assess the role of ICTs in the microfinance industry by systematically reviewing the literature with bibliometric methods. In this research, a total of 347 samples (from 1998 to 2021) were selected from the Web of Science database according to the guideline of the systematic review. By performing descriptive statistical analysis, the contributing institutions, countries, journals, authors, as well as influential publications were identified. In the co-citation and co-word analysis section, three primary types of visualization-cluster views, timezone views and timeline viewswere all presented through CiteSpace. It turns out that crowdfunding, P2P lending and mobile banking have been the favorite topics. A central issue is the role of these platforms in entrepreneurship. We also proposed that applying fintech, especially blockchain and other emerging technologies, to promote financial inclusion is one of the future research trends. The findings of this study will be of interest to researchers, managers, policymakers, and evaluators and facilitate them to make well-informed decisions in their respective domains.</t>
  </si>
  <si>
    <t>COMMUNICATION TECHNOLOGY; SOCIAL ENTREPRENEURSHIP; DEVELOPING-COUNTRIES; ECONOMIC-DEVELOPMENT; FINANCIAL INCLUSION; DECISION-MAKING; MOBILE BANKING; CREDIT RISK; INFORMATION; INSTITUTIONS</t>
  </si>
  <si>
    <t>Microfinance; Information and communication technologies; (ICTs); Bibliometric analysis; Systematic review</t>
  </si>
  <si>
    <t>EVALUATION AND PROGRAM PLANNING</t>
  </si>
  <si>
    <t>Research into microfinance and ICTs: A bibliometric analysis</t>
  </si>
  <si>
    <t>Liu, Aiping; Urquia-Grande, Elena; Lopez-Sanchez, Pilar; Rodriguez-Lopez, Angel</t>
  </si>
  <si>
    <t>Liu, AP; Urquía-Grande, E; López-Sánchez, P; Rodríguez-López, A</t>
  </si>
  <si>
    <t>WOS:000669333800001</t>
  </si>
  <si>
    <t>WD5AN</t>
  </si>
  <si>
    <t>Environmental Sciences &amp; Ecology; Geography</t>
  </si>
  <si>
    <t>Environmental Studies; Geography</t>
  </si>
  <si>
    <t>10.1177/0308518X211026320</t>
  </si>
  <si>
    <t>0308518X211026320</t>
  </si>
  <si>
    <t>Environ. Plan. A</t>
  </si>
  <si>
    <t>ENVIRON PLANN A</t>
  </si>
  <si>
    <t>1472-3409</t>
  </si>
  <si>
    <t>0308-518X</t>
  </si>
  <si>
    <t>The authors disclosed receipt of the following financial support for the research, authorship, and/or publication of this article: This work was supported by the PEAK Urban programme, funded by UKRI's Global Challenge Research Fund (grant no. ES/P011055/1).</t>
  </si>
  <si>
    <t>PEAK Urban programme - UKRI's Global Challenge Research Fund(UK Research &amp; Innovation (UKRI)); GCRF(UK Research &amp; Innovation (UKRI))</t>
  </si>
  <si>
    <t>PEAK Urban programme - UKRI's Global Challenge Research Fund [ES/P011055/1]; GCRF [ES/P011055/1] Funding Source: UKRI</t>
  </si>
  <si>
    <t>Baker, Lucy/0000-0001-7661-4242</t>
  </si>
  <si>
    <t>lucy.baker@ouce.ox.ac.uk</t>
  </si>
  <si>
    <t>Baker, L (corresponding author), Univ Oxford, Sch Geog &amp; Environm, Transport Studies Unit, S Parks Rd, Oxford OX1 3QY, England.</t>
  </si>
  <si>
    <t>[Baker, Lucy] Univ Oxford, Sch Geog &amp; Environm, Transport Studies Unit, S Parks Rd, Oxford OX1 3QY, England</t>
  </si>
  <si>
    <t>Self-employed labour in transportation is a notoriously precarious form of employment that occurs throughout many developing countries. In order to offset high-cost and insecure vehicle procurement arrangements, paratransit fare structures are formulated on the basis of a set of logics designed to maximise revenues. Although entrepreneurial, when these logics occur in conflict with public fare legislation, they are undertaken illegally, or informally, and are perceived as undesirable by policy makers and transport users. However, the underlying structures that necessitate these practices are seldom examined despite their significant effect on mobilities and the livelihood experiences of male entrepreneurs. This paper engages with critical literatures on the financialisation of poverty reduction to present financialisation as a class-based mechanism that, with the rapid increase of digital payment and 'alternative' credit scoring, structures micro-entrepreneurship and precarity in the neoliberal context of India. The paper argues that digitally enhanced financial inclusion techniques may steer low-income workers toward mainstream finance institutions modelled on the global economy. They enable profit to be generated by investors and private microfinance companies. However, new financial technologies do not do little to reduce the risk and expense of microfinance, nor do they increase micro-entrepreneurs' profit margins. Moreover, they threaten the informal practices entrepreneurs use to self-manage their financial precarity.</t>
  </si>
  <si>
    <t>INFORMAL TRANSPORT; CONSUMER-CREDIT; NEOLIBERALISM; LABOR; RICKSHAWS; POLITICS; WORKERS; AGENDA</t>
  </si>
  <si>
    <t>Paratransit; financialisation; microfinance; micro-entrepreneur; financial inclusion; credit scores; cashless</t>
  </si>
  <si>
    <t>ENVIRONMENT AND PLANNING A-ECONOMY AND SPACE</t>
  </si>
  <si>
    <t>Everyday experiences of digital financial inclusion in India's 'micro-entrepreneur' paratransit services</t>
  </si>
  <si>
    <t>Baker, Lucy</t>
  </si>
  <si>
    <t>Baker, L</t>
  </si>
  <si>
    <t>WOS:000372516200010</t>
  </si>
  <si>
    <t>DH1AI</t>
  </si>
  <si>
    <t>10.1515/cer-2015-0035</t>
  </si>
  <si>
    <t>BOGUMILA ZUGA 32A ST, 01-811 WARSAW, POLAND</t>
  </si>
  <si>
    <t>DE GRUYTER OPEN LTD</t>
  </si>
  <si>
    <t>Fila, Joanna/0000-0002-8479-8720</t>
  </si>
  <si>
    <t>Fila, J (corresponding author), Univ Lodz, Fac Econ &amp; Sociol, Dept Accounting &amp; Finance SMEs, PL-90131 Lodz, Poland.</t>
  </si>
  <si>
    <t>University of Lodz</t>
  </si>
  <si>
    <t>[Fila, Joanna] Univ Lodz, Fac Econ &amp; Sociol, Dept Accounting &amp; Finance SMEs, PL-90131 Lodz, Poland</t>
  </si>
  <si>
    <t>Microfinance aims at providing basic financial services such as loans, savings and insurance to socially and financially excluded persons and micro-entrepreneurs. Among these services, microcredit is the most recognizable instrument of microfinance. Microcredit supplies financial means to start up businesses and to finance microenterprises. Microfinance originated in poor countries. In recent years, however, it has also gained some recognition in European countries. This article presents the relevance, efficiency and impact of microfinance policy and its policy instruments with respect to support for microenterprises in the European Union.</t>
  </si>
  <si>
    <t>microfinance; EU policy; social and financial exclusion</t>
  </si>
  <si>
    <t>European Microfinance - Relevance, Efficiency And Impact</t>
  </si>
  <si>
    <t>Fila, Joanna</t>
  </si>
  <si>
    <t>Fila, J</t>
  </si>
  <si>
    <t>WOS:000346752000043</t>
  </si>
  <si>
    <t>BB8JU</t>
  </si>
  <si>
    <t>978-606-714-021-7</t>
  </si>
  <si>
    <t>STR PINULUI NR 1A, IASI, 700109, ROMANIA</t>
  </si>
  <si>
    <t>EDITURA UNIV ALEXANDRU IOAN CUZA IASI</t>
  </si>
  <si>
    <t>Bertea, Patricea/HRD-4877-2023; Zait, Adriana/K-2913-2013</t>
  </si>
  <si>
    <t>azait@uaic.ro</t>
  </si>
  <si>
    <t>Alexandru Ioan Cuza University</t>
  </si>
  <si>
    <t>[Zait, Adriana; Bertea, Patricea Elena] Alexandru Ioan Cuza Univ, Iasi, Romania</t>
  </si>
  <si>
    <t>The financial education of a country (in terms of knowledge, abilities and behaviors) can be crucial for a healthy economic life, at individual, macro or multi-nation level. It can contribute to a decrease of financial exclusion risks, to an increase of informed decisions and even to an increased liquidity on the financial markets. The concept designed to encompass different facets of this financial education is labeled financial literacy. A large number of concepts are used within the umbrella of financial literacy, and quite different measurement instruments exist, more or less sound. This conceptual and operational heterogeneity makes things complicated and does not allow comparisons and concrete actions. In order to improve people's financial literacy we first need to define the concept and then find the best ways to measure one's degree of financial literacy. Through our study we synthesized the definitions and instruments previously used and we suggest a comprehensive approach for obtaining a measurement instrument for this latent variable financial literacy. We propose using separate scales for measuring the main dimensions of financial literacy financial knowledge, financial abilities (capability to use financial information in order to take decisions), financial communication, financial behavior and financial confidence. As methodology we used a documentary study and a didactic experiment on Master degree students in finance.</t>
  </si>
  <si>
    <t>financial knowledge; financial capability; measurement instrument</t>
  </si>
  <si>
    <t>Iasi, ROMANIA</t>
  </si>
  <si>
    <t>APR 10-12, 2014</t>
  </si>
  <si>
    <t>International Conference on Monetary, Banking and Financial Issues in Central and Eastern EU Member Countries: How Can Central and Eastern EU Members Overcome the Current Economic Crisis?</t>
  </si>
  <si>
    <t>MONETARY, BANKING AND FINANCIAL ISSUES IN CENTRAL AND EASTERN EU MEMBER COUNTRIES: HOW CAN CENTRAL AND EASTERN EU MEMBERS OVERCOME THE CURRENT ECONOMIC CRISIS?, VOL II</t>
  </si>
  <si>
    <t>FINANCIAL LITERACY - CONCEPTUAL DEFINITION AND PROPOSED APPROACH FOR A MEASUREMENT INSTRUMENT</t>
  </si>
  <si>
    <t>Zait, Adriana; Bertea, Patricea Elena</t>
  </si>
  <si>
    <t>Roman, A; Anton, SG</t>
  </si>
  <si>
    <t>Zait, A; Bertea, PE</t>
  </si>
  <si>
    <t>WOS:000468893000005</t>
  </si>
  <si>
    <t>HZ5LH</t>
  </si>
  <si>
    <t>Univ. Cincinnati Law Rev.</t>
  </si>
  <si>
    <t>U CINCI LAW REV</t>
  </si>
  <si>
    <t>1942-8391</t>
  </si>
  <si>
    <t>0009-6881</t>
  </si>
  <si>
    <t>UNIV CINCINNATI COL LAW ROOM 300,TAFT HALL, CINCINNATI, OH 45221 USA</t>
  </si>
  <si>
    <t>CINCINNATI</t>
  </si>
  <si>
    <t>UNIV CINCINNATI LAW REVIEW</t>
  </si>
  <si>
    <t>Professor of Law and Business, National Tsing Hua University, Taiwan; LL.B., LL.M., National Taiwan University; LL.M. in Corporate Law, New York University School of Law; J.S.D., University of Illinois College of Law. For comments on prior drafts, I thank Christopher Bruner, Grace Li, Manabu Matsunaka, Zhaohui Shen, Xiao-chuan Weng, and participants in the CIBEL Global Network Conference, UNSW Sydney. I am grateful to the Ministry of Science and Technology of Taiwan for financial support (Grant No. MOST 106-2410-H-007-026-MY2). For research assistance, thanks are due to Wen-Ting Lu, and for editorial assistance, to the University of Cincinnati Law Review. The standard disclaimers apply.</t>
  </si>
  <si>
    <t>Ministry of Science and Technology of Taiwan [MOST 106-2410-H-007-026-MY2]</t>
  </si>
  <si>
    <t>chstsai@mx.nthu.edu.tw</t>
  </si>
  <si>
    <t>Tsai, CH (corresponding author), Natl Tsing Hua Univ, Law &amp; Business, Hsinchu, Taiwan.</t>
  </si>
  <si>
    <t>National Tsing Hua University</t>
  </si>
  <si>
    <t>[Tsai, Chang-Hsien] Natl Tsing Hua Univ, Law &amp; Business, Hsinchu, Taiwan</t>
  </si>
  <si>
    <t>With the worldwide revolution in financial technology (FinTech), Peer-to-Peer (P2P) lending, an alternative funding channel, has grown rapidly over the past decade. P2P lending benefits digital financial inclusion by providing an online platform to facilitate direct trades between borrowers and lenders with limited intermediation by traditional financial institutions. During P2P lending transactions, a significant amount of transaction records are accumulated, thus creating a FinTech-driven credit assessment mechanism to help underserved borrowers, who are often turned down by traditional financial intermediaries, obtain credit. P2P lending business models as well as government responses to those models differ. For example, the United States has been reactive, requiring platforms to fully comply with the extant securities regulation, while China, though initially hands-off, has also become reactive, limiting P2P platforms to the information intermediation model due to a series of P2P failures. Taiwan's regulatory response to P2P lending, led by its Financial Supervisory Commission (FSC), the sole financial market watchdog in Taiwan, started as reactive, warning that the P2P lending industry should not cross four major red lines drawn under existing regulatory and business structures. The Taiwanese government, however, has become more proactive-at least in form, introducing the Financial Technology Development and Innovative Experimentation Act (the FinTech Sandbox Act) to permit cautious regulatory experimentation. Though a positive effort, this act may, in substance, be an ineffective means to address the regulatory dilemma between prudential regulation and financial competition and innovation. This is because the government lacks the institutional incentive to replace the existing regulatory regime with something truly proactive. We propose a structural change in the current institutional design that could reallocate the authority of financial competition and innovation to a more motivated financial agency, separate from and independent of the FSC, that would be better positioned to safeguard financial competition and innovation enabled by FinTech.</t>
  </si>
  <si>
    <t>Regulatory sandbox; the United States; China; Taiwan; P2P lending; Financial technology (FinTech); More Principles-Based financial regulation (MPBR); Financial Technology Development and Innovative Experimentation Act (the FinTech Sandbox Act)</t>
  </si>
  <si>
    <t>UNIVERSITY OF CINCINNATI LAW REVIEW</t>
  </si>
  <si>
    <t>TO REGULATE OR NOT TO REGULATE? A COMPARISON OF GOVERNMENT RESPONSES TO PEER-TO-PEER LENDING AMONG THE UNITED STATES, CHINA, AND TAIWAN</t>
  </si>
  <si>
    <t>Tsai, Chang-Hsien</t>
  </si>
  <si>
    <t>Tsai, CH</t>
  </si>
  <si>
    <t>WOS:000269191600053</t>
  </si>
  <si>
    <t>lahiri chavan, apala/0000-0003-2650-7785</t>
  </si>
  <si>
    <t>apala@humanfactors.com</t>
  </si>
  <si>
    <t>Chavan, AL (corresponding author), Human Factors Int, Fairfield, IA 52556 USA.</t>
  </si>
  <si>
    <t>[Chavan, Apala Lahiri; Arora, Sarit; Kumar, Anand; Koppula, Praneet] Human Factors Int, Fairfield, IA 52556 USA</t>
  </si>
  <si>
    <t>This paper looks at challenges and opportunities on how mobile money can drive financial inclusion for women at the BOP (Bottom of the Pyramid) in urban Indian centers. We explore the current ecosystem of financial transactions and the role of women in a BOP household. Specifically we look at how this ecosystem differs based on how long ago they migrated from rural India and how that impacts their financial transactions. By understanding the gaps and the barriers, we outline specific challenges and opportunities for driving financial inclusion for women, through mobile money. We also posit that the success of mobile money depends on whether the 'solution' moves away from the paradigms used for designing mobile money solutions for those at the top of pyramid.</t>
  </si>
  <si>
    <t>Financial inclusion; mobile money; women; bottom of the pyramid (BOP); microfinance; loans; credit; payments</t>
  </si>
  <si>
    <t>3rd International Conference on Internationalization, Design and Global Development held at the 13th International Conference on Human Computer Interaction</t>
  </si>
  <si>
    <t>How Mobile Money Can Drive Financial Inclusion for Women at the Bottom of the Pyramid (BOP) in Indian Urban Centers</t>
  </si>
  <si>
    <t>Chavan, Apala Lahiri; Arora, Sarit; Kumar, Anand; Koppula, Praneet</t>
  </si>
  <si>
    <t>Chavan, AL; Arora, S; Kumar, A; Koppula, P</t>
  </si>
  <si>
    <t>WOS:000321951000011</t>
  </si>
  <si>
    <t>BFZ21</t>
  </si>
  <si>
    <t>10.1016/B978-0-444-52944-2.00009-4</t>
  </si>
  <si>
    <t>HBK ECON</t>
  </si>
  <si>
    <t>978-0-08-093172-2; 978-0-444-52944-2</t>
  </si>
  <si>
    <t>0169-7218</t>
  </si>
  <si>
    <t>NORTH HOLLAND, ELSEVIER SCIENCE PUBL BV</t>
  </si>
  <si>
    <t>Karlan, D (corresponding author), Yale Univ, New Haven, CT 06520 USA.</t>
  </si>
  <si>
    <t>Yale University; New York University</t>
  </si>
  <si>
    <t>[Karlan, Dean] Yale Univ, New Haven, CT 06520 USA; [Morduch, Jonathan] NYU, New York, NY 10003 USA</t>
  </si>
  <si>
    <t>Expanding access to financial services holds the promise to help reduce poverty and spur economic development. But, as a practical matter, commercial banks have faced challenges expanding access to poor and low-income households in developing economies, and nonprofits have had limited reach. We review recent innovations that are improving the quantity and quality of financial access. They are taking possibilities well beyond early models centered on providing microcredit for small business investment. We focus on new credit mechanisms and devices that help households manage cash flows, save, and cope with risk. Our eye is on contract designs, product innovations, regulatory policy, and ultimately economic and social impacts. We relate the innovations and empirical evidence to theoretical ideas, drawing links in particular to new work in behavioral economics and to randomized evaluation methods.</t>
  </si>
  <si>
    <t>CREDIT MARKETS; BEHAVIORAL ECONOMICS; LIFE-CYCLE; RISK; MICROFINANCE; INSURANCE; CONSUMPTION; POVERTY; INEQUALITY; GROWTH</t>
  </si>
  <si>
    <t>microfinance; microcredit; microinsurance; credit savings; insurance; behavioral economics; financial intermediation; economic growth; randomized controlled trials</t>
  </si>
  <si>
    <t>Handbooks in Economics</t>
  </si>
  <si>
    <t>HANDBOOK OF DEVELOPMENT ECONOMICS, VOL. 5</t>
  </si>
  <si>
    <t>Access to Finance</t>
  </si>
  <si>
    <t>Karlan, Dean; Morduch, Jonathan</t>
  </si>
  <si>
    <t>Rodrik, D; Rosenzweig, MR</t>
  </si>
  <si>
    <t>Karlan, D; Morduch, J</t>
  </si>
  <si>
    <t>WOS:001274119000001</t>
  </si>
  <si>
    <t>10.1108/JFRA-12-2023-0789</t>
  </si>
  <si>
    <t>The authors are grateful to referees from the IEEE ADACIS'23 International Conference (Marrakech, Morocco) that was held in November 2023. Their useful comments did help improve this paper.</t>
  </si>
  <si>
    <t>BERGUIGA, Imène/0000-0001-7345-7990</t>
  </si>
  <si>
    <t>Berguiga, Imène/AEV-0943-2022</t>
  </si>
  <si>
    <t>adair@u-pec.fr</t>
  </si>
  <si>
    <t>Adair, P (corresponding author), Univ Paris Est Creteil Val de Marne, Dept Econ, Creteil, France.</t>
  </si>
  <si>
    <t>Universite de Carthage; Universite de Sousse; Universite Paris-Est-Creteil-Val-de-Marne (UPEC)</t>
  </si>
  <si>
    <t>[Berguiga, Imene] Univ Sousse, Fac Sci Econ &amp; Gest Sousse, IHEC, Sousse, Tunisia; [Adair, Philippe] Univ Paris Est Creteil Val de Marne, Dept Econ, Creteil, France</t>
  </si>
  <si>
    <t>PurposeYouths aged 15-34 make half the population of Middle East and North Africa (MENA) and over one quarter of the labour force. The purpose of this paper is to address the two following questions. Why youths from Egypt, Jordan and Tunisia lack financial inclusion before (2014 and 2017) and during (2021) the COVID-19 pandemic? What are the determinants of their financial inclusion?Design/methodology/approachFinancial inclusion encapsulates account holding at financial institutions and the use of digital services they provide. Two probit regressions address financial inclusion regarding these two dimensions, upon three pooled samples selected from the Global Findex Database, each sample gathering roughly 3,000 households including over two-fifths of youths.FindingsFive results regarding financial inclusion highlight the role of job-status, income, education, gender and age. Prior the pandemic, financial inclusion of young entrepreneurs is affected by (female) gender, (middle) income, (low) education level and country policy. During the pandemic, y women became more financially included; there was no age gap regarding digital services; and despite improvement, digital services remain unsuitable for poorly educated youth. Gender has no effect on the financial inclusion of young employees before and during the pandemic.Research limitations/implicationsGovernment policy should target youth underserved population to foster financial inclusion, distinguishing voluntary from involuntary reasons of financial exclusion.Originality/valueTo the best of the authors' knowledge, no paper has addressed yet the determinants of youth financial inclusion, especially the use of digital services, with a focus on job status (entrepreneurs vs employees) in MENA countries, prior and during the pandemic.</t>
  </si>
  <si>
    <t>ECONOMIC-GROWTH; INFORMATION; IMPACT; WOMEN</t>
  </si>
  <si>
    <t>Account holding; Digital services; Employment; Entrepreneurship; Financial inclusion; MENA countries; Pandemic; Probit regressions; Youth; E23; G21; H81</t>
  </si>
  <si>
    <t>Determinants of youth financial inclusion in MENA countries: account holding versus the use of digital services</t>
  </si>
  <si>
    <t>Berguiga, Imene; Adair, Philippe</t>
  </si>
  <si>
    <t>Berguiga, I; Adair, P</t>
  </si>
  <si>
    <t>WOS:000877934200001</t>
  </si>
  <si>
    <t>5W5DK</t>
  </si>
  <si>
    <t>10.1080/23322039.2022.2133356</t>
  </si>
  <si>
    <t>Ibe, Godwin/AAU-3861-2020; Ugwuanyi, Uche/CAF-1388-2022; Anago, Jude/JOZ-6551-2023</t>
  </si>
  <si>
    <t>Ibe, GI (corresponding author), Univ Nigeria, Accountancy, Enugu, Nigeria.</t>
  </si>
  <si>
    <t>[Ugwuanyi, Uche; Ugwuoke, Robinson; Onyeanu, Edith; Eze, Eze Festus; Prince, Abner Isahaku; Anago, Jude; Ibe, Godwin Imo] Univ Nigeria, Accountancy, Enugu, Nigeria</t>
  </si>
  <si>
    <t>This study examined the impact of financial inclusion on economic growth disaggregated into traditional finance and digital finance with its sub-dimension for 29 Sub-Saharan African countries, 2012-2020. The study employed the panel feasible generalised least squares and panel system generalised method of moment procedures, and the panel vector autoregression Granger causality test. The results revealed that for the full sample; (1) Both the traditional and digital financial inclusion have positive and significant impact on economic growth, (2) The impact of the traditional financial inclusion in magnitude is more than that of the digital financial inclusion which also is replicated in the access sub-dimensions, (3) Unlike the access sub-dimensions the relative impact of the usage sub-dimension shows no large difference between the traditional and the digital finance. For the sub samples divided into low-income and middle-income countries; (4) The impact of traditional and digital financial inclusion is different across income levels. Both traditional and digital finance are positive and significant in middle income countries while only digital finance is significant in low income countries, (5) Economic growth Granger caused more of traditional finance than the traditional finance Granger caused economic growth, (6) The access sub-dimension to financial services Granger caused more of economic growth than the usage sub-dimension, (7) Digital financial inclusion is neutral in middle-income countries but not in low-income countries. The study recommends that even as digital finance is the new concept in the context of a developing economy, the traditional banking structures should not be neglected.</t>
  </si>
  <si>
    <t>SECTOR DEVELOPMENT; INCOME INEQUALITY; MOBILE MONEY; LONG-RUN; IMPACT; INTERNET; INDUSTRY; LINKAGE; MODELS; CRIME</t>
  </si>
  <si>
    <t>economic growth; financial inclusion; traditional financial inclusion; digital financial inclusion; panel feasible generalised least squares; panel system GMM; panel VAR Granger causality test; SSA</t>
  </si>
  <si>
    <t>Financial inclusion - economic growth nexus: traditional finance versus digital finance in Sub-Saharan Africa</t>
  </si>
  <si>
    <t>Ugwuanyi, Uche; Ugwuoke, Robinson; Onyeanu, Edith; Eze, Eze Festus; Prince, Abner Isahaku; Anago, Jude; Ibe, Godwin Imo</t>
  </si>
  <si>
    <t>Ugwuanyi, U; Ugwuoke, R; Onyeanu, E; Eze, EF; Prince, AI; Anago, J; Ibe, GI</t>
  </si>
  <si>
    <t>WOS:000345618800089</t>
  </si>
  <si>
    <t>BB7JH</t>
  </si>
  <si>
    <t>INT CONF IT CONVERGE</t>
  </si>
  <si>
    <t>978-1-4799-2845-3</t>
  </si>
  <si>
    <t>2473-0122</t>
  </si>
  <si>
    <t>Song, Insu/LJL-9217-2024</t>
  </si>
  <si>
    <t>insu.song@jcu.edu.au; johnvong@smu.edu.sg</t>
  </si>
  <si>
    <t>Song, I (corresponding author), James Cook Univ, Sch Business, Singapore Campus, Singapore, Singapore.</t>
  </si>
  <si>
    <t>James Cook University; Singapore Management University</t>
  </si>
  <si>
    <t>[Song, Insu] James Cook Univ, Sch Business, Singapore Campus, Singapore, Singapore; [Vong, John] Singapore Management Univ, Financial IT Acad, Singapore 178902, Singapore</t>
  </si>
  <si>
    <t>Banking is essential to modern economies and nearly half of the world's people are unbanked and underserved by banks. The high operating costs of banks passed on to retail customers are driving them away who otherwise should be in the financial system. Without having access to the financial system the unbanked and rural poor have little means to engage in mainstream economic activities. A mobile phone-based banking system was designed to provide retail banking services to the world's unbanked population and rural poor of 2.2 billion based on a cashless banking system that reduces operating cost and reduces lending risks and therefore can lower the current exorbitant rates charged on retail lending and micro-credit. A core-banking server on a low-cost mobile device (an Android tablet) could serve over 15,000 micro-banking customers. The system definitely appears to be suitable for most retail banks or microfinance institutions.</t>
  </si>
  <si>
    <t>Mobile Banking; Rural Finance; Retail Banking; Cashless Payments; SMS Banking; Financial Inclusion</t>
  </si>
  <si>
    <t>Macau, PEOPLES R CHINA</t>
  </si>
  <si>
    <t>DEC 16-18, 2013</t>
  </si>
  <si>
    <t>3rd International Conference on IT Convergence and Security (ICITCS)</t>
  </si>
  <si>
    <t>International Conference on IT Convergence and Security</t>
  </si>
  <si>
    <t>2013 INTERNATIONAL CONFERENCE ON IT CONVERGENCE AND SECURITY (ICITCS)</t>
  </si>
  <si>
    <t>Mobile Core-Banking Server Cashless, Branchless and Wireless Retail Banking for the Mass Market</t>
  </si>
  <si>
    <t>Song, Insu; Vong, John</t>
  </si>
  <si>
    <t>Song, I; Vong, J</t>
  </si>
  <si>
    <t>WOS:001012604700001</t>
  </si>
  <si>
    <t>J9FH0</t>
  </si>
  <si>
    <t>10.1016/j.ribaf.2023.101993</t>
  </si>
  <si>
    <t>Pandey, Dharen Kumar/0000-0002-0030-1781</t>
  </si>
  <si>
    <t>Sahu, Ganesh/AAE-1422-2021; Pandey, Dharen Kumar/AAD-5153-2021</t>
  </si>
  <si>
    <t>dharenp@gmail.com</t>
  </si>
  <si>
    <t>Pandey, DK (corresponding author), Magadh Univ, P G Dept Commerce, Bodhgaya, Bihar, India.</t>
  </si>
  <si>
    <t>National Institute of Technology (NIT System); Motilal Nehru National Institute of Technology; Universite de Monastir</t>
  </si>
  <si>
    <t>[Gupta, Somya; Sahu, Ganesh P.] Motilal Nehru Natl Inst Technol Allahabad, Sch Management Studies, Prayagraj, India; [Pandey, Dharen Kumar] Magadh Univ, P G Dept Commerce, Bodhgaya, Bihar, India; [El Ammari, Anis] Univ Monastir, Fac Econ &amp; Management Mahdia, Monastir, Tunisia</t>
  </si>
  <si>
    <t>Central Bank Digital Currency (CBDC), as a FinTech initiative, has the potential to enhance financial inclusion, increase the speed and efficiency of financial transactions, and reduce the costs associated with traditional payment systems. This study investigates how risks and benefits impact trust and the digital rupee (or CBDC) adoption in India. We use six perceived risk factors and four perceived benefits factors. The willingness to adopt the digital rupee can be significantly predicted by all the constructs except perceived usefulness. The study also shows the partial mediation effect of trust to bridge the impact of perceived risk on willingness. However, perceived ease of use, innovativeness, and inertia do not significantly impact trust to adopt the digital rupee. This study pioneers the literature on behavioral intention toward digital rupee adoption in India. The findings offer important implications for policymakers.</t>
  </si>
  <si>
    <t>E-COMMERCE; TAM; INNOVATIVENESS; MARKETS; MODELS; INTEGRATION; TECHNOLOGY; INERTIA; ONLINE</t>
  </si>
  <si>
    <t>Digital rupee; Perceived risk and benefit; CBDC; Trust; FinTech; Digital currency</t>
  </si>
  <si>
    <t>Do perceived risks and benefits impact trust and willingness to adopt CBDCs?</t>
  </si>
  <si>
    <t>Gupta, Somya; Pandey, Dharen Kumar; El Ammari, Anis; Sahu, Ganesh P.</t>
  </si>
  <si>
    <t>Gupta, S; Pandey, DK; El Ammari, A; Sahu, GP</t>
  </si>
  <si>
    <t>WOS:000665078200004</t>
  </si>
  <si>
    <t>SX2ZG</t>
  </si>
  <si>
    <t>Engineering, Multidisciplinary; Management; Operations Research &amp; Management Science</t>
  </si>
  <si>
    <t>Int. J. Technol. Manage.</t>
  </si>
  <si>
    <t>INT J TECHNOL MANAGE</t>
  </si>
  <si>
    <t>1741-5276</t>
  </si>
  <si>
    <t>0267-5730</t>
  </si>
  <si>
    <t>This work was supported by Trust Forum Foundation and Ishii Memorial Securities Research Promotion Foundation.</t>
  </si>
  <si>
    <t>Trust Forum Foundation; Ishii Memorial Securities Research Promotion Foundation</t>
  </si>
  <si>
    <t>s177010@stn.nagaokaut.ac.jp; itoy@kjs.nagaokaut.ac.jp</t>
  </si>
  <si>
    <t>Takeda, A (corresponding author), Nagaoka Univ Technol, 1603-1 Kamitomioka, Nagaoka, Niigata 9402188, Japan.</t>
  </si>
  <si>
    <t>Nagaoka University of Technology</t>
  </si>
  <si>
    <t>[Takeda, Atsuyoshi; Ito, Yoshihiro] Nagaoka Univ Technol, 1603-1 Kamitomioka, Nagaoka, Niigata 9402188, Japan</t>
  </si>
  <si>
    <t>The aim of this paper is to review previous research on FinTech, which may be broadly understood as financial innovation that uses information technology to provide financial services. The paper describes a review of 88 refereed academic papers on the subject of FinTech published in journals that have high SJR2017 scores. Papers were categorised according to the type of companies leveraging FinTech (existing financial institutions vs. new entrants) and the type of value derived from FinTech innovation (new value-added vs. improved efficiency). Also considered were types of new value-added, geographical focus of the research and research methodologies. The largest number of studies concerned the use of FinTech innovation by new entrants to offer solutions to social issues or build new financial ecosystems. Over half the studies were on FinTech in Asia or the European Union, and the most common methodology employed was the case study.</t>
  </si>
  <si>
    <t>MOBILE PAYMENT; START-UPS; INNOVATION; CHINA; BLOCKCHAIN; SERVICE; FINANCE; MARKET; CAPABILITIES; PERSPECTIVE</t>
  </si>
  <si>
    <t>FinTech; financial innovation; information technology; IT; technology management; innovation management; financial inclusion; bank marketing; P2P lending; crowdfunding; RegTech</t>
  </si>
  <si>
    <t>INTERNATIONAL JOURNAL OF TECHNOLOGY MANAGEMENT</t>
  </si>
  <si>
    <t>A review of FinTech research</t>
  </si>
  <si>
    <t>Takeda, Atsuyoshi; Ito, Yoshihiro</t>
  </si>
  <si>
    <t>Takeda, A; Ito, Y</t>
  </si>
  <si>
    <t>WOS:000539468000006</t>
  </si>
  <si>
    <t>LW9NJ</t>
  </si>
  <si>
    <t>10.1016/j.asieco.2020.101197</t>
  </si>
  <si>
    <t>We thank the Organisation for Economic Cooperation and Development (OECD), the Bank of Lao PDR (BoL), the Deutsche Gesellschaft fur Internationale Zusammenarbeit (GIZ) and the Lao PDR resident mission of the Asian Development Bank for their support in carrying out this study. We also thank the staff of Indochina Research Ltd. for their diligent work on implementing the survey. All errors are our own.</t>
  </si>
  <si>
    <t>Organisation for Economic Cooperation and Development (OECD); Bank of Lao PDR (BoL); Deutsche Gesellschaft fur Internationale Zusammenarbeit (GIZ); Lao PDR resident mission of the Asian Development Bank</t>
  </si>
  <si>
    <t>pmorgan@adbi.org; trinhquanglong@tdtu.edu.vn</t>
  </si>
  <si>
    <t>Long, TQ (corresponding author), Ton Duc Thang Univ, Fac Finance &amp; Banking, 19 Nguyen Huu Tho,Dist 7, Ho Chi Minh City, Vietnam.</t>
  </si>
  <si>
    <t>Ton Duc Thang University</t>
  </si>
  <si>
    <t>[Morgan, Peter J.] Asian Dev Bank Inst, Res Dept, Chiyoda Ku, Kasumigaseki Bldg 8F,3-2-5 Kasumigaseki, Tokyo 1006008, Japan; [Trinh Quang Long] Ton Duc Thang Univ, Fac Finance &amp; Banking, 19 Nguyen Huu Tho,Dist 7, Ho Chi Minh City, Vietnam</t>
  </si>
  <si>
    <t>This study examines the effects of financial literacy on financial inclusion and savings behavior in Laos. Compared to previous literature, we use a broader definition of financial literacy which covers not only financial knowledge but also financial behavior and financial attitudes. We also use a new definition of financial inclusion which goes beyond the supply-side perspective to consider the consumer's perspective. To do so, we use the survey instrument designed by the Organisation for Economic Cooperation and Development International Network on Financial Education. We also used more reliable instrumental variables to investigate the effects of financial literacy on financial inclusion (and its components) and savings behavior. We find that financial literacy has statistically positive effects on both financial inclusion and savings. Moreover, the effects of financial literacy on different measures of financial inclusion vary. Our results further show that individuals with higher financial literacy scores are more likely to hold savings in both formal and informal forms than those who have lower financial literacy scores, even when we control for income and education. (C) 2020 Elsevier Inc. All rights reserved.</t>
  </si>
  <si>
    <t>DETERMINANTS; ACCESS; DECISIONS; SERVICES; COUNTRY</t>
  </si>
  <si>
    <t>Financial literacy; Financial behavior; Financial inclusion; Household saving; Cambodia; Laos; Viet Nam</t>
  </si>
  <si>
    <t>Financial literacy, financial inclusion, and savings behavior in Laos</t>
  </si>
  <si>
    <t>Morgan, Peter J.; Trinh Quang Long</t>
  </si>
  <si>
    <t>Morgan, PJ; Long, TQ</t>
  </si>
  <si>
    <t>WOS:000896451200001</t>
  </si>
  <si>
    <t>10.1007/s40609-022-00259-2</t>
  </si>
  <si>
    <t>Ansong, David/0000-0002-4624-3337; Achulo, Solomon H/0000-0002-6190-528X; Kooon, Isaac/0000-0002-2929-4992</t>
  </si>
  <si>
    <t>i.koomson@uq.edu.au; ansong@email.unc.edu; okumu@illinois.edu; a.solomonhadi@wustl.edu</t>
  </si>
  <si>
    <t>Koomson, I (corresponding author), Univ Queensland, Ctr Business &amp; Econ Hlth, St Lucia, Qld, Australia.;Koomson, I (corresponding author), Network Socioecon Res &amp; Advancement NESRA, Accra, Ghana.</t>
  </si>
  <si>
    <t>University of Queensland; University of North Carolina; University of North Carolina Chapel Hill; University of Illinois System; University of Illinois Urbana-Champaign; Washington University (WUSTL)</t>
  </si>
  <si>
    <t>[Koomson, Isaac] Univ Queensland, Ctr Business &amp; Econ Hlth, St Lucia, Qld, Australia; [Ansong, David] Univ N Carolina, Sch Social Work, Chapel Hill, NC USA; [Okumu, Moses] Univ Illinois, Sch Social Work, Champaign, IL USA; [Achulo, Solomon] Washington Univ, Brown Sch, St Louis, MO USA; [Koomson, Isaac] Network Socioecon Res &amp; Advancement NESRA, Accra, Ghana</t>
  </si>
  <si>
    <t>Financial literacy can be critical to reducing poverty, but limited evidence exists on the mechanisms of change. Guided by the financial capability framework, this study examines the direct effects of financial literacy on poverty and the indirect effect through financial inclusion and entrepreneurship, using data from wave 5 of the InterMedia Financial Inclusion Insights Program for Kenya, Tanzania, and Uganda. We also examined how the relationships differ by gender and locality. Overall, the endogeneity-corrected results suggest that an increase in financial literacy is associated with a 6.9% decrease in poverty. We found that entrepreneurship and financial inclusion act as mechanisms of change through which financial literacy decreases poverty, with the findings differing by gender and locality. These findings point to the poverty-reducing effect of financial literacy, mainly in Tanzania, followed by Kenya and Uganda. The results contribute to understanding how financial literacy and poverty interact and can inform contextually relevant interventions and policies.</t>
  </si>
  <si>
    <t>INCLUSION; ENTREPRENEURSHIP</t>
  </si>
  <si>
    <t>Financial literacy; Poverty; Entrepreneurship; Financial inclusion; East Africa</t>
  </si>
  <si>
    <t>Effect of Financial Literacy on Poverty Reduction Across Kenya, Tanzania, and Uganda</t>
  </si>
  <si>
    <t>Koomson, Isaac; Ansong, David; Okumu, Moses; Achulo, Solomon</t>
  </si>
  <si>
    <t>Koomson, I; Ansong, D; Okumu, M; Achulo, S</t>
  </si>
  <si>
    <t>WOS:000995831200001</t>
  </si>
  <si>
    <t>H4QR6</t>
  </si>
  <si>
    <t>10.1080/2157930X.2019.1678803</t>
  </si>
  <si>
    <t>Innov. Dev.</t>
  </si>
  <si>
    <t>INNOV DEV</t>
  </si>
  <si>
    <t>2157-9318</t>
  </si>
  <si>
    <t>2157-930X</t>
  </si>
  <si>
    <t>M, Arun/0000-0003-1552-9970</t>
  </si>
  <si>
    <t>M, Arun/AAE-3866-2020</t>
  </si>
  <si>
    <t>simontini@gmail.com</t>
  </si>
  <si>
    <t>Das, S (corresponding author), Jadavpur Univ, Dept Econ, Kolkata, India.</t>
  </si>
  <si>
    <t>Madras School of Economics; Jadavpur University</t>
  </si>
  <si>
    <t>[Chatterjee, Amrita] Madras Sch Econ, Chennai, India; [Das, Simontini] Jadavpur Univ, Dept Econ, Kolkata, India</t>
  </si>
  <si>
    <t>The paper investigates the impact of ICT (information communication technology) diffusion on the financial inclusion across 16 Indian states during the time period 2007-2008 to 2014-2015. Tele-density, usage of mobile phones and internet connectivity can improve the accessibility, reduce the transaction cost and travel cost of the commercial banking sector. This increases the access of institutional credit, products and services to marginalized unbanked population of society. Inter-state comparison reveals the fact that there are disparities in the spread of ICTdiffusion and financial inclusion across the regions and these disparities are persistent in nature. ICT diffusion index is consistently high in Punjab, Tamil Nadu, Kerala and Karnataka, whereas low in Assam, Bihar Uttar Pradesh, Orissa and Madhya Pradesh. Dynamic panel data analysis exhibits that ICT index has a strong positive significant impact on financial inclusion index. It also illustrates that lack of education, age composition of population, rural-urban location, poor status of financial literacy play a very vital role in spreading financial inclusion. The elderly people in rural as well as in urban areas are still not that familiar with mobile and internet, they may not be able to get benefited by ICT revolution.</t>
  </si>
  <si>
    <t>Financial inclusion; information communication technology diffusion; state-level analysis; dynamic panel data model; cluster analysis</t>
  </si>
  <si>
    <t>INNOVATION AND DEVELOPMENT</t>
  </si>
  <si>
    <t>Information communication technology diffusion and financial inclusion: an inter-state analysis for India</t>
  </si>
  <si>
    <t>Chatterjee, Amrita; Das, Simontini</t>
  </si>
  <si>
    <t>Chatterjee, A; Das, S</t>
  </si>
  <si>
    <t>Khan, KA; Belas, J; Akhtar, MA</t>
  </si>
  <si>
    <t>Khan, Khurram Ajaz; Belas, Jaroslav; Akhtar, Mohammad Anam</t>
  </si>
  <si>
    <t>Predictors of Financial Advice: An Evidence from a Developing Nation</t>
  </si>
  <si>
    <t>Financial anxiety; financial capability; financial satisfaction; online transaction use; Developing nation; India</t>
  </si>
  <si>
    <t>DEBT LITERACY; SEEKING; COMPANIES</t>
  </si>
  <si>
    <t>The financial markets and products become increasingly complicated day by day, and the current pandemic is adding fuel to the fire, causing volatilities in the financial markets around the globe and a tough time to the individuals. To make better financial decisions, one needs sufficient level of financial literacy, but past studies revealed that most countries have below-average financial literacy, and it takes a long time to improve it. So, in such a scenario, financial advice is a quick way for individuals to make a better financial decision. It can be an easy and quick substitute for financial literacy in the short run. Therefore, considering the usefulness of financial advice, this paper investigates the direct effect of demographic (gender and education), financial anxiety, financial capability, financial satisfaction, and online fransaction use on financial advice. The main objective of the paper is to understand the determinants of financial advice. The study is conducted in the northern part of India, collecting data through a self-reporting scale from individuals above 18. The paper applied hierarchical multiple regression with three steps in order to find the effects on financial advice. The findings indicate that financial advice is affected by financial anxiety, financial satisfaction, and online fransaction use. Gender and education failed to reflect a significant effect on financial advice. Hence, this paper strengthens the existing literature of financial advice through the integrated framework, considering how an individuals' financial anxiety, financial capability, financial satisfaction, and online transaction use (being a part of digital financial literacy) drive individuals' financial advice-seeking behaviour. The novelty of the paper is the integrated framework itself as the chosen variables combined on the individuals' financial advice are not explored yet.</t>
  </si>
  <si>
    <t>[Khan, Khurram Ajaz; Belas, Jaroslav] Tomas Bata Univ Zlin, Zlin, Czech Republic; [Akhtar, Mohammad Anam] Dubai Int Acad City, Dubai, U Arab Emirates</t>
  </si>
  <si>
    <t>Khan, KA (corresponding author), Tomas Bata Univ Zlin, Zlin, Czech Republic.</t>
  </si>
  <si>
    <t>khan@utb.cz; belas@utb.cz; anam@imt.ac.ae</t>
  </si>
  <si>
    <t>AKHTAR, MOHAMMED/ABN-4670-2022; Belas, Jaroslav/AGS-6813-2022; Khan, khurram/AAV-5814-2020</t>
  </si>
  <si>
    <t>Internal Grant Agency of Faculty of Management and Economics, Tomas Bata University [IGA/FAME/2019/002]</t>
  </si>
  <si>
    <t>The Internal Grant Agency of Faculty of Management and Economics, Tomas Bata University defended this paper, no. IGA/FAME/2019/002: The role of institutional environment in fostering entrepreneurship.</t>
  </si>
  <si>
    <t>10.2478/9788366675162-045</t>
  </si>
  <si>
    <t>WOS:000763773400044</t>
  </si>
  <si>
    <t>Higuera, JAC; Guzmán, DD</t>
  </si>
  <si>
    <t>Corredor Higuera, Jorge Armando; Guzman, David Diaz</t>
  </si>
  <si>
    <t>Blockchain and Financial Markets General Features of the Regulatory Impact of the Application of Blockchain Technology in the Credit Markets of Latin America</t>
  </si>
  <si>
    <t>blockchain; credit markets; financial inclusion; financial risks; efficiency</t>
  </si>
  <si>
    <t>SMART CONTRACTS; INTERNET; FUTURE; BANKS</t>
  </si>
  <si>
    <t>The purpose of this document is to analyze, based on technological criteria, regulatory standards and international recommendations, the impact of blockchain technology on credit markets and how such dynamics could have direct effects on Latin American markets, i.e., producing greater efficiency and financial inclusion in the region. For this purpose, the scope of blockchain technology will be contextualized, the possible applications of said technology in the financial markets will be developed, and finally the regulatory proposals American credit markets financial inclusion. on the application of said technology in the Latin will be analyzed in relation to risk management and financial inclusion.</t>
  </si>
  <si>
    <t>[Corredor Higuera, Jorge Armando] Univ Externado Colombia, Pregrad &amp; Posgrad, Fac Derecho, Bogota, Colombia; [Guzman, David Diaz] Univ Externado Colombia, Derecho Econ, Bogota, Colombia; [Guzman, David Diaz] Univ Externado Colombia, Dept Derecho Financiero &amp; Bursatil, Bogota, Colombia; [Guzman, David Diaz] Univ Externado Colombia, Dept Matemat, Bogota, Colombia</t>
  </si>
  <si>
    <t>University Externado Colombia; University Externado Colombia; University Externado Colombia; University Externado Colombia</t>
  </si>
  <si>
    <t>Higuera, JAC (corresponding author), Univ Externado Colombia, Pregrad &amp; Posgrad, Fac Derecho, Bogota, Colombia.</t>
  </si>
  <si>
    <t>jorgearmando.corredor@gmail.com; david.diaz@uexternado.edu.co</t>
  </si>
  <si>
    <t>Díaz Guzmán, David/0000-0002-4167-0153</t>
  </si>
  <si>
    <t>10.18800/derechopucp.201802.013</t>
  </si>
  <si>
    <t>HC3RL</t>
  </si>
  <si>
    <t>WOS:000451719800013</t>
  </si>
  <si>
    <t>Asongu, SA; Ngoungou, YE; Nnanna, J</t>
  </si>
  <si>
    <t>Asongu, Simplice A.; Ngoungou, Yolande E.; Nnanna, Joseph</t>
  </si>
  <si>
    <t>Mobile money innovations and health performance in sub-Saharan Africa</t>
  </si>
  <si>
    <t>Mobile phones; Financial inclusion; Health; Sub-Saharan Africa</t>
  </si>
  <si>
    <t>LIFE EXPECTANCY; FINANCIAL DEVELOPMENT; ECONOMIC-GROWTH; INEQUALITY; EDUCATION; CORRUPTION; INCLUSION; ACCESS; ICT</t>
  </si>
  <si>
    <t>This study assesses nexuses between mobile money innovations and health performance in terms of total life expectancy in 43 countries in Sub-Saharan Africa employing data for the period 2004-2018. Four mobile money innovation dynamics are proxied with registered mobile money agents and active mobile money agents. The empirical evidence is based on quantile regressions. The findings overwhelmingly show that mobile money innovations are relevant in improving health performance or total life expectancy exclusively in bottom quantiles of the conditional distribution of total life expectancy. In other words, countries with below-median levels of total life expectancy are more susceptible to benefit from mobile money innovations compared to countries with above-median levels of total life expectancy. It follows that common or general policy measures on the linkage between mobile money innovations and health performance are unlikely to succeed unless attendant policies are contingent on initial levels of health performance and hence, tailored differently across countries with various initial levels of health performance. More policy implications are discussed.</t>
  </si>
  <si>
    <t>[Asongu, Simplice A.] New Uzbekistan Univ, Dept Econ &amp; Data Sci, 54 Mustaqillik Ave, Tashkent 100007, Uzbekistan; [Asongu, Simplice A.] Univ Johannesburg, Sch Econ, Johannesburg, South Africa; [Ngoungou, Yolande E.] Univ Yaounde 2, Soa, Cameroon; [Nnanna, Joseph] Dev Bank Nigeria, Clan Pl,Plot 1386A Tigris Crescent, Maitama, Abuja, Nigeria</t>
  </si>
  <si>
    <t>Asongu, SA (corresponding author), New Uzbekistan Univ, Dept Econ &amp; Data Sci, 54 Mustaqillik Ave, Tashkent 100007, Uzbekistan.</t>
  </si>
  <si>
    <t>asongusimplice@yahoo.com; yolandengoungou@gmail.com; jnnanna@devbankng.com</t>
  </si>
  <si>
    <t>YOLANDE, ETEKE NGOUNGOU/JXM-9482-2024; Asongu, Simplice/K-3436-2014</t>
  </si>
  <si>
    <t>YOLANDE, ETEKE NGOUNGOU/0009-0009-7285-8077;</t>
  </si>
  <si>
    <t>10.1016/j.techsoc.2023.102312</t>
  </si>
  <si>
    <t>P0RX9</t>
  </si>
  <si>
    <t>WOS:001047809900001</t>
  </si>
  <si>
    <t>Anarfo, EB; Amewu, G; Dzeha, GC</t>
  </si>
  <si>
    <t>Anarfo, Ebenezer Bugri; Amewu, Godfred; Dzeha, Gloria Clarissa</t>
  </si>
  <si>
    <t>Financial inclusion and migrant remittances in Sub-Saharan Africa: a panel VAR approach</t>
  </si>
  <si>
    <t>Financial inclusion; Migrant remittances; Financial sector development; Economic growth; Panel vector autoregression</t>
  </si>
  <si>
    <t>Purpose - This study examines the causal and dynamic link between financial inclusion and migrant remittances in sub-Saharan Africa. Design/methodology/approach - The study employed a panel vector autoregressive (VAR) framework to examine the dynamic relationship between financial inclusion and migrant remittances in sub-Saharan Africa. Findings - The findings indicate that there is a reverse causality between financial inclusion and migrant remittances in sub-Saharan Africa. Practical implications - The practical implications of these findings are that central governments and economic policymakers in sub-Saharan African countries should formulate and implement policies aimed at fostering financial inclusion if they are to attract more migrant remittances to promote economic growth and financial sector development. This suggests that these two variables are complementary and not contradictory. The results also suggest that central banks and other financial institutions can leverage the positive effect of financial inclusion of financial sector development to enhance the development of the financial sector instead of pursuing financial sector development as a policy objective. This means policies aimed at promoting financial inclusion will not impede or sacrifice migrant remittances, economic growth and financial sector development. Originality/value - This paper is the first to construct a financial inclusion index to examine the link between financial inclusion and migrant remittances from the sub-Saharan Africa perspective</t>
  </si>
  <si>
    <t>[Anarfo, Ebenezer Bugri; Amewu, Godfred] Ghana Inst Management &amp; Publ Adm, GIMPA Business Sch, Dept Accounting &amp; Finance, Accra, Ghana; [Dzeha, Gloria Clarissa] Cent Univ, Dept Banking &amp; Finance, Cent Business Sch, Accra, Ghana</t>
  </si>
  <si>
    <t>Anarfo, EB (corresponding author), Ghana Inst Management &amp; Publ Adm, GIMPA Business Sch, Dept Accounting &amp; Finance, Accra, Ghana.</t>
  </si>
  <si>
    <t>eanarfo@gimpa.edu.gh; gamewu@gimpa.edu.gh; gdzeha@central.edu.gh</t>
  </si>
  <si>
    <t>Amewu, Godfred/GOP-0389-2022; Dzeha, Gloria/P-1316-2018</t>
  </si>
  <si>
    <t>10.1108/IJSE-10-2019-0612</t>
  </si>
  <si>
    <t>MP6AV</t>
  </si>
  <si>
    <t>WOS:000541862800001</t>
  </si>
  <si>
    <t>Castilho, D; Fuinhas, JA</t>
  </si>
  <si>
    <t>Castilho, Daniela; Fuinhas, Jose Alberto</t>
  </si>
  <si>
    <t>Could tourism investments influence financial inclusion in the European Union countries?</t>
  </si>
  <si>
    <t>JOURNAL OF POLICY RESEARCH IN TOURISM LEISURE AND EVENTS</t>
  </si>
  <si>
    <t>Tourism capital investment; Financial inclusion; European union; Principal component analysis; Panel vector autoregressive; C01; G20; O16; Z32</t>
  </si>
  <si>
    <t>INCOME INEQUALITY; GROWTH; ACCESS; NEXUS; SMES</t>
  </si>
  <si>
    <t>This investigation approaches the bidirectional relationship between tourism investments and financial inclusion. Principal component analysis was employed to obtain the financial inclusion index, and the panel vector autoregressive model was applied to analyze a panel of 25 European Union countries from 2005 to 2020. The empirical findings indicate a bidirectional and negative relationship between tourism capital investment and financial inclusion. Additionally, the outcomes reveal that both tourism capital investment and ICT diffusion positively affect economic growth and that financial inclusion negatively affects the economic growth of EU countries. In turn, economic growth promotes financial inclusion. Furthermore, financial inclusion enhances ICT dissemination, while tourism capital investment is linked to decreased ICT expansion. These outcomes indicate that policymakers and financial institutions must navigate this intricate landscape, devising strategies that bolster financial inclusion and support the tourism sector rejuvenation, recognizing the pivotal role both play in fostering a resilient and inclusive economy. The relationship between tourism investments and financial inclusion is empirically investigated.Tourism capital investment and financial inclusion negatively affect each other.Implementing technological and tourism investment policies is mandatory for enhancing financial inclusion.</t>
  </si>
  <si>
    <t>[Castilho, Daniela; Fuinhas, Jose Alberto] Univ Coimbra, Fac Econ, P-300453 Coimbra, Portugal; [Castilho, Daniela; Fuinhas, Jose Alberto] Univ Coimbra, Ctr Business &amp; Econ Res CeBER, P-300453 Coimbra, Portugal</t>
  </si>
  <si>
    <t>Universidade de Coimbra; Universidade de Coimbra</t>
  </si>
  <si>
    <t>Fuinhas, JA (corresponding author), Univ Coimbra, Fac Econ, P-300453 Coimbra, Portugal.;Fuinhas, JA (corresponding author), Univ Coimbra, Ctr Business &amp; Econ Res CeBER, P-300453 Coimbra, Portugal.</t>
  </si>
  <si>
    <t>fuinhas@uc.pt</t>
  </si>
  <si>
    <t>Castilho, Daniela/NOE-8559-2025; Fuinhas, José Alberto/P-1603-2017</t>
  </si>
  <si>
    <t>Castilho, Daniela/0000-0001-5637-2901; Fuinhas, José Alberto/0000-0002-6937-5420</t>
  </si>
  <si>
    <t>FCT - Fundacao para a Ciencia e a Tecnologia, I.P [UIDB/05037/2020, 2022.13300.BD]</t>
  </si>
  <si>
    <t>FCT - Fundacao para a Ciencia e a Tecnologia, I.P(Fundacao para a Ciencia e a Tecnologia (FCT))</t>
  </si>
  <si>
    <t>This work has been funded by national funds through FCT - Fundacao para a Ciencia e a Tecnologia, I.P., through project UIDB/05037/2020 with DOI:10.54499/UIDB/05037/2020; and by the FCT - Fundacao para a Ciencia e a Tecnologia, I.P., PhD fellowship [2022.13300.BD].</t>
  </si>
  <si>
    <t>1940-7963</t>
  </si>
  <si>
    <t>1940-7971</t>
  </si>
  <si>
    <t>J POLICY RES TOUR LE</t>
  </si>
  <si>
    <t>J. Policy Res. Tour. Leis. Events</t>
  </si>
  <si>
    <t>2024 JUL 3</t>
  </si>
  <si>
    <t>10.1080/19407963.2024.2371391</t>
  </si>
  <si>
    <t>XK6P9</t>
  </si>
  <si>
    <t>WOS:001261621000001</t>
  </si>
  <si>
    <t>Awa, T; Khadre, DA</t>
  </si>
  <si>
    <t>Awa, Traore; Khadre, Dieng Abdou</t>
  </si>
  <si>
    <t>Financial inclusion, ICT development and economic growth in WAEMU countries: evidence of governance</t>
  </si>
  <si>
    <t>Financial inclusion; ICTE; Economic growth; Institutions; ARDL; O1; O5; C5; G28</t>
  </si>
  <si>
    <t>PurposeThe main objective of this paper is to examine how short- and long-term dynamics can be promoted through economic growth policies, financial inclusion initiatives, institutions and ICT infrastructure development. The study focuses on West African Economic and Monetary Union (WAEMU) member countries over for the period 2000-2020 and the empirical evidence is based on the autoregressive distributed lag (ARDL) method. Our empirical results show that the synthetic index variables of financial inclusion, ICT infrastructure development and individual or composite governance institutions indicators are positively and significantly interrelated in both the short and long runs. A dynamic combination of variables is essential for WAEMU countries to achieve long-term economic development. Policy implications are discussed.Design/methodology/approachConsistent with our goal of testing the dynamics of financial inclusion, governance and ICT on economic growth, we will estimate our equations using the ARDL panel method. ARDL models or autoregressive models with staggered or distributed delays are dynamic models. The particularity of these models is that they take into account temporal dynamics (i.e. expectations, adjustment delays and inter alia), so we adopted a lagged autoregressive model (ARDL). The popularity of the ARDL approach also stems from the fact that the cointegration of nonstationary variables is equivalent to an error correction (EC) process.FindingsThe empirical results simultaneously depict strong endogenous associations between these variables in the short and long run. The short-run analysis indicates that economic growth, financial inclusion, institutional quality and ICT infrastructure development are strongly interdependent. These union states, in their economic growth policies, encourage the financial inclusion (access and penetration of bank branches) of disadvantaged communities. However, efficient institutional policies reinforce this sustainable growth. The efficient use of telecommunications infrastructure requires the regulation of informal employment in WAEMU countries for the better deployment of efficient, secure and cost-effective digital financial payment systems (fintech).Research limitations/implicationsThe findings in this study evidently leave space for future research, especially as it concerns considering how composite governance can be employed as a moderating indicator for financial inclusion. In conclusion, there is an interdependence between financial inclusion, ICT, institutions and economic growth. An effective combination of these elements can create an ecosystem conducive to economic development by promoting access to financial services, harnessing the benefits of ICT and building robust institutions. However, challenges can also arise, such as the need for appropriate regulations and security guarantees for electronic transactions.Practical implicationsGovernments should strengthen financial inclusion and promote policies aimed at improving access to financial services, such as microcredits, mobile banking and initiatives for the unbanked. Financial education is crucial for enhancing financial inclusion. Educational programs that teach citizens how to use financial services can increase participation and stimulate economic growth. Moreover, policies should focus on improving digital infrastructure, such as broadband networks and data centers, to facilitate access to the internet and other technologies and to promote innovation and startups. Governments should strive to create a balanced regulatory framework that encourages investment and innovation while avoiding excessive regulation that could hinder growth. Implementing targeted regulatory reforms to improve efficiency and transparency can enhance investor confidence and support a more dynamic economic environment.Originality/valueThis work constitutes a considerable contribution to the literature on finance, institutions and growth in WAEMU countries and in terms of methodology. The findings in this study evidently leave space for future research, especially as it concerns considering how composite governance can be employed as a moderating indicator for financial inclusion. In conclusion, there is an interdependence between financial inclusion, ICT, institutions and economic growth. An effective combination of these elements can create an ecosystem conducive to economic development by promoting access to financial services, harnessing the benefits of ICT and building robust institutions.</t>
  </si>
  <si>
    <t>[Awa, Traore; Khadre, Dieng Abdou] Cheikh Anta Diop Univ Dakar, Dept Econ, Dakar, Senegal</t>
  </si>
  <si>
    <t>Khadre, DA (corresponding author), Cheikh Anta Diop Univ Dakar, Dept Econ, Dakar, Senegal.</t>
  </si>
  <si>
    <t>awa5.traore@ucad.edu.sn; abdoukhadre6.dieng@ucad.edu.sn</t>
  </si>
  <si>
    <t>Awa, TRAORE/0000-0003-1921-2516</t>
  </si>
  <si>
    <t>MAY 26</t>
  </si>
  <si>
    <t>10.1108/AJEMS-02-2023-0071</t>
  </si>
  <si>
    <t>2YB7S</t>
  </si>
  <si>
    <t>WOS:001336134000001</t>
  </si>
  <si>
    <t>Saka, ANA; Gan, C; Hu, BD</t>
  </si>
  <si>
    <t>Saka, Abraham Nii Adoteye; Gan, Christopher; Hu, Baiding</t>
  </si>
  <si>
    <t>Financial inclusion, poverty, and income inequality</t>
  </si>
  <si>
    <t>Financial inclusion; poverty reduction; household consumption; income inequality; Ghana; Economics; Finance; History of Economic Thought</t>
  </si>
  <si>
    <t>ECONOMIC-GROWTH; CONSUMPTION; INFORMATION; AFRICA; URBANIZATION; REMITTANCES; DYNAMICS; ACCESS; MARKET; ICT</t>
  </si>
  <si>
    <t>Financial inclusion has emerged as a critical tool for promoting economic development, particularly in developing countries. By providing access to affordable financial services, financial inclusion fosters economic participation, reduces poverty, and reduces income inequality. In Ghana, where poverty and income inequality remain persistent, understanding the developmental role of financial inclusion is crucial. This study examines the impact of financial inclusion on poverty alleviation and income inequality in Ghana from 1980 to 2021. A key contribution of this study is the construction of a comprehensive financial inclusion index that integrates both banking and insurance data. This dual-component index captures the broader scope of financial inclusion compared to traditional metrics that often focus solely on banking. The results reveal that financial inclusion indirectly enhances human development by improving education, health, and income equality, even though it does not directly reduce household poverty. Additionally, GDP per capita, ICT literacy, and remittances significantly influence human development outcomes, while inefficient government spending and rural population growth constrain progress. The positive interaction between financial inclusion and GNI per capita underscores the importance of economic growth in amplifying inclusion's developmental benefits. Strengthening Ghana's financial system, particularly in rural areas, can further advance poverty reduction and inclusive growth.</t>
  </si>
  <si>
    <t>[Saka, Abraham Nii Adoteye] First Natl Bank Ghana Ltd, Platform Enablement, Accra, Ghana; [Gan, Christopher] Lincoln Univ, Dept Financial &amp; Business Syst, Lincoln, New Zealand; [Gan, Christopher] Univ Econ Ho Chi Minh, Coll Business, Sch Banking, Ho Chi Minh City, Vietnam; [Hu, Baiding] Lincoln Univ, Fac Agribusiness &amp; Commerce, Lincoln, New Zealand</t>
  </si>
  <si>
    <t>Lincoln University - New Zealand; Lincoln University - New Zealand</t>
  </si>
  <si>
    <t>Saka, ANA (corresponding author), First Natl Bank Ghana Ltd, Platform Enablement, Accra, Ghana.</t>
  </si>
  <si>
    <t>sakaab@yahoo.com</t>
  </si>
  <si>
    <t>Hu, Baiding/E-4678-2018</t>
  </si>
  <si>
    <t>10.1080/23322039.2025.2587236</t>
  </si>
  <si>
    <t>9YV0Z</t>
  </si>
  <si>
    <t>WOS:001618273400001</t>
  </si>
  <si>
    <t>Financial Performance Analysis of NBFC-MFIs in India using TOPSIS and IV-TOPSIS</t>
  </si>
  <si>
    <t>INTERNATIONAL JOURNAL OF MATHEMATICAL ENGINEERING AND MANAGEMENT SCIENCES</t>
  </si>
  <si>
    <t>Benchmarking; Financial performance; Microfinance; TOPSIS; Sensitivity analysis</t>
  </si>
  <si>
    <t>MICROFINANCE INSTITUTIONS; BENCHMARKING; EXTENSION; OUTREACH; GROWTH</t>
  </si>
  <si>
    <t>The policymakers around the globe have been emphasizing on financial inclusion in line with sustainable development goals 2030 of the United Nations. Developing countries are still behind in ensuring greater financial inclusion especially for women. While banks are the apex financial institutions in any country, microfinance institutions proved to be promising in advancing financial inclusion because of its better reach to women in remote areas. Thus in a country like India, the outreach and sustainability of microfinance institutions is of utmost importance. This paper aims to rank the performance of microfinance institutions listed by Reserve Bank of India on the basis of their outreach, sustainability, quality and efficiency. The ranking is done separately for five years (2014-15 to 2018-19) using Technique for Order of Preference (TOPSIS) method while overall ranking and benchmarking for five years has been done using interval valued TOPSIS (IV-TOPSIS) method. The robustness of the study has been checked through sensitivity analysis. The overall results portray Satin Creditcare Network Limited as the best performing NBFC-MFI while BWDA Finance Limited as the worst performer for the combined period of 5 years</t>
  </si>
  <si>
    <t>[Roy, Priyanka; Patro, Binoti] Natl Inst Technol Silchar, Dept Management Studies, Silchar, Assam, India</t>
  </si>
  <si>
    <t>Roy, P (corresponding author), Natl Inst Technol Silchar, Dept Management Studies, Silchar, Assam, India.</t>
  </si>
  <si>
    <t>patro, binoti/ABE-7730-2021; Roy, Priyanka/GXM-5243-2022</t>
  </si>
  <si>
    <t>INT JOURNAL MATHEMATICAL ENGINEERING &amp; MANAGEMENT SCIENCES-IJMEMS</t>
  </si>
  <si>
    <t>DEHRADUN</t>
  </si>
  <si>
    <t>INT JOURNAL MATHEMATICAL ENGINEERING &amp; MANAGEMENT SCIENCES-IJMEMS, JAMNIPUR, HERBERTPUR, DEHRADUN, INDIA</t>
  </si>
  <si>
    <t>2455-7749</t>
  </si>
  <si>
    <t>INT J MATH ENG MANAG</t>
  </si>
  <si>
    <t>Int. J. Math. Eng. Manag. Sci.</t>
  </si>
  <si>
    <t>10.33889/IJMEMS.2021.6.5.086</t>
  </si>
  <si>
    <t>Engineering, Multidisciplinary; Operations Research &amp; Management Science; Mathematics, Applied</t>
  </si>
  <si>
    <t>Engineering; Operations Research &amp; Management Science; Mathematics</t>
  </si>
  <si>
    <t>WC6AP</t>
  </si>
  <si>
    <t>WOS:000704339200014</t>
  </si>
  <si>
    <t>Akolgo, IA</t>
  </si>
  <si>
    <t>Akolgo, Isaac Abotebuno</t>
  </si>
  <si>
    <t>On the contradictions of Africa's fintech boom: evidence from Ghana</t>
  </si>
  <si>
    <t>Fintech; Ghana; financial inclusion; mobile money; capitalism; financialization; Africa</t>
  </si>
  <si>
    <t>Since the pioneering role of Kenya's mobile money service - M-PESA, a consortium of international development agencies, philanthropists, academics, tech corporations and governments - have led an optimistic account of a poverty-eradicating, prosperity-spreading power of financial technology (fintech) in the global South. In contrast, a growing critical IPE literature has demonstrated that the optimistic accounts are broad-brush and misleading. Drawing from recent theorization on digital financialisation and Marxian conceptualization of capital accumulation, this article shifts the focus of the Kenya-centered critical response to Ghana, the second largest mobile money market in Africa. Relying on quantitative data from the Bank of Ghana, and qualitative data from 42 semi-structured interviews, the article provides evidence to show that the mobile money boom in Ghana is underpinned by (1) customer indebtedness from digital microloans, (2) high transaction costs, (3) excessive taxation, and (4) a prevalence of dormant accounts. Collectively, the findings confirm the wider critical literature suggesting that, far from ending poverty and inspiring prosperity, the fintech-financial-inclusion agenda in Africa is opening new frontiers for a sustained and intensified capitalist exploitation of working-class labor in the continent.</t>
  </si>
  <si>
    <t>[Akolgo, Isaac Abotebuno] Univ Bayreuth, Africa Multiple Cluster Excellence, Bayreuth, Germany</t>
  </si>
  <si>
    <t>University of Bayreuth</t>
  </si>
  <si>
    <t>Akolgo, IA (corresponding author), Univ Bayreuth, Africa Multiple Cluster Excellence, Bayreuth, Germany.</t>
  </si>
  <si>
    <t>Isaac.akolgo@uni-bayreuth.de</t>
  </si>
  <si>
    <t>Akolgo, Isaac Abotebuno/ACN-9052-2022</t>
  </si>
  <si>
    <t>Akolgo, Isaac Abotebuno/0000-0002-1446-6800</t>
  </si>
  <si>
    <t>10.1080/09692290.2023.2225142</t>
  </si>
  <si>
    <t>S2DA5</t>
  </si>
  <si>
    <t>WOS:001013525900001</t>
  </si>
  <si>
    <t>Seck-Sarr, SF</t>
  </si>
  <si>
    <t>Seck-Sarr, Sokhna Fatou</t>
  </si>
  <si>
    <t>Mobile money in sub-Saharan Africa: Innovation and actors' strategies</t>
  </si>
  <si>
    <t>TELEMATICS AND INFORMATICS REPORTS</t>
  </si>
  <si>
    <t>Mobile money; Sub Saharan Africa; Innovation; Strategies; Communication</t>
  </si>
  <si>
    <t>The concept of mobile money triggers a diverse range of initiatives, involves various actors, and prompts numerous inquiries. This article explores how mobile money serves as an innovative mobile telephony service in Africa. It delves into the actors involved in this emerging mobile money system. The article draws on existing literature on innovation and introduces a methodology to evaluate the innovativeness of mobile money in subSaharan African countries. By combining insights from innovation and strategy theories, the scope of analysis spans from 2007, coinciding with the launch of M-Pesa, to 2023, with a specific focus on the West African Economic and Monetary Union (WAEMU) zone. This study asserts that Mobile Money qualifies as an African innovation, despite the apparent dominance of multinationals, particularly telecom operators, who engage in collaborative efforts with banking institutions and employ strategic tactics to secure advantageous positions in this promising new market. Looking ahead, the study sheds light on the potential risks linked to the incorporation of AI (such as recognition and geolocation) in mobile money transactions, along with the associated risk of financial exclusion. Additionally, it prompts further research into the geopolitical aspects surrounding mobile money and the complexities of achieving interoperability.</t>
  </si>
  <si>
    <t>[Seck-Sarr, Sokhna Fatou] Gaston Berger Univ St Louis, Dept Commun, St Louis, Senegal</t>
  </si>
  <si>
    <t>Universite Gaston Berger</t>
  </si>
  <si>
    <t>Seck-Sarr, SF (corresponding author), Gaston Berger Univ St Louis, Dept Commun, St Louis, Senegal.</t>
  </si>
  <si>
    <t>sokhna-seck.sarr@ugb.edu.sn</t>
  </si>
  <si>
    <t>2772-5030</t>
  </si>
  <si>
    <t>TELEMAT INFORM REP</t>
  </si>
  <si>
    <t>Telemat. Inform. Rep.</t>
  </si>
  <si>
    <t>10.1016/j.teler.2023.100114</t>
  </si>
  <si>
    <t>R4D2T</t>
  </si>
  <si>
    <t>WOS:001390969100001</t>
  </si>
  <si>
    <t>Ramírez-Virviescas, N; Guevara-Castañeda, D</t>
  </si>
  <si>
    <t>Ramirez-Virviescas, Natalia; Guevara-Castaneda, Diego</t>
  </si>
  <si>
    <t>Rural Microfinance in Colombia and Financialization Process: A Case Study</t>
  </si>
  <si>
    <t>APUNTES DEL CENES</t>
  </si>
  <si>
    <t>microfinance; financialization; rural poverty; rural population; financial inclusion; agricultural economics; agricultural development; agricultural policy</t>
  </si>
  <si>
    <t>The deregulated growth of microfinance represents a threat to the sustainability and fulfillment of its mission. This paper aims to analyze the development of rural microfinance in Colombia, going beyond the study of financial inclusion. With this purpose, a qualitative research method is applied together with the review of financial indexes related to the offer of microcredits to the Colombian rural sector. In addition to the national study, Survey on the use of microfinance products and services in rural areas 2018 was carried out and analyzed for deepening in the local and regional perception of microfinance services in seven municipalities belonging to the categories 4, 5 and 6 of Boyaca and Santander states. Throughout this analysis, it is evidenced that rural microfinance is not per se a solution for poverty, but it is consolidated as an instrument through which the productive initiatives of the Colombian countryside could be viable and sustainable, which is why they serve as a complementary tool of rural development policies.</t>
  </si>
  <si>
    <t>[Ramirez-Virviescas, Natalia] Univ Nacl Colombia, Ciencias Econ, Bogota, Colombia; [Guevara-Castaneda, Diego] Univ Nacl Colombia, Escuela Econ, Bogota, Colombia</t>
  </si>
  <si>
    <t>Universidad Nacional de Colombia; Universidad Nacional de Colombia</t>
  </si>
  <si>
    <t>Ramírez-Virviescas, N (corresponding author), Univ Nacl Colombia, Ciencias Econ, Bogota, Colombia.</t>
  </si>
  <si>
    <t>nramirezv@unal.edu.co; dieguevarac@unal.edu.co</t>
  </si>
  <si>
    <t>Ramírez Virviescas, Natalia/0000-0002-3024-6154</t>
  </si>
  <si>
    <t>UNIV PEDAGOGICA &amp; TECNOLOGICA COLOMBIA</t>
  </si>
  <si>
    <t>TUNJA</t>
  </si>
  <si>
    <t>AVE CENTRAL NORTE, KM 3 VIA PAIPA, TUNJA, BOYACA 00000, COLOMBIA</t>
  </si>
  <si>
    <t>2256-5779</t>
  </si>
  <si>
    <t>APUNT CENES</t>
  </si>
  <si>
    <t>Apunt. CENES</t>
  </si>
  <si>
    <t>10.19053/01203053.v40.n71.2021.11466</t>
  </si>
  <si>
    <t>SL1ZK</t>
  </si>
  <si>
    <t>WOS:000656719300009</t>
  </si>
  <si>
    <t>Mendiola-Contreras, L; Horna-Saldaña, CJ</t>
  </si>
  <si>
    <t>Mendiola-Contreras, Luis; Horna-Saldana, Cesar Jhonnatan</t>
  </si>
  <si>
    <t>Artificial intelligence as an enabler of financial inclusion and financial education in Indigenous people</t>
  </si>
  <si>
    <t>JOURNAL OF ENABLING TECHNOLOGIES</t>
  </si>
  <si>
    <t>Indigenous languages; Indigenous communities; Financial inclusion; Financial education; Enabling technologies; Artificial intelligence</t>
  </si>
  <si>
    <t>PurposeThe purpose of this article is to demonstrate how artificial intelligence (AI) enables financial education and inclusion for Indigenous communities in Peru.Design/methodology/approachAn analysis of the context of AI in the field of financial education and inclusion in Peru was conducted. Subsequently, the study highlighted the case of the digital tool Illariy, which uses AI to educate on savings habits and financial products in Indigenous languages (Quechua, Aymara and Shipibo-Konibo). Finally, the contributions of AI to financial inclusion for Peruvian Indigenous communities were reflected upon.FindingsThe study evidenced that AI can reduce linguistic and cultural barriers by promoting financial inclusion for Peru's Indigenous communities. Illariy, an avatar developed in the Quechua language, enables the preservation and valorization of cultural traditions, fostering trust in the financial system. Additionally, the importance of integrating enabling tools to disseminate information in Indigenous languages and revitalize endangered languages is highlighted.Practical implicationsThe use of AI allows for the preservation of Indigenous languages spoken by financially marginalized groups. It also facilitates the dissemination and communication of financial information in Indigenous languages.Originality/valueThis article addresses a scarcely explored context within Peruvian Indigenous communities, emphasizing the contributions that AI can make to financial education and inclusion.</t>
  </si>
  <si>
    <t>[Mendiola-Contreras, Luis] Univ ESAN, Dept Econ &amp; Finance, Lima, Peru; [Horna-Saldana, Cesar Jhonnatan] Univ ESAN, Dept Operat &amp; IT, Lima, Peru</t>
  </si>
  <si>
    <t>Universidad ESAN; Universidad ESAN</t>
  </si>
  <si>
    <t>Mendiola-Contreras, L (corresponding author), Univ ESAN, Dept Econ &amp; Finance, Lima, Peru.</t>
  </si>
  <si>
    <t>lmendiola@esan.edu.pe; chorna@esan.edu.pe</t>
  </si>
  <si>
    <t>; Horna-Saldaña, Cesar/ABN-1661-2022</t>
  </si>
  <si>
    <t>Mendiola-Contreras, Luis/0000-0002-6599-8495;</t>
  </si>
  <si>
    <t>2398-6263</t>
  </si>
  <si>
    <t>J ENABLING TECHNOL</t>
  </si>
  <si>
    <t>J. Enabling Technol.</t>
  </si>
  <si>
    <t>10.1108/JET-01-2025-0007</t>
  </si>
  <si>
    <t>8RQ5L</t>
  </si>
  <si>
    <t>WOS:001589734200001</t>
  </si>
  <si>
    <t>Hazzouri, ME; El-Bialy, R; Veresiu, E; Main, KJ</t>
  </si>
  <si>
    <t>Hazzouri, Mohammed El; El-Bialy, Rowan; Veresiu, Ela; Main, Kelley J.</t>
  </si>
  <si>
    <t>Vulnerable consumer experiences of (dis)empowerment with consumer protection regulations</t>
  </si>
  <si>
    <t>consumer protection regulations; financial exclusion; payday loans; vulnerable consumers</t>
  </si>
  <si>
    <t>PAYDAY LOAN; CREDIT; BANKING; IMPACT</t>
  </si>
  <si>
    <t>The payday lending industry has been characterized as predatory, which has led to tougher government interventions. However, research on how stricter consumer protection regulations affect actual vulnerable consumers' lived experiences remains seriously underdeveloped. Following in-depth interviews with financially excluded and therefore vulnerable payday loan consumers, this study finds that increased payday loan industry regulations are perceived by consumers as either empowering, disempowering, or simultaneously (dis)empowering. Accordingly, practical implications are developed to help public policy makers navigate vulnerable consumers' ambivalent relationship with consumer protection regulations.</t>
  </si>
  <si>
    <t>[Hazzouri, Mohammed El] Dalhousie Univ, Fac Management, Halifax, NS, Canada; [El-Bialy, Rowan; Veresiu, Ela] York Univ, Schulich Sch Business, Toronto, ON, Canada; [Main, Kelley J.] Univ Manitoba, Asper Sch Business, Winnipeg, MB, Canada; [Hazzouri, Mohammed El] Dalhousie Univ, Fac Management, 6100Univers Ave, Halifax, NS B3H 4R2, Canada</t>
  </si>
  <si>
    <t>Dalhousie University; York University - Canada; University of Manitoba; Dalhousie University</t>
  </si>
  <si>
    <t>Hazzouri, ME (corresponding author), Dalhousie Univ, Fac Management, 6100Univers Ave, Halifax, NS B3H 4R2, Canada.</t>
  </si>
  <si>
    <t>melhazzouri@dal.ca</t>
  </si>
  <si>
    <t>El-Bialy, Rowan/HKN-4574-2023; Veresiu, Ela/KDO-8088-2024</t>
  </si>
  <si>
    <t>El-Bialy, Rowan/0000-0002-8320-9779; Main, Kelley/0000-0001-7764-1605; El Hazzouri, Mohammed/0000-0003-3797-2906; Veresiu, Ela/0000-0002-7670-8887</t>
  </si>
  <si>
    <t>Social Sciences and Humanities Research Council of Canada</t>
  </si>
  <si>
    <t>10.1111/joca.12533</t>
  </si>
  <si>
    <t>W4MC4</t>
  </si>
  <si>
    <t>WOS:000981879400001</t>
  </si>
  <si>
    <t>Cui, YJ; Liu, RQ</t>
  </si>
  <si>
    <t>Wu, Y; Li, Y</t>
  </si>
  <si>
    <t>Cui Yanjuan; Liu Ruiqi</t>
  </si>
  <si>
    <t>Does Social Capital Matter Microfinance Firms Sustainability: the Case of China</t>
  </si>
  <si>
    <t>PROCEEDINGS OF THE 8TH (2016) INTERNATIONAL CONFERENCE ON FINANCIAL RISK AND CORPORATE FINANCE MANAGEMENT</t>
  </si>
  <si>
    <t>8th International Conference on Financial Risk and Corporate Finance Management</t>
  </si>
  <si>
    <t>JUL 03-05, 2016</t>
  </si>
  <si>
    <t>Dalian Univ Technol, Inst Finance &amp; Accounting,Dalian Univ Technol, Securities &amp; Futures Res Ctr</t>
  </si>
  <si>
    <t>microfinance firm; social capital; financial inclusion; sustainable growth</t>
  </si>
  <si>
    <t>This paper investigates the role of social capital in microfinance firms' sustainability using constructed sustainable growth of microfinance firms with the panel data of China from 2006 to 2013. The results suggest that social capital can improve sustainable growth of microfinance firms. However, the effect is different when social capital uses different indictors. Social capital of norm has much more effect on sustainable growth of microfinance firms than that of individual relation.</t>
  </si>
  <si>
    <t>[Cui Yanjuan; Liu Ruiqi] Dalian Polytech Univ, Sch Management, Dalian 116034, Peoples R China; [Cui Yanjuan] Dalian Univ Technol, Fac Econ &amp; Management, Dalian 116024, Peoples R China</t>
  </si>
  <si>
    <t>Cui, YJ (corresponding author), Dalian Polytech Univ, Sch Management, Dalian 116034, Peoples R China.;Cui, YJ (corresponding author), Dalian Univ Technol, Fac Econ &amp; Management, Dalian 116024, Peoples R China.</t>
  </si>
  <si>
    <t>978-7-89437-164-5</t>
  </si>
  <si>
    <t>BG0MD</t>
  </si>
  <si>
    <t>WOS:000386326900019</t>
  </si>
  <si>
    <t>Tiwasing, P; Addae, JA; Naab, FZ; Naab, GZ</t>
  </si>
  <si>
    <t>Tiwasing, Pattanapong; Addae, John Agyekum; Naab, Francis Zana; Naab, Gilbert Zana</t>
  </si>
  <si>
    <t>Do mobile money services enhance business performance? An empirical analysis of Kenyan businesses</t>
  </si>
  <si>
    <t>mobile money; FinTech; business performance; empirical analysis; Kenya</t>
  </si>
  <si>
    <t>PROPENSITY SCORE; ADOPTION; FINTECH; INDUSTRY; FUTURE</t>
  </si>
  <si>
    <t>This study examines the impact of mobile money services on business performance by comparing the performance between businesses that use and do not use mobile money. The analysis empirically draws on cross-sectional data of 1001 Kenyan businesses from the 2018 World Bank Enterprise Survey. Propensity Score Matching is used to control for selection bias and variations in business characteristics. The results reveal that businesses that use mobile money services are more likely to be innovative in products and processes than non-users. However, they perform as well as businesses that do not use mobile money. The results also show that differences in business-specific characteristics such as business size, sector, location, and business obstacles significantly influence the adoption of mobile money by Kenyan businesses. Therefore, these results highlight the importance of mobile money services for Kenyan businesses with effective digital tools and support. Policy recommendations to enhance the financial mobile ecosystem and financial inclusion are discussed.</t>
  </si>
  <si>
    <t>[Tiwasing, Pattanapong] Keele Univ, Keele Business Sch, Keele, Staffs, England; [Addae, John Agyekum] LUT Univ, Lappeenranta, Finland; [Addae, John Agyekum] Ghana Commun Technol Univ, Accra, Ghana; [Naab, Francis Zana] Scotlands Rural Coll SRUC, Edinburgh, Scotland; [Naab, Gilbert Zana] Coventry Univ, Sch Strategy &amp; Leadership, Coventry, England; [Tiwasing, Pattanapong] Keele Univ, Keele Business Sch, Denise Coates Fdn Bldg, Keele ST55NS, Staffs, England</t>
  </si>
  <si>
    <t>Keele University; Lappeenranta-Lahti University of Technology LUT; Scotland's Rural College; Coventry University; Keele University</t>
  </si>
  <si>
    <t>Tiwasing, P (corresponding author), Keele Univ, Keele Business Sch, Denise Coates Fdn Bldg, Keele ST55NS, Staffs, England.</t>
  </si>
  <si>
    <t>p.tiwasing@keele.ac.uk</t>
  </si>
  <si>
    <t>Addae, John Agyekum/AAH-7937-2021; Tiwasing, Pattanapong/AAP-2739-2021</t>
  </si>
  <si>
    <t>Addae, John Agyekum/0000-0002-6374-5195; Tiwasing, Pattanapong/0000-0001-9604-1656; Naab, Gilbert/0000-0002-5235-1123; Naab, Francis Zana/0000-0003-4850-3638</t>
  </si>
  <si>
    <t>The 2022-23 School Research Fund (SRF), Faculty of Humanities and Social Sciences, Keele University</t>
  </si>
  <si>
    <t>The author(s) disclosed receipt of the following financial support for the research, authorship, and/or publication of this article: The paper was supported by 2022-23 School Research Fund (SRF), Faculty of Humanities and Social Sciences, Keele University.</t>
  </si>
  <si>
    <t>2024 FEB 16</t>
  </si>
  <si>
    <t>10.1177/14657503241230946</t>
  </si>
  <si>
    <t>HY7M6</t>
  </si>
  <si>
    <t>WOS:001163137300001</t>
  </si>
  <si>
    <t>Njoya, AN; Tchakounté, F; Atemkeng, M; Udagepola, KP; Bassolé, D</t>
  </si>
  <si>
    <t>Saeed, RA; Bakari, AD; Sheikh, YH</t>
  </si>
  <si>
    <t>Njoya, Alima Nzeket; Tchakounte, Franklin; Atemkeng, Marcellin; Udagepola, Kalum Priyanath; Bassole, Didier</t>
  </si>
  <si>
    <t>Mobile Money Phishing Cybercrimes: Vulnerabilities, Taxonomies, Characterization from an Investigation in Cameroon</t>
  </si>
  <si>
    <t>TOWARDS NEW E-INFRASTRUCTURE AND E-SERVICES FOR DEVELOPING COUNTRIES, AFRICOMM 2022</t>
  </si>
  <si>
    <t>Lecture Notes of the Institute for Computer Sciences Social Informatics and Telecommunications Engineering</t>
  </si>
  <si>
    <t>14th International Conference on e Infrastructure and e Services for Developing Countries</t>
  </si>
  <si>
    <t>DEC 05-07, 2022</t>
  </si>
  <si>
    <t>Zanzibar, TANZANIA</t>
  </si>
  <si>
    <t>Mobile money; phishing; vulnerabilities; taxonomies; emotions; interactions; cybercrimes; cameroon</t>
  </si>
  <si>
    <t>Mobile Money (MM) technologies are popular in developing countries where people are unbanked, and they are exploited as means of financial transactions in the economy. Sophisticated cyber-phishing techniques successfully target MM accounts. Related counter measures are rare and the existing ones are so technical that people without minimal knowledge cannot be helped. Making the knowledge around cybercrime facts is therefore relevant since it provides a good basis for further technical research. In this vein, this paper dissects phishing cybercrime strategies observed within the Cameroonian cyberspace. We provide identified vulnerabilities, process design of generic MM attack, taxonomies of attacks, and classification of the latter based on criteria. Findings about commonalities and dissimilarities reveal two aspects to really consider when designing solutions: emotion and interactions.</t>
  </si>
  <si>
    <t>[Njoya, Alima Nzeket; Tchakounte, Franklin] Univ Ngaoundere, Dept Math &amp; Comp Sci, Fac Sci, Ngaoundere, Cameroon; [Njoya, Alima Nzeket; Tchakounte, Franklin] Cybersecur Computat &amp; Artificial Intelligence Grp, Ngaoundere, Cameroon; [Tchakounte, Franklin; Atemkeng, Marcellin] Rhodes Univ, Dept Math, ZA-6140 Grahamstown, South Africa; [Udagepola, Kalum Priyanath] Sci Res Dev Inst Technol, Dept Informat &amp; Comp Sci, Loganlea, Australia; [Bassole, Didier] Univ Joseph Ki Zerbo, Lab Math &amp; Comp Sci, Ouagadougou, Burkina Faso</t>
  </si>
  <si>
    <t>Rhodes University; Universite Joseph Ki-Zerbo</t>
  </si>
  <si>
    <t>Tchakounté, F (corresponding author), Univ Ngaoundere, Dept Math &amp; Comp Sci, Fac Sci, Ngaoundere, Cameroon.;Tchakounté, F (corresponding author), Cybersecur Computat &amp; Artificial Intelligence Grp, Ngaoundere, Cameroon.;Tchakounté, F (corresponding author), Rhodes Univ, Dept Math, ZA-6140 Grahamstown, South Africa.</t>
  </si>
  <si>
    <t>j.ntsama@cycomai.com; f.tchakounte@cycomai.com; m.atemkeng@ru.ac.za</t>
  </si>
  <si>
    <t>Udagepola, Kalum/F-8846-2013</t>
  </si>
  <si>
    <t>Udagepola, Kalum/0000-0001-5168-7111; Nzeket Njoya, Alima/0000-0002-7818-4394; Atemkeng, Marcellin Teufack/0000-0002-9020-3885; Tchakounté, Franklin/0000-0003-0723-2640; BASSOLE, Didier/0000-0002-0629-5888</t>
  </si>
  <si>
    <t>1867-8211</t>
  </si>
  <si>
    <t>1867-822X</t>
  </si>
  <si>
    <t>978-3-031-34895-2; 978-3-031-34896-9</t>
  </si>
  <si>
    <t>L N INST COMP SCI SO</t>
  </si>
  <si>
    <t>10.1007/978-3-031-34896-9_26</t>
  </si>
  <si>
    <t>Development Studies; Computer Science, Interdisciplinary Applications</t>
  </si>
  <si>
    <t>Development Studies; Computer Science</t>
  </si>
  <si>
    <t>BY4QL</t>
  </si>
  <si>
    <t>WOS:001447391100026</t>
  </si>
  <si>
    <t>Barboza-Navarro, D; Solórzano-Thompson, J; Paniagua-Molina, J</t>
  </si>
  <si>
    <t>Barboza-Navarro, David; Solorzano-Thompson, Johanna; Paniagua-Molina, Javier</t>
  </si>
  <si>
    <t>Effect of default on profitability in a Costa Rican microfinance institution: Financial model proposal</t>
  </si>
  <si>
    <t>TECNOLOGIA EN MARCHA</t>
  </si>
  <si>
    <t>Finance; fundamental analysis; econometrics; financial inclusion; management</t>
  </si>
  <si>
    <t>The effect of default in loan portfolios on the profitability of a Microfinance Institution was analyzed through fundamental analysis with projection of financial statements, awareness of the profitability indicator and formulation of macroeconomic scenarios with increases in the cost of financing. The results show the counterproductive effect on profitability of high default rates, although the companys business model is robust enough to cope with persistent increases in default. Strengthening operational strategies and promoting research in Costa Rican and Latin American microfinance industry is essential to improve its performance and financial inclusion.</t>
  </si>
  <si>
    <t>[Barboza-Navarro, David; Solorzano-Thompson, Johanna; Paniagua-Molina, Javier] Univ Costa Rico, San Pedro, Costa Rica</t>
  </si>
  <si>
    <t>Barboza-Navarro, D (corresponding author), Univ Costa Rico, San Pedro, Costa Rica.</t>
  </si>
  <si>
    <t>jose.barbozanavarro@ucr.ac.cr; johanna.solorzano@ucr.ac.cr; javier.paniagua@ucr.ac.cr</t>
  </si>
  <si>
    <t>Paniagua-Molina, Javier/KVA-9909-2024</t>
  </si>
  <si>
    <t>Paniagua-Molina, Javier/0000-0003-2815-5437; Solorzano-Thompson, Johanna/0000-0002-0276-6849; Barboza Navarro, David/0000-0002-5444-3814</t>
  </si>
  <si>
    <t>INST TECNOLOGICO COSTA RICA</t>
  </si>
  <si>
    <t>CARTAGO</t>
  </si>
  <si>
    <t>APDO 159, CARTAGO, 7050, COSTA RICA</t>
  </si>
  <si>
    <t>0379-3982</t>
  </si>
  <si>
    <t>2215-3241</t>
  </si>
  <si>
    <t>TECNOL MARCHA</t>
  </si>
  <si>
    <t>Tecnol. Marcha</t>
  </si>
  <si>
    <t>10.18845/tm.v36i2.6107</t>
  </si>
  <si>
    <t>SN1H5</t>
  </si>
  <si>
    <t>WOS:001235034900008</t>
  </si>
  <si>
    <t>Agyemang, AO; Twum, AK; Nyeadi, JD; Amoah, JO; Appau, AN</t>
  </si>
  <si>
    <t>Agyemang, Andrew Osei; Twum, Angelina Kissiwaa; Nyeadi, Joseph Dery; Amoah, Joseph Owusu; Appau, Anasford Nti</t>
  </si>
  <si>
    <t>The Role of Mobile Money Banking Service in Financial Development: Evidence from Ghana</t>
  </si>
  <si>
    <t>Financial Development; Financial Services; Mobile Money Services; Ghana</t>
  </si>
  <si>
    <t>PHONE PENETRATION; IMPACT; ADOPTION; INFLATION; INTENTION; STUDENTS</t>
  </si>
  <si>
    <t>Mobile money services have shown to be quite beneficial in enhancing and promoting the fundamental responsibilities of the banking sector by establishing and meeting the financial needs of the unbanked and making different financial instruments accessible. An increase in mobile money services is vital for economic success in the financial industry. Before mobile money services were introduced in Ghana, formal banking services had little access to individuals, particularly in rural communities. The study employed a quantitative research design using secondary data sources for the analysis. Monthly time series from 2012 to 2020 was used for the empirical analysis. The study utilized the Vector Error Correction Model (VECM) estimation technique to show the short-run and long-run relationship among the integrated variables. The results from the primary model for the long-run relationship revealed that the number of active mobile money account users has a positive and statistically significant relationship with the proportion of domestic credit to private sector (DCPS). Similarly, the number of active mobile money agents revealed a positive and significant relationship with DCPS. Also, a positive and significant relationship was found between the total volume of transactions and DCPS in Ghana. The findings add to existing literature and give policymakers a clue about improving mobile money services in Ghana.</t>
  </si>
  <si>
    <t>[Agyemang, Andrew Osei; Nyeadi, Joseph Dery; Amoah, Joseph Owusu] SDD Univ Business &amp; Integrated Dev Studies, Sch Business, Wa, Ghana; [Twum, Angelina Kissiwaa] Jiangsu Univ, Sch Finance Econ, Zhenjiang 212013, Peoples R China; [Appau, Anasford Nti] Kwame Nkrumah Univ Sci &amp; Technol, Econ Dept, Kumasi, Ghana</t>
  </si>
  <si>
    <t>Jiangsu University; Kwame Nkrumah University Science &amp; Technology</t>
  </si>
  <si>
    <t>Agyemang, AO (corresponding author), SDD Univ Business &amp; Integrated Dev Studies, Sch Business, Wa, Ghana.</t>
  </si>
  <si>
    <t>aagyemang@ubids.edu.gh</t>
  </si>
  <si>
    <t>Twum, Angelina/AAX-3740-2020; Agyemang, Andrew/N-3899-2018; Nyeadi, Joseph/AAW-2960-2021; Owusu Amoah, Joseph/AAB-8871-2022</t>
  </si>
  <si>
    <t>Owusu Amoah, Joseph/0000-0002-7031-1926</t>
  </si>
  <si>
    <t>O4WS4</t>
  </si>
  <si>
    <t>WOS:001043838900008</t>
  </si>
  <si>
    <t>Feng, W; Spohn, D; Qian, LF; Hassan, MK</t>
  </si>
  <si>
    <t>Feng, Wei; Spohn, David; Qian, Lianfen; Hassan, Mohammad Kabir</t>
  </si>
  <si>
    <t>Consumer financial anxiety during the COVID-19 pandemic</t>
  </si>
  <si>
    <t>Covid-19 pandemic; Financial anxiety; Financial Industry Regulatory Authority; (FINRA); Financial literacy; National Financial Capability Study (NFCS); PLS-SEM</t>
  </si>
  <si>
    <t>DEBT; HEALTH</t>
  </si>
  <si>
    <t>This paper examines the determinants of consumer financial anxiety using data from the 2021 National Financial Capability Study (NFCS), which covers the COVID-19 pandemic. Using an ordinal logistic regression, we control for demographic variables and demonstrate that negative events, such as job loss and income reduction, significantly increase financial anxiety, whereas having precautionary savings substantially reduces it. Then, we use a partial least squares structural equation model (PLS-SEM) to study the impacts of financial literacy and financial practices on anxiety. Our findings reveal that, whereas financial literacy has a modest direct effect, positive financial behaviors, such as saving and budgeting, play a significantly greater role in alleviating financial anxiety. The empirical lessons from the study and the analytical framework that we propose extend to postpandemic consumer financial well-being, with important implications for policy, education, and mental health interventions.</t>
  </si>
  <si>
    <t>[Feng, Wei] Barry Univ, D Inez Andreas Sch Business &amp; Publ Adm, Miami Shores, FL 33161 USA; [Spohn, David] Lynn Univ, Coll Business &amp; Management, Boca Raton, FL USA; [Qian, Lianfen] Univ Arizona, Dept Math, Tucson, AZ USA; [Hassan, Mohammad Kabir] Univ New Orleans, Henry Berstein Coll Business Adm, New Orleans, LA USA</t>
  </si>
  <si>
    <t>Barry University; University of Arizona; University of Louisiana System; University of New Orleans</t>
  </si>
  <si>
    <t>Feng, W (corresponding author), Barry Univ, D Inez Andreas Sch Business &amp; Publ Adm, Miami Shores, FL 33161 USA.</t>
  </si>
  <si>
    <t>wfeng@barry.edu; dspohn@lynn.edu; lqian01@arizona.edu; mhassan@uno.edu</t>
  </si>
  <si>
    <t>10.1016/j.bir.2025.08.008</t>
  </si>
  <si>
    <t>WOS:001637944900006</t>
  </si>
  <si>
    <t>Guzmán-Barquet, EA; Guevara-Sánchez, DE</t>
  </si>
  <si>
    <t>Guzman-Barquet, E. A.; Guevara-Sanchez, D. E.</t>
  </si>
  <si>
    <t>IMPACT OF ACCESS AND USE OF FORMAL FINANCIAL SERVICES IN THE DEVELOPMENT OF ENTREPRENEURSHIP IN RURAL ECUADOR</t>
  </si>
  <si>
    <t>POLISH JOURNAL OF MANAGEMENT STUDIES</t>
  </si>
  <si>
    <t>Financial access; correspondent banking; transaction costs; entrepreneurship; rural finance</t>
  </si>
  <si>
    <t>ECONOMIC-GROWTH; BANKING; BARRIERS; MATTER</t>
  </si>
  <si>
    <t>This study aimed to determine the impact of access and use of formal financial services through correspondent banking on the development of entrepreneurship in the rural sector of Ecuador. The qualitative case study methodological strategy was used in this research. Eighteen rural communities on the Coast and Highlands of Ecuador were studied. Through an inductive analysis in Atlas.ti 9, the relationships between the concepts identified in the interviews and the researchers' files were structured, and the results were compared with the theoretical assumptions specified in the literature. In order to determine the impact of correspondent banking in the communities studied, the theoretical assumptions of transaction costs were used as a frame of reference. The presence of the correspondent in the communities has eliminated non-financial transaction costs by reducing the physical distance between the user and the distributor of financial services. The non-payment of non-financial transaction costs positively affected the generation of savings; moreover, the presence of the correspondent allowed the inhabitants to open savings accounts, which are used for personal and business transactions. Many businesses started their activities after incorporating the correspondent due to the concentration of potential clients of local businesses. Also, business growth after the correspondent is generated from time and money savings. The novelty of the study focuses on empirically showing that in rural contexts, the mere fact of providing formal financial services in the community-through the correspondent banking channel-(without having credit) allows the growth of the enterprise through savings transaction costs.</t>
  </si>
  <si>
    <t>[Guzman-Barquet, E. A.; Guevara-Sanchez, D. E.] Pontificia Univ Catolica Peru, Ctr Catol Grad Business Sch, Lima, Peru</t>
  </si>
  <si>
    <t>Pontificia Universidad Catolica del Peru</t>
  </si>
  <si>
    <t>Guevara-Sánchez, DE (corresponding author), Pontificia Univ Catolica Peru, Ctr Catol Grad Business Sch, Lima, Peru.</t>
  </si>
  <si>
    <t>eduardo.guzman@pucp.pe; dguevaras@pucp.pe</t>
  </si>
  <si>
    <t>; Guevara, Daniel/AAV-4000-2021; Guevara, Daniel/AAV-4000-2021</t>
  </si>
  <si>
    <t>Guzmán Barquet, Eduardo Andrés/0000-0001-8606-3579; Guevara, Daniel/0000-0002-6374-8062;</t>
  </si>
  <si>
    <t>CZESTOCHOWA UNIV TECHNOLOGY</t>
  </si>
  <si>
    <t>CZESTOCHOWA</t>
  </si>
  <si>
    <t>FAC MANAGEMENT, UL ARMII KRAJOWEJ 19B, CZESTOCHOWA, 42-201, POLAND</t>
  </si>
  <si>
    <t>2081-7452</t>
  </si>
  <si>
    <t>POL J MANAG STUD</t>
  </si>
  <si>
    <t>Pol. J. Manag. Stud.</t>
  </si>
  <si>
    <t>10.17512/pjms.2023.27.2.08</t>
  </si>
  <si>
    <t>L2GR7</t>
  </si>
  <si>
    <t>WOS:001021498600008</t>
  </si>
  <si>
    <t>Investigating the well-being implications of mobile money access and usage from a multidimensional perspective</t>
  </si>
  <si>
    <t>financial inclusion; mobile money; well-being</t>
  </si>
  <si>
    <t>FINANCIAL INCLUSION; SERVICES; WELFARE; HEALTH; KENYA</t>
  </si>
  <si>
    <t>Using household survey data gleaned from Ghana, we carried out a microeconometric analysis of the relationship between mobile money (m-money) and multidimensional well-being. A key feature of this paper is the computation of a well-being index, incorporating important household welfare dimensions including health, education, and wealth, thus allowing an examination of the link between m-money and well-being from a multidimensional perspective. Using instrumental variable probit models with phone ownership and public sector employment as instruments, we find that although access to m-money is important it is its usage that has a profound well-being effect. We also explore alternative specifications of the models in which access to, and usage of, m-money explains the variations in the individual well-being components, which also relate to the Sustainable Development Goals. The results from these alternative specifications suggest that there are significant welfare disparities between those who just have access to m-money and those who use it frequently. The policy implication of this finding is that measures that encourage m-money usage would not only promote financial inclusion but also lead to improvement in welfare outcomes and living standards, especially in rural households.</t>
  </si>
  <si>
    <t>[Sakyi-Nyarko, Carlos; Ahmad, Ahmad Hassan; Green, Christopher J.] Loughborough Univ, Sch Business &amp; Econ, Econ Dept, Loughborough, Leics, England</t>
  </si>
  <si>
    <t>Sakyi-Nyarko, C (corresponding author), Loughborough Univ, Sch Business &amp; Econ, Loughborough LE11 3TU, Leics, England.</t>
  </si>
  <si>
    <t>c.sakyi-nyarko@lboro.ac.uk</t>
  </si>
  <si>
    <t>Loughborough University Graduate School Studentships, Ghana Education Trust Fund; Economic and Social Research Council; UK's Foreign, Commonwealth and Development Office as part of the DFID-ESRC Growth Research Programme [ES/N013344/1]</t>
  </si>
  <si>
    <t>Loughborough University Graduate School Studentships, Ghana Education Trust Fund; Economic and Social Research Council(UK Research &amp; Innovation (UKRI)Economic &amp; Social Research Council (ESRC)); UK's Foreign, Commonwealth and Development Office as part of the DFID-ESRC Growth Research Programme</t>
  </si>
  <si>
    <t>This research is funded by Loughborough University Graduate School Studentships, Ghana Education Trust Fund, and a grant by the Economic and Social Research Council and the UK's Foreign, Commonwealth and Development Office as part of the DFID-ESRC Growth Research Programme Call 3, under grant number ES/N013344/1: Delivering Inclusive Financial Development and Growth</t>
  </si>
  <si>
    <t>10.1111/rode.12848</t>
  </si>
  <si>
    <t>0N1WK</t>
  </si>
  <si>
    <t>WOS:000726948400001</t>
  </si>
  <si>
    <t>Gignac, GE; Ooi, E</t>
  </si>
  <si>
    <t>Gignac, Gilles E.; Ooi, Elizabeth</t>
  </si>
  <si>
    <t>Measurement error in research on financial literacy: How much error is there and how does it influence effect size estimates?</t>
  </si>
  <si>
    <t>effect size; financial capability; financial literacy; reliability</t>
  </si>
  <si>
    <t>CLASSICAL TEST THEORY; COEFFICIENT ALPHA; SAMPLE-SIZE; RELIABILITY; KNOWLEDGE; EDUCATION; SCALE; ATTENUATION; VARIABLES; FORMULAS</t>
  </si>
  <si>
    <t>Financial literacy is often measured with only three to five questions, suggesting challenges with achieving respectable levels of internal consistency reliability. Based on our review, we found financial literacy tests composed of three and five test questions yielded mean reliability estimates of 0.40 (k = 7; N = 167,075) and 0.54 (k = 8; N = 57,937), respectively: values less than minimally acceptable for even exploratory research. Based on our more comprehensive review of 52 samples and a variety of financial literacy tests (3-45 questions), researchers are recommended to measure financial literacy with a minimum of 13-15 questions. Finally, we conclude that the potential impact of financial literacy on various outcome variables has been underestimated substantially in many previous investigations, as the relatively low levels of internal consistency reliability in the financial literacy test scores attenuated the obtained effects estimated from the observed scores.</t>
  </si>
  <si>
    <t>[Gignac, Gilles E.] Univ Western Australia, Sch Psychol Sci, 35 Stirling Highway, Nedlands, WA 6009, Australia; [Ooi, Elizabeth] Univ Western Australia, Business Sch, Perth, Australia</t>
  </si>
  <si>
    <t>University of Western Australia; University of Western Australia</t>
  </si>
  <si>
    <t>Gignac, GE (corresponding author), Univ Western Australia, Sch Psychol Sci, 35 Stirling Highway, Nedlands, WA 6009, Australia.</t>
  </si>
  <si>
    <t>gilles.gignac@uwa.edu.au</t>
  </si>
  <si>
    <t>Gignac, Gilles/0000-0002-4900-6855; Ooi, Elizabeth/0000-0002-0868-4561</t>
  </si>
  <si>
    <t>10.1111/joca.12417</t>
  </si>
  <si>
    <t>2H3OP</t>
  </si>
  <si>
    <t>WOS:000707359100001</t>
  </si>
  <si>
    <t>Buckland, J; Frimpong, J; Nur, W; Simpson, W</t>
  </si>
  <si>
    <t>Buckland, Jerry; Frimpong, Jennifer; Nur, Wendy; Simpson, Wayne</t>
  </si>
  <si>
    <t>Financial capability of people with low income: Results from the Canadian financial diaries</t>
  </si>
  <si>
    <t>POVERTY &amp; PUBLIC POLICY</t>
  </si>
  <si>
    <t>financial capability; finandial diaries; poverty</t>
  </si>
  <si>
    <t>Household income, assets, and socioeconomic context influence people's financial behavior and their financial literacy. This study uses a mixed methods financial diaries to understand the strengths and weaknesses of the finances of 28 Canadians with low income. Contrary to results from national surveys on financial literacy, we found that these low- and modest- to middle-income participants were careful with their finances by doing things such as paying of one's credit card immediately, deliberately focusing on needs, and tracking one's finances. There were cases of decisions that seemed to harm the participants longer-term financial wellbeing but, in many cases, barriers in banking, the labor market, and government support programs prevented a better choice.</t>
  </si>
  <si>
    <t>[Buckland, Jerry] Canadian Mennonite Univ, Redekop Sch Business, Winnipeg, MB, Canada; [Frimpong, Jennifer; Simpson, Wayne] Univ Manitoba, Dept Econ, Winnipeg, MB, Canada; [Nur, Wendy] Canadian Mennonite Univ, Canadian Financial Diaries Res Project, Winnipeg, MB, Canada</t>
  </si>
  <si>
    <t>University of Manitoba</t>
  </si>
  <si>
    <t>Buckland, J (corresponding author), Canadian Mennonite Univ, Redekop Sch Business, Winnipeg, MB, Canada.</t>
  </si>
  <si>
    <t>We gratefully acknowledge funding from the Social Sciences and Humanities Research Council (435-2017-0032). We are extremely grateful to the diarists and researchers involved with phase one in the Canadian Financial Diaries research project.</t>
  </si>
  <si>
    <t>1944-2858</t>
  </si>
  <si>
    <t>POVERTY PUBLIC POLIC</t>
  </si>
  <si>
    <t>Poverty Public Policy</t>
  </si>
  <si>
    <t>10.1002/pop4.394</t>
  </si>
  <si>
    <t>LP9J4</t>
  </si>
  <si>
    <t>WOS:001172920500001</t>
  </si>
  <si>
    <t>Rahman, MM; Sadik, N</t>
  </si>
  <si>
    <t>Rahman, Md. Mominur; Sadik, Nafis</t>
  </si>
  <si>
    <t>Nexus of digital financial service adoption, decent work and environmental sustainability: results from SEM-NCA approaches</t>
  </si>
  <si>
    <t>Environmental sustainability; Decent work; Access to capital; Financial literacy; Digital payment usage</t>
  </si>
  <si>
    <t>BEHAVIORS</t>
  </si>
  <si>
    <t>With growing global attention on sustainability, financial inclusion, and decent work, there remains a gap in understanding how financial literacy, access to capital, and digital payment usage impact both decent work and environmental sustainability, particularly in the context of developing economies. Existing research also overlooks the mediating role of decent work in bridging these factors with environmental sustainability. A sample of 384 valid responses was collected using convenience sampling from digital financial service users and providers. The data were analyzed using PLS-SEM to examine the direct and indirect relationships between the variables, and NCA was employed to assess the robustness and necessity of these factors in achieving decent work and environmental sustainability. The results show that financial literacy, access to capital, and digital payment usage positively affect both decent work and environmental sustainability. Moreover, decent work mediates the relationship between these financial inclusion factors and environmental sustainability, demonstrating its crucial role in achieving sustainable outcomes. The study contributes to the theoretical literature by integrating Capability Approach, Institutional Theory, and Stakeholder Theory to explain how financial inclusion and decent work contribute to environmental sustainability. This multi-theory framework enhances the understanding of the mechanisms through which financial inclusion influences sustainable development. This study adds value to the literature by extending financial inclusion research on decent work, environmental sustainability, and introducing mediating role of decent work in these relationships. The findings of this study provide valuable insights for policymakers to design inclusive financial strategies that promote decent work and foster environmental sustainability, contributing to broader development goals.</t>
  </si>
  <si>
    <t>[Rahman, Md. Mominur; Sadik, Nafis] Bangladesh Inst Governance &amp; Management BIGM, Dhaka, Bangladesh</t>
  </si>
  <si>
    <t>Rahman, MM (corresponding author), Bangladesh Inst Governance &amp; Management BIGM, Dhaka, Bangladesh.</t>
  </si>
  <si>
    <t>mominurcou@gmail.com; nafis.sadik@bigm.edu.bd</t>
  </si>
  <si>
    <t>; Rahman, Md. Mominur/AAL-5255-2021</t>
  </si>
  <si>
    <t>, Nafis Sadik/0009-0008-0510-0461;</t>
  </si>
  <si>
    <t>Bangladesh Institute of Governance and Management</t>
  </si>
  <si>
    <t>This research received financial support from Bangladesh Institute of Governance and Management Grant numbers: [BIGM/Re &amp; Pub/Digital Finance/01-02-2024].</t>
  </si>
  <si>
    <t>10.1007/s43621-025-00972-w</t>
  </si>
  <si>
    <t>0CV9S</t>
  </si>
  <si>
    <t>WOS:001444343700001</t>
  </si>
  <si>
    <t>Fang, W; Farooq, U; Liu, Z; Lan, J; Iram, R</t>
  </si>
  <si>
    <t>Fang, Wei; Farooq, Umar; Liu, Zhen; Lan, Jing; Iram, Robina</t>
  </si>
  <si>
    <t>Measuring energy efficiency financing: a way forward for reducing energy poverty through financial inclusion in OECD</t>
  </si>
  <si>
    <t>Financial development; Financial inclusion; Poverty alleviation; Inclusive growth; Econometric estimation; OECD</t>
  </si>
  <si>
    <t>ECONOMIC-GROWTH; DEEP-DECARBONIZATION; CLIMATE-CHANGE; PANEL-DATA; CONSUMPTION; OPTIMIZATION; PERFORMANCE; TECHNOLOGY; INVESTMENT; INNOVATION</t>
  </si>
  <si>
    <t>This paper seeks to examine the effect of financial inclusion on energy efficiency financing to limit energy poverty in OECD. The study uses 1998-2018 for the OECD economy to connect the nexus between financial inclusion, energy efficiency and poverty indices, country-wise GDP, and financial inclusion index. The findings show that a financial inclusion 1% increase improves 14% energy efficiency, and this energy efficiency lowers energy poverty by 28%. These results are deduced via the entropy technique and compatible with prior research on energy efficiency and poverty. This study illustrates the different policy changes that may be implemented based on the resultant deductions. The energy efficiency indices are affected by FI substantially, albeit in various ways. Unsustainable financial inclusion increases energy costs, but not to the level of energy use and environmental severe pollution. The increasing concern about environmental contamination should show in the energy industry of OECD.</t>
  </si>
  <si>
    <t>[Fang, Wei] Guangdong Acad Agr Sci, Inst Agr Econ &amp; Informat, Guangzhou 510640, Peoples R China; [Farooq, Umar] Namal Univ Mianwali, Dept Business Studies, Mianwali 42250, Pakistan; [Liu, Zhen] Nanjing Normal Univ, Sch Business, 1 Wenyuan Rd, Nanjing 210023, Peoples R China; [Lan, Jing] Nanjing Agr Univ, Coll Publ Adm, 1 Weigang, Nanjing 210095, Peoples R China; [Iram, Robina] Jiangsu Univ, Sch Finance &amp; Econ, Zhenjiang, Jiangsu, Peoples R China</t>
  </si>
  <si>
    <t>Guangdong Academy of Agricultural Sciences; Nanjing Normal University; Nanjing Agricultural University; Jiangsu University</t>
  </si>
  <si>
    <t>Liu, Z (corresponding author), Nanjing Normal Univ, Sch Business, 1 Wenyuan Rd, Nanjing 210023, Peoples R China.</t>
  </si>
  <si>
    <t>zhenliiu_cn@yahoo.com</t>
  </si>
  <si>
    <t>Farooq, Umar/JFA-0090-2023</t>
  </si>
  <si>
    <t>Guangdong Provincial Natural Science Foundation Project Research on Grain Production Spatial Differentiation, Dynamic Evolution, and Unbalanced Production Potential in Guangdong Province [2020A151501912]; Guangdong Provincial Philosophy and Social Science Foundation Project Research on the Evolution, Driving Factors, and Security of the County-Level Grain Production [GD19CYJ03]; Agriculture Industrial Economy and Urban Agriculture Team [202124TD]; Pioneer of Youths Course Project [R2020PY-JX015]</t>
  </si>
  <si>
    <t>Guangdong Provincial Natural Science Foundation Project Research on Grain Production Spatial Differentiation, Dynamic Evolution, and Unbalanced Production Potential in Guangdong Province; Guangdong Provincial Philosophy and Social Science Foundation Project Research on the Evolution, Driving Factors, and Security of the County-Level Grain Production; Agriculture Industrial Economy and Urban Agriculture Team; Pioneer of Youths Course Project</t>
  </si>
  <si>
    <t>This paper is funded by the Guangdong Provincial Natural Science Foundation Project Research on Grain Production Spatial Differentiation, Dynamic Evolution, and Unbalanced Production Potential in Guangdong Province (2020A151501912); Guangdong Provincial Philosophy and Social Science Foundation Project Research on the Evolution, Driving Factors, and Security of the County-Level Grain Production (GD19CYJ03); and Agriculture Industrial Economy and Urban Agriculture Team (202124TD); Pioneer of Youths Course Project (R2020PY-JX015).</t>
  </si>
  <si>
    <t>10.1007/s11356-022-20139-8</t>
  </si>
  <si>
    <t>4X4YL</t>
  </si>
  <si>
    <t>WOS:000801072300018</t>
  </si>
  <si>
    <t>Chandel, M; Arora, M</t>
  </si>
  <si>
    <t>Chandel, Monika; Arora, Manpreet</t>
  </si>
  <si>
    <t>Achieving the Sustainable Development Goals through Financial Inclusion: A Bibliometric and Content Analysis</t>
  </si>
  <si>
    <t>TOURISM &amp; MANAGEMENT STUDIES</t>
  </si>
  <si>
    <t>Financial inclusion; microfinance; green finance; women empowerment; Sustainable Development Goals; R-studio</t>
  </si>
  <si>
    <t>ECONOMIC-GROWTH; MICROFINANCE; TOURISM; IMPACT; WOMEN</t>
  </si>
  <si>
    <t>This article presents a bibliometric study that explores the connections between the literature on achieving Sustainable Development Goals (SDGs) through financial inclusion using a relational approach. The findings highlight key publication trends, the most prolific countries, leading contributors, highly cited articles, and the most impactful journals in this field. Additionally, content analysis reveals four emerging areas of research: financial technology and SDGs, social capital, microfinance and women empowerment, and green finance. Based on these insights, the study recommends that managers prioritise adopting digital technologies to foster financial inclusion, build robust networks to enhance resilience, empower women through tailored financial products, and integrate the Sustainable Agenda 2030 into financial strategies. Organisations can promote inclusion, resilience, and sustainable growth by aligning with these evolving research domains while advancing the SDGs. The results aim to inspire and guide management and economic researchers toward achieving the SDGs and serve as a foundation for realising Agenda 2030 objectives.</t>
  </si>
  <si>
    <t>[Chandel, Monika; Arora, Manpreet] Cent Univ Himachal Pradesh CUHP, Sch Commerce &amp; Management Studies SCMS, HPKVBS, Shahpur, India</t>
  </si>
  <si>
    <t>Central University of Himachal Pradesh</t>
  </si>
  <si>
    <t>Chandel, M (corresponding author), Cent Univ Himachal Pradesh CUHP, Sch Commerce &amp; Management Studies SCMS, HPKVBS, Shahpur, India.</t>
  </si>
  <si>
    <t>cuhp20rdmgmt08@hpcu.ac.in; arora.manpreet3@hpcu.ac.in</t>
  </si>
  <si>
    <t>ESCOLA SUPERIOR GESTAO HOTELARIA &amp; TURISMO, UNIV ALGARVE</t>
  </si>
  <si>
    <t>FARO</t>
  </si>
  <si>
    <t>CAMPUS PENHA, FARO, 8005-139, PORTUGAL</t>
  </si>
  <si>
    <t>2182-8458</t>
  </si>
  <si>
    <t>2182-8466</t>
  </si>
  <si>
    <t>TOUR MANAG STUD</t>
  </si>
  <si>
    <t>Tour. Manag. Stud.</t>
  </si>
  <si>
    <t>10.18089/tms.20250102</t>
  </si>
  <si>
    <t>R2V4X</t>
  </si>
  <si>
    <t>WOS:001390088500002</t>
  </si>
  <si>
    <t>Sharizan, S; Redzuan, NH; Rosman, R</t>
  </si>
  <si>
    <t>Sharizan, Salihah; Redzuan, Nur Harena; Rosman, Romzie</t>
  </si>
  <si>
    <t>Issues and Challenges of Financial Inclusion Among Low-Income Earners In Rural Areas of Malaysia</t>
  </si>
  <si>
    <t>Financial Inclusion; rural areas; poverty; Financial Institution; Malaysia</t>
  </si>
  <si>
    <t>Financial inclusion (FI) appears to be one of the main global agendas as it is an essential way of reducing poverty and increasing the economic growth of a country. FI is the provision of financial services to all segments of society in a more convenient, quality, and affordable way. In this study, the authors analyzed the issues and challenges faced from the two perspectives of the Financial Institutions (FIs) and the rural B40 group concerning the way of pursuing the exclusive of FI. Primary data was collected by conducting semi-structured interviews with four expert bankers from the Financial Institutions (FIs) in Kuala Rompin, Pahang, and two representatives from the B40 customers in the rural areas of Pekan, Pahang, Malaysia. Based on the findings, barriers faced by the supply sides of the FIs include 1) high risk of cost and security, 2) barriers in communication and lack of financial education, and 3) lack of proof documents. The other challenges are 1) competition with the conventional institutions, 2) default risk due to non-payment, and 3) internet connection problem. On the demand side, the issues and challenges found include 1) lack of confidence, 2) lack of proof documents, 3) misuse of capital, and 4) lack of financial literacy. Henceforth, the findings have significant implications for the Islamic banking and finance industry in exploring the current barriers faced in delivering financial inclusion to the lower segment of the society in Malaysia.</t>
  </si>
  <si>
    <t>[Sharizan, Salihah; Redzuan, Nur Harena; Rosman, Romzie] Int Islamic Univ Malaysia, Gombak, Selangor, Malaysia</t>
  </si>
  <si>
    <t>Sharizan, S (corresponding author), Int Islamic Univ Malaysia, Gombak, Selangor, Malaysia.</t>
  </si>
  <si>
    <t>solehahsharizan@gmail.com; nurharena@iium.edu.my; romzie@iium.edu.my</t>
  </si>
  <si>
    <t>Rosman, Romzie/IAO-3283-2023</t>
  </si>
  <si>
    <t>10.26414/A2376</t>
  </si>
  <si>
    <t>WOS:000662231400005</t>
  </si>
  <si>
    <t>Espiño, MA; López, SF; Ares, LR</t>
  </si>
  <si>
    <t>Espino, Marcos Alvarez; Lopez, Sara Fernandez; Ares, Lucia Rey</t>
  </si>
  <si>
    <t>Profile of financially fragile households: Comparative analysis of Galicia and Spain</t>
  </si>
  <si>
    <t>REVISTA GALEGA DE ECONOMIA</t>
  </si>
  <si>
    <t>Financial fragility; Financial literacy; Nonlinear principal components analysis; Geographical analysis; Galicia</t>
  </si>
  <si>
    <t>VULNERABILITY; LITERACY; EDUCATION</t>
  </si>
  <si>
    <t>The objective of this research is to determine the level of financial fragility experienced by Galician households, as well as to analyze whether the sociodemographic, economic and behavioural characteristics that they posess have any relation to this issue from a comparative perspective with respect to the other Autonomous Communities in Spain. Using the data from the first wave of the Survey of Financial Competences (abbreviated as ECF in Spanish), it has been observed that the percentage of those who are faced with medium or high financial fragility in Galicia is lower than in the rest of Spain. In addition, household income and one's financial capability are buffering factors of financial fragility (FF), both in Galicia and in the rest of Spain. The higher the level of education received, the lower the probability of suffering from a high level of individual self -perceived FF, while the opposite relationship seems to be true for those living with dependent children. These results, which are similar in both subsamples, do not hide notable differences; in comparison with Spain, the impact of financial capability is less relevant in Galicia, while financial inclusion is positively related to FF.</t>
  </si>
  <si>
    <t>[Espino, Marcos Alvarez; Ares, Lucia Rey] Univ Santiago Compostela, Santiago, Spain; [Lopez, Sara Fernandez] Univ Santiago Compostela, ECOBAS, Santiago, Spain</t>
  </si>
  <si>
    <t>Espiño, MA (corresponding author), Univ Santiago Compostela, Santiago, Spain.</t>
  </si>
  <si>
    <t>marcos.alvarez.espino@usc.es; sara.fernandez.lopez@usc.es; lucia.rey.ares@usc.es</t>
  </si>
  <si>
    <t>Rey-Ares, Lucia/AAA-1093-2020; Álvarez-Espiño, Marcos/HIR-6303-2022; Fernández-López, Sara/B-5573-2015</t>
  </si>
  <si>
    <t>1132-2799</t>
  </si>
  <si>
    <t>2255-5951</t>
  </si>
  <si>
    <t>REV GALEGA ECON</t>
  </si>
  <si>
    <t>Rev. Galega de Econ.</t>
  </si>
  <si>
    <t>10.15304/rge.32.1.8437</t>
  </si>
  <si>
    <t>Z1ZP4</t>
  </si>
  <si>
    <t>WOS:001110135000005</t>
  </si>
  <si>
    <t>Maity, S; Sarania, R</t>
  </si>
  <si>
    <t>Maity, Shrabanti; Sarania, Rahul</t>
  </si>
  <si>
    <t>Does microfinance alleviate poverty and inequality? Studying self-help groups in Bodoland, Assam</t>
  </si>
  <si>
    <t>Labour and livelihoods - Microfinance; Economics; Poverty reduction; Social sector; Governance and public policy; South Asia</t>
  </si>
  <si>
    <t>BANGLADESH; HOUSEHOLDS; IMPACT</t>
  </si>
  <si>
    <t>This article aims to assess the impact of microfinance through a government-sponsored SHG-bank linkage programme (SBLP) of the National Bank for Agriculture and Rural Development (NABARD) in India, on poverty alleviation, employment, and achievement of financial inclusion in the Bodoland area of Assam. Empirical results from an impact evaluation showed that the programme had a positive and statistically significant impact on the monthly income, employment days, and financial inclusion level of participants of the SHG programme, compared to a control group of non-participants.</t>
  </si>
  <si>
    <t>[Maity, Shrabanti] Assam Univ, Dept Econ, Silchar, India; [Sarania, Rahul] Radhamadhab Coll, Dept Econ, Silchar, Assam, India</t>
  </si>
  <si>
    <t>Assam University</t>
  </si>
  <si>
    <t>Maity, S (corresponding author), Assam Univ, Dept Econ, Silchar, India.</t>
  </si>
  <si>
    <t>MAITY, SHRABANTI/ABB-4733-2020</t>
  </si>
  <si>
    <t>10.1080/09614524.2017.1355353</t>
  </si>
  <si>
    <t>FK9CK</t>
  </si>
  <si>
    <t>WOS:000413808600010</t>
  </si>
  <si>
    <t>Dehingia, N; Singh, A; Raj, A; McDougal, L</t>
  </si>
  <si>
    <t>Dehingia, Nabamallika; Singh, Abhishek; Raj, Anita; McDougal, Lotus</t>
  </si>
  <si>
    <t>More than credit: Exploring associations between microcredit programs and maternal and reproductive health service utilization in India</t>
  </si>
  <si>
    <t>SSM-POPULATION HEALTH</t>
  </si>
  <si>
    <t>Microcredit program; Financial inclusion; India; Maternal health; Postpartum contraceptive</t>
  </si>
  <si>
    <t>WOMENS EMPOWERMENT; MICROFINANCE; POVERTY</t>
  </si>
  <si>
    <t>Microcredit programs are increasingly popular interventions aimed at enabling women's economic empowerment in low- and middle-income countries. Resultant improved income, and social support from co-members of microcredit programs, may lead to increased utilization of health services. But existing research is inconclusive. This study investigates the association of microcredit program awareness and participation, with maternal and postpartum reproductive health service utilization in India. We use data from a nationally representative survey, the National Family Health Survey (2015-16), and assess three indicators of maternal health service utilization: receipt of four or more antenatal check-ups, institutional delivery, and postnatal check-up among women who had a child less than 5 years of age (N = 32,880). Reproductive health service utilization is assessed via postpartum contraceptive use within 12 months of childbirth, among women who had a live birth in the 12-59 months preceding the survey (N = 24,258). We use binomial and multinomial logistic regression models to examine associations. Additionally, we use propensity score matching to account for self-selection bias. One-third of women are aware of microcredit programs in their community/village, but only 6% have ever taken a loan from these programs. Both microcredit program awareness and participation are associated with higher odds of antenatal care, postnatal check-ups, as well as use of a modern method of contraceptive within 12 months of childbirth, even after accounting for self-selection bias. Stratified analysis by household wealth show that significant associations seen in our primary analyses are significant only for the poorest women. Findings highlight the potential value of microcredit programs in improving health service utilization during and after pregnancy, particularly among poor women. Microcredit program benefits extend beyond their participants. Non-participants living close to the programs also have greater odds of maternal and reproductive health service utilization, suggesting a spillover effect of these programs at the community level.</t>
  </si>
  <si>
    <t>[Dehingia, Nabamallika; Raj, Anita; McDougal, Lotus] Univ Calif San Diego, Dept Med, Ctr Gender Equ &amp; Hlth, La Jolla, CA 92093 USA; [Dehingia, Nabamallika] Joint Doctoral Program San Diego State Univ Univ, San Diego, CA USA; [Singh, Abhishek] Int Inst Populat Sci, Dept Publ Hlth &amp; Mortal Studies, Mumbai, Maharashtra, India</t>
  </si>
  <si>
    <t>University of California System; University of California San Diego; International Institute for Population Sciences</t>
  </si>
  <si>
    <t>Dehingia, N (corresponding author), UCSD, Ctr Gender Equ &amp; Hlth, 9500 Gilman Dr 0507, La Jolla, CA 92093 USA.</t>
  </si>
  <si>
    <t>ndehingi@ucsd.edu</t>
  </si>
  <si>
    <t>Dehingia, Nabamallika/AAF-1639-2021; Singh, Abhishek/ABC-7813-2020; Raj, Anita/LZF-0090-2025</t>
  </si>
  <si>
    <t>Dehingia, Nabamallika/0000-0003-1787-9050; Raj, Anita/0000-0002-8127-5123</t>
  </si>
  <si>
    <t>Bill &amp; Melinda Gates Foundation [OPP1179208]; National Institutes of Health [R01HD084453-02]</t>
  </si>
  <si>
    <t>Bill &amp; Melinda Gates Foundation(Bill &amp; Melinda Gates FoundationBill &amp; Melinda Gates Foundation Grand Challenges Explorations InitiativeCGIAR); National Institutes of Health(United States Department of Health &amp; Human ServicesNational Institutes of Health (NIH) - USA)</t>
  </si>
  <si>
    <t>This study was supported by the Bill &amp; Melinda Gates Foundation [OPP1179208]; and National Institutes of Health [R01HD084453-02].</t>
  </si>
  <si>
    <t>2352-8273</t>
  </si>
  <si>
    <t>SSM-POPUL HLTH</t>
  </si>
  <si>
    <t>SSM-Popul. Health</t>
  </si>
  <si>
    <t>10.1016/j.ssmph.2019.100467</t>
  </si>
  <si>
    <t>JQ4CC</t>
  </si>
  <si>
    <t>WOS:000498893900027</t>
  </si>
  <si>
    <t>Kouandou, A</t>
  </si>
  <si>
    <t>Kouandou, Arouna</t>
  </si>
  <si>
    <t>Mobile Banking, Agricultural Productivity and Welfare: Household Panel Data Evidence From West Africa</t>
  </si>
  <si>
    <t>FIELD EXPERIMENTAL-EVIDENCE; TECHNOLOGY ADOPTION; MONEY; SAVINGS; CREDIT; ROSCAS</t>
  </si>
  <si>
    <t>Limited access to finance and savings is widely recognized as a major constraint to rural development in most sub-Saharan African countries. The transformative potential of digital finance for improving the livelihoods of the poor is a subject of growing interest among economists and development practitioners. This paper investigates the relationship between the use of mobile banking services, agricultural productivity, and household welfare using detailed micro-level panel data from Benin, C &amp; ocirc;te d'Ivoire, Guinea-Bissau, and Togo. Employing a comprehensive identification strategy, our findings indicate that mobile banking use significantly enhances both productivity and welfare outcomes for smallholder farmers. Specifically, mobile banking is associated with approximately 10% higher agricultural productivity, 4% higher per capita food consumption expenditure, and 12% higher per capita non-food consumption expenditure. These results underscore the importance of expanding access to mobile financial services as a lever for promoting rural development.</t>
  </si>
  <si>
    <t>[Kouandou, Arouna] Univ Bretagne Sud, IAE, Lab Econ &amp; Gest Ouest LEGO, Vannes, France</t>
  </si>
  <si>
    <t>Kouandou, A (corresponding author), Univ Bretagne Sud, IAE, Lab Econ &amp; Gest Ouest LEGO, Vannes, France.</t>
  </si>
  <si>
    <t>2025 SEP 18</t>
  </si>
  <si>
    <t>10.1111/rode.70056</t>
  </si>
  <si>
    <t>7LW3L</t>
  </si>
  <si>
    <t>WOS:001574112300001</t>
  </si>
  <si>
    <t>Rodima-Taylor, D; Grimes, WW</t>
  </si>
  <si>
    <t>Rodima-Taylor, Daivi; Grimes, William W.</t>
  </si>
  <si>
    <t>International remittance rails as infrastructures: embeddedness, innovation and financial access in developing economies</t>
  </si>
  <si>
    <t>Infrastructure; remittances; mobile money; assemblage; digital payments; innovation</t>
  </si>
  <si>
    <t>MOBILE MONEY; FRUGAL INNOVATION; INCLUSION; BRICOLAGE; POLITICS; LABOR</t>
  </si>
  <si>
    <t>Remittances to developing economies constitute one of their most important and consistent forms of capital inflow, but have long been limited by costs and risks associated with trans-border payments. New digital platforms lower these, with significant implications for financial inclusion and economic development. Constituting an important element of developing countries' engagement with international finance, remittances engender new opportunities for empowerment and vulnerability. This article analyzes recent developments in international remittances to developing countries through the lens of infrastructure. The infrastructural perspective reveals important junction points between diverse money transfer pathways and institutions, depicting their spatial configuration and relationality as well as their potential to affect power differentials, and allowing for a socially embedded view of digital disruption. Drawing on examples in Africa and Asia, we show that the new generation of remittance infrastructures are best understood as assemblages of multiple elements, conjoining monopolistic trunks that depend on local innovations to traverse the 'last mile' to reach end-users. The vibrancy and indispensability of local networks and innovation, along with competition among core platforms, allow for significant agency and economic opportunity even among communities beset by poverty.</t>
  </si>
  <si>
    <t>[Rodima-Taylor, Daivi] Boston Univ, African Studies Ctr, Boston, MA 02215 USA; [Grimes, William W.] Boston Univ, Int Relat, Boston, MA 02215 USA</t>
  </si>
  <si>
    <t>Boston University; Boston University</t>
  </si>
  <si>
    <t>Rodima-Taylor, D (corresponding author), Boston Univ, African Studies Ctr, Boston, MA 02215 USA.</t>
  </si>
  <si>
    <t>rodima@bu.edu</t>
  </si>
  <si>
    <t>Rodima-Taylor, Daivi/ADW-6733-2022</t>
  </si>
  <si>
    <t>10.1080/09692290.2019.1607766</t>
  </si>
  <si>
    <t>IY0CL</t>
  </si>
  <si>
    <t>WOS:000486058800004</t>
  </si>
  <si>
    <t>Ambrosius, C; Fritz, B; Stiegler, U</t>
  </si>
  <si>
    <t>Ambrosius, Christian; Fritz, Barbara; Stiegler, Ursula</t>
  </si>
  <si>
    <t>Remittances for Financial Access: Lessons from Latin American Microfinance</t>
  </si>
  <si>
    <t>Remittances; financial access; microfinance; governance</t>
  </si>
  <si>
    <t>INTERNATIONAL MIGRATION; POVERTY REDUCTION; INEQUALITY; COUNTRIES; INSURANCE; MARKETS; SHOCKS</t>
  </si>
  <si>
    <t>The potential of migrant remittances to foster access to financial services for low-income households has been largely unexplored. Comparing three Latin American countries - the Dominican Republic, El Salvador and Mexico - this inter-disciplinary study links research on remittances and microfinance with multi-actor governance approaches. While the context of high remittance-dependence provides similar challenges in all cases, it finds remarkable variety both in the structure of the remittances market and the actors involved in microfinance and in the role governments play. It explains the diverging success of MFIs in remittance markets by pointing to the interplay of for-profit, non-profit and state actors embedded within the specific market structures of each country.</t>
  </si>
  <si>
    <t>[Ambrosius, Christian; Fritz, Barbara; Stiegler, Ursula] Free Univ Berlin, Inst Latin Amer Studies, Berlin, Germany</t>
  </si>
  <si>
    <t>Free University of Berlin</t>
  </si>
  <si>
    <t>Ambrosius, C (corresponding author), Free Univ Berlin, Inst Latin Amer Studies, Berlin, Germany.</t>
  </si>
  <si>
    <t>ursula.stiegler@fu-berlin.de</t>
  </si>
  <si>
    <t>Ambrosius, Christian/0000-0003-2082-6822</t>
  </si>
  <si>
    <t>10.1111/dpr.12087</t>
  </si>
  <si>
    <t>AQ4HV</t>
  </si>
  <si>
    <t>WOS:000342755600005</t>
  </si>
  <si>
    <t>Arora, J; Chakraborty, M</t>
  </si>
  <si>
    <t>Arora, Jagriti; Chakraborty, Madhumita</t>
  </si>
  <si>
    <t>Role of financial literacy in investment choices of financial consumers: an insight from India</t>
  </si>
  <si>
    <t>Financial literacy; Sociodemographic variables; Investment choices; Stock market participation</t>
  </si>
  <si>
    <t>PORTFOLIO CHOICE; SAVINGS; BEHAVIOR; GENDER; WOMEN</t>
  </si>
  <si>
    <t>Purpose - The study aims to address two objectives. First, to examine the socioeconomic and demographic factors contributing to financial literacy and second, to analyze if financial literacy affects investment choices.Design/methodology/approach - The study uses financial inclusion insights (FII) survey data conducted by Intermedia, comprising 47,132 individuals in India. Further, instrument variable estimation has been used to analyze the relationship between financial literacy and individuals' investment choices.Findings- The study finds that differences in financial literacy level can be attributed to various socioeconomic/demographic factors like age, gender, education levels, income, location of residence, sources of information, etc. Econometric analyses indicate that financial literacy influences investment decisions, mainly in businesses and traditional assets such as gold, property, etc.Originality/value - The study contributes to the growing literature on financial literacy in the context of developing countries like India and highlights the role of financial literacy in how individuals make investment choices. Using a novel instrument, i.e. participation in the stock market by family or peers for advanced financial literacy, the results provide evidence that advanced financial literacy among individuals increases the probability of their stock market participation.</t>
  </si>
  <si>
    <t>[Arora, Jagriti] Great Lakes Inst Management, Gurgaon, India; [Chakraborty, Madhumita] Indian Inst Management, Lucknow, India</t>
  </si>
  <si>
    <t>Indian Institute of Management (IIM System); Indian Institute of Management Lucknow</t>
  </si>
  <si>
    <t>Arora, J (corresponding author), Great Lakes Inst Management, Gurgaon, India.</t>
  </si>
  <si>
    <t>jagriti.a@greatlakes.edu.in</t>
  </si>
  <si>
    <t>Arora, Jagriti/0000-0003-1852-6222</t>
  </si>
  <si>
    <t>FEB 27</t>
  </si>
  <si>
    <t>10.1108/IJSE-12-2021-0764</t>
  </si>
  <si>
    <t>9G6LP</t>
  </si>
  <si>
    <t>WOS:000884492700001</t>
  </si>
  <si>
    <t>Juwita, R; Kusumah, AD; Aqila, TS; Tsabitah, H; Syauqi, MF</t>
  </si>
  <si>
    <t>Juwita, Ratna; Kusumah, Adam Darma; Aqila, Tiara Syaharani; Tsabitah, Hanan; Syauqi, Muhammad Farhan</t>
  </si>
  <si>
    <t>The Intention to Use Mobile Banking as a Financial Technology Service among Islamic Bank Users</t>
  </si>
  <si>
    <t>INDONESIAN CAPITAL MARKET REVIEW</t>
  </si>
  <si>
    <t>mobile banking; financial technology; Islamic banking; intention; theory of planned behavior</t>
  </si>
  <si>
    <t>The development of Financial Technology (FinTech) in Islamic banks has not brought increasing users. Therefore, it is necessary to determine which factors influence intention to use FinTech from the demand side or the customers' side. For this study, we chose mobile banking as our research object, considering that the largest digital transactions in Islamic banks come from mobile banking. Mobile banking also provides banks various benefits to banks such as increased long-term profitability, customer loyalty, and financial inclusion. The objective of this study is to observe the determinant factor by using the theory of planned behavior (TPB) and its extensions, specifically attitude awareness, knowledge, and subjective norms that influence the intention to use mobile banking. This study gathers data regarding respondents from various generations, especially generations X, Z, and millennials. The results suggest that attitude and knowledge statistically have a positive effect, while awareness and subjective norms do not have a significant effect on intention to use mobile banking services among Islamic bank users. Islamic banks should better educate their consumers and focus on which factors inspire a positive attitude toward their customers to boost the adoption of mobile banking.</t>
  </si>
  <si>
    <t>[Juwita, Ratna] Politekn Negeri Jakarta, Jurusan Akuntansi, Depok, Indonesia; [Juwita, Ratna; Kusumah, Adam Darma; Aqila, Tiara Syaharani; Tsabitah, Hanan; Syauqi, Muhammad Farhan] Univ Indonesia, Fac Econ &amp; Business, Depok, Indonesia</t>
  </si>
  <si>
    <t>Jakarta State Polytechnic; University of Indonesia</t>
  </si>
  <si>
    <t>Juwita, R (corresponding author), Politekn Negeri Jakarta, Jurusan Akuntansi, Depok, Indonesia.;Juwita, R (corresponding author), Univ Indonesia, Fac Econ &amp; Business, Depok, Indonesia.</t>
  </si>
  <si>
    <t>ratna.juwita@akuntansi.pnj.ac.id</t>
  </si>
  <si>
    <t>Juwita, Ratna/HMP-4289-2023</t>
  </si>
  <si>
    <t>Juwita, Ratna/0000-0002-0052-4512</t>
  </si>
  <si>
    <t>UNIV INDONESIA</t>
  </si>
  <si>
    <t>DEPOK</t>
  </si>
  <si>
    <t>DIRECTORATE RESEARCH &amp; PUBLIC SERV, UI CAMPUS, KAMOUS UNIV INDONESIA, DEPOK, 16424, INDONESIA</t>
  </si>
  <si>
    <t>1979-8997</t>
  </si>
  <si>
    <t>2356-3818</t>
  </si>
  <si>
    <t>INDONES CAP MARK REV</t>
  </si>
  <si>
    <t>Indones. Cap. Mark. Rev.</t>
  </si>
  <si>
    <t>10.21002/icmr.v15i1.1166</t>
  </si>
  <si>
    <t>W4EL6</t>
  </si>
  <si>
    <t>WOS:001091172600002</t>
  </si>
  <si>
    <t>Marketisation as financialisation in the making? The construction of remittance markets in Senegal</t>
  </si>
  <si>
    <t>Financialisation; Marketisation; Remittances; Financial inclusion; Senegal</t>
  </si>
  <si>
    <t>MIGRATION; FINANCIALIZATION; MARKETIZATION; ACCUMULATION; GEOGRAPHIES; MIGRANTS; FINANCE; CIRCULATION; CRISIS; MONEY</t>
  </si>
  <si>
    <t>This article traces the emergence of the 'remittance-financial inclusion nexus' to examine how a broad coalition of institutional, commercial and financial actors use remittances as a key entry point to integrate the 'unbanked' and 'underbanked' into global finance. Previous studies of the 'financialisation of remittances' have proved vital in deconstructing the assumptions behind, and shedding light on, the negative impacts of initiatives that aim to construct and expand financial markets on the back of remittances. However, little is said about the intricate and grounded operations that are required for such financialising projects to materialise, leaving finance and the concrete formation of remittance markets black-boxed. Drawing upon the work of scholars that have recently taken up the task of bringing the scholarship on the international political economy of global finance and financialisation and the work on finance and market formation inspired by science and technology studies into a productive dialogue, this article analyses not only how the construction of remittance markets sustain processes of capital accumulation, but also how these are made possible and experienced in practice. To do so, it posits the geographies of remittance marketisation as an analytical framework, which allows for an exploration of the construction, stabilisation and expansion of remittance markets not as natural but contested and contingent projects that require constant renegotiations. Drawing upon research undertaken in Dakar and Thies in Senegal, the article shows that building markets that enable remittance money transfers to be tapped into by state and private sector actors requires extensive financial, material, technological, legal and discursive constructions and, importantly, behavioural engineering.</t>
  </si>
  <si>
    <t>[Guermond, Vincent] Royal Holloway Univ London, London, England</t>
  </si>
  <si>
    <t>Guermond, V (corresponding author), Royal Holloway Univ London, London, England.</t>
  </si>
  <si>
    <t>Queen Mary University of London Principal's Postgraduate Research Studentship; Gilchrist Educational Trust</t>
  </si>
  <si>
    <t>This work was supported by the Queen Mary University of London Principal's Postgraduate Research Studentship and by the generous funding of the Gilchrist Educational Trust. Thanks are due to Kavita Datta, Al James, Rahel Kunz, Araby Smyth, Julia Maisenbacher, Lekh Nath Paudel, Gisela P. Zapata, Brenda Ramirez, Roseline Misati and Yannick Perticone for comments on earlier versions of this article. I would furthermore like to thank Fatou Diop, Julie Ciss ' e, Gora Ndiaye and Abou Ly for their support, as well as all the other people in Senegal who contributed their time and knowledge to this project. All errors remain mine.</t>
  </si>
  <si>
    <t>10.1016/j.geoforum.2020.10.009</t>
  </si>
  <si>
    <t>OW5FL</t>
  </si>
  <si>
    <t>WOS:000592912200025</t>
  </si>
  <si>
    <t>Jima, MD; Makoni, PL</t>
  </si>
  <si>
    <t>Jima, Meshesha Demie; Makoni, Patricia Lindelwa</t>
  </si>
  <si>
    <t>Determinants of Sustainable Financial Inclusion in Sub-Saharan Africa: A System GMM Approach</t>
  </si>
  <si>
    <t>financial inclusion; Sub-Saharan Africa; principal component analysis; boot-strap-based bias correction (BBBC); system GMM</t>
  </si>
  <si>
    <t>PANEL-DATA; DYNAMIC-MODELS; INCOME; INTERMEDIATION; INSTITUTIONS; ESTIMATOR; GROWTH; IMPACT; BIAS</t>
  </si>
  <si>
    <t>There is no consensus on the key drivers of financial inclusion due to variation in the socio- economic features of countries, use of indicators and research methods. The main objective of this study is, therefore, to empirically examine the key drivers of financial inclusion across 26 selected Sub-Saharan African (SSA) economies for the period between 2000 and 2019, using a system generalized method of moments (GMM). A principal component analysis (PCA) is applied to construct a composite index of financial inclusion to address the multi-dimensional nature of the variable. The findings of the study indicate that both the macroeconomic and microeconomic factors influence the level of financial inclusion of the SSA countries. Specifically, the lag effect, economic growth, financial stability, inflation, financial deepening, liquidity, profitability, and bank efficiency are important drivers of financial inclusion in the SSA region. It is therefore important for policy makers and regulators to consider these factors while developing policies and strategies that foster access to financial products and services and ensure financial inclusion in the region.</t>
  </si>
  <si>
    <t>[Jima, Meshesha Demie; Makoni, Patricia Lindelwa] Univ South Africa, Dept Finance Risk Management &amp; Banking, Pretoria, South Africa</t>
  </si>
  <si>
    <t>Jima, MD (corresponding author), Univ South Africa, Dept Finance Risk Management &amp; Banking, Pretoria, South Africa.</t>
  </si>
  <si>
    <t>jdmeshie@gmail.com; makonpl@unisa.ac.za</t>
  </si>
  <si>
    <t>Makoni, Patricia Lindelwa/F-7354-2012; Jima, Meshesha Demie/JZT-2063-2024</t>
  </si>
  <si>
    <t>Makoni, Patricia Lindelwa/0000-0002-9038-1411; Jima, Meshesha Demie/0000-0003-3621-3027</t>
  </si>
  <si>
    <t>University of South Africa (UNISA)</t>
  </si>
  <si>
    <t>The authors would like to acknowledge the University of South Africa (UNISA) for the financial assistance.</t>
  </si>
  <si>
    <t>10.18267/j.pep.845</t>
  </si>
  <si>
    <t>CZ3L2</t>
  </si>
  <si>
    <t>WOS:001129012400002</t>
  </si>
  <si>
    <t>Li, AH</t>
  </si>
  <si>
    <t>Li, Aihong</t>
  </si>
  <si>
    <t>Stratified financial inclusion in China based on hukou and its interaction with city and province development</t>
  </si>
  <si>
    <t>Financial inclusion; migration; rural discrimination; non-native discrimination; economic development</t>
  </si>
  <si>
    <t>RURAL MIGRANTS; CITIZENSHIP; DECENTRALIZATION; INEQUALITY; EXCLUSION; SYSTEM; IMPACT; FIRMS</t>
  </si>
  <si>
    <t>Financial inclusion (that is, access by individuals to the services provided by financial institutions such as banks, insurance, and investment firms) is a key condition for economic development, and forms one of the principal policy instruments in China for the promotion of rural-urban integration. Using data from the China Household Financial Studies (2013), this paper investigates the determinants of financial inclusion at the household level in China. Focused on the role of the Chinese household registration system (hukou), this paper proposes a new hukou typology to investigate the composite index of financial inclusion as well as the six indicators. Multilevel estimates reveal substantial differences of financial inclusion among different hukou holders; significant cross-level associations between hukou and economic development is also found, revealing the complex and non-linear relationship between hukou and financial inclusion. These findings shed light on the potential for market failures and two types of discrimination based on hukou system, which deny access to financial services to groups of people. Research implications on how to increase financial inclusion are mentioned and discussed.</t>
  </si>
  <si>
    <t>[Li, Aihong] Univ Cambridge, Dept Sociol, Cambridge, England</t>
  </si>
  <si>
    <t>Li, AH (corresponding author), Univ Cambridge, Dept Sociol, Cambridge, England.</t>
  </si>
  <si>
    <t>al902@cam.ac.uk</t>
  </si>
  <si>
    <t>10.1080/1369183X.2023.2191155</t>
  </si>
  <si>
    <t>U8GB2</t>
  </si>
  <si>
    <t>WOS:000968145500001</t>
  </si>
  <si>
    <t>Senyo, PK; Karanasios, S; Gozman, D; Baba, M</t>
  </si>
  <si>
    <t>Senyo, P. K.; Karanasios, Stan; Gozman, Daniel; Baba, Melissa</t>
  </si>
  <si>
    <t>FinTech ecosystem practices shaping financial inclusion: the case of mobile money in Ghana</t>
  </si>
  <si>
    <t>Developing countries; ecosystems; FinTech; financial inclusion; Ghana; theory development</t>
  </si>
  <si>
    <t>INNOVATION; ICT</t>
  </si>
  <si>
    <t>Financial technology (FinTech) is widely recognised as important in addressing financial inclusion. However, limited research theorises how new entrants and incumbents work together in FinTech ecosystems to shape financial inclusion. We undertake a theory-generating case study with multilevel interacting organisations in Ghana, where, like many other African countries, the growth in FinTech has led to new opportunities for financial inclusion. We conceptualise three practices, as building blocks at the ecosystem level, through which incumbents and new entrants shape financial inclusion: (1) innovative and collaborative practices, (2) protectionist and equitable practices, and (3) legitimising and sustaining practices. We articulate a theoretical model that explains how the practices shape financial inclusion and propose three theoretical propositions of how financial inclusion in developing countries is being scaled and shaped in terms of actors, relationships, and practices.</t>
  </si>
  <si>
    <t>[Senyo, P. K.] Univ Southampton, Southampton Business Sch, Decis Analyt &amp; Risk, Southampton, Hants, England; [Karanasios, Stan] Univ Queensland, Queensland Business Sch, Brisbane, Qld, Australia; [Gozman, Daniel] Univ Sydney, Business Sch, Sydney, NSW, Australia; [Gozman, Daniel; Baba, Melissa] Univ Reading, Informat Res Ctr, Henley Business Sch, Reading, Berks, England</t>
  </si>
  <si>
    <t>Solent University; University of Southampton; University of Queensland; University of Sydney; University of Reading</t>
  </si>
  <si>
    <t>Senyo, PK (corresponding author), Univ Southampton, Southampton Business Sch, Decis Analyt &amp; Risk, Southampton, Hants, England.</t>
  </si>
  <si>
    <t>Senyo, PK/ABA-5334-2021; Gozman, Daniel/JDC-4259-2023; Karanasios, Stan/I-6377-2016; Baba, Melissa/ADB-4936-2022</t>
  </si>
  <si>
    <t>Senyo, PK/0000-0001-7126-3826; Gozman, Daniel/0000-0002-7399-9201; Karanasios, Stan/0000-0003-0937-6058; Baba, Melissa/0000-0002-8214-6585</t>
  </si>
  <si>
    <t>10.1080/0960085X.2021.1978342</t>
  </si>
  <si>
    <t>WOS:000700488900001</t>
  </si>
  <si>
    <t>Iddrisu, AG; Turkson, FE</t>
  </si>
  <si>
    <t>Iddrisu, Abdul Ganiyu; Ebo Turkson, Festus</t>
  </si>
  <si>
    <t>Political business cycles, bank pricing behaviour and financial inclusion in Africa</t>
  </si>
  <si>
    <t>political business cycles; election; banks' pricing behaviour; financial inclusion; Africa</t>
  </si>
  <si>
    <t>EMPIRICAL-EVIDENCE</t>
  </si>
  <si>
    <t>This paper analyses financial inclusion in Africa focusing on the role of political business cycles and pricing behaviour of banks. We employ a sample of 330 banks operating in 29 African countries to test for two related hypotheses. Panel fixed and random effects were estimated for the period 2002 to 2013. The regression results that ensued suggests first that loan price increases in pre-election and election years. Building on this result and employing various specifications of financial inclusion, the second results suggest that, high bank loan prices in election years tend to increase financial access more, compared to non-election years, and that, high deposit price reduces financial usage but increases financial access in election years, compared to non-election years. By extension, these results have important policy implications for policymakers.</t>
  </si>
  <si>
    <t>[Iddrisu, Abdul Ganiyu] Univ Aberdeen, Dept Econ, Aberdeen, Scotland; [Ebo Turkson, Festus] Univ Ghana, Dept Econ, Legon, Ghana</t>
  </si>
  <si>
    <t>University of Aberdeen; University of Ghana</t>
  </si>
  <si>
    <t>Turkson, FE (corresponding author), Univ Ghana, Econ Dept Legon, POB LG 57, Legon, Accra, Ghana.</t>
  </si>
  <si>
    <t>glibertik.ag@gmail.com; eturkson@ug.edu.gh</t>
  </si>
  <si>
    <t>TURKSON, FESTUS EBO/IAO-9662-2023</t>
  </si>
  <si>
    <t>TURKSON, FESTUS EBO/0000-0002-5366-5167; Idisu, Abdul Ganiyu/0000-0001-8286-0538</t>
  </si>
  <si>
    <t>10.1080/23322039.2020.1762286</t>
  </si>
  <si>
    <t>LM9UD</t>
  </si>
  <si>
    <t>WOS:000532592100001</t>
  </si>
  <si>
    <t>Prado, SMM; Pilco, SLQ; Parrales, WSE</t>
  </si>
  <si>
    <t>Mendez Prado, Silvia Mariela; Quishpillo Pilco, Sandy Liliana; Espin Parrales, Wellington S.</t>
  </si>
  <si>
    <t>Robo-Advisors: A perspective on the Latin American context</t>
  </si>
  <si>
    <t>PROCEEDINGS OF THE 6TH INTERNATIONAL CONFERENCE ON E-COMMERCE, E-BUSINESS AND E-GOVERNMENT, ICEEG 2022</t>
  </si>
  <si>
    <t>6th International Conference on E-Commerce, E-Business and E-Government (ICEEG)</t>
  </si>
  <si>
    <t>APR 27-29, 2022</t>
  </si>
  <si>
    <t>University of Plymouth</t>
  </si>
  <si>
    <t>Robo-Advisors; Fintech; Financial Literacy; financial regulations; Latin America</t>
  </si>
  <si>
    <t>Robo-Advisors (RAs) offer personalized and automated advice through algorithms becoming popular in developed countries. This paper develops from the current debate on the use of RAs where the risks of providing our financial information to third parties and their ability to facilitate the entry of new novice investors, decreasing financial exclusion, are considered. On this topic, studies have been conducted on RAs analyzing how they affect traditional capital markets and the development of new investors. This research performs a descriptive analysis of how RAs are entering Latin American financial markets and the challenges faced by these tools. Financial education has been a constant problem in the region, limiting stock market participation. The legal and regulatory framework is unclear and does not contemplate the growing use of RAs; these limitations and others have hindered the insertion of RAs in the Latin American market.</t>
  </si>
  <si>
    <t>[Mendez Prado, Silvia Mariela; Quishpillo Pilco, Sandy Liliana; Espin Parrales, Wellington S.] ESPOL Polytech Univ, Fac Ciencias Sociales &amp; Humanist, Campus Gustavo Galindo Km 30-5 Via Perimetral,POB, Guayaquil, Ecuador</t>
  </si>
  <si>
    <t>Prado, SMM (corresponding author), ESPOL Polytech Univ, Fac Ciencias Sociales &amp; Humanist, Campus Gustavo Galindo Km 30-5 Via Perimetral,POB, Guayaquil, Ecuador.</t>
  </si>
  <si>
    <t>smendez@espol.edu.ec; sanliqui@espol.edu.ec; wespin@espol.edu.ec</t>
  </si>
  <si>
    <t>Méndez-Prado, Silvia Mariela/AAY-3468-2020</t>
  </si>
  <si>
    <t>Méndez-Prado, Silvia Mariela/0000-0003-2978-2424; Espin, Wellington/0000-0002-9299-9215</t>
  </si>
  <si>
    <t>978-1-4503-9652-3</t>
  </si>
  <si>
    <t>10.1145/3537693.3537701</t>
  </si>
  <si>
    <t>Business, Finance; Computer Science, Interdisciplinary Applications; Operations Research &amp; Management Science</t>
  </si>
  <si>
    <t>BV7GP</t>
  </si>
  <si>
    <t>WOS:001066237600017</t>
  </si>
  <si>
    <t>Chipunza, KJ; Fanta, AB</t>
  </si>
  <si>
    <t>Chipunza, Kudakwashe Joshua; Fanta, Ashenafi Beyene</t>
  </si>
  <si>
    <t>Quality financial inclusion and financial vulnerability</t>
  </si>
  <si>
    <t>financial resilience; financial vulnerability; quality financial inclusion; South Africa</t>
  </si>
  <si>
    <t>SUB-SAHARAN AFRICA; SAVINGS ACCOUNTS; MOBILE MONEY; WELFARE; INEQUALITY; ACCESS; STATES</t>
  </si>
  <si>
    <t>Despite existing evidence suggesting that financial inclusion enhances consumers' welfare, there has been no attempt to examine the link between financial inclusion and financial vulnerability, measured along multiple dimensions. We computed more comprehensive indices of financial vulnerability and financial inclusion using polychoric principal component analysis based on a nationally representative financial inclusion survey in South Africa. Results from quantile regressions show that only the top 20% of the financially included had lower vulnerability but the effect was weaker among the more vulnerable categories. Also, the decline in financial vulnerability was less pronounced when financial inclusion was narrowly defined by excluding quality indicators. These findings suggest that financial inclusion is benefitting a few consumers in South Africa which points to the need for a bottom-up approach in designing financial products that improve the welfare of the financially included consumers.</t>
  </si>
  <si>
    <t>[Chipunza, Kudakwashe Joshua; Fanta, Ashenafi Beyene] Stellenbosch Univ, Dept Dev Finance, Stellenbosch, South Africa</t>
  </si>
  <si>
    <t>Chipunza, KJ (corresponding author), Stellenbosch Univ, Dept Dev Finance, Stellenbosch, South Africa.</t>
  </si>
  <si>
    <t>joshuachipunza@gmail.com</t>
  </si>
  <si>
    <t>10.1111/ijcs.12871</t>
  </si>
  <si>
    <t>8U9YE</t>
  </si>
  <si>
    <t>WOS:000859966000001</t>
  </si>
  <si>
    <t>Abebe, A; Kegne, M</t>
  </si>
  <si>
    <t>Abebe, Abraham; Kegne, Meketaw</t>
  </si>
  <si>
    <t>The role of microfinance on women's entrepreneurship development in Western Ethiopia evidence from a structural equation modeling: Non-financial service is the way forward</t>
  </si>
  <si>
    <t>women entrepreneurship; microfinance; access to finance; saving; business support; skill training; structural equation model</t>
  </si>
  <si>
    <t>GROWTH; FEMALE</t>
  </si>
  <si>
    <t>Microfinance institution services are emerging as a potent tool for poverty eradication and aim to decrease poverty and empower women. However, fewer women than men manage and run businesses in many parts of the world. Therefore, this study investigates the role of microfinance services on women's entrepreneurship development in Benishangul Gumuz Credit and Saving Institution Assosa town, Western Ethiopia. The study employed an explanatory research design and a quantitative approach. The data for the study were collected from 165 respondents using a five-point structured questionnaire and analyzed through the statistical package for social science (SPSS) 26 and AMOS 23 software. A Confirmatory Factor Analysis is employed to establish the construct validity and reliability of the measurements. Then, the Structural Equation Model was used to test the hypotheses developed to examine the effect of microfinance institutions on women's entrepreneurship development. The findings from the structural equation analysis indicated a positive and significant effect of access to finance and saving on the development of women's entrepreneurship. Finally, the structural equation model analysis finding revealed that the microfinance institution's service significantly positively affected women's entrepreneurship development.</t>
  </si>
  <si>
    <t>[Abebe, Abraham; Kegne, Meketaw] Assosa Univ, Coll Business &amp; Econ, Dept Management, Assosa, Ethiopia; [Abebe, Abraham] Assosa Univ, Coll Business &amp; Econ, Dept Management, POB 18, Assosa, Ethiopia</t>
  </si>
  <si>
    <t>Abebe, A (corresponding author), Assosa Univ, Coll Business &amp; Econ, Dept Management, POB 18, Assosa, Ethiopia.</t>
  </si>
  <si>
    <t>a.abebe10@gmail.com</t>
  </si>
  <si>
    <t>Abebe, Abraham/ADD-8855-2022</t>
  </si>
  <si>
    <t>Abebe, Abraham/0000-0003-4432-4456; Belachew, Meketaw Kegne/0000-0003-3663-0576</t>
  </si>
  <si>
    <t>DEC 11</t>
  </si>
  <si>
    <t>10.1080/23311975.2023.2256079</t>
  </si>
  <si>
    <t>T2RC8</t>
  </si>
  <si>
    <t>WOS:001076498100001</t>
  </si>
  <si>
    <t>Hilal, A; Varela-Neira, C</t>
  </si>
  <si>
    <t>Hilal, Ashraf; Varela-Neira, Concepcion</t>
  </si>
  <si>
    <t>Understanding Consumer Adoption of Mobile Banking: Extending the UTAUT2 Model with Proactive Personality</t>
  </si>
  <si>
    <t>mobile banking; adoption intention; proactive personality; UTAUT2; Lebanon</t>
  </si>
  <si>
    <t>MODERATING ROLE; INFORMATION-TECHNOLOGY; USER ACCEPTANCE; UNIFIED THEORY; INDIVIDUAL-DIFFERENCES; BEHAVIORAL INTENTION; PERCEIVED VALUE; PERCEPTIONS; SERVICES; DETERMINANTS</t>
  </si>
  <si>
    <t>Mobile banking is an innovative solution for improving financial inclusion; however, the use of this technology is still very limited in developing countries. Consequently, this study aims to investigate elements affecting mobile banking adoption in a developing country context by applying the well-known Unified Theory of Acceptance and Use of Technology two (UTAUT2) model. Since most existing investigations on mobile banking using the UTAUT2 neglect the effects of personality traits, this investigation extends the UTAUT2 with a new antecedent not considered in previous studies, the consumer proactive personality. This study empirically tests the proposed partial mediation model using path analysis with data collected from Lebanese bank customers who are current non-users of mobile banking. Results show a full mediation model, confirming that some UTAUT2 drivers fully mediate the effect that proactive personality has on consumer intention to adopt mobile banking and highlighting the relevance of proactive personality on all UTAUT2 drivers. This study expands the Unified Theory of Acceptance and Use of Technology two and examines how a personality trait-proactive personality-relates to mobile banking adoption through the UTAUT2 perceptions in a developing country context.</t>
  </si>
  <si>
    <t>[Hilal, Ashraf; Varela-Neira, Concepcion] Univ Santiago de Compostela, Dept Business &amp; Mkt, Santiago De Compostela 15782, Spain</t>
  </si>
  <si>
    <t>Varela-Neira, C (corresponding author), Univ Santiago de Compostela, Dept Business &amp; Mkt, Santiago De Compostela 15782, Spain.</t>
  </si>
  <si>
    <t>conchi.varela@usc.es</t>
  </si>
  <si>
    <t>Varela-Neira, Concepción/AAA-6691-2020</t>
  </si>
  <si>
    <t>Varela-Neira, Concepción/0000-0003-1096-7541</t>
  </si>
  <si>
    <t>Conselleria de Cultura, Educacion e Universidade da Xunta de Galicia [ED431B 2022/32]</t>
  </si>
  <si>
    <t>Conselleria de Cultura, Educacion e Universidade da Xunta de Galicia</t>
  </si>
  <si>
    <t>This research was funded by Conselleria de Cultura, Educacion e Universidade da Xunta de Galicia, grant number ED431B 2022/32.</t>
  </si>
  <si>
    <t>10.3390/su142214708</t>
  </si>
  <si>
    <t>6K7DH</t>
  </si>
  <si>
    <t>WOS:000887657300001</t>
  </si>
  <si>
    <t>Gupta, Y; Khanwalker, S</t>
  </si>
  <si>
    <t>Gupta, Yuvika; Khanwalker, Sandeep</t>
  </si>
  <si>
    <t>Accelerating financial inclusion in India with digital products and services</t>
  </si>
  <si>
    <t>GURUKUL BUSINESS REVIEW-GBR</t>
  </si>
  <si>
    <t>Financial inclusion; Digital products; Rural area; Mobile money; Government policy</t>
  </si>
  <si>
    <t>Purpose - This article emphasizes on the initiatives and policy measures taken by the Indian government for improving the current status and future prospects of financial inclusion in digital India on the basis of facts and data provided by various secondary sources. It also focuses on how digital products and services are helping the government in achieving financial inclusion in rural areas. Design/methodology/approach - The data used in this paper is collected from secondary sources. Secondary data was composed from the reports of Reserve Bank of India (RBI), the World Bank, the NABARD, the Government of India, published books, periodicals, journals etc. The secondary data of last five years is used to show the change in trend and status of financial inclusion after the boost of digital products in Indian banking system. Findings - The digital finance is playing an important role in Indian digital economy. The research paper concludes that there is a vast need to provide quality financial services in rural areas for economic growth as it will help rural households to fund the growth of their livelihoods. The tables and graphs in paper shows an increase in number of people ATMs, immediate payment service (IMPS) and mobile banking in last five years. In a nutshell it can be said that India is at a fast pace towards achieving financial inclusion and this can be speeded up by collaborative efforts of Government, Reserve Bank of India and Citizens of the country. Research limitations/implications - The major limitation of the research work is it is purely based on secondary data. Practical Implications - This study reveals that the Government of India is taking various steps to bring the citizens of India under the ambit of banking services. It empirically studies the impact of financial inclusion policies pursued in rural areas of the country. The study also suggests that policies emphasizing on usage of digital products in financial sector helps in promoting financial which result in higher economic growth. Originality/Value - The uniqueness of this article is that it highlights the financial initiatives taken by the government and the impact of digital products in financial sector helps in promoting financial inclusion with results in higher economic growth.</t>
  </si>
  <si>
    <t>[Gupta, Yuvika; Khanwalker, Sandeep] IMS Unison Univ, Dehra Dun, Uttarakhand, India</t>
  </si>
  <si>
    <t>Gupta, Y (corresponding author), IMS Unison Univ, Dehra Dun, Uttarakhand, India.</t>
  </si>
  <si>
    <t>Gupta, Yuvika/AAU-3183-2021</t>
  </si>
  <si>
    <t>GURUKUL KANGRI UNIV, FAC MANAGEMENT STUDIES</t>
  </si>
  <si>
    <t>HARDWAR</t>
  </si>
  <si>
    <t>REGISTRAR, GURUKUL KANGRI UNIV, GURUKULA KANGRI VISHWAVIDYALAYA, HARDWAR, UTTARAKHAND 249 404, INDIA</t>
  </si>
  <si>
    <t>0973-1466</t>
  </si>
  <si>
    <t>0973-9262</t>
  </si>
  <si>
    <t>GURUKUL BUS REV-GBR</t>
  </si>
  <si>
    <t>Gurukul Bus. Rev.-GBR</t>
  </si>
  <si>
    <t>OY7AG</t>
  </si>
  <si>
    <t>WOS:000594395300007</t>
  </si>
  <si>
    <t>Kopparthi, MS; Kagabo, N</t>
  </si>
  <si>
    <t>Kopparthi, Murty; Kagabo, Nkubito</t>
  </si>
  <si>
    <t>Is value chain financing a solution to the problems and challenges of access to finance of small-scale farmers in Rwanda?</t>
  </si>
  <si>
    <t>Rwanda; Agriculture; Finance; Value chain; Microfinance</t>
  </si>
  <si>
    <t>Purpose - The purpose of this paper is to demonstrate the relationship between value chain financing and access to finance of small-scale farmers in Rwanda. The authors propose two models of access to finance and their correlation with improved productivity and therefore profit for producers was obvious. Value chain financing products in Mukunguli, southern Rwanda have improved the life of small-scale farmers tremendously. Design/methodology/approach - The paper is based on documentary reviews on value chain financing and direct interviews conducted with 122 farmers and staff from the microfinance institution. SPSS was used to analyze results from the field and actions are recommended for future prospects. Findings - It was evident from the data collected from selected respondents that impact of the access to value chain financing products had a straight link to the levels of profit and production. Research limitations/implications - Access to basic documentation was among the limitations of this paper. Furthermore, reliability of data collected from interviewers was open to question as it required deep analysis on some of the samples. Practical implications - The paper includes implications of access to finance in agriculture sector through value chain financing products. The feasibility of the tested products had been approved, by both the financial institution and farmers. Value chain finance has improved the productivity and profits of farmers as well as the profit of the microfinance institution. S ocial implications - The well being of small-scale farmers has improved tremendously. Originality/value - The paper is original in proving that value chain finance products can work in Rwanda - the first experience being in Mukunguli. It also proves that a microfinance institution can solve problems faced by small-scale farmers in remote areas.</t>
  </si>
  <si>
    <t>[Kopparthi, Murty] Sch Finance &amp; Banking, MSM SFB MBA Program, Kigali, Rwanda; [Kagabo, Nkubito] Int Fertilizer Dev Ctr, Kigali, Rwanda</t>
  </si>
  <si>
    <t>Kopparthi, MS (corresponding author), Sch Finance &amp; Banking, MSM SFB MBA Program, Kigali, Rwanda.</t>
  </si>
  <si>
    <t>drkopparthism@gmail.com</t>
  </si>
  <si>
    <t>10.1108/03074351211255182</t>
  </si>
  <si>
    <t>V61YJ</t>
  </si>
  <si>
    <t>WOS:000210933200005</t>
  </si>
  <si>
    <t>Kar, RN; Tiwari, K; Bhandari, V; Kaur, A</t>
  </si>
  <si>
    <t>Kar, Rabi Narayan; Tiwari, Kusha; Bhandari, Varun; Kaur, Amanpreet</t>
  </si>
  <si>
    <t>Assessing the Impact and Growth Drivers of PMJDY: A Study of Financial Inclusion in Madhya Pradesh and Rajasthan</t>
  </si>
  <si>
    <t>Economic development; governance; socio-cultural adjustment; structural change</t>
  </si>
  <si>
    <t>SERVICES; BANKING; ACCESS</t>
  </si>
  <si>
    <t>The Pradhan Mantri Jan Dhan Yojana (PMJDY) has played a pivotal role in expanding financial inclusion in India, particularly among economically disadvantaged groups. Since the inception of PMJDY, it has observed a steady rise in the number of accounts and deposits, highlighting its effectiveness in broadening access to formal banking services. This article aims to identify the key motivating factors driving the successful implementation of PMJDY and to assess whether these factors vary across diverse socio-economic groups in various districts of Madhya Pradesh and Rajasthan. The results confirm a significant positive relationship between time and account growth using a growth model, establishing time as a significant variable. Additionally, five key motivational factors-operational benefits, convenience, service reliability, financial empowerment and livelihood transformation-successfully drive PMJDY, with varying significance across socio-demographic groups. Notably, gender differences influence perceptions of operational benefits, while age affects views on financial empowerment. To maximize the impact of PMJDY, targeted financial literacy programmes and incentives are crucial to reduce high account dormancy and promote active usage. Simplifying the application processes for overdrafts and insurance could also lead to better inclusiveness. Targeting rural women specifically with tailored outreach programmes, in combination with support for female entrepreneurship and microfinance, would enhance financial inclusion and empower women financially.</t>
  </si>
  <si>
    <t>[Kar, Rabi Narayan] Univ Delhi, Shyam Lal Coll, New Delhi 110032, India; [Tiwari, Kusha] Univ Delhi, Shyam Lal Coll, Dept English, New Delhi, India; [Bhandari, Varun; Kaur, Amanpreet] Univ Delhi, Dept Commerce, Shyam Lal Coll, New Delhi, India</t>
  </si>
  <si>
    <t>University of Delhi; University of Delhi; University of Delhi</t>
  </si>
  <si>
    <t>Kar, RN (corresponding author), Univ Delhi, Shyam Lal Coll, New Delhi 110032, India.</t>
  </si>
  <si>
    <t>rabikar.du@gmail.com</t>
  </si>
  <si>
    <t>Bhandari, Varun/OUJ-5754-2025</t>
  </si>
  <si>
    <t>Shorthose, Jim/0000-0001-7947-5209</t>
  </si>
  <si>
    <t>ICSSR [66/CRP-2023-633/JDY/SCD]</t>
  </si>
  <si>
    <t>This paper is by-product of the ICSSR sponsored research project titled Effectiveness of PMJDY in Financial Empowerment and Livelihood Transformation in India: A Study of Madhya Pradesh and Rajasthan. (F. No. 66/CRP-2023-633/JDY/SCD).</t>
  </si>
  <si>
    <t>2025 JUN 14</t>
  </si>
  <si>
    <t>10.1177/09763996251346601</t>
  </si>
  <si>
    <t>3SN1W</t>
  </si>
  <si>
    <t>WOS:001507964600001</t>
  </si>
  <si>
    <t>Emanuel-Correia, R; Abdul-Rahman, S; Althalathini, D</t>
  </si>
  <si>
    <t>Emanuel-Correia, Ricardo; Abdul-Rahman, Syahirah; Althalathini, Doaa</t>
  </si>
  <si>
    <t>Empathy in action: unravelling crowdfunding dynamics for female refugee entrepreneurs in Lebanon, Jordan, and Palestine</t>
  </si>
  <si>
    <t>Crowdfunding; Female refugee entrepreneurs; Refugee camps; Microfinance; Kiva</t>
  </si>
  <si>
    <t>WOMEN ENTREPRENEURS; MICROFINANCE; GENDER; CHALLENGES; CREDIT; NEEDS</t>
  </si>
  <si>
    <t>Crowdfunding has become a vital tool for bridging funding gaps, particularly for marginalised groups such as women and refugee entrepreneurs. This study aims to investigate the impact of entrepreneur gender and sectorial dominance on crowdfunding outcomes for female and male refugees, using the lens of sector studies and Role Congruity Theory. To empirically test our hypotheses, we gathered data about refugee entrepreneurs who seek capital for their business ventures on the Kiva crowdfunded microfinance platform. Our research highlights the unique challenges faced by female refugee entrepreneurs, including discriminatory financing practices and lack of formal documentation. However, crowdfunding platforms like Kiva offer crucial financial access, outperforming traditional financial institutions. We found that female refugee entrepreneurs often outperform their male counterparts in crowdfunding, especially in male-dominated activities. Moreover, campaigns located in refugee camps show positive crowdfunding outcomes, emphasising the value of these settings for women-led initiatives. Overall, crowdfunding offers a promising alternative for female refugees, overcoming significant barriers to entrepreneurship in both refugee camps and broader contexts, as well as providing implications for enhancing financial inclusion and supporting gender equity in entrepreneurial spaces.</t>
  </si>
  <si>
    <t>[Emanuel-Correia, Ricardo] Inst Politecn Lisboa, Inst Super Contabilidade &amp; Administracao Lisboa IS, Ave Miguel Bombarda 20, P-1069035 Lisbon, Portugal; [Emanuel-Correia, Ricardo] Inst Univ Lisboa ISCTE IUL, Business Res Unit BRU IUL, Lisbon, Portugal; [Abdul-Rahman, Syahirah; Althalathini, Doaa] Oxford Brookes Univ, Oxford Brookes Business Sch, Oxford, England</t>
  </si>
  <si>
    <t>Polytechnic Institute of Lisbon; Instituto Universitario de Lisboa; Oxford Brookes University</t>
  </si>
  <si>
    <t>Emanuel-Correia, R (corresponding author), Inst Politecn Lisboa, Inst Super Contabilidade &amp; Administracao Lisboa IS, Ave Miguel Bombarda 20, P-1069035 Lisbon, Portugal.</t>
  </si>
  <si>
    <t>recorreia@iscal.ipl.pt</t>
  </si>
  <si>
    <t>Emanuel-Correia, Ricardo/AAR-7224-2021</t>
  </si>
  <si>
    <t>10.1016/j.worlddev.2025.107268</t>
  </si>
  <si>
    <t>S5173</t>
  </si>
  <si>
    <t>WOS:001636673900001</t>
  </si>
  <si>
    <t>Cobovic, MV; Cobovic, M; Miklosevic, I</t>
  </si>
  <si>
    <t>Simic, ML</t>
  </si>
  <si>
    <t>Cobovic, Maja Vretenar; Cobovic, Mirko; Miklosevic, Ivana</t>
  </si>
  <si>
    <t>PERSONAL FINANCE MANAGEMENT - STUDENT POPULATION INVOLVEMENT INTO THE FINANCIAL SYSTEM IN EASTERN CROATIA</t>
  </si>
  <si>
    <t>11TH INTERNATIONAL SCIENTIFIC SYMPOSIUM REGION, ENTREPRENEURSHIP, DEVELOPMENT (RED 2022)</t>
  </si>
  <si>
    <t>11th International Scientific Symposium on Region, Entrepreneurship, Development (RED)</t>
  </si>
  <si>
    <t>JUN 09-11, 2022</t>
  </si>
  <si>
    <t>Osijek, CROATIA</t>
  </si>
  <si>
    <t>Josip Juraj Strossmayer Univ Osijek,Fac Econ Osijek,Croatian Acad Arts &amp; Sci, Inst Sci &amp; Art Res Work Osijek,Univ Maribor, Fac Econ &amp; Business,Univ Tuzla, Fac Econ,Republ Croatia, Minist Sci &amp; Educ,Studio Hs</t>
  </si>
  <si>
    <t>financial education; personal finance; financial management; Eastern Croatia; student population</t>
  </si>
  <si>
    <t>Financial education represents a set of knowledge in the field of finance that is necessary for making population's short-term and long-term financial decisions. Unfortunately, the insufficient participation of the financially disadvantaged population creates a gap between the needs and demands of certain social groups for the supply of basic financial services. The economic development of an individual country significantly affects the development of its regions and the financial potential of the population in that area. Therefore, insufficient and uneven economic development causes many problems for the population both at the local and personal level. Furthermore, problems are primarily due to the lack of financial income and to the economic lag of Eastern Croatia, which is behind the national average, and especially the lack of this income within the student population. Therefore, financial education is a long-term process whose effects are often not immediately apparent and financial literacy activities need to be continually pursued. The aim of this paper is to research and analyse the level of financial inclusion and financial literacy of the student population in Eastern Croatia, the knowledge of their status in the financial system and the relation to personal finance, which substantially reflects the level of their financial education. The authors use a number of scientific research methods (methods of analysis, comparison, induction, deduction, description and classification, etc.) as well as individual statistical and mathematical methods. The research methodology is based on the survey method through an online survey questionnaire instrument. In the paper, the calculation of correlation values between financial education and personal finances management of respondents for individual variables from the survey questionnaire is presented (number of credit institutions services, the motives for choosing an individual credit institution, care of student population in the management of personal finances, etc.). More speccally, the relationship between the essential elements of the loan, which is important to the respondents, was examined Pearson's correlation coefficient (r) was used to calculate correlation values. Accordingly, the obtained research results show that the level of financial education of the student population in Eastern Croatia is not satisfactory, and that there is a need to improve financial knowledge in this area.</t>
  </si>
  <si>
    <t>[Cobovic, Maja Vretenar; Cobovic, Mirko] Univ Slavonski Brod, Dept Social Sci &amp; Humanities, Dept Econ, Slavonski Brod, Croatia; [Miklosevic, Ivana] Financial Agcy, Nashice, Croatia</t>
  </si>
  <si>
    <t>University of Slavonski Brod</t>
  </si>
  <si>
    <t>Cobovic, MV (corresponding author), Univ Slavonski Brod, Dept Social Sci &amp; Humanities, Dept Econ, Slavonski Brod, Croatia.</t>
  </si>
  <si>
    <t>mvcobovic@unisb.hr; mcobovic@unisb.hr; ivana.miklosevic7@gmail.com</t>
  </si>
  <si>
    <t>Cobovic, Mirko/HLX-5817-2023; Vretenar Cobović, Maja/AAB-6210-2020; Miklošević, Ivana/HKO-8389-2023</t>
  </si>
  <si>
    <t>Cobovic, Mirko/0000-0001-7104-3321; Vretenar Cobović, Maja/0000-0002-7225-147X; Miklošević, Ivana/0000-0002-5882-6409</t>
  </si>
  <si>
    <t>Development Studies; Management</t>
  </si>
  <si>
    <t>BT5VN</t>
  </si>
  <si>
    <t>WOS:000838669300057</t>
  </si>
  <si>
    <t>Dissaux, T</t>
  </si>
  <si>
    <t>Dissaux, Tristan</t>
  </si>
  <si>
    <t>Geographies of Monetary Exclusion in Kenyan Slums: Financial Inclusion in Question</t>
  </si>
  <si>
    <t>MOBILE MONEY; PAYMENT; SYSTEMS; POVERTY</t>
  </si>
  <si>
    <t>Financial inclusion has become a prominent development policy objective. Its promotion rests on the understanding that poverty and underdevelopment mainly result from financial constraints that individuals face. Better access to financial services, in particular via the use of mobile money services, is supposed to lift these constraints and allow for growth and development. After outlining this dominant approach and detailing its theory of change, this article challenges it on the basis of the mesoeconomic study (at territorial level) of areas particularly targeted by financial inclusion policies: Kenyan informal settlements. The study of their geography of money shows how the socio-spatial flows of money shape people's economic constraints and opportunities. Based on this empirical account, it is argued that the poor are, first and foremost, in a situation of monetary exclusion, rather than being primarily financially constrained. The article conceptualizes monetary exclusion and highlights the theory and policy implications of this situation.</t>
  </si>
  <si>
    <t>[Dissaux, Tristan] Univ Libre Bruxelles ULB, Ctr European Res Microfinance CERMi, Brussels, Belgium</t>
  </si>
  <si>
    <t>Dissaux, T (corresponding author), Univ Libre Bruxelles ULB, Ctr European Res Microfinance CERMi, Brussels, Belgium.</t>
  </si>
  <si>
    <t>tristan.dissaux@ulb.be</t>
  </si>
  <si>
    <t>10.1111/dech.12747</t>
  </si>
  <si>
    <t>8Q3MR</t>
  </si>
  <si>
    <t>WOS:000897797700001</t>
  </si>
  <si>
    <t>Mikail, SA; Djafri, F; Ahmad, M</t>
  </si>
  <si>
    <t>Mikail, Sa'id Adekunle; Djafri, Fares; Ahmad, Mahadi</t>
  </si>
  <si>
    <t>WAQF AND MICROFINANCE INTEGRATION FOR ENABLING SUSTAINABLE FINANCIAL INCLUSION: ANALYSIS OF SHARI'AH COMPLIANCE</t>
  </si>
  <si>
    <t>INTERNATIONAL JOURNAL OF ISLAMIC FINANCE AND SUSTAINABLE DEVELOPMENT-IJIFSD</t>
  </si>
  <si>
    <t>Financial inclusion; Islamic microfinance; Shari`ah compliance; Shari`ah objective; Sustainability; Waqf</t>
  </si>
  <si>
    <t>ISLAMIC MICROFINANCE; MISSION DRIFT; MODEL; INSTITUTIONS; SECTOR; FUND</t>
  </si>
  <si>
    <t>Purpose-Sustainability has remained one of the mostsignificant challenges facing the microfinance industry, and Islamic microfinance is no exception. The need for Shari'ah compliance poses an additional challenge for the Islamic microfinance industry. Many practitioners have argued that, in practice, social missions should be sacrificed for profitability so that microfinance institutions (MFIs) could achieve sustainability and competitiveness in the finance market. This paper investigates the potential of integrating waqf and microfinance to allay the challenge of balancing social responsibility (outreach) and financial sustainability within Islamic MFIs. Additionally, it analyses the Shari'ah compliance requirements underpinning this integration. Design/Methodology/Approach-This study adopts a qualitative method of inquiry, utilising an inductive approach to understand the conceptual framework of waqfand financial inclusionand in discussing Shari'ahcompliance aspects of socially-oriented instrumentsin socio-economic development. Findings-The research finds some historical antecedents to evidence the inherent social mission of waqf which, if integrated with microfinance, ensures the sustainability of Islamic MFIs. This affirms that outreach and sustainability may not be mutually exclusive under waqfand Islamic microfinance integration. Originality/Value-This study, through historical antecedents and contemporary practices, establishes that waqf and microfinance integration can address the sustainability of the Islamic microfinance industry and preserve its social mission</t>
  </si>
  <si>
    <t>[Mikail, Sa'id Adekunle; Djafri, Fares] INCEIF Univ, ISRA Res Management Ctr, Kuala Lumpur, Malaysia; [Ahmad, Mahadi] Islamic Financial Serv Board, Kuala Lumpur, Malaysia</t>
  </si>
  <si>
    <t>Mikail, SA (corresponding author), INCEIF Univ, ISRA Res Management Ctr, Kuala Lumpur, Malaysia.</t>
  </si>
  <si>
    <t>saidmikail@inceif.edu.my</t>
  </si>
  <si>
    <t>Mikail, Sa'id/AAT-3505-2021</t>
  </si>
  <si>
    <t>INT SHARIAH RESEARCH ACAD ISLAMIC FINANCE RES MANAGEMENT CTR - ISRA RMC</t>
  </si>
  <si>
    <t>LORONG UNIV A, KUALA LUMPUR, 59100, MALAYSIA</t>
  </si>
  <si>
    <t>3030-6442</t>
  </si>
  <si>
    <t>INT J ISLAM FINANC S</t>
  </si>
  <si>
    <t>Int. J. Islam. Financ. Sustain. Dev.</t>
  </si>
  <si>
    <t>10.55188/ijifsd.v16i3.901</t>
  </si>
  <si>
    <t>0TS6W</t>
  </si>
  <si>
    <t>WOS:001455800400001</t>
  </si>
  <si>
    <t>Sangwan, S; Kumar, S; Mia, MA; Chauhan, S; Jibir, A</t>
  </si>
  <si>
    <t>Sangwan, Sunil; Kumar, Sanjeev; Mia, Md aslam; Chauhan, Swati; Jibir, Adamu</t>
  </si>
  <si>
    <t>BOARD GENDER DIVERSITY AND FINANCIAL INCLUSION: EVIDENCE FROM THE GLOBAL MICROFINANCE INDUSTRY</t>
  </si>
  <si>
    <t>New borrower acquisition; financial inclusion; gender diversity; female board members; microfinance institutions; social performance</t>
  </si>
  <si>
    <t>INSTITUTIONS EVIDENCE; FIRM PERFORMANCE; PROPERTY-RIGHTS; DIRECTORS; OUTREACH; WOMEN; GOVERNANCE; SUSTAINABILITY; MODEL; SIZE</t>
  </si>
  <si>
    <t>This study examines the effect of board gender diversity within Microfinance Institutions (MFIs) on their ability to acquire new borrowers, a key indicator of progress toward achieving the financial inclusion agenda of the Sustainable Development Goals (SDGs). Utilizing an unbalanced panel dataset consisting of 1,450 unique MFIs operating in 106 countries over the period of 2010-2018, this study deployed various econometric models, including the Pooled Ordinary Least Squares (POLS), Random Effects Model (REM), and Fixed Effects Model (FEM). Rigorous measures, including endogeneity-corrected techniques, alternative proxies for board gender diversity such as the BLAU index and sub-sample analyses were applied to ensure the reliability and robustness of our results. The study's findings indicated a positive association between board gender diversity and financial inclusion within MFIs. However, the statistical significance of these outcomes varied depending on the specific analytical techniques, sub-samples, and alternative proxies used during the research. Overall, this study offers implications for practitioners and policymakers, encouraging women's participation in the boardrooms of MFIs to advance the financial inclusion agenda of the SDGs.</t>
  </si>
  <si>
    <t>[Sangwan, Sunil] Inst Rural Management Anand, Anand 388001, Gujarat, India; [Kumar, Sanjeev] OP Jindal Global Univ, Jindal Global Business Sch, Dept Accounting &amp; Finance, Sonipat 131001, Haryana, India; [Mia, Md aslam] Univ Sains Malaysia, Sch Management, George Town 11800, Malaysia; [Mia, Md aslam] Airlangga Univ, Fac Econ &amp; Business, Dept Econ, Surabaya 60286, Indonesia; [Mia, Md aslam] Int Univ Business Agr &amp; Technol, Miyan Res Inst, Dhaka 1230, Bangladesh; [Chauhan, Swati] Atal Bihari Vajpayee Inst Good Governance &amp; Policy, Bhopal 462003, Madhya Pradesh, India; [Jibir, Adamu] Gombe State Univ, Dept Econ, Gombe 760253, Nigeria</t>
  </si>
  <si>
    <t>Institute of Rural Management Anand; O.P. Jindal Global University; Universiti Sains Malaysia; Airlangga University; International University of Business Agriculture &amp; Technology (IUBAT)</t>
  </si>
  <si>
    <t>Mia, MA (corresponding author), Univ Sains Malaysia, Sch Management, George Town 11800, Malaysia.;Mia, MA (corresponding author), Airlangga Univ, Fac Econ &amp; Business, Dept Econ, Surabaya 60286, Indonesia.;Mia, MA (corresponding author), Int Univ Business Agr &amp; Technol, Miyan Res Inst, Dhaka 1230, Bangladesh.</t>
  </si>
  <si>
    <t>; chauhan, swati/R-3322-2019; Mia, Aslam/AAD-6996-2020</t>
  </si>
  <si>
    <t>SANGWAN, SUNIL/0000-0002-2398-3180; chauhan, swati/0000-0002-2760-2947; Jibir, Adamu/0000-0002-5631-8785; Mia, Aslam/0000-0002-6452-1126</t>
  </si>
  <si>
    <t>2024 MAR 9</t>
  </si>
  <si>
    <t>10.1142/S021759082443001X</t>
  </si>
  <si>
    <t>KN0X1</t>
  </si>
  <si>
    <t>WOS:001180537700001</t>
  </si>
  <si>
    <t>Humpage, L; Bielefeld, S; Marston, G; Staines, Z; Peterie, M; Mendes, P</t>
  </si>
  <si>
    <t>Humpage, Louise; Bielefeld, Shelley; Marston, Greg; Staines, Zoe; Peterie, Michelle; Mendes, Philip</t>
  </si>
  <si>
    <t>Responsibilising young benefit recipients: Income management and financial capability in New Zealand</t>
  </si>
  <si>
    <t>CRITICAL SOCIAL POLICY</t>
  </si>
  <si>
    <t>financial capability; income management; Maori; responsibilisation; women; youth</t>
  </si>
  <si>
    <t>LITERACY; EDUCATION; WELFARE</t>
  </si>
  <si>
    <t>New Zealand recipients of the Youth Payment and Young Parent Payment, who are disproportionally Indigenous Maori and sole mothers, must participate in 'Money Management'. This form of income management restricts spending, monitors financial transactions and requires compulsory budgeting education. Drawing on interviews with Money Management participants, Youth Service mentors and policymakers, this article argues that Money Management aims to responsibilise young people through conditional welfare, rather than improve their long-term financial capability as articulated. This becomes obvious through analysis of how Money Management ignores: 1) New Zealand financial literacy education policy developments, 2) the literature on best practice in financial literacy education and how values about money and wealth are shaped by 3) Maori world views and 4) gendered norms. The article concludes that states should take more responsibility, by increasing social security incomes and better regulating the financial, labour and housing markets, to ensure the financial capacity of their citizens.</t>
  </si>
  <si>
    <t>[Humpage, Louise] Univ Auckland, Sociol, Auckland, New Zealand; [Bielefeld, Shelley] Griffith Univ, Griffith Law Sch, Nathan, Qld, Australia; [Bielefeld, Shelley] Griffith Univ, Law Futures Ctr, Nathan, Qld, Australia; [Marston, Greg] Univ Queensland, Fac Humanities &amp; Social Sci, Brisbane, Qld, Australia; [Marston, Greg] Univ Queensland, Ctr Policy Futures, Brisbane, Qld, Australia; [Peterie, Michelle] Univ Queensland, Sch Social &amp; Polit Sci, Sydney Ctr Hlth Soc Res Theme Work Educ &amp; Welf, Brisbane, Qld, Australia; [Staines, Zoe] Univ Sydney, Sydney, NSW, Australia; [Mendes, Philip] Monash Univ, Dept Social Work, Social Policy &amp; Welf State, Clayton, Vic, Australia; [Mendes, Philip] Monash Univ, Dept Social Work, Social Inclus &amp; Social Policy Res Unit SISPRU, Clayton, Vic, Australia</t>
  </si>
  <si>
    <t>University of Auckland; Griffith University; Griffith University; University of Queensland; University of Queensland; University of Queensland; University of Sydney; Monash University; Monash University</t>
  </si>
  <si>
    <t>Humpage, L (corresponding author), Univ Auckland, Auckland, New Zealand.</t>
  </si>
  <si>
    <t>l.humpage@auckland.ac.nz</t>
  </si>
  <si>
    <t>; Mendes, Philip/R-8367-2019; Peterie, Michelle/P-9839-2019</t>
  </si>
  <si>
    <t>Bielefeld, Shelley/0000-0003-0094-3511; Peterie, Michelle/0000-0002-7182-7246</t>
  </si>
  <si>
    <t>Australian Research Council [DP180101252]; University of Auckland Faculty of Arts Research Development Fund</t>
  </si>
  <si>
    <t>Australian Research Council(Australian Research CouncilInstituto Politecnico Nacional - Mexico); University of Auckland Faculty of Arts Research Development Fund</t>
  </si>
  <si>
    <t>The authors disclosed receipt of the following financial support for the research, authorship, and/or publication of this article: This work was supported by the Australian Research Council (grant number #DP180101252) and the University of Auckland Faculty of Arts Research Development Fund.</t>
  </si>
  <si>
    <t>0261-0183</t>
  </si>
  <si>
    <t>1461-703X</t>
  </si>
  <si>
    <t>CRIT SOC POLICY</t>
  </si>
  <si>
    <t>Crit. Soc. Policy</t>
  </si>
  <si>
    <t>10.1177/02610183221106923</t>
  </si>
  <si>
    <t>D8QU9</t>
  </si>
  <si>
    <t>WOS:000814897100001</t>
  </si>
  <si>
    <t>Habanabakize, T; Zerihun, MF</t>
  </si>
  <si>
    <t>Habanabakize, Thomas; Zerihun, Mulatu Fekadu</t>
  </si>
  <si>
    <t>The criticality of financial intermediation on the South African Agro-Industrialization</t>
  </si>
  <si>
    <t>Agriculture; finance; manufacturing; Agro-Industrialization; South Africa</t>
  </si>
  <si>
    <t>AGRICULTURE; GROWTH</t>
  </si>
  <si>
    <t>Access to finance is one of the factors influencing economic activities. The current study aimed at determining the role of finance in the South African agro-industrialization relationship. To achieve the study objective, bounds testing, the autoregressive distributed lag (ARDL) and error correction approaches were applied on quarterly time series data spanning between the first quarter of 1994 and the last quarter of 2021. Additionally, an interaction term was included to assist the aforementioned models in determining linkage between agriculture and industrial outputs through farmer's access to finance. Findings revealed that agricultural output and finance are valid forecasters of the industrialization behaviour in the long-run. Access to finance leads to industrial growth while agricultural output growth causes a decline in the industrialization. Nonetheless, aggregate growth of both financial access and agricultural output are associated with industrial output in the short-run. Grounded of the study findings, this study concludes that financial access influence both agriculture and industrial output. Consequently, improving famers' financial access through financial facilities, financial intermediaries and government subsidies could be a worthwhile strategy or policy to enhance a country's industrialization. As implication of the study, obtained finding can assist in linking effectiveness of primary, secondary and tertiary economic sectors in South Africa.</t>
  </si>
  <si>
    <t>[Habanabakize, Thomas; Zerihun, Mulatu Fekadu] Tshwane Univ Technol, Dept Econ, Botsi St, ZA-2827 Pretoria, South Africa</t>
  </si>
  <si>
    <t>Tshwane University of Technology</t>
  </si>
  <si>
    <t>Habanabakize, T (corresponding author), Tshwane Univ Technol, Dept Econ, Botsi St, ZA-2827 Pretoria, South Africa.</t>
  </si>
  <si>
    <t>HabanabakizeT@tut.ac.za</t>
  </si>
  <si>
    <t>Zerihun, Mulatu/W-8810-2019</t>
  </si>
  <si>
    <t>Zerihun, Mulatu/0000-0003-4797-928X</t>
  </si>
  <si>
    <t>10.1080/23322039.2023.2223416</t>
  </si>
  <si>
    <t>M1YE8</t>
  </si>
  <si>
    <t>WOS:001028199200001</t>
  </si>
  <si>
    <t>Viitasalo, K; Kaitsaari, T; Kaittila, A; Moisio, M; Hakovirta, M</t>
  </si>
  <si>
    <t>Viitasalo, Katri; Kaitsaari, Tuula; Kaittila, Anniina; Moisio, Meri; Hakovirta, Mia</t>
  </si>
  <si>
    <t>Promoting financial capability within the field of social work practice among families with children: a systematic review</t>
  </si>
  <si>
    <t>EUROPEAN JOURNAL OF SOCIAL WORK</t>
  </si>
  <si>
    <t>Financial social work; systematic review; financial capability; psychosocial support</t>
  </si>
  <si>
    <t>DECISION-MAKING; LITERACY; PARTICIPATION; HOUSEHOLD; EDUCATION; HARDSHIP; SERVICES; LIVES</t>
  </si>
  <si>
    <t>Financial difficulties have a severe impact on families and children who grow up in poor families. Social workers can help families address their financial problems through a variety of practice settings, hence simultaneously promoting financial well-being. We investigate how financial capability among families with children has been promoted in social work practice. We generated a systematic review by following the PRISMA standards and applying the concepts of the CAIMeR theory. Two hundred seventy-seven references were identified, of which a total of 14 articles were analysed. We found there was a large understanding about the phenomenon, but the knowledge of contexts was limited, with a lack of evidence-based knowledge. Formal interventions in social work practice emphasise financial education as a key contributor to financial capability. Likewise, the improvement of financial inclusion is underlined. The literature indicates that interventions provide tools for clients to help strengthen economic self-sufficiency and increase financial confidence. However, social work practices often concentrate on money management, ignoring the ways in which clients can increase income and other resources or avoid future risks. Implementation of interventions requires attention. Unique situations in the family should be considered closely, and the implementation should rely more consciously on the psychosocial elements of support.</t>
  </si>
  <si>
    <t>[Viitasalo, Katri] Univ Helsinki, Fac Social Sci, Helsinki, Finland; [Kaitsaari, Tuula; Kaittila, Anniina] Univ Turku, Dept Social Res, Turku, Finland; [Kaittila, Anniina; Moisio, Meri; Hakovirta, Mia] Univ Turku, INVEST Res Flagship Ctr, Turku, Finland; [Viitasalo, Katri] Univ Helsinki, Fac Social Sci, Unioninkatu 37, Helsinki, Finland</t>
  </si>
  <si>
    <t>University of Helsinki; University of Turku; University of Turku; University of Helsinki</t>
  </si>
  <si>
    <t>Viitasalo, K (corresponding author), Univ Helsinki, Fac Social Sci, Unioninkatu 37, Helsinki, Finland.</t>
  </si>
  <si>
    <t>katri.viitasalo@helsinki.fi</t>
  </si>
  <si>
    <t>Koskinen, Sanna/JDC-8972-2023</t>
  </si>
  <si>
    <t>Koskinen, Sanna/0000-0002-5886-3162; Hakovirta, Mia/0000-0002-0947-3985; Kaittila, Anniina/0000-0001-8322-3688; Viitasalo, Katri/0000-0001-9216-2506</t>
  </si>
  <si>
    <t>Ministry of Social and Health Affairs</t>
  </si>
  <si>
    <t>This work was funded by the Ministry of Social and Health Affairs (Finland).</t>
  </si>
  <si>
    <t>1369-1457</t>
  </si>
  <si>
    <t>1468-2664</t>
  </si>
  <si>
    <t>EUR J SOC WORK</t>
  </si>
  <si>
    <t>Eur. J. Soc. Work</t>
  </si>
  <si>
    <t>10.1080/13691457.2023.2236326</t>
  </si>
  <si>
    <t>OK6R0</t>
  </si>
  <si>
    <t>WOS:001037350300001</t>
  </si>
  <si>
    <t>Luukkanen, L; Uusitalo, O</t>
  </si>
  <si>
    <t>Luukkanen, Laura; Uusitalo, Outi</t>
  </si>
  <si>
    <t>Young people's perceptions of the responsibilities of organizations promoting financial capability</t>
  </si>
  <si>
    <t>focus groups; corporate social responsibility; Financial capability; financial education; young people</t>
  </si>
  <si>
    <t>CORPORATE SOCIAL-RESPONSIBILITY; EDUCATION; LITERACY; KNOWLEDGE; BEHAVIOR; ADULTS</t>
  </si>
  <si>
    <t>Today's changing market environment demands financial capability even from young consumers. This article concentrates on the perceptions of young people on the roles and responsibilities of school, public, private and non-profit sector actors in promoting financial capability among the young. The qualitative data were collected via focus group discussions among young people aged 15-26 in schools and education institutions across Finland. Educational institutions play an important role in the everyday lives of the young but tend to focus on macro-finance issues in financial education. Banks are seen as professional actors promoting financial capability to the young, but their activities are recognized as profit driven. Public sector and non-profit organizations are less familiar to young people as providers of financial information but are considered impartial and reliable. It is apparently difficult for young people to differentiate between the activities of the various parties offering financial advice. They would welcome finance-related information from several actors and from different perspectives. Financial education and financial matters are only interesting to the young when topical. In order to promote a financial capability among young people, the actors involved should become more proactive and cooperate with each other.</t>
  </si>
  <si>
    <t>[Luukkanen, Laura; Uusitalo, Outi] Univ Jyvaskyla, Sch Business &amp; Econ, Jyvaskyla 40014, Finland</t>
  </si>
  <si>
    <t>University of Jyvaskyla</t>
  </si>
  <si>
    <t>Luukkanen, L (corresponding author), Univ Jyvaskyla, Sch Business &amp; Econ, PL 35, Jyvaskyla 40014, Finland.</t>
  </si>
  <si>
    <t>laura.luukkanen@jyu.fi</t>
  </si>
  <si>
    <t>Uusitalo, Outi/0000-0002-9676-7569</t>
  </si>
  <si>
    <t>10.1111/ijcs.12082</t>
  </si>
  <si>
    <t>AA9ZU</t>
  </si>
  <si>
    <t>WOS:000331452400008</t>
  </si>
  <si>
    <t>Financial inclusion research around the world: A review</t>
  </si>
  <si>
    <t>financial inclusion; financial technology; digital finance; poverty reduction; financial stability; financial institutions; economic cycle; systemic risk; controversy; Fintech</t>
  </si>
  <si>
    <t>DETERMINANTS; LITERACY; BRITAIN</t>
  </si>
  <si>
    <t>This paper provides a comprehensive review of the recent evidence on financial inclusion from all the regions of the World. It identifies the emerging themes in the financial inclusion literature as well as some controversy in policy circles regarding financial inclusion. In particular, I draw attention to some issues such as optimal financial inclusion, extreme financial inclusion, how financial inclusion can transmit systemic risks to the formal financial sector, and whether financial inclusion and exclusion are pro-cyclical with changes in the economic cycle. The key findings in this review indicate that financial inclusion affects, and is influenced by, the level of financial innovation, poverty-levels, the stability of the financial sector, the state of the economy, financial literacy, and regulatory frameworks which differ across countries. Finally, the issues discussed in this paper opens up several avenues for future research</t>
  </si>
  <si>
    <t>[Ozili, Peterson K.] Cent Bank Nigeria, Financial Syst Stabil Directorate, Lagos, Nigeria</t>
  </si>
  <si>
    <t>Ozili, PK (corresponding author), Cent Bank Nigeria, Financial Syst Stabil Directorate, Lagos, Nigeria.</t>
  </si>
  <si>
    <t>10.1080/07360932.2020.1715238</t>
  </si>
  <si>
    <t>WM6RY</t>
  </si>
  <si>
    <t>WOS:000509326400001</t>
  </si>
  <si>
    <t>Bonhoure, E; Bawack, RE</t>
  </si>
  <si>
    <t>Bonhoure, Emilie; Bawack, Ransome Epie</t>
  </si>
  <si>
    <t>Review of the Coverage of Financial Inclusion Research Since the Implementation of the Sustainable Development Goals: What Has Changed?</t>
  </si>
  <si>
    <t>Financial inclusion; Sustainable development goals; Bibliometric; Review; Digital finance</t>
  </si>
  <si>
    <t>ECONOMIC-GROWTH; MOBILE MONEY; POVERTY REDUCTION; PANEL-DATA; ACCESS; SERVICES; LITERACY; BANKING</t>
  </si>
  <si>
    <t>Despite extensive research linking financial inclusion to sustainable development goals (SDGs), a holistic review of this body of knowledge is still lacking. We used bibliometric methods to identify progress and gaps in this research stream to fill this gap. We propose a holistic conceptual framework of financial inclusion, decomposed into five conceptual blocks: digital and non- digital finance, financial services, and individual-level and systemic factors. The results show that current financial inclusion literature contributes mainly to 6 of the 17 SDGs, with the rest being relatively under-researched.</t>
  </si>
  <si>
    <t>[Bonhoure, Emilie] KEDGE Business Sch, Talence, France; [Bawack, Ransome Epie] Audencia Business Sch, Nantes, France</t>
  </si>
  <si>
    <t>Kedge Business School; Audencia</t>
  </si>
  <si>
    <t>Bonhoure, E (corresponding author), KEDGE Business Sch, Talence, France.</t>
  </si>
  <si>
    <t>Bawack, Ransome/GLT-8064-2022</t>
  </si>
  <si>
    <t>WOS:001412689600002</t>
  </si>
  <si>
    <t>Ahmed, H</t>
  </si>
  <si>
    <t>Ahmed, Habib</t>
  </si>
  <si>
    <t>Security tokens, ecosystems and financial inclusion: Islamic perspectives</t>
  </si>
  <si>
    <t>Cryptoassets; Crypto exchange; Financial inclusion; Security tokens; SMEs; Shariah compliance</t>
  </si>
  <si>
    <t>PurposeShariah-compliant security tokens can play an important role in developing innovative solutions to resolve voluntary and involuntary financial exclusion in Muslim societies. This paper aims to present features of Shariah-compliant security tokens and supporting ecosystems that can provide additional sources of financing for small and medium enterprises (SMEs) and create alternative investment opportunities for retail investors.Design/methodology/approachThis conceptual paper presents the building blocks of security tokens, their ecosystem and key functions and activities and then examines these features from Islamic perspectives. This is done by reviewing the contemporary literature on cryptoassets and their ecosystems and analysing these in light of Islamic legal and ethical values and principles.FindingsThe paper provides a framework of how Shariah-compliant asset- and equity-based security tokens can be used by SMEs to raise funds quickly and efficiently on crypto exchanges. Given the novelty and complexity of the technology involved and the lack of understanding and skills to develop blockchain-based systems among SMEs, this paper suggests developing security tokens and exchanges in a controlled manner under the supervision of a nation's stock markets.Originality/valueAlthough several studies examine cryptocurrencies from Islamic perspectives, literature on other cryptoassets and their role in financial inclusion is scant. This paper identifies Shariah-compliant asset- and equity-based security tokens and supporting ecosystems that can contribute to the development of digital capital markets where SMEs can raise funds efficiently and retail investors can invest in alternative asset classes.</t>
  </si>
  <si>
    <t>[Ahmed, Habib] Univ Durham, Business Sch, Durham, England; [Ahmed, Habib] Univ Jordan, Sch Sharia, Dept Islamic Banking, Amman, Jordan</t>
  </si>
  <si>
    <t>Durham University; University of Jordan</t>
  </si>
  <si>
    <t>Ahmed, H (corresponding author), Univ Durham, Business Sch, Durham, England.;Ahmed, H (corresponding author), Univ Jordan, Sch Sharia, Dept Islamic Banking, Amman, Jordan.</t>
  </si>
  <si>
    <t>habib.ahmed@durham.ac.uk</t>
  </si>
  <si>
    <t>Ahmed, Habib/I-9400-2018</t>
  </si>
  <si>
    <t>10.1108/IMEFM-04-2024-0195</t>
  </si>
  <si>
    <t>K7Y5N</t>
  </si>
  <si>
    <t>WOS:001264231100001</t>
  </si>
  <si>
    <t>Simatele, M; Dlamini, P</t>
  </si>
  <si>
    <t>Simatele, Munacinga; Dlamini, Phindile</t>
  </si>
  <si>
    <t>Finance and the social mission: a quest for sustainability and inclusion</t>
  </si>
  <si>
    <t>Mission drift; Social enterprise; Financial inclusion</t>
  </si>
  <si>
    <t>MICROFINANCE INSTITUTIONS; OUTREACH; ENTREPRENEURSHIP; EFFICIENCY; PROFITABILITY; IMPACT</t>
  </si>
  <si>
    <t>Purpose - The purpose of this paper is to probe whether the quest for sustainability in financial social enterprise institutions leads to mission drift. Both formal and informal institutions play an important role as interventions to promote inclusion. They struggle between an explicit social mission and the implicit quest for sustainability. The debate remains on whether such organisations can achieve financial sustainability without compromising outreach. Design/methodology/approach - The study uses interviews and focus group discussions in nine different hybrid organisations involved in providing different types of financial services in Swaziland. Findings - The results suggest that smaller and informal enterprises tend to have less mission drift. Their risk mitigation and management approaches such as group liability and use of traditional governance structures are more adapted to the characteristics of the groups served. The modus operandi of larger enterprises tends to mimic mainstream lenders with risk mitigation measures that are inherently unsustainable for this type of market. Research limitations/implications - Sustainability in financial enterprises requires new contextualised models of risk management and client selection more appropriate for excluded groups. Moreover, using group lending as a measure of outreach maybe flawed. Other forms of social capital can be used to increase outreach even in the absence of group lending. The perceived trade-off between commercial gain and outreach is somewhat complex. Mission drift seems to depend on the capital structure. Originality/value - The paper contributes to an infant but important debate on how sustainability can be achieved without compromising outreach in financial institutions designed to increase financial inclusion.</t>
  </si>
  <si>
    <t>[Simatele, Munacinga] Univ Ft Hare, Dept Econ, East London, South Africa; [Dlamini, Phindile] Univ Swaziland, Dept Econ, Kwaluseni, Eswatini</t>
  </si>
  <si>
    <t>Simatele, M (corresponding author), Univ Ft Hare, Dept Econ, East London, South Africa.</t>
  </si>
  <si>
    <t>msimatele@ufh.ac.za</t>
  </si>
  <si>
    <t>Simatele, Munacinga Chinyama/F-8378-2017</t>
  </si>
  <si>
    <t>Simatele, Munacinga Chinyama/0000-0001-9182-2701</t>
  </si>
  <si>
    <t>10.1108/QRFM-02-2019-0024</t>
  </si>
  <si>
    <t>LL3RB</t>
  </si>
  <si>
    <t>WOS:000531471300005</t>
  </si>
  <si>
    <t>Vu, TTH</t>
  </si>
  <si>
    <t>Vu, Thi Thuy Hang</t>
  </si>
  <si>
    <t>Bibliometric insights into mobile money and data trends</t>
  </si>
  <si>
    <t>Mobile money; Data trends; Bibliometric analysis; VOSviewer; Bibliometrix R package</t>
  </si>
  <si>
    <t>This data aims to analyze the intellectual structure of mobile money studies by examining bibliographic characteristics. A dataset of 165 documents from the Scopus database was used. This study explored various aspects, including annual publication counts, country coupling, source numbers, primary research areas, co-occurrence of keywords, bibliographic linkages between sources and documents, and co-citation patterns of references. Bibliographic network mapping techniques were applied to analyze the data. The analysis was performed using VOSviewer and the Bibliometrix R package, software tools for scientific mapping. The results showed four main themes of the mobile money dataset: mobile money in Africa, financial inclusion, electronic money, and digital financial services. (c) 2025 The Author(s). Published by Elsevier Inc. This is an open access article under the CC BY-NC license (http://creativecommons.org/licenses/by-nc/4.0/)</t>
  </si>
  <si>
    <t>[Vu, Thi Thuy Hang] Thuongmai Univ, Fac Econ Informat Syst &amp; Elect Commerce, Hanoi 100000, Vietnam</t>
  </si>
  <si>
    <t>Thuongmai University</t>
  </si>
  <si>
    <t>Vu, TTH (corresponding author), Thuongmai Univ, Fac Econ Informat Syst &amp; Elect Commerce, Hanoi 100000, Vietnam.</t>
  </si>
  <si>
    <t>vuthuyhang.tmdt@tmu.edu.vn</t>
  </si>
  <si>
    <t>Vu, Thi Thuy Hang/0000-0002-8961-2059</t>
  </si>
  <si>
    <t>Thuongmai University, Hanoi, Vietnam</t>
  </si>
  <si>
    <t>This research is funded by Thuongmai University, Hanoi, Vietnam.</t>
  </si>
  <si>
    <t>10.1016/j.dib.2025.111633</t>
  </si>
  <si>
    <t>3JT5N</t>
  </si>
  <si>
    <t>WOS:001502015700007</t>
  </si>
  <si>
    <t>Hu, ZH; Zhang, D; Xiong, XP</t>
  </si>
  <si>
    <t>Hu, Zihao; Zhang, Dong; Xiong, Xueping</t>
  </si>
  <si>
    <t>Motivation, cognition, and capacity: How income risk shapes retirement saving in an aging society</t>
  </si>
  <si>
    <t>Income risk; Retirement wealth accumulation; Life-cycle hypothesis; Behavioral finance; Financial literacy; Financial exclusion</t>
  </si>
  <si>
    <t>FINANCIAL LITERACY; WEALTH; UNCERTAINTY; INCLUSION; DECISION; INCREASE</t>
  </si>
  <si>
    <t>Amid China's accelerating population aging and declining basic pension replacement rates, encouraging individuals to build retirement wealth has become a key policy priority. This study uses microdata from the 2020-2023 China Aging Finance Survey (CAFS) to examine how income risk influences retirement saving behavior. Empirical results show that income risk significantly increases both the likelihood and amount of retirement saving, supporting the life-cycle hypothesis of precautionary saving. Mechanism analyses reveal three behavioral pathways: (1) perceived income risk heightens concern about future income shortfalls, motivating saving; (2) risk exposure increases attention to financial information, though limited literacy and cognitive biases may hinder action; and (3) financial access and decision-making autonomy shape the ability to respond. Heterogeneity analyses show stronger effects among urban residents and older cohorts, while rural and younger individuals face greater barriers to translating risk awareness into saving behavior. This study contributes to the literature on life-cycle saving and behavioral finance by offering new micro-level evidence on how income uncertainty drives retirement planning and provides policy implications for strengthening financial motivation, literacy, and access.</t>
  </si>
  <si>
    <t>[Hu, Zihao; Xiong, Xueping] Huazhong Agr Univ, Coll Econ &amp; Management, Wuhan 430070, Peoples R China; [Zhang, Dong] China Agr Univ, Coll Humanities &amp; Dev Studies, Beijing 100083, Peoples R China</t>
  </si>
  <si>
    <t>Huazhong Agricultural University; China Agricultural University</t>
  </si>
  <si>
    <t>Xiong, XP (corresponding author), Huazhong Agr Univ, Coll Econ &amp; Management, Wuhan 430070, Peoples R China.</t>
  </si>
  <si>
    <t>xxp@mail.hzau.edu.cn</t>
  </si>
  <si>
    <t>National Natural Science Foundation of China [72174069]</t>
  </si>
  <si>
    <t>Funding This work was supported by National Natural Science Foundation of China [No. 72174069] .</t>
  </si>
  <si>
    <t>10.1016/j.iref.2025.104351</t>
  </si>
  <si>
    <t>4UK5Z</t>
  </si>
  <si>
    <t>WOS:001526918100002</t>
  </si>
  <si>
    <t>Rothwell, DW; Wu, SY</t>
  </si>
  <si>
    <t>Rothwell, David W.; Wu, Shiyou</t>
  </si>
  <si>
    <t>Exploring the Relationship between Financial Education and Financial Knowledge and Efficacy: Evidence from the Canadian Financial Capability Survey</t>
  </si>
  <si>
    <t>Researchers and policymakers in many countries are interested in better understanding the relationship between financial education participation and cognitive outcomes such as financial knowledge and self-efficacy. We used two waves of the nationally representative Canadian Financial Capability Survey along with propensity score matching (PSM) to compare outcomes between persons who had taken a financial education course to those who had not. After matching and adjusting for demographic and economic factors, financial education participants exhibited significantly higher objective and subjective financial knowledge and financial self-efficacy scores. Post-estimation analysis showed that higher overall objective financial knowledge scores were at least partially driven by higher scores of men. Financial education participants had higher subjective knowledge and financial self-efficacy scores for both genders and across age. Future research into financial education ought to consider cognitive dimensions in addition to behavioral and financial outcomes.</t>
  </si>
  <si>
    <t>[Rothwell, David W.] Oregon State Univ, Sch Social &amp; Behav Hlth Sci, Corvallis, OR 97331 USA; [Wu, Shiyou] Arizona State Univ, Sch Social Work, Tempe, AZ 85287 USA</t>
  </si>
  <si>
    <t>Oregon State University; Arizona State University; Arizona State University-Tempe</t>
  </si>
  <si>
    <t>Rothwell, DW (corresponding author), Oregon State Univ, Sch Social &amp; Behav Hlth Sci, Corvallis, OR 97331 USA.</t>
  </si>
  <si>
    <t>david.rothwell@oregonstate.edu; shiyou.wu@asu.edu</t>
  </si>
  <si>
    <t>Wu, Shiyou/Q-8769-2019</t>
  </si>
  <si>
    <t>Wu, Shiyou/0000-0001-6531-5351; Rothwell, David/0000-0003-0633-4071</t>
  </si>
  <si>
    <t>10.1111/joca.12259</t>
  </si>
  <si>
    <t>KV4VF</t>
  </si>
  <si>
    <t>WOS:000473984500001</t>
  </si>
  <si>
    <t>Nayak, NC; Mahakud, J; Mahalik, MK; Jenamani, M; Samal, A; Sen, S; Mohanty, AR</t>
  </si>
  <si>
    <t>Nayak, Narayan Chandra; Mahakud, Jitendra; Mahalik, Mantu Kumar; Jenamani, Mamata; Samal, Akankshya; Sen, Sweta; Mohanty, Alok Ranjan</t>
  </si>
  <si>
    <t>What determines financial inclusion? A household-level investigation in rural Odisha, India</t>
  </si>
  <si>
    <t>Financial inclusion; Modes of transactions; Financial behavior; Odisha</t>
  </si>
  <si>
    <t>In India, extensive efforts have been made to foster financial inclusion as a development strategy. However, achieving fuller financial inclusion remains a far cry. Focusing on the supply, demand, and quality side of financial inclusion based on a rural household-level survey in Odisha, this study examines the status of financial inclusion for rural households and identifies the factors determining the same. Besides, it highlights the preferred mode of financial transactions among rural people. The financial inclusion index (FII) results based on principal component analysis indicate that more than half of the sample rural households still fall under low FII. The regression results indicate that factors like landholdings, gender, caste, family types, and distance of the banks play a significant role in determining financial inclusion among rural households. Besides, household financial behavior does matter. Interestingly, an overwhelming proportion of people prefer the physical mode of financial transactions. There is, thus, a need to sensitize people to bring about a change in their financial behavior. At the same time, efforts to make programs more gender and caste-inclusive would go a long way in achieving the desired results.</t>
  </si>
  <si>
    <t>[Nayak, Narayan Chandra; Mahakud, Jitendra; Mahalik, Mantu Kumar; Samal, Akankshya; Mohanty, Alok Ranjan] Indian Inst Technol Kharagpur, Dept Humanities &amp; Social Sci, Kharagpur 721302, W Bengal, India; [Jenamani, Mamata] Indian Inst Technol Kharagpur, Dept Ind &amp; Syst Engn, Kharagpur 721302, W Bengal, India; [Sen, Sweta] Madras Sch Econ, Chennai 600025, Tamil Nadu, India</t>
  </si>
  <si>
    <t>Indian Institute of Technology System (IIT System); Indian Institute of Technology (IIT) - Kharagpur; Indian Institute of Technology System (IIT System); Indian Institute of Technology (IIT) - Kharagpur; Madras School of Economics</t>
  </si>
  <si>
    <t>Nayak, NC (corresponding author), Indian Inst Technol Kharagpur, Dept Humanities &amp; Social Sci, Kharagpur 721302, W Bengal, India.</t>
  </si>
  <si>
    <t>ncnayak@hss.iitkgp.ac.in</t>
  </si>
  <si>
    <t>Jenamani, Mamata/Q-6141-2016; Mohanty, Alok Ranjan/KMX-2299-2024; Sen, Sweta/ACY-7427-2022</t>
  </si>
  <si>
    <t>Mohanty, Alok Ranjan/0009-0002-4182-8325; Sen, Sweta/0000-0002-3066-2385</t>
  </si>
  <si>
    <t>This research has been funded by the Indian Council of Social Science Research, Ministry of Education, Government of India, New Delhi, under the Impactful Policy Research in Social Science (IMPRESS)</t>
  </si>
  <si>
    <t>10.1007/s40847-023-00302-8</t>
  </si>
  <si>
    <t>M2C0V</t>
  </si>
  <si>
    <t>WOS:001139069000001</t>
  </si>
  <si>
    <t>Nguyen, MP; Phan, A; Pham, V; Nguyen, TMP; Tran, MD</t>
  </si>
  <si>
    <t>Nguyen, Minh Phuong; Phan, Anh; Pham, Van Hieu; Nguyen, Thi Minh Phuong; Tran, Manh Dung</t>
  </si>
  <si>
    <t>DETERMINANTS INFLUENCING GEN Z?S DECISION TO USE MOBILE BANKING DISTRIBUTION CHANNEL IN VIETNAM</t>
  </si>
  <si>
    <t>JOURNAL OF ORGANIZATIONAL BEHAVIOR RESEARCH</t>
  </si>
  <si>
    <t>Mobile banking; Gen Z; Determinants; Banking distribution channels</t>
  </si>
  <si>
    <t>ADOPTION; UTAUT</t>
  </si>
  <si>
    <t>This study aims to investigate the key factors that influence the Gen Z's decision to use mobile banking services provided by commercial banks in Vietnam. In order to do that, we propose a research model in which the dependent variable is Decision to use and six independent factors of (i) Ease of use, (ii) Functional diversity, (iii) Safety and confidentiality, (iv) Risk level, (v) Approach, attraction, and (vi) Social influence. Primary data came from a survey through which 200 valid results were collected. The information is then coded and analyzed via the SPSS 20.0 software. The results reveal that two out of six proposed independent factors have the strongest relationship with the decision of using Gen Z's mobile banking services. Based on the findings, some suggestions are proposed for motivating customers to make decisions to use mobile banking services, which contribute positively to the success of the country's financial inclusion.</t>
  </si>
  <si>
    <t>[Nguyen, Minh Phuong] Banking Acad Vietnam, Fac Banking, Hanoi, Vietnam; [Phan, Anh] Banking Acad Vietnam, Banking Res Inst, Hanoi, Vietnam; [Pham, Van Hieu] Hanoi Univ Business &amp; Technol, Fac Econ, Hanoi, Vietnam; [Nguyen, Thi Minh Phuong; Tran, Manh Dung] Natl Econ Univ, Sch Accounting &amp; Auditing, Hanoi, Vietnam</t>
  </si>
  <si>
    <t>Banking Academy of Vietnam; Banking Academy of Vietnam; National Economics University - Vietnam</t>
  </si>
  <si>
    <t>Phan, A (corresponding author), Banking Acad Vietnam, Banking Res Inst, Hanoi, Vietnam.</t>
  </si>
  <si>
    <t>phananh@hvnh.edu.vn</t>
  </si>
  <si>
    <t>NGUYEN, MINH PHUONG/0009-0009-6073-654X</t>
  </si>
  <si>
    <t>GAZIOSMANPASA UNIV</t>
  </si>
  <si>
    <t>TOKAT</t>
  </si>
  <si>
    <t>60250, GAZIOSMANPASA UNIV SEHITLER KOPRUSU, TOKAT, MERKEZ TOKAT 00000, TURKEY</t>
  </si>
  <si>
    <t>2528-9705</t>
  </si>
  <si>
    <t>J ORGAN BEHAV RES</t>
  </si>
  <si>
    <t>J. Organ. Behav. Res.</t>
  </si>
  <si>
    <t>10.51847/vvtUToogGy</t>
  </si>
  <si>
    <t>Psychology, Applied</t>
  </si>
  <si>
    <t>D6WX2</t>
  </si>
  <si>
    <t>WOS:000970123200008</t>
  </si>
  <si>
    <t>Kim, KT; Anderson, SG; Seay, MC</t>
  </si>
  <si>
    <t>Kim, Kyoung Tae; Anderson, Somer G.; Seay, Martin C.</t>
  </si>
  <si>
    <t>Financial Knowledge and Short-Term and Long-Term Financial Behaviors of Millennials in the United States</t>
  </si>
  <si>
    <t>Financial literacy; Financial knowledge; Financial education; Financial behaviors; Millennials</t>
  </si>
  <si>
    <t>LITERACY; EDUCATION</t>
  </si>
  <si>
    <t>This study investigates the role of financial knowledge in various short-term and long-term financial behaviors among Millennials in the United States. Results from the 2015 National Financial Capability Study (NFCS) indicate that Millennials have lower levels of objective financial knowledge and similar levels of perceived financial knowledge as compared to all households. Consistent multivariate results find financial knowledge to be positively associated with performing positive short-term and long-term financial behaviors. Results are found to be robust across different measurements of financial knowledge and behavior, and the issue of the potential for reverse causality is specifically addressed. This study provides a comprehensive financial profile of Millennials with important insight for policymakers as well as financial practitioners.</t>
  </si>
  <si>
    <t>[Kim, Kyoung Tae] Univ Alabama, Dept Consumer Sci, Tuscaloosa, AL 35487 USA; [Anderson, Somer G.] Maryville Univ, Sch Business, St Louis, MO 63141 USA; [Seay, Martin C.] Kansas State Univ, Sch Family Studies &amp; Human Serv, Manhattan, KS 66502 USA</t>
  </si>
  <si>
    <t>University of Alabama System; University of Alabama Tuscaloosa; Maryville University Saint Louis; Kansas State University</t>
  </si>
  <si>
    <t>ktkim@ches.ua.edu; sanderson6@maryville.edu; mseay@ksu.edu</t>
  </si>
  <si>
    <t>Kim, Kyoung Tae/0000-0002-0673-721X; Anderson, Somer/0000-0002-3594-1359; Seay, Martin/0000-0003-1630-9056</t>
  </si>
  <si>
    <t>10.1007/s10834-018-9595-2</t>
  </si>
  <si>
    <t>HX8LU</t>
  </si>
  <si>
    <t>WOS:000467658200005</t>
  </si>
  <si>
    <t>Kong, ST; Loubere, N</t>
  </si>
  <si>
    <t>Kong, Sherry Tao; Loubere, Nicholas</t>
  </si>
  <si>
    <t>Digitally Down to the Countryside: Fintech and Rural Development in China</t>
  </si>
  <si>
    <t>FINANCE; MICROFINANCE; GENDER; POVERTY</t>
  </si>
  <si>
    <t>Digital finance has changed the landscape of financial service provision worldwide. China in particular, with a booming fintech sector and large numbers of users, is at the forefront of the expansion of digital financial services. As such, the country has become an important case for better understanding how fintech operates and what its expansion entails for socioeconomic development. This paper focuses on the provision of new models of digital finance in rural China by two Internet giants - JD and Alibaba. Against the backdrop of decades of generally unsuccessful attempts to expand financial coverage in rural areas by conventional bricks-and-mortar financial institutions, these two rural fintech models have the potential to expand digital financial service provision in new ways. This paper critically examines these fintech models, contextualises them within the broader trajectory of pushes to expand digital financial inclusion worldwide, considers the parallels with agricultural supplier contracting systems elsewhere, and explores the potential benefits and risks that they pose for rural development and rural livelihoods in China and elsewhere.</t>
  </si>
  <si>
    <t>[Kong, Sherry Tao] Peking Univ, Inst Digital Finance, Inst Social Sci Survey, Beijing, Peoples R China; [Loubere, Nicholas] Lund Univ, Ctr East &amp; South East Asian Studies, Box 118, S-22100 Lund, Sweden</t>
  </si>
  <si>
    <t>Peking University; Lund University</t>
  </si>
  <si>
    <t>Loubere, N (corresponding author), Lund Univ, Ctr East &amp; South East Asian Studies, Box 118, S-22100 Lund, Sweden.</t>
  </si>
  <si>
    <t>Kong, Tao/0000-0001-5684-9810; Loubere, Nicholas/0000-0002-2386-5643</t>
  </si>
  <si>
    <t>10.1080/00220388.2021.1919631</t>
  </si>
  <si>
    <t>UO1MD</t>
  </si>
  <si>
    <t>WOS:000651245800001</t>
  </si>
  <si>
    <t>Jallow, ML; Jiang, HL</t>
  </si>
  <si>
    <t>Jallow, Momodou Lamin; Jiang, Hongli</t>
  </si>
  <si>
    <t>Financial Inclusion, Household Consumption and Carbon Emission: Evidence from Sub-Saharan Africa</t>
  </si>
  <si>
    <t>JOURNAL OF SUSTAINABLE DEVELOPMENT OF ENERGY WATER AND ENVIRONMENT SYSTEMS-JSDEWES</t>
  </si>
  <si>
    <t>Carbon Emission; Financial Inclusion; Consumption; Principal Component Analysis; Sub-Saharan Africa</t>
  </si>
  <si>
    <t>ENVIRONMENTAL-QUALITY EVIDENCE; CONSTRAINTS</t>
  </si>
  <si>
    <t>Financial inclusion is essential in promoting inclusive economic growth by effectively addressing barriers that hinder individuals' access to financial markets. This research examines how financial inclusion influences carbon emissions in Sub-Saharan Africa through an extensive analysis of panels categorised by income and geographical criteria from 2004 to 2022. The study begins by developing a financial inclusion index that assesses the availability and usage of financial services using the Principal Component Analysis method. The outcomes from the twoway fixed effect model show that the expansion of financial inclusion significantly affects a nation's carbon emissions. These findings remain robust even after employing serial robustness tests and implementing an instrumental variable approach to address potential endogeneity concerns. Further scrutiny of the underlying mechanism reveals that financial inclusion stimulates consumption by enhancing individuals' and households' access to funds. The empirical findings indicate that the area lacks appropriate policy synergies between promoting financial inclusion, household consumption and reducing carbon emissions. Hence, it is imperative to include financial inclusion in climate change adaptation plans at national and regional levels, mainly to tackle the adverse consequences of increased carbon emissions linked to enhanced financial inclusion.</t>
  </si>
  <si>
    <t>[Jallow, Momodou Lamin] Jiangsu Univ, Sch Finance &amp; Econ, Zhenjiang, Peoples R China; [Jiang, Hongli] Jiangsu Univ, Dept Finance &amp; Econ, Zhenjiang, Peoples R China</t>
  </si>
  <si>
    <t>Jiangsu University; Jiangsu University</t>
  </si>
  <si>
    <t>Jallow, ML (corresponding author), Jiangsu Univ, Sch Finance &amp; Econ, Zhenjiang, Peoples R China.</t>
  </si>
  <si>
    <t>jerryjallow7@gmail.com; 1000004098@ujs.edu.cn</t>
  </si>
  <si>
    <t>Jiang, Hongli/KCY-6479-2024</t>
  </si>
  <si>
    <t>Jallow, Momodou Lamin/0009-0001-1099-7452</t>
  </si>
  <si>
    <t>INT CENTRE SUSTAINABLE DEV ENERGY WATER &amp; ENV SYSTEMS-SDEWES</t>
  </si>
  <si>
    <t>ZAGREB</t>
  </si>
  <si>
    <t>IVANA LUCICA 5, ZAGREB, 10000, CROATIA</t>
  </si>
  <si>
    <t>1848-9257</t>
  </si>
  <si>
    <t>J SUSTAIN DEV ENERGY</t>
  </si>
  <si>
    <t>J. Sustain. Dev. Energy Water Environ. Syst.-JSDEWES</t>
  </si>
  <si>
    <t>10.13044/j.sdewes.d13.0538</t>
  </si>
  <si>
    <t>U1G3C</t>
  </si>
  <si>
    <t>WOS:001409356300002</t>
  </si>
  <si>
    <t>Zhu, B; Zhai, ST; He, J</t>
  </si>
  <si>
    <t>Zhu, Bao; Zhai, Shiting; He, Jing</t>
  </si>
  <si>
    <t>Is the Development of China's Financial Inclusion Sustainable? Evidence from a Perspective of Balance</t>
  </si>
  <si>
    <t>financial inclusion; sustainable development; Gini coefficient; development balance; structural balance; dynamic shift-share model</t>
  </si>
  <si>
    <t>POVERTY REDUCTION; INDIAN ECONOMY; SERVICES; ACCESS</t>
  </si>
  <si>
    <t>Balance plays an important role in the sustainable development of China's financial inclusion. First, this paper reports the entropy weight method used to construct a financial inclusion index (FII) and measure the level of development of financial inclusion in China's regions. Second, the concept of the Gini coefficient of financial inclusion is proposed and the structural balance of China's financial inclusion is shown, as calculated by using this Gini coefficient. Third, we report the use of a dynamic shift-share model to further discuss the development balance of the financial inclusion of China's regions. The results show that there is an imbalance in the development of financial inclusion in China's regions. For 2006-2016, the Gini coefficient and the structural balance of China's financial inclusion show a significant downward trend. The gap of the financial inclusion development between regions is narrowing and the structure of China's financial inclusion tends to be reasonable. The penetration dimension is at a structural disadvantage. Availability and usage dimension are at a structural advantage, which can effectively promote the development of China's financial inclusion. In the future, the government should establish a more balanced financial inclusion development mechanism, making full use of structural advantages of the availability and usage of financial services to promote the sustainable development of China's financial inclusion.</t>
  </si>
  <si>
    <t>[Zhu, Bao; He, Jing] Hunan Univ, Coll Finance &amp; Stat, Changsha 410079, Hunan, Peoples R China; [Zhai, Shiting] Hunan Univ, Educ Sci Res Inst, Changsha 410006, Hunan, Peoples R China</t>
  </si>
  <si>
    <t>Hunan University; Hunan University</t>
  </si>
  <si>
    <t>He, J (corresponding author), Hunan Univ, Coll Finance &amp; Stat, Changsha 410079, Hunan, Peoples R China.</t>
  </si>
  <si>
    <t>zhubao@hnu.edu.cn; zhaist0607@163.com; hejing@hnu.edu.cn</t>
  </si>
  <si>
    <t>he, jing/0000-0002-5641-5155</t>
  </si>
  <si>
    <t>Fundamental Research Funds for the Central Universities of China from Hunan University</t>
  </si>
  <si>
    <t>We appreciate the referees and the editors for their valuable comments. The research is supported by the Fundamental Research Funds for the Central Universities of China from Hunan University.</t>
  </si>
  <si>
    <t>10.3390/su10041200</t>
  </si>
  <si>
    <t>GJ3IY</t>
  </si>
  <si>
    <t>WOS:000435188000304</t>
  </si>
  <si>
    <t>Rokhlinasari, S; Widagdo, R; Irwandi, SA</t>
  </si>
  <si>
    <t>Rokhlinasari, Sri; Widagdo, Ridwan; Irwandi, Soni Agus</t>
  </si>
  <si>
    <t>ETHICAL FINANCE AND MSME RESILIENCE: SHARIAH BANKING CONTRIBUTION TO INDONESIA'S ECONOMIC GROWTH</t>
  </si>
  <si>
    <t>Shariah banking; financial literacy; fintech; MSME sustainability; Islamic finance</t>
  </si>
  <si>
    <t>This study examines the effect of Shariah-compliant fintech, financial inclusion, Shariah banking governance, and financial literacy on maintaining micro, small, and medium enterprises (MSMEs) in Indonesia. A standardized survey was administered to 157 owners and managers of MSMEs who are current clients of Shariah-compliant banking entities in West Java. Purposive sampling was used to obtain relevance since West Java is among Indonesia's most dynamic MSME regions with robust Islamic banking penetration. Data were collected from June to September 2024 and analyzed using WarpPLS. This study demonstrates a profound ethical commitment regarding the protection of human subjects and the integrity of the research. The results indicate that financial literacy has the most significant direct impact on the sustainability of MSMEs (beta= 0.847, p &lt; 0.001), as it helps entrepreneurs make sound financial decisions and fortifies business endurance. Shariah banking fintech also has a direct significant but minor effect (beta = 0.057, p = 0.008), while Shariah banking governance has a positive but also minor effect (beta = 0.065, p = 0.005). Notably, financial literacy mediates the role of Shariah fintech and governance towards MSME sustainability in boosting their contribution. Nevertheless, it does not manage financial inclusion, which directly aids sustainability. These results underscore the important relationship between financial literacy and the effectiveness of Sharia-compliant financial services. The study proposes that targeted financial literacy campaigns, advanced fintech, and robust governance frameworks are needed to bolster the resilience of MSMEs and advance Indonesia's economy.</t>
  </si>
  <si>
    <t>[Rokhlinasari, Sri] State Islamic Univ Cyber Syekh Nurjati Cirebon, Fac Islamic Econ &amp; Business, Cirebon, Indonesia; [Widagdo, Ridwan] State Islamic Univ Cyber Syekh Nurjati Cirebon, Fac Islamic Econ &amp; Business, Dept Accountancy Shariah, Cirebon, Indonesia; [Irwandi, Soni Agus] Univ Hayam Wuruk Perbanas, Fac Accounting, Dept Accountancy, Cirebon, Indonesia</t>
  </si>
  <si>
    <t>Rokhlinasari, S (corresponding author), State Islamic Univ Cyber Syekh Nurjati Cirebon, Fac Islamic Econ &amp; Business, Cirebon, Indonesia.</t>
  </si>
  <si>
    <t>; Irwandi, Soni/L-9587-2014</t>
  </si>
  <si>
    <t>Rokhlinasari, Sri/0000-0002-7116-856X;</t>
  </si>
  <si>
    <t>10.21511/bbs.20(3).2025.07</t>
  </si>
  <si>
    <t>WOS:001594053300006</t>
  </si>
  <si>
    <t>Asongu, SA; Agyemang-Mintah, P; Nnanna, J; Ngoungou, YE</t>
  </si>
  <si>
    <t>Asongu, Simplice A.; Agyemang-Mintah, Peter; Nnanna, Joseph; Ngoungou, Yolande E.</t>
  </si>
  <si>
    <t>Mobile money innovations, income inequality and gender inclusion in sub-Saharan Africa</t>
  </si>
  <si>
    <t>Financial inclusion; Inequality; Mobile phones; Sub-Saharan Africa; Women; G20; O40; I10; I20; I32</t>
  </si>
  <si>
    <t>FINANCIAL DEVELOPMENT; ECONOMIC-GROWTH; INFORMATION; CORRUPTION; POVERTY; ACCESS; ICT</t>
  </si>
  <si>
    <t>This study assesses the role of mobile money innovations on income inequality and gender inclusion in 42 sub-Saharan African countries from 1980 to 2019 using interactive quantile regressions. It finds that, first, income inequality unconditionally reduces the involvement of women in business and politics. Second, mobile money innovations interact with income inequality to have a positive impact on women in business and politics. Third, the net effects of mobile money innovations on gender inclusion through income inequality are consistently negative. Fourth, as the positive conditional or interactive effects and negative net effects are consistent across the conditional distribution of gender inclusion, thresholds at which mobile money innovations can completely dampen the negative effect of income inequality on gender inclusion are provided. Therefore, policymakers should work toward improving conditions for mobile money innovations. They should also be aware that reducing both income inequality and enhancing mobile money innovations simultaneously leads to more inclusive outcomes in terms of gender inclusion.</t>
  </si>
  <si>
    <t>[Asongu, Simplice A.] Univ Johannesburg, Sch Econ, Johannesburg, South Africa; [Asongu, Simplice A.] New Uzbekistan Univ, Dept Econ &amp; Data Sci, 54 Mustaqillik Ave, Tashkent 100007, Uzbekistan; [Agyemang-Mintah, Peter] Zayed Univ, Coll Business, POB 144534, Abu Dhabi, U Arab Emirates; [Nnanna, Joseph] Dev Bank Nigeria, Clan Pl,Plot 1386A Tigris Crescent, Abuja, Nigeria; [Ngoungou, Yolande E.] Univ Yaounde 2, Soa, Cameroon</t>
  </si>
  <si>
    <t>University of Johannesburg; Zayed University</t>
  </si>
  <si>
    <t>Asongu, SA (corresponding author), Univ Johannesburg, Sch Econ, Johannesburg, South Africa.;Asongu, SA (corresponding author), New Uzbekistan Univ, Dept Econ &amp; Data Sci, 54 Mustaqillik Ave, Tashkent 100007, Uzbekistan.</t>
  </si>
  <si>
    <t>Ngoungou, Yolande/JXM-9482-2024; Simplice, Asongu/K-3436-2014</t>
  </si>
  <si>
    <t>JAN 6</t>
  </si>
  <si>
    <t>10.1186/s40854-023-00553-8</t>
  </si>
  <si>
    <t>ED1K2</t>
  </si>
  <si>
    <t>WOS:001136884500001</t>
  </si>
  <si>
    <t>Mata, OG; del Castillo, ALZ; García, AB; Herrera, EA</t>
  </si>
  <si>
    <t>Garcia Mata, Osvaldo; Zorrilla del Castillo, Ana Luz; Briseno Garcia, Arturo; Arango Herrera, Eduardo</t>
  </si>
  <si>
    <t>Financial attitude, financial behaviour, and financial knowledge, in Mexico</t>
  </si>
  <si>
    <t>CUADERNOS DE ECONOMIA</t>
  </si>
  <si>
    <t>Financial attitude; financial behaviour; financial knowledge</t>
  </si>
  <si>
    <t>The purpose of this paper is to analyse the determinants of financial literacy (FL) in Mexico, through its components: attitude, behaviour, and knowledge. An analysis of variance and ordered logit models were applied to the 2018 data from the National Survey on Financial Inclusion (NSFI). The results confirm that FL is low, a gender gap exists, and education is the factor that most influences FL in Mexico. These findings are useful in designing and implementing financial inclusion policies.</t>
  </si>
  <si>
    <t>[Garcia Mata, Osvaldo; Zorrilla del Castillo, Ana Luz; Briseno Garcia, Arturo; Arango Herrera, Eduardo] Univ Autonoma Tamaulipas, Fac Comercio &amp; Adm Victoria, Ciudad Victoria, Tamaulipas, Mexico</t>
  </si>
  <si>
    <t>Mata, OG (corresponding author), Univ Autonoma Tamaulipas, Fac Comercio &amp; Adm Victoria, Ciudad Victoria, Tamaulipas, Mexico.</t>
  </si>
  <si>
    <t>ogar-ciam@uat.edu.mx</t>
  </si>
  <si>
    <t>UNIV NAC COLOMBIA, FAC CIENCIAS ECONOMICAS, CUADERNOS ECONOMIA</t>
  </si>
  <si>
    <t>CARRERA 30 N 45-03., EDIFICIO 310, OFICINA 115, BOGOTA, 055051, COLOMBIA</t>
  </si>
  <si>
    <t>0121-4772</t>
  </si>
  <si>
    <t>2248-4337</t>
  </si>
  <si>
    <t>CUAD ECON-BOGOTA</t>
  </si>
  <si>
    <t>Cuad. Econ.</t>
  </si>
  <si>
    <t>10.15446/cuad.econ.v40n83.83247</t>
  </si>
  <si>
    <t>WN7WZ</t>
  </si>
  <si>
    <t>WOS:000711979400004</t>
  </si>
  <si>
    <t>Kiwanuka, A; Sibindi, AB</t>
  </si>
  <si>
    <t>Kiwanuka, Archillies; Sibindi, Athenia Bongani</t>
  </si>
  <si>
    <t>Insurance Literacy: Significance of Its Dimensions for Insurance Inclusion in Uganda</t>
  </si>
  <si>
    <t>insurance inclusion; financial inclusion; insurance literacy; financial literacy; insurance knowledge; skills; attitude and behaviour; Uganda</t>
  </si>
  <si>
    <t>FINANCIAL LITERACY; KNOWLEDGE; IMPACT</t>
  </si>
  <si>
    <t>The aim of the study was to establish the significance of the individual components of insurance literacy-knowledge, skills, attitude and behaviour-in explaining insurance inclusion in Uganda. The study was correlational and cross-sectional by design. Hence, 400 responses were obtained from individuals who enrolled for insurance. A hierarchical multiple regression analysis was adopted to test the predictive power of the dimensions of insurance literacy on insurance inclusion in Uganda. Before performing correlational and regression analyses, the study variables were tested for parametric assumptions, convergent and discriminant validity, common method variance and exploratory factors. The results of the study revealed that knowledge, skills and attitude significantly and positively predicted insurance inclusion in Uganda. Contrary to prior studies, behaviour was found to have an insignificant positive influence on insurance inclusion in Uganda. Overall, the individual components of insurance literacy explained 38.5% of the variation in insurance inclusion in Uganda. Notably, the current study contributes to the nascent literature on insurance literacy and insurance inclusion. Earlier studies have ignored the insurance component of financial inclusion. The originality of this study lies in that it is the first to examine the significance of the individual dimensions of insurance literacy towards explaining insurance inclusion. The implication of this study is that policymakers should consider insurance literacy in national financial inclusion strategies and financial literacy programmes in order to foster insurance inclusion.</t>
  </si>
  <si>
    <t>[Kiwanuka, Archillies] Makerere Univ Business Sch, Dept Accounting &amp; Finance, MUBS, POB 1337, Kampala, Uganda; [Sibindi, Athenia Bongani] Univ South Africa UNISA, Dept Finance Risk Management &amp; Banking, POB 392, ZA-0003 Pretoria, South Africa</t>
  </si>
  <si>
    <t>sibinab@unisa.ac.za</t>
  </si>
  <si>
    <t>Sibindi, Athenia/O-6991-2014; Kiwanuka, Archillies/LCD-3126-2024</t>
  </si>
  <si>
    <t>Sibindi, Athenia/0000-0003-0953-8424; Kiwanuka, Archillies/0000-0001-9758-2884</t>
  </si>
  <si>
    <t>10.3390/economies11020033</t>
  </si>
  <si>
    <t>9H1MF</t>
  </si>
  <si>
    <t>WOS:000938603000001</t>
  </si>
  <si>
    <t>Financial inclusion and bank stability: evidence from capital buffer and capital adequacy ratio</t>
  </si>
  <si>
    <t>JOURNAL OF CHINESE ECONOMIC AND FOREIGN TRADE STUDIES</t>
  </si>
  <si>
    <t>Financial inclusion; Bank stability; Capital adequacy ratio; Capital buffer; Financial inclusion index; Automated teller machines; Bank deposits; Commercial banks</t>
  </si>
  <si>
    <t>Purpose This study aims to examine the effect of financial inclusion on bank stability, and the effect of bank stability on financial inclusion from 2011 to 2020. Design/methodology/approach This study analyses 33 countries which are divided into Asian countries, African countries, European countries and countries in the region of the Americas and using the panel regression method. Findings The analysis for the impact of financial inclusion on bank stability shows that high levels of financial inclusion have a significant positive impact on bank stability. The regional results show that financial inclusion improves bank stability in African countries and in countries in the region of the Americas while financial inclusion impairs bank stability in European countries. The analysis for the impact of bank stability on financial inclusion shows that bank stability has a significant effect on financial inclusion. The regional analysis shows that greater bank stability decreases financial inclusion in European and African countries while greater bank stability increases financial inclusion in countries in the Americas region. The results suggest that the effect of financial inclusion on bank stability, and the effect of bank stability on financial inclusion, depends on how financial inclusion and bank stability are measured and the region examined. Originality/value Existing studies have not examined the effect of financial inclusion on capital-based measures of bank stability and have not examined the effect of capital-based measures of bank stability on the level of financial inclusion.</t>
  </si>
  <si>
    <t>[Ozili, Peterson K.] Cent Bank Nigeria, Advisory Serv Grp, Abuja, Nigeria</t>
  </si>
  <si>
    <t>Ozili, PK (corresponding author), Cent Bank Nigeria, Advisory Serv Grp, Abuja, Nigeria.</t>
  </si>
  <si>
    <t>1754-4408</t>
  </si>
  <si>
    <t>1754-4416</t>
  </si>
  <si>
    <t>J CHIN ECON FOREIGN</t>
  </si>
  <si>
    <t>J. Chin. Econ. Foreign Trade Stud.</t>
  </si>
  <si>
    <t>JAN 23</t>
  </si>
  <si>
    <t>10.1108/JCEFTS-05-2024-0035</t>
  </si>
  <si>
    <t>S8U3N</t>
  </si>
  <si>
    <t>WOS:001390182100001</t>
  </si>
  <si>
    <t>Vo, DH; Nguyen, NT</t>
  </si>
  <si>
    <t>Vo, Duc H.; Nguyen, Nhan T.</t>
  </si>
  <si>
    <t>Does financial inclusion improve bank performance in the Asian region?</t>
  </si>
  <si>
    <t>ASIAN-PACIFIC ECONOMIC LITERATURE</t>
  </si>
  <si>
    <t>ECONOMIC-GROWTH; IMPACT; FIRM</t>
  </si>
  <si>
    <t>World Bank considers financial inclusion a fundamental and practical mechanism for reducing poverty and boosting prosperity in developing and emerging markets. However, the direct benefits of financial inclusion to bank performance appear to have been largely ignored in the academic literature, in particular in the emerging markets in the Asian region. Unlike previous studies, both bank and country characteristics are considered in this paper. The financial inclusion index is estimated using four sub-indices that can be classified into two groups: the penetration and utilisation of financial products and services. Principal component analysis and dynamic generalized method of moments (GMM) are used on a sample of 1507 banks in emerging markets in Asia for the 2008-17 period. Findings indicate that, across various scenarios, financial inclusion provides a positive and significant contribution to bank performance in the Asian region. In addition, a larger distance to the bankruptcy of banks and higher national economic growth will enhance bank performance.</t>
  </si>
  <si>
    <t>[Vo, Duc H.; Nguyen, Nhan T.] Ho Chi Minh City Open Univ, Res Ctr Business Econ &amp; Resources, Ho Chi Minh City, Vietnam</t>
  </si>
  <si>
    <t>Vo, DH (corresponding author), Ho Chi Minh City Open Univ, Res Ctr Business Econ &amp; Resources, Ho Chi Minh City, Vietnam.</t>
  </si>
  <si>
    <t>; Hong Vo, Duc/R-1419-2019</t>
  </si>
  <si>
    <t>Nguyen Thien, Nhan/0000-0003-0509-0757; Hong Vo, Duc/0000-0001-7823-0349</t>
  </si>
  <si>
    <t>0818-9935</t>
  </si>
  <si>
    <t>1467-8411</t>
  </si>
  <si>
    <t>ASIAN-PAC ECON LIT</t>
  </si>
  <si>
    <t>Asian-Pac Econ. Lit.</t>
  </si>
  <si>
    <t>10.1111/apel.12330</t>
  </si>
  <si>
    <t>WU7XA</t>
  </si>
  <si>
    <t>WOS:000672097100001</t>
  </si>
  <si>
    <t>Immurana, M; Kisseih, KG; Ziblilla, YM; Kizhakkekara, TJM; Boachie, MK; Halidu, BO; Mohammed, J; Kaleem, I; Mohammed, A; Doegah, PT</t>
  </si>
  <si>
    <t>Immurana, Mustapha; Kisseih, Kwame Godsway; Ziblilla, Yakubu Mbanba; Kizhakkekara, Toby Joseph Mathew; Boachie, Micheal Kofi; Halidu, Babamu Osman; Mohammed, Jamal; Kaleem, Ibrahim; Mohammed, Ayisha; Doegah, Phidelia Theresa</t>
  </si>
  <si>
    <t>Financial inclusion and improved water usage among households in Ghana</t>
  </si>
  <si>
    <t>Financial inclusion; Use of improved water; Ghana; Health and wellbeing; Households</t>
  </si>
  <si>
    <t>Background In Ghana, about 76% of households are at risk of drinking water polluted with faecal matter, hence, poor sanitation and unsafe water are responsible for 80% of all diseases in the country. Given this, some studies have been carried out concerning the factors that determine access and use of improved water among households in Ghana. However, although financial inclusion can make it easy for households to afford and hence, use improved water, it has received very little attention. This study, thus, examines the effect of financial inclusion on the use of improved water among households in Ghana.Methods The Ghana Living Standards Survey round 7 (GLSS7) is used as the data source while the binary logit regression is employed as the main empirical estimation technique.Results The results show that households with financial inclusion (employing an indicator which has not been disaggregated into formal and informal financial inclusion) have a higher likelihood of using improved water sources relative to those without financial inclusion. The results are robust using formal financial inclusion as well as a combined index of financial inclusion.Conclusion Enhancing financial inclusion, especially formal financial inclusion can be utilised as a major policy instrument towards increasing access and use of improved water sources among households in Ghana.</t>
  </si>
  <si>
    <t>[Immurana, Mustapha; Doegah, Phidelia Theresa] Univ Hlth &amp; Allied Sci, Inst Hlth Res, Ho, Ghana; [Kisseih, Kwame Godsway] Christian Hlth Assoc Ghana, Accra, Ghana; [Ziblilla, Yakubu Mbanba] Univ Dev Studies, Dept Appl Econ, Tamale, Ghana; [Kizhakkekara, Toby Joseph Mathew] EKNM Govt Coll Elerithattu, Post Grad Dept Econ, Elerithattu 671314, Kerala, India; [Boachie, Micheal Kofi] Univ KwaZulu Natal, Coll Hlth Sci, Sch Nursing &amp; Publ Hlth, Pietermaritzburg, South Africa; [Halidu, Babamu Osman] Kumasi Tech Univ, Dept Accountancy &amp; Accounting Informat Syst, Kumasi, Ghana; [Mohammed, Jamal] Koforidua Tech Univ, Dept Genera, Liberal Studies, Koforidua, Ghana; [Kaleem, Ibrahim] Simon Diedong Dombo Univ Business &amp; Integrated Dev, Sch Business, Dept Management Studies, Wa, Ghana; [Mohammed, Ayisha] Akenten Appiah Menka Univ Skills Training &amp; Entrep, Kumasi, Ghana</t>
  </si>
  <si>
    <t>University for Development Studies; University of Kwazulu Natal</t>
  </si>
  <si>
    <t>Immurana, M (corresponding author), Univ Hlth &amp; Allied Sci, Inst Hlth Res, Ho, Ghana.</t>
  </si>
  <si>
    <t>MOHAMMED, JAMAL/AAU-7227-2020; Doegah, Phidelia Theresa/ITV-9881-2023; Immurana, Mustapha/AEU-4908-2022; Boachie, Micheal/N-5240-2019; Halidu, Osman/HZJ-8417-2023</t>
  </si>
  <si>
    <t>MOHAMMED, JAMAL/0000-0001-6946-5859; Doegah, Phidelia Theresa/0000-0001-8501-3676; Immurana, Mustapha/0000-0001-5711-7566; Yakubu, Mbanba Ziblilla/0000-0002-3176-2230;</t>
  </si>
  <si>
    <t>MAY 15</t>
  </si>
  <si>
    <t>10.1186/s12889-024-18715-3</t>
  </si>
  <si>
    <t>QX3T5</t>
  </si>
  <si>
    <t>WOS:001224135300006</t>
  </si>
  <si>
    <t>Arebo, MJ; Hando, FH; Mekonnen, AG</t>
  </si>
  <si>
    <t>Arebo, Mohammed Jatoro; Hando, Filmon Hadaro; Mekonnen, Andualem Goshu</t>
  </si>
  <si>
    <t>A Multidimensional Financial Inclusion Index for Ethiopia</t>
  </si>
  <si>
    <t>Financial inclusion; Multidimensional composite index; Principal component analysis; Ethiopia's commercial banks</t>
  </si>
  <si>
    <t>PRINCIPAL COMPONENTS; IMPACT; BANKING; ACCESS</t>
  </si>
  <si>
    <t>This study develops a multi-dimensional composite index to measure financial inclusion in Ethiopia, using a two-stage Principal Component Analysis based on ten traditional and five digital indicators from 2015 to 2023. The results reveal a significant increase in Ethiopia's financial inclusion score, rising from an average of 10.89% in 2015 to 52.18% in 2023. Among the dimensions, traditional availability (0.2625) is the most influential, followed by traditional usage (0.2616), digital accessibility (0.2505), and digital availability (0.2254). Further analysis reveals that the Commercial Bank of Ethiopia alone contributes 48.99% for financial inclusion score, while five medium-sized and eleven small-sized private banks collectively account for 29.26% and 21.75%, respectively. The developed index proves to be a valuable tool for policymaking and evaluation, addressing previous limitations like arbitrary weight selection. It offers sistent with existing studies.</t>
  </si>
  <si>
    <t>[Arebo, Mohammed Jatoro] Addis Ababa Univ AAU, Coll Dev Studies CDS, Dept Reg &amp; Local Dev Studies RLDS, Addis Ababa, Ethiopia; [Hando, Filmon Hadaro] AAU, Dev Governance &amp; Gender Equal, CDS RLDS, Addis Ababa, Ethiopia; [Mekonnen, Andualem Goshu] AAU, CDS RLDS, Addis Ababa, Ethiopia</t>
  </si>
  <si>
    <t>Arebo, MJ (corresponding author), Addis Ababa Univ AAU, Coll Dev Studies CDS, Dept Reg &amp; Local Dev Studies RLDS, Addis Ababa, Ethiopia.</t>
  </si>
  <si>
    <t>mohammed.jatoro@aau.edu.et</t>
  </si>
  <si>
    <t>Hando, FILMON Hadaro/JXL-9572-2024; Mekonnen, Andualem Goshu/MDT-7985-2025; Arebo, Mohammed/LRS-9966-2024</t>
  </si>
  <si>
    <t>Hando, FILMON Hadaro/0000-0001-5734-5438; Arebo, Mohammed/0009-0006-8289-4336; Mekonnen, Andualem Goshu/0000-0002-8354-6206;</t>
  </si>
  <si>
    <t>10.18267/j.pep.886</t>
  </si>
  <si>
    <t>2RT8T</t>
  </si>
  <si>
    <t>WOS:001489757500005</t>
  </si>
  <si>
    <t>Socio-economic development through self-help groups in rural India - a qualitative study</t>
  </si>
  <si>
    <t>Banks; SHG; Financial Inclusion; Micro financial institutions</t>
  </si>
  <si>
    <t>FINANCIAL INCLUSION; INSTITUTIONS; CREDIT</t>
  </si>
  <si>
    <t>Purpose Through a thematic analysis, this research study aims to examine the role of microfinance institutions (MFIs) and self-help groups (SHGs) in empowering rural women and their contribution to financial inclusion in India. Sustainable development can be achieved when resources are equally available and accessible for all, irrespective of gender differences. Design/methodology/approach For qualitative research, the response was collected through focused group discussion and gathered responses from members working in SHGs in Uttarakhand in India. Thematic analysis was done to analyse the data till the saturation level was reached. Findings Despite several socio-economic developments worldwide, women still fall among some of the most vulnerable communities, unable to access resources at par with men. Thus, women's empowerment emerges as a theme central to sustainable development. MFIs are looking to empower women by increasing their savings habits. There are consistent efforts on the part of the government to formalize the system of SHGs and give them additional financial support by creating a proper link between the banking system and SHGs. We also need technology and innovation for creating financial literacy among women. Women's empowerment cannot be achieved unless they are involved in financial inclusion by creating awareness. Originality/value The research focuses on people's socio-economic development, especially women living in hilly and rural areas within the specific context of Uttarakhand in India. This research will provide an opportunity for strategic approaches and reveal the areas where government needs to focus for sustainable development.</t>
  </si>
  <si>
    <t>[Kandpal, Vinay] UPES, Dept Gen Management, Dehra Dun, Uttarakhand, India</t>
  </si>
  <si>
    <t>Kandpal, V (corresponding author), UPES, Dept Gen Management, Dehra Dun, Uttarakhand, India.</t>
  </si>
  <si>
    <t>10.1108/QRFM-10-2021-0170</t>
  </si>
  <si>
    <t>4Q1KX</t>
  </si>
  <si>
    <t>WOS:000767480200001</t>
  </si>
  <si>
    <t>Wakunuma, K; Siwale, J; Beck, R</t>
  </si>
  <si>
    <t>Wakunuma, Kutoma; Siwale, Juliana; Beck, Robert</t>
  </si>
  <si>
    <t>Computing for social good: Supporting microfinance institutions in Zambia</t>
  </si>
  <si>
    <t>financial inclusion; information communication technologies; microfinance; microfinance institutions; social good; Zambia</t>
  </si>
  <si>
    <t>COMMUNICATION TECHNOLOGY; FINANCIAL INCLUSION; EFFICIENCY; ENTREPRENEURSHIP; INFORMATION; BANKING; IMPACT; ICT</t>
  </si>
  <si>
    <t>We investigate whether information and communication technologies (ICTs) can be used to achieve social good as they are implemented in microfinance institutions (MFIs) in Zambia. We find through information gathered from interviews with MFI officials that their organizations are focused primarily on survival in a competitive financial climate. Additionally, our findings reveal that most MFI business within the context of ICTs only promotes social good by default and not by design. This means that social good is not a primary mover or something that MFIs plan to achieve when they integrate ICTs into their business models but that it happens because of the assumed mission of primarily serving the informal sector small business and microbusiness and the low-income clients.</t>
  </si>
  <si>
    <t>[Wakunuma, Kutoma] De Montfort Univ, Ctr Comp &amp; Social Responsibil, Leicester, Leics, England; [Siwale, Juliana] Nottingham Trent Univ, Nottingham Business Sch, Nottingham, England; [Beck, Robert] Villanova Univ, Dept Comp Sci, Villanova, PA 19085 USA</t>
  </si>
  <si>
    <t>De Montfort University; University of Nottingham; Nottingham Trent University; Villanova University</t>
  </si>
  <si>
    <t>Wakunuma, K (corresponding author), De Montfort Univ, Ctr Comp &amp; Social Responsibil, Leicester, Leics, England.</t>
  </si>
  <si>
    <t>kutoma@dmu.ac.uk</t>
  </si>
  <si>
    <t>; Wakunuma, Kutoma/OQJ-7119-2025</t>
  </si>
  <si>
    <t>Siwale, Juliana/0000-0002-6315-0896; Wakunuma, Kutoma/0000-0002-8236-3221</t>
  </si>
  <si>
    <t>e12090</t>
  </si>
  <si>
    <t>10.1002/isd2.12090</t>
  </si>
  <si>
    <t>HY7KP</t>
  </si>
  <si>
    <t>WOS:000468314100002</t>
  </si>
  <si>
    <t>Jones-Sanpei, HA; Nance, RJ</t>
  </si>
  <si>
    <t>Jones-Sanpei, Hinckley A.; Nance, Richard J.</t>
  </si>
  <si>
    <t>Financial Capability in Addiction Research and Clinical Practice</t>
  </si>
  <si>
    <t>SUBSTANCE USE &amp; MISUSE</t>
  </si>
  <si>
    <t>Financial capability; substance use disorders; money management; financial literacy; addiction services; addiction; finances; addiction treatment</t>
  </si>
  <si>
    <t>Background:Substance use disorders (SUDs) impact everything about an individual's life-health, family, employment, education, housing, transportation, and finances. By the time individuals with SUDs begin treatment-especially in publicly funded programs-most have few financial resources. Many have resorted to property crimes, resulting in fines, fees, and restitution costs that compound their financial difficulties. Reestablishing financial functioning is key to recovering from the consequences of addiction. Yet access to cash may also trigger relapses-especially in early recovery. Objective: This paper reports initial results from studies exploring how clients in treatment for SUDs manage their financial responsibilities, assessing their financial capability both in terms of access to financial services and personal financial literacy. Method: Using data collected between June 2017 and October 2019 from almost 5,000 SUD clients as they entered treatment as well as a financial needs assessment study of 70 clients during treatment, we conducted Chi-square testing and logistic regressions to analyze the relationships between client characteristics and financial capability. Results: Our results indicated that over 50% of individuals in addiction treatment did not have access to accounts at insured financial institutions, and that clients' ages and education levels were significantly related to their financial capability. We also found that 78% of clients feel that money management skills are important to their recovery. Conclusions: Many SUD clients in recovery have limited financial capability, and they are interested in developing financial skills. Increasing client financial capability may be an underemphasized, yet important part of recovery capital.</t>
  </si>
  <si>
    <t>[Jones-Sanpei, Hinckley A.] Brigham Young Univ, Polit Sci Dept, Provo, UT 84602 USA; [Nance, Richard J.] Utah Cty Dept Drug &amp; Alcohol Prevent &amp; Treatment, Provo, UT USA</t>
  </si>
  <si>
    <t>Jones-Sanpei, HA (corresponding author), Univ Denver, Korbel Sch Int Studies, Scrivner Inst Publ Policy, 2201 S Gaylord St, Denver, CO 80208 USA.</t>
  </si>
  <si>
    <t>hinckley.jones-sanpei@du.edu</t>
  </si>
  <si>
    <t>1082-6084</t>
  </si>
  <si>
    <t>1532-2491</t>
  </si>
  <si>
    <t>SUBST USE MISUSE</t>
  </si>
  <si>
    <t>Subst. Use Misuse</t>
  </si>
  <si>
    <t>10.1080/10826084.2020.1853776</t>
  </si>
  <si>
    <t>Substance Abuse; Psychiatry; Psychology</t>
  </si>
  <si>
    <t>PV7TJ</t>
  </si>
  <si>
    <t>WOS:000597362900001</t>
  </si>
  <si>
    <t>Botchey, FE; Qin, Z; Hughes-Lartey, K</t>
  </si>
  <si>
    <t>Botchey, Francis Effirim; Qin, Zhen; Hughes-Lartey, Kwesi</t>
  </si>
  <si>
    <t>Mobile Money Fraud Prediction-A Cross-Case Analysis on the Efficiency of Support Vector Machines, Gradient Boosted Decision Trees, and Naive Bayes Algorithms</t>
  </si>
  <si>
    <t>FinTech; mobile money transaction; fraud; machine learning</t>
  </si>
  <si>
    <t>CLASSIFICATION; PERFORMANCE; SMOTE</t>
  </si>
  <si>
    <t>The onset of COVID-19 has re-emphasized the importance of FinTech especially in developing countries as the major powers of the world are already enjoying the advantages that come with the adoption of FinTech. Handling of physical cash has been established as a means of transmitting the novel corona virus. Again, research has established that, been unbanked raises the potential of sinking one into abject poverty. Over the years, developing countries have been piloting the various forms of FinTech, but the very one that has come to stay is the Mobile Money Transactions (MMT). As mobile money transactions attempt to gain a foothold, it faces several problems, the most important of them is mobile money fraud. This paper seeks to provide a solution to this problem by looking at machine learning algorithms based on support vector machines (kernel-based), gradient boosted decision tree (tree-based) and Naive Bayes (probabilistic based) algorithms, taking into consideration the imbalanced nature of the dataset. Our experiments showed that the use of gradient boosted decision tree holds a great potential in combating the problem of mobile money fraud as it was able to produce near perfect results.</t>
  </si>
  <si>
    <t>[Botchey, Francis Effirim; Qin, Zhen; Hughes-Lartey, Kwesi] Univ Elect Sci &amp; Technol China, Sch Informat &amp; Software Engn, Chengdu 610051, Peoples R China; [Botchey, Francis Effirim; Hughes-Lartey, Kwesi] Koforidua Tech Univ, Dept Comp Sci, Koforidua EN-112-2188, Koforidua, Ghana</t>
  </si>
  <si>
    <t>University of Electronic Science &amp; Technology of China</t>
  </si>
  <si>
    <t>Qin, Z (corresponding author), Univ Elect Sci &amp; Technol China, Sch Informat &amp; Software Engn, Chengdu 610051, Peoples R China.</t>
  </si>
  <si>
    <t>botcheyfrancis@gmail.com; qinzhen@uestc.edu.cn; kwesihl@gmail.com</t>
  </si>
  <si>
    <t>Botchey, Francis/0000-0001-8327-4469; Hughes-Lartey, Kwesi/0000-0002-9289-5950; Qin, Zhen/0000-0001-7857-9719</t>
  </si>
  <si>
    <t>Frontier Science and Technology Innovation Projects of National Key RD Program [2019QY1405]; National Natural Science Foundation of China [61672135]; Sichuan Science-Technology Support Plan Program [2018GZ0236, 2017FZ0004]; Fundamental Research Funds for the Central Universities [2672018ZYGX2018J057]; CERNET Innovation Project [NGII20180404]</t>
  </si>
  <si>
    <t>Frontier Science and Technology Innovation Projects of National Key RD Program; National Natural Science Foundation of China(National Natural Science Foundation of China (NSFC)); Sichuan Science-Technology Support Plan Program; Fundamental Research Funds for the Central Universities(Fundamental Research Funds for the Central UniversitiesPrince of Songkla UniversityInstituto Politecnico Nacional - Mexico); CERNET Innovation Project</t>
  </si>
  <si>
    <t>This work was supported in part by the Frontier Science and Technology Innovation Projects of National Key R&amp;D Program (No. 2019QY1405), the National Natural Science Foundation of China (No. 61672135), the Sichuan Science-Technology Support Plan Program (No. 2018GZ0236 and No. 2017FZ0004), the Fundamental Research Funds for the Central Universities (No. 2672018ZYGX2018J057), and the CERNET Innovation Project (No. NGII20180404).</t>
  </si>
  <si>
    <t>10.3390/info11080383</t>
  </si>
  <si>
    <t>OC0HO</t>
  </si>
  <si>
    <t>WOS:000578844400001</t>
  </si>
  <si>
    <t>David-West, O; Iheanachor, N; Umukoro, IO</t>
  </si>
  <si>
    <t>David-West, Olayinka; Iheanachor, Nkemdilim; Umukoro, Immanuel Ovemeso</t>
  </si>
  <si>
    <t>Mobile money as a frugal innovation for the bottom of the pyramid - Cases of selected African countries</t>
  </si>
  <si>
    <t>Frugal innovation; mobile money; resource constraints</t>
  </si>
  <si>
    <t>ENTREPRENEURS; CONSTRUCTION; INSTITUTIONS; FRAMEWORK; CULTURE</t>
  </si>
  <si>
    <t>This paper explores the concept of mobile money as a frugal innovation and a business model. While the frugal innovation theory is evolving, frugality addresses three critical issues about social problems, resources constraints and institutional voids. This paper argues that mobile money as a frugal innovation lies at the intersection of social innovation, technological innovation, and institutional innovation. The paper adopted a case study approach allowing for quantitative and qualitative analysis and interpretation of data to explore mobile money adoptions in selected African countries. We drew the study sample purposefully from countries that have witnessed significant adoption of mobile money services. We went on to layer data representing the cost of financial services, distribution or financial services points and financial inclusion rates from the select sub-Saharan African countries on the literature evidence, we interrogate the extent to which mobile money is both a frugal innovation and business model. This paper concludes that mobile money as a frugal innovation addresses affordability constraints and resource constraints, and reduces institutional voids in resource-constrained environments.</t>
  </si>
  <si>
    <t>[David-West, Olayinka; Umukoro, Immanuel Ovemeso] Pan Atlantic Univ, Lagos Business Sch, Sustainable &amp; Inclus Digital Financial Serv SIDFS, Lagos, Nigeria; [Iheanachor, Nkemdilim] Lagos Business Sch, Strateg Management, Lagos, Nigeria</t>
  </si>
  <si>
    <t>Iheanachor, N (corresponding author), Lagos Business Sch, Strateg Management, Lagos, Nigeria.</t>
  </si>
  <si>
    <t>niheanachor@lbs.edu.ng</t>
  </si>
  <si>
    <t>; Umukoro, Immanuel/M-4056-2016; David-West, Olayinka/B-4754-2009</t>
  </si>
  <si>
    <t>Iheanachor, Nkeilim/0000-0003-1139-9355; Umukoro, Immanuel/0000-0002-2054-5070; David-West, Olayinka/0000-0002-5545-7230</t>
  </si>
  <si>
    <t>10.1080/23322373.2019.1652023</t>
  </si>
  <si>
    <t>JH4ZK</t>
  </si>
  <si>
    <t>WOS:000492778700004</t>
  </si>
  <si>
    <t>Ozdemir, M; Savasan, F; Ulev, S</t>
  </si>
  <si>
    <t>Ozdemir, Mucahit; Savasan, Fatih; Ulev, Salih</t>
  </si>
  <si>
    <t>Leveraging financial inclusion through Islamic microfinance: A new model proposal for participation banks in Turkiye</t>
  </si>
  <si>
    <t>Islamic microfinance; Microfinance; Participation banks</t>
  </si>
  <si>
    <t>This study provides a tailor-made microfinance model for participation banks (PBs) in Turkiye, benefiting from the global practices and comments of the key stakeholders collected in 40 depth interviews. We find that PBs have significant potential with respect to the source of funds, financing instruments, and risk management tools. The stakeholders have a broad consensus that if PBs are to play their development role, they should integrate microfinance into their activities. The study provides the most comprehensive research on Islamic microfinance in Turkiye, incorporating the opinions of participation bankers, managers of Islamic microfinance institutions (MFIs), regulatory authority representatives, and academics, including shari'ah scholars. The proposed model contributes to the limited literature on Islamic microfinance in Turkiye and offers practical implications for PBs through which they can strengthen their social responsibility role and contribute to the financial inclusion of people with a low income.Copyright &amp; COPY; 2023 Borsa Istanbul Anonim S, irketi. Published by Elsevier B.V. This is an open access article under the CC BY-NC-ND license (http://creativecommons.org/licenses/by-nc-nd/4.0/).</t>
  </si>
  <si>
    <t>[Ozdemir, Mucahit] Uludag Univ, Dept Econ, Bursa, Turkiye; [Savasan, Fatih] Sakarya Univ, Fac Polit Sci, Publ Finance Dept, Sakarya, Turkiye; [Ulev, Salih] Sakarya Univ, Fac Polit Sci, Res Ctr Islam Econ &amp; Finance, Islamic Econ &amp; Finance Dept, Sakarya, Turkiye</t>
  </si>
  <si>
    <t>Uludag University; Sakarya University; Sakarya University</t>
  </si>
  <si>
    <t>Ozdemir, M (corresponding author), Uludag Univ, Dept Econ, Bursa, Turkiye.</t>
  </si>
  <si>
    <t>mucahitozdemir@uludag.edu.tr; fsavasan@sakarya.edu.tr; salihulev@sakarya.edu.tr</t>
  </si>
  <si>
    <t>SAVAŞAN, Fatih/AAP-6033-2021; ÖZDEMİR, MÜCAHİT/AAG-2224-2021; Ülev, Salih/AAP-5691-2021</t>
  </si>
  <si>
    <t>SAVAŞAN, Fatih/0000-0002-7522-2607; ÖZDEMİR, MÜCAHİT/0000-0002-4455-5943;</t>
  </si>
  <si>
    <t>10.1016/j.bir.2023.01.011</t>
  </si>
  <si>
    <t>K0HF9</t>
  </si>
  <si>
    <t>WOS:001013338400001</t>
  </si>
  <si>
    <t>Assessing the Academic Journey of 'Financial Inclusion' from 2000 to 2020 through Bibliometric Analysis</t>
  </si>
  <si>
    <t>JOURNAL OF SCIENTOMETRIC RESEARCH</t>
  </si>
  <si>
    <t>Financial Inclusion; Bibliometric; VoSViewer; Scopus database; Knowledge Mapping</t>
  </si>
  <si>
    <t>INTELLECTUAL STRUCTURE; CORPORATE GOVERNANCE; BEHAVIORAL FINANCE; SELF-SUFFICIENCY; POOR HOUSEHOLDS; MANAGEMENT; AFRICA; GROWTH; CREDIT; MICROFINANCE</t>
  </si>
  <si>
    <t>In developing countries like India, Financial Inclusion has gained scholarly attention over the last two decades. In this work, the authors have analysed the bibliometric information obtained from Scopus database pertaining to the keyword 'Financial Inclusion' and produced the visualisation networks by using the open-source Vosviewer software. After applying all the necessary principles of exclusion, the authors have deployed journal-wise, author-wise, country wise and keywords cluster-wise analysis of 463 articles. The study found that in contemporary times, research attention should be given to the fields such as financial policymaking aiming at poverty eradication through women's contribution. The field of financial inclusion gained momentum after 2013, and steady growth in the research was observedup to 2019. The policy framework changes in India make the country hotspot for research regarding financial inclusion where an ample amount of research was found on financial services and microfinance.</t>
  </si>
  <si>
    <t>[Chhatoi, Biswajit Prasad; Sahoo, Sharada Prasad; Nayak, Durga Prasad] Khallikote Univ, Dept Econ &amp; Management, Berhampur 761008, Odisha, India</t>
  </si>
  <si>
    <t>Chhatoi, BP (corresponding author), Khallikote Univ, Dept Econ &amp; Management, Berhampur 761008, Odisha, India.</t>
  </si>
  <si>
    <t>Indian Council for Social Science Research (ICSSR)</t>
  </si>
  <si>
    <t>The Authors thanked Indian Council for Social Science Research (ICSSR), as funding and sponsoring the project entitled An impact assessment of financial literacy on financial inclusion: special reference to Khurda and Ganjam districts of Odisha and this piece of work is a outcome of that project.</t>
  </si>
  <si>
    <t>PHCOG NET</t>
  </si>
  <si>
    <t>KARNATAKA</t>
  </si>
  <si>
    <t>17, 2ND FLR, BUDDHA VIHAR RD, NEAR SPORTS ZONE, COX TOWN, BENGALURU, KARNATAKA, 560005, INDIA</t>
  </si>
  <si>
    <t>2321-6654</t>
  </si>
  <si>
    <t>2320-0057</t>
  </si>
  <si>
    <t>J SCIENTOMETR RES</t>
  </si>
  <si>
    <t>J. Scientometr. Res.</t>
  </si>
  <si>
    <t>10.5530/jscires.10.2.29</t>
  </si>
  <si>
    <t>WK3EL</t>
  </si>
  <si>
    <t>WOS:000709612000002</t>
  </si>
  <si>
    <t>Pandey, DK</t>
  </si>
  <si>
    <t>Pandey, Dharen Kumar</t>
  </si>
  <si>
    <t>FinTech and small and medium enterprises: current state and future directions</t>
  </si>
  <si>
    <t>TQM JOURNAL</t>
  </si>
  <si>
    <t>FinTech; Small- and medium-sized enterprises; Financial inclusion; Crowdfunding; Bibliometric analysis</t>
  </si>
  <si>
    <t>BIBLIOMETRIC ANALYSIS; SCIENCE; WEB; PRODUCTIVITY; ADOPTION; FINANCE; SMES</t>
  </si>
  <si>
    <t>Purpose - Financial technology (FinTech) is the result of the rapid convergence of financial services and advanced technology. FinTech has significantly transformed traditional financial institutions and the financial landscape for small and medium enterprises (SMEs). This study examined the current state and future directions of FinTech adoption and its implications for SMEs. Design/methodology/approach - Citation analysis, bibliographic coupling and keyword co-occurrence analysis were employed to perform a bibliometric analysis of 125 Scopus-indexed documents published from 2016 to April 2024. The analysis synthesized existing research and identified key themes, influential research and emerging trends in FinTech and SMEs. The study used VOSviewer and Gephi for the analysis and visualization. Findings - FinTech has introduced novel approaches to credit scoring, alternative financing and digital financial inclusion. However, gaps remain in understanding the full scope of these innovations and their impact on corporate supply chains and Islamic finance. The role of artificial intelligence in revolutionizing credit assessment and the regulatory frameworks governing FinTech companies remains underexplored. The findings highlight the role of FinTech in addressing challenges that SMEs face, such as regulatory complexities and access to financing, thus fostering innovation and economic growth. This study highlights underexplored areas for future research. Originality/value - The novelty of the study lies in its bibliometric analysis of FinTech-SME literature. It maps the existing body of research to contribute to academic discourse by identifying emerging research trends, gaps and opportunities for future research. The study also provides valuable insights for researchers, policymakers and practitioners on leveraging FinTech to benefit SMEs.</t>
  </si>
  <si>
    <t>[Pandey, Dharen Kumar] Indian Inst Management Sambalpur, Sambalpur, India</t>
  </si>
  <si>
    <t>Indian Institute of Management (IIM System); Indian Institute of Management Sambalpur</t>
  </si>
  <si>
    <t>Pandey, DK (corresponding author), Indian Inst Management Sambalpur, Sambalpur, India.</t>
  </si>
  <si>
    <t>Pandey, Dharen Kumar/AAD-5153-2021</t>
  </si>
  <si>
    <t>1754-2731</t>
  </si>
  <si>
    <t>1754-274X</t>
  </si>
  <si>
    <t>TQM J</t>
  </si>
  <si>
    <t>TQM J.</t>
  </si>
  <si>
    <t>2025 APR 7</t>
  </si>
  <si>
    <t>10.1108/TQM-07-2024-0259</t>
  </si>
  <si>
    <t>0YR0S</t>
  </si>
  <si>
    <t>WOS:001459154000001</t>
  </si>
  <si>
    <t>Klapper, L; Lusardi, A; Panos, GA</t>
  </si>
  <si>
    <t>Klapper, Leora; Lusardi, Annamaria; Panos, Georgios A.</t>
  </si>
  <si>
    <t>Financial literacy and its consequences: Evidence from Russia during the financial crisis</t>
  </si>
  <si>
    <t>Financial literacy; Financial crisis; Financial inclusion; Russia</t>
  </si>
  <si>
    <t>MATCH BIAS</t>
  </si>
  <si>
    <t>The ability of consumers to make informed financial decisions improves their ability to develop sound personal finance. This paper uses a panel data set from Russia, an economy in which household debt has grown at an astounding rate, to examine the importance of financial literacy and its effects on behavior. The paper studies both the financial and real consequences of financial illiteracy. Even though consumer borrowing increased very rapidly in Russia, only 41% of respondents demonstrate an understanding of interest compounding and only 46% can answer a simple question about inflation. Financial literacy is positively related to participation in financial markets and negatively related to the use of informal sources of borrowing. Moreover, individuals with higher financial literacy are significantly less likely to report experiencing a negative income shock during 2009 and have greater availability of unspent income and higher spending capacity. The relationship between financial literacy and availability of unspent income is higher in 2009, suggesting that financial literacy may better equip individuals to deal with macroeconomic shocks. (C) 2013 Published by Elsevier B.V.</t>
  </si>
  <si>
    <t>[Klapper, Leora] World Bank, Washington, DC 20433 USA; [Lusardi, Annamaria] George Washington Univ, Sch Business, Washington, DC 20052 USA; [Panos, Georgios A.] Univ Stirling, Stirling FK9 4LA, Scotland</t>
  </si>
  <si>
    <t>The World Bank; George Washington University; University of Stirling</t>
  </si>
  <si>
    <t>Klapper, L (corresponding author), World Bank, Washington, DC 20433 USA.</t>
  </si>
  <si>
    <t>lklapper@worldbank.org; alusardi@gwu.edu; georgios.panos@stir.ac.uk</t>
  </si>
  <si>
    <t>10.1016/j.jbankfin.2013.07.014</t>
  </si>
  <si>
    <t>210DL</t>
  </si>
  <si>
    <t>WOS:000323809400014</t>
  </si>
  <si>
    <t>Agbo, M; Zabsonré, A</t>
  </si>
  <si>
    <t>Agbo, Maxime; Zabsonre, Agnes</t>
  </si>
  <si>
    <t>Is Promoting Mobile Money Usage Consistent With Restricting Access to Phone Communication?: An Analysis of Direct and Indirect Network Effects in Mobile Money Adoption in Burkina Faso</t>
  </si>
  <si>
    <t>SOUTH AFRICAN JOURNAL OF ECONOMICS</t>
  </si>
  <si>
    <t>Burkina Faso; direct network effects; financial; FinScope; indirect network effects; mobile money; multivariate probit</t>
  </si>
  <si>
    <t>SOCIAL NETWORKS; TECHNOLOGY ADOPTION; FINANCIAL SERVICES; EXTERNALITIES; COMPETITION; SOFTWARE; US</t>
  </si>
  <si>
    <t>To increase financial inclusion in Africa, many governments are promoting mobile money usage. But at the same time, despite efforts, relatively high costs characterize traditional mobile phone communication (calls, text messages, internet access, social media, etc.). Also, non-price barriers like restricted access to internet or low national coverage rate of mobile communication signal may have led many people to have difficult access to traditional mobile phone communication. In this paper, we investigate the role of indirect (traditional phone communication network) and direct (mobile money network) network effects on mobile money adoption in Burkina Faso. We use FinScope data and a recursive multivariate probit model to find that, in Burkina Faso, mobile money services benefit more from the indirect network effects than the direct network effects. In other words, it is inconsistent to impose large taxes and fees on phone communication or to limit access to internet, messaging apps and social media, while promoting mobile money adoption.</t>
  </si>
  <si>
    <t>[Agbo, Maxime] Univ Parakou, Sch Stat Planning &amp; Demog, Parakou, Benin; [Zabsonre, Agnes] Nazi Boni Univ, Dept Econ, Partnership Econ Policy PEP, Bobo Dioulasso, Burkina Faso</t>
  </si>
  <si>
    <t>University of Parakou</t>
  </si>
  <si>
    <t>Agbo, M (corresponding author), Univ Parakou, Sch Stat Planning &amp; Demog, Parakou, Benin.</t>
  </si>
  <si>
    <t>agbomaxime@gmail.com</t>
  </si>
  <si>
    <t>Partnership for Economic Policy; Partnership for Economic Policy (PEP) - Department for International Development (DFID); Government of Canada (through the International Development Research Center (IDRC)); William and Flora Hewlett Foundation</t>
  </si>
  <si>
    <t>Partnership for Economic Policy; Partnership for Economic Policy (PEP) - Department for International Development (DFID); Government of Canada (through the International Development Research Center (IDRC))(International Development Research Centre - IDRC); William and Flora Hewlett Foundation</t>
  </si>
  <si>
    <t>We appreciate the helpful comments from the Associate editor, two anonymous referees, Stefan Dercon, Pramila Krishnan, Augustin Fosu, all participants at the 2022 Economic Development in Africa Workshop in Accra (Ghana) and the 2022 African Econometric Society Conference in Addis-Abeba (Ethiopia). We received support from the Partnership for Economic Policy (PEP) (), which is funded by the Department for International Development (DFID) of the United Kingdom (or UK Aid), the Government of Canada (through the International Development Research Center (IDRC) and Global Affairs Canada (GAC)) and the William and Flora Hewlett Foundation.</t>
  </si>
  <si>
    <t>0038-2280</t>
  </si>
  <si>
    <t>1813-6982</t>
  </si>
  <si>
    <t>S AFR J ECON</t>
  </si>
  <si>
    <t>South Afr. J. Econ.</t>
  </si>
  <si>
    <t>10.1111/saje.70001</t>
  </si>
  <si>
    <t>X2375</t>
  </si>
  <si>
    <t>WOS:001522635200001</t>
  </si>
  <si>
    <t>Balasundaram, E; Anandavel, V; Navalgund, N; Aranganathan, P; Hanji, S</t>
  </si>
  <si>
    <t>Balasundaram, Elamurugan; Anandavel, V.; Navalgund, Nagaraj; Aranganathan, P.; Hanji, Sanjay</t>
  </si>
  <si>
    <t>The impact of digital public infrastructure on financial inclusion and economic growth in rural India: evidence from the UPI revolution</t>
  </si>
  <si>
    <t>INDIAN GROWTH AND DEVELOPMENT REVIEW</t>
  </si>
  <si>
    <t>Digital public infrastructure; Financial inclusion; UPI; Digital payments; Economic growth; Financial technology; Rural development; Entrepreneurship; Financial literacy; Digital transformation; Cybersecurity; Regulatory challenges</t>
  </si>
  <si>
    <t>PurposeThis study aims to examine the impact of India's Unified Payments Interface (UPI) on rural financial inclusion and economic growth (2019-2023), focusing on entrepreneurship, household financial behaviour and business formation. It identifies the mechanisms through which UPI adoption drives rural economic transformation.Design/methodology/approachUsing a difference-in-differences approach, the study analyses UPI transaction data and household surveys from 200 villages across four Indian states to assess causal effects on financial and economic outcomes.FindingsVillages with higher UPI adoption saw a 27% rise in business registrations, a 34% increase in savings accounts and a 42% growth in female-owned enterprises. In comparison, informal borrowing declined by 53% and digital credit access improved by 29%. These effects stemmed from lower transaction costs, better financial information access, network effects driving adoption and increased trust in digital finance.Research limitations/implicationsThe findings are confined to four Indian states - Maharashtra, Karnataka, Uttar Pradesh and Gujarat - and the extrapolation to other regions or emerging economies needs to be taken with caution, observing local economic and institutional conditions. Long-term consequences need to be investigated further. Regional differences, wealth generation and policy reforms applicable to other economies need to be considered in future research.Practical implicationsStrategic deployment of digital finance, literacy programmes and regulatory safeguards can maximise inclusion and economic impact. UPI adoption also empowers women entrepreneurs, formalises businesses and reduces informal lending dependence, but it requires mitigation of digital exclusion and cybersecurity risks.Originality/valueTo the best of the authors' knowledge, this study provides the first causal evidence of UPI's role in rural economic transformation, introducing a theoretical framework linking digital finance to market integration and financial inclusion.</t>
  </si>
  <si>
    <t>[Balasundaram, Elamurugan] Saveetha Inst Med &amp; Tech Sci Deemed Univ, Dept Management, Chennai, India; [Anandavel, V.] Dhanalakshmi Srinivasan Coll Engn &amp; Technol, Dept Management Studies, Chennai, India; [Navalgund, Nagaraj] KLE Technol Univ, Sch Management Studies &amp; Res, Dept Management, Hubballi, India; [Aranganathan, P.] Hallmark Business Sch, Tiruchirappalli, India; [Hanji, Sanjay] MIT Vishwaprayag Univ, Business Analyt, Solapur, India</t>
  </si>
  <si>
    <t>Saveetha Institute of Medical &amp; Technical Science; KLE Technological University</t>
  </si>
  <si>
    <t>Balasundaram, E (corresponding author), Saveetha Inst Med &amp; Tech Sci Deemed Univ, Dept Management, Chennai, India.</t>
  </si>
  <si>
    <t>harshadhelamurugan@gmail.com; anandavelmba@gmail.com; nagaraj.n@kletech.ac.in; aranganathanp@gmail.com; sanjayhanji_94@rediffmail.com</t>
  </si>
  <si>
    <t>Navalgund, Nagaraj/ADU-2553-2022</t>
  </si>
  <si>
    <t>1753-8254</t>
  </si>
  <si>
    <t>1753-8262</t>
  </si>
  <si>
    <t>INDIAN GROWTH DEV RE</t>
  </si>
  <si>
    <t>Indian Growth Dev. Rev.</t>
  </si>
  <si>
    <t>10.1108/IGDR-12-2024-0213</t>
  </si>
  <si>
    <t>Y7106</t>
  </si>
  <si>
    <t>WOS:001641882800001</t>
  </si>
  <si>
    <t>Selvarajan, SK; Chandran, VGR</t>
  </si>
  <si>
    <t>Selvarajan, Sonia Kumari; Chandran, V. G. R.</t>
  </si>
  <si>
    <t>Financial Inclusion Trajectories: Geographical Dispersion, Convergence, and Development Implications</t>
  </si>
  <si>
    <t>Financial inclusion; Financial institutions; Inclusive growth; Mobile money; Developing countries; G21; O16; O50</t>
  </si>
  <si>
    <t>GROWTH; SPECIFICATION; MICROFINANCE; INEQUALITY; STABILITY; SERVICES; ISSUES</t>
  </si>
  <si>
    <t>The profound attempts to promote financial inclusion (FI) need more scrutiny for better policy insights. This paper, therefore, assesses the nature of FI in terms of geographical dispersion, convergence, and implications on development goals using various FI measures for a large cross-section of countries. The findings indicate that FI is multifaceted, accounting for a diverse geographical dispersion across countries in terms of financial access and use. FI, over the years, has progressed significantly while mobile money transition in developing countries shows a gradual progress, focusing on certain regions. We observe FI convergence across countries, albeit at a slower rate. FI can act as a tool for promoting income per capita and human development index, especially in developing countries. Nevertheless, the impact of FI on inequality is limited, requiring policymakers to formulate a better governance system to promote FI as a catalyst. Policy implications are further discussed. Los significativos intentos de promocion de la inclusion financiera (en ingles: financial inclusion, FI) necesitan mas escrutinio para obtener mejores perspectivas de politica. Por lo tanto, este articulo evalua la naturaleza de la FI en terminos de dispersion geografica, convergencia, e implicaciones en los objetivos de desarrollo, utilizando varias medidas de FI para una gran seccion transversal de paises. Los hallazgos indican que la FI es multifacetica, y explica la dispersion geografica diversa entre paises en terminos de acceso y uso financiero. La FI, a lo largo de los anos, ha progresado significativamente; mientras que la transicion del dinero movil en los paises en desarrollo muestra un progreso gradual, enfocandose en ciertas regiones. Observamos la convergencia de la FI entre paises, aunque a un ritmo mas lento. La FI puede actuar como una herramienta para promover el ingreso per capita y el indice de desarrollo humano, especialmente en los paises en desarrollo. Sin embargo, el impacto de la FI en la desigualdad es limitado, lo que requiere que los formuladores de politicas elaboren un sistema de gobernanza mejor para promover la FI como un catalizador. Se discuten tambien las implicaciones de la politica. Les tentatifs considerables de promotion l'inclusion financiere (en anglais, &lt;&lt; financial inclusion &gt;&gt;, IF) necessitent un examen plus approfondi afin de donner des meilleures perspectives politiques. Ce document evalue donc la nature de l'IF en termes de dispersion geographique, de convergence, et d'implications sur les objectifs de developpement, en utilisant diverses mesures de l'IF pour une large section transversale de pays. Les resultats indiquent que l'IF est multidimensionelle, expliquant la dispersion geographique diverse a travers les pays en termes d'acces et d'utilisation financiers. L'IF, au fil des ans, a progresse de maniere significative tandis que la transition de l'argent mobile dans les pays en developpement montre un progres graduel, se concentrant sur certaines regions. Nous observons une convergence de l'IF a travers les pays, bien qu'a un rythme plus lent. L'IF peut agir comme un outil pour promouvoir le revenu par habitant et l'indice de developpement humain, en particulier dans les pays en developpement. Neanmoins, l'impact de l'IF sur l'inegalite est limite; les decideurs des politiques doivent donc formuler un systeme de gouvernance meilleur pour promouvoir l'IF comme un catalyseur. Les implications politiques sont discutees.</t>
  </si>
  <si>
    <t>[Selvarajan, Sonia Kumari; Chandran, V. G. R.] Univ Malaya, Fac Business &amp; Econ, Dept Dev Studies, Jalan Prof Diraja Ungku Aziz, Kuala Lumpur 50603, Malaysia</t>
  </si>
  <si>
    <t>Selvarajan, SK (corresponding author), Univ Malaya, Fac Business &amp; Econ, Dept Dev Studies, Jalan Prof Diraja Ungku Aziz, Kuala Lumpur 50603, Malaysia.</t>
  </si>
  <si>
    <t>soniakumari@um.edu.my; vgrchandran@um.edu.my</t>
  </si>
  <si>
    <t>selvarajan, sonia kumari/ABF-9641-2021; Govindaraju, VGR/F-5791-2011</t>
  </si>
  <si>
    <t>selvarajan, sonia kumari/0000-0002-6819-3959;</t>
  </si>
  <si>
    <t>Institut Pengurusan dan Pemantauan Penyelidikan, Universiti Malaya; University Malaya's Research Fund Assistance</t>
  </si>
  <si>
    <t>We acknowledge the financial support under the University Malaya's Research Fund Assistance (BKP Grant Agreement No. BK028-2018). We appreciate all the comments from the reviewers. All errors remain ours.</t>
  </si>
  <si>
    <t>10.1057/s41287-023-00616-7</t>
  </si>
  <si>
    <t>YX2N0</t>
  </si>
  <si>
    <t>WOS:001140818500003</t>
  </si>
  <si>
    <t>Charles, G; Kanani, R; Mori, N</t>
  </si>
  <si>
    <t>Charles, Goodluck; Kanani, Renger; Mori, Neema</t>
  </si>
  <si>
    <t>Assessing household confidence in saving with banks and MNO-led mobile money: evidence from the household survey in Tanzania</t>
  </si>
  <si>
    <t>Saving; households; confidence; banks; mobile money operators</t>
  </si>
  <si>
    <t>FINANCIAL INCLUSION; BEHAVIOR EVIDENCE</t>
  </si>
  <si>
    <t>Even though the role of saving in building financial inclusion and people's welfare in developing countries is widely acknowledged, limited attention has been given to understanding households' confidence in saving with formal institutions. This study addressed this gap by assessing household confidence in saving with banks and MNO-led mobile money (MNO-MM) services in Tanzania, focusing on understanding whether saving confidence in these options is influenced and differs by the level of education and location of households. Using Finscope survey data from 9,915, the Agresti-Caffo and Binomial test results showed that households are more confident in saving with banks than with MNOs. Additionally, the binary logistic regression results showed that their likelihood of expressing confidence in saving at both banks and MNOs was significantly affected by their level of education and location. By applying the social learning institutional theory and the technology adoption model, this study demonstrated how the financial institutional setup and technology-based platforms influenced confidence in saving. It recommends promoting institutions that encourage saving and facilitating the adoption of technology that enables the integration of banking and mobile money services.</t>
  </si>
  <si>
    <t>[Charles, Goodluck] Univ Dar Es Salaam, Business Sch, Dept Mkt, Dar Es Salaam, Tanzania; [Kanani, Renger] Univ Dar Es Salaam, Business Sch, Dept Gen Management, Dar Es Salaam, Tanzania; [Mori, Neema] Univ Dar Es Salaam, Business Sch, Dept Finance, Dar Es Salaam, Tanzania</t>
  </si>
  <si>
    <t>University of Dar es Salaam; University of Dar es Salaam; University of Dar es Salaam</t>
  </si>
  <si>
    <t>Kanani, R (corresponding author), Univ Dar Es Salaam, Business Sch, Dept Gen Management, Dar Es Salaam, Tanzania.</t>
  </si>
  <si>
    <t>kananranger@gmail.com</t>
  </si>
  <si>
    <t>Mori, Neema/IRZ-0105-2023; Charles, Goodluck/GQZ-6470-2022</t>
  </si>
  <si>
    <t>Mori, Neema/0000-0002-2119-2000; kanani, renger/0000-0003-0831-7507</t>
  </si>
  <si>
    <t>10.1080/23322039.2025.2535488</t>
  </si>
  <si>
    <t>5LP5S</t>
  </si>
  <si>
    <t>WOS:001538597600001</t>
  </si>
  <si>
    <t>Okoye, LU; Adetiloye, KA; Erin, O; Modebe, NJ</t>
  </si>
  <si>
    <t>Okoye, Lawrence Uchenna; Adetiloye, Kehinde A.; Erin, Olayinka; Modebe, Nwanneka J.</t>
  </si>
  <si>
    <t>Financial Inclusion: A Panacea for Balanced Economic Development</t>
  </si>
  <si>
    <t>Financial inclusion; Poverty alleviation; Economic growth; Financial deepening</t>
  </si>
  <si>
    <t>The major objective of this paper was to determine the effect of financial inclusion on economic growth and development in Nigeria using historical data on selected variables over the period 1986-2015. Ordinary Least Squares regression technique was adopted. Financial inclusion was measured in the study using loan to deposit ratio (LDR), financial deepening indicators (FDI), loan to rural areas (LRA), and branch network (Bbranch). Measures of financial deepening adopted in the study are ratios of private sector credit to GDP and broad money supply to GDP. Economic growth was proxied as growth in gross domestic product (GDP) over successive periods while per capita income (PCI) was adopted as a measure of poverty and hence an index of development. The main findings are (i) credit delivery to the private sector (an index of financial inclusion) has not significantly supported economic growth in Nigeria (ii) financial inclusion has promoted poverty alleviation in Nigeria through rural credit delivery. The study recommends that the monetary authorities should not only deepen financial inclusion efforts through enhanced credit delivery to the private sector but should also strengthen the regulatory framework in order to ensure efficient and effective resource allocation and utilization.</t>
  </si>
  <si>
    <t>[Okoye, Lawrence Uchenna; Adetiloye, Kehinde A.] Covenant Univ, Dept Banking &amp; Finance, Ota, Ogun State, Nigeria; [Erin, Olayinka] Covenant Univ, Dept Accounting, Ota, Ogun State, Nigeria; [Modebe, Nwanneka J.] Univ Nigeria, Dept Banking &amp; Finance, Nsukka, Nigeria</t>
  </si>
  <si>
    <t>Covenant University; Covenant University; University of Nigeria</t>
  </si>
  <si>
    <t>Okoye, LU (corresponding author), Covenant Univ, Dept Banking &amp; Finance, Ota, Ogun State, Nigeria.</t>
  </si>
  <si>
    <t>lawrence.okoye@covenantuniversity.edu.ng; kehinde.adetiloye@covenantuniversity.edu.ng; erinolayinka@yahoo.com; modebenwanneka@gmail.com</t>
  </si>
  <si>
    <t>Adetiloye, Kehinde/P-8608-2018; Erin, Olayinka/D-8669-2019</t>
  </si>
  <si>
    <t>WOS:000392785700438</t>
  </si>
  <si>
    <t>Kim, KT; Richard, S</t>
  </si>
  <si>
    <t>Kim, Kyoung Tae; Richard, Stebbins</t>
  </si>
  <si>
    <t>Everybody Dies: Financial Education and Basic Estate Planning</t>
  </si>
  <si>
    <t>estate planning; financial education; National Financial Capability Study; will</t>
  </si>
  <si>
    <t>HIGH-SCHOOL; CHARITABLE BEQUESTS; PERSONAL FINANCE; SHORT-TERM; LITERACY; KNOWLEDGE; CURRICULUM; BEHAVIOR; IMPACT</t>
  </si>
  <si>
    <t>This study investigated the role of financial education on a basic level of estate planning of U.S. households. Results from the 2018 National Financial Capability Study (NFCS) dataset showed that financial education is positively associated with one's basic estate planning, proxied by having a will. Multiple exposures to financial education over time had stronger positive associations with having a will. One notable finding was that those receiving financial education offered by an employer only or jointly by an employer and other sources (high school and/or college) were more likely to have a will. In addition, among those who received financial education, the number of hours and the overall quality were positively associated with the likelihood of having a will. Additional analyses from Propensity Score Matching (PSM) and similar regressions across generations reveal that results were robust. The results provide meaningful insights for financial educators and practitioners.</t>
  </si>
  <si>
    <t>[Kim, Kyoung Tae] Univ Alabama, Dept Consumer Sci, 316-C Adams Hall,Box 870158, Tuscaloosa, AL 35487 USA; [Richard, Stebbins] Univ Alabama, Dept Consumer Sci, 316-E Adams Hall,Box 870158, Tuscaloosa, AL 35487 USA</t>
  </si>
  <si>
    <t>University of Alabama System; University of Alabama Tuscaloosa; University of Alabama System; University of Alabama Tuscaloosa</t>
  </si>
  <si>
    <t>Kim, KT (corresponding author), Univ Alabama, Dept Consumer Sci, 316-C Adams Hall,Box 870158, Tuscaloosa, AL 35487 USA.</t>
  </si>
  <si>
    <t>ktkim@ches.ua.edu; rstebbins@ches.ua.edu</t>
  </si>
  <si>
    <t>10.1891/JFCP-19-00076</t>
  </si>
  <si>
    <t>XR9FA</t>
  </si>
  <si>
    <t>WOS:000732524900004</t>
  </si>
  <si>
    <t>Ali, G; Dida, MA; Sam, AE</t>
  </si>
  <si>
    <t>Ali, Guma; Dida, Mussa Ally; Sam, Anael Elikana</t>
  </si>
  <si>
    <t>Evaluation of Key Security Issues Associated with Mobile Money Systems in Uganda</t>
  </si>
  <si>
    <t>mobile money; mobile money systems; mobile network operators; mobile money services; mobile money service providers; security issues; evaluation; Uganda</t>
  </si>
  <si>
    <t>Smartphone technology has improved access to mobile money services (MMS) and successful mobile money deployment has brought massive benefits to the unbanked population in both rural and urban areas of Uganda. Despite its enormous benefits, embracing the usage and acceptance of mobile money has mostly been low due to security issues and challenges associated with the system. As a result, there is a need to carry out a survey to evaluate the key security issues associated with mobile money systems in Uganda. The study employed a descriptive research design, and stratified random sampling technique to group the population. Krejcie and Morgan's formula was used to determine the sample size for the study. The collection of data was through the administration of structured questionnaires, where 741 were filled by registered mobile money (MM) users, 447 registered MM agents, and 52 mobile network operators' (MNOs) IT officers of the mobile money service providers (MMSPs) in Uganda. The collected data were analyzed using RStudio software. Statistical techniques like descriptive analysis and Pearson Chi-Square test was used in data analysis and mean (M) &gt; 3.0 andp-value &lt; 0.05 were considered statistically significant. The findings revealed that the key security issues are identity theft, authentication attack, phishing attack, vishing attack, SMiShing attack, personal identification number (PIN) sharing, and agent-driven fraud. Based on these findings, the use of better access controls, customer awareness campaigns, agent training on acceptable practices, strict measures against fraudsters, high-value transaction monitoring by the service providers, developing a comprehensive legal document to run mobile money service, were some of the proposed mitigation measures. This study, therefore, provides a baseline survey to help MNO and the government that would wish to implement secure mobile money systems.</t>
  </si>
  <si>
    <t>[Ali, Guma; Dida, Mussa Ally] Nelson Mandela African Inst Sci &amp; Technol, Dept Informat Technol Dev &amp; Management ITDM, Arusha 447, Tanzania; [Sam, Anael Elikana] Nelson Mandela African Inst Sci &amp; Technol NM AIST, Dept Commun Sci &amp; Engn CoSE, Arusha 447, Tanzania</t>
  </si>
  <si>
    <t>Nelson Mandela African Institution of Science &amp; Technology</t>
  </si>
  <si>
    <t>Ali, G (corresponding author), Nelson Mandela African Inst Sci &amp; Technol, Dept Informat Technol Dev &amp; Management ITDM, Arusha 447, Tanzania.</t>
  </si>
  <si>
    <t>gumaa@nm-aist.ac.tz; mussa.ally@nm-aist.ac.tz; anael.sam@nm-aist.ac.tz</t>
  </si>
  <si>
    <t>Dida, Mussa/I-2759-2016</t>
  </si>
  <si>
    <t>Dida, Mussa/0000-0002-7143-8953; Sam, Anael/0000-0002-0865-9737; ALI, GUMA/0000-0003-3234-6420</t>
  </si>
  <si>
    <t>10.3390/info11060309</t>
  </si>
  <si>
    <t>MO0OO</t>
  </si>
  <si>
    <t>WOS:000551236800050</t>
  </si>
  <si>
    <t>Radhakrishnan, S</t>
  </si>
  <si>
    <t>Radhakrishnan, Smitha</t>
  </si>
  <si>
    <t>Empowerment, Declined: Paradoxes of Microfinance and Gendered Subjectivity in Urban India</t>
  </si>
  <si>
    <t>SIGNS</t>
  </si>
  <si>
    <t>MICROCREDIT; RISK; FINANCIALISATION</t>
  </si>
  <si>
    <t>Microfinance today constitutes a gendered frontier of global capital, targeting working-class women for small loans through commercial microfinance institutions (MFIs). Drawing on ethnography and interviews with for-profit MFIs in India and their clients, this study aims to understand the mechanisms through which microfinance shapes gendered subjectivities at the outer edge of the global financial system. Through training programs that often accompany microloans, MFIs encourage clients to identify as working mothers who are primary caregivers for their children but are also engaged in productive work through microenterprise or waged work. This identity serves MFIsand global finance more broadlyby leveraging motherhood as collateral while also ostensibly empowering women by encouraging them to provide for their families though work and loans. A few exceptional, well-off clients see value in the teachings of these training programs and are celebrated by MFIs, but many more ignore or reject such programs, insisting that they are only housewives or mothers. Better-off women, then, may be more vulnerable to MFI discourses aiming to transform them as individuals. Clients' widespread dismissal of MFI empowerment programs also suggests that MFIs, far from having totalizing power, are beholden to women who use the loans for their own purposes, while declining the models of gendered subjectivity on offer. Thus, the expansion of the global financial system, which requires cooperation from working-class women on both material and ideological fronts, may be a contested, uneven process, rather than a linear process of financial inclusion.</t>
  </si>
  <si>
    <t>[Radhakrishnan, Smitha] Wellesley Coll, Sociol Dept, Wellesley, MA 02181 USA</t>
  </si>
  <si>
    <t>Wellesley College</t>
  </si>
  <si>
    <t>Radhakrishnan, S (corresponding author), Wellesley Coll, Sociol Dept, Wellesley, MA 02181 USA.</t>
  </si>
  <si>
    <t>Radhakrishnan, Smitha/0000-0002-1456-1293</t>
  </si>
  <si>
    <t>American Association of University Women; American Council for Learned Societies</t>
  </si>
  <si>
    <t>The research for this article was supported by the American Association of University Women and the American Council for Learned Societies. Many thanks to Cinzia Solari, Poulami Rowchowdhury, and the anonymous reviewers for thoughtful feedback that greatly improved this article. I extend my deep gratitude to the trainers, clients, and leaders who shared their work openly with me.</t>
  </si>
  <si>
    <t>0097-9740</t>
  </si>
  <si>
    <t>1545-6943</t>
  </si>
  <si>
    <t>Signs</t>
  </si>
  <si>
    <t>10.1086/698278</t>
  </si>
  <si>
    <t>GQ2DI</t>
  </si>
  <si>
    <t>WOS:000441455900005</t>
  </si>
  <si>
    <t>Sarsale, M</t>
  </si>
  <si>
    <t>Sarsale, Melvin</t>
  </si>
  <si>
    <t>The Philippines in ASEAN financial literacy research: insights from a bibliometric review</t>
  </si>
  <si>
    <t>ASEAN; Bibliometric analysis; Digital financial literacy; Financial literacy; Philippines</t>
  </si>
  <si>
    <t>This bibliometric review explores the Philippine's contribution in ASEAN financial literacy research. This paper depicts research trends, key contributions, and emerging themes to position the country within the regional and global scenario. This paper applied Biblioshiny, VOSviewer, and Microsoft Excel to analyze co-authorship, citations, and thematic trends from 522 Scopus-indexed publications (2009-2025) screened using PRISMA guidelines. Findings show that Indonesia and Malaysia lead the way in financial literacy research, with the Philippines still underrepresented but having shown robust international collaborations. Most research in the Philippines has been on education and financial behavior, with minimal engagement on emerging topics such as digital financial literacy and SME financial management. Philippine researchers must further expand their scope by engaging with top scholars, publishing their work in high-impact journals, and, generally, enhancing their contribution. With this, policymakers and educators can infer ideas to inform and develop strategic financial literacy plans to overcome these gaps regarding digital finance, financial resilience, and SME management, thereby making for better avenues to financial inclusion and economic empowerment.</t>
  </si>
  <si>
    <t>[Sarsale, Melvin] Southern Leyte State Univ, Fac Business &amp; Management, Southern Leyte, Philippines</t>
  </si>
  <si>
    <t>Sarsale, M (corresponding author), Southern Leyte State Univ, Fac Business &amp; Management, Southern Leyte, Philippines.</t>
  </si>
  <si>
    <t>msarsale@southernleytestateu.edu.ph</t>
  </si>
  <si>
    <t>Sarsale, Melvin/LOR-4041-2024</t>
  </si>
  <si>
    <t>Sarsale, Melvin/0000-0003-4591-5020</t>
  </si>
  <si>
    <t>10.1186/s43093-025-00549-z</t>
  </si>
  <si>
    <t>3IL9J</t>
  </si>
  <si>
    <t>WOS:001501135200001</t>
  </si>
  <si>
    <t>Bhawe, N; Jha, SK</t>
  </si>
  <si>
    <t>Bhawe, Nachiket; Jha, Srivardhini K.</t>
  </si>
  <si>
    <t>MFIs and Financial Inclusion: The Role of Business Models</t>
  </si>
  <si>
    <t>financial inclusion; MFIs; policy; structural change; BoP; informal economy</t>
  </si>
  <si>
    <t>SOCIAL ENTREPRENEURSHIP; INFORMAL ECONOMY; REPEATED EXCHANGE; MICROFINANCE; EMBEDDEDNESS; IMPACT; SECTOR; ORGANIZATIONS; DETERMINANTS; PERFORMANCE</t>
  </si>
  <si>
    <t>The role of Microfinance institutions (MFIs) in driving financial inclusion is contested. We argue that the ability of MFIs to consistently contribute to financial inclusion depends on their business model and its resilience to structural changes. We find that MFIs with an embedded business model (i.e., deep engagement with the local community) perform better in the aftermath of structural policy interventions as compared to MFIs with a transactional model. Using a difference in differences analysis on a database of MFIs that operated in India during the currency demonetization, we find support for our hypotheses. Our findings indicate that while transactional MFIs do better in a stable environment, embedded MFIs hold the advantage in a turbulent environment. Our results underscore the role of business model fit with the environment in driving financial inclusion. We also alert practitioners to the tradeoffs involved in being embedded in the local context (or lack thereof).</t>
  </si>
  <si>
    <t>[Bhawe, Nachiket] Univ North Carolina, Thomas Coll Business &amp; Econ, Dept Management Mkt &amp; Int Business, Pembroke, NC 28372 USA; [Jha, Srivardhini K.] Indian Inst Management Bangalore, Entrepreneurship Area, Bangalore, Karnataka, India</t>
  </si>
  <si>
    <t>Indian Institute of Management (IIM System); Indian Institute of Management Bangalore</t>
  </si>
  <si>
    <t>Bhawe, N (corresponding author), Univ North Carolina, Thomas Coll Business &amp; Econ, Dept Management Mkt &amp; Int Business, Pembroke, NC 28372 USA.</t>
  </si>
  <si>
    <t>bhawe@uncp.edu</t>
  </si>
  <si>
    <t>Special thanks to our data partner, Sa-Dhan and its supportive leadership and staff, who made this research possible. In particular, our gratitude to Mr. Ardhendu Nandi and Mr. Ambrish Gopal of Sa-Dhan for their help in facilitating the interviews. The primary data for the paper is available at Bharat Microfinance Report - Sa-Dhan. The authors will be happy to share the STATA code and confidential interview data on request.</t>
  </si>
  <si>
    <t>10.1080/00220388.2024.2398448</t>
  </si>
  <si>
    <t>Q5J1R</t>
  </si>
  <si>
    <t>WOS:001316009400001</t>
  </si>
  <si>
    <t>Chinnakum, W</t>
  </si>
  <si>
    <t>Chinnakum, Warattaya</t>
  </si>
  <si>
    <t>IMPACTS OF FINANCIAL INCLUSION ON POVERTY AND INCOME INEQUALITY IN DEVELOPING ASIA</t>
  </si>
  <si>
    <t>Financial inclusion; poverty; income inequality; developing countries; Asia</t>
  </si>
  <si>
    <t>REDUCTION; OPENNESS; GROWTH; PANEL</t>
  </si>
  <si>
    <t>This study investigates the impacts of financial inclusion on poverty and income inequality in 27 developing countries in Asia during 2004-2019 based on a composite financial inclusion index (FII) constructed using principal component analysis (PCA). The generalized method of moments (GMM) was employed for the estimation. The results show that financial inclusion can influence the reduction in both poverty and income inequality. The empirical findings also reveal the contribution of such control variables as economic growth in decreasing income disparity and trade openness in helping improve the standard of living of poor households despite its tendency to co-vary with income inequality. The present empirical evidence supporting the role of financial inclusion in reducing poverty and income inequality in developing countries has led to a policy implication that financial sector development should focus on the availability, usage, and depth of credit to cover all poor households or low-income groups to help improve their access to financial services, enable them to increase their income, and reduce the income gap between poor and rich households.</t>
  </si>
  <si>
    <t>[Chinnakum, Warattaya] Chiang Mai Univ, Fac Econ, Chiang Mai 50200, Thailand</t>
  </si>
  <si>
    <t>Chinnakum, W (corresponding author), Chiang Mai Univ, Fac Econ, Chiang Mai 50200, Thailand.</t>
  </si>
  <si>
    <t>warattaya_chin@hotmail.co.th</t>
  </si>
  <si>
    <t>Chinnakum, Warattaya/ABA-4069-2020</t>
  </si>
  <si>
    <t>Chinnakum, Warattaya/0000-0002-2639-5149</t>
  </si>
  <si>
    <t>Faculty of Economics, Chiang Mai University, Thailand</t>
  </si>
  <si>
    <t>This work was supported by the Faculty of Economics, Chiang Mai University, Thailand.</t>
  </si>
  <si>
    <t>10.1142/S0217590822440027</t>
  </si>
  <si>
    <t>N5PA9</t>
  </si>
  <si>
    <t>WOS:000729548000004</t>
  </si>
  <si>
    <t>Fianto, BA; Gan, C; Hu, BD</t>
  </si>
  <si>
    <t>Fianto, Bayu Arie; Gan, Christopher; Hu, Baiding</t>
  </si>
  <si>
    <t>Financing from Islamic microfinance institutions: evidence from Indonesia</t>
  </si>
  <si>
    <t>Accessibility; Islamic microfinance institution; Rural household</t>
  </si>
  <si>
    <t>Purpose The purpose of this paper is to investigate factors that determine rural households' access to finance provided by Islamic microfinance institutions (MFIs) in Indonesia. Design/methodology/approach A two-year panel data set with logistic regression is used to identify the determinants of access to finance by rural households. The study sample comprises of 289 Islamic MFIs' clients and 140 non-clients from East Java, Indonesia. The clients consist of 111 rural households with profit and loss sharing (PLS) schemes, 162 clients with non-profit and loss sharing (non-PLS) schemes and 16 clients with both schemes. Findings The empirical results show that age, gender and income influence rural households to access finance provided by Islamic MFIs. The results show an increase in age and income increase the respondents' likelihood to access finance. Further, male respondents are more likely to access finance from Islamic MFIs than females. Originality/value The novelty of this study lies in the unique financing accessibility between PLS and non-PLS schemes in Islamic MFIs. This study will be an important addition to the emerging literature on Islamic microfinance.</t>
  </si>
  <si>
    <t>[Fianto, Bayu Arie] Univ Airlangga, Fac Econ &amp; Business, Dept Sharia Econ, Surabaya, Indonesia; [Gan, Christopher] Lincoln Univ, Fac Agribusiness &amp; Commerce, Dept Financial &amp; Business Syst, Lincoln, New Zealand; [Hu, Baiding] Lincoln Univ, Fac Agribusiness &amp; Commerce, Dept Global Value Chains &amp; Trade, Lincoln, New Zealand</t>
  </si>
  <si>
    <t>Airlangga University; Lincoln University - New Zealand; Lincoln University - New Zealand</t>
  </si>
  <si>
    <t>Fianto, BA (corresponding author), Univ Airlangga, Fac Econ &amp; Business, Dept Sharia Econ, Surabaya, Indonesia.</t>
  </si>
  <si>
    <t>bayu.fianto@feb.unair.ac.id</t>
  </si>
  <si>
    <t>Hu, Baiding/E-4678-2018; Gan, Christopher/JSL-2036-2023; Hu, Baiding/E-4678-2018; Fianto, Bayu Arie/AAL-4653-2020</t>
  </si>
  <si>
    <t>Gan, Christopher/0000-0002-5618-1651; Hu, Baiding/0000-0002-0991-1375; Fianto, Bayu Arie/0000-0002-0163-2224</t>
  </si>
  <si>
    <t>10.1108/AFR-10-2018-0091</t>
  </si>
  <si>
    <t>IZ4DL</t>
  </si>
  <si>
    <t>WOS:000487034400005</t>
  </si>
  <si>
    <t>Savelli, I; Hepburn, C; Morstyn, T</t>
  </si>
  <si>
    <t>Savelli, Iacopo; Hepburn, Cameron; Morstyn, Thomas</t>
  </si>
  <si>
    <t>A blueprint for energy systems in the era of central bank digital currencies</t>
  </si>
  <si>
    <t>Blockchain; Smart contract; Energy market; Digital currency; Central bank</t>
  </si>
  <si>
    <t>CARBON MARKETS; BLOCKCHAIN; BARRIERS</t>
  </si>
  <si>
    <t>Central bank digital currencies (CBDC), i.e., electronic cash issued by central banks, are currently being developed and tested in several countries, including the European Union, Canada, China, India and Australia, and will likely become widely available for individuals and businesses in the coming years. In this Perspective, we argue that, if well-designed, CBDCs could provide significant opportunities for energy system innovation and net-zero transition, while addressing certain risks associated with digital cash. We propose a blueprint of a future energy system fully integrated with CBDCs, focusing on energy markets, carbon markets, and energy project financing. We show how this integration could increase transparency, reduce costs, trigger bottom-up citizen-driven energy initiatives, facilitate whole-system regulatory oversight, enhance carbon tracking and trading, and support energy project financing, creating a wealth of opportunities for innovation, financial inclusion in energy investment, and energy consumer engagement. We conclude by identifying major sources of risk and policy implications.</t>
  </si>
  <si>
    <t>[Savelli, Iacopo] Bocconi Univ, GREEN Res Ctr, Milan, Italy; [Hepburn, Cameron] Univ Oxford, Smith Sch Enterprise &amp; Environm, Oxford, England; [Morstyn, Thomas] Univ Edinburgh, Sch Engn, Edinburgh, Scotland</t>
  </si>
  <si>
    <t>Bocconi University; University of Oxford; University of Edinburgh</t>
  </si>
  <si>
    <t>Savelli, I (corresponding author), Bocconi Univ, GREEN Res Ctr, Milan, Italy.</t>
  </si>
  <si>
    <t>iacopo.savelli@unibocconi.it</t>
  </si>
  <si>
    <t>Savelli, Iacopo/AAV-4572-2020; Morstyn, Thomas/AAF-7356-2019</t>
  </si>
  <si>
    <t>Savelli, Iacopo/0000-0003-0030-9238;</t>
  </si>
  <si>
    <t>UK Engineering and Physical Sciences Research Council (EPSRC) [EP/S031901/1, EP/T028564/1]; Italian Ministero dell'Universita e della Ricerca, PNRR funds [SOE_0000029 CUP J47G22000430001]</t>
  </si>
  <si>
    <t>UK Engineering and Physical Sciences Research Council (EPSRC)(UK Research &amp; Innovation (UKRI)Engineering &amp; Physical Sciences Research Council (EPSRC)); Italian Ministero dell'Universita e della Ricerca, PNRR funds</t>
  </si>
  <si>
    <t>The present work has been supported by the UK Engineering and Physical Sciences Research Council (EPSRC) under grants EP/S031901/1 and EP/T028564/1, and by the Italian Ministero dell'Universita e della Ricerca, PNRR funds under grant SOE_0000029 CUP J47G22000430001.</t>
  </si>
  <si>
    <t>10.1016/j.techfore.2024.123637</t>
  </si>
  <si>
    <t>C6K7D</t>
  </si>
  <si>
    <t>WOS:001290445500001</t>
  </si>
  <si>
    <t>Makarov, O; Arzhevitin, S</t>
  </si>
  <si>
    <t>Makarov, Oleg; Arzhevitin, Stanislav</t>
  </si>
  <si>
    <t>VIRTUAL ASSETS AND MONETARY POLICY</t>
  </si>
  <si>
    <t>cryptocurrency; stablecoin; central bank digital currency; virtual assets; monetary policy; money in circulation; financial inclusion; monetization of the economy</t>
  </si>
  <si>
    <t>The emergence and spread of virtual assets worldwide are at the center of many researchers' attention. Virtual assets began to be used for settlement, capital accumulation, and speculative income, which creates competition with state fiat money, to the state monopoly of the central bank on money issuance and potentially rise a threat to financial stability. The purpose of the article is to assess the current state and development potential of both state and non-state virtual assets, their role in money circulation, and the potential impact on the monetary and credit system of Ukraine in the context of the possible launch of the central bank digital currency - the e-hryvnia. The article presents the main forms of virtual assets and defines their characteristics, evaluates the possibility of their usage for settlements, and the potential for partial or complete replacement of fiat money in cash or non-cash forms. It is proven that nowadays the main restraining factor for the acquisition of money functions by virtual assets are the insufficient prevalence of technological means for carrying out transactions, the high volatility of their prices, and legislative limits. It is determined that technically some retail virtual assets can acquire all money qualities and conceptually differ only in the issuer and the system of centralization: public or private issuer, centralized or decentralized system. Furthermore, it has been proven that the introduction of the e-hryvnia into circulation as a monetary policy tool with interest accrual would significantly strengthen the interest channel of monetary transmission, contribute to the achievement of central bank targets, and hence to non-inflationary monetization of the economic growth. At the same time, the introduction of the third form of money would probably give rise to new risks, which are proposed to be mitigated by proper parameterization of the new form of money.</t>
  </si>
  <si>
    <t>[Makarov, Oleg; Arzhevitin, Stanislav] Kyiv Natl Econ Univ, Kiev, Ukraine; [Arzhevitin, Stanislav] Kyiv Natl Econ Univ, Dept Banking &amp; Insurance, Kiev, Ukraine</t>
  </si>
  <si>
    <t>Ministry of Education &amp; Science of Ukraine; Kyiv National Economic University named after Vadym Hetman; Ministry of Education &amp; Science of Ukraine; Kyiv National Economic University named after Vadym Hetman</t>
  </si>
  <si>
    <t>Makarov, O (corresponding author), Kyiv Natl Econ Univ, Kiev, Ukraine.</t>
  </si>
  <si>
    <t>olegmakarov95@gmail.com</t>
  </si>
  <si>
    <t>Arzhevitin, Stanislav/0000-0002-4419-886X; Makarov, Oleg/0000-0001-9796-8736</t>
  </si>
  <si>
    <t>10.55643/fcaptp.5.46.2022.3877</t>
  </si>
  <si>
    <t>6W2HL</t>
  </si>
  <si>
    <t>WOS:000895553700001</t>
  </si>
  <si>
    <t>Aduba, JJ; Asgari, B; Izawa, H</t>
  </si>
  <si>
    <t>Aduba, Joseph, Jr.; Asgari, Behrooz; Izawa, Hiroshi</t>
  </si>
  <si>
    <t>Does FinTech penetration drive financial development? Evidence from panel analysis of emerging and developing economies</t>
  </si>
  <si>
    <t>Financial inclusion; FinTech; Financial development; Financial performance</t>
  </si>
  <si>
    <t>REMITTANCES; IMPACT</t>
  </si>
  <si>
    <t>Recent innovations in digital financial technologies (FinTech) have called into question the role of FinTech in financial development. This study examines FinTech's direct and conditional effects on financial development using data from emerging and developing economies. Three measures of financial development (broad money, Private credit, and bank deposits) and two conditional factors (financial performance and financial inclusion) were investigated vis-a`-vis FinTech penetration. This paper demonstrates that FinTech penetration not only drives financial development but also strongly impacts the financial development of countries with weak financial sector performance and low financial inclusion. These findings have several policy implications: (1) countries with weak financial sector performance could leverage FinTech to improve financial development, and (2) appropriate policies on FinTech development can drive digital financial inclusion, financial deepening, and consequently economic growth. Copyright (c) 2023 Borsa Istanbul Anonim S,irketi. Published by Elsevier B.V. This is an open access article under the CC BY license (http:// creativecommons.org/licenses/by/4.0/).</t>
  </si>
  <si>
    <t>[Aduba, Joseph, Jr.] Ritsumeikan Univ, Ritsumeikan BKC Res Org Social Sci, 1-1-1 Noji Higashi, Kusatsu, Shiga 5258577, Japan; [Asgari, Behrooz] Ritsumeikan Asia Pacific Univ APU, Grad Sch Management, 1-1 Jumonjibaru, Beppu, Oita 8748577, Japan; [Izawa, Hiroshi] Ritsumeikan Univ, Coll Gastron Management, Grad Sch Gastron Management, 1-1-1 Noji Higashi, Kusatsu, Shiga 5258577, Japan</t>
  </si>
  <si>
    <t>Ritsumeikan University; Ritsumeikan Asia Pacific University; Ritsumeikan University</t>
  </si>
  <si>
    <t>Aduba, JJ (corresponding author), Ritsumeikan Univ, Ritsumeikan BKC Res Org Social Sci, 1-1-1 Noji Higashi, Kusatsu, Shiga 5258577, Japan.</t>
  </si>
  <si>
    <t>adubajj@gmail.com; behroozasgari@yahoo.com; izawa@ec.ritsumei.ac.jp</t>
  </si>
  <si>
    <t>ADUBA, Joseph/AAW-4999-2021</t>
  </si>
  <si>
    <t>ADUBA, Joseph/0000-0001-7871-3666</t>
  </si>
  <si>
    <t>JSPS KAKENHI [22K01567]; Grants-in-Aid for Scientific Research [22K01567] Funding Source: KAKEN</t>
  </si>
  <si>
    <t>This research did not receive any speci fi c direct grants from funding agencies in the public, commercial, or not-for-profit sectors. However, one of the authors (Hirsosh i] zawa) was supported by JSPS KAKENHI Grant Number 22K01567.</t>
  </si>
  <si>
    <t>10.1016/j.bir.2023.06.001</t>
  </si>
  <si>
    <t>T5VJ1</t>
  </si>
  <si>
    <t>WOS:001078661400001</t>
  </si>
  <si>
    <t>Sun, SL; Liang, H</t>
  </si>
  <si>
    <t>Sun, Sunny Li; Liang, Hao</t>
  </si>
  <si>
    <t>Globalization and affordability of microfinance</t>
  </si>
  <si>
    <t>JOURNAL OF BUSINESS VENTURING</t>
  </si>
  <si>
    <t>Financial inclusion; Microfinance; Social globalization; Economic globalization; Non-profit organizations; Institutional logics</t>
  </si>
  <si>
    <t>INSTITUTIONAL LOGICS; COMMERCIAL MICROFINANCE; ENTREPRENEURSHIP RESEARCH; FINANCIAL SUSTAINABILITY; INTERNATIONAL-BUSINESS; ECONOMIC-GROWTH; JOINT LIABILITY; OUTREACH; ORGANIZATIONS; DIVERSITY</t>
  </si>
  <si>
    <t>We study how globalization can differentially affect financial inclusion through the lens of microfinance. Based on an institutional logics perspective, we argue that MFIs embody both social logic and market logic with regard to provision of affordable microfinance loans. Speicially, social logic is amplified by greater social globalization and the stronger presence of nonprofit organizations (NPOs) in the microfinance industry. In contrast, economic globalization catalyzes MFIs' market logic, leading to weaker or greater affordability of microfinance, depending on the relative strength of the profit-maximizing motive and real competition. We test these predictions by focusing on MFI interest-rate setting and using longitudinal data from 2030 MFI observations across 50 countries from 2002 to 2012. We find that country-level social globalization measure is negatively associated with the average MFI loan interest rates and that country-level economic globalization measure has an inverse U-shaped relationship with the average MFI loan interest rates. These results support our hypotheses and suggest a more nuanced view on how globalization affects affordability of microfinance.</t>
  </si>
  <si>
    <t>[Sun, Sunny Li] Univ Massachusetts Lowell, Manning Sch Business, One Univ Ave, Lowell, MA 01854 USA; [Liang, Hao] Singapore Management Univ, Lee Kong Chian Sch Business, Singapore, Singapore</t>
  </si>
  <si>
    <t>University of Massachusetts System; University of Massachusetts Lowell; Singapore Management University</t>
  </si>
  <si>
    <t>Liang, H (corresponding author), Singapore Management Univ, Lee Kong Chian Sch Business, Singapore, Singapore.</t>
  </si>
  <si>
    <t>li_sun@uml.edu; hliang@smu.edu.sg</t>
  </si>
  <si>
    <t>; LIANG, Hao/H-1130-2015; Sun, Sunny/D-1726-2015</t>
  </si>
  <si>
    <t>Liang, Hao/0000-0003-1891-8453;</t>
  </si>
  <si>
    <t>0883-9026</t>
  </si>
  <si>
    <t>1873-2003</t>
  </si>
  <si>
    <t>J BUS VENTURING</t>
  </si>
  <si>
    <t>J. Bus. Ventur.</t>
  </si>
  <si>
    <t>10.1016/j.jbusvent.2020.106065</t>
  </si>
  <si>
    <t>PI2IT</t>
  </si>
  <si>
    <t>WOS:000600921000007</t>
  </si>
  <si>
    <t>Zhu, B; He, J; Zhai, ST</t>
  </si>
  <si>
    <t>Zhu, Bao; He, Jing; Zhai, Shiting</t>
  </si>
  <si>
    <t>Does Financial Inclusion Create a Spatial Spillover Effect Between Regions? Evidence from China</t>
  </si>
  <si>
    <t>China's regional financial inclusion; dynamic shift-share spatial model; improved Hotelling model; spatial spillover effect</t>
  </si>
  <si>
    <t>FOREIGN DIRECT-INVESTMENT; COASTAL; BANKS</t>
  </si>
  <si>
    <t>Promoting China's development of financial inclusion requires understanding whether there is a spatial spillover effect between regions. First, this study applies improved Hotelling model to derive necessary conditions for spatial spillover effects to occur between regions as a result of financial inclusion. Results show that the difference in the service cost and unit distance cost which is also defined as flowing cost of financial inclusion determines the spatial spillover effects between regions. Second, constructing a financial inclusion index, we find the development of financial inclusion is better in the eastern region than in the central and western regions, but the gap gradually decreases from east to west. Third, we conduct an empirical analysis using a dynamic shift-share spatial model. The results show that the development of financial inclusion in the eastern and western regions has a structural disadvantage. In other words, eastern and western regions have negative spatial spillover effects on the central region. But the central region has not been completely affected and does well with respect to the availability and usage dimensions of financial inclusion. In the future, reducing costs of financial inclusion services and promoting positive spatial spillover effects can improve overall development of China's financial inclusion.</t>
  </si>
  <si>
    <t>[Zhu, Bao; He, Jing] Hunan Univ, Coll Finance &amp; Stat, Changsha 410079, Hunan, Peoples R China; [Zhai, Shiting] Hunan Univ, Educ Sci Res Inst, Changsha, Hunan, Peoples R China</t>
  </si>
  <si>
    <t>hejing@hnu.edu.cn</t>
  </si>
  <si>
    <t>Fundamental Research Funds for the Central Universities of China from Hunan University [531107050178]; Hunan Provincial Innovation Foundation For Postgraduate [CX2017B122]</t>
  </si>
  <si>
    <t>Fundamental Research Funds for the Central Universities of China from Hunan University; Hunan Provincial Innovation Foundation For Postgraduate</t>
  </si>
  <si>
    <t>The research is supported by the Fundamental Research Funds for the Central Universities of China from Hunan University [531107050178] and by Hunan Provincial Innovation Foundation For Postgraduate [CX2017B122].</t>
  </si>
  <si>
    <t>10.1080/1540496X.2018.1518779</t>
  </si>
  <si>
    <t>HF2XY</t>
  </si>
  <si>
    <t>WOS:000454101200002</t>
  </si>
  <si>
    <t>Lyons, AC; Kass-Hanna, J; Fava, A</t>
  </si>
  <si>
    <t>Lyons, Angela C.; Kass-Hanna, Josephine; Fava, Ana</t>
  </si>
  <si>
    <t>Fintech development and savings, borrowing, and remittances: A comparative study of emerging economies</t>
  </si>
  <si>
    <t>Fintech; Digital financial services; Financial inclusion; Emerging economies; Vulnerable populations; Financial security</t>
  </si>
  <si>
    <t>FINANCIAL INCLUSION; MOBILE MONEY; BANKING</t>
  </si>
  <si>
    <t>Fintech is rapidly changing the financial landscape, especially in the post-COVID era. This study uses data from the world's first global ranking of fintech ecosystems, the Global Fintech Index (GFI), to investigate the linkages between fintech development and demand for savings, borrowing, and remittances for 16 of the world's largest emerging economies. Our results find a consistently strong and positive relationship between fintech development and financial inclusion. However, considerable heterogeneities persist across population groups and regions. Evidence also suggests that access may not translate to greater usage of financial services. The findings have important implications for future models of financial inclusion looking to harness the power of fintech.</t>
  </si>
  <si>
    <t>[Lyons, Angela C.] Univ Illinois, Urbana, IL 61801 USA; [Kass-Hanna, Josephine] St Joseph Univ Beirut, Fac Business Adm &amp; Management, Campus Social Sci,Huvelin St, Beirut 11042020, Lebanon; [Fava, Ana] Fed Univ ABC UFABC, Rua Arcturus 03, BR-09606070 Sao Bernardo Do Campo, SP, Brazil</t>
  </si>
  <si>
    <t>University of Illinois System; University of Illinois Urbana-Champaign; Universidade Federal do ABC (UFABC)</t>
  </si>
  <si>
    <t>anglyons@illinois.edu; josephine.kasshanna@usj.edu.lb; ana.fava@ufabc.edu.br</t>
  </si>
  <si>
    <t>Fava, Ana/R-9721-2019; Kass-Hanna, Josephine/AAC-7972-2021</t>
  </si>
  <si>
    <t>Fava, Ana/0000-0002-5863-0254;</t>
  </si>
  <si>
    <t>10.1016/j.ememar.2021.100842</t>
  </si>
  <si>
    <t>WOS:000836540200001</t>
  </si>
  <si>
    <t>Azimi, MN</t>
  </si>
  <si>
    <t>Azimi, Mohammad Naim</t>
  </si>
  <si>
    <t>Assessing the Effects of Financial Inclusion on Reducing Poverty and Income Inequality in South Asia: Evidence from a CS-ARDL Approach</t>
  </si>
  <si>
    <t>Financial inclusion; poverty; CS-ARDL; South Asia</t>
  </si>
  <si>
    <t>CROSS-SECTIONAL DEPENDENCE; LAGRANGE MULTIPLIER TEST; ECONOMIC-GROWTH; EMPIRICAL-EVIDENCE; REDUCTION; IMPACT; PANEL; EDUCATION; ACCESS; PRICE</t>
  </si>
  <si>
    <t>This study aims to examine the effects of financial inclusion on poverty reduction and income inequality with a focus on South Asian economies from 2004 to 2020 by employing dynamic panel models augmented with a comprehensive composite financial inclusion index and a set of well-known macroeconomic predictors. The primary results confirm the long-run relationships between financial inclusion, poverty headcount ratio and the Gini index, while the results of the cross-sectionally augmented autoregressive distributed lags model indicate that financial inclusion is significantly effective in reducing poverty and income disparities. Moreover, the findings reveal that real per capita income, institutional quality, age dependency ratio, credit to the private sector, inflation rate, school enrolment rate, trade openness, ratio of mobile users, and information and communication technologies are highly significant in intermediating the aggregate effects of financial inclusion on reducing poverty and income inequality. The findings clearly show that the greater impact of financial inclusion on reducing poverty and income inequality is primarily based on the development, enhancement and promotion of financial inclusion in South Asian economies, where the financially excluded segment constitutes a significant proportion of society.</t>
  </si>
  <si>
    <t>[Azimi, Mohammad Naim] Kabul Univ, Fac Econ 1, Kabul, Afghanistan; [Azimi, Mohammad Naim] Kabul Univ, Fac Econ, Kabul 1006, Afghanistan</t>
  </si>
  <si>
    <t>Azimi, MN (corresponding author), Kabul Univ, Fac Econ, Kabul 1006, Afghanistan.</t>
  </si>
  <si>
    <t>naeem.azimi@gmail.com</t>
  </si>
  <si>
    <t>Azimi, Mohammad Naim/CAI-7801-2022</t>
  </si>
  <si>
    <t>Azimi, Mohammad Naim/0000-0003-2621-2880</t>
  </si>
  <si>
    <t>2022 DEC 14</t>
  </si>
  <si>
    <t>10.1177/09721509221135927</t>
  </si>
  <si>
    <t>6Y5MJ</t>
  </si>
  <si>
    <t>WOS:000897138700001</t>
  </si>
  <si>
    <t>Orcutt, M</t>
  </si>
  <si>
    <t>Orcutt, Mike</t>
  </si>
  <si>
    <t>The System Behind Bitcoin Is Easing the Plight of Refugees Finland's digital money system for asylum seekers shows what blockchain technology can offer the unbanked</t>
  </si>
  <si>
    <t>TECHNOLOGY REVIEW</t>
  </si>
  <si>
    <t>TECHNOL REV</t>
  </si>
  <si>
    <t>1 MAIN ST, 13 FLR, CAMBRIDGE, MA 02142 USA</t>
  </si>
  <si>
    <t>1099-274X</t>
  </si>
  <si>
    <t>Technol. Rev.</t>
  </si>
  <si>
    <t>FL3IZ</t>
  </si>
  <si>
    <t>WOS:000414118100014</t>
  </si>
  <si>
    <t>Li, MJ; Lin, SJ; Chen, YH</t>
  </si>
  <si>
    <t>Li, Minjie; Lin, Shuangjiao; Chen, Yihui</t>
  </si>
  <si>
    <t>The Evaluation, Dynamic Evolutionary Characteristics and Influencing Factors of Green Innovation Efficiency in China</t>
  </si>
  <si>
    <t>POLISH JOURNAL OF ENVIRONMENTAL STUDIES</t>
  </si>
  <si>
    <t>green innovation efficiency; super-SBM undesirable model; dynamic evolution; GTWR; China</t>
  </si>
  <si>
    <t>SLACKS-BASED MEASURE</t>
  </si>
  <si>
    <t>Green innovation efficiency (GIE), which reflects the relationship between inputs and outputs that consider environmental impacts, is critical to China's realization of green and sustainable development. In view of the differences in economic development and resource endowment across provinces, it is necessary to measure and evaluate the GIE in a rational manner. In this paper, we study the evaluation, dynamic evolutionary characteristics, and influencing factors of GIE for 30 provinces in China over the period 2011-2022, using the super-SBM undesirable model, the spatial Markov chain model, and the geographically and temporally weighted regression model, respectively. Results show that the eastern region has a significantly higher GIE than the other regions, followed by the central region. Also, the state of provincial GIE in China is affected by the level of neighboring regions. GDP per capita, the marketization index, and industrial structure promoted GIE, while R&amp;D expenditure, import and export trade, and the digital financial inclusion index showed negative results. There is also spatiotemporal heterogeneity in the effects of individual factors on GIE. Thus, a one-size-fits-all policy for GIE is highly unsuitable for the realities of individual provinces in China. We propose a number of targeted and differentiated policy recommendations that can be implemented.</t>
  </si>
  <si>
    <t>[Li, Minjie] Fujian Jiangxia Univ, Sch Econ &amp; Trade, Fuzhou 350108, Peoples R China; [Lin, Shuangjiao] Xiamen Univ Technol, Inst Econ &amp; Management, Xiamen 361024, Peoples R China; [Chen, Yihui] Fujian Agr &amp; Forestry Univ, Sch Digital Econ, Fuzhou 350002, Peoples R China</t>
  </si>
  <si>
    <t>Fujian Jiangxia University; Xiamen University of Technology; Fujian Agriculture &amp; Forestry University</t>
  </si>
  <si>
    <t>Chen, YH (corresponding author), Fujian Agr &amp; Forestry Univ, Sch Digital Econ, Fuzhou 350002, Peoples R China.</t>
  </si>
  <si>
    <t>chenyihui@fafu.edu.cn</t>
  </si>
  <si>
    <t>Innovation Strategy Research Project of Fujian Province, China [2023R0075]</t>
  </si>
  <si>
    <t>Innovation Strategy Research Project of Fujian Province, China</t>
  </si>
  <si>
    <t>This research was funded by the Innovation Strategy Research Project of Fujian Province, China, grant number 2023R0075.</t>
  </si>
  <si>
    <t>HARD</t>
  </si>
  <si>
    <t>OLSZTYN 5</t>
  </si>
  <si>
    <t>POST-OFFICE BOX, 10-718 OLSZTYN 5, POLAND</t>
  </si>
  <si>
    <t>1230-1485</t>
  </si>
  <si>
    <t>2083-5906</t>
  </si>
  <si>
    <t>POL J ENVIRON STUD</t>
  </si>
  <si>
    <t>Pol. J. Environ. Stud.</t>
  </si>
  <si>
    <t>10.15244/pjoes/188046</t>
  </si>
  <si>
    <t>R8W8A</t>
  </si>
  <si>
    <t>WOS:001394188400043</t>
  </si>
  <si>
    <t>Turvey, CG; Xiong, XP</t>
  </si>
  <si>
    <t>Turvey, Calum G.; Xiong, Xueping</t>
  </si>
  <si>
    <t>Financial inclusion, financial education, and e-commerce in rural china</t>
  </si>
  <si>
    <t>This letter examines the state of financial inclusion in rural China. It shows that despite China's efforts at being financially inclusive there is substantial variability across and within provinces. With strong reliance on electronic technologies, China's rural and farm communities use internet technologies only half as much as all users, and less than 2% access credit through the internet. From a policy perspective, China should address problems of financial education and rural credit access.</t>
  </si>
  <si>
    <t>[Turvey, Calum G.] Cornell Univ, Charles H Dyson Sch Appl Econ &amp; Management, 357 Warren Hall, Ithaca, NY 14853 USA; [Xiong, Xueping] Huazhong Agr Univ, Wuhan 14853, Hubei, Peoples R China</t>
  </si>
  <si>
    <t>Cornell University; Huazhong Agricultural University</t>
  </si>
  <si>
    <t>Turvey, CG (corresponding author), Cornell Univ, Charles H Dyson Sch Appl Econ &amp; Management, 357 Warren Hall, Ithaca, NY 14853 USA.</t>
  </si>
  <si>
    <t>cgt6@cornell.edu</t>
  </si>
  <si>
    <t>10.1002/agr.21503</t>
  </si>
  <si>
    <t>ET0IG</t>
  </si>
  <si>
    <t>WOS:000399944900011</t>
  </si>
  <si>
    <t>Anupama, S; Sengupta, A</t>
  </si>
  <si>
    <t>Anupama, S.; Sengupta, Angan</t>
  </si>
  <si>
    <t>FinTech and older adults: a global synthesis of enablers, barriers, and research trends for inclusive digital finance</t>
  </si>
  <si>
    <t>MOBILE BANKING; INFORMATION-TECHNOLOGY; PEOPLE; ACCEPTANCE; HEALTH; DETERMINANTS; PERCEPTIONS; ADOPTION; IMPACTS; DIVIDE</t>
  </si>
  <si>
    <t>FinTech innovations offer immense potential for enhancing financial inclusion among vulnerable populations, particularly older adults. Existing research on FinTech adoption in this demographic remains fragmented and limited. Hence, this study presents a detailed understanding on the distribution of the scientific manuscripts across geographies, the primary enablers and barriers influencing FinTech adoption among older adults. The review also attempted to critically integrate thematic content analysis and cluster analysis to identify dominant research themes in its pursuit of enhancing the understanding of FinTech adoption among older adults. A tri-method review approach was used, integrating systematic, bibliometric and content analysis. A total of 204 Scopus-indexed publications from 2001 to 2025 were reviewed using the PRISMA 2020 protocol. The fifty-five most-cited studies were subjected to in-depth content analysis to extract dominant research themes and methodological trends. Most impactful research themes are identified through tree map visualizations and keyword thematic mapping in the literature on FinTech adoption among older adults. Findings show that United States leads in publication output and PLOS ONE emerges as the most influential journal. Five thematic clusters were identified: (1) Digital Financial Inclusion and ICT adoption; (2) Cognitive perspectives on internet use; (3) Healthcare financing and economic challenges; (4) Psychological and organizational dimensions in elder caregiving: health, motivation and crisis responses; (5) Digital finance, social isolation, and financial well-being. Despite growing academic interest since 2021 in the area of FinTech adoption among older adults, studies from developing societies remains limited. The overall findings from this study highlight that socio-economic conditions significantly influence cognitive and technological engagement among older adults, while helping in achieving social and financial inclusion. However, there is need for context-specific policy interventions and inclusive FinTech product designs that cater to underprivileged populations. Further research needs to develop understanding of regional socio-cultural dynamics in FinTech adoption among older adults.</t>
  </si>
  <si>
    <t>[Anupama, S.; Sengupta, Angan] Amrita Vishwa Vidyapeetham Univ, Amrita Sch Business, Bengaluru, India</t>
  </si>
  <si>
    <t>Amrita Vishwa Vidyapeetham; Amrita Vishwa Vidyapeetham Bengaluru</t>
  </si>
  <si>
    <t>Anupama, S; Sengupta, A (corresponding author), Amrita Vishwa Vidyapeetham Univ, Amrita Sch Business, Bengaluru, India.</t>
  </si>
  <si>
    <t>BL.BU.R4ASB23002@bl.students.amrita.edu; a_sengupta@blr.amrita.edu</t>
  </si>
  <si>
    <t>10.1057/s41599-025-06077-z</t>
  </si>
  <si>
    <t>A7297</t>
  </si>
  <si>
    <t>WOS:001619814900010</t>
  </si>
  <si>
    <t>Wang, LX; Gu, YQ; Sha, L; Guo, FY</t>
  </si>
  <si>
    <t>Wang, Lixia; Gu, Yingqian; Sha, Lin; Guo, Fangyuan</t>
  </si>
  <si>
    <t>How does Fintech affect green innovation of Chinese heavily polluting enterprises? The mediating role of energy poverty</t>
  </si>
  <si>
    <t>Fintech; Corporate green innovation; Energy poverty; Heavily polluting enterprises</t>
  </si>
  <si>
    <t>ENVIRONMENTAL-REGULATIONS; BUSINESS MODELS; ECONOMIC-GROWTH; CO2 EMISSIONS; CONSUMPTION; PERFORMANCE; IMPACT; SUSTAINABILITY; EMPLOYMENT</t>
  </si>
  <si>
    <t>Corporate green innovation is the crucial driving force to promote green development and realize the construction goal of Beautiful China. Meanwhile, the development of Fintech creates a more favorable external environment for corporate green innovation. Using the panel data of China's Digital Financial Inclusion Index and Energy Poverty Index at provincial level from 2011 to 2020, this paper studies the influence of Fintech on corporate green innovation by the evidence from Chinese heavily polluting enterprises. Based on stepwise regression, this paper further examines the mediating role of energy poverty, including energy consumption level, energy consumption capacity, and energy consumption structure, in the relationship between Fintech and corporate green innovation. The results show that (1) Fintech contributes to improving the level of green innovation of heavily polluting enterprises; (2) energy poverty acts as a mediator in the process of Fintech's influence on corporate green innovation; (3) Fintech can promote green innovation of heavily polluting enterprises by improving the level of regional energy consumption level, but it fails to influence corporate green innovation through energy consumption capacity and energy consumption structure. These results provide governments and companies with implications on facilitating corporate green innovation so as to further promote green development.</t>
  </si>
  <si>
    <t>[Wang, Lixia] Shanghai Dianji Univ, Sch Business, 300 Shuihua Rd, Shanghai 201306, Peoples R China; [Gu, Yingqian; Sha, Lin; Guo, Fangyuan] Shanghai Univ, SILC Business Sch, 20 Chengzhong Rd, Shanghai 200899, Peoples R China</t>
  </si>
  <si>
    <t>Shanghai Dianji University; Shanghai University</t>
  </si>
  <si>
    <t>Wang, LX (corresponding author), Shanghai Dianji Univ, Sch Business, 300 Shuihua Rd, Shanghai 201306, Peoples R China.</t>
  </si>
  <si>
    <t>philipw3178@163.com; Caci_Gu2000@163.com; shalin0613@163.com; gfy_kevin120570@163.com</t>
  </si>
  <si>
    <t>Wang, Lixia/ABV-1646-2022</t>
  </si>
  <si>
    <t>Wang, Lixia/0000-0003-3591-4315; Gu, Yingqian/0009-0007-7219-5117</t>
  </si>
  <si>
    <t>10.1007/s11356-023-26929-y</t>
  </si>
  <si>
    <t>S2EB5</t>
  </si>
  <si>
    <t>WOS:000974932900001</t>
  </si>
  <si>
    <t>De Koker, L; Jentzsch, N</t>
  </si>
  <si>
    <t>De Koker, Louis; Jentzsch, Nicola</t>
  </si>
  <si>
    <t>Financial Inclusion and Financial Integrity: Aligned Incentives?</t>
  </si>
  <si>
    <t>sub-Saharan Africa; financial inclusion; anti-money laundering; transparency; privacy; mobile money</t>
  </si>
  <si>
    <t>INFORMATION; PRIVACY; IMPACT</t>
  </si>
  <si>
    <t>The Financial Action Task Force embraces financial inclusion as complementary to anti-money laundering and counter-terrorist financing, as it enhances transparency. This support is based on the premise that the increased use of formal financial services leads to a reduction of usage of informal services. We present evidence on eight African countries that both are not negatively associated. Moreover, informal employment and cash preference reduce the inclination to use mobile financial services. If an increase in transparency acts as disincentive to use formal services, the alignment of financial inclusion and integrity will fail. (C) 2012 Elsevier Ltd. All rights reserved.</t>
  </si>
  <si>
    <t>[De Koker, Louis] Deakin Univ, Geelong, Vic 3217, Australia; [Jentzsch, Nicola] DIW Berlin, Berlin, Germany</t>
  </si>
  <si>
    <t>Deakin University; Leibniz Association; DIW Berlin - Deutsches Institut fur Wirtschaftsforschung</t>
  </si>
  <si>
    <t>De Koker, L (corresponding author), Deakin Univ, Geelong, Vic 3217, Australia.</t>
  </si>
  <si>
    <t>de Koker, Louis/0000-0003-0120-6150</t>
  </si>
  <si>
    <t>10.1016/j.worlddev.2012.11.002</t>
  </si>
  <si>
    <t>120CS</t>
  </si>
  <si>
    <t>WOS:000317149000019</t>
  </si>
  <si>
    <t>Wu, XL; Qin, YY; Xie, QZ; Zhang, YY</t>
  </si>
  <si>
    <t>Wu, Xiaoli; Qin, Yaoyao; Xie, Qizhuo; Zhang, Yunyi</t>
  </si>
  <si>
    <t>The Mediating and Moderating Effects of the Digital Economy on PM2.5: Evidence from China</t>
  </si>
  <si>
    <t>digital economy; PM2.5 emission; mediation; moderation; technological innovation; environmental information disclosure</t>
  </si>
  <si>
    <t>AIR-POLLUTION; PARTICIPATION; INNOVATION; EFFICIENCY; IMPACTS; POLICY; CITIES</t>
  </si>
  <si>
    <t>Environmental issues are fundamentally problems of development mode and life style. Meanwhile, the digital economy is an important means of optimizing the economic structure and achieving high-quality economic development, thereby changing the way of production and life, which can improve the aforementioned environmental challenges. Therefore, this research investigates how the digital economy can bring new ideas for reducing pollution in depth. Based on panel data from 285 prefecture-level cities in China, this paper examines the impact of the digital economy on PM2.5. We construct the evaluation system of China's digital economy development from the three aspects of digital penetration, digital human resources, and digital output. We use the digital economy comprehensive index with digital financial inclusion index as the main component to test the robustness. The results show that the increase of the digital economy reduces PM2.5 emissions in Chinese cities. In addition, we also explore technological innovation as a mediating channel for the digital economy to influence PM2.5 emissions. The digital economy provides a better research environment for technological innovation, conducive to improving cleaner production technology and products. Finally, we find that environmental information disclosure can enhance the impact of the digital economy on PM2.5 emissions.</t>
  </si>
  <si>
    <t>[Wu, Xiaoli] Shaoxing Univ, Business Sch, Shaoxing 312000, Peoples R China; [Qin, Yaoyao] Zhongnan Univ Econ &amp; Law, Sch Econ, Wuhan 430073, Peoples R China; [Xie, Qizhuo] Fudan Univ, Sch Management, Shanghai 200082, Peoples R China; [Zhang, Yunyi] Cornell Univ, Cornell Inst Publ Affairs, Ithaca, NY 14850 USA</t>
  </si>
  <si>
    <t>Shaoxing University; Zhongnan University of Economics &amp; Law; Fudan University; Cornell University</t>
  </si>
  <si>
    <t>Qin, YY (corresponding author), Zhongnan Univ Econ &amp; Law, Sch Econ, Wuhan 430073, Peoples R China.</t>
  </si>
  <si>
    <t>qyoyotoday@126.com</t>
  </si>
  <si>
    <t>; Zhang, Yunyi/MNQ-7280-2025</t>
  </si>
  <si>
    <t>Wu, Xiaoli/0000-0001-8353-7177;</t>
  </si>
  <si>
    <t>Zhejiang Philosophy and Social science Planning Leading Talent Cultivation Project; Zhejiang Federation of Humanities and Social Sciences Circles Research Project; General Research Project of Department of Education in Zhejiang Province; [23YJRC14ZD-1YB]; [2023N084]; [Y202248437]</t>
  </si>
  <si>
    <t>Zhejiang Philosophy and Social science Planning Leading Talent Cultivation Project; Zhejiang Federation of Humanities and Social Sciences Circles Research Project; General Research Project of Department of Education in Zhejiang Province; ; ;</t>
  </si>
  <si>
    <t>This research was funded by the Zhejiang Philosophy and Social science Planning Leading Talent Cultivation Project (23YJRC14ZD-1YB), the Zhejiang Federation of Humanities and Social Sciences Circles Research Project (2023N084), and the General Research Project of Department of Education in Zhejiang Province (Y202248437).</t>
  </si>
  <si>
    <t>10.3390/su142316032</t>
  </si>
  <si>
    <t>6X4HW</t>
  </si>
  <si>
    <t>WOS:000896377000001</t>
  </si>
  <si>
    <t>Magwegwe, FM; Lim, H</t>
  </si>
  <si>
    <t>Magwegwe, Frank M.; Lim, HanNa</t>
  </si>
  <si>
    <t>Factors Associated With the Ownership of Individual Retirement Accounts (IRAs): Applying the Theory of Planned Behavior</t>
  </si>
  <si>
    <t>financial education; financial knowledge; individual retirement account; Keogh; retirement planning; retirement savings needs calculation</t>
  </si>
  <si>
    <t>FINANCIAL EDUCATION; LITERACY; DECISIONS; DETERMINANTS; KNOWLEDGE; SAVINGS</t>
  </si>
  <si>
    <t>Despite the importance of retirement savings, many individuals retire with lack of adequate retirement savings. While calculating retirement savings needs was found to enhance retirement savings, little is known about what underlies this enhancement. Applying the theory of planned behavior (TPB), we developed a model in which psychological factors influence the calculation of retirement savings needs, which in turn influences the ownership of individual retirement accounts. Path analysis was used to test our model with data from the 2015 National Financial Capability Study. The results showed that favorable attitudes, strong social norms, and perceived behavioral control are associated with calculating retirement savings needs. Also, calculating retirement savings needs as well as perceived behavioral control and having an employer-based retirement plan, in turn, contributed to the prediction of individual retirement account ownership. Our results suggest it is important to understand he psychological factors behind calculating retirement savings needs and to make it easy for individuals to calculate those needs.</t>
  </si>
  <si>
    <t>[Magwegwe, Frank M.] Thrive Financial Wellness, 40 Desborough Ave, ZA-2196 Winston Ridge, South Africa; [Lim, HanNa] Kansas State Univ, Coll Hlth &amp; Human Sci, Sch Family Studies &amp; Human Serv, 343P Justin Hall,1324 Lovers Lane, Manhattan, KS 66506 USA</t>
  </si>
  <si>
    <t>Kansas State University</t>
  </si>
  <si>
    <t>Lim, H (corresponding author), Kansas State Univ, Coll Hlth &amp; Human Sci, Sch Family Studies &amp; Human Serv, 343P Justin Hall,1324 Lovers Lane, Manhattan, KS 66506 USA.</t>
  </si>
  <si>
    <t>hlim@ksu.edu</t>
  </si>
  <si>
    <t>; Magwegwe, Frank/HNB-7126-2023</t>
  </si>
  <si>
    <t>Lim, HanNa/0000-0001-7081-2862; Magwegwe, Frank/0000-0001-7172-6050</t>
  </si>
  <si>
    <t>Outstanding Symposium Research Paper Award at the 2018 Association for Financial Counseling &amp; Planning Education Symposium</t>
  </si>
  <si>
    <t>This manuscript received the Outstanding Symposium Research Paper Award at the 2018 Association for Financial Counseling &amp; Planning Education Symposium.</t>
  </si>
  <si>
    <t>10.1891/JFCP-19-00023</t>
  </si>
  <si>
    <t>SO9MV</t>
  </si>
  <si>
    <t>WOS:000659298600008</t>
  </si>
  <si>
    <t>Deng, LR; Lv, YB; Liu, Y; Zhao, YW</t>
  </si>
  <si>
    <t>Deng, Liurui; Lv, Yongbin; Liu, Ye; Zhao, Yiwen</t>
  </si>
  <si>
    <t>Impact of Fintech on Bank Risk-Taking: Evidence from China</t>
  </si>
  <si>
    <t>Fintech; bank's risk-taking; bank competition; Robo-Advisor; intermediary</t>
  </si>
  <si>
    <t>This article focuses on the relationship between Fintech and bank risk-taking behavior. Since Robo-Advisor is one of the mature applications of Fintech, we found that the development of Fintech will have a greater impact on small and medium-sized banks through the establishment of a Robo-Advisor model. This paper uses a benchmark regression model to analyze the municipal digital financial inclusion index compiled by Peking University and the annual report data of 155 small and medium-sized banks from 2011 to 2016. We found that the development of Fintech has significantly reduced bank risk-taking level. This result is still valid after the robustness test of replacing the bank's risk-taking index and replacing the Fintech development index. We used the urban innovation index as an instrumental variable to deal with the endogenous problem, and obtained consistent estimation results. The test of the intermediary effect shows that the development of Fintech will affect the bank risk-taking through channels such as the bank's internal interest margin, management capabilities, the bank's external competition intensity, and residents' saving willingness. Heterogeneity analysis shows the reduction effect of Fintech on bank risk-taking is more pronounced in banks in eastern and western regions in China, the large banks and the urban commercial banks.</t>
  </si>
  <si>
    <t>[Deng, Liurui; Zhao, Yiwen] Hunan Normal Univ, Business Sch, Changsha 410081, Peoples R China; [Lv, Yongbin; Liu, Ye] Zhongnan Univ Econ &amp; Laws, Sch Finance, Wuhan 430073, Peoples R China</t>
  </si>
  <si>
    <t>Hunan Normal University; Zhongnan University of Economics &amp; Law</t>
  </si>
  <si>
    <t>Deng, LR (corresponding author), Hunan Normal Univ, Business Sch, Changsha 410081, Peoples R China.</t>
  </si>
  <si>
    <t>purplerosed@hunnu.edu.cn; lvyongbin@zuel.edu.cn; liuye@stu.zuel.edu.cn; 201920030410@hunnu.edu.cn</t>
  </si>
  <si>
    <t>Zhao, Yiwen/IYT-2668-2023</t>
  </si>
  <si>
    <t>National Social Science Fund of China [19BGL002]</t>
  </si>
  <si>
    <t>This research was funded by The National Social Science Fund of China, grant number no. 19BGL002, and the APC was funded by no. 19BGL002.</t>
  </si>
  <si>
    <t>10.3390/risks9050099</t>
  </si>
  <si>
    <t>SH9VA</t>
  </si>
  <si>
    <t>WOS:000654476700001</t>
  </si>
  <si>
    <t>Ali, MS; Riaz, A; Shah, SMA</t>
  </si>
  <si>
    <t>Ali, Muhammad Sadil; Riaz, Adnan; Shah, Syed Muhammad Amir</t>
  </si>
  <si>
    <t>Financial Capability, Financial Well-Being, and Life Satisfaction of Women in an Emerging Economy</t>
  </si>
  <si>
    <t>financial literacy; financial management behavior; financial satisfaction; financial self-efficacy; financial stress; life satisfaction</t>
  </si>
  <si>
    <t>SELF-EFFICACY; GENDER-DIFFERENCES; LITERACY; STRESS; BEHAVIOR; PERFECTIONISM; DEPRESSION; EDUCATION; HAPPINESS; MEDIATE</t>
  </si>
  <si>
    <t>Life satisfaction depends on several life aspects, such as relationships, achievements, health, and work satisfaction. Theorists and experts contend that domain-specific factors and behaviors predict domain-specific satisfaction. Our study examines life satisfaction from the standpoint of behavior finance indicators by incorporating financial capability factors such as financial literacy, financial management behavior, and financial self-efficacy as antecedents to financial satisfaction and financial stress. Financial satisfaction and financial stress are further assumed to predict life satisfaction. Data are collected from 308 working women using a self-administered questionnaire in three different waves in Pakistan. By examining the fitness of the measurement model, we proceeded toward path analysis of the structural equation model. All the hypothesized relationships are supported except the paths between financial literacy to financial stress and financial management behavior to financial satisfaction. The results and implications are presented based on the findings of the study.</t>
  </si>
  <si>
    <t>[Ali, Muhammad Sadil] Allama Iqbal Open Univ, Dept Commerce, Islamabad, Pakistan; [Riaz, Adnan] Allama Iqbal Open Univ, Dept Business Adm, Islamabad, Pakistan; [Shah, Syed Muhammad Amir] Allama Iqbal Open Univ, Dept Commerce, Islamabad, Pakistan</t>
  </si>
  <si>
    <t>Ali, MS (corresponding author), Allama Iqbal Open Univ, Dept Commerce, Islamabad, Pakistan.</t>
  </si>
  <si>
    <t>sadil.ali@aiou.edu.pk; adnan_riaz@aiou.edu.pk; dramirshah@aiou.edu.pk</t>
  </si>
  <si>
    <t>Riaz, Adnan/JAO-2144-2023; Sadil Ali, Muhammad/K-7911-2019; Shah, Dr Syed Muhammad Amir/IXN-6717-2023</t>
  </si>
  <si>
    <t>Sadil Ali, Muhammad/0000-0003-3903-9757;</t>
  </si>
  <si>
    <t>10.1891/JFCP-2022-0021</t>
  </si>
  <si>
    <t>R2L1F</t>
  </si>
  <si>
    <t>WOS:001389818900003</t>
  </si>
  <si>
    <t>de Mel, S; McKenzie, D; Woodruff, C</t>
  </si>
  <si>
    <t>de Mel, Suresh; McKenzie, David; Woodruff, Christopher</t>
  </si>
  <si>
    <t>Getting Credit to High Return Microentrepreneurs: The Results of an Information Intervention</t>
  </si>
  <si>
    <t>DECISIONS; ACCESS</t>
  </si>
  <si>
    <t>Small-scale entrepreneurs typically cite access to finance as the most important constraint to growth. Recent randomized experiments have shown the return to capital to be very high for the average microenterprise in Sri Lanka. An intervention was designed to improve access to credit among these high-return microenterprises without subsidizing interest rates or requiring group lending. The intervention consisted of information sessions providing details of the microfinance loan product offered by a regional development bank and a reduction from two to one in the number of personal guarantors required for these loans. Ten percent of the microenterprises invited to the information meetings received a new loan, doubling the proportion of firms receiving loans over this period. However, the loans do not appear to be going to particularly high-return firms but rather to firms with more household assets. Many more firms would like loans but are constrained by an inability to find personal guarantors and by other bureaucratic procedures. The results suggest that information alone is unlikely to be enough for most firms and point to the need for credit bureaus that cover microfinance loans and for continuing innovation in loan products that can reach the urban microenterprise sector. JEL classification: G21, D24, D83, O12</t>
  </si>
  <si>
    <t>[McKenzie, David] World Bank, Dev Res Grp, Washington, DC 20433 USA; [de Mel, Suresh] Univ Peradeniya, Dept Econ &amp; Stat, Peradeniya, Sri Lanka; [Woodruff, Christopher] Univ Warwick, Coventry CV4 7AL, W Midlands, England</t>
  </si>
  <si>
    <t>The World Bank; University of Peradeniya; University of Warwick</t>
  </si>
  <si>
    <t>McKenzie, D (corresponding author), World Bank, Dev Res Grp, Washington, DC 20433 USA.</t>
  </si>
  <si>
    <t>sdemel@pdn.ac.lk; dmckenzie@worldbank.org; c.woodruff@warwick.ac.u</t>
  </si>
  <si>
    <t>Economic and Social Research Council [ES/H021248/1] Funding Source: researchfish; ESRC [ES/H021248/1] Funding Source: UKRI</t>
  </si>
  <si>
    <t>10.1093/wber/lhr023</t>
  </si>
  <si>
    <t>837AI</t>
  </si>
  <si>
    <t>WOS:000296162400005</t>
  </si>
  <si>
    <t>Umar, M; Akhtar, M</t>
  </si>
  <si>
    <t>Umar, Muhammad; Akhtar, Muhammad</t>
  </si>
  <si>
    <t>Financial inclusion and bank risk-taking nexus: evidence from China</t>
  </si>
  <si>
    <t>Financial inclusion; Bank risk-taking; Collaborative intervention theory; China; G210; G320; O16</t>
  </si>
  <si>
    <t>INCOME INEQUALITY; COMMERCIAL-BANKS; ECONOMIC-GROWTH; STABILITY</t>
  </si>
  <si>
    <t>Purpose This study aims to investigate the relationship between financial inclusion and risk-taking by Chinese banks. Design/methodology/approach It uses the panel data from Chinese banks ranging from 2011 to 2019 and applies system generalized method of moments to measure coefficients. To get in-depth understanding of the relationship between above-mentioned variables, the analysis for commercial, cooperative, listed, unlisted, small and large banks has been done. Financial inclusion index has been measured based on demographic and geographic aspects by using the principal component analysis, and bank risk-taking has been proxied by z-score. Findings The findings reveal an inverse relationship between financial inclusion and bank risk-taking which implies that an increase in financial inclusion results in lesser risk for the banks, i.e. diversification hypothesis applies. However, the results for unlisted and large banks show a different story where an increase in financial inclusion results in higher bank risk and vice versa. Originality/value The present study offers several valid and convincing implications for consumers, policymakers and banking sector regulators.</t>
  </si>
  <si>
    <t>[Umar, Muhammad] East China Jiao Tong Univ, Sch Econ &amp; Management, Nanchang, Jiangxi, Peoples R China; [Akhtar, Muhammad] Natl Univ Comp &amp; Emerging Sci, Islamabad, Pakistan</t>
  </si>
  <si>
    <t>East China Jiaotong University</t>
  </si>
  <si>
    <t>Umar, M (corresponding author), East China Jiao Tong Univ, Sch Econ &amp; Management, Nanchang, Jiangxi, Peoples R China.</t>
  </si>
  <si>
    <t>umare@yahoo.com</t>
  </si>
  <si>
    <t>Umar, Muhammad/O-7387-2014</t>
  </si>
  <si>
    <t>Umar, Muhammad/0000-0002-0591-5950</t>
  </si>
  <si>
    <t>10.1108/CFRI-08-2021-0174</t>
  </si>
  <si>
    <t>TX0J6</t>
  </si>
  <si>
    <t>WOS:000711066600001</t>
  </si>
  <si>
    <t>Deiss, J; Ölkers, T; Musshoff, O</t>
  </si>
  <si>
    <t>Deiss, Johanna; Oelkers, Tim; Musshoff, Oliver</t>
  </si>
  <si>
    <t>Gender and credit: Inequalities in loan size and credit repayment performance? Evidence from Mali</t>
  </si>
  <si>
    <t>Credit; Discrimination; Financial inclusion; Gender; Inequality; Loan; Mali; Repayment</t>
  </si>
  <si>
    <t>MICROFINANCE; ACCESS; DISCRIMINATION; MICROCREDIT; BUSINESSES</t>
  </si>
  <si>
    <t>This study examines gender inequalities in loan sizes and explores potential discriminatory practices in the Malian credit market. Using data from a commercial bank, it first analyzes gender differences in loan size. To further assess treatment disparities, gender differences in credit repayment performance are analyzed and gender gaps across different numbers of loans investigated. The results show that female clients consistently receive statistically significantly smaller loans than male clients. Repayment performance findings are mixed: women are statistically significantly more likely to have small delays but statistically significantly less likely to have severe delays of over 30 days. These disparities suggest that loan officers may treat male and female clients differently, contributing to the literature on gender and credit in Mali.</t>
  </si>
  <si>
    <t>[Oelkers, Tim; Musshoff, Oliver] Univ Gottingen, Dept Agr Econ &amp; Rural Dev, Pl Gottingen Sieben 5, D-37073 Gottingen, Germany</t>
  </si>
  <si>
    <t>Ölkers, T (corresponding author), Univ Gottingen, Dept Agr Econ &amp; Rural Dev, Pl Gottingen Sieben 5, D-37073 Gottingen, Germany.</t>
  </si>
  <si>
    <t>tim.oelkers@uni-goettingen.de; oliver.musshoff@agr.uni-goettingen.de</t>
  </si>
  <si>
    <t>Ölkers, Tim/0000-0002-8399-3962</t>
  </si>
  <si>
    <t>10.1016/j.jrurstud.2025.103888</t>
  </si>
  <si>
    <t>7ST5R</t>
  </si>
  <si>
    <t>WOS:001578788800001</t>
  </si>
  <si>
    <t>Kim, KT; Xiao, JJ; Lee, ST</t>
  </si>
  <si>
    <t>Kim, Kyoung Tae; Xiao, Jing Jian; Lee, Sunwoo T.</t>
  </si>
  <si>
    <t>Gender differences in financial capability: What is behind the gap?</t>
  </si>
  <si>
    <t>decomposition analysis; financial capability; gender; National Financial Capability Study</t>
  </si>
  <si>
    <t>LITERACY; KNOWLEDGE; EDUCATION</t>
  </si>
  <si>
    <t>This study examines gender differences across five measures of financial capability and identifies factors that widen or narrow the gap using a decomposition technique. Utilizing data from the 2021 National Financial Capability Study, the results indicated that females had lower levels of financial capability than males on four out of five measures, with the exception of perceived financial capability. Decomposition analyses reveal several key contributing factors to explain these gender differences in financial capability, including age, income, education, financial anxiety, risk tolerance, and financial education. This study provides important insights for financial educators, researchers, and policymakers.</t>
  </si>
  <si>
    <t>[Kim, Kyoung Tae] Univ Alabama, Dept Consumer Sci, 316-C Adams Hall,Box 870158, Tuscaloosa, AL 35487 USA; [Xiao, Jing Jian] Univ Rhode Isl, Dept Human Dev &amp; Family Sci, Kingston, RI USA; [Lee, Sunwoo T.] Sungkyunkwan Univ, Dept Consumer Sci, Seoul, South Korea</t>
  </si>
  <si>
    <t>University of Alabama System; University of Alabama Tuscaloosa; University of Rhode Island; Sungkyunkwan University (SKKU)</t>
  </si>
  <si>
    <t>ktkim@ches.ua.edu</t>
  </si>
  <si>
    <t>10.1002/fcsr.70025</t>
  </si>
  <si>
    <t>6DD3A</t>
  </si>
  <si>
    <t>WOS:001550515600001</t>
  </si>
  <si>
    <t>Martínez, RG; Aguilera-Lizarazu, G; Rojas-Hosse, A; Blanco, PA</t>
  </si>
  <si>
    <t>Gonzales Martinez, Rolando; Aguilera-Lizarazu, Gabriela; Rojas-Hosse, Andrea; Aranda Blanco, Patricia</t>
  </si>
  <si>
    <t>The interaction effect of gender and ethnicity in loan approval: A Bayesian estimation with data from a laboratory field experiment</t>
  </si>
  <si>
    <t>credit access; gender gaps; indigenous peoples; discrete choice; Bayesian analysis</t>
  </si>
  <si>
    <t>DISCRIMINATION; CREDIT; MICROFINANCE; WOMEN; MICROCREDIT; OFFICERS; MODELS; ACCESS</t>
  </si>
  <si>
    <t>Microfinance targets women and uses loan provision as a tool for empowerment, which translates into better household nutrition, improved education, and a scale down of domestic violence. However, ethnic discrimination in microfinance may exist in countries with a segregated indigenous population. We assessed this possibility with a field experiment in Bolivia. The controlled laboratory experiment evaluated whether credit officers rejected microloan applications based on the interaction effect of ethnicity and gender of potential borrowers. Point estimates of a Bayesian mixed-effects logistic regression, estimated with the experimental data, indicate that nonindigenous women have double the chance of loan approval, but indigenous women have only 1.5 times the chance of loan approval when compared with men. While the findings about gender are limited, the evidence for the interaction of gender and ethnicity is more robust and suggests the existence of positive taste-based discrimination favorable for nonethnic women in Bolivia. We conclude that the affirmative actions towards women promoted by development agencies and microfinance institutions must not overlook ethnicity as an important factor for financial policies of sustainable development. In practice, these policies should be aimed at identifying and reducing both social desirability bias and the structural barriers to financial inclusion that indigenous women may face when trying to obtain access to a loan.</t>
  </si>
  <si>
    <t>[Gonzales Martinez, Rolando] Univ Agder, N-4630 Kristiansand S, Norway; [Gonzales Martinez, Rolando; Aguilera-Lizarazu, Gabriela; Rojas-Hosse, Andrea; Aranda Blanco, Patricia] Bayesian Inst Res &amp; Dev, La Paz, Bolivia</t>
  </si>
  <si>
    <t>Martínez, RG (corresponding author), Univ Agder, N-4630 Kristiansand S, Norway.</t>
  </si>
  <si>
    <t>Rolando.gonzales@uia.no</t>
  </si>
  <si>
    <t>Gonzales Martinez, Rolando/0000-0001-5401-780X</t>
  </si>
  <si>
    <t>Partnership for Economic Policy (PEP); Department for International Development (DFID) of the United Kingdom (UK Aid); Government of Canada through the International Development Research Center (IDRC)</t>
  </si>
  <si>
    <t>Partnership for Economic Policy (PEP); Department for International Development (DFID) of the United Kingdom (UK Aid); Government of Canada through the International Development Research Center (IDRC)(CGIAR)</t>
  </si>
  <si>
    <t>This research work was carried out with financial and scientific support from the Partnership for Economic Policy (PEP) (www.pep-net.org) with funding from the Department for International Development (DFID) of the United Kingdom (or UK Aid), and the Government of Canada through the International Development Research Center (IDRC).</t>
  </si>
  <si>
    <t>10.1111/rode.12607</t>
  </si>
  <si>
    <t>NK4IP</t>
  </si>
  <si>
    <t>WOS:000477524900001</t>
  </si>
  <si>
    <t>Kumar, P; Pillai, R; Kumar, N; Tabash, MI</t>
  </si>
  <si>
    <t>Kumar, Parul; Pillai, Rekha; Kumar, Neha; Tabash, Mosab I.</t>
  </si>
  <si>
    <t>The interplay of skills, digital financial literacy, capability, and autonomy in financial decision making and well-being</t>
  </si>
  <si>
    <t>Digital financial literacy; Financial autonomy; Financial capability; Financial skills; Impulsivity; Perceived well-being</t>
  </si>
  <si>
    <t>BEHAVIOR; EDUCATION; SEM; VALIDATION; ADULTS; MODEL; GAIN</t>
  </si>
  <si>
    <t>Covid-19 and the unprecedented surge in financial technology contributed to unexpected financial challenges, affecting the relevance of financial decision making and perceived financial well-being. This paper examines the mediating effects of digital financial literacy, financial autonomy, financial capability, and impulsivity on financial decision making and perceived financial well-being. The data come from 512 re-spondents in Delhi/NCR (National Capital Region), India, using a snowball-sampling technique and partial least squares structural equation modeling to test 13 structural hypotheses with SmartPLS3.3. Partial least squares (PLS) prediction is employed to estimate the out-of-sample predictive power of the proposed model. Our findings reveal that skills directly affect financial decision making and perceived financial well-being, and digital financial literacy emerges as a direct and mediating predictor of financial decision making. The dominance of financial capability and financial autonomy as mediators in financial decision making and financial well-being become more evident, and impulsivity fails to have mediating effects on financial decision making. The results have academic, regulatory, and managerial implications, all of which calls for more concerted efforts at recognizing the unique interaction among skills-financial decision making-perceived financial well-being, the cu-mulative effect of which enhances the critical ability to deal with environmental challenges, manage socioeconomic pressures in a sustainable manner, and translate the benefits into prudent gender-specific policy decisions and practices.Copyright (c) 2022 Borsa Istanbul Anonim S , irketi. Published by Elsevier B.V. This is an open access article under the CC BY-NC-ND license (http://creativecommons.org/licenses/by-nc-nd/4.0/).</t>
  </si>
  <si>
    <t>[Kumar, Parul] Delhi Skill &amp; Entrepreneurship Univ, Sch Banking Financial Serv &amp; Insurance, New Delhi 110077, India; [Pillai, Rekha] Ajman Univ, Coll Business Adm, POB 346, Ajman, U Arab Emirates; [Kumar, Neha] NorthCap Univ, Sch Management &amp; Liberal Studies, POB 122017, Gurugram, India; [Tabash, Mosab I.] Al Ain Univ, Coll Business, Al Ain, U Arab Emirates</t>
  </si>
  <si>
    <t>Ajman University; The Northcap University</t>
  </si>
  <si>
    <t>Pillai, R (corresponding author), Ajman Univ, Coll Business Adm, POB 346, Ajman, U Arab Emirates.</t>
  </si>
  <si>
    <t>parul.kumar@dseu.ac.in; r.pillai@ajman.ac.ae; nehakumar@ncuindia.edu; mosab.tabash@aau.ac.ae</t>
  </si>
  <si>
    <t>Tabash, Mosab I/P-8731-2018; Kumar, Parul/AAM-7015-2021; Kumar, Neha/AAJ-7183-2021</t>
  </si>
  <si>
    <t>Tabash, Mosab I/0000-0003-3688-7224; Kumar, Parul/0000-0003-1150-9294; Pillai, Rekha/0000-0002-0086-5472</t>
  </si>
  <si>
    <t>10.1016/j.bir.2022.09.012</t>
  </si>
  <si>
    <t>9X3YO</t>
  </si>
  <si>
    <t>WOS:000949708200001</t>
  </si>
  <si>
    <t>Sigova, MV; Klioutchnikov, IK; Zatevakhina, AV; Klioutchnikov, OI</t>
  </si>
  <si>
    <t>Sigova, Maria V.; Klioutchnikov, Igor K.; Zatevakhina, Anna V.; Klioutchnikov, Oleg I.</t>
  </si>
  <si>
    <t>Approaches to evaluating the function of prediction of decentralized applications</t>
  </si>
  <si>
    <t>2018 INTERNATIONAL CONFERENCE ON ARTIFICIAL INTELLIGENCE: APPLICATIONS AND INNOVATIONS (IC-AIAI)</t>
  </si>
  <si>
    <t>International Conference on Artificial Intelligence - Applications and Innovations (IC-AIAI)</t>
  </si>
  <si>
    <t>OCT 31-NOV 02, 2018</t>
  </si>
  <si>
    <t>Nicosia, CYPRUS</t>
  </si>
  <si>
    <t>blockchain; financial markets predictions; DApps; digitization in finance; price prediction</t>
  </si>
  <si>
    <t>Is the distributed ledger technology able to predict the capital asset prices and digitizes any financial market participant? Prediction is a scary and tempting place to venture, profitable trading and the development of effective strategies. Will predictions fit into the everyday practice of financial markets? Is blockchain technology capable to revolutionize predictions? Is the blockchain able to compensate of the lack of individual intelligence in assessing market prospects? In the article, the authors do not so much raise these questions as they try to outline the directions for their solution. Financial inclusion is one of the problems that blockchain technology can solve, if it is applied properly. Transferring predictions to the online mode and providing each market participant with the opportunity to digitize their activities would help introduce new efficient mechanisms to improve performance of financial market practices. The article discusses two aspects of using blockchain technology in finance - forecasting financial markets using collective knowledge and digitizing assets of market participants based on blockchain. The article also raises the question of the possibility of using some fundamental physical laws for analyzing the impact of new technologies on the financial markets. An attempt is made to approach the assessment of the prospects of using a number of decentralized applications for financial market predictions and the creation of digital counterparts of market participants. A fundamental lesson from experiments in predicting financial markets and digitizing market participants is that decentralized solutions are still not sufficiently scaled and, as a result, are used by consumers.</t>
  </si>
  <si>
    <t>[Sigova, Maria V.; Zatevakhina, Anna V.] Int Banking Inst, St Petersburg, Russia; [Klioutchnikov, Igor K.] Dept Banking &amp; Innovat Financial Technol, St Petersburg, Russia; [Klioutchnikov, Oleg I.] IBI, Dept Banking &amp; Innovat Financial Technol, St Petersburg, Russia</t>
  </si>
  <si>
    <t>Sigova, MV (corresponding author), Int Banking Inst, St Petersburg, Russia.</t>
  </si>
  <si>
    <t>sigovamv@ibispb.ru</t>
  </si>
  <si>
    <t>Sigova, Mariia/AAZ-1002-2021</t>
  </si>
  <si>
    <t>Kliuchnikov, Oleg/0009-0002-9128-0994</t>
  </si>
  <si>
    <t>Russian Science Foundation [17-71-30029]</t>
  </si>
  <si>
    <t>Russian Science Foundation(Russian Science Foundation (RSF))</t>
  </si>
  <si>
    <t>This research is financially supported by the Russian Science Foundation, Agreement #17-71-30029 with co-financing of Bank Saint Petersburg.</t>
  </si>
  <si>
    <t>978-1-7281-0412-6</t>
  </si>
  <si>
    <t>10.1109/IC-AIAI.2018.00008</t>
  </si>
  <si>
    <t>BM8EX</t>
  </si>
  <si>
    <t>WOS:000469060800002</t>
  </si>
  <si>
    <t>Nguyen, TD; Du, QLT</t>
  </si>
  <si>
    <t>Trung Duc Nguyen; Quynh Lan Thi Du</t>
  </si>
  <si>
    <t>The effect of financial inclusion on bank stability: Evidence from ASEAN</t>
  </si>
  <si>
    <t>financial inclusion; bank stability</t>
  </si>
  <si>
    <t>MARKET DISCIPLINE; DEPOSIT INSURANCE; RISK; COMPETITION; IMPACT</t>
  </si>
  <si>
    <t>After the recent global financial crisis of 2008, the attention of researchers and politicians has focused on both financial inclusion and bank stability. However, we still know little of how the former impacts the stability of financial services providers. This paper focuses on financial inclusion and its influence on bank stability. By using a sample of 102 banks in six countries of ASEAN over the period 2008-19, we achieve the result that the index of financial inclusion has a positive relationship with Zscore and a negative effect on the standard deviation of deposit growth rates and nonperforming loan ratio, which also means that higher level of financial inclusion contributes to greater bank stability. Or, to make it clearer, in an inclusive financial sector, those banks can increase more stable customer deposits and safe loans by providing banking services. The indices calculated for each dimension of financial inclusion, including accessibility, availability, and usage of the formal bank system, also have the same results. Our findings have important policy implications that ASEAN policymakers do not have to face a tradeoff between focusing on reforms to promote financial inclusion and focusing on further improvements in bank stability.</t>
  </si>
  <si>
    <t>[Trung Duc Nguyen] Banking Univ HCMC, Ho Chi Minh City, Vietnam; [Quynh Lan Thi Du] Banking Univ HCMC, Fac Finance, Ho Chi Minh City, Vietnam</t>
  </si>
  <si>
    <t>Nguyen, TD (corresponding author), Banking Univ HCMC, Ho Chi Minh City, Vietnam.</t>
  </si>
  <si>
    <t>trungnd@buh.edu.vn; quynhdtl@buh.edu.vn</t>
  </si>
  <si>
    <t>10.1080/23322039.2022.2040126</t>
  </si>
  <si>
    <t>ZD1ZK</t>
  </si>
  <si>
    <t>WOS:000758003800001</t>
  </si>
  <si>
    <t>Jemovic, M; Markovic, I; Ljajic, A; Marinkovic, S</t>
  </si>
  <si>
    <t>Jemovic, Mirjana; Markovic, Ivana; Ljajic, Adela; Marinkovic, Srdan</t>
  </si>
  <si>
    <t>Network readiness, financial inclusion, and sustainable development goals: Insights from a clustering approach</t>
  </si>
  <si>
    <t>Network readiness index; Financial access; Sustainable development goals; Cluster analysis</t>
  </si>
  <si>
    <t>ICT</t>
  </si>
  <si>
    <t>This research examines the role of the financial sector in advancing the Sustainable Development Goals (SDGs) by promoting access to financial services and leveraging Information and Communication Technologies (ICTs). Utilizing the k-means++ algorithm, we clustered 41 European countries based on the values of the Network Readiness Index (NRI) pillars-serving as a measure of ICT-and by the achieved values for SDG indicator 8.10, which reflects access to financial services. The results confirmed that cluster differences based on NRI components are significant, particularly with respect to: ownership of accounts with banks, other financial institutions, and mobile-money-service providers; sociodemographic characteristics of financial service users; and contributions to 13 out of the 17 SDGs. Notably, in terms of the impact of financial service access on SDG performance, significant differences between clusters were found in eight out of the 17 SDGs.</t>
  </si>
  <si>
    <t>[Jemovic, Mirjana; Markovic, Ivana; Marinkovic, Srdan] Univ Nis, Fac Econ, Trg Kralja Aleksandra Ujedinitelja 11, Nish 1800, Serbia; [Ljajic, Adela] Inst Artificial Intelligence Res &amp; Dev Serbia, Belgrade, Serbia</t>
  </si>
  <si>
    <t>University of Nis</t>
  </si>
  <si>
    <t>Jemovic, M (corresponding author), Univ Nis, Fac Econ, Trg Kralja Aleksandra Ujedinitelja 11, Nish 1800, Serbia.</t>
  </si>
  <si>
    <t>mirjana.jemovic@eknfak.ni.ac.rs; ivana.markovic@eknfak.ni.ac.rs; adela.ljajic@ivi.ac.rs; marinkovic@eknfak.ni.ac.rs</t>
  </si>
  <si>
    <t>Ljajić, Adela/JFJ-8363-2023</t>
  </si>
  <si>
    <t>European Union's Horizon Europe research and innovation program [101136834]</t>
  </si>
  <si>
    <t>European Union's Horizon Europe research and innovation program</t>
  </si>
  <si>
    <t>This paper is part of a project CROSS-REIS - HORIZON WIDERA-2023-ACCESS-03 that has received funding from the European Union's Horizon Europe research and innovation program under grant agreement No. 101136834.</t>
  </si>
  <si>
    <t>10.1016/j.bir.2025.05.013</t>
  </si>
  <si>
    <t>7ID8A</t>
  </si>
  <si>
    <t>WOS:001571592800008</t>
  </si>
  <si>
    <t>Li, J; Wu, Y; Xiao, JJ</t>
  </si>
  <si>
    <t>Li, Jie; Wu, Yu; Xiao, Jing Jian</t>
  </si>
  <si>
    <t>The impact of digital finance on household consumption: Evidence from China</t>
  </si>
  <si>
    <t>Conference on Applied Finance, Macroeconomic Performance, and Economic Growth</t>
  </si>
  <si>
    <t>MAY 31-JUN 02, 2019</t>
  </si>
  <si>
    <t>Digital finance; Household consumption; Mediating effect</t>
  </si>
  <si>
    <t>UNEMPLOYMENT; INSURANCE; CREDIT; RATES</t>
  </si>
  <si>
    <t>Using panel data from the China Household Finance Survey (CHFS) in 2013, 2015, and 2017 and the digital inclusive finance index developed by Peking University, this study examined impacts of the digital inclusive finance on household consumption and explored its mechanisms. Results suggest that the digital inclusive finance could promote households consumption. A heterogeneity analysis showed that households with fewer assets, lower income, less financial literacy and in third- and fourth-tier cities experienced larger facilitating effects of digital finance on consumption compared to their counterparts. For consumption categories, digital finance was positively correlated with food, clothing, house maintenance, medical care, and education and entertainment expenditures. In terms of consumption structure, digital finance mainly promoted the recurring household expenditures rather than the non-recurring expenditures. Further analyses based on the mediating model found that online shopping, digital payment, obtainment of online credit, purchase of financing products on the Internet and business insurance, were the main mediating variables through which digital finance affected household consumption.</t>
  </si>
  <si>
    <t>[Li, Jie] Southwestern Univ Finance &amp; Econ, Res Inst Econ &amp; Management, 555 Liutai Blvd, Chengdu 611130, Sichuan, Peoples R China; [Wu, Yu] Southwestern Univ Finance &amp; Econ, Survey &amp; Res Ctr China Household Finance, 55 Guanghuacun St, Chengdu 610074, Sichuan, Peoples R China; [Xiao, Jing Jian] Univ Rhode Isl, Dept Human Dev &amp; Family Studies, 2 Lower Coll Rd, Kingston, RI 02881 USA</t>
  </si>
  <si>
    <t>Southwestern University of Finance &amp; Economics - China; Southwestern University of Finance &amp; Economics - China; University of Rhode Island</t>
  </si>
  <si>
    <t>Wu, Y (corresponding author), Southwestern Univ Finance &amp; Econ, Survey &amp; Res Ctr China Household Finance, 55 Guanghuacun St, Chengdu 610074, Sichuan, Peoples R China.</t>
  </si>
  <si>
    <t>somejane@163.com; wuy@swufe.edu.cn; xiao@uri.edu</t>
  </si>
  <si>
    <t>National Natural Science Foundation of China [71903160]; 111 project [B16040]; Fundamental Research Funds for the Central Universities [JBK19072018117]</t>
  </si>
  <si>
    <t>National Natural Science Foundation of China(National Natural Science Foundation of China (NSFC)); 111 project(Ministry of Education, China - 111 Project); Fundamental Research Funds for the Central Universities(Fundamental Research Funds for the Central UniversitiesPrince of Songkla UniversityInstituto Politecnico Nacional - Mexico)</t>
  </si>
  <si>
    <t>This work is supported by the National Natural Science Foundation of China (Grant No.71903160), the 111 project (Grant No. B16040), and the Fundamental Research Funds for the Central Universities (Grant No. JBK19072018117).</t>
  </si>
  <si>
    <t>10.1016/j.econmod.2019.09.027</t>
  </si>
  <si>
    <t>KR8FG</t>
  </si>
  <si>
    <t>WOS:000517850800025</t>
  </si>
  <si>
    <t>Yuneline, MH</t>
  </si>
  <si>
    <t>Yuneline, Mirza Hedismarlina</t>
  </si>
  <si>
    <t>Implications of Shariah Financial Technology in Increasing Financial Inclusion to Micro, Small, and Medium Enterprises</t>
  </si>
  <si>
    <t>ISLAMIYYAT-THE INTERNATIONAL JOURNAL OF ISLAMIC STUDIES</t>
  </si>
  <si>
    <t>Sharia; financial technology; Micro; Small and Medium Enterprises (MSMEs); risk management; financial inclusion</t>
  </si>
  <si>
    <t>Micro, Small, and Medium Enterprises (MSAEs) have long been understood as playing a significant role in the economic development of a country. However MSMEs have not been able to make a significant contribution to the economy due to constraints of capital problems and limitations in meeting the requirements of bureaucracy and banking administration when applying for loan funds from banks. Due to the limited services provided by banks, the emergence of financial technology (fintech) innovation is an opportunity for MSAE's to overcome their capital problems. However, the use of fintech triggers risks borne by users or consumers such as cyber risks related to data security, data ownership, privacy, and data governance. Shariah-based fintech is one solution to extend financial inclusion to MSMEs to overcome their capital problems. The purpose of this research is to analyze the development and the contribution of Shariah fintech in strengthening the financial inclusion of MSMEs. The method used in this qualitative descriptive research is by describing and interpreting the observations and findings of 5 Shariah fintech platforms that focus on MSMEs' funding as the research sample. The result shows that the market share of Shariah fintech is 2.01% of the total fintech platform and it is caused by the lack of Shariah financial literacy. In terms of risk, even though the financing risk is relatively lower than Bank's Non-Performing Loan, other risks may arise, such as cyber risk and Shariah compliance risk. In order to mitigate the risks, the authority needs regulations for cyber security for consumer protection and supervision of Shariah compliance by the National Shariah Council of the Indonesian Ulama Council.</t>
  </si>
  <si>
    <t>[Yuneline, Mirza Hedismarlina] Ekuitas Sch Business, Management Study Program, Jl PHH Mustofa 31, Bandung 40124, Indonesia</t>
  </si>
  <si>
    <t>Yuneline, MH (corresponding author), Ekuitas Sch Business, Management Study Program, Jl PHH Mustofa 31, Bandung 40124, Indonesia.</t>
  </si>
  <si>
    <t>mirza.yuneline@ekuitas.ac.id</t>
  </si>
  <si>
    <t>Yuneline, Mirza Hedismarlina/GPF-6811-2022</t>
  </si>
  <si>
    <t>Ekuitas School of Business</t>
  </si>
  <si>
    <t>This work was supported by the Research Fund provided by Ekuitas School of Business.</t>
  </si>
  <si>
    <t>0126-5636</t>
  </si>
  <si>
    <t>ISLAMIYYAT</t>
  </si>
  <si>
    <t>Islamiyyat</t>
  </si>
  <si>
    <t>10.17576/islamiyyat-2022-4401-8</t>
  </si>
  <si>
    <t>2W9XY</t>
  </si>
  <si>
    <t>WOS:000824870300008</t>
  </si>
  <si>
    <t>Baptista, G; Oliveira, T</t>
  </si>
  <si>
    <t>Baptista, Goncalo; Oliveira, Tiago</t>
  </si>
  <si>
    <t>Understanding mobile banking: The unified theory of acceptance and use of technology combined with cultural moderators</t>
  </si>
  <si>
    <t>Mobile banking; Acceptance; UTAUT2; Culture; Africa</t>
  </si>
  <si>
    <t>INFORMATION-TECHNOLOGY; CONSUMER ACCEPTANCE; SERVICES ADOPTION; NATIONAL CULTURE; YOUNG CONSUMERS; PERCEIVED RISK; INTERNET; VALUES; UTAUT; USAGE</t>
  </si>
  <si>
    <t>The fast advancement of communications, mobile technologies, and the proliferation of smart devices has increased the importance of mobile banking services for banks, financial institutions, and users. In developing countries, especially in Africa, mobile banking can play a strong role, providing a way to overcome financial exclusion and physical distance by allowing local population to conduct financial transactions. Acceptance studies in this region are scarce, leaving us an almost unexplored area of research. We advance the body of knowledge on mobile banking acceptance by proposing an innovative and comprehensive theoretical model that combines the extended unified theory of acceptance and use of technology (UTAUT2) of Venkatesh, Thong, and Xu (2012), with cultural moderators from Hofstede, providing new insights into factors affecting the acceptation and how culture influences individual use behaviour. The model was tested using structural equation modelling (SEM), in a quantitative study conducted in an African country, reinforcing data and knowledge available from this important region. Performance expectancy, hedonic motivation, and habit were found to be the most significant antecedents of behaviour intention. To explain the mobile banking use behaviour the habit and culture moderator effects on behaviour intention over use behaviour were the most important drivers. Collectivism, uncertainty avoidance, short term and power distance were found to be the most significant cultural moderators. (C) 2015 Elsevier Ltd. All rights reserved.</t>
  </si>
  <si>
    <t>[Baptista, Goncalo; Oliveira, Tiago] Univ Nova Lisboa, Informat Management Sch, NOVA IMS, Lisbon, Portugal</t>
  </si>
  <si>
    <t>Universidade Nova de Lisboa</t>
  </si>
  <si>
    <t>Baptista, G (corresponding author), Univ Nova Lisboa, Informat Management Sch, NOVA IMS, Lisbon, Portugal.</t>
  </si>
  <si>
    <t>goncalo.melhorado@gmail.com; toliveira@novaims.unl.pt</t>
  </si>
  <si>
    <t>Oliveira, Tiago/B-4090-2011; Baptista, Goncalo/KIH-7953-2024</t>
  </si>
  <si>
    <t>Oliveira, Tiago/0000-0001-6523-0809; Baptista, Goncalo/0000-0002-4795-4579</t>
  </si>
  <si>
    <t>10.1016/j.chb.2015.04.024</t>
  </si>
  <si>
    <t>CK9GU</t>
  </si>
  <si>
    <t>WOS:000356549400042</t>
  </si>
  <si>
    <t>Seini, AB; Adam, IO; Alhassan, MD</t>
  </si>
  <si>
    <t>Seini, Adiata Borresa; Adam, Ibrahim Osman; Alhassan, Muftawu Dzang</t>
  </si>
  <si>
    <t>Examining the effect of security behaviour on the continuance use of mobile money services in Ghana: a protection motivation perspective</t>
  </si>
  <si>
    <t>Security behavior; continuance use; mobile money services; protection motivation theory; PLS-SEM</t>
  </si>
  <si>
    <t>FEAR APPEALS; PLS-SEM</t>
  </si>
  <si>
    <t>Mobile money services have become essential for dealing with transactions in today's digital economy and also contribute to financial inclusion and economic development in developing countries. However, these services are increasingly targeted by fraud, making it imperative for users to adopt secure behaviours to ensure continuance use. Most studies on mobile money payment systems focus on the initial adoption phase and ignore the post-adoption phase, which is crucial in understanding the continuance use. This study investigates factors that enhance user security behaviours and the continuance use of mobile money services in Ghana, leveraging the Protection Motivation Theory (PMT). The study relied on survey data from 306 respondents and employed partial least squares structural equation modeling (PLS-SEM) as the analytical approach. The findings indicate that response efficacy and self-efficacy significantly influence secure behaviors, which in turn drive continuance use despite fraud threats. This study provides valuable insights for researchers, practitioners, and policymakers.</t>
  </si>
  <si>
    <t>[Seini, Adiata Borresa; Adam, Ibrahim Osman] Univ Dev Studies, Sch Business, Dept Business Analyt &amp; MIS, POB 1350, Tamale, Ghana; [Alhassan, Muftawu Dzang] SD Dombo Univ Business &amp; Integrated Dev Studies, Fac ICT, Dept Informat, Wa, Ghana</t>
  </si>
  <si>
    <t>University for Development Studies</t>
  </si>
  <si>
    <t>Seini, AB (corresponding author), Univ Dev Studies, Sch Business, Dept Business Analyt &amp; MIS, POB 1350, Tamale, Ghana.</t>
  </si>
  <si>
    <t>adiatase172@uds.edu.gh</t>
  </si>
  <si>
    <t>Adam, Ibrahim/W-4513-2019; Alhassan, Muftawu/MSY-4702-2025</t>
  </si>
  <si>
    <t>10.1080/02681102.2025.2483695</t>
  </si>
  <si>
    <t>A7300</t>
  </si>
  <si>
    <t>WOS:001462170300001</t>
  </si>
  <si>
    <t>Contesting digital finance for the poor</t>
  </si>
  <si>
    <t>Innovation; Risk; Technology; Digital finance; Microfinance; Financial inclusion; Financial development; Poor people; Financial technology; Blockchain; Fintech; E5; G2; O16</t>
  </si>
  <si>
    <t>BRANCH BANKING; INNOVATION; ECONOMIES; INCLUSION</t>
  </si>
  <si>
    <t>Purpose This paper aims to critically assess digital finance as a pro-poor intervention in the development finance space. Design/methodology/approach Using critical policy discourse analysis, this paper explains the turn from microfinance to digital finance, and thereafter discusses four issues: the lack of evidence that digital finance for poor people actually promotes socioeconomic development; the risks that poor people are exposed to, which arises from their exposure to digital finance technology; the lack of evidence that digital finance actually brings poor people immediate benefits; and the weak business rationale for digital finance. Findings The expectation for digital finance serving as a major pro-poor private sector intervention lacks justification. Originality/value The paper reflects on the effect of digital finance for poor people.</t>
  </si>
  <si>
    <t>10.1108/DPRG-12-2019-0104</t>
  </si>
  <si>
    <t>NM6WC</t>
  </si>
  <si>
    <t>WOS:000534306400001</t>
  </si>
  <si>
    <t>Zawadi, A; Streimikiene, D</t>
  </si>
  <si>
    <t>Zawadi, Ally; Streimikiene, Dalia</t>
  </si>
  <si>
    <t>The Nexus of Psychographics, Socio-economic Characteristics, and Financial Inclusion in Tanzania</t>
  </si>
  <si>
    <t>MONTENEGRIN JOURNAL OF ECONOMICS</t>
  </si>
  <si>
    <t>Financial Inclusion; Psychographic factors; Socio-economic factors; Financial products</t>
  </si>
  <si>
    <t>Financial inclusion is one of the essential aspects of the financial system in the present scenario for socioeconomic growth. Understanding financial inclusion drivers is essential in policymaking and formulating an evidence-based strategy for sustainable improvements in financial inclusion. The objective of this paper is to investigate individuals' psychographic and socioeconomic characteristics as drivers of financial inclusion in Tanzania. A survey approach is applied to collect data and the probit and multivariate probit models are applied for data analysis. The findings show that about 68% of the respondents surveyed have reported access to financial services in Tanzania. There is a significant correlation between individuals' psychographics and socioeconomic characteristics with financial inclusion. The marginal effect results show that being more educated, older, male, or richer has a positive and significant impact on financial inclusion, and mobile money is found to be a key indicator of financial inclusion in Tanzania. The study supports the argument that particular demographic groups, such as women and young age, should be the focus of strategies in promoting financial inclusion in Tanzania.</t>
  </si>
  <si>
    <t>[Zawadi, Ally] Inst Finance Management, Accounting &amp; Finance Dept, POB 3918, Dar es Salaam, Tanzania; [Streimikiene, Dalia] Vytautas Magnus Univ, Bioecon Res Inst, Kaunas, Lithuania</t>
  </si>
  <si>
    <t>Institute of Finance Management (IFM); Vytautas Magnus University</t>
  </si>
  <si>
    <t>Zawadi, A (corresponding author), Inst Finance Management, Accounting &amp; Finance Dept, POB 3918, Dar es Salaam, Tanzania.</t>
  </si>
  <si>
    <t>zawadikadunda@gmail.com; dalia.streimikiene@vdu.lt</t>
  </si>
  <si>
    <t>Streimikiene, Dalia/AAD-7762-2020</t>
  </si>
  <si>
    <t>ECONOMIC LABORATORY TRANSITION RESEARCH PODGORICA-ELIT</t>
  </si>
  <si>
    <t>PODGORICA</t>
  </si>
  <si>
    <t>DZ VASINGTONA 4-5, PODGORICA, 00000, MONTENEGRO</t>
  </si>
  <si>
    <t>1800-5845</t>
  </si>
  <si>
    <t>1800-6698</t>
  </si>
  <si>
    <t>MONTENEGRIN J ECON</t>
  </si>
  <si>
    <t>Montenegrin J. Econ.</t>
  </si>
  <si>
    <t>10.14254/1800-5845/2025.21-4.1</t>
  </si>
  <si>
    <t>8LP2B</t>
  </si>
  <si>
    <t>WOS:001591579400001</t>
  </si>
  <si>
    <t>Drori, I; Manos, R; Santacreu-Vasut, E; Shenkar, O; Shoham, A</t>
  </si>
  <si>
    <t>Drori, Israel; Manos, Ronny; Santacreu-Vasut, Estefania; Shenkar, Oded; Shoham, Amir</t>
  </si>
  <si>
    <t>Language and market inclusivity for women entrepreneurship: the case of microfinance</t>
  </si>
  <si>
    <t>GENDER; DIRECTIONS; INEQUALITY; FINANCE</t>
  </si>
  <si>
    <t>Inclusive markets are key to fostering female entrepreneurship, and the microfinance sector has recognized and acted on this. Existing research has studied how institutions and organizational factors facilitate the process by which microfinance and other financial intermediaries tackle gender-based financial exclusion. But while the role of cultural institutions has been recognized as important, little research has systematically integrated culture in the study of gender-based financial exclusion. We posit that language is a cultural institution that influences the extent to which financial intermediaries are successful in outreaching women and supporting female entrepreneurship. Inspired by a performativity approach, we develop a set of hypotheses that delineate how a specific feature of language, gender marking in grammar, moderates the role of institutional (state capacity) and organizational (NGO status and global ties) factors in shaping microfinance outreach to women. Using the ratio of female to male borrowers in 2361 micro finance organizations from 115 countries during the period 1995-2015, we confirm that market inclusion of women depends on organizational and institutional factors, and that gender marking in grammar influences those relationships.</t>
  </si>
  <si>
    <t>[Drori, Israel] VU, Fac Social Sci, Dept Org Sci, Amsterdam, Netherlands; [Manos, Ronny] Coll Management Acad Studies, Sch Business, Rishon Leziyyon, Israel; [Santacreu-Vasut, Estefania] ESSEC Business Sch, Paris, France; [Santacreu-Vasut, Estefania] THEMA, Paris, France; [Shenkar, Oded] Ohio State Univ, Fisher Coll Business, Columbus, OH USA; [Shoham, Amir] Temple Univ, Fox Sch Business, Philadelphia, PA USA</t>
  </si>
  <si>
    <t>Vrije Universiteit Amsterdam; College of Management Academic Studies; ESSEC Business School; University System of Ohio; Ohio State University; Pennsylvania Commonwealth System of Higher Education (PCSHE); Temple University</t>
  </si>
  <si>
    <t>Drori, I (corresponding author), VU, Fac Social Sci, Dept Org Sci, Amsterdam, Netherlands.</t>
  </si>
  <si>
    <t>i.drori@vu.nl; rmanos@colman.ac.il; Santacreuvasut@essec.edu; shenkar.1@osu.edu; tud20698@temple.edu</t>
  </si>
  <si>
    <t>Santacreu-Vasut, Estefania/0000-0002-7844-802X</t>
  </si>
  <si>
    <t>10.1016/j.jbusvent.2018.02.002</t>
  </si>
  <si>
    <t>GM6YT</t>
  </si>
  <si>
    <t>WOS:000438325600001</t>
  </si>
  <si>
    <t>Emuron, A; Kenfack, ADK; Msimanga, M</t>
  </si>
  <si>
    <t>Emuron, Abraham; Kenfack, Abraham Dimitri Kapim; Msimanga, Mandla</t>
  </si>
  <si>
    <t>Fintech predictive modelling using machine learning: An empirical investigation of South Africa</t>
  </si>
  <si>
    <t>ElasticNet; fintech; machine learning; predictive modelling; South Africa</t>
  </si>
  <si>
    <t>FINANCIAL INCLUSION; REMITTANCES; SELECTION; BANKING</t>
  </si>
  <si>
    <t>A significant change in the financial industry has been brought about by technological advancements and shifting consumer behaviour. The result has been the emergence of fintech. Consequently, this paper constructs predictive models to forecast the adoption of fintech in South Africa. It investigates the predictive strengths of remittances, borrowed funds, age, access to finance, and digital usage on fintech adoption. Using data sourced from Findex and the South African Reserve Bank (SARB), this paper uses machine learning (ML) approaches namely, multi-linear regression and the ElasticNet algorithms to carry out its predictions. The results offer evidence that the selected factors are key drivers of fintech adoption in South Africa. A good fit of the model is checked through the train and test set score while the error is checked through the root mean square error. The prediction capability of the model is reported at 0.99 with a cross validation of 0.97 thus implying that the chosen inputs provide a good explanation for fintech adoption in SA. Fintech firms are therefore urged to incorporate these findings in formulating strategies to attract and retain customers. The findings also contribute towards the operational strategies that can be adopted by fintech firms.</t>
  </si>
  <si>
    <t>[Emuron, Abraham] Tshwane Univ Technol, Dept Auditing, Pretoria, South Africa; [Emuron, Abraham] Int Univ Management, Grad Sch Business, Windhoek, Namibia; [Kenfack, Abraham Dimitri Kapim; Msimanga, Mandla] Tshwane Univ Technol, Dept Phys, PV Nanocomposites R&amp;D Platform, Pretoria, South Africa</t>
  </si>
  <si>
    <t>Tshwane University of Technology; Tshwane University of Technology</t>
  </si>
  <si>
    <t>Emuron, A (corresponding author), Tshwane Univ Technol, Dept Auditing, Pretoria, South Africa.;Emuron, A (corresponding author), Int Univ Management, Grad Sch Business, Windhoek, Namibia.</t>
  </si>
  <si>
    <t>otimabraham@yahoo.com</t>
  </si>
  <si>
    <t>Emuron, Abraham/AAO-7042-2021</t>
  </si>
  <si>
    <t>10.1080/20421338.2025.2552006</t>
  </si>
  <si>
    <t>E1416</t>
  </si>
  <si>
    <t>WOS:001587561000001</t>
  </si>
  <si>
    <t>Khanday, IN; Tarique, M</t>
  </si>
  <si>
    <t>Khanday, Ishfaq Nazir; Tarique, Md.</t>
  </si>
  <si>
    <t>Does income inequality respond asymmetrically to financial development? Evidence from India using asymmetric cointegration and causality tests</t>
  </si>
  <si>
    <t>JOURNAL OF ECONOMIC ASYMMETRIES</t>
  </si>
  <si>
    <t>Financial development; Income inequality; NARDL; Asymmetric causality; India</t>
  </si>
  <si>
    <t>OPTIMAL LAG ORDER; ECONOMIC-GROWTH; ENERGY-CONSUMPTION; UNIT-ROOT; POVERTY; GLOBALIZATION; INSTITUTIONS; COUNTRIES; IMPACT; NEXUS</t>
  </si>
  <si>
    <t>Using NARDL model and Hatemi-j-asymmetric causality test, this work scrutinizes the asymmetric interactions between income inequality and financial development in India. The empirical findings support the existence of asymmetric structures in the finance-inequality nexus. It is found that negative shocks in financial development ameliorate income inequality while as, positive shocks in financial development exacerbate income inequality in an asymmetric manner. Wald's test and asymmetric cumulative dynamic multipliers used in the study also lend credence to the presence of asymmetric structures in the finance-inequality relationship demonstrating the robustness of our estimates. Furthermore, asymmetric causality tests reveal a unidirectional asymmetric causality between positive shocks in financial development and income inequality. The study divulges need to account for asymmetry in finance-inequality which previous studies neglected. National strategies for financial education, financial inclusion for unbanked segments of the population by expanding financial services network to hitherto unbanked areas, tailoring of financial products and services as per the specific needs of people, reducing interest rates on loans to businesses that qualify as small and medium enterprises must be among the top priorities of policy makers.</t>
  </si>
  <si>
    <t>[Khanday, Ishfaq Nazir; Tarique, Md.] Aligarh Muslim Univ, Dept Econ, Aligarh 202002, Uttar Pradesh, India</t>
  </si>
  <si>
    <t>Aligarh Muslim University</t>
  </si>
  <si>
    <t>Khanday, IN; Tarique, M (corresponding author), Aligarh Muslim Univ, Dept Econ, Aligarh 202002, Uttar Pradesh, India.</t>
  </si>
  <si>
    <t>ishfaqnazirkhanday@gmail.com; mtarique69@gmail.com</t>
  </si>
  <si>
    <t>Khanday, IshfaqNazir/KIG-6807-2024</t>
  </si>
  <si>
    <t>1703-4949</t>
  </si>
  <si>
    <t>2352-8397</t>
  </si>
  <si>
    <t>J ECON ASYMMETRIES</t>
  </si>
  <si>
    <t>J. Econ. Asymmetries</t>
  </si>
  <si>
    <t>e00341</t>
  </si>
  <si>
    <t>10.1016/j.jeca.2023.e00341</t>
  </si>
  <si>
    <t>M3402</t>
  </si>
  <si>
    <t>WOS:001630472700014</t>
  </si>
  <si>
    <t>Rey-Ares, L; Fernández-López, S; Alvarez-Espiño, M</t>
  </si>
  <si>
    <t>Rey-Ares, Lucia; Fernandez-Lopez, Sara; Alvarez-Espino, Marcos</t>
  </si>
  <si>
    <t>The role of financial literacy in consumer financial fraud exposure (via email) and victimisation: evidence from Spain</t>
  </si>
  <si>
    <t>Email financial scams; Cybercrime; Phishing; Objective financial knowledge; Subjective financial knowledge; Financial inclusion; Financial knowledge overconfidence</t>
  </si>
  <si>
    <t>OLDER-ADULTS; SELF-CONTROL; VULNERABILITY; BANK</t>
  </si>
  <si>
    <t>PurposeThe ongoing evolution of the Internet and the subsequent digitalisation of financial services, along with the ever-increasing innovation of financial products, have rendered consumers more vulnerable to a wider range of fraud in the banking sector and, particularly, to consumer financial fraud (CFF). This paper aims to analyse the factors that may contribute to CFF exposure and victimisation among Spaniards, with a special focus on financial literacy.Design/methodology/approachThis paper provides a comprehensive overview of leading publications on the topic, followed by empirical analyses using regression models with a sample of 6,207 Spanish individuals drawn from the Survey of Financial Competences.FindingsObjective and subjective financial knowledge are positively correlated with CFF exposure via email but do not protect against CFF victimisation. Similarly, financial knowledge overconfidence is positively related to the former but fails to constitute a driver of the latter. Financial inclusion, measured by the number of financial products held, not only increases the risk of this exposure but also contributes to its subsequent victimisation.Originality/valueTo the best of the authors' knowledge, no previous paper has analysed the relationship between CFF and financial literacy by differentiating two types of vulnerabilities to fraud (exposure and victimisation) while considering different constructs of financial literacy. Dissecting these two domains may explain why the same financial literacy construct can have different effects at both stages of financial fraud and, furthermore, how different financial literacy constructs may affect the same stage of financial fraud.</t>
  </si>
  <si>
    <t>[Rey-Ares, Lucia; Fernandez-Lopez, Sara; Alvarez-Espino, Marcos] Univ Santiago De Compostela, Dept Financial Econ &amp; Accounting, Santiago De Compostela, Spain</t>
  </si>
  <si>
    <t>Rey-Ares, L (corresponding author), Univ Santiago De Compostela, Dept Financial Econ &amp; Accounting, Santiago De Compostela, Spain.</t>
  </si>
  <si>
    <t>Rey-Ares, Lucia/AAA-1093-2020; Fernández-López, Sara/AAN-4536-2020; Álvarez-Espiño, Marcos/HIR-6303-2022</t>
  </si>
  <si>
    <t>Fernández-López, Sara/0000-0003-2496-4333; Álvarez-Espiño, Marcos/0000-0002-9514-7544</t>
  </si>
  <si>
    <t>Spanish Ministry of Universities through the FPU grant (Ayudas para la Formacion del Profesorado Universitario) [FPU21/03287]</t>
  </si>
  <si>
    <t>Spanish Ministry of Universities through the FPU grant (Ayudas para la Formacion del Profesorado Universitario)</t>
  </si>
  <si>
    <t>Marcos &amp; Aacute;lvarez-Espino acknowledges financial support from the Spanish Ministry of Universities through the FPU grant (Ayudas para la Formacion del Profesorado Universitario) (project number: FPU21/03287).</t>
  </si>
  <si>
    <t>10.1108/IJBM-03-2023-0169</t>
  </si>
  <si>
    <t>A5P7D</t>
  </si>
  <si>
    <t>WOS:001238749200001</t>
  </si>
  <si>
    <t>Li, ZH; Chen, B; Lu, ST</t>
  </si>
  <si>
    <t>Li, Zhenghui; Chen, Bin; Lu, Siting</t>
  </si>
  <si>
    <t>The impact of information and communication technology on financial inclusion-based on a global perspective</t>
  </si>
  <si>
    <t>AIMS MATHEMATICS</t>
  </si>
  <si>
    <t>information and communication technology; financial inclusion; digital payment; mediating effect; heterogeneous effect</t>
  </si>
  <si>
    <t>EMERGING MARKETS; BANKING; FINTECH; PERFORMANCE; EFFICIENCY; SERVICES; CREDIT; RISK</t>
  </si>
  <si>
    <t>In order to test the effect of information and communication technology (ICT) level on financial inclusion, based on the sample data of countries around the world in 2011, 2014, and 2017, this paper firstly uses the coefficient of variation method and the Euclidean distance method to construct the ICT level index and the financial inclusion index, and then conducts empirical analysis through a linear regression model. Further, a mediating effect model is employed to explore the impact mechanism of the ICT level on financial inclusion. Finally, the impact heterogeneity is explored based on the internal and external characteristics of each country. The empirical results show that: first, the ICT level can effectively improve financial inclusion, but its effects on the width and the depth of financial inclusion are different; second, the ICT level improves a country's financial inclusion by promoting the improvement and development of the digital payment system; third, the impact of the ICT level on financial inclusion shows significant heterogeneity among different countries or regions with differences in banking structure, economic development level and international financial environment. Last but not least, the conclusions of this paper can help countries or regions to improve financial inclusion in a targeted manner through information and communication technology.</t>
  </si>
  <si>
    <t>[Li, Zhenghui; Lu, Siting] Guangzhou Inst Int Finance, Guangzhou 510006, Peoples R China; [Chen, Bin] Guangzhou Univ, Sch Econ &amp; Stat, Guangzhou 510006, Peoples R China</t>
  </si>
  <si>
    <t>Guangzhou University</t>
  </si>
  <si>
    <t>Lu, ST (corresponding author), Guangzhou Inst Int Finance, Guangzhou 510006, Peoples R China.</t>
  </si>
  <si>
    <t>lusiting@163.sufe.edu.cn</t>
  </si>
  <si>
    <t>National Social Science Foundation of China [22ZD163]</t>
  </si>
  <si>
    <t>This work was supported by the National Social Science Foundation of China (No. 22&amp;ZD163).</t>
  </si>
  <si>
    <t>2473-6988</t>
  </si>
  <si>
    <t>AIMS MATH</t>
  </si>
  <si>
    <t>AIMS Math.</t>
  </si>
  <si>
    <t>10.3934/math.20221147</t>
  </si>
  <si>
    <t>Mathematics, Applied; Mathematics</t>
  </si>
  <si>
    <t>8A2TL</t>
  </si>
  <si>
    <t>WOS:000916096100007</t>
  </si>
  <si>
    <t>Singh, B; Singh, M</t>
  </si>
  <si>
    <t>Singh, Bhushan; Singh, Mohinder</t>
  </si>
  <si>
    <t>Financial literacy and its determinants among the schedule tribes: evidences from India</t>
  </si>
  <si>
    <t>Financial literacy; Financial inclusion; Scheduled tribes; Risk tolerance</t>
  </si>
  <si>
    <t>Purpose - Despite a lot of developments in the financial markets, financial illiteracy is a main concern across the world and is directly associated with faulty financial decisions making. The situation is very alarming among a socially or economically marginalized section of society as they cannot afford to pay finance professionals for their wealth management. The objective of the study is to understand the level of financial literacy as well as its determinants among the marginalized section of society living in hilly areas. Design/methodology/approach - The study is descriptive as well as empirical in design and based on primary data collected from the 300 scheduled tribe households of Himachal Pradesh a hilly state of India. Findings - The study observed that financial literacy is very low among the scheduled tribes living, and their level of education, income, family system and Internet accessibility have a significant impact on their financial scores. Practical implications - The outcome of the paper may be useful to design customized awareness programs, and financial products focusing on scheduled tribes living in far-flung areas so that they can get the benefits of market-driven financial products. Social implications - Financial awareness can help scheduled tribes in their financial inclusion thereby reducing poverty and inequality through informed financial decisions. Thus, the outcome if implemented can help in achieving the objective of inclusive growth. Originality/value - No specific work has been done to explore the level as well as the determinants of financial literacy among the scheduled tribe households living in hill areas. This paper will fill this gap and contributes to the existing work on financial literacy and inclusion.</t>
  </si>
  <si>
    <t>[Singh, Bhushan] Cent Univ Haryana, Dept Commerce, Mahendragarh, India; [Singh, Mohinder] Cent Univ Himachal Pradesh, HPKV Business Sch, Dharamshala, India</t>
  </si>
  <si>
    <t>Central University of Haryana; Central University of Himachal Pradesh</t>
  </si>
  <si>
    <t>Singh, M (corresponding author), Cent Univ Himachal Pradesh, HPKV Business Sch, Dharamshala, India.</t>
  </si>
  <si>
    <t>bhushan@cuh.ac.in; singh.mohinder@hpcu.ac.in</t>
  </si>
  <si>
    <t>; Singh, Mohinder/GNM-8544-2022</t>
  </si>
  <si>
    <t>Singh, Bhushan/0000-0002-9223-4669; Singh, Mohinder/0000-0002-7440-6412</t>
  </si>
  <si>
    <t>10.1108/IJSE-01-2023-0008</t>
  </si>
  <si>
    <t>WOS:001024663200001</t>
  </si>
  <si>
    <t>Bhatter, HK; Gupta, J; Chhatoi, BP</t>
  </si>
  <si>
    <t>Bhatter, Harish Kumar; Gupta, Jyotirani; Chhatoi, Biswajit Prasad</t>
  </si>
  <si>
    <t>Unveiling the curvilinear dynamics: financial inclusion and bank performance in India</t>
  </si>
  <si>
    <t>Financial inclusion; Financial performance; U-shaped; Curvilinear; Banking</t>
  </si>
  <si>
    <t>FIRM</t>
  </si>
  <si>
    <t>PurposeThis study aims to explore the intricate and dynamic relationship between financial inclusion and the financial performance of banking institutions, revealing a novel U-shaped pattern. By employing a comprehensive financial inclusion index, it highlights how financial inclusion initially hampers performance due to elevated costs and risk exposure, but beyond a critical threshold, it becomes a driver of financial success.Design/methodology/approachUsing a robust regression framework, this study analyzes financial inclusion metrics and banking performance indicators from 2014 to 2023. The analysis, conducted with Stata 17, offered a comprehensive understanding of the interplay between financial inclusion and bank performance.FindingsThe results uncover a significant U-shaped relationship, marking a groundbreaking contribution to the Indian banking sector. Early-stage financial inclusion efforts strain profitability due to operational inefficiencies and risk factors, but as inclusion scales beyond a critical point, its benefits outweigh costs, enhancing financial performance. This too little of a good thing effect underscores the need for strategic, well-calibrated financial inclusion initiatives that balance growth with sustainability.Originality/valueUnlike prior studies that assume a linear relationship, this research is the first to empirically establish a U-shaped link between financial inclusion and bank performance to identify the optimal level of financial inclusion to enhance the financial performance of banks in the Indian context. The findings provide actionable insights for policymakers and financial institutions, advocating for a nuanced, stage-wise approach to financial inclusion that maximizes financial viability.</t>
  </si>
  <si>
    <t>[Bhatter, Harish Kumar] Berhampur Univ, PG Dept Commerce, Berhampur, India; [Bhatter, Harish Kumar] KSUB Coll, Dept Commerce, Bhanjanagar, India; [Gupta, Jyotirani] Govt Womens Coll, Dept Commerce, Sundargarh, India; [Chhatoi, Biswajit Prasad] Berhampur Univ, Dept Business Adm, Berhampur, India</t>
  </si>
  <si>
    <t>Berhampur University; Berhampur University</t>
  </si>
  <si>
    <t>Chhatoi, BP (corresponding author), Berhampur Univ, Dept Business Adm, Berhampur, India.</t>
  </si>
  <si>
    <t>harishbhatter987@gmail.com; jyotiguptahere.5@gmail.com; chhatoiprasad@gmail.com</t>
  </si>
  <si>
    <t>Chhatoi, Biswajit Prasad/AFI-1462-2022; BHATTER, HARISH KUMAR/AEK-4123-2022; Gupta, Jyotirani/ABD-4042-2022</t>
  </si>
  <si>
    <t>Chhatoi, Biswajit Prasad/0000-0002-3515-761X; BHATTER, HARISH KUMAR/0000-0002-7740-5140; Gupta, Jyotirani/0000-0002-8344-0823</t>
  </si>
  <si>
    <t>10.1108/MF-12-2024-0925</t>
  </si>
  <si>
    <t>A0913</t>
  </si>
  <si>
    <t>WOS:001447850400001</t>
  </si>
  <si>
    <t>Singh, J; Batra, GS; Chatrath, SK</t>
  </si>
  <si>
    <t>Singh, Jaskirat; Batra, Gurdip Singh; Chatrath, Sarvjeet Kaur</t>
  </si>
  <si>
    <t>Blockchain's role in social welfare, financial inclusion, and public sector innovations in India: A multi-sector analysis of government-led initiatives</t>
  </si>
  <si>
    <t>CITIES</t>
  </si>
  <si>
    <t>Blockchain technology; Social welfare; Financial inclusion; Public sector; Transparency; Corruption reduction; Technology adoption; Urban governance; India; Government initiatives; Digital divide; UTAUT</t>
  </si>
  <si>
    <t>TECHNOLOGY; ADOPTION</t>
  </si>
  <si>
    <t>This study investigates the integrated impact of blockchain technology in enhancing transparency, mitigating corruption, fostering trust, and promoting financial inclusion within India's public sector, focusing on social welfare programs and related services for economically weaker sections (EWS) in urban slums. Using a mixedmethods approach combining surveys (n = 700) and qualitative insights from beneficiaries and public sector experts (n = 30) in Punjab, the research assesses government-led blockchain initiatives like the VishvasyaBlockchain Technology Stack and NBFLite. Findings reveal significant positive associations between blockchain implementation and improvements in transparency ((3 = 0.74), trust ((3 = 0.76), financial inclusion ((3 = 0.68), and perceived corruption reduction ((3 = -0.63). Qualitative data contextualizes these findings, highlighting user experiences and critical adoption barriers, particularly digital literacy. The study contributes a novel, synthesized perspective on blockchain's potential to drive synergistic improvements across interconnected public service domains (welfare, financial inclusion, potentially others like health/education), offering a holistic view crucial for urban policy and planning. Results provide actionable recommendations for policymakers regarding scaling adoption, addressing implementation challenges, investing in digital literacy, and establishing robust governance frameworks to leverage blockchain as a tool for inclusive socio-economic development in rapidly digitalizing urban environments.</t>
  </si>
  <si>
    <t>[Singh, Jaskirat] Indian Council Social Sci Res ICSSR, Minist Educ, New Delhi, India; [Singh, Jaskirat; Batra, Gurdip Singh] Punjabi Univ, Patiala, India; [Batra, Gurdip Singh] Jagat Guru Nanak Dev Punjab State Open Univ, Patiala, India; [Chatrath, Sarvjeet Kaur] Univ Canberra, Sch Business, Bruce, ACT 2601, Australia; [Batra, Gurdip Singh] Guru Nanak Inst Global Studies GNI, Surrey, BC V3W 1J8, Canada</t>
  </si>
  <si>
    <t>Punjabi University; University of Canberra</t>
  </si>
  <si>
    <t>Singh, J (corresponding author), Indian Council Social Sci Res ICSSR, Minist Educ, New Delhi, India.;Singh, J (corresponding author), Punjabi Univ, Patiala, India.</t>
  </si>
  <si>
    <t>jasky786@gmail.com; gurdipsingh@gurunanakinstitute.ca; SarvjeetKaur.Chatrath@canberra.edu.au</t>
  </si>
  <si>
    <t>Singh, Jaskirat/IQW-3142-2023; Batra, Gurdip/AAV-2356-2021</t>
  </si>
  <si>
    <t>0264-2751</t>
  </si>
  <si>
    <t>1873-6084</t>
  </si>
  <si>
    <t>Cities</t>
  </si>
  <si>
    <t>10.1016/j.cities.2025.106366</t>
  </si>
  <si>
    <t>Urban Studies</t>
  </si>
  <si>
    <t>6UO5A</t>
  </si>
  <si>
    <t>WOS:001562372400001</t>
  </si>
  <si>
    <t>Bharti, N; Malik, S</t>
  </si>
  <si>
    <t>Bharti, Nisha; Malik, Sushant</t>
  </si>
  <si>
    <t>Financial inclusion and the performance of microfinance institutions: Does social performance affect the efficiency of microfinance institutions?</t>
  </si>
  <si>
    <t>Microfinance; DEA; Financial inclusion; Microfinance institution; Financial efficiency; Social efficiency</t>
  </si>
  <si>
    <t>OPERATING EFFICIENCY; OUTREACH; DEA</t>
  </si>
  <si>
    <t>Purpose The purpose of this study is to evaluate whether focus on social output affects the efficiency of MFIs. Inclusive growth is the key developmental aim for many developing countries, including India. The role of microfinance institutions (MFIs) in promoting financial inclusion is widely applauded. However, to achieve financial sustainability, MFIs have become highly commercialised and are seen to have drifted away from their social mission. Various studies have shown the efficiency of MFIs on financial parameters. MFIs being a social enterprise, it is important to include social output among the efficiency parameters. Design/methodology/approach This study attempts to compare the efficiency of MFIs with and without social performances across the various size of MFIs based on their asset, i.e. large, medium and small. This study uses Data Envelopment Analysis (DEA) for assessing an MFI's efficiency. For calculating the social output score, the Gutman Scale is used. Efficiency is calculated with and without social output, and the resulting scores are compared to assess the impact of social performance on the efficiency of MFIs. Findings The results of this study allow us to conclude that with the inclusion of social output, the efficiency of MFIs improves across various categories. In terms of social performances, it is concluded that MFIs are targeting women and mostly working in rural areas but have neglected issues like health and education. Originality/value The findings of this study will help MFIs in formulating their mission and vision statements and in achieving the objective of financial inclusion without experiencing mission drift.</t>
  </si>
  <si>
    <t>[Bharti, Nisha; Malik, Sushant] Symbiosis Int Deemed Univ, Symbiosis Inst Int Business, Pune, Maharashtra, India</t>
  </si>
  <si>
    <t>Bharti, N (corresponding author), Symbiosis Int Deemed Univ, Symbiosis Inst Int Business, Pune, Maharashtra, India.</t>
  </si>
  <si>
    <t>bharti, nisha/AAB-4928-2021; Malik, Sushant/ADP-9346-2022</t>
  </si>
  <si>
    <t>bharti, nisha/0000-0003-0071-3732; Malik, Sushant/0000-0002-9763-8363</t>
  </si>
  <si>
    <t>MAY 13</t>
  </si>
  <si>
    <t>10.1108/SRJ-03-2020-0100</t>
  </si>
  <si>
    <t>1I3GL</t>
  </si>
  <si>
    <t>WOS:000663061200001</t>
  </si>
  <si>
    <t>Mader, P</t>
  </si>
  <si>
    <t>Mader, Philip</t>
  </si>
  <si>
    <t>Contesting Financial Inclusion</t>
  </si>
  <si>
    <t>This contribution critically assesses financial inclusion as an intervention in the development space. It examines the turn from microfinance to financial inclusion, with the introduction of new actors and practices; new ideas and ideologies; new theories of change; and new expectations toward clients. It then considers three key issues and contests the arguments made by proponents of financial inclusion about them: first, the argument that financial inclusion facilitates broader development outcomes; second, the claim that poor people gain poverty alleviation through financial inclusion; and third, the suggestion that financial inclusion is good business. In all three areas, the author highlights shortcomings in the evidence base and argues that high expectations of financial inclusion serving as a core pro-poor, private-sector led development intervention lack justification. Rather, financial inclusion should be recognized as a contested and contestable enterprise.</t>
  </si>
  <si>
    <t>[Mader, Philip] IDS, Brighton, E Sussex, England</t>
  </si>
  <si>
    <t>University of Sussex</t>
  </si>
  <si>
    <t>Mader, P (corresponding author), IDS, Brighton, E Sussex, England.</t>
  </si>
  <si>
    <t>10.1111/dech.12368</t>
  </si>
  <si>
    <t>FY6XP</t>
  </si>
  <si>
    <t>WOS:000427006500010</t>
  </si>
  <si>
    <t>Kelly, AE</t>
  </si>
  <si>
    <t>Kelly, Afful Ekow</t>
  </si>
  <si>
    <t>Adoption of mobile money banking in Ghana, using an innovative framework of Financial security, Governance, and Technology (FisGoT) model</t>
  </si>
  <si>
    <t>Mobile money; Security threat; Fraud; Government policy; Financial security; Diffusion theory; Technology acceptance model</t>
  </si>
  <si>
    <t>USER ACCEPTANCE; PERCEIVED EASE; CONSTRUCTS</t>
  </si>
  <si>
    <t>The study investigates the financial security threat in mobile money banking and proposes a framework to mitigate it. It examines factors influencing the acceptance of digital money transactions and the security risks in the mobile money ecosystem. The research employed quantitative approaches, collecting data from mobile money users in Ghana's 16 regions, with a sample size of 2041 used the Financial Security, Governance and Technology (FisGoT) model. The study utilized SmartPLS for partial least squares structural equation modelling to assess confirmatory factors, reliability, and validity. The study reveal that user acceptance is shaped by factors such as perceived risk, cost, usefulness, ease of use, social influence, compatibility, observability, relative advantage, trialability are key factors influencing users' decisions to use mobile money banking services, with positive attitudes playing a crucial mediating role. Government policy and financial security also play a significant role in this decision. Mobile money banking significantly boosts financial inclusion by providing accessible and convenient financial services, especially in areas underserved by traditional banks.</t>
  </si>
  <si>
    <t>[Kelly, Afful Ekow] Catholic Univ Ghana, Fac Comp Engn &amp; Math Sci CEMS, Fiapre Sunyani, Ghana</t>
  </si>
  <si>
    <t>Kelly, AE (corresponding author), Catholic Univ Ghana, Fac Comp Engn &amp; Math Sci CEMS, Fiapre Sunyani, Ghana.</t>
  </si>
  <si>
    <t>ekowkelly@gmail.com</t>
  </si>
  <si>
    <t>10.1016/j.sftr.2025.100883</t>
  </si>
  <si>
    <t>4UM1C</t>
  </si>
  <si>
    <t>WOS:001526958000001</t>
  </si>
  <si>
    <t>Mukong, AK; Nanziri, LE</t>
  </si>
  <si>
    <t>Mukong, Alfred Kechia; Nanziri, Lwanga Elizabeth</t>
  </si>
  <si>
    <t>Social networks and technology adoption: Evidence from mobile money in Uganda</t>
  </si>
  <si>
    <t>social ties; information network; mobile money adoption; Uganda</t>
  </si>
  <si>
    <t>DETERMINANTS; CONSUMPTION; INFORMATION; PROGRAM; CARE</t>
  </si>
  <si>
    <t>Innovative financial technologies are becoming a pathway to inclusive economic participation for individuals and firms. This paper presents evidence on how individuals' decisions to adopt such technology, particularly mobile money, relate to the adoption choices of their network of family and friends. Using the Uganda Financial Inclusion Insights (FII) Tracker Survey for 2013, we find that mobile money adoption decisions are closely linked to the network of an individual's family and friends. Networks are defined in two ways: by the source of information on mobile money services and by the average number of adoptions in one's neighbourhood. Like many other studies, we find a positive correlation between mobile money adoption and the adoption decisions of one's network. The correlation persists across the different measures of networks and even when we control for unobservable (neighbourhood fixed effects) characteristics. However, the magnitude of the point estimates decreases as the model becomes saturated. Despite having more mobile money users than adopters in our sample, we do not find evidence that networks can stifle technology adoption due to the possibility of piggybacking on early adopters within the network.</t>
  </si>
  <si>
    <t>[Mukong, Alfred Kechia; Nanziri, Lwanga Elizabeth] Univ Stellenbosch, Business Sch, Bellville, South Africa</t>
  </si>
  <si>
    <t>Mukong, AK (corresponding author), Univ Stellenbosch, Business Sch, Bellville, South Africa.</t>
  </si>
  <si>
    <t>amukong@unam.na</t>
  </si>
  <si>
    <t>African Economic Research Consortium</t>
  </si>
  <si>
    <t>The authors received funding from the African Economic Research Consortium to conduct this research.</t>
  </si>
  <si>
    <t>10.1080/23322039.2021.1913857</t>
  </si>
  <si>
    <t>RN0CK</t>
  </si>
  <si>
    <t>WOS:000640023400001</t>
  </si>
  <si>
    <t>Shi, X; Prevett, P; Farnsworth, V; Kwong, KC; Wan, WG; He, F; Zhai, QQ; Zhen, L</t>
  </si>
  <si>
    <t>Shi, Xin; Prevett, Pauline; Farnsworth, Valerie; Kwong, Koo Chun; Wan, Wanggen; He, Feng; Zhai, Qingqing; Zhen, Lu</t>
  </si>
  <si>
    <t>Modeling Changes to Survey Response Items Over Time in a Britain Financial Literacy Education Study</t>
  </si>
  <si>
    <t>financial capability education; longitudinal study; Monte Carlo; personal finance</t>
  </si>
  <si>
    <t>This study develops a general method for modeling changes in response to items relating to students perceptions of personal finance and financial products. The new method is illustrated to analyze data from a sample of 1,250 students aged 16-18 who participated in a financial capability education study in the UK. We demonstrate how a quantitative indicator of the changes in students' responses can be applied in various educational research projects, particularly as a measure of program effectiveness. Predictions are based on prior survey responses, which are taken as relevant historical information for a cohort of students. We find significant changes in the responses of students toward reported career choice following the Financial Literacy Education course at national colleges in the UK.</t>
  </si>
  <si>
    <t>[Shi, Xin] Manchester Metropolitan Univ, Business Sch, All St Campus, Manchester M15 6BH, Lancs, England; [Shi, Xin; Zhai, Qingqing; Zhen, Lu] Shanghai Univ, Sch Management, Shanghai 200444, Peoples R China; [Shi, Xin] Karaganda Med Univ, Karaganda, Kazakhstan; [Prevett, Pauline] Univ Manchester, Sch Educ, Manchester M13 9PL, Lancs, England; [Farnsworth, Valerie] Univ Leeds, Sch Educ, Leeds LS2 9JT, W Yorkshire, England; [Kwong, Koo Chun] Shanghai Univ, Sch Management Educ, Shanghai 200444, Peoples R China; [Wan, Wanggen] Shanghai Univ, Inst Smart City, Shanghai 200444, Peoples R China; [He, Feng] Univ Sci &amp; Technol, Sch Econ &amp; Management, Beijing 100083, Peoples R China</t>
  </si>
  <si>
    <t>Manchester Metropolitan University; Shanghai University; Karaganda Medical University; University of Manchester; University of Leeds; Shanghai University; Shanghai University; University of Science &amp; Technology Beijing</t>
  </si>
  <si>
    <t>Shi, X (corresponding author), Manchester Metropolitan Univ, Business Sch, All St Campus, Manchester M15 6BH, Lancs, England.;Shi, X (corresponding author), Shanghai Univ, Sch Management, Shanghai 200444, Peoples R China.;Shi, X (corresponding author), Karaganda Med Univ, Karaganda, Kazakhstan.</t>
  </si>
  <si>
    <t>x.shi@mmu.ac.uk; Pauline.prevett@manchester.ac.uk; V.L.Farnsworth@leeds.ac.uk; shumba@oa.shu.edu.cn; wanwg@staff.shu.edu.cn; hefeng@manage.ustb.edu.cn; zhaiq@shu.edu.cn; lzhen@shu.edu.cn</t>
  </si>
  <si>
    <t>Zhai, Qingqing/U-4724-2017; Zheng, Lei/KHY-5267-2024; Shi, Xin/D-1528-2018; Farnsworth, Valerie/MEO-4877-2025</t>
  </si>
  <si>
    <t>Zhai, Qingqing/0000-0001-6549-6906; Prevett, Pauline/0000-0002-6692-0251; Shi, Xin/0000-0002-4930-7295; Koo, Chun Kwong/0000-0003-2019-743X; Wan, Wanggen/0000-0002-5065-9650</t>
  </si>
  <si>
    <t>IFS School of Finance [71673022, 71671107, 71422007]; National Natural Science Foundation of China</t>
  </si>
  <si>
    <t>IFS School of Finance; National Natural Science Foundation of China(National Natural Science Foundation of China (NSFC))</t>
  </si>
  <si>
    <t>We are very thankful to the editor, the associate editors and anonymous referees for their helpful comments. We would very much like to acknowledge the generous support of the IFS School of Finance for funding this research. Dr. Xin Shi, Professor Feng He, and Professor Lu Zhen are partially supported by collaboration projects (71673022, 71671107, 71422007) funded by National Natural Science Foundation of China.</t>
  </si>
  <si>
    <t>10.1891/1052-3073.30.1.56</t>
  </si>
  <si>
    <t>WOS:000472084100006</t>
  </si>
  <si>
    <t>Zhang, QD; Posso, A</t>
  </si>
  <si>
    <t>Zhang, Quanda; Posso, Alberto</t>
  </si>
  <si>
    <t>Thinking Inside the Box: A Closer Look at Financial Inclusion and Household Income</t>
  </si>
  <si>
    <t>PROPENSITY SCORE; POVERTY REDUCTION; MICROFINANCE; INEQUALITY; DECOMPOSITION</t>
  </si>
  <si>
    <t>Using national representative household finance survey data covering more than 6200 Chinese households, we first construct a new multidimensional indicator for financial inclusion. Then we examine the effect of financial inclusion on household income. Our results elicit several findings. First, financial inclusion has a strong positive effect on household income. This effect can be found across all households with different levels of income. Second, low-income households are found to benefit more from financial inclusion than high and mid-level income ones. We argue that, in this sense, financial inclusion helps reduce income inequality.</t>
  </si>
  <si>
    <t>[Zhang, Quanda; Posso, Alberto] RMIT Univ, Sch Econ Finance &amp; Mkt, Int Dev &amp; Trade Res Grp, 445 Swanston St, Melbourne, Vic 3000, Australia</t>
  </si>
  <si>
    <t>Royal Melbourne Institute of Technology (RMIT)</t>
  </si>
  <si>
    <t>Zhang, QD (corresponding author), RMIT Univ, Sch Econ Finance &amp; Mkt, Int Dev &amp; Trade Res Grp, 445 Swanston St, Melbourne, Vic 3000, Australia.</t>
  </si>
  <si>
    <t>samuel.zhang@rmit.edu.au</t>
  </si>
  <si>
    <t>Zhang, Quanda/J-3906-2019; Posso, Alberto/AFZ-2308-2022</t>
  </si>
  <si>
    <t>Zhang, Samuel/0000-0002-6513-2130; Posso, Alberto/0000-0003-4226-7072</t>
  </si>
  <si>
    <t>10.1080/00220388.2017.1380798</t>
  </si>
  <si>
    <t>HT4IM</t>
  </si>
  <si>
    <t>WOS:000464527200016</t>
  </si>
  <si>
    <t>Hidayat-ur-Rehman, I; Alam, MN; Bhuiyan, A; Zulkifli, N</t>
  </si>
  <si>
    <t>Hidayat-ur-Rehman, Imdadullah; Alam, Mohammad Nurul; Bhuiyan, Abul Bashar; Zulkifli, Norhayah</t>
  </si>
  <si>
    <t>The FinTech adoption in rural areas of Pakistan: an application of SEM and ANN approach</t>
  </si>
  <si>
    <t>ASIA-PACIFIC JOURNAL OF BUSINESS ADMINISTRATION</t>
  </si>
  <si>
    <t>FinTech; Perceived traceability; Perceived accessibility; SEM-ANN; Financial literacy</t>
  </si>
  <si>
    <t>INFORMATION-SYSTEMS CONTINUANCE; M-COMMERCE; PRIVACY; PAYMENT; DETERMINANTS; TECHNOLOGY; ACCEPTANCE; SERVICES; IMPACT; INTENTION</t>
  </si>
  <si>
    <t>PurposeThe global emphasis on sustainability is driving organizations to embrace financial technology (FinTech) solutions as a means of enhancing their sustainable performance. Despite the focus on leveraging FinTech for financial inclusion, there is a notable scarcity of research on its role in aiding the unbanked and underserved populations in developing countries. To bridge the research gap, this study proposes a framework exploring key determinants of FinTech adoption namely Perceived Traceability, Accessibility, Security, Financial Literacy, Seamless Transaction, Convenience, Facilitating Conditions and Privacy Risk and their interrelations.Design/methodology/approachFor the empirical validation of our model, we adopted a dual approach combining structural equation modeling (SEM) and artificial neural networks (ANN), thereby enhancing the robustness of our framework. Given the SEM-ANN approach's requirement for a larger sample size, we gathered data from 489 respondents in areas of Pakistan. Following data screening, 22 cases were discarded, leaving 467 for analysis. Initial examination and hypothesis testing utilized Smart-PLS 4.0 and SPSS-23. To deepen the validation and evaluate the significance of the factors identified, an ANN approach was subsequently applied as a robustness check.FindingsThe results conclusively demonstrated that Perceived Traceability, Accessibility, Security, Financial Literacy, Seamless Transaction, Convenience, Facilitating Conditions and Perceived Privacy Risk are significant drivers of FinTech adoption in rural areas. The study also revealed that Perceived Privacy Risk acts as a moderating factor in the dynamics between Perceived Traceability, Security and FinTech Adoption, although this moderating effect was not observed in the relationship between Perceived Accessibility and FinTech Adoption. Additionally, the ANN analysis results matched the PLS-SEM outcomes, reinforcing the significance of the identified factors. The study found variations in factor impact across methodologies, suggesting future research directions.Originality/valueThis study offers essential guidance for decision-makers in rural FinTech adoption, focusing on improving accessibility, security, convenience and financial literacy. It enhances understanding of FinTech's key drivers in rural contexts, contributing to the field's literature. Additionally, it provides actionable recommendations for policymakers and organizations to advance financial inclusivity in these regions.</t>
  </si>
  <si>
    <t>[Hidayat-ur-Rehman, Imdadullah] Univ Tabuk, Fac Business Adm, MIS Dept, Tabuk, Saudi Arabia; [Alam, Mohammad Nurul] Univ Tabuk, Fac Business Adm, Dept Management, Tabuk, Saudi Arabia; [Bhuiyan, Abul Bashar] Sunway Univ, Jeffrey Sachs Ctr Sustainable Dev JSC, Bandar Sunway, Malaysia; [Zulkifli, Norhayah] Univ Selangor UNISEL, Fac Business &amp; Accountancy FBA, Shah Alam, Malaysia</t>
  </si>
  <si>
    <t>University of Tabuk; University of Tabuk; Sunway University</t>
  </si>
  <si>
    <t>Hidayat-ur-Rehman, I (corresponding author), Univ Tabuk, Fac Business Adm, MIS Dept, Tabuk, Saudi Arabia.</t>
  </si>
  <si>
    <t>imdad7371@hotmail.com; mnurulalam@ut.edu.sa; bashariuk@gmail.com; norhayah@unisel.edu.my</t>
  </si>
  <si>
    <t>; Hidayat-ur-Rehman, Iadullah/AAS-4754-2020; Alam, Mohammad Nurul/F-6185-2017</t>
  </si>
  <si>
    <t>Bhuiyan, Abul/0000-0003-1763-124X; Hidayat-ur-Rehman, Iadullah/0000-0001-7763-6566; Alam, Mohammad Nurul/0000-0002-0478-3298</t>
  </si>
  <si>
    <t>1757-4323</t>
  </si>
  <si>
    <t>1757-4331</t>
  </si>
  <si>
    <t>ASIA-PAC J BUS ADM</t>
  </si>
  <si>
    <t>Asia-Pac. J. Bus. Adm.</t>
  </si>
  <si>
    <t>10.1108/APJBA-02-2024-0111</t>
  </si>
  <si>
    <t>Z3184</t>
  </si>
  <si>
    <t>WOS:001470745100001</t>
  </si>
  <si>
    <t>Manta, O</t>
  </si>
  <si>
    <t>Manta, Otilia</t>
  </si>
  <si>
    <t>Microfinance a New Approach for Social and Financial Inclusion</t>
  </si>
  <si>
    <t>INNOVATION MANAGEMENT AND EDUCATION EXCELLENCE VISION 2020: FROM REGIONAL DEVELOPMENT SUSTAINABILITY TO GLOBAL ECONOMIC GROWTH, VOLS I - VI</t>
  </si>
  <si>
    <t>27th International Business Information Management Association Conference</t>
  </si>
  <si>
    <t>MAY 04-05, 2016</t>
  </si>
  <si>
    <t>Milan, ITALY</t>
  </si>
  <si>
    <t>microfinance; rural credit; social inclusion; financial inclusion</t>
  </si>
  <si>
    <t>Each of us have had or go through the situation of being unable to access the credit necessary to meet unexpected expenses or trying to develop small businesses. The impossibility of accessing microfinance pushes people into poverty, increasing the number of social assistance. What makes the situation can be different, how do we prevent increasing poverty? The answer is found in the current microfinance policy directed especially to those who are financially excluded. But the access to credit as they are too expensive could also contribute to indebtedness and impoverishment of individual levels. They have serious macroeconomic consequences, as the crisis in 2007 proves. Therefore, poverty and social exclusion can be fueled by the inability to access credit and access to inappropriate forms of financing. Such difficulties are undermining economic growth and social cohesion. Instead, poverty and financial difficulties are supporting social exclusion.</t>
  </si>
  <si>
    <t>[Manta, Otilia] Romanian Acad, Sch Adv Studies, Dept Econ Sociol &amp; Law, Bucharest, Romania</t>
  </si>
  <si>
    <t>Manta, O (corresponding author), Romanian Acad, Sch Adv Studies, Dept Econ Sociol &amp; Law, Bucharest, Romania.</t>
  </si>
  <si>
    <t>otilia.manta@ince.ro</t>
  </si>
  <si>
    <t>manta, otilia/O-1718-2016</t>
  </si>
  <si>
    <t>manta, otilia/0000-0002-9411-7925</t>
  </si>
  <si>
    <t>978-0-9860419-6-9</t>
  </si>
  <si>
    <t>BF4LA</t>
  </si>
  <si>
    <t>WOS:000381172300074</t>
  </si>
  <si>
    <t>Krische, SD</t>
  </si>
  <si>
    <t>Krische, Susan D.</t>
  </si>
  <si>
    <t>Investment Experience, Financial Literacy, and Investment-Related Judgments</t>
  </si>
  <si>
    <t>CONTEMPORARY ACCOUNTING RESEARCH</t>
  </si>
  <si>
    <t>INVESTORS REACTIONS; NUMERACY; QUALITY; RISK; PERFORMANCE; AVERSION; CHOICES</t>
  </si>
  <si>
    <t>This research examines how investment experience and financial literacy impact investment-related judgments. Financial literacy refers to a person's knowledge of fundamental financial concepts. I begin by documenting investors' demographic characteristics and financial literacy using a relatively large sample of participants (n &gt; 2,000) recruited from Amazon's Mechanical Turk under different categories of investment experience, which I benchmark against national samples of financial capability skills in the United States. I then replicate a sample of three accounting research experiments, varying the type and depth of the underlying accounting issue. Across the three experiments, the data show two main results: First, investment experience strengthens the influence of financial accounting disclosures on participants' investment-related judgments. Second, financial literacy further strengthens the influence of financial accounting disclosures on investors' (but not noninvestors') judgments. Collectively, these findings suggest that investment experience and financial literacy can help to identify individuals who are more likely to be able and willing to study financial reporting information with reasonable diligence as they form their investment-related judgments.</t>
  </si>
  <si>
    <t>[Krische, Susan D.] Amer Univ, Washington, DC 20016 USA</t>
  </si>
  <si>
    <t>American University</t>
  </si>
  <si>
    <t>Krische, SD (corresponding author), Amer Univ, Washington, DC 20016 USA.</t>
  </si>
  <si>
    <t>krische@american.edu</t>
  </si>
  <si>
    <t>0823-9150</t>
  </si>
  <si>
    <t>1911-3846</t>
  </si>
  <si>
    <t>CONTEMP ACCOUNT RES</t>
  </si>
  <si>
    <t>Contemp. Account. Res.</t>
  </si>
  <si>
    <t>10.1111/1911-3846.12469</t>
  </si>
  <si>
    <t>IX9GK</t>
  </si>
  <si>
    <t>WOS:000485995700012</t>
  </si>
  <si>
    <t>Dimaunahan, DSF; Santiago, AFB; Eusebio, MCC; Loterin, SMM; Ong, AKS; Chavez, JXS</t>
  </si>
  <si>
    <t>Dimaunahan, Doni Sevaztianne F.; Santiago, Angelique France B.; Eusebio, Maria Christiana C.; Loterin, Sumella Maria M.; Ong, Ardvin Kester S.; Chavez, John Xavier S.</t>
  </si>
  <si>
    <t>Financial literacy and sustainable planning assessment among Filipino millennials</t>
  </si>
  <si>
    <t>ACTA PSYCHOLOGICA</t>
  </si>
  <si>
    <t>Behavior; Financial literacy; Financial planning; Goal setting; Millennials</t>
  </si>
  <si>
    <t>GOAL SPECIFICITY; IMPACT; MOTIVATION; BEHAVIOR</t>
  </si>
  <si>
    <t>Financial literacy plays an important role in improving personal financial management and helping individuals reach their financial goals, especially for millennials, who currently represent the largest working-age demographic and key consumers. This study sought to address the gaps in low financial literacy levels and poor financial decision-making among Filipinos, as well as the lack of publicly available studies on millennial financial literacy in the Philippines particularly in relation to financial planning. The study assessed the financial literacy of Filipino millennials and its influence on financial planning by employing a correlational research method to test four hypotheses using data from 400 respondents. Financial literacy was measured through The Big Three questions, and structural equation modeling was applied to analyze the relationships between financial literacy and demographic factors to financial planning, with goal-setting moderators (goal commitment, goal specificity, goal acceptance, and goal difficulty) serving as the basis for financial planning. Results indicated low levels of financial literacy - leading to the insignificant relationship on sustainable planning, while demographic factors such as monthly income, occupation, and monthly expenses showed high significant influence on financial planning. This study provided additional understanding on the financial literacy and planning of Filipino millennials, offered implications and financial sustainable strategies for the government, financial institutions, and educational institutions aiming to improve financial literacy and planning. Additionally, it emphasized the need for more targeted financial inclusion initiatives tailored to Filipino millennials.</t>
  </si>
  <si>
    <t>[Dimaunahan, Doni Sevaztianne F.; Santiago, Angelique France B.; Eusebio, Maria Christiana C.; Loterin, Sumella Maria M.; Chavez, John Xavier S.] Mapua Univ, ET Yuchengo Sch Business, 1191 Pablo Ocampo Sr Ext, Manila 1204, Philippines; [Ong, Ardvin Kester S.] Mapua Univ, Inst Digital Learning, 658 Muralla St, Manila 1002, Philippines; [Chavez, John Xavier S.] Mapua Univ, Sch Media Studies, 1191 Pablo Ocampo Sr Ext, Manila 1204, Philippines</t>
  </si>
  <si>
    <t>Mapua University; Mapua University; Mapua University</t>
  </si>
  <si>
    <t>Ong, AKS (corresponding author), Mapua Univ, Inst Digital Learning, 658 Muralla St, Manila 1002, Philippines.</t>
  </si>
  <si>
    <t>dsfdimaunahan@mymail.mapua.edu.ph; afbsantiago@mymail.mapua.edu.ph; mcceusebio@mymail.mapua.edu.ph; smmloterina@mymail.mapua.edu.ph; aksong@mapua.edu.ph; JXSChavez@mapua.edu.ph</t>
  </si>
  <si>
    <t>0001-6918</t>
  </si>
  <si>
    <t>1873-6297</t>
  </si>
  <si>
    <t>ACTA PSYCHOL</t>
  </si>
  <si>
    <t>Acta Psychol.</t>
  </si>
  <si>
    <t>10.1016/j.actpsy.2025.105334</t>
  </si>
  <si>
    <t>Psychology, Experimental</t>
  </si>
  <si>
    <t>5QQ6G</t>
  </si>
  <si>
    <t>WOS:001542023500001</t>
  </si>
  <si>
    <t>Kagotho, N; Ssewamala, FM; Patak-Pietrafesa, M; Byansi, W</t>
  </si>
  <si>
    <t>Kagotho, Njeri; Ssewamala, Fred M.; Patak-Pietrafesa, Michele; Byansi, William</t>
  </si>
  <si>
    <t>Testing the Financial Capability Framework: Findings from YouthSave-Impact Study Kenya</t>
  </si>
  <si>
    <t>economic functioning; financial capabilities; sub-Saharan Africa; youths</t>
  </si>
  <si>
    <t>RANDOMIZED EXPERIMENT; ORPHANED ADOLESCENTS; UGANDA; SOCIALIZATION; LITERACY; BEHAVIOR; POLICIES; AFRICA; ASSETS</t>
  </si>
  <si>
    <t>In sub-Saharan Africa (SSA), youths (23 years or younger)-who account for almost half the population-are particularly vulnerable to poverty and exclusion from financial markets and intermediaries. In addition, a significant factor in the financial instability of the region appears to be the economic functioning of its youths. In recent years, social work interventions throughout the region have focused on investing in the economic functioning of youths. This study looked at baseline data from one such intervention in Kenya (N = 3,965), using the financial capabilities framework to evaluate the factors related to youths' saving behaviors. Authors investigated the association between youths' financial literacy (that is, knowledge, socialization), financial access, and financial capabilities and savings behaviors. Results indicate that adolescents who rate themselves as financially literate and those living in close proximity to a bank are more likely to report higher capabilities. Furthermore, financial capabilities in turn partially mediate the relationship between financial literacy, access, and savings. Overall, the study's findings point to the positive effect of enhanced financial capabilities among youths and offer support for asset-based interventions targeting youths in SSA.</t>
  </si>
  <si>
    <t>[Kagotho, Njeri; Patak-Pietrafesa, Michele] Ohio State Univ, Coll Social Work, 1947 Coll Rd,325-E Stillman Hall, Columbus, OH 43210 USA; [Ssewamala, Fred M.; Byansi, William] Washington Univ, George Warren Brown Sch Social Work, St Louis, MO 63130 USA</t>
  </si>
  <si>
    <t>University System of Ohio; Ohio State University; Washington University (WUSTL)</t>
  </si>
  <si>
    <t>Kagotho, N (corresponding author), Ohio State Univ, Coll Social Work, 1947 Coll Rd,325-E Stillman Hall, Columbus, OH 43210 USA.</t>
  </si>
  <si>
    <t>kagotho.1@osu.edu</t>
  </si>
  <si>
    <t>Kagotho, Njeri/AAX-3122-2021</t>
  </si>
  <si>
    <t>Byansi, William/0000-0003-2880-9357; Ssewamala, Fred/0000-0002-4849-5650</t>
  </si>
  <si>
    <t>10.1093/sw/swx056</t>
  </si>
  <si>
    <t>FS2DR</t>
  </si>
  <si>
    <t>WOS:000419589100008</t>
  </si>
  <si>
    <t>Yu, Y; Li, WJ; Li, HR; Luo, SM; Liu, Y</t>
  </si>
  <si>
    <t>Yu, Yue; Li, Wenjing; Li, Huarong; Luo, Shuming; Liu, Yan</t>
  </si>
  <si>
    <t>Exploring the Dynamic Impact of Digital Financial Literacy on Rural Household Income: New Evidence from China</t>
  </si>
  <si>
    <t>digital financial literacy; farmer household income; social capital; digital skills; digital products</t>
  </si>
  <si>
    <t>Digital financial literacy, as an upgrade of financial literacy in the digital age, has a non-negligible impact on the income of farm households and the sustainable development of the rural economy. This study aims to investigate the impact of digital financial literacy on rural household income in China and its mechanism of action. Using the sample of rural households in the 2019 China Household Finance Survey (CHFS), which ultimately collected information on 34,643 households and 107,008 household members, the principal component analysis method was used to analyze scores to measure the digital financial literacy level of rural households at three levels-financial knowledge, financial skill application, and digital skills and digital product use-and to perform mechanism analysis and heterogeneity analysis with inclusive finance data from the Digital Finance Research Center of Peking University. The research ideas in this paper are as follows: firstly, to clarify the metric index system of digital financial literacy and calculate to obtain the digital financial literacy score of farmers; secondly, to analyze the direct relationship between digital financial literacy and farmers' household income; thirdly, to explore the intermediary role of social capital in the process of digital financial literacy affecting farmers' income; and lastly, to examine the moderating effect of the level of regional financial development. The findings of this study show that digital financial literacy has a significant income-increasing effect on rural residents; mechanism analysis reveals that digital financial literacy increases farmers' income by increasing social capital, and the level of regional financial development mediates the impact of digital financial literacy on rural household income. From a macro perspective, this article explains the necessity of improving rural households' digital financial literacy to deepen rural financial services as well as to promote sustainable rural economic development. From a micro perspective, improving rural households' digital financial literacy and digital financial infrastructure will help optimize their household income levels and income structure. This study provides empirical evidence and decision-making references for increasing farmers' income, broadening income channels, and improving farmers' digital human capital to achieve rural revitalization in the new era.</t>
  </si>
  <si>
    <t>[Yu, Yue; Li, Wenjing; Li, Huarong; Luo, Shuming; Liu, Yan] Sichuan Agr Univ, Coll Econ, Chengdu 611130, Peoples R China</t>
  </si>
  <si>
    <t>yuyue@stu.sicau.edu.cn; liwenjing@stu.sicau.edu.cn; l642729@163.com; luoshuming@stu.sicau.edu.cn; lucyyan2005@126.com</t>
  </si>
  <si>
    <t>; Luo, Shuming/AFK-3785-2022</t>
  </si>
  <si>
    <t>艳, 刘/0000-0002-6948-5988;</t>
  </si>
  <si>
    <t>Major Program of the National Social Science Foundation of China; [18BMZ126]</t>
  </si>
  <si>
    <t>Major Program of the National Social Science Foundation of China(National Office of Philosophy and Social Sciences);</t>
  </si>
  <si>
    <t>This work has been financially supported by the Major Program of the National Social Science Foundation of China (No. 18BMZ126).</t>
  </si>
  <si>
    <t>10.3390/su17083385</t>
  </si>
  <si>
    <t>1XF5K</t>
  </si>
  <si>
    <t>WOS:001475803400001</t>
  </si>
  <si>
    <t>Istaiteyeh, R</t>
  </si>
  <si>
    <t>Istaiteyeh, Rasha</t>
  </si>
  <si>
    <t>Child Development Accounts in Jordan: Towards Innovative Social Policies for Economic Development</t>
  </si>
  <si>
    <t>Child Development Accounts (CDAs); asset building; social welfare; financial inclusion; poverty; policy; Jordan; SDGs</t>
  </si>
  <si>
    <t>EXPECTATIONS; SAVINGS; FAMILY; BIRTH; STATE</t>
  </si>
  <si>
    <t>This paper examines a prospect scenario of adopting Child Development Accounts (CDAs) as a social welfare innovation in Jordan. CDAs are considered as an asset-building policy aimed at enhancing financial inclusion and socio-economic well-being. This paper discovers the feasibility of CDAs that have proven successful in several countries, as their potential in Middle Eastern countries, particularly in Jordan, remains unexplored. The application of CDAs in the social welfare system aims to support sustainable asset accumulation and improve the living standards of diverse segments in Jordan by integrating CDAs within the efforts made by Jordan to achieve financial inclusion, alleviate poverty, and supplement household income through asset development. There are opportunities to implement the program in Jordan, including expanding the scope of microfinance, public-private partnerships, and targeted programs for women, youth, and refugees. However, several challenges may hinder its application, including limited financial literacy, high unemployment rates, income inequality, regulatory obstacles, and difficulties in implementing social reforms. The paper contributes to the debate on social welfare policies adopted in developing countries by providing solutions based on global practices in CDA execution and has implications and recommendations for decision makers to achieve economic development. Future research in Middle East and North Africa (MENA) countries should target pilot projects and comparative studies to refine CDA strategies.</t>
  </si>
  <si>
    <t>[Istaiteyeh, Rasha] Hashemite Univ, Fac Business, Dept Econ, Zarqa 13133, Jordan</t>
  </si>
  <si>
    <t>Hashemite University</t>
  </si>
  <si>
    <t>Istaiteyeh, R (corresponding author), Hashemite Univ, Fac Business, Dept Econ, Zarqa 13133, Jordan.</t>
  </si>
  <si>
    <t>ristaiteyeh@hu.edu.jo</t>
  </si>
  <si>
    <t>10.3390/socsci14080502</t>
  </si>
  <si>
    <t>6OL7Z</t>
  </si>
  <si>
    <t>WOS:001558218800001</t>
  </si>
  <si>
    <t>Gignac, GE</t>
  </si>
  <si>
    <t>Gignac, Gilles E.</t>
  </si>
  <si>
    <t>The association between objective and subjective financial literacy: Failure to observe the Dunning-Kruger effect</t>
  </si>
  <si>
    <t>PERSONALITY AND INDIVIDUAL DIFFERENCES</t>
  </si>
  <si>
    <t>Financial literacy; Financial capability; Dunning-Kruger effect</t>
  </si>
  <si>
    <t>UNAWARE; ABILITIES; OVERCONFIDENCE; REGRESSION; KNOWLEDGE; VALIDITY</t>
  </si>
  <si>
    <t>Positive correlations have been reported between objective (tests) and subjective (self-report) financial literacy, however, the precise nature of the association has not been examined yet. In particular, it remains a possibility that subjective financial literacy is impacted by the Dunning-Kruger effect: the observation of greater overestimation of ability at the lower-end of objective ability than at the higher-end of objective ability. On the basis of the two US samples (N = 5901 and N = 26,349), the correlation between objective and subjective financial literacy was estimated at 0.273 and 0.266, respectively. Furthermore, the association was found to be essentially linear across the whole spectrum of objective ability, suggesting a failure to observe the Dunning-Kruger effect. The results were interpreted to suggest that people, on average, have some insight into their financial literacy and the degree of insight is approximately equal across the spectrum of objective financial literacy ability. It is concluded that there is increasing evidence to suggest that individual differences research ostensibly supportive of the Dunning-Kruger effect may be based on a statistical artefact.</t>
  </si>
  <si>
    <t>[Gignac, Gilles E.] Univ Western Australia, Sch Psychol, 35 Stirling Highway, Crawley, WA 6009, Australia</t>
  </si>
  <si>
    <t>Gignac, GE (corresponding author), Univ Western Australia, Sch Psychol, 35 Stirling Highway, Crawley, WA 6009, Australia.</t>
  </si>
  <si>
    <t>Gignac, Gilles/0000-0002-4900-6855</t>
  </si>
  <si>
    <t>0191-8869</t>
  </si>
  <si>
    <t>1873-3549</t>
  </si>
  <si>
    <t>PERS INDIV DIFFER</t>
  </si>
  <si>
    <t>Pers. Individ. Differ.</t>
  </si>
  <si>
    <t>10.1016/j.paid.2021.111224</t>
  </si>
  <si>
    <t>Psychology, Social</t>
  </si>
  <si>
    <t>UY8WB</t>
  </si>
  <si>
    <t>WOS:000701796500043</t>
  </si>
  <si>
    <t>Wainwright, T</t>
  </si>
  <si>
    <t>Wainwright, Thomas</t>
  </si>
  <si>
    <t>Elite knowledges: framing risk and the geographies of credit</t>
  </si>
  <si>
    <t>CONSUMER-CREDIT; FINANCIAL SERVICES; RATIONALIZATION; INSURANCE; SUBPRIME; MARKETS; SYSTEMS; CRISIS</t>
  </si>
  <si>
    <t>This paper examines the history of credit scoring in Britain, and how this technology was imported from the US and adapted by the British retail banking sector. It seeks to highlight the elites who develop the social codes embedded within credit scoring software, to offer insight into the complex techno-economic networks that produce the geographies of financial inclusion, exclusion, and differential risk pricing. It is argued that the scientific status of these systems is questionable, due to the social interactions involved within the statistical modelling. Finally, the paper suggests that the spaces of credit are fluid, based upon the frequent social recalibrations of these models.</t>
  </si>
  <si>
    <t>Kingston Univ, Small Business Res Ctr, Kingston Upon Thames KT2 7LB, Surrey, England</t>
  </si>
  <si>
    <t>Kingston University</t>
  </si>
  <si>
    <t>Wainwright, T (corresponding author), Kingston Univ, Small Business Res Ctr, Kingston Hill, Kingston Upon Thames KT2 7LB, Surrey, England.</t>
  </si>
  <si>
    <t>T.Wainwright@kingston.ac.uk</t>
  </si>
  <si>
    <t>Wainwright, Thomas/0009-0003-5415-4558</t>
  </si>
  <si>
    <t>10.1068/a43331</t>
  </si>
  <si>
    <t>763XU</t>
  </si>
  <si>
    <t>WOS:000290593800011</t>
  </si>
  <si>
    <t>Brown, EH; Riley, K</t>
  </si>
  <si>
    <t>Brown, Erika Houston; Riley, Kendall</t>
  </si>
  <si>
    <t>When (Financial) Knowledge Isn't Power: How Race Disrupts Financial Literacy's Relationship to Health Precarity</t>
  </si>
  <si>
    <t>SOCIOLOGY COMPASS</t>
  </si>
  <si>
    <t>financial literacy; health; healthcare; NFCS; precarity; race</t>
  </si>
  <si>
    <t>UNITED-STATES; EDUCATION; DETERMINANT; RETHINKING; GENDER; CARE</t>
  </si>
  <si>
    <t>Financial literacy is often touted as a tool to shield people from unfavorable economic outcomes. Financial literacy programs almost exclusively focus on improving financial competency so individuals can optimize their personal financial wellbeing, but this individualized conceptualization of financial literacy is incomplete. The opportunity to make ideal financial decisions does not occur in isolation from macro-level societal factors. Decontextualized constructions of financial literacy invisibilize the influences that ultimately determine financial outcomes. Relatedly, the promises of financial literacy-helping people navigate complex and potentially costly healthcare decisions, for example-are often promoted without interrogating their efficacy across racial groups. Drawing on data from the 2021 National Financial Capability Study, we test whether financial literacy is universally beneficial in minimizing the risk of healthcare disengagement across racial groups. Our findings reveal that financial literacy reduces the extent to which individuals avoid engaging with healthcare due to cost concerns (i.e., health precarity), but its effects are not equal across racial categories. White and Asian adults emerged as the main beneficiaries of financial literacy, with more financial literacy reducing their risk of healthcare avoidance. Financial literacy conferred no benefit for Black adults and increased the likelihood of experiencing health precarity for Hispanic adults. In short, the relationship between financial literacy and health precarity is conditional upon race. This finding complicates existing claims that higher levels of financial competency protect people from making risky financial decisions, including those related to health. This research amplifies the necessity of considering race and structural factors in assessing the returns of financial literacy.</t>
  </si>
  <si>
    <t>[Brown, Erika Houston] Texas Womans Univ, Denton, TX USA; [Riley, Kendall] Univ Iowa, Iowa City, IA 52242 USA</t>
  </si>
  <si>
    <t>Texas Womans University; University of Iowa</t>
  </si>
  <si>
    <t>Riley, K (corresponding author), Univ Iowa, Iowa City, IA 52242 USA.</t>
  </si>
  <si>
    <t>kendall-riley@uiowa.edu</t>
  </si>
  <si>
    <t>Brown, Erika/KLC-5110-2024</t>
  </si>
  <si>
    <t>Riley, Kendall/0000-0002-5937-6622</t>
  </si>
  <si>
    <t>1751-9020</t>
  </si>
  <si>
    <t>SOCIOL COMPASS</t>
  </si>
  <si>
    <t>Sociol. Compass</t>
  </si>
  <si>
    <t>e70115</t>
  </si>
  <si>
    <t>10.1111/soc4.70115</t>
  </si>
  <si>
    <t>6YE9J</t>
  </si>
  <si>
    <t>WOS:001564839000001</t>
  </si>
  <si>
    <t>Gupta, P; Aggarwal, M; Bamba, M</t>
  </si>
  <si>
    <t>Gupta, Priya; Aggarwal, Mamta; Bamba, Meera</t>
  </si>
  <si>
    <t>Exploring Financial Well-being of Working Women in the Indian Context</t>
  </si>
  <si>
    <t>AGENDA-EMPOWERING WOMEN FOR GENDER EQUITY</t>
  </si>
  <si>
    <t>Financial well-being; Working Women; Financial self-efficacy; financial literacy; Financial Inclusion and SDGs</t>
  </si>
  <si>
    <t>EMPOWERMENT; GENDER</t>
  </si>
  <si>
    <t>This research delves into a dynamic interplay between financial literacy, inclusion, and well-being in the context of working women; explicitly identifying how their financial self-efficacy mediates the relationship. Employing a quantitative approach, data were collected from 150 working women residing in the Delhi-NCR region using the purposive sampling technique. PLS-SEM and bootstrapping techniques were employed to test the hypothetical relationships. The findings demonstrate that the association between inclusion and well-being is mediated by financial efficacy. It suggests that the financial inclusion initiative's ability to promote the well-being of women workers depends on their beliefs, perceptions, and confidence in their ability to handle their financial affairs effectively, which plays a vital role in translating the financial inclusion initiative into improved well-being. Additionally, substantial relationships exist between literacy and well-being, with self-efficacy acting as a partial mediator within this association. The findings have several implications for stakeholders promoting financial inclusion and literacy that can enhance their financial wellness. More interventions and strategies should be tailored to empower women with more confidence, skill, and belief to benefit from inclusion efforts. By exploring the indirect influence of financial literacy and inclusion on well-being through the lens of self-efficacy, this study proposes an innovative perspective for understanding the mechanisms underlying financial empowerment among the marginalized and deprived sections. Moreover, this study focuses on women workers, which adds to its originality. They represent a unique segment that faces numerous barriers such as limited access, the gender pay gap and socioeconomic marginalization.</t>
  </si>
  <si>
    <t>[Gupta, Priya; Aggarwal, Mamta] Indira Gandhi Univ, Dept Commerce, Rewari, Haryana, India; [Bamba, Meera] Chaudhary Bansi Lal Univ, Dept Commerce, Bhiwani, India</t>
  </si>
  <si>
    <t>Gupta, P (corresponding author), Indira Gandhi Univ, Dept Commerce, Rewari, Haryana, India.</t>
  </si>
  <si>
    <t>priya.comm.rs@igu.ac.in; mamta.commerce@igu.ac.in; meerabamba@gmail.com</t>
  </si>
  <si>
    <t>, Mamta Aggarwal/KMA-3306-2024</t>
  </si>
  <si>
    <t>, Mamta Aggarwal/0000-0002-3961-0813; Gupta, Priya/0009-0001-4887-7042</t>
  </si>
  <si>
    <t>1013-0950</t>
  </si>
  <si>
    <t>2158-978X</t>
  </si>
  <si>
    <t>AGENDA-EMPOWER WOMEN</t>
  </si>
  <si>
    <t>Agenda-Empower. Women Gend. Equity</t>
  </si>
  <si>
    <t>2025 MAR 14</t>
  </si>
  <si>
    <t>10.1080/10130950.2025.2452601</t>
  </si>
  <si>
    <t>0EQ4P</t>
  </si>
  <si>
    <t>WOS:001445553300001</t>
  </si>
  <si>
    <t>Schmeiser, MD; Seligman, JS</t>
  </si>
  <si>
    <t>Schmeiser, Maximilian D.; Seligman, Jason S.</t>
  </si>
  <si>
    <t>Using the Right Yardstick: Assessing Financial Literacy Measures by Way of Financial Well-Being</t>
  </si>
  <si>
    <t>Despite the proliferation of academic studies examining financial literacy and financial outcomes, no consistent definition or empirically validated measures of financial literacy exist. While a handful of questions have become the standard measures of financial literacy in previous research, little work has been done examining whether responses to these questions accurately capture underlying financial capability, or whether they causally relate to subsequent financial well-being. Taking advantage of longitudinal data from the Health and Retirement Study we examine whether some of the questions previously used as measures of financial literacy are consistent measures of financial knowledge and effective predictors of future changes in wealth. We find that respondents frequently do not consistently answer questions across survey waves and that the context in which a question is asked affects the likelihood of correctly responding. Moreover, our regression analyses suggest that correctly answering these questions, consistently or not, has little significant relationship to changes in wealth over time, and is often related to a decrease in future wealth. Our findings should give pause to researchers using the financial literacy questions examined here, particularly from cross-sectional data.</t>
  </si>
  <si>
    <t>[Schmeiser, Maximilian D.] Fed Reserve Board, Washington, DC 20551 USA; [Seligman, Jason S.] Ohio State Univ, John Glenn Sch Publ Affairs, Columbus, OH 43210 USA</t>
  </si>
  <si>
    <t>Federal Reserve System - USA; Federal Reserve System Board of Governors; University System of Ohio; Ohio State University</t>
  </si>
  <si>
    <t>Schmeiser, MD (corresponding author), Fed Reserve Board, Washington, DC 20551 USA.</t>
  </si>
  <si>
    <t>max.schmeiser@frb.gov; seligman.10@osu.edu</t>
  </si>
  <si>
    <t>10.1111/joca.12010</t>
  </si>
  <si>
    <t>291TF</t>
  </si>
  <si>
    <t>WOS:000329852000003</t>
  </si>
  <si>
    <t>Struckell, EM; Patel, PC; Ojha, D; Oghazi, P</t>
  </si>
  <si>
    <t>Struckell, Elisabeth M.; Patel, Pankaj C.; Ojha, Divesh; Oghazi, Pejvak</t>
  </si>
  <si>
    <t>Financial literacy and self employment-The moderating effect of gender and race</t>
  </si>
  <si>
    <t>Self-employment; Financial literacy; Race; Gender; Human capital theory</t>
  </si>
  <si>
    <t>FIRM RESOURCES; ENTREPRENEURSHIP; EDUCATION; PERFORMANCE; BUSINESS; ECONOMY; ENTRY; WOMEN; VIEW</t>
  </si>
  <si>
    <t>Within the next decade, the number of self-employed workers, now 40% of the workforce, is predicted to surpass that of traditional employees. Managing finances (financial literacy) is an important skill set for self-employment. We bring attention to the growing prevalence of self-employment at a time when financial literacy is in decline in the United States. Using a sample of 15,069 participants in the 2015 and 2018 National Financial Capability Study, we find support for a positive association between financial literacy and self-employment in a U.S. context and extend prior research by focusing on two widely studied and important U.S. demographic segments in selfemployment and entrepreneurship literature - gender and race. Contrary to other U.S.-based studies, we find that women with higher financial literacy scores are more likely to be self-employed than men; yet surprisingly, there is no significant difference in the association between higher financial literacy scores and self-employment between non-white and white U.S. respondents. We discuss the implications of the findings for researchers, policymakers, educators, and those considering self-employment.</t>
  </si>
  <si>
    <t>[Struckell, Elisabeth M.] Univ North Carolina Wilmington, Cameron Sch Business, Dept Management, 601 S Coll Rd, Wilmington, NC 28403 USA; [Patel, Pankaj C.] Dept Management &amp; Operat, Bartley Hall Rm 2067,800 Lancaster Ave, Villanova, PA 19085 USA; [Ojha, Divesh] Univ North Texas, Coll Business, Mkt Logist &amp; Operat Management, 1155 Union Circle 305429, Denton, TX 76203 USA; [Oghazi, Pejvak] Sodertorn Univ, Sch Social Sci, Stockholm, Sweden; [Oghazi, Pejvak] Hanken Sch Econ, Helsinki, Finland</t>
  </si>
  <si>
    <t>University of North Carolina; University of North Carolina Wilmington; University of North Texas System; University of North Texas Denton; Sodertorn University; Hanken School of Economics</t>
  </si>
  <si>
    <t>Oghazi, P (corresponding author), Sodertorn Univ, Sch Social Sci, Stockholm, Sweden.</t>
  </si>
  <si>
    <t>Struckelle@uncw.edu; pankaj.patel@villanova.edu; Divesh.Ojha@unt.edu; pejvak.oghazi@sh.se</t>
  </si>
  <si>
    <t>Struckell, Elisabeth/GQQ-2023-2022; Oghazi, Pejvak/AFL-5198-2022</t>
  </si>
  <si>
    <t>10.1016/j.jbusres.2021.10.003</t>
  </si>
  <si>
    <t>WO6VS</t>
  </si>
  <si>
    <t>WOS:000712590300005</t>
  </si>
  <si>
    <t>Zhang, Q; Posso, A</t>
  </si>
  <si>
    <t>Microfinance and gender inequality: cross-country evidence</t>
  </si>
  <si>
    <t>Microfinance; financial inclusion; gender inequality; empowerment; panel data evidence</t>
  </si>
  <si>
    <t>Microfinance enables poor women to engage in income-generating activities, which helps them become financially independent, strengthening their decision-making power within the household and society. Consequently, microfinance has the potential to reduce gender inequality (GI). Case-study evidence from across the developing world both supports and contradicts this hypothesis. We therefore revisit this issue using macroeconomic cross-country panel data for 64 developing economies over the period 2003-2014. We find that women's participation in microfinance is associated with a reduction in GI. However, regional interactions reveal that cultural factors are likely to influence the GI-microfinance nexus.</t>
  </si>
  <si>
    <t>[Zhang, Quanda; Posso, Alberto] RMIT Univ, Int Dev &amp; Trade Res Grp, 445 Swanston St, Melbourne, Vic 3000, Australia</t>
  </si>
  <si>
    <t>Zhang, Q (corresponding author), RMIT Univ, Int Dev &amp; Trade Res Grp, 445 Swanston St, Melbourne, Vic 3000, Australia.</t>
  </si>
  <si>
    <t>Posso, Alberto/AFZ-2308-2022</t>
  </si>
  <si>
    <t>Posso, Alberto/0000-0003-4226-7072</t>
  </si>
  <si>
    <t>10.1080/13504851.2017.1287851</t>
  </si>
  <si>
    <t>FR8MD</t>
  </si>
  <si>
    <t>WOS:000419328000013</t>
  </si>
  <si>
    <t>Manja, LP; Badjie, IA</t>
  </si>
  <si>
    <t>Manja, Laston Petro; Badjie, Isatou A.</t>
  </si>
  <si>
    <t>Does household welfare change with finance access? The case of women and the youth in The Gambia</t>
  </si>
  <si>
    <t>ERS; financial access; household welfare; The Gambia; women; youth</t>
  </si>
  <si>
    <t>CREDIT; IMPACTS; INCLUSION; GHANA</t>
  </si>
  <si>
    <t>Poor access to finance remains one of the key challenges faced by households and businesses in The Gambia in the face of an underdeveloped financial market. Yet, women and the youth are further disadvantaged as they are reported to face peculiar challenges in finance access, in spite of efforts taken by different stakeholders, including the government. Therefore, this study examines the impacts of various forms of finance on welfare for these marginalized groups by supporting quantitative analyses of the Integrated Household Survey data with some qualitative information. Adopting Lokshin and Sajaia's (2004) endogenous regime switching estimator, due to the nonrandomness of access to finance, the study finds that women households significantly benefit from informal finance through improved food consumption expenditure, and from formal finance through improved income amidst a growing business culture. For the youth, estimates of treatment effects show that informal finance is significantly welfare-degrading, but formal finance improves almost all measures of welfare. The results reveal, among other things, variations in efficiency and risk attitudes in the use of various forms of finance by the different subpopulations, calling for interventions that increase the level of knowledge and consumer protection.</t>
  </si>
  <si>
    <t>[Manja, Laston Petro] Univ Malawi, Sch Law Econ &amp; Govt, Dept Econ, Zomba, Malawi; [Badjie, Isatou A.] Kanifing Inst Layout, Gambia Bur Stat, Serre Kunda, Gambia; [Manja, Laston Petro] Univ Malawi, Sch Law Econ &amp; Govt, Dept Econ, POB 280, Zomba, Malawi</t>
  </si>
  <si>
    <t>University of Malawi; University of Malawi</t>
  </si>
  <si>
    <t>Manja, LP (corresponding author), Univ Malawi, Sch Law Econ &amp; Govt, Dept Econ, POB 280, Zomba, Malawi.</t>
  </si>
  <si>
    <t>lmanja@unima.ac.mw</t>
  </si>
  <si>
    <t>; Manja, Laston/AAB-1614-2021</t>
  </si>
  <si>
    <t>Manja, Laston/0000-0002-0446-7674;</t>
  </si>
  <si>
    <t>The authors express their sincere gratitude for comments received from participants in the AERC-IDRC Inclusive Finance in Fragile and Post-Conflict States workshops, with the special mention of Issouf Soumare.</t>
  </si>
  <si>
    <t>10.1111/rode.13053</t>
  </si>
  <si>
    <t>WOS:001066664600001</t>
  </si>
  <si>
    <t>Financial Outcomes of Interventions Designed to Improve Financial Capability through Individual Development Accounts: A Systematic Review</t>
  </si>
  <si>
    <t>JOURNAL OF EVIDENCE-BASED SOCIAL WORK</t>
  </si>
  <si>
    <t>Individual development accounts; systematic review; assets; financial capability</t>
  </si>
  <si>
    <t>FOLLOW-UP EVIDENCE; SAVINGS; PROGRAM; PARTICIPATION; HOMEOWNERSHIP; KNOWLEDGE; EDUCATION; LITERACY; BEHAVIOR; POOR</t>
  </si>
  <si>
    <t>Purpose: Driven by a desire to improve the financial well-being of lower-income households, financial capability interventions are gaining attention in practice and public policy. IDAs are a financial capability intervention designed to build family assets through incentivized savings. Method: This systematic review focuses on financial capability interventions that provide Individual Development Accounts (IDAs), a restricted-used savings account paired with financial education. Eligible studies included financial education and a matched saving account to be used for a financial asset purchase. Results: Three large research projects with multiple studies and one additional unique study published through May 2020 were eligible for study inclusion. Results suggest that, thus far, there is mixed evidence on IDAs effects on financial behaviors or financial outcomes. Conclusion: Our review suggests the need for additional studies that use rigorous research designs that investigate the IDAs effects on financial behaviors and outcomes.</t>
  </si>
  <si>
    <t>[Birkenmaier, Julie; Maynard, Brandy] St Louis Univ, Sch Social Work, 3550 Lindell Blvd, St Louis, MO 63103 USA; [Kim, Youngmi] Virginia Commonwealth Univ, Sch Social Work, Floyd Ave, Richmond, VA 23220 USA</t>
  </si>
  <si>
    <t>Kim, Youngmi/0000-0002-2082-4029; Maynard, Brandy/0000-0002-9356-7318</t>
  </si>
  <si>
    <t>2640-8066</t>
  </si>
  <si>
    <t>2640-8074</t>
  </si>
  <si>
    <t>J EVID-BASED SOC WOR</t>
  </si>
  <si>
    <t>J. Evid.-Based Soc. Work</t>
  </si>
  <si>
    <t>10.1080/26408066.2022.2059427</t>
  </si>
  <si>
    <t>2R8HG</t>
  </si>
  <si>
    <t>WOS:000777919700001</t>
  </si>
  <si>
    <t>Yan, ZS; Hu, HQ</t>
  </si>
  <si>
    <t>Yan, Zhishan; Hu, Haiqing</t>
  </si>
  <si>
    <t>Financial literacy, social security, and healthcare cost anxiety in China</t>
  </si>
  <si>
    <t>Financial literacy; social security; social protection; healthcare cost anxiety; out-of-pocket health expenditure</t>
  </si>
  <si>
    <t>WEALTH; WOMEN; EDUCATION</t>
  </si>
  <si>
    <t>This study examines the impact of financial literacy and social security on healthcare cost anxiety in China using data from the 2021 Global Financial Inclusion database. Employing an ordered logit model and its marginal effects, we analyse how these factors influence varying levels of healthcare cost anxiety (worried, somewhat worried, and not worried at all) across total, female-headed and male-headed households. Financial literacy and social security both demonstrate significant negative effects on healthcare cost anxiety across all household types. It implied that individuals who save for old age and those with social security coverage are less likely to experience high levels of healthcare cost anxiety. The ordered logit results show consistent negative coefficients for financial literacy and social security across all household categories. Marginal effects analysis further illustrates how these factors affect the probability of falling into each category of healthcare cost anxiety. These findings underscore the importance of promoting financial literacy and expanding social security coverage as potential strategies to alleviate healthcare cost anxiety in China.</t>
  </si>
  <si>
    <t>[Yan, Zhishan; Hu, Haiqing] Xian Univ Technol, Sch Econ &amp; Management, Xian 710000, Shaanxi, Peoples R China</t>
  </si>
  <si>
    <t>Xi'an University of Technology</t>
  </si>
  <si>
    <t>Yan, ZS (corresponding author), Xian Univ Technol, Sch Econ &amp; Management, Xian 710000, Shaanxi, Peoples R China.</t>
  </si>
  <si>
    <t>1190511008@stu.xaut.edu.cn</t>
  </si>
  <si>
    <t>National Nature Science Foundation of China [72072144, 70972053, 71372173, 71672144]; Science and Technology Research and Development Program of Shaanxi Province [2019KRZ007]; Soft Science Research Program of Xi'an Science and Technology Bureau [23RKYJ0001, 21RKYJ0009]; Shaanxi Province Philosophy and Social Science Research Special Program [2023HZ1036, 2022HZ1824, 2022HZ1581]; Shaanxi Provincial Development and Reform Commission Program [SJ-2019-000046-4]; Shaanxi Provincial Innovation Capacity Support Program (General Project of Soft Science Research Program) [2021KRM183, 2022KRM129, 2022KRM097]; Shaanxi Provincial Social Science Fund General Project, Research on the Influence Mechanism of Real Surplus Management Motives on the Entrepreneurial Bricolage of New Ventures [2019S016]; Research Project on Major Theoretical and Practical Issues in Social Sciences of Shaanxi Province, Research on the Impact of Institutional Pressure on Entrepreneurial Performance of New Venture Enterprises in Shaanxi Province [2021ND0241]</t>
  </si>
  <si>
    <t>National Nature Science Foundation of China(National Natural Science Foundation of China (NSFC)); Science and Technology Research and Development Program of Shaanxi Province; Soft Science Research Program of Xi'an Science and Technology Bureau; Shaanxi Province Philosophy and Social Science Research Special Program; Shaanxi Provincial Development and Reform Commission Program; Shaanxi Provincial Innovation Capacity Support Program (General Project of Soft Science Research Program); Shaanxi Provincial Social Science Fund General Project, Research on the Influence Mechanism of Real Surplus Management Motives on the Entrepreneurial Bricolage of New Ventures; Research Project on Major Theoretical and Practical Issues in Social Sciences of Shaanxi Province, Research on the Impact of Institutional Pressure on Entrepreneurial Performance of New Venture Enterprises in Shaanxi Province</t>
  </si>
  <si>
    <t>This work was sponsored in part by the National Nature Science Foundation of China (Program No. 72072144, 70972053, 71372173, 71672144) . Also, this research was supported by the Science and Technology Research and Development Program of Shaanxi Province (Program No.2019KRZ007) ; Soft Science Research Program of Xi'an Science and Technology Bureau (23RKYJ0001, 21RKYJ0009) ; Shaanxi Province Philosophy and Social Science Research Special Program (2023HZ1036, 2022HZ1824, 2022HZ1581) ; Shaanxi Provincial Development and Reform Commission Program (SJ-2019-000046-4) ; Shaanxi Provincial Innovation Capacity Support Program (General Project of Soft Science Research Program 2021KRM183, 2022KRM129, 2022KRM097) ; Shaanxi Provincial Social Science Fund General Project, Research on the Influence Mechanism of Real Surplus Management Motives on the Entrepreneurial Bricolage of New Ventures (2019S016) and Research Project on Major Theoretical and Practical Issues in Social Sciences of Shaanxi Province, Research on the Impact of Institutional Pressure on Entrepreneurial Performance of New Venture Enterprises in Shaanxi Province (2021ND0241) .</t>
  </si>
  <si>
    <t>10.29063/ajrh2024/v28i8.8</t>
  </si>
  <si>
    <t>E9Y4M</t>
  </si>
  <si>
    <t>WOS:001306482600008</t>
  </si>
  <si>
    <t>Maji, SK</t>
  </si>
  <si>
    <t>Maji, Sumit Kumar</t>
  </si>
  <si>
    <t>Overconfidence in Financial Literacy and Its Determinants: The Indian Scene</t>
  </si>
  <si>
    <t>Objective financial literacy; subjective financial literacy; financial overconfidence and financial underconfidence</t>
  </si>
  <si>
    <t>INVESTMENT; GENDER; PERCEPTION; INVESTORS; BEHAVIOR; IMPACT; LEVEL</t>
  </si>
  <si>
    <t>Empirical evidence suggests that the financial decision-making process of individuals is influenced not only by objective financial literacy (OFL), but subjective financial literacy (SFL) also plays a pivotal role in such a complex process. Often it is observed that there exists a notable difference between OFL and SFL of any individual. Such a difference between actual and perceived financial literacy (FL) gives rise to either financial overconfidence or financial underconfidence. Employing the secondary data from the Financial Inclusion Insight, 2017 database, the article seeks to unfold the existence of financial overconfidence amongst the people of India and its determinants. Approximately 62% and 30.4% of the sample respondents were found to be financially overconfident and underconfident, respectively. The result of the study also indicated that the sample respondents overestimated their FL confidence by nearly 17.41%. Gender, age, education, occupation, location of residence and smartphone availability significantly determined the FL overconfidence amongst the sample respondents.</t>
  </si>
  <si>
    <t>[Maji, Sumit Kumar] Univ Burdwan, Dept Commerce, Burdwan 713104, West Bengal, India</t>
  </si>
  <si>
    <t>University of Burdwan</t>
  </si>
  <si>
    <t>Maji, SK (corresponding author), Univ Burdwan, Dept Commerce, Burdwan 713104, West Bengal, India.</t>
  </si>
  <si>
    <t>skmaji@com.buruniv.ac.in</t>
  </si>
  <si>
    <t>Maji, Sumit Kumar/J-2542-2015</t>
  </si>
  <si>
    <t>Maji, Sumit Kumar/0000-0001-7592-6594</t>
  </si>
  <si>
    <t>2025 MAR 27</t>
  </si>
  <si>
    <t>10.1177/22779752251323718</t>
  </si>
  <si>
    <t>0SD1I</t>
  </si>
  <si>
    <t>WOS:001454714600001</t>
  </si>
  <si>
    <t>Allen, F; Gu, X; Jagtiani, J</t>
  </si>
  <si>
    <t>Allen, Franklin; Gu, Xian; Jagtiani, Julapa</t>
  </si>
  <si>
    <t>Fintech, Cryptocurrencies, and CBDC: Financial Structural Transformation in China</t>
  </si>
  <si>
    <t>Fintech; Cryptocurrency Regulations; Stablecoins; CBDCs; e-CNY; China</t>
  </si>
  <si>
    <t>PRIVACY; GROWTH</t>
  </si>
  <si>
    <t>Fintech and decentralized finance have penetrated all areas of the financial system and have improved financial inclusion in the last decade. In this paper, we review the recent literature on fintech, cryptocurrencies, stablecoins, and central bank digital currencies (CBDCs). There are important implications from the rise of fintech and the introduction of stablecoins and CBDC in recent years. We provide an overview of China's experience in fintech, focusing on payments, digital banking, fintech lending, and the recent progress on its CBDC pilots (e-CNY). We also discuss important considerations in designing effective cryptocurrency regulations. Cryptocurrency regulations could promote growth of innovations through enhanced public confidence in this market. The e-CNY could become mainstream in the global market through effective regulations which provide incentives and protection to market participants. A key factor to success for digital currencies has been their widespread adoption. If the Chinese e-CNY were to become a mainstream currency, the introduction of CBDC could potentially offer solutions to existing problems inherent in the traditional financial systems. (c) 2022 Elsevier Ltd. All rights reserved.</t>
  </si>
  <si>
    <t>[Allen, Franklin] Imperial Coll London, 52-53 Princes Gate,South Kensington Campus, London SW7 2AZ, England; [Gu, Xian] Univ Durham, Durham, England; [Jagtiani, Julapa] Fed Reserve Bank Philadelphia, Philadelphia, PA 19106 USA</t>
  </si>
  <si>
    <t>Imperial College London; Durham University; Federal Reserve System - USA; Federal Reserve Bank - Philadelphia</t>
  </si>
  <si>
    <t>Allen, F (corresponding author), Imperial Coll London, 52-53 Princes Gate,South Kensington Campus, London SW7 2AZ, England.;Jagtiani, J (corresponding author), Fed Reserve Bank Philadelphia, Philadelphia, PA 19106 USA.</t>
  </si>
  <si>
    <t>f.allen@imperial.ac.uk; xian.gu@durham.ac.uk; julapa.jagtiani@phil.frb.org</t>
  </si>
  <si>
    <t>Allen, Franklin/0000-0003-2706-3872; Gu, Xian/0000-0003-1409-7838</t>
  </si>
  <si>
    <t>10.1016/j.jimonfin.2022.102625</t>
  </si>
  <si>
    <t>0Z8PL</t>
  </si>
  <si>
    <t>WOS:000791333600004</t>
  </si>
  <si>
    <t>Abdurrahaman, DT; Ayetigbo, OA; Okunlola, OC; Adegbola, AE</t>
  </si>
  <si>
    <t>Abdurrahaman, Daha Tijjani; Ayetigbo, Olumide Abiodun; Okunlola, Olalekan Charles; Adegbola, Abimbola Eunice</t>
  </si>
  <si>
    <t>Revisiting the Factors Affecting Cryptocurrency Adoption: Evidence from Nigeria</t>
  </si>
  <si>
    <t>Cryptocurrency; emotional perceived value; perceived trust; structural equation modeling; financial perceived value; Nigeria</t>
  </si>
  <si>
    <t>SOCIAL COGNITIVE THEORY; PERCEIVED VALUE; BITCOIN; BLOCKCHAIN; PEOPLE; PERCEPTIONS; INVESTMENT; SCALE; TRUST</t>
  </si>
  <si>
    <t>This study examines the factors influencing cryptocurrency adoption in Nigeria, specifically focusing on emotional perceived value, trust, and financial value. Utilizing Structural Equation Modeling (SEM) with partial least squares (PLS) analysis, survey data was collected from 417 participants across six geo-political zones in Nigeria. The SEM results indicate that emotional perceived value significantly affects the intention to use cryptocurrencies. Perceived trust also shows a strong positive relationship with adoption intention. Conversely, financial perceived value negatively impacts the intention to adopt cryptocurrencies. This research contributes to the existing literature by providing empirical evidence on the socio-psychological factors that drive cryptocurrency adoption in an emerging market. These insights are valuable for policymakers and practitioners promoting digital financial inclusion. The findings underscore the significance of building trust and enhancing emotional value in cryptocurrency offerings to encourage higher adoption rates.</t>
  </si>
  <si>
    <t>[Abdurrahaman, Daha Tijjani; Ayetigbo, Olumide Abiodun; Adegbola, Abimbola Eunice] Natl Open Univ Nigeria, Dept Business Adm, Jabi, Abuja, Nigeria; [Okunlola, Olalekan Charles] Univ Derby, Derby Business Sch, Derby, Derby, England</t>
  </si>
  <si>
    <t>University of Derby</t>
  </si>
  <si>
    <t>Okunlola, OC (corresponding author), Univ Derby, Derby Business Sch, Derby, Derby, England.</t>
  </si>
  <si>
    <t>okunlolalekan@yahoo.com</t>
  </si>
  <si>
    <t>; Okunlola, Olalekan/ABB-2361-2021; Tijjani Abdurrahaman, Daha/N-1166-2017; Ayetigbo, Olumide/PDY-0559-2025</t>
  </si>
  <si>
    <t>Olumide Abiodun, Ayetigbo/0000-0002-7833-8963; Tijjani Abdurrahaman, Daha/0000-0002-3961-2747;</t>
  </si>
  <si>
    <t>2024 NOV 27</t>
  </si>
  <si>
    <t>10.1080/15228916.2024.2432695</t>
  </si>
  <si>
    <t>N2J2J</t>
  </si>
  <si>
    <t>WOS:001362653500001</t>
  </si>
  <si>
    <t>Nejad, MG; O'Connor, G</t>
  </si>
  <si>
    <t>Nejad, Mohammad G.; O'Connor, Genevieve</t>
  </si>
  <si>
    <t>An intersectional approach to evaluating consumer financial literacy</t>
  </si>
  <si>
    <t>financial literacy; intersectionality; consumer vulnerability; generations; consumer demographics; consumer well-being; financial capability</t>
  </si>
  <si>
    <t>UNDERSTANDING GENERATION Y; DECISION-MAKING; INCOME; DIVERSITY; WORKPLACE; BEHAVIOR; GENDER; IMPACT; AGENDA; RACE</t>
  </si>
  <si>
    <t>This study applies a novel approach to explore consumer financial literacythe necessary skills and knowledge to make personal financial decisions-across different demographic groups. Rather than exploring demographic variables independently of each other, an intersectional approach is employed to identify the most critical and vulnerable consumer groups in light of financial literacy. A survey of 1047 respondents from a panel of consumers residing in the United States demonstrates that identifying the most critical and vulnerable consumer groups is achieved using an intersectional approach. For example, although we find Generation Y exhibits lower financial literacy compared with previous generations, by examining the demographic variables simultaneously, we find that Generation Y females who are members of ethnical minorities are at the greatest risk of being financially vulnerable. Implications for research and financial literacy programs are discussed.</t>
  </si>
  <si>
    <t>[Nejad, Mohammad G.; O'Connor, Genevieve] Fordham Univ, Gabelli Sch Business, Mkt, Bronx, NY 10458 USA</t>
  </si>
  <si>
    <t>Fordham University</t>
  </si>
  <si>
    <t>O'Connor, G (corresponding author), Fordham Univ, Gabelli Sch Business, 140 West 62nd St, New York, NY 10023 USA.</t>
  </si>
  <si>
    <t>geoconnor@fordham.edu</t>
  </si>
  <si>
    <t>10.1057/s41264-016-0014-1</t>
  </si>
  <si>
    <t>EG4GS</t>
  </si>
  <si>
    <t>WOS:000391002400006</t>
  </si>
  <si>
    <t>Sidibé, A; Vellema, S; Dembélé, F; Témé, B; Yossi, H; Traoré, M; Kuyper, TW</t>
  </si>
  <si>
    <t>Sidibe, Amadou; Vellema, Sietze; Dembele, Fadiala; Teme, Bino; Yossi, Harouna; Traore, Mamoudou; Kuyper, Thomas W.</t>
  </si>
  <si>
    <t>Women, shea, and finance: how institutional practices in a Malian cooperative create development impact</t>
  </si>
  <si>
    <t>INTERNATIONAL JOURNAL OF AGRICULTURAL SUSTAINABILITY</t>
  </si>
  <si>
    <t>women's groups; collective action; value-adding; microfinance; trade; evaluation methodology</t>
  </si>
  <si>
    <t>MICROFINANCE; MARKETS</t>
  </si>
  <si>
    <t>Development impacts are often framed in terms of the effects of exogenous inputs, such as finance or technologies, on measurable ultimate outcomes for a specified group of beneficiaries, for example increased income. This case study of sourcing, processing, and trading shea butter and kernels by a Malian women's cooperative emphasizes intermediate outcomes, specifically early signs of institutional change, as measures for assessing the development impacts of access to finance. The cooperative succeeded in obtaining working capital provided by a microfinance organization. The impact of this arrangement was most visible in how the provision of working capital catalysed emerging institutional practices within the cooperative, particularly in sourcing and stocking, which altered relations with non-members and traders. Hence, access to finance achieved an impact in terms of the interaction between the evolving strategies of the cooperative and the activities of people not directly included in the group-based activity itself.</t>
  </si>
  <si>
    <t>[Sidibe, Amadou; Vellema, Sietze] Wageningen Univ, Knowledge Technol &amp; Innovat Grp, NL-6706 KN Wageningen, Netherlands; [Dembele, Fadiala; Traore, Mamoudou] IPR IFRA Katibougou, Koulikoro, Mali; [Teme, Bino; Yossi, Harouna] Inst Econ Rurale, Bamako, Mali; [Kuyper, Thomas W.] Wageningen Univ, Dept Soil Qual, NL-6708 PB Wageningen, Netherlands</t>
  </si>
  <si>
    <t>Wageningen University &amp; Research; Wageningen University &amp; Research</t>
  </si>
  <si>
    <t>Sidibé, A (corresponding author), Wageningen Univ, Knowledge Technol &amp; Innovat Grp, Hollandseweg 1, NL-6706 KN Wageningen, Netherlands.</t>
  </si>
  <si>
    <t>sidibe.amadouy@gmail.com</t>
  </si>
  <si>
    <t>Vellema, Sietze/I-6862-2013</t>
  </si>
  <si>
    <t>Vellema, Sietze/0000-0002-6476-4558</t>
  </si>
  <si>
    <t>4 PARK SQUARE, MILTON PARK, ABINGDON OX14 4RN, OXON, ENGLAND</t>
  </si>
  <si>
    <t>1473-5903</t>
  </si>
  <si>
    <t>1747-762X</t>
  </si>
  <si>
    <t>INT J AGR SUSTAIN</t>
  </si>
  <si>
    <t>Int. J. Agric. Sustain.</t>
  </si>
  <si>
    <t>10.1080/14735903.2014.909640</t>
  </si>
  <si>
    <t>Agriculture, Multidisciplinary; Green &amp; Sustainable Science &amp; Technology</t>
  </si>
  <si>
    <t>Agriculture; Science &amp; Technology - Other Topics</t>
  </si>
  <si>
    <t>AJ8PN</t>
  </si>
  <si>
    <t>WOS:000337968700006</t>
  </si>
  <si>
    <t>Maurer, B; Nelms, TC; Rea, SC</t>
  </si>
  <si>
    <t>Maurer, Bill; Nelms, Taylor C.; Rea, Stephen C.</t>
  </si>
  <si>
    <t>'Bridges to cash': channelling agency in mobile money</t>
  </si>
  <si>
    <t>JOURNAL OF THE ROYAL ANTHROPOLOGICAL INSTITUTE</t>
  </si>
  <si>
    <t>Encountered by mobile money professionals - industry and philanthropic actors seeking to bring mobile phone-enabled financial products to poor people in the 'developing world' - the authors move together with new collaborators to inquire into a problem they had been grappling with for some time. This is the problem of agency; specifically, the agency of 'mobile money agents', the people 'on the ground' or 'in the field' who form a crucial function in permitting others to put cash into an electronic money transfer system and pull cash out of it. These 'human ATMs' or 'bridges to cash' become the object of analytical scrutiny for mobile money experts and anthropologists. This article takes that analytical scrutiny - and not mobile money agents themselves - as its object. It seeks to understand how 'agency' inflects debates over money, its meaning and its pragmatics, and its transformation in new communicative infrastructures, and how it might inform anthropology and political struggles over money and payment.</t>
  </si>
  <si>
    <t>[Maurer, Bill] Univ Calif Irvine, Dept Anthropol, Irvine, CA 92697 USA</t>
  </si>
  <si>
    <t>Maurer, B (corresponding author), Univ Calif Irvine, Dept Anthropol, Irvine, CA 92697 USA.</t>
  </si>
  <si>
    <t>Maurer, Bill/L-8561-2015; Rea, Stephen/KXR-4623-2024</t>
  </si>
  <si>
    <t>Maurer, Bill/0000-0001-5339-9893;</t>
  </si>
  <si>
    <t>1359-0987</t>
  </si>
  <si>
    <t>1467-9655</t>
  </si>
  <si>
    <t>J ROY ANTHROPOL INST</t>
  </si>
  <si>
    <t>J. R. Anthropol. Inst.</t>
  </si>
  <si>
    <t>10.1111/1467-9655.12003</t>
  </si>
  <si>
    <t>078OE</t>
  </si>
  <si>
    <t>WOS:000314107600004</t>
  </si>
  <si>
    <t>Shephard, DD; Kaneza, YV; Moclair, P</t>
  </si>
  <si>
    <t>Shephard, Daniel D.; Kaneza, Yves V.; Moclair, Paul</t>
  </si>
  <si>
    <t>What curriculum? Which methods? A cluster randomized controlled trial of social and financial education in Rwanda</t>
  </si>
  <si>
    <t>Financial education; Financial literacy; Active learning methods; Life-skills; Rwanda</t>
  </si>
  <si>
    <t>AIDS-AFFECTED CHILDREN; SELF-EFFICACY; MENTAL-HEALTH; EMPOWERMENT; LITERACY; SAMPLE; YOUTH</t>
  </si>
  <si>
    <t>Life-skills based financial education (LSFE) for young people is one potential intervention for improving the financial capabilities of a population. However, the pedagogical methods for LSFE have rarely been studied. This study represents the first cluster randomized controlled trial to analyze both student outcomes and the observed use of active learning methods (ALMs) by teachers. The study further tested the power of Social Cognitive Theory (SCT) to explain the outcomes of a LSFE program that contains explicit personal and social components that link to SCT. The study was undertaken by randomizing 50 schools in Rwanda that had been stratified across 5 districts: Huye, Karongi, Nyagatare, Nyanza, and Ruhango. It comprised 250 teachers with a mean age of 31.8 (SD = 6.2) and 1750 students with a mean age of 15.0 (SD = 2.6). The intervention increased teachers' observed use of ALMs as well as the average time on task of the students observed in class. Students in the treatment group also exhibited increased self-reported active learning environments, general self-efficacy, general financial capability, and self-reported savings behavior. Less robust results indicated the intervention increased students' planning attitudes and decreased their self-reported behavioral and cognitive engagement.</t>
  </si>
  <si>
    <t>[Shephard, Daniel D.] Aflatoun Int, Amsterdam, Netherlands; [Shephard, Daniel D.] IS CS Grp, Pacy Sur Eure, France; [Kaneza, Yves V.] INATEK, Kibungo, Rwanda; [Moclair, Paul] Aflatoun Int, Dublin, Ireland</t>
  </si>
  <si>
    <t>Shephard, DD (corresponding author), Aflatoun Int, Amsterdam, Netherlands.;Shephard, DD (corresponding author), IS CS Grp, Pacy Sur Eure, France.</t>
  </si>
  <si>
    <t>daniel@is-cs.org</t>
  </si>
  <si>
    <t>Shephard, Daniel/0000-0002-0513-1742</t>
  </si>
  <si>
    <t>Ministry of Education in Rwanda (MINEDUC); Association of Microfinance Institutions in Rwanda (AMIR); Aflatoun International; United Kingdom's Department for International Development (DFID) Innovation for Education fund</t>
  </si>
  <si>
    <t>This research would not have been possible without the numerous hours of dedicated teachers, students, and staff. We would like to especially acknowledge the support of the Ministry of Education in Rwanda (MINEDUC), the Association of Microfinance Institutions in Rwanda (AMIR), Aflatoun International, and the financial support of the United Kingdom's Department for International Development (DFID) Innovation for Education fund. Additional funding was provided by Aflatoun International to cover the collection of school administrative data. This work was improved by the input of multiple anonymous reviewers and feedback during presentations at the World Education Research Association's focal meeting and the University of Oxford's Department of Social Policy and Intervention.</t>
  </si>
  <si>
    <t>10.1016/j.childyouth.2017.09.011</t>
  </si>
  <si>
    <t>FP9JW</t>
  </si>
  <si>
    <t>WOS:000417964300034</t>
  </si>
  <si>
    <t>Badiang, AM; Nkwei, ES</t>
  </si>
  <si>
    <t>Badiang, Alphonse Mefoute; Nkwei, Emile Saker</t>
  </si>
  <si>
    <t>Mobile banking adoption its antecedents and post-adoption effects: the role of consumers status orientation in an African context</t>
  </si>
  <si>
    <t>M-banking; status orientation; financial inclusion; relationship quality; structural equation modeling; Kaouther Kooli; Bournemouth University; United Kingdom; Consumer Psychology; Business, Management and Accounting; Information Technology</t>
  </si>
  <si>
    <t>INFORMATION-TECHNOLOGY; RELATIONSHIP QUALITY; SCALE DEVELOPMENT; UNIFIED THEORY; SERVICES; ACCEPTANCE; INTENTION; INNOVATIVENESS; SATISFACTION; PREFERENCE</t>
  </si>
  <si>
    <t>This study examines the antecedents of Mobile banking (M-banking) app adoption, explores post-adoption effects, and tests the moderating effect of consumer status orientation on the relationship between adoption intention and its consequences. The conceptual model hypothesized 20 relationships, including 10 moderations. Hypotheses are tested using the structural equation modeling method (PLS-SEM) on a sample of 509 individuals. The results reveal that the main variables of 'users' rational perception, namely behavioral control and terminal security, significantly influence the intention to adopt the application, which in turn impact relationship quality and financial inclusion. However, hedonic expectations do not have a significant impact on the intention to adopt the application; the impact of culture in these relationships is further established; indeed, traditional and modern values moderate the impact of the intention to adopt the application on key post-adoption factors, financial inclusion, and relationship quality. The main recommendations and limitations of the research are discussed.</t>
  </si>
  <si>
    <t>[Badiang, Alphonse Mefoute] ESSEC Douala Univ, Mkt Dept, Douala, Cameroon; [Nkwei, Emile Saker] Univ Free State, Dept Business Management, Bloemfontein, South Africa</t>
  </si>
  <si>
    <t>Badiang, AM (corresponding author), ESSEC Douala Univ, Mkt Dept, Douala, Cameroon.</t>
  </si>
  <si>
    <t>malba_net@yahoo.fr</t>
  </si>
  <si>
    <t>10.1080/23311975.2024.2321787</t>
  </si>
  <si>
    <t>JT6E9</t>
  </si>
  <si>
    <t>WOS:001175445600001</t>
  </si>
  <si>
    <t>Nova, NA; González, RA</t>
  </si>
  <si>
    <t>Nova, Nestor A.; Gonzalez, Rafael A.</t>
  </si>
  <si>
    <t>A financial inclusion app and USSD service for farmers in rural Colombia</t>
  </si>
  <si>
    <t>INFORMATION DEVELOPMENT</t>
  </si>
  <si>
    <t>mobile banking; financial inclusion; digital inclusion; rural development; technology access; FINAGRO-APP</t>
  </si>
  <si>
    <t>TECHNOLOGY ACCEPTANCE MODEL; DESIGN SCIENCE RESEARCH; MOBILE BANKING; INFORMATION-TECHNOLOGY; USER ACCEPTANCE; SYSTEMS; HEALTH; ICT; ADOPTION; IMPACT</t>
  </si>
  <si>
    <t>This study reports the implementation of a financial inclusion app for farmers in rural Colombia. Stemming from the triple helix initiative, this study aims to make public financing instruments more readily available to farmers. Through a design science research approach, the app was collaboratively conceived, designed, implemented, and evaluated. We provide this reflective design as a case study of how a combination of triple helix collaboration, design science, and agile software development contributes toward the creation of context-oriented artefacts. The app could potentially benefit rural farmers to obtain information regarding the credit access, which is traditionally delivered in face-to-face meetings with bank staff. The findings provided evidence of the benefits and ease of use of the app, including certain affordances and constraints that are perceived by farmers. Moreover, factors such as technology literacy, experience using information and communication technologies (ICT), trust in technology, age of farmers, and mediation suggest that we should consider both material features of technology and social determinants for adoption in case of designing ICTs for rural communities.</t>
  </si>
  <si>
    <t>[Nova, Nestor A.] Pontifical Xavierian Univ, Informat Sci Dept, Transversal 4 42-00, Bogota 10231594, Colombia; [Gonzalez, Rafael A.] Pontifical Xavierian Univ, Syst Engn Dept, Carrera 7 40-62, Bogota 110231594, Colombia</t>
  </si>
  <si>
    <t>Nova, NA (corresponding author), Pontifical Xavierian Univ, Informat Sci Dept, Transversal 4 42-00, Bogota 10231594, Colombia.;González, RA (corresponding author), Pontifical Xavierian Univ, Syst Engn Dept, Carrera 7 40-62, Bogota 110231594, Colombia.</t>
  </si>
  <si>
    <t>novanestor@javeriana.edu.co; ragonzalez@javeriana.edu.co</t>
  </si>
  <si>
    <t>Gonzalez, Rafael/G-9174-2017</t>
  </si>
  <si>
    <t>Gonzalez, Rafael/0000-0003-1237-4408; Nova Arévalo, Néstor Armando/0000-0003-2624-8314</t>
  </si>
  <si>
    <t>0266-6669</t>
  </si>
  <si>
    <t>1741-6469</t>
  </si>
  <si>
    <t>INFORM DEV</t>
  </si>
  <si>
    <t>Inf. Dev.</t>
  </si>
  <si>
    <t>10.1177/02666669221120050</t>
  </si>
  <si>
    <t>S2TF3</t>
  </si>
  <si>
    <t>WOS:000840962300001</t>
  </si>
  <si>
    <t>Van, LTH; Nguyen, NT; Nguyen, HLP; Vo, DH</t>
  </si>
  <si>
    <t>Loan Thi-Hong Van; Nhan Thien Nguyen; Hung Le-Phuc Nguyen; Duc Hong Vo</t>
  </si>
  <si>
    <t>The asymmetric effects of institutional quality on financial inclusion in the Asia-pacific region</t>
  </si>
  <si>
    <t>Institutional quality; Financial inclusion; Asymmetric effects; Panel smooth transition regression; Asia -pacific region</t>
  </si>
  <si>
    <t>GROWTH; ACCESS; LAW</t>
  </si>
  <si>
    <t>Financial inclusions are generally considered an effective mechanism to support sustainable economic growth in emerging markets. While the symmetric effects of institutional quality on financial inclusion have been widely investigated, their asymmetric effects have largely been ignored in existing literature, particularly for emerging markets. In this paper, we estimate the index of financial inclusion for 19 countries in the Asia-Pacific region from 2004 to 2020. The institutional quality is proxied by five indicators, including (i) business sophistication, (ii) regulatory quality, (iii) investment freedom, (iv) government effectiveness, and (v) the rule of law. The advanced panel smooth transition technique ensures that the asymmetric effects of institutional quality on financial inclusion are substantiated depending on the income level across countries in the sample. We find that institutional quality's effects on financial inclusion are asymmetric depending on the income level. Our findings indicate that middle-income countries such as Vietnam and other emerging nations in the Asia-Pacific region mostly benefit from the positive effects of institutional reform to ensure more inclusive economic growth in the future.</t>
  </si>
  <si>
    <t>[Loan Thi-Hong Van] Ho Chi Minh City Open Univ, Sch Adv Study, Ho Chi Minh City, Vietnam; [Nhan Thien Nguyen; Hung Le-Phuc Nguyen; Duc Hong Vo] Ho Chi Minh City Open Univ, Res Ctr Business Econ &amp; Resources, Ho Chi Minh City, Vietnam</t>
  </si>
  <si>
    <t>Ho Chi Minh City Open University; Ho Chi Minh City Open University</t>
  </si>
  <si>
    <t>Nguyen, NT; Vo, DH (corresponding author), Ho Chi Minh City Open Univ, Res Ctr Business Econ &amp; Resources, Ho Chi Minh City, Vietnam.</t>
  </si>
  <si>
    <t>nhan.nt@vnp.edu.vn; duc.vhong@ou.edu.vn</t>
  </si>
  <si>
    <t>; Van, Loan/IWM-1655-2023; Hong Vo, Duc/R-1419-2019</t>
  </si>
  <si>
    <t>Van, Loan/0000-0003-0118-3884; Hong Vo, Duc/0000-0001-7823-0349; Nguyen Thien, Nhan/0000-0003-0509-0757</t>
  </si>
  <si>
    <t>Ho Chi Minh City Open University [E2021.04.1]</t>
  </si>
  <si>
    <t>This research is funded by Ho Chi Minh City Open University under the grant number E2021.04.1 (Loan Van) .</t>
  </si>
  <si>
    <t>e12016</t>
  </si>
  <si>
    <t>10.1016/j.heliyon.2022.e12016</t>
  </si>
  <si>
    <t>8Z9WY</t>
  </si>
  <si>
    <t>WOS:000933720800005</t>
  </si>
  <si>
    <t>Sajid, M; Mushtaq, R; Murtaza, G; Yahiaoui, D; Pereira, V</t>
  </si>
  <si>
    <t>Sajid, Muhammad; Mushtaq, Rizwan; Murtaza, Ghulam; Yahiaoui, Dorra; Pereira, Vijay</t>
  </si>
  <si>
    <t>Financial literacy, confidence and well-being: The mediating role of financial behavior</t>
  </si>
  <si>
    <t>Financial literacy; Financial well-being; Confidence; Behaviors; Household finance</t>
  </si>
  <si>
    <t>OVERCONFIDENCE; EDUCATION; CAPABILITY; KNOWLEDGE; SELECTION; GENDER; RISK</t>
  </si>
  <si>
    <t>This study aims to investigate the impact of financial literacy and confidence on the financial well-being of US households and to explore the mediating role of financial behaviors in this relationship. To do this, we analyzed a large dataset from the two most recent waves of the state-by-state National Financial Capability Study (NFCS), covering a representative sample of US adults (n = 43,104). Results from multiple regression and mediation analyses, adjusted for relevant controls, show that financial literacy influences financial well-being directly and indirectly (mediated) through financial behaviors. Our analyses further indicate that financial confidence has a positive impact, directly and indirectly through financial behaviors, on financial well-being. Overall, our results suggest that higher levels of financial literacy and confidence lead to more responsible financial behavior, which, in turn, influences financial well-being. The findings of this study provide a valuable addition to the literature and directions for future research.</t>
  </si>
  <si>
    <t>[Sajid, Muhammad] Govt Coll Univ, Faisalabad, Pakistan; [Mushtaq, Rizwan] EDC Paris Business Sch, OCRE Res Lab, Paris, France; [Murtaza, Ghulam; Yahiaoui, Dorra] KEDGE Business Sch, Talence, France; [Pereira, Vijay] NEOMA Business Sch, Paris, France</t>
  </si>
  <si>
    <t>Government College University Faisalabad; Kedge Business School</t>
  </si>
  <si>
    <t>muhammadsajid@gcuf.edu.pk; rmushtaq@edcparis.edu; ghulam.murtaza@kedgebs.com; dorra.yahiaoui@kedgebs.com; vijay.pereira@neoma-bs.fr</t>
  </si>
  <si>
    <t>Sajid, Muhammad/O-6872-2015; Murtaza, ghulam/ABI-7112-2022; Pereira, Vijay/B-2736-2013; Mushtaq, Rizwan/M-7814-2013</t>
  </si>
  <si>
    <t>Sajid, Muhammad/0000-0002-9138-1026; Murtaza, ghulam/0000-0001-5191-1494; Pereira, Vijay/0000-0001-6755-0793; Mushtaq, Rizwan/0000-0001-8545-8210</t>
  </si>
  <si>
    <t>10.1016/j.jbusres.2024.114791</t>
  </si>
  <si>
    <t>XL6O3</t>
  </si>
  <si>
    <t>WOS:001261880400001</t>
  </si>
  <si>
    <t>Kozol, E</t>
  </si>
  <si>
    <t>Kozol, Ece</t>
  </si>
  <si>
    <t>A cross-country analysis of determinants of financial literacy: Evidence from 143 countries</t>
  </si>
  <si>
    <t>Financial literacy; Cross-country analysis; Macroeconomic determinants</t>
  </si>
  <si>
    <t>This study investigates the macrolevel determinants of financial literacy across 143 countries using data from the 2014 S&amp;P Global Financial Literacy Survey, complemented by indicators from the World Bank and Worldwide Governance Indicators. The empirical strategy employs multiple linear regression (OLS) with robust standard errors, supported by diagnostic tests, a generalized linear model (GLM) as an alternative specification, and quantile regression to capture distributional heterogeneity. The findings indicate that higher GDP per capita, greater educational attainment, broader internet access, and higher regulatory quality are significantly correlated with increased financial literacy, whereas inflation exhibits a negative relationship. Quantile regression results show that these effects are more pronounced in countries with lower baseline literacy levels, underscoring the disproportionate benefits of structural improvements in economically and educationally disadvantaged settings. These results highlight the importance of investing in education, digital infrastructure, and institutional quality as strategic levers to enhance financial capability at the national level.</t>
  </si>
  <si>
    <t>[Kozol, Ece] Necmettin Erbakan Univ, Fac Polit Sci, Dept Business Adm, TR-42090 Konya, Turkiye</t>
  </si>
  <si>
    <t>Necmettin Erbakan University</t>
  </si>
  <si>
    <t>Kozol, E (corresponding author), Necmettin Erbakan Univ, Fac Polit Sci, Dept Business Adm, TR-42090 Konya, Turkiye.</t>
  </si>
  <si>
    <t>ecekozol@istanbul.edu.tr</t>
  </si>
  <si>
    <t>Kozol, Ece/AAD-2884-2020; Kozol, Ece/AAD-2884-2020</t>
  </si>
  <si>
    <t>Kozol, Ece/0000-0002-6428-7501;</t>
  </si>
  <si>
    <t>10.1016/j.bir.2025.07.009</t>
  </si>
  <si>
    <t>8YN3N</t>
  </si>
  <si>
    <t>WOS:001600374300005</t>
  </si>
  <si>
    <t>Bangun, SMB; Lipoeto, NI; Masrul, M; Nazir, N; Rasyid, R; Hardisman, H; Firdawati, F; Yonariza, Y</t>
  </si>
  <si>
    <t>Bangun, Sri M. B.; Lipoeto, Nur I.; Masrul, Masrul; Nazir, Novizar; Rasyid, Rosfita; Hardisman, Hardisman; Firdawati, Firdawati; Yonariza, Yonariza</t>
  </si>
  <si>
    <t>Maternal financial literacy as a determinant of household food security: Evidence from a cross-sectional study in Padang Lawas Regency, Indonesia</t>
  </si>
  <si>
    <t>Financial capability; mothers with under-fives; family food resilience</t>
  </si>
  <si>
    <t>Household food security remains a major challenge in Indonesia and is closely linked to maternal and child health. Low maternal financial literacy can exacerbate food insecurity due to poor budget management. This study examined the effect of maternal financial literacy on household food security in Padang Lawas Regency, Indonesia. A total of 384 mothers with children aged 6- 59 months participated in this cross-sectional study conducted between October 2024 and February 2025 using a multistage cluster sampling method. Data were analyzed with chi-square tests and binary logistic regression. Results showed that mothers with good financial literacy were 26 times more likely to achieve household food security (OR = 26.044; 95% CI: 7.044-96.297; p &lt; 0.001). Maternal age and household size were also significant factors. These findings highlight the need to integrate financial literacy education into public health programs to strengthen food security, improve nutrition, and support reproductive health.</t>
  </si>
  <si>
    <t>[Bangun, Sri M. B.] Andalas Univ, Fac Med, Doctoral Program Publ Hlth, Padang, West Sumatera, Indonesia; [Lipoeto, Nur I.; Masrul, Masrul] Andalas Univ, Fac Med, Dept Nutr, Padang, West Sumatera, Indonesia; [Nazir, Novizar] Andalas Univ, Fac Agr Technol, Padang, West Sumatera, Indonesia; [Rasyid, Rosfita; Hardisman, Hardisman; Firdawati, Firdawati] Andalas Univ, Fac Med, Dept Publ Hlth &amp; Community Med, Padang, West Sumatera, Indonesia; [Yonariza, Yonariza] Andalas Univ, Fac Agr, Padang, West Sumatera, Indonesia</t>
  </si>
  <si>
    <t>Universitas Andalas; Universitas Andalas; Universitas Andalas; Universitas Andalas; Universitas Andalas</t>
  </si>
  <si>
    <t>Bangun, SMB (corresponding author), Andalas Univ, Fac Med, Doctoral Program Publ Hlth, Padang, West Sumatera, Indonesia.</t>
  </si>
  <si>
    <t>meldabangun24@gmail.com</t>
  </si>
  <si>
    <t>Lipoeto, Nur Indrawaty/JZT-1377-2024; Dasman, Hardisman/AAX-3991-2020; Neswati, Neswati/KAM-3447-2024; Yonariza/AAC-8557-2021</t>
  </si>
  <si>
    <t>9VN0S</t>
  </si>
  <si>
    <t>WOS:001616022800013</t>
  </si>
  <si>
    <t>Goel, M; Nayak, S</t>
  </si>
  <si>
    <t>Mishra, AK; Arunachalam, V; Patnaik, D</t>
  </si>
  <si>
    <t>Goel, Mridula; Nayak, Saurabh</t>
  </si>
  <si>
    <t>Policy Implications for Financial Inclusion of Unskilled Labor Migrants: Insights from Goa</t>
  </si>
  <si>
    <t>CURRENT ISSUES IN THE ECONOMY AND FINANCE OF INDIA</t>
  </si>
  <si>
    <t>International Conference on Economics and Finance (ICEF)</t>
  </si>
  <si>
    <t>FEB 16-17, 2018</t>
  </si>
  <si>
    <t>BITS Pilani, K K Birla Goa Campus, Dept Econ</t>
  </si>
  <si>
    <t>Financial inclusion; Labor migrants; Remittances; Payment banks; Pradhan Mantri Jan DhanYojna (Union Government scheme to bank the unbanked)</t>
  </si>
  <si>
    <t>With increasing urbanization, India has been witnessing phenomenal domestic migration and the resultant surge in remittances. The paper examines the case of using migrant remittances as one of the key triggers to encourage financial inclusion. It also seeks to initiate a policy debate on the role that the State should be playing towards financial inclusion. The paper echoes the need for a business approach tailored to financial needs and behavior of the end user. In line with this, it attempts to assess the demand side challenges faced by the banking sector in promoting financial services to the poor labor migrants. It also tries to assess their willingness and ability to shift to mobile based platforms of financial inclusion. The paper presents its findings based on a primary survey conducted in the state of Goa which has been witnessing a considerable inflow of labor migrants annually.</t>
  </si>
  <si>
    <t>[Goel, Mridula] BITS Pilani, Dept Econ, K K Birla Goa Campus, Sancoale 403726, Goa, India; [Nayak, Saurabh] BITS Pilani, K K Birla Goa Campus, Sancoale 403726, Goa, India</t>
  </si>
  <si>
    <t>Birla Institute of Technology &amp; Science Pilani (BITS Pilani); Birla Institute of Technology &amp; Science Pilani (BITS Pilani)</t>
  </si>
  <si>
    <t>Goel, M (corresponding author), BITS Pilani, Dept Econ, K K Birla Goa Campus, Sancoale 403726, Goa, India.</t>
  </si>
  <si>
    <t>mridula@goa.bits-pilani.ac.in; reachsaurabhnayak@gmail.com</t>
  </si>
  <si>
    <t>goel, mridula/AAF-8053-2020</t>
  </si>
  <si>
    <t>goel, mridula/0000-0001-8372-6007</t>
  </si>
  <si>
    <t>ICSSR, New Delhi [02-34/2011-RP]</t>
  </si>
  <si>
    <t>ICSSR, New Delhi</t>
  </si>
  <si>
    <t>This work was supported by the ICSSR, New Delhi under Grant 02-34/2011-RP. The grant was received to conduct research on Tourism in Goa and its Impact on Socio-Economic Conditions and Sustainable Development in the State. At the time of research, crime in the state of Goa due to labor migrants had become a major concern- especially for an economy driven by tourism. The authors felt the need to investigate the systemic reasons for this socio-economic development. Based on the premise that a financially included migrant having a stake in the development of host economy is less likely to be anti-social, the authors narrowed down their focus on studying the financial behavior of labor migrants. In the wake of recent developments in financial inclusion in India, the research eventually came to focus on the policy implications of the financial behavior of migrants</t>
  </si>
  <si>
    <t>978-3-319-99555-7; 978-3-319-99554-0</t>
  </si>
  <si>
    <t>10.1007/978-3-319-99555-7_14</t>
  </si>
  <si>
    <t>BL7MM</t>
  </si>
  <si>
    <t>WOS:000455194200015</t>
  </si>
  <si>
    <t>Financial inclusion and financial stability nexus revisited in South Asian countries: evidence from a new multidimensional financial inclusion index</t>
  </si>
  <si>
    <t>Financial institutions and services; Government and the monetary system; Econometric and statistical methods</t>
  </si>
  <si>
    <t>TESTS; COINTEGRATION; BANKING; GROWTH</t>
  </si>
  <si>
    <t>Purpose The main purpose of this paper is to examine the relationship between financial inclusion and financial stability in South Asian countries. Design/methodology/approach To measure the financial inclusion, a multidimensional time-varying index is constructed following the Human Development Index method. The long-run relationship between financial inclusion and financial stability is examined by using the panel cointegration test, fully modified ordinary least squares and dynamic ordinary least squares approaches to show the long-run elasticity of explanatory variables on dependent variables. Further, Dumitrescu-Hurlin panel causality test is used to find the direction of causality between financial inclusion and financial stability. Data set is of annual frequency of seven countries for the period from 2004 to 2018. Findings The empirical findings of this study confirm that financial inclusion has a positive and statistically significant impact on financial stability. These results suggest that South Asian countries can attain long-run financial stability by improving the coverage of financial inclusion. Further, panel causality test shows a unidirectional causality from financial inclusion to financial stability. Research limitations/implications The major limitation of the study is the availability of time series data for all important variables. Various socioeconomic variables can be used to measure financial stability, but this study included only the Z-score as the proxy for financial stability. Due to the data constraint, this study is unable to use the time series econometric analysis. Practical implications As the study confirms that financial inclusion is one of the main drivers of financial stability, it is suggested that the policymakers should emphasize on financial sector reforms to enjoy financial stability in the long run, especially in developing countries. So governments and policymakers of study countries need to address the issues involved in access to financial services to increase financial stability. Furthermore, it is also important to remove limitations of access to formal financial services for marginalized sections of the society with proper supervisions. Originality/value This is a new contribution on the present topic. This study has constructed a new multidimensional financial inclusion index (FII) following the Human Development Index method for South Asian countries based on annual data and using ten indicators of formal financial services related to availability, accessibility and usage. To the best of the authors' knowledge and information, this is the first study on South Asian countries to construct and apply the new multidimensional FII. Further, the study examines the long-run elasticity of financial inclusion on financial stability employing FMOLS and DOLS approach.</t>
  </si>
  <si>
    <t>[Sethy, Susanta Kumar; Goyari, Phanindra] Univ Hyderabad, Sch Econ, Hyderabad, India</t>
  </si>
  <si>
    <t>Sethy, SK (corresponding author), Univ Hyderabad, Sch Econ, Hyderabad, India.</t>
  </si>
  <si>
    <t>Goyari, Phanina/T-8331-2018</t>
  </si>
  <si>
    <t>Goyari, Phanina/0000-0003-2834-692X</t>
  </si>
  <si>
    <t>AUG 19</t>
  </si>
  <si>
    <t>10.1108/JFEP-07-2021-0195</t>
  </si>
  <si>
    <t>3V8TO</t>
  </si>
  <si>
    <t>WOS:000774025400001</t>
  </si>
  <si>
    <t>Chirambo, D</t>
  </si>
  <si>
    <t>Chirambo, Dumisani</t>
  </si>
  <si>
    <t>Enhancing Climate Change Resilience Through Microfinance: Redefining the Climate Finance Paradigm to Promote Inclusive Growth in Africa</t>
  </si>
  <si>
    <t>JOURNAL OF DEVELOPING SOCIETIES</t>
  </si>
  <si>
    <t>empowerment; entrepreneurship; financial inclusion; integrated rural development; sustainable development goals (SDGs)</t>
  </si>
  <si>
    <t>SUB-SAHARAN AFRICA; SOUTH-AFRICA; ADAPTATION; ENERGY; EMPOWERMENT; DISASTERS; PROGRAM; AID</t>
  </si>
  <si>
    <t>Poverty, inequality, unemployment, and unsustainable resource consumption are prevalent in Africa due to a lack of inclusive growth. The impacts of climate change are also considered to have hindered progress on achieving the Millennium Development Goals. Through literature reviews and policy analyses, this article presents suggestions on how inclusive growth can be attained in the post-2015 development agenda, and also presents a framework to enable microfinance institutions to promote both inclusive growth, and climate change mitigation and adaptation. The article shows that microfinance can support the mobilization of resources for climate change programs; hence, financial inclusion should be incorporated in climate change policies.</t>
  </si>
  <si>
    <t>[Chirambo, Dumisani] Brandenburg Univ Technol Cottbus Senftenberg, Int Environm Law, Senftenberg, Germany</t>
  </si>
  <si>
    <t>Brandenburg University of Technology Cottbus</t>
  </si>
  <si>
    <t>Chirambo, D (corresponding author), Brandenburg Univ Technol Cottbus Senftenberg, Int Environm Law, Senftenberg, Germany.</t>
  </si>
  <si>
    <t>0169-796X</t>
  </si>
  <si>
    <t>1745-2546</t>
  </si>
  <si>
    <t>J DEV SOC</t>
  </si>
  <si>
    <t>J. Dev. Soc.</t>
  </si>
  <si>
    <t>10.1177/0169796X17692474</t>
  </si>
  <si>
    <t>EV7WO</t>
  </si>
  <si>
    <t>WOS:000401992500007</t>
  </si>
  <si>
    <t>Erra, KSS; Acharya, D</t>
  </si>
  <si>
    <t>Erra, Kamal Sai Sadharma; Acharya, Debashis</t>
  </si>
  <si>
    <t>Financial inclusion across major Indian states: some spatial panel econometric evidence</t>
  </si>
  <si>
    <t>Financial inclusion; India; Spatial dependence; Spatial econometrics</t>
  </si>
  <si>
    <t>Purpose - This paper aims to test for spatial convergence in financial inclusion across major Indian states and union territories. Design/methodology/approach - After initially building an Index of Financial Inclusion (IFI) for major Indian states between 2003 and 2016, exploratory spatial data analysis (ESDA) is employed to draw inferences about mean and variance of IFI. The paper then seeks to confirm the ESDA results through spatial panel regression techniques. Finally, spatial results are correlated with results from aspatial convergence measures. Findings - The study finds that there is no evidence of spatial convergence in financial inclusion over the study period, suggesting that those states that were relatively less financially included remained so through the study period. The study also asserts the relevance of certain important determinants, namely, per capita income, infrastructure, industrialization and gender. Research limitations/implications - This study has two limitations. First, only banking institutions are considered in measuring financial inclusion. Second, due to lack of a consistent indicator of gender participation across states, we had to employ sex ratio as a proxy. Practical implications The study suggests that policies to expand financial inclusion in Indian states, especially those with low inclusion levels are likely to benefit neighbouring states also, thereby accelerating the financial inclusion drive across states. Originality/value - The study is a first in the Indian context to estimate the spatial dependence of financial inclusion and provides relevant implications for policymakers and bankers to target financial inclusion schemes in backward states.</t>
  </si>
  <si>
    <t>[Erra, Kamal Sai Sadharma; Acharya, Debashis] Univ Hyderabad, Sch Econ, Hyderabad, India</t>
  </si>
  <si>
    <t>Erra, KSS (corresponding author), Univ Hyderabad, Sch Econ, Hyderabad, India.</t>
  </si>
  <si>
    <t>kamal2sai@gmail.com; debuiitm@gmail.com</t>
  </si>
  <si>
    <t>; ACHARYA, DEBASHIS/AAD-5781-2019</t>
  </si>
  <si>
    <t>Erra, Kamal Sai Sadharma/0000-0002-0314-1242; ACHARYA, DEBASHIS/0000-0003-2378-2992</t>
  </si>
  <si>
    <t>University Grants Commission, India</t>
  </si>
  <si>
    <t>University Grants Commission, India(University Grants Commission, India)</t>
  </si>
  <si>
    <t>The first author would like to thank the University Grants Commission, India for extending the UGC - Senior Research Fellowship during his PhD. This paper stands part of his PhD thesis at University of Hyderabad.</t>
  </si>
  <si>
    <t>FEB 9</t>
  </si>
  <si>
    <t>10.1108/IJSE-06-2020-0392</t>
  </si>
  <si>
    <t>QG2RZ</t>
  </si>
  <si>
    <t>WOS:000607828700001</t>
  </si>
  <si>
    <t>Trujillo, V; Rodriguez-Lopez, F; Muriel-Patino, V</t>
  </si>
  <si>
    <t>Trujillo, Veronica; Rodriguez-Lopez, Fernando; Muriel-Patino, Victoria</t>
  </si>
  <si>
    <t>Microfinance Regulation and Market Development in Latin America</t>
  </si>
  <si>
    <t>B E JOURNAL OF ECONOMIC ANALYSIS &amp; POLICY</t>
  </si>
  <si>
    <t>regulation; microfinance; financial inclusion; Latin America</t>
  </si>
  <si>
    <t>The evolution and development of microfinance markets is conditioned by external factors such as macroeconomic variables, institutional country level, availability of conflict resolution mechanisms, informal sector features, and applicable regulation. A careful design of the latter aspect is needed because it can either be a tool for promotion (by facilitating and making flexible microfinance institutions activities) or a restriction to market development by setting unnecessary limits or requirements. Considering these ideas, this paper analyzes the relationship between regulatory frameworks for microfinance in 17 Latin American countries and the level of development and specific features in its corresponding microfinance markets.</t>
  </si>
  <si>
    <t>[Trujillo, Veronica] Multilateral Investment Fund, Washington, DC 20577 USA; [Rodriguez-Lopez, Fernando; Muriel-Patino, Victoria] Univ Salamanca, Dept Appl Econ, Fac Law, E-37008 Salamanca, Castilla Y Leon, Spain</t>
  </si>
  <si>
    <t>University of Salamanca</t>
  </si>
  <si>
    <t>Trujillo, V (corresponding author), Multilateral Investment Fund, Washington, DC 20577 USA.</t>
  </si>
  <si>
    <t>veronica-trujillo@outlook.com; frodriguez@usal.es; mvmuriel@usal.es</t>
  </si>
  <si>
    <t>Roiguez-Lopez, Fernando/G-2765-2016</t>
  </si>
  <si>
    <t>Roiguez-Lopez, Fernando/0000-0002-8523-4839</t>
  </si>
  <si>
    <t>2194-6108</t>
  </si>
  <si>
    <t>1935-1682</t>
  </si>
  <si>
    <t>BE J ECON ANAL POLI</t>
  </si>
  <si>
    <t>B E J. Econ. Anal. Policy</t>
  </si>
  <si>
    <t>10.1515/bejeap-2013-0145</t>
  </si>
  <si>
    <t>AU0HI</t>
  </si>
  <si>
    <t>WOS:000345303800012</t>
  </si>
  <si>
    <t>Shahriar, AM; Chase, SR; Shepherd, D</t>
  </si>
  <si>
    <t>Shahriar, Abu Zafar M.; Chase, Sarah R.; Shepherd, Dean</t>
  </si>
  <si>
    <t>Financial inclusion and low-income women's new venture initiation: A Field experiment</t>
  </si>
  <si>
    <t>RURAL CREDIT PROGRAMS; GENDER-ROLE BELIEFS; ENTREPRENEURIAL PROPENSITY; SAVINGS ACCOUNTS; MICROFINANCE; EMPOWERMENT; BANKING; POVERTY; CONSTRAINTS; INEQUALITY</t>
  </si>
  <si>
    <t>[Shahriar, Abu Zafar M.] Monash Univ, Monash Business Sch, Clayton, Vic 3800, Australia; [Chase, Sarah R.; Shepherd, Dean] Univ Notre Dame, Mendoza Coll Business, Notre Dame, IN 46556 USA</t>
  </si>
  <si>
    <t>Monash University; University of Notre Dame</t>
  </si>
  <si>
    <t>Shahriar, AM (corresponding author), Monash Univ, Monash Business Sch, Clayton, Vic 3800, Australia.</t>
  </si>
  <si>
    <t>shahriar.abuzafar@monash.edu; ssarjoo@nd.edu; dshephe1@nd.edu</t>
  </si>
  <si>
    <t>Shepherd, Dean/GNW-4067-2022</t>
  </si>
  <si>
    <t>Monash Business School [B23001-1805187]</t>
  </si>
  <si>
    <t>Monash Business School</t>
  </si>
  <si>
    <t>This research was financially supported by Monash Business School (B23001-1805187) . We have benefitted from valuable comments by Jeffery McMullen, Israr Qureshi, and participants at the 2023 ACERE conference in Brisbane. We are grateful to Zahid Iqbal and our team of interviewers for their assistance with data collection. We also acknowledge the support of the banking agents from Dutch Bangla Bank Limited, particularly Mushahid Islam. All errors remain our own responsibility.</t>
  </si>
  <si>
    <t>10.1016/j.jbusvent.2025.106525</t>
  </si>
  <si>
    <t>5AZ3Q</t>
  </si>
  <si>
    <t>WOS:001531381000001</t>
  </si>
  <si>
    <t>Bhaird, CM; Owen, R; Dodd, SD; Wilson, J; Bisignano, A</t>
  </si>
  <si>
    <t>Bhaird, Ciaran Mac An; Owen, Robyn; Dodd, Sarah Drakopoulou; Wilson, Juliette; Bisignano, Angelo</t>
  </si>
  <si>
    <t>Small beer? Peer-to-peer lending in the craft beer sector</t>
  </si>
  <si>
    <t>EQUITY; MICROFINANCE; DEBT; FIRM</t>
  </si>
  <si>
    <t>Peer-to-peer lending has advantages of ease of access to finance, timely and efficient delivery of funding and is particularly beneficial at a specific time in the lifecycle of the firm.</t>
  </si>
  <si>
    <t>[Bhaird, Ciaran Mac An] Dublin City Univ, Fiontar, Dublin, Ireland; [Owen, Robyn] Middlesex Univ, Business Sch, London, England; [Dodd, Sarah Drakopoulou; Wilson, Juliette] Univ Strathclyde, Hunter Ctr Entrepreneurship, Glasgow, Lanark, Scotland; [Bisignano, Angelo] Nottingham Trent Univ, Nottingham Business Sch, Nottingham, England</t>
  </si>
  <si>
    <t>Dublin City University; Middlesex University; University of Strathclyde; Nottingham Trent University; University of Nottingham</t>
  </si>
  <si>
    <t>Bhaird, CM (corresponding author), Dublin City Univ, Dublin, Ireland.</t>
  </si>
  <si>
    <t>ciaran.macanbhaird@dcu.ie</t>
  </si>
  <si>
    <t>Bhaird, Ciarán/J-9480-2019; Owen, Robyn/AAK-1667-2020; Wilson, Juliette/KWT-9978-2024; Dodd, Sarah/M-5346-2017</t>
  </si>
  <si>
    <t>Wilson, Juliette/0000-0002-4932-0473; Dodd, Sarah/0000-0002-3140-8194</t>
  </si>
  <si>
    <t>10.1002/jsc.2246</t>
  </si>
  <si>
    <t>HH2VE</t>
  </si>
  <si>
    <t>WOS:000455576700006</t>
  </si>
  <si>
    <t>Alomari, M; Aladi, I</t>
  </si>
  <si>
    <t>Alomari, Masah; Aladi, Ibrahim</t>
  </si>
  <si>
    <t>Financial inclusion and market-based performance: empirical evidence from Syrian banks</t>
  </si>
  <si>
    <t>Financial inclusion disclosure; Firm performance; Banking industry; Stakeholder theory; Corporate social responsibility (CSR); OLS regression</t>
  </si>
  <si>
    <t>CORPORATE SOCIAL-RESPONSIBILITY</t>
  </si>
  <si>
    <t>PurposeFinancial inclusion is considered one of the strategic tools for sustainable development and one of the types of corporate social responsibility disclosures. This study aims to focus on the association between the disclosure of financial inclusion activities and Syrian banking companies' performance.Design/methodology/approachDifferent regression models were suggested to examine the hypotheses leading to a better understanding of the relationship between financial inclusion and Syrian banking performance for the period 2005 to 2020 using the STATA 17.FindingsThe results showed a positive association between financial inclusion disclosure and Syrian bank performance, with low participation in financial inclusion activities (8%).Research limitations/implicationsThe study recommends that the Central Bank of Syria work on developing an index of financial inclusion for the Syrian environment, with the issuance of legislation and laws that obligate all listed banks to disclose their financial inclusion activities as a part of their social responsibility.Originality/valueThis study incorporates the relationship between the disclosure of financial inclusion activities and the performance of Syrian banking companies, which has been neglected by most studies on financial inclusion. Therefore, this study sheds light on this positive relationship, which could have important repercussions in reviving the deteriorating Syrian economy following the crisis it went through, which, in turn, led to Syria's high inflation affecting the poor and vulnerable disproportionately.</t>
  </si>
  <si>
    <t>[Alomari, Masah] Al Andalus Univ Med Sci, Fac Hosp Management, Dept Adm &amp; Financial Sci, Tartous, Syria; [Aladi, Ibrahim] Damascus Univ, Fac Econ, Dept Accounting, Damascus, Syria</t>
  </si>
  <si>
    <t>Damascus University</t>
  </si>
  <si>
    <t>Alomari, M (corresponding author), Al Andalus Univ Med Sci, Fac Hosp Management, Dept Adm &amp; Financial Sci, Tartous, Syria.</t>
  </si>
  <si>
    <t>dr.masah.alomari@gmail.com</t>
  </si>
  <si>
    <t>10.1108/JFEP-05-2023-0114</t>
  </si>
  <si>
    <t>WOS:001101106500001</t>
  </si>
  <si>
    <t>Vu, M; Tran, T; Thai, D; Phuong, L; Le, T</t>
  </si>
  <si>
    <t>Vu, Mai; Tran, Thuong; Thai, Dan; Phuong, Linh; Le, Thanh</t>
  </si>
  <si>
    <t>The mediating role of corporate borrowings in the nexus between financial inclusion and performance of ICT firms: new insights from Vietnam</t>
  </si>
  <si>
    <t>Finance; financial inclusion; firm performance; corporate finance; Vietnam; O16; G21; G32; L25; P34</t>
  </si>
  <si>
    <t>CAPITAL STRUCTURE; CONSTRAINTS; INFORMATION; INVESTMENT; INNOVATION; DECISIONS; CRISIS; DEBT; TOO</t>
  </si>
  <si>
    <t>This paper examines the effect of financial inclusion on firm performance and whether corporate borrowings serve as an effective channel of the impact. In doing so, we use principal component analysis to calculate a financial inclusion index for Vietnam. We then conduct mediation analysis on this index and a large panel of Vietnamese firms in information and communication technology sector from 2008 to 2018. Empirical results indicate a negative influence of financial inclusion on firms' return on assets. More importantly, corporate borrowings significantly mediate this relationship. In particular, financial inclusion increases corporate borrowings, which then affects return on assets. Although corporate borrowings are positively associated with firm sales, they reduce return on assets and net profit margin of firms. The findings are robust to different estimation methods and inclusion of control variables. They convey important policy implications for governments, academic researchers, and industry practitioners wishing to design programmes and policies to help firms obtain the financial resources necessary for their development.</t>
  </si>
  <si>
    <t>[Vu, Mai] Foreign Trade Univ, Fac Int Econ, Hanoi, Vietnam; [Tran, Thuong; Thai, Dan; Phuong, Linh] Foreign Trade Univ, Fac Banking &amp; Finance, Hanoi, Vietnam; [Le, Thanh] Univ Wollongong, Fac Business &amp; Law, Sch Business, Northfields Ave, Wollongong, NSW 2522, Australia</t>
  </si>
  <si>
    <t>Foreign Trade University FTU; Foreign Trade University FTU; University of Wollongong</t>
  </si>
  <si>
    <t>Le, T (corresponding author), Univ Wollongong, Fac Business &amp; Law, Sch Business, Northfields Ave, Wollongong, NSW 2522, Australia.</t>
  </si>
  <si>
    <t>thanhl@uow.edu.au</t>
  </si>
  <si>
    <t>Le, Thanh/KYP-0871-2024</t>
  </si>
  <si>
    <t>Le, Thanh/0000-0002-1665-7926</t>
  </si>
  <si>
    <t>Foreign Trade University of Vietnam</t>
  </si>
  <si>
    <t>This research is funded by Foreign Trade University of Vietnam.</t>
  </si>
  <si>
    <t>JUN 27</t>
  </si>
  <si>
    <t>10.1080/00036846.2024.2360144</t>
  </si>
  <si>
    <t>3YK5O</t>
  </si>
  <si>
    <t>WOS:001238134900001</t>
  </si>
  <si>
    <t>McCanless, M</t>
  </si>
  <si>
    <t>McCanless, Michael</t>
  </si>
  <si>
    <t>Banking on alternative credit scores: Auditing the calculative infrastructure of US consumer lending</t>
  </si>
  <si>
    <t>Fintech-bank; algorithmic audit; financialization; financial inclusion; infrastructure</t>
  </si>
  <si>
    <t>Alternative credit scores have become an increasingly important tool for lenders to assess risk and authorize investment in consumer debt. Using alternative data and processing techniques that leverage machine learning (ML) and Artificial Intelligence (AI), these models are designed to bypass existing barriers to risk-based pricing, which is the idea that financial institutions offer different interest rates to consumers based on their likelihood of default. Through an algorithmic audit of one lender's (Upstart) credit scoring model, I find that alternative data, particularly whether an applicant has a bachelor's degree, strongly impacted loan outcomes. This raises important equity concerns about overhauling lending criteria via opaque models that restructure the logic of risk assessment. In following the logic of risk assessment generated by Upstart's model, I also audit three fintech-bank partnerships and examine the balance sheets of banks providing capital via Upstart's platform. This is done to demonstrate rising capital allocation to these types of loans at banks engaged in fintech-bank partnerships, in one case rising from 0.14% to 15.6% of the banks' balance sheet over three years. My analysis shows that alternative credit scoring systems function as a key piece of calculative infrastructure, which allows some institutions to bypass barriers to risk-based pricing, and becomes an infrastructural site for tech startups to partner with financial institutions seeking out new sources of revenue.</t>
  </si>
  <si>
    <t>[McCanless, Michael] Univ Kentucky, Geog, Lexington, KY 40508 USA</t>
  </si>
  <si>
    <t>McCanless, M (corresponding author), Univ Kentucky, Geog, Lexington, KY 40508 USA.</t>
  </si>
  <si>
    <t>michael.mccanless@uky.edu</t>
  </si>
  <si>
    <t>10.1177/0308518X231174026</t>
  </si>
  <si>
    <t>Y2GY4</t>
  </si>
  <si>
    <t>WOS:000984033100001</t>
  </si>
  <si>
    <t>Nguyen, MP; Phan, A</t>
  </si>
  <si>
    <t>Nguyen, Minh Phuong; Phan, Anh</t>
  </si>
  <si>
    <t>Customer's Satisfaction About Mobile Banking Distribution Channel in Vietnamese Commercial Banks</t>
  </si>
  <si>
    <t>Mobile Banking; Vietnam; Commercial Banks; Determinants; Distribution Channels; Banking Distribution Channels; Multichannel Distribution</t>
  </si>
  <si>
    <t>SERVICE QUALITY; IMPACT; TRUST</t>
  </si>
  <si>
    <t>Purpose: In the context of the emergence of industry 4.0, using mobile phones as a modern distribution channel to execute financial services is a significant solution for commercial banks' retail services and a gateway to promote financial inclusion and market development. Despite that service quality and customer satisfaction are two diverse notions and closely related to each other in the service sector, there is hardly a research which empirically examines the impacts of each dimensions of mobile banking service quality and customer satisfaction. Research design, data and methodology: This study first employs in-depth interview to explore various aspects of mobile banking service quality dimensions, including empathy, responsiveness, tangibility, assurance, and reliability that serves to develop measurement scales and hypothesis development. A quantitative survey is followed to collect data from 265 Vietnamese bank customers to empirically test the conceptual model. Results: Our findings indicate that more human-related factors including empathy, assurance, and responsiveness show the strongest impacts on customer satisfaction with mobile banking service while tangibility and reliability, as technical aspects, are less influential factors. Conclusions: Finally, some crucial implications are drawn for the banks to manage consumer behavior in mobile banking.</t>
  </si>
  <si>
    <t>[Nguyen, Minh Phuong; Phan, Anh] Banking Acad Vietnam, Hanoi, Vietnam</t>
  </si>
  <si>
    <t>Nguyen, MP (corresponding author), Banking Acad Vietnam, Hanoi, Vietnam.</t>
  </si>
  <si>
    <t>phuongnm@hvnh.edu.vn; phananh@hvnh.edu.vn</t>
  </si>
  <si>
    <t>10.15722/jds.20.08.202208.69</t>
  </si>
  <si>
    <t>L3G0S</t>
  </si>
  <si>
    <t>WOS:001349626000007</t>
  </si>
  <si>
    <t>Emara, N; Mohieldin, M</t>
  </si>
  <si>
    <t>Emara, Noha; Mohieldin, Mahmoud</t>
  </si>
  <si>
    <t>Financial inclusion and extreme poverty in the MENA region: a gap analysis approach</t>
  </si>
  <si>
    <t>Financial inclusion; Extreme poverty; Gap approach; MENA region SDGs; C23; G21; O43</t>
  </si>
  <si>
    <t>PANEL-DATA; MOBILE MONEY; GROWTH; SAVINGS</t>
  </si>
  <si>
    <t>Purpose Eradicating extreme poverty remains one of the most significant and challenging sustainable development goals (SDGs) in the Middle East and North African (MENA) region. The latest World Bank statistics from 2018 show that extreme poverty in MENA increased from 2.6% to 5% between 2013 and 2015. MENA ranks third among developing regions for extreme poverty and fell short of halving extreme poverty by 2015 - the target established by the United Nations' (UN) millennium development goals, the precursor to the SDGs. The purpose of this study is to analyze the impact of financial inclusion on extreme poverty for a sample of 34 countries over the period 1990-2017. Design/methodology/approach Using system general method of moments dynamic panel estimation methodology on annual data for 11 MENA countries and 23 emerging markets (EMs) over the period 1990 - 2017, this study begins by estimating the impact of financial inclusion - using measures of access and usage - on the eradication of extreme poverty by 2030, the first goal of the SDGs. Findings The results of the study indicate that, on one hand, financial access measures have a positive, statistically significant impact on reducing extreme poverty for the full sample and the MENA region. The second part of the study uses a gap analysis against four poverty targets - 0%, 1.5%, 3% and 5% - and shows that no MENA country and few EM countries will be able to close the extreme poverty gap and reach the target of 0% by 2030 by depending solely on improvements in financial access. These targets are based on the two benchmarks set by the World Bank and the UN, with intermediaries to capture error and give a fuller picture of what is possible. However, if improvements in financial inclusion alone can bring every EM and MENA country except Djibouti and Romania to bring the most accessible target of reducing global extreme poverty to no more than 5% by 2030. Originality/value While research on poverty reduction in the region tends to focus on financial development and governance, less attention has been paid to the role of financial inclusion. SDG 1 - eliminating poverty in all its forms - explicitly highlights the importance of access to financial services. Indeed, evidence from Argentina, India, Kenya, Malawi, Niger and other countries demonstrates the ways in which financial inclusion can impact poverty (Klapper, El-Zoghbi and Hess, 2016). When people are included in the financial system, they are better able to improve their health, invest in education and business and make choices that benefit their entire families. Financial inclusion advances governments, too: introducing vast segments of the population into the financial system by digitizing social transfers, for example, can cut government costs and reduce leakage, with benefits that ripple across society. Yet, the links between financial inclusion and poverty reduction in MENA are less established. This study aims to analyze the importance of financial inclusion in addressing extreme poverty by 2030, the year UN member states set as a target for achieving the SDGs.</t>
  </si>
  <si>
    <t>[Emara, Noha] Rutgers Univ Camden, Dept Econ, Fac Arts &amp; Sci, Camden, NJ 08102 USA; [Emara, Noha] Helwan Univ, Dept Econ, Cairo, Egypt; [Mohieldin, Mahmoud] Special Envoy Financing 2030 Agenda, Cairo, Egypt</t>
  </si>
  <si>
    <t>Rutgers University System; Rutgers University Camden; Egyptian Knowledge Bank (EKB); Capital University - Egypt</t>
  </si>
  <si>
    <t>Emara, N (corresponding author), Rutgers Univ Camden, Dept Econ, Fac Arts &amp; Sci, Camden, NJ 08102 USA.;Emara, N (corresponding author), Helwan Univ, Dept Econ, Cairo, Egypt.</t>
  </si>
  <si>
    <t>nemara@camden.rutgers.edu</t>
  </si>
  <si>
    <t>AUG 14</t>
  </si>
  <si>
    <t>10.1108/REPS-03-2020-0041</t>
  </si>
  <si>
    <t>5K6XD</t>
  </si>
  <si>
    <t>WOS:000869866400002</t>
  </si>
  <si>
    <t>Mohanta, G; Dash, A</t>
  </si>
  <si>
    <t>Mohanta, Giridhari; Dash, Ashutosh</t>
  </si>
  <si>
    <t>Do financial consultants exert a moderating effect on savings behavior?A study on the Indian rural population</t>
  </si>
  <si>
    <t>Financial Inclusion; small saving schemes; financial consultants; structure equation modelling; saving behaviour</t>
  </si>
  <si>
    <t>GENDER-DIFFERENCES; LITERACY; INCLUSION; DETERMINANTS; INVESTMENT; DECISIONS; POVERTY; MODELS; IMPACT</t>
  </si>
  <si>
    <t>Access to basic financial services, though, enables destitute and vulnerable individuals in society to promote prosperity, a significant section of rural population is still unbanked in India. Unveiling various small saving schemes, the Indian Government has accelerated the financial inclusion, but the availability of numerous alternative schemes has created a surplus of market information, causing difficulty in building economic judgment for the rural people having no financial socialization through formal and informal education and training. While dismissive investors rely on their own decisions, the convincing behaviour of financial consultants may play a crucial role in shaping the saving habits of the preoccupied population. To analyse the moderation effect of financial consultants on the relationship between small savings schemes, financial literacy and behaviour, and savings habit of rural people, the empirical study employs a two-phase structural equation modelling on the data gathered from 343 adult respondents from 12 Indian districts with a considerable rural population. In order to validate the hypothesized measurement model, a confirmatory factor analysis is carried out and in the next phase, the structural model is used to verify the association between exogenous and endogenous variables. The study exhibits a significant positive impact of predictors and moderation variables on the savings habit. The study recommends integrating consultants into the financial engineering process to advance inclusivity and encourage saving behaviour of rural individuals for personal and economic prosperity.</t>
  </si>
  <si>
    <t>[Mohanta, Giridhari] Sri Sri Univ, Dept Finance, Cuttack 754006, India; [Dash, Ashutosh] Management Dev Inst, Accounting &amp; Finance Area, Gurugram 122007, India</t>
  </si>
  <si>
    <t>ashutosh@mdi.ac.in</t>
  </si>
  <si>
    <t>10.1080/23322039.2022.2131230</t>
  </si>
  <si>
    <t>5F3QM</t>
  </si>
  <si>
    <t>WOS:000866233600001</t>
  </si>
  <si>
    <t>Zaimovic, A; Omanovic, A; Dedovic, L; Zaimovic, T</t>
  </si>
  <si>
    <t>Zaimovic, Azra; Omanovic, Adna; Dedovic, Lejla; Zaimovic, Tarik</t>
  </si>
  <si>
    <t>The effect of business experience on fintech behavioural adoption among MSME managers: the mediating role of digital financial literacy and its components</t>
  </si>
  <si>
    <t>Fintech behavioural adoption; Bosnia and Herzegovina; Digital financial literacy; Business experience; Digital financial behaviour</t>
  </si>
  <si>
    <t>INFORMATION-TECHNOLOGY; USER ACCEPTANCE; INCLUSION</t>
  </si>
  <si>
    <t>This study aims to measure digital financial literacy of MSME managers and to analyse the relationship between business experience, digital financial literacy and fintech behavioural adoption. The direct and indirect effects of business experience to fintech behavioural adoption are being explored. Dataset from UNSA 2023 Survey of MSME managers' financial literacy in Sarajevo Canton, Bosnia and Herzegovina, using cross-sectional research design has been utilized. The main methodology relies on Principal Component Analysis, regression analysis and PROCESS method for analysing mediation effects. The findings indicate that the effect of business experience on fintech behavioural adoption is fully mediated by digital financial literacy. Moreover, there is a full serial mediation effect through all three digital financial literacy components, digital financial knowledge, attitudes and behaviour, in a sequence. Interestingly, full mediation is evident also through only digital financial behaviour. To increase fintech adoption, financial institutions should focus on enhancing digital financial literacy and the adept behaviours of MSME managers. These efforts can be leveraged to effectively market and sell fintech products. Policy implications are seen in the need for strengthening overall digital financial literacy competencies of managers and increasing financial inclusion of MSMEs. Regulators should draw effective policies therefore. Educational programs should be directed toward enhancing digital financial knowledge and positive attitudes and behaviour of MSME managers, especially focusing on aged managers, but also on those with short managerial experience. This study makes a unique contribution to the limited empirical evidence of the mediation role of digital financial literacy and its components in the relationship between business experience and fintech behavioural adoption. Digital financial literacy, all three digital financial literacy components in a sequence, and digital financial behaviour serve as mediators in this relationship.</t>
  </si>
  <si>
    <t>[Zaimovic, Azra; Omanovic, Adna; Dedovic, Lejla; Zaimovic, Tarik] Univ Sarajevo, Sch Econ &amp; Business, Trg Oslobodjenja Alija Izetbegov 1, Sarajevo 71000, Bosnia &amp; Herceg; [Omanovic, Adna] Int Commiss Missing Persons, Sarajevo Off, Alipasina 45A, Sarajevo 71000, Bosnia &amp; Herceg</t>
  </si>
  <si>
    <t>azra.zaimovic@efsa.unsa.ba; adna.o@live.com; lejla.dedovic@efsa.unsa.ba; tarik.zaimovic@efsa.unsa.ba</t>
  </si>
  <si>
    <t>; Zaimovic, Azra/N-6276-2019; Zaimovic, Tarik/AAH-7849-2021; Dedovic, Lejla/KFA-6545-2024</t>
  </si>
  <si>
    <t>Omanović, Adna/0000-0002-5865-9794; Zaimovic, Azra/0000-0002-3956-4626; Dedovic, Lejla/0000-0002-0377-0604</t>
  </si>
  <si>
    <t>Ministry of Science, Higher Education and Youth, Sarajevo Canton, Bosnia and Herzegovina [27-02-35-35137-52/22]; University of Sarajevo, Bosnia and Herzegovina; UNSA 2023 Survey of MSME managers</t>
  </si>
  <si>
    <t>Ministry of Science, Higher Education and Youth, Sarajevo Canton, Bosnia and Herzegovina; University of Sarajevo, Bosnia and Herzegovina; UNSA 2023 Survey of MSME managers</t>
  </si>
  <si>
    <t>This research was co-funded by the Ministry of Science, Higher Education and Youth, Sarajevo Canton, Bosnia and Herzegovina, co-financing agreement number 27-02-35-35137-52/22. This research is part of the project Financial Literacy in Bosnia and Herzegovina which is being implemented at University of Sarajevo, Bosnia and Herzegovina. UNSA 2023 Survey of MSME managers' financial literacy in Sarajevo Canton, report forthcoming.</t>
  </si>
  <si>
    <t>10.1186/s43093-025-00432-x</t>
  </si>
  <si>
    <t>Z0W3N</t>
  </si>
  <si>
    <t>WOS:001436211400001</t>
  </si>
  <si>
    <t>Aristei, D; Gallo, M; Vannoni, V</t>
  </si>
  <si>
    <t>Aristei, David; Gallo, Manuela; Vannoni, Valeria</t>
  </si>
  <si>
    <t>Preferences for ethical intermediaries and sustainable investment decisions in micro-firms: The role of financial literacy and digital financial capability</t>
  </si>
  <si>
    <t>Financial literacy; Digital financial capabilities; Ethical financial intermediaries; Sustainable investments; Micro-enterprises</t>
  </si>
  <si>
    <t>This study analyses the effects of financial literacy and digital financial capabilities in shaping entrepreneurs' preferences for ethical financial intermediaries and sustainable investment decisions. Exploiting novel survey data on Italian micro-enterprises, we find that more financially literate business owners have higher preferences for intermediaries with a strong ethical stance, are more likely to make investments inspired by environmental and social criteria and have a higher awareness of sustainable financial products. Moreover, digital financial competencies are found to play a significant role in enhancing preferences for ethical intermediaries and sustainable investment decisions. Finally, we show that the beneficial effect of financial literacy is mostly direct, while the indirect effect operating through higher digital financial abilities, despite being statistically significant, impacts firms' sustainable financing and investing decisions only to a lower extent.</t>
  </si>
  <si>
    <t>[Aristei, David; Gallo, Manuela] Univ Perugia, Dept Econ, Via Pascoli 20, I-06123 Perugia, Italy; [Vannoni, Valeria] Univ Urbino Carlo Bo, Dept Econ Soc Polit, Via Saffi 42, I-61029 Urbino, Italy</t>
  </si>
  <si>
    <t>University of Perugia; University of Urbino</t>
  </si>
  <si>
    <t>Gallo, M (corresponding author), Univ Perugia, Dept Econ, Via Pascoli 20, I-06123 Perugia, Italy.</t>
  </si>
  <si>
    <t>david.aristei@unipg.it; manuela.gallo@unipg.it; valeria.vannoni@uniurb.it</t>
  </si>
  <si>
    <t>Vannoni, Valeria/0009-0005-6077-1776</t>
  </si>
  <si>
    <t>10.1016/j.ribaf.2024.102483</t>
  </si>
  <si>
    <t>YY7L3</t>
  </si>
  <si>
    <t>WOS:001272112400001</t>
  </si>
  <si>
    <t>Kazimoto, D; Baadel, S; David, D; Mutahaba, R; Rugumyamheto, J</t>
  </si>
  <si>
    <t>Arai, K</t>
  </si>
  <si>
    <t>Kazimoto, Derick; Baadel, Said; David, Davis; Mutahaba, Rwebu; Rugumyamheto, Jerome</t>
  </si>
  <si>
    <t>Tausi: A Holistic Artificial Intelligence Approach to Credit Scoring Using Informal Data for a Sustainable Micro-lending African Economy</t>
  </si>
  <si>
    <t>PROCEEDINGS OF THE FUTURE TECHNOLOGIES CONFERENCE, FTC 2024, VOL 1</t>
  </si>
  <si>
    <t>9th Future Technologies Conference-FTC</t>
  </si>
  <si>
    <t>NOV 14-15, 2024</t>
  </si>
  <si>
    <t>Artificial intelligence; Credit scoring; Informal data; Machine learning; Micro-lending; Tausi</t>
  </si>
  <si>
    <t>This paper explores Tausi's pioneering credit risk scoring engine, which revolutionizes credit risk modeling and lending practices by harnessing alternative data sources. Traditional credit assessmentmethods often overlook segments of the population lacking established credit histories, particularly in regions like Africa. The aim of this paper is to showcase Tausi's approach that addresses this gap by integrating non-traditional datasets, including social media activity and utility bills statements, to provide lenders with a comprehensive view of borrowers' creditworthiness. This approach is particularly beneficial for borrowers without traditional credit histories, offering them opportunities to access financial services that were previously inaccessible. Through the integration of Tausi's credit risk scoring engine into loan management systems (LMS), borrowers gain real-time visibility into their credit scores and credit limits, fostering transparency and informed financial decision-making. Moreover, the system proactively monitors borrower behavior, enabling automatic adjustments to credit limits based on evolving risk profiles. Regular updates to the scoring model ensure adaptability to changes in borrower transactional and repayment behaviors over time, thereby reducing the risk of default or delinquency. The adoption of Tausi's innovative approach to credit scoring has far-reaching implications for various stakeholders, including credit risk teams, lenders, government regulators, and investors. By expanding access to credit and promoting financial inclusion, Tausi's platform not only enhances economic opportunities for individuals but also fosters sustainable economic growth and development and can be replicated across the African continent.</t>
  </si>
  <si>
    <t>[Kazimoto, Derick; Baadel, Said; David, Davis; Mutahaba, Rwebu; Rugumyamheto, Jerome] Tausi Africa, Dar Es Salaam, Tanzania; [Baadel, Said] Mt Royal Univ, Calgary, AB, Canada</t>
  </si>
  <si>
    <t>Mount Royal University</t>
  </si>
  <si>
    <t>Baadel, S (corresponding author), Tausi Africa, Dar Es Salaam, Tanzania.;Baadel, S (corresponding author), Mt Royal Univ, Calgary, AB, Canada.</t>
  </si>
  <si>
    <t>sbaadel@mtroyal.ca</t>
  </si>
  <si>
    <t>; Baadel, Said/HZL-3517-2023</t>
  </si>
  <si>
    <t>Baadel, Said/0000-0002-0207-6100;</t>
  </si>
  <si>
    <t>978-3-031-73109-9; 978-3-031-73110-5</t>
  </si>
  <si>
    <t>10.1007/978-3-031-73110-5_5</t>
  </si>
  <si>
    <t>Computer Science, Artificial Intelligence; Computer Science, Cybernetics</t>
  </si>
  <si>
    <t>BZ4TJ</t>
  </si>
  <si>
    <t>WOS:001587590700005</t>
  </si>
  <si>
    <t>Astuti, R; Hartono, D</t>
  </si>
  <si>
    <t>Astuti, Rini; Hartono, Djoni</t>
  </si>
  <si>
    <t>Improving Food Security through Financial Inclusion</t>
  </si>
  <si>
    <t>food security; dietary diversity score; financial inclusion</t>
  </si>
  <si>
    <t>RURAL HOUSEHOLDS; INSECURITY; MICROCREDIT; CHILDREN</t>
  </si>
  <si>
    <t>Financial inclusion may accelerate food insecurity reduction, an issue in Indonesia's development. However, studies examining the relationship between financial inclusion and food security remain inconclusive and scarce in Indonesia. Therefore, this study aims to analyze how strong the relationship between those variables is, both in general and within specific groups. This study mainly used data from the National Socio-Economic Survey (Susenas) 2020. Food security is measured by dietary diversity score (DDS), while financial inclusion is measured by household accessibility to savings and credit. The association between those variables is examined using the Ordinary Least Square (OLS) method. The results show that financial inclusion is positively related to household food security at a significant level, in general, and according to poverty status and location category. Therefore, expanding financial inclusion may be suggested as an alternative to improve food security.</t>
  </si>
  <si>
    <t>[Astuti, Rini] BPS Stat Indonesia, Jakarta, Indonesia; [Hartono, Djoni] Univ Indonesia, Fac Econ &amp; Business, Dept Econ, Res Cluster Energy Modeling &amp; Reg Econ Anal, Depok City, Indonesia</t>
  </si>
  <si>
    <t>Statistics Indonesia; University of Indonesia</t>
  </si>
  <si>
    <t>Hartono, D (corresponding author), Univ Indonesia, Fac Econ &amp; Business, Dept Econ, Res Cluster Energy Modeling &amp; Reg Econ Anal, Depok City, Indonesia.</t>
  </si>
  <si>
    <t>rini.astuti@bps.go.id; djoni.hartono@gmail.com</t>
  </si>
  <si>
    <t>Hartono, Djoni/P-4055-2017; Astuti, Rini/AAC-6633-2021</t>
  </si>
  <si>
    <t>Hartono, Djoni/0000-0002-9413-1903;</t>
  </si>
  <si>
    <t>10.15408/etk.v22i1.26632</t>
  </si>
  <si>
    <t>C4FF8</t>
  </si>
  <si>
    <t>WOS:000961485100002</t>
  </si>
  <si>
    <t>Mielitz, KS; Marcum, C</t>
  </si>
  <si>
    <t>Mielitz, Katherine (Kate) S.; Marcum, Catherine</t>
  </si>
  <si>
    <t>A Consideration for Increasing Post-Release Financial Success</t>
  </si>
  <si>
    <t>AMERICAN JOURNAL OF CRIMINAL JUSTICE</t>
  </si>
  <si>
    <t>Transition; Financial capability; Financial literacy; Length of incarceration; Correctional programming</t>
  </si>
  <si>
    <t>CONSEQUENCES; EDUCATION; BEHAVIOR; STIGMA</t>
  </si>
  <si>
    <t>There is an ever-growign body of research indicating the importance and effectivenss of correctional programming. The main goal of release is autonomy, which inclues financial independence. This can be achieved not only through employment, but also having the financial capability to budget, pay bills, and properly handle one's finances. It is important to understand the perceptions of financial literacy and its relationship with release in order to create effective programming. This study fills a gap in the literature that explores predictive factors regarding the attitudes and perceptions of inmates regarding their financial matters and choices. Aspects of incarceration (e.g. length of time incarcerated, number of times incarcerated, and type of crime) were found to be associated with financial attitudes, anticipated post-release social support, and perceptions of control over financial behavior for transitional center residents within six months of release.</t>
  </si>
  <si>
    <t>[Mielitz, Katherine (Kate) S.] Oklahoma State Univ, Human Dev &amp; Family Studies, 233 Human Sci, Stillwater, OK 74074 USA; [Marcum, Catherine] Appalachian State Univ, Dept Govt &amp; Justice Studies, POB 32107, Boone, NC 28608 USA</t>
  </si>
  <si>
    <t>Oklahoma State University System; Oklahoma State University - Stillwater; University of North Carolina; Appalachian State University</t>
  </si>
  <si>
    <t>Mielitz, KS (corresponding author), Oklahoma State Univ, Human Dev &amp; Family Studies, 233 Human Sci, Stillwater, OK 74074 USA.</t>
  </si>
  <si>
    <t>kate.mielitz@okstate.edu; marcumcm@appstate.edu</t>
  </si>
  <si>
    <t>1066-2316</t>
  </si>
  <si>
    <t>1936-1351</t>
  </si>
  <si>
    <t>AM J CRIM JUSTICE</t>
  </si>
  <si>
    <t>Am. J. Crim. Just.</t>
  </si>
  <si>
    <t>10.1007/s12103-019-09515-2</t>
  </si>
  <si>
    <t>NF7FB</t>
  </si>
  <si>
    <t>WOS:000563459000008</t>
  </si>
  <si>
    <t>Freira, D</t>
  </si>
  <si>
    <t>Freira, Danny</t>
  </si>
  <si>
    <t>Organizational Design for Economic and Social Development: The Case of the Rural Microcredit Program</t>
  </si>
  <si>
    <t>EQUIDAD &amp; DESARROLLO</t>
  </si>
  <si>
    <t>Social Development; Organizational Design; Social Management; Financial Inclusion; Rural Microcredit; Public Value</t>
  </si>
  <si>
    <t>The Rural Microcredit Program, managed through the General Directorate of Rural Development of the Ministry of Livestock, Agriculture and Fisheries of Uruguay, in a joint work with the Uruguayan Foundation for Solidarity Cooperation and Development, grants access to microcredit to dispersed and economically disadvantaged rural population. The organizational design implemented over the course of 13 years has distributed more than 20 million dollars, delivered in 36,917 loans, to a total of 13,072 people in scalable amounts. It articulates 139 local credit committees (CCL), with the participation of more than 721 people in 12 departments, who give their time on an honorary basis to evaluate the credits requested by their peers. The investigation was done based on the case study. The organizational design chosen to implement the PMR through the hierarchy of the CCL grants access to credit for isolated communities in the country, facilitating their economic and social development. The chosen strategy has contributed to the self-organization of the participants for the improvement of microcredits as an instrument of financial inclusion.</t>
  </si>
  <si>
    <t>[Freira, Danny] Univ Republica, Maestria Adm, Montevideo, Uruguay; [Freira, Danny] Unidad Curricular Adm &amp; Gest Estrateg Org, Dept Adm, Montevideo, Uruguay; [Freira, Danny] Cursos Cambio Org &amp; Metodol Invest, Montevideo, Uruguay</t>
  </si>
  <si>
    <t>Universidad de la Republica, Uruguay</t>
  </si>
  <si>
    <t>Freira, D (corresponding author), Univ Republica, Maestria Adm, Montevideo, Uruguay.;Freira, D (corresponding author), Unidad Curricular Adm &amp; Gest Estrateg Org, Dept Adm, Montevideo, Uruguay.;Freira, D (corresponding author), Cursos Cambio Org &amp; Metodol Invest, Montevideo, Uruguay.</t>
  </si>
  <si>
    <t>dfreira@ccee.edu.uy</t>
  </si>
  <si>
    <t>UNIV LA SALLE</t>
  </si>
  <si>
    <t>CRA 7 NRO 172 85, CUNDINAMARCA, BOGOTA, 00000, COLOMBIA</t>
  </si>
  <si>
    <t>1692-7311</t>
  </si>
  <si>
    <t>2389-8844</t>
  </si>
  <si>
    <t>EQUIDAD DESARRO</t>
  </si>
  <si>
    <t>Equidad Desarro.</t>
  </si>
  <si>
    <t>10.19052/ed.4418</t>
  </si>
  <si>
    <t>GJ6PP</t>
  </si>
  <si>
    <t>WOS:000435506500010</t>
  </si>
  <si>
    <t>Affandi, H; Malik, QA</t>
  </si>
  <si>
    <t>Affandi, Hina; Malik, Qaisar Ali</t>
  </si>
  <si>
    <t>SHADOW ECONOMY, OUTREACH OF FINANCIAL INSTITUTIONS AND FINANCIAL INCLUSION: A STUDY OF BALKAN COUNTRIES</t>
  </si>
  <si>
    <t>Effect of shadow economy; Financial institutions outreach effects; Influences of financial inclusion; Economis growth; Balkan economies</t>
  </si>
  <si>
    <t>MICROFINANCE; SECTOR; LIGHT; SIZE</t>
  </si>
  <si>
    <t>Financial inclusion is a core pillar of development policy in the financial system. This research is an endeavor to empirically inspect the influence of the shadow economy and the outreach of financial institutions on financial inclusion. Annual data has been gathered from the financial institutions operating in six Balkan countries for the year 2006-2017. It is suggested that the shadow economy has a significant impact on the financial inclusions and the outreach of financial institutions is also found to have a significant effect on financial inclusion. The non-linear co-integration approach has been opted to recognize the asymmetric effects by exploring how the shadow economy and financial institutions outreach affects financial inclusion. This research study has various implications for the financial system which can add to the improvement of the banking and nonbanking sectors of the Balkan countries. (C) 2020 INT TRANS J ENG MANAG SCI TECH.</t>
  </si>
  <si>
    <t>[Affandi, Hina; Malik, Qaisar Ali] Fdn Univ Islamabad, Fac Management Sci, Islamabad, Pakistan</t>
  </si>
  <si>
    <t>Quaid I Azam University</t>
  </si>
  <si>
    <t>Affandi, H (corresponding author), Fdn Univ Islamabad, Fac Management Sci, Islamabad, Pakistan.</t>
  </si>
  <si>
    <t>hinaaffandi@gmail.com</t>
  </si>
  <si>
    <t>Malik, Qaisar/ABH-1084-2020</t>
  </si>
  <si>
    <t>Malik, Qaisar/0000-0002-6488-2204</t>
  </si>
  <si>
    <t>11A01R</t>
  </si>
  <si>
    <t>10.14456/ITJEMAST.2020.18</t>
  </si>
  <si>
    <t>KB7IK</t>
  </si>
  <si>
    <t>WOS:000506664000017</t>
  </si>
  <si>
    <t>Sirohi, N; Misra, G</t>
  </si>
  <si>
    <t>Sirohi, Naveen; Misra, Gaurav</t>
  </si>
  <si>
    <t>Vulnerability of individuals to economic crime and the role of financial literacy in its prevention: Evidence from India</t>
  </si>
  <si>
    <t>Economic crime; Financial vulnerability; Digital fraud; Investment scam; Financial education; Investor protection; India</t>
  </si>
  <si>
    <t>FRAUD; VICTIMS</t>
  </si>
  <si>
    <t>Economic crime has been an area of concern for regulators and governments across countries, and billions of hard-earned money is siphoned off by fraudsters yearly. Financial service consumers' lives are made easier with the new technological developments in fintech. However, with the growing participation of individuals in formalised channels of banking and finance, through greater emphasis on financial inclusion, there is also a massive surge in the victimisation of individuals through investment-related scams and digital financial frauds. Using nationally representative data, the present study looks into the significant demographic and socioeconomic factors influencing the likelihood of individual victimisation through investment scams and digital frauds. It further explores how financial literacy helps reduce the odds of victimisation in both cases. The study finds that in case of fraudulent investment scheme victimisation, males belonging to the 40-59 age group who have studied graduation or post-graduation (including professionals) and belong to middle-income groups are more vulnerable to victimisation than other groups. Similarly, in the case of digital financial fraud victimisation, males below the age group of 60 years who have studied at least high school or more, belonging to middle-income groups and lower socioeconomic classes, have higher odds of victimisation than other groups. The study also finds that the odds of victimisation of individuals through digital fraud are higher than investment-related fraud. It further suggests that financial education significantly reduces the odds of victimisation in both types of economic crime. The study concludes with policy recommendations to governments and regulators based on the findings.</t>
  </si>
  <si>
    <t>[Sirohi, Naveen] Indian Inst Corp Affairs, Plot 6,7,8,IMT Sect 5, ManesarGurugram 122052, India; [Misra, Gaurav] Indian Inst Corp Affairs, IEPFA Res Chair Secretariat, Plot 6,7,8,IMT Sect 5, ManesarGurugram 122052, India</t>
  </si>
  <si>
    <t>Misra, G (corresponding author), Indian Inst Corp Affairs, IEPFA Res Chair Secretariat, Plot 6,7,8,IMT Sect 5, ManesarGurugram 122052, India.</t>
  </si>
  <si>
    <t>prof.sirohi@gmail.com; gmisraa@gmail.com</t>
  </si>
  <si>
    <t>Sirohi, Naveen/0000-0003-1311-1722; Misra, Gaurav/0000-0001-9371-4173</t>
  </si>
  <si>
    <t>1573-0751</t>
  </si>
  <si>
    <t>10.1007/s10611-024-10138-w</t>
  </si>
  <si>
    <t>YM6L6</t>
  </si>
  <si>
    <t>WOS:001147587800001</t>
  </si>
  <si>
    <t>Wang, YQ; Ali, M; Khaskheli, A; Khan, KA; Puah, CH</t>
  </si>
  <si>
    <t>Wang, Yanqi; Ali, Muhammad; Khaskheli, Asadullah; Khan, Komal Akram; Puah, Chin-Hong</t>
  </si>
  <si>
    <t>The interconnectedness of financial inclusion and bank profitability in rising economic powers: evidence from heterogeneous panel analysis</t>
  </si>
  <si>
    <t>Financial inclusion; Bank profitability; Emerging economies; Heterogeneous panel analysis</t>
  </si>
  <si>
    <t>COMPETITION; AFRICA</t>
  </si>
  <si>
    <t>PurposeThe objective is to assess the relationship between financial inclusion and bank profitability in emerging economies, i.e. Bangladesh, Egypt, Indonesia, Mexico, Nigeria, Pakistan, Philippines, and Vietnam.Design/methodology/approachThe second-generation econometrics of panel data has been applied to examine the cross-section independence and control the heterogeneity between cross sections. Additionally, the authors employ the following tests for the analysis: the unit root test, Westerlund's (2007) bootstrap cointegration, Pedroni cointegration, fully modified ordinary least square (FMOLS), and heterogeneous panel causality techniques. The annual data consist of the period from 2000 to 2019.FindingsThe findings reveal that financial inclusion fosters bank profitability. Therefore, easier access to financial services and products will maximize banks' profitability. Additionally, the association between financial inclusion and bank profitability is unidirectional.Originality/valueThis research is a first attempt to bring a novel contribution to the subject of emerging economies by investigating the association between financial inclusion and bank profitability. Another unique addition to the literature is the use of a novel financial inclusion index. At last, a panel cointegration technique, FMOLS and heterogeneous panel non-causality tests are taken into consideration for the in-depth analysis.</t>
  </si>
  <si>
    <t>[Wang, Yanqi] Chengdu Neusoft Univ, Chengdu, Peoples R China; [Ali, Muhammad] UCSI Univ, Kuala Lumpur, Malaysia; [Khaskheli, Asadullah] Hainan Univ, Sch Management, Haikou, Peoples R China; [Khan, Komal Akram] IQRA Univ, Dept Business Adm, Karachi, Pakistan; [Puah, Chin-Hong] Univ Malaysia Sarawak, Kota Samarahan, Malaysia</t>
  </si>
  <si>
    <t>Chengdu Neusoft University; UCSI University; Hainan University; Iqra University; University of Malaysia Sarawak</t>
  </si>
  <si>
    <t>Khaskheli, A (corresponding author), Hainan Univ, Sch Management, Haikou, Peoples R China.</t>
  </si>
  <si>
    <t>291413717@qq.com; muhammadali@ucsiuniversity.edu.my; asadullahkhas@hotmail.com; komalkhan0331@hotmail.com; chpuah@unimas.my</t>
  </si>
  <si>
    <t>Ali, Muhammad/AAL-3747-2020; Puah, Chin-Hong/O-9658-2018; Khaskheli, Asadullah/AAM-7963-2021; Wang, Yanqi/KPB-3609-2024</t>
  </si>
  <si>
    <t>Puah, Chin-Hong/0000-0003-0187-7413; Khaskheli, Asadullah/0000-0002-1720-8022;</t>
  </si>
  <si>
    <t>Talent Development Bureau of Hainan Provincial Committee of CPC [RZ2100007211]; Science Research Foundation of Hainan University [kyqd(sk)2022043]</t>
  </si>
  <si>
    <t>Talent Development Bureau of Hainan Provincial Committee of CPC; Science Research Foundation of Hainan University</t>
  </si>
  <si>
    <t>This work was supported by the Talent Development Bureau of Hainan Provincial Committee of CPC Grant numbers: RZ2100007211, Science Research Foundation of Hainan University (kyqd(sk)2022043).</t>
  </si>
  <si>
    <t>AUG 28</t>
  </si>
  <si>
    <t>10.1108/IJSE-05-2022-0364</t>
  </si>
  <si>
    <t>NP7R6</t>
  </si>
  <si>
    <t>WOS:000900964200001</t>
  </si>
  <si>
    <t>Steinert, JI; Zenker, J; Filipiak, U; Movsisyan, A; Cluver, LD; Shenderovich, Y</t>
  </si>
  <si>
    <t>Steinert, Janina I.; Zenker, Juliane; Filipiak, Ute; Movsisyan, Ani; Cluver, Lucie D.; Shenderovich, Yulia</t>
  </si>
  <si>
    <t>Do saving promotion interventions increase household savings, consumption, and investments in Sub-Saharan Africa? A systematic review and meta-analysis</t>
  </si>
  <si>
    <t>Savings; Financial inclusion; Financial literacy; Systematic review; Meta-analysis; Sub-Saharan Africa</t>
  </si>
  <si>
    <t>ROBUST VARIANCE-ESTIMATION; INTIMATE PARTNER VIOLENCE; SEXUAL RISK-TAKING; ORPHANED ADOLESCENTS; DEVELOPING-COUNTRIES; FINANCIAL EDUCATION; PUBLICATION BIAS; META-REGRESSION; GENDER; POOR</t>
  </si>
  <si>
    <t>Saving promotion interventions have gained momentum in international development in recent years. Our analysis investigates whether saving promotion can effectively increase savings, consumption, and future-oriented investments in Sub-Saharan Africa. In an extensive search of 28 academic and policy focused databases in the fields of economics, psychology, and social sciences, 9330 titles and abstracts of published and unpublished studies were screened and 27 randomized controlled trials on saving promotion interventions fulfilled the inclusion criteria. Of these, 24 studies reporting on an aggregated sample of 87,025 individuals provided sufficient information to be included in the meta-analysis. Robust variance estimations of pooled effect sizes show small but significant impacts on poverty reduction, including increases in household expenditures and incomes, higher returns from family businesses, and improved food security. They also show positive and significant impacts on more intermediate outcomes including total savings, pro-saving attitudes, financial literacy, and investments in small-scale family businesses. Our results do not show significant effects on assets, housing quality, education, or health. Results from meta-regressions suggest that supply-based programs are superior to demand enhancing program types such as financial education. They further reveal reduced program effectiveness for women. Overall, findings from this analysis suggest that saving promotion schemes are highly relevant in reducing poverty in Sub-Saharan Africa, and that future efforts should focus on expansion of banking services to the poor as well as gender-sensitive programming. (C) 2017 Elsevier Ltd. All rights reserved.</t>
  </si>
  <si>
    <t>[Steinert, Janina I.; Movsisyan, Ani; Cluver, Lucie D.] Univ Oxford, Dept Social Policy &amp; Intervent, 32-37 Wellington Sq, Oxford OX1 2ER, England; [Zenker, Juliane; Filipiak, Ute] Georg August Univ Gottingen, Fac Econ Sci, Pl Gottinger Sieben 3, D-37073 Gottingen, Germany; [Shenderovich, Yulia] Univ Cambridge, Inst Criminol, Sidgwick Ave, Cambridge CB3 9DA, England; [Cluver, Lucie D.] Univ Cape Town, Dept Psychiat &amp; Mental Hlth, Groote Schuur Hosp, J Block, Cape Town, South Africa</t>
  </si>
  <si>
    <t>University of Oxford; University of Gottingen; University of Cambridge; University of Cape Town</t>
  </si>
  <si>
    <t>Steinert, JI (corresponding author), Univ Oxford, Dept Social Policy &amp; Intervent, 32-37 Wellington Sq, Oxford OX1 2ER, England.</t>
  </si>
  <si>
    <t>janina.steinert@spi.ox.ac.uk</t>
  </si>
  <si>
    <t>Shenderovich, Yulia/ABE-2672-2021; Steinert, Janina Isabel/GNN-0257-2022</t>
  </si>
  <si>
    <t>Shenderovich, Yulia/0000-0002-0254-3397; Steinert, Janina Isabel/0000-0001-7120-0075</t>
  </si>
  <si>
    <t>Eonomic and Social Research Council [ES/J500112/1]; Economic and Social Research Council [1646902] Funding Source: researchfish</t>
  </si>
  <si>
    <t>Eonomic and Social Research Council; Economic and Social Research Council(UK Research &amp; Innovation (UKRI)Economic &amp; Social Research Council (ESRC))</t>
  </si>
  <si>
    <t>Janina I Steinert is grateful for doctoral funding provided by the Eonomic and Social Research Council (award number: ES/J500112/1).</t>
  </si>
  <si>
    <t>10.1016/j.worlddev.2017.11.018</t>
  </si>
  <si>
    <t>FV8QW</t>
  </si>
  <si>
    <t>WOS:000424852900017</t>
  </si>
  <si>
    <t>Zhang, YY; Birkenmaier, J; Huang, J</t>
  </si>
  <si>
    <t>Zhang, Yingying; Birkenmaier, Julie; Huang, Jin</t>
  </si>
  <si>
    <t>Exploratory Factor Analysis of Financial Services and Products Indicators: The Dimensionality of Financial Access</t>
  </si>
  <si>
    <t>consumer financial access; exploratory factor analysis (EFA); financial products and services</t>
  </si>
  <si>
    <t>ECONOMIC HARDSHIP; CAPABILITY; INCLUSION</t>
  </si>
  <si>
    <t>This study explores the underlying dimensions of mainstream financial services and products commonly used to measure consumer financial access, whose psychometric properties remain underexplored. Based on 2023 data collected online from a national sample of 1085 respondents, Exploratory Factor Analysis (EFA) was conducted to identify the latent structure of the financial access measure. The analysis identified three distinct factors, accounting for 41% of the total variance: (1) Basic banking services (checking and savings accounts); (2) Advanced financial services (retirement accounts, Certificate of Deposits, investments, disability insurance, life insurance, bank loan, line of credit, financial counseling/coaching, and credit score); and (3) Mobile/online banking services (mobile banking, transfer applications, and debit cards). These findings underscore the academic and practical significance of evaluating financial access using a comprehensive set of financial products and services across these three categories. The results offer a validated framework for improving financial access measurement and informing inclusive financial policies.</t>
  </si>
  <si>
    <t>[Zhang, Yingying; Birkenmaier, Julie; Huang, Jin] St Louis Univ, Sch Social Work, St Louis, MO 63103 USA</t>
  </si>
  <si>
    <t>julie.birkenmaier@slu.edu</t>
  </si>
  <si>
    <t>Birkenmaier, Julie/F-2597-2010; Zhang, Yingying/AGF-9934-2022</t>
  </si>
  <si>
    <t>National Endowment for Financial Education; National Endowment for Financial Education (NEFE)</t>
  </si>
  <si>
    <t>The authors would like to thank the National Endowment for Financial Education (NEFE) for their generous financial support of this project.</t>
  </si>
  <si>
    <t>e70016</t>
  </si>
  <si>
    <t>10.1111/joca.70016</t>
  </si>
  <si>
    <t>4HX6L</t>
  </si>
  <si>
    <t>WOS:001518427900010</t>
  </si>
  <si>
    <t>Amoako, EO; Appiah-Kubi, J; Achulo, SH; Nketsiah, ET; Ansong, D</t>
  </si>
  <si>
    <t>Amoako, Emmanuel Owusu; Appiah-Kubi, Jamal; Achulo, Solomon Hadi; Nketsiah, Ebow Tawiah; Ansong, David</t>
  </si>
  <si>
    <t>Shaping Children's Financial Future: The Crucial Role of Intrahousehold Influences on Financial Socialization of Children</t>
  </si>
  <si>
    <t>Financial socialization; Family dynamics; Caregiver-child relationships; Multilevel modeling; Money management behavior</t>
  </si>
  <si>
    <t>BEHAVIOR; EDUCATION; LITERACY; CAPABILITY; KNOWLEDGE; FAMILY; INCOME</t>
  </si>
  <si>
    <t>Evidence highlights the role of financial socialization in enhancing people's financial capability and well-being, but the literature on the underlying intrahousehold drivers of financial socialization is underdeveloped. This study applied multilevel modeling approaches to large nationwide data on Ghanaian youth and their caregivers to assess the predictive role of the type of caregiver-child relationship, financial literacy, and money management behavior on family financial socialization practices. Financial socialization was measured from the perspectives of caregivers (i.e., intentional financial conversations) and children (i.e., financial decision-making, visits to financial institutions, and learning about money). The results indicate that living with biological parents (compared to kin or fictive kin) is the strongest driver of family financial socialization, followed by caregivers' money management behavior and financial literacy. These findings underscore the need for targeted interventions to support non-biological children and promote equitable financial socialization for all children. The findings also suggest that financial literacy policies and programming should consider contextual factors that foster inclusive financial capability among all children in diverse household structures.</t>
  </si>
  <si>
    <t>[Amoako, Emmanuel Owusu; Appiah-Kubi, Jamal; Achulo, Solomon Hadi; Ansong, David] Univ North Carolina Chapel Hill, Sch Social Work, 325 Pittsboro St,Campus Box 3550, Chapel Hill, NC 27599 USA; [Nketsiah, Ebow Tawiah] Florida Atlantic Univ, Coll Social Work &amp; Criminal Justice, Boca Raton, FL USA</t>
  </si>
  <si>
    <t>University of North Carolina; University of North Carolina Chapel Hill; University of North Carolina School of Medicine; State University System of Florida; Florida Atlantic University</t>
  </si>
  <si>
    <t>Amoako, EO (corresponding author), Univ North Carolina Chapel Hill, Sch Social Work, 325 Pittsboro St,Campus Box 3550, Chapel Hill, NC 27599 USA.</t>
  </si>
  <si>
    <t>eoa@eunc.edu</t>
  </si>
  <si>
    <t>Ansong, David/P-6162-2016</t>
  </si>
  <si>
    <t>2025 DEC 20</t>
  </si>
  <si>
    <t>10.1007/s40609-025-00407-4</t>
  </si>
  <si>
    <t>Z6911</t>
  </si>
  <si>
    <t>WOS:001642865100001</t>
  </si>
  <si>
    <t>Marthinsen, J; Gordon, S</t>
  </si>
  <si>
    <t>Marthinsen, John; Gordon, Steven</t>
  </si>
  <si>
    <t>A theory of optimum cryptocurrency scope</t>
  </si>
  <si>
    <t>Anonymity; clearing time; cryptocurrency; currency attributes; distributed ledger; diversification; economies of scale; fiat currency; financial crimes; geographic borders; hedge; international mobility; legal tender; liquidity; medium of exchange; Mundell; network effects; optimal currency area; optimal currency scope; price transparency and flexibility; protectionism; pseudonymity; regulation; single global cryptocurrency; single global currency; smart contracts; store of value; tokens; trade integration; transaction costs; unbanked and underbanked; unit of account; utility; volatility</t>
  </si>
  <si>
    <t>NETWORK EXTERNALITIES; CURRENCY AREAS; COMPETITION; DISCRETION; RULES; TRADE</t>
  </si>
  <si>
    <t>Robert Mundell (1961. A Theory of Optimum Currency Areas. The American Economic Review 51 (4): 657-665) framed the fixed-versus-flexible exchange rate controversy in a novel way when he focused attention on currency areas and the ingredients necessary for a group of nations to form an optimal currency area (OCA). This paper proposes an analogous theory for cryptocurrencies, called optimal currency scope (OCS), and explains the conditions necessary for an OCS to exist. In contrast to an OCA, which is defined by its non-overlapping geographic areas, an OCS is defined by its multiple-overlapping attributes and the needs they solve, which we call scope. Scopes are not geographic and have fuzzy boundaries; so, the possibility of competing currencies in a single scope needs to be considered. The central issues surrounding an OCS are the optimal number and magnitude of currency attributes, rather than whether nations should adopt fixed versus fluctuating exchange rates. Similar to the findings since Mundell first introduced his OCA Theory, we find that the optimum number of cryptocurrency attributes and, therefore, the optimal number of cryptocurrencies must be determined empirically rather than theoretically.</t>
  </si>
  <si>
    <t>[Marthinsen, John; Gordon, Steven] Babson Coll, Econ Div, Babson Pk, MA 02157 USA; [Marthinsen, John; Gordon, Steven] Babson Coll, Technol Operat &amp; Informat Management Div, Babson Pk, MA 02157 USA</t>
  </si>
  <si>
    <t>Babson College; Babson College</t>
  </si>
  <si>
    <t>Marthinsen, J (corresponding author), Babson Coll, Econ Div, Babson Pk, MA 02157 USA.</t>
  </si>
  <si>
    <t>marthinsen@babson.edu</t>
  </si>
  <si>
    <t>Marthinsen, John/0000-0001-7288-7569; Gordon, Steven/0000-0002-9015-2547</t>
  </si>
  <si>
    <t>10.1080/10438599.2019.1687395</t>
  </si>
  <si>
    <t>PT0RW</t>
  </si>
  <si>
    <t>WOS:000496772300001</t>
  </si>
  <si>
    <t>Bakari, IH; Idi, A; Ibrahim, Y</t>
  </si>
  <si>
    <t>Bakari, Ibrahim Hassan; Idi, Adamu; Ibrahim, Yusrah</t>
  </si>
  <si>
    <t>INNOVATION DETERMINANTS OF FINANCIAL INCLUSION IN TOP TEN AFRICAN COUNTRIES: A SYSTEM GMM APPROACH</t>
  </si>
  <si>
    <t>Africa; employment; financial inclusion; fiscal policy; monetary policy; system GMM</t>
  </si>
  <si>
    <t>Financial inclusion has been acclaimed to play a significant role in combating the three evils of poverty, unemployment and poverty, which have been a serious hindrance to the growth path of developing countries like Africa. It was against this that, this paper examined the drivers of financial inclusion in the top ten African economies in terms of gross domestic product growth rate. These include Angola, Algeria, Egypt, Kenya, Libya, Nigeria, Morocco, South Africa, Sudan and Tunisia. Covering a period of 2000 to 2015, using System generalized method of moment, which is considered superior to other panel data models due to its ability to address the problem of omission bias, endogeneity and autocorrelation. The data were obtained from World Development Indicators and Worldwide Governance Indicators which are being considered the most efficient sources of data, especially in developing countries. The study reveal that mobile banking, bank branches, political stability, interest rate, and inflation positively drive financial inclusion while income, access to Automated Teller Machine, and government expenditure have the negative impact on financial inclusion. On the bases of the above findings, it was concluded that mobile banking, bank branches, political stability, interest and inflation rate are the major determinants of financial inclusion in Africa. Based on the conclusion, the study recommends that appropriate financial sector policies and measures should be designed by the stakeholders in the financial system in form of low monetary policy rate to encourage access to financial services by all segment of the society. In addition to strict legislation, the can stop banks exploiting their customers through unnecessary bank charges and ensure the penetration of financial institutions into the rural areas. Fiscal and monetary policies should target an increase in the welfare of the masses especially the low-income earners in the society who are mostly excluded in Africa.</t>
  </si>
  <si>
    <t>[Bakari, Ibrahim Hassan] Modibbo Adama Univ Technol, Yola, Nigeria; [Idi, Adamu; Ibrahim, Yusrah] Gombe State Univ, Gombe, Nigeria</t>
  </si>
  <si>
    <t>Bakari, IH (corresponding author), Modibbo Adama Univ Technol, Yola, Nigeria.</t>
  </si>
  <si>
    <t>Hassan, Ibrahim Bakari/0000-0003-0219-9845</t>
  </si>
  <si>
    <t>10.21272/mmi.2018.4-09</t>
  </si>
  <si>
    <t>HM9PG</t>
  </si>
  <si>
    <t>WOS:000459816600009</t>
  </si>
  <si>
    <t>Posti, L; Kholiya, M; Posti, AK</t>
  </si>
  <si>
    <t>Posti, Lokesh; Kholiya, Mamta; Posti, Akhilesh Kumar</t>
  </si>
  <si>
    <t>Returns on informal and formal finance for Indian informal firms: a pseudo panel data analysis</t>
  </si>
  <si>
    <t>EMPIRICA</t>
  </si>
  <si>
    <t>Informal sector; Finance; Credit; Total factor productivity; Pseudo panel; India; D24; L25; M21; O17</t>
  </si>
  <si>
    <t>ECONOMIC-GROWTH; TIME-SERIES; PRODUCTIVITY; SIZE; CONSTRAINTS; MICROENTERPRISES; PERFORMANCE; DYNAMICS; SMES</t>
  </si>
  <si>
    <t>The study investigates the differential impact of various sources of finance on informal firm performance. In the informal sector, where access to finance is limited, we investigate how productivity varies with different sources of finance. Given the data limitations, a pseudo-panel data design was used by combining the three only available, independent cross-sectional surveys conducted by the National Sample Survey Office between 1999 and 2000 and 2015-16. Using formal and informal credit as two different sources of finance and total factor productivity (TFP) as the primary measure of firm performance, we find a positive relationship among them across all major industries; however, the impact of formal finance was higher than informal credit. Our results stand robust against alternative performance measures. Additionally, to address endogeneity concerns, dynamic panel data analysis was adopted. Obtained findings convey essential policy implications for intensification of financial inclusion and financial literacy.</t>
  </si>
  <si>
    <t>[Posti, Lokesh] OP Jindal Global Univ, Jindal Global Business Sch, Sonipat 131001, Haryana, India; [Posti, Akhilesh Kumar] Rani Durgavati Univ, Jabalpur, India</t>
  </si>
  <si>
    <t>O.P. Jindal Global University</t>
  </si>
  <si>
    <t>Posti, L (corresponding author), OP Jindal Global Univ, Jindal Global Business Sch, Sonipat 131001, Haryana, India.</t>
  </si>
  <si>
    <t>lokeshposti@gmail.com; mamtakholiyaftv1@gmail.com; akhilesh.posti@gmail.com</t>
  </si>
  <si>
    <t>POSTI, LOKESH/0000-0001-5836-9896</t>
  </si>
  <si>
    <t>0340-8744</t>
  </si>
  <si>
    <t>1573-6911</t>
  </si>
  <si>
    <t>Empirica</t>
  </si>
  <si>
    <t>10.1007/s10663-025-09650-6</t>
  </si>
  <si>
    <t>4XV4I</t>
  </si>
  <si>
    <t>WOS:001473686400001</t>
  </si>
  <si>
    <t>Gutiérrez, J; Pantoja, M; López, M</t>
  </si>
  <si>
    <t>Duque-Mendez, ND; Aristizabal-Quintero, LA; Orozco-Alzate, M; Aguilar, J</t>
  </si>
  <si>
    <t>Gutierrez, Juan; Pantoja, Martin; Lopez, Marcelo</t>
  </si>
  <si>
    <t>Transparency and Security in Tourism: Exploring the Potential of Blockchain Technology</t>
  </si>
  <si>
    <t>ADVANCES IN COMPUTING, CCC 2024, PT I</t>
  </si>
  <si>
    <t>18th Colombian Conference on Computing</t>
  </si>
  <si>
    <t>SEP 04-06, 2024</t>
  </si>
  <si>
    <t>Manizales, COLOMBIA</t>
  </si>
  <si>
    <t>Universidad Nacional de Colombia</t>
  </si>
  <si>
    <t>Blockchain; Digitalization; innovation; smart tourism</t>
  </si>
  <si>
    <t>This theoretical research addresses the current problem of the trust dilemma and presents a comprehensive approach to understanding the fundamental concepts of blockchain and the specific challenges in the context of tourism in the Caldas region (Colombia). To achieve this purpose A bibliometric and narrative analysis based on the scientific production from the Scopus and Web of Science (WoS) databases was rigorously conducted. The bibliometric, descriptive, and structural analysis, using a corpus of 2,156 documents analyzed with the R program, allowed for the construction of a solid theoretical framework on the topic. Additionally, the network data-based mapping analysis, carried out with VOSviewer, enabled the structuring and visualization of key thematic relationships and emerging trends in the field, identifying research clusters and predominant lines of study. The scope of this exploratory study includes the identification and analysis of trends and patterns in the scientific literature on the implementation of Blockchain technology in the tourism industry. It is also shown the significant implications of blockchain technology for tourism include improving the tourist experience, facilitating fast and hassle-free transactions, and providing financial inclusion for the unbanked. In this article, a general blockchain model for the tourism industry will be presented, specifically designed to integrate with the sector in the region of Caldas (Colombia), emphasizing the urgency of understanding and evaluating the positive impacts. The General Objective is Analyze the potential of Blockchain technology to transform traditional business models and create new opportunities for social and sustainable innovation in the tourism industry.</t>
  </si>
  <si>
    <t>[Gutierrez, Juan; Pantoja, Martin; Lopez, Marcelo] Univ Nacl Colombia, Sede Manizales, Manizales, Colombia; [Lopez, Marcelo] Univ Caldas, Manizales, Colombia</t>
  </si>
  <si>
    <t>Universidad Nacional de Colombia; Universidad de Caldas</t>
  </si>
  <si>
    <t>Gutiérrez, J (corresponding author), Univ Nacl Colombia, Sede Manizales, Manizales, Colombia.</t>
  </si>
  <si>
    <t>jgutierrezgi@unal.edu.co</t>
  </si>
  <si>
    <t>PANTOJA OSPNA, MARTIN ALONSO/0000-0002-7625-3878</t>
  </si>
  <si>
    <t>978-3-031-75232-2; 978-3-031-75233-9</t>
  </si>
  <si>
    <t>10.1007/978-3-031-75233-9_22</t>
  </si>
  <si>
    <t>Computer Science, Artificial Intelligence; Computer Science, Interdisciplinary Applications; Computer Science, Theory &amp; Methods</t>
  </si>
  <si>
    <t>BY3YJ</t>
  </si>
  <si>
    <t>WOS:001435620100022</t>
  </si>
  <si>
    <t>Kusimba, S; Yang, Y; Chawla, N</t>
  </si>
  <si>
    <t>Kusimba, Sibel; Yang, Yang; Chawla, Nitesh</t>
  </si>
  <si>
    <t>Hearthholds of mobile money in western Kenya</t>
  </si>
  <si>
    <t>Mobile Money; Mobile Phones; Kenya; Africa; Kinship; Women</t>
  </si>
  <si>
    <t>NETWORKS; AFRICA</t>
  </si>
  <si>
    <t>Kenyans use mobile money services to transfer money to friends and relatives via mobile phone text messaging. Kenya's M-Pesa is one of the most successful examples of digital money for financial inclusion. This article uses social network analysis and ethnographic information to examine ties to and through women in 12 mobile money transfer networks of kin, drawn from field data collected in 2012, 2013, and 2014. The social networks are based on reciprocal and dense ties among siblings and parents, especially mothers. Men participate equally in social networks, but as brothers and mother's brothers more often than as fathers. The matrilineal ties of mobile money circulate value within the hearthhold (Ekejiuba 2005) of women, their children, and others connected to them. Using remittances, families negotiate investments in household farming or work, education, and migration. Money sending supports the diverse economic strategies, flexible kinship ties, and mobility of hearthholds. Gifts of e-money are said to express a natural love and caring among mothers and siblings and are often private and personal. Consequently, the money circulations of the hearthhold avoid disrupting widely shared ideals of patrilineal solidarity and household autonomy.</t>
  </si>
  <si>
    <t>[Kusimba, Sibel] Amer Univ, Dept Anthropol, Washington, DC 20016 USA; [Yang, Yang] Northwestern Univ, Kellogg Sch Management, Northwestern Inst Complex Syst, Evanston, IL 60208 USA; [Chawla, Nitesh] Univ Notre Dame, Dept Comp Sci &amp; Engn, Notre Dame, IN 46556 USA</t>
  </si>
  <si>
    <t>American University; Northwestern University; University of Notre Dame</t>
  </si>
  <si>
    <t>Kusimba, S (corresponding author), Amer Univ, Dept Anthropol, Washington, DC 20016 USA.</t>
  </si>
  <si>
    <t>skusimba@american.edu</t>
  </si>
  <si>
    <t>Yang, Yang/A-6288-2017; Kusimba, Sibel/AAW-1552-2020; Chawla, Nitesh V/F-2690-2016</t>
  </si>
  <si>
    <t>Yang, Yang/0000-0003-4140-8128; Chawla, Nitesh V/0000-0003-3932-5956</t>
  </si>
  <si>
    <t>Institute for Money, Technology, and Financial Inclusion (IMTFI) at the University of California, Irvine</t>
  </si>
  <si>
    <t>Support for this research was provided by the Institute for Money, Technology, and Financial Inclusion (IMTFI) at the University of California, Irvine in 2012 and 2014, especially through the guidance of Bill Maurer, Ivan Small, Mrinalini Tankha, Ursula Dahlinghaus, Smoki Musaraj, and Jenny Fan. I thank Andrew Nakhisa, Dennis Makokha, Harpieth Chaggar, Mercy Masika, Nanjulula Musombi, Christabel Mateche, Alex Wanyama, Gabriel Kunyu, and Chapurukha Kusimba for assistance in the field. Jenna Burrell, Chapurukha Kusimba, Dolores Koenig, Rahul Oka, Ivan Small, Kentaro Toyama, and two anonymous reviewers have greatly improved this article through their comments.</t>
  </si>
  <si>
    <t>10.1002/sea2.12055</t>
  </si>
  <si>
    <t>VF1EN</t>
  </si>
  <si>
    <t>WOS:000441972800007</t>
  </si>
  <si>
    <t>Muhamad, S; Kusairi, S; Zamri, N</t>
  </si>
  <si>
    <t>Muhamad, Suriyani; Kusairi, Suhal; Zamri, Nadia</t>
  </si>
  <si>
    <t>SAVINGS BEHAVIOUR OF BOTTOM INCOME GROUP: IS THERE ANY ROLE FOR FINANCIAL EFFICACY AND RISK PREFERENCE?</t>
  </si>
  <si>
    <t>behavioural finance; financial efficacy; saving behaviour; risk preference; demographic factors</t>
  </si>
  <si>
    <t>SELF-EFFICACY; KNOWLEDGE; MEDIATOR</t>
  </si>
  <si>
    <t>An immense concern of governments globalwide today is financial inclusion as one of the Sustainable Development Goals (SDGs). Governments arrive at many solutions by addressing the policies to improve financial achievement, mainly through financial education programmes and specifically personal finance. Yet, financial management has such a broad scope and is not limited to just knowledge and financial literacy. Individuals are born with different confidence levels and non-identical financial abilities. This study investigates financial self-efficacy by applying psychometric instruments, risk preference and demography characteristics towards saving decision behaviour. The sample in the survey consisted of 479 respondents in Peninsular Malaysia that then became subject to structural equation modelling. The results show that financial self-efficacy is one of the critical factors that explain individual saving decision behaviour. Also, risk preference, gender and area (rural or urban) determine the saving decision behaviour. This paper also implicates that there might be a gap between the rural and urban levels of financial efficacy that needs government's action to narrow it.</t>
  </si>
  <si>
    <t>[Muhamad, Suriyani; Kusairi, Suhal; Zamri, Nadia] Univ Malaysia Terengganu, Kuala Terengganu, Malaysia</t>
  </si>
  <si>
    <t>Universiti Malaysia Terengganu</t>
  </si>
  <si>
    <t>Kusairi, S (corresponding author), Univ Malaysia Terengganu, Kuala Terengganu, Malaysia.</t>
  </si>
  <si>
    <t>suriyani_md@umt.edu.my; suhal@umt.edu.my; nadiaa.zamri@gmail.com</t>
  </si>
  <si>
    <t>Muhamad, Suriyani/I-1928-2018; Kusairi, Suhal/ABD-2655-2020; , suriyani/I-1928-2018</t>
  </si>
  <si>
    <t>Kusairi, Suhal/0000-0002-9156-6741; , suriyani/0000-0002-9928-8993</t>
  </si>
  <si>
    <t>Fundamental Research Grant Scheme (FRGS) [FRGS/1/2016/SS08/UMT/02/6]; Ministry of Education of Malaysia</t>
  </si>
  <si>
    <t>Fundamental Research Grant Scheme (FRGS); Ministry of Education of Malaysia</t>
  </si>
  <si>
    <t>This study was funded by the Fundamental Research Grant Scheme (FRGS) Under Reference Code; FRGS/1/2016/SS08/UMT/02/6. We would like to thank the Ministry of Education of Malaysia for financial support.</t>
  </si>
  <si>
    <t>10.14254/2071-789X.2021/14-2/3</t>
  </si>
  <si>
    <t>TH6FI</t>
  </si>
  <si>
    <t>WOS:000672183100003</t>
  </si>
  <si>
    <t>Shi, WQ; Ali, M; Leong, CM</t>
  </si>
  <si>
    <t>Shi, Wenqian; Ali, Muhammad; Leong, Choi-Meng</t>
  </si>
  <si>
    <t>Dynamics of personal financial management: a bibliometric and systematic review on financial literacy, financial capability and financial behavior</t>
  </si>
  <si>
    <t>Financial literacy; Financial capability; Financial behavior; Content analysis; Bibliometrics</t>
  </si>
  <si>
    <t>MONEY-MANAGEMENT; SHORT-TERM; KNOWLEDGE; EDUCATION; MODEL; YOUNG; SOCIALIZATION; CONFIDENCE; ATTITUDES; SAVINGS</t>
  </si>
  <si>
    <t>PurposeFinancial literacy, capability and behavior are crucial factors in personal financial management, which in turn plays a significant role in individual and societal financial well-being. The objective of this investigation is to explain critical factors and dimensions of personal financial management systems by employing a hybrid approach that encompasses a bibliometric analysis and a systematic review of the literature.Design/methodology/approachThe research team carefully evaluated a selection of 606 scholarly articles from the Scopus database and studied the evolution of personal financial management behavior over 38 years (1986-2023). This research adopted several graphical representations and network structures to comprehend publishing tendencies, high-impact papers, theoretical frameworks, intellectual constructs as well as the current state of research collaboration.FindingsFour major clusters were identified in the field of personal financial management behavior: the relationship between financial literacy and financial capability, factors influencing financial behavior, the impact of financial behavior on financial well-being and the financial behavior of different demographic groups. In addition, by performing content analysis on papers published within the last five years, new themes in personal financial management behavior were identified.Practical implicationsThis investigation serves to equip financial advisors, policy architects and scholarly investigators with a deeper insight into the intricacies of personal financial management behavior and aids in pinpointing prospective domains for forthcoming research.Originality/valueThis study seeks to address a significant vacuum in the current body of research by providing a thorough bibliometric analysis that specifically examines financial literacy, ability and conduct. To the best of our knowledge, no previous research has conducted such a comprehensive investigation in this field. This research aims to identify important researchers and influential works in the subject by using a mixed-methods approach that combines qualitative and quantitative methodologies, including content analysis. The purpose of doing this is to provide exclusive insights and expertise that can be highly valuable to scholars, practitioners, policymakers and other stakeholders who are interested in furthering the comprehension and encouragement of financial literacy and responsible financial behavior.</t>
  </si>
  <si>
    <t>[Shi, Wenqian; Ali, Muhammad; Leong, Choi-Meng] UCSI Univ, Grad Business Sch, Kuala Lumpur, Malaysia</t>
  </si>
  <si>
    <t>UCSI University</t>
  </si>
  <si>
    <t>Ali, M (corresponding author), UCSI Univ, Grad Business Sch, Kuala Lumpur, Malaysia.</t>
  </si>
  <si>
    <t>alisaleem_01@yahoo.com</t>
  </si>
  <si>
    <t>Ali, Muhammad/AAL-3747-2020; Leong, Choi-Meng/K-1099-2019</t>
  </si>
  <si>
    <t>Ali, Muhammad/0000-0003-2929-8202;</t>
  </si>
  <si>
    <t>10.1108/IJBM-06-2023-0359</t>
  </si>
  <si>
    <t>Q0H5Q</t>
  </si>
  <si>
    <t>WOS:001307738900001</t>
  </si>
  <si>
    <t>Rana, NP; Luthra, S; Rao, HR</t>
  </si>
  <si>
    <t>Rana, Nripendra P.; Luthra, Sunil; Rao, H. Raghav</t>
  </si>
  <si>
    <t>Key challenges to digital financial services in emerging economies: the Indian context</t>
  </si>
  <si>
    <t>E-inclusion; exclusion; Information society; E-commerce; Wireless technology; Digital divide; IS professionals; Digital intervention; E-marketing; Mobile system; Electronic mediated environment</t>
  </si>
  <si>
    <t>CHAIN MANAGEMENT-PRACTICES; RISK PERCEPTIONS; INFORMATION-TECHNOLOGY; COMPREHENSIVE THEORY; CONSUMER ACCEPTANCE; BANKING ADOPTION; INTERNET BANKING; MOBILE PAYMENTS; INTEGRATED ISM; PERCEIVED RISK</t>
  </si>
  <si>
    <t>Purpose Digital financial services (DFS) have substantial prospect to offer a number of reasonable, appropriate and secure banking services to the underprivileged in developing countries through pioneering technologies such as mobile phone based solutions, digital platforms and electronic money models. DFS allow unbanked people to obtain access to financial services through digital technologies. However, DFS face tough challenges of adoption. Realising this, the purpose of this paper is to identify such challenges and develop a framework. Design/methodology/approach The authors developed a framework of challenges by utilising interpretive structural modelling (ISM) and fuzzy MICMAC approach. The authors explored 18 such unique set of challenges culled from the literature and further gathered data from two sets of expert professionals. In the first phase, the authors gathered data from 29 professionals followed by 18 professionals in the second phase. All were pursuing Executive MBA programme from a metropolitan city in South India. The implementation of ISM and fuzzy MICMAC provided a precise set of driving, linkage and dependent variables that were used to derive a framework. Findings ISM model is split in eight different levels. The bottom level consists of a key driving challenge V11 (i.e. high cost and low return related problem), whereas the topmost level consists of two highly dependent challenges namely V1 (i.e. risk of using digital services) and V14 (i.e. lack of trust). The prescribed ISM model shows the involvement of high cost and low return related problem (V11), which triggers further challenges of DFS. Originality/value None of the existing research has explored key challenges to DFS in detail nor formulated a framework for such challenges. To the best of the authors' knowledge, this is the first paper on DFS that attempts to collate its challenges and incorporate them in a hierarchical model using ISM and further divide them into four categories of factors using fuzzy MICMAC analysis.</t>
  </si>
  <si>
    <t>[Rana, Nripendra P.] Swansea Univ, Sch Management, PGR, Swansea, W Glam, Wales; [Luthra, Sunil] State Inst Engn &amp; Technol, Dept Mech Engn, Nilokheri, India; [Rao, H. Raghav] Univ Texas San Antonio, Dept ISCS, COB, San Antonio, TX USA</t>
  </si>
  <si>
    <t>Swansea University; University of Texas System; University of Texas at San Antonio</t>
  </si>
  <si>
    <t>Rana, NP (corresponding author), Swansea Univ, Sch Management, PGR, Swansea, W Glam, Wales.</t>
  </si>
  <si>
    <t>nrananp@gmail.com; sunilluthra1977@gmail.com; hr.rao@utsa.edu</t>
  </si>
  <si>
    <t>Rana, Nripendra/ABA-4719-2020; Luthra, Sunil/D-4135-2014</t>
  </si>
  <si>
    <t>Luthra, Sunil/0000-0001-7571-1331</t>
  </si>
  <si>
    <t>10.1108/ITP-05-2018-0243</t>
  </si>
  <si>
    <t>KC1EQ</t>
  </si>
  <si>
    <t>WOS:000506930300003</t>
  </si>
  <si>
    <t>Cera, G; Khan, KA</t>
  </si>
  <si>
    <t>Cera, Gentjan; Khan, Khurram Ajaz</t>
  </si>
  <si>
    <t>Mobile Banking Intention: Nexus Between Innovation, Tech Adoption, and Gamification</t>
  </si>
  <si>
    <t>JOURNAL OF EAST-WEST BUSINESS</t>
  </si>
  <si>
    <t>Behavioral intention; gamification; mobile banking; technology acceptance</t>
  </si>
  <si>
    <t>INFORMATION-TECHNOLOGY; USER ACCEPTANCE; UNIFIED THEORY; BEHAVIORAL INTENTION; FINANCIAL CAPABILITY; CONSUMER ADOPTION; INTERNET; IMPACT; CUSTOMERS; TRUST</t>
  </si>
  <si>
    <t>Rapid technological advancements have drawn increased attention to consumers' intention to use mobile banking (m-banking). This study addresses the gaps in understanding the determinants of this behavioral intention by introducing a novel research model that amalgamates constructs from three perspectives: diffusion of innovation, the extended unified theory of acceptance and use of technology, and gamification. Analyzing data from four Western Balkan countries, the study employs partial least square-structural equation modeling to confirm the model's robustness. Key factors influencing m-banking intention include compatibility, performance expectancy, facilitation conditions, hedonic motivation, and gamification. These findings provide valuable insights for scholars and practitioners, enabling model refinement and application improvements to enhance consumer acceptance.</t>
  </si>
  <si>
    <t>[Cera, Gentjan] Agr Univ Tirana, Finance &amp; Accounting Dept, Tirana, Albania; [Khan, Khurram Ajaz] Westminster Int Univ Tashkent, Dept Finance, Tashkent, Uzbekistan</t>
  </si>
  <si>
    <t>Cera, G (corresponding author), Agr Univ Tirana, Finance &amp; Accounting Dept, Tirana, Albania.</t>
  </si>
  <si>
    <t>gcera@ubt.edu.al</t>
  </si>
  <si>
    <t>1066-9868</t>
  </si>
  <si>
    <t>1528-6959</t>
  </si>
  <si>
    <t>J EAST-WEST BUS</t>
  </si>
  <si>
    <t>J. East-West Bus.</t>
  </si>
  <si>
    <t>10.1080/10669868.2024.2347165</t>
  </si>
  <si>
    <t>M0N6W</t>
  </si>
  <si>
    <t>WOS:001217022800001</t>
  </si>
  <si>
    <t>Has expansion of mobile phone and internet use spurred financial inclusion in the SAARC countries?</t>
  </si>
  <si>
    <t>Financial inclusion; Fixed effect; Random effect; Panel corrected standard errors; SAARC</t>
  </si>
  <si>
    <t>ECONOMIC-DEVELOPMENT; BANKING</t>
  </si>
  <si>
    <t>Exclusion from the mainstream financial world is a burden on the poor of many countries. The proliferation of new mobile and online financial services, such as e-banking, money transfers, and payment processing has the potential to provide access to basic financial products and services to financially excluded people. The purpose of this study was to investigate the effects of the growth of mobile phone and Internet use on financial inclusion in the South Asian Association for Regional Cooperation (SAARC) countries from 2004 to 2014. We applied principal component analysis to construct a financial inclusion index that served as a proxy variable for the accessibility of financial services in the SAARC countries. Using three different models-the fixed effect, random effect, and panel correction standard errors modelsthis study discovered a positive and significant relationship between the growth of financial inclusion and expansion of both mobile phone and Internet services. Moreover, an empirical study of the control variables showed that the levels of income and education were positively associated with financial inclusion, whereas the size of the rural population and unemployment were negatively related to financial inclusion. In addition, the empirical estimates posit a unidirectional causal flow from the growth of mobile and Internet services to expanded financial inclusion in the SAARC countries.</t>
  </si>
  <si>
    <t>[Lenka, Sanjaya Kumar] Consumer Unity &amp; Trust Soc CUTS Int, D-217,Bhaskar Marg, Jaipur 302016, Rajasthan, India; [Barik, Rajesh] Indian Inst Technol, Sch Humanities &amp; Social Sci, Simrol Campus,Khandwa Rd, Indore 453552, Madhya Pradesh, India</t>
  </si>
  <si>
    <t>Lenka, SK (corresponding author), Consumer Unity &amp; Trust Soc CUTS Int, D-217,Bhaskar Marg, Jaipur 302016, Rajasthan, India.</t>
  </si>
  <si>
    <t>Lenka, Sanjaya Kumar/0000-0001-9353-6872; Barik, Rajesh/0000-0002-8658-0207</t>
  </si>
  <si>
    <t>Ministry of Human Resource Development, Govt. of India</t>
  </si>
  <si>
    <t>We would like to express our gratitude to the Ministry of Human Resource Development, Govt. of India, for providing us financial support during this study period.</t>
  </si>
  <si>
    <t>10.1186/s40854-018-0089-x</t>
  </si>
  <si>
    <t>GB2NR</t>
  </si>
  <si>
    <t>WOS:000428890400001</t>
  </si>
  <si>
    <t>Gumba, BG</t>
  </si>
  <si>
    <t>Gumba, Bernadette G.</t>
  </si>
  <si>
    <t>Mobile Money in a Poor Fishing Municipality in the Philippines</t>
  </si>
  <si>
    <t>poor fishing households; socioeconomic profile; mobile money</t>
  </si>
  <si>
    <t>INCOME-TAX CREDIT; UNITED-STATES; POVERTY; DISSOLUTION; ASSISTANCE; PROGRAMS; WOMEN</t>
  </si>
  <si>
    <t>The study examined the use of mobile money in a poor fishing municipality in the Philippines. Specifically, it aimed to describe the socioeconomic profile of selected poor fishing households in Garchitorena, located in the region of Bicol; to explore the processes and uses of mobile money; and to examine the adaptability of mobile money in the community. Mobile money, according to respondents, was more reliable, safe, and relatively less expensive than the traditional method. It was greatly beneficial to an archipelagic municipality where physical transfer of persons, goods, services, and money was extremely difficult. People got easily accustomed to it because it readily accommodated small money transactions and entailed relatively low cost. It was easy to adapt because cell phones were affordable and accessible. For micro enterprises, it was very helpful for daily replenishment of inventory and money transfer in times of business emergency. Government organizations should improve existing infrastructures that support the use of telecommunications technology. To increase the potential of mobile money as a tool for financial inclusion of the poor, industry players can increase the number of cell sites so that more residents of island barangays would have access to the technology very positively.</t>
  </si>
  <si>
    <t>[Gumba, Bernadette G.] Partido State Univ, Sch Grad Studies &amp; Res, Camarines Sur, Philippines</t>
  </si>
  <si>
    <t>Gumba, BG (corresponding author), Partido State Univ, Sch Grad Studies &amp; Res, Camarines Sur, Philippines.</t>
  </si>
  <si>
    <t>Gavino Gumba, Bernadette/HTR-7595-2023</t>
  </si>
  <si>
    <t>Gavino Gumba, Bernadette/0000-0002-5059-8720</t>
  </si>
  <si>
    <t>Institute for Money, Technology and Financial Inclusion at the University of California in Irvine, California, USA</t>
  </si>
  <si>
    <t>This research was supported by a grant from the Institute for Money, Technology and Financial Inclusion at the University of California in Irvine, California, USA.</t>
  </si>
  <si>
    <t>10.1002/pop4.206</t>
  </si>
  <si>
    <t>FY7BX</t>
  </si>
  <si>
    <t>WOS:000427017700005</t>
  </si>
  <si>
    <t>Millimet, DL; McDonough, IK; Fomby, TB</t>
  </si>
  <si>
    <t>Millimet, Daniel L.; McDonough, Ian K.; Fomby, Thomas B.</t>
  </si>
  <si>
    <t>FINANCIAL CAPABILITY AND FOOD SECURITY IN EXTREMELY VULNERABLE HOUSEHOLDS</t>
  </si>
  <si>
    <t>AMERICAN JOURNAL OF AGRICULTURAL ECONOMICS</t>
  </si>
  <si>
    <t>Food security; financial capability; financial literacy; poverty</t>
  </si>
  <si>
    <t>UNITED-STATES; INSECURITY; LITERACY; ECONOMICS; EDUCATION; MECHANISMS; HAPPINESS; POVERTY; SAMPLE</t>
  </si>
  <si>
    <t>Food insecurity is among the most significant, nutrition-related public health issues facing the United States. Unfortunately, little is known about the determinants of food insecurity except that it is not synonymous with poverty. Many households above the poverty line are food insecure; many below are not. We investigate a lack of financial capability as a potential salient determinant of household-level food security. Using original survey data collected among food pantry clients in North Texas, we assess the impact of financial capacity on food security relying on family background as an exclusion restriction. Our results indicate a strikingly significant effect, both economically and statistically, of financial capability in general and financial behaviors in particular.</t>
  </si>
  <si>
    <t>[Millimet, Daniel L.; Fomby, Thomas B.] Southern Methodist Univ, Econ, Dallas, TX 75205 USA; [McDonough, Ian K.] Univ Nevada, Econ, Las Vegas, NV 89154 USA</t>
  </si>
  <si>
    <t>Southern Methodist University; Nevada System of Higher Education (NSHE); University of Nevada Las Vegas</t>
  </si>
  <si>
    <t>Millimet, DL (corresponding author), Southern Methodist Univ, Econ, Dallas, TX 75205 USA.</t>
  </si>
  <si>
    <t>millimet@smu.edu</t>
  </si>
  <si>
    <t>Millimet, Daniel/ABF-3719-2020</t>
  </si>
  <si>
    <t>McDonough, Ian K/0000-0002-9053-3366</t>
  </si>
  <si>
    <t>Hunger Center of the North Texas Food Bank</t>
  </si>
  <si>
    <t>Daniel L. Millimet is a professor of economics at Southern Methodist University and an IZA research fellow. Ian K. McDonough is an assistant professor of economics at the University of Nevada, Las Vegas. Thomas B. Fomby is a professor of economics at Southern Methodist University. This research was made possible by a grant through the Hunger Center of the North Texas Food Bank. The authors are especially grateful to Richard Amory at the North Texas Food Bank. The authors would like to further thank Lynn Stokes for help with the sampling design and participants at the Three Square research conference, as well as the editor, Timothy Beatty, and three anonymous referees for comments that greatly improved the article.</t>
  </si>
  <si>
    <t>0002-9092</t>
  </si>
  <si>
    <t>1467-8276</t>
  </si>
  <si>
    <t>AM J AGR ECON</t>
  </si>
  <si>
    <t>Am. J. Agr. Econ.</t>
  </si>
  <si>
    <t>10.1093/ajae/aay029</t>
  </si>
  <si>
    <t>GP9EK</t>
  </si>
  <si>
    <t>WOS:000441220100015</t>
  </si>
  <si>
    <t>Sethi, M; Bohra, NS; Johri, A; Asif, M</t>
  </si>
  <si>
    <t>Sethi, Mahak; Bohra, Narendra Singh; Johri, Amar; Asif, Mohammad</t>
  </si>
  <si>
    <t>Emerging dimensions in Fintech: Insights from bibliometric analysis</t>
  </si>
  <si>
    <t>Fintech; Financial inclusion; Bibliometric analysis; Digital finance</t>
  </si>
  <si>
    <t>ADOPTION; FUTURE</t>
  </si>
  <si>
    <t>Fintech has emerged as a transformative force in the financial industry, promoting inclusivity and efficiency. This study aims to conduct a comprehensive bibliometric analysis of 1416 articles sourced from the Scopus database to map the evolution of fintech research. Employing the PRISMA methodology and VOS viewer software, we identify influential authors, key citations, and leading journals in this domain. Our findings indicate a significant increase in fintech research output since 2015, with China and the UK being the foremost contributors. Notably, the UK leads with the highest average citations per article, underscoring its research quality. Prominent journals identified include Sustainability (Switzerland) and IEEE Access. Despite this growth, our analysis reveals critical gaps in literature regarding financial inclusion, digital finance, and sustainability, which are vital for serving underbanked populations and advancing green finance initiatives. Furthermore, research on emerging technologies such as AI, blockchain, and robo-advisors remains limited, presenting substantial opportunities for future exploration. This study highlights the globalization of fintech research through contributions from diverse countries and outlines key trends shaping the field. It not only assesses the current landscape but also raises pertinent research questions to guide future investigations. While limited to articles from Scopus, this analysis serves as a crucial roadmap for future research directions.</t>
  </si>
  <si>
    <t>[Sethi, Mahak; Bohra, Narendra Singh] Grap Era Deemed be Univ, Dept Management Studies, 566-6 Bell Rd, Clement Town, Dehra Dun, Uttaranchal, India; [Johri, Amar; Asif, Mohammad] Saudi Elect Univ, Coll Adm &amp; Financial Sci, Riyadh 11673, Saudi Arabia</t>
  </si>
  <si>
    <t>Saudi Electronic University</t>
  </si>
  <si>
    <t>Johri, A (corresponding author), Saudi Elect Univ, Coll Adm &amp; Financial Sci, Riyadh 11673, Saudi Arabia.</t>
  </si>
  <si>
    <t>a.johri@seu.edu.sa; masif@seu.edu.sa</t>
  </si>
  <si>
    <t>Johri, Amar/KLZ-4667-2024; Bohra, N S/HJY-6394-2023</t>
  </si>
  <si>
    <t>Bohra, N S/0000-0002-3298-9592</t>
  </si>
  <si>
    <t>10.1016/j.digbus.2025.100113</t>
  </si>
  <si>
    <t>0AR3V</t>
  </si>
  <si>
    <t>WOS:001442864000001</t>
  </si>
  <si>
    <t>Campos, AFC; Cortés, FMT; Daniel, BD; Saenz, CAT</t>
  </si>
  <si>
    <t>Guarda, T; Portela, G; Gatica, G</t>
  </si>
  <si>
    <t>Cabrera Campos, Alvaro Fernando; Tornero Cortes, Fabriccio Manuel; Burga Durango, Daniel; Tello Saenz, Carlos Alberto</t>
  </si>
  <si>
    <t>Design of a Crowdlending System for SMEs Based on Smart Contract in Metropolitan Lima</t>
  </si>
  <si>
    <t>ADVANCED RESEARCH IN TECHNOLOGIES, INFORMATION, INNOVATION AND SUSTAINABILITY, ARTIIS 2024, PT III</t>
  </si>
  <si>
    <t>4th International Conference on Advanced Research in Technologies Information Innovation and Sustainability-ARTIIS-Annual</t>
  </si>
  <si>
    <t>OCT 21-23, 2024</t>
  </si>
  <si>
    <t>Universidad Andres Bello, Santiago, CHILE</t>
  </si>
  <si>
    <t>Universidade do Minho</t>
  </si>
  <si>
    <t>Universidad Andres Bello</t>
  </si>
  <si>
    <t>smart contract; blockchain technology; crowdlending; sme financing; access to finance; financial inclusion; decentralized finance; metropolitan lima</t>
  </si>
  <si>
    <t>Small and medium-sized enterprises (SMEs) are crucial for economic growth and job creation, especially in developing economies. In Metropolitan Lima, SMEs face obstacles in accessing traditional financing due to stringent requirements, lengthy processes, and high interest rates. To address this, we propose a blockchain-based crowdlending system using smart contracts to facilitate secure, transparent, and efficient financing for SMEs. This system eliminates intermediaries and inefficiencies of traditional banking, allowing SMEs to access capital from a wider pool of investors on more favorable terms. Smart contracts automate and streamline the lending process, ensuring transaction transparency and immutability, which fosters trust among borrowers, lenders, and stakeholders. The decentralized nature of blockchain reduces transaction costs and simplifies processes. Our extensive user validation with SMEs and potential investors in Metropolitan Lima showed a 99% compliance rate on key indicators, including transaction completion, user satisfaction, and perceived security. This innovative system has the potential to transform SME financing in Metropolitan Lima, empowering SMEs to drive economic growth, create jobs, and foster a more inclusive financial ecosystem.</t>
  </si>
  <si>
    <t>[Cabrera Campos, Alvaro Fernando; Tornero Cortes, Fabriccio Manuel; Burga Durango, Daniel] Peruvian Univ Appl Sci, Lima, Peru; [Tello Saenz, Carlos Alberto] Univ Estadual Paulista, Sao Paulo, Brazil</t>
  </si>
  <si>
    <t>Universidad Peruana de Ciencias Aplicadas (UPC); Universidade Estadual Paulista</t>
  </si>
  <si>
    <t>Campos, AFC; Cortés, FMT; Daniel, BD (corresponding author), Peruvian Univ Appl Sci, Lima, Peru.;Saenz, CAT (corresponding author), Univ Estadual Paulista, Sao Paulo, Brazil.</t>
  </si>
  <si>
    <t>u201912722@upc.edu.pe; u201713252@upc.edu.pe; pcsidbur@upc.edu.pe; tello.saenz@unesp.br</t>
  </si>
  <si>
    <t>Burga-Durango, Daniel/0000-0003-0312-727X; Cabrera Campos, Alvaro Fernando/0009-0007-0835-2819</t>
  </si>
  <si>
    <t>978-3-031-84077-7; 978-3-031-84078-4</t>
  </si>
  <si>
    <t>10.1007/978-3-031-84078-4_22</t>
  </si>
  <si>
    <t>BY6BO</t>
  </si>
  <si>
    <t>WOS:001472392100022</t>
  </si>
  <si>
    <t>Dehghani, MA; Karavidas, D; Brauneis, A; Thavorn, J</t>
  </si>
  <si>
    <t>Dehghani, Milad A.; Karavidas, Dionysios; Brauneis, Alexander; Thavorn, Jakkrit</t>
  </si>
  <si>
    <t>Stablecoins, CBDCs, and the Digital Bridge to Global Finance: What Characteristics Make Countries Endeavor CBDC</t>
  </si>
  <si>
    <t>CBDC; Central Bank Digital Currencies; Cryptocurrencies; Stablecoins; Political Regimes; Drivers of Innovation</t>
  </si>
  <si>
    <t>BANK; TECHNOLOGY; FREEDOM; INDEX</t>
  </si>
  <si>
    <t>The adoption of central bank digital currencies (CBDCs) is accelerating, with four nations deploying them by 2024 and over a hundred considering adoption. CBDCs offer a digital alternative to traditional fiat currency, managed by central banks, aiming to enhance payment efficiency, ensure privacy, promote financial inclusion, and counter the rise of privately issued stablecoins. Despite extensive research on CBDCs, little is known about the factors driving countries to pursue these projects. This paper explores key determinants, such as political regime, human development, economic freedom, and perceived corruption, and examines how stablecoins shape dynamics.</t>
  </si>
  <si>
    <t>[Dehghani, Milad A.; Brauneis, Alexander] Nottingham Trent Univ, Nottingham Business Sch, Nottingham, England; [Dehghani, Milad A.; Thavorn, Jakkrit] Thammasat Univ, Thammasat Business Sch, Bangkok, Thailand; [Karavidas, Dionysios] Queens Univ, Queens Business Sch, Belfast, North Ireland</t>
  </si>
  <si>
    <t>University of Nottingham; Nottingham Trent University; Thammasat University; Queens University Belfast</t>
  </si>
  <si>
    <t>Dehghani, MA (corresponding author), Nottingham Trent Univ, Nottingham Business Sch, Nottingham, England.;Dehghani, MA (corresponding author), Thammasat Univ, Thammasat Business Sch, Bangkok, Thailand.</t>
  </si>
  <si>
    <t>; Thavorn, Jakkrit/GLR-5675-2022</t>
  </si>
  <si>
    <t>Karavidas, Dionysios/0000-0003-3349-6834; Brauneis, Alexander/0000-0001-6965-5492; Thavorn, Jakkrit/0000-0002-8341-4203</t>
  </si>
  <si>
    <t>10.17705/1CAIS.05630</t>
  </si>
  <si>
    <t>3UC6S</t>
  </si>
  <si>
    <t>WOS:001509051100014</t>
  </si>
  <si>
    <t>Mia, MA; Sangwan, S; Hussain, AHMB; Malim, NAK</t>
  </si>
  <si>
    <t>Mia, Md Aslam; Sangwan, Sunil; Hussain, A. H. M. Belayeth; Malim, Nurhafiza Abdul Kader</t>
  </si>
  <si>
    <t>Rural-urban financial inclusion: Implications on the cost sustainability of microfinance lenders</t>
  </si>
  <si>
    <t>MANAGERIAL AND DECISION ECONOMICS</t>
  </si>
  <si>
    <t>TRANSACTION COSTS; INSTITUTIONS; OUTREACH; MFIS</t>
  </si>
  <si>
    <t>Despite the higher demand for credit among the rural poor, many commercial banks and microfinance institutions (MFIs) are averse towards microfinancing activities in rural areas due to their high-cost implication compared to urban areas. Therefore, this study empirically investigates the effect of rural and urban financial inclusion on the cost sustainability of MFIs. To this end, a globally representative sample of 1729 MFIs' data covering the period 2008-2018 were analyzed. Contrary to the orthodox perception, our overall result revealed that lending in rural areas is more cost-efficient than in urban areas, even after considering various proxies and endogeneity issues.</t>
  </si>
  <si>
    <t>[Mia, Md Aslam; Malim, Nurhafiza Abdul Kader] Univ Sains Malaysia, Sch Management, George Town 11800, Malaysia; [Mia, Md Aslam] Daffodil Int Univ, Dept Business Adm, Dhaka, Bangladesh; [Sangwan, Sunil] Christ Univ, Dept Commerce, Pune, Maharashtra, India; [Hussain, A. H. M. Belayeth] Univ Sains Malaysia, Ctr Res Women &amp; Gender KANITA, George Town, Malaysia</t>
  </si>
  <si>
    <t>Universiti Sains Malaysia; Daffodil International University; Universiti Sains Malaysia</t>
  </si>
  <si>
    <t>Mia, Aslam/AAD-6996-2020; ABDUL KADER MALIM, NURHAFIZA/S-9078-2018; Hussain, A H M Belayeth/L-7875-2019</t>
  </si>
  <si>
    <t>Mia, Aslam/0000-0002-6452-1126; ABDUL KADER MALIM, NURHAFIZA/0000-0002-5113-918X; Hussain, A H M Belayeth/0000-0002-9509-9562; SANGWAN, SUNIL/0000-0002-2398-3180</t>
  </si>
  <si>
    <t>Universiti Sains Malaysia [304/PMGT/6315547]</t>
  </si>
  <si>
    <t>Universiti Sains Malaysia(Universiti Sains Malaysia)</t>
  </si>
  <si>
    <t>Universiti Sains Malaysia, Grant/Award Number: 304/PMGT/6315547</t>
  </si>
  <si>
    <t>0143-6570</t>
  </si>
  <si>
    <t>1099-1468</t>
  </si>
  <si>
    <t>MANAG DECIS ECON</t>
  </si>
  <si>
    <t>Manag. Decis. Econ.</t>
  </si>
  <si>
    <t>10.1002/mde.3498</t>
  </si>
  <si>
    <t>3P0GH</t>
  </si>
  <si>
    <t>WOS:000722368100001</t>
  </si>
  <si>
    <t>Lahiri, S; Biswas, S</t>
  </si>
  <si>
    <t>Lahiri, Shreya; Biswas, Shreya</t>
  </si>
  <si>
    <t>Does financial literacy improve financial behavior in emerging economies? Evidence from India</t>
  </si>
  <si>
    <t>Financial literacy; Financial behavior; Financial planning; Insurance; G530; G510; G520; G410</t>
  </si>
  <si>
    <t>PROPENSITY SCORE; RETIREMENT; EDUCATION</t>
  </si>
  <si>
    <t>Purpose The study aims to empirically analyze whether financial literacy can improve the financial behavior of individuals in the context of emerging markets like India. Design/methodology/approach The authors use the nationally representative Financial Inclusion Insights survey conducted in India during 2018 for the analysis. The authors consider the financial literacy score based on the standard financial literacy quiz that includes understanding basic numeracy, interest rates, inflation and diversification concepts to study its effect on payment attitude, savings attitude and risk management behavior proxied by insurance uptake. Using an instrumental variable approach, the authors account for the possible endogeneity associated with the financial literacy variable. Findings The authors find that less than 9% of individuals have correctly answered questions capturing all four aspects of financial literacy. The analysis suggests that improvements in financial literacy scores indeed increases the likelihood of exhibiting superior financial behavior. The results are robust to alternative definitions of financial literacy, outcome variables and inclusion of additional controls. The authors find that financial literacy increases financial planning, and this, in turn, possibly improves financial behavior. The effects are prominent for those residing in the urban area and having confidence in their financial skills. Originality/value This is among the few studies that provide insights regarding how improvements in financial literacy can improve financial behavior in an emerging economy context. Moreover, this study highlights financial planning as a possible channel through which financial literacy affects financial behavior. Further, the heterogeneous effects based on the area of residence and own ability underscore the need for complementary policies.</t>
  </si>
  <si>
    <t>[Lahiri, Shreya; Biswas, Shreya] Birla Inst Technol &amp; Sci Pilani, Dept Econ &amp; Finance, Hyderabad Campus, Hyderabad, India</t>
  </si>
  <si>
    <t>Biswas, S (corresponding author), Birla Inst Technol &amp; Sci Pilani, Dept Econ &amp; Finance, Hyderabad Campus, Hyderabad, India.</t>
  </si>
  <si>
    <t>shreya@hyderabad.bits-pilani.ac.in</t>
  </si>
  <si>
    <t>; Biswas, Shreya/ABH-2415-2022</t>
  </si>
  <si>
    <t>Lahiri, Shreya/0000-0002-7881-4931; Biswas, Shreya/0000-0002-1745-1057</t>
  </si>
  <si>
    <t>10.1108/MF-09-2021-0440</t>
  </si>
  <si>
    <t>WOS:000775150100001</t>
  </si>
  <si>
    <t>Ajefu, JB; Massacky, F</t>
  </si>
  <si>
    <t>Ajefu, Joseph B.; Massacky, Falecia</t>
  </si>
  <si>
    <t>Mobile money, child labour and school enrolment</t>
  </si>
  <si>
    <t>Mobile money; Child; Labour; Schooling; Enrolment; Tanzania</t>
  </si>
  <si>
    <t>PANEL EVIDENCE; INCOME SHOCKS; RISK; INSURANCE; IMPACT; CASH; REMITTANCES; CONSTRAINTS; MECHANISMS; POVERTY</t>
  </si>
  <si>
    <t>This paper analyses the impact of household adoption of mobile money services on child labour and schooling in Tanzania. The paper uses data drawn from the Tanzania National Panel Surveys (TNPS), for the survey periods as follows: 2008/09, 2010/11, 2012/13, and 2014/15. The TNPS are national representative surveys conducted by the National Bureau of Statistics of Tanzania in collaboration with the World Bank Living Standards Measurement Study-Integrated Surveys on Agriculture (LMSA-ISA). The surveys collect detailed information on individual, household, and community-level characteristics. The panel nature of the TNPS allows for the same households to be interviewed over time. The study uses a difference-in-differences approach, and instrumental variables strategy to investigate the nexus between mobile money adoption and child labour and school enrolment in Tanzania. The findings of this study reveal a positive and significant effect of mobile money adoption on school enrolment, but a negative effect on children's labour market activities. Moreover, the study identifies heterogenous impacts across child's gender and age; and remittances receipt and education expenditure are the potential pathways through which mobile money adoption affects child labour and school enrolment. Overall, the results suggest that policies that enhance financial inclusion such as the introduction of mobile money can be effective in improving child's school enrolment and a decline in the incidence of child labour.</t>
  </si>
  <si>
    <t>[Ajefu, Joseph B.] Univ Bradford, Dept Peace Studies &amp; Int Dev, Fac Management Law &amp; Social Sci, Bradford, England; [Ajefu, Joseph B.] Univ Johannesburg, Ctr Social Dev Afr, Johannesburg, South Africa; [Massacky, Falecia] Ardhi Univ, Dar Es Salaam, Tanzania</t>
  </si>
  <si>
    <t>University of Bradford; University of Johannesburg</t>
  </si>
  <si>
    <t>Ajefu, JB (corresponding author), Univ Bradford, Dept Peace Studies &amp; Int Dev, Fac Management Law &amp; Social Sci, Bradford, England.</t>
  </si>
  <si>
    <t>j.ajefu@bradford.ac.uk; falecia.masaki@gmail.com</t>
  </si>
  <si>
    <t>African Economic Research Consortium (AERC) [RT19529]</t>
  </si>
  <si>
    <t>Funding This project was supported by the African Economic Research Consortium (AERC) [Grant No. RT19529] .</t>
  </si>
  <si>
    <t>10.1016/j.telpol.2023.102648</t>
  </si>
  <si>
    <t>Z3OZ1</t>
  </si>
  <si>
    <t>WOS:001111212500001</t>
  </si>
  <si>
    <t>Mukherjee, S</t>
  </si>
  <si>
    <t>Mukherjee, Shreya</t>
  </si>
  <si>
    <t>Factors impeding buy now, pay later (BNPL) adoption in India: A mixed-method approach</t>
  </si>
  <si>
    <t>Buy now pay later (BNPL); Decision making trial and evaluation; laboratory (DEMATEL); Financial technology adoption; Mixed-methods; Behavioral finance; Netnography; Innovation resistance theory</t>
  </si>
  <si>
    <t>KNOWLEDGE MANAGEMENT; STATUS-QUO; BARRIERS; PERCEPTION; INERTIA; GUIDELINES; INTENTION; SERVICES; SYSTEMS; WOMEN</t>
  </si>
  <si>
    <t>Buy Now, Pay Later (BNPL) services are reshaping digital credit access in India, yet their adoption remains limited due to complex and interrelated consumer barriers. While previous research has explored general fintech or digital payment adoption, there is a significant gap in understanding BNPL-specific barriers, particularly how these barriers influence one another within India's distinct socio-economic and regulatory landscape. India's rapid fintech growth, large unbanked population, evolving regulatory environment, and uneven levels of digital and financial literacy make it a unique and urgent case for such inquiry. Thus, this study aims to identify and rank the key barriers to BNPL adoption in the Indian context and analyze their causal interrelationships, and adopts a sequential mixed-methods design for the same. In the qualitative phase, a netnographic analysis of BNPL app reviews-supported by existing literature (specifically Innovation Resistance Theory) and expert insights-was used to identify barriers. In the quantitative phase, the 'Decision-Making Trial and Evaluation Laboratory' (DEMATEL) method was employed to analyze seven identified barriers, categorize them into causal and effect groups, and assess their interdependencies. The findings reveal digital illiteracy as the most influential causal barrier, affecting others such as inertia, privacy concerns, hidden fees and high penalty fees, and negative credit profiles. Impulse buying and regulatory concerns also emerged as key causal factors. The study offers practical recommendations, such as financial education, responsible lending, and regulatory reform, and contributes to BNPL literature by applying a novel methodological lens to an underexplored market. These insights can guide stakeholders seeking to responsibly scale BNPL adoption in India.</t>
  </si>
  <si>
    <t>[Mukherjee, Shreya] Indian Inst Technol Kharagpur, Vinod Gupta Sch Management, Kharagpur, WB, India</t>
  </si>
  <si>
    <t>Mukherjee, S (corresponding author), Indian Inst Technol Kharagpur, Vinod Gupta Sch Management, Kharagpur, WB, India.</t>
  </si>
  <si>
    <t>10.1016/j.jretconser.2025.104402</t>
  </si>
  <si>
    <t>4RE0Z</t>
  </si>
  <si>
    <t>WOS:001524711200003</t>
  </si>
  <si>
    <t>Mobile money adoption in rural Rwanda: A domestication perspective</t>
  </si>
  <si>
    <t>mobile money; rural Rwanda; domestication perspective; qualitative explorative research</t>
  </si>
  <si>
    <t>TECHNOLOGY; SERVICES; ACCEPTANCE; INTENTION; AFRICA; ACCESS; PHONES</t>
  </si>
  <si>
    <t>With this explorative research, we investigate if and how farmers in Rwanda adopt mobile money, or m-money, and integrate it into their everyday life to foster their economic development and social well-being. To this end, we adapt a domestication perspective and base our research on qualitative evidence from 72 semi-structured interviews with farmers in rural Rwanda. Our findings reveal that - where available - Rwandan farmers continuously domesticate m-money. While they acknowledge the convenience of using m-money, they experience three major inhibitors that particularly affect its use for business: (1) limited opportunities for learning about m-money, (2) high and non-transparent costs, and (3) barely accessible network agents with insufficient liquidity. Based on our findings, we discuss how policymakers and service providers can increase the adoption of m-money among farmers, thereby reducing social exclusion of the unbanked and fostering economic growth in Rwanda and other emerging economies.</t>
  </si>
  <si>
    <t>Loebbecke, C (corresponding author), Univ Cologne, Dept Media &amp; Technol Management, Cologne, Germany.</t>
  </si>
  <si>
    <t>uwamarim@smail.uni-koeln.de; claudia.loebbecke@uni-koeln.de; stefan.cremer@uni-koeln.de</t>
  </si>
  <si>
    <t>10.1080/23322373.2021.1902209</t>
  </si>
  <si>
    <t>SM9KI</t>
  </si>
  <si>
    <t>WOS:000646103400001</t>
  </si>
  <si>
    <t>Biosca, O; Mchugh, N; Ibrahim, F; Baker, R; Laxton, T; Donaldson, C</t>
  </si>
  <si>
    <t>Biosca, Olga; Mchugh, Neil; Ibrahim, Fatma; Baker, Rachel; Laxton, Tim; Donaldson, Cam</t>
  </si>
  <si>
    <t>Walking a Tightrope: Using Financial Diaries to Investigate Day-to-Day Financial Decisions and the Social Safety Net of the Financially Excluded</t>
  </si>
  <si>
    <t>ANNALS OF THE AMERICAN ACADEMY OF POLITICAL AND SOCIAL SCIENCE</t>
  </si>
  <si>
    <t>financial exclusion; poverty; social networks; financial diaries; microcredit; RoSCAs; informal finance</t>
  </si>
  <si>
    <t>COMMUNITY-DEVELOPMENT FINANCE; POVERTY; MICROCREDIT; ENTERPRISE; HOUSEHOLD; ACCESS</t>
  </si>
  <si>
    <t>Financially vulnerable, low-income individuals are more likely to experience financial exclusion as they are unable to access financial services that meet their needs. How do they cope with economic instability, and what is the role of social networks in their coping strategies? Using financial diaries, we explore the day-to-day monetary transactions (n = 16,889) of forty-five low-to-moderate income individuals with restricted access to mainstream lending in Glasgow, UK, over a six-month period. Our sample includes users of microcredit and financial advice, as well as nonusers of these services. Findings reveal that informal lending to avoid the pernicious effects of short-term illiquidity was pervasive among these individuals. However, taking informal loans often strains valuable social capital and keeps people from building up a formal credit footprint. Our findings suggest that financially vulnerable populations would benefit from policies that focus on alternative financial mechanisms to help stabilize income-insecure individuals in the short-term.</t>
  </si>
  <si>
    <t>[Biosca, Olga] Glasgow Caledonian Univ, Yunus Ctr Social Business &amp; Hlth, Social Business &amp; Microfinance, Glasgow, Lanark, Scotland; [Mchugh, Neil; Ibrahim, Fatma; Baker, Rachel] Glasgow Caledonian Univ, Yunus Ctr Social Business &amp; Hlth, Glasgow, Lanark, Scotland; [Laxton, Tim] Glasgow Caledonian Univ, Sch Hlth &amp; Life Sci, Glasgow, Lanark, Scotland; [Donaldson, Cam] Glasgow Caledonian Univ, Social Business &amp; Hlth, Glasgow, Lanark, Scotland</t>
  </si>
  <si>
    <t>Glasgow Caledonian University; Glasgow Caledonian University; Glasgow Caledonian University; Glasgow Caledonian University</t>
  </si>
  <si>
    <t>Biosca, O (corresponding author), Glasgow Caledonian Univ, Yunus Ctr Social Business &amp; Hlth, Social Business &amp; Microfinance, Glasgow, Lanark, Scotland.</t>
  </si>
  <si>
    <t>olga.biosca@gcu.ac.uk</t>
  </si>
  <si>
    <t>; Baker, Rachel/B-8469-2013; McHugh, Neil/JEO-5752-2023</t>
  </si>
  <si>
    <t>Biosca, Olga/0000-0003-0422-0003; Baker, Rachel/0000-0002-3451-2018; McHugh, Neil/0000-0002-2567-1527</t>
  </si>
  <si>
    <t>Chief Scientist Office (CSO) Scotland [CZH/4/1095]</t>
  </si>
  <si>
    <t>Chief Scientist Office (CSO) Scotland</t>
  </si>
  <si>
    <t>This work was supported by the Chief Scientist Office (CSO) Scotland (FinWell - ref. CZH/4/1095).</t>
  </si>
  <si>
    <t>0002-7162</t>
  </si>
  <si>
    <t>1552-3349</t>
  </si>
  <si>
    <t>ANN AM ACAD POLIT SS</t>
  </si>
  <si>
    <t>Ann. Am. Acad. Polit. Soc. Sci.</t>
  </si>
  <si>
    <t>10.1177/0002716220921154</t>
  </si>
  <si>
    <t>Political Science; Social Sciences, Interdisciplinary</t>
  </si>
  <si>
    <t>Government &amp; Law; Social Sciences - Other Topics</t>
  </si>
  <si>
    <t>LP5BP</t>
  </si>
  <si>
    <t>WOS:000534332700003</t>
  </si>
  <si>
    <t>Chiu, TK</t>
  </si>
  <si>
    <t>Chiu, Tzu-Kuan</t>
  </si>
  <si>
    <t>Putting Responsible Finance to Work for Citi Microfinance</t>
  </si>
  <si>
    <t>Citigroup; Ethics code; Microfinance; Responsible finance; Special social responsibility</t>
  </si>
  <si>
    <t>This paper develops an ethical framework for responsible finance and then applies it to Citigroup (Citi), a major financial actor in the microfinance sector, to see whether it meets with such obligations. The framework consists of two categories of responsibility. The first category is the special social responsibility of financial institutions; and the second is the fundamental principles of ethical behavior in financial services. From Citigroup's microfinance model, scope of business, and multiple roles in the market, the company seems to be fulfilling its responsibility in inclusive finance. However, judged in term of the principles of integrity, objectivity, fairness, professionalism, and diligence, it falls short of its ethical responsibility. In view of this shortcoming, Citigroup should recall its obligation to avoid conflicts of interest, to provide responsible advice, to protect clients from over-indebtedness, and most importantly, to act with integrity.</t>
  </si>
  <si>
    <t>Natl Cent Univ, Dept Finance, Chungli 32054, Taiwan</t>
  </si>
  <si>
    <t>Chiu, TK (corresponding author), Natl Cent Univ, Dept Finance, Chungli 32054, Taiwan.</t>
  </si>
  <si>
    <t>chiu@cc.ncu.edu.tw</t>
  </si>
  <si>
    <t>10.1007/s10551-013-1626-1</t>
  </si>
  <si>
    <t>AA8VZ</t>
  </si>
  <si>
    <t>WOS:000331374400005</t>
  </si>
  <si>
    <t>Bongomin, GOC; Ntayi, JM; Munene, JC; Akol, CM</t>
  </si>
  <si>
    <t>Bongomin, George Okello Candiya; Ntayi, Joseph Mpeera; Munene, John C.; Akol, Charles Malinga</t>
  </si>
  <si>
    <t>Financial intermediation and financial inclusion of poor households: Mediating role of social networks in rural Uganda</t>
  </si>
  <si>
    <t>financial inclusion; social networks; financial intermediation; rural Uganda; poor households; banks and microfinance; financial intermediaries</t>
  </si>
  <si>
    <t>CREDIT; ACCESS; INFORMATION; BANKING</t>
  </si>
  <si>
    <t>The paper examined the mediating role of social networks in the relationship between financial intermediation and financial inclusion of poor households in rural Uganda. The paper used SPSS (statistical package for social scientist) and applied MedGraph program (Excel version 13), Sobel test, and Kenny &amp; Baron guideline to test for the mediating role of social networks in the relationship between financial intermediation and financial inclusion. Quantitative data were collected from a total sample of 400 poor households living in rural Uganda who were randomly selected for this study. The findings revealed that social networks partially mediate in the relationship between financial intermediation and financial inclusion of poor households in rural Uganda. Besides, social networks and financial intermediation have significant and positive impacts on financial inclusion of poor households in rural Uganda. This implies that some effects of financial intermediation on financial inclusion go through social networks to cause an impact on financial inclusion of poor households in rural Uganda. Therefore, financial institutions such as banks and microfinance institutions should develop financial products and services that promote social networking among poor households in rural Uganda. In addition, they should advocate for participation by poor households in existing village associations and social organizations so as to develop wide social networks. This will help them to gain access to scarce and vital information about available financial services like credit.</t>
  </si>
  <si>
    <t>[Bongomin, George Okello Candiya; Munene, John C.] Makerere Univ, Business Sch, Dept FGSR, Kampala, Uganda; [Ntayi, Joseph Mpeera] Makerere Univ, Business Sch, Dept Procurement &amp; Logist Management, Kampala, Uganda; [Akol, Charles Malinga] Makerere Univ, Business Sch, Dept Finance, Kampala, Uganda</t>
  </si>
  <si>
    <t>Bongomin, GOC (corresponding author), Makerere Univ, Business Sch, Dept FGSR, Kampala, Uganda.</t>
  </si>
  <si>
    <t>abaikol3@yahoo.co.uk; ntayius@gmail.com; kigozimunene@gmail.com; camalinga@gmail.com</t>
  </si>
  <si>
    <t>AUG 29</t>
  </si>
  <si>
    <t>10.1080/23322039.2017.1362184</t>
  </si>
  <si>
    <t>FF0LG</t>
  </si>
  <si>
    <t>WOS:000408592600001</t>
  </si>
  <si>
    <t>Financial Inclusion in Emerging Economies: The Application of Machine Learning and Artificial Intelligence in Credit Risk Assessment</t>
  </si>
  <si>
    <t>application; artificial intelligence; emerging economies; financial inclusion; credit risk assessment; machine learning</t>
  </si>
  <si>
    <t>In banking and finance, credit risk is among the important topics because the process of issuing a loan requires a lot of attention to assessing the possibilities of getting the loaned money back. At the same time in emerging markets, the underbanked individuals cannot access traditional forms of collateral or identification that is required by financial institutions for them to be granted loans. Using the literature review approach through documentary and conceptual analysis to investigate the impact of machine learning and artificial intelligence in credit risk assessment, this study discovered that artificial intelligence and machine learning have a strong impact on credit risk assessments using alternative data sources such as public data to deal with the problems of information asymmetry, adverse selection, and moral hazard. This allows lenders to do serious credit risk analysis, to assess the behaviour of the customer, and subsequently to verify the ability of the clients to repay the loans, permitting less privileged people to access credit. Therefore, this study recommends that financial institutions such as banks and credit lending institutions invest more in artificial intelligence and machine learning to ensure that financially excluded households can obtain credit.</t>
  </si>
  <si>
    <t>[Mhlanga, David] Univ Johannesburg, Dept Accountancy, ZA-2006 Johannesburg, South Africa</t>
  </si>
  <si>
    <t>Mhlanga, D (corresponding author), Univ Johannesburg, Dept Accountancy, ZA-2006 Johannesburg, South Africa.</t>
  </si>
  <si>
    <t>dmhlanga@uj.ac.za</t>
  </si>
  <si>
    <t>Mhlanga, David/0000-0002-8512-2124</t>
  </si>
  <si>
    <t>10.3390/ijfs9030039</t>
  </si>
  <si>
    <t>UV8LS</t>
  </si>
  <si>
    <t>WOS:000699723200001</t>
  </si>
  <si>
    <t>Swain, RB; Nsabimana, A</t>
  </si>
  <si>
    <t>Swain, Ranjula Bali; Nsabimana, Aimable</t>
  </si>
  <si>
    <t>Financial inclusion and nutrition among rural households in Rwanda</t>
  </si>
  <si>
    <t>EUROPEAN REVIEW OF AGRICULTURAL ECONOMICS</t>
  </si>
  <si>
    <t>financial inclusion; food security; nutrition; sustainable development goals; Rwanda</t>
  </si>
  <si>
    <t>GENDER INEQUALITY; FOOD SECURITY; IMPACT; INCOME; MICROFINANCE; VULNERABILITY; ACCESS; WOMEN; URBAN</t>
  </si>
  <si>
    <t>Using Rwandan Integrated Household Living Conditions surveys (2013/2014 and 2016/17), we investigate whether financial inclusion leads to improved nutrition in rural Rwanda. Our empirical evidence shows a robust positive impact of financial inclusion by formal financial institutions, although informal institutions like tontines were ineffective in improving food expenditure or nutrition. Furthermore, the heterogeneous marginal effects of financial inclusion reduce the gender gap between the food expenditure and nutrition of female- and male-headed households. The results, hence, suggest that the country should promote formal financial inclusion to provide wide-ranging welfare effects by improving food security, nutrition and food expenditure in its rural communities.</t>
  </si>
  <si>
    <t>[Swain, Ranjula Bali] Sodertorn Univ, Ctr Sustainabil Res, Stockholm Sch Econ &amp; Econ, SIR, S-11383 Stockholm, Sweden; [Nsabimana, Aimable] United Nations Univ, World Inst Dev Econ Res UNU WIDER, Helsinki 00160, Finland</t>
  </si>
  <si>
    <t>Sodertorn University</t>
  </si>
  <si>
    <t>Swain, RB (corresponding author), Sodertorn Univ, Ctr Sustainabil Res, Stockholm Sch Econ &amp; Econ, SIR, S-11383 Stockholm, Sweden.</t>
  </si>
  <si>
    <t>Nsabimana, Aimable/AAC-7295-2021</t>
  </si>
  <si>
    <t>Bali Swain, Ranjula/0000-0003-0573-5287</t>
  </si>
  <si>
    <t>VINNOVA; Swedish Innovation Agency (Vinnova); Swedish Research Council for Sustainable Development</t>
  </si>
  <si>
    <t>VINNOVA(Vinnova); Swedish Innovation Agency (Vinnova)(Vinnova); Swedish Research Council for Sustainable Development(Swedish Research Council)</t>
  </si>
  <si>
    <t>We are grateful to the NISR for granting access to the household survey dataset. Research grants from Swedish Innovation Agency (Vinnova) and Swedish Research Council for Sustainable Development (Formas) are thankfully acknowledged by Bali Swain. All errors and views expressed in this paper are those of the authors. They do not necessarily represent the views of United Nations University World Institute for Development Economics Research (UNU-WIDER). The usual disclaimer applies.</t>
  </si>
  <si>
    <t>0165-1587</t>
  </si>
  <si>
    <t>1464-3618</t>
  </si>
  <si>
    <t>EUR REV AGRIC ECON</t>
  </si>
  <si>
    <t>Eur. Rev. Agric. Econ.</t>
  </si>
  <si>
    <t>10.1093/erae/jbae007</t>
  </si>
  <si>
    <t>TN1Q6</t>
  </si>
  <si>
    <t>WOS:001197144900001</t>
  </si>
  <si>
    <t>Mendelson, S; Rozas, D</t>
  </si>
  <si>
    <t>Mendelson, Sam; Rozas, Daniel</t>
  </si>
  <si>
    <t>Selected microfinance crises: past, present, and future</t>
  </si>
  <si>
    <t>microfinance; financial inclusion; crisis; history; Andhra Pradesh; Grameen; Covid-19</t>
  </si>
  <si>
    <t>The Covid-19 pandemic is the most recent-and most severe-crisis to face the microfinance/financial inclusion sector, but it was far from the first. From its earliest years, crises have appeared throughout the modern history of microfinance, and the responses they engendered have included some of the most significant reforms and innovations in the sector. In this paper, we describe selected historical crises-Peru in the 1980s, Grameen in the 1990s, and Andhra Pradesh and others in the 2007-2010 period-through their legacy and impact on the sector's activities and priorities. We then examine some of the pressures on institutions during the pandemic, through interview data with MFI leaders from the Sentinel Project conducted during 2021-22. We argue that the resilience of the sector to the unprecedented pressures of the pandemic can be traced to many of these historical post-crisis reforms-and consider what this means for future crisis responses.</t>
  </si>
  <si>
    <t>[Mendelson, Sam; Rozas, Daniel] European Microfinance Platform e MFP, Luxembourg City, Luxembourg</t>
  </si>
  <si>
    <t>Mendelson, S (corresponding author), European Microfinance Platform e MFP, Luxembourg City, Luxembourg.</t>
  </si>
  <si>
    <t>smendelson@e-mfp.eu; daniel@danielrozas.com</t>
  </si>
  <si>
    <t>10.1093/oxrep/grad053</t>
  </si>
  <si>
    <t>WOS:001186414700014</t>
  </si>
  <si>
    <t>San Segundo, IL</t>
  </si>
  <si>
    <t>Llorente San Segundo, Inmaculada</t>
  </si>
  <si>
    <t>Financial exclusion and equal treatment in access to banking services</t>
  </si>
  <si>
    <t>REVISTA DE DERECHO CIVIL</t>
  </si>
  <si>
    <t>Financial exclusion; vulnerability; discrimination; basic banking services; basic payment account; access to credit; consumer protection; European Union</t>
  </si>
  <si>
    <t>This article analyzes the phenomenon of financial exclusion from the perspective of the concept of discrimination. Firstly, it deals with the regulation on access to the basic payment account contained in Directive 2014/92/EU of the European Parliament and of the Council, on the comparability of the commissions related to the payment accounts, the transfer of accounts of payment and access to basic payment accounts. Finally, it analyzes whether the European and Spanish regulatory framework aimed at guaranteeing the right of access to basic banking services and access to credit contains elements that can lead to discrimination.</t>
  </si>
  <si>
    <t>[Llorente San Segundo, Inmaculada] Univ Zaragoza, Derecho Civil, Zaragoza, Spain</t>
  </si>
  <si>
    <t>San Segundo, IL (corresponding author), Univ Zaragoza, Derecho Civil, Zaragoza, Spain.</t>
  </si>
  <si>
    <t>NOTYREG HISPANA</t>
  </si>
  <si>
    <t>C/ INFANTA MARIA TERESA 64 2Q, MADRID, 28016, SPAIN</t>
  </si>
  <si>
    <t>2341-2216</t>
  </si>
  <si>
    <t>REV DERECHO CIV</t>
  </si>
  <si>
    <t>Rev. Derecho Civ.</t>
  </si>
  <si>
    <t>HR3MO</t>
  </si>
  <si>
    <t>WOS:000463042500012</t>
  </si>
  <si>
    <t>Kumar, I</t>
  </si>
  <si>
    <t>Kumar, Indrajeet</t>
  </si>
  <si>
    <t>Banking services and financial inclusion in India's poorest regions</t>
  </si>
  <si>
    <t>NSFI; Financial inclusion; PMJDY; Households; Bankers; Bihar; India</t>
  </si>
  <si>
    <t>Financial inclusion involves providing suitable products and services to meet transactional, payment, savings, credit, and insurance needs. While India has progressed in financial inclusion, challenges persist in low-income regions and among marginalised groups. This study assesses the National Strategy for Financial Inclusion (NSFI) 2019-2024 and its potential to address such challenges in Bihar, one of India's poorest states. Field inquiries and interviews with households and bank managers were conducted. The findings reveal that despite NSFI's potential, unawareness, insufficient income, documentation requirements, and lack of trust in the system is persisting and factors such as- region, social groups, gender, age, education, and occupation continue to influence banking participation. So, the study recommends increased awareness, financial literacy, and reduced financial service costs tailored to Bihar's needs and other low-income regions. In addition, strengthening the regulatory framework for informal financial services is suggested.</t>
  </si>
  <si>
    <t>[Kumar, Indrajeet] Ctr Dev Studies, Thiruvananthapuram 695011, Kerala, India</t>
  </si>
  <si>
    <t>Kumar, I (corresponding author), Ctr Dev Studies, Thiruvananthapuram 695011, Kerala, India.</t>
  </si>
  <si>
    <t>indrajeetkumar17@gmail.com</t>
  </si>
  <si>
    <t>Kumar, Inajeet/0000-0003-1360-1174</t>
  </si>
  <si>
    <t>10.1057/s41261-023-00224-9</t>
  </si>
  <si>
    <t>QS2K6</t>
  </si>
  <si>
    <t>WOS:001151006600001</t>
  </si>
  <si>
    <t>Aminu, RO; Arowolo, AO; Oyawole, FP; Ibrahim, SB</t>
  </si>
  <si>
    <t>Aminu, Raheem Olatunji; Arowolo, Aisha Olushola; Oyawole, Funminiyi Peter; Ibrahim, Shakirat Bolatito</t>
  </si>
  <si>
    <t>Relationship between Access to Agricultural Extension Services and Financial Inclusion Status of Agricultural Households in Nigeria</t>
  </si>
  <si>
    <t>JOURNAL OF AGRICULTURAL EXTENSION</t>
  </si>
  <si>
    <t>Extension services; Financial inclusion</t>
  </si>
  <si>
    <t>CONSTRAINTS</t>
  </si>
  <si>
    <t>This study examined the relationship between access to agricultural extension services and the financial inclusion status of agricultural households in Nigeria using data from the fourth wave of the World Bank Living Standards Measurement Survey (LSMS). Specifically, the study identified the range of financial services available to agricultural households in Nigeria, determined the financial inclusion status, and examined the influence of access to extension services on the financial inclusion status. The study employed descriptive statistics, Alkire and Foster method, and probit regression model. Results revealed that only 16% of the agricultural households have access to credit, 43% hold a personal savings account, 34% save through formal financial institutions, 31% receive remittances, and 45% have access to extension services. There was a significant positive association between access to extension services (t=2.69) and financial inclusion. Other influencing factors include education (t=4.16), wealth (t=8.53), location of residence (t=2.49), and number of income generating activities (t=3.73). Enhancing access to extension services can play a crucial role in improving the financial inclusion status of Nigeria's agricultural households. Improved access to extension services to enhance farmers' financial literacy and encourage financial inclusion.</t>
  </si>
  <si>
    <t>[Aminu, Raheem Olatunji; Arowolo, Aisha Olushola; Oyawole, Funminiyi Peter; Ibrahim, Shakirat Bolatito] Fed Univ Agr, Dept Agr Econ &amp; Farm Management, Abeokuta, Nigeria; [Aminu, Raheem Olatunji] Univ Reading, Sch Agr Policy &amp; Dev, Reading, England; [Oyawole, Funminiyi Peter] Univ Ghana, Dept Agr Econ &amp; Agribusiness, Accra, Ghana</t>
  </si>
  <si>
    <t>University of Agriculture, Abeokuta; University of Reading; University of Ghana</t>
  </si>
  <si>
    <t>Aminu, RO (corresponding author), Fed Univ Agr, Dept Agr Econ &amp; Farm Management, Abeokuta, Nigeria.;Aminu, RO (corresponding author), Univ Reading, Sch Agr Policy &amp; Dev, Reading, England.</t>
  </si>
  <si>
    <t>aminuro@funaab.edu.ng; arowoloao@funaab.edu.ng; oyawolefp@funaab.edu.ng; ibrahimsb@funaab.edu.ng</t>
  </si>
  <si>
    <t>Aminu, Raheem/ABD-4343-2021; Oyawole, Funminiyi/AAY-8720-2020</t>
  </si>
  <si>
    <t>AGRICULTURAL EXTENSION SOC NIGERIA</t>
  </si>
  <si>
    <t>KWARA STATE</t>
  </si>
  <si>
    <t>AGRICULTURAL &amp; RURAL MANAGEMENT TRAINING INST, PMB 1343 ILORIN, KWARA STATE, 00000, NIGERIA</t>
  </si>
  <si>
    <t>1119-944X</t>
  </si>
  <si>
    <t>2408-6851</t>
  </si>
  <si>
    <t>J AGRIC EXT</t>
  </si>
  <si>
    <t>J. Agric. Ext.</t>
  </si>
  <si>
    <t>10.4314/jae.v29i3.16</t>
  </si>
  <si>
    <t>7SS6Z</t>
  </si>
  <si>
    <t>WOS:001578766100017</t>
  </si>
  <si>
    <t>Asongu, SA; le Roux, S</t>
  </si>
  <si>
    <t>Asongu, Simplice A.; le Roux, Sara</t>
  </si>
  <si>
    <t>The role of mobile money innovations in transforming unemployed women to self-employed women in sub-Saharan Africa</t>
  </si>
  <si>
    <t>Mobile phones; Financial inclusion; Women; Inequality; Sub-Saharan Africa</t>
  </si>
  <si>
    <t>FINANCIAL DEVELOPMENT; ECONOMIC-GROWTH; INFORMATION; INEQUALITY; CORRUPTION; INCLUSION; ACCESS; ICT</t>
  </si>
  <si>
    <t>The study examines how mobile money innovations transform unemployed women to self-employed women. The empirical evidence is based on interactive quantile regressions focusing on data in 44 countries from sub-Saharan Africa for the period 2004 to 2018. The hypothesis that mobile money innovations transform female unemployment to female self-employment is tested. Eight mobile money innovation dynamics presented in four categories are employed.Three main common findings are apparent from interactions between female unemployment, eight mobile money innovation dynamics and female self-employment: (i) the investigated hypothesis is valid exclusively at the top quantiles of female self-employment; (ii) the net effects are consistently negative and (iii) the corresponding conditional or interactive effects upon which the net effects are based are consistently positive. This is an indication that critical masses at which money innovation innovations have an overall positive net effect on female self-employment are apparent. The corresponding mobile money innovation policy thresholds at which the net effects on female self-employment change from negative to positive are provided. Policy implications are discussed.</t>
  </si>
  <si>
    <t>[Asongu, Simplice A.; le Roux, Sara] Oxford Brookes Univ, Oxford Brookes Business Sch, Headington Campus, Oxford OX3 0BP, England</t>
  </si>
  <si>
    <t>Oxford Brookes University</t>
  </si>
  <si>
    <t>Asongu, SA (corresponding author), Oxford Brookes Univ, Oxford Brookes Business Sch, Headington Campus, Oxford OX3 0BP, England.</t>
  </si>
  <si>
    <t>asongus@afridev.org; sle-roux@brookes.ac.uk</t>
  </si>
  <si>
    <t>10.1016/j.techfore.2023.122548</t>
  </si>
  <si>
    <t>E0VK2</t>
  </si>
  <si>
    <t>WOS:000972814700001</t>
  </si>
  <si>
    <t>Ali, Guma; Dida, Mussa Ally; Elikana Sam, Anael</t>
  </si>
  <si>
    <t>A Secure and Efficient Multi-Factor Authentication Algorithm for Mobile Money Applications</t>
  </si>
  <si>
    <t>mobile money systems; 2FA; multi-factor authentication; PIN; OTP; biometric fingerprint; Twilio SMS; QR code; SHA-256; FIDO; Fernet encryption; mobile money</t>
  </si>
  <si>
    <t>QR CODE; INTENTION; BANKING; PAYMENT</t>
  </si>
  <si>
    <t>With the expansion of smartphone and financial technologies (FinTech), mobile money emerged to improve financial inclusion in many developing nations. The majority of the mobile money schemes used in these nations implement two-factor authentication (2FA) as the only means of verifying mobile money users. These 2FA schemes are vulnerable to numerous security attacks because they only use a personal identification number (PIN) and subscriber identity module (SIM). This study aims to develop a secure and efficient multi-factor authentication algorithm for mobile money applications. It uses a novel approach combining PIN, a one-time password (OTP), and a biometric fingerprint to enforce extra security during mobile money authentication. It also uses a biometric fingerprint and quick response (QR) code to confirm mobile money withdrawal. The security of the PIN and OTP is enforced by using secure hashing algorithm-256 (SHA-256), a biometric fingerprint by Fast IDentity Online (FIDO) that uses a standard public key cryptography technique (RSA), and Fernet encryption to secure a QR code and the records in the databases. The evolutionary prototyping model was adopted when developing the native mobile money application prototypes to prove that the algorithm is feasible and provides a higher degree of security. The developed applications were tested, and a detailed security analysis was conducted. The results show that the proposed algorithm is secure, efficient, and highly effective against the various threat models. It also offers secure and efficient authentication and ensures data confidentiality, integrity, non-repudiation, user anonymity, and privacy. The performance analysis indicates that it achieves better overall performance compared with the existing mobile money systems.</t>
  </si>
  <si>
    <t>[Ali, Guma; Dida, Mussa Ally] Nelson Mandela African Inst Sci &amp; Technol NM AIST, Dept Informat Technol Dev &amp; Management ITDM, Arusha 447, Tanzania; [Elikana Sam, Anael] Nelson Mandela African Inst Sci &amp; Technol NM AIST, Dept Commun Sci &amp; Engn CoSE, Arusha 447, Tanzania</t>
  </si>
  <si>
    <t>Ali, G (corresponding author), Nelson Mandela African Inst Sci &amp; Technol NM AIST, Dept Informat Technol Dev &amp; Management ITDM, Arusha 447, Tanzania.</t>
  </si>
  <si>
    <t>; Dida, Mussa/I-2759-2016</t>
  </si>
  <si>
    <t>ALI, GUMA/0000-0003-3234-6420; Sam, Anael/0000-0002-0865-9737; Dida, Mussa/0000-0002-7143-8953</t>
  </si>
  <si>
    <t>10.3390/fi13120299</t>
  </si>
  <si>
    <t>XY8JK</t>
  </si>
  <si>
    <t>WOS:000737211700001</t>
  </si>
  <si>
    <t>Korth, M; Stewart, R; van Rooyen, C; de Wet, T</t>
  </si>
  <si>
    <t>Korth, M.; Stewart, R.; van Rooyen, C.; de Wet, T.</t>
  </si>
  <si>
    <t>Microfinance: Development Intervention or Just Another Bank?</t>
  </si>
  <si>
    <t>microfinance; micro-credit; micro-savings; impact; outcomes; systematic review</t>
  </si>
  <si>
    <t>PROGRAM; IMPACT; GENDER</t>
  </si>
  <si>
    <t>This paper is based on a systematic review of evidence of the impact of microfinance on the lives of poor women, men and children in sub-Saharan Africa. It focuses specifically on longer-term non-financial outcomes related to health and nutrition and education. The paper contrasts microfinance's early days' initially refreshing and encouraging promises of a development initiative that empowers people to help themselves while paying for itself with a more gloomy picture that derives from the synthesis results of our systematic review. It presents two simple models that show the pathways from microfinance to increased investment in improved health and education, contrasting theory with our synthesis results. Our discussion highlights that thinking through microfinance makes it necessary to thoroughly investigate both the theory behind interventions and the evidence for their impact. It raises the essential question: Is microfinance about providing banking services to the unbanked, or is microfinance a development intervention that concerns itself with the attainment of long-term sustainable responses to high levels of poverty?</t>
  </si>
  <si>
    <t>[Korth, M.] Univ Johannesburg, Ctr Anthropol Res, Johannesburg, South Africa; [Stewart, R.] Univ London, Inst Educ, Social Sci Res Unit, EPPI Ctr, London WC1E 7HU, England; [van Rooyen, C.; de Wet, T.] Univ Johannesburg, Dept Anthropol &amp; Dev Studies, Johannesburg, South Africa</t>
  </si>
  <si>
    <t>University of Johannesburg; University of London; University College London; UCL Institute of Education; University of Johannesburg</t>
  </si>
  <si>
    <t>Korth, M (corresponding author), Univ Johannesburg, Ctr Anthropol Res, Johannesburg, South Africa.</t>
  </si>
  <si>
    <t>mkorth@uj.ac.za</t>
  </si>
  <si>
    <t>van Rooyen, Carina/0000-0003-1167-4193</t>
  </si>
  <si>
    <t>10.1111/j.1471-0366.2012.00375.x</t>
  </si>
  <si>
    <t>WOS:000308720000009</t>
  </si>
  <si>
    <t>The Role of Mobile Money Innovations in the Effect of Inequality on Poverty and Severity of Poverty in Sub-Saharan Africa</t>
  </si>
  <si>
    <t>Mobile phones; Financial inclusion; Poverty; Inequality; Africa</t>
  </si>
  <si>
    <t>FINANCIAL INCLUSION; TECHNOLOGY; GROWTH; INFORMATION; FARMERS; BANKING; ACCESS</t>
  </si>
  <si>
    <t>This study investigates the role of mobile money innovations in the incidence of income inequality on poverty and severity of poverty in 42 sub-Saharan African countries over the period 1980 to 2019. Mobile money innovations are understood as the mobile used to send money and the mobile used to pay bills online while income inequality is measured with the Gini index. Poverty is measured as the poverty headcount ratio while the severity of poverty is generated as the squared of the poverty gap index. The empirical evidence is based on interactive Quantile regressions. The following main findings are established. (i) Income inequality unconditionally reduces poverty and the severity of poverty though the significance is not throughout the conditional distributions of poverty and the severity of poverty. (ii) Mobile money innovations significantly moderate the positive incidence of income inequality on poverty and the severity of poverty in some quantiles. (iii) Positive net effects are apparent exclusively in the poverty regressions. (iv) Given the negative conditional effects, policy thresholds or minimum mobile money innovation levels needed to completely nullify the positive incidence of income inequality on poverty are provided: 27.666 (% age 15 +) and 24.000 (% age 15 +) of the mobile used to send money in the 50th and 75th quantiles, respectively and 16.272 (% age 15 +) and 13.666 (% age 15 +) of the mobile used to pay bills online in the 10th and 50th quantiles, respectively. Policy implications are discussed with respect of SDG1 on poverty reduction and SDG10 on inequality mitigation.</t>
  </si>
  <si>
    <t>asongusimplice@yahoo.com; sle-roux@brookes.ac.uk</t>
  </si>
  <si>
    <t>10.1007/s10796-023-10427-0</t>
  </si>
  <si>
    <t>E6K1X</t>
  </si>
  <si>
    <t>WOS:001054225800001</t>
  </si>
  <si>
    <t>Acheampong, AO; Tetteh, GK</t>
  </si>
  <si>
    <t>Acheampong, Alex O.; Tetteh, Godsway Korku</t>
  </si>
  <si>
    <t>Does Financial Inclusion Matter to Population Health? Insight From a Global Dataset</t>
  </si>
  <si>
    <t>Financial inclusion; Life expectancy; Mortalities; G50; I15; O57</t>
  </si>
  <si>
    <t>INCOME INEQUALITY; MOBILE MONEY; ECONOMIC-GROWTH; OUTCOMES; ACCESS; IMPACT; TRADE</t>
  </si>
  <si>
    <t>Currently, extensive empirical studies exist on the impact of financial inclusion on socio-economic outcomes such as economic growth, inequality, and poverty. However, research on financial inclusion and population health is limited and still at the infant stage. Therefore, this article adds to knowledge by inquiring into the health implications of financial inclusion using a global panel dataset for 121 countries between 2004 and 2020. After accounting for endogeneity with heteroskedasticity-based instrumental variable regression and cross-sectional dependency with the Driscol-Kraay estimator, we documented that financial inclusion improves population health outcomes. We found that the effect of financial inclusion on population health outcomes also depends on the level of information and communication technology penetration and existing socio-economic conditions in a country. Following this, we showed that financial inclusion improves population health outcomes in countries with lower income inequality and higher GDP per capita, mobile and internet penetration. We further found heterogeneity in the results across geographical regions and income groups. Following these findings, we suggest that financial inclusion policies could enhance population health.</t>
  </si>
  <si>
    <t>[Acheampong, Alex O.] Bond Univ, Bond Business Sch, Gold Coast, Qld, Australia; [Acheampong, Alex O.] Bond Univ, Ctr Data Analyt, Gold Coast, Qld, Australia; [Tetteh, Godsway Korku] Univ Strathclyde, Glasgow City, Scotland; [Tetteh, Godsway Korku] Maastricht Univ, UNU, MERIT, Maastricht, Netherlands</t>
  </si>
  <si>
    <t>Bond University; Bond University; University of Strathclyde; Maastricht University</t>
  </si>
  <si>
    <t>Acheampong, AO (corresponding author), Bond Univ, Bond Business Sch, Gold Coast, Qld, Australia.;Acheampong, AO (corresponding author), Bond Univ, Ctr Data Analyt, Gold Coast, Qld, Australia.</t>
  </si>
  <si>
    <t>aacheamp@bond.edu.au; godsway.tetteh@strath.ac.uk</t>
  </si>
  <si>
    <t>Tetteh, Godsway Korku/OUI-5520-2025; Acheampong, Alex Opoku/AFU-9688-2022</t>
  </si>
  <si>
    <t>Acheampong, Alex Opoku/0000-0002-5462-5466</t>
  </si>
  <si>
    <t>Bond University Limited (ACN 010 694 121)</t>
  </si>
  <si>
    <t>We sincerely thank the Journal Editors and the two anonymous reviewers for the valuable comments that helped improve this paper's quality. Nevertheless, the authors are responsible for all remaining errors.</t>
  </si>
  <si>
    <t>10.1007/s11205-024-03341-8</t>
  </si>
  <si>
    <t>SR7X8</t>
  </si>
  <si>
    <t>Green Published, Green Submitted, hybrid</t>
  </si>
  <si>
    <t>WOS:001217499500001</t>
  </si>
  <si>
    <t>Brown, M; Guin, B; Kirschenmann, K</t>
  </si>
  <si>
    <t>Brown, Martin; Guin, Benjamin; Kirschenmann, Karolin</t>
  </si>
  <si>
    <t>Microfinance Banks and Financial Inclusion</t>
  </si>
  <si>
    <t>ACCESS; DISTANCE; SERVICES; ENTRY</t>
  </si>
  <si>
    <t>We examine how the geographical proximity to a microfinance bank affects financial inclusion. We study the expansion of the branch network of ProCredit banks in South-East Europe between 2006 and 2010. We report three main findings: First, ProCredit is more likely to open a new branch in areas with a large share of low-income households. Second, in locations where ProCredit opens a new branch the share of banked households increases more than in locations where it does not open a new branch. Third, this increase is particularly strong among low-income households, older households, and households which rely on transfer income.</t>
  </si>
  <si>
    <t>[Brown, Martin; Guin, Benjamin] Univ St Gallen, St Gallen, Switzerland; [Kirschenmann, Karolin] Aalto Univ, Sch Business, Espoo, Finland</t>
  </si>
  <si>
    <t>University of St Gallen; Aalto University</t>
  </si>
  <si>
    <t>Kirschenmann, Karolin/G-2291-2013</t>
  </si>
  <si>
    <t>Brown, Martin/0000-0003-2076-9231</t>
  </si>
  <si>
    <t>KfW Development Bank</t>
  </si>
  <si>
    <t>We thank three anonymous referees, Ralph De Haas, Lars Norden, Charlotte Ostergaard, Matthias Schundeln, Ulrich Schuwer, Oystein Strom, and Eva Terberger as well as participants at the 2013 AEL Conference, the 2013 Banking Workshop at the University of Muenster, 3rd European Research Conference on Microfinance, the CEPR-EBRD-EBC-RoF Conference on Understanding Banks in Emerging Markets: Observing, Asking, or Experimenting?, the EEA-ESEM 2013 Conference, the Nordic Finance Network Young Scholar Workshop as well as seminar participants at the Aalto University School of Business, European Bank for Reconstruction and Development (EBRD), Frankfurt School of Finance &amp; Management, KfW Development Bank, ProCredit Holding, University of Hannover, the University of St Gallen and University of Zurich for helpful comments. We thank the EBRD and Pauline Grosjean, Antti Lehtinen, and Mirko Nikodijevic for providing us with data. We received financial support from KfW Development Bank. This paper was previously circulated under the title Commercial Microfinance and Household Access to Finance. Preliminary results from this research project were published as part of a review article on microfinance commercialization and mission drift (Brown, Guin, and Kirschenmann, 2012).</t>
  </si>
  <si>
    <t>10.1093/rof/rfv026</t>
  </si>
  <si>
    <t>DM9AE</t>
  </si>
  <si>
    <t>WOS:000376654800001</t>
  </si>
  <si>
    <t>Bari, MA; Khan, GD; Gani, MO; Yoshida, Y</t>
  </si>
  <si>
    <t>Bari, Md Abdul; Khan, Ghulam Dastgir; Gani, Mohammad Osman; Yoshida, Yuichiro</t>
  </si>
  <si>
    <t>Financial inclusion strategies for slum households: insights from a conjoint analysis</t>
  </si>
  <si>
    <t>JOURNAL OF APPLIED ECONOMICS</t>
  </si>
  <si>
    <t>Slum; financial inclusion; inclusive deposit product; randomized conjoint experiment</t>
  </si>
  <si>
    <t>Slum dwellers continue to face exclusion from mainstream social, economic, and financial activities because of their lack of education and low income, leaving them vulnerable to income shocks and persistent poverty. The absence of empowerment compounds challenges and highlights the urgent need to address their financial inclusion. Designing an inclusive deposit product is imperative to ensure the financial inclusion of slum dwellers. We conducted a randomized conjoint experiment gathering 2500 choice responses from 250 respondents in slum households in Khulna, an industrial city in Bangladesh. Our study estimates the influence of each attribute on slum dwellers' choice of deposit products, measures willingness to pay for the proposed inclusive deposit product, identifies heterogeneity in their preferences, and examines the impact of financial literacy on their preferences. Our hypothetical financial inclusion product provides valuable insights for policymakers when formulating comprehensive policies to ensure the financial inclusion of slum dwellers.</t>
  </si>
  <si>
    <t>[Bari, Md Abdul] Hiroshima Univ, Grad Sch Innovat &amp; Practice Smart Soc, Higashihiroshima, Japan; [Khan, Ghulam Dastgir] Hiroshima Univ, IDEC Inst, Ctr Peaceful &amp; Sustainable Futures, 1-5-1 Kagamiyama, Higashihiroshima 7398529, Japan; [Gani, Mohammad Osman] Univ British Columbia, Fac Management, Okanagan, BC, Canada; [Yoshida, Yuichiro] Kwansei Gakuin Univ, Sch Econ, Nishinomiya, Japan</t>
  </si>
  <si>
    <t>Hiroshima University; Hiroshima University; University of British Columbia; University of British Columbia Okanagan; Kwansei Gakuin University</t>
  </si>
  <si>
    <t>Khan, GD (corresponding author), Hiroshima Univ, IDEC Inst, Ctr Peaceful &amp; Sustainable Futures, 1-5-1 Kagamiyama, Higashihiroshima 7398529, Japan.</t>
  </si>
  <si>
    <t>gdkhan@hiroshima-u.ac.jp</t>
  </si>
  <si>
    <t>Khan, Ghulam Dastgir/N-4323-2014; Bari, Abdul/JMB-1956-2023; Gani, Mohammad Osman/LOR-4968-2024</t>
  </si>
  <si>
    <t>Bari, Abdul/0000-0002-2835-4324;</t>
  </si>
  <si>
    <t>Japan Society for the Promotion of Science [24K16366]; JST, the estabilishment of university fellowship towards the creation of science technology innovation [JPMJFS2129]</t>
  </si>
  <si>
    <t>Japan Society for the Promotion of Science(Ministry of Education, Culture, Sports, Science and Technology, Japan (MEXT)Japan Society for the Promotion of ScienceInstituto Politecnico Nacional - Mexico); JST, the estabilishment of university fellowship towards the creation of science technology innovation</t>
  </si>
  <si>
    <t>This study is partially supported by the Japan Society for the Promotion of Science grant number 24K16366 and partially supported by JST, the estabilishment of university fellowship towards the creation of science technology innovation, Grant Number (JPMJFS2129).</t>
  </si>
  <si>
    <t>1514-0326</t>
  </si>
  <si>
    <t>1667-6726</t>
  </si>
  <si>
    <t>J APPL ECON</t>
  </si>
  <si>
    <t>J. Appl. Econ.</t>
  </si>
  <si>
    <t>10.1080/15140326.2025.2509207</t>
  </si>
  <si>
    <t>2YB0U</t>
  </si>
  <si>
    <t>WOS:001494037200001</t>
  </si>
  <si>
    <t>Casaburi, L; Willis, J</t>
  </si>
  <si>
    <t>Casaburi, Lorenzo; Willis, Jack</t>
  </si>
  <si>
    <t>Value chain microfinance</t>
  </si>
  <si>
    <t>microfinance; value chains; credit; insurance</t>
  </si>
  <si>
    <t>TRADE CREDIT; INSURANCE; WELFARE; POLICY</t>
  </si>
  <si>
    <t>We study the provision of financial services to small firms, consumers, and workers in developing countries as part of value chain relationships: value chain microfinance (VCMF). We first explore how VCMF can both overcome barriers to financial access-including asymmetric information, enforcement, and behavioural biases-and strengthen value chains, but also how it can introduce new challenges. We then review a recent empirical literature at the intersection of value chains and microfinance, studying the demand for and effects of VCMF in credit, insurance, and savings markets. We conclude by highlighting promising directions for future work.</t>
  </si>
  <si>
    <t>[Casaburi, Lorenzo] Univ Zurich, Zurich, Switzerland; [Willis, Jack] Columbia Univ, New York, NY USA</t>
  </si>
  <si>
    <t>University of Zurich; Columbia University</t>
  </si>
  <si>
    <t>Casaburi, L (corresponding author), Univ Zurich, Zurich, Switzerland.</t>
  </si>
  <si>
    <t>lorenzo.casaburi@econ.uzh.ch; jack.willis@columbia.edu</t>
  </si>
  <si>
    <t>Casaburi, Lorenzo/AAM-7956-2020</t>
  </si>
  <si>
    <t>Casaburi, Lorenzo/0000-0002-7752-1125</t>
  </si>
  <si>
    <t>10.1093/oxrep/grad052</t>
  </si>
  <si>
    <t>WOS:001186414700012</t>
  </si>
  <si>
    <t>Laurin, M; Messacar, D; Michaud, PC</t>
  </si>
  <si>
    <t>Laurin, Marianne; Messacar, Derek; Michaud, Pierre-Carl</t>
  </si>
  <si>
    <t>Financial literacy and the timing of tax-preferred savings account withdrawals</t>
  </si>
  <si>
    <t>Tax -preferred savings accounts; Retirement savings; Financial literacy</t>
  </si>
  <si>
    <t>RETIREMENT; RATES; QUEBEC; CHILD</t>
  </si>
  <si>
    <t>Tax deductions on contributions to registered savings vehicles are a common policy tool used by governments in many industrialized countries to encourage people to save for retirement. However, these plans do not typically lock in funds, which means savers may also withdraw before retirement when their marginal tax rates are still high and forgo the tax benefit. In this paper, we investigate the extent to which pre-retirement savings withdrawals respond to changes in the net-of-tax benefit of withdrawing and whether such behavior depends on the saver's financial literacy. To that end, we link respondents of a nationally representative financial capability survey from Canada to over 15 years of administrative tax data. Our results show that the correlation between savings withdrawals and the effective marginal tax rate is negative for those with higher financial literacy, but much weaker and sometimes statistically insignificant for those with lower financial literacy. The findings suggest that financial literacy is an important determinant of the extent to which tax-deductible savings plans are used efficiently.(c) 2021 Published by Elsevier Inc.</t>
  </si>
  <si>
    <t>[Laurin, Marianne; Michaud, Pierre-Carl] HEC Montreal, Montreal, PQ, Canada; [Messacar, Derek] Stat Canada, Ottawa, ON, Canada; [Messacar, Derek] Mem Univ Newfoundland, St John, NF, Canada; [Michaud, Pierre-Carl] Natl Bur Econ Res NBER, Cambridge, MA USA</t>
  </si>
  <si>
    <t>Universite de Montreal; HEC Montreal; Statistics Canada; Memorial University Newfoundland</t>
  </si>
  <si>
    <t>Laurin, M (corresponding author), HEC Montreal, Montreal, PQ, Canada.</t>
  </si>
  <si>
    <t>marianne.laurin@hec.ca</t>
  </si>
  <si>
    <t>Michaud, Pierre-Carl/AAA-2357-2021</t>
  </si>
  <si>
    <t>Michaud, Pierre-Carl/0000-0003-3114-4229</t>
  </si>
  <si>
    <t>10.1016/j.jaccpubpol.2021.106922</t>
  </si>
  <si>
    <t>I5CM9</t>
  </si>
  <si>
    <t>WOS:001002958500001</t>
  </si>
  <si>
    <t>Seema, N; Seyyed, FJ; Shehzad, CT</t>
  </si>
  <si>
    <t>Seema, Nighat; Seyyed, Fazal Jawad; Shehzad, Choudhry Tanveer</t>
  </si>
  <si>
    <t>Impact of gender on access to finance in developing countries</t>
  </si>
  <si>
    <t>Gender; access to finance; managerial experience; developing countries</t>
  </si>
  <si>
    <t>SUB-SAHARAN AFRICA; FIRM PERFORMANCE; CREDIT EVIDENCE; CONSTRAINTS EVIDENCE; WOMEN ENTREPRENEURS; UPPER ECHELONS; DIVERSITY; MATTER; DISCRIMINATION; MICROFINANCE</t>
  </si>
  <si>
    <t>This paper studies the effect of female ownership on access to finance on a broad panel of developing countries. We find that female owners generally face more credit constraints compared to their male counterparts, however, such constraints are lower for women-owned firms that have an experienced senior management. We further show that with better institutional and policy environment in a country, women-owned firms face fewer credit constraints. Our findings remain robust when tested across a sample of small and medium enterprises (hereinafter SMEs) and other sensitivity tests.</t>
  </si>
  <si>
    <t>[Seema, Nighat; Seyyed, Fazal Jawad; Shehzad, Choudhry Tanveer] Lahore Univ Management Sci, SDSB, Lahore, Pakistan</t>
  </si>
  <si>
    <t>Seema, N (corresponding author), Lahore Univ Management Sci LUMS, Suleman Dawood Sch Business SDSB, Opposite Sect U, Lahore 54792, Pakistan.</t>
  </si>
  <si>
    <t>nighat.seema@lums.edu.pk</t>
  </si>
  <si>
    <t>Shehzad, Choudhry Tanveer/0000-0002-3194-7147</t>
  </si>
  <si>
    <t>DEC 8</t>
  </si>
  <si>
    <t>10.1080/00036846.2021.1947958</t>
  </si>
  <si>
    <t>XB8UH</t>
  </si>
  <si>
    <t>WOS:000692297500001</t>
  </si>
  <si>
    <t>Bai, ZF</t>
  </si>
  <si>
    <t>Bai, Zefeng</t>
  </si>
  <si>
    <t>Examining the association between robo-advisory and perceived financial satisfaction</t>
  </si>
  <si>
    <t>REVIEW OF BEHAVIORAL FINANCE</t>
  </si>
  <si>
    <t>Robo-advisor; Financial satisfaction; Age; Financial education; Financial capability</t>
  </si>
  <si>
    <t>TECHNOLOGY ANXIETY; MODERATING ROLE; AGE; METAANALYSIS; ACCEPTANCE; CAPABILITY; ADOPTION</t>
  </si>
  <si>
    <t>PurposeRobo-advisory has become an increasingly popular asset management tool in recent decades. This paper studies the association between robo-advisor usage and perceived financial satisfaction.Design/methodology/approachUsing data extracted from the National Financial Capability Study 2015 (NFCS2015), the present study carried out a logistic analysis that examines the association between robo-advisory and perceived financial satisfaction. This model also studies the interaction effect of age on this association.FindingsThe present study finds that robo-advisor usage is positively correlated with a person's perceived financial satisfaction after controlling for covariates related to financial literacy and other demographic factors. Moreover, the present study reveals that age moderates the association between robo-advisory usage and financial satisfaction. The results are robust after regressing financial satisfaction on robo-advisory by different age groups.Originality/valueThis paper extends existing literature on robo-advisory by showing that robo-advisory usage relates to a higher level of financial satisfaction. This finding helps understand the rapidly increasing trend of robo-advisory in the financial industry. Moreover, the present study reveals a moderate effect of age on the association between robo-advisory usage and perceived financial satisfaction.</t>
  </si>
  <si>
    <t>[Bai, Zefeng] Univ Tampa, Informat &amp; Technol Management Dept, Tampa, FL 33606 USA</t>
  </si>
  <si>
    <t>University of Tampa</t>
  </si>
  <si>
    <t>Bai, ZF (corresponding author), Univ Tampa, Informat &amp; Technol Management Dept, Tampa, FL 33606 USA.</t>
  </si>
  <si>
    <t>zbai@ut.edu</t>
  </si>
  <si>
    <t>Bai, Zefeng/AAM-3777-2021</t>
  </si>
  <si>
    <t>FINRA Foundation</t>
  </si>
  <si>
    <t>The author would like to thank the FINRA Foundation for providing the data (i.e. the National Financial Capability Study 2015 cohort) used in the present study.</t>
  </si>
  <si>
    <t>1940-5979</t>
  </si>
  <si>
    <t>1940-5987</t>
  </si>
  <si>
    <t>REV BEHAV FINANCE</t>
  </si>
  <si>
    <t>Rev. Behav. Finance</t>
  </si>
  <si>
    <t>10.1108/RBF-10-2023-0268</t>
  </si>
  <si>
    <t>XA0Z1</t>
  </si>
  <si>
    <t>WOS:001143542400001</t>
  </si>
  <si>
    <t>Luo, YW; Zhong, W; Yan, ZQ</t>
  </si>
  <si>
    <t>Luo, Yuwen; Zhong, Wen; Yan, Zhiqing</t>
  </si>
  <si>
    <t>Empowering Sustainable Transformation: How Digital Finance Drives Productivity Growth in Resource-Based Enterprises</t>
  </si>
  <si>
    <t>digital finance; new quality productive forces (NQPFs); resource-based enterprises (RBEs); sustainable transformation; financing constraints; technological transformation; green transition; heterogeneity analysis; China</t>
  </si>
  <si>
    <t>GREEN CREDIT</t>
  </si>
  <si>
    <t>Digital finance, representing the deep integration of finance and technology, has become a critical enabler of sustainable industrial transformation. Focusing on resource-based enterprises (RBEs)-key actors in transitioning towards sustainable practices-this study investigates how digital finance development fosters new quality productive forces (NQPFs), a core driver of high-quality, sustainable development. Utilizing panel data from Chinese A-share listed RBEs (2008-2022), we measure NQPF using the entropy method and gauge regional digital finance development with the Peking University Digital Financial Inclusion Index (DFII). Empirical analysis employing two-way fixed effects and panel threshold regression models provides robust evidence that digital finance significantly enhances NQPFs within RBEs. Crucially, mechanism analysis identifies three fundamental pathways underpinning sustainability: (1) mitigating financial constraints; (2) facilitating technological innovation and transformation; (3) strengthening green transition awareness. Furthermore, the impact of digital finance exhibits synergistic enhancement alongside increasing environmental regulation intensity and improved financial resource allocation efficiency. Heterogeneity analysis reveals that the effect is more pronounced in regions with lower marketization, within state-owned enterprises, and among RBEs in recession stages. Collectively, these findings offer significant implications for policymakers and industry practitioners aiming to strategically leverage digital finance to accelerate the sustainable transformation of resource-intensive industries, thereby contributing directly to environmentally sustainable and resilient economic development.</t>
  </si>
  <si>
    <t>[Luo, Yuwen; Zhong, Wen; Yan, Zhiqing] Jiangxi Univ Sci &amp; Technol, Sch Econ &amp; Management, Ganzhou 341000, Peoples R China</t>
  </si>
  <si>
    <t>Jiangxi University of Science &amp; Technology</t>
  </si>
  <si>
    <t>Zhong, W (corresponding author), Jiangxi Univ Sci &amp; Technol, Sch Econ &amp; Management, Ganzhou 341000, Peoples R China.</t>
  </si>
  <si>
    <t>7120230105@jxust.edu.cn; 15908854450@163.com; 9120210041@jxust.edu.cn</t>
  </si>
  <si>
    <t>10.3390/su17229933</t>
  </si>
  <si>
    <t>G3137</t>
  </si>
  <si>
    <t>WOS:001624417200001</t>
  </si>
  <si>
    <t>Goswami, S; Chouhan, V; Saraswat, P</t>
  </si>
  <si>
    <t>Goswami, Shubham; Chouhan, Vineet; Saraswat, Pranav</t>
  </si>
  <si>
    <t>FinTech adoption: driving financial inclusion at the bottom of pyramid</t>
  </si>
  <si>
    <t>FinTech; Technology adoption; Financial inclusion; Bottom of the pyramid; UTAUT2; O31; O32; O33</t>
  </si>
  <si>
    <t>MOBILE MONEY; PERCEIVED RISK; UNIFIED THEORY; M-PESA; ACCEPTANCE; MANAGEMENT; SERVICES; BANKING; UTAUT2; IMPACT</t>
  </si>
  <si>
    <t>The rise of financial technology (FinTech) and mobile money services in developing economies like India presents a viable route to further improve financial inclusion, especially at Bottom of the Pyramid (BoP). This paper offers an empirical analysis of factors affecting FinTech adoption by BoP consumers. The novelty of this study resides in its augmentation of the UTAUT2 model by integrating Perceived Risk as a mediator variable in the relation between behavior intention and usage of FinTech tools for BoP. Stratified judgement sampling was applied to capture responses from 650 respondents from rural areas in India and structural equation modeling (SEM) was employed to examine relations among the constructs. The findings reveal that Performance Expectancy, Effort Expectancy, Social Influence, Facilitating Conditions, and Price Value have a significant impact on FinTech adoption, whereas Hedonic Motivation and Habit were not significant. Notably, Perceived Risk had a negative moderating influence on the relationship between adoption intention and usage behavior. The research contributes to technology acceptance literature by combining risk perception as a moderating variable, providing insights for policymakers, financial institutions, and developers to develop inclusive user-centered financial solutions at BoP. The research contributes to society by enhancing financial inclusion of BoP communities through FinTech adoption in order to overcome obstacles to economic empowerment.</t>
  </si>
  <si>
    <t>[Goswami, Shubham; Chouhan, Vineet; Saraswat, Pranav] Nirma Univ, Ahmadabad, India</t>
  </si>
  <si>
    <t>Nirma University</t>
  </si>
  <si>
    <t>Chouhan, V (corresponding author), Nirma Univ, Ahmadabad, India.</t>
  </si>
  <si>
    <t>shubham.goswami@nirmauni.ac.in; vineet.chouhan@nirmauni.ac.in; drpranav.saraswat@nirmauni.ac.in</t>
  </si>
  <si>
    <t>Goswami, Shubham/MGA-4612-2025; Chouhan, Vineet/AAC-7048-2021</t>
  </si>
  <si>
    <t>10.1186/s43093-025-00570-2</t>
  </si>
  <si>
    <t>4LL3Z</t>
  </si>
  <si>
    <t>WOS:001520827800001</t>
  </si>
  <si>
    <t>Asravor, RK; Boakye, A; Essuman, J</t>
  </si>
  <si>
    <t>Asravor, Richard Kofi; Boakye, Afia; Essuman, John</t>
  </si>
  <si>
    <t>Adoption and intensity of use of mobile money among smallholder farmers in rural Ghana</t>
  </si>
  <si>
    <t>triple hurdles; logit model; mobile money; quasi-poisson regression; Ghana</t>
  </si>
  <si>
    <t>FINANCIAL INCLUSION; SERVICES ADOPTION; KENYA; MODEL</t>
  </si>
  <si>
    <t>The impact of mobile money services in sub-Saharan Africa have been largely recognised. However, empirical studies are principally lacking on the factors influencing the decision to own a mobile phone (first hurdle), register with mobile money (second hurdle) and the intensity of use of mobile money services (third hurdle). This study examined the determinants of the mobile phone ownership, drivers of registration (participation) of mobile money services, and the intensity of use of mobile money services in rural Ghana by employing the triple hurdle approach. The first and second hurdle were analysed using the logit model while quasi-poisson regression was used to analyse the third hurdle. The analysis from the cross-sectional data showed that the decision to own a mobile phone was driven by household size, marital status, the farm size, access to electricity, income status and the type of occupation engaged, whereas the decision to register with mobile money was influenced by the age, educational status, marital status, household size, farm size and the type of occupation engaged in by the household head. The intensity of usage of mobile money services was influenced by the age of the household head, higher educational level, marital status of the household head, household and farm size as well as the distance of the household heads from the mobile money agent which directly influences the intensity of use of mobile money services by household heads. The study recommends that strategies that promote access to electricity and occupation in the formal sector or both farming and trading in the rural communities should be promoted. Furthermore, policy attention should focus on location, farmers and farm characteristics.</t>
  </si>
  <si>
    <t>[Asravor, Richard Kofi; Boakye, Afia; Essuman, John] Ghana Technol Univ Coll, Dept Econ, Box PMB 100, Accra, Tesano, Ghana</t>
  </si>
  <si>
    <t>Asravor, RK (corresponding author), Ghana Technol Univ Coll, Dept Econ, Box PMB 100, Accra, Tesano, Ghana.</t>
  </si>
  <si>
    <t>rkasravor@yahoo.com; nafiaboakye@yahoo.com; jessuman@gtuc.edu.gh</t>
  </si>
  <si>
    <t>ESSUMAN, JOHN/AAJ-4946-2021; BOAKYE, AFIA/NMJ-9517-2025; Asravor, Richard/D-7484-2017</t>
  </si>
  <si>
    <t>Asravor, Richard/0000-0003-1652-9948</t>
  </si>
  <si>
    <t>10.1177/0266666921999089</t>
  </si>
  <si>
    <t>1K0CS</t>
  </si>
  <si>
    <t>WOS:000630810900001</t>
  </si>
  <si>
    <t>Huruta, BE; Pratomo, Y</t>
  </si>
  <si>
    <t>Huruta, Bernard Edheney; Pratomo, Yulius</t>
  </si>
  <si>
    <t>Cultural value as the basis for the microfinance development of the Farmer's Group Association</t>
  </si>
  <si>
    <t>MASYARAKAT KEBUDAYAAN DAN POLITIK</t>
  </si>
  <si>
    <t>microfinance; local wisdom; rural development; farmers groups association</t>
  </si>
  <si>
    <t>IMPACT; SUSTAINABILITY; POVERTY; EMPOWERMENT; MICROCREDIT; MANAGEMENT; BUSINESS; WOMEN</t>
  </si>
  <si>
    <t>This study aims to describe the form of local wisdom (cultural value) in rural microfinance - this study conducted from October until December 2018 in Wangga Village, East Sumba. A qualitative method was used to picture the phenomenon of local wisdom-based microfinance development in communities. The authors used in-depth interviews with eight informants from the Rinjung Pahamu Farmer's Group Association. The eight informants were determined purposively. Also, the data collection was carried out through a focus group discussion with the Rinjung Pahamu Farmer's Group Association. The results of the study show that the local wisdom experienced by the members of the Rinjung Pahamu Farmer's Group Association was used to overcome the limited access to formal financial services. The forms of microfinance developed on the Island of Sumba could not be separated from the appreciation of the noble values (Marapu) adopted by the community, such as the philosophy of Pawandang, Hillu Kandutuku, and Rotu Padang. Furthermore, savings and loan activities carried out in the management of the Farmer's Group Association always consider the aspects of justice and survival. Based on the successful experience of the Rinjung Pahamu Farmer's Group Association, in the future, the cultural value as the basis for the microfinance development can be applied to other groups as a means to improve financial access among the poor, especially for those living in rural areas. Marapu's belief that was adopted by the people in Wangga Village still used as the basis for carrying out various activities in people's lives. Marapu's view is the belief that the government acknowledges pride, and it strengthens the community to maintain survival and balance. It practised through the Pawandang, Hillu Kandutuku, and Rotu Padang activities.</t>
  </si>
  <si>
    <t>[Huruta, Bernard Edheney; Pratomo, Yulius] Univ Kristen Satya Wacana, Dept Econ, Fac Econ &amp; Business, Jalan Diponegoro 52-60, Salatiga 50711, Central Java, Indonesia</t>
  </si>
  <si>
    <t>Universitas Kristen Satya Wacana</t>
  </si>
  <si>
    <t>Huruta, BE (corresponding author), Univ Kristen Satya Wacana, Dept Econ, Fac Econ &amp; Business, Jalan Diponegoro 52-60, Salatiga 50711, Central Java, Indonesia.</t>
  </si>
  <si>
    <t>222014019@student.uksw.edu; yulius.pratomo@staff.uksw.edu</t>
  </si>
  <si>
    <t>UNIV AIRLANGGA, FAC SOCIAL &amp; POLITICAL SCIENCE</t>
  </si>
  <si>
    <t>SURABAYA</t>
  </si>
  <si>
    <t>JL DHARMAWANGSA DALAM, FISIP GEDUNG B, SURABAYA, 60286, INDONESIA</t>
  </si>
  <si>
    <t>2086-7050</t>
  </si>
  <si>
    <t>2528-6013</t>
  </si>
  <si>
    <t>MASYARAKAT KEBUDAYAA</t>
  </si>
  <si>
    <t>Masyarakat Kebudayaa. Polit.</t>
  </si>
  <si>
    <t>10.20473/mkp.V32I42019.346-353</t>
  </si>
  <si>
    <t>KJ8JZ</t>
  </si>
  <si>
    <t>WOS:000512303300002</t>
  </si>
  <si>
    <t>Rai, K; Ahuja, BK; Sharma, M</t>
  </si>
  <si>
    <t>Rai, Kamini; Ahuja, Bhajneet Kaur; Sharma, Mamta</t>
  </si>
  <si>
    <t>Exploring linkages of financial literacy with financial well-being: the mediating aspect of financial behaviour and financial self-efficacy</t>
  </si>
  <si>
    <t>Financial behaviour; Financial skills; Financial well-beings; Financial experience; Financial self-efficacy</t>
  </si>
  <si>
    <t>PurposeThis study aims to investigate the relationship between employees' financial well-being and several facets of financial literacy, such as financial experiences, financial awareness and financial skills.Design/methodology/approachA survey method was used to gather primary data from 719 individuals working in small and medium sized enterprises (SMEs) of India. Structural equation modelling analysis was used to test the study's hypothesis, which focused on how financial behaviour and financial self-efficacy affect the relationships between various financial literacy components and overall financial well-beings of SME employees. A 95% confidence interval and a percentile bootstrap analysis were used to examine the mediation effect.FindingsThe study's results showed that all components of financial literacy significantly enhance overall financial well-being. Furthermore, the linkage between financial literacy and financial well-being was found to be partially mediated through financial self-efficacy and financial behaviour.Practical implicationsThe findings of this study carry practical implications for financial analysts, financial planners, lawmakers, educational institution administrators and, most importantly, employees of SMEs. Understanding these elements can help in developing strategies to improve financial literacy on both individual and community level.Originality/valueFinancial literacy is vital for economic resilience, financial empowerment and financial inclusion in any economy. While financial literacy is commonly linked with financial outcomes, this paper brings a fresh perspective by exploring the mediating roles of financial behaviour and self-efficacy.</t>
  </si>
  <si>
    <t>[Rai, Kamini] Rukmini Devi Inst Adv Studies, Dept Management, New Delhi, India; [Ahuja, Bhajneet Kaur] FIIB, Dept Management, Delhi, India; [Sharma, Mamta] Prestige Inst Management &amp; Res Gwalior, Dept Management, Gwalior, India</t>
  </si>
  <si>
    <t>Rai, K (corresponding author), Rukmini Devi Inst Adv Studies, Dept Management, New Delhi, India.</t>
  </si>
  <si>
    <t>raikm53@gmail.com; bhajneetahuja@gmail.com; mamta.sharma@prestigegwl.org</t>
  </si>
  <si>
    <t>2025 APR 28</t>
  </si>
  <si>
    <t>10.1108/IJLMA-02-2025-0066</t>
  </si>
  <si>
    <t>1TQ3P</t>
  </si>
  <si>
    <t>WOS:001473377900001</t>
  </si>
  <si>
    <t>Pardo-Montaño, A; Davila-Cervantes, C</t>
  </si>
  <si>
    <t>Pardo-Montano, Ana; Davila-Cervantes, Claudio</t>
  </si>
  <si>
    <t>Financial inclusion of remittance recipients and non-recipients in Mexico</t>
  </si>
  <si>
    <t>Financial inclusion; Remittances; Household; Mexico</t>
  </si>
  <si>
    <t>MIGRATION; DEBT</t>
  </si>
  <si>
    <t>Purpose: Remittance reception plays a relevant role in Mexican household economies, as Mexico was the world's fourth highest remittances recipient in 2019. Studies about remittance reception have focused on the factors that explain their reception, their primary uses or whether they generate development in the receiving communities. However, the analysis of the relationship between remittance reception and financial inclusion has been relatively neglected. The primary goal of this research is to analyze the characteristics of remittance receiving and non-receiving households and how they are associated with their financial inclusion, as well as the main institutional actions aimed at providing financial inclusion.Design/methodology: A quantitative study using the National Financial Inclusion Survey of 2015 was carried out. A principal component analysis was calculated to generate a financial inclusion index. A latent class analysis was estimated to group the index into three categories to carry out a descriptive analysis. An ordinary least squares linear regression model was estimated to study the effects of remittance reception and the socio-demographic characteristics on financial inclusion.Findings: A low percentage of Mexicans have high financial inclusion. By focusing on the main characteristics of remittance recipients and non-recipients associated with financial inclusion, it was found that the main variables that explain this inclusion are: age-the older the age, the more inclusion-, being a head of household, schooling level-the more schooling, the more inclusion-, living in urban areas, having a job, and receiving remittances. There are several financial inclusion strategies implemented by the Mexican government. However, these strategies have not been accompanied by plans to make the public aware of the pros and cons of acquiring the various financial products offered by banks.Originality/value: It is important to consider the economic benefits that financial inclusion generates, as well as some of the negative implications it can bring to households, like indebtedness.</t>
  </si>
  <si>
    <t>[Pardo-Montano, Ana] Univ Nacl Autonoma Mexico, Inst Geog, Dept Geog Econ, Mexico City, DF, Mexico; [Davila-Cervantes, Claudio] Fac Latinoameriana Ciencias Sociales Flacso, Guatemala City, Guatemala</t>
  </si>
  <si>
    <t>Universidad Nacional Autonoma de Mexico</t>
  </si>
  <si>
    <t>Pardo-Montaño, A (corresponding author), Univ Nacl Autonoma Mexico, Inst Geog, Dept Geog Econ, Mexico City, DF, Mexico.</t>
  </si>
  <si>
    <t>melisa.pardo@comunidad.unam.mx; claudio.davila@flacso.edu.mx</t>
  </si>
  <si>
    <t>Davila, Claudio/F-3722-2019; Davila-Cervantes, Claudio/F-3722-2019</t>
  </si>
  <si>
    <t>Davila, Claudio/0000-0002-7656-3606;</t>
  </si>
  <si>
    <t>National Autonomous University of Mexico [IN301621]</t>
  </si>
  <si>
    <t>National Autonomous University of Mexico(Universidad Nacional Autonoma de Mexico)</t>
  </si>
  <si>
    <t>This article is based on the authors' research from the project Financialization from below. Effects of thefinancialization process of the economy on the migrant population' for the Support Program for ResearchProjects and Technological Innovation (PAPIIT), supported by the National Autonomous University of Mexicounder Grant IN301621.</t>
  </si>
  <si>
    <t>10.3926/ic.2056</t>
  </si>
  <si>
    <t>5Q7SA</t>
  </si>
  <si>
    <t>WOS:000874025300001</t>
  </si>
  <si>
    <t>Durango-Gutiérrez, MP; Lara-Rubio, J; Navarro-Galera, A</t>
  </si>
  <si>
    <t>Durango-Gutierrez, Maria Patricia; Lara-Rubio, Juan; Navarro-Galera, Andres</t>
  </si>
  <si>
    <t>Analysis of default risk in microfinance institutions under the Basel III framework</t>
  </si>
  <si>
    <t>Artificial neural networks; Basel III; default; logistic regression; microfinance institutions</t>
  </si>
  <si>
    <t>CREDIT RISK; REPAYMENT PERFORMANCE; NEURAL-NETWORKS; MONETARY-POLICY; DETERMINANTS; DECISIONS; BANKING; SYSTEM; PREDICTION; REGRESSION</t>
  </si>
  <si>
    <t>International organizations such as OECD, WBG, IMF, UN and EU, as well as research studies, have highlighted the increasing contribution being made by microcredit finance institutions (MFIs) to financial inclusion, sustainable economic development and the fight against poverty. However, access to MFI credit is still far from the desired level for small and micro-enterprises, especially in developing countries. The countries of Latin America and the Caribbean, where approximately half of the small formal companies do not have access to credit, have the world's highest financial gap ratio compared to potential demand (87%). In this context, effective instruments are needed to assess default risk, through credit ratings. Based on the Basel III regulations, an empirical study was conducted of two microcredit portfolios corresponding to two MFIs in two Latin American countries (Bolivia and Colombia) during the period 2012-2015, to identify the explanatory variables of the probability of default on loans granted by MFIs, using a logistic regression model and a neural network. The results obtained show that the main variables in this respect are the amount of the loan, the number of payments in arrears, the guarantees provided, the assessment of the credit analyst, male gender of the borrower and the level and trend of the general stock exchange index. The conclusions presented advance previous research findings and may be useful for MFI managers, regulatory institutions, financial analysts, scholars, policy-makers and applicants for microcredits to undertake a business project, especially in times of emerging crisis, such as that caused by the Covid-19 pandemic.</t>
  </si>
  <si>
    <t>[Durango-Gutierrez, Maria Patricia] Univ Granada, Fac Econ &amp; Business Studies, Granada, Spain; [Lara-Rubio, Juan; Navarro-Galera, Andres] Univ Granada, Dept Financial Econ &amp; Accounting, Granada, Spain</t>
  </si>
  <si>
    <t>University of Granada; University of Granada</t>
  </si>
  <si>
    <t>Lara-Rubio, J (corresponding author), Univ Granada, Fac Econ &amp; Business Studies, Dept Financial Econ &amp; Accounting, Campus Univ Cartuja S-N, Granada 18071, Spain.</t>
  </si>
  <si>
    <t>juanlara@ugr.es</t>
  </si>
  <si>
    <t>Lara-Rubio, Juan/0000-0001-7703-5920</t>
  </si>
  <si>
    <t>10.1002/ijfe.2475</t>
  </si>
  <si>
    <t>D6AG4</t>
  </si>
  <si>
    <t>WOS:000611810600001</t>
  </si>
  <si>
    <t>Iheanachor, N; David-West, Y; Umukoro, IO</t>
  </si>
  <si>
    <t>Iheanachor, Nkemdilim; David-West, Yinka; Umukoro, Immanuel Ovemeso</t>
  </si>
  <si>
    <t>Business model innovation at the bottom of the pyramid - A case of mobile money agents</t>
  </si>
  <si>
    <t>Business model; Business model innovation; Digital financial services; Financial services agents; Financial inclusion; Nigeria</t>
  </si>
  <si>
    <t>VALUE CREATION; FRAMEWORK; DESIGN; PERFORMANCE; DYNAMICS</t>
  </si>
  <si>
    <t>Business models have historically facilitated the ability of firms to create and capture value. Focusing on financial service agents (FSAs) as actors in the Nigerian financial services industry, this study helps to elucidate how value creation and distribution can facilitate business model innovation (BMI) in an emerging market. We deployed Osterwalder and Pigneur's business model canvas alongside Amit and Zott's Sources of Value in e-Business (SVCeB) model in mapping FSA business models and value creation sources. We find that the constant need to align the resources of a firm with the demand conditions at the customer end triggers the need for BMI by FSAs. The findings also demonstrate that FSAs have weak business models that inhibit their sustainability and ultimately impede their ability to play their role in closing the country's financial exclusion gap. We suggest the need for business model innovation by FSAs as a pathway to viability, profitability and sustainability.</t>
  </si>
  <si>
    <t>[Iheanachor, Nkemdilim; David-West, Yinka; Umukoro, Immanuel Ovemeso] Pan Atlantic Univ, Lagos Business Sch, Lagos, Nigeria</t>
  </si>
  <si>
    <t>niheanachor@lbs.edu.ng; ydavid-west@lbs.edu.ng; uimmanuel@lbs.edu.ng</t>
  </si>
  <si>
    <t>Umukoro, Immanuel/M-4056-2016</t>
  </si>
  <si>
    <t>Bill and Melinda Gates Foundation opportunity [ID - OPP1133684]; Bill and Melinda Gates Foundation [OPP1133684] Funding Source: Bill and Melinda Gates Foundation</t>
  </si>
  <si>
    <t>Bill and Melinda Gates Foundation opportunity; Bill and Melinda Gates Foundation(Bill &amp; Melinda Gates Foundation)</t>
  </si>
  <si>
    <t>A grant was received from the Bill and Melinda Gates Foundation opportunity ID - OPP1133684 from the financial services for the poor group, which is part of a larger research project.</t>
  </si>
  <si>
    <t>10.1016/j.jbusres.2021.01.029</t>
  </si>
  <si>
    <t>QS4OP</t>
  </si>
  <si>
    <t>WOS:000625882100009</t>
  </si>
  <si>
    <t>Zulfiqar, GM</t>
  </si>
  <si>
    <t>Zulfiqar, Ghazal M.</t>
  </si>
  <si>
    <t>From Kashf Foundation to Kashf Microfinance Bank-Changing Organizational Identities</t>
  </si>
  <si>
    <t>ASIAN JOURNAL OF MANAGEMENT CASES</t>
  </si>
  <si>
    <t>Microfinance; NGOs; Banks; Financial Inclusion; Organizational Change; Institutional Logic; Hybrids</t>
  </si>
  <si>
    <t>This case documents the challenges faced by the Kashf Microfinance Bank (KMFB) in 2012, when it was a relatively new entrant in a financial industry established by the 2001 Microfinance Institutions Ordinance. The case documents the difficulties KMFB faced in establishing itself as a microfinance bank, moved away from the unregulated NGO sector where its parent company, Kashf Foundation, was situated. As a microfinance bank KMFB faced the simultaneous challenge of surviving the start-up stage and adapting to the stringent banking regulations placed on it by the State Bank of Pakistan (SBP). The latter required learning to strike a balance between the sometimes conflicting banking and development institutional logics, a typical problem for hybrid institutions with a social mission. As KFMB grappled with trying to meet the SBP's requirements on capital adequacy, it faced a repayment crisis originating from its parent company, wiping out a significant portion of its equity. The case focus is on a decision KMFB's board must take, regarding whether or not to invite a new majority shareholder to bring the Bank out of the red. This includes the decision criteria for choosing a shareholder that will uphold KMFB's mission of financial inclusion.</t>
  </si>
  <si>
    <t>[Zulfiqar, Ghazal M.] Lahore Univ Management Sci, Suleman Dawood Sch Business, Lahore, Pakistan</t>
  </si>
  <si>
    <t>Zulfiqar, GM (corresponding author), Lahore Univ Management Sci, Suleman Dawood Sch Business, Lahore, Pakistan.</t>
  </si>
  <si>
    <t>State of Pakistan</t>
  </si>
  <si>
    <t>Civilian medal of excellence granted by the State of Pakistan.</t>
  </si>
  <si>
    <t>0972-8201</t>
  </si>
  <si>
    <t>0973-0621</t>
  </si>
  <si>
    <t>ASIAN J MANAG CASES</t>
  </si>
  <si>
    <t>Asian J. Manag. Cases</t>
  </si>
  <si>
    <t>10.1177/0972820117713595</t>
  </si>
  <si>
    <t>FJ3PK</t>
  </si>
  <si>
    <t>WOS:000412643900004</t>
  </si>
  <si>
    <t>Akpan, U; Umaru, A</t>
  </si>
  <si>
    <t>Akpan, Usenobong; Umaru, Aminu</t>
  </si>
  <si>
    <t>Can the e-Naira foster financial inclusion in Nigeria? Evidence from structural equation model</t>
  </si>
  <si>
    <t>Financial inclusion; CBDC; e-Naira; SEM; E42; O17; C51; C38</t>
  </si>
  <si>
    <t>In this paper, we evaluate the extent to which the e-Naira can bridge the financial inclusion gap in Nigeria. From a survey design of a well-structured questionnaire, we subject the field dataset to the structural equation model (SEM), which combines factor analysis with multiple regression. The choice of SEM also follows from its capacity to handle complex and difficult data that may be non-normal and incomplete. Our results indicate that enhancing access to, quality of, and usage of the e-Naira could have a positive and significant influence on financial inclusion in Nigeria. In particular, we found that a unit increase in e-Naira's access, usage, and quality could, respectively, lead to a 0.18%, 0.32%, and 0.38% increase in financial inclusion in Nigeria. The results were robust to various standard diagnostic tests. Consequently, the paper provides strong support for the need to further promote access, usage, and quality of the e-Naira in Nigeria as part of the strategies for enhancing financial inclusion in the country.</t>
  </si>
  <si>
    <t>[Akpan, Usenobong; Umaru, Aminu] Cent Bank Nigeria, Res Dept, Abuja, Nigeria</t>
  </si>
  <si>
    <t>Akpan, U (corresponding author), Cent Bank Nigeria, Res Dept, Abuja, Nigeria.</t>
  </si>
  <si>
    <t>uakpan@yahoo.co.uk; aminu_umaru2007@yahoo.com</t>
  </si>
  <si>
    <t>Akpan, Usenobong/LYO-1064-2024</t>
  </si>
  <si>
    <t>Akpan, Usenobong/0000-0002-6866-5397</t>
  </si>
  <si>
    <t>10.1007/s40847-024-00407-8</t>
  </si>
  <si>
    <t>A0583</t>
  </si>
  <si>
    <t>WOS:001415781400001</t>
  </si>
  <si>
    <t>Gonzalez, L</t>
  </si>
  <si>
    <t>Gonzalez, Laura</t>
  </si>
  <si>
    <t>Doing well while doing good? Gender effects in pro-social peer-to-peer lending</t>
  </si>
  <si>
    <t>P2P lending; Prosocial; Gender; Financial literacy; Financial inclusion</t>
  </si>
  <si>
    <t>FINANCIAL LITERACY; CREDIT</t>
  </si>
  <si>
    <t>Purpose The 2008 and 2020 crises reinvigorated discussions on the need to deepen financial inclusion through fintech. Peer-to-peer (P2P) lending facilitates pro-social direct lending to less bankable strangers while providing returns to at-times less experienced lenders. Information asymmetries and credit risk are substantial, and previous research finds suboptimal heuristics in for-profit lenders (Gonzalez, 2022). This study examines further the role of gender to facilitate doing well while doing good. Design/methodology/approach This study examines 663 pro-social lending decisions by finance students on a mock P2P site. Testimonials were used to condition participants towards pro-social decision-making. Each participant was asked to make three lending decisions. The three loan applications were identical except for a female or male headshot (vs a control icon), and a randomly assigned difference in the trustworthiness or popularity of the male vs female loan applications among other lenders. Loan popularity is reported as a lower number of days needed to fund half the identical loan amount requested in the three loan applications (3 vs 11 days for headshot applications, and 7 days for control one). Findings Self-recognition in similar-age borrowers is more pronounced for lenders who have experienced financial trauma. Second, male lenders report higher confidence in their financial literacy and cash collateral. Third, cash collateral increases lending only to female borrowers. Fourth, higher perception of one's financial literacy increases confidence only when lending to females. Originality/value This is the first study to examine the role of gender, financial literacy, identification with borrowers, and collateral perception in pro-social P2P lending.</t>
  </si>
  <si>
    <t>[Gonzalez, Laura] Calif State Univ Long Beach, Coll Business, Finance Dept, Long Beach, CA 90840 USA</t>
  </si>
  <si>
    <t>California State University System; California State University Long Beach</t>
  </si>
  <si>
    <t>Gonzalez, L (corresponding author), Calif State Univ Long Beach, Coll Business, Finance Dept, Long Beach, CA 90840 USA.</t>
  </si>
  <si>
    <t>laura.gonzalezalana@csulb.edu</t>
  </si>
  <si>
    <t>Gonzalez, Laura/0000-0001-6852-7915</t>
  </si>
  <si>
    <t>10.1108/MF-07-2021-0352</t>
  </si>
  <si>
    <t>WOS:000863283900001</t>
  </si>
  <si>
    <t>Fareed, F; Viotto, J</t>
  </si>
  <si>
    <t>Fareed, Fozan; Viotto, Jordana</t>
  </si>
  <si>
    <t>Crowdfunding platforms and financial inclusion: Fulfilled promise or disillusion?</t>
  </si>
  <si>
    <t>Fintech; Crowdfunding; Kiva; Financial inclusion; Microenterprises; Microfinance</t>
  </si>
  <si>
    <t>Pro-social crowdfunding platforms offer a promising path for financial inclusion in developing countries. The literature on crowdfunding lacks evidence of whether and to what extent pro-social crowdfunding platforms fulfil this promise. Employing different techniques to tackle endogeneity, we show that, while crowdfunding platforms expand access to capital to more borrowers, the service to more vulnerable individuals does not improve. We also find that interest rates remain unchanged. Our results allow us to provide recommendations to policymakers regarding the connection between digital technologies like crowdfunding platforms and financial inclusion.</t>
  </si>
  <si>
    <t>[Fareed, Fozan] Int Monetary Fund, Washington, DC USA; [Fareed, Fozan; Viotto, Jordana] Univ Edinburgh, Business Sch, Edinburgh, Scotland</t>
  </si>
  <si>
    <t>International Monetary Fund; University of Edinburgh</t>
  </si>
  <si>
    <t>Viotto, J (corresponding author), Univ Edinburgh, Business Sch, Edinburgh, Scotland.</t>
  </si>
  <si>
    <t>ffareed@imf.org; jviotto@ed.ac.uk</t>
  </si>
  <si>
    <t>10.1016/j.frl.2024.106642</t>
  </si>
  <si>
    <t>R5G7V</t>
  </si>
  <si>
    <t>WOS:001391739200001</t>
  </si>
  <si>
    <t>Copestake, J; Johnson, S; Cabello, M; Goodwin-Groen, R; Gravesteijn, R; Humberstone, J; Nino-Zarazua, M; Titus, M</t>
  </si>
  <si>
    <t>Copestake, James; Johnson, Susan; Cabello, Mateo; Goodwin-Groen, Ruth; Gravesteijn, Robin; Humberstone, Julie; Nino-Zarazua, Max; Titus, Matthew</t>
  </si>
  <si>
    <t>Towards a plural history of microfinance</t>
  </si>
  <si>
    <t>Microfinance; financial inclusion; pluralism; social embeddedness; India</t>
  </si>
  <si>
    <t>CREDIT PROGRAMS; INSTITUTIONS; POOR; MANAGEMENT; BANGLADESH; ECONOMICS; BANKING; SECURE; IMPACT; MATTER</t>
  </si>
  <si>
    <t>This article reviews different ways of telling the history of microfinance. We first contrast a mainstream and mostly positive narrative with a radical critique, illustrating differences with reference to India. We then argue for a more inductive and plural account, drawing on a set of doctoral research studies to illustrate variation in microfinance experience according to social relations among users, organisational culture of suppliers and the political economy of regulation. A global narrative of movement towards total financial inclusion will not do justice to this diversity, nor should the history of microfinance be dominated by one overarching global perspective. RESUMECet article analyse differentes facons de raconter l'histoire de la microfinance. Le recit dominant et generalement positif est d'abord compare a celui de la critique radicale, leurs differences etant illustrees par le cas de l'Inde. Puis, en nous fondant sur un ensemble de theses de doctorat pour illustrer l'heterogeneite des experiences selon les rapports sociaux entre les usagers, la culture organisationnelle des fournisseurs et l'economie politique de la regulation, nous proposons une narration a la fois plus inductive et plurielle. Un discours unique et universel sur l'inclusion financiere ne peut rendre justice a la diversite des experiences pas plus que l'histoire de la microfinance ne devrait etre dominee par une seule perspective.</t>
  </si>
  <si>
    <t>[Copestake, James; Johnson, Susan] Univ Bath, Dept Social &amp; Polit Sci, Bath, Avon, England; [Cabello, Mateo] Oxford Policy Management, Oxford, England; [Goodwin-Groen, Ruth] UN Capital Dev Fund, Better Cash Alliance, New York, NY USA; [Gravesteijn, Robin] UN Capital Dev Fund, Bangkok, Thailand</t>
  </si>
  <si>
    <t>Copestake, J (corresponding author), Univ Bath, Dept Social &amp; Polit Sci, Bath, Avon, England.</t>
  </si>
  <si>
    <t>j.g.copestake@bath.ac.uk</t>
  </si>
  <si>
    <t>Copestake, James/0000-0001-5658-2597</t>
  </si>
  <si>
    <t>10.1080/02255189.2016.1197102</t>
  </si>
  <si>
    <t>DZ1BC</t>
  </si>
  <si>
    <t>WOS:000385572600002</t>
  </si>
  <si>
    <t>Yue, PP; Korkmaz, AG; Yin, ZC; Zhou, HG</t>
  </si>
  <si>
    <t>Yue, Pengpeng; Korkmaz, Aslihan Gizem; Yin, Zhichao; Zhou, Haigang</t>
  </si>
  <si>
    <t>The rise of digital finance: Financial inclusion or debt trap?</t>
  </si>
  <si>
    <t>Fintech; Digital lending; Financial inclusion; Digital financial literacy; Debt trap</t>
  </si>
  <si>
    <t>LITERACY; CHINA</t>
  </si>
  <si>
    <t>This study focuses on the impact of digital finance on households. While digital finance has brought financial inclusion, it has also increased the risk of households falling into a debt trap. We provide evidence that supports this notion and explain the channel through which digital finance increases the likelihood of financial distress. Our results show that the widespread use of digital finance increases credit market participation. The broadened access to credit markets increases household consumption by changing the marginal propensity to consume. However, the easier access to credit markets also increases the risk of households falling into a debt trap.</t>
  </si>
  <si>
    <t>[Yue, Pengpeng] Beijing Technol &amp; Business Univ, Beijing 100048, Peoples R China; [Korkmaz, Aslihan Gizem] Dominican Univ Calif San Rafael, San Rafael, CA 94901 USA; [Yin, Zhichao] Capital Univ Econ &amp; Business, Beijing 100070, Peoples R China; [Zhou, Haigang] Cleveland State Univ, Cleveland, OH 44115 USA</t>
  </si>
  <si>
    <t>Beijing Technology &amp; Business University; Capital University of Economics &amp; Business; University System of Ohio; Cleveland State University</t>
  </si>
  <si>
    <t>Korkmaz, AG (corresponding author), Dominican Univ Calif San Rafael, San Rafael, CA 94901 USA.</t>
  </si>
  <si>
    <t>yuepengpeng@btbu.edu.cn; aslihan.korkmaz@dominican.edu; yzc@cueb.edu.cn; h.zhou16@csuohio.edu</t>
  </si>
  <si>
    <t>Yue, Pengpeng/AGZ-7907-2022</t>
  </si>
  <si>
    <t>Yue, Pengpeng/0000-0002-5210-4309; Korkmaz, Aslihan/0000-0002-9151-0692</t>
  </si>
  <si>
    <t>National Natural Science Foundation of China [72103010]</t>
  </si>
  <si>
    <t>Funding This work has been financially supported by the National Natural Science Foundation of China (72103010)</t>
  </si>
  <si>
    <t>10.1016/j.frl.2021.102604</t>
  </si>
  <si>
    <t>2G2QO</t>
  </si>
  <si>
    <t>WOS:000813443100009</t>
  </si>
  <si>
    <t>Determinants of working women's financial behaviour: an Indian study</t>
  </si>
  <si>
    <t>Financial literacy; Financial coping behaviour; Financial self-efficacy; Financial socialization and financial behaviour</t>
  </si>
  <si>
    <t>SELF-EFFICACY; DATA-COLLECTION; PLS-SEM; LITERACY; SOCIALIZATION; ATTITUDE; ONLINE</t>
  </si>
  <si>
    <t>PurposeIn the current era, where financial markets are easily accessible, some individuals confidently save and invest while others hesitate. Grounded on socialization and the social cognitive theory, this work proposes a conceptual framework to examine the influence of financial literacy and socialization on financial behaviour among working women. Additionally, this work explores the role of financial coping behaviour and self-efficacy as serial mediators between financial literacy, socialization and behaviour.Design/methodology/approachData were gathered from 284 female respondents through purposive sampling techniques working in different sectors in the Delhi-NCR area of India. Partial least square (PLS) structure equation modelling using Smart PLS was utilized to test the proposed hypothesis of the study. Findings emphasize the role of financial efficacy and coping strategies in improving the financial outcome. Financial literacy alone does not guarantee positive financial behaviour unless women have adequate confidence in their abilities and appropriate strategies to implement them.FindingsFindings highlight that behavioural and psychological factors are crucial in translating adequate outcomes beyond financial knowledge and sufficient financial and social exposure. Financial literacy and socialization substantially influence women's financial behaviour, with self-efficacy and coping behaviour as crucial mediators.Research limitations/implicationsThis work offers practical implications for policymakers, institutions, government and educators seeking to design targeted financial education and confidence development programs. These steps can further foster the women's financial capability in order to make the financial strategies wisely. The insights derived from this research work are particularly relevant for financial institutions and bank marketers who seek to tap the growing working women's segment more effectively. By critically understanding the underlying drivers of women's financial behaviour, banks and financial institutions can design more targeted communication strategies for gender-sensitive financial products and services that foster financial engagement and management among female workers. By emphasizing the role of psychological and internal factors in shaping women's financial behaviour, this work underlines the significance of moving beyond transactional engagement to build long-term trust and confidence.Originality/valueThis work adds to the existing body of literature by integrating psychological and behavioural factors with individual and social factors into the financial behaviour framework.</t>
  </si>
  <si>
    <t>[Gupta, Priya; Aggarwal, Mamta; Bamba, Meera] Indira Gandhi Univ, Dept Commerce, Rewari, India</t>
  </si>
  <si>
    <t>Gupta, P (corresponding author), Indira Gandhi Univ, Dept Commerce, Rewari, India.</t>
  </si>
  <si>
    <t>Aggarwal, Mamta/KMA-3306-2024</t>
  </si>
  <si>
    <t>2025 DEC 12</t>
  </si>
  <si>
    <t>10.1108/IJBM-03-2025-0188</t>
  </si>
  <si>
    <t>Q3697</t>
  </si>
  <si>
    <t>WOS:001634520000001</t>
  </si>
  <si>
    <t>Huo, WD; Xiohui, W; Zulfiqar, M; Chand, A; Ullah, MR</t>
  </si>
  <si>
    <t>Huo, Weidong; Xiohui, Wang; Zulfiqar, Muhammad; Chand, Ahmed; Ullah, Muhammad Rizwan</t>
  </si>
  <si>
    <t>Communication dynamics: Fintech's role in promoting sustainable cashless transactions</t>
  </si>
  <si>
    <t>INFORMATION-TECHNOLOGY; UNIFIED THEORY; ACCEPTANCE; ADOPTION; INTENTION; BANKING; DETERMINANTS</t>
  </si>
  <si>
    <t>The integration of Fintech is revolutionizing global financial engagement, moving away from traditional payment systems. This study, thus, explores the interaction between communication dynamics, Fintech use, intentions, cashless transactions adoption, financial literacy, personal innovativeness, and socioeconomic development in Pakistan. The study employs a dual methodology, encompassing PLS-SEM and Probit Model alongside Propensity Score Matching technique. The survey targeted small business owners and individuals involved in informal sectors, encompassing roles such as fruit and vegetable vendors, small shop owners, taxi drivers, and auto rickshaw operators. A total of 394 responses were analyzed. The findings highlight the facilitating role of individuals' intentions to use cashless transactions, acting as a mediator through which Fintech use fosters actual behavior. Moreover, the study finds financial literacy and personal innovativeness as critical moderating factors. Adopting cashless transactions emerges as a pathway to enhanced financial inclusion, particularly impactful for small business owners. The achieved financial inclusion has the potential for profound financial inclusion implications, as evidenced by its positive effects on sustainable livelihoods, living conditions, and social development among small business owners and individuals operating within the informal sector.</t>
  </si>
  <si>
    <t>[Huo, Weidong] Liaoning Univ, Sch Finance &amp; Trade, Shenyang, Peoples R China; [Xiohui, Wang] Liaoning Univ, Sunwah Int Business Sch, Shenyang, Peoples R China; [Zulfiqar, Muhammad] Zhejiang Gongshang Univ, Hangzhou Coll Commerce, Hangzhou, Peoples R China; [Chand, Ahmed] North China Elect Power Univ, Sch Econ &amp; Management, Beijing, Peoples R China; [Ullah, Muhammad Rizwan] Univ Faisalabad, Natl Business Sch, Faisalabad, Pakistan</t>
  </si>
  <si>
    <t>Liaoning University; Liaoning University; Zhejiang Gongshang University; North China Electric Power University</t>
  </si>
  <si>
    <t>Zulfiqar, M (corresponding author), Zhejiang Gongshang Univ, Hangzhou Coll Commerce, Hangzhou, Peoples R China.</t>
  </si>
  <si>
    <t>muhammadzulfiqar@lnu.edu.cn</t>
  </si>
  <si>
    <t>Ullah, Muhammad Rizwan/NNG-2482-2025</t>
  </si>
  <si>
    <t>LiaoNing Revitalization Talents Program</t>
  </si>
  <si>
    <t>LiaoNing Revitalization Talents Program(Natural Science Foundation of Liaoning Province)</t>
  </si>
  <si>
    <t>This study is supported by (sic)(sic)(sic) '(sic)(sic)(sic)(sic)(sic)(sic)'(sic) (sic)(sic)(sic) ((sic) (sic): Supported by LiaoNing Revitalization Talents Program) (sic) (sic)(sic)(sic) XLYC2002116 (sic)(sic)(sic)(sic)(sic)(sic)(sic)(sic).</t>
  </si>
  <si>
    <t>OCT 15</t>
  </si>
  <si>
    <t>10.1057/s41599-024-03729-4</t>
  </si>
  <si>
    <t>I9T1A</t>
  </si>
  <si>
    <t>WOS:001333593200007</t>
  </si>
  <si>
    <t>Liu, F; Lei, HY; Lu, WY; Yin, Q</t>
  </si>
  <si>
    <t>Liu, Fang; Lei, Hanyun; Lu, Wenyi; Yin, Qiang</t>
  </si>
  <si>
    <t>The importance of the comparative benchmark for measuring composite financial literacy with survey data</t>
  </si>
  <si>
    <t>comparative benchmark; composite financial literacy; objectively-measured financial literacy; subjectively-perceived financial literacy; overconfidence</t>
  </si>
  <si>
    <t>OVERCONFIDENCE</t>
  </si>
  <si>
    <t>IntroductionUsing survey data to calculate composite financial literacy (CFL), existed studies do not consider the geographical difference of the means of objectively-measured financial literacy and subjectively-perceived financial literacy, i.e., comparative benchmark. MethodsTaking the survey data of National Financial Capability Study (NFCS) for example, we explain why it is more reasonable to use the within-state average rather than the national average of financial literacy as the comparative benchmark to measure CFL. Then we use NFCS 2009, 2012, 2015 and 2018 dataset to comparatively analyze the difference between CFL measured with the two benchmarks. ResultsThe results of statistical analysis show that there is a great difference among the four groups of CFL measured with the two benchmarks, and 10.7% of respondents are categorized as a particular group of CFL incorrectly for all datasets. Additionally, the findings of spatial distribution analysis unveils that 36, 19, 15, and 6 states have respondents miscategorized in the four groups of CFL for 2009, 2012, 2015, and 2018 respectively, in which the highest proportion of the population miscategorized in a state is up to 49.91%. Finally, we find that several groups of CFL measured with the two benchmarks have significantly different effects on stock market participation behavior. DiscussionUsing the national average as a benchmark to determine all the respondents' relative financial literacy levels for different states is not meaningful, and will lose the practical appeal to tackle the regional inequalities of financial literacy among the households. Therefore, we suggest that the within-state average of financial literacy, not the national average, should be taken as the comparative benchmark for identifying the more precise groups of CFL in survey.</t>
  </si>
  <si>
    <t>[Liu, Fang; Lei, Hanyun] Xinjiang Univ Finance &amp; Econ, Sch Finance, Urumqi, Peoples R China; [Liu, Fang] Jiangsu Univ Technol, Sch Management, Changzhou, Peoples R China; [Lu, Wenyi] Zhejiang Gongshang Univ, Sch Finance, Hangzhou, Peoples R China; [Yin, Qiang] Asian Growth Res Inst, Res Div, Kitakyushu, Japan; [Yin, Qiang] Jishou Univ, Business Sch, Jishou, Peoples R China</t>
  </si>
  <si>
    <t>Xinjiang University of Finance &amp; Economics; Jiangsu University of Technology; Zhejiang Gongshang University; Jishou University</t>
  </si>
  <si>
    <t>Lei, HY (corresponding author), Xinjiang Univ Finance &amp; Econ, Sch Finance, Urumqi, Peoples R China.</t>
  </si>
  <si>
    <t>leihy2019@163.com</t>
  </si>
  <si>
    <t>Liu, Fang/JLS-4053-2023; LU, WEN YI/JGE-2648-2023</t>
  </si>
  <si>
    <t>National Social Science Fund of China [21XJY018]; Social Science Fund of Xinjiang [20BJY04]; Major Counselor and Investigation Project of Xinjiang University of Finance and Economics [2022XZZ001]; Social Science Fund of Jiangsu University of Technology [KYY20512]</t>
  </si>
  <si>
    <t>National Social Science Fund of China; Social Science Fund of Xinjiang; Major Counselor and Investigation Project of Xinjiang University of Finance and Economics; Social Science Fund of Jiangsu University of Technology</t>
  </si>
  <si>
    <t>The authors would like to acknowledge funding from the National Social Science Fund of China (Grant No. 21XJY018), the Social Science Fund of Xinjiang (Grant No. 20BJY04), the Major Counselor and Investigation Project of Xinjiang University of Finance and Economics (Grant No. 2022XZZ001), and the Social Science Fund of Jiangsu University of Technology (Grant No. KYY20512).</t>
  </si>
  <si>
    <t>10.3389/fpsyg.2022.1025555</t>
  </si>
  <si>
    <t>7D8IX</t>
  </si>
  <si>
    <t>WOS:000900728000001</t>
  </si>
  <si>
    <t>Jayashree, N; Deepa, N; Shravanthi, AR</t>
  </si>
  <si>
    <t>Jayashree, N.; Deepa, N.; Shravanthi, A. Raj</t>
  </si>
  <si>
    <t>Comparison of Financial Literacy among Women Self Help Group Members Engaged in Weaving and Coir Activities in Salem District of Tamil Nadu</t>
  </si>
  <si>
    <t>Financial attitude; financial behavior; financial knowledge; financial literacy; women SHG's</t>
  </si>
  <si>
    <t>Financial literacy is considered an important adjunct for the promotion of financial inclusion and ultimately financial stability. With this background the study was taken up to assess and compare the financial literacy among the self-help group members engaged in weaving and coir activity of Salem district. 160 sample respondents involved in weaving activity and 40 in coir activity were randomly selected. The data was analyzed using simple conventional analysis and the results revealed that the financial knowledge was found to be low and the financial behavior and financial attitude was average among the women self-help group members engaged in weaving and coir activity. The study suggests that banks could take up proper extension efforts on financial literacy programmes. FLCCC should make efforts in providing financial counseling services to the SHGs through face to face interactions. The members of SHGs should be encouraged to engage in multiple income earning activities to improve their standard of living.</t>
  </si>
  <si>
    <t>[Jayashree, N.; Deepa, N.; Shravanthi, A. Raj] Tamil Nadu Agr Univ, Dept Agr &amp; Rural Management, Coimbatore 641003, Tamil Nadu, India</t>
  </si>
  <si>
    <t>Tamil Nadu Agricultural University</t>
  </si>
  <si>
    <t>Shravanthi, AR (corresponding author), Tamil Nadu Agr Univ, Dept Agr &amp; Rural Management, Coimbatore 641003, Tamil Nadu, India.</t>
  </si>
  <si>
    <t>rajshravanthi@gmail.com</t>
  </si>
  <si>
    <t>10.5958/2322-0430.2018.00126.9</t>
  </si>
  <si>
    <t>HD8GT</t>
  </si>
  <si>
    <t>WOS:000452793900005</t>
  </si>
  <si>
    <t>Simatele, M</t>
  </si>
  <si>
    <t>Simatele, Munacinga</t>
  </si>
  <si>
    <t>E-payment instruments and welfare: The case of Zimbabwe</t>
  </si>
  <si>
    <t>TD-THE JOURNAL FOR TRANSDISCIPLINARY RESEARCH IN SOUTHERN AFRICA</t>
  </si>
  <si>
    <t>e-payments; welfare; financial inclusion; digital finance; Zimbabwe</t>
  </si>
  <si>
    <t>FINANCIAL INCLUSION; MOBILE MONEY; TRANSACTIONS</t>
  </si>
  <si>
    <t>The literature shows that electronic payments are key to improving financial inclusion and achieving global development goals such as the United Nation's (UNs) Sustainable Development Goals. The benefits are premised on the welfare-enhancing effects of digital payments, which reduce costs, the probability of loss and risk for low-income consumers, as well as improve access to formal financial services. This study thus investigates the conditions under which these welfare-enhancing gains can be obtained. It considers the conditions under which e-payments can be welfare enhancing by using qualitative data from Zimbabwe. The severe liquidity constraints in Zimbabwe provide a good case for evaluating how well e-payments work, as the relative absence of cash has made the use of mobile money inevitable. Focus group data are analysed to understand participants' everyday experiences with the e-payment system in Zimbabwe. The results indicate that the key challenges with payment systems faced by households include high costs, malfunctions of the system at the point of sale, lengthy refund processes and limited acceptance. Participants indicate a strong preference for foreign exchange cash as a mode of payment. High levels of concentration in the mobile money market, lack of transparency by financial service providers and a strong preference for cash by retailers are the main drivers of system failure. Therefore, this study identifies the need for the government to address the lack of competition in the market, as well as address macroeconomic liquidity constraints.</t>
  </si>
  <si>
    <t>[Simatele, Munacinga] Univ Ft Hare, Dept Econ, Fac Management &amp; Commerce, East London, South Africa</t>
  </si>
  <si>
    <t>Simatele, M (corresponding author), Univ Ft Hare, Dept Econ, Fac Management &amp; Commerce, East London, South Africa.</t>
  </si>
  <si>
    <t>Nedbank Chair in Economics; Seed Fund from the University of Fort Hare's Govan Mbeki Research and Development Centre</t>
  </si>
  <si>
    <t>The data collection for this article was in part funded by the Nedbank Chair in Economics as well as the Seed Fund from the University of Fort Hare's Govan Mbeki Research and Development Centre.</t>
  </si>
  <si>
    <t>POSTNET SUITE 55, PRIVATE BAG X22, TYGERVALLEY, CAPE TOWN, 00000, SOUTH AFRICA</t>
  </si>
  <si>
    <t>1817-4434</t>
  </si>
  <si>
    <t>2415-2005</t>
  </si>
  <si>
    <t>TD-J TRANSDISCIPL RE</t>
  </si>
  <si>
    <t>TD-J. Transdiscipl. Res. South. Afr.</t>
  </si>
  <si>
    <t>a823</t>
  </si>
  <si>
    <t>10.4102/td.v17i1.823</t>
  </si>
  <si>
    <t>QG7RW</t>
  </si>
  <si>
    <t>WOS:000617781800001</t>
  </si>
  <si>
    <t>Suri, T; Jack, W; Stoker, TM</t>
  </si>
  <si>
    <t>Suri, Tavneet; Jack, William; Stoker, Thomas M.</t>
  </si>
  <si>
    <t>Documenting the birth of a financial economy</t>
  </si>
  <si>
    <t>PROCEEDINGS OF THE NATIONAL ACADEMY OF SCIENCES OF THE UNITED STATES OF AMERICA</t>
  </si>
  <si>
    <t>technology adoption; social networks; Africa; financial inclusion</t>
  </si>
  <si>
    <t>TECHNOLOGY; CONSUMPTION</t>
  </si>
  <si>
    <t>The birth and explosive growth of mobile money in Kenya has provided economists with an opportunity to study the evolution and impact of a new financial system. Mobile money is an innovation that allows individuals to store, send, and receive money on their mobile phone via text message. This system has opened up basic financial services to many who were previously excluded, and has had real and measurable impacts on the ability of households to protect themselves against health risks. Using a unique survey instrument covering nearly 2,300 households over 2008-2010, we first document the lightning-fast adoption of mobile money in Kenya, which was faster than most documented modern technologies in the United States. We then present evidence on how this innovation allows households to respond better to unexpected adverse health events. We find that in the face of these events, users of mobile money are better able to tap into remittances to finance additional health care costs without having to forego necessary expenditures on education, food, and other consumption needs.</t>
  </si>
  <si>
    <t>[Suri, Tavneet; Stoker, Thomas M.] MIT, Alfred P Sloan Sch Management, Cambridge, MA 02142 USA; [Jack, William] Georgetown Univ, Dept Econ, Washington, DC 20057 USA</t>
  </si>
  <si>
    <t>Massachusetts Institute of Technology (MIT); Georgetown University</t>
  </si>
  <si>
    <t>Suri, T (corresponding author), MIT, Alfred P Sloan Sch Management, Cambridge, MA 02142 USA.</t>
  </si>
  <si>
    <t>Financial Sector Deepening and the Consortium on Financial Services and Poverty</t>
  </si>
  <si>
    <t>We thank Suleiman Asman, Indrani Saran, and Adam Ray for exceptional research assistance. Funding for this work was provided by Financial Sector Deepening and the Consortium on Financial Services and Poverty.</t>
  </si>
  <si>
    <t>NATL ACAD SCIENCES</t>
  </si>
  <si>
    <t>2101 CONSTITUTION AVE NW, WASHINGTON, DC 20418 USA</t>
  </si>
  <si>
    <t>0027-8424</t>
  </si>
  <si>
    <t>1091-6490</t>
  </si>
  <si>
    <t>P NATL ACAD SCI USA</t>
  </si>
  <si>
    <t>Proc. Natl. Acad. Sci. U. S. A.</t>
  </si>
  <si>
    <t>JUN 26</t>
  </si>
  <si>
    <t>10.1073/pnas.1115843109</t>
  </si>
  <si>
    <t>972QE</t>
  </si>
  <si>
    <t>WOS:000306291400040</t>
  </si>
  <si>
    <t>Financial Inclusion of the Poor in Developing Economies in the Twenty-first Century: Qualitative Evidence from Rural Uganda</t>
  </si>
  <si>
    <t>Financial inclusion; rural Uganda; microfinance deposit-taking institutions; exploratory research design; human psychology; the poor</t>
  </si>
  <si>
    <t>SAVINGS; ACCESS; SERVICES; BANKING</t>
  </si>
  <si>
    <t>The main purpose of this study is to examine financial inclusion of the poor by formal financial services' providers in developing economies with data obtained from rural Uganda. Exploratory research design was used in this study and 50 poor households' heads were interviewed to get their responses on being financially included by microfinance deposit-taking institutions (MDIs) in Uganda. The qualitative data collected from the interviews were analyzed using NVivo software and verbatim text were used to explain emergent themes and sub-themes from this study. The findings revealed that suitable initial account opening fees, minimum deposit requirement, limited eligibility requirements, permanence of use, depth of financial services and products, relevance of financial services/products in terms of convenience, flexibility, reliability, continuity, safety, dignity of treatment (clients' protection), and welfare improvement are important determinants of financial inclusion of the poor in developing economies, especially in rural Uganda.</t>
  </si>
  <si>
    <t>[Bongomin, George Okello Candiya] Makerere Univ, Business Sch, Finance, Kampala, Uganda; [Munene, John C.] Makerere Univ, Business Sch, FGSR, Kampala, Uganda</t>
  </si>
  <si>
    <t>Bongomin, GOC (corresponding author), Makerere Univ, Business Sch, Finance, Kampala, Uganda.</t>
  </si>
  <si>
    <t>10.1080/15228916.2019.1646601</t>
  </si>
  <si>
    <t>VK7GM</t>
  </si>
  <si>
    <t>WOS:000747110400004</t>
  </si>
  <si>
    <t>Sharma, A; Das, N; Singh, SP</t>
  </si>
  <si>
    <t>Sharma, Ashutosh; Das, Niladri; Singh, Surendra P.</t>
  </si>
  <si>
    <t>Causal association of entrepreneurship ecosystem and financial inclusion</t>
  </si>
  <si>
    <t>Determinants; Entrepreneurship; Ecosystem; Financial inclusion; Sustainability</t>
  </si>
  <si>
    <t>Economic development fosters a favorable ecosystem for entrepreneurs. Economic development and entrepreneurship ecosystem have positive causality with each other. Subsequently, economic development is also a useful determinant of the entrepreneurship ecosystem and vice-versa. The entrepreneurship ecosystem cannot be nurtured without financial development. However, limited studies have observed the causal association between an entrepreneurship ecosystem and financial inclusion. As financial development has a vital contribution to increasing the entrepreneurship ecosystem, this study examines the cause-and-effect relationship between entrepreneurship ecosystem and financial inclusion across countries. The regression coefficients of selected independent variables are estimated through robust empirical models. For said investigation, the global financial inclusion index and global entrepreneurship ecosystem index score were used as proxy variables for financial inclusion and entrepreneurship ecosystem, respectively in regression analysis. The empirical findings revealed that financial inclusion can be improved with an increase in entrepreneurship ecosystem, economic development, ease of doing business, employers, foreign direct investment net inflow, use of internet facilities, and wage and salaried workers. In the same way, entrepreneurship ecosystem can also be nurtured with financial inclusion, economic development, trade openness, ease of doing business, total employers, use of internet facilities and wage and salaried workers increase. The empirical results also inferred that entrepreneurship ecosystem, gross domestic per capita, foreign direct investment net inflow, ease of doing business, employer's start-up procedures to register a business and wages and salaries are important indicators to expand financial inclusion. Further, the results claimed that entrepreneurship ecosystem and financial inclusion are complementary to each other.</t>
  </si>
  <si>
    <t>[Sharma, Ashutosh; Das, Niladri] Indian Inst Technol ISM Dhanbad, Dept Management Studies, Dhanbad 826004, India; [Singh, Surendra P.] Wollega Univ, Surveying Engn Dept, Nekemte City, Ethiopia</t>
  </si>
  <si>
    <t>Indian Institute of Technology System (IIT System); Indian Institute of Technology (Indian School of Mines) Dhanbad</t>
  </si>
  <si>
    <t>Singh, SP (corresponding author), Wollega Univ, Surveying Engn Dept, Nekemte City, Ethiopia.</t>
  </si>
  <si>
    <t>ashutosh.16dp000104@ms.iitism.ac.in; niladri_pnu2003@yahoo.co.in; surendra2021@wollegauniversity.edu.et</t>
  </si>
  <si>
    <t>Gurjar, Surena Pal Singh/0000-0002-6949-4614</t>
  </si>
  <si>
    <t>e14596</t>
  </si>
  <si>
    <t>10.1016/j.heliyon.2023.e14596</t>
  </si>
  <si>
    <t>D5OI5</t>
  </si>
  <si>
    <t>WOS:000969221600001</t>
  </si>
  <si>
    <t>Kuzior, A; Didenko, I; Vorontsova, A; Lyeonov, S; Brozek, P</t>
  </si>
  <si>
    <t>Kuzior, A.; Didenko, I; Vorontsova, A.; Lyeonov, S.; Brozek, P.</t>
  </si>
  <si>
    <t>MANAGING EDUCATIONAL DETERMINANTS OF FINANCIAL INCLUSION AS A KEY FACTOR OF SUSTAINABLE DEVELOPMENT: LOGIT-PROBIT MODELING</t>
  </si>
  <si>
    <t>managing; education; financial inclusion; sustainable development goals; logit-probit modeling</t>
  </si>
  <si>
    <t>MANAGEMENT; COVID-19; SERVICES; QUALITY; SYSTEMS; SECTOR</t>
  </si>
  <si>
    <t>This article is devoted to the question of identifying the relationship between the dimensions of formal education in the country and the level of its financial inclusion. To achieve it, logit-probit modeling was used between the integral indicator of financial inclusion, based on principal-component factors calculation, and various dimensions of education. Ninety-three countries with different levels of socio-economic development were chosen as the object of the study. As a result, the positive statistically significant influence of such determinants as financial literacy, duration of compulsory education, government expenditure on education, pupil-teacher ratio, school enrollment at the secondary level was confirmed. School enrollment at the primary level had a negative influence on financial inclusion. This vector of research will allow to form the main directions of management of educational determinants of financial inclusion, which are important vectors of reforming the education system and ensuring financial inclusion at the national level.</t>
  </si>
  <si>
    <t>[Kuzior, A.; Lyeonov, S.] Silesian Tech Univ, Gliwice, Poland; [Kuzior, A.; Didenko, I; Vorontsova, A.; Lyeonov, S.] Sumy State Univ, Sumy, Ukraine; [Lyeonov, S.] London Acad Sci &amp; Business, London, England; [Brozek, P.] JSofteris, Sosnowiec, Poland</t>
  </si>
  <si>
    <t>Silesian University of Technology; Ministry of Education &amp; Science of Ukraine; Sumy State University</t>
  </si>
  <si>
    <t>Kuzior, A (corresponding author), Silesian Tech Univ, Gliwice, Poland.</t>
  </si>
  <si>
    <t>aleksandra.kuzior@polsl.pl; i.didenko@uabs.sumdu.edu.ua; a.vorontsova@uabs.sumdu.edu.ua; s.lieonov@uabs.sumdu.edu.ua; paulina.joanna.brozek@gmail.com</t>
  </si>
  <si>
    <t>Kuzior, Aleksandra/C-5949-2017; Lyeonov, Serhiy/A-9659-2017; Vorontsova, Anna/R-3313-2018; Didenko, Iryna/C-3076-2019</t>
  </si>
  <si>
    <t>Department of Applied Social Sciences of the Faculty of Organization; Department of Applied Social Sciences of the Faculty of Organization and Management of the Silesian University of Technology [13/020/BK_22/0072]; Ministry of Education and Science of Ukraine [0121U109553, 0120U102001, 0121U109559]</t>
  </si>
  <si>
    <t>Department of Applied Social Sciences of the Faculty of Organization; Department of Applied Social Sciences of the Faculty of Organization and Management of the Silesian University of Technology; Ministry of Education and Science of Ukraine</t>
  </si>
  <si>
    <t>The research received funding under the research subsidy of the Department of Applied Social Sciences of the Faculty of Organization and Management of the Silesian University of Technology for the year 2022 (13/020/BK_22/0072) , the grant from the Ministry of Education and Science of Ukraine as part of a research projects No. 0121U109553, No. 0120U102001, No. 0121U109559).</t>
  </si>
  <si>
    <t>10.17512/pjms.2022.26.2.16</t>
  </si>
  <si>
    <t>A4FG9</t>
  </si>
  <si>
    <t>WOS:000954696800016</t>
  </si>
  <si>
    <t>Khandelwal, A; Vajjala, A; Tagat, A</t>
  </si>
  <si>
    <t>Khandelwal, Anchal; Vajjala, Abhishek; Tagat, Anirudh</t>
  </si>
  <si>
    <t>Financial Literacy and Inclusion in India: Evidence from Household-level Data after Demonetization</t>
  </si>
  <si>
    <t>Financial markets; demonetization; Goods and Services Tax; gender</t>
  </si>
  <si>
    <t>GENDER-GAP; EDUCATION; WOMEN; BEHAVIOR; SAVINGS; IMPACT</t>
  </si>
  <si>
    <t>This article examines the link between financial literacy and financial inclusion in India between 2015 and 2018 using household-level survey data. We explore heterogeneities by gender using data from households with female respondents. We find a strong and positive association between financial literacy and inclusion, and a small positive impact of the demonetization policy and the Pradhan Mantri Jan Dhan Yojana on inclusion. The subgroup analyses suggest that these associations are driven by men, those residing in the eastern states of India and belonging to the upper two quintiles of the wealth distribution. Limitations of the current work and implications for policy are discussed.JEL Codes: G53, G28, O16</t>
  </si>
  <si>
    <t>[Khandelwal, Anchal; Vajjala, Abhishek; Tagat, Anirudh] Monk Prayogshala, Dept Econ, Mumbai 400072, Maharashtra, India; [Tagat, Anirudh] Monash Univ, Sch Math, Melbourne 3800, Australia</t>
  </si>
  <si>
    <t>Monash University</t>
  </si>
  <si>
    <t>Tagat, A (corresponding author), Monk Prayogshala, Dept Econ, Mumbai 400072, Maharashtra, India.;Tagat, A (corresponding author), Monash Univ, Sch Math, Melbourne 3800, Australia.</t>
  </si>
  <si>
    <t>10.1177/09726527251320228</t>
  </si>
  <si>
    <t>5QG9G</t>
  </si>
  <si>
    <t>WOS:001450515400001</t>
  </si>
  <si>
    <t>Yu, JT; Albashrawi, M; Tarhini, A</t>
  </si>
  <si>
    <t>Yu, Jongtae; Albashrawi, Mousa; Tarhini, Abbas</t>
  </si>
  <si>
    <t>The Determinants of the Loyalty of Mobile Banking: The Integrated Model of IS Success Model and UTAUT</t>
  </si>
  <si>
    <t>PACIFIC ASIA JOURNAL OF THE ASSOCIATION FOR INFORMATION SYSTEMS</t>
  </si>
  <si>
    <t>Mobile Banking; Loyalty; UTAUT; IS Success Model; Satisfaction</t>
  </si>
  <si>
    <t>INFORMATION-TECHNOLOGY; CONTINUANCE INTENTION; CUSTOMER LOYALTY; SOCIAL-INFLUENCE; SERVICE QUALITY; PLS-SEM; EMPIRICAL-EXAMINATION; PERCEIVED USEFULNESS; USER ACCEPTANCE; MODERATING ROLE</t>
  </si>
  <si>
    <t>Background: This study aims to identify the factors that determine mobile banking loyalty and examine their impact. We propose an extended conceptual model that integrates the IS success model (ISS) and the Unified Theory of Acceptance and Use of Technology (UTAUT) to study mobile banking loyalty. Specifically, we categorize the identified factors into quality dimensions to systematically conceptualize constructs and explore their effect: performance quality, usage quality, and facilitating quality. Methods: This study utilizes a quantitative approach to collect data from individuals who use mobile banking in the U.S. The data were gathered through a simple random sampling method, where each participant had an equal chance of being selected for the field survey. After the data-cleaning process, we obtained 516 valid responses. To ensure initial reliability and validity, all study measures were adapted from prior research. Results: The regression results indicate that performance and facilitating qualities have a significant association with mobile banking satisfaction, which in turn positively affects loyalty. However, the impact of usage quality is minimal. Additionally, the evaluation of mobile banking quality is significantly influenced by social influence. Privacy concerns also play a crucial role in inhibiting the use of mobile banking, as these systems may collect and store sensitive personal information. Conclusion: This paper makes a theoretical contribution by identifying important qualities of mobile banking services that promote loyalty. While performance and facilitating quality exhibit a significant effect on loyalty through satisfaction, the effect of usage quality is marginal. Our findings may help banks find how to retain their mobile banking users by improving the quality of their services. This is especially relevant for economies in the Asia-Pacific region, which have recently intensified their efforts to promote financial inclusion.</t>
  </si>
  <si>
    <t>[Yu, Jongtae] King Fahd Univ Petr &amp; Minerals, Dhahran, Saudi Arabia; [Albashrawi, Mousa] King Fahd Univ Petr &amp; Minerals, Dhahran, Saudi Arabia; [Tarhini, Abbas] Lebanese Amer Univ, Byblos, Lebanon</t>
  </si>
  <si>
    <t>King Fahd University of Petroleum &amp; Minerals; King Fahd University of Petroleum &amp; Minerals; Lebanese American University</t>
  </si>
  <si>
    <t>Yu, JT (corresponding author), King Fahd Univ Petr &amp; Minerals, Dhahran, Saudi Arabia.</t>
  </si>
  <si>
    <t>jongtae.yu@kfupm.edu.sa; bishrama@kfupm.edu.sa; abbas.tarhini@lau.edu.lb</t>
  </si>
  <si>
    <t>Tarhini, Abbas/AAC-2257-2019; Albashrawi, Mousa/C-3135-2018</t>
  </si>
  <si>
    <t>1943-7536</t>
  </si>
  <si>
    <t>1943-7544</t>
  </si>
  <si>
    <t>PAC ASIA J ASSOC INF</t>
  </si>
  <si>
    <t>Pac. Asia J. Assoc. Inf. Syst.</t>
  </si>
  <si>
    <t>10.17705/1pais.16203</t>
  </si>
  <si>
    <t>A9Y4O</t>
  </si>
  <si>
    <t>WOS:001286019900003</t>
  </si>
  <si>
    <t>Fu, ZT; Zhou, YJ; Li, WF; Zhong, KY</t>
  </si>
  <si>
    <t>Fu, Zitian; Zhou, Yujiao; Li, Weifeng; Zhong, Kaiyang</t>
  </si>
  <si>
    <t>Impact of digital finance on energy efficiency: empirical findings from China</t>
  </si>
  <si>
    <t>Digital finance; Energy efficiency; Super-efficient three-stage SBM-DEA; Systematic generalized moment estimation method</t>
  </si>
  <si>
    <t>SLACKS-BASED MEASURE; TECHNOLOGY DEVELOPMENT; INDUSTRIAL-STRUCTURE; GROWTH; HYPOTHESIS</t>
  </si>
  <si>
    <t>The world is facing the problem of resource scarcity and environmental degradation. Improving energy efficiency is an effective way to reduce energy consumption and reduce pollutant emissions. Based on relevant data from 30 Chinese provinces from 2011 to 2019, this paper constructs energy efficiency indicators by establishing a super-efficient three-stage SBM-DEA model. It explores the impact of digital finance on energy efficiency using a systematic generalized moment estimation method and constructs an analytical framework for the impact of digital inclusive finance on energy efficiency from the breadth of coverage, depth of use, and degree of digitization of digital inclusive finance. In addition, this paper examines the differences in the impact of digital inclusive finance on energy efficiency from a sub-regional perspective. Research indicates the following: (1) At the national level, the relationship between digital inclusive finance development and energy efficiency in China shows an inverted U-shape; the breadth of digital financial coverage, the use of digital insurance services and digital credit services, and the degree of digitalization of digital finance all have significant effects on energy efficiency. (2) From a regional perspective, the impact of digital inclusive finance on energy efficiency has regional heterogeneity. Based on this finding, first, the government should speed up the construction of digital financial infrastructure to promote the further development of digital finance. Second, the government should take appropriate measures to regulate industry giants. Third, the government should adjust measures to local conditions when formulating policies. The above research has certain implications for improving the targeting of digital finance-related policies and promoting the high-quality development of China's economy.</t>
  </si>
  <si>
    <t>[Fu, Zitian] Sichuan Agr Univ, Sch Econ, Chengdu, Peoples R China; [Zhou, Yujiao] Southwestern Univ Finance &amp; Econ, Sch Econ, Chengdu, Peoples R China; [Li, Weifeng] Tsinghua Univ, PBC Sch Finance, Beijing, Peoples R China; [Zhong, Kaiyang] Southwestern Univ Finance &amp; Econ, Sch Econ Informat Engn, Chengdu, Peoples R China</t>
  </si>
  <si>
    <t>Sichuan Agricultural University; Southwestern University of Finance &amp; Economics - China; Tsinghua University; Southwestern University of Finance &amp; Economics - China</t>
  </si>
  <si>
    <t>Zhong, KY (corresponding author), Southwestern Univ Finance &amp; Econ, Sch Econ Informat Engn, Chengdu, Peoples R China.</t>
  </si>
  <si>
    <t>hxd2021208028@163.com; zhouyujiao2015@163.com; liwf@pbcsf.tsinghua.edu.cn; zhongky@smail.swufe.edu.cn</t>
  </si>
  <si>
    <t>; Zhou, Yujiao/KVB-0569-2024</t>
  </si>
  <si>
    <t>zhong, kaiyang/0000-0002-5575-0306;</t>
  </si>
  <si>
    <t>10.1007/s11356-022-22320-5</t>
  </si>
  <si>
    <t>F7RL4</t>
  </si>
  <si>
    <t>WOS:000837535600019</t>
  </si>
  <si>
    <t>Langevin, M</t>
  </si>
  <si>
    <t>Langevin, Marie</t>
  </si>
  <si>
    <t>The arrangement between high finance and the world of development: multiple consequences for the formation of (micro) financial markets</t>
  </si>
  <si>
    <t>The commercialisation of microfinance is seen as a successful strategy for achieving financial inclusion. Thanks to microfinance markets, more and more individuals who once were excluded from formal financial systems are now profitably catered for. In this article, the author presents the crucial mechanism in the construction of microfinance: the agencement (joining, collage) of the worlds of development and high finance. She argues that, aside from functional results in terms of bankarization (access to banking services), this conjunction of the two worlds has consequences in three areas: the culture and operations of microfinance institutions, their mission, and opportunities for capitalist accumulation.</t>
  </si>
  <si>
    <t>[Langevin, Marie] Univ Montreal, Dept Polit Sci, Ctr Etud &amp; Rech Int, Montreal, PQ, Canada</t>
  </si>
  <si>
    <t>Universite de Montreal</t>
  </si>
  <si>
    <t>Langevin, M (corresponding author), Univ Montreal, Dept Polit Sci, Ctr Etud &amp; Rech Int, Montreal, PQ, Canada.</t>
  </si>
  <si>
    <t>langevin.marie@uqam.ca</t>
  </si>
  <si>
    <t>10.1080/02255189.2017.1294529</t>
  </si>
  <si>
    <t>FT6SF</t>
  </si>
  <si>
    <t>WOS:000423283400004</t>
  </si>
  <si>
    <t>Lenka, SK; Bairwa, AK</t>
  </si>
  <si>
    <t>Lenka, Sanjaya Kumar; Bairwa, Arun Kumar</t>
  </si>
  <si>
    <t>Does financial inclusion affect monetary policy in SAARC countries?</t>
  </si>
  <si>
    <t>International Economics; International Finance; Statistics for Business; Finance &amp; Economics</t>
  </si>
  <si>
    <t>Alike the role of heart for human body, finance is the focal point of an economy, whereas savings and investment are its tubes and vessels. Hence, a solid financial system is a fundamental character of an enduring economy. The frozen financial system endures longer if its foundation is concrete and subsists in the people of grass-root level. They are those, who live in villages and small towns, earn meager income, work in primary sector, spend more on food, and have lesser social securities. In this setting, the process of bringing these people into the main stream of financial activities is called financial inclusion. This study describes the impact of financial inclusion on monetary policy of South Asian Association for Regional Cooperation (SAARC) countries from 2004-2013. The study uses principal component analysis (PCA) to construct a Financial Inclusion Index that serves as a proxy variable for the accessibility of financial inclusion in the SAARC countries. Adding to it, three different models like FEM, REM, and Panel-corrected standard errors are used for the analysis. In this study, an empirical result of generalized least square(GLS) estimation shows that financial inclusion, exchange rate, and interest rate are negatively associated with inflation in SAARC countries.</t>
  </si>
  <si>
    <t>[Lenka, Sanjaya Kumar; Bairwa, Arun Kumar] Indian Inst Technol Indore, Sch Humanities &amp; Social Sci, Dept Econ, Indore 452020, Madhya Pradesh, India</t>
  </si>
  <si>
    <t>Lenka, SK (corresponding author), Indian Inst Technol Indore, Sch Humanities &amp; Social Sci, Dept Econ, Indore 452020, Madhya Pradesh, India.</t>
  </si>
  <si>
    <t>sanjaya.lenka@iiti.ac.in</t>
  </si>
  <si>
    <t>Bairwa, Arun Kumar/AAY-7989-2020; Lenka, Sanjaya Kumar/AAZ-4076-2020</t>
  </si>
  <si>
    <t>Bairwa, Arun Kumar/0000-0002-3954-1707; Lenka, Sanjaya Kumar/0000-0001-9353-6872</t>
  </si>
  <si>
    <t>10.1080/23322039.2015.1127011</t>
  </si>
  <si>
    <t>DZ0VR</t>
  </si>
  <si>
    <t>WOS:000385558300001</t>
  </si>
  <si>
    <t>Zhao, GB; Mohapatra, AK; Fiano, F; Maizza, A; Yuan, YZ</t>
  </si>
  <si>
    <t>Zhao, Guobin; Mohapatra, Amiya Kumar; Fiano, Fabio; Maizza, Amadeo; Yuan, Yanzhe</t>
  </si>
  <si>
    <t>Harnessing knowledge ecology management perspective in green microfinance through critical discourse analysis</t>
  </si>
  <si>
    <t>JOURNAL OF KNOWLEDGE MANAGEMENT</t>
  </si>
  <si>
    <t>Green microfinance; Financial inclusion; Microfinance institutions; Sustainable finance; Knowledge ecology management; Critical discourse analysis</t>
  </si>
  <si>
    <t>CLIMATE-CHANGE; FINANCIAL PERFORMANCE; INCLUSIVE GROWTH; SUSTAINABILITY; SYSTEMS; INSTITUTIONS; INNOVATION; CREDIT; TOOL; ENVIRONMENT</t>
  </si>
  <si>
    <t>PurposeGreen microfinance, a growing subset of microfinance, has several challenges and gaps that require academic attention. The purpose of this study is to decipher the power dynamics between various stakeholders of green microfinance by harnessing knowledge management perspective towards the perceptions and attitudes of the beneficiaries and how well green microfinance acts as a tool to create awareness among the masses about its benefits and in achieving the goal of financial inclusion through knowledge ecology management (KEM).Design/methodology/approachThis study uses a qualitative method to explore the various dimensions of green microfinance, including its aims &amp; scope, drivers, outcomes and prospects, as explained through the lens of ecological theory of knowledge management. A critical discourse analysis, which facilitates discourse through linguistic analysis of recordings and texts, has been used on 178 newspaper articles, policy documents and videos from 2019 to 2023.FindingsThis study found four prominent aims of green microfinance, its five key drivers, and five outcomes of reliance on this source of finance from knowledge ecology management (KEM) perspective. It also sheds light on the future outlook of sustainable investments and financing.Practical implicationsThis study provides a bird's-eye view and a thorough examination of the aspects of green microfinance within the KEM framework, thereby providing valuable decision-making insights for financial institutions, policymakers and small borrowers.Originality/valueThe proposed enhanced ecological knowledge management framework illustrates a conceptual framework representing the thematic discourses undertaken and the elements that play a crucial role in achieving valuable outcomes of green microfinance.</t>
  </si>
  <si>
    <t>[Zhao, Guobin] Griffith Univ, Griffith Business Sch, Dept Mkt, Brisbane, Qld, Australia; [Mohapatra, Amiya Kumar] Jaipuria Inst Management, Dept Management, Indore, India; [Fiano, Fabio] Pegaso Digital Univ, Dept Management &amp; Econ, Naples, Italy; [Maizza, Amadeo] Univ Salento, Dept Econ Sci, Lecce, Italy; [Yuan, Yanzhe] Griffith Univ, Business Sch, Dept Mkt, Brisbane, Qld, Australia</t>
  </si>
  <si>
    <t>Griffith University; University of Salento; Griffith University</t>
  </si>
  <si>
    <t>Yuan, YZ (corresponding author), Griffith Univ, Business Sch, Dept Mkt, Brisbane, Qld, Australia.</t>
  </si>
  <si>
    <t>guobin.zhao@griffithuni.edu.au; amiya.mohapatra@jaipuria.ac.in; fabio.fiano@unipegaso.it; Italyamedeo.maizza@unisalento.it; yanzhe.yuan@griffithuni.edu.au</t>
  </si>
  <si>
    <t>Yuan, Yanzhe/KHX-2772-2024; Zhao, Guobin/Q-6637-2019</t>
  </si>
  <si>
    <t>1367-3270</t>
  </si>
  <si>
    <t>1758-7484</t>
  </si>
  <si>
    <t>J KNOWL MANAG</t>
  </si>
  <si>
    <t>J. Knowl. Manag.</t>
  </si>
  <si>
    <t>10.1108/JKM-01-2025-0107</t>
  </si>
  <si>
    <t>9OE8L</t>
  </si>
  <si>
    <t>WOS:001611043600002</t>
  </si>
  <si>
    <t>Singh, AB; Tandon, P; Jasuja, D</t>
  </si>
  <si>
    <t>Singh, Anurag Bhadur; Tandon, Priyanka; Jasuja, Deepmala</t>
  </si>
  <si>
    <t>Does financial inclusion spur carbon emissions in India: an ARDL approach</t>
  </si>
  <si>
    <t>Carbon emissions (CO2); Financial inclusion; ARDL bounds testing; Globalization; Environmental quality; Growth</t>
  </si>
  <si>
    <t>RENEWABLE ENERGY-CONSUMPTION; CO2 EMISSIONS; ENVIRONMENTAL DEGRADATION; TRADE; GLOBALIZATION; QUALITY; GROWTH; IMPACT; INCOME</t>
  </si>
  <si>
    <t>Purpose The present study tries to examine the relationship between financial inclusion and environmental quality as proxied by carbon emissions in India covering the period from 2008 to 2018. Design/methodology/approach A financial inclusion index has been composed using principal component analysis (PCA) based on three dimensions: access, penetration and usage. After testing for stationarity of the data, the authors adopted the autoregressive distributive lag model (ARDL) methodology. Findings The study found that financial inclusion and growth lead to increased carbon emissions in India and the government must resort to greener policies, whereas empirical results support that globalization reduced the pollutants emissions in both the long term and short period in India. Practical implications Based on the results, several policy prescriptions are rendered for policymakers: (1) need to move toward greener energy policies and (2) enhance the awareness of green financing instruments such as green bonds in India. Therefore, policymakers should be more proactive in accepting green and sustainable financial alternatives. Originality/value The present study contributes to the scant literature on the financial inclusion-emission nexus in India. This study considers three inclusion parameters that are not present in previous studies.</t>
  </si>
  <si>
    <t>[Singh, Anurag Bhadur] XIM Univ, Dept Commerce, Bhubaneswar, India; [Tandon, Priyanka] Regenesys Business Sch India Off, Mumbai, Maharashtra, India; [Jasuja, Deepmala] Amity Univ, Amity Global Business Sch, Noida, India</t>
  </si>
  <si>
    <t>Tandon, P (corresponding author), Regenesys Business Sch India Off, Mumbai, Maharashtra, India.</t>
  </si>
  <si>
    <t>neha.tandon886@gmail.com</t>
  </si>
  <si>
    <t>Jasuja, Deepmala/AAU-5160-2021; Tandon, Priyanka/ABF-2103-2020; Singh, Anurag Bhadur/AAQ-8783-2021</t>
  </si>
  <si>
    <t>Tandon, Priyanka/0000-0002-8077-0317; Singh, Anurag Bhadur/0000-0003-3363-4686</t>
  </si>
  <si>
    <t>MAR 7</t>
  </si>
  <si>
    <t>10.1108/MEQ-04-2022-0102</t>
  </si>
  <si>
    <t>9P1AE</t>
  </si>
  <si>
    <t>WOS:000869084300001</t>
  </si>
  <si>
    <t>Dairo, A; Szucs, K</t>
  </si>
  <si>
    <t>Dairo, Adeolu; Szucs, Krisztian</t>
  </si>
  <si>
    <t>ANALYTICAL APPROACH TO DIGITAL CHANNEL PERFORMANCE OPTIMIZATION OF MOBILE MONEY TRANSACTIONS IN EMERGING MARKETS</t>
  </si>
  <si>
    <t>INNOVATIVE MARKETING</t>
  </si>
  <si>
    <t>fuzzy c-means; clustering; marketing analytics; mobile application; mobile money; transaction channel</t>
  </si>
  <si>
    <t>FINANCIAL INCLUSION; MANAGEMENT</t>
  </si>
  <si>
    <t>Understanding marketing channel performance is a crucial and complex task for the mobile financial technology segment of the mobile industry in emerging markets. However, poor techniques and capabilities for channel optimization of the mobile money users across available channels by the service providers often undermine the performance of these channels. The research aims to develop a target selection and campaign optimization framework for mobile money customers along two channels of transactions. It is complemented by mapping the appropriate campaign techniques across digital and non-digital channels of mobile money transactions. The key analytical method is the combination of fuzzy c-means clustering and RFM algorithm for the target selection development through the usage logs of customers (n = 300) of a mobile service provider. The results indicated that fuzzy c-means clustering and RFM algorithm are efficient for target selection. Also, the mapping of clusters with the appropriate channel of transactions revealed that mobile money users' transactions could be optimized along the digital channel. The analytic model's output enables appropriate cross-selling and up-selling campaigns that optimize the service provider revenue from existing and new mobile money users within the customer base. The channel evaluation revealed mobile application channels to be a promising and future channel for mobile money transactions as smartphone penetration continues to grow in emerging mobile markets. That is a positive sign of the digital channel's future potential for mobile money transactions in developing markets.</t>
  </si>
  <si>
    <t>[Dairo, Adeolu; Szucs, Krisztian] Univ Pecs, Fac Business &amp; Econ, Pecs, Hungary</t>
  </si>
  <si>
    <t>University of Pecs</t>
  </si>
  <si>
    <t>Dairo, A (corresponding author), Univ Pecs, Fac Business &amp; Econ, Pecs, Hungary.</t>
  </si>
  <si>
    <t>; Szucs, Krisztian/IXW-5689-2023</t>
  </si>
  <si>
    <t>Dairo, Adeolu/0000-0003-4350-1115; Szucs, Krisztian/0000-0003-4672-8067</t>
  </si>
  <si>
    <t>1814-2427</t>
  </si>
  <si>
    <t>1816-6326</t>
  </si>
  <si>
    <t>INNOV MARKET</t>
  </si>
  <si>
    <t>Innovation Marketing</t>
  </si>
  <si>
    <t>10.21511/im.16(3).2020.04</t>
  </si>
  <si>
    <t>VL4VG</t>
  </si>
  <si>
    <t>WOS:000856546800004</t>
  </si>
  <si>
    <t>Nguyen, YHD; Ha, DTT</t>
  </si>
  <si>
    <t>Yen Hai Dang Nguyen; Dao Thieu Thi Ha</t>
  </si>
  <si>
    <t>The Effect of Institutional Quality on Financial Inclusion in ASEAN Countries</t>
  </si>
  <si>
    <t>Financial Inclusion; Institutions; ASEAN; GMM</t>
  </si>
  <si>
    <t>INCOME INEQUALITY; ECONOMIC-GROWTH; PANEL-DATA; DETERMINANTS; STABILITY; GOVERNANCE</t>
  </si>
  <si>
    <t>This study investigates the empirical linkages between ASEAN countries' institutional quality and financial inclusion using country data from 2008-2019. In this paper, six governance indicators from the World Governance index are used to measure the impact of institutions on financial inclusion. The PCA method's financial inclusion index is constructed from 3 indicators: penetration, access, and usage: penetration, access, and usage with six indices respectively as the number of ATMs per 1000 km(2), the number of bank branches per 1000 km(2), the number of ATMs per 100,000 people and the number of bank branches for 100,000 adults, the ratio of credit to private to GDP, and the ratio of deposit to private to GDP. Regression analysis with the Generalized Moments method shows the positive impact of institutions and other control variables like GDP per capita, inflation, bank concentration, and human development index on financial inclusion. Therefore, this study recommends that the government and policymakers in countries pursue the financial inclusion agenda to pay attention to the financial and economic indicators and institutional factors. This is because many savers, borrowers, and investors may not be protected when financial contracts are enforced or breaches occur in an environment where economic, legal, judicial, and political institutions are weak, such as in ASEAN countries.</t>
  </si>
  <si>
    <t>[Yen Hai Dang Nguyen; Dao Thieu Thi Ha] Banking Univ Ho Chi Minh City, Fac Finance, Ho Chi Minh City, Vietnam; [Yen Hai Dang Nguyen; Dao Thieu Thi Ha] 56 Hoang Dieu 2, Ho Chi Minh City, Vietnam</t>
  </si>
  <si>
    <t>Ho Chi Minh University of Banking (HUB)</t>
  </si>
  <si>
    <t>Nguyen, YHD (corresponding author), Banking Univ Ho Chi Minh City, Fac Finance, Ho Chi Minh City, Vietnam.;Nguyen, YHD (corresponding author), 56 Hoang Dieu 2, Ho Chi Minh City, Vietnam.</t>
  </si>
  <si>
    <t>yenndh@buh.edu.vn; daohtt@buh.edu.vn</t>
  </si>
  <si>
    <t>Ha, Dao/AAN-5595-2020</t>
  </si>
  <si>
    <t>Ha, Dao/0000-0002-0228-1630</t>
  </si>
  <si>
    <t>10.13106/jafeb.2021.vol8.no8.0421</t>
  </si>
  <si>
    <t>TQ8VN</t>
  </si>
  <si>
    <t>WOS:000678555800040</t>
  </si>
  <si>
    <t>Wang, Y; Wu, S</t>
  </si>
  <si>
    <t>Wang, Ye; Wu, Shuang</t>
  </si>
  <si>
    <t>Impact of mobile banking on small business lending after bank branch closures</t>
  </si>
  <si>
    <t>JOURNAL OF CORPORATE FINANCE</t>
  </si>
  <si>
    <t>Mobile banking; Small business lending; Branch closure; Financial inclusion</t>
  </si>
  <si>
    <t>INFORMATION; DISTANCE; CREDIT; TECHNOLOGY</t>
  </si>
  <si>
    <t>We provide new evidence on the substitute role of mobile banking in small business lending after banks close branches. Compared to the matched bank -counties with similar economic conditions and bank financials, small business lending in the treatment counties decreases 0.064 million (equivalent to 18.8%) less after branch closings for banks with mobile apps than banks without mobile apps. The effect is more pronounced in high -income census tracts and for high -rated apps, suggesting that high -income customers and customers whose banks provide better mobile apps are less affected when banks close branches. We do not find a significant impact of having apps on small business lending when banks increase the number of branches. However, the effect of having mobile apps increases with closed branches ' years of service. Our results imply that bank branches are still important in providing credit to the local communities. Mobile banking helps preserve the existing customer -bank relationship but cannot reduce information asymmetry.</t>
  </si>
  <si>
    <t>[Wang, Ye] Stevens Inst Technol, Sch Business, 1 Castle Point Terrace, Hoboken, NJ 07030 USA; [Wu, Shuang] Sacred Heart Univ, Jack Welch Coll Business &amp; Technol, 5151 Pk Ave, Fairfield, CT 06825 USA</t>
  </si>
  <si>
    <t>Stevens Institute of Technology; Sacred Heart University</t>
  </si>
  <si>
    <t>Wu, S (corresponding author), Sacred Heart Univ, Jack Welch Coll Business &amp; Technol, 5151 Pk Ave, Fairfield, CT 06825 USA.</t>
  </si>
  <si>
    <t>ywang15@stevens.edu; wus2@sacredheart.edu</t>
  </si>
  <si>
    <t>0929-1199</t>
  </si>
  <si>
    <t>1872-6313</t>
  </si>
  <si>
    <t>J CORP FINANC</t>
  </si>
  <si>
    <t>J. Corp. Financ.</t>
  </si>
  <si>
    <t>10.1016/j.jcorpfin.2024.102593</t>
  </si>
  <si>
    <t>UM1V3</t>
  </si>
  <si>
    <t>WOS:001248395000001</t>
  </si>
  <si>
    <t>Takmaz, S; Sari, E; Alatas, S</t>
  </si>
  <si>
    <t>Takmaz, Sefa; Sari, Erkam; Alatas, Sedat</t>
  </si>
  <si>
    <t>Financial inclusion in Turkey: unpacking the provincial inequality and its determinants</t>
  </si>
  <si>
    <t>Financial inclusion; principal component analysis; club convergence; Turkey</t>
  </si>
  <si>
    <t>ECONOMIC-GROWTH; CONVERGENCE; POVERTY</t>
  </si>
  <si>
    <t>This paper investigates the regional disparity of financial inclusion (FI) and its determinants in Turkey from 2004 to 2020. To this end, we first construct an FI index using the principal component analysis. Then, based on the club convergence approach, we test the existence of convergence to show regional disparities in FI. Finally, we examine the main determinants of provincial disparity using ordered logit models. The convergence results strongly reject the full-panel convergence, indicating a regional disparity in FI. Furthermore, our analyses reveal that financial inclusion positively correlates with population, income, and income inequality, while unemployment hinders inclusion. Overall, our results imply that policies focusing on digital financial services, increasing financial literacy, and reducing unemployment should significantly diminish regional disparities and improve FI.</t>
  </si>
  <si>
    <t>[Takmaz, Sefa] Bakircay Univ, Fac Econ &amp; Adm Sci, Dept Int Trade &amp; Business, Izmir, Turkiye; [Sari, Erkam] Aydin Adnan Menderes Univ, Fac Econ &amp; Adm Sci, Dept Publ Finance, Aydin, Turkiye; [Alatas, Sedat] Natl Res Univ Higher Sch Econ, Fac World Econ &amp; Int Affairs, Lab Climate Change Econ, Moscow, Russia</t>
  </si>
  <si>
    <t>Izmir University of Bakircay; Adnan Menderes University; HSE University (National Research University Higher School of Economics)</t>
  </si>
  <si>
    <t>Takmaz, S (corresponding author), Bakircay Univ, Fac Econ &amp; Adm Sci, Dept Int Trade &amp; Business, Izmir, Turkiye.</t>
  </si>
  <si>
    <t>sefa.takmaz@bakircay.edu.tr</t>
  </si>
  <si>
    <t>ALATAS, SEDAT/C-4723-2018; Takmaz, Sefa/AAK-2778-2020; SARI, ERKAM/V-4671-2018</t>
  </si>
  <si>
    <t>ALATAS, SEDAT/0000-0002-3764-8746; Takmaz, Sefa/0000-0003-1428-3796; SARI, ERKAM/0000-0001-5157-3173</t>
  </si>
  <si>
    <t>10.1080/13504851.2022.2141442</t>
  </si>
  <si>
    <t>JG8L3</t>
  </si>
  <si>
    <t>WOS:000878879900001</t>
  </si>
  <si>
    <t>Shi, YJ</t>
  </si>
  <si>
    <t>Ye, Y; Wu, D</t>
  </si>
  <si>
    <t>Shi, Yingjian</t>
  </si>
  <si>
    <t>Strategic Analysis on Sustainable Development of Microfinance Companies in Rural and Pastoral Areas of Inner Mongolia</t>
  </si>
  <si>
    <t>PROCEEDINGS OF CHINA-CANADA WORKSHOP ON FINANCIAL ENGINEERING AND ENTERPRISE RISK MANAGEMENT 2011</t>
  </si>
  <si>
    <t>China-Canada Workshop on Financial Engineering and Enterprise Risk Management</t>
  </si>
  <si>
    <t>DEC, 2011</t>
  </si>
  <si>
    <t>Univ Toronto, RiskChina Res Ctr, Toronto, CANADA</t>
  </si>
  <si>
    <t>Wuhan Univ, Res Ctr Financial Engn &amp; Risk Management</t>
  </si>
  <si>
    <t>Univ Toronto, RiskChina Res Ctr</t>
  </si>
  <si>
    <t>microfinance companies; sustainable development; market environment</t>
  </si>
  <si>
    <t>Since 21st century, with the rapid economic development of Inner Mongolia, the private capital in this region has been becoming increasingly active. The flourishing microfinance companies not only offer an opportunity for the smooth development of private capital, but also improve the financial service for some low-income farmers and herdsmen in Inner Mongolia to a certain degree. However, generally speaking, the current microfinance is not satisfactory in Inner Mongolia, and the conflict between the financial sustainable development of microfinance institutions and financial inclusion is still existed. Through analyzing the actual condition of microfinance companies and the factors for sustainable development in Inner Mongolia, this article explores the strategies for sustainable development of microfinance companies of Inner Mongolia from the perspective of constructing a good market.</t>
  </si>
  <si>
    <t>[Shi, Yingjian] Inner Mongolia Finance &amp; Econ Coll, Sch Finance, Hohhot 010070, Peoples R China</t>
  </si>
  <si>
    <t>nmcyshi@163.com</t>
  </si>
  <si>
    <t>UNIVERSE ACADEMIC PRESS TORONTO</t>
  </si>
  <si>
    <t>1 SPADINA CRESCENT, ROOM 205, TORONTO, ONTARIO M5S 3G3, CANADA</t>
  </si>
  <si>
    <t>978-1-926642-13-0</t>
  </si>
  <si>
    <t>BAW05</t>
  </si>
  <si>
    <t>WOS:000305690300036</t>
  </si>
  <si>
    <t>Murugesan, TK; Asis, ER; Mukthar, KPJ; Calderón, JV; Guerrero, FJ; Picon, JC; Diaz, GP</t>
  </si>
  <si>
    <t>Murugesan, T. K.; Ramirez Asis, Edwin; Mukthar, Jaheer K. P.; Villanueva Calderon, Juan; Julca Guerrero, Felix; Castillo Picon, Jorge; Pelaez Diaz, Guillermo</t>
  </si>
  <si>
    <t>Developing and Validating Constructs: A Pragmatic Measurement of Financial Inclusion as a Tool for Sustainable Growth</t>
  </si>
  <si>
    <t>financial inclusion; sustainability; exploratory factor analysis; underlying constructs; blue-collar migrant workers; financial empowerment</t>
  </si>
  <si>
    <t>Given the ubiquity of sustainability, the study attempts to develop and validate measurement constructs for financial inclusion. Further, it empirically examines the statistical relationship between validated constructs of financial inclusion and financial empowerment of blue-collar migrant workers. This empirical study proposes an exclusive research framework to inspect the development and validation of measurement scales for financial inclusion in the context of sustainable growth in India. The primary data were collected using the structured interview schedule among 268 blue-collar migrant workers. The Exploratory Factor Analysis (EFA) was employed to validate measurement constructs of financial inclusion and examine their hypothetical and conjectural relationships with the help of multiple correlation analysis. This paper identified eight valid and reliable underlying constructs of financial inclusion with the help of an exploratory factor study. The underlying constructs are ease of access, usage, availability, affordability, physical proximity, awareness and knowledge, financial literacy, and financial empowerment. Further, the outcomes of this study also confirmed that the underlying constructs of financial inclusion have a significant positive influence on the financial empowerment of blue-collar migrant workers.</t>
  </si>
  <si>
    <t>[Murugesan, T. K.; Mukthar, Jaheer K. P.] Kristu Jayanti Coll Autonomous Bengaluru, Bengaluru 560077, India; [Ramirez Asis, Edwin; Villanueva Calderon, Juan] Univ Senor Sipan Chiclayo, Fac Business Sci, Chiclayo 14000, Peru; [Julca Guerrero, Felix] Univ Nacl Santiago Antunez de Mayolo, Fac Law, Huaraz 02001, Peru; [Castillo Picon, Jorge] Univ Nacl Santiago Antunez de Mayolo, Fac Econ &amp; Accounting, Huaraz 02001, Peru; [Pelaez Diaz, Guillermo] Univ Nacl Santiago Antunez de Mayolo, Fac Management &amp; Tourism, Huaraz 02001, Peru</t>
  </si>
  <si>
    <t>Universidad Senor de Sipan; Universidad Nacional Santiago Antunez De Mayolo; Universidad Nacional Santiago Antunez De Mayolo; Universidad Nacional Santiago Antunez De Mayolo</t>
  </si>
  <si>
    <t>Asis, ER (corresponding author), Univ Senor Sipan Chiclayo, Fac Business Sci, Chiclayo 14000, Peru.</t>
  </si>
  <si>
    <t>ramirezas@crece.uss.edu.pe</t>
  </si>
  <si>
    <t>; Ramirez Asis, Edwin/W-6312-2018; JULCA GUERRERO, FÉLIX/HNQ-6944-2023; Mukthar KP, Jaheer/AAR-4666-2020</t>
  </si>
  <si>
    <t>VILLANUEVA CALDERÓN, JUAN AMILCAR/0000-0001-5272-7277; Villanueva Calderón, Juan Amilcar/0000-0002-0815-6443; Ramirez Asis, Edwin/0000-0002-9918-7607; JULCA GUERRERO, FÉLIX/0000-0001-5637-5440; Mukthar KP, Jaheer/0000-0002-7888-0242; Peláez Díaz, Guillermo Napoleón/0000-0001-5311-8692</t>
  </si>
  <si>
    <t>10.3390/su142012955</t>
  </si>
  <si>
    <t>5P9KW</t>
  </si>
  <si>
    <t>WOS:000873462400001</t>
  </si>
  <si>
    <t>Djossou, GN; Sandy, JF; Novignon, J</t>
  </si>
  <si>
    <t>Djossou, Gbetoton Nadege; Sandy, James Fomba; Novignon, Jacob</t>
  </si>
  <si>
    <t>Does Mobile Money Adoption and Credit Access Improve Enterprise Innovation and Performance in Sierra Leone?</t>
  </si>
  <si>
    <t>credit; enterprise; innovation; mobile money; Sierra Leone</t>
  </si>
  <si>
    <t>SUB-SAHARAN AFRICA; FINANCE; GENDER; UGANDA; KENYA; FIRMS</t>
  </si>
  <si>
    <t>This study sought to unpack the impact of mobile money adoption and credit constraints on product innovation and performance of Micro, Small, and Medium-scale Enterprises in Sierra Leone. We used the most recent Sierra Leone Enterprise survey data conducted by the World Bank to monitor enterprises. To achieve the objectives of the study, we used Ordinary Least Squares and nonexperimental techniques (instrumental variable techniques). This allowed us to account for potential endogeneity problems that may bias parameter estimates if not accounted for. Our findings show that mobile money use and credit access significantly enhanced firms' ability to innovate, which then improved their performance. We did not find any statistically significant gender-related variation in the relationship. Our findings support current policy efforts to revamp financial inclusion in Sierra Leone and highlight the need to tailor services to fully reap the potential gains.</t>
  </si>
  <si>
    <t>[Djossou, Gbetoton Nadege] Univ Parakou, Natl Sch Stat Planning &amp; Demog, Parakou, Benin; [Sandy, James Fomba] Njala Univ Sierra Leone, Sch Social Sci &amp; Law, Bo Campus, Freetown, Sierra Leone; [Novignon, Jacob] Univ Ghana, Ctr Social Policy Studies, Legon, Ghana</t>
  </si>
  <si>
    <t>University of Parakou; University of Ghana</t>
  </si>
  <si>
    <t>Djossou, GN (corresponding author), Univ Parakou, Natl Sch Stat Planning &amp; Demog, Parakou, Benin.</t>
  </si>
  <si>
    <t>nadeged2001@yahoo.fr</t>
  </si>
  <si>
    <t>; Novignon, Jacob/H-1827-2017</t>
  </si>
  <si>
    <t>Djossou, Gbetoton Nadege/0000-0001-6420-3059; Novignon, Jacob/0000-0002-4718-9328</t>
  </si>
  <si>
    <t>This research study was supported by a grant from the African Economic Research Consortium. The findings, opinions and recommendations are those of the author, however, and do not necessarily reflect the views of the Consortium, its individual members or the AERC Secretariat.</t>
  </si>
  <si>
    <t>10.1111/rode.13183</t>
  </si>
  <si>
    <t>WOS:001460415100001</t>
  </si>
  <si>
    <t>Financial inclusion, religiosity and economic welfare in majority Christian, Hindu and Muslim countries</t>
  </si>
  <si>
    <t>FORESIGHT</t>
  </si>
  <si>
    <t>Religion; Financial inclusion; Hindu; Islam; Muslim; Christianity; Economic welfare; Economic well-being; Economic growth; Inflation; Unemployment; GDP per capita growth</t>
  </si>
  <si>
    <t>GROWTH; INFLATION; RULE; LAW</t>
  </si>
  <si>
    <t>PurposeThis study aims to investigate the effect of financial inclusion on economic welfare in three religious country groups: majority Christian countries, majority Hindu countries and majority Muslim countries.Design/methodology/approachThe study analyzed 30 religious countries during the 2004-2020 period using the two-stage least squares regression method. The economic welfare variables are the gross domestic product (GDP) growth rate, GDP per capita growth, inflation rate and the unemployment rate. The main explanatory variable is the composite financial inclusion index. The control variables are corruption control index, political stability index, total population growth, rule of law index and the regulatory quality index.FindingsFinancial inclusion is positively correlated with corruption control, political stability, rule of law and regulatory quality in religious countries, whereas financial inclusion is negatively correlated with total population growth, economic growth, GDP per capita growth, inflation rate and unemployment rate in religious countries. Regression results show that high level of financial inclusion decreases the unemployment rate in majority Muslim countries. A preexisting low unemployment rate is significantly associated with higher financial inclusion in majority Christian and Muslim countries. High level of financial inclusion decreases the inflation rate in countries that have significant Islamic finance activity. Financial inclusion has an insignificant effect on economic welfare in majority Hindu countries.Practical implicationsThe type of religion and the size of Islamic finance activity matter in understanding the relationship between financial inclusion and economic welfare in religious countries.Originality/valueTo the best of the author's knowledge, this study is the first to examine financial inclusion dynamics and its effect on economic welfare in the context of the major religions.</t>
  </si>
  <si>
    <t>1463-6689</t>
  </si>
  <si>
    <t>1465-9832</t>
  </si>
  <si>
    <t>Foresight</t>
  </si>
  <si>
    <t>10.1108/FS-03-2024-0046</t>
  </si>
  <si>
    <t>3WN2D</t>
  </si>
  <si>
    <t>WOS:001436069600001</t>
  </si>
  <si>
    <t>Lyu, W; Yu, L; Zhang, JJ</t>
  </si>
  <si>
    <t>Lyu, Wenyi; Yu, Leng; Zhang, Jiajun</t>
  </si>
  <si>
    <t>Peer effects in digital inclusive finance participation decisions: Evidence from rural China</t>
  </si>
  <si>
    <t>Peer effects; Decision-making; Digital inclusive finance; Regional economy effects; Binary choice model with heterogeneous; expectations</t>
  </si>
  <si>
    <t>SOCIAL INTERACTIONS; MODELS; INFORMATION; NETWORK; CHOICE; IMPACT</t>
  </si>
  <si>
    <t>Digital inclusive finance (DIF) has emerged as a powerful tool for promoting economic development and eliminating regional imbalances. Many studies have discussed different approaches to expand the coverage rate and increase the participation rate of DIF in developing countries. This study employs a binary choice model with rational heterogeneous expectations utilizing data from CHFS to examine the impact of peer effects on DIF participation choices in rural China. The findings indicate that peers' participation choices in DIF have a positive impact on the individual's participation choices in DIF, primarily through an information transmission mechanism. Moreover, the regional economy effects are explicitly demonstrated since the progress of DIF in more advanced communities may produce a unidirectional spillover effect on less advanced communities. Based on these results, policy implications are recommended to enhance financial education and construct financial wellness programs.</t>
  </si>
  <si>
    <t>[Lyu, Wenyi; Yu, Leng; Zhang, Jiajun] Shanghai Jiao Tong Univ, Antai Coll Econ &amp; Management, 1954 Huashan Rd, Shanghai 200030, Peoples R China</t>
  </si>
  <si>
    <t>Shanghai Jiao Tong University</t>
  </si>
  <si>
    <t>Zhang, JJ (corresponding author), Shanghai Jiao Tong Univ, Antai Coll Econ &amp; Management, 1954 Huashan Rd, Shanghai 200030, Peoples R China.</t>
  </si>
  <si>
    <t>lwy_columbia@sjtu.edu.cn; yuleng@sjtu.edu.cn; aljszl@sjtu.edu.cn</t>
  </si>
  <si>
    <t>Zhang, Jiajun/LJL-9360-2024; Lyu, Wenyi/MTC-2209-2025</t>
  </si>
  <si>
    <t>Lyu, Wenyi/0009-0005-2811-3511</t>
  </si>
  <si>
    <t>10.1016/j.techfore.2024.123645</t>
  </si>
  <si>
    <t>E1A9B</t>
  </si>
  <si>
    <t>WOS:001300412300001</t>
  </si>
  <si>
    <t>León, WFD; Chaparro, OLM; Rojas, CAR</t>
  </si>
  <si>
    <t>Leon, William Fernando Duran; Chaparro, Olga Lucia Manrique; Rojas, Camilo Andres Ramirez</t>
  </si>
  <si>
    <t>Development of a Battery for the Measurement of Financial Capabilities in Young People</t>
  </si>
  <si>
    <t>Financial capability; Young people; Financial behavior; Financial attitude; Financial literacy; Measurement scale</t>
  </si>
  <si>
    <t>LITERACY; EDUCATION; SOCIALIZATION; SATISFACTION; FRAMEWORK; BEHAVIOR; MODEL</t>
  </si>
  <si>
    <t>Measuring financial capabilities among young people poses a challenge for scholars. In this study, we developed a set of ten scales to assess various behaviors, attitudes, and knowledge, allowing for a comprehensive examination of the construct. We designed a pool of items and invited 746 participants, aged 16 to 29, who were divided into two groups for studying the psychometric properties of the tests. The first group underwent an Exploratory Factor Analysis, while the second group underwent a Confirmatory Factor Analysis. Through these analyses, we identified five dimensions of financial behaviors, four dimensions of financial attitudes, and one dimension of knowledge or financial literacy. The scales were combined to measure two financial capabilities: Financial Saving Capability and Responsible Debt Management Capability. Furthermore, we identified distinct profiles of young people associated with each proposed financial capability. Finally, we offer a conceptual discussion of the financial capabilities construct, present scales with reliable and valid measurements, and propose avenues for future research.</t>
  </si>
  <si>
    <t>[Leon, William Fernando Duran; Rojas, Camilo Andres Ramirez] Pontificia Univ Javeriana, Fac Econ &amp; Adm Sci, Dept Business Adm, Carrera 7 40B-36 Ed 20 Jorge Hoyos Vasquez,SJ 4th, Bogota, Colombia; [Chaparro, Olga Lucia Manrique] Univ Nacl Colombia, Escuela Econ, Bogota, Colombia</t>
  </si>
  <si>
    <t>Pontificia Universidad Javeriana; Universidad Nacional de Colombia</t>
  </si>
  <si>
    <t>León, WFD (corresponding author), Pontificia Univ Javeriana, Fac Econ &amp; Adm Sci, Dept Business Adm, Carrera 7 40B-36 Ed 20 Jorge Hoyos Vasquez,SJ 4th, Bogota, Colombia.</t>
  </si>
  <si>
    <t>duran.w@javeriana.edu.co; olmanriquec@unal.edu.co; ramirezcamilo@javeriana.edu.co</t>
  </si>
  <si>
    <t>Ramirez Rojas, Camilo/IUO-9193-2023; Durán, William Fernando/AAQ-6365-2020</t>
  </si>
  <si>
    <t>Manrique, Olga/0000-0001-5847-6296; Durán, William Fernando/0000-0002-0235-0093</t>
  </si>
  <si>
    <t>Pontifical Xavierian University</t>
  </si>
  <si>
    <t>10.1007/s11205-024-03336-5</t>
  </si>
  <si>
    <t>WOS:001215360700001</t>
  </si>
  <si>
    <t>Cheng, H</t>
  </si>
  <si>
    <t>Cheng, Hao</t>
  </si>
  <si>
    <t>Chinese Experience of Advancing Financial Inclusion in Light of Foster's Three Limiting Conditions in Institutional Change</t>
  </si>
  <si>
    <t>institutional change; three limitation conditions; financial inclusion; B52; E50; G28; O10</t>
  </si>
  <si>
    <t>China has been developing financial inclusion since the 1990s so as to deal with financial exclusion, a problem that faces rural residents and small and micro enterprises as well as the poor. Analysis is conducted in light of John Foster's theory of institutional change, especially the three limiting conditions, which are, the availability of knowledge, people's capacity for understanding and adaptation, and the principle of minimal dislocation. Digital finance, introduced into China in the early 2000s, is thought to be the innovative and sustainable means of financial inclusion and was boldly encouraged with very loose regulation, especially before 2015. Many of the nontraditional providers of internet financial services, including nonbank digital payment, internet-based lending, crowd funding, and virtual coins, etc. had boomed like mushroom since 2013. While social permission has been granted to such well-intentioned but poorly understood social experiments, unprecedent internet financial chaos have emerged and spread raising serious social concern. Since 2015, new policy bundles have been developed in China, and the concept and practice of financial inclusion has been transformed greatly. As China is still facing challenges marching toward financial inclusion, the three limiting conditions must be carefully considered in formulating policies.</t>
  </si>
  <si>
    <t>[Cheng, Hao] Nanchang Univ, Sch Econ &amp; Management, Finance, Nanchang, Jiangxi, Peoples R China</t>
  </si>
  <si>
    <t>Nanchang University</t>
  </si>
  <si>
    <t>Cheng, H (corresponding author), Nanchang Univ, Sch Econ &amp; Management, Finance, Nanchang, Jiangxi, Peoples R China.</t>
  </si>
  <si>
    <t>National Social Science Foundation of China [15BJY147]</t>
  </si>
  <si>
    <t>The author would like to acknowledge the financial support of the National Social Science Foundation of China in funding the research (Grant No. 15BJY147).</t>
  </si>
  <si>
    <t>10.1080/00213624.2020.1756657</t>
  </si>
  <si>
    <t>ME1LT</t>
  </si>
  <si>
    <t>WOS:000544423900026</t>
  </si>
  <si>
    <t>Chavan, P; Kamra, A</t>
  </si>
  <si>
    <t>Chavan, Pallavi; Kamra, Ashish</t>
  </si>
  <si>
    <t>Financial Inclusion in Rural India: An Assessment Based on Secondary Data</t>
  </si>
  <si>
    <t>India; rural; financial inclusion; banking; digital payments; credit; microfinance; insurance</t>
  </si>
  <si>
    <t>This paper analyses the current state of financial inclusion in rural India using secondary data sources. It analyses all four services included in the Reserve Bank of India's (RBI) definition of financial inclusion, namely bank deposits, bank credit, digital and other payments, and insurance services. In this paper, financial inclusion refers not just to access and use of (formal) finance but also its affordability. The paper argues that while the access to bank deposits has increased significantly in rural India, bringing it closer to universal access, the use of deposits for withdrawals or payments continue to be limited. Credit remains a weak link in rural financial inclusion. Its penetration remains limited among the asset-poor segments of the rural population, and in under-banked geographical regions. During the period of financial inclusion, banks have made a rapid foray into the relatively under-banked regions, including the eastern and central regions, for tapping deposits. However, a similar expansion is not seen with regard to credit provision to these regions. For the asset-poor rural households, not just access but also affordability of credit remains a concern, given their reliance on microfinance institutions and self-help groups for credit. The access to insurance also remains limited among rural households. Insurance penetration, taking premium payments as per cent of income, was only 3.8 per cent in India in 2019; in rural areas, it was even lower, at 1.7 per cent.</t>
  </si>
  <si>
    <t>pallavichavan@gmail.com; ashishkamra1991@gmail.com</t>
  </si>
  <si>
    <t>10.25003/RAS.12.02.0018</t>
  </si>
  <si>
    <t>E5MJ4</t>
  </si>
  <si>
    <t>WOS:000975977800006</t>
  </si>
  <si>
    <t>Mouna, Amari; Jarboui, Anis</t>
  </si>
  <si>
    <t>Financial literacy and portfolio diversification: an observation from the Tunisian stock market</t>
  </si>
  <si>
    <t>Diversification; Tunisia; Familiarity; Financial literacy; Individual investor</t>
  </si>
  <si>
    <t>INVESTMENT; DECISIONS; WEALTH; IMPACT</t>
  </si>
  <si>
    <t>Purpose - The purpose of this paper is to focus on the lack of financial literacy as one probable factor explaining the low levels of portfolio diversification. The authors consider distinct aspects of financial literacy and control for socioeconomic and behavioral differences among individual groups of investors. Design/methodology/approach - The proposed models in this paper use multivariate analysis to examine the relationship between financial literacy and portfolio diversification. Investors' biases have been measured by means of a questionnaire comprising several items, including indicators of investors' portfolio fragmentation, financial literacy and socio economic variables. The sample consists of 256 small investors actively trading on the Tunisian stock market. Findings - The results suggest that investors' experience, financial literacy level, age, their use of the availability heuristic, familiarity bias and portfolio size, have a significant impact on the diversity of assets included their portfolios. Research limitations/implications - The main limitation of the empirical study is the small size of the sample. A larger sample would have given more reliable results and could have enabled a wider range of analyzes. Practical implications - The paper encourages investors to make their investments decisions based on their financial capability and experience levels and to avoid relying on their sentiment. Social implications - The paper encourages governmental organizations to establish training programmes aimed to develop the individual investor's financial literacy level. Originality/value - The current study is the first of its kind focusing on the link between financial literacy and portfolio diversification, within the specific context of Tunisia.</t>
  </si>
  <si>
    <t>[Mouna, Amari] Univ Sfax FSEGS, LARTIGE Lab Res, Sfax, Tunisia; [Jarboui, Anis] Univ Sfax FSEGS, Finance &amp; Accounting Dept, Finance &amp; Accounting, Sfax, Tunisia</t>
  </si>
  <si>
    <t>Universite de Sfax; Universite de Sfax</t>
  </si>
  <si>
    <t>Mouna, A (corresponding author), Univ Sfax FSEGS, LARTIGE Lab Res, Sfax, Tunisia.</t>
  </si>
  <si>
    <t>JARBOUI, Anis/0000-0002-4811-6729; Mouna, Amari/0000-0003-2490-6803</t>
  </si>
  <si>
    <t>10.1108/IJBM-03-2015-0032</t>
  </si>
  <si>
    <t>V0S4T</t>
  </si>
  <si>
    <t>WOS:000216517800008</t>
  </si>
  <si>
    <t>Kaua, CG; Thenya, T; Mutune, JM</t>
  </si>
  <si>
    <t>Kaua, Caxton Gitonga; Thenya, Thuita; Mutune, Jane Mutheu</t>
  </si>
  <si>
    <t>Analysis of Informal Microfinance Institutions Structures in Relation to Performance in Tharaka South Subcounty, Kenya</t>
  </si>
  <si>
    <t>Capital; Livelihoods; Informal; Microfinance; Performance; social</t>
  </si>
  <si>
    <t>Informal microfinance is the delivery of financial services mainly to low income people outside the regulation of the monetary authority. Despite their importance in development, no studies have undertaken a detailed analysis of structures and performance in informal microfinance institutions. This study aims to analyze structures and performance in informal microfinance institutions in Tharaka South Sub County. It uses descriptive study design and multi stage sampling design. Data analysis was done using thematic, descriptive and Kendall's tau-b correlation analysis. An informal microfinance performance index was developed using inductive and hierarchical approaches. The study found the informal microfinance institutions are marked by high performance which is determined by their structures. Moreover, the study deduced that informal microfinance is a key policy strategy for poverty alleviation, financial inclusion, gender equity and resilience building since participants mainly include women and other vulnerable groups.</t>
  </si>
  <si>
    <t>[Kaua, Caxton Gitonga; Thenya, Thuita; Mutune, Jane Mutheu] Univ Nairobi, Wangari Maathai Inst Peace &amp; Environm Studies, Nairobi, Kenya</t>
  </si>
  <si>
    <t>Kaua, CG (corresponding author), Univ Nairobi, Wangari Maathai Inst Peace &amp; Environm Studies, Nairobi, Kenya.</t>
  </si>
  <si>
    <t>Kaua, Caxton/GZM-4991-2022</t>
  </si>
  <si>
    <t>10.14207/ejsd.2020.v9n3p457</t>
  </si>
  <si>
    <t>OA8PX</t>
  </si>
  <si>
    <t>WOS:000578044500001</t>
  </si>
  <si>
    <t>Khan, N; Ahmad, T; State, R</t>
  </si>
  <si>
    <t>Desai, BC</t>
  </si>
  <si>
    <t>Khan, Nida; Ahmad, Tabrez; State, Radu</t>
  </si>
  <si>
    <t>Blockchain-based Micropayment Systems: Economic Impact</t>
  </si>
  <si>
    <t>IDEAS '19: PROCEEDINGS OF THE 23RD INTERNATIONAL DATABASE APPLICATIONS &amp; ENGINEERING SYMPOSIUM (IDEAS 2019)</t>
  </si>
  <si>
    <t>International Database Engineering and Applications Symposium - Proceedings</t>
  </si>
  <si>
    <t>23rd Annual International Symposium Database Applications and Engineering (IDEAS)</t>
  </si>
  <si>
    <t>JUN 10-12, 2019</t>
  </si>
  <si>
    <t>Athens, GREECE</t>
  </si>
  <si>
    <t>Assoc Comp Machinery,Bytepress/ConfSys.org,Concordia Univ,Harokopio Univ Athens</t>
  </si>
  <si>
    <t>Blockchain; Cryptocurrency; Micropayments; Economic Impact; Cybercrime</t>
  </si>
  <si>
    <t>The inception of blockchain catapulted the development of innovative use cases utilizing the trustless, decentralized environment, empowered by cryptocurrencies. The envisaged benefits of the technology includes the divisible nature of a cryptocurrency, that can facilitate payments in fractions of a cent, enabling micropayments through the blockchain. Micropayments are a critical tool to enable financial inclusion and to aid in global poverty alleviation. The paper conducts a study on the economic impact of blockchain-based micropayment systems, emphasizing their significance for socioeconomic benefit and financial inclusion. The paper also highlights the contribution of blockchain-based micropayments to the cybercrime economy, indicating the critical need of economic regulations to curtail the growing threat posed by the digital payment mechanism.</t>
  </si>
  <si>
    <t>[Khan, Nida; State, Radu] Univ Luxembourg, Luxembourg, Luxembourg; [Ahmad, Tabrez] ArcelorMittal Europe, Luxembourg, Luxembourg</t>
  </si>
  <si>
    <t>University of Luxembourg</t>
  </si>
  <si>
    <t>Khan, N (corresponding author), Univ Luxembourg, Luxembourg, Luxembourg.</t>
  </si>
  <si>
    <t>nida.khan@uni.lu; tabrez.ahmad@arcelormittal.com; radu.state@uni.lu</t>
  </si>
  <si>
    <t>; Ahmad, Tabrez/JPX-5354-2023</t>
  </si>
  <si>
    <t>Khan, Nida/0000-0003-3096-150X; State, Radu/0000-0002-4751-9577;</t>
  </si>
  <si>
    <t>1098-8068</t>
  </si>
  <si>
    <t>978-1-4503-6249-8</t>
  </si>
  <si>
    <t>INT DATABASE ENG APP</t>
  </si>
  <si>
    <t>10.1145/3331076.3331096</t>
  </si>
  <si>
    <t>BT2KT</t>
  </si>
  <si>
    <t>WOS:000810167700044</t>
  </si>
  <si>
    <t>Liu, F</t>
  </si>
  <si>
    <t>Liu, Fan</t>
  </si>
  <si>
    <t>Macroeconomic effects of microsavings programs for the unbanked</t>
  </si>
  <si>
    <t>OCCUPATIONAL CHOICE; ENTREPRENEURSHIP; MISALLOCATION; INEQUALITY; FRICTIONS</t>
  </si>
  <si>
    <t>This paper introduces a microsavings program for low wealth individuals in a general equilibrium model with heterogeneous agents. The model incorporates that (i) traditional banks require a minimum savings deposit size, causing some individuals to become un-banked, and (ii) banks and non-profits partner to offer microsavings programs to the unbanked. The paper finds that microsavings programs increase the percentage of entrepreneurs by providing collateral that the previously unbanked can use to start firms. In addition, wages increase, which benefits workers. Second, government subsidies for microsavings programs expand the size and number of firms, but output and workers may decline when funding the program requires higher income taxes. Third, bank sector deregulation (i.e., lower transaction costs in the financial sector) leads to higher output per capita, wages, and firm numbers, and possibly lower income inequality among entrepreneurs. Fourth, technological innovations that decrease deposit transaction costs, such as mobile banking, reduce funding pressure on microsavings programs, but have little effect on the percentage of entrepreneurs, firm size, entrepreneur returns or wages. Finally, when banks accept the unbanked by charging maintenance fees, microsavings programs have similar impacts on the percentage of entrepreneurs, wages and output, but at a smaller scale. (C) 2018 Elsevier B.V. All rights reserved.</t>
  </si>
  <si>
    <t>[Liu, Fan] Xian Jiaotong Liverpool Univ, 111 Renai Rd, Suzhou, Jiangsu, Peoples R China</t>
  </si>
  <si>
    <t>Xi'an Jiaotong-Liverpool University</t>
  </si>
  <si>
    <t>Liu, F (corresponding author), Xian Jiaotong Liverpool Univ, 111 Renai Rd, Suzhou, Jiangsu, Peoples R China.</t>
  </si>
  <si>
    <t>fanliu17@outlook.com</t>
  </si>
  <si>
    <t>Liu, Fan/0000-0002-9661-0334</t>
  </si>
  <si>
    <t>10.1016/j.jebo.2018.07.008</t>
  </si>
  <si>
    <t>HG4UC</t>
  </si>
  <si>
    <t>WOS:000454969500005</t>
  </si>
  <si>
    <t>Guo, BS; Guo, JD</t>
  </si>
  <si>
    <t>Guo, Bensu; Guo, Jindong</t>
  </si>
  <si>
    <t>The digital divide and household risky financial investments in China</t>
  </si>
  <si>
    <t>Digital divide; Financial literacy; Investment participation; Social capital; Education investment; CFPS</t>
  </si>
  <si>
    <t>STOCK-MARKET PARTICIPATION; PROSPECT-THEORY; DECISION</t>
  </si>
  <si>
    <t>This investigation rigorously examines the impact of the digital divide on household investment participation within emerging financial markets, uncovering multilayered determinants of financial inclusion in increasingly digitalized economies. Utilizing comprehensive survey data from China Family Panel Studies (CFPS) 2020, we employ econometric techniques including probit models, instrumental variables, and Heckman selection procedures to establish robust causal relationships. The empirical analysis reveals three principal findings: (1) the digital divide significantly impedes investment participation, with digitally excluded households demonstrating markedly lower financial market engagement; (2) financial literacy serves as a crucial mediating mechanism, transmitting approximately 40 % of the digital divide's total effect on investment behavior through cognitive pathways; and (3) both social capital and education function as protective factors that attenuate the adverse impact of digital exclusion. These findings advance theoretical understanding by reconceptualizing the digital divide as fundamentally an epistemic rather than merely technological barrier, operating through information acquisition impediments before manifesting in financial behavior. This research contributes to scholarly discourse by integrating technological, social, and human capital perspectives into a comprehensive framework explaining financial participation determinants. The study's implications suggest multidimensional policy approaches combining digital infrastructure development with financial education initiatives and community-based knowledge dissemination strategies to foster inclusive financial participation in the digital age.</t>
  </si>
  <si>
    <t>[Guo, Bensu] Univ Bristol, Fac Social Sci &amp; Law, Bristol BS8 1QU, England; [Guo, Jindong] Chongqing Univ, Sch Econ &amp; Business Adm, Chongqing, Peoples R China</t>
  </si>
  <si>
    <t>University of Bristol; Chongqing University</t>
  </si>
  <si>
    <t>Guo, BS (corresponding author), Univ Bristol, Fac Social Sci &amp; Law, Bristol BS8 1QU, England.</t>
  </si>
  <si>
    <t>ac24867@bristol.ac.uk; 5623689cool@163.com</t>
  </si>
  <si>
    <t>guo, bensu/OSI-6510-2025</t>
  </si>
  <si>
    <t>10.1016/j.iref.2025.104565</t>
  </si>
  <si>
    <t>7IM1T</t>
  </si>
  <si>
    <t>WOS:001571812000001</t>
  </si>
  <si>
    <t>Dong, Y; Chung, M; Zhou, C; Venkataraman, S</t>
  </si>
  <si>
    <t>Dong, Yan; Chung, Moonwon; Zhou, Chen; Venkataraman, Sriram</t>
  </si>
  <si>
    <t>Banking on Mobile Money: The Implications of Mobile Money Services on the Value Chain</t>
  </si>
  <si>
    <t>mobile money services; mobile technology innovation; developing economies; empirical research</t>
  </si>
  <si>
    <t>PROPENSITY SCORE; INNOVATION; COST; COMPLEMENTARITIES; PERFORMANCE; TRANSITION; MANAGEMENT; EFFICIENCY; ECONOMICS; PRODUCTS</t>
  </si>
  <si>
    <t>Problem definition: This study examines the effects of mobile money on the value chain, that is, mobile network operators (MNOs), banks, and end users. Mobile money is an innovative technology that is bundled with related services and is designed to provide cost-efficient financial inclusion for underserved populations in the developing world. Academic/practical relevance: By studying the interaction between mobile money value chain structures and service bundle compositions, we expand our understanding on value chain revenue allocation mechanisms in developing economies. This study provides a valuable foundation for practitioners to better coordinate the value chain and facilitate sustainable growth of mobile money services. Methodology: By combining proprietary and public data, we assess the impact of launching mobile money and the potential asymmetric effects of credit payments on the performance of the value chain. We identify control groups by using propensity score matching and estimate a quasi-experimental difference-in-difference regression. Results: We find that the launch of mobile money has had a positive effect on the performance of the value chain, consisting of old, poor, and undereducated populations. However, although some bundled, complementary services, such as credit payments, benefit participating banks, they may be associated with lower MNO profits. Moreover, the effects of mobile money on the value chain remain positive and stable over time, whereas the effects of credit payments are stronger over time. Managerial Implications: Findings suggest that MNOs and banks should be encouraged to launch mobile money and expand the customer base to old, poor, and less-educated members of the population. Certain services such as credit payment may yield asymmetric benefits such that banks could consider compensation mechanisms for the MNOs. Policy makers in developing countries should encourage coordination and promote a fair distribution of benefits between the two partners to sustain the growth of mobile money services.</t>
  </si>
  <si>
    <t>[Dong, Yan; Chung, Moonwon; Zhou, Chen; Venkataraman, Sriram] Univ South Carolina, Darla Moore Sch Business, Columbia, SC 29208 USA</t>
  </si>
  <si>
    <t>University of South Carolina System; University of South Carolina Columbia</t>
  </si>
  <si>
    <t>yan.dong@moore.sc.edu; moonwon.chung@grad.moore.sc.edu; chen.zhou@moore.sc.edu; sriram.venkataraman@moore.sc.edu</t>
  </si>
  <si>
    <t>Zhou, Chen/JEO-9076-2023</t>
  </si>
  <si>
    <t>10.1287/msom.2018.0717</t>
  </si>
  <si>
    <t>IA7YF</t>
  </si>
  <si>
    <t>WOS:000469773500004</t>
  </si>
  <si>
    <t>Delgadillo, LM; Lee, YG</t>
  </si>
  <si>
    <t>Delgadillo, Lucy M.; Lee, Yoon G.</t>
  </si>
  <si>
    <t>Association between Financial Education, Affective and Cognitive Financial Knowledge, and Financial Behavior</t>
  </si>
  <si>
    <t>affective financial knowledge; cognitive financial knowledge; financial behavior; financial education</t>
  </si>
  <si>
    <t>Using data from the 2018 National Financial Capability Study, this articled examined the relationship between financial education participation and affective and cognitive financial knowledge. Involvement in financial education yielded statistically significant associations between affective and cognitive domains. The results showed that participation in financial education was associated with both cognitive and affective financial knowledge as well as long-term financial behavior. The results supported the case for lifelong learning of financial education for young adults, minorities, and women. An important implication was the need to include both the affective and cognitive domains when teaching or researching financial education.</t>
  </si>
  <si>
    <t>[Delgadillo, Lucy M.] Utah State Univ, Sch Appl Sci Technol &amp; Educ, Logan, UT 84322 USA; [Lee, Yoon G.] Utah State Univ, Dept Human Dev &amp; Family Studies, Logan, UT 84322 USA</t>
  </si>
  <si>
    <t>Utah System of Higher Education; Utah State University; Utah System of Higher Education; Utah State University</t>
  </si>
  <si>
    <t>Delgadillo, LM (corresponding author), Utah State Univ, Sch Appl Sci Technol &amp; Educ, Logan, UT 84322 USA.</t>
  </si>
  <si>
    <t>lucy.delgadillo@usu.edu</t>
  </si>
  <si>
    <t>Delgadillo, Lucy/0000-0002-5148-045X</t>
  </si>
  <si>
    <t>10.1111/fcsr.12414</t>
  </si>
  <si>
    <t>UT0PV</t>
  </si>
  <si>
    <t>WOS:000685426500001</t>
  </si>
  <si>
    <t>Coffie, CPK; Hongjiang, Z; Mensah, IA; Kiconco, R; Simon, AEO</t>
  </si>
  <si>
    <t>Coffie, Cephas Paa Kwasi; Hongjiang, Zhao; Mensah, Isaac Adjei; Kiconco, Rebecca; Simon, Abraham Emuron Otim</t>
  </si>
  <si>
    <t>Determinants of FinTech payment services diffusion by SMEs in Sub-Saharan Africa: evidence from Ghana</t>
  </si>
  <si>
    <t>FinTech; payments; diffusion; emerging economy; SMEs</t>
  </si>
  <si>
    <t>MOBILE MONEY; FINANCIAL INCLUSION; ACCEPTANCE; ADOPTION; INTERNET; ACCESS</t>
  </si>
  <si>
    <t>Despite the potency of Financial Technology (FinTech) in facilitating financial inclusion, the determinants of the diffusion in Small and Medium-Sized Enterprises (SMEs) remain intricate. Consequently, the study assesses the determinants of the diffusion of FinTech Payment Services (mobile money, card, and online payments) by SMEs in the context of Ghana. We sample 407 registered SMEs with the Association of Ghanaian Industries (AGI) and employ hierarchical logistic regression models to explore the multiplicative effects of SMEs Chief Executive Officers Characteristics (CEOC), Business Characteristics (BUSC), and FinTech Payment Service Characteristics (FPSC) on the Diffusion of FinTech Payment Services (DFPS). Consistent with the technology diffusion theories, the finding reveals that CEOC, BUSC, and FPSC altogether determines the DFPS in Ghanaian SMEs. Thus, the combined effects of human, business, and technology actors drive the DFPS in SMEs. Therefore, the optimal design of FinTech services is critical for mass diffusion by SMEs in emerging economies.</t>
  </si>
  <si>
    <t>[Coffie, Cephas Paa Kwasi; Hongjiang, Zhao; Simon, Abraham Emuron Otim] Univ Elect Sci &amp; Technol China, Sch Management &amp; Econ, Chengdu 611731, Peoples R China; [Coffie, Cephas Paa Kwasi; Hongjiang, Zhao; Simon, Abraham Emuron Otim] Univ Elect Sci &amp; Technol China, Ctr West African Studies, Chengdu 611731, Peoples R China; [Coffie, Cephas Paa Kwasi] All Nations Univ, Business Sch, KF 1908, Koforidua, Ghana; [Mensah, Isaac Adjei] Jiangsu Univ, Inst Appl Syst Anal IASA, Zhenjiang, Jiangsu, Peoples R China; [Kiconco, Rebecca] Makerere Univ, Business Sch, Fac Commerce, Kampala, Uganda</t>
  </si>
  <si>
    <t>University of Electronic Science &amp; Technology of China; University of Electronic Science &amp; Technology of China; Jiangsu University; Makerere University</t>
  </si>
  <si>
    <t>Coffie, CPK; Hongjiang, Z (corresponding author), Univ Elect Sci &amp; Technol China, Sch Management &amp; Econ, Chengdu 611731, Peoples R China.;Coffie, CPK; Hongjiang, Z (corresponding author), Univ Elect Sci &amp; Technol China, Ctr West African Studies, Chengdu 611731, Peoples R China.;Coffie, CPK (corresponding author), All Nations Univ, Business Sch, KF 1908, Koforidua, Ghana.</t>
  </si>
  <si>
    <t>coffiecephas@gmail.com; zhaohj@uestc.edu.cn</t>
  </si>
  <si>
    <t>ADJEI MENSAH, ISAAC/JNE-6384-2023; Coffie, Cephas Paa Kwasi/AAO-7607-2020; Kiconco, Rebecca/AAK-8134-2020</t>
  </si>
  <si>
    <t>ADJEI MENSAH, ISAAC/0000-0003-1491-0665; Coffie, Cephas Paa Kwasi/0000-0002-8644-1418; Kiconco, Rebecca/0000-0003-1087-541X</t>
  </si>
  <si>
    <t>10.1080/02681102.2020.1840324</t>
  </si>
  <si>
    <t>SV7QZ</t>
  </si>
  <si>
    <t>WOS:000664015100006</t>
  </si>
  <si>
    <t>Immurana, M; Kisseih, KG; Ayesu, EK; Mohammed, A; Ziblilla, YM; Kk, TJM; Boachie, MK; Halidu, BO</t>
  </si>
  <si>
    <t>Immurana, Mustapha; Kisseih, Kwame Godsway; Ayesu, Enock Kojo; Mohammed, Ayisha; Ziblilla, Yakubu Mbanba; Kk, Toby Joseph Mathew; Boachie, Micheal Kofi; Halidu, Babamu Osman</t>
  </si>
  <si>
    <t>The Choice of Healthy Source of Energy for Cooking Among Households in Ghana: Does Financial Inclusion Matter?</t>
  </si>
  <si>
    <t>ENVIRONMENTAL HEALTH INSIGHTS</t>
  </si>
  <si>
    <t>Source of energy; fuel for cooking; air pollution; financial inclusion; Ghana</t>
  </si>
  <si>
    <t>DETERMINANTS; CONSUMPTION; RATIO</t>
  </si>
  <si>
    <t>Air pollution resulting from the use of unhealthy/unclean energy sources for cooking causes illnesses such as lung cancer, stroke, chronic obstructive pulmonary disease and ischaemic heart disease. In Ghana, each year, about 18 000 deaths are recorded due to the use of unhealthy energy sources for cooking. While financial inclusion can influence the adoption of healthy energy sources for cooking, less attention has been paid to it. This study, therefore, investigates the effect of financial inclusion on the choice of healthy source of energy for cooking among households in Ghana. Doing so reveals whether financial inclusion can be employed as a tool to decrease the use of unhealthy sources of energy for cooking in Ghana. We employ the Ghana Living Standards Survey round 7 (GLSS7) as the data source for the study whiles the binary logistic regression is used as the estimation technique. The findings show that, households with financial inclusion (using a single indicator) are more likely to choose healthy sources of energy for cooking relative to those without financial inclusion (OR = 2.52, P &lt; .01). Moreover, the effect of financial inclusion (using a single indicator) on choosing a healthy source of energy for cooking is greater among rural households (OR = 3.18, P &lt; .01) relative to their urban counterparts (OR = 2.27, P &lt; .01). The findings are robust even after using a different estimation technique and a combined index of financial inclusion. Thus, in the quest to improve the use of healthy sources of energy for cooking, enhancing financial inclusion among households, could be a useful strategy.</t>
  </si>
  <si>
    <t>[Immurana, Mustapha] Univ Hlth &amp; Allied Sci, Inst Hlth Res, Ho, Ghana; [Kisseih, Kwame Godsway] Christian Hlth Assoc Ghana Secretariat, Accra, Ghana; [Ayesu, Enock Kojo] Kwame Nkrumah Univ Sci &amp; Technol, PMB, Kumasi, Ghana; [Mohammed, Ayisha] Akenten Appiah Menka Univ Skills Training &amp; Entrep, Kumasi, Ghana; [Ziblilla, Yakubu Mbanba] Univ Dev Studies, Dept Appl Econ, Tamale, Ghana; [Kk, Toby Joseph Mathew] Krishna Menon Mem Govt Womens Coll, PG Dept Econ, Kannur, Kerala, India; [Boachie, Micheal Kofi] Univ Witwatersrand, Fac Hlth Sci, Wits Ctr Hlth Econ &amp; Decis Sci PRICELESS SA, Sch Publ Hlth, Johannesburg, South Africa; [Halidu, Babamu Osman] Kumasi Tech Univ, Dept Accountancy &amp; Accounting Informat Syst, Kumasi, Ghana</t>
  </si>
  <si>
    <t>Kwame Nkrumah University Science &amp; Technology; University for Development Studies; University of Witwatersrand</t>
  </si>
  <si>
    <t>Ayesu, Enock Kojo/AAS-3064-2020; Immurana, Mustapha/AEU-4908-2022; Halidu, Osman Babamu/HZJ-8417-2023; Boachie, Micheal/N-5240-2019</t>
  </si>
  <si>
    <t>Ayesu, Enock Kojo/0000-0002-5916-1023; Yakubu, Mbanba Ziblilla/0000-0002-3176-2230; Immurana, Mustapha/0000-0001-5711-7566; Halidu, Osman Babamu/0000-0002-4129-8101;</t>
  </si>
  <si>
    <t>1178-6302</t>
  </si>
  <si>
    <t>ENVIRON HEALTH INSIG</t>
  </si>
  <si>
    <t>Environ. Health Insights</t>
  </si>
  <si>
    <t>10.1177/11786302221150352</t>
  </si>
  <si>
    <t>H8ZZ8</t>
  </si>
  <si>
    <t>WOS:000998790500001</t>
  </si>
  <si>
    <t>Ferede, D; Jemal, MH; Molla, A</t>
  </si>
  <si>
    <t>Ferede, Dereje; Jemal, Miftah Hassen; Molla, Alemayehu</t>
  </si>
  <si>
    <t>Digital Transformation Against the Odds: Insights on Frugal, Government-Led, and Responsible Digital Transformation from an Ethiopian Bank</t>
  </si>
  <si>
    <t>Digital Transformation; Capabilities; Frugal Innovation; Bank; Emerging Economies; Sub-Saharan Africa; Government-led; Responsible Digital Transformation</t>
  </si>
  <si>
    <t>DYNAMIC CAPABILITIES; OPPORTUNITIES; SERVICES</t>
  </si>
  <si>
    <t>Many organizations are undergoing digital transformation. However, literature often assumes a substantial influence from consumers, competitors, technology institutions, and organizational resource endowment. These assumptions may not necessarily apply to the digital transformation initiatives in Sub-Saharan Africa and other low-income economies. In response to the call for research to challenge the unexamined assumptions of digital transformation and develop contextualized theoretical contributions, this study explores the processes, enablers, inhibitors, and outcomes of digital transformation through a case study of a bank in Ethiopia (henceforth EtBank). Over the past decade, EtBank has transformed from a cash-intensive, branch-based, brick-and-mortar bank to a digital bank offering niche mobile money services, conducting most retail transactions electronically, and contributing to digital financial inclusion. All of this augurs well for future change. Based on insights from EtBank's experience, the study presents a process theory that frames digital transformation as deeply influenced by historical and contextual factors, the interaction between organizational capabilities and frugal innovation, and the role of institutions as enablers and inhibitors. The study contributes to the literature on responsible and government-led digital transformation, underscoring the significance of historicity and context in the process. Additionally, it offers valuable guidance for other organizations embarking on similar digital transformation journeys.</t>
  </si>
  <si>
    <t>[Ferede, Dereje] Addis Ababa Univ, Addis Ababa, Ethiopia; [Ferede, Dereje] Univ Gondar, Gondar, Ethiopia; [Jemal, Miftah Hassen] Addis Ababa Univ, Sch Informat Sci, Addis Ababa, Ethiopia; [Molla, Alemayehu] RMIT Univ, Dept Informat Syst &amp; Business Analyt, Melbourne, Australia</t>
  </si>
  <si>
    <t>Addis Ababa University; University of Gondar; Addis Ababa University; Royal Melbourne Institute of Technology (RMIT)</t>
  </si>
  <si>
    <t>Ferede, D (corresponding author), Addis Ababa Univ, Addis Ababa, Ethiopia.;Ferede, D (corresponding author), Univ Gondar, Gondar, Ethiopia.</t>
  </si>
  <si>
    <t>dereje.mulat@aau.edu.et</t>
  </si>
  <si>
    <t>Ferede, Dereje/MTF-7919-2025</t>
  </si>
  <si>
    <t>10.17705/1CAIS.05739</t>
  </si>
  <si>
    <t>L4145</t>
  </si>
  <si>
    <t>WOS:001629538900018</t>
  </si>
  <si>
    <t>Koul, S; Verma, R; Ajaygopal, KV</t>
  </si>
  <si>
    <t>Koul, Saroj; Verma, Rakesh; Ajaygopal, K. V.</t>
  </si>
  <si>
    <t>Stakeholders' understanding of data privacy: implications for digital credit consumer</t>
  </si>
  <si>
    <t>digital credit; data privacy; regulatory frameworks; compliance practices; user perceptions; perceived trust; India; Information Technology; Data Protection; Information Technology Law</t>
  </si>
  <si>
    <t>This paper investigates the contextual definition of data privacy among digital credit stakeholders and examines the provisions for data privacy protection in India. This study adopts a primarily qualitative approach, supported by descriptive quantitative data to provide demographic and contextual insights. The data was collected through interviews with key stakeholders (digital credit users (DCUs), digital credit providers (DCPs), and regulatory bodies), supplemented by quantitative analysis of existing data privacy laws and regulations. The study reveals diverse perceptions and understandings of data privacy among stakeholders, influenced by regulatory frameworks, organisational practices, and user behaviours. Existing provisions for data privacy protection in India have varying compliance practices, leading to difficulties in implementation. Adherence to data privacy regulations contributes to the well-being of DCUs, fostering trust, satisfaction, and financial stability. This research underscores the importance of robust data privacy regulations and compliance mechanisms in the digital credit landscape. The findings highlight the need for greater awareness among stakeholders, enhanced regulatory oversight, and tailored interventions to safeguard the privacy rights of DCUs. Qualitative observations and quantitative analysis illuminate the complicated link between regulatory frameworks, organisational practices, and user perceptions. The study offers insights for policymakers, practitioners, and scholars seeking to address the intersection of data privacy and financial inclusion.</t>
  </si>
  <si>
    <t>[Koul, Saroj] OP Jindal Global Univ, Jindal Global Business Sch, Sonipat, Haryana, India; [Verma, Rakesh; Ajaygopal, K. V.] Indian Inst Management Mumbai IIM Mumbai, Mumbai, Maharashtra, India</t>
  </si>
  <si>
    <t>O.P. Jindal Global University; Indian Institute of Management (IIM System); Indian Institute of Management Mumbai</t>
  </si>
  <si>
    <t>Koul, S (corresponding author), OP Jindal Global Univ, Jindal Global Business Sch, Sonipat, Haryana, India.</t>
  </si>
  <si>
    <t>skoul@jgu.edu.in</t>
  </si>
  <si>
    <t>; KOUL, SAROJ/HKV-7995-2023</t>
  </si>
  <si>
    <t>Verma, Rakesh/0000-0002-3637-7788; KOUL, SAROJ/0000-0002-3051-5625</t>
  </si>
  <si>
    <t>Digital Credit Observatory (DCO), a program of the Center for Effective Global Action (CEGA); Bill &amp; Melinda Gates Foundation [INV-032608]; Bill and Melinda Gates Foundation [INV-032608] Funding Source: Bill and Melinda Gates Foundation</t>
  </si>
  <si>
    <t>Digital Credit Observatory (DCO), a program of the Center for Effective Global Action (CEGA); Bill &amp; Melinda Gates Foundation(Bill &amp; Melinda Gates FoundationBill &amp; Melinda Gates Foundation Grand Challenges Explorations InitiativeCGIAR); Bill and Melinda Gates Foundation(Bill &amp; Melinda Gates Foundation)</t>
  </si>
  <si>
    <t>The authors appreciate the research Funding (in whole or part) from the Digital Credit Observatory (DCO), a program of the Center for Effective Global Action (CEGA), with support from the Bill &amp; Melinda Gates Foundation [INV-032608].</t>
  </si>
  <si>
    <t>10.1080/23311975.2025.2568200</t>
  </si>
  <si>
    <t>8KT4Y</t>
  </si>
  <si>
    <t>WOS:001591013200001</t>
  </si>
  <si>
    <t>Pak, TY; Chatterjee, S; Choung, Y</t>
  </si>
  <si>
    <t>Pak, Tae-Young; Chatterjee, Swarn; Choung, Youngjoo</t>
  </si>
  <si>
    <t>Digital Financial Services Use and Life Satisfaction: Is Financial Well-Being a Mediator?</t>
  </si>
  <si>
    <t>digital financial services; financial inclusion; financial well-being; fintech; life satisfaction; mediation analysis</t>
  </si>
  <si>
    <t>MOBILE MONEY; INCLUSION; LITERACY; INTENTION; PAYMENTS; BEHAVIOR; INCOME; COSTS</t>
  </si>
  <si>
    <t>As digital financial services (DFS) become increasingly important in personal financial management, understanding their implications for individual well-being is critical. Although prior research has focused on financial inclusion and digital finance access, less is known about the mechanisms through which DFS influence broader well-being outcomes. This study examines the relationship between DFS use, financial well-being, and life satisfaction, with financial well-being conceptualized as a mediating factor. Data were drawn from a sample of 1552 Korean adults aged 25-59 who completed an online survey and provided valid responses for analysis. Financial well-being was assessed with the Consumer Financial Protection Bureau's financial well-being scale, and life satisfaction was measured using Cantril's ladder and the feeling thermometer. Mediation analyses reveal that DFS use is positively associated with financial well-being, which in turn significantly influences life satisfaction. Importantly, the relationship between DFS use and life satisfaction is fully mediated by financial well-being, with no significant direct effect once financial well-being is accounted for. This mediation pathway is driven primarily by transactional DFS-such as mobile banking, payments, and credit card management-rather than investment-oriented DFS. These findings suggest that the well-being benefits of DFS arise from the ways digital services enable individuals to manage routine financial matters more effectively. This study highlights the importance of designing inclusive DFS platforms that enhance financial well-being as a pathway to improving life satisfaction.</t>
  </si>
  <si>
    <t>[Pak, Tae-Young] Sungkyunkwan Univ, Dept Consumer Sci, Seoul, South Korea; [Pak, Tae-Young] Sungkyunkwan Univ, Convergence Program Social Innovat, Seoul, South Korea; [Chatterjee, Swarn] Univ Georgia, Dept Financial Planning Housing &amp; Consumer Econ, Athens, GA USA; [Choung, Youngjoo] Inha Univ, Dept Consumer Sci, Incheon, South Korea</t>
  </si>
  <si>
    <t>Sungkyunkwan University (SKKU); Sungkyunkwan University (SKKU); University System of Georgia; University of Georgia; Inha University</t>
  </si>
  <si>
    <t>Choung, Y (corresponding author), Inha Univ, Dept Consumer Sci, Incheon, South Korea.</t>
  </si>
  <si>
    <t>joo@inha.ac.kr</t>
  </si>
  <si>
    <t>Pak, Tae-Young/HZJ-0213-2023</t>
  </si>
  <si>
    <t>e70158</t>
  </si>
  <si>
    <t>10.1111/ijcs.70158</t>
  </si>
  <si>
    <t>S6833</t>
  </si>
  <si>
    <t>WOS:001636839900001</t>
  </si>
  <si>
    <t>di Prisco, D; Strangio, D</t>
  </si>
  <si>
    <t>di Prisco, Domenico; Strangio, Donatella</t>
  </si>
  <si>
    <t>Technology and financial inclusion: a case study to evaluate potential and limitations of Blockchain in emerging countries</t>
  </si>
  <si>
    <t>Financial inclusion; Blockchain; startup; social nudging</t>
  </si>
  <si>
    <t>DIGITAL DIVIDE; UNIFIED THEORY; ACCEPTANCE; ADOPTION; POVERTY; ACCESS; INDIA</t>
  </si>
  <si>
    <t>This study considers the idea of Blockchain technology (BCT) as an instrument to solve the problem of financial inclusion in emerging countries. We analyzed the history of Wala, a blockchain (BC) startup born in Africa to build a new financial ecosystem designed to meet the specific needs of low socioeconomic status (SES) individuals. Despite its early success, Wala was forced to retire from the market in 2019, providing a unique case study to analyze the barriers that prevent BCT from deploying its full potential in emerging countries. Our findings show the presence of a mismatch between BCT features and low SES needs, highlighting the need for immediate efforts to solve the digital divide problem and to nudge for the adoption of the new digital technologies in place of the pre-existing informal mechanisms.</t>
  </si>
  <si>
    <t>[di Prisco, Domenico] Luiss Guido Carli, Management, Viale Romania 32, I-00197 Rome, Italy; [Strangio, Donatella] Sapienza Univ, Dept Econ Hist, Econ Hist, Rome, Italy</t>
  </si>
  <si>
    <t>Luiss Guido Carli University; Sapienza University Rome</t>
  </si>
  <si>
    <t>di Prisco, D (corresponding author), Luiss Guido Carli, Management, Viale Romania 32, I-00197 Rome, Italy.</t>
  </si>
  <si>
    <t>ddiprisco@luiss.it</t>
  </si>
  <si>
    <t>2021 JUN 25</t>
  </si>
  <si>
    <t>10.1080/09537325.2021.1944617</t>
  </si>
  <si>
    <t>TB8RI</t>
  </si>
  <si>
    <t>WOS:000668213000001</t>
  </si>
  <si>
    <t>Dulloo, R</t>
  </si>
  <si>
    <t>Dulloo, Rhytheema</t>
  </si>
  <si>
    <t>Microfinance: Fostering Inclusive Growth in India</t>
  </si>
  <si>
    <t>Challenges; economic development; financial progress; inclusive growth; India; microfinance</t>
  </si>
  <si>
    <t>The comprehensive Financial Inclusion plan declared in India by our honourable Prime Minister Shri Narendra Modi has emerged as a major policy objective. The microfinance sector plays a significant role in fostering inclusive growth by offering loans, credit, savings and other basic financial services to borrowers at the bottom of the economic pyramid. Inclusive growth simply means all round growth of the masses. Microfinance and inclusive growth ensure the economic and the financial progress by bridging the gap between the formal financial institutions and the poor sections of the society resulting in balanced and optimal growth. In this paper, author provides an overview of India's microfinance industry, its position and significance in economic development, prevalent models for the microfinance disbursement, potential for growth of microfinance in India, challenges of microfinance in India and the suggestions to overcome these challenges.</t>
  </si>
  <si>
    <t>[Dulloo, Rhytheema] Hindustan Inst Technol &amp; Sci, Sch Management, Chennai, Tamil Nadu, India</t>
  </si>
  <si>
    <t>Hindustan Institute of Technology &amp; Science</t>
  </si>
  <si>
    <t>Dulloo, R (corresponding author), Hindustan Inst Technol &amp; Sci, Sch Management, Chennai, Tamil Nadu, India.</t>
  </si>
  <si>
    <t>Dulloo, Dr. Rhytheema/KHV-8248-2024</t>
  </si>
  <si>
    <t>UQ9MR</t>
  </si>
  <si>
    <t>WOS:000696384300008</t>
  </si>
  <si>
    <t>Viitasalo, K; Kangas-Kalinen, A; Kaittila, A; Moisio, M; Isoniemi, H; Kaitsaari, T; Hyyrynen, M; Hakovirta, M</t>
  </si>
  <si>
    <t>Viitasalo, Katri; Kangas-Kalinen, Annamari; Kaittila, Anniina; Moisio, Meri; Isoniemi, Henna; Kaitsaari, Tuula; Hyyrynen, Melina; Hakovirta, Mia</t>
  </si>
  <si>
    <t>Process Evaluation of a Financial Capability Intervention: A Qualitative Study Embedded in a Feasibility Randomized Controlled Trial</t>
  </si>
  <si>
    <t>CHILD &amp; YOUTH SERVICES</t>
  </si>
  <si>
    <t>Financial capability; intervention; social work; families; qualitative study</t>
  </si>
  <si>
    <t>TRAINING SOCIAL-WORKERS; FAMILY PROCESSES; ADOLESCENT; SERVICES; POVERTY</t>
  </si>
  <si>
    <t>Interest in improving the financial capabilities of families with children is rising in the field of social work, although research on interventions promoting financial capability remains sparse. This study explores a financial social work intervention aiming to improve the financial literacy and economic self-efficacy as well as reduce financial anxiety among parents experiencing financial problems. Semi-structured interviews were conducted with professionals. Data were analyzed to inform the process evaluation. The results indicate that when conducting an intervention, it is important to ensure that professionals are aware of the integration of financial issues with psychosocial factors during social interaction.</t>
  </si>
  <si>
    <t>[Viitasalo, Katri; Hyyrynen, Melina] Univ Helsinki, Dept Social Work, POB 54, Unioninkatu 37, Helsinki 00140, Finland; [Kangas-Kalinen, Annamari; Moisio, Meri; Isoniemi, Henna; Kaitsaari, Tuula] Univ Turku, Dept Social Res, Turku, Finland; [Kaittila, Anniina; Hakovirta, Mia] Univ Turku, INVEST Res Flagship Ctr, Turku, Finland</t>
  </si>
  <si>
    <t>University of Helsinki; University of Turku; University of Turku</t>
  </si>
  <si>
    <t>Viitasalo, K (corresponding author), Univ Helsinki, Dept Social Work, POB 54, Unioninkatu 37, Helsinki 00140, Finland.</t>
  </si>
  <si>
    <t>the Ministry of Social and Health Affairs (Finland)</t>
  </si>
  <si>
    <t>This work was partly funded by the Ministry of Social and Health Affairs (Finland)</t>
  </si>
  <si>
    <t>0145-935X</t>
  </si>
  <si>
    <t>1545-2298</t>
  </si>
  <si>
    <t>CHILD YOUTH SERV</t>
  </si>
  <si>
    <t>Child Youth Serv.</t>
  </si>
  <si>
    <t>10.1080/0145935X.2025.2605341</t>
  </si>
  <si>
    <t>AC2IE</t>
  </si>
  <si>
    <t>WOS:001644684800001</t>
  </si>
  <si>
    <t>Girón, A; Shiota, VD; Vélez, D</t>
  </si>
  <si>
    <t>Giron, Alicia; de la Vega Shiota, Vania; Velez, Denisse</t>
  </si>
  <si>
    <t>Financial inclusion &amp; gender perspective: APEC Member Economies</t>
  </si>
  <si>
    <t>MEXICO Y LA CUENCA DEL PACIFICO</t>
  </si>
  <si>
    <t>Financial Inclusion; Microfinance; Digital Payments; Sustainable Development; Asia Pacific</t>
  </si>
  <si>
    <t>Financial inclusion is the availability, affordability and accessibility of financial services, regardless of the level of income, location or gender. Despite the efforts and commitments of the international community to reach this state, there are still challenges, especially regarding the incorporation of minority groups and the transition to sustainable financial systems. Therefore, it is important to include a gender perspective in the economic and financial analysis because women face more barriers to access and be part of the benefits and opportunities of the financial system. The following text seeks to clarify the previous premises through an analysis of the advances or setbacks in terms of financial inclusion in APEC member economies and if this positively influences the progress of the Agenda 2030. In the first section, it contextualizes the reader on financial inclusion, why it is important from a gender perspective and why it is crucial for the fulfillment of the Sustainable Development Goals (SDGs). The following section presents statistical evidence on financial services in the countries of the region to identify achievements and blank spaces. Subsequently, is analyzed one of the alternatives to include the most vulnerable population in the financial system microfinance, and the advances of the region are shown in a series of good practices. Finally, is indicated a section of conclusions.</t>
  </si>
  <si>
    <t>[Giron, Alicia; de la Vega Shiota, Vania] Univ Nacl Autonoma Mexico, Programa Univ Estudios Asia &amp; Africa, Calle Fac Filosofia &amp; Letras 88, Ciudad De Mexico 04360, Mexico; [Velez, Denisse] Consejo Nacl Ciencia &amp; Technol, Sistema Nacl Invest, Calle Fac Filosofia &amp; Letras 88, Ciudad De Mexico 04360, Mexico</t>
  </si>
  <si>
    <t>Universidad Nacional Autonoma de Mexico; Consejo Nacional de Ciencia y Tecnologia (CONACyT)</t>
  </si>
  <si>
    <t>Girón, A (corresponding author), Univ Nacl Autonoma Mexico, Programa Univ Estudios Asia &amp; Africa, Calle Fac Filosofia &amp; Letras 88, Ciudad De Mexico 04360, Mexico.</t>
  </si>
  <si>
    <t>alicia@unam.mx; academica.pueaa@unam.mx; denvlzm2002@gmail.com</t>
  </si>
  <si>
    <t>Giron, Alicia/0000-0002-7513-3719</t>
  </si>
  <si>
    <t>UNIV GUADALAJARA, CENTRO UNIV CIENCIAS SOCIALES &amp; HUMANIDADES</t>
  </si>
  <si>
    <t>GUADALAJARA</t>
  </si>
  <si>
    <t>DEPT ESTUDIOS PACIFICO, GUANAJUATO NO 1045, GUADALAJARA, JALISCO CP 44260, MEXICO</t>
  </si>
  <si>
    <t>1665-0174</t>
  </si>
  <si>
    <t>2007-5308</t>
  </si>
  <si>
    <t>MEX CUENCA PAC</t>
  </si>
  <si>
    <t>Mex. Cuenca Pacifico</t>
  </si>
  <si>
    <t>10.32870/mycp.v7i21.562</t>
  </si>
  <si>
    <t>VJ1RV</t>
  </si>
  <si>
    <t>WOS:000543723700002</t>
  </si>
  <si>
    <t>Sethi, D; Acharya, D</t>
  </si>
  <si>
    <t>Sethi, Dinabandhu; Acharya, Debashis</t>
  </si>
  <si>
    <t>Financial inclusion and economic growth linkage: some cross country evidence</t>
  </si>
  <si>
    <t>Banks; Economic development; Financial markets; Financial markets and the macro economy; Models with panel data</t>
  </si>
  <si>
    <t>UNIT-ROOT TESTS; POVERTY REDUCTION; PANEL-DATA; INEQUALITY; INCOME; COINTEGRATION; BANKING; IMPACT</t>
  </si>
  <si>
    <t>Purpose The purpose of this paper is to assess the dynamic impact of financial inclusion on economic growth for a large number of developed and developing countries. Design/methodology/approach This study uses some panel data models such as country-fixed effect, random effect and time fixed effect regressions, panel cointegration, and panel causality tests to examine the linkage between financial inclusion and economic growth. Panel cointegration is being used to test the long run association between financial inclusion and economic growth, whereas panel causality test is used to find the direction of causality between financial inclusion and economic growth. The data on financial inclusion are taken from Sarma (2012) for the period 2004-2010. Findings The empirical findings reveal that there is a positive and long run relationship between financial inclusion and economic growth across 31 countries in the world. Further, panel causality test shows a bi-directional causality between financial inclusion and economic growth Thus, the study confirms that financial inclusion is one of the main drivers of economic growth. Research limitations/implications This study has two limitations. First, this study considers only banking institutions in the analysis. Second, the period tested for the long run relationship is not long enough. Practical implications This study empirically measures the quantitative impact of financial inclusion policies pursued across the world. The study also suggests that policies emphasizing financial sector reforms in general and promoting financial inclusion in particular shall result in higher economic growth in the long run. Originality/value This study attempts to assess the long run relationship between financial inclusion and economic growth with the help of a multidimensional index of financial inclusion. Therefore, this can be a valuable contribution to the banks and policymakers.</t>
  </si>
  <si>
    <t>[Sethi, Dinabandhu; Acharya, Debashis] Univ Hyderabad, Sch Econ, Hyderabad, India</t>
  </si>
  <si>
    <t>Sethi, D (corresponding author), Univ Hyderabad, Sch Econ, Hyderabad, India.</t>
  </si>
  <si>
    <t>sethidinabandhu.hcu@gmail.com</t>
  </si>
  <si>
    <t>Sethi, Dinabandhu/0000-0002-4571-212X; ACHARYA, DEBASHIS/0000-0003-2378-2992</t>
  </si>
  <si>
    <t>10.1108/JFEP-11-2016-0073</t>
  </si>
  <si>
    <t>WOS:000442370500004</t>
  </si>
  <si>
    <t>Yang, Z</t>
  </si>
  <si>
    <t>Yang, Zi</t>
  </si>
  <si>
    <t>GameStop or Game Just Started? Leveling the Playing Field for Social Media Meme Investors to Rebuild the Public's Trust</t>
  </si>
  <si>
    <t>social media meme investors; financial inclusion; default risks; financial literacy; systemic risks; public trust</t>
  </si>
  <si>
    <t>Against the GameStop frenzy in 2021, this article defines meme investors as a new group of investors in financial markets while demonstrating meme investors' regulatory and social implications. By comparing meme investors with traditional investors under the MiFID II regime, this article finds that meme investors are significantly less wealthy than traditional investors, trade via digital trading platforms, and rely on social media information for investment decision making. This article argues that the emergence of meme investors is an expression of the public's desire for financial inclusion and their frustration with traditional financial institutions. Therefore, properly engaging with meme investors is crucial for rebuilding the public's trust towards regulators. After illustrating meme investors' exposure to default risks, legal uncertainty, and online misinformation, this article calls for regulators to engage with social media meme investors and improve financial literacy among the public.</t>
  </si>
  <si>
    <t>[Yang, Zi] Aston Univ, Coll Business &amp; Social Sci, Sch Law, Birmingham B4 7ET, England</t>
  </si>
  <si>
    <t>Aston University</t>
  </si>
  <si>
    <t>Yang, Z (corresponding author), Aston Univ, Coll Business &amp; Social Sci, Sch Law, Birmingham B4 7ET, England.</t>
  </si>
  <si>
    <t>z.yang17@aston.ac.uk</t>
  </si>
  <si>
    <t>10.3390/jrfm16010013</t>
  </si>
  <si>
    <t>8C6PT</t>
  </si>
  <si>
    <t>WOS:000917728700001</t>
  </si>
  <si>
    <t>Ahmed, H; Cowan, B</t>
  </si>
  <si>
    <t>Ahmed, Haseeb; Cowan, Benjamin</t>
  </si>
  <si>
    <t>Mobile money and healthcare use: Evidence from East Africa</t>
  </si>
  <si>
    <t>Risk sharing; Mobile money; Informal insurance; Financial inclusion; Kenya</t>
  </si>
  <si>
    <t>RISK-SHARING NETWORKS; CONSUMPTION; HOUSEHOLDS; POOR; INSURANCE; SHOCKS; VULNERABILITY; COMMUNITY; TRANSFERS; BANKING</t>
  </si>
  <si>
    <t>This paper uses a difference-in-difference framework to estimate the effects of mobile money transfer technology (MMT) on healthcare use in the face of negative health shocks. We use survey data from 2013 to 16 with quarterly observations on about 1800 households of 10 villages in the Kisumu region of Western Kenya. We find evidence that MMT, likely through greater ease of informal borrowing, helps households increase utilization of formal healthcare services in terms of visits to a clinic, consultation and medication expenditures in comparison with non-users of this technology. MMT appears to be complementary with other risk-sharing mechanisms such as farm sales and in-kind transfers. (c) 2021 Published by Elsevier Ltd.</t>
  </si>
  <si>
    <t>[Ahmed, Haseeb] Sveriges Lantbruksuniv SLU, Dept Clin Sci, Ulls Vag 26, Uppsala, Sweden; [Cowan, Benjamin] Washington State Univ, Sch Econ Sci, 203F,Hulbert Hall, Pullman, WA 99164 USA; [Cowan, Benjamin] NBER, 203F,Hulbert Hall, Pullman, WA USA</t>
  </si>
  <si>
    <t>Swedish University of Agricultural Sciences; Washington State University; National Bureau of Economic Research</t>
  </si>
  <si>
    <t>Ahmed, H (corresponding author), Sveriges Lantbruksuniv SLU, Dept Clin Sci, Ulls Vag 26, Uppsala, Sweden.</t>
  </si>
  <si>
    <t>haseeb.ahmed@slu.se; ben.cowan@wsu.edu</t>
  </si>
  <si>
    <t>10.1016/j.worlddev.2021.105392</t>
  </si>
  <si>
    <t>QY6UT</t>
  </si>
  <si>
    <t>WOS:000630173800019</t>
  </si>
  <si>
    <t>Batty, M; Collins, JM; Odders-White, E</t>
  </si>
  <si>
    <t>Batty, Michael; Collins, J. Michael; Odders-White, Elizabeth</t>
  </si>
  <si>
    <t>Experimental Evidence on the Effects of Financial Education on Elementary School Students' Knowledge, Behavior, and Attitudes</t>
  </si>
  <si>
    <t>As the financial landscape for consumers becomes increasingly complex, the importance of facilitating financial capability increases. Although most financial decisions are made by adults, there is a burgeoning interest in providing financial education to children in the hope that they will develop the skills needed to successfully manage their finances in adulthood. This study uses an experimental design to evaluate a set of standardized financial education lessons delivered to fourth and fifth graders in two different school districts. We find that even a relatively brief program results in knowledge gains that persist one year later. While measuring financial behaviors in this age group is challenging, students exposed to financial education have more positive attitudes about personal finance and appear more likely to save. These results show that younger students can learn financial topics and that learning is associated with improved attitudes and behaviors which, if sustained, may result in increased financial capability later in life.</t>
  </si>
  <si>
    <t>[Batty, Michael] Univ Wisconsin, Madison, WI 53706 USA; [Collins, J. Michael] Univ Wisconsin, Ctr Financial Secur, Madison, WI 53706 USA; [Odders-White, Elizabeth] Univ Wisconsin, US Bank, Madison, WI 53706 USA</t>
  </si>
  <si>
    <t>Batty, M (corresponding author), Univ Wisconsin, Madison, WI 53706 USA.</t>
  </si>
  <si>
    <t>mbatty@wisc.odu; jmcollins@wisc.edu; ewhite@bus.wisc.odu</t>
  </si>
  <si>
    <t>Collins, J Michael/G-3428-2013; Batty, Michael/D-4422-2011</t>
  </si>
  <si>
    <t>Collins, J Michael/0000-0002-2280-2130;</t>
  </si>
  <si>
    <t>Corporation for Enterprise Development (CFED) [TOS-11-F-039]; Office of Consumer Policy of the US Department of the Treasury</t>
  </si>
  <si>
    <t>Corporation for Enterprise Development (CFED); Office of Consumer Policy of the US Department of the Treasury</t>
  </si>
  <si>
    <t>This project was funded by the Corporation for Enterprise Development (CFED) under contract TOS-11-F-039 with the Office of Consumer Policy of the US Department of the Treasury. All opinions in this article are those of the authors alone and do not represent the views of CFED or the US Department of the Treasury. The authors are grateful to Kasey Wiedrich and the staff of CFED, Laura Rosen of the Center for Public Policy Priorities, Laura Ewing from the Texas Council on Economic Education, and Nilton Porto, Nicole Truog, and Karen Walsh from UW-Madison. This study would not have been possible without the cooperation of the Eau Claire Area School District and Royal Credit Union in Wisconsin, and the Amarillo Independent School District and Happy State Bank in Texas.</t>
  </si>
  <si>
    <t>10.1111/joca.12058</t>
  </si>
  <si>
    <t>WOS:000351219200004</t>
  </si>
  <si>
    <t>The role of trust as an informal social mechanism for contract enforcement among young women microenterprises in financial markets in sub-Saharan Africa</t>
  </si>
  <si>
    <t>Trust; Microcredit; Group collusion; Financial contract; Women entrepreneurs; Relational social capital</t>
  </si>
  <si>
    <t>JOINT LIABILITY; REPAYMENT PERFORMANCE; MICROFINANCE; ACCESS; CREDIT; RECIPROCITY; ECONOMICS; RETURNS; MODELS; IMPACT</t>
  </si>
  <si>
    <t>PurposeThe main purpose of this paper is to establish whether trust plays a significant mediating role in the relationship between access to microcredit and survival of young women microenterprises in under-developed financial markets in sub-Saharan Africa. The main focus of this paper is to specifically test whether relational social capital built by young women from homogeneous and heterogeneous groups can be more effective in promoting economic exchange in under-developed financial markets since interpersonal trust has recently been found to harbor group collusion, especially among kins. Overall, the paper distinguishes trust among individuals based on their age, gender and ethnic diversity.Design/methodology/approachThis study used structural equation model to test whether trust significantly mediates the relationship between access to microcredit and survival of young women microenterprises using Analysis of Moments Structures (AMOS) based on recommendations by Hair et al. (2022) and Baron and Kenny (1986).FindingsThe findings from this study revealed that trust significantly and positively mediate the relationship between access to microcredit and survival of young women microenterprises in under-developed financial markets in sub-Saharan Africa. Trust developed from relational social capital among young women from homogeneous and heterogeneous groups create a stronger basis for economic exchange in under-developed financial markets.Research limitations/implicationsWhile this study generates a positive evidence on the impact of access to microcredit on survival of young women microenterprises, the results cannot be over emphasized and generalized because the data were collected from only a single developing country. Future research may extend the current study to include other developing countries to make a more justified comprehensive analysis.Practical implicationsThe findings from this study highlights the importance of using a blend of social policy guided by norms combined with formal regulations as an informal contract enforcement mechanism to achieve efficient economic exchange in under-developed financial markets. Relational social capital formed on the basis of informal norms among groups from diverse population can supplement formal laws to enforce contractual obligations in microcredit access, especially among youthful microentrepreneurs, who seems to have stronger relational behaviors than adults. Financial institutions such as banks should use informal contract enforcement system to increase the scope of financial inclusion of young microentrepreneurs, especially in unbanked rural communities in sub-Saharan Africa, Uganda inclusive where formal laws are weak and sometimes not functional. The findings also show that younger people have a stronger relationship behavior than adults. Therefore, policy should create structures that can promote social activities among youth. Governments in sub-Saharan Africa, Uganda inclusive through their respective Ministry of Gender, Labour and Youth Affairs should create youth clubs that can increase interaction and relational social capital among the younger population to derive economic empowerment. sub-Saharan African governments, Uganda inclusive should rely more on social policy based on relational social capital as a missing link to promote and achieve economic development.Originality/valueThis paper provides an evidence on the unique role of age, gender and ethnicity in information sharing and exchange based on social policy in the financial market to limit group collusion. The authors indicate that diversity in relational social capital among young women microentrepreneurs prohibit strategic defaults, which promotes access to microcredit for survival of women micro small and medium enterprises (MSMEs) through socialization. High level of interaction among younger women microentrepreneurs from homogeneous and heterogeneous groups allow them to close the information gap to timely meet borrowing contractual obligations to derive economic benefits. The paper shows that younger women have more trust than older women while searching for economic value through socialization. In fact, social policy can wholly supplement formal policy to promote growth and survival of young women microenterprises, especially in sub-Saharan Africa, Uganda inclusive.</t>
  </si>
  <si>
    <t>[Bongomin, George Okello Candiya] Makerere Univ, Fac Grad Studies &amp; Res, Business Sch, Kampala, Uganda; [Bongomin, George Okello Candiya; Malinga, Charles Akol] Makerere Univ, Finance Dept, Business Sch, Kampala, Uganda; [Amani, Alain Manzi; Balinda, Rebecca] Kigali Independent Univ, Finance Dept, Kigali, Rwanda</t>
  </si>
  <si>
    <t>Bongomin, GOC (corresponding author), Makerere Univ, Fac Grad Studies &amp; Res, Business Sch, Kampala, Uganda.;Bongomin, GOC (corresponding author), Makerere Univ, Finance Dept, Business Sch, Kampala, Uganda.</t>
  </si>
  <si>
    <t>abaikol3@yahoo.co.uk; camalinga@gmail.com; amanimanzi2@gmail.com; becky.balinda@ulk.ac.rw</t>
  </si>
  <si>
    <t>10.1108/IJSSP-06-2023-0146</t>
  </si>
  <si>
    <t>SH6A2</t>
  </si>
  <si>
    <t>WOS:001154275900001</t>
  </si>
  <si>
    <t>Tambunlertchai, K</t>
  </si>
  <si>
    <t>Tambunlertchai, Kanittha</t>
  </si>
  <si>
    <t>DETERMINANTS AND BARRIERS TO FINANCIAL INCLUSION IN MYANMAR: WHAT DETERMINES ACCESS TO FINANCIAL SERVICES AND WHAT HINDERS IT?</t>
  </si>
  <si>
    <t>Financial inclusion; household saving; personal finance</t>
  </si>
  <si>
    <t>GROWTH; BANKING</t>
  </si>
  <si>
    <t>This paper examines two aspects of financial inclusion in the context of Myanmar. First, it examines the factors that determine access to formal savings products. Second, it looks at what the barriers to saving are. Using data from a nationally representative survey of 5100 individuals, the paper applies econometric estimation and qualitative data analysis methods to provide answers to these questions. Findings show a low level of saving in Myanmar, and that formal savings increase with income, education, and keeping a budget, among other factors. Policy recommendations include the design of financial literacy programs that are suitable to the Myanmar context, and providing access to financial services.</t>
  </si>
  <si>
    <t>[Tambunlertchai, Kanittha] Chulalongkorn Univ, Fac Econ, Phayathai Rd, Bangkok 10330, Thailand</t>
  </si>
  <si>
    <t>Chulalongkorn University</t>
  </si>
  <si>
    <t>Tambunlertchai, K (corresponding author), Chulalongkorn Univ, Fac Econ, Phayathai Rd, Bangkok 10330, Thailand.</t>
  </si>
  <si>
    <t>kanittha.t@chula.ac.th</t>
  </si>
  <si>
    <t>10.1142/S0217590818410011</t>
  </si>
  <si>
    <t>WOS:000424737100002</t>
  </si>
  <si>
    <t>Xiao, JJ; Kim, KT; Lee, SW</t>
  </si>
  <si>
    <t>Xiao, Jing Jian; Kim, Kyoung Tae; Lee, Sunwoo</t>
  </si>
  <si>
    <t>Consumer Financial Capability and Financial Wellbeing; Multi-Year Analyses</t>
  </si>
  <si>
    <t>Financial capability; Financial literacy; Financial wellbeing; National Financial Capability Study; Trend analysis</t>
  </si>
  <si>
    <t>SHORT-TERM; LITERACY; EDUCATION; BEHAVIOR; KNOWLEDGE</t>
  </si>
  <si>
    <t>The positive association between financial capability and financial wellbeing is well-established in the literature. However, research is limited in examining the association from a long-term perspective with multi-year national data. This study attempted to fill this gap and examined the association between financial capability and financial wellbeing using pooled cross-sectional data from all five waves of National Financial Capability Studies (NFCS) conducted between 2009 and 2021, covering periods both before and after the onset of the COVID-19 pandemic. Financial capability was assessed using both a financial capability index and a set of financial capability components. Descriptive statistics revealed that financial wellbeing, as measured by financial satisfaction, showed an upward trend from 2009 to 2021. The financial capability index also exhibited an upward trend, with a dip in 2015. Four financial capability components showed different trends over the 12-year period. The results of multiple regression analyses conducted on the pooled sample and yearly samples indicated that, overall, the financial capability index was positively associated with financial wellbeing. Specifically, financial capability components, including subjective financial knowledge, desirable financial behavior, and perceived financial capability, were positively related to financial wellbeing. However, objective financial knowledge was negatively associated with financial wellbeing, consistent with findings from previous studies. The results suggested that the potential positive effects of the financial capability index on financial wellbeing increased over the survey years, primarily driven by the effects of subjective financial knowledge.</t>
  </si>
  <si>
    <t>[Xiao, Jing Jian] Univ Rhode Isl, Dept Human Dev &amp; Family Sci, Transit Ctr, 2 Lower Coll Rd, Kingston, RI 02881 USA; [Kim, Kyoung Tae] Univ Alabama, Dept Consumer Sci, 316-C Adams Hall, Tuscaloosa, AL 35487 USA; [Lee, Sunwoo] York Univ, Sch Adm Studies, Atkinson Bldg,4700 Keele St, Toronto, ON M3J1P3, Canada</t>
  </si>
  <si>
    <t>University of Rhode Island; University of Alabama System; University of Alabama Tuscaloosa; York University - Canada</t>
  </si>
  <si>
    <t>Kim, KT (corresponding author), Univ Alabama, Dept Consumer Sci, 316-C Adams Hall, Tuscaloosa, AL 35487 USA.</t>
  </si>
  <si>
    <t>xiao@uri.edu; ktkim@ches.ua.edu; sunwool@yorku.ca</t>
  </si>
  <si>
    <t>; Xiao, Jing Jian/R-1415-2016</t>
  </si>
  <si>
    <t>Kim, Kyoung Tae/0000-0002-0673-721X; Xiao, Jing Jian/0000-0003-3252-5672; Lee, Sunwoo/0000-0002-0887-5309</t>
  </si>
  <si>
    <t>10.1007/s11482-023-10253-1</t>
  </si>
  <si>
    <t>JL8H9</t>
  </si>
  <si>
    <t>WOS:001101402900001</t>
  </si>
  <si>
    <t>Molina-García, A; Diéguez-Soto, J; Galache-Laza, MT; Campos-Valenzuela, M</t>
  </si>
  <si>
    <t>Molina-Garcia, Antonio; Dieguez-Soto, Julio; Teresa Galache-Laza, M.; Campos-Valenzuela, Marta</t>
  </si>
  <si>
    <t>Financial literacy in SMEs: a bibliometric analysis and a systematic literature review of an emerging research field</t>
  </si>
  <si>
    <t>REVIEW OF MANAGERIAL SCIENCE</t>
  </si>
  <si>
    <t>Financial literacy; SMEs; Bibliometric analysis; Systematic literature review</t>
  </si>
  <si>
    <t>OPEN INNOVATION; MODERATING ROLE; MEDIATING ROLE; FAMILY FIRMS; COMPETITIVE ADVANTAGE; MANAGEMENT-PRACTICES; RISK-MANAGEMENT; UPPER ECHELONS; PERFORMANCE; KNOWLEDGE</t>
  </si>
  <si>
    <t>Research on financial literacy in small and medium enterprises (SMEs) has raised a significant amount of interest in recent years and has evolved both rapidly and unevenly. This paper is the first to provide a reliable, consistent, and up-to-date review of financial literacy in SMEs through the combination of a bibliometric analysis and a systematic literature review. Specifically, and after identifying the most influential agents involved in this field of research, we carried out a co-occurrence analysis of the authors' keywords, co-citation analysis of the cited references and a subsequent in-depth analysis of a total of 88 documents published between 2005 and 2020. The findings indicate that SME financial literacy research has been primarily analysed regarding the following topics: (1) performance, (2) access to finance, (3) innovation, (4) risk attitude and entrepreneurship, (5) owners-managers, and residual contributions. The theoretical foundations that support this research structure have been (1) the resource-based view, (2) pecking order theory, agency theory and trade-off theory, (3) the entrepreneurial orientation perspective, human capital theory and upper echelon theory, and (4) planned behaviour theory. Subsequently, we developed an integrative framework on which to base proposals of important avenues for future research. Thus, this review offers a thorough and comprehensive overview of this emerging research field.</t>
  </si>
  <si>
    <t>[Molina-Garcia, Antonio; Dieguez-Soto, Julio; Teresa Galache-Laza, M.; Campos-Valenzuela, Marta] Univ Malaga, El Ejido S-N, E-29071 Malaga, Spain</t>
  </si>
  <si>
    <t>Universidad de Malaga</t>
  </si>
  <si>
    <t>Molina-García, A (corresponding author), Univ Malaga, El Ejido S-N, E-29071 Malaga, Spain.</t>
  </si>
  <si>
    <t>antoniomolina@uma.es; jdieguez@uma.es; mtgalache@uma.es; martacv@uma.es</t>
  </si>
  <si>
    <t>Molina-García, Antonio/AEH-3500-2022; Galache Laza, María Teresa/JKH-6601-2023; Diéguez-Soto, Julio/H-5608-2015</t>
  </si>
  <si>
    <t>Molina-García, Antonio/0000-0002-9145-2787; CAMPOS VALENZUELA, MARTA/0000-0003-3191-8984; Galache Laza, María Teresa/0000-0003-1376-5523; Diéguez-Soto, Julio/0000-0001-5116-5604</t>
  </si>
  <si>
    <t>Catedra de Viabilidad Empresarial (Universidad de Malaga) - Spanish Government (FPU) [FPU20/02328]</t>
  </si>
  <si>
    <t>Catedra de Viabilidad Empresarial (Universidad de Malaga) - Spanish Government (FPU)(German Research Foundation (DFG))</t>
  </si>
  <si>
    <t>This work was supported by the Catedra de Viabilidad Empresarial (Universidad de Malaga). Antonio's work was funded by the Spanish Government (FPU) (FPU20/02328).</t>
  </si>
  <si>
    <t>1863-6683</t>
  </si>
  <si>
    <t>1863-6691</t>
  </si>
  <si>
    <t>REV MANAG SCI</t>
  </si>
  <si>
    <t>Rev. Manag. Sci.</t>
  </si>
  <si>
    <t>10.1007/s11846-022-00556-2</t>
  </si>
  <si>
    <t>A7ZV5</t>
  </si>
  <si>
    <t>WOS:000791079900001</t>
  </si>
  <si>
    <t>Aziz, S; Khan, IU; Alomair, A; Al Naim, AS</t>
  </si>
  <si>
    <t>Aziz, Saima; Khan, Ikram Ullah; Alomair, Abdulrahman; Al Naim, Abdulaziz S.</t>
  </si>
  <si>
    <t>The nexus of financial socialization, financial literacy, financial capability and financial well-being: women's perspective with structural equation modeling approach</t>
  </si>
  <si>
    <t>There is a dearth of studies on local women's financial well-being in the mainstream financial literature. Therefore, understanding women's financial socialization and its relationship with their financial well-being is more vital than ever. Women's financial well-being can foster independence, develop access to basic resources, and help overcome gender inequalities. The current study aims to understand how financial socialization, financial autonomy, and financial capability affect the financial well-being of female employees and determine the mediating impact of financial capability between financial socialization, financial literacy, financial autonomy, and financial well-being of female employees in women's universities. The study is a prior one that explores individual financial well-being in a unique local context and offers fresh insights for future research and practice in developing economies. Particularly, the study underscores how female financial socialization and financial skills interact to achieve financial well-being in Pakistan. Using convenience sampling, the data were obtained through self-administered questionnaires from 437 respondents, and the PLS-SEM technique was employed to assess the research hypotheses. Our findings validate that financial socialization, autonomy, and capability significantly influence the financial well-being of women employees. This study enriches academic knowledge and contributes to women's financial well-being by promoting their financial socialization and literacy. The study concludes that enhanced financial capability leads to better financial management, which finally contributes to social and financial stability.</t>
  </si>
  <si>
    <t>[Aziz, Saima; Khan, Ikram Ullah] Univ Sci &amp; Technol Bannu, Inst Management Sci, Bannu, Pakistan; [Alomair, Abdulrahman; Al Naim, Abdulaziz S.] King Faisal Univ, Business Sch, Accounting Dept, Al Hufuf, Saudi Arabia</t>
  </si>
  <si>
    <t>University of Science &amp; Technology Bannu; King Faisal University</t>
  </si>
  <si>
    <t>Khan, IU (corresponding author), Univ Sci &amp; Technol Bannu, Inst Management Sci, Bannu, Pakistan.;Alomair, A (corresponding author), King Faisal Univ, Business Sch, Accounting Dept, Al Hufuf, Saudi Arabia.</t>
  </si>
  <si>
    <t>ikram.bnu@gmail.com; aamalomair@kfu.edu.sa</t>
  </si>
  <si>
    <t>Al Naim, Abdulaziz/JZC-8669-2024; Khan, Ikram Ullah/C-6130-2018; Alomair, Abdulrahman/HKM-5959-2023</t>
  </si>
  <si>
    <t>This work was supported by the Deanship of Scientific Research, Vice Presidency for Graduate Studies and Scientific Research, King Faisal University, Saudi Arabia [KFU251676]; Deanship of Scientific Research, Vice Presidency for Graduate Studies and Scientific Research, King Faisal University, Saudi Arabia</t>
  </si>
  <si>
    <t>This work was supported by the Deanship of Scientific Research, Vice Presidency for Graduate Studies and Scientific Research, King Faisal University, Saudi Arabia; Deanship of Scientific Research, Vice Presidency for Graduate Studies and Scientific Research, King Faisal University, Saudi Arabia</t>
  </si>
  <si>
    <t>This work was supported by the Deanship of Scientific Research, Vice Presidency for Graduate Studies and Scientific Research, King Faisal University, Saudi Arabia [KFU251676].</t>
  </si>
  <si>
    <t>10.1057/s41599-025-05894-6</t>
  </si>
  <si>
    <t>8XJ4F</t>
  </si>
  <si>
    <t>WOS:001599595200002</t>
  </si>
  <si>
    <t>Naveed, M; Ali, S</t>
  </si>
  <si>
    <t>Naveed, Muhammad; Ali, Shoaib</t>
  </si>
  <si>
    <t>Does Risk Tolerance Mediates the Relationship Between Financial Literacy and Financial Wellbeing During COVID-19: Empirical Evidence From an Emerging Economy</t>
  </si>
  <si>
    <t>basic financial literacy; advanced financial literacy; risk tolerance; financial well-being; individual investors</t>
  </si>
  <si>
    <t>GENDER-DIFFERENCES; PLS-SEM; ADVICE; CHOICE</t>
  </si>
  <si>
    <t>This study aims to explore the role of financial literacy in determining financial well-being during COVID-19. Additionally, we plan to examine how risk tolerance mediates between financial literacy and overall well-being. The data of 367 active individual investors on the Pakistan Stock Exchange was taken utilizing convenience sampling and the survey methodology. The relationship between financial literacy, risk tolerance, and financial well-being was investigated using structural equation modeling. The data were analyzed through Smart PLS. The finding of the study highlights that both advance and basic financial literacy have a positive and significant association with investor well-being. Furthermore, financial literacy has a favorable indirect impact on financial well-being highlighted in this study through risk tolerance. The effect of financial literacy on financial well-being was remarkably consistent across levels of demographic variables such as education, gender and age suggesting that improving financial literacy levels in the population may be an effective strategy to increase financial capability across the board during the COVID-19 crisis. The outcome of the study has several policy implications for investors and policymakers during uncertain times such as COVID-19, as providing literacy positively contributes to their risk tolerance which then translates into higher financial well-being. The paper's novelty is that the authors have explored the mechanism by which basic and advanced levels of financial literacy influence investors' risk tolerance and financial well-being during the COVID-19 pandemic in an emerging economy. It adds to the literature in behavioral finance, explicitly probing the impact of financial literacy on financial well-being; this field is in its initial stage, even in developed countries, while little work has been done in emerging countries.JEL Classification: B21, D01, D91, G11, J26, H31.</t>
  </si>
  <si>
    <t>[Naveed, Muhammad] Bahria Univ, Dept Management Studies, Islamabad, Pakistan; [Ali, Shoaib] Univ Int Rabat, Rabat Business Sch, Rabat, Morocco; [Ali, Shoaib] Lebanese Amer Univ, Adnan Kassar Sch Business, Beirut, Lebanon</t>
  </si>
  <si>
    <t>Bahria University; Universite Internationale de Rabat; Lebanese American University</t>
  </si>
  <si>
    <t>Ali, S (corresponding author), Univ Int Rabat, Rabat Business Sch, Rabat, Morocco.</t>
  </si>
  <si>
    <t>Shoaibali.fin@gmail.com</t>
  </si>
  <si>
    <t>Ali, Shoaib/AAK-2396-2021</t>
  </si>
  <si>
    <t>10.1177/21582440241297065</t>
  </si>
  <si>
    <t>P6W7F</t>
  </si>
  <si>
    <t>WOS:001379292000001</t>
  </si>
  <si>
    <t>Morteo, GM; Núñez, HFS; Moreno-García, E</t>
  </si>
  <si>
    <t>Morteo, Georgina Manrique; Nunez, Hector Francisco Salazar; Moreno-Garcia, Elena</t>
  </si>
  <si>
    <t>Sociodemographic Variables Impact on Financial Literacy Levels in Mexico</t>
  </si>
  <si>
    <t>financial literacy; ENIF 2021; sociodemographic variables; ANOVA</t>
  </si>
  <si>
    <t>Objective: The aim of this research is to analyze how sociodemographic variables influence the level of financial literacy in the Mexican adult population. Data: The data is obtained from the Mexican National Survey of Financial Inclusion ENIF (2021). Method: A financial literacy index is constructed and, based on the Pearson correlation coefficient, the statistical relationship between the index and the variables age, gender, marital status, location, educational level and income level is measured. An ANOVA model is estimated to identify the incidence of exogenous variables on the index. Results: Results show that the educational level variable is the one that has the most impact on the financial literacy index, followed by the population's income level. Results also show that gender and marital status variables have a marginal impact. Originality: The construction of the exogenous variables enhancing the meaning of the estimated parameters of the econometric model. Findings: A marginal impact on the index based on gender was identified, unlike the importance of this variable in the scientific literature on financial literacy. Limitations: Almost 90% of the surveyed population has an income equal to or less than four minimum wages. This questions the representativeness of the data for the Mexican population.</t>
  </si>
  <si>
    <t>[Morteo, Georgina Manrique] Colegio Jurista, Mexico City, Mexico; [Nunez, Hector Francisco Salazar; Moreno-Garcia, Elena] Inst Tecnol Super Misantla, Veracruz, Mexico</t>
  </si>
  <si>
    <t>Núñez, HFS (corresponding author), Inst Tecnol Super Misantla, Veracruz, Mexico.</t>
  </si>
  <si>
    <t>hector.sn@veracruz.tecnm.mx</t>
  </si>
  <si>
    <t>; Moreno-García, Elena/M-3954-2017</t>
  </si>
  <si>
    <t>Manrique Morteo, Georgina/0000-0002-5088-4719; Moreno-García, Elena/0000-0001-9591-5921</t>
  </si>
  <si>
    <t>e1071</t>
  </si>
  <si>
    <t>10.21919/remef.v19i4.1071</t>
  </si>
  <si>
    <t>T4699</t>
  </si>
  <si>
    <t>WOS:001637626500009</t>
  </si>
  <si>
    <t>Willows, GD; Richards, DW; Tahir, MS</t>
  </si>
  <si>
    <t>Willows, Gizelle D.; Richards, Daniel W.; Tahir, Muhammad S.</t>
  </si>
  <si>
    <t>Comparing Financial Outcomes Among Households Headed by Women, Men, or Both Partners: The Gender Pay Gap Prevails</t>
  </si>
  <si>
    <t>consumer finance; couples; financial capability; financial literacy; gender</t>
  </si>
  <si>
    <t>Research shows gender disparities in savings habits and financial literacy. However, recent studies indicate that the higher earner in a household, regardless of gender, typically manages finances more effectively. This study examines if households where women are the primary decision-makers face more financial challenges and if they have less financial resilience, knowledge, and capability due to lower household income. Using data from the Canadian Financial Capability Survey (N = 2,149), we employ regression analysis to analyze differences in financial circumstances among households headed by women, men, and both genders jointly. Our findings show that women-led households have lower incomes, struggle to balance expenses, and are less likely to pay off credit card balances compared with households led by men or those with shared responsibility. Disparities in financial resilience, knowledge, and capability lessen when controlling for household income. Addressing the gender pay gap is crucial for improving financial outcomes for women and their households.</t>
  </si>
  <si>
    <t>[Willows, Gizelle D.] Univ Cape Town, Coll Accounting, Cape Town, Western Cape, South Africa; [Richards, Daniel W.] York Univ, Sch Adm Studies, Toronto, ON, Canada; [Tahir, Muhammad S.] Univ Lahore, Lahore Business Sch, Lahore, Pakistan</t>
  </si>
  <si>
    <t>University of Cape Town; York University - Canada; University of Lahore</t>
  </si>
  <si>
    <t>Willows, GD (corresponding author), Univ Cape Town, Coll Accounting, Cape Town, Western Cape, South Africa.</t>
  </si>
  <si>
    <t>Gizelle.Willows@uct.ac.za; danwrich@yorku.ca; muhammad.tahir@lbs.uol.edu.pk</t>
  </si>
  <si>
    <t>Tahir, Muhammad/AAU-4096-2021; Richards, Daniel/C-9305-2019</t>
  </si>
  <si>
    <t>Tahir, Muhammad/0000-0002-0207-1895;</t>
  </si>
  <si>
    <t>10.1891/JFCP-2023-0148</t>
  </si>
  <si>
    <t>C3729</t>
  </si>
  <si>
    <t>WOS:001620458500003</t>
  </si>
  <si>
    <t>Sierra, J; Muriel-Patino, V; Rodríguez-López, F</t>
  </si>
  <si>
    <t>Sierra, Javier; Muriel-Patino, Victoria; Rodriguez-Lopez, Fernando</t>
  </si>
  <si>
    <t>The quest for the evaluation of microfinance social performance</t>
  </si>
  <si>
    <t>IBEROAMERICAN JOURNAL OF DEVELOPMENT STUDIES</t>
  </si>
  <si>
    <t>microfinance; evaluation; performance; financial inclusion; Latin America</t>
  </si>
  <si>
    <t>Several stakeholders have joined forces in recent years to facilitate consensus building on practices, indicators and standards that might serve to increase accountability and improve microfinance social performance. As a result, several sets of social standards have been developed to provide social performance assessment with a similar level of consistency and acceptance as those of financial performance. In this paper it is explored how standard-based evaluation methods may be used to test the underlying theory of change of microfinance, and the rate of use of existing methods in practice. Our findings suggest that social rating and social performance assessment using SPI4 are the most used methods. Nevertheless, standard-based methods are not suitable to assess the complete magnitude of microfinance social performance. Hence, microfinance social performance cannot rely on standard-based methods only, but need to use specific evaluation frameworks and indicators to fully measure microfinance effectiveness.</t>
  </si>
  <si>
    <t>[Sierra, Javier; Muriel-Patino, Victoria; Rodriguez-Lopez, Fernando] Univ Salamanca, Salamanca, Spain</t>
  </si>
  <si>
    <t>Sierra, J (corresponding author), Univ Salamanca, Salamanca, Spain.</t>
  </si>
  <si>
    <t>jsierra@usal.es; mvmuriel@usal.es; frodriguez@usal.es</t>
  </si>
  <si>
    <t>Sierra, Javier/V-4471-2017; Rodriguez-Lopez, Fernando/G-2765-2016</t>
  </si>
  <si>
    <t>Sierra, Javier/0000-0003-2427-9619;</t>
  </si>
  <si>
    <t>UNIV ZARAGOZA DEV COOPERATION CHAIR, SPANISH NETWORK DEV STUDIES</t>
  </si>
  <si>
    <t>ZARAGOZA</t>
  </si>
  <si>
    <t>GRAN VIA 2, ZARAGOZA, 50005, SPAIN</t>
  </si>
  <si>
    <t>2254-2035</t>
  </si>
  <si>
    <t>IBEROAM J DEV STUD</t>
  </si>
  <si>
    <t>Iberoam. J. Dev. Stud.</t>
  </si>
  <si>
    <t>10.26754/ojs_ried/ijds.351</t>
  </si>
  <si>
    <t>OO9GH</t>
  </si>
  <si>
    <t>WOS:000587681100003</t>
  </si>
  <si>
    <t>Elkhaldi, AH; Mongi, A</t>
  </si>
  <si>
    <t>Elkhaldi, Abderrazek Hassan; Mongi, Arfaoui</t>
  </si>
  <si>
    <t>Financial inclusion towards sustainability in MENA countries: the moderating role of financial institution efficiency using panel quantile regression</t>
  </si>
  <si>
    <t>REVIEW OF ACCOUNTING AND FINANCE</t>
  </si>
  <si>
    <t>Financial inclusion; Sustainability; Financial efficiency; Panel quantile regression; MENA region/countries; Economic growth; C31; C33; G22; G51; G53; O16; O43; O44; Q01; Q56</t>
  </si>
  <si>
    <t>RENEWABLE ENERGY-CONSUMPTION; TESTING SLOPE HOMOGENEITY; ECONOMIC-GROWTH; ENVIRONMENTAL DEGRADATION; CO2 EMISSIONS; UNIT-ROOT; IMPACT</t>
  </si>
  <si>
    <t>PurposeThis paper aims to investigate the impact of financial inclusion on sustainability in Middle East and North Africa (MENA) countries. This study tests also for the moderating role of financial institution efficiency (FIE).Design/methodology/approachThe sample consists of 11 countries based on the availability of complete data for all variables over the period 2004-2022. This study uses real data from the IMF Financial Access Survey database to construct composite indices of financial inclusion (Sarma, 2015) and sustainable development goals (SDGs) index scores (Sachs et al., 2023). This study uses panel quantile regression modelling approach to set the different levels of impact of financial inclusion on sustainability.FindingsThe results of this study show persistent impact of financial inclusion on sustainability at all quantile distribution of sustainability with pronounced effect at extreme quantiles. The results show N-shaped impact at normal sustainability conditions that will be inverted at extreme tails of SDG scores as well. The results remain consistent after incorporating the moderating role of FIE. The moderating role exists with pronounced negative outcomes at the median and high quantiles but weakens at extreme high quantiles.Research limitations/implicationsThis empirical study on financial inclusion and sustainability offers valuable insights but also has certain limitations that can be marked in future research agendas as well as should be considered by the above-mentioned relevant parties. Here are some key policy limitations: Context-specific findings: results from one region may suffer from country differences regarding financial literacy, financial development and policy agendas on the public side or the institutional side. Also, the diverse needs of various demographic groups may not be adequately addressed in generalized studies with panel data. The time frame of this study may be extended to increase the generalization power of the study and comparability with other contexts. Overreliance on metrics: This study, like other existing studies, emphasizes quantitative metrics (based on real data from the financial inclusion survey of the World Bank) without exploring qualitative aspects such as user experience on behalf of security of online transactions and internet streams at the country level and future trends, such as technological advancements and resistance from financial institutions (mentioned above as banking commitment) that could affect financial inclusion or commitment to sustainability goals. Acknowledging these limitations is crucial, as they offer valuable guidance and orientation for all subsequent research.Practical implicationsRegarding policy implications, the results provide valuable insights to executives and financial regulatory authorities in making decisions related to financial inclusion and sustainability. It provides insights as well to academics either for their future research agenda or for their teaching activities that address financial literacy. It is decisive to curtail the adverse impacts of financial inclusion and management quality of banks to boost sustainability scores.Originality/valueThis study offers a novel perspective by addressing gaps in existing literature. This study addresses the potential moderating role of FIE in accordance with the definition of World Bank 2018 that emphasizes the concept of affordable access. It bears in mind potential differences between countries and conducts U- and N-shaped relationships in panel quantile regression modelling approach. Unlike previous research that focused on simple associations and environmental aspects, this paper incorporates social and economic and environmental dimensions of sustainability. By extending the Environmental Kuznets Curve hypothesis to encompass all SDGs, this study highlights the interplay between management quality of banks, financial development stages and sustainability, thereby adding significant value to empirical literature.</t>
  </si>
  <si>
    <t>[Elkhaldi, Abderrazek Hassan] Dar Al Uloom Univ, Dept Finance &amp; Banking, Riyadh, Saudi Arabia; [Elkhaldi, Abderrazek Hassan] Univ Manouba, ESCT, LARIMRAF LR21ES29, Campus Univ Manouba, Manouba, Tunisia; [Mongi, Arfaoui] Univ Manouba, Financial Methods Dept, Ecole Super Commercede Tunis, LARIMRAF,LR21ES29,ESCT, Campus Univ, Manouba, Tunisia</t>
  </si>
  <si>
    <t>Dar Al Uloom University; Universite de la Manouba; Universite de la Manouba</t>
  </si>
  <si>
    <t>Elkhaldi, AH (corresponding author), Dar Al Uloom Univ, Dept Finance &amp; Banking, Riyadh, Saudi Arabia.;Elkhaldi, AH (corresponding author), Univ Manouba, ESCT, LARIMRAF LR21ES29, Campus Univ Manouba, Manouba, Tunisia.</t>
  </si>
  <si>
    <t>a.khaldi@dau.edu.sa; mongi.arfaoui@esct.uma.tn</t>
  </si>
  <si>
    <t>Mongi, Arfaoui/I-7631-2019</t>
  </si>
  <si>
    <t>General Directorate of Scientific Research &amp; Innovation, Dar Al Uloom University, through the Scientific Publishing Funding Program</t>
  </si>
  <si>
    <t>This research was funded by the General Directorate of Scientific Research &amp; Innovation, Dar Al Uloom University, through the Scientific Publishing Funding Program.</t>
  </si>
  <si>
    <t>1475-7702</t>
  </si>
  <si>
    <t>1758-7700</t>
  </si>
  <si>
    <t>REV ACCOUNT FINANC</t>
  </si>
  <si>
    <t>Rev. Account. Financ.</t>
  </si>
  <si>
    <t>2025 JUN 18</t>
  </si>
  <si>
    <t>10.1108/RAF-11-2024-0489</t>
  </si>
  <si>
    <t>3VB9Z</t>
  </si>
  <si>
    <t>WOS:001509714700001</t>
  </si>
  <si>
    <t>Green, LE; Park, N</t>
  </si>
  <si>
    <t>Green, Leslie E.; Park, Narang</t>
  </si>
  <si>
    <t>Homeowner Characteristics Associated With the Occurrence of Negative Home Equity</t>
  </si>
  <si>
    <t>credit constraints; financial literacy; home equity loan; negative home equity</t>
  </si>
  <si>
    <t>FINANCIAL LITERACY; HOUSING WEALTH; MORTGAGE; IMPACT; LEVERAGE; HEALTH</t>
  </si>
  <si>
    <t>Negative home equity is due to declines in home values, largely driven by economic factors, and increases in mortgage debt, a decision made by individuals. Yet, empirical research assessing the individual's role in the occurrence of negative home equity is limited. This study used the 2018 National Financial Capability Study to explore the association between financial literacy, savings, and debt at the individual level on the occurrence of negative home equity. The findings revealed that objective financial knowledge and financial security were negatively associated with the occurrence of negative home equity, while having a home equity loan, using a payday loan, having medical debt, and exceeding credit card limits were positively associated with the occurrence of negative home equity.</t>
  </si>
  <si>
    <t>[Green, Leslie E.] Texas State Univ, Sch Family &amp; Consumer Sci, San Marcos, TX 78666 USA; [Park, Narang] Univ Georgia, Dept Financial Planning Housing &amp; Consumer Econ, 205 Dawson Hall,305 Sanford Dr, Athens, GA 30602 USA</t>
  </si>
  <si>
    <t>Texas State University System; Texas State University San Marcos; University System of Georgia; University of Georgia</t>
  </si>
  <si>
    <t>Green, LE (corresponding author), Texas State Univ, Sch Family &amp; Consumer Sci, San Marcos, TX 78666 USA.</t>
  </si>
  <si>
    <t>lgreen@txstate.edu; narang.park25@uga.edu</t>
  </si>
  <si>
    <t>10.1891/JFCP-2021-0044</t>
  </si>
  <si>
    <t>WOS:000887813500009</t>
  </si>
  <si>
    <t>Impact of financial inclusion on food security: evidence from developing countries</t>
  </si>
  <si>
    <t>Financial inclusion; Food security; Developing countries; Fixed effect model; Two-stage least square; System generalized method of moments</t>
  </si>
  <si>
    <t>HOUSEHOLD PRODUCTION; CREDIT MARKET; PANEL-DATA; INSURANCE; RISK; POVERTY; HEALTH; GROWTH; SPECIFICATION; ALLOCATION</t>
  </si>
  <si>
    <t>Purpose - The paper empirically investigates the impact of financial inclusion on food security. Subsequently, it examines the overall effect of various dimensions of financial inclusion on food security of developing countries using the panel data for the time period of 2004-2019. Design/methodology/approach - To overcome the problem of endogeneity, the study has used a fixed-effect model, two-stage least-square and system generalized method of moments estimation techniques. Secondary data was collected from various websites such as WDI, FAO, UNICEF and UNESCO. Findings - It was found in the study that there is a significant effect of financial inclusion on food security. The evidence shows that if there is more financial inclusion in the country, it will help poor people to cope with difficult situations they face and provide them food security. Financial development, per capita income, agriculture growth and education positively affect food security, while militarization and urbanization have a negative impact on food security. The crux of the analysis is that any country's financial sector is an integral part of any country that supports food security. Originality/value - The literature does not clearly show the impact of financial inclusion dimensions on developing countries' food security. Therefore, there is a need to use all the dimensions of financial inclusion to check the overall impact on food security. For this purpose, the financial inclusion index is developed. A new dimension of non-life insurance is introduced that has not been used previously by any researcher to check financial inclusion impact.</t>
  </si>
  <si>
    <t>[Arshad, Ameena] COMSATS, Management Sci, Islamabad, Pakistan</t>
  </si>
  <si>
    <t>Arshad, A (corresponding author), COMSATS, Management Sci, Islamabad, Pakistan.</t>
  </si>
  <si>
    <t>10.1108/IJSE-08-2021-0462</t>
  </si>
  <si>
    <t>ZH1ZM</t>
  </si>
  <si>
    <t>WOS:000749396000001</t>
  </si>
  <si>
    <t>Abarcar, P; Barua, R; Yang, D</t>
  </si>
  <si>
    <t>Abarcar, Paolo; Barua, Rashmi; Yang, Dean</t>
  </si>
  <si>
    <t>Financial Education and Financial Access for Transnational Households: Field Experimental Evidence from the Philippines</t>
  </si>
  <si>
    <t>INTERNATIONAL MIGRATION; MIGRANTS; REMITTANCES; SAVINGS; INFORMATION; DECISIONS; LITERACY; BUSINESS; CREDIT; SHOCKS</t>
  </si>
  <si>
    <t>We implemented a randomized controlled trial among transnational households in the Philippines estimating impacts of a financial education treatment, a financial access treatment, and the combination of the two on financial behaviors. We test whether there are complementarities between both interventions and provide insight into the nature of constraints operating in financial services markets. We find no evidence of complementarities between the financial education and access treatments. In addition, while we find no evidence of constraints in access to formal credit and savings products, our results suggest that access constraints exist in the formal insurance market. Impacts on other financial behaviors are suggestive of the importance of information constraints in financial decision-making. These results provide guidance to designers of financial interventions in similar populations.</t>
  </si>
  <si>
    <t>[Barua, Rashmi] Jawaharlal Nehru Univ, New Delhi, India; [Yang, Dean] Univ Michigan, Ann Arbor, MI 48109 USA</t>
  </si>
  <si>
    <t>Jawaharlal Nehru University, New Delhi; University of Michigan System; University of Michigan</t>
  </si>
  <si>
    <t>Yang, D (corresponding author), Univ Michigan, Ann Arbor, MI 48109 USA.</t>
  </si>
  <si>
    <t>deanyang@umich.edu</t>
  </si>
  <si>
    <t>barua, rashmi/0000-0002-3539-6039</t>
  </si>
  <si>
    <t>Citi Foundation; Citi-Innovations for Poverty Action Financial Capability Research Fund</t>
  </si>
  <si>
    <t>We are grateful to the Citi Foundation and the Citi-Innovations for Poverty Action Financial Capability Research Fund for generous funding and support of this research. Chinny Jin Cruz, Marius Karabaczek, and Dina Emam provided excellent research assistance. The views expressed herein and all errors are ours.</t>
  </si>
  <si>
    <t>10.1086/703045</t>
  </si>
  <si>
    <t>OD9DA</t>
  </si>
  <si>
    <t>WOS:000568274500001</t>
  </si>
  <si>
    <t>Osabohien, R; Jaaffar, AH; Akpa, AF; Jakovljevic, M</t>
  </si>
  <si>
    <t>Osabohien, Romanus; Jaaffar, Amar Hisham; Akpa, Armand Frejuis; Jakovljevic, Mihajlo</t>
  </si>
  <si>
    <t>Mobile money, medical cost anxiety and welfare of individuals within the reproductive age in Malaysia</t>
  </si>
  <si>
    <t>This study examines the association between mobile money, medical cost anxiety, and the welfare of households in Malaysia. The study made use of the data sourced from the Global financial survey conducted by the World Bank. The study applied the logit model and test of mean difference, probit and instrumental variable regressions to check for robustness. Findings show that mobile money has a positive and significant impact on the welfare of households in Malaysia. Mobile money enables households to access financial services easily and conveniently, which in turn leads to better financial management and increased household welfare. The study also finds that medical cost anxiety hurts household welfare. Households that are more anxious about medical costs tend to experience lower levels of welfare. The results of this study have significant implications for policymakers and financial service providers in Malaysia. To improve the welfare of households, policymakers should promote mobile money use and encourage financial inclusion. Financial service providers should also develop products and services tailored to the needs of households, especially those that are more vulnerable to medical cost anxiety. Additionally, policymakers should consider implementing policies that address rising healthcare costs and alleviate medical cost anxiety among households in Malaysia.</t>
  </si>
  <si>
    <t>[Osabohien, Romanus; Jaaffar, Amar Hisham] Univ Tenega Nas UNITEN, Inst Energy Policy &amp; Res IEPRe, Kajang, Malaysia; [Akpa, Armand Frejuis] Univ Abomey Calavi, Fac Sci Econ &amp; Gest, Lab Econ Publ, Abomey Calavi, Benin; [Jakovljevic, Mihajlo] UNESCO TWAS, Trieste, Italy; [Jakovljevic, Mihajlo] Shaanxi Univ Technol, Hanzhong, Peoples R China; [Jakovljevic, Mihajlo] Univ Kragujevac, Dept Global Hlth Econ &amp; Policy, Kragujevac, Serbia</t>
  </si>
  <si>
    <t>University of Abomey Calavi; Shaanxi University of Technology; University of Kragujevac</t>
  </si>
  <si>
    <t>Osabohien, R (corresponding author), Univ Tenega Nas UNITEN, Inst Energy Policy &amp; Res IEPRe, Kajang, Malaysia.</t>
  </si>
  <si>
    <t>romik247@gmail.com</t>
  </si>
  <si>
    <t>Akpa, Armand Fréjuis/AGO-4080-2022; Jakovljevic, Mihajlo/B-3002-2014; Jaaffar, Amar Hisham/G-3326-2018</t>
  </si>
  <si>
    <t>Akpa, Armand Fréjuis/0000-0001-7613-9445; Jaaffar, Amar Hisham/0000-0002-4746-5409; Osabohien, Romanus/0000-0003-4359-1368</t>
  </si>
  <si>
    <t>Dato' Low Tuck Kwong International Energy Transition Grant [202204002ETG]</t>
  </si>
  <si>
    <t>Dato' Low Tuck Kwong International Energy Transition Grant</t>
  </si>
  <si>
    <t>This research was financially supported by the Dato' Low Tuck Kwong International Energy Transition Grant under Grant No 202204002ETG.</t>
  </si>
  <si>
    <t>10.1057/s41599-024-02767-2</t>
  </si>
  <si>
    <t>HQ1T2</t>
  </si>
  <si>
    <t>WOS:001160888200004</t>
  </si>
  <si>
    <t>Karim, ZA; Nizam, R; Law, SH; Hassan, MK</t>
  </si>
  <si>
    <t>Karim, Zulkefly Abdul; Nizam, Rosmah; Law, Siong Hook; Hassan, M. Kabir</t>
  </si>
  <si>
    <t>Does Financial Inclusiveness Affect Economic Growth? New Evidence Using a Dynamic Panel Threshold Regression</t>
  </si>
  <si>
    <t>Financial inclusion; Economic Growth; Threshold effects; Dynamic panel threshold</t>
  </si>
  <si>
    <t>This study examines the impact of financial inclusiveness on economic growth using a sample of 60 countries from 2010 to 2017. A new Index of Financial Inclusion (IFI) has been constructed for each country to determine their level of financial inclusiveness across time. The main findings using a dynamic panel threshold estimation technique revealed a threshold effect in the financial inclusiveness-growth nexus. We find that the level of financial inclusiveness is beneficial and positively affects economic growth at lower or upper threshold levels in a different regime. Furthermore, the threshold impact of financial inclusion is positive and has a more significant growth-enhancing effect among less developed and emerging market countries relative to developed ones. Thus, policymakers in less developed and emerging market countries need to prioritize their efforts to raise the level of financial inclusiveness in place of its greater growth-enhancing effect in these countries.</t>
  </si>
  <si>
    <t>[Karim, Zulkefly Abdul] Univ Kebangsaan Malaysia, Fac Econ &amp; Management, Ctr Sustainable &amp; Inclus Dev Studies SID, Bangi 43600, Selangor, Malaysia; [Nizam, Rosmah] Univ Teknol MARA, Fac Business &amp; Management, Pahang Campus, Pahang, Malaysia; [Law, Siong Hook] Univ Putra Malaysia, Sch Business &amp; Econ, Serdang 43400, Selangor, Malaysia; [Hassan, M. Kabir] Univ New Orleans, Dept Econ &amp; Finance, New Orleans, LA USA</t>
  </si>
  <si>
    <t>Universiti Kebangsaan Malaysia; Universiti Teknologi MARA; Universiti Putra Malaysia; University of Louisiana System; University of New Orleans</t>
  </si>
  <si>
    <t>Karim, ZA (corresponding author), Univ Kebangsaan Malaysia, Fac Econ &amp; Management, Ctr Sustainable &amp; Inclus Dev Studies SID, Bangi 43600, Selangor, Malaysia.</t>
  </si>
  <si>
    <t>Nizam, Rosmah/MIQ-7452-2025; Hassan, M. Kabir/D-5053-2012; Law, Siong/AAF-6672-2020; KARIM, ZULKEFLY/W-3726-2018</t>
  </si>
  <si>
    <t>Ministry of Higher Education, Malaysia (MOHE) research grant [FRGS/1/2020/SS0/UKM/02/22]</t>
  </si>
  <si>
    <t>Ministry of Higher Education, Malaysia (MOHE) research grant</t>
  </si>
  <si>
    <t>The authors thankfully acknowledge financial support from the Ministry of Higher Education, Malaysia (MOHE) research grant (Project Code: FRGS/1/2020/SS0/UKM/02/22) for the research project entitled 'Constructing a New Index of Financial Inclusiveness with Financial Technology Element and Non-Parametric Model'.</t>
  </si>
  <si>
    <t>10.1016/j.frl.2021.102364</t>
  </si>
  <si>
    <t>2L3JZ</t>
  </si>
  <si>
    <t>WOS:000816916000017</t>
  </si>
  <si>
    <t>Graham, C; Nikolov, M</t>
  </si>
  <si>
    <t>Graham, Carol; Nikolov, Milena</t>
  </si>
  <si>
    <t>Does access to information technology make people happier? Insights from well-being surveys from around the world</t>
  </si>
  <si>
    <t>JOURNAL OF SOCIO-ECONOMICS</t>
  </si>
  <si>
    <t>Subjective well-being; Technology access; Financial inclusion; Cell phones; Internet</t>
  </si>
  <si>
    <t>ECONOMIC-DEVELOPMENT; SOCIAL SUPPORT; INFRASTRUCTURE</t>
  </si>
  <si>
    <t>We explore the relationship between access to cell phones, TV, and the internet and subjective well-being worldwide, using pooled cross-sectional data from the Gallup World Poll for 2009-2011. We find that technology access is positive for well-being in general, but with diminishing marginal returns for those who already have much access. Moreover, we find signs of increased stress and anger among cohorts for whom access to the technologies is new. We also explore whether increased financial inclusion - through cell phones and mobile banking - has additional effects on well-being in Sub-Saharan Africa. We show that well-being levels are higher in the countries with higher levels of access to mobile banking, but so are stress and anger. Our findings are in line with earlier research, which shows that while development raises aggregate levels of well-being in the long run, high levels of frustration often accompany the process. (C) 2013 Elsevier Inc. All rights reserved.</t>
  </si>
  <si>
    <t>[Graham, Carol; Nikolov, Milena] Brookings Inst, Washington, DC 20036 USA; [Graham, Carol; Nikolov, Milena] Univ Maryland, College Pk, MD 20742 USA</t>
  </si>
  <si>
    <t>Brookings Institution; University System of Maryland; University of Maryland College Park</t>
  </si>
  <si>
    <t>Graham, C (corresponding author), Brookings Inst, Washington, DC 20036 USA.</t>
  </si>
  <si>
    <t>cgraham@brookings.edu</t>
  </si>
  <si>
    <t>Nikolova, Milena/N-7266-2019</t>
  </si>
  <si>
    <t>Nikolova, Milena/0000-0002-3247-760X</t>
  </si>
  <si>
    <t>1053-5357</t>
  </si>
  <si>
    <t>J SOCIO-ECON</t>
  </si>
  <si>
    <t>J. Socio-Econ.</t>
  </si>
  <si>
    <t>10.1016/j.socec.2013.02.025</t>
  </si>
  <si>
    <t>AD2JL</t>
  </si>
  <si>
    <t>WOS:000333061500017</t>
  </si>
  <si>
    <t>Cameron, A; Oak, M; Shan, YP</t>
  </si>
  <si>
    <t>Cameron, Alistair; Oak, Mandar; Shan, Yaping</t>
  </si>
  <si>
    <t>Peer monitoring and Islamic microfinance</t>
  </si>
  <si>
    <t>Micro credit; Peer monitoring; Islamic banking</t>
  </si>
  <si>
    <t>LIMITED-LIABILITY; REPAYMENT INCENTIVES; RISK; CONTRACTS; UNDERDEVELOPMENT; DESIGN</t>
  </si>
  <si>
    <t>Many Muslims, abiding by injunctions of Shari'ah law, avoid using credit market institutions that charge interest. Due to this constraint, current best estimates suggest that in some Muslim majority countries, around 20% of the poor opt not to participate in microcredit programs. This paper is a theoretical contribution towards increasing financial inclusion of the Muslim poor. We study methods to make micro lending Shari'ah compliant, based on profit sharing in which there is a possibility of strategic default. We show that introducing a new peer-monitoring mechanism, whereby agents are incentivized to report on each other's profits, can be used along with profit sharing, and in so doing, improve upon the individual borrower, profit-sharing contracts. We then compare interest-based lending with profit-sharing lending in both individual and peer-monitoring settings and show conditions under which profit-sharing contracts with peer monitoring, outperform interest-based contracts in terms of borrower welfare. (C) 2021 Elsevier B.V. All rights reserved.</t>
  </si>
  <si>
    <t>[Cameron, Alistair; Oak, Mandar; Shan, Yaping] Univ Adelaide, Sch Econ, Adelaide, SA, Australia</t>
  </si>
  <si>
    <t>Adelaide University; University of Adelaide</t>
  </si>
  <si>
    <t>Shan, YP (corresponding author), Univ Adelaide, Sch Econ, Adelaide, SA, Australia.</t>
  </si>
  <si>
    <t>alistair.cameron@protonmail.com; mandar.oak@adelaide.edu.au; yaping.shan@adelaide.edu.au</t>
  </si>
  <si>
    <t>Cameron, Alistair/0000-0002-2896-9409; Shan, Yaping/0000-0002-8411-9230</t>
  </si>
  <si>
    <t>10.1016/j.jebo.2021.02.001</t>
  </si>
  <si>
    <t>RC3OK</t>
  </si>
  <si>
    <t>WOS:000632713400016</t>
  </si>
  <si>
    <t>Sokrovolska, N; Prodius, O; Zhuk, O; Yamnenko, G; Fedyna, V</t>
  </si>
  <si>
    <t>Sokrovolska, Nataliya; Prodius, Oksana; Zhuk, Olena; Yamnenko, Galyna; Fedyna, Vita</t>
  </si>
  <si>
    <t>PUBLIC-PRIVATE PARTNERSHIP IN MICROFINANCE</t>
  </si>
  <si>
    <t>microfinance organization; social performance; financial performance; financial inclusion; financial technologies; microfinancing policy</t>
  </si>
  <si>
    <t>The aim of the article was to determine the distinctive features of the design and implementation of public-private partnership in microfinancing. The study involved the following methods: synthesis was used to identify trends in the development of the microfinance market and analyze innovative approaches to managing microfinance programs; statistical analysis for regression analysis of factors influencing the effectiveness of the implementation of microfinance programs in financial and social aspects. The methodological background of the analysis is the Data Envelopment Analysis, which is linear programming used to determine the separate and joint impact of factors on the performance of microfinance organizations, as well as to quantitatively assess this influence. Prospects for future research include an extended study of exogenous and endogenous factors influencing microfinance programs in both Vietnam and the Southeast Asian region.</t>
  </si>
  <si>
    <t>[Sokrovolska, Nataliya] Yuriy Fedkovych Chernivtsi Natl Univ, Dept Publ Corp Finance &amp; Finance Intermediat, Chernovtsy, Ukraine; [Prodius, Oksana] Odesa Polytech Natl Univ, Dept Management, Odesa, Ukraine; [Zhuk, Olena] State Univ Trade &amp; Econ, Dept Econ &amp; Enterprise Finance, Kiev, Ukraine; [Yamnenko, Galyna] SHEI Kyiv Natl Econ Univ, Dept Business Econ &amp; Entrepreneurship, Kiev, Ukraine; [Fedyna, Vita] Private Higher Educ Estab European Univ, Dept Finance Accounting &amp; Taxat, Kiev, Ukraine</t>
  </si>
  <si>
    <t>Ministry of Education &amp; Science of Ukraine; Yuri Fedkovych Chernivtsi National University; State University of Trade &amp; Economics; European University Ukraine</t>
  </si>
  <si>
    <t>Sokrovolska, N (corresponding author), Yuriy Fedkovych Chernivtsi Natl Univ, Dept Publ Corp Finance &amp; Finance Intermediat, Chernovtsy, Ukraine.</t>
  </si>
  <si>
    <t>econ.biss22@gmail.com</t>
  </si>
  <si>
    <t>Fedyna, Vita/JXN-0750-2024; Yamnenko, Halyna/K-6535-2018; Zhuk, Olena/Z-1431-2018; Sokrovolska, Nataliya/R-8418-2016; Prodius, Oksana/ABW-5411-2022</t>
  </si>
  <si>
    <t>Fedyna, Vita/0000-0002-3916-5932; Yamnenko, Halyna/0000-0001-9927-3970; Zhuk, Olena/0000-0002-9016-1232; Sokrovolska, Nataliya/0000-0001-8778-7317; Prodius, Oksana/0000-0002-0619-7567</t>
  </si>
  <si>
    <t>10.55643/fcaptp.4.45.2022.3842</t>
  </si>
  <si>
    <t>5K4JZ</t>
  </si>
  <si>
    <t>WOS:000869695100008</t>
  </si>
  <si>
    <t>Kedir, A; Kouame, E</t>
  </si>
  <si>
    <t>Kedir, Abbi; Kouame, Euphrasie</t>
  </si>
  <si>
    <t>FinTech and women's entrepreneurship in Africa: the case of Burkina Faso and Cameroon</t>
  </si>
  <si>
    <t>FinTech; Burkina Faso; Cameroon; entrepreneurship; women</t>
  </si>
  <si>
    <t>ROTATING SAVINGS; HOUSEHOLDS; MARKETS</t>
  </si>
  <si>
    <t>Our article examines the role of financial technology (FinTech) in improving the occupational choices of women in the global South. We analyse the link between FinTech and entrepreneurship, drawing on large data sets from central and western Africa that hold important novel policy implications for the wider Africa region. Our study helps to clarify if and when financial technology use may translate into self-employment, and how it can contribute to the improvement of the livelihoods of marginalised social groups. The article calls for a critical view of financial inclusion and highlights the importance of considering gendered livelihood and resource access patterns. Most of the existing research on financial inclusion in Africa is linked to access to and use of formal bank-based finance. Hence, the expanding mobile money use in Africa is viewed as contributing to financial inclusion. We argue that the dynamics involved are much more complex, and FinTech enters into and interacts with a sophisticated web of informal and formal financial institutions and transactional patterns. Disaggregating our analysis by gender, we explore how the use of mobile money enhances women's entrepreneurship. The article also advances policy recommendations with important implications for the development of FinTech in the continent.</t>
  </si>
  <si>
    <t>[Kedir, Abbi] Univ Sheffield, Management Sch, Sheffield, S Yorkshire, England; [Kouame, Euphrasie] United Nations Dev Programme, Yaounde, Cameroon</t>
  </si>
  <si>
    <t>Kedir, A (corresponding author), Univ Sheffield, Management Sch, Sheffield, S Yorkshire, England.</t>
  </si>
  <si>
    <t>a.m.kedir@sheffield.ac.uk</t>
  </si>
  <si>
    <t>10.1080/17530350.2022.2041463</t>
  </si>
  <si>
    <t>WOS:000773797900001</t>
  </si>
  <si>
    <t>Lee, JN; Morduch, J; Ravindran, S; Shonchoy, AS</t>
  </si>
  <si>
    <t>Lee, Jean N.; Morduch, Jonathan; Ravindran, Saravana; Shonchoy, Abu S.</t>
  </si>
  <si>
    <t>Narrowing the gender gap in mobile banking</t>
  </si>
  <si>
    <t>Gender; Financial inclusion; Digital money; Migration; Field experiment; Bangladesh; Domestic migration; Remittances; Gender; Financial inclusion; Digital money; Migration; Field experiment; Bangladesh; Domestic migration; Remittances</t>
  </si>
  <si>
    <t>MONEY; INFORMATION; TECHNOLOGY; POVERTY; MARKETS; PHONES</t>
  </si>
  <si>
    <t>Mobile banking and related digital financial technologies can make financial services cheaper and more widely accessible in low-income economies, but gender gaps persist. We present evidence from two connected field experiments in Bangladesh designed to en-courage the adoption and use of mobile banking by poor, illiterate households. The study focuses on migrants who live in Dhaka and send money back to their extended families. Despite large differences between female and male migrants in income and education, the first experiment shows that a training program led to similarly large, positive impacts on mobile banking use by female migrants (a 51 percentage point increase) and male mi-grants (46 percentage point increase), substantially narrowing the gender gap. However, the increases in adoption did not lead to similar patterns in usage: men increased digital remittances by 11 times as much as women. A second experiment tests whether intro-ducing the technology in the context of family networks made an additional difference to gender gaps. The evidence suggests an 11 percentage point increase in adoption by women and just a 1 percentage point increase by men, although statistical power is low for this comparison and estimates are imprecise.(c) 2021 Published by Elsevier B.V.</t>
  </si>
  <si>
    <t>[Lee, Jean N.] World Bank, Washington, DC USA; [Morduch, Jonathan] NYU, Robert F Wagner Grad Sch Publ Serv, 295 Lafayette St, New York, NY 10012 USA; [Ravindran, Saravana] Natl Univ Singapore, Lee Kuan Yew Sch Publ Policy, Singapore, Singapore; [Shonchoy, Abu S.] Florida Int Univ, Miami, FL 33199 USA</t>
  </si>
  <si>
    <t>The World Bank; New York University; National University of Singapore; State University System of Florida; Florida International University</t>
  </si>
  <si>
    <t>Morduch, J (corresponding author), NYU, Robert F Wagner Grad Sch Publ Serv, 295 Lafayette St, New York, NY 10012 USA.</t>
  </si>
  <si>
    <t>jlee20@worldbank.org; jonathan.morduch@nyu.edu; saravana@nus.edu.sg; shonchoy@fiu.edu</t>
  </si>
  <si>
    <t>; Shonchoy, Abu/AAM-6472-2021</t>
  </si>
  <si>
    <t>Lee, Jean/0000-0002-7292-7660; Shonchoy, Abu/0000-0001-9999-2326; Ravinan, Saravana/0000-0001-9453-0325; Morduch, Jonathan/0000-0002-1837-9579</t>
  </si>
  <si>
    <t>Bill and Melinda Gates Foundation; Institute for Money, Technology and Financial Inclusion; International Growth Centre; startup grant at the Lee Kuan Yew School of Public Policy, National University of Singapore; IDE-JETRO; Mastercard Impact Fund; Mastercard Center for Inclusive Growth</t>
  </si>
  <si>
    <t>Bill and Melinda Gates Foundation(Bill &amp; Melinda Gates Foundation); Institute for Money, Technology and Financial Inclusion; International Growth Centre; startup grant at the Lee Kuan Yew School of Public Policy, National University of Singapore; IDE-JETRO; Mastercard Impact Fund; Mastercard Center for Inclusive Growth</t>
  </si>
  <si>
    <t>We are grateful to the Bill and Melinda Gates Foundation; the Institute for Money, Technology and Financial Inclusion; and the International Growth Centre for financial support. Ravindran is funded by a startup grant at the Lee Kuan Yew School of Public Policy, National University of Singapore. Shonchoy acknowledges fellowship support from IDE-JETRO. Morduch is grateful for support from the Mastercard Impact Fund in collaboration with the Mastercard Center for Inclusive Growth. We have benefited from comments from participants at the 2020 Annual Meeting of the Southern Economic Association, Russell Smyth, and anonymous referees. MOMODa Foundation and Gana Unayan Kendra were invaluable in the studys implementation, and Masudur Rahman, Sujan Uddin and Niamot Enayet provided excellent research assistance. We are grateful to Prema Narasimhan for contributions to the literature review. This paper incorporates and updates results from a draft circulated as Family Networks and the Digital Divide: Experimental Evidence on Mobile Banking in Bangladesh. The training experiment is registered in the AEA RCT Registry with the identifying number AEARCTR-0003149. The family network experiment is AEARCTR-0005722. All views and any errors are our own.</t>
  </si>
  <si>
    <t>10.1016/j.jebo.2021.10.005</t>
  </si>
  <si>
    <t>0J1CO</t>
  </si>
  <si>
    <t>WOS:000779845700003</t>
  </si>
  <si>
    <t>Propensity to plan, financial capability, and financial satisfaction</t>
  </si>
  <si>
    <t>financial behavior; financial capability; financial literacy; financial well-being; propensity to plan</t>
  </si>
  <si>
    <t>IMPLEMENTATION INTENTIONS; WEALTH-ACCUMULATION; LITERACY; EDUCATION; BEHAVIOR; DECISIONS; SAVINGS; LIFE; AGE</t>
  </si>
  <si>
    <t>Propensity to plan is an indicator of financial capability that contributes to consumer financial well-being. Previous research has shown that propensity to plan is positively related to objective financial well-being but little research was found to examine its association with subjective financial well-being. Using financial satisfaction to measure subjective financial well-being, this study addressed this research gap and had three objectives: (1) to explore factors associated with propensity to plan, (2) to examine the association between propensity to plan and financial capability factors, and (3) to examine the association between propensity to plan and financial satisfaction. Using data from the 2015 US National Financial Capability Study, the results showed socioeconomic differences in propensity to plan. The results suggest consumers with more economic resources had higher scores in propensity to plan. In addition, propensity to plan was positively associated with financial capability factors, suggesting financial planning is a desirable financial behavior. Finally, propensity to plan made unique contributions to financial satisfaction after controlling for socioeconomic and other financial capability factors.</t>
  </si>
  <si>
    <t>[Xiao, Jing Jian] Univ Rhode Isl, Dept Human Dev &amp; Family Studies, Kingston, RI 02881 USA; [O'Neill, Barbara] Rutgers Cooperat Extens, New Brunswick, NJ USA</t>
  </si>
  <si>
    <t>10.1111/ijcs.12461</t>
  </si>
  <si>
    <t>GT7CJ</t>
  </si>
  <si>
    <t>WOS:000444677700005</t>
  </si>
  <si>
    <t>Tahir, MS; Ahmed, AD; Richards, DW</t>
  </si>
  <si>
    <t>Tahir, Muhammad S.; Ahmed, Abdullahi D.; Richards, Daniel W.</t>
  </si>
  <si>
    <t>Financial literacy and financial well-being of Australian consumers: a moderated mediation model of impulsivity and financial capability</t>
  </si>
  <si>
    <t>HILDA; Financial literacy; Financial well-being; Financial capability; Impulsivity</t>
  </si>
  <si>
    <t>EDUCATION; BEHAVIOR; SATISFACTION; ANTECEDENTS; KNOWLEDGE; ATTITUDES; INSIGHTS; DEBT</t>
  </si>
  <si>
    <t>Purpose This study aims to test a moderated mediation model for a twofold purpose. First, to examine the mediating role of financial capability (FC) in the association between financial literacy (FL) and financial well-being (FW). Second, to analyze if non-impulsive future-oriented behavior (NIB) moderates the associations of FL with FC and FL with FW. Design/methodology/approach The authors use the PROCESS macros in IBM SPSS Statistics to test the moderated mediation model and analyze the 2016 wave of the Household, Income and Labor Dynamics in Australia Survey. Findings The empirical analysis shows that FC partially mediates the association between FL and FW. Furthermore, the moderated mediation analysis shows that NIB strengthens the associations of FL with FC and FL with FW. Specifically, the positive associations of FL with FC and FL with FW significantly increase for those consumers who score high on NIB. Practical implications The findings have implications for the financial services industry. Professional financial planners can positively improve the ability of consumers to deal with their financial matters by highlighting the importance of FL and NIB. Social implications The study findings suggest educating consumers to discourage impulsive behavior and encourage them to create financial plans as it will enhance their ability to conduct financial tasks efficiently, improving their FW. Originality/value To the authors' knowledge, this is the first study to assess a moderated mediation model, which examines the role of FC as a mediator variable and NIB as a moderator variable in the association between FL and FW.</t>
  </si>
  <si>
    <t>[Tahir, Muhammad S.; Ahmed, Abdullahi D.] RMIT Univ, Coll Business &amp; Law, Sch Accounting Informat Syst &amp; Supply Chain, Melbourne, Vic, Australia; [Richards, Daniel W.] York Univ, Sch Adm Studies, Toronto, ON, Canada</t>
  </si>
  <si>
    <t>Royal Melbourne Institute of Technology (RMIT); York University - Canada</t>
  </si>
  <si>
    <t>Tahir, MS (corresponding author), RMIT Univ, Coll Business &amp; Law, Sch Accounting Informat Syst &amp; Supply Chain, Melbourne, Vic, Australia.</t>
  </si>
  <si>
    <t>muhammad.tahir@rmit.edu.au; abdullahidahir.ahmed@rmit.edu.au; danwrich@yorku.ca</t>
  </si>
  <si>
    <t>Richards, Daniel/C-9305-2019; Tahir, Muhammad/AAU-4096-2021</t>
  </si>
  <si>
    <t>Richards, Daniel/0000-0001-7451-0060; Tahir, Muhammad/0000-0002-0207-1895</t>
  </si>
  <si>
    <t>Think Forward Initiative (TFI); Australian Government Department of Families, Housing, Community Services and Indigenous Affairs (FaHCSIA)</t>
  </si>
  <si>
    <t>Think Forward Initiative (TFI); Australian Government Department of Families, Housing, Community Services and Indigenous Affairs (FaHCSIA)(Australian Government)</t>
  </si>
  <si>
    <t>This research paper is a part of the project funded by the Think Forward Initiative (TFI). The technical report submitted to the TFI can be viewed here: https://www.thinkforwardinitiative.com/research/addressing-the-challenge-of-problematic-debt-australia-and-eurozoneThis paper uses unit record data from the Household, Income and Labour Dynamics in Australia (HILDA) Survey. The HILDA Project was initiated and is funded by the Australian Government Department of Families, Housing, Community Services and Indigenous Affairs (FaHCSIA) and is managed by the Melbourne Institute of Applied Economic and Social Research (Melbourne Institute). The findings and views reported in this paper, however, are those of the author and should not be attributed to either FaHCSIA or the Melbourne Institute.</t>
  </si>
  <si>
    <t>10.1108/IJBM-09-2020-0490</t>
  </si>
  <si>
    <t>WN1VR</t>
  </si>
  <si>
    <t>Green Accepted</t>
  </si>
  <si>
    <t>WOS:000670865200001</t>
  </si>
  <si>
    <t>Ha, D; Le, P; Nguyen, DK</t>
  </si>
  <si>
    <t>Ha, Dao; Le, Phuong; Nguyen, Duc Khuong</t>
  </si>
  <si>
    <t>Financial inclusion and fintech: a state-of-the-art systematic literature review</t>
  </si>
  <si>
    <t>Fintech; Financial inclusion; Sustainable growth; Systematic literature review; Bibliometric analysis; Content analysis; G2; O16; O33</t>
  </si>
  <si>
    <t>MOBILE MONEY; INFORMATION-TECHNOLOGY; USER ACCEPTANCE; UNIFIED THEORY; INNOVATION; DETERMINANTS; NETWORKS; SERVICES; ADOPTION; BANKING</t>
  </si>
  <si>
    <t>This study presents an all-inclusive analysis of the literature on the augmentation of financial inclusion through fintech. Ninety-six papers were selected from the 2951 articles in the Web of Science, Scopus, and EBSCO databases. This study uses bibliometric and content analysis techniques to illuminate the underexplored aspects of fintech's impact on financial inclusion. Unlike previous studies, this study consolidates a significant amount of the literature on financial inclusion by systematically contextualizing theories and viewpoints from the fintech sector. The key findings include the identification of three main research clusters: (1) the advent of novel services, (2) the transformation of the market landscape, and (3) the roles of stakeholders in the fintech ecosystem. The analysis reveals gaps in the existing research, such as the need for more studies on the tangible impact of fintech on financial inclusion and regulation. This study concludes by highlighting potential directions for future research and emphasizing the importance of policymakers paying greater attention to fintech's implications for financial inclusion.</t>
  </si>
  <si>
    <t>[Ha, Dao; Le, Phuong] Ho Chi Minh Univ Banking, Ho Chi Minh City, Vietnam; [Le, Phuong] EthiFinance, EthiFinance Analyt, Paris, France; [Le, Phuong] Paris Saclay Univ, RITM, Paris, France; [Nguyen, Duc Khuong] Leonard de Vinci Pole Univ, Res Ctr, Paris, France; [Nguyen, Duc Khuong] Vietnam Natl Univ, Int Sch, Hanoi, Vietnam; [Nguyen, Duc Khuong] Prague Univ Econ &amp; Business, Fac Finance &amp; Accounting, Prague, Czech Republic</t>
  </si>
  <si>
    <t>Ho Chi Minh University of Banking (HUB); Universite Paris Saclay; Vietnam National University Hanoi (VNU Hanoi) System; Prague University of Economics &amp; Business</t>
  </si>
  <si>
    <t>Le, P (corresponding author), Ho Chi Minh Univ Banking, Ho Chi Minh City, Vietnam.;Le, P (corresponding author), EthiFinance, EthiFinance Analyt, Paris, France.;Le, P (corresponding author), Paris Saclay Univ, RITM, Paris, France.</t>
  </si>
  <si>
    <t>daohtt@hub.edu.vn; phuong.le@ethifinance.com; duc.nguyen@devinci.fr</t>
  </si>
  <si>
    <t>; Nguyen, Duc Khuong/AAE-6889-2020; Ha, Dao/AAN-5595-2020</t>
  </si>
  <si>
    <t>LE, Nguyen Minh Phuong/0000-0002-4381-7286; Nguyen, Duc Khuong/0000-0002-7796-8787; Ha, Dao/0000-0002-0228-1630</t>
  </si>
  <si>
    <t>Prague University of Economics and Business as a part of Institutional Research Support [IP 100040]; Czech Science Foundation [24-10008S]</t>
  </si>
  <si>
    <t>Prague University of Economics and Business as a part of Institutional Research Support; Czech Science Foundation(Grant Agency of the Czech Republic)</t>
  </si>
  <si>
    <t>We would like to express our sincere gratitude to the Editors and anonymous peer reviewers of the Financial Innovation Journal for their invaluable contributions to this paper. Their insightful comments, constructive feedback, and thoughtful suggestions have significantly improved the quality and clarity of our work. We deeply appreciate the time and effort they dedicated to reviewing our manuscript and providing such helpful guidance. The third author acknowledges the financial support provided by the Prague University of Economics and Business as a part of Institutional Research Support no. IP 100040 and the financial support from the Czech Science Foundation (grant number 24-10008S).</t>
  </si>
  <si>
    <t>JAN 27</t>
  </si>
  <si>
    <t>10.1186/s40854-024-00741-0</t>
  </si>
  <si>
    <t>T6O2D</t>
  </si>
  <si>
    <t>WOS:001406165300003</t>
  </si>
  <si>
    <t>Dianda, P; Thiombiano, N; Okey, MKN</t>
  </si>
  <si>
    <t>Dianda, Pousbila; Thiombiano, Noel; Okey, Mawusse Komlagan Nezan</t>
  </si>
  <si>
    <t>Electronic money accessibility and financial inclusion in WAEMU countries: does increased access to electronic money lead to greater financial inclusion?</t>
  </si>
  <si>
    <t>Electronic money; financial inclusion; mobile money; quantile regression; WAEMU; Technology; Information &amp; Communication Technology (ICT); Finance; C23; G29; O30; O55</t>
  </si>
  <si>
    <t>QUANTILE REGRESSION; INNOVATION</t>
  </si>
  <si>
    <t>This article investigates the effect of electronic money accessibility on financial inclusion within West African Economic and Monetary Union (WAEMU) countries. Using annual data from 2010 to 2022, we employ a method of moments quantile regression (MMQR) for estimations. The results show that e-money accessibility stimulates financial inclusion in two ways. First, it extends access to formal financial services in previously underserved rural and peri-urban areas and reduces the financial and physical barriers to accessing financial services. Second, its impact is amplified in countries where the initial level of financial inclusion is already high, suggesting a catalytic effect, particularly for individuals who already have a relationship with traditional financial services. The results are robust when we use the instrumental variables method of double ordinary least squares (IV-2SLS). To improve financial inclusion, it is crucial to develop digital infrastructures to increase accessibility to digital financial services. Investment in human capital through education and robust security measures are essential to build trust and ensure the widespread adoption of digital financial services.</t>
  </si>
  <si>
    <t>[Dianda, Pousbila] Thomas SANKARA Univ, Ctr Econ Social Studies Documentat &amp; Res CEDRES, Ouagadougou, Burkina Faso; [Thiombiano, Noel] Thomas Sankara Univ, Dept Econ, Ouagadougou, Burkina Faso; [Okey, Mawusse Komlagan Nezan] Univ Lome, Dept Econ, Lome, Togo</t>
  </si>
  <si>
    <t>Dianda, P (corresponding author), Thomas SANKARA Univ, Ctr Econ Social Studies Documentat &amp; Res CEDRES, Ouagadougou, Burkina Faso.</t>
  </si>
  <si>
    <t>bila@yahoo.com</t>
  </si>
  <si>
    <t>DIANDA, Pousbila/MDT-3334-2025</t>
  </si>
  <si>
    <t>DIANDA, Pousbila/0009-0006-5419-0104</t>
  </si>
  <si>
    <t>10.1080/23322039.2025.2476089</t>
  </si>
  <si>
    <t>0FH8O</t>
  </si>
  <si>
    <t>WOS:001446008500001</t>
  </si>
  <si>
    <t>Mireku, K</t>
  </si>
  <si>
    <t>Mireku, Kwame</t>
  </si>
  <si>
    <t>Determinants of financial literacy among university students: Insight into background and exposure characteristics</t>
  </si>
  <si>
    <t>JOURNAL OF BUSINESS &amp; FINANCE LIBRARIANSHIP</t>
  </si>
  <si>
    <t>Financial literacy; Exposure Characteristics; logit; A20 A22 D14 G11 I20</t>
  </si>
  <si>
    <t>This article examined the level of financial literacy among university students in Ghana (N = 3932), and investigated which factors are linked with the different financial literacy components. This article is motivated by the increased drive toward financial inclusion and the critical role of financial knowledge in an increasingly sophisticated financial world. The framework used, assesses students' knowledge in money management, savings and borrowing, investments, and insurance. The research findings show moderate knowledge in savings and borrowing but low level of knowledge in other finance issues among university students. Notably, the findings reveal that gender, work experience, subject of study, and mother's level of education are all important determinants of financial knowledge among the students. The findings further show that students with relatively high financial knowledge are more likely to have sound judgment on financial issues; make the right financial decisions and have sound personal financial management practices. Based on the findings of the study, a national policy on financial literacy and educational programs are urgently needed as intervention to improve the level of financial knowledge of university students.</t>
  </si>
  <si>
    <t>[Mireku, Kwame] Kwame Nkrumah Univ Sci &amp; Technol, KNUST Sch Business, Dept Accounting &amp; Finance, Kumasi, Ghana</t>
  </si>
  <si>
    <t>Mireku, K (corresponding author), Kwame Nkrumah Univ Sci &amp; Technol, KNUST Sch Business, Dept Accounting &amp; Finance, Kumasi, Ghana.</t>
  </si>
  <si>
    <t>nanamireku@gmail.com</t>
  </si>
  <si>
    <t>MIREKU, KWAME/I-4514-2016</t>
  </si>
  <si>
    <t>MIREKU, KWAME/0000-0003-1151-7227</t>
  </si>
  <si>
    <t>0896-3568</t>
  </si>
  <si>
    <t>1547-0644</t>
  </si>
  <si>
    <t>J BUS FINANC LIBR</t>
  </si>
  <si>
    <t>J. Bus. Financ. Libr.</t>
  </si>
  <si>
    <t>10.1080/08963568.2024.2352311</t>
  </si>
  <si>
    <t>TA0X3</t>
  </si>
  <si>
    <t>WOS:001229084700001</t>
  </si>
  <si>
    <t>Mehraj, D; Nissa, SNU; Nissa, VU; Gulzar, S</t>
  </si>
  <si>
    <t>Mehraj, Danish; Nissa, Syed Naiyar U.; Nissa, Viqar U.; Gulzar, Sumaira</t>
  </si>
  <si>
    <t>The Mediating Role of Financial Self-Efficacy in the Relationship Between Financial Inclusion and Poverty Alleviation</t>
  </si>
  <si>
    <t>financial inclusion; financial self-efficacy; poverty alleviation; rural households</t>
  </si>
  <si>
    <t>LITERACY; POOR; SMES</t>
  </si>
  <si>
    <t>This study investigates the relationship between Financial Inclusion (FI), Financial Self-Efficacy (FSE), and Poverty Alleviation (PA) among poor and rural households in North Kashmir, India. Using a cross-sectional design, data were collected from 525 respondents benefiting from financial inclusion initiatives across five banks. The research employed structural equation modeling (SEM) to explore the direct and indirect effects of financial inclusion on poverty alleviation, with a specific focus on the mediating role of financial self-efficacy. Results indicate that financial inclusion significantly influences poverty alleviation directly and indirectly through financial self-efficacy, highlighting the importance of individuals' confidence in managing financial resources. Furthermore, findings reveal that improved access to financial services correlates positively with enhanced financial self-efficacy, suggesting that both factors are essential for effective poverty alleviation strategies. The study underscores the need for integrated interventions that not only increase access to financial services but also empower individuals through financial literacy and self-efficacy enhancement programs. These insights contribute to the understanding of how financial inclusion can be leveraged to foster economic empowerment and reduce poverty in rural settings.</t>
  </si>
  <si>
    <t>[Mehraj, Danish; Nissa, Syed Naiyar U.; Nissa, Viqar U.; Gulzar, Sumaira] Univ Kashmir, Dept Management Studies, North Campus, Baramulla, India</t>
  </si>
  <si>
    <t>University of Kashmir</t>
  </si>
  <si>
    <t>Mehraj, D (corresponding author), Univ Kashmir, Dept Management Studies, North Campus, Baramulla, India.</t>
  </si>
  <si>
    <t>khandanish11@gmail.com</t>
  </si>
  <si>
    <t>MEHRAJ, DANISH/JXN-4149-2024</t>
  </si>
  <si>
    <t>MEHRAJ, DANISH/0000-0001-8278-0335</t>
  </si>
  <si>
    <t>e70146</t>
  </si>
  <si>
    <t>10.1002/bsd2.70146</t>
  </si>
  <si>
    <t>5KC0U</t>
  </si>
  <si>
    <t>WOS:001537567800001</t>
  </si>
  <si>
    <t>Laia, E; Windijarto</t>
  </si>
  <si>
    <t>Laia, Elisabahati; Windijarto</t>
  </si>
  <si>
    <t>The role of peer-to-peer (P2P) lending in developing countries: a systematic literature review</t>
  </si>
  <si>
    <t>INTERNATIONAL JOURNAL OF INNOVATION SCIENCE</t>
  </si>
  <si>
    <t>Peer-to-peer lending; P2P lending; Financial innovation; Blockchain; Artificial intelligence; Big data analytics; Financial inclusion; Developing countries; Regulatory frameworks; Innovation competencies; Regional innovation models</t>
  </si>
  <si>
    <t>FINTECH; ACCEPTANCE</t>
  </si>
  <si>
    <t>Purpose- This study aims to investigate the strategic role of peer-to-peer (P2P) lending in enhancing financial inclusion and supporting small and medium enterprise (SME) financing in developing countries. It also explores the major regulatory challenges that constrain its scalability and trustworthiness. Design/methodology/approach- A systematic literature review was conducted using the PRISMA framework, covering 42 Q1 and Q2 Scopus-indexed publications from 2018 to 2024. Findings- P2P lending expands credit access for underserved populations and SMEs through technologies like blockchain, artificial intelligence and big data. Success cases in Indonesia, China and India demonstrate scalable models. However, persistent barriers include regulatory uncertainty, low digital literacy, data asymmetry and infrastructure limitations. This study also identifies a lack of empirical validation and limited attention to user experience and trust mechanisms in existing literature. Research limitations/implications- The review highlights critical research gaps: insufficient comparative studies across regions, underexplored social trust dynamics and fragmented theoretical approaches. It proposes a multi-theoretical foundation combining the technology acceptance model, social capital theory, inclusive finance and regulatory technology to guide future research on inclusive fintech in emerging markets. Practical implications- The findings offer actionable insights for regulators and fintech practitioners to improve regulatory clarity, enhance digital literacy and implement adaptive governance frameworks that foster innovation while protecting consumers. Originality/value- This review offers an integrated framework connecting user adoption, social trust and regulation. By synthesizing insights from three major developing economies, it contributes to the growing literature on inclusive fintech and provides practical guidance for strengthening P2P lending ecosystems.</t>
  </si>
  <si>
    <t>[Laia, Elisabahati] Airlangga Univ, Dept Management, Surabaya, Indonesia; [Windijarto] Univ Airlangga, Fac Econ &amp; Business, Surabaya, Indonesia</t>
  </si>
  <si>
    <t>Laia, E (corresponding author), Airlangga Univ, Dept Management, Surabaya, Indonesia.</t>
  </si>
  <si>
    <t>elisabahati.laia-2024@feb.unair.ac.id</t>
  </si>
  <si>
    <t>LAIA, ELISABAHATI/ODJ-4772-2025</t>
  </si>
  <si>
    <t>LAIA, ELISABAHATI/0000-0002-8988-9779</t>
  </si>
  <si>
    <t>LPDP (The Indonesia Endowment Funds for Education)</t>
  </si>
  <si>
    <t>The authors extend their heartfelt gratitude to LPDP (The Indonesia Endowment Funds for Education) for the essential support that has been crucial to the successful completion of this project.</t>
  </si>
  <si>
    <t>1757-2223</t>
  </si>
  <si>
    <t>1757-2231</t>
  </si>
  <si>
    <t>INT J INOV SCI</t>
  </si>
  <si>
    <t>Int. J. Innov. Sci.</t>
  </si>
  <si>
    <t>2025 SEP 4</t>
  </si>
  <si>
    <t>10.1108/IJIS-01-2025-0036</t>
  </si>
  <si>
    <t>6XH6B</t>
  </si>
  <si>
    <t>WOS:001564229400001</t>
  </si>
  <si>
    <t>Bialowolski, P; Cwynar, A; Weziak-Bialowolska, D</t>
  </si>
  <si>
    <t>Bialowolski, Piotr; Cwynar, Andrzej; Weziak-Bialowolska, Dorota</t>
  </si>
  <si>
    <t>Financially literate consumers and their credit portfolios: longitudinal evidence from PSID data</t>
  </si>
  <si>
    <t>Financial literacy; Credit portfolio; Consumer debt; Credit and loans; Panel Study of Income Dynamics</t>
  </si>
  <si>
    <t>LIFE-CYCLE; PRODUCT PORTFOLIOS; COGNITIVE FUNCTION; NUMERICAL ABILITY; RISK TOLERANCE; DEBT; INVESTMENT; KNOWLEDGE; AVERSION; WEALTH</t>
  </si>
  <si>
    <t>PurposeThis study explores the varying role of financial literacy in shaping households' credit and loan choices. It addresses a gap in the literature by examining how financial literacy is prospectively associated with holding credit or loans and transitions between different credit portfolios.Design/methodology/approachThe study utilizes data from three waves of the Panel Study of Income Dynamics (PSID) survey. Household credit portfolios were identified using latent class analysis, followed by the estimation of a latent transition model to evaluate the relationship between financial literacy and transitions among different credit portfolio states. A what-if analysis was conducted to illustrate a likely long-term evolution of household credit portfolios under the assumption of a maximum financial literacy score on the financial literacy scale.FindingsConsistent with theoretical predictions, the study finds a positive link between financial literacy and transitioning to a state where credit or loans are present in the household financial portfolio. Credit portfolios exhibit notable persistence over time, with non-indebted households having the highest likelihood of remaining in their state and medical debtors the lowest. Financial literacy significantly influences transitions into multiple and mortgage debtor classes but does not affect transitions related to medical, educational or credit card debt. At maximum financial literacy, the long-term equilibrium of household credit and loan holdings would likely shift toward a larger share of multiple and mortgage debtor households and a decline in non-indebted households.Originality/valueThis research addresses a critical gap in the literature on the relationship between financial literacy and financial inclusion on the borrowing side of the household balance sheet, including the choice of credit product type. It demonstrates that greater financial literacy increases the likelihood of holding multiple credits and loans, challenging the assumption that financial literacy always leads to universally desirable financial decisions. Furthermore, the study highlights the differential impact of financial literacy on credit choices, underscoring the complexity of credit decisions and the practical significance of financial literacy in shaping consumer credit portfolios.</t>
  </si>
  <si>
    <t>[Bialowolski, Piotr] Kozminski Univ, Dept Econ, Warsaw, Poland; [Bialowolski, Piotr; Weziak-Bialowolska, Dorota] Harvard Univ, Human Flourishing Program, Cambridge, MA 02138 USA; [Cwynar, Andrzej] Univ Econ &amp; Innovat Lublin, Fac Adm &amp; Social Sci, Lublin, Poland; [Weziak-Bialowolska, Dorota] Kozminski Univ, Dept Quantitat Methods &amp; Informat Technol, Warsaw, Poland</t>
  </si>
  <si>
    <t>Kozminski University; Harvard University; Kozminski University</t>
  </si>
  <si>
    <t>Bialowolski, P (corresponding author), Kozminski Univ, Dept Econ, Warsaw, Poland.;Bialowolski, P (corresponding author), Harvard Univ, Human Flourishing Program, Cambridge, MA 02138 USA.</t>
  </si>
  <si>
    <t>pbialowolski@kozminski.edu.pl; andrzej.cwynar@wsei.lublin.com; doweziak@iq.harvard.edu</t>
  </si>
  <si>
    <t>Białowolski, Piotr/AAI-8393-2020; Cwynar, Andrzej/AAD-5409-2019; Weziak-Bialowolska, Dorota/AAF-7827-2020</t>
  </si>
  <si>
    <t>Białowolski, Piotr/0000-0003-4102-0107; Weziak-Bialowolska, Dorota/0000-0003-2711-2283</t>
  </si>
  <si>
    <t>10.1108/IJBM-06-2024-0363</t>
  </si>
  <si>
    <t>WOS:001472658600001</t>
  </si>
  <si>
    <t>Li, QW; Zhang, XY</t>
  </si>
  <si>
    <t>Li, Qiwei; Zhang, Xinyu</t>
  </si>
  <si>
    <t>Digital finance development in China: A scientometric review</t>
  </si>
  <si>
    <t>China; Digital finance; Digital currency; Digital inclusive finance; Fintech; Blockchain technology; Scientometric analysis; Content analysis</t>
  </si>
  <si>
    <t>The continuous integration of digital technology and finance has spurred the rapid development of the digital finance industry, making it a critical area of interest for scholars. This study combines quantitative research methods using Citespace software for scientometric analysis and qualitative research methods involving manual selection and content analysis of key literature to summarise the research status, hot topics, and frontiers in the field of digital finance in China. The research findings highlight several influential factors in the digital finance literature, such as regional and journal distribution, institutional and author collaboration, and highly cited literature. Currently, the four most important and cutting-edge research areas are digital currency, digital inclusive finance, fintech and blockchain technology. Furthermore, an analysis of the development trends in digital finance research is conducted and future research perspectives are suggested.</t>
  </si>
  <si>
    <t>[Li, Qiwei] RUDN Univ, Fac Econ, Moscow, Russia; [Zhang, Xinyu] RUDN Univ, Inst Foreign Languages, Moscow, Russia</t>
  </si>
  <si>
    <t>Peoples Friendship University of Russia; Peoples Friendship University of Russia</t>
  </si>
  <si>
    <t>Zhang, XY (corresponding author), RUDN Univ, Inst Foreign Languages, Moscow, Russia.</t>
  </si>
  <si>
    <t>1042228073@rudn.ru; 1042215299@rudn.ru</t>
  </si>
  <si>
    <t>Li, Qiwei/MCK-5234-2025</t>
  </si>
  <si>
    <t>Li, Qiwei/0009-0005-0274-2635</t>
  </si>
  <si>
    <t>AUG 30</t>
  </si>
  <si>
    <t>e36107</t>
  </si>
  <si>
    <t>10.1016/j.heliyon.2024.e36107</t>
  </si>
  <si>
    <t>D2N6D</t>
  </si>
  <si>
    <t>WOS:001294608700001</t>
  </si>
  <si>
    <t>Maslón-Oracz, A; Eso, A</t>
  </si>
  <si>
    <t>Maslon-Oracz, Anna; Eso, Ayo</t>
  </si>
  <si>
    <t>Financial Inclusion in Smart Cities in the European Union: The Role of Marketplaces and Financial Technology</t>
  </si>
  <si>
    <t>STUDIA EUROPEJSKIE-STUDIES IN EUROPEAN AFFAIRS</t>
  </si>
  <si>
    <t>Smart City; Financial Inclusion; Marketplaces; Fintech; Financial Services</t>
  </si>
  <si>
    <t>This study investigates the role of marketplaces and financial technology (fintech) in enhancing financial inclusion within the smart cities of the European Union (EU). Fintech, defined as the convergence of finance and technology, has been identified as a significant factor influencing financial inclusion. The research aims to determine how fintech can support the sustainable and balanced development goals set by the United Nations Sustainable Development Goals (UN SDGs) through the development of technology infrastructure within the smart city. The literature review provides a foundational understanding of financial inclusion and smart cities. This is followed by a comparative analysis using secondary data to examine the importance of fintech for existing smart cities in the EU. Our findings indicate that fintech substantially enhances financial inclusion in these urban settings. The social impacts observed include: reduced poverty levels, improved financial literacy, expanded access to financial services, and increased interactions between individuals and financial service providers. This study contributes to a deeper understanding of the relationship between fintech, marketplaces, and financial inclusion in the context of the EU's smart cities.</t>
  </si>
  <si>
    <t>[Maslon-Oracz, Anna] SGH Warsaw, Sch Econ, Warsaw, Poland; [Eso, Ayo] Lead City Univ, Ibadan, Nigeria</t>
  </si>
  <si>
    <t>Maslón-Oracz, A (corresponding author), SGH Warsaw, Sch Econ, Warsaw, Poland.</t>
  </si>
  <si>
    <t>amaslon@sgh.waw.pl; aeso@3consult-ng.com</t>
  </si>
  <si>
    <t>Maslon-Oracz, Anna/MTG-2022-2025</t>
  </si>
  <si>
    <t>Maslon-Oracz, Anna/0000-0002-4639-6317; Eso, Ayo/0000-0002-1376-7716</t>
  </si>
  <si>
    <t>University of Warsaw Centre for Europe</t>
  </si>
  <si>
    <t>Warsaw</t>
  </si>
  <si>
    <t>Warsaw, POLAND</t>
  </si>
  <si>
    <t>1428-149X</t>
  </si>
  <si>
    <t>2719-3780</t>
  </si>
  <si>
    <t>STUD EUROPEJSKIE</t>
  </si>
  <si>
    <t>Stud. Europejskie-Stud. Euro. Affairs</t>
  </si>
  <si>
    <t>10.33067/SE.1.2024.10</t>
  </si>
  <si>
    <t>Economics; Law; Political Science</t>
  </si>
  <si>
    <t>WZ5V2</t>
  </si>
  <si>
    <t>WOS:001258720400010</t>
  </si>
  <si>
    <t>Tulcanaza-Prieto, AB; Cortez-Ordoñez, A; Rivera, J; Lee, CW</t>
  </si>
  <si>
    <t>Tulcanaza-Prieto, Ana Belen; Cortez-Ordonez, Alexandra; Rivera, Jairo; Lee, Chang Won</t>
  </si>
  <si>
    <t>Is Digital Literacy a Moderator Variable in the Relationship Between Financial Literacy, Financial Inclusion, and Financial Well-Being in the Ecuadorian Context?</t>
  </si>
  <si>
    <t>financial literacy; financial inclusion; financial well-being; digital literacy; Ecuador; Ecuadorian banking industry</t>
  </si>
  <si>
    <t>EDUCATION; DETERMINANTS; BANKING; IMPACT</t>
  </si>
  <si>
    <t>This study explores the determinants of financial literacy (FL) and the relationship between FL, financial inclusion (FI), and financial well-being (FW-B) in the Ecuadorian banking industry. It also tests the moderating role of digital literacy (DL) on the relationship between FL-FI, FL-FW-B, and FI-FW-B. This study employs a self-designed online questionnaire with a structural equation model to prove the relationship between variables. Among 321 collected data, the final valid dataset consisted of 294 registers. The main findings revealed that (i) financial behavior (FB), financial attitudes (FA), and financial skills (FS) have a significant and positive influence over FL, (ii) FL positively affects FI and FW-B, (iii) FI has a positive and significant relationship with FW-B, and (iv) DL does not moderate the relationship between variables, given DL depends on socio-economic factors (especially educational aspects) and the degree of technology and innovation adopted by digital banking customers. Study results are aligned with previous studies in the United States, India, Greece, and Finland. This study contributes to the research by offering a complete view of the importance of transcendence of the presence of FL in educational programs to improve the FI, financial development, and FW-B of banking customers. The study limitation is the absence of the FL index in the Ecuadorian environment. For future research, the study recommends performing a longitudinal study of FL and FI and including different statuses and categories to test the econometric model.</t>
  </si>
  <si>
    <t>[Tulcanaza-Prieto, Ana Belen] Univ Amer, Escuela Negocios, Grp Invest Negocios Econ Org &amp; Soc NEOS, Via Nayon, Quito 170124, Ecuador; [Cortez-Ordonez, Alexandra] Univ Politecn Cataluna, Dept Comp Sci, ViRVIG Grp, Barcelona 08034, Spain; [Rivera, Jairo] Univ Andina Simon Bolivar, Area Acad Gest, Quito 170525, Ecuador; [Lee, Chang Won] Hanyang Univ, Sch Business, Seoul 04763, South Korea</t>
  </si>
  <si>
    <t>Universidad de Las Americas - Ecuador; Universitat Politecnica de Catalunya; Universidad Andina Simon Bolivar Ecuador; Hanyang University</t>
  </si>
  <si>
    <t>Tulcanaza-Prieto, AB (corresponding author), Univ Amer, Escuela Negocios, Grp Invest Negocios Econ Org &amp; Soc NEOS, Via Nayon, Quito 170124, Ecuador.</t>
  </si>
  <si>
    <t>ana.tulcanaza@udla.edu.ec; alexandra.cortez@upc.edu; jairo.rivera@uasb.edu.ec; leecw@hanyang.ac.kr</t>
  </si>
  <si>
    <t>; Lee, Chang Won/AAN-4456-2020; Rivera, Jairo/OSH-8679-2025; Tulcanaza-Prieto, Ana Belen/AAF-3845-2021</t>
  </si>
  <si>
    <t>Cortez-Ordoñez, Alexana Piedad/0000-0002-0016-5388; Lee, Chang Won/0000-0002-0753-5812; Rivera, Jairo/0000-0003-3528-5969; Tulcanaza-Prieto, Ana Belen/0000-0002-9201-6848</t>
  </si>
  <si>
    <t>Universidad de las Amricas UDLA [546.B.XVI.25]</t>
  </si>
  <si>
    <t>Universidad de las Amricas UDLA</t>
  </si>
  <si>
    <t>We are grateful to the Universidad de las Americas UDLA, which financially supported this research (546.B.XVI.25).</t>
  </si>
  <si>
    <t>10.3390/su17062476</t>
  </si>
  <si>
    <t>0QV8E</t>
  </si>
  <si>
    <t>WOS:001453842100001</t>
  </si>
  <si>
    <t>Khan, MN; Ferrer, I; Lee, Y; Deloria, R; Kusari, K; Migrino, L; Danan, K; Yen, JY</t>
  </si>
  <si>
    <t>Khan, Mohammad Nuruzzaman; Ferrer, Ilyan; Lee, Yeonjung; Deloria, Rochelle; Kusari, Kaltrina; Migrino, Lauren; Danan, Karla; Yen, Jenny</t>
  </si>
  <si>
    <t>We're Always Looking at the Dollars and cents: The Financial well-being of Racialized Older Immigrants in Canada Through the lens of Service Providers</t>
  </si>
  <si>
    <t>Financial well-being; Financial literacy; Financial inclusion; Financial capability; Aging; Racialized older immigrants</t>
  </si>
  <si>
    <t>ELDERLY KOREAN IMMIGRANTS; LITERACY; MIGRANTS; EXCLUSION; EDUCATION; INSIGHTS; ABUSE</t>
  </si>
  <si>
    <t>While older adults remain a population of interest when considering financial well-being, the experiences of racialized older immigrants remain scarce. In fact, the existing literature has a propensity to keep age, race, and ethnicity as separate categories rather consider their interconnections. Addressing this paucity of research is especially urgent given recent reports that highlight the emerging experiences of poverty among older adults living in Canadian urban centers such as Montreal, Toronto, and Vancouver. Analyzing data from a focus group with service providers in the city of Calgary, Alberta, this article identifies the barriers to financial well-being among racialized older immigrants and newcomers. Themes center on the structural barriers related to the ten-year and twenty-year dependency period, and experiences of structured dependency within intergenerational family units. This article also offers recommendations for policymakers and service organizations in strengthening financial well-being of racialized older immigrants.</t>
  </si>
  <si>
    <t>[Khan, Mohammad Nuruzzaman] Univ Manitoba, Fac Social Work, 500 D Tier Bldg, Winnipeg, MB R3T 2N2, Canada; [Ferrer, Ilyan] Carleton Univ, Sch Social Work, Ottawa, ON, Canada; [Lee, Yeonjung; Deloria, Rochelle; Kusari, Kaltrina; Migrino, Lauren; Yen, Jenny] Univ Calgary, Fac Social Work, Calgary, AB, Canada; [Danan, Karla] Univ Calgary, Fac Arts, Calgary, AB, Canada; [Lee, Yeonjung] Chung Ang Univ, Sch Social Welf, Seoul, South Korea</t>
  </si>
  <si>
    <t>University of Manitoba; Carleton University; University of Calgary; University of Calgary; Chung Ang University</t>
  </si>
  <si>
    <t>Khan, MN (corresponding author), Univ Manitoba, Fac Social Work, 500 D Tier Bldg, Winnipeg, MB R3T 2N2, Canada.</t>
  </si>
  <si>
    <t>mohammad.khan@umanitoba.ca; ilyan.ferrer@carleton.ca; yeolee@ucalgary.ca; rochelle.deloria@ucalgary.ca; kaltrina.kusari@ucalgary.ca; lauren.migrino@ucalgary.ca; karla.danan@ucalgary.ca; jyen@ucalgary.ca</t>
  </si>
  <si>
    <t>Kusari, Kaltrina/AAI-4323-2021; Ferrer, Ilyan/AAY-7077-2021</t>
  </si>
  <si>
    <t>Kusari, Kaltrina/0000-0002-4159-1981; Khan, Mohammad/0000-0002-3115-8113;</t>
  </si>
  <si>
    <t>10.1007/s10834-023-09889-w</t>
  </si>
  <si>
    <t>U8NM3</t>
  </si>
  <si>
    <t>WOS:000922309100001</t>
  </si>
  <si>
    <t>Sargent, CS; Balasubramnian, B; Bowler, BD; Lambert, CA</t>
  </si>
  <si>
    <t>Sargent, Carol Springer; Balasubramnian, Bhanu; Bowler, Blake D.; Lambert, Charles Asa</t>
  </si>
  <si>
    <t>Examining retirement savings building and depleting behavior</t>
  </si>
  <si>
    <t>Retirement savings; Personal finance; Behavioral finance; Financial literacy; Early withdrawals; Overconfidence; Blind spot; Retirement withdrawal; Consumer finance; G05; G04; G51; G53; H31</t>
  </si>
  <si>
    <t>FINANCIAL LITERACY; KNOWLEDGE; INVESTORS; LOANS</t>
  </si>
  <si>
    <t>PurposeAround the globe, low retirement savings threaten the economic well-being of large portions of the population. To better understand what promotes retirement sufficiency, we investigate variables that correlate with retirement savings behaviors.Design/methodology/approachUsing the 2021 National Financial Capability Study data, we examine factors correlated with having a retirement plan, contributing to a retirement plan and avoiding the depletion of retirement savings.FindingsWhile strong financial behavior and actual financial literacy are each connected to retirement plan participation, the link attributed to strong financial behavior is nearly twice as strong as that for actual financial literacy. Strong financial behavior correlates strongly with leaving retirement savings in place. Having a financial literacy blind spot (i.e. not knowing that one does not know about financial literacy) correlates strongly with retirement savings depletion. Financial anxiety does not correlate with retirement plan participation or depletion.Originality/valueOur measure of strong financial behavior explains much more variation in retirement savings than variables commonly explored in the retirement literature. Individuals facing income constraints without a financial literacy blind spot are less likely to deplete their retirement savings. Conversely, those with a financial literacy blind spot tend to deplete their retirement savings regardless of their financial vulnerability or strength. Our findings hold even when restricting the sample to households with incomes below the median ($75,000), as well as above the median, indicating that policies targeting non-income variables could enhance retirement outcomes.</t>
  </si>
  <si>
    <t>[Sargent, Carol Springer; Bowler, Blake D.; Lambert, Charles Asa] Mercer Univ, Stetson Hatcher Sch Business, Macon, GA 31207 USA; [Balasubramnian, Bhanu] Western Michigan Univ, Haworth Coll Business, Kalamazoo, MI USA</t>
  </si>
  <si>
    <t>Mercer University; Western Michigan University</t>
  </si>
  <si>
    <t>Sargent, CS (corresponding author), Mercer Univ, Stetson Hatcher Sch Business, Macon, GA 31207 USA.</t>
  </si>
  <si>
    <t>sargent_cs@mercer.edu; bhanu.balasubramnian@wmich.edu; bowler_bd@mercer.edu; lambert_ca@mercer.edu</t>
  </si>
  <si>
    <t>; Sargent, Carol/R-4288-2019</t>
  </si>
  <si>
    <t>Bowler, Blake/0000-0002-5815-6919; Sargent, Carol/0000-0003-3213-4647; Balasubramnian, Bhanu/0009-0008-2252-2172</t>
  </si>
  <si>
    <t>10.1108/MF-07-2024-0481</t>
  </si>
  <si>
    <t>2XI2X</t>
  </si>
  <si>
    <t>WOS:001387506100001</t>
  </si>
  <si>
    <t>Koneva, B; Shabanova, M</t>
  </si>
  <si>
    <t>Koneva, Bogdana; Shabanova, Maria</t>
  </si>
  <si>
    <t>BOARD GAME MAKING FINANCIAL DECISIONS IN THE SYSTEM OF TEACHING THE MATHEMATICAL FOUNDATIONS OF FINANCIAL LITERACY</t>
  </si>
  <si>
    <t>MATHEMATICS AND INFORMATICS</t>
  </si>
  <si>
    <t>financial literacy at algebra course; theoretical model; mathematical tasks; PISA; economic and mathematical game</t>
  </si>
  <si>
    <t>The aim of this article is to present the theoretical model for the construction of tasks in improving financial literacy in algebra course at school and to submit the economic and mathematical game based on the developed model. At the state level, a number of important documents have been adopted on the formation of financial literacy of schoolchildren, various measures are being implemented to solve this problem. Despite this, today the tasks presented in the school mathematics course do not fully solve the issue of increasing the level of financial literacy. In the course of work on the creation of a theoretical model for Teaching mathematical foundations of financial literacy, an analysis of Russian textbooks on mathematics was carried out, federal regulations and international standards were studied. Our analysis allows us to assert that there are not enough tasks for the formation of financial literacy skills in the school course of mathematics. In addition, these tasks form initial knowledge in the financial sector. Also, the tasks are of the same type and often affect only two areas of handling finance. These are purchases and loans. Also, the tasks of the school mathematics course correspond only to the first level of the PISA standard. Thus, it became obvious that it was necessary to develop a theoretical model for the construction of tasks in improving financial literacy in algebra course at school according with the System (frame) financial capability for school age pupils and PISA diagnostic model.</t>
  </si>
  <si>
    <t>[Koneva, Bogdana; Shabanova, Maria] Northern Arctic Fed Univ, 17 Severnaya Dvina Emb, Arkhangelsk, Russia</t>
  </si>
  <si>
    <t>Northern Arctic Federal University</t>
  </si>
  <si>
    <t>Koneva, B; Shabanova, M (corresponding author), Northern Arctic Fed Univ, 17 Severnaya Dvina Emb, Arkhangelsk, Russia.</t>
  </si>
  <si>
    <t>b.koneva@mail.ru; shabanova.maria-pomorsu@yandex.ru</t>
  </si>
  <si>
    <t>AZ-BUKA NATL PUBLISHING HOUSE</t>
  </si>
  <si>
    <t>SOFIA</t>
  </si>
  <si>
    <t>BUL TSARIGRADSKO SHOSE, 125, BL 5, SOFIA, 1113, BULGARIA</t>
  </si>
  <si>
    <t>1310-2230</t>
  </si>
  <si>
    <t>1314-8532</t>
  </si>
  <si>
    <t>MATH INFORM</t>
  </si>
  <si>
    <t>Math. Inform.</t>
  </si>
  <si>
    <t>RV1VJ</t>
  </si>
  <si>
    <t>WOS:000645628100004</t>
  </si>
  <si>
    <t>Parwez, S; Patel, R; Shekar, KC</t>
  </si>
  <si>
    <t>Parwez, Sazzad; Patel, Ruchi; Shekar, K. Chandra</t>
  </si>
  <si>
    <t>A Review of Microfinance-Led Development: Evidence from Gujarat</t>
  </si>
  <si>
    <t>Gujarat; Microfinance; Women; Self-help group; Livelihood; Socio-economic development</t>
  </si>
  <si>
    <t>This paper is based on the premise of microfinance for financial inclusion mechanism leading to the development of social systems and subsystems in Gujarat. The study also tries to examine microfinance model and implications in the context of various initiatives taken by the government and non-government agencies in Gujarat supported by field evidences. The present study relied on both theoretical and empirical methodologies. Field data comprised 225-sample size, collected through systematic sampling in Gujarat; secondary data has been compiled from relevant print and electronic sources. Findings suggest that microfinance interventions should not be limited to credit deployment; rather, they should focus on group formation, savings, livelihood promotion, enterprise development and marketing of produce. The paper concludes that microfinance plays an important role in socio-economic development.</t>
  </si>
  <si>
    <t>[Parwez, Sazzad] Indian Inst Hlth Management Res, Sch Rural Management, Jaipur 302029, Rajasthan, India; [Patel, Ruchi] Cent Univ Gujarat, Ctr Studies Econ &amp; Planning, Gandhinagar 382030, Gujarat, India; [Shekar, K. Chandra] Ctr Dev Studies, Thiruvananthapuram 695011, Kerala, India</t>
  </si>
  <si>
    <t>Parwez, S (corresponding author), Indian Inst Hlth Management Res, Sch Rural Management, Jaipur 302029, Rajasthan, India.</t>
  </si>
  <si>
    <t>sazzad.parwez@gmail.com; energy_ruchi161@yahoo.in; chandrashekarhcu@gmail.com</t>
  </si>
  <si>
    <t>parwez, sazzad/F-8124-2015</t>
  </si>
  <si>
    <t>parwez, sazzad/0000-0002-0248-7559; SHEKAR, K CHANA/0000-0002-4580-6142</t>
  </si>
  <si>
    <t>10.1007/s40609-017-0095-3</t>
  </si>
  <si>
    <t>WOS:000452329900002</t>
  </si>
  <si>
    <t>Ayuso, CD</t>
  </si>
  <si>
    <t>de la Cruz Ayuso, Cristina</t>
  </si>
  <si>
    <t>Financial Exclusion, Vulnerability and Subordiscrimination. Critical analysis on the right to access to basic banking services in the European Union</t>
  </si>
  <si>
    <t>CUADERNOS ELECTRONICOS DE FILOSOFIA DEL DERECHO</t>
  </si>
  <si>
    <t>Financial exclusion; vulnerability; subordiscrimination; basic banking services; basic payment account; consumer protection; European Union</t>
  </si>
  <si>
    <t>This article analyses the phenomenon of financial exclusion from the perspective of the concept of subordiscrimination. More specifically, it analyses whether the European regulatory framework aimed at ensuring this right contains elements that can lead to the discrimination, arising from its ambiguity and the limits it imposes. First, it presents a review of the literature that provides data on exclusion and discrimination. Second, it analyses the European Directive on Payment Accounts 2014/92/UE. Finally, it focuses on the examination of the Communication No 10/1997, Ziad Ben Ahmed Habassi c. Denmark (CERD/C/54/D/10/1997) concerning the refusal of bank loans to noncitizens.</t>
  </si>
  <si>
    <t>[de la Cruz Ayuso, Cristina] Univ Deusto Bilbao, Inst Derechos Humanos Pedro Arrupe, Bilbao, Spain</t>
  </si>
  <si>
    <t>University of Deusto</t>
  </si>
  <si>
    <t>Ayuso, CD (corresponding author), Univ Deusto Bilbao, Inst Derechos Humanos Pedro Arrupe, Bilbao, Spain.</t>
  </si>
  <si>
    <t>de la Cruz-Ayuso, Cristina/I-2282-2015</t>
  </si>
  <si>
    <t>de la Cruz-Ayuso, Cristina/0000-0001-7333-0834</t>
  </si>
  <si>
    <t>UNIV VALENCIA, SERVICIO PUBLICACIONS</t>
  </si>
  <si>
    <t>ARTS GRAFIQUES, 13, VALENCIA, 46010, SPAIN</t>
  </si>
  <si>
    <t>1138-9877</t>
  </si>
  <si>
    <t>CUAD ELECTRON FILOS</t>
  </si>
  <si>
    <t>Cuad. Electron. Filos. Derecho</t>
  </si>
  <si>
    <t>10.7203/CEFD.34.8917</t>
  </si>
  <si>
    <t>ER0NT</t>
  </si>
  <si>
    <t>WOS:000398485300007</t>
  </si>
  <si>
    <t>MAKING POVERTY INTO A FINANCIAL PROBLEM: FROM GLOBAL POVERTY LINES TO KIVA.ORG</t>
  </si>
  <si>
    <t>banking; online microfinance; financial inclusion; poverty alleviation</t>
  </si>
  <si>
    <t>MICROFINANCE; CREDIT; MONEY; RISK</t>
  </si>
  <si>
    <t>This paper presents the financialization of poverty as a conceptual addition to the literature on microfinance. It argues that for microfinance to be seen as a solution to poverty alleviation, poverty has been made into a financial problem. This is exemplified by the World Bank's global poverty line and leads to the constitution of poor people as financial subjects. In addition, thinking of poverty in financial terms enables Northern publics' engagement with poverty. Recent initiatives like Live Below the Line and Kiva.org are presented as examples of how poverty is made manageable for Northern supporters of microfinance. Copyright (c) 2013 John Wiley &amp; Sons, Ltd.</t>
  </si>
  <si>
    <t>10.1002/jid.2966</t>
  </si>
  <si>
    <t>AG8NC</t>
  </si>
  <si>
    <t>WOS:000335674300007</t>
  </si>
  <si>
    <t>Despard, MR; Chowa, GAN</t>
  </si>
  <si>
    <t>Despard, Mathieu R.; Chowa, Gina A. N.</t>
  </si>
  <si>
    <t>Testing a Measurement Model of Financial Capability Among Youth in Ghana</t>
  </si>
  <si>
    <t>VALIDITY; LITERACY; CRITERIA</t>
  </si>
  <si>
    <t>Youth may benefit from having enhanced financial knowledge and skills and access to financial services to help them navigate transitions to adulthood, though reliable and valid measures of youth financial capability to help assess financial education and inclusion intervention outcomes are lacking. Using survey responses from 5,451 youth ages 12-18 in Ghana, we used exploratory and confirmatory factor analysis to assess 18 survey items concerning youth financial behavior and understanding and attitudes concerning financial services. A 12-item, group invariant scale (alpha = .72) with three latent factors was retained in a well-fitting model that may help practitioners assess financial education and inclusion outcomes. We found that six items were poor indicators of youth financial capability, possibly because these items measure other constructs like numeracy, or because these items were not sufficiently assessed for developmental and cultural validity using qualitative methods like cognitive interviewing.</t>
  </si>
  <si>
    <t>[Despard, Mathieu R.; Chowa, Gina A. N.] Univ N Carolina, Sch Social Work, Chapel Hill, NC 27515 USA; [Chowa, Gina A. N.] Washington Univ, Ctr Social Dev, St Louis, MO 63130 USA</t>
  </si>
  <si>
    <t>University of North Carolina; University of North Carolina Chapel Hill; Washington University (WUSTL)</t>
  </si>
  <si>
    <t>Despard, MR (corresponding author), Univ N Carolina, Sch Social Work, Chapel Hill, NC 27515 USA.</t>
  </si>
  <si>
    <t>despard@unc.edu; chowa@email.unc.edu</t>
  </si>
  <si>
    <t>; Chowa, Gina/L-4721-2019</t>
  </si>
  <si>
    <t>Despard, Mathieu/0000-0001-7590-7908;</t>
  </si>
  <si>
    <t>10.1111/joca.12031</t>
  </si>
  <si>
    <t>WOS:000339490100004</t>
  </si>
  <si>
    <t>Ansong, D; Chowa, G; Masa, R; Despard, M; Sherraden, M; Wu, Sy; Osei-Akoto, I</t>
  </si>
  <si>
    <t>Ansong, David; Chowa, Gina; Masa, Rainier; Despard, Mathieu; Sherraden, Michael; Wu, Shiyou; Osei-Akoto, Isaac</t>
  </si>
  <si>
    <t>Effects of Youth Savings Accounts on School Attendance and Academic Performance: Evidence from a Youth Savings Experiment</t>
  </si>
  <si>
    <t>Financial inclusion; School attendance; Academic performance; Junior high school; Difference-in-difference</t>
  </si>
  <si>
    <t>FINANCIAL LITERACY; FAMILY INCOME; ACHIEVEMENT; ASSETS; GHANA; EDUCATION; CHILD; EXPECTATIONS; STUDENTS; CONSTRAINTS</t>
  </si>
  <si>
    <t>Asset-accumulation interventions are promising tools for promoting better educational outcomes. However, little is known about the educational effects of youth-owned assets, particularly in resource-limited countries. The Ghana YouthSave Experiment established a rigorous foundation for exploring youth responses when offered opportunities to save for their education. This study uses data from 2000 junior high YouthSave participants, who were randomly assigned to one of two treatments (in-school or local bank access) or the control group. Treatment effects on school attendance and academic performance are examined using difference-in-difference estimation with bootstrapped standard errors. Treatment effects were significant for attendance but not performance. Findings suggest longer posttreatment follow-up is needed for effects to manifest. This study demonstrates the potential of asset-accumulation programs to contribute to improved behavioral outcomes, and offers insights for the integration of financial capability programs in youth development policies.</t>
  </si>
  <si>
    <t>[Ansong, David; Chowa, Gina; Masa, Rainier] Univ N Carolina, GSDI, 325 Pittsboro St 3550, Chapel Hill, NC 27599 USA; [Despard, Mathieu; Sherraden, Michael] Washington Univ, Brown Sch, One Brookings Dr,Campus Box 1196, St Louis, MO 63130 USA; [Wu, Shiyou] Arizona State Univ, 411 N Cent Ave,Suite 800, Phoenix, AZ 85004 USA; [Osei-Akoto, Isaac] Univ Ghana, ISSER, POB LG 74,Bot Gardens Rd, Legon, Ghana</t>
  </si>
  <si>
    <t>University of North Carolina; University of North Carolina Chapel Hill; Washington University (WUSTL); Arizona State University; Arizona State University-Downtown Phoenix; University of Ghana</t>
  </si>
  <si>
    <t>Ansong, D (corresponding author), Univ N Carolina, GSDI, 325 Pittsboro St 3550, Chapel Hill, NC 27599 USA.</t>
  </si>
  <si>
    <t>ansong@email.unc.edu</t>
  </si>
  <si>
    <t>Wu, Shiyou/Q-8769-2019; Masa, Rainier/S-9723-2019; Ansong, David/P-6162-2016; Chowa, Gina/L-4721-2019</t>
  </si>
  <si>
    <t>Wu, Shiyou/0000-0001-6531-5351; Despard, Mathieu/0000-0001-7590-7908; Masa, Rainier/0000-0002-0484-3107; Ansong, David/0000-0002-4624-3337;</t>
  </si>
  <si>
    <t>10.1007/s10834-018-9604-5</t>
  </si>
  <si>
    <t>WOS:000467658200010</t>
  </si>
  <si>
    <t>Apak, S; Husain, J; Eren, E; Acikgoz, AF</t>
  </si>
  <si>
    <t>Chi, RY; Chen, YT; Guo, YY</t>
  </si>
  <si>
    <t>Apak, Sudi; Husain, Jamaluddin; Eren, Erol; Acikgoz, Ali Faruk</t>
  </si>
  <si>
    <t>Role of Turkish Commercial Banks in Developing Sustainable Microfinance Program</t>
  </si>
  <si>
    <t>PROCEEDINGS OF THE THIRTEENTH WEST LAKE INTERNATIONAL CONFERENCE ON SMALL &amp; MEDIUM BUSINESS (WLICSMB 2011)</t>
  </si>
  <si>
    <t>13th West Lake International Conference on Small and Medium Business (WLICSMB 2011)</t>
  </si>
  <si>
    <t>OCT 15-17, 2011</t>
  </si>
  <si>
    <t>Hangzhou, PEOPLES R CHINA</t>
  </si>
  <si>
    <t>Hangzhou Municipal Govt, Commiss Econ &amp; Informalizat,Zhejian Prov Inst Small &amp; Medium Business,Hangzhou Municipal Govt,Natl Nat Sci Fdn China,Chinese Soc Technol Econ,Zhejiang Prov Small &amp; Medium Enterprises Bur,Zhejiang Univ Technol,World Assoc Ind &amp; Technol Res Org</t>
  </si>
  <si>
    <t>microfinance; micro credit; financial access; commercial banks; sustainability</t>
  </si>
  <si>
    <t>One of the most popular economic, efforts globally is to enable the poor people to get access to financial resources. The current Turkish efforts in this direction are limited to selected government agencies providing microfinance to the poor people on a subsidized basis. For obvious reasons such a practice does not stand a chance of ever become self-sustaining. The alternative involves seeking ways of persuading the private commercial banking industry, with all its competitive capacity and dynamism, to launch microfinance (MF) programs with a variety of different financial products as part of their corporate social responsibility (CSR). This paper first provides a brief overview of MF activities in Turkey, and after analyzing commercial banking industry data, it seeks to encourage the banking industry to seriously consider embracing MF for the poor of the country. This can easily be done by allocating a tiny fraction of their current resources towards MF as part of their corporate social responsibility, and making effective use of the industry's growing network of branches throughout the country. The study attempts to develop a systematic set of criteria to not only convince commercial banks about the MF potential, but also to persuade them to seriously try making MF products profitable and self-sustaining, while continuing to help ameliorate poverty. The recommended guidelines and criteria include considerations such as; maturity indifference, use of branch networks, mechanics of allocating funds from existing resources, levels of microcredit per customer, microcredit banking versus collateralized banking, targeting the economically lowest twenty percent of the population, etc. As a starting point for each commercial bank to initiate this CSR project, the study proposes a mandated requirement for every bank to allocate a certain percentage of its previous year's average profits per towards MF. Information is also provided on the successful trend among MF Institutions globally towards becoming self-sustaining, and gradually, even profitable. Brazil's experiences in this direction are tapped into to suggest a specific rule-of-thumb formula for the banking industry's use to penetrate the vast Untapped Turkish MF market. This study might prove to be an igniting point for jump starting a national effort towards assisting the poor through MF initiatives.</t>
  </si>
  <si>
    <t>[Apak, Sudi; Eren, Erol] Beykent Univ, Istanbul, Turkey</t>
  </si>
  <si>
    <t>Beykent University</t>
  </si>
  <si>
    <t>Acikgoz, Ali Faruk/O-7252-2017; Apak, Sudi/AAM-1310-2020</t>
  </si>
  <si>
    <t>Acikgoz, Ali Faruk/0000-0002-6426-983X;</t>
  </si>
  <si>
    <t>ZHEJIANG GONGSHANG UNIV PRESS</t>
  </si>
  <si>
    <t>HANGZHOU</t>
  </si>
  <si>
    <t>149 JIAOGONG RD, HANGZHOU, ZHEJIANG 00000, PEOPLES R CHINA</t>
  </si>
  <si>
    <t>978-7-81140-535-4</t>
  </si>
  <si>
    <t>BGM91</t>
  </si>
  <si>
    <t>WOS:000323529400055</t>
  </si>
  <si>
    <t>Huong, HR; Ha, HL</t>
  </si>
  <si>
    <t>Huong Thi Thanh Tran; Ha Thi Thu Le</t>
  </si>
  <si>
    <t>The Impact of Financial Inclusion on Poverty Reduction</t>
  </si>
  <si>
    <t>ASIAN JOURNAL OF LAW AND ECONOMICS</t>
  </si>
  <si>
    <t>financial inclusion; poverty; principal component analysis; 2SLS; GMM</t>
  </si>
  <si>
    <t>ECONOMIC-GROWTH; BANKING</t>
  </si>
  <si>
    <t>Poverty is a global issue and a lot of attention and efforts of the international community have been made to deal with this problem. Especially in the context of the COVID-19 pandemic, when a part of the population could fall into poverty due to rising unemployment and income deduction, identifying the factors affecting poverty becomes particularly important. Financial inclusion has been recognized as one important factor affecting poverty reduction. This research is conducted to investigate the impact of financial inclusion and other control variables on poverty reduction. The study employs Principal Component Analysis (PCA) to build a financial inclusion index. Using 2SLS and the GMM regressions for a panel data of 29 European countries during the period from 2011 to 2017, the results show that financial inclusion has a negative impact on poverty at all three poverty lines of USD1.9, 3.2, and 5.5 per day. The proportion of the population aged 15-64 and the ratio of service employment to the total number of employment also have a negative effect on all three levels of POV1.9, POV3.2, and POV5.5. In contrast, GDP per capita, trade openness and the proportion of the population aged from 25 with at least secondary school education have a positive impact on poverty at three levels of poverty. The results confirm that financial inclusion plays an important role in reducing poverty. The study provides a number of recommendations to governments to promote financial inclusion and reduce poverty in the countries.</t>
  </si>
  <si>
    <t>[Huong Thi Thanh Tran; Ha Thi Thu Le] Banking Acad, Fac Accounting &amp; Auditing, Hanoi, Vietnam</t>
  </si>
  <si>
    <t>Ha, HL (corresponding author), Banking Acad, Fac Accounting &amp; Auditing, Hanoi, Vietnam.</t>
  </si>
  <si>
    <t>Huongttt76@hvnh.edu.vn; haltt@hvnh.edu.vn</t>
  </si>
  <si>
    <t>Tran, Huong/0000-0003-0461-0263; Le, Thi Thu Ha/0000-0002-4963-6144</t>
  </si>
  <si>
    <t>2194-6086</t>
  </si>
  <si>
    <t>2154-4611</t>
  </si>
  <si>
    <t>ASIAN J LAW ECON</t>
  </si>
  <si>
    <t>Asian J. Law Econ.</t>
  </si>
  <si>
    <t>10.1515/ajle-2020-0055</t>
  </si>
  <si>
    <t>RQ2UE</t>
  </si>
  <si>
    <t>WOS:000642275100005</t>
  </si>
  <si>
    <t>Hendriks, S</t>
  </si>
  <si>
    <t>Hendriks, Sarah</t>
  </si>
  <si>
    <t>The role of financial inclusion in driving women?s economic empowerment</t>
  </si>
  <si>
    <t>Gender and diversity; Labour and livelihoods ? poverty reduction; Microfinance; Technology ? ICT</t>
  </si>
  <si>
    <t>SAVINGS; GENDER; ALLOCATION; IMPACTS; GROWTH</t>
  </si>
  <si>
    <t>This article highlights why the Bill &amp; Melinda Gates Foundation has focused on financial inclusion to advance women?s economic empowerment and drive progress on gender equality. It highlights key lessons from financial inclusion-related projects the foundation has supported within the ?Putting Women and Girls at the Center of Development (WGCD) Grand Challenge? in 2015. The article also shares the logic and research informing the foundation?s strategy to close the gender gap in financial inclusion ? a key pillar of its strategy on women?s economic empowerment ? and improve the lives and livelihoods of millions of women around the world.</t>
  </si>
  <si>
    <t>[Hendriks, Sarah] Bill &amp; Melinda Gates Fdn, Gender Equal, Seattle, WA 98109 USA</t>
  </si>
  <si>
    <t>Hendriks, S (corresponding author), Bill &amp; Melinda Gates Fdn, Gender Equal, Seattle, WA 98109 USA.</t>
  </si>
  <si>
    <t>info@gatesfoundation.org</t>
  </si>
  <si>
    <t>10.1080/09614524.2019.1660308</t>
  </si>
  <si>
    <t>WOS:000494294600006</t>
  </si>
  <si>
    <t>González-Núñez, J; Mariné-Osorio, FJ; Domínguez, S</t>
  </si>
  <si>
    <t>Gonzalez-Nunez, Jose; Marine-Osorio, Fernando Jose; Dominguez, Salomon</t>
  </si>
  <si>
    <t>Financial literacy is a construct: an ordered logit approximation in Mexico</t>
  </si>
  <si>
    <t>Behavioural finance; financial literacy; ordered logistic model; financial inclusion; socio-behavioural</t>
  </si>
  <si>
    <t>INCLUSION; BEHAVIOR; EDUCATION; EXCLUSION; BANKING; ADULTS</t>
  </si>
  <si>
    <t>This research aims to identify the factors explaining the level of financial literacy, divided into three levels, low, medium and high, of the Mexican population over the age of 18. This study fills a gap in microeconomic studies, which essentially lack an analysis of financial literacy and the study of financial literacy as a construct defined by the ENIF 2021 and by the Organization for Economic Cooperation and Development, in which financial literacy is measured by three components, financial knowledge, behaviour and attitudes; a relevant empirical assumption for this methodology is that the variable does not fit a standard normal distribution. Due to the nature of the dependent variable, an Ordered Logistic Model is used, taking into account independent variables with economic, socio-behavioural and institutional characteristics. The number of observations used was 13,570, in which the sample has a probabilistic, three-stage, stratified, clustered design; the sample represents 90.3 million people over the age of 18. The results show that the main explanatory factors for financial literacy are income level, mobile phone tenure, gender, age and town size. Young people (aged 18-35) are more likely to be financially literate than people over 65, who are less financially literate. Females are also more likely to be financially literate than males. In terms of institutional focus, urban dwellers are more likely to be financially literate than those in rural areas. This paper provides policymakers with a valuable opportunity to understand Mexican society better and improve financial decision-making, money management and positive future behaviours.</t>
  </si>
  <si>
    <t>[Gonzalez-Nunez, Jose; Dominguez, Salomon] Univ Anahuac Mexico, Fac Economia &amp; Negocios, Ciudad de Mexico, Mexico; [Marine-Osorio, Fernando Jose] Univ Anahuac Mexico, Fac Ciencias Actuariales, Ciudad de Mexico, Mexico</t>
  </si>
  <si>
    <t>Domínguez, S (corresponding author), Univ Anahuac Mexico, Fac Economia &amp; Negocios, Ciudad de Mexico, Mexico.</t>
  </si>
  <si>
    <t>Domínguez de la Cruz, Salomón/0000-0003-1380-1715; Marine, fernando/0000-0002-9979-0430</t>
  </si>
  <si>
    <t>10.1080/23322039.2024.2391941</t>
  </si>
  <si>
    <t>E1A5M</t>
  </si>
  <si>
    <t>WOS:001300402400001</t>
  </si>
  <si>
    <t>Wann, CR; Brockman, BK; Brockman, CM</t>
  </si>
  <si>
    <t>Wann, Christi R.; Brockman, Beverly K.; Brockman, Christopher M.</t>
  </si>
  <si>
    <t>Credit record overconfidence and alternative financial service use</t>
  </si>
  <si>
    <t>Alternative financial services; Overconfidence; National Financial Capability Study; Credit record management; Credit score; Financial knowledge; Financial literacy</t>
  </si>
  <si>
    <t>LITERACY; KNOWLEDGE; EDUCATION; BIASES; USAGE</t>
  </si>
  <si>
    <t>Purpose The purpose of this paper is to study the effect of credit record overconfidence on the use of alternative financial services (AFSs). Design/methodology/approach Using data from the 2018 National Financial Capability Study (NFCS), the authors estimate logistic regressions on the use of at least one AFS by adding a credit record confidence variable that captures deviations between self-assessments of credit record management and the number of reported behaviors that would negatively affect aspects of a Fair Isaac Corporation (FICO) score. Findings The authors find that respondents with credit record overconfidence have over two times higher odds (123.9%) of using AFS than the odds of respondents with financial knowledge overconfidence (46.8%), relative to their reference categories. When compared directly, those with only credit record overconfidence have 32.6% higher odds of using AFS than those with only financial knowledge overconfidence. Practical implications The results provide implications for education programs, not only for vulnerable groups at higher risk for AFS use but also for those with cognitive biases, such as credit record overconfidence. Potential solutions include personal financial education that includes debiasing and behavioral techniques for overconfidence. Originality/value This paper studies, for the first time, the effect of deviations between actual and perceived credit record management on AFS use.</t>
  </si>
  <si>
    <t>[Wann, Christi R.] Univ Tennessee, Gary W Rollins Coll Business, Chattanooga, TN 37403 USA; [Brockman, Beverly K.] Univ Evansville, Coll Business &amp; Engn, Evansville, IN USA; [Brockman, Christopher M.] Univ Evansville, Schroeder Family Sch Business Adm, Evansville, IN USA</t>
  </si>
  <si>
    <t>University of Tennessee System; University of Tennessee at Chattanooga; University of Evansville; University of Evansville</t>
  </si>
  <si>
    <t>Wann, CR (corresponding author), Univ Tennessee, Gary W Rollins Coll Business, Chattanooga, TN 37403 USA.</t>
  </si>
  <si>
    <t>christi-wann@utc.edu</t>
  </si>
  <si>
    <t>; Wann, Christi/ISA-3768-2023</t>
  </si>
  <si>
    <t>Brockman, Beverly/0000-0001-7915-6646; Wann, Christi/0000-0002-6756-3196</t>
  </si>
  <si>
    <t>JUN 29</t>
  </si>
  <si>
    <t>10.1108/RBF-09-2021-0171</t>
  </si>
  <si>
    <t>L1QX8</t>
  </si>
  <si>
    <t>WOS:000767385700001</t>
  </si>
  <si>
    <t>Bhatia, S; Dawar, G</t>
  </si>
  <si>
    <t>Bhatia, Shivangi; Dawar, Gaurav</t>
  </si>
  <si>
    <t>The Impact of Financial Inclusion on Social and Political Empowerment: Mediating Role of Economic Empowerment</t>
  </si>
  <si>
    <t>Financial inclusion; Women empowerment; Financial inclusion index; Economic empowerment; Slums</t>
  </si>
  <si>
    <t>WOMENS EMPOWERMENT; DOMESTIC VIOLENCE; OUTCOMES; GENDER; ACCESS; HEALTH; ABUSE; INDEX; INDIA; RISK</t>
  </si>
  <si>
    <t>The primary purpose of this paper is to examine the impact of financial inclusion on women's social and political empowerment through the mediation of economic empowerment. A multidimensional index is created, using methodology by UNDP, to measure financial inclusion. Women's empowerment is measured through economic, social, and political dimensions. The data collected from 545 women in slums through a structured schedule on a 5-point Likert scale. Exploratory and confirmatory factor analysis was performed to measure the construct. Multivariate statistical techniques such as regression were used to test the relationship between financial inclusion and women empowerment. The findings underscore a discernibly modest representation of women attaining high financial inclusion in slum settings. It is essential to recognise the pivotal role of economic empowerment as a partial mediator within the intricate interplay linking financial inclusion to social and political empowerment. This investigation is grounded in an examination of urban slums but has the potential for broader applicability, encompassing rural regions and locales proximate to financial centers within metropolitan areas to formulate a comprehensive framework for the empowerment of women. The findings underscore the impact of socio-economic and politico-economic factors on the incorporation of marginalized communities into the formal financial system. The current investigation results have implications for policymakers in developing countries that can serve as a valuable resource to enhance women's participation in the formal financial system.</t>
  </si>
  <si>
    <t>[Bhatia, Shivangi] Indira Gandhi Delhi Tech Univ Women, Dept Management, New Delhi, India; [Bhatia, Shivangi] Delhi Technol Univ, Univ Sch Management &amp; Entrepreneurship, Delhi, India; [Dawar, Gaurav] CHRIST, Sch Business &amp; Management, Bangalore, Karnataka, India</t>
  </si>
  <si>
    <t>Indira Gandhi Delhi Technical University for Women (IGDTUW); Delhi Technological University; Christ University</t>
  </si>
  <si>
    <t>Dawar, G (corresponding author), CHRIST, Sch Business &amp; Management, Bangalore, Karnataka, India.</t>
  </si>
  <si>
    <t>shivangibhatia88@gmail.com; gauravdawar@gmail.com</t>
  </si>
  <si>
    <t>Dawar, Gaurav/HNC-4532-2023; Bhatia, Shivangi/MSY-6424-2025</t>
  </si>
  <si>
    <t>2023 DEC 6</t>
  </si>
  <si>
    <t>10.1007/s13132-023-01621-1</t>
  </si>
  <si>
    <t>Z7JK7</t>
  </si>
  <si>
    <t>WOS:001113798700001</t>
  </si>
  <si>
    <t>The poverty of fintech? Psychometrics, credit infrastructures, and the limits of financialization</t>
  </si>
  <si>
    <t>Financial inclusion; psychometrics; credit scoring; technology; financialization; science and technology studies; historical materialism</t>
  </si>
  <si>
    <t>BIG 5; MARKET; RISK; PAYMENTS; VALIDITY; POLITICS; ECONOMY; FINANCE</t>
  </si>
  <si>
    <t>It is increasingly common to claim that innovative financial technologies ('fintech') will enable ever-wider access to credit. Previous critical accounts have often linked the development of fintech to processes of financialization. However, these arguments rarely take account of the uneven and highly limited character of 'financial inclusion' in practice. Drawing on engagements with science and technology studies and historical materialist political economy, this article advances an approach emphasizing processes of abstraction from productive activities, mediated through particular infrastructures, as core elements of financial accumulation. Seen in this light, psychometrics in particular and alternative credit data more broadly can be seen as flawed efforts to confront three sets of limits-(1) the necessarily reductive character of abstract framings, and the consequent challenges posed by their encounter with complex processes in practice, (2) the ways that systems for credit scoring interact with the infrastructures of existing financial systems, and (3) the difficulty of realizing financial profits in the context of widespread precarious livelihoods. Looking at alternative forms of credit data from this angle offers a way of grasping the truncated and uneven rollout of fintech, and hence of prompting more critical reflections about the limits to processes of financialization.</t>
  </si>
  <si>
    <t>[Bernards, Nick] Univ Warwick, Global Sustainable Dev, Coventry, W Midlands, England</t>
  </si>
  <si>
    <t>Bernards, N (corresponding author), Univ Warwick, Coventry, W Midlands, England.</t>
  </si>
  <si>
    <t>n.bernards@warwick.ac.uk</t>
  </si>
  <si>
    <t>Social Sciences and Humanities Research Council of Canada [756-2016-0297]</t>
  </si>
  <si>
    <t>Social Sciences and Humanities Research Council of Canada, Postdoctoral Fellowship 756-2016-0297.</t>
  </si>
  <si>
    <t>10.1080/09692290.2019.1597753</t>
  </si>
  <si>
    <t>MAY 2019</t>
  </si>
  <si>
    <t>WOS:000469532200001</t>
  </si>
  <si>
    <t>Mobile Money, Remittances, and Household Welfare: Panel Evidence from Rural Uganda</t>
  </si>
  <si>
    <t>mobile money; financial inclusion; household welfare; Africa; Uganda</t>
  </si>
  <si>
    <t>Access to financial services is crucial for development as it enhances resource mobilization needed for productive investment and facilitates consumption smoothing. With a vast majority of adult Ugandans having no access to formal financial services, mobile money is expected to bridge this gap especially in rural areas. This financial product allows users to make financial transactions using their mobile phones. Within five years of its inception in Uganda since 2009, the mobile money service has been used by over 35% of the adult population and the rate of penetration is rapidly increasing. We investigate its impact on household welfare using panel data covering 846 rural households. Using a combination of household fixed effects, instrumental variable and propensity score matching methods, we find a positive and significant effect of mobile money access on household welfare, measured by real per capita consumption. The mechanism of this impact is the facilitation of remittances; user households are more likely to receive remittances, receive remittances more frequently, and the total value received is significantly higher than that of non-user households. We attribute this impact on the reduction in transaction, transport, and time costs associated with mobile phone-based financial transactions. Our results are robust to changes in model specifications and alternative explanations. (C) 2015 Elsevier Ltd. All rights reserved.</t>
  </si>
  <si>
    <t>Munyegera, GK (corresponding author), Natl Grad Inst Policy Studies, Tokyo, Japan.</t>
  </si>
  <si>
    <t>MEXT (Ministry of Education, Culture, Sports, Science and Technology); Global Center of Excellency; JSPS [25101002]; Grants-in-Aid for Scientific Research [26301018, 25101002, 15H02619] Funding Source: KAKEN</t>
  </si>
  <si>
    <t>MEXT (Ministry of Education, Culture, Sports, Science and Technology)(Ministry of Education, Culture, Sports, Science and Technology, Japan (MEXT)); Global Center of Excellency;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</si>
  <si>
    <t>We wish to thank Keijiro Otsuka, Chikako Yamauchi and participants at the 2014 Pacific Conference for Development Economics, Center for Effective Global Action, University of California Los Angeles for their insightful comments and suggestions. Constructive comments from Aaron Janine at Oxford University and members of the GRIPS Development Research Group are highly appreciated. This work was supported by MEXT (Ministry of Education, Culture, Sports, Science and Technology), Global Center of Excellency and JSPS KANENHI Grant Number 25101002. All errors remain ours. Final revision accepted: November 21, 2015.</t>
  </si>
  <si>
    <t>10.1016/j.worlddev.2015.11.006</t>
  </si>
  <si>
    <t>DB9WS</t>
  </si>
  <si>
    <t>WOS:000368869000010</t>
  </si>
  <si>
    <t>Kohli, K; Kashyap, M; Kuruva, MB; Tiwari, S</t>
  </si>
  <si>
    <t>Kohli, Kamlesh; Kashyap, Monika; Kuruva, Mahendra Babu; Tiwari, Sunil</t>
  </si>
  <si>
    <t>Mobile banking: a bibliometric analysis</t>
  </si>
  <si>
    <t>Financial inclusion; Mobile banking; Economic growth; Technology; VOSviewer</t>
  </si>
  <si>
    <t>INTELLECTUAL STRUCTURE; SAUDI-ARABIA; ADOPTION; INTERNET; SYSTEMS</t>
  </si>
  <si>
    <t>This study aims to analyze the keywords related to mobile banking by focusing on its development between 2003 and 2023. To do so, a systematic bibliometric analysis is undertaken, for which, the screening of Scopus database was done to identify the publication (institutions, most-prolific authors, year-wise, countries-wise and most-cited papers). Additionally, keyword occurrence analysis was also done using the VOSviewer software. The results of the study indicate that there are worldwide trends and increased production that have resulted in various changes. One prominent topic that consistently emerges in relation to mobile banking across different time periods is mobile telecommunication technologies. Through the demonstration of the origination of major terminologies in mobile banking, notable shifts in the evolution of the field's terminological framework were discernible. Hence, it is imperative to investigate the progress in forthcoming decades, specifically the impact of recent global events on the evolution of mobile banking usage worldwide. Furthermore, the current study adds substantial value to the existing body of literature by presenting a conceptual framework that might guide future research endeavors. The framework offers researchers the potential to investigate the many study streams in forthcoming studies. The present study represents a novel contribution in terms of its methodology. A thorough examination of research databases, such as Scopus and Google Scholar, reveals a lack of published literature that comprehensively and extensively addresses the topic of mobile banking (m-banking) in a multi-period context, particularly in an applied manner. Moreover, the present study addresses this research gap by the implementation of a bibliometric analysis and content analysis.</t>
  </si>
  <si>
    <t>[Kohli, Kamlesh; Kashyap, Monika; Kuruva, Mahendra Babu] HNB Garhwal Cent Univ, Dept Business Management, Srinagar 246174, Uttarakhand, India; [Tiwari, Sunil] Cent Univ Kerala, Sch Business Studies, Dept Tourism Studies, Kasaragod, India</t>
  </si>
  <si>
    <t>Hemwati Nandan Bahuguna Garhwal University; Central University of Kerala</t>
  </si>
  <si>
    <t>Tiwari, S (corresponding author), Cent Univ Kerala, Sch Business Studies, Dept Tourism Studies, Kasaragod, India.</t>
  </si>
  <si>
    <t>kkohli.07@gmail.com; monikakash@gmail.com; mahendrababu3687@gmail.com; sunilkumar@cukerala.ac.in</t>
  </si>
  <si>
    <t>KOHLI, KAMLESH/NEU-0233-2025; , Sunil Tiwari/HMW-0468-2023</t>
  </si>
  <si>
    <t>KOHLI, KAMLESH/0000-0002-2769-8635; , Sunil Tiwari/0000-0002-0180-9237</t>
  </si>
  <si>
    <t>10.1057/s41264-024-00267-7</t>
  </si>
  <si>
    <t>WOS:001153729500001</t>
  </si>
  <si>
    <t>Bari, MA; Khan, GD; Khuram, MA; Islam, MJ; Yoshida, Y</t>
  </si>
  <si>
    <t>Bari, M. D. Abdul; Khan, Ghulam Dastgir; Khuram, Mohammad Ajmal; Islam, Md. Jahedul; Yoshida, Yuichiro</t>
  </si>
  <si>
    <t>Financial inclusion and expenditure patterns: Insights from slum households in Bangladesh</t>
  </si>
  <si>
    <t>Financial inclusion; expenditure; education; slum; Bangladesh</t>
  </si>
  <si>
    <t>IMPACT; MICROFINANCE; POVERTY; POOR</t>
  </si>
  <si>
    <t>Vulnerable households often tend to decrease their human capital expenditures, like education and training, to maintain food and non-food (clothing and housing) expenditures when any income shock occurs. Financial inclusion acts as a safeguard to maintain the stability of human capital investments in households because it provides an opportunity to save additional resources to invest for productive purposes. This study examines the impact of financial inclusion on the expenditure pattern of slum households in Bangladesh using propensity score matching. Four outcomes-food, non-food, educational, and health expenditure-are considered in this study. A heterogeneous analysis and inverse probability weighted regression adjustment estimation were conducted as robustness checks. Our results demonstrate that financial inclusion has only a significant positive impact on slum households' educational expenditures, while financial inclusion has no impact on food, non-food, or health expenditures.</t>
  </si>
  <si>
    <t>[Bari, M. D. Abdul] Hiroshima Univ, Grad Sch Innovat, Practice Smart Soc, Hiroshima, Japan; [Khan, Ghulam Dastgir] Hiroshima Univ, IDEC Inst, Grad Sch Humanities &amp; Social Sci, Hiroshima, Japan; [Khuram, Mohammad Ajmal; Yoshida, Yuichiro] Hiroshima Univ, Grad Sch Humanities &amp; Social Sci, Hiroshima, Japan; [Islam, Md. Jahedul] Bangladesh Bank, Head Off, Dhaka, Bangladesh</t>
  </si>
  <si>
    <t>Hiroshima University; Hiroshima University; Hiroshima University</t>
  </si>
  <si>
    <t>Khan, GD (corresponding author), Hiroshima Univ, IDEC Inst, Grad Sch Humanities &amp; Social Sci, Hiroshima, Japan.</t>
  </si>
  <si>
    <t>Khan, Ghulam Dastgir/N-4323-2014; Bari, Abdul/JMB-1956-2023</t>
  </si>
  <si>
    <t>Khan, Ghulam Dastgir/0000-0002-5704-363X; Khuram, Mohammad Ajmal/0000-0002-5454-8798; Bari, Abdul/0000-0002-2835-4324; Islam, Jahedul/0000-0002-9742-0014</t>
  </si>
  <si>
    <t>Grants-in-Aid for Scientific Research [20H01466, 23K22111, 21KK0028, 20K01632] Funding Source: KAKEN</t>
  </si>
  <si>
    <t>10.1080/23322039.2024.2312364</t>
  </si>
  <si>
    <t>HM8P3</t>
  </si>
  <si>
    <t>WOS:001160016700001</t>
  </si>
  <si>
    <t>Cui, X; Xiao, JJ; Yi, JT</t>
  </si>
  <si>
    <t>Cui, Xu; Xiao, Jing Jian; Yi, Jingtao</t>
  </si>
  <si>
    <t>EMPLOYMENT TYPE, RESIDENTIAL STATUS AND CONSUMER FINANCIAL CAPABILITY: EVIDENCE FROM CHINA HOUSEHOLD FINANCE SURVEY</t>
  </si>
  <si>
    <t>China Household Finance Survey; financial capability; the government-managed system; household residence registration</t>
  </si>
  <si>
    <t>PORTFOLIO CHOICE; LITERACY; ORIGINS; SYSTEM; REFORM; LABOR; RISK</t>
  </si>
  <si>
    <t>Research on consumer financial capability is important for consumer financial wellbeing and emerging in the literature. However, studies on consumer financial capability in the Chinese context remain limited. To fill up the research gap, we used data from the 2011 China Household Finance Survey to investigate whether employment type and residential status were associated with consumer financial capability in China. Consumer financial capability was measured by the range of financial assets. Results from OLS and Poisson regressions showed that people employed in the government-managed system, with urban residence registration and with non-local rural residence registration had a better financial capability than their respective counterparts. The results have policy implications for improving consumer financial education and supporting vulnerable consumers.</t>
  </si>
  <si>
    <t>[Cui, Xu; Yi, Jingtao] Renmin Univ China, Sch Business, Beijing, Peoples R China; [Cui, Xu; Xiao, Jing Jian] Univ Rhode Isl, Dept Human Dev &amp; Family Studies, Kingston, RI USA</t>
  </si>
  <si>
    <t>Yi, JT (corresponding author), Renmin Univ China, Sch Business, Beijing, Peoples R China.</t>
  </si>
  <si>
    <t>billcui_work@ruc.edu.cn; jjxiao@uri.edu; yijingtao@rbs.ruc.edu.cn</t>
  </si>
  <si>
    <t>CUI, XU/JYO-8134-2024; Xiao, Jing Jian/R-1415-2016</t>
  </si>
  <si>
    <t>China Scholarship Council [[2016]3100]</t>
  </si>
  <si>
    <t>The China Scholarship Council provided the support for Mr Xu Cui, a doctoral student from School of Business, Renmin University of China, for his research as a visiting scholar at the University of Rhode Island with a scholarship (Grant Number [2016]3100). We thank Professor Steven Shuye Wang for his comment on the construction of weighted financial asset in the robustness checks. We thank Deborah Kopech for her assistance in copy editing.</t>
  </si>
  <si>
    <t>10.1142/S0217590817430032</t>
  </si>
  <si>
    <t>HR6DT</t>
  </si>
  <si>
    <t>WOS:000463239900005</t>
  </si>
  <si>
    <t>Baluja, G</t>
  </si>
  <si>
    <t>Baluja, Garima</t>
  </si>
  <si>
    <t>Financial Literacy Among Women in India: A Review</t>
  </si>
  <si>
    <t>Financial Planning; Financial literacy; Financial Inclusion</t>
  </si>
  <si>
    <t>With the onset of several financial and economic reforms, the scope of entire market is getting wider. Several new financial products are being introduced in the market that is generating the need for individuals to plan and invest their finances tactfully. In other words, financial planning is becoming essential for financial well being of an individual. While on the one hand, the role of financial planning is largely acknowledged, on the other hand the significance of financial literacy is still lagging behind, especially for women. Moreover, the level of financial literacy among the Indian women has not been largely documented. Hence, the need arises to understand in detail the issue of financial literacy among women in India. This paper is an attempt in this direction. It has been observed that although it is imperative that women should be given equal power to take financial decisions as taken by men, yet many Indian women are facing several cultural, financial, psychological and physical barriers that are creating hindrances in becoming financially literate. The government is taking initiatives for making the people more financially literate, yet there persists a lot of gap in the financial literacy level of men and women. Hence, more women specific financial literacy programs should be introduced and new universities should be established to make the women more literate. This would not only make the women more independent and empowered but would facilitate the growth of the whole nation.</t>
  </si>
  <si>
    <t>[Baluja, Garima] DAV Univ, Jalandhar, Punjab, India</t>
  </si>
  <si>
    <t>DAV University, Jalandhar</t>
  </si>
  <si>
    <t>Baluja, G (corresponding author), DAV Univ, Jalandhar, Punjab, India.</t>
  </si>
  <si>
    <t>Baluja, Dr.Garima/GZL-0879-2022</t>
  </si>
  <si>
    <t>VK5QQ</t>
  </si>
  <si>
    <t>WOS:000730882100011</t>
  </si>
  <si>
    <t>Iqbal, Z; Rao, ZUR; Akram, M; Ahmad, M</t>
  </si>
  <si>
    <t>Iqbal, Zahid; Rao, Zia-Ur Rehman; Akram, Muhammad; Ahmad, Maqsood</t>
  </si>
  <si>
    <t>Bridging the gap: how knowledge sharing, individual values, financial literacy and incentives drive digital payment adoption in Pakistan</t>
  </si>
  <si>
    <t>SOUTH ASIAN JOURNAL OF BUSINESS STUDIES</t>
  </si>
  <si>
    <t>Digital knowledge sharing; Financial literacy; Behavioral intention; Digital payment; Individual value; Digital payment incentives</t>
  </si>
  <si>
    <t>VALIDITY; RELIABILITY; INCLUSION</t>
  </si>
  <si>
    <t>PurposeThis study aims to investigate the many elements that affect the adoption of digital payments in Pakistan, with an emphasis on the role of digital knowledge sharing, personal values, financial literacy and incentives on digital payment.Design/methodology/approachThis study's theoretical foundation is the Theory of Acceptance and Use of Technology (UTAUT). Utilizing the conveyance sampling technique, data were gathered from 237 respondents using a pre-tested scale. The framework and analysis were empirically validated, using a two-stage structural equation modeling methodology through PLS-SEM software.FindingsThe outcomes demonstrated that sharing digital knowledge improved financial literacy. A significant mediating role for financial literacy was also discovered between the behavioral intentions for digital payment and the sharing of digital knowledge. Additionally, the moderating effect of individual value was found to be important in the relationship between financial literacy and the sharing of digital knowledge. The relationship between financial literacy and behavioral intentions toward digital payments is also moderated by incentives on digital payment.Originality/valueThe shift from cash-based transactions to digital payments marks a critical turning point in Pakistan's financial environment. This study gives perceptions and suggestions to improve financial inclusion and the acceptance of digital payment in Pakistan. It accomplishes this by trying to offer a thorough understanding of the factors impacting the adoption of digital payment.</t>
  </si>
  <si>
    <t>[Iqbal, Zahid] Univ Okara, Off Registrar, Okara, Pakistan; [Rao, Zia-Ur Rehman] Univ Educ, UE Business Sch, Lahore, Pakistan; [Akram, Muhammad] Univ Punjab, Hailey Coll Commerce, Quaid I Azam Campus, Lahore, Pakistan; [Ahmad, Maqsood] Univ Okara, Dept Stat, Okara, Pakistan</t>
  </si>
  <si>
    <t>University of Punjab</t>
  </si>
  <si>
    <t>Iqbal, Z (corresponding author), Univ Okara, Off Registrar, Okara, Pakistan.</t>
  </si>
  <si>
    <t>zahidiqballak@gmail.com; ziarao@hotmail.com; makram.hcc@pu.edu.pk; maqsood.stat@uo.edu.pk</t>
  </si>
  <si>
    <t>Iqbal, Zahid/MYQ-8476-2025; Rao, Zia-ur-Rehman/AAE-9835-2019</t>
  </si>
  <si>
    <t>2398-628X</t>
  </si>
  <si>
    <t>2398-6298</t>
  </si>
  <si>
    <t>S ASIAN J BUS STUD</t>
  </si>
  <si>
    <t>South Asian J. Bus. Stud.</t>
  </si>
  <si>
    <t>10.1108/SAJBS-06-2024-0253</t>
  </si>
  <si>
    <t>9FP5G</t>
  </si>
  <si>
    <t>WOS:001605191400001</t>
  </si>
  <si>
    <t>Sethy, SK; Sethi, N; Joshi, DPP</t>
  </si>
  <si>
    <t>Sethy, Susanta Kumar; Sethi, Narayan; Joshi, D. P. Priyadarshi</t>
  </si>
  <si>
    <t>Does financial inclusion improve the effectiveness of monetary policy in South Asian countries? Exploring the role of interest rate</t>
  </si>
  <si>
    <t>Financial inclusion; Monetary policy; FGLS; SAARC; E4; G2; O23</t>
  </si>
  <si>
    <t>ECONOMIC-GROWTH; TRANSMISSION; PANEL; CHANNEL; MODEL</t>
  </si>
  <si>
    <t>PurposeSeveral studies reported that financial inclusion was instrumental in effective monetary policy transmission. Thus, this paper aims to examine the implications of financial inclusion on inflation, a proxy for monetary policy efficacy, in the South Asia Association of Regional Cooperation nations.Design/methodology/approachThis paper used the data for seven South Asian nations from 2004 to 2023. Multidimensional financial inclusion indices for each country are estimated every year using the UNDP methodology. The second-generation unit root tests are applied to the stationarity of the data. First, the study applied the fixed effect, random effect and pooled regressions to the data. Second, to solve the problem of heteroskedasticity and cross-sectional dependency, this study used the feasible-generalized least square method, and to check the robustness of the results, the study reported the panel-corrected standard error regressions estimates.FindingsThe feasible generalized least square regression result suggests that financial inclusion is instrumental in controlling inflation in these economies. Both demand and supply-side financial inclusion factors contribute to the success of the bank credit channel in this region. Furthermore, interest rates control inflation. The impact of per capita gross domestic product growth on inflation is negative and statistically significant. However, the coefficient for money supply growth is found to be statistically insignificant.Originality/valueThis study adds to the existing literature in three points. First, the multidimensional financial inclusion index for seven countries is estimated; second, the second-generation tests are applied to examine the impact of financial inclusion on inflation for the panel of seven South Asian nations; and third, the paper also discusses the mediating effect of interest rate on controlling inflation.</t>
  </si>
  <si>
    <t>[Sethy, Susanta Kumar] Rajendra Univ, Dept Econ, Balangir, India; [Sethi, Narayan] Natl Inst Technol Rourkela, Dept Humanities &amp; Social Sci, Rourkela, India; [Joshi, D. P. Priyadarshi] Gangadhar Meher Univ, Sch Econ, Sambalpur, India</t>
  </si>
  <si>
    <t>Sethy, SK (corresponding author), Rajendra Univ, Dept Econ, Balangir, India.</t>
  </si>
  <si>
    <t>susanthu2010@gmail.com; nsethinarayan@gmail.com; dppriyadarshi.joshi@gmail.com</t>
  </si>
  <si>
    <t>Joshi, D P Priyadarshi/ADO-3931-2022; Sethi, Narayan/AAE-3534-2020</t>
  </si>
  <si>
    <t>Joshi, D P Priyadarshi/0000-0001-9512-6332;</t>
  </si>
  <si>
    <t>10.1108/JFEP-07-2024-0195</t>
  </si>
  <si>
    <t>2LH0K</t>
  </si>
  <si>
    <t>WOS:001485348700001</t>
  </si>
  <si>
    <t>New insights into the impact of financial inclusion on economic growth: A global perspective</t>
  </si>
  <si>
    <t>COINTEGRATION TESTS; PANEL-DATA; INCLUSIVENESS; REGRESSION; POVERTY; LINKAGE; NEXUS</t>
  </si>
  <si>
    <t>Financial inclusion is critical to inclusive growth, proffering policy solutions to eradicate the barriers that exclude individuals from financial markets. This study explores the effects of financial inclusion on economic growth in a global perspective with a large number of panels classified by income and regional levels from 2002-2020. The analysis begins with the development of a comprehensive composite financial inclusion index comprised of penetration, availability, and usage of financial services and the estimation of heterogeneous panel data models augmented with well-known variables. The results obtained from the panel cointegration test support a long-run relationship between economic growth, financial inclusion, and the control variables in the full panel, income-level, and regional-level economies. Furthermore, the study employs a GMM (generalized method of moment) approach using System-GMM estimators to examine the effects of financial inclusion and the control predictors on economic growth. The results of the GMM model clearly indicate that financial inclusion has a significantly positive impact on economic growth across all panels, implying that financial inclusion is an effective tool in fostering rapid economic growth in the world. Finally, the study delves into the causality relationship between the predictors and provides statistical evidence of bidirectional causality between economic growth and financial inclusion, whereas it only supports unidirectional causality relationships from credit to the private sector, foreign direct investment, inflation rate, the rule of law, school enrollment ratio, and trade openness with no feedback causality. Moreover, the study fails to provide causality evidence from the age dependency ratio and population to economic growth.</t>
  </si>
  <si>
    <t>[Azimi, Mohammad Naim] Kabul Univ, Fac Econ, Kabul, Afghanistan</t>
  </si>
  <si>
    <t>Azimi, MN (corresponding author), Kabul Univ, Fac Econ, Kabul, Afghanistan.</t>
  </si>
  <si>
    <t>e0277730</t>
  </si>
  <si>
    <t>10.1371/journal.pone.0277730</t>
  </si>
  <si>
    <t>8O7KW</t>
  </si>
  <si>
    <t>WOS:000926013600099</t>
  </si>
  <si>
    <t>Mia, MA; Dalla Pellegrina, L; Van Damme, P; Wijesiri, M</t>
  </si>
  <si>
    <t>Mia, Md Aslam; Dalla Pellegrina, Lucia; Van Damme, Patrick; Wijesiri, Mahinda</t>
  </si>
  <si>
    <t>Financial Inclusion, Deepening and Efficiency in Microfinance Programs: Evidence from Bangladesh</t>
  </si>
  <si>
    <t>Microfinance; Financial inclusion; Efficiency; Bangladesh</t>
  </si>
  <si>
    <t>PRODUCTIVITY GROWTH; TECHNICAL PROGRESS; INSTITUTIONS; OUTREACH; PERFORMANCE; SUSTAINABILITY; OWNERSHIP; BANKING; 2-STAGE; SCALE</t>
  </si>
  <si>
    <t>The economic literature provides evidence that growth is associated with positive performance of the financial sector. This aspect is particularly important for developing countries. This study aims to investigate whether, in an environment of growing competition and regulation, the maintenance of their social mission may have led microfinance institutions (MFIs) to compromise their performance, in terms of efficient production of credit services. To this purpose, we use a two-stage approach to analyze the relationship between outreach and efficiency of MFIs in Bangladesh. In the first stage, a dynamic data envelopment analysis is exploited to measure the efficiency of MFIs from 2009 to 2014. The results show that most of the MFIs are operationally inefficient over the period, suggesting a considerable potential for future improvement. In the second stage, the study examines the potential trade-off between MFIs' commitment to financial inclusion and depth of outreach on the one hand and efficiency on the other hand, using a double bootstrapping methodology that helps in limiting the problems arising from the endogenous nature of the measures of outreach with respect to efficiency. The results show that financial inclusion is positively associated with MFIs' efficiency, whereas the relationship between deepening and efficiency turns up negative, providing partial evidence in support of 'mission drift' in the Bangladesh microfinance industry. This may be indicative of the fact that MFIs with stronger commercial objectives have expanded their business and their margins of efficiency to compete with other intermediaries. In contrast, the MFIs with a more intense social strategy may have suffered a decrease in their operating efficiency in order to maintain their social mission. Policy implications point towards a greater degree of awareness on the part of the regulatory authorities of the consequences of imposing constraints on the operating mechanisms of the microfinance industry, such as interest rate caps. We also suggest that rules disciplining competition should not be uniform, but rather tailored to specific outreach indicators.</t>
  </si>
  <si>
    <t>[Mia, Md Aslam] USM, Sch Management SOM, Pulau Penang 11800, Malaysia; [Dalla Pellegrina, Lucia] Univ Milano Bicocca, DEMS, Piazza Ateneo Nuovo 1, Milan, Italy; [Van Damme, Patrick] Univ Ghent, Fac Biosci Engn, Dept Plants &amp; Crops, Lab Trop &amp; Subtrop Agr &amp; Ethnobot, Coupure Links 653, B-9000 Ghent, Belgium; [Van Damme, Patrick] Czech Univ Life Sci Prague, Fac Trop AgriSci, Kamycka 129, Prague 16521 6, Suchdol, Czech Republic; [Wijesiri, Mahinda] Ton Duc Thang Univ, Dept Management Sci &amp; Technol Dev, Ho Chi Minh City, Vietnam; [Wijesiri, Mahinda] Ton Duc Thang Univ, Fac Business Adm, Ho Chi Minh City, Vietnam</t>
  </si>
  <si>
    <t>Universiti Sains Malaysia; University of Milano-Bicocca; Ghent University; Czech University of Life Sciences Prague; Ton Duc Thang University; Ton Duc Thang University</t>
  </si>
  <si>
    <t>Wijesiri, M (corresponding author), Ton Duc Thang Univ, Dept Management Sci &amp; Technol Dev, Ho Chi Minh City, Vietnam.;Wijesiri, M (corresponding author), Ton Duc Thang Univ, Fac Business Adm, Ho Chi Minh City, Vietnam.</t>
  </si>
  <si>
    <t>mahinda@tdtu.edu.vn</t>
  </si>
  <si>
    <t>, Patrick/AAI-8779-2020; Mia, Aslam/AAD-6996-2020</t>
  </si>
  <si>
    <t>DALLA PELLEGRINA, LUCIA/0000-0002-3648-7506; Mia, Aslam/0000-0002-6452-1126</t>
  </si>
  <si>
    <t>10.1057/s41287-018-0188-6</t>
  </si>
  <si>
    <t>IS6CL</t>
  </si>
  <si>
    <t>WOS:000482239800005</t>
  </si>
  <si>
    <t>Azmeh, C</t>
  </si>
  <si>
    <t>Azmeh, Chadi</t>
  </si>
  <si>
    <t>Bridging divides: the role of Fintech and financial inclusion in reducing poverty and inequality in developing countries</t>
  </si>
  <si>
    <t>Fintech; financial inclusion; poverty and inequality; developing countries; SDG1; SDG10; G21; O16</t>
  </si>
  <si>
    <t>INCOME INEQUALITY; IMPACT; ACCESS</t>
  </si>
  <si>
    <t>This study explores the intertwined roles of Fintech and financial inclusion in addressing poverty and inequality in developing countries. Utilizing panel regression models with PCSE and FGLS methodologies, we analyze data from 108 low to upper-middle-income countries spanning 2011, 2014, 2017, and 2021. The study findings highlight Fintech's transformative impact on financial inclusion, with mobile banking complementing traditional banking in reducing poverty rates. However, the relationship with income inequality reveals a dual nature: while promoting broader access to financial services, it also poses risks of substituting conventional solutions. This underscores the necessity for policymakers to weave Fintech innovations into existing financial systems thoughtfully, promoting socioeconomic equity and sustainable development. By harmonizing modern financial technologies with traditional frameworks, our research addresses the pressing challenges of poverty (SDG 1) and income inequality (SDG 10), offering fresh insights for creating equitable financial ecosystems in emerging economies.</t>
  </si>
  <si>
    <t>[Azmeh, Chadi] Int Univ Sci &amp; Technol, Dept Banking &amp; Financial Sci, Daraa, Syria; [Azmeh, Chadi] Univ Kalamoon, Dept Finance &amp; Banking, Deir Atiyeh, Syria; [Azmeh, Chadi] Jinan Univ, Dept Finance, Tripoli, Lebanon</t>
  </si>
  <si>
    <t>International University Science &amp; Technology Syria; University of Kalamoon</t>
  </si>
  <si>
    <t>Azmeh, C (corresponding author), Int Univ Sci &amp; Technol, Dept Banking &amp; Financial Sci, Daraa, Syria.;Azmeh, C (corresponding author), Univ Kalamoon, Dept Finance &amp; Banking, Deir Atiyeh, Syria.;Azmeh, C (corresponding author), Jinan Univ, Dept Finance, Tripoli, Lebanon.</t>
  </si>
  <si>
    <t>Azmeh, Chadi/L-3231-2019</t>
  </si>
  <si>
    <t>10.1080/2157930X.2025.2467515</t>
  </si>
  <si>
    <t>X8Y7W</t>
  </si>
  <si>
    <t>WOS:001428140100001</t>
  </si>
  <si>
    <t>Qamruzzaman, M</t>
  </si>
  <si>
    <t>Qamruzzaman, Md.</t>
  </si>
  <si>
    <t>RETRACTED: Does financial innovation foster financial inclusion in Arab world? examining the nexus between financial innovation, FDI, remittances, trade openness, and gross capital formation (Retracted article. See vol. 20, 2025)</t>
  </si>
  <si>
    <t>FOREIGN DIRECT-INVESTMENT; UNIT-ROOT TESTS; ECONOMIC-GROWTH; PANEL-DATA; INSTITUTIONAL QUALITY; RENEWABLE ENERGY; MEDIATING ROLE; COINTEGRATION; FINTECH; OUTPUT</t>
  </si>
  <si>
    <t>The present paper aims to study the impacts of financial innovation on financial inclusion for selected 22 Arab countries from 2004 to 2020. It considers financial inclusion as a dependent variable. It describes ATMs and the number of commercial banks' depositors as proxy variables. In contrast, financial inclusion is considered an independent variable. We used the ratio between broad and narrow money to describe it. We employ several statistical tests such as lm, Pesaran, and shin W-stat, a- tests for cross-section dependence, and unit root and panel granger causality with NARDL and system GMM approaches. The empirical results reveal the significant nexus between these two variables. The outcomes suggest that adaptation and diffusion of financial innovation play catalyst roles in bringing unbanked people into the financial network. In comparison, the inflows of FDI establish mixed positive and negative effects, which vary with model estimation following different econometrical tools. It is also revealed that FDI inflow can augment the financial inclusion process, and trade openness can play a directive role and enhance the financial inclusion process. These findings suggest that financial innovation, trade openness, and institutional quality should continue in the selected countries to enhance financial inclusion and promote capital formation in the selected countries.</t>
  </si>
  <si>
    <t>[Qamruzzaman, Md.] United Int Univ, Sch Business &amp; Econ, Dhaka, Bangladesh</t>
  </si>
  <si>
    <t>Institute for Advanced Research Publication Grant [IAR/2022/Pub/009]</t>
  </si>
  <si>
    <t>Institute for Advanced Research Publication Grant</t>
  </si>
  <si>
    <t>The authors wish to thank anonymous referees for all value comments. The author is responsible for any remaining errors</t>
  </si>
  <si>
    <t>JUN 16</t>
  </si>
  <si>
    <t>e0287475</t>
  </si>
  <si>
    <t>10.1371/journal.pone.0287475</t>
  </si>
  <si>
    <t>M4IP6</t>
  </si>
  <si>
    <t>WOS:001029859700026</t>
  </si>
  <si>
    <t>Marini, L; Andrew, J; van der Laan, S</t>
  </si>
  <si>
    <t>Marini, Lisa; Andrew, Jane; van der Laan, Sandra</t>
  </si>
  <si>
    <t>Tools of accountability: protecting microfinance clients in South Africa?</t>
  </si>
  <si>
    <t>ACCOUNTING AUDITING &amp; ACCOUNTABILITY JOURNAL</t>
  </si>
  <si>
    <t>Microfinance; Consumer protection; Accountability; Financial inclusion; Non-governmental organization (NGO)</t>
  </si>
  <si>
    <t>ORGANIZATIONS; PARTICIPATION; MANAGEMENT; INEQUALITY; FINANCE</t>
  </si>
  <si>
    <t>Purpose - The purpose of this paper is to explore the ways in which accountability is operationalised within the context of a South African microfinance institution (MFI). In particular, the authors consider the introduction of a tool to enhance consumer protection, the Client Protection Card (CPC), to deliver accountability within the case organisation. In contrast to prior research, the authors focus on accountability from the perspective of clients and fieldworkers. Design/methodology/approach - A single in-depth case study of the introduction and implementation of a CPC in an MFI operating within South Africa was conducted. The case study and timing afforded an opportunity to gather unique data, given the MFI's client-centred philosophy and the recent introduction of the CPC. The qualitative approach adopted for this research allowed collection of data through direct observations, interviews, a fieldwork diary and documentation. The theoretical framing for this paper views accountability as involving social practices, allowing us to foreground the existence of interdependencies among people interacting within the same organisation or system (Roberts, 1996). Findings - The case study demonstrates that three aspects are critical to the success of the card: the design, which requires sensitivity to the local culture; the distribution, which demands for significant sensemaking work to be undertaken by fieldworkers; and the drivers for introducing the card, which need to be responsive to the clients' perspective. The paper illustrates how well-intended tools of accountability can fail to deliver effectively, both for the organisation and the users, if they are not tailored appropriately to the needs of clients. Originality/value - This paper differs from prior research as it explores the ways in which fieldworkers and MFI clients make sense of a tool of accountability, the CPC. Given that the CPC was designed to meet guidelines produced by international policymakers and domestic legislators, the paper provides a grassroots analysis of the effectiveness of the implementation of such tools from the perspective of clients and fieldworkers. This local focus allows the authors to examine the ways in which mounting global expectations for increased accountability of MFIs are being operationalised in practice.</t>
  </si>
  <si>
    <t>[Marini, Lisa; Andrew, Jane; van der Laan, Sandra] Univ Sydney, Sch Business, Discipline Accounting, Sydney, NSW, Australia</t>
  </si>
  <si>
    <t>University of Sydney</t>
  </si>
  <si>
    <t>Marini, L (corresponding author), Univ Sydney, Sch Business, Discipline Accounting, Sydney, NSW, Australia.</t>
  </si>
  <si>
    <t>lisa.marini@sydney.edu.au</t>
  </si>
  <si>
    <t>Anew, Jane/0000-0002-3543-5317; Van Der Laan, Sana/0000-0002-7773-8447</t>
  </si>
  <si>
    <t>1368-0668</t>
  </si>
  <si>
    <t>1758-4205</t>
  </si>
  <si>
    <t>ACCOUNT AUDIT ACCOUN</t>
  </si>
  <si>
    <t>Account. Audit Account.</t>
  </si>
  <si>
    <t>10.1108/AAAJ-04-2016-2548</t>
  </si>
  <si>
    <t>FF0HE</t>
  </si>
  <si>
    <t>WOS:000408582000006</t>
  </si>
  <si>
    <t>Todorov, L; Aleksandrova, A; Ismailov, T</t>
  </si>
  <si>
    <t>Todorov, Lyubomir; Aleksandrova, Aleksandrina; Ismailov, Taner</t>
  </si>
  <si>
    <t>RELATION BETWEEN FINANCIAL LITERACY AND CARBON FOOTPRINT: REVIEW ON IMPLICATIONS FOR SUSTAINABLE DEVELOPMENT</t>
  </si>
  <si>
    <t>ECONOMICS ECOLOGY SOCIUM</t>
  </si>
  <si>
    <t>sustainability; carbon footprint; financial literacy; partial correlation; regression model</t>
  </si>
  <si>
    <t>INCLUSION; MANAGEMENT; MODEL</t>
  </si>
  <si>
    <t>Introduction. Financial literacy has been recognized worldwide as a significant element of stability and economic and financial growth. With the evolution of financial instruments, the growing importance of financial inclusion, its correlation with financial literacy, and the effects they have on sustainability, the concept of financial literacy is dramatically changing and getting more inclusive, spreading the focus on sustainability, sustainable consumption, and environmental preservation. Aim and tasks. The aim of the study is to examine the connection between the population's financial literacy level and greenhouse gas emissions. The working hypothesis claims that there is a relationship between financial literacy and the carbon footprint. Results. The correlation and regression analyses were the main tools in the study, while the dataset for 2014 covered 137 countries, with the main dependent variables being carbon emissions per capita, per unit of gross domestic product, and per unit of energy. The partial correlation coefficients between financial literacy rating and carbon footprint variables were insignificant when controlled for economic development, represented by per capita gross domestic product. Estimated econometric models with financial literacy in quadratic form were adequate and showed a significant connection between financial literacy and carbon emissions per capita and per gross domestic product at the 5% level. The relationship with carbon emissions per unit of energy was significant at the 10% level. In all three models, the relationships followed an inverse U-shape, with low financial literacy increasing the carbon footprint and higher financial literacy decreasing it. The turning numbers for financial literacy were 35.8% for carbon emissions per capita, 41.4% for emissions per unit of gross domestic product, and 32.4% for emissions per unit of energy. Conclusions. Financial literacy was indeed associated with carbon emissions in a complex, non-linear way. The effect of energy consumption on carbon emissions was stronger than financial literacy and appeared to be the driving force for the increase in carbon emissions. With low financial literacy observed in underdeveloped countries, the situation was not favorable for the environment. As financial literacy increased, welfare, income, and consumption increased too, leading to an increase in greenhouse gas emissions, i.e., a bigger CO2 footprint. Once a certain stage of economic development was reached, the relationship was reversed, i. e., in developed countries, financial literacy worked towards reducing the carbon footprint and protecting the environment.</t>
  </si>
  <si>
    <t>[Todorov, Lyubomir; Aleksandrova, Aleksandrina; Ismailov, Taner] Tsenov Acad Econ, Svishtov, Bulgaria</t>
  </si>
  <si>
    <t>Tsenov Academy of Economics</t>
  </si>
  <si>
    <t>Todorov, L (corresponding author), Tsenov Acad Econ, Svishtov, Bulgaria.</t>
  </si>
  <si>
    <t>lubomir.ivanov@uni-svishtov.bg; a.alexandrova@uni-svishtov.bg; t.ismailov@uni-svishtov.bg</t>
  </si>
  <si>
    <t>Todorov, Lyubomir/AAE-8659-2022; Ismailov, Taner/AIC-6073-2022; Aleksanova, Aleksanina/AAJ-7461-2021</t>
  </si>
  <si>
    <t>Todorov, Lyubomir/0000-0001-7781-9549; Ismailov, Taner/0000-0001-8329-1373; Aleksanova, Aleksanina/0000-0001-9533-1563</t>
  </si>
  <si>
    <t>Dr. Viktor Koval</t>
  </si>
  <si>
    <t>Odessa</t>
  </si>
  <si>
    <t>Inglezi, 6, Odessa, UKRAINE</t>
  </si>
  <si>
    <t>2616-7107</t>
  </si>
  <si>
    <t>2786-8958</t>
  </si>
  <si>
    <t>ECON ECOL SOC</t>
  </si>
  <si>
    <t>Econ. Ecol. Soc.</t>
  </si>
  <si>
    <t>10.31520/2616-7107/2023.7.2-2</t>
  </si>
  <si>
    <t>M5DO4</t>
  </si>
  <si>
    <t>WOS:001030420200002</t>
  </si>
  <si>
    <t>Lusardi, A; Mitchell, OS; Oggero, N</t>
  </si>
  <si>
    <t>Lusardi, Annamaria; Mitchell, Olivia S.; Oggero, Noemi</t>
  </si>
  <si>
    <t>Understanding debt in the older population</t>
  </si>
  <si>
    <t>debt; financial literacy; medical bills; retirement; student loans; G40; G41; G51; G53; H31</t>
  </si>
  <si>
    <t>FINANCIAL LITERACY; EDUCATION</t>
  </si>
  <si>
    <t>We explore debt and debt management among older Americans (ages 51-61 years) using the 2018 National Financial Capability Study. Though these individuals should have been at the peak of their retirement savings, we show that many were heavily indebted, often due to unpaid medical bills and student loans. Additionally, fewer than half (43%) could correctly answer three basic financial literacy questions; importantly, less financially literate people were more likely to hold excessive debt, be contacted by debt collectors, and carry medical debt or student loans. Our findings show that, even before the pandemic, a sizable proportion of older Americans was financially distressed, underscoring the need for researchers and policymakers to devote attention to specific types of debt that burden the older population. Particularly vulnerable groups include African-Americans, women, and the least-educated.</t>
  </si>
  <si>
    <t>[Lusardi, Annamaria] Stanford Univ, Grad Sch Business, Stanford, PA USA; [Mitchell, Olivia S.] Univ Penn, Wharton Sch, Philadelphia, CA USA; [Oggero, Noemi] Univ Turin, Dept Management, Turin, Italy</t>
  </si>
  <si>
    <t>University of Turin</t>
  </si>
  <si>
    <t>Oggero, N (corresponding author), Univ Turin, Dept Management, Turin, Italy.</t>
  </si>
  <si>
    <t>noemi.oggero@unito.it</t>
  </si>
  <si>
    <t>Lusardi, Annamaria/AEB-6291-2022; Oggero, Noemi/AAI-8901-2020</t>
  </si>
  <si>
    <t>Oggero, Noemi/0000-0003-1475-5407; Mitchell, Olivia/0000-0002-6419-8314</t>
  </si>
  <si>
    <t>This project received funding from the TIAA Institute and the Wharton School's Pension Research Council/Boettner Center. We thank participants at the 2020 TIAA Fellows Symposium and the 2020 Academic Research Colloquium for Financial Planning and Related Disciplines, Alexandria, VA, for suggestions and comments. The content is solely the responsibility of the authors and does not necessarily represent the official views of the above-named institutions.</t>
  </si>
  <si>
    <t>2025 JUL 15</t>
  </si>
  <si>
    <t>10.1017/S1474747225100024</t>
  </si>
  <si>
    <t>4XK7Z</t>
  </si>
  <si>
    <t>WOS:001528963700001</t>
  </si>
  <si>
    <t>Nkoa, BEO; Song, JS</t>
  </si>
  <si>
    <t>Nkoa, Bruno Emmanuel Ongo; Song, Jacques Simon</t>
  </si>
  <si>
    <t>Does institutional quality affect financial inclusion in Africa? A panel data analysis</t>
  </si>
  <si>
    <t>ECONOMIC SYSTEMS</t>
  </si>
  <si>
    <t>Africa; Education; Institutions; Sys-GMM</t>
  </si>
  <si>
    <t>DETERMINANTS; ACCESS; SERVICES; BANKING; SAVINGS; LAW</t>
  </si>
  <si>
    <t>In this article, we investigate the impact of institutional quality on financial inclusion with a sample of fifty-one African countries. We specify and estimate a dynamic panel data model with the system-generalized method of moments (sys-GMM) over the period 2004-2018, based on different approaches to financial inclusion. Our results show that institutional quality increases financial inclusion as well as the penetration, accessibility, and use of financial services in Africa. These results remain robust to the provision of financial education. Acceleration of income-generating activities in Africa will require improvement in financial institutions.</t>
  </si>
  <si>
    <t>[Nkoa, Bruno Emmanuel Ongo; Song, Jacques Simon] Univ Dschang, Dept Dev Econ, Dschang, Cameroon</t>
  </si>
  <si>
    <t>Nkoa, BEO (corresponding author), POB 110, Dschang, Cameroon.</t>
  </si>
  <si>
    <t>SONG, Jacques/0000-0002-8944-1982</t>
  </si>
  <si>
    <t>Ministry of Education, Science, Sports, and Culture of Japan (MESSC) [17K03683, 19K01633, 20K01630]; Murata Science Foundation; Mitsubishi Foundation [30230]; Grants-in-Aid for Scientific Research [17K03683, 19K01633, 20K01630] Funding Source: KAKEN</t>
  </si>
  <si>
    <t>Ministry of Education, Science, Sports, and Culture of Japan (MESSC)(Ministry of Education, Culture, Sports, Science and Technology, Japan (MEXT)); Murata Science Foundation; Mitsubishi Foundation; Grants-in-Aid for Scientific Research(Ministry of Education, Culture, Sports, Science and Technology, Japan (MEXT)Japan Society for the Promotion of ScienceGrants-in-Aid for Scientific Research (KAKENHI))</t>
  </si>
  <si>
    <t>The authors acknowledge comments and suggestions from Ichiro Iwasaki, Xu Gang, Zhang Dongyang, and two anonymous referees. All views and errors remain our own. This work was funded by Scientific Research (C) No. 17K03683, (C) No. 19K01633, and (C) No. 20K01630 from the Ministry of Education, Science, Sports, and Culture of Japan (MESSC), the Murata Science Foundation, and the Mitsubishi Foundation No. 30230.</t>
  </si>
  <si>
    <t>0939-3625</t>
  </si>
  <si>
    <t>1878-5433</t>
  </si>
  <si>
    <t>ECON SYST</t>
  </si>
  <si>
    <t>Econ. Syst.</t>
  </si>
  <si>
    <t>10.1016/j.ecosys.2020.100836</t>
  </si>
  <si>
    <t>PH9ZM</t>
  </si>
  <si>
    <t>WOS:000600761000015</t>
  </si>
  <si>
    <t>Alami, I; Guermond, V</t>
  </si>
  <si>
    <t>Alami, Ilias; Guermond, Vincent</t>
  </si>
  <si>
    <t>The color of money at the financial frontier</t>
  </si>
  <si>
    <t>Race; finance; development; money; racial capitalism</t>
  </si>
  <si>
    <t>WORLD; CAPITALISM; RACE; MICROFINANCE; GEOGRAPHIES; COLONIALITY; POVERTY; MARKETS; AFRICA; POWER</t>
  </si>
  <si>
    <t>This article takes up recent calls to further problematize race in international political economy by focusing on money at the frontier of global finance. We draw upon the Black radical tradition's theoretical formulations of racial capitalism, which we bring into dialogue with conceptualizations of money and finance as developed within the critique of political economy. Money is the most supreme and abstract incarnation of wealth and class power, yet it is also suffused with racial and colonial logics of differentiation. To explore this tension, we offer a relational-comparison of two sites of frontier finance, namely cross-border investment and digital financial inclusion in developing countries. We trace the mechanisms through which race affects the operations of money and finance across these two sites. We argue that racialized difference is mobilized and reproduced at three key moments in the construction of investibility at the financial frontier: (1) the re/making of a development 'problem'; (2) the construction of racialized ideal-typical financial subjects; and (3) processes of risk valuation and the legitimation of surveillance, discipline, and extraction. This allows us to characterize the color of money at the financial frontier as a particularly potent and violent combination of the abstractive powers of race and money.</t>
  </si>
  <si>
    <t>[Alami, Ilias] Uppsala Univ, Dept Social &amp; Econ Geog, Uppsala, Sweden; [Guermond, Vincent] Royal Holloway Univ London, Dept Geog, London, England</t>
  </si>
  <si>
    <t>Uppsala University; University of London; Royal Holloway University London</t>
  </si>
  <si>
    <t>Alami, I (corresponding author), Uppsala Univ, Dept Social &amp; Econ Geog, Uppsala, Sweden.</t>
  </si>
  <si>
    <t>ilias.alami@kultgeog.uu.se</t>
  </si>
  <si>
    <t>Guermond, Vincent/0000-0002-0137-6451; Alami, Ilias/0000-0002-8737-3306</t>
  </si>
  <si>
    <t>10.1080/09692290.2022.2078857</t>
  </si>
  <si>
    <t>H9JD6</t>
  </si>
  <si>
    <t>WOS:000810443100001</t>
  </si>
  <si>
    <t>Phan, CT; Vo, DTH; Thien, NN; Borer, D</t>
  </si>
  <si>
    <t>Phan, Chung Thanh; Vo, Diem Thi Hong; Thien, Nguyen Nhan; Borer, Daniel</t>
  </si>
  <si>
    <t>Novel Insights for Successful Microcredit Policies and Gender Dynamics: A Comparative Study of Rural Entrepreneurs in Vietnam and Thailand</t>
  </si>
  <si>
    <t>gender bias; microcredit; rural non-farming; self-employment businesses; Southeast Asia; Thailand; Vietnam</t>
  </si>
  <si>
    <t>SUB-SAHARAN AFRICA; WOMEN-LED SMES; FIRM PERFORMANCE; CREDIT EVIDENCE; ACCESS; DISCRIMINATION; FINANCE</t>
  </si>
  <si>
    <t>Access to finance is critical for rural non-farm self-employment businesses in Southeast Asia, but financial constraints and gender discrimination impede their growth. Existing literature largely overlooks vulnerable groups like rural household businesses. This study investigates finance credit access challenges for female-managed non-farm businesses among rural entrepreneurs in Vietnam and Thailand. Valid instrumental variables address bias and endogeneity. Results indicate no evidence of discrimination against women in credit access. In fact, some evidence suggests moderate discrimination favoring women. A comparison of microcredit policies suggests that Vietnam's interventionist approach may be more effective in supporting wealth accumulation than Thailand's more liberal, market-oriented model.</t>
  </si>
  <si>
    <t>[Phan, Chung Thanh; Vo, Diem Thi Hong; Thien, Nguyen Nhan; Borer, Daniel] RMIT Univ, Business Sch, Vietnam Campus, Ho Chi Minh City, Vietnam</t>
  </si>
  <si>
    <t>Phan, CT (corresponding author), RMIT Univ, Business Sch, Vietnam Campus, Ho Chi Minh City, Vietnam.</t>
  </si>
  <si>
    <t>chung.phan@rmit.edu.vn</t>
  </si>
  <si>
    <t>Thanh Phan, Chung/GZM-8960-2022</t>
  </si>
  <si>
    <t>Thanh Phan, Chung/0000-0002-5478-8943; Nguyen Thien, Nhan/0000-0003-0509-0757</t>
  </si>
  <si>
    <t>RMIT University; German Research Foundation (DFG); Wiley - RMIT University agreement via the Council of Australian University Librarians</t>
  </si>
  <si>
    <t>RMIT University; German Research Foundation (DFG)(German Research Foundation (DFG)); Wiley - RMIT University agreement via the Council of Australian University Librarians</t>
  </si>
  <si>
    <t>We would like to express our sincere gratitude to the three anonymous reviewers and the editor for their constructive comments and valuable suggestions, which have significantly improved the quality of this paper. We also gratefully acknowledge the access to data provided by the project Thailand Vietnam Socio Economic Panel (TVSEP) (), funded by the German Research Foundation (DFG). The support of the TVSEP team in facilitating data access is deeply appreciated. Open access publishing facilitated by RMIT University, as part of the Wiley - RMIT University agreement via the Council of Australian University Librarians.</t>
  </si>
  <si>
    <t>2025 JUL 31</t>
  </si>
  <si>
    <t>10.1111/rode.70033</t>
  </si>
  <si>
    <t>5NZ3J</t>
  </si>
  <si>
    <t>WOS:001540209000001</t>
  </si>
  <si>
    <t>Charron-Cheniér, R; Seamster, L</t>
  </si>
  <si>
    <t>Charron-Chenier, Raphael; Seamster, Louise</t>
  </si>
  <si>
    <t>Racialized Debts: Racial Exclusion From Credit Tools and Information Networks</t>
  </si>
  <si>
    <t>CRITICAL SOCIOLOGY</t>
  </si>
  <si>
    <t>debt; financial literacy; financial exclusion; predatory inclusion; credit; racial inequality; structural racism; sociology</t>
  </si>
  <si>
    <t>FINANCIAL LITERACY; PAYDAY LOANS; RACE; WEALTH; ACCESS; RED; DISCRIMINATION; ASSOCIATION; YOUNG; BLACK</t>
  </si>
  <si>
    <t>Research on debt highlights its use as a tool for investment and a substitute for public welfare programs. Use of debt, however, is not equal across social groups. Black households in particular have lower debt levels than white households. In this paper, we explore the context behind massive racial disparities in household debt. Conceptually, we propose that personal debt is an indicator of integration in the financial system. As such, we argue that black households' lower debt levels can be understood as financial isolation rather than financial health. We support this argument by using data from the Survey of Consumer Finances to estimate racial differences in access to financial tools net of racial differences in socioeconomic status, asset levels, and financial literacy. We also show that black households' financial information networks are different from white households' in ways that suggest restricted access to formal financial institutions.</t>
  </si>
  <si>
    <t>[Charron-Chenier, Raphael] Arizona State Univ, Tempe, AZ 85287 USA; [Seamster, Louise] Univ Iowa, Iowa City, IA 52242 USA</t>
  </si>
  <si>
    <t>Arizona State University; Arizona State University-Tempe; University of Iowa</t>
  </si>
  <si>
    <t>Charron-Cheniér, R (corresponding author), Arizona State Univ, Sch Social Transformat, 240 E Orange Mall,POB 876403, Tempe, AZ 85287 USA.</t>
  </si>
  <si>
    <t>rcharron@asu.edu</t>
  </si>
  <si>
    <t>Charron-Chénier, Raphaël/0000-0002-5254-9332</t>
  </si>
  <si>
    <t>0896-9205</t>
  </si>
  <si>
    <t>1569-1632</t>
  </si>
  <si>
    <t>CRIT SOCIOL</t>
  </si>
  <si>
    <t>Crit. Sociol.</t>
  </si>
  <si>
    <t>10.1177/0896920519894635</t>
  </si>
  <si>
    <t>UK7TZ</t>
  </si>
  <si>
    <t>WOS:000512268000001</t>
  </si>
  <si>
    <t>Ma, TX</t>
  </si>
  <si>
    <t>Ma, Tingxi</t>
  </si>
  <si>
    <t>Rethinking the Role of Informality as a Barrier to Financial Inclusion: Insights from an Indian Urban Setting</t>
  </si>
  <si>
    <t>SOUTH ASIA-JOURNAL OF SOUTH ASIAN STUDIES</t>
  </si>
  <si>
    <t>Digitalisation; financial inclusion; informal employment; informality; microfinance; slums</t>
  </si>
  <si>
    <t>POLICIES; POOR</t>
  </si>
  <si>
    <t>Informality has been conventionally understood as a barrier to financial inclusion. This article offers an alternative perspective that conceives informality as labour, housing and financial informality, and financial inclusion as universal access to and use of a full range of formal financial services to challenge this prevailing view. Field evidence collected in Kolkata suggests that while labour and housing informality hinder broad-based financial inclusion, financial informality, comprising heterogenous informal financial practices that act as substitutes for or supplements to formal practices, play a developmental role, or involve illegal elements in the process, has more complex implications for financial inclusion. This permits the advancement of a typology of financial informality-substitutive, supplementary, developmental and illegal-to categorise informal financial practices. Among them, developmental informality that promotes a stepping stone transition to formality undisputedly challenges the idea that informality is always a barrier to financial inclusion.</t>
  </si>
  <si>
    <t>[Ma, Tingxi] Beijing Normal Univ, Business Sch, Beijing, Peoples R China</t>
  </si>
  <si>
    <t>Beijing Normal University</t>
  </si>
  <si>
    <t>Ma, TX (corresponding author), Beijing Normal Univ, Business Sch, Beijing, Peoples R China.</t>
  </si>
  <si>
    <t>matingxi@bnu.edu.cn</t>
  </si>
  <si>
    <t>0085-6401</t>
  </si>
  <si>
    <t>1479-0270</t>
  </si>
  <si>
    <t>S ASIA</t>
  </si>
  <si>
    <t>S. Asia</t>
  </si>
  <si>
    <t>10.1080/00856401.2025.2538338</t>
  </si>
  <si>
    <t>Area Studies; History; Asian Studies</t>
  </si>
  <si>
    <t>8SD1X</t>
  </si>
  <si>
    <t>WOS:001552077300001</t>
  </si>
  <si>
    <t>Ali, MM; Devi, A; Furgani, H; Hamzah, H</t>
  </si>
  <si>
    <t>Ali, Mohammad Mahbubi; Devi, Abrista; Furgani, Hafas; Hamzah, Hamzah</t>
  </si>
  <si>
    <t>Islamic financial inclusion determinants in Indonesia: an ANP approach</t>
  </si>
  <si>
    <t>Indonesia; Islamic finance; Financial inclusion; Demand factors; Supply factors</t>
  </si>
  <si>
    <t>PREDICTING EFFICIENCY; BANKING SERVICES; AWARENESS; ACCESS; LITERACY; LEADERS; SYSTEM</t>
  </si>
  <si>
    <t>Purpose - This study aims to uncover the determinants of Islamic financial inclusion in Indonesia. Design/methodology/approach - This study uses the analytic network process (ANP) to gather expert opinions and responses from academics, regulators and practitioners. Findings - The ANP analysis discovered that the level of Islamic financial inclusion in Indonesia is influenced by two main drivers: the supply and the demand. The demand factors for Islamic financial inclusion, ranked based on their level of significance, are as follows: financial literacy (0.27), religious commitment (0.22), socioeconomic factor (0.19) and social influence (0.17), respectively. From the supply side, primary catalysts for Islamic financial inclusion based on their level of importance are human capital (0.32), product and services (0.24), infrastructure (0.18) and policies and regulation (0.17), respectively. Research limitations/implications - The present study does not include the Islamic insurance sector in its determinant framework of Islamic financial inclusion in Indonesia. Practical implications - This study serves as a reference for regulators in formulating appropriate policy strategies to strengthen the Islamic financial inclusion in Indonesia. Originality/value - This study is a pioneer attempt to identify distinctive factors that influence the level of Islamic financial inclusion in Indonesia by analyzing expert opinions from diverse groups of Islamic finance stakeholders.</t>
  </si>
  <si>
    <t>[Ali, Mohammad Mahbubi] Int Inst Adv Islamic Studies Malaysia, Kuala Lumpur, Malaysia; [Ali, Mohammad Mahbubi] Tazkia Inst, Bogor, Indonesia; [Devi, Abrista] Ibn Khaldun Univ, Bogor, Indonesia; [Furgani, Hafas] Univ Islam Negeri Ar Raniry, Banda Aceh, Indonesia; [Hamzah, Hamzah] Pakuan Univ, Bogor, Indonesia</t>
  </si>
  <si>
    <t>Ali, MM (corresponding author), Int Inst Adv Islamic Studies Malaysia, Kuala Lumpur, Malaysia.;Ali, MM (corresponding author), Tazkia Inst, Bogor, Indonesia.</t>
  </si>
  <si>
    <t>mahbubi@iais.org.my</t>
  </si>
  <si>
    <t>Devi, Abrista/IXD-4648-2023</t>
  </si>
  <si>
    <t>Devi, Abrista/0000-0003-1032-4669</t>
  </si>
  <si>
    <t>Central Bank of Indonesia - Bank Indonesia Institute under the Research Grant Bank Indonesia Program 2018</t>
  </si>
  <si>
    <t>This paper is part of a research project funded by the Central Bank of Indonesia - Bank Indonesia Institute under the Research Grant Bank Indonesia Program 2018. The authors would like to thank Dr M. Rizky Prima Sakti and Witri Aulia Maudy for their assistantship to this project.</t>
  </si>
  <si>
    <t>10.1108/IMEFM-01-2019-0007</t>
  </si>
  <si>
    <t>WOS:000567400600010</t>
  </si>
  <si>
    <t>Li, ZZ; Chatterjee, S; Moorman, D</t>
  </si>
  <si>
    <t>Li, Zongze; Chatterjee, Swarn; Moorman, Diann</t>
  </si>
  <si>
    <t>Exploring the interplay of materialism, financial socialization, financial capability, and credit card debt</t>
  </si>
  <si>
    <t>Materialism; Financial socialization; Financial capability; Credit card debt; Theory of planned behavior</t>
  </si>
  <si>
    <t>COLLEGE-STUDENTS; SELF-EFFICACY; PLANNED BEHAVIOR; CONSEQUENCES; LITERACY; ANTECEDENTS; KNOWLEDGE; CONSUMERS; PREDICTORS; EXTENSION</t>
  </si>
  <si>
    <t>PurposeThis study aims to utilize the theory of planned behavior, integrating materialism, financial socialization, and perceived financial capability, to explore the psychological determinants influencing credit card repayment behaviors.Design/methodology/approachThe data for this research was sourced from the 2016 National Financial Well-Being Survey. Employing Structural Equation Modeling, this study investigated whether materialism, financial socialization, and perceived financial capability influenced credit card repayment behaviors through their impact on financial intention.FindingsThe analysis suggests significant associations between materialism, financial socialization, and perceived financial capability with credit card repayment behaviors. Furthermore, the results highlight the substantial mediating role of financial intention in shaping the relationship between materialism, financial socialization, perceived financial capability, and credit card repayment behaviors.Research limitations/implicationsEmploying Structural Equation Modeling, the study investigated whether materialism, financial socialization, and perceived financial capability indirectly influenced credit card repayment behaviors through their impact on financial intention.Practical implicationsThe findings of this study underscore the importance of considering credit card utilization and leverage used by average consumers. Supporting community-based financial education programs might be useful for reaching individuals and families at the grassroots level and educating participants about the deleterious effects of maintaining high credit card balances and the perils of pursuing their materialistic desires by leveraging these purchases through the utilization of credit cards. Credit card companies can use these findings to inform their marketing strategies and design credit products that cater to the needs of different segments of customers. From a policy standpoint, it is extremely important to develop programs that protect those individuals who are most vulnerable and need the most help with managing their money.Social implicationsPolicy makers can also use these findings to develop regulations and consumer protection measures to promote responsible credit card use. For instance, they can introduce laws that require credit card companies to disclose the full cost of credit, including interest rates, fees, and charges, in a clear and transparent manner. They can also promote financial education programs to help individuals with high levels of materialism manage their credit card usage and debt.Originality/valueThe paper integrates two well-established theoretical frameworks, the theory of planned behavior and materialism, to provide a comprehensive understanding of consumer credit card usage. This integration allows for a more nuanced analysis of the factors influencing credit card behavior. By utilizing data from the 2016 National Financial Well-Being Survey and employing Structural Equation Modeling (SEM), the paper conducts a robust empirical investigation. This adds credibility to the findings and allows for the testing of hypotheses derived from the theoretical frameworks. The findings of the paper have practical implications for policymakers, financial institutions, and consumer advocates.</t>
  </si>
  <si>
    <t>[Li, Zongze; Chatterjee, Swarn; Moorman, Diann] Univ Georgia, Athens, GA 30602 USA</t>
  </si>
  <si>
    <t>Li, ZZ (corresponding author), Univ Georgia, Athens, GA 30602 USA.</t>
  </si>
  <si>
    <t>zongze.li@uga.edu</t>
  </si>
  <si>
    <t>Chatterjee, Swarn/D-7114-2016</t>
  </si>
  <si>
    <t>MOORMAN, DIANN/0000-0003-0207-4882; Li, Zongze/0000-0002-5254-1357</t>
  </si>
  <si>
    <t>10.1108/IJBM-02-2024-0106</t>
  </si>
  <si>
    <t>WOS:001268771100001</t>
  </si>
  <si>
    <t>Kanobe, F; Alexander, MP; Bwalya, KJ</t>
  </si>
  <si>
    <t>Cruz, T; Simoes, P</t>
  </si>
  <si>
    <t>Kanobe, Fredrick; Alexander, Margaret Patricia; Bwalya, Kelvin Joseph</t>
  </si>
  <si>
    <t>Information Security Management Scaffold for Mobile Money Systems in Uganda</t>
  </si>
  <si>
    <t>PROCEEDINGS OF THE 18TH EUROPEAN CONFERENCE ON CYBER WARFARE AND SECURITY (ECCWS 2019)</t>
  </si>
  <si>
    <t>18th European Conference on Cyber Warfare and Security (ECCWS)</t>
  </si>
  <si>
    <t>JUL 04-05, 2019</t>
  </si>
  <si>
    <t>Univ Coimbra, Coimbra, PORTUGAL</t>
  </si>
  <si>
    <t>Univ Coimbra</t>
  </si>
  <si>
    <t>mobile; money; information; security; activity theory; Uganda</t>
  </si>
  <si>
    <t>Mobile money systems are widely accepted in Uganda as an easy way to transfer money and to settle domestic financial matters. However, although these systems play a critical role in bridging the financial inclusion gap, several oversight issues need to be addressed. Previous mobile money systems security studies focussed on technical applications and solutions paying less attention to subjective Information security management. The current study sought to understand information security management for mobile money systems using Uganda as a case study in order to develop an information security management framework suitable for mobile money systems in Uganda. Specific objectives included a detailed study of existing information security policies, procedures and standards, investigating and determining their weaknesses, developing and recommending a suitable framework and validating that framework. The case study involved three mobile network operators. Activity Theory guided the study throughout. Management of information security in mobile money systems was easy to understand when investigated as activities and allowed contradictions surrounding mobile money systems to be highlighted. The data collection methods used were semi-structured interviews and an internal documents review. The findings of the study revealed that there were insufficient tools, rules, community and division of labour for information security awareness related to outsourcing, risk management, business continuity planning and incident management. Furthermore, there appeared to be inadequate compliance monitoring, management controls and top management support for mobile money information security activities. The study contributes to theoretical, methodological, body of knowledge in information security management, practice and new areas of future research in information systems security for mobile money systems. In conclusion, the rules, tools, community and division of labour employed by the subjects (MNOs) to attain the intended objects and outcomes of the identified activities were found to be wanting and this indicates that continuous review and updating is needed. Mobile money systems and the associated activities, like any other information systems, are dynamic and require continuous updates. The PDCA (Plan, Do, Check, Act) approach to mobile money information security management activities is recommended for addressing information security management concerns for mobile money systems in Uganda.</t>
  </si>
  <si>
    <t>[Kanobe, Fredrick; Alexander, Margaret Patricia] Tshwane Univ Technol, ICT, Informat, Pretoria, South Africa; [Bwalya, Kelvin Joseph] Univ Johannesburg, Informat &amp; Knowledge Management Business &amp; Econ, Johannesburg, South Africa</t>
  </si>
  <si>
    <t>Kanobe, F (corresponding author), Tshwane Univ Technol, ICT, Informat, Pretoria, South Africa.</t>
  </si>
  <si>
    <t>fkanobe2010@gmail.com; alexandarMP@tut.ac.za; bwalyakelvinjoseph@gmail.com</t>
  </si>
  <si>
    <t>; Alexander, Patricia M/F-6477-2015; Bwalya, Kelvin Joseph/KEH-9164-2024</t>
  </si>
  <si>
    <t>Kanobe, Freick/0000-0002-3729-9021; Kanobe, Freick/0000-0002-6418-5361; Alexander, Patricia M/0000-0002-9484-7223; Bwalya, Kelvin Joseph/0000-0003-0509-5515</t>
  </si>
  <si>
    <t>978-1-912764-29-7</t>
  </si>
  <si>
    <t>BP6WT</t>
  </si>
  <si>
    <t>WOS:000560821500029</t>
  </si>
  <si>
    <t>Chen, K; Lou, VWQ</t>
  </si>
  <si>
    <t>Gao, Q; Zhou, J; Duffy, VG; Antona, M; Stephanidis, C</t>
  </si>
  <si>
    <t>Chen, Ke; Lou, Vivian Weiqun</t>
  </si>
  <si>
    <t>Developing an Online Learning Tool to Improve Financial Literacy in Older Adults: An Intergenerational Co-design Case Study</t>
  </si>
  <si>
    <t>HCI INTERNATIONAL 2023 LATE BREAKING PAPERS, HCII 2023, PT II</t>
  </si>
  <si>
    <t>25th International Conference on Human-Computer Interaction (HCI International)</t>
  </si>
  <si>
    <t>JUL 23-28, 2023</t>
  </si>
  <si>
    <t>Co-design; Older People; Financial Literacy; Online Learning</t>
  </si>
  <si>
    <t>COMMUNITY; PEOPLE; EXPLOITATION</t>
  </si>
  <si>
    <t>With aging, individuals are responsible for managing and spending their retirement assets, along with making complicated decisions on medical care, aged care, and estate planning, all while facing a decline in their cognitive performance and financial literacy. Older people are the most vulnerable groups in financial literacy and financial management. Providing older people with financial inclusion and financial literacy programs is essential. This article described an intergenerational, co-design process of developing an online interactive learning tool that could enhance financial literacy for older people and their families. Seven older adults and four lawstudentswere recruited and trained as co-designers. They interviewed 60 older individuals in HongKong to identifymisconceptions, knowledge gaps, and suboptimal financial decisions made by them. These qualitative data were analyzed and utilized to create an online learning tool to address the greatest common misconceptions. The online learning tool consists of a self-assessment quiz and instructive animations, which are shared on a website that was open to the public. We discussed the benefits and difficulties of involving co-designers of different ages in the research and design process. This study contributes to a better understanding of how to carry out intergenerational co-design activities in the context of social and healthcare research.</t>
  </si>
  <si>
    <t>[Chen, Ke] Zhejiang Univ, Dept Psychol &amp; Behav Sci, Hangzhou, Peoples R China; [Lou, Vivian Weiqun] Univ Hong Kong, Social Work &amp; Social Adm, Sau Po Ctr AgeCing, Pokfulam, Hong Kong, Peoples R China</t>
  </si>
  <si>
    <t>Zhejiang University; University of Hong Kong</t>
  </si>
  <si>
    <t>Chen, K (corresponding author), Zhejiang Univ, Dept Psychol &amp; Behav Sci, Hangzhou, Peoples R China.</t>
  </si>
  <si>
    <t>kechen@zju.edu.cn</t>
  </si>
  <si>
    <t>CHEN, KE/HGU-8095-2022; LOU, Vivian W Q/C-9460-2013</t>
  </si>
  <si>
    <t>CHEN, KE/0000-0001-5310-5090; LOU, Vivian W Q/0000-0001-7000-1306</t>
  </si>
  <si>
    <t>Humanity and Social Science Youth Foundation of the Ministry of Education of China [22YJC840004]; Investor and Financial Education Council [RS190211]</t>
  </si>
  <si>
    <t>Humanity and Social Science Youth Foundation of the Ministry of Education of China; Investor and Financial Education Council</t>
  </si>
  <si>
    <t>This work was supported by the Humanity and Social Science Youth Foundation of the Ministry of Education of China (22YJC840004) and the Investor and Financial Education Council (RS190211).</t>
  </si>
  <si>
    <t>978-3-031-48040-9; 978-3-031-48041-6</t>
  </si>
  <si>
    <t>10.1007/978-3-031-48041-6_2</t>
  </si>
  <si>
    <t>BW5FB</t>
  </si>
  <si>
    <t>WOS:001159651200002</t>
  </si>
  <si>
    <t>Ben Douissa, I</t>
  </si>
  <si>
    <t>Ben Douissa, Ismail</t>
  </si>
  <si>
    <t>Factors affecting College students' multidimensional financial literacy in the Middle East</t>
  </si>
  <si>
    <t>INTERNATIONAL REVIEW OF ECONOMICS EDUCATION</t>
  </si>
  <si>
    <t>Financial literacy; Financial inclusion; Personal finance; Logistic regression</t>
  </si>
  <si>
    <t>Financial literacy is internationally recognized as an essential requirement for citizens who need to make informed personal finance decisions in an increasingly deregulated and complex financial system coupled with the fast emergence of fintech. In the Middle East, Gulf countries are facing serious economic growth challenges since the collapse of oil prices in 2014. This paper analyzes the main socio-economic and demographic factors of financial literacy among University students. The data is collected though an online survey submitted to a randomly selected sample of 2500 students from the University of Sharjah in the UAE. The survey includes 32 questions adapted to the Gulf context covering knowledge, behavior and attitude dimensions. The results of the main binary logistic regression show that the most vulnerable students in multidimensional financial literacy are UAE national females, studying in the undergraduate level, majoring in non-scientific areas, who did not take the Personal Finance course (University elective), with a lower CGPA and a lower family income. It was found that 31.36% of students who responded to the survey are classified as financially literate. Logistic regressions considering each of the three dimensions of financial literacy were performed with the same predictors. The results confirm that most of the explanatory variables are significant in predicting the category of financial knowledge. However, they fail to predict the categories of financial behavior and attitude.</t>
  </si>
  <si>
    <t>[Ben Douissa, Ismail] Univ Sharjah, POB 27272, Sharjah, U Arab Emirates</t>
  </si>
  <si>
    <t>University of Sharjah</t>
  </si>
  <si>
    <t>Ben Douissa, I (corresponding author), Univ Sharjah, POB 27272, Sharjah, U Arab Emirates.</t>
  </si>
  <si>
    <t>ibendouissa@sharjah.ac.ae</t>
  </si>
  <si>
    <t>BenDouissa, Ismail/KOZ-8050-2024</t>
  </si>
  <si>
    <t>1477-3880</t>
  </si>
  <si>
    <t>2352-4421</t>
  </si>
  <si>
    <t>INT REV ECON EDUC</t>
  </si>
  <si>
    <t>Int. Rev. Econ. Educ.</t>
  </si>
  <si>
    <t>10.1016/j.iree.2019.100173</t>
  </si>
  <si>
    <t>OV1DC</t>
  </si>
  <si>
    <t>WOS:000591958500004</t>
  </si>
  <si>
    <t>Arora, M; Singh, S</t>
  </si>
  <si>
    <t>Arora, Manpreet; Singh, Swati</t>
  </si>
  <si>
    <t>Role of Financial Institutions in Promoting Microfinance through SHG Bank Linkage Programme in India</t>
  </si>
  <si>
    <t>Microfinance; Self Help Groups; SHG Bank Linkage Programme</t>
  </si>
  <si>
    <t>Rural poor and women are of major concern in developing nations. Microfinance programmes in India have proved to be a powerful tool for the betterment and empowerment of poor especially women. NABARD being an apex body for the rural India has taken effective steps regularly for bringing the women at par with men in rural areas by assisting them financially as well as technically to ultimately become micro entrepreneurs. In SHG Bank Linkage Programme, banks have played a vital role in providing financial services to people through the effective channel of SHGs. The strengthening of the SHG System along with other models of providing microfinance is necessary for promoting extensive financial inclusion in rural sector. SHG Bank Linkage Model with the continuous support to major players in banking sector ensures increased financial inclusion of the rural India. Disbursing credit to the members is the mainstay of microfinance programmes. It will help the members to become self-regulating and supplement their family. Bank Loans play an essential role in ensuring better performance of the group and its members. The rationale of this study is to scrutinize the role of Microfinance as developmental tool which focuses on the banking and financial services availed through SHG Bank Linkage Programme by rural poor including women. We have also analysed the contribution of SHG Bank Linkage Programme in providing credit to the SHGs across various states of India.</t>
  </si>
  <si>
    <t>[Arora, Manpreet; Singh, Swati] Cent Univ Himachal Pradesh, Sch Business &amp; Management Studies, Dept Accounting &amp; Finance, TAB, Shahpur, HP, India</t>
  </si>
  <si>
    <t>Arora, M (corresponding author), Cent Univ Himachal Pradesh, Sch Business &amp; Management Studies, Dept Accounting &amp; Finance, TAB, Shahpur, HP, India.</t>
  </si>
  <si>
    <t>Arora, Manpreet/AAK-5630-2021; Singh, Swati/GNP-3996-2022</t>
  </si>
  <si>
    <t>Arora, Manpreet/0000-0002-4939-1992;</t>
  </si>
  <si>
    <t>GC9JD</t>
  </si>
  <si>
    <t>WOS:000430112400007</t>
  </si>
  <si>
    <t>Alqirem, R; Al-Smadi, RW</t>
  </si>
  <si>
    <t>Alqirem, Raed; Al-Smadi, Raed Walid</t>
  </si>
  <si>
    <t>Enhancing Sustainable Fintech Education: Investigating the Role of Smartphones in Empowering Economic Development in Jordan</t>
  </si>
  <si>
    <t>Digital literacy; Adoption; Fintech services; Smartphone usage in education; Innovation; Sustainable development goals (SDGs); Sustainable EDUCATION</t>
  </si>
  <si>
    <t>STUDENTS</t>
  </si>
  <si>
    <t>This study investigates the transformative role of smartphones in the financial technology (Fintech) industry in Jordan, focusing on how mobile technology enhances financial education and promotes broader adoption of Fintech services. This adoption plays a vital role in advancing specific United Nations Sustainable Development Goals (SDGs), notably SDG 1 (No Poverty), SDG 4 (Quality Education), and SDG 8 (Decent Work and Economic Growth), by fostering financial inclusion, enhancing digital financial literacy, and enabling equitable access to Fintech education through smartphones. Qualitative data was collected via an online survey distributed through social media platforms and emails, allowing for a broad and inclusive reach. The questionnaire targeted the overall public, or mobile phone users in Jordan, with no age restriction, to achieve diverse opinions regarding mobile-based financial literacy and Fintech adoption. One hundred eighty-nine valid responses were obtained, forming the basis for statistical analysis. The study explores the direct correlations between educational initiatives facilitated by smartphones and the subsequent adoption of Fintech services, considering the moderating effects of digital literacy and the regulatory environment. The results show that increased digital literacy enhances the effectiveness of Fintech applications, thus promoting financial inclusivity and literacy. The structural model explains 75.4% of the variance in smartphone usage for financial education (R-2 = 0.754). Hypothesis testing confirms significant positive effects, with Fintech adoption (beta = 0.033, p &lt; 0.001), educational outreach (beta = 0.040, p &lt; 0.001), and innovation in educational Fintech products (beta = 0.043, p &lt; 0.001) associated with increased smartphone usage in education. The study highlights the need for advancements in user-friendly and accessible financial services, underlining the critical role of regulatory frameworks and digital literacy in fostering a secure and inclusive financial ecosystem. These findings are consistent with and support the SDGs, providing individuals with information and tools to maintain long-term financial stability.</t>
  </si>
  <si>
    <t>[Alqirem, Raed] Alzaytoonah Univ Jordan, Amman, Jordan; [Al-Smadi, Raed Walid] Amman Arab Univ, Amman, Jordan</t>
  </si>
  <si>
    <t>Al-Smadi, RW (corresponding author), Amman Arab Univ, Amman, Jordan.</t>
  </si>
  <si>
    <t>drraed@zuj.edu.jo; R.alsmadi@aau.edu.jo</t>
  </si>
  <si>
    <t>10.1007/s43621-025-01397-1</t>
  </si>
  <si>
    <t>3NC3S</t>
  </si>
  <si>
    <t>WOS:001504284200001</t>
  </si>
  <si>
    <t>Alaoui, YL; El Fakir, A; Tkiouat, M</t>
  </si>
  <si>
    <t>Alaoui, Youssef Lamrani; El Fakir, Adil; Tkiouat, Mohamed</t>
  </si>
  <si>
    <t>A NEW CROWDFUNDING MODEL FOR FINANCIAL INCLUSION BASED ON DONATIONS AND INTEREST-FREE DEBT: A FUZZY AGENT-BASED SIMULATION APPROACH</t>
  </si>
  <si>
    <t>Agent-based simulation; Donation-based crowdfunding; Financial inclusion; Fuzzy logic; Interest-free loan; Microfinance</t>
  </si>
  <si>
    <t>Purpose - Although microfinance was initially heralded as a promising methodology for reducing poverty, it has become increasingly criticised. Hence, calls for innovative models that promote financial inclusion have intensified. This research aims to fill in this gap by developing a new model that combines donation-based crowdfunding with interest-free lending, and subsequently evaluating its performance using appropriate decision-making tools. Design/Methodology/Approach - The study adopts an agent-based perspective whereby the idea is to encode the behaviour and decisions of the model's entities in straightforward rules and subsequently analyse the outcomes of their interactions through agent-based simulation (ABS). To address the uncertainty inherent in human agents' judgements, a fuzzy logic inference system has been incorporated as well. Findings - Findings show that the proposed model has (i) a better success rate in funding new entrepreneurs, (ii) higher collection of management fees, and (iii) a reduced number of failed projects. This model incorporates monitoring to reduce moral hazard risks and provides health and life insurance for entrepreneurs, ensuring both project efficiency and the well-being of the entrepreneurs. Originality/Value - This study contributes to the Islamic crowdfunding (ICF) literature by introducing a new hybrid model that integrates donations with interest-free loans. It explores the impact of this design on crowdfunding platform success and the well-being of micro-entrepreneurs, using an agent-based perspective.</t>
  </si>
  <si>
    <t>[Alaoui, Youssef Lamrani; Tkiouat, Mohamed] Mohammed V Univ, Mohammadia Sch Engn, IFE Lab, LERMA, Rabat, Morocco; [El Fakir, Adil] Sheffield Hallam Univ, Sheffield Business Sch, Sheffield, England</t>
  </si>
  <si>
    <t>Mohammed V University in Rabat; Sheffield Hallam University</t>
  </si>
  <si>
    <t>Alaoui, YL (corresponding author), Mohammed V Univ, Mohammadia Sch Engn, IFE Lab, LERMA, Rabat, Morocco.</t>
  </si>
  <si>
    <t>ALAOUI, Youssef/AAU-2890-2020</t>
  </si>
  <si>
    <t>10.55188/ijifsd.v16i4.922</t>
  </si>
  <si>
    <t>0CX2U</t>
  </si>
  <si>
    <t>WOS:001444377700005</t>
  </si>
  <si>
    <t>Walstad, WB; Wagner, J</t>
  </si>
  <si>
    <t>Walstad, William B.; Wagner, Jamie</t>
  </si>
  <si>
    <t>Required or voluntary financial education and saving behaviors</t>
  </si>
  <si>
    <t>JOURNAL OF ECONOMIC EDUCATION</t>
  </si>
  <si>
    <t>Financial behaviors; financial education; National Financial Capability Study; saving</t>
  </si>
  <si>
    <t>LITERACY; IMPACT; TERM</t>
  </si>
  <si>
    <t>The authors of this study investigate the likely influence of required or voluntary financial education on the saving behaviors of U.S. adults. They compare the results for three groups defined by different life experiences with financial education (required, voluntary, and none). Probit models estimate the effects of financial education on four saving behaviors: having a savings account; having an emergency fund; saving for investing; and saving for retirement. The results show similar positive outcomes for required and voluntary financial education on each saving behavior. No difference based on self-selection into financial education is evident. The findings also indicate that multiple exposures to financial education in different venues (high school, college, or employment) increase the apparent effects on saving behaviors compared with a single exposure.</t>
  </si>
  <si>
    <t>[Walstad, William B.] Univ Nebraska Lincoln, Dept Econ, Lincoln, NE USA; [Wagner, Jamie] Univ Nebraska Omaha, Ctr Econ Educ, Dept Econ, Omaha, NE USA; [Walstad, William B.] Univ Nebraska Lincoln, Dept Econ, Lincoln, NE 68588 USA</t>
  </si>
  <si>
    <t>University of Nebraska System; University of Nebraska Lincoln; University of Nebraska System; University of Nebraska Omaha; University of Nebraska System; University of Nebraska Lincoln</t>
  </si>
  <si>
    <t>Walstad, WB (corresponding author), Univ Nebraska Lincoln, Dept Econ, Lincoln, NE 68588 USA.</t>
  </si>
  <si>
    <t>0022-0485</t>
  </si>
  <si>
    <t>2152-4068</t>
  </si>
  <si>
    <t>J ECON EDUC</t>
  </si>
  <si>
    <t>J. Econ. Educ.</t>
  </si>
  <si>
    <t>10.1080/00220485.2022.2144573</t>
  </si>
  <si>
    <t>7T8FH</t>
  </si>
  <si>
    <t>WOS:000892934600001</t>
  </si>
  <si>
    <t>Mukaila, R</t>
  </si>
  <si>
    <t>Mukaila, Ridwan</t>
  </si>
  <si>
    <t>Microcredit via digital innovation platforms: its drivers and impact on fish farms' yield and income in Nigeria</t>
  </si>
  <si>
    <t>Digital innovation; Driving factors; Microcredit; Small-scale farming; Welfare; G23; Q12; Q14</t>
  </si>
  <si>
    <t>IMPROVED MAIZE VARIETIES; IMPROVED RICE VARIETIES; SUB-SAHARAN AFRICA; AGRICULTURAL TECHNOLOGY; EMPIRICAL-EVIDENCE; ADAMAWA STATE; ADOPTION; CREDIT; AREAS; PRODUCTIVITY</t>
  </si>
  <si>
    <t>PurposeFish farmers in Africa often operate on small-scale culture units, primarily due to poor access to funding and low technology adoption. Digital innovation platforms seek to enhance farmers' access to finance, production and farmers' income. However, there is a lack of empirical evidence to support these claims. Therefore, this study investigated the factors influencing fish farmers' access to microcredit from digital innovation platforms and the impact of this microcredit on fish farms' yield and income in Nigeria.Design/methodology/approachA mixed-methods approach was adopted, and data were gathered from 387 fish farmers through a well-structured questionnaire and focus group discussion. The data were analyzed using probit regression and instrumental variable two-stage least squares regression.FindingsThe results revealed that ownership of smartphones, awareness of digital agricultural innovation platforms, farmers' education, income, fish farming as a primary occupation, cooperative society and extension contacts positively influenced farmers' access to microcredit from digital innovation platforms. The age of farmers and household size negatively influenced their access to digital microcredit. Digital microcredit positively and significantly impacted fish farms' yield and farmers' income.Practical implicationsDigital microcredit significantly increased fish farm yield and income. Therefore, digital innovation platforms should be encouraged and promoted through the creation of awareness about their ability to solve inadequate financing in agriculture by agricultural extension agents.Originality/valueThis study contributes to our understanding of the influencing factors for farmers accessing digital microcredit and how digital microcredit enhances farm yield and income.</t>
  </si>
  <si>
    <t>[Mukaila, Ridwan] Univ Nigeria, Dept Agr Econ, Nsukka, Nigeria</t>
  </si>
  <si>
    <t>Mukaila, R (corresponding author), Univ Nigeria, Dept Agr Econ, Nsukka, Nigeria.</t>
  </si>
  <si>
    <t>ridwan.mukaila@unn.edu.ng</t>
  </si>
  <si>
    <t>MUKAILA, RIDWAN/AAE-8269-2022</t>
  </si>
  <si>
    <t>MUKAILA, RIDWAN/0000-0001-8584-0858</t>
  </si>
  <si>
    <t>10.1108/AFR-01-2024-0001</t>
  </si>
  <si>
    <t>N5E9E</t>
  </si>
  <si>
    <t>WOS:001318540500001</t>
  </si>
  <si>
    <t>Financial Regulation, Financial Inclusion and Competitiveness in the Banking Sector in SADC and SAARC Countries: The Moderating Role of Financial Stability</t>
  </si>
  <si>
    <t>financial regulation; financial inclusion; competitiveness; financial stability; feasible generalized least squares model</t>
  </si>
  <si>
    <t>ECONOMIC-GROWTH; LITERACY; AFRICA</t>
  </si>
  <si>
    <t>Financial inclusion is a widely used measure to improve the living standards of households and foster inclusive economic growth. Thus, financial inclusion is one of the main policy objectives in developing countries. Besides, financial regulation (capital adequacy requirement) is a policy measure used to ensure financial stability. The objective of this study is to examine the effect of financial regulation on competitiveness and financial inclusion in 15 countries in the SADC (Southern Africa Development Community) region and 8 countries in the SAARC (South Asian Association for Regional Cooperation) region over the period 2005-2018. The result of Feasible Generalized Least Squares (FGLS) estimation suggests that financial regulation reduces competitiveness and hampers financial inclusion in the banking sector in the two regions. Furthermore, we find that financial stability moderates the negative effect of financial regulation on competitiveness and financial inclusion, meaning that financially stable banks remain competitive and normally offer financial products and services even if strong capital adequacy requirements are implemented. Additionally, we find that competitiveness increases financial inclusion in countries in the SADC region. The policy implication of this study focuses on regulatory flexibility to preserve the need for greater financial inclusion in the two regions. As for the practical implication, the study calls for strategic measures to preserve stability such as complementing financial inclusion with financial literacy, fostering corporate governance.</t>
  </si>
  <si>
    <t>; Jungo, João/ADK-1960-2022; Madaleno, Mara/A-6356-2018; Botelho, Anabela/JYQ-5409-2024</t>
  </si>
  <si>
    <t>Jungo, João Fernando/0000-0002-2681-4075; Madaleno, Mara/0000-0002-4905-2771;</t>
  </si>
  <si>
    <t>Research Unit on Governance, Competitiveness and Public Policy - FCT-Fundacao para a Ciencia e a Tecnologia [UIDB/04058/2020]</t>
  </si>
  <si>
    <t>Research Unit on Governance, Competitiveness and Public Policy - FCT-Fundacao para a Ciencia e a Tecnologia(Fundacao para a Ciencia e a Tecnologia (FCT))</t>
  </si>
  <si>
    <t>The authors acknowledge the support provided by the Research Unit on Governance, Competitiveness and Public Policy (UIDB/04058/2020), funded by national funds through FCT-Fundacao para a Ciencia e a Tecnologia. We acknowledge the valuable suggestions of both the Editor and reviewers of this article, which let us improve it to its current version.</t>
  </si>
  <si>
    <t>10.3390/ijfs10010022</t>
  </si>
  <si>
    <t>0E8NX</t>
  </si>
  <si>
    <t>WOS:000776932400001</t>
  </si>
  <si>
    <t>Palit, S; Das, N</t>
  </si>
  <si>
    <t>Palit, Suman; Das, Niladri</t>
  </si>
  <si>
    <t>Evaluating the Efficiency of Financial Inclusion (Special reference to Jharkhand, India)</t>
  </si>
  <si>
    <t>GADJAH MADA INTERNATIONAL JOURNAL OF BUSINESS</t>
  </si>
  <si>
    <t>customer satisfaction; financial inclusion; microfinance institutions; NGO's; outreach</t>
  </si>
  <si>
    <t>This paper is an attempt to analyze the status of financial inclusion in the state of Jharkhand, India. It tries to evaluate the efficiency of the financial institutions in terms of their outreach to clients and overall client satisfaction. Responses were collected separately from the service providers and customers through two different questionnaires and a convenience sampling method was adopted to select the respondents. Hypotheses development and testing was done to analyze data using a regression model. The first questionnaire examined the relationship between various financial inclusion determinants with Outreach and the second questionnaire studied the relationship between financial inclusion determinants with Customer satisfaction. The empirical results of the study exhibit that the financial inclusion determinants have a positive effect on the outreach to clients and overall customer satisfaction levels and improve the customers' financial as well as their social capital base. This in turn fosters the financial inclusion activity in the region.</t>
  </si>
  <si>
    <t>[Palit, Suman; Das, Niladri] Indian Sch Mines, Dhanbad, Bihar, India</t>
  </si>
  <si>
    <t>Das, N (corresponding author), Indian Sch Mines, Dhanbad, Bihar, India.</t>
  </si>
  <si>
    <t>niladri_pnu2003@yahoo.co.in</t>
  </si>
  <si>
    <t>GADJAH MADA UNIV, MASTER MANAGEMENT PROGRAM, FAC ECONOMICS &amp; BUSINESS</t>
  </si>
  <si>
    <t>JALAN PANCASILA,, YOGYAKARTA, 55281, INDONESIA</t>
  </si>
  <si>
    <t>1411-1128</t>
  </si>
  <si>
    <t>2338-7238</t>
  </si>
  <si>
    <t>GADJAH MADA INT J BU</t>
  </si>
  <si>
    <t>Gadjah Mada Int. J. Bus.</t>
  </si>
  <si>
    <t>10.22146/gamaijb.8502</t>
  </si>
  <si>
    <t>Archaeology; Business</t>
  </si>
  <si>
    <t>Archaeology; Business &amp; Economics</t>
  </si>
  <si>
    <t>VB0YC</t>
  </si>
  <si>
    <t>WOS:000412777900003</t>
  </si>
  <si>
    <t>Bimé, VS; Ndjokou, IMMM</t>
  </si>
  <si>
    <t>Bime, Valentine Soumtang; Ndjokou, Itchoko Motande Mondjeli Mwa</t>
  </si>
  <si>
    <t>Financial access and income inequality in Sub-Saharan Africa: Does ethnic fragmentation give new evidence?</t>
  </si>
  <si>
    <t>Income inequality; Financial access; Ethnic fragmentation; Sub-Saharan Africa</t>
  </si>
  <si>
    <t>ECONOMIC-GROWTH; IMPACT; DIVERSITY; POVERTY; INSTITUTIONS; QUALITY; MODELS; INDIA</t>
  </si>
  <si>
    <t>There is a large body of work documenting the non-consensual effects of financial access on income inequality. Despite this extensive literature and the predominance of ethnic fragmentation in Sub Saharan Africa countries (SSA), little is known about its mediating effect on the above relation. This paper focuses on assessing the effect of ethnic fragmentation on financial access income inequality nexus. Based on Kripfganz and Schwarz's (2019) dynamic panel estimator of time-invariant variables in a sample of thirty-seven (37) SSA countries over the period of 1990-2019, it is observed that ethnic fragmentation hinders financial access to reduce inequality in SSA. The results remain stable following several sensitivity tests related to corruption, urbanization, financial literacy and socio-geographic factors. They are also robust to the use of alternative measures of financial access and to change estimation technique.</t>
  </si>
  <si>
    <t>[Bime, Valentine Soumtang] Univ Yaounde II Soa, Fac Econ &amp; Management, Yaounde, Cameroon; [Ndjokou, Itchoko Motande Mondjeli Mwa] Univ Maroua, Fac Econ &amp; Management, Maroua, Cameroon</t>
  </si>
  <si>
    <t>Bimé, VS (corresponding author), Univ Yaounde II Soa, Fac Econ &amp; Management, Yaounde, Cameroon.</t>
  </si>
  <si>
    <t>valentinebime@yahoo.com</t>
  </si>
  <si>
    <t>SOUMTANG BIME, VALENTINE/0000-0002-6671-7392</t>
  </si>
  <si>
    <t>10.1016/j.ecosys.2024.101200</t>
  </si>
  <si>
    <t>Z1O6M</t>
  </si>
  <si>
    <t>WOS:001436689400001</t>
  </si>
  <si>
    <t>Patel, K; Kalfova, E; Petrov, S; Elliot, A; Vlaev, I</t>
  </si>
  <si>
    <t>Patel, Krishane; Kalfova, Elena; Petrov, Simeon; Elliot, Antony; Vlaev, Ivo</t>
  </si>
  <si>
    <t>Money lives: improving financial capability using behavioural science and ethnography</t>
  </si>
  <si>
    <t>JOURNAL OF EDUCATIONAL SCIENCES &amp; PSYCHOLOGY</t>
  </si>
  <si>
    <t>behavioural change; financial behaviour; consumers; financial education; financial capability</t>
  </si>
  <si>
    <t>EDUCATION; TAXONOMY</t>
  </si>
  <si>
    <t>This investigation uncovers the factors influencing financial capability by utilizing behavioural science and ethnography. The study employs a representative sample from across the United Kingdom with a total of 72 households. This presents a unique opportunity to establish how the general population understands and utilises money, their views and attitudes towards money, and how this impacted each of the three financial behaviours. This investigation utilised a behaviour change theory to comprehensively and systematically encompass influences on the three behaviours underpinning financial capability. We were also able to design interventions based upon the most significant influencing factors. As such the interventions could simultaneously reduce the impact of significant barriers and further accentuate the effect of enablers to each financial behaviour.</t>
  </si>
  <si>
    <t>[Patel, Krishane] Univ Warwick, Warwick Mfg Grp, Coventry CV4 7AL, England; [Kalfova, Elena; Petrov, Simeon] Sofia Univ, Sofia 1000, Bulgaria; [Elliot, Antony] Fairbanking Fdn, London, England; [Vlaev, Ivo] Univ Warwick, Warwick Business Sch, Coventry CV4 7AL, England</t>
  </si>
  <si>
    <t>University of Warwick; University of Sofia; University of Warwick</t>
  </si>
  <si>
    <t>Kalfova, E (corresponding author), Sofia Univ, Sofia 1000, Bulgaria.</t>
  </si>
  <si>
    <t>elena_kalfova@phls.uni-sofia.bg</t>
  </si>
  <si>
    <t>Petrov, Simeon/ADC-3278-2022; Kalfova, Elena/AAL-9420-2021</t>
  </si>
  <si>
    <t>Petrov, Simeon/0000-0001-9652-5562; Kalfova, Elena/0000-0002-9427-7451</t>
  </si>
  <si>
    <t>National Recovery and Resilience Plan of the Republic of Bulgaria [SUMMIT BG-RRP-2.004-0008-C01]</t>
  </si>
  <si>
    <t>National Recovery and Resilience Plan of the Republic of Bulgaria</t>
  </si>
  <si>
    <t>Funding details: This work was supported by the National Recovery and Resilience Plan of the Republic of Bulgaria under contract SUMMIT BG-RRP-2.004-0008-C01</t>
  </si>
  <si>
    <t>PETROLEUM-GAS UNIV PLOIESTI</t>
  </si>
  <si>
    <t>PLOIESTI</t>
  </si>
  <si>
    <t>BD BUCURESTI 39, PLOIESTI, 100680, ROMANIA</t>
  </si>
  <si>
    <t>2247-6377</t>
  </si>
  <si>
    <t>2247-8558</t>
  </si>
  <si>
    <t>J EDUC SCI PSYCHOL</t>
  </si>
  <si>
    <t>J. Educ. Sci. Psychol.</t>
  </si>
  <si>
    <t>10.51865/JESP.2024.1.11</t>
  </si>
  <si>
    <t>WW2A2</t>
  </si>
  <si>
    <t>WOS:001257830800011</t>
  </si>
  <si>
    <t>Arnold, J; Gammage, S</t>
  </si>
  <si>
    <t>Arnold, Julia; Gammage, Sarah</t>
  </si>
  <si>
    <t>Gender and financial inclusion: the critical role for holistic programming</t>
  </si>
  <si>
    <t>Gender and diversity; Labour and livelihoods ? Poverty reduction; Microfinance; Rights; Technology ? ICT; Sub-Saharan Africa</t>
  </si>
  <si>
    <t>BANKING; IMPACT</t>
  </si>
  <si>
    <t>This article introduces an edited collection on gender and financial inclusion that sets out to provide insights and evidence that enable practitioners to better reach women with digital financial services. The collection brings together four articles on financial inclusion that discuss a diverse range of interventions and experiences and explore the opportunities for and challenges to meaningful financial inclusion for women and non-literate and non-numerate populations. These articles interrogate the methods used to reach last mile communities and highlight the need for holistic, multi-layered programming that supports social norm change and addresses the particular constraints faced by members of these communities.</t>
  </si>
  <si>
    <t>[Arnold, Julia; Gammage, Sarah] Int Ctr Res Women, Washington, DC 20036 USA</t>
  </si>
  <si>
    <t>Arnold, J (corresponding author), Int Ctr Res Women, Washington, DC 20036 USA.</t>
  </si>
  <si>
    <t>jarnold@icrw.org</t>
  </si>
  <si>
    <t>Gammage, Sarah/AAR-2236-2020</t>
  </si>
  <si>
    <t>10.1080/09614524.2019.1651251</t>
  </si>
  <si>
    <t>WOS:000490689200001</t>
  </si>
  <si>
    <t>Ahmed, H; Salleh, AMHAPM</t>
  </si>
  <si>
    <t>Ahmed, Habib; Salleh, Ak Md Hasnol Alwee Pg Md</t>
  </si>
  <si>
    <t>Inclusive Islamic financial planning: a conceptual framework</t>
  </si>
  <si>
    <t>Waqf; Zakat; Financial inclusion; Financial planning; Hierarchy of needs</t>
  </si>
  <si>
    <t>Purpose - This paper aims to develop a conceptual framework of inclusive Islamic financial planning (IFP) by combining the traditional Islamic institutions of zakat and awqaf with contemporary notions of financial planning, financial inclusion and financial literacy that caters to the short-term and long-term financial goals of the poor. Design/methodology/approach - Being a conceptual article, an inclusive IFP framework is described, analyzed and developed by integrating modern notions of financial inclusion, financial planning and financial literacy with the concepts of zakat and awqaf. Findings - Using the notion of a hierarchy of needs and a financial planning model, an inclusive IFP framework that can be used by the poor is outlined. The complementary role of the non-poor households who provide funds for zakat and awqaf is also identified. Research limitations/implications - The applicability of an inclusive IFP would require Islamic financial instruments and products, institutional development and existence of a social planner who can integrate zakat, awqaf and financial planning to serve the financial needs of the poor. Social implications - Application of an inclusive IFP that can mitigate poverty would necessitate integrating financial planning skills and knowledge with traditional institutions of zakat and awqaf to provide holistic financial advice and services to the poor households. Originality/value - Discussion of financial planning in financial inclusion literature is scant. The paper explores and offers a novel approach of poverty mitigation by utilizing the full spectrum of IFP that considers the financial needs and allows for the creation of a personalized financial plan for low-income households.</t>
  </si>
  <si>
    <t>[Ahmed, Habib] Univ Durham, Sch Business, Durham, England; [Salleh, Ak Md Hasnol Alwee Pg Md] Univ Brunei Darussalam, Sch Business &amp; Econ, Bandar Seri Begawan, Brunei</t>
  </si>
  <si>
    <t>Durham University; University Brunei Darussalam</t>
  </si>
  <si>
    <t>Ahmed, H (corresponding author), Univ Durham, Sch Business, Durham, England.</t>
  </si>
  <si>
    <t>Ahmed, Habib/0000-0002-5954-3638</t>
  </si>
  <si>
    <t>10.1108/IMEFM-01-2015-0006</t>
  </si>
  <si>
    <t>EB9VC</t>
  </si>
  <si>
    <t>WOS:000387744200001</t>
  </si>
  <si>
    <t>Zentai, P; Kovács, J</t>
  </si>
  <si>
    <t>Zentai, Peter; Kovacs, Judit</t>
  </si>
  <si>
    <t>FINANCIAL BEHAVIOURAL INTENTIONS IN CORRELATION WITH CONTEXTUAL CUES AND FINANCIAL LITERACY - A HUNGARIAN EMPIRICAL STUDY</t>
  </si>
  <si>
    <t>EKONOMSKA MISAO I PRAKSA-ECONOMIC THOUGHT AND PRACTICE</t>
  </si>
  <si>
    <t>ECONOMICS; EDUCATION; IMPACT</t>
  </si>
  <si>
    <t>Efforts to improve financial literacy often deal with enhancing financial knowledge, but this approach's long-term effectiveness is limited (Fernandes et al., 2014). Our study examined how financial behaviour can be influenced by nudge interventions and how their efficacy depends on financial literacy levels. We used three interventions: defaults, priming, and pre-commitment strategies (Thaler and Sunstein, 2008). We expected that people with lower levels of financial literacy would be more impacted by contextual cues. While a lot of studies have been conducted focusing on various aspects of financial literacy, to our knowledge, there have been no studies examining the effectiveness of nudge interventions with regard to the level of financial literacy. We surveyed 158 Hungarian adults using a questionnaire about financial literacy (OECD / INFE Toolkit for Measuring Financial Literacy and Financial Inclusion, 2018). Subjects were divided into groups with different interventions. In case of defaults, participants were shown a hypothetical investment portfolio overweight in either stocks or bonds and asked whether they would invest new money in stocks or bonds, expecting them to consider the overweight asset class. For priming, one group saw positive financial market images, while another saw negative images. Based on the priming effect of visual cues we expected those exposed to positive images to prefer investing in risky assets (stocks) and those exposed to negative images to prefer safer investments. With pre-commitment, participants chose between saving for their children's education or investing in risky assets. Group 1 made no commitment to their partners, while Group 2 did. We expected those who pre-committed to be more likely to save money. Results showed defaults had the most impact on decisions. In the case of priming, more people chose the expected option but, similar to pre-commitment strategies, did not prove to be statistically significant. Surprisingly, people with high financial literacy were as influenced by nudges as those with lower literacy. In conclusion, defaults effectively influence financial decisions, and people with high financial literacy are equally susceptible to contextual cues. Our study's limitation was the generally high financial literacy of the participants, suggesting future studies should include those with lower literacy for more representative results.</t>
  </si>
  <si>
    <t>[Zentai, Peter; Kovacs, Judit] Univ Debrecen, Inst Psychol, Fac Arts, Debrecen, Hungary</t>
  </si>
  <si>
    <t>University of Debrecen; HUN-REN; HUN-REN Research Centre for Natural Sciences; Institute of Cognitive Neuroscience &amp; Psychology - HAS</t>
  </si>
  <si>
    <t>Zentai, P (corresponding author), Univ Debrecen, Inst Psychol, Fac Arts, Debrecen, Hungary.</t>
  </si>
  <si>
    <t>zentai.peter@yahoo.de; kovacs.judit@arts.unideb.hu</t>
  </si>
  <si>
    <t>Kovacs, Judit/KAM-4389-2024</t>
  </si>
  <si>
    <t>UNIV DUBROVNIK</t>
  </si>
  <si>
    <t>DUBROVNIK</t>
  </si>
  <si>
    <t>BRANITELJ DUBROVNIKA 29, DUBROVNIK, 20000, CROATIA</t>
  </si>
  <si>
    <t>1330-1039</t>
  </si>
  <si>
    <t>1848-963X</t>
  </si>
  <si>
    <t>EKON MISAO PRAKSA</t>
  </si>
  <si>
    <t>Ekon. Misao Praksa</t>
  </si>
  <si>
    <t>10.17818/EMIP/2024/2.9</t>
  </si>
  <si>
    <t>U1B7B</t>
  </si>
  <si>
    <t>WOS:001409236600009</t>
  </si>
  <si>
    <t>The effect of financial literacy and gender on retirement planning among young adults</t>
  </si>
  <si>
    <t>Retirement planning; Financial literacy; Young adults; Gender gap; Mexico; D14; G53; J26; J32</t>
  </si>
  <si>
    <t>KNOWLEDGE; SPOUSAL; FAMILY; AGE</t>
  </si>
  <si>
    <t>Purpose The purpose of this paper is to analyze financial literacy's effect on retirement planning among young adults in Mexico, with gender as a moderator variable. Planning refers to the actual or intended implementation of several retirement strategies: private pension funds, investing in assets, government subsidies and family assistance. Design/methodology/approach The article's methodology is quantitative, empirical and cross-sectional. Ajzen's theory of planned behavior (1991) works as the theoretical framework to examine planning for retirement intentions determined by individuals' financial inclusion, attitudes, knowledge, behavior, occupation and family traits. The methodology follows generalized structural equation models (GSEM) with logistic regression basis, constructed with data from the National Survey on Financial Inclusion 2018. Findings Results confirm that the most financially knowledgeable individuals have lesser intentions to pursue passive strategies, while financial behavior and inclusion associate with actively planning. Gender plays a fundamental role in retirement planning too. Research limitations/implications Observations for several years are necessary to effectuate longitudinal analysis. Further research should include a more in-depth study of strategy choice triggers and policy impact on retirement planning. Social implications Findings can be useful to public and private institutions focused on saving, investment and retirement, especially in economies comparable to Mexico's. Avoiding the higher social costs associated with poor retirement planning depends on timely decision-making. Originality/value This study goes beyond the traditional pension fund strategy to analyze other options. It delivers information about young people's long-term financial plans in Mexico concerning financial literacy and gender.</t>
  </si>
  <si>
    <t>[Garcia Mata, Osvaldo] Univ Autonoma Tamaulipas, Sch Commerce &amp; Adm Victoria, Victoria, Mexico</t>
  </si>
  <si>
    <t>Mata, OG (corresponding author), Univ Autonoma Tamaulipas, Sch Commerce &amp; Adm Victoria, Victoria, Mexico.</t>
  </si>
  <si>
    <t>10.1108/IJBM-10-2020-0518</t>
  </si>
  <si>
    <t>WOS:000644885900001</t>
  </si>
  <si>
    <t>Financial inclusion, information and communication technology diffusion, and economic growth: a panel data analysis</t>
  </si>
  <si>
    <t>Financial inclusion; growth; information and communication technology; dynamic panel data model; system GMM estimator</t>
  </si>
  <si>
    <t>TELECOMMUNICATIONS INFRASTRUCTURE; EMPIRICAL-EVIDENCE; STOCK MARKETS; MOBILE MONEY; ICT; NEXUS; PENETRATION; LESSONS; IMPACT; COSTS</t>
  </si>
  <si>
    <t>Earlier studies accept that both Financial Inclusion (FI) and Information and Communication Technology (ICT) individually play positive role in economic growth. Moreover, ICT applications like mobile phone and internet penetration are being increasingly utilized in banking sector. The present study has shown that ICT development can be an important determinant of Financial Inclusion by using a fixed-effect panel data model of 41 countries. The paper further contributes by highlighting the role of FI, powered by a better ICT penetration, in fostering the growth of the countries in a Dynamic Panel Data Model. The results suggest that both FI individually and once coupled with mobile and internet can improve the per capita growth. However, in developing countries, the role of ICT indicators in fostering financial inclusion and therefore growth is not very promising. From the policy perspective, it suggests that more investment in educating people about the usage of ICT in formal banking sector is required.</t>
  </si>
  <si>
    <t>[Chatterjee, Amrita] Madras Sch Econ, Gandhi Mandapam Rd,Behind Govt Data Ctr, Chennai 600025, Tamil Nadu, India</t>
  </si>
  <si>
    <t>Chatterjee, A (corresponding author), Madras Sch Econ, Gandhi Mandapam Rd,Behind Govt Data Ctr, Chennai 600025, Tamil Nadu, India.</t>
  </si>
  <si>
    <t>10.1080/02681102.2020.1734770</t>
  </si>
  <si>
    <t>MJ4IE</t>
  </si>
  <si>
    <t>WOS:000519142300001</t>
  </si>
  <si>
    <t>Bobeva, D</t>
  </si>
  <si>
    <t>Bobeva, Daniela</t>
  </si>
  <si>
    <t>CHALLENGES TO STUDENTS' EDUCATION ON PERSONAL FINANCES</t>
  </si>
  <si>
    <t>STRATEGIES FOR POLICY IN SCIENCE AND EDUCATION-STRATEGII NA OBRAZOVATELNATA I NAUCHNATA POLITIKA</t>
  </si>
  <si>
    <t>Bulgarian</t>
  </si>
  <si>
    <t>financial education; personal finance; financial exclusion; financial services</t>
  </si>
  <si>
    <t>The expansion of the financial intermediation and the diversification of the financial products for consumers generates enormous academic interest in the field of the financial education. The exponential development of the technology in the financial services also encourages the theory and policy to promote financial education. In this environment, consumers can hardly catch up with the expertise of the financial institutions. Thus, the information asymmetry widens, leading to significant adverse consequences for both consumers (indebtedness, financial exclusion, and financial losses) and financial intermediation (reduction of the client base, shocks on demand). The purpose of this study is, by analyzing the development of the personal finance theory, the regulatory framework and policy, to identify the issues and the risks in the context of the contemporary challenges. The article reveals the specifics of the students' personal finances, which also defines the educational approaches and emphases to overcome the risks of low-quality education. Defined are the main guidelines of the training aimed at preventing excessive indebtedness at this early age, acquiring skills for choosing the most suitable financial products, diversifying personal income and promoting investment activity.</t>
  </si>
  <si>
    <t>[Bobeva, Daniela] Bulgarian Acad Sci, Econ Res Inst, Sofia 1000, Bulgaria</t>
  </si>
  <si>
    <t>Bulgarian Academy of Sciences</t>
  </si>
  <si>
    <t>Bobeva, D (corresponding author), Bulgarian Acad Sci, Econ Res Inst, Sofia 1000, Bulgaria.</t>
  </si>
  <si>
    <t>Bobeva.Daniela@gmail.com</t>
  </si>
  <si>
    <t>NATL IZDATELSTVO AZ BUKI</t>
  </si>
  <si>
    <t>1310-0270</t>
  </si>
  <si>
    <t>1314-8575</t>
  </si>
  <si>
    <t>STRATEG POLICY SCI E</t>
  </si>
  <si>
    <t>Strateg. Policy Sci. Educ.</t>
  </si>
  <si>
    <t>10.53656/str2023-5-4-cha</t>
  </si>
  <si>
    <t>U7YR5</t>
  </si>
  <si>
    <t>WOS:001086928100004</t>
  </si>
  <si>
    <t>Sagamba, M; Shchetinin, O; Yusupov, N</t>
  </si>
  <si>
    <t>Sagamba, Moise; Shchetinin, Oleg; Yusupov, Nurmukhammad</t>
  </si>
  <si>
    <t>Do Micro loan Officers Want to Lend to the Less Advantaged? Evidence from a Choice Experiment</t>
  </si>
  <si>
    <t>microfinance; choice experiment; microloan officers; nonprofit organizations</t>
  </si>
  <si>
    <t>MICROFINANCE; PERFORMANCE; INCENTIVES; ECONOMICS; OUTREACH</t>
  </si>
  <si>
    <t>The mission of microfinance is generally perceived as compensation for the failure of the mainstream financial institutions to deliver access to finance to the poor. Microloan officers are central players in microloan origination process. We conduct a choice experiment in Burundi, one of the poorest countries in the world, to determine whether the poorer and more deprived are indeed given preference by microloan officers. The results suggest that the less advantaged individuals have just slightly higher chances of being granted a loan. Surprisingly, we find very little difference between the preferences of microloan officers of nonprofit and for-profit MFIs. (C) 2012 Elsevier Ltd. All rights reserved.</t>
  </si>
  <si>
    <t>[Sagamba, Moise] Univ Bretagne Occidentale, Brest, France; [Sagamba, Moise] Univ Lumiere Bujumbura, Bujumbura, Burundi; [Yusupov, Nurmukhammad] Univ Gothenburg, Gothenburg, Sweden</t>
  </si>
  <si>
    <t>Universite de Bretagne Occidentale; University of Gothenburg</t>
  </si>
  <si>
    <t>Sagamba, M (corresponding author), Univ Bretagne Occidentale, Brest, France.</t>
  </si>
  <si>
    <t>; Yusupov, Nurmukhammad/OGO-7184-2025</t>
  </si>
  <si>
    <t>Shchetinin, Oleg/0000-0003-1773-5022;</t>
  </si>
  <si>
    <t>10.1016/j.worlddev.2012.06.019</t>
  </si>
  <si>
    <t>062KB</t>
  </si>
  <si>
    <t>WOS:000312917600013</t>
  </si>
  <si>
    <t>Sancak, B; Demirbas, D</t>
  </si>
  <si>
    <t>Sancak, Baris; Demirbas, Dilek</t>
  </si>
  <si>
    <t>The Effect Of Financial Literacy On Participation In Investment Markets: A Study On University of Health Sciences Students</t>
  </si>
  <si>
    <t>Finance knowledge; Financial literacy; Investment decisions; Financial inclusion; Logistic regression</t>
  </si>
  <si>
    <t>RISK TOLERANCE; BEHAVIOR; DETERMINANTS; GENDER; ADULTS</t>
  </si>
  <si>
    <t>The purpose of this study is to examine the effect of university students' financial literacy level on their participation in financial investment markets. For this purpose, a survey was conducted with the participation of 703 undergraduate and associate degree students at the University of Health Sciences. The obtained data were subjected to logistic regression analysis. According to the analysis results, objective financial literacy did not have a significant effect on participation in investment markets. It was determined that perceived financial literacy impacts participation in investment markets. Further, while it was concluded that risk aversion, savings tendency, gender, age, working status, and the presence of family members in the field of finance had an impact on students' participation in financial investment markets, it was determined that education level was not an explanatory factor on participation in such markets. Additionally, while a positive relationship was found between perceived higher financial literacy, propensity to save, age, being employed, having a family member working in the field of finance, and investing in financial instruments, a negative relationship was determined between risk aversion, being a woman, and investing in financial instruments. Consequently, although students invest in financial instruments based on a rational reason in accordance with their level of financial literacy, in reality, they do not have this level of financial literacy, and their financial investments consist of speculative investments that are not supported by basic investment knowledge. Although they intend to act consciously when making investment decisions, they make unconscious investments without realising it.</t>
  </si>
  <si>
    <t>[Sancak, Baris] Istanbul Univ, Iktisat Anabilim Dali, Iktisat Fak, Istanbul, Turkiye; [Sancak, Baris] Saglik Bilimleri Univ, Istanbul, Turkiye; [Demirbas, Dilek] Istanbul Univ, Iktisat Fak, Istanbul, Turkiye</t>
  </si>
  <si>
    <t>Istanbul University; University of Health Sciences Turkey; Istanbul University</t>
  </si>
  <si>
    <t>Sancak, B (corresponding author), Istanbul Univ, Iktisat Anabilim Dali, Iktisat Fak, Istanbul, Turkiye.;Sancak, B (corresponding author), Saglik Bilimleri Univ, Istanbul, Turkiye.</t>
  </si>
  <si>
    <t>baris.sancak@sbu.edu.tr</t>
  </si>
  <si>
    <t>Demirbas, Dilek/AAE-7251-2020; Sancak, Barış/GPK-5304-2022</t>
  </si>
  <si>
    <t>10.26650/JEPR1406361</t>
  </si>
  <si>
    <t>I0I6S</t>
  </si>
  <si>
    <t>WOS:001327185100004</t>
  </si>
  <si>
    <t>Kebede, JG; Selvanathan, S; Naranpanawa, A</t>
  </si>
  <si>
    <t>Kebede, Jeleta Gezahegne; Selvanathan, Saroja; Naranpanawa, Athula</t>
  </si>
  <si>
    <t>Financial stability and financial inclusion: a non-linear nexus</t>
  </si>
  <si>
    <t>Financial stability; Financial inclusion; Semiparametric regression; Bank competition; Africa; G21; G28; O55</t>
  </si>
  <si>
    <t>BANK COMPETITION; GROWTH; INSTABILITY; INEQUALITY</t>
  </si>
  <si>
    <t>PurposeThe purposes of the paper are as follows: (1) Analysing the effect of financial inclusion on financial stability. (2) Examining whether financial inclusion non-linearily impacts financial stability. (3) Analysing whether the effect of financial inclusion varies across quantiles of financial stability. (4) Investigating whether dimensions of financial inclusion affect financial stability differently. (5) Examining whether the effect of financial inclusion on financial stability depends on competitiveness of the banking industry.Design/methodology/approachUsing panel data for 19 African countries for the period 2006-2022, we first developed multidimensional index of financial inclusion using two-stage indexing approach. Then employing panel semiparametric regression, we analyse the non-linear nexus between financial stability and financial inclusion. We further employ panel quantile regression to investigate the differential effect of financial inclusion at different quantiles of financial stability. We also employed two-stage least squires, and alternative measurement of financial stability as robustness checks.FindingsEmploying panel semiparametric regression, we demonstrate that the financial inclusion-stability nexus exhibits non-linearity: below (above) threshold level financial inclusion promotes (reduces) financial stability. Employing panel quantile regression, we find that the effect of financial inclusion increases at higher quantiles of financial stability. We further demonstrate that the effect of financial inclusion on financial stability is pronounced in a more competitive bank industry. The findings are robust to two-stage least squares estimation, and alternative measurement of financial stability. The results suggest that keeping a balance between achieving stable and inclusive financial system, and ensuring a competitive banking industry are essential to achieve bank soundness while promoting financial inclusion.Originality/valueThe study incrementally contributes to the literature related to the financial inclusion - stability nexus in four-fold. First, unlike studies that relied on some indicators of financial inclusion, we employed the effect of multidimensional financial inclusion on financial stability and further examined whether or not the effect varies across financial inclusion dimensions. Second, unlike studies that assumed a linear nexus between financial inclusion and stability, employing panel semiparametric regression, we investigated for non-linear relationship between the two. Employing a novel panel quantile estimation approach, we further scrutinised whether the effect of financial inclusion varies across quantiles of financial stability. Third, to our knowledge, our study is the first to examine the effect of multidimensional financial inclusion on bank soundness in Africa.HighlightsWe find a non-linear nexus between financial inclusion and financial stability.Financial inclusion below (above) threshold enhances (reduces) financial stability.The effect of financial inclusion is pronounced at higher quantiles of financial stability.The effect of financial inclusion on financial stability depends on bank competition.The results hold across different dimensions of financial inclusion.</t>
  </si>
  <si>
    <t>[Kebede, Jeleta Gezahegne; Selvanathan, Saroja; Naranpanawa, Athula] Griffith Univ, Griffith Business Sch, Nathan, Australia</t>
  </si>
  <si>
    <t>Griffith University</t>
  </si>
  <si>
    <t>Kebede, JG (corresponding author), Griffith Univ, Griffith Business Sch, Nathan, Australia.</t>
  </si>
  <si>
    <t>jaalii2007@yahoo.com</t>
  </si>
  <si>
    <t>; Naranpanawa, Athula/AAD-2533-2021</t>
  </si>
  <si>
    <t>Selvanathan, Saroja/0000-0002-4129-1727;</t>
  </si>
  <si>
    <t>10.1108/JES-09-2023-0488</t>
  </si>
  <si>
    <t>1IQ0G</t>
  </si>
  <si>
    <t>WOS:001272725800001</t>
  </si>
  <si>
    <t>Nilakantan, R; Iyengar, D; Rao, S</t>
  </si>
  <si>
    <t>Nilakantan, Rahul; Iyengar, Deepak; Rao, Shashank</t>
  </si>
  <si>
    <t>On operations and marketing in microfinance-backed enterprises Structural embeddedness and enterprise viability</t>
  </si>
  <si>
    <t>INTERNATIONAL JOURNAL OF PHYSICAL DISTRIBUTION &amp; LOGISTICS MANAGEMENT</t>
  </si>
  <si>
    <t>Marketing; Supply chains; Microfinance; Operations; Structural embeddedness; Bottom of pyramid; Small enterprises</t>
  </si>
  <si>
    <t>FIRM PERFORMANCE; SUPPLY CHAIN; BOTTOM; IMPACT; STRATEGIES; LOGISTICS; PROGRAMS</t>
  </si>
  <si>
    <t>Purpose Financial inclusion remains one of the most promising avenues to bring about development for the poorest segments of society. A substantial body of work has looked into financial inclusion, especially in terms of microfinance, but much of it has been anecdotal and case-based. There is little scholarship that broadly investigates how microfinance-funded businesses choose to use the loans, especially given the ever-present competition for resources that such businesses face regarding which investment priority to pursue. In addition, the efficacy of these investments in terms of subsequent profitability remains unexplored, and so too does the influence of the entrepreneur's embeddedness in the local community. The paper aims to discuss these issues. Design/methodology/approach This study reports the results from a field investigation of 927 women entrepreneurs who received a microfinance loan from a leading Indian microfinance institution. Logit and OLS regression models are employed in a moderation analysis by way of hierarchical regression. Findings Results indicate that access to microfinance increases the likelihood that the enterprise invests in marketing infrastructure and operational scale. In addition, structural embeddedness has a weakening effect on this relationship for operational scale while having a strengthening effect on the relationship for marketing infrastructure. Finally, operational scale is related to enterprise profitability, while marketing infrastructure is not. These findings suggest that embeddedness in the community is associated with the entrepreneur making sub-optimal choices regarding microfinance utilization. Originality/value To our knowledge, this is the first study to investigate the simultaneous marketing and operational impacts of microfinance access. It is also the first study to relate these measures to the profitability of the enterprise, especially in the context of structural embeddedness in the network.</t>
  </si>
  <si>
    <t>[Nilakantan, Rahul] Indian Inst Management Indore, Econ Area, Indore, Madhya Pradesh, India; [Iyengar, Deepak] Florida Southern Coll, Barney Barnett Sch Business, Lakeland, FL USA; [Rao, Shashank] Auburn Univ, Dept Syst &amp; Technol, Auburn, AL 36849 USA</t>
  </si>
  <si>
    <t>Indian Institute of Management (IIM System); Indian Institute of Management Indore; Auburn University System; Auburn University</t>
  </si>
  <si>
    <t>Rao, S (corresponding author), Auburn Univ, Dept Syst &amp; Technol, Auburn, AL 36849 USA.</t>
  </si>
  <si>
    <t>shashank.rao@auburn.edu</t>
  </si>
  <si>
    <t>0960-0035</t>
  </si>
  <si>
    <t>1758-664X</t>
  </si>
  <si>
    <t>INT J PHYS DISTR LOG</t>
  </si>
  <si>
    <t>Int. J. Phys. Distrib. Logist. Manag.</t>
  </si>
  <si>
    <t>10.1108/IJPDLM-02-2018-0053</t>
  </si>
  <si>
    <t>IO3IK</t>
  </si>
  <si>
    <t>WOS:000479273600005</t>
  </si>
  <si>
    <t>Ogunleye, TS</t>
  </si>
  <si>
    <t>Ogunleye, Toyin Segun</t>
  </si>
  <si>
    <t>Financial Inclusion and the Role of Women in Nigeria</t>
  </si>
  <si>
    <t>REPAYMENT PERFORMANCE; PROGRAMS; BANGLADESH; GENDER</t>
  </si>
  <si>
    <t>The study tests the assertion that greater lending to microfinance female clients leads to an improvement in repayment rate. The study uses unbalanced panel data framework of 752 microfinance banks (MFBs) in Nigeria during the period 2011 to 2014. Findings from the regressions confirm a positive impact of female inclusion on loan repayment rate. A higher proportion of female clients is associated with a greater repayment rate and with fewer loan provisions. The study recommends that microfinance banks should target specifically women clients in Nigeria, as greater lending to them will improve outreach to the poor.</t>
  </si>
  <si>
    <t>[Ogunleye, Toyin Segun] Cent Bank Nigeria, Res Dept, Abuja, Nigeria</t>
  </si>
  <si>
    <t>Ogunleye, TS (corresponding author), Cent Bank Nigeria, Res Dept, Abuja, Nigeria.</t>
  </si>
  <si>
    <t>tsogunleye@cbn.gov.ng</t>
  </si>
  <si>
    <t>Olusegun, Toyin Segun/0000-0001-9759-9774</t>
  </si>
  <si>
    <t>10.1111/1467-8268.12254</t>
  </si>
  <si>
    <t>EX2HJ</t>
  </si>
  <si>
    <t>WOS:000403046700011</t>
  </si>
  <si>
    <t>Li, JP; Ullah, A; Raza, SA; Ahmed, M</t>
  </si>
  <si>
    <t>Li Jingpeng; Ullah, Asad; Raza, Syed Ali; Ahmed, Maiyra</t>
  </si>
  <si>
    <t>Nonlinear and nonparametric causal relationship between financial inclusion and sustainable environment in South Asia</t>
  </si>
  <si>
    <t>Financial inclusion; Carbon emission; Causality in quantile; Sustainable environment</t>
  </si>
  <si>
    <t>CARBON EMISSIONS; TIME-SERIES; PARAMETER; TESTS; GOLD</t>
  </si>
  <si>
    <t>This study analyzes the causal connection between financial inclusion and carbon emission in selected South Asian countries through a quantile technique-based linear Granger and non-parametric causality test. The analysis of the study covers quarterly data from 1980 Q1 to 2019 Q4. However, the linear Granger causality assessment outcome does not indicate any causal relationship between financial inclusion and carbon emission. In contrast, results from non-parametric assessment reveal a non-linear connection between the variables. The non-parametric test results of the South Asian countries exhibit that financial inclusion leads to carbon emission, which instigates the deterioration of the environment, except for Bhutan. Subsequently, creating awareness by promoting renewable energy resources is essential while investing in fuel-efficient technology to reduce the dependence on fossil fuels. The results of this study provide significant information to the governments and policymakers in emerging countries to improve financial literacy among people to reduce the risk of global warming by encouraging investment in energy-efficient resources.</t>
  </si>
  <si>
    <t>[Li Jingpeng] Southwest Jiaotong Univ, Sch Econ &amp; Management, Chengdu, Peoples R China; [Ullah, Asad] Suzhou Univ, Sch Management, Suzhou 234000, Anhui, Peoples R China; [Raza, Syed Ali; Ahmed, Maiyra] IQRA Univ, Dept Business Adm, Karachi 75300, Pakistan</t>
  </si>
  <si>
    <t>Southwest Jiaotong University; Suzhou University; Iqra University</t>
  </si>
  <si>
    <t>Ullah, A (corresponding author), Suzhou Univ, Sch Management, Suzhou 234000, Anhui, Peoples R China.</t>
  </si>
  <si>
    <t>318633157@qq.com; asadecon1@gmail.com; syed_aliraza@hotmail.com; maiyraahmed092@gmail.com</t>
  </si>
  <si>
    <t>Raza, Syed Ali/I-3879-2016; Ullah, Asad/L-7762-2016; Ahmed, Maiyra/ADU-5156-2022</t>
  </si>
  <si>
    <t>Raza, Syed Ali/0000-0002-2455-6922; Ullah, Asad/0000-0001-5841-2866; Ahmed, Maiyra/0000-0003-2300-4744</t>
  </si>
  <si>
    <t>System Science and Enterprise Development Research Center of Sichuan University [Xq22B10]; Soft Science Project of Sichuan Provincial Department of Science and Technology [2022JDR0150]; Soft Science Project of Chengdu Science and Technology Bureau [2021-RK00-00082-ZF]</t>
  </si>
  <si>
    <t>System Science and Enterprise Development Research Center of Sichuan University; Soft Science Project of Sichuan Provincial Department of Science and Technology; Soft Science Project of Chengdu Science and Technology Bureau</t>
  </si>
  <si>
    <t>1. System Science and Enterprise Development Research Center of Sichuan University (Xq22B10)2. Soft Science Project of Sichuan Provincial Department of Science and Technology (2022JDR0150)3. Soft Science Project of Chengdu Science and Technology Bureau (2021-RK00-00082-ZF)</t>
  </si>
  <si>
    <t>10.1007/s11356-022-22301-8</t>
  </si>
  <si>
    <t>H4UK6</t>
  </si>
  <si>
    <t>WOS:000836535800017</t>
  </si>
  <si>
    <t>Reboul, E; Guérin, ; Nordman, CJ</t>
  </si>
  <si>
    <t>Reboul, E.; Guerin, I; Nordman, C. J.</t>
  </si>
  <si>
    <t>The gender of debt and credit: Insights from rural Tamil Nadu</t>
  </si>
  <si>
    <t>Gender; Debt; Poverty; Caste; Microcredit; India</t>
  </si>
  <si>
    <t>FRACTIONAL RESPONSE VARIABLES; HOUSEHOLD DEBT; WOMENS WORK; REGRESSION; MONEY; CASTE; POWER; MODELS; AGENCY; MICROFINANCE</t>
  </si>
  <si>
    <t>The champions of financial inclusion regret women's lack of access to credit, while critics of financialization, by contrast, claim that women have become overly indebted. But little is actually known about women's debt/credit in quantitative terms, mostly due to a lack of data. This descriptive paper uses first-hand survey data from southern India disaggregated by sex in order to analyze the gender of debt and its interplay with caste and poverty, based on descriptive statistics and econometric results. We show that women are heavily indebted, first and foremost to informal sources, alongside microcredit. While men are much higher earners, they borrow much less in relative terms. Furthermore, women prominently - and markedly more so than men - borrow in order to make ends meet; productive investment largely remains a male practice. Lastly, women of the poorest and lowest-caste households have the heaviest borrowing responsibilities, managing the highest proportions of household debt. On a theoretical level, these results highlight the gendered earmarking of debt and credit: male and female debts/ credits do not have the same meanings and uses. They also confirm the gendered dimension of behavior, in as much as women's behavior is constrained by family affiliation, poverty level and caste, all of which affects men much less. Last, in terms of policy implications, these results put into question the specific targeting of women by microcredit policies, likely to strengthen the association between debt and poverty for women, and in particular to exacerbate female responsibilities for managing scarcity. (c) 2021 Elsevier Ltd. All rights reserved.</t>
  </si>
  <si>
    <t>[Reboul, E.] CESSMA, 8 Pl Paul Ricoeur, F-75013 Paris, France; [Guerin, I] French Inst Pondicherry, IRD CESSMA, Pondicherry, India; [Nordman, C. J.] French Inst Pondicherry, DIAL, IRD, Pondicherry, India</t>
  </si>
  <si>
    <t>Universite Paris Cite; Institut de Recherche pour le Developpement (IRD)</t>
  </si>
  <si>
    <t>Reboul, E (corresponding author), CESSMA, 8 Pl Paul Ricoeur, F-75013 Paris, France.</t>
  </si>
  <si>
    <t>elena.reboul@gmail.com; nordman@dial.prd.fr</t>
  </si>
  <si>
    <t>Guerin, Isabelle/AAU-4398-2021</t>
  </si>
  <si>
    <t>10.1016/j.worlddev.2020.105363</t>
  </si>
  <si>
    <t>RP4KH</t>
  </si>
  <si>
    <t>WOS:000641697900024</t>
  </si>
  <si>
    <t>Yang, B; Ma, F; Deng, WH; Pi, Y</t>
  </si>
  <si>
    <t>Yang, Bo; Ma, Fang; Deng, Weihua; Pi, Yang</t>
  </si>
  <si>
    <t>Digital inclusive finance and rural household subsistence consumption in China</t>
  </si>
  <si>
    <t>Digital inclusive finance; Rural household subsistence consumption; Income growth; Vulnerability mitigation; Overconsumption</t>
  </si>
  <si>
    <t>TIME PREFERENCE; MOBILE MONEY; DECISIONS; ACCESS; IMPACT; INCOME</t>
  </si>
  <si>
    <t>This paper examines the impact of digital inclusive finance (DIF) on the subsistence consumption of rural households in China. We find that rural residents in areas with well-developed DIF tend to have greater subsistence consumption. Channel analyses show that such tendencies can be explained by the income growth effect and vulnerability mitigation effect associated with DIF. The income growth effect occurs as the development of DIF promotes rural residents' income. Income growth is stimulated via improved entrepreneurship to earn operational income or inducing rural-to-urban migration to earn wage income. Meanwhile, the observed vulnerability mitigation effect suggests that DIF could reduce rural residents' future income uncertainty by alleviating the impact of exogenous shocks. Furthermore, we apply Lasso algorithms to predict expected consumption, and find that the development of DIF is associated with a higher probability for overconsumption in rural households. Such side effect occur mainly among individuals with weak time preferences. We conclude that, the development of DIF has merits, because doing so is beneficial to increasing rural residents' economic resilience and building an inclusive, sustainable and prosperous society in the post-COVID-19 era. (C) 2022 Economic Society of Australia, Queensland. Published by Elsevier B.V. All rights reserved.</t>
  </si>
  <si>
    <t>[Yang, Bo; Pi, Yang] Yunnan Univ, Sch Econ, Kunming, Peoples R China; [Deng, Weihua] Acad Commerce Yunnan Prov, Kunming, Peoples R China; [Deng, Weihua] South China Agr Univ, Coll Econ &amp; Management, Guangzhou, Peoples R China; [Deng, Weihua] South China Agr Univ, Coll Econ &amp; Management, 483 Wushan Rd, Guangzhou 510642, Guangdong, Peoples R China</t>
  </si>
  <si>
    <t>Yunnan University; South China Agricultural University; South China Agricultural University</t>
  </si>
  <si>
    <t>Deng, WH (corresponding author), South China Agr Univ, Coll Econ &amp; Management, 483 Wushan Rd, Guangzhou 510642, Guangdong, Peoples R China.</t>
  </si>
  <si>
    <t>yangb@ynu.edu.cn; xiaofei04202022@163.com; dengweihua@stu.scau.edu.cn; py18851402461@163.com</t>
  </si>
  <si>
    <t>; Ma, Fang/OBO-4405-2025</t>
  </si>
  <si>
    <t>Deng, Weihua/0000-0002-5912-9680;</t>
  </si>
  <si>
    <t>Research funds of the National Social Science Fund of China [19BJL014]; Yunnan Federation of Social Science Circles [SHZK2022306]</t>
  </si>
  <si>
    <t>Research funds of the National Social Science Fund of China; Yunnan Federation of Social Science Circles</t>
  </si>
  <si>
    <t>We thank the editor and reviewers for their insightful comments. We gratefully acknowledge the support from Research funds of the National Social Science Fund of China (Grant numbers: 19BJL014) ; Yunnan Federation of Social Science Circles (Grant numbers: SHZK2022306) . All errors are our own.</t>
  </si>
  <si>
    <t>10.1016/j.eap.2022.09.007</t>
  </si>
  <si>
    <t>5U1ZT</t>
  </si>
  <si>
    <t>WOS:000876352800012</t>
  </si>
  <si>
    <t>Nugrohowati, RNI; Shidiqie, JSA</t>
  </si>
  <si>
    <t>Nugrohowati, Rindang Nuri Isnaini; Shidiqie, Jannahar Saddam Ash</t>
  </si>
  <si>
    <t>Impact of financial inclusion and institutional quality on banking stability: Lessons from the Asia region</t>
  </si>
  <si>
    <t>bank stability; financial inclusion; institutional quality; Asia region</t>
  </si>
  <si>
    <t>PANEL-DATA; GOVERNANCE; LEVEL</t>
  </si>
  <si>
    <t>Purpose - This study examines the effects of financial inclusion and institutional quality on bank stability. It first examines the effects of banking on the whole Asian region and then the region according to income categories. Method - We use aggregate data from 2013 to 2021 to investigate banking stability in 39 Asian countries and apply the generalized method of Moments (GMM), specifically the first difference GMM and system GMM. In addition, this research uses Principal Component Analysis (PCA) to measure the composite variables of the financial inclusion index and institutional quality index. Findings - The findings demonstrate that overall financial inclusion has a favourable effect on Asian nations'banking systems. However, an examination based on income categories reveals some intriguing results: financial inclusion improves bank stability in lower-and upper-middle-income countries but does not affect high-income countries. In lower-middle-income countries, institutional quality has a detrimental effect on bank stability; in upper-middle-income and high-income countries, it has no effect. Implications - The availability of financial services to households and small and medium-sized enterprises (SMEs) significantly impacts the stability of Asian banks. Several policy recommendations are feasible to implement, including the need for collaboration between banks and the government to broaden banking services to all communities, particularly in lower-middle-income nations. Originality - Analyzing the differences in the impact of institutional quality and financial inclusion variables on banking stability in Asian countries according to income categories.</t>
  </si>
  <si>
    <t>[Nugrohowati, Rindang Nuri Isnaini; Shidiqie, Jannahar Saddam Ash] Univ Islam Indonesia, Dept Econ, Yogyakarta, Indonesia</t>
  </si>
  <si>
    <t>Universitas Islam Indonesia</t>
  </si>
  <si>
    <t>Nugrohowati, RNI (corresponding author), Univ Islam Indonesia, Dept Econ, Yogyakarta, Indonesia.</t>
  </si>
  <si>
    <t>rindangnuri@uii.ac.id; jannahar.saddam@uii.ac.id</t>
  </si>
  <si>
    <t>10.20885/ejem.vol17.iss1.art2</t>
  </si>
  <si>
    <t>2OT3X</t>
  </si>
  <si>
    <t>WOS:001487707400002</t>
  </si>
  <si>
    <t>Bettin, G; Pigini, C; Zazzaro, A</t>
  </si>
  <si>
    <t>Bettin, Giulia; Pigini, Claudia; Zazzaro, Alberto</t>
  </si>
  <si>
    <t>Lifting You up or Dragging You Down? The Role of Financial Inclusion in Poverty Transitions Among Italian Households</t>
  </si>
  <si>
    <t>REVIEW OF INCOME AND WEALTH</t>
  </si>
  <si>
    <t>financial inclusion; poverty; state dependence</t>
  </si>
  <si>
    <t>PANEL-DATA MODELS; INCOME; BANKING; POOR; MICROFINANCE; CONSUMPTION; PERSISTENCE; SERVICES; ACCESS; IMPACT</t>
  </si>
  <si>
    <t>We estimate the effect of financial inclusion on transition probabilities into/out of poverty. By exploiting a longitudinal sample of Italian households between 2002 and 2016, we find that financial inclusion is effective in both reducing the likelihood of entering poverty and helping the poor to climb out of it. According to our estimates, access to deposit accounts reduces the risk of falling below the poverty line by 2.7 percentage points (pp) and increases the chance of exiting poverty by 4.4 pp. Significance and magnitude of such effects are confirmed when considering different poverty thresholds and definitions, alternative proxies for financial inclusion as well as alternative empirical strategies.</t>
  </si>
  <si>
    <t>[Bettin, Giulia; Pigini, Claudia] Marche Polytech Univ, Ancona, Italy; [Bettin, Giulia; Pigini, Claudia; Zazzaro, Alberto] MoFiR, Ancona, Italy; [Zazzaro, Alberto] Univ Naples Federico II, CSEF, Ancona, Italy</t>
  </si>
  <si>
    <t>Marche Polytechnic University; University of Naples Federico II</t>
  </si>
  <si>
    <t>Zazzaro, A (corresponding author), MoFiR, Ancona, Italy.;Zazzaro, A (corresponding author), Univ Naples Federico II, CSEF, Naples, Italy.</t>
  </si>
  <si>
    <t>alberto.zazzaro@unina.it</t>
  </si>
  <si>
    <t>BETTIN, GIULIA/AAF-4345-2021</t>
  </si>
  <si>
    <t>Universita degli Studi di Napoli Federico II within the CRUI-CARE Agreement</t>
  </si>
  <si>
    <t>Open Access Funding provided by Universita degli Studi di Napoli Federico II within the CRUI-CARE Agreement.</t>
  </si>
  <si>
    <t>0034-6586</t>
  </si>
  <si>
    <t>1475-4991</t>
  </si>
  <si>
    <t>REV INCOME WEALTH</t>
  </si>
  <si>
    <t>Rev. Income Wealth</t>
  </si>
  <si>
    <t>10.1111/roiw.12588</t>
  </si>
  <si>
    <t>FO9L6</t>
  </si>
  <si>
    <t>WOS:000789119100001</t>
  </si>
  <si>
    <t>Molla, SA; Maji, SK</t>
  </si>
  <si>
    <t>Molla, Samim Aktar; Maji, Sumit Kumar</t>
  </si>
  <si>
    <t>How financially literate are Indian Muslims? An investigation</t>
  </si>
  <si>
    <t>Financial literacy; India; Muslims; Generalised structural equation model</t>
  </si>
  <si>
    <t>PurposeThis study aims to assess the financial literacy (FL) level among Indian Muslims. Moreover, the effort was also directed towards determining the various factors affecting such FL.Design/methodology/approachSecondary data on 5,247 respondents from the Financial Inclusion Insight 2017 database was used. FL was measured based on the Standard and Poor's Global FinLit survey questions. The study used the generalised structural equation model along with relevant statistical and econometric methods.FindingsThe level of FL amongst the Muslims in India was noticed to be poor and highly heterogeneous. Age, marital status, gender, occupation, educational attainment, location, family size, financial inclusion and economic status emerged as the determinants of such FL.Originality/valueThe exploration of FL and the underlying determinants amongst the Indian Muslims has received limited attention in the extant scholarship considering their socio-economic backwardness. In addressing this research gap, to the best of the authors' knowledge, the study attempts to provide a comprehensive insight into such aspects using a large sample of Indian Muslims for the first time.</t>
  </si>
  <si>
    <t>[Molla, Samim Aktar; Maji, Sumit Kumar] Univ Burdwan, Dept Commerce, Burdwan, India</t>
  </si>
  <si>
    <t>Maji, SK (corresponding author), Univ Burdwan, Dept Commerce, Burdwan, India.</t>
  </si>
  <si>
    <t>samimbcom@gmail.com; skmaji@com.buruniv.ac.in</t>
  </si>
  <si>
    <t>Maji, Sumit/J-2542-2015</t>
  </si>
  <si>
    <t>The authors would like to thank the Intermedia's Financial Inclusion Insight for giving access to the data on request. Secondly, the authors would also like to acknowledge the rigorous proof-reading and corrections made by our teacher Prof. Debasish Sur, Department of Commerce, The University of Burdwan.</t>
  </si>
  <si>
    <t>2025 JAN 6</t>
  </si>
  <si>
    <t>10.1108/JIABR-12-2023-0410</t>
  </si>
  <si>
    <t>R0M9L</t>
  </si>
  <si>
    <t>WOS:001388514300001</t>
  </si>
  <si>
    <t>Takyi, PO; Leon-Gonzalez, R</t>
  </si>
  <si>
    <t>Takyi, Paul Owusu; Leon-Gonzalez, Roberto</t>
  </si>
  <si>
    <t>Effect of a health shock on working hours and health care usage: the role of financial inclusion in Ghana</t>
  </si>
  <si>
    <t>INTERNATIONAL JOURNAL OF ECONOMIC POLICY STUDIES</t>
  </si>
  <si>
    <t>Health shock; Financial inclusion; Working hours; Health care utilization; O12; I10; G21; J22</t>
  </si>
  <si>
    <t>MOBILE MONEY; RISK; CONSUMPTION; HOUSEHOLDS; EMPLOYMENT; INSURANCE</t>
  </si>
  <si>
    <t>This study explores the role of financial inclusion in the mitigation of the effects of a health shock at the household level. To that end, we examine empirically the effect of financial inclusion on household working hours and health care utilization, using round six of the Ghana Living Standard Survey data. We find that a health shock does decrease household working hours and increase the likelihood of health care utilization. This suggests that households in Ghana are not able to fully insure themselves against a health shock. However, we find that, faced with a health shock, households who are financially excluded see their working hours reduce more than those who enjoy full financial inclusion. In addition, financial inclusion increases the likelihood of health care utilization when households experience a health shock. We find evidence that loan acquisition (borrowing) is one of the main mechanisms by which households can insure themselves against a health shock. Generally, our findings support the financial inclusion agenda of policymakers in Ghana and many other countries. Thus, efforts to ensure full financial inclusion will increase the probability of households using the financial sector as a means of insulating themselves against the effects of health shocks.</t>
  </si>
  <si>
    <t>[Takyi, Paul Owusu] Kwame Nkrumah Univ Sci &amp; Technol, Dept Econ, Kumasi, Ghana; [Leon-Gonzalez, Roberto] Natl Grad Inst Policy Studies GRIPS, 7-22-1 Roppongi,Minato Ku, Tokyo 1060032, Japan</t>
  </si>
  <si>
    <t>potakyi2005@gmail.com; rlg@grips.ac.jp</t>
  </si>
  <si>
    <t>Takyi, Paul Owusu/0000-0001-9033-0764</t>
  </si>
  <si>
    <t>2524-4892</t>
  </si>
  <si>
    <t>1881-4387</t>
  </si>
  <si>
    <t>INT J ECON POLICY ST</t>
  </si>
  <si>
    <t>Int. J. Econ. Policy Stud.</t>
  </si>
  <si>
    <t>10.1007/s42495-021-00071-4</t>
  </si>
  <si>
    <t>U8BA9</t>
  </si>
  <si>
    <t>WOS:001086989500006</t>
  </si>
  <si>
    <t>Di Giannatale, S; Roa, MJ</t>
  </si>
  <si>
    <t>Di Giannatale, Sonia; Jose Roa, Maria</t>
  </si>
  <si>
    <t>BARRIERS TO FORMAL SAVING: MICRO- AND MACROECONOMIC EFFECTS</t>
  </si>
  <si>
    <t>Experimental interventions; Financial inclusion; Savings</t>
  </si>
  <si>
    <t>FINANCIAL LITERACY; FIELD EXPERIMENT; ECONOMIC-GROWTH; EDUCATION; BANKING; POOR; CONSCIENTIOUSNESS; ENTREPRENEURSHIP; IMMIGRANTS; INSURANCE</t>
  </si>
  <si>
    <t>This paper examines different barriers to formal saving, considering various interventions and their possible effects at microeconomic and macroeconomic levels. It presents a comprehensive review of the literature, based on a detailed classification of the barriers associated with supply-side factors, related to access to financial products, and demand-side barriers, related to the use and frequency of use of those products. The paper concludes that this classification and analysis contributes to a fuller understanding of the question of financial inclusion, and how to achieve it.</t>
  </si>
  <si>
    <t>[Di Giannatale, Sonia] CIDE, Mexico City, DF, Mexico; [Jose Roa, Maria] Ctr Latin Amer Monetary Studies CEMLA, Mexico City, DF, Mexico</t>
  </si>
  <si>
    <t>Centro de Investigacion y Docencia Economicas A.C. (CIDE)</t>
  </si>
  <si>
    <t>Roa, MJ (corresponding author), Ctr Latin Amer Monetary Studies CEMLA, Mexico City, DF, Mexico.</t>
  </si>
  <si>
    <t>Inter-American Development Bank, IDB</t>
  </si>
  <si>
    <t>The authors thank two anonymous referees for many valuable comments, which greatly improved the quality and the exposition of the paper. We are also grateful the excellent work carried out by research assistant Ignacio Garron, as well as the comments and suggestions made by Philip Keefer and Cesar E. Tamayo. We gratefully acknowledge financial support from the Inter-American Development Bank, IDB.</t>
  </si>
  <si>
    <t>10.1111/joes.12275</t>
  </si>
  <si>
    <t>HO1HM</t>
  </si>
  <si>
    <t>WOS:000460656200008</t>
  </si>
  <si>
    <t>Mougenot, B; Cano-Huacarpuma, D; Ricalde-Peralta, L</t>
  </si>
  <si>
    <t>Mougenot, Benoit; Cano-Huacarpuma, Diana; Ricalde-Peralta, Liz</t>
  </si>
  <si>
    <t>Impact of Financial Inclusion on Peru's Economic Growth (2004-2021)</t>
  </si>
  <si>
    <t>Financial inclusion; economic growth; microfinance; credit access</t>
  </si>
  <si>
    <t>TIME-SERIES</t>
  </si>
  <si>
    <t>This paper investigates the incidence, relationship, and behavior of the proxy variables of financial inclusion on Peru's economic growth in the period 2004-2021, for which the methodology of a vector autoregressive model (VAR) and error correction vectors (VEC) was applied. The results show that the variable with the highest incidence is the number of debtors, savings deposits in local currency, loans to small businesses and consumer credit, which present a short-, medium-, and long-term relationship, and explain the variation of the gross domestic product in a significant proportion during the period 2004-2021</t>
  </si>
  <si>
    <t>[Mougenot, Benoit; Cano-Huacarpuma, Diana; Ricalde-Peralta, Liz] Univ San Ignacio Loyola, Sch Business &amp; Econ, La Molina, Peru</t>
  </si>
  <si>
    <t>Universidad San Ignacio de Loyola</t>
  </si>
  <si>
    <t>Mougenot, B (corresponding author), Univ San Ignacio Loyola, Sch Business &amp; Econ, La Molina, Peru.</t>
  </si>
  <si>
    <t>bmougenot@usil.edu.pe</t>
  </si>
  <si>
    <t>Mougenot, Benoit/N-8195-2019</t>
  </si>
  <si>
    <t>Mougenot, Benoit/0000-0001-5956-7659</t>
  </si>
  <si>
    <t>7S5TM</t>
  </si>
  <si>
    <t>WOS:000910815500001</t>
  </si>
  <si>
    <t>Vieira, KM; Delanoy, MM; Potrich, ACG; Bressan, AA</t>
  </si>
  <si>
    <t>Vieira, Kelmara Mendes; Delanoy, Marcelo Matzenbacher; Potrich, Ani Caroline Grigion; Bressan, Aureliano Angel</t>
  </si>
  <si>
    <t>Financial Citizenship Perception (FCP) Scale: proposition and validation of a measure</t>
  </si>
  <si>
    <t>Financial inclusion; Financial protection; Financial literacy; Financial citizenship</t>
  </si>
  <si>
    <t>BANKING; INCLUSION; LITERACY; EXCLUSION; NUMBER; TRUST</t>
  </si>
  <si>
    <t>Purpose The purpose of this study is to propose and validate a Financial Citizenship Perception Scale from the perspective of the citizen. Design/methodology/approach An instrument was applied in Brazil, whose dimensions and items were analyzed using exploratory and confirmatory factor analysis techniques and hierarchical cluster analysis. Findings The scale proposed in the study allows for the development of an indicator that defines whether an individual has a high or low level of financial citizenship, being represented by the dimensions of financial inclusion, financial protection and financial literacy. Practical implications The methodology for standardizing the application of the Financial Citizenship Perception Scale is presented to allow researchers, managers and public policy makers to use the indicator to assess citizens' perception of financial citizenship. Originality/value Financial citizenship is a recurring theme in the formulation of recommendations, standards and instructions by international organizations and central banks in different countries. However, the literature on the topic still focuses on proposing indicators of financial citizenship obtained from secondary data.</t>
  </si>
  <si>
    <t>[Vieira, Kelmara Mendes; Delanoy, Marcelo Matzenbacher] Univ Fed Santa Maria, Santa Maria, RS, Brazil; [Potrich, Ani Caroline Grigion] Univ Fed Santa Catarina, Florianopolis, SC, Brazil; [Bressan, Aureliano Angel] Univ Fed Minas Gerais, Belo Horizonte, MG, Brazil</t>
  </si>
  <si>
    <t>Universidade Federal de Santa Maria (UFSM); Universidade Federal de Santa Catarina (UFSC); Universidade Federal de Minas Gerais</t>
  </si>
  <si>
    <t>Vieira, KM (corresponding author), Univ Fed Santa Maria, Santa Maria, RS, Brazil.</t>
  </si>
  <si>
    <t>kelmara@terra.com.br; marcelo.delanoy@gmail.com; anipotrich@gmail.com; aureliano.bressan@gmail.com</t>
  </si>
  <si>
    <t>; Vieira, Kelmara Mendes/AAU-7480-2020; Bressan, Aureliano/V-2757-2019</t>
  </si>
  <si>
    <t>Delanoy, Marcelo/0000-0002-1658-3066; Vieira, Kelmara Mendes/0000-0002-8847-0941;</t>
  </si>
  <si>
    <t>National Council for Scientific and Technological Development (CNPq) [303731/2018-4]</t>
  </si>
  <si>
    <t>National Council for Scientific and Technological Development (CNPq)(Conselho Nacional de Desenvolvimento Cientifico e Tecnologico (CNPQ))</t>
  </si>
  <si>
    <t>The authors thank the National Council for Scientific and Technological Development (CNPq) for the financial support (CNPq - grant number 303731/2018-4).</t>
  </si>
  <si>
    <t>FEB 3</t>
  </si>
  <si>
    <t>10.1108/IJBM-06-2020-0316</t>
  </si>
  <si>
    <t>QB4WY</t>
  </si>
  <si>
    <t>WOS:000598413500001</t>
  </si>
  <si>
    <t>Yi, H; Meng, X; Linghu, YT; Zhang, ZY</t>
  </si>
  <si>
    <t>Yi, Hong; Meng, Xue; Linghu, Yuting; Zhang, Ziyu</t>
  </si>
  <si>
    <t>Can financial capability improve entrepreneurial performance? Evidence from rural China</t>
  </si>
  <si>
    <t>financial capability; entrepreneurial farmers (E; F; s); mediating effect; entrepreneurial performance</t>
  </si>
  <si>
    <t>The capability of individuals to manage their finances is essential to the outcomes of their entrepreneurial activities. Using panel data from the China Household Finance Survey (C.H.F.S.) in 2013, 2015 and 2017, this article examines how financial capability affects entrepreneurial performance in rural China. The results demonstrate that financial capability is positively correlated with the scale, profitability and sustainability of entrepreneurship, which is robust in consideration of endogeneity. The effects of financial capability are heterogeneous for different entrepreneurs. Furthermore, technology, labour and land act as the mediating variables through which financial capability improves entrepreneurial performance. Therefore, to facilitate entrepreneurial success, it is important to provide entrepreneurs with financial education. Meanwhile, improvements to the financial environment should also be considered. Additionally, financial institutions should combine financial services with factors, such as technology, land and labour, to improve entrepreneurial performance.</t>
  </si>
  <si>
    <t>[Yi, Hong] Guizhou Univ Finance &amp; Econ, Coll Business Adm, Guiyang, Guizhou, Peoples R China; [Meng, Xue; Linghu, Yuting; Zhang, Ziyu] Guizhou Univ Finance &amp; Econ, Coll Big Data Applicat &amp; Econ, Guiyang, Guizhou, Peoples R China</t>
  </si>
  <si>
    <t>Guizhou University of Finance &amp; Economics; Guizhou University of Finance &amp; Economics</t>
  </si>
  <si>
    <t>Zhang, ZY (corresponding author), Guizhou Univ Finance &amp; Econ, Coll Big Data Applicat &amp; Econ, Guiyang, Guizhou, Peoples R China.</t>
  </si>
  <si>
    <t>zhangziyu@mail.gufe.edu.cn</t>
  </si>
  <si>
    <t>Zhang, Ziyu/0000-0001-9000-4555</t>
  </si>
  <si>
    <t>Guizhou Province Philosophy and Social Science Planning Project</t>
  </si>
  <si>
    <t>This work was supported by Guizhou Province Philosophy and Social Science Planning Project.</t>
  </si>
  <si>
    <t>10.1080/1331677X.2022.2091631</t>
  </si>
  <si>
    <t>8M7ON</t>
  </si>
  <si>
    <t>WOS:000823859900001</t>
  </si>
  <si>
    <t>Astuti, R; Hartono, D; Widyastaman, PA</t>
  </si>
  <si>
    <t>Astuti, Rini; Hartono, Djoni; Widyastaman, Putu Angga</t>
  </si>
  <si>
    <t>The impacts of financial inclusion on food security in Indonesia</t>
  </si>
  <si>
    <t>HOUSEHOLD WELFARE; INSECURITY; MICROCREDIT; INCOME; CREDIT; EFFICIENCY; POVERTY</t>
  </si>
  <si>
    <t>Food security is a challenging global concern. Unfortunately, food security has been declining since 2014. Conversely, financial inclusion is regarded as a potential strategy to enhance household food security. However, research on the impact of financial inclusion on food security remains inconclusive. Thus, this study aims to investigate the effects of financial inclusion on household food security. This study offers several novel contributions to the literature. First, it managed to provide a causal link between financial inclusion and food security. It employs several measures to better handle endogeneity issues, such as Lewbel's (2012) 2SLS approach. Second, it provides a heterogeneity analysis by separately estimating rural and urban household subsamples, providing novel insights on the differentiation of effects of financial inclusion between urban and rural areas. Third, it employs mediating variable analysis to examine the mediating effect of income between financial inclusion and food security. The main results showed that financial inclusion improved household food security. The study also found, by analysing subsamples based on poverty level and location, that financial inclusion only significantly affected the increase of food security in households living in rural areas, which applies to both poor and non-poor households. This study implies that the authorities may approach financial inclusion as one of the alternatives to encourage food security improvement in Indonesia.</t>
  </si>
  <si>
    <t>[Astuti, Rini] Badan Pusat Stat Stat Indonesia, Demak Regency, Demak, Indonesia; [Hartono, Djoni; Widyastaman, Putu Angga] Univ Indonesia, Fac Econ &amp; Business, Dept Econ, Res Cluster Energy Modeling &amp; Reg Econ Anal, Depok, West Java, Indonesia</t>
  </si>
  <si>
    <t>Hartono, D (corresponding author), Prof Dr Sumitro Djojohadikusumo, Dept Econ Bldg, Widjojo Nitisastro Campus, Str UI Depok Campus,, Depok 16424, West Java, Indonesia.</t>
  </si>
  <si>
    <t>djoni.hartono@gmail.com</t>
  </si>
  <si>
    <t>Hartono, Djoni/P-4055-2017; astuti, rini/IUN-7515-2023</t>
  </si>
  <si>
    <t>2025 NOV 5</t>
  </si>
  <si>
    <t>10.1080/09614524.2025.2573966</t>
  </si>
  <si>
    <t>9LY5N</t>
  </si>
  <si>
    <t>WOS:001609518200001</t>
  </si>
  <si>
    <t>Chaturvedi, A; Sharma, HP</t>
  </si>
  <si>
    <t>Chaturvedi, Ashish; Sharma, Hari Prapan</t>
  </si>
  <si>
    <t>An Analytical Study of Microfinance Services: Origin, Services and Limitations</t>
  </si>
  <si>
    <t>MICROFINANCE; FINANCIAL INCLUSION; GRAMEEN MODEL; WOMEN EMPOWERMENT</t>
  </si>
  <si>
    <t>Microfinance, over the years, has been a major source of discussion and discourse in the field of finance as well as development. However, for many people, the concept of the microfinance services is vague and it creates certain confusion. As a result, there is a lack of understanding which results in erroneous decisions while gauging the impact of these services in qualitative as well as quantitative terms. Through this paper, the authors have attempted to provide a clear and concise understanding of the origin, meaning, success factors, services and limitations of these services. These explanations may assist young researcher as well as academicians in developing a holistic understanding of microfinance services, specifically in the South Asian context, which may result in increased discourse and zealousness of research in the field.</t>
  </si>
  <si>
    <t>[Chaturvedi, Ashish; Sharma, Hari Prapan] GLA Univ, Inst Business Management, Mathura, Uttar Pradesh, India</t>
  </si>
  <si>
    <t>GLA University</t>
  </si>
  <si>
    <t>Chaturvedi, A (corresponding author), GLA Univ, Inst Business Management, Mathura, Uttar Pradesh, India.</t>
  </si>
  <si>
    <t>ashishchaturvedi7789@gmail.com</t>
  </si>
  <si>
    <t>Sharma, Hari/AAQ-1160-2021</t>
  </si>
  <si>
    <t>WOS:000640077800030</t>
  </si>
  <si>
    <t>Jha, S; Dangwal, RC</t>
  </si>
  <si>
    <t>Jha, Shweta; Dangwal, R. C.</t>
  </si>
  <si>
    <t>Impact of fintech usages on financial inclusion initiatives: perspective from Urban slum dwellers of Uttarakhand</t>
  </si>
  <si>
    <t>JOURNAL OF CHINESE ECONOMIC AND BUSINESS STUDIES</t>
  </si>
  <si>
    <t>Access; Usages; Quality; Fintech Adoption; Urban Poor</t>
  </si>
  <si>
    <t>MOBILE MONEY; DECISION-MAKING; ADOPTION; DETERMINANTS; ACCESS; MODEL</t>
  </si>
  <si>
    <t>This study explores awareness levels, the factors influencing awareness, and the impact of actual usages of fintech services on the acceleration of financial inclusion initiatives among the urban poor of the disadvantaged geographic segment of society. Data have been gathered from a sample of 100 individuals residing in urban slums in Uttarakhand, and analysis has been conducted utilizing the Partial Least Square Structural Equation Modeling (PLS-SEM) technique. The study finds that there is a moderate-to-low level of awareness except awareness of digital methods of payments, which is very high. Income and education are the prominent factors affecting awareness. Lastly, fintech is an effective lever that significantly accelerates the financial inclusion initiatives among urban slum dwellers.</t>
  </si>
  <si>
    <t>[Jha, Shweta; Dangwal, R. C.] HN B Garhwal Univ, Dept Commerce, Srinagar, Uttarakhand, India</t>
  </si>
  <si>
    <t>Jha, S (corresponding author), HN B Garhwal Univ, Dept Commerce, Srinagar, Uttarakhand, India.</t>
  </si>
  <si>
    <t>shwetajha2711@gmail.com</t>
  </si>
  <si>
    <t>jha, Shweta/ABB-2513-2022</t>
  </si>
  <si>
    <t>The paper has been presented at CIEMC Conference 2022. The current manuscript is a revised and an improvised version of the paper as per the suggestions of Conference reviewers. We thank the CIEMC Conference 2022 organizers of the Indian Institute of Manag</t>
  </si>
  <si>
    <t>The paper has been presented at CIEMC Conference 2022. The current manuscript is a revised and an improvised version of the paper as per the suggestions of Conference reviewers. We thank the CIEMC Conference 2022 organizers of the Indian Institute of Management Bodhgaya.</t>
  </si>
  <si>
    <t>1476-5284</t>
  </si>
  <si>
    <t>1476-5292</t>
  </si>
  <si>
    <t>J CHIN ECON BUS STUD</t>
  </si>
  <si>
    <t>J. Chin. Econ. Bus. Stud.</t>
  </si>
  <si>
    <t>10.1080/14765284.2023.2278010</t>
  </si>
  <si>
    <t>XW5X8</t>
  </si>
  <si>
    <t>WOS:001100027500001</t>
  </si>
  <si>
    <t>Goda, GS; Levy, MR; Manchester, CF; Sojourner, A; Tasoff, J; Xiao, JS</t>
  </si>
  <si>
    <t>Goda, Gopi Shah; Levy, Matthew R.; Manchester, Colleen Flaherty; Sojourner, Aaron; Tasoff, Joshua; Xiao, Jiusi</t>
  </si>
  <si>
    <t>Are retirement planning tools substitutes or complements to financial capability?</t>
  </si>
  <si>
    <t>Retirement planning; Retirement saving; Exponential-growth bias; Present bias; Financial literacy; Financial capability</t>
  </si>
  <si>
    <t>EXPONENTIAL-GROWTH BIAS; EDUCATION; LITERACY; INFORMATION; WORKPLACE; INCREASE; WOMEN</t>
  </si>
  <si>
    <t>We conduct a randomized controlled trial to understand how a web-based retirement saving calculator affects workers' retirement-savings decisions. In both the treatment and active control conditions, the calculator projects workers' retirement income goal. In the treatment condition only, it also projects retirement income based on defined-contribution savings, prominently displays the gap between projected goal and actual retirement income, and allows users to interactively explore how alternative, future contribution choices would affect the gap. The treatment increased average annual retirement contributions by $174 (2.3 percent). However, effects were larger for those with higher measures of financial knowledge, suggesting this type of tool complements, rather than substitutes for, underlying financial capability.</t>
  </si>
  <si>
    <t>[Goda, Gopi Shah] Stanford Univ, 366 Galvez St, Stanford, CA 94305 USA; [Levy, Matthew R.] London Sch Econ, Houghton St, London WC2A 2AE, England; [Manchester, Colleen Flaherty] Univ Minnesota, 321 19th Ave South, Minneapolis, MN 55455 USA; [Sojourner, Aaron] WE Upjohn Inst Employment Res, 300 S Westnedge Ave, Kalamazoo, MI 49007 USA; [Tasoff, Joshua; Xiao, Jiusi] Claremont Grad Univ, 160 East Tenth St, Claremont, CA 91711 USA</t>
  </si>
  <si>
    <t>Stanford University; University of London; London School Economics &amp; Political Science; University of Minnesota System; University of Minnesota Twin Cities; W.E. Upjohn Institute for Employment Research; Claremont Colleges; Claremont Graduate University</t>
  </si>
  <si>
    <t>Goda, GS (corresponding author), Stanford Univ, 366 Galvez St, Stanford, CA 94305 USA.</t>
  </si>
  <si>
    <t>gopi@stanford.edu; m.r.levy@lse.ac.uk; cmanch@umn.edu; sojourner@upjohn.org; joshua.tasoff@cgu.edu; jiusi.xiao@cgu.edu</t>
  </si>
  <si>
    <t>; Sojourner, Aaron/JAN-7121-2023</t>
  </si>
  <si>
    <t>Levy, Matthew/0000-0002-2508-826X; Goda, Gopi/0000-0003-2924-3244; Xiao, Jiusi/0009-0008-7915-5051; Sojourner, Aaron/0000-0001-6839-2512</t>
  </si>
  <si>
    <t>10.1016/j.jebo.2023.08.001</t>
  </si>
  <si>
    <t>S8GK1</t>
  </si>
  <si>
    <t>WOS:001073494100001</t>
  </si>
  <si>
    <t>Baker, SM; Ngonyama-Ndou, TL</t>
  </si>
  <si>
    <t>Baker, Sabelo Merrander; Ngonyama-Ndou, T. L.</t>
  </si>
  <si>
    <t>Gendered Perspectives in Capacity Development and Financial Literacy in the Mining Industry in Mpumalanga Province</t>
  </si>
  <si>
    <t>financial literacy; gender empowerment; mining industry; Mpumalanga; workplace inclusion; capacity development; digital barriers</t>
  </si>
  <si>
    <t>Financial literacy is not just an individual skill but a crucial enabler for sustainable development and gender equality, particularly in historically male-dominated sectors like mining. Despite progress in financial inclusion, women in Mpumalanga's mining industry continue to face systemic barriers rooted in traditional gender norms, socio-cultural expectations, and a lack of workplace support, limiting their economic participation. Mining, especially in rural areas, often intensifies existing inequalities, making financial empowerment for women even more challenging. This study explores the efficacy of gender-sensitive financial literacy and capacity development programs tailored to women in Mpumalanga's mining sector. Using in-depth interviews with 12 female employees, the study employed thematic analysis to identify patterns and extract meaning from the participants lived experiences. The research identifies key barriers, including the need for accommodation in the workplace, the impact of cultural norms, and the need for financial literacy. The theorising is made possible through a twin theoretical framework consisting of the capability approach and intersectional feminism, which results in greater understanding about how intersecting identities influence women's financial empowerment. The evidence underscores the potential of focused, comprehensive financial literacy programs to empower women to overcome these barriers, facilitating individual and community development. In general, the study underlines the critical role of financial literacy in realising gender equality and sustainable development in the mining industry. The research calls for policies and programs to address systemic issues, advancing women's economic empowerment and creating a more equitable sector.</t>
  </si>
  <si>
    <t>[Baker, Sabelo Merrander] Tshwane Univ Technol, Dept People Management &amp; Dev, ZA-1034 Witbank, South Africa; [Ngonyama-Ndou, T. L.] Univ South Africa, Dept Human Resource Management, Unisa, ZA-0003 Pretoria, South Africa</t>
  </si>
  <si>
    <t>Tshwane University of Technology; University of South Africa</t>
  </si>
  <si>
    <t>Baker, SM (corresponding author), Tshwane Univ Technol, Dept People Management &amp; Dev, ZA-1034 Witbank, South Africa.</t>
  </si>
  <si>
    <t>bakersm1@tut.ac.za; engonytl@unisa.ac.za</t>
  </si>
  <si>
    <t>Ngonyama-Ndou, Thulile/OQL-2176-2025</t>
  </si>
  <si>
    <t>10.3390/admsci15110446</t>
  </si>
  <si>
    <t>F2588</t>
  </si>
  <si>
    <t>WOS:001623362300001</t>
  </si>
  <si>
    <t>Zalle, O</t>
  </si>
  <si>
    <t>Zalle, Oumarou</t>
  </si>
  <si>
    <t>Financial inclusion and tax effort in sub-Saharan Africa: the role of institutional quality</t>
  </si>
  <si>
    <t>JOURNAL OF PUBLIC FINANCE AND PUBLIC CHOICE</t>
  </si>
  <si>
    <t>financial inclusion; tax effort; finite mixture model; institutional quality; sub-Saharan Africa</t>
  </si>
  <si>
    <t>REVENUE MOBILIZATION; INFORMATION; CORRUPTION; COUNTRIES; EVASION; IMPACT; LAW; AID</t>
  </si>
  <si>
    <t>Addressing growth challenges in developing countries requires mobilising domestic resources in the face of declining external financing. This paper explores the effects of financial inclusion on tax efforts in sub-Saharan Africa, conditioned by institutional quality. To do this, a finite mixture model that takes into account the potential presence of unobserved heterogeneity was estimated based on a sample taken from 43 countries over the 1996-2019 period. Tax effort scores were constructed using several stochastic frontier models. The results show that the impact of financial inclusion on tax efforts differs across country groups. For example, financial inclusion stimulates tax effort in sub-Saharan Africa in 93.8 per cent of cases and inhibits tax effort in only 6.2 per cent of cases. These results are robust to several sensitivity tests. This paper highlights the need for countries in sub-Saharan Africa to improve access to financial systems by increasing mobile banking coverage and accessibility and reducing financial services costs. These countries should also look to capitalise on the benefits of financial inclusion by protecting political rights and fighting corruption.</t>
  </si>
  <si>
    <t>[Zalle, Oumarou] Norbert Zongo Univ, Koudougou, Burkina Faso</t>
  </si>
  <si>
    <t>Zalle, O (corresponding author), Norbert Zongo Univ, Koudougou, Burkina Faso.</t>
  </si>
  <si>
    <t>ozallas@yahoo.com</t>
  </si>
  <si>
    <t>Zallé, Oumarou/0000-0001-5973-6520</t>
  </si>
  <si>
    <t>BRISTOL UNIV PRESS &amp; POLICY PRESS</t>
  </si>
  <si>
    <t>1-9 OLD PARK HILL, UNIV BRISTOL, BRISTOL, BS2 8BB, ENGLAND</t>
  </si>
  <si>
    <t>2515-6918</t>
  </si>
  <si>
    <t>2515-6926</t>
  </si>
  <si>
    <t>J PUBLIC FINANC PUBL</t>
  </si>
  <si>
    <t>J. Public Financ. Public Choice</t>
  </si>
  <si>
    <t>10.1332/251569121X16817386486785</t>
  </si>
  <si>
    <t>X6TY6</t>
  </si>
  <si>
    <t>WOS:001000368100001</t>
  </si>
  <si>
    <t>Hossain, MN; Hidayat-ur-Rehman, I; Bhuiyan, A; Salleh, HM</t>
  </si>
  <si>
    <t>Hossain, Md Nahin; Hidayat-ur-Rehman, Imdadullah; Bhuiyan, Abul Bashar; Salleh, Hamdan Mohd</t>
  </si>
  <si>
    <t>Evaluating the influence of IT governance, Fintech adoption, and financial literacy on sustainable performance</t>
  </si>
  <si>
    <t>Technology-organization-environment; IT governance; Financial literacy; Sustainable performance; Structural equation modelling</t>
  </si>
  <si>
    <t>INFORMATION-TECHNOLOGY; INVESTMENT</t>
  </si>
  <si>
    <t>PurposeThis study examines the interconnections between information technology (IT) governance, Fintech adoption and financial literacy, evaluating their collective influence on the sustainable performance of financial institutions. Focusing on Bangladesh's digital evolution, it aims to provide insights into how institutions can effectively embrace digital transformation while ensuring financial inclusion and long-term sustainability in a rapidly changing financial landscape.Design/methodology/approachThis study used a survey method to gather data from banking employees in Bangladesh. A total of 437 responses were obtained from employees across six state-owned banks, of which 391 valid responses were used for model testing. The data analysis was conducted using the PLS-SEM approach, with SmartPLS 4 and SPSS 23 used to ensure the robustness and accuracy of the results.FindingsThe findings reveal that Fintech adoption, IT governance and financial literacy significantly contribute to the sustainable performance of financial institutions. The study confirms that strong IT governance enhances both Fintech adoption and institutional sustainability, while higher financial literacy positively influences both Fintech adoption and sustainable performance. These results underscore the interconnected roles of these factors in promoting long-term success and competitiveness within the financial sector.Originality/valueThis study advances the understanding of IT governance, Fintech adoption and financial literacy as key drivers of sustainable performance in financial institutions. It offers helpful insights for organizations and policymakers, repositioning IT governance as a proactive innovation enabler and emphasizing the necessity of robust governance structures and enhanced financial literacy to promote sustainable growth in a digital environment.</t>
  </si>
  <si>
    <t>[Hossain, Md Nahin] Islamic Univ Technol, Dept Business &amp; Technol Management, Gazipur, Bangladesh; [Hidayat-ur-Rehman, Imdadullah] Univ Tabuk, Fac Business Adm, Dept MIS, Tabuk, Saudi Arabia; [Bhuiyan, Abul Bashar] Sunway Univ, Jeffrey Sachs Ctr Sustainable Dev, Bandar Sunway, Malaysia; [Salleh, Hamdan Mohd] Univ Selangor, Inst Electoral Studies &amp; Advancement Democracy IES, Shah Alam, Malaysia</t>
  </si>
  <si>
    <t>University of Tabuk; Sunway University</t>
  </si>
  <si>
    <t>Hossain, MN (corresponding author), Islamic Univ Technol, Dept Business &amp; Technol Management, Gazipur, Bangladesh.</t>
  </si>
  <si>
    <t>md.nahinhossainsaad@yahoo.com; imdad7371@hotmail.com; abulbashar@sunway.edu.my; hamdan@unisel.edu.my</t>
  </si>
  <si>
    <t>Hidayat-ur-Rehman, Iadullah/AAS-4754-2020; Hossain, Nahin/HDM-0518-2022</t>
  </si>
  <si>
    <t>Hidayat-ur-Rehman, Iadullah/0000-0001-7763-6566; Hossain, Nahin/0000-0003-3329-4095</t>
  </si>
  <si>
    <t>2025 MAY 1</t>
  </si>
  <si>
    <t>10.1108/SEF-10-2024-0672</t>
  </si>
  <si>
    <t>2AJ0R</t>
  </si>
  <si>
    <t>WOS:001477929000001</t>
  </si>
  <si>
    <t>Bin Afzal, MH</t>
  </si>
  <si>
    <t>Benlamri, R; Sparer, M</t>
  </si>
  <si>
    <t>Bin Afzal, Muhammad Hassan</t>
  </si>
  <si>
    <t>Sustainable Development of Rural Communities in Bangladesh by Integrating Mobile Internet and Agent Banking Technology</t>
  </si>
  <si>
    <t>LEADERSHIP, INNOVATION AND ENTREPRENEURSHIP AS DRIVING FORCES OF THE GLOBAL ECONOMY</t>
  </si>
  <si>
    <t>International Conference on Leadership, Innovation and Entrepreneurship (ICLIE)</t>
  </si>
  <si>
    <t>APR 20-22, 2016</t>
  </si>
  <si>
    <t>Canadian Univ Dubai, Dubai, U ARAB EMIRATES</t>
  </si>
  <si>
    <t>Huawei,Air Canada</t>
  </si>
  <si>
    <t>Canadian Univ Dubai</t>
  </si>
  <si>
    <t>Mobile platform development for agent banking; Mobile learning system for rural people; Unified mobile platform for real-time banking; Banking service for rural people</t>
  </si>
  <si>
    <t>Bangladesh is one of the most populous countries in the world and mass people are still unbanked and still not included under central financial banking service. This causes huge setbacks in progressing the financial status of Bangladesh. In order to avoid such problematic scenario, the central bank of Bangladesh, Bangladesh bank decided to adopt and promote agent banking service in rural areas of Bangladesh to include the mass rural population under central financial enclosure. As of current situation, mobile operators can play a vital role to promote and educate and motivate the rural people of Bangladesh to be registered and use the service of agent banking to perform their daily financial tasks. Furthermore, mobile operators along with top banking software farms and banks can work together to build a unified platform to provide effective agent banking service in real time to the rural people of Bangladesh. This paper specifically discusses about mobile learning system for the rural people in order to educate them about the advantages and various useful services of banking system of Bangladesh. Furthermore, this paper also promotes a unified system based on mobile platform which can benefit both banking industry as well as their customers to get quick and risk-free financial services. This will result a better economical situation in Bangladesh and the rural people will be benefited from better, secure and quick financial services from Bangladeshi banks.</t>
  </si>
  <si>
    <t>[Bin Afzal, Muhammad Hassan] Primeasia Univ, Elect &amp; Elect Engn Dept, Dhaka, Bangladesh; [Bin Afzal, Muhammad Hassan] Univ Dhaka, Fac Business Studies, Dhaka, Bangladesh</t>
  </si>
  <si>
    <t>Bin Afzal, MH (corresponding author), Primeasia Univ, Elect &amp; Elect Engn Dept, Dhaka, Bangladesh.;Bin Afzal, MH (corresponding author), Univ Dhaka, Fac Business Studies, Dhaka, Bangladesh.</t>
  </si>
  <si>
    <t>hasssans@ieee.org</t>
  </si>
  <si>
    <t>Afzal, Muhammad Hassan Bin/AAE-2582-2022</t>
  </si>
  <si>
    <t>Afzal, Muhammad Hassan Bin/0000-0001-8192-0885</t>
  </si>
  <si>
    <t>978-3-319-43434-6; 978-3-319-43433-9</t>
  </si>
  <si>
    <t>10.1007/978-3-319-43434-6_31</t>
  </si>
  <si>
    <t>BI6AF</t>
  </si>
  <si>
    <t>WOS:000413014600031</t>
  </si>
  <si>
    <t>Angin, M; Güner, E; Kilinçarslan, P</t>
  </si>
  <si>
    <t>Angin, Merih; Guner, Eylem; Kilincarslan, Pelin</t>
  </si>
  <si>
    <t>AI strategies for financial inclusion and gender equality in MENAT: Evidence from Egypt, Turkey, and the UAE</t>
  </si>
  <si>
    <t>National AI strategies; Financial inclusion; Gender equality; NLP; MENAT; Egypt; Turkey; UAE</t>
  </si>
  <si>
    <t>SUBJECTIVITIES; EMPOWERMENT; MICROCREDIT; DISCOURSES; CREDIT</t>
  </si>
  <si>
    <t>Despite widespread artificial intelligence (AI) and financial-inclusion strategies across Middle East, North Africa, and Turkey (MENAT) countries, their implications for gender equality remain underexplored. This study bridges this gap by employing natural language processing techniques, specifically a RoBERTa model fine-tuned for Sustainable Development Goal 5 (Gender Equality), to analyze publicly available national AI strategy documents from MENAT countries. Our highaccuracy thematic classification reveals substantial variation in countries' approaches to gender-focused financial inclusion. Through an in-depth comparative assessment of Egypt, Turkey, and the United Arab Emirates (UAE), we find distinct approaches: the UAE demonstrates strong AI readiness yet limited focus on socio-economic inclusivity, Turkey shows moderate attention to integrating gender in financial inclusion, and Egypt, despite ambitious goals, faces significant implementation challenges. These findings underscore the diverse challenges and opportunities in leveraging AI to enhance financial inclusion and empower women, reflecting varied socio-economic priorities and execution capacities across the MENAT region.</t>
  </si>
  <si>
    <t>[Angin, Merih; Guner, Eylem; Kilincarslan, Pelin] Koc Univ, Rumelifeneri Mah,Rumeli Feneri Yolu, TR-34450 Istanbul, Turkiye</t>
  </si>
  <si>
    <t>Koc University</t>
  </si>
  <si>
    <t>Angin, M (corresponding author), Koc Univ, Dept Int Relat, Rumelifeneri Mah,Rumeli Feneri Yolu, TR-34450 Istanbul, Turkiye.;Angin, M (corresponding author), Koc Univ, Computat Social Sci Program, Rumelifeneri Mah,Rumeli Feneri Yolu, TR-34450 Istanbul, Turkiye.</t>
  </si>
  <si>
    <t>mangin@ku.edu.tr; eguner21@ku.edu.tr; pekilincarslan@ku.edu.tr</t>
  </si>
  <si>
    <t>Kılınçarslan, Pelin/JPA-5016-2023; Angin, Merih/B-1387-2017</t>
  </si>
  <si>
    <t>Angin, Merih/0000-0003-0739-798X</t>
  </si>
  <si>
    <t>10.1016/j.gfj.2025.101181</t>
  </si>
  <si>
    <t>8WI6S</t>
  </si>
  <si>
    <t>WOS:001598897600001</t>
  </si>
  <si>
    <t>Datta, S; Sahu, TN</t>
  </si>
  <si>
    <t>Datta, Srimoyee; Sahu, Tarak Nath</t>
  </si>
  <si>
    <t>How Far is Microfinance Relevant for Empowering Rural Women? An Empirical Investigation</t>
  </si>
  <si>
    <t>women empowerment; microfinance institution; micro-credit</t>
  </si>
  <si>
    <t>ECONOMIC EMPOWERMENT; FINANCIAL INCLUSION; ENTREPRENEURSHIP; GENDER; REFLECTIONS; BANGLADESH; BORROWERS; PROGRAM; CREDIT; IMPACT</t>
  </si>
  <si>
    <t>Empowerment has been treated as one of the influential poverty alleviation strategies of the day. Various microfinance institutions have emerged with the objective to enhance empowerment, especially for women through different assistance programs. This study attempts to explore the impact of microfinance institutions towards the economic, social, and psychological empowerment of women borrowers using primary data collected through a structured questionnaire from the backward districts of West Bengal, India. In addition, the study also tries to identify the important determinants of empowerment among such borrowers. Applying t-test, logistic, and ordered logistic regression it has been observed that Microfinance Institutions (MFIs) have a significant role towards betterment in the standard of living and empowerment of such women borrowers.</t>
  </si>
  <si>
    <t>[Datta, Srimoyee] Sidho Kanho Birsha Univ, Bengal Inst Sci &amp; Technol, Lagda, W Bengal, India; [Sahu, Tarak Nath] Vidyasagar Univ, Dept Commerce, Midnapore, W Bengal, India</t>
  </si>
  <si>
    <t>Sahu, TN (corresponding author), Vidyasagar Univ, Dept Commerce, Midnapore, W Bengal, India.</t>
  </si>
  <si>
    <t>Sahu, Tarak Nath/AAX-1817-2021; Datta, srimoyee/IWL-9824-2023</t>
  </si>
  <si>
    <t>Sahu, Tarak Nath/0000-0001-8017-0728; Datta, srimoyee/0009-0004-5691-1812</t>
  </si>
  <si>
    <t>UGC; ICSSR</t>
  </si>
  <si>
    <t>UGC(University Grants Commission, India); ICSSR</t>
  </si>
  <si>
    <t>Srimoyee Datta is presently working as assistant professor at the Bengal Institute of Science and Technology (Affiliated to Sidho Kanho Birsha University), West Bengal, India. Her research area is in finance and she has published various research articles in different journals in the area of financial inclusion, microfinance, women empowerment. Her research work has also been shared in more than twenty national and international conferences. Tarak Nath Sahu, corresponding author, can be contacted@taraknathsahu1982@gmail.com.Dr.Sahu is presently an associate professor in the Department of Commerce, Vidyasagar University, Midnapore, West Bengal, India. His specialization is in finance and financial markets and his research publications are in the area of stock market behavior, corporate finance, corporate governance, investor behavior. Dr. Sahu, a gold medalist at both graduate and post-graduate level, has authored four books and co-edited six books. He has completed two research projects sponsored by UGC and ICSSR. His research work has also been shared in a number of national and international journals and conferences.</t>
  </si>
  <si>
    <t>10.1080/00213624.2022.2019552</t>
  </si>
  <si>
    <t>0J8IC</t>
  </si>
  <si>
    <t>WOS:000780343100006</t>
  </si>
  <si>
    <t>FinTech literature reviews: A hybrid approach</t>
  </si>
  <si>
    <t>Bibliometric analysis; FinTech; Literature review; Innovation; Blockchain; TCCM</t>
  </si>
  <si>
    <t>FINANCIAL INCLUSION; SCIENCE; TRENDS; WEB</t>
  </si>
  <si>
    <t>Using a hybrid literature review incorporating the TCCM (Theory, Context, Characteristics, Methodology) framework in bibliometric analysis, this study maps 68 Financial Technology (FinTech) literature reviews from top-ranked ABDC-listed journals, to reveal significant growth and scholarly attention since 2018. While highlighting influential journals and authors, it provides insights into different theories, contexts, characteristics, and methodologies adopted by researchers. India and the United States lead contributions, while the United Kingdom garners the highest citations. Network analysis unveils five thematic clusters, highlighting regulatory issues, blockchain, innovation, financial inclusion and sustainability topics. Future research should integrate FinTech with ESG, Islamic finance, and financial inclusion.</t>
  </si>
  <si>
    <t>[Pandey, Dharen Kumar] Indian Inst Management Sambalpur, Sambalpur, Odisha, India</t>
  </si>
  <si>
    <t>Pandey, DK (corresponding author), Indian Inst Management Sambalpur, Sambalpur, Odisha, India.</t>
  </si>
  <si>
    <t>10.1016/j.frl.2025.107249</t>
  </si>
  <si>
    <t>1ES0C</t>
  </si>
  <si>
    <t>WOS:001463255700001</t>
  </si>
  <si>
    <t>Twumasi, MA; Jiang, YS; Wang, PC; Ding, Z; Frempong, LN; Acheampong, MO</t>
  </si>
  <si>
    <t>Twumasi, Martinson Ankrah; Jiang, Yuansheng; Wang, Pengcheng; Ding, Zhao; Frempong, Lady Nadia; Acheampong, Monica Owusu</t>
  </si>
  <si>
    <t>Does financial literacy inevitably lead to access to finance services? Evidence from rural Ghana</t>
  </si>
  <si>
    <t>CIENCIA RURAL</t>
  </si>
  <si>
    <t>access to financial services; financial literacy; two-stage residual inclusion model; Ghana</t>
  </si>
  <si>
    <t>CREDIT; DETERMINANTS; INCLUSION; KNOWLEDGE; SINDH</t>
  </si>
  <si>
    <t>This study examined the determinants of financial literacy (FL) and its impact on access to financial services (AFS), using data collected from rural Ghana. A two-stage residual inclusion model is utilized to address the selection bias issue. The results showed that FL is affected by household heads' age, gender, education. asset ownership, homeownership, and economics education. The results revealed that FL is significant and positively related to AFS, but its square shows an inverse relation with saving mobilization. This indicated a non-linear relationship between FL and AFS'. Moreover. we find that FL has a larger AFS impact for households with high-income and male household heads relative to their counterparts. The study recommended that the government can initiate the creation of a rural committee to educate rural residents on financial issues through radio broadcasting and meetings. Our findings highlighted the importance of FL on AFS in enhancing the welfare of rural households.</t>
  </si>
  <si>
    <t>[Twumasi, Martinson Ankrah; Jiang, Yuansheng; Ding, Zhao] Sichuan Agr Univ, Coll Econ, Chengdu, Peoples R China; [Wang, Pengcheng] China Agr Univ, Coll Econ &amp; Management, Beijing, Peoples R China; [Frempong, Lady Nadia] Sichuan Agr Univ, Coll Management, Chengdu, Peoples R China; [Acheampong, Monica Owusu] Univ Cape Coast, Sch Management, Cape Coast, Ghana</t>
  </si>
  <si>
    <t>Sichuan Agricultural University; China Agricultural University; Sichuan Agricultural University; University of Cape Coast</t>
  </si>
  <si>
    <t>Jiang, YS (corresponding author), Sichuan Agr Univ, Coll Econ, Chengdu, Peoples R China.</t>
  </si>
  <si>
    <t>yjiang@sicau.edu.cn</t>
  </si>
  <si>
    <t>Ankrah Twumasi, Martinson/AAM-5558-2020</t>
  </si>
  <si>
    <t>Ankrah Twumasi, Martinson/0000-0001-8703-7102; Wang, Pengcheng/0000-0001-7335-0827</t>
  </si>
  <si>
    <t>Sichuan Agriculture University; Soft-Science Program of Sichuan Department of Sci-Technology [18RKX0773]</t>
  </si>
  <si>
    <t>Sichuan Agriculture University; Soft-Science Program of Sichuan Department of Sci-Technology</t>
  </si>
  <si>
    <t>This work was supported by Sichuan Agriculture University and Soft-Science Program of Sichuan Department of Sci-Technology under the study of Theory, Mechanism and Policy for the Coupling of Modern Agric-Technology Innovation and Financial innovation (18RKX0773).</t>
  </si>
  <si>
    <t>UNIV FEDERAL SANTA MARIA</t>
  </si>
  <si>
    <t>SANTA MARIA</t>
  </si>
  <si>
    <t>CIDADE UNIV, BAIRRO CAMOBI, SANTA MARIA, RS 97105-900, BRAZIL</t>
  </si>
  <si>
    <t>0103-8478</t>
  </si>
  <si>
    <t>1678-4596</t>
  </si>
  <si>
    <t>CIENC RURAL</t>
  </si>
  <si>
    <t>Cienc. Rural</t>
  </si>
  <si>
    <t>e20210112</t>
  </si>
  <si>
    <t>10.1590/0103-8478cr20210112</t>
  </si>
  <si>
    <t>WB3OB</t>
  </si>
  <si>
    <t>WOS:000703483900001</t>
  </si>
  <si>
    <t>Iddrisu, AM; Danquah, M</t>
  </si>
  <si>
    <t>Iddrisu, Abdul Malik; Danquah, Michael</t>
  </si>
  <si>
    <t>The financial inclusion agenda: Examining the role of conventional banks in deepening access to formal credit</t>
  </si>
  <si>
    <t>financial sector development; bank branch expansion; financial inclusion; pseudo panel; Ghana</t>
  </si>
  <si>
    <t>PANEL-DATA; SERVICES; GROWTH; POVERTY; MICROFINANCE; INVESTMENT; BARRIERS; IMPACT; MATTER; INDIA</t>
  </si>
  <si>
    <t>Using a unique district-level panel dataset, we investigate the effect of banking system penetration on financial inclusion in Ghana. To purge potential endogeneity bias in the underlying relationship, we exploit a change in the policy environment of the Ghanaian banking system to instrument for bank branch expansion. We show, first, that the switch from the compartmentalized system of banking to the universal banking system in Ghana has resulted in an expansion of banks' branch network, which has benefited hitherto financially less developed districts. Second, our instrumental variable evidence suggests that banking system penetration promotes financial inclusion-notably, access to bank credit and to formal credit. The results of this paper provide important insights into the role of policy in enhancing financial inclusion.</t>
  </si>
  <si>
    <t>[Iddrisu, Abdul Malik] Inst Fiscal Studies IFS, London, England; [Danquah, Michael] UNU WIDER, Helsinki, Finland</t>
  </si>
  <si>
    <t>Iddrisu, AM (corresponding author), Inst Fiscal Studies IFS, London, England.</t>
  </si>
  <si>
    <t>abdul.iddrisu@ifs.org.uk; danquah@wider.unu.edu</t>
  </si>
  <si>
    <t>Idisu, Abdul Malik/0000-0002-3825-0609</t>
  </si>
  <si>
    <t>10.1016/j.ecosys.2024.101202</t>
  </si>
  <si>
    <t>US3N2</t>
  </si>
  <si>
    <t>WOS:001250009000001</t>
  </si>
  <si>
    <t>Malak, N; Arshad, A</t>
  </si>
  <si>
    <t>Malak, Nazish; Arshad, Ameena</t>
  </si>
  <si>
    <t>Impact of financial inclusion on healthcare access: evidence from developing countries</t>
  </si>
  <si>
    <t>Healthcare; Sustainable development goals; Financial inclusion</t>
  </si>
  <si>
    <t>SOCIAL COGNITIVE THEORY</t>
  </si>
  <si>
    <t>PurposeThe aim of this study is to explore how financial inclusion can impact healthcare access in developing countries using panel data for the period 2004-2022.Design/methodology/approachTo check the impact of financial inclusion on healthcare access, the estimation techniques used are the fixed-effect model (FEM), two-stage least squares (2SLS) and the system generalized method of moments (GMM). The data were collected from different websites such as the World Development Indicators (WDI), the United Nations International Children's Emergency Fund (UNICEF) and the United Nations Educational, Scientific and Cultural Organization (UNESCO).FindingsIt is found in the study that financial inclusion has a significant positive effect on healthcare access, and it is also confirmed from previous literature results. The study found that if there are high financial services in the countries, healthcare sectors can be improved by timely facilities, care and funds. Proper development of financial services could be possible by conducting awareness initiatives, financial planning and implementing literacy programs to educate individuals, particularly in rural and underdeveloped areas. According to the results, trade openness and foreign direct investment have a positive impact on healthcare access, while urbanization has negatively influenced healthcare access.Research limitations/implicationsThe limitations of this study were restricted to only 29 developing countries. The main reason behind the lack of availability of data insurance data for developing countries was the limitation in generalizing the results.Practical implicationsThe government and policymakers must check what are the best financial inclusion programs and policies that can be implemented to improve healthcare access. Previous literature does not show visibly the impact of financial inclusion's dimensions on healthcare access.Originality/valueThis study presents a pioneering examination of financial inclusion and healthcare in 29 lower- and middle-income countries (developing countries). This study has used a comprehensive financial inclusion index of 29 developing countries to cover the overall impact of financial inclusion on healthcare in these countries.</t>
  </si>
  <si>
    <t>[Malak, Nazish; Arshad, Ameena] COMSATS Univ Islamabad, Dept Management Sci, Attock Campus, Islamabad, Pakistan</t>
  </si>
  <si>
    <t>Arshad, A (corresponding author), COMSATS Univ Islamabad, Dept Management Sci, Attock Campus, Islamabad, Pakistan.</t>
  </si>
  <si>
    <t>2024 AUG 9</t>
  </si>
  <si>
    <t>10.1108/JEAS-02-2024-0057</t>
  </si>
  <si>
    <t>A9R0P</t>
  </si>
  <si>
    <t>WOS:001285826300001</t>
  </si>
  <si>
    <t>Sierra, J; Rodríguez-Conde, MJ</t>
  </si>
  <si>
    <t>Sierra, Javier; Rodriguez-Conde, Maria-Jose</t>
  </si>
  <si>
    <t>The Microfinance Game: Experiencing the dynamics of financial inclusion in developing contexts</t>
  </si>
  <si>
    <t>INTERNATIONAL JOURNAL OF MANAGEMENT EDUCATION</t>
  </si>
  <si>
    <t>Sustainability; Simulation; Poverty; Inequality; Microfinance; Financial inclusion</t>
  </si>
  <si>
    <t>SUSTAINABLE DEVELOPMENT GOALS; LEARNING OUTCOMES; EDUCATION; CHALLENGES; LECTURERS; IMPACT</t>
  </si>
  <si>
    <t>Higher education institutions need to play a leading role as drivers of change. In this context, there is a growing trend to develop multidisciplinary approaches to education for sustainable development, and to implement student-centered and problem-based teaching and learning methods to increase student satisfaction and engagement. The method presented here uses an online role-play simulation in which the students represent several stakeholders from the microfinance sector in Uganda, for the overall purpose of increasing financial and social inclusion levels in the country. Several Sustainable Development Goals are addressed from the perspective of interactions between different actors and their specific characteristics, objectives, and interests. This study uses post-simulation data to explore the students' perceptions about the usefulness of this methodology to foster key cognitive, skill-based, and affective learning outcomes. The implementation of this teaching and learning methodology demonstrated that this active learning method helps students acquire the set of skills and abilities that are expected of graduate students in economics, business, and management, with a special focus on sustainability criteria. Thanks to the methodology in this study, students are able to understand the complexities of the microfinance sector and its potential to tackle poverty and inequality.</t>
  </si>
  <si>
    <t>[Sierra, Javier] Univ Salamanca, Univ Inst Educ Sci, Ctr Global Governance, Salamanca, Spain; [Rodriguez-Conde, Maria-Jose] Univ Salamanca, Univ Inst Educ Sci, Salamanca, Spain</t>
  </si>
  <si>
    <t>University of Salamanca; University of Salamanca</t>
  </si>
  <si>
    <t>Sierra, J (corresponding author), Fac Law, Dept Appl Econ, Paseo Tomas &amp; Valiente S-N, Salamanca 37007, Spain.</t>
  </si>
  <si>
    <t>jsierra@usal.es</t>
  </si>
  <si>
    <t>Sierra, Javier/V-4471-2017; Rodríguez-Conde, María-Jose/B-8279-2011</t>
  </si>
  <si>
    <t>Sierra, Javier/0000-0003-2427-9619; Rodríguez-Conde, María-Jose/0000-0002-2509-1901</t>
  </si>
  <si>
    <t>1472-8117</t>
  </si>
  <si>
    <t>2352-3565</t>
  </si>
  <si>
    <t>INT J MANAG EDUC-OXF</t>
  </si>
  <si>
    <t>Int. J. Manag. Educ.</t>
  </si>
  <si>
    <t>10.1016/j.ijme.2021.100540</t>
  </si>
  <si>
    <t>Business; Education &amp; Educational Research; Management</t>
  </si>
  <si>
    <t>US3TP</t>
  </si>
  <si>
    <t>WOS:000697356200004</t>
  </si>
  <si>
    <t>Kefela, G</t>
  </si>
  <si>
    <t>Kefela, Ghirmai</t>
  </si>
  <si>
    <t>Implications of financial literacy in developing countries</t>
  </si>
  <si>
    <t>Banking knowledge; credit line; information and behavior</t>
  </si>
  <si>
    <t>This paper is an effort to establish the financial sector in the developing countries to promote financial literacy of customers and make them have access to finance and savings, which in turn support livelihoods, economic growth, sound financial systems, and participate in the economy. The main objectives of this paper is to enhances bank's visibility in the communities it serves, contributes to a larger customer base, increases access to depository institutions by educating consumers about available products and services, and enables consumers to make better-informed choices in the financial market. The final result is not to create financial experts; it is more important to equip individuals with sufficient knowledge to make sense of financial activities, seek out appropriate information, feel able to ask relevant questions, and be able to understand and interpret the information that they subsequently acquire. The primary goal of this paper is to create a consumer groups, community-based organizations, schools, colleges/universities, financial institutions, other interested organizations and individuals to expand the process and enhance the level of financial literacy of the public at all levels of the society.</t>
  </si>
  <si>
    <t>DTAG Inc, San Jose, CA 95110 USA</t>
  </si>
  <si>
    <t>Kefela, G (corresponding author), DTAG Inc, 2300 Airport Blvd, San Jose, CA 95110 USA.</t>
  </si>
  <si>
    <t>Gtesfai@hotmail.com</t>
  </si>
  <si>
    <t>776RI</t>
  </si>
  <si>
    <t>WOS:000291554500029</t>
  </si>
  <si>
    <t>Oyelami, LO; Ogundipe, AA</t>
  </si>
  <si>
    <t>Oyelami, Lukman O.; Ogundipe, Adeyemi A.</t>
  </si>
  <si>
    <t>An empirical investigation of remittances and financial inclusion nexus in Sub-Saharan Africa</t>
  </si>
  <si>
    <t>inclusion; remittances; ARDL; Africa</t>
  </si>
  <si>
    <t>ECONOMIC-GROWTH; HETEROGENEOUS PANELS; COINTEGRATION; TESTS</t>
  </si>
  <si>
    <t>The scope of financial development has been expanding and moving gradually towards a more inclusive development thus attention is gradually shifting to financial inclusion. It is against this background that this study investigates the role of migrants' remittances on financial inclusion in selected SSA countries. Pooled Mean Group (PMG) form of panel ARDL was employed but cross-sectional dependent characteristics of the data required the use of cross-sectional methods that cater for such properties. Consequently, XTDCCE: Dynamic Common Correlated Effects and XTCCE Common Correlated Effects estimator were used as robustness checks. For the purpose of this empirical investigation, we collected data on Remittances, Account Ownership and Income Per Capita for 27 SSA countries based on data availability. The conclusion is that remittances have no significant effect on financial inclusion in SSA. However, the variable demonstrates the potential to positively influence financial inclusion. Thus, there should be concrete policy efforts in the SSA to make remittances count for inclusive growth. The study contributes substantially by moving attention from a broad concept of financial development to Financial Inclusion and employed a more recent panel estimating techniques to investigate the nexus between remittances and Inclusion.</t>
  </si>
  <si>
    <t>[Oyelami, Lukman O.] Univ Lagos, Distance Learning Inst, Econ Unit, Lagos, Nigeria; [Ogundipe, Adeyemi A.] Covenant Univ, Dept Econ, Ota, Ogun Stote, Nigeria</t>
  </si>
  <si>
    <t>University of Lagos; Covenant University</t>
  </si>
  <si>
    <t>Ogundipe, AA (corresponding author), Covenant Univ, Dept Econ, Ota, Ogun Stote, Nigeria.</t>
  </si>
  <si>
    <t>ade.ogundipe@covenantuni-versity.edu.ng</t>
  </si>
  <si>
    <t>Ogundipe, Adeyemi/M-8498-2013; Oyelami, Lukman/T-2740-2019</t>
  </si>
  <si>
    <t>Ogundipe, Adeyemi/0000-0003-0707-294X; Oyelami, Lukman/0000-0002-9958-1815</t>
  </si>
  <si>
    <t>10.1080/23311975.2020.1712126</t>
  </si>
  <si>
    <t>KF1TL</t>
  </si>
  <si>
    <t>WOS:000509032600001</t>
  </si>
  <si>
    <t>dos Santos, RP; Joia, LA</t>
  </si>
  <si>
    <t>dos Santos, Ricardo Paschoeto; Joia, Luiz Antonio</t>
  </si>
  <si>
    <t>Financial inclusion of riverine populations: impact assessment of Agencia Barco</t>
  </si>
  <si>
    <t>REVISTA DE ADMINISTRACAO PUBLICA</t>
  </si>
  <si>
    <t>financial inclusion; development; information and communication technology; Agencia Barco; Marajo island</t>
  </si>
  <si>
    <t>This research aims to assess the impact of the Agencia Barco (a branch of a bank that operates in a boat) on the financial inclusion of the riverine population of the Marajo island. Empirical research was carried out through direct observation and semi-structured interviews applied to users and employees of the Agencia Barco. Lexical and content analyses were then applied in order to identify the elements for the financial inclusion of this population. The categories obtained through this technique were interpreted vis-a-vis a financial inclusion model developed from the existing literature. The research results show that the Agencia Barco has managed to supply partial access to financial products and services. However, the lack of basic financial education of the riverine population of the Marajo island has hindered adequate use of the financial services provided, hampering sustainable financial inclusion.</t>
  </si>
  <si>
    <t>[dos Santos, Ricardo Paschoeto] Caixa Econ Fed, Informat Technol, Rio De Janeiro, RJ, Brazil; [Joia, Luiz Antonio] Fundacao Getulio Vargas, Escola Brasileira Adm Publ &amp; Empresas, Rio De Janeiro, RJ, Brazil</t>
  </si>
  <si>
    <t>dos Santos, RP (corresponding author), Caixa Econ Fed, Informat Technol, Rio De Janeiro, RJ, Brazil.</t>
  </si>
  <si>
    <t>ricardopas@bol.com.br; luiz.joia@fgv.br</t>
  </si>
  <si>
    <t>JOIA, LUIZ ANTONIO/JHT-8863-2023</t>
  </si>
  <si>
    <t>FUNDACAO GETULIO VARGAS, EDITORA</t>
  </si>
  <si>
    <t>RIO DE JANEIRO RJ</t>
  </si>
  <si>
    <t>PRAIA BOTAFOGO-190, SAIA 538 5 ANDAR, RIO DE JANEIRO RJ, 22250-900, BRAZIL</t>
  </si>
  <si>
    <t>0034-7612</t>
  </si>
  <si>
    <t>1982-3134</t>
  </si>
  <si>
    <t>REV ADM PUBL-RIO JAN</t>
  </si>
  <si>
    <t>Rev. Adm. Publica</t>
  </si>
  <si>
    <t>10.1590/0034-7612171861</t>
  </si>
  <si>
    <t>VJ2QC</t>
  </si>
  <si>
    <t>WOS:000561882300005</t>
  </si>
  <si>
    <t>Universalising Financial Inclusion and the Securitisation of Development</t>
  </si>
  <si>
    <t>DEBTFARE STATE; MICROFINANCE</t>
  </si>
  <si>
    <t>In the wake of the 2008 financial crisis the G20 leaders have attempted to universalise financial inclusion as a key development strategy Financial inclusion, which has long been championed by official development institutions as a sound and effective market-based solution to combat poverty, is also now promoted by the G20, not only as a way out of the ongoing global recessionary environment but also as an important scheme to stabilise the world economy. To this end the G20 Financial Inclusion Experts Group forged the G20 Principles for Innovative Financial Inclusion in 2010 (the G20 Principles). Drawing on a historical materialist lens, I argue that the G20 Principles which represent extensions of, as opposed to a departure from, the neoliberal development projectserve to legitimate, normalise, and consolidate the claims of powerful, transnational capital interests that benefit from finance-led capitalism. The primary way this is achieved is through obscuring and concealing the exploitative relations and speculative tendencies involved in financial inclusion strategies.</t>
  </si>
  <si>
    <t>soederberg@queensu.ca</t>
  </si>
  <si>
    <t>10.1080/01436597.2013.786285</t>
  </si>
  <si>
    <t>154DL</t>
  </si>
  <si>
    <t>WOS:000319651600004</t>
  </si>
  <si>
    <t>Wongmonta, S</t>
  </si>
  <si>
    <t>Wongmonta, Sasiwooth</t>
  </si>
  <si>
    <t>Financial Capability and Saving Behavior: Evidence From Industrial Workers in Thailand</t>
  </si>
  <si>
    <t>financial capability; industrial workers; savings; survey; Thailand</t>
  </si>
  <si>
    <t>LITERACY; PARTICIPATION</t>
  </si>
  <si>
    <t>This article uses unique survey data to examine the determinants and potential impacts of financial capability on the savings decisions of Thai industrial workers. A random sample of 352 individuals was interviewed, using the questionnaire to gather information on demographics and financial capability. It finds that less than half of the respondents were able to handle an emergency expense of 1 month's income without borrowing. The results indicate that socioeconomic factors including education level, household income, and age are the key determinants of financial capability. Migrant workers from remote regions of the country are more likely to have a lower financial capability, especially in the financial knowledge component. An instrumental variable approach is used to investigate its potential impact on saving behavior. Overall, the strong and positive association between financial capability and savings adequacy suggests that financial education initiatives should place a strong emphasis on household budgeting and savings.</t>
  </si>
  <si>
    <t>[Wongmonta, Sasiwooth] Burapha Univ, Fac Humanities &amp; Social Sci, Dept Econ, Chon Buri, Thailand</t>
  </si>
  <si>
    <t>Burapha University</t>
  </si>
  <si>
    <t>Wongmonta, S (corresponding author), Burapha Univ, Fac Humanities &amp; Social Sci, Dept Econ, Chon Buri, Thailand.</t>
  </si>
  <si>
    <t>Sasiwooth@buu.ac.th</t>
  </si>
  <si>
    <t>National Research Council of Thailand (NRCT) , Ministry of Higher Education, Science, Research and Innovation (MHESI) [733/2020]</t>
  </si>
  <si>
    <t>National Research Council of Thailand (NRCT) , Ministry of Higher Education, Science, Research and Innovation (MHESI)</t>
  </si>
  <si>
    <t>Funding. The research was funded by Contract No. 733/2020 from National Research Council of Thailand (NRCT) , Ministry of Higher Education, Science, Research and Innovation (MHESI) .</t>
  </si>
  <si>
    <t>10.1891/JFCP-2022-0049</t>
  </si>
  <si>
    <t>WOS:001041749400007</t>
  </si>
  <si>
    <t>Financial capability and wellbeing of vulnerable consumers</t>
  </si>
  <si>
    <t>financial capability; financial wellbeing; vulnerable consumers</t>
  </si>
  <si>
    <t>LITERACY; BEHAVIOR; EDUCATION</t>
  </si>
  <si>
    <t>Consumer financial capability can be defined variously by different researchers. In this study, financial capability is assumed to have three components, financial knowledge, financial behavior, and financial skills. This study examines relative contributions of financial capability components to financial wellbeing among vulnerable consumers. With data from the National Financial Wellbeing Survey commissioned by the Consumer Financial Protection Bureau (CFPB), results show that among financial capability components, financial behavior contributes the most to financial wellbeing of the whole sample, followed by financial skill and financial knowledge. In addition, group differences surface when subsamples in terms of age, poverty status, confidence, and fraud victim status are examined. Results suggest that for low-income consumers, encouraging them to engage in desirable financial behaviors is more important than teaching them financial knowledge and skills. Findings have implications for financial educators, practitioners, and policymakers to help them recognize the proper financial education or program to be delivered based on consumer vulnerability and components of financial capability.</t>
  </si>
  <si>
    <t>[Xiao, Jing Jian; Porto, Nilton] Univ Rhode Isl, Dept Human Dev &amp; Family Sci, 2 Lower Coll Rd, Kingston, RI 02881 USA</t>
  </si>
  <si>
    <t>Xiao, JJ (corresponding author), Univ Rhode Isl, Dept Human Dev &amp; Family Sci, 2 Lower Coll Rd, Kingston, RI 02881 USA.</t>
  </si>
  <si>
    <t>Xiao, Jing Jian/0000-0003-3252-5672; Porto, Nilton/0000-0002-7020-2279</t>
  </si>
  <si>
    <t>10.1111/joca.12418</t>
  </si>
  <si>
    <t>WOS:000707155800001</t>
  </si>
  <si>
    <t>Hernández, MP; Caro, NP</t>
  </si>
  <si>
    <t>Hernandez, Maria Paz; Caro, Norma Patricia</t>
  </si>
  <si>
    <t>Hernández, M. P., &amp; Caro, N. P. (2024). Principales factores de la inclusión financiera en países de América del sur. Cuadernos de Economía, 43 (92), 589-608.</t>
  </si>
  <si>
    <t>Financial inclusion; generalised structural equation modelling; upper-middle-income and upper-income in South American countries</t>
  </si>
  <si>
    <t>Financial inclusion is the generalised access to financial services and their effective use as a means to improve the well-being of the population. This research confirms the main factors of financial inclusion in middle- and high-income countries in South America according to the definition of the World Bank through the application of generalised structural equation models (GSEM) based on three dimensions: access (or traditional use), digital use and financial education as latent variables that have causal relationships amongst themselves and explain a set of indicators. The results indicate that financial education is decisive in the traditional and digital use of financial products, which must be promoted by institutions of the formal and informal financial sector, and traditional use draws citizens to digital use which has had significant growth after pandemic.</t>
  </si>
  <si>
    <t>[Hernandez, Maria Paz; Caro, Norma Patricia] Univ Nacl Cordoba, Fac Ciencias Econ, Cordoba, Argentina; [Caro, Norma Patricia] CIECS UNC CONICET, Ctr Invest Ciencias Econ, Cordoba, Argentina</t>
  </si>
  <si>
    <t>National University of Cordoba</t>
  </si>
  <si>
    <t>Caro, NP (corresponding author), Univ Nacl Cordoba, Fac Ciencias Econ, Cordoba, Argentina.;Caro, NP (corresponding author), CIECS UNC CONICET, Ctr Invest Ciencias Econ, Cordoba, Argentina.</t>
  </si>
  <si>
    <t>pazxpp0@gmail.com; pacaro@unc.edu.ar</t>
  </si>
  <si>
    <t>Caro, Norma Patricia/NKQ-5109-2025</t>
  </si>
  <si>
    <t>Caro, Norma Patricia/0000-0002-6271-870X</t>
  </si>
  <si>
    <t>10.15446/cuad.econ.v43n92.98944</t>
  </si>
  <si>
    <t>L6Y7R</t>
  </si>
  <si>
    <t>WOS:001352159700009</t>
  </si>
  <si>
    <t>Del Sarto, N; Ozili, PK</t>
  </si>
  <si>
    <t>Del Sarto, Nicola; Ozili, Peterson K.</t>
  </si>
  <si>
    <t>FinTech and financial inclusion in emerging markets: a bibliometric analysis and future research agenda</t>
  </si>
  <si>
    <t>Emerging markets; Innovation; Bibliometric analysis; Financial inclusion; Banks/other depository institutions; Fintech</t>
  </si>
  <si>
    <t>INSTITUTIONS; INNOVATION</t>
  </si>
  <si>
    <t>Purpose The purpose of this article is to explore how FinTech is transforming financial inclusion in emerging markets through a detailed bibliometric analysis. The study identifies key research trends, themes and gaps, providing both theoretical insights and practical recommendations for policymakers and financial institutions. By integrating FinTech into established models of financial inclusion, the article highlights its potential to drive inclusive economic growth. Additionally, it proposes a future research agenda to address emerging challenges and opportunities, ensuring that the impact of FinTech on financial inclusion in developing regions is fully realized. Design/methodology/approach The study employs a bibliometric analysis to examine the existing literature on FinTech and financial inclusion in emerging markets. Using data from the Scopus database, the analysis focuses on identifying key trends, research themes and gaps within the field. The methodology includes performance analysis to determine the most prolific authors, institutions and countries, as well as science mapping to visualize the intellectual structure and thematic evolution. The combination of quantitative bibliometric techniques and qualitative content analysis provides a comprehensive overview of the research landscape and informs the proposed future research agenda. Findings The findings reveal that FinTech is significantly advancing financial inclusion in emerging markets, with research increasingly focusing on mobile banking, peer-to-peer lending and blockchain technologies. The analysis identifies China, the USA and the UK as leading contributors to this research. Key themes include the role of FinTech in reducing financial barriers and promoting economic development. However, gaps remain in understanding the long-term impacts of FinTech on financial stability and the specific needs of marginalized populations. The study highlights the need for more targeted research to fully leverage FinTech's potential in driving inclusive growth in developing regions. Originality/value This study provides a unique contribution by offering a comprehensive bibliometric analysis of FinTech's role in financial inclusion, specifically within the context of emerging markets. Unlike previous studies that focus on individual technologies or regions, this research systematically maps the global research landscape, identifying key trends, gaps and future research opportunities. The involvement of Dr Petterson Ozili, an expert from the Central Bank of Nigeria, adds significant value, ensuring the analysis is both relevant and informed by practical expertise. This paper serves as a valuable resource for researchers, policymakers and practitioners aiming to leverage FinTech for inclusive economic growth.</t>
  </si>
  <si>
    <t>[Del Sarto, Nicola] Univ Florence, Florence, Italy; [Ozili, Peterson K.] Cent Bank Nigeria, Abuja, Nigeria</t>
  </si>
  <si>
    <t>University of Florence; Central Bank of Nigeria</t>
  </si>
  <si>
    <t>Del Sarto, N (corresponding author), Univ Florence, Florence, Italy.</t>
  </si>
  <si>
    <t>nicola.delsarto@unifi.it; pkozili@cbn.gov.ng</t>
  </si>
  <si>
    <t>; Ozili, Peterson K/A-8418-2015</t>
  </si>
  <si>
    <t>Del Sarto, Nicola/0000-0003-2682-9426; Ozili, Peterson K/0000-0001-6292-1161</t>
  </si>
  <si>
    <t>10.1108/IJOEM-08-2024-1428</t>
  </si>
  <si>
    <t>3JX7L</t>
  </si>
  <si>
    <t>WOS:001463038800001</t>
  </si>
  <si>
    <t>Okello, D; Mshenga, PM; Owuor, G; Saidi, M; Nyangidi, J; Owino, P; Juma, F; Nyamweno, B; Wanjiku, J</t>
  </si>
  <si>
    <t>Okello, Dickson; Mshenga, Patience M.; Owuor, George; Saidi, Mwanarusi; Nyangidi, Joshua; Owino, Patrick; Juma, Fahad; Nyamweno, Benson; Wanjiku, Jacqueline</t>
  </si>
  <si>
    <t>Universities as Hubs for MSME Capacity Building: Lessons from a Kenyan Bank-Higher Education Institution Training Initiative</t>
  </si>
  <si>
    <t>TRENDS IN HIGHER EDUCATION</t>
  </si>
  <si>
    <t>MSMEs; capacity building; financial literacy; university-industry collaboration; Kenya; entrepreneurship; experiential learning</t>
  </si>
  <si>
    <t>Micro, Small, and Medium Enterprises (MSMEs) are vital drivers of economic growth in Kenya, yet they face persistent barriers, including limited capacity, financial exclusion, and weak market integration. This study assessed the potential of universities as strategic hubs for MSME capacity building through a collaborative initiative between Egerton University and the KCB Foundation. Using the International Labour Organization's Start and Improve Your Business (SIYB) methodology, 481 entrepreneurs from Egerton, Njoro, and Gilgil were trained in a business development bootcamp. This study evaluated the training effectiveness, participant demographics, confidence in skill application, networking outcomes, and satisfaction levels. The results showed high participant confidence (over 95% across all regions), strong financial management uptake (85%), and mobile banking adoption (70%). Gilgil led in inclusivity and peer engagement, while Njoro showed stronger gender representation. However, logistical challenges caused 25% absenteeism in rural areas, and only 23% accessed post-training mentorship. These findings underscore the transformative role of HEIs in fostering sustainable entrepreneurship through localized, inclusive, and industry-aligned training. Policy recommendations include hybrid delivery models, tiered curricula for diverse skill levels, and institutionalized mentorship through public-private partnerships. This case demonstrates the value of embedding entrepreneurship support within university mandates to advance national MSME development agendas.</t>
  </si>
  <si>
    <t>[Okello, Dickson; Mshenga, Patience M.; Owuor, George; Juma, Fahad] Egerton Univ, Dept Agr Econ &amp; Agribusiness Management, POB 536-20115, Njoro 20115, Kenya; [Saidi, Mwanarusi] Egerton Univ, Dept Crops Hort &amp; Soils, POB 536-20115, Njoro, Kenya; [Nyangidi, Joshua] KCA Univ, Dept Linkages, POB 56808-0020, Nairobi, Kenya; [Owino, Patrick] Machinery Ring Fdn, POB 6017-00300, Nairobi, Kenya; [Nyamweno, Benson; Wanjiku, Jacqueline] Egerton Univ, Dept Philosophy Hist &amp; Religious Studies, POB 536-20115, Njoro, Kenya</t>
  </si>
  <si>
    <t>Egerton University; Egerton University; Egerton University</t>
  </si>
  <si>
    <t>Okello, D (corresponding author), Egerton Univ, Dept Agr Econ &amp; Agribusiness Management, POB 536-20115, Njoro 20115, Kenya.</t>
  </si>
  <si>
    <t>dickson.okello@egerton.ac.ke; pmshenga@egerton.ac.ke; g.owuor@egerton.ac.ke; msaidi@egerton.ac.ke; jonyangidi@gmail.com; patrickowino48@gmail.com; jumafahad9@gmail.com; nyamwenobenson@gmail.com; wanjikujacqueline02@gmail.com</t>
  </si>
  <si>
    <t>2813-4346</t>
  </si>
  <si>
    <t>TRENDS HIGH ED-BASEL</t>
  </si>
  <si>
    <t>Trends High. Educ.</t>
  </si>
  <si>
    <t>10.3390/higheredu4030032</t>
  </si>
  <si>
    <t>7UN9U</t>
  </si>
  <si>
    <t>WOS:001579999200001</t>
  </si>
  <si>
    <t>Pacari, EGM; Acuña, LGV</t>
  </si>
  <si>
    <t>Pacari, Edgar Geovanny Maliza; Acuna, Lenyn Geovanny Vasconez</t>
  </si>
  <si>
    <t>RELATIONSHIP BETWEEN MICROCREDIT GRANTING AND PROFITABILITY IN SAVINGS AND CREDIT COO-PERATIVES</t>
  </si>
  <si>
    <t>Profitability; Risk management; Credit; Expenditure; Income</t>
  </si>
  <si>
    <t>Microcredit, understood as support for the economic and financial growth of vulnerable people and small enterprises, facilitates access to financing where traditional banking does not reach, promoting financial inclusion, particularly for women. This study analyzes its impact on the profitability of segment 2 savings and credit cooperatives in Ambato, Ecuador, which face management problems, low demand and financial risks. The objective was to determine the relationship between microcredit and profitability through financial indicators such as return on assets, interest margin and delinquency, under financial prudence criteria for savings and credit cooperatives. A correlational and cross-sectional methodology was employed, using Pearson's correlation coefficient to evaluate the influence of microcredit on financial results. The findings indicate that single-accrual microloans are dominant, constituting the largest source of income, with low levels of delinquency due to prudent management and periodic evaluations. It is concluded that the balance between financial efficiency and social impact is key to the sustainability of the sector.</t>
  </si>
  <si>
    <t>[Pacari, Edgar Geovanny Maliza; Acuna, Lenyn Geovanny Vasconez] Univ Catolica Cuenca, Cuenca, Ecuador</t>
  </si>
  <si>
    <t>Universidad Catolica de Cuenca</t>
  </si>
  <si>
    <t>Pacari, EGM (corresponding author), Univ Catolica Cuenca, Cuenca, Ecuador.</t>
  </si>
  <si>
    <t>edgar.maliza.99@est.ucacue.edu.ec; lenyn.vasconez@ucacue.edu.ec</t>
  </si>
  <si>
    <t>e5324</t>
  </si>
  <si>
    <t>5OG4S</t>
  </si>
  <si>
    <t>WOS:001540395400008</t>
  </si>
  <si>
    <t>Sevilla, JZ</t>
  </si>
  <si>
    <t>Sevilla, Jose Zapata</t>
  </si>
  <si>
    <t>Analysing decentralised autonomous organisations (DAOs): limits and perspective</t>
  </si>
  <si>
    <t>MakerDAO; Governance; Decentralisation; Stablecoin; Leverage</t>
  </si>
  <si>
    <t>Distributed Ledger Technologies enable the decentralised delivery of traditional financial services. They also allow the development of disruptive proposals, such as the issuance of stablecoins managed by the governance system of an autonomous decentralised organisation or DAO. One such project, MakerDAO, stands out in the current DeFi landscape. The initiative claims its proposal provides money that facilitates financial inclusion by dispensing with intermediaries through a decentralised infrastructure. However, the claim must be contrasted with the reality of the operation of the stablecoin, the vulnerabilities that can affect the project, and the interaction with the different elements of the legal system.</t>
  </si>
  <si>
    <t>[Sevilla, Jose Zapata] Univ Malaga, Malaga, Spain</t>
  </si>
  <si>
    <t>Sevilla, JZ (corresponding author), Univ Malaga, Malaga, Spain.</t>
  </si>
  <si>
    <t>jose.zapata7675@gmail.com</t>
  </si>
  <si>
    <t>Zapata Sevilla, José/0000-0002-1328-1118</t>
  </si>
  <si>
    <t>Universidad de Mlaga</t>
  </si>
  <si>
    <t>10.1057/s41261-024-00236-z</t>
  </si>
  <si>
    <t>L6A7W</t>
  </si>
  <si>
    <t>WOS:001178203000001</t>
  </si>
  <si>
    <t>Lee, ST; Nam, Y</t>
  </si>
  <si>
    <t>Lee, Sunwoo T.; Nam, Youngwon</t>
  </si>
  <si>
    <t>The silent diversion of knowledge: Examining inequality of financial knowledge</t>
  </si>
  <si>
    <t>decomposition analyses; financial education; financial experience; financial knowledge; financial literacy; income-related inequality</t>
  </si>
  <si>
    <t>INCOME-RELATED INEQUALITY; HEALTH-CARE UTILIZATION; SOCIOECONOMIC INEQUALITY; CONCENTRATION INDEX; MENTAL-HEALTH; LITERACY; EDUCATION; ACCESS; MORTALITY; CONSUMERS</t>
  </si>
  <si>
    <t>Scholars and policymakers have long been concerned about the lack of financial knowledge and the socioeconomic disparities in financial knowledge in the United States. The objectives of this study are (1) to assess the extent of income-related inequality in financial knowledge and how it changed between 2012 and 2018 and (2) to determine what factors explain the income-related inequality in financial knowledge and the change over time. Using National Financial Capability Study datasets, our study revealed that from 2012 to 2018 there was income-related inequality in financial knowledge. Financial experience, education, and numeracy were major contributing factors to inequality in financial knowledge, according to decomposition analysis. Income-related inequality in financial knowledge in the United States decreased between 2012 and 2018, mainly due to an overall change in financial experience. This study provides meaningful insights to policymakers and educators interested in improving financial knowledge in the United States.</t>
  </si>
  <si>
    <t>[Lee, Sunwoo T.] York Univ, Sch Adm Studies, Toronto, ON, Canada; [Nam, Youngwon] Seoul Natl Univ, Dept Consumer Sci, 1 Gwanak Ro, Seoul 08826, South Korea; [Nam, Youngwon] Seoul Natl Univ, Res Inst Human Ecol, Seoul, South Korea</t>
  </si>
  <si>
    <t>York University - Canada; Seoul National University (SNU); Seoul National University (SNU)</t>
  </si>
  <si>
    <t>Nam, Y (corresponding author), Seoul Natl Univ, Dept Consumer Sci, 1 Gwanak Ro, Seoul 08826, South Korea.</t>
  </si>
  <si>
    <t>Lee, Sunwoo/0000-0002-0887-5309</t>
  </si>
  <si>
    <t>We thank the anonymous reviewers and editors for their constructive comments.</t>
  </si>
  <si>
    <t>10.1111/ijcs.12998</t>
  </si>
  <si>
    <t>MJ0Z1</t>
  </si>
  <si>
    <t>WOS:001094458300001</t>
  </si>
  <si>
    <t>Islam, MS; Baida, U; Akhtar, T</t>
  </si>
  <si>
    <t>Islam, Md. Saiful; Baida, Umama; Akhtar, Tahir</t>
  </si>
  <si>
    <t>The Role of Financial Inclusion and Remittance Inflow in Poverty Reduction in South Asia</t>
  </si>
  <si>
    <t>financial inclusion; poverty reduction; remittance inflow; South Asia; financial inclusion; poverty reduction; remittance inflow; South Asia</t>
  </si>
  <si>
    <t>INTERNATIONAL REMITTANCES; FOREIGN REMITTANCES; IMPACT; INVESTMENT; INEQUALITY; MIGRATION; GROWTH; PANEL</t>
  </si>
  <si>
    <t>The United Nations' primary sustainable development goal is to end all forms of poverty globally, and thus, reducing poverty has emerged as a key objective for national development across countries. Taking this into account, this study aims to explore the influences of financial inclusion and remittance inflow on poverty reduction in selected South Asian countries, considering per capita income as a control variable. To complete the investigation, we utilize the second-generation unit root assessment, the Driscoll-Kray (D-K) robust standard error estimation method, and the Dumitrescu-Hurlin (D-H) causality experiment that supports cross-sectional dependency. The D-K estimations reveal that financial inclusion has an impact on lowering the poverty gap as well as the headcount of poverty. At the same time, remittance inflow exerts a significant effect on poverty reduction regardless of the headcount, gap, or severity, and increasing per capita income has been a major factor in mitigating poverty in South Asia. The findings have significant policy ramifications. To combat poverty and promote inclusive development, policymakers should integrate financial inclusion, remittance inflow, and per capita income, increase access to appropriate and reasonably priced financial services, fortify remittance corridors, and advance financial literacy among people.</t>
  </si>
  <si>
    <t>[Islam, Md. Saiful] Univ Hail, Coll Business Adm, Dept Econ &amp; Finance, Hail, Saudi Arabia; [Baida, Umama] Bangladesh Univ Profess, Dept Sociol, Dhaka, Bangladesh; [Akhtar, Tahir] Univ Hail, Coll Business Adm, Dept Econ &amp; Finance, Hail, Saudi Arabia</t>
  </si>
  <si>
    <t>University Ha'il; University Ha'il</t>
  </si>
  <si>
    <t>Islam, MS (corresponding author), Univ Hail, Coll Business Adm, Dept Econ &amp; Finance, Hail, Saudi Arabia.</t>
  </si>
  <si>
    <t>saifecon@yahoo.com</t>
  </si>
  <si>
    <t>Akhtar, Tahir/JBJ-6550-2023; Islam, Saiful/ABE-7184-2021</t>
  </si>
  <si>
    <t>Islam, Saiful/0000-0002-8074-9921</t>
  </si>
  <si>
    <t>The authors have nothing to report.</t>
  </si>
  <si>
    <t>10.1002/pop4.70026</t>
  </si>
  <si>
    <t>8FE7N</t>
  </si>
  <si>
    <t>WOS:001587227900004</t>
  </si>
  <si>
    <t>Mogaji, E; Adeola, O; Hinson, RE; Nguyen, NP; Nwoba, AC; Soetan, TO</t>
  </si>
  <si>
    <t>Mogaji, Emmanuel; Adeola, Ogechi; Hinson, Robert Ebo; Nguyen Phong Nguyen; Nwoba, Arinze Christian; Soetan, Taiwo O.</t>
  </si>
  <si>
    <t>Marketing bank services to financially vulnerable customers: evidence from an emerging economy</t>
  </si>
  <si>
    <t>Financially vulnerable customers; Bottom of pyramid; Marketing; Financial services; Nigeria; Sub-Saharan Africa</t>
  </si>
  <si>
    <t>CORPORATE SOCIAL-RESPONSIBILITY; PERFORMANCE; INCLUSION; ENVIRONMENTS; DIMENSIONS; FRAMEWORK; ACCESS; POOR</t>
  </si>
  <si>
    <t>Purpose This study aims to explore how banks in Nigeria are marketing financial services to financially vulnerable customers. Design/methodology/approach A multiple case study research strategy was used to analyse three commercial banks and two microfinance banks. Data were collected using semi-structured interviews with the banks' directors as well as from banks' published annual reports and archival images. Findings The study reveals that Nigerian banks develop different product development portfolios, adopt innovative traditional marketing schemes and apply inclusive technologies to reach and extend services to the unbanked and financially vulnerable customers in the society. Research limitations/implications Banks should focus on consumer engagement through the proactive development of technologies and employ innovative marketing methods. Customers' banking experiences can be enhanced if banks communicate with and educate customers about technological modes of engagement. In addition, financial service transaction support and financial literacy education can assist banks in marketing their services to financially vulnerable customers, in mutually beneficial ways. Originality/value This study shows how financial service operators' market and extend their services to financially vulnerable customers in emerging markets. It empirically establishes the importance of financial services to financially excluded customers.</t>
  </si>
  <si>
    <t>[Mogaji, Emmanuel; Nwoba, Arinze Christian] Univ Greenwich, Dept Mkt Events &amp; Tourism, London, England; [Mogaji, Emmanuel] Univ Econ Ho Chi Minh City, Dept Res Adm &amp; Int Relat, Ho Chi Minh City, Vietnam; [Adeola, Ogechi] Lagos Business Sch, Lagos, Nigeria; [Hinson, Robert Ebo] Univ Ghana, Dept Mkt &amp; Entrepreneurship, Accra, Ghana; [Nguyen Phong Nguyen] Univ Econ Ho Chi Minh City, Sch Accounting, Ho Chi Minh City, Vietnam; [Soetan, Taiwo O.] Red River Coll, Sch Business IT &amp; Appl Arts, Winnipeg, MB, Canada</t>
  </si>
  <si>
    <t>University of Greenwich; University of Economics Ho Chi Minh City; University of Ghana; University of Economics Ho Chi Minh City</t>
  </si>
  <si>
    <t>Mogaji, E (corresponding author), Univ Greenwich, Dept Mkt Events &amp; Tourism, London, England.;Mogaji, E (corresponding author), Univ Econ Ho Chi Minh City, Dept Res Adm &amp; Int Relat, Ho Chi Minh City, Vietnam.</t>
  </si>
  <si>
    <t>e.o.mogaji@greenwich.ac.uk</t>
  </si>
  <si>
    <t>Adeola, Ogechi/N-7557-2015; Soetan, Taiwo O/HMV-3285-2023; Mogaji, Emmanuel/B-8900-2014; Phong Nguyen, Nguyen/Y-9028-2019</t>
  </si>
  <si>
    <t>Adeola, Ogechi/0000-0001-7451-511X; Soetan, Taiwo O/0000-0002-4270-8213; Mogaji, Emmanuel/0000-0003-0544-4842; Hinson, Robert/0000-0003-3302-4888; Nwoba, Arinze Christian/0000-0001-8172-2491; Phong Nguyen, Nguyen/0000-0002-9724-8939</t>
  </si>
  <si>
    <t>10.1108/IJBM-07-2020-0379</t>
  </si>
  <si>
    <t>WOS:000626956100001</t>
  </si>
  <si>
    <t>Ogunmola, GA; Das, U</t>
  </si>
  <si>
    <t>Ogunmola, Gabriel A.; Das, Ujjwal</t>
  </si>
  <si>
    <t>Analyzing consumer perceptions and adoption intentions of central bank digital currency: a case of the digital rupee</t>
  </si>
  <si>
    <t>Digital rupee; CBDC; Digital currency; RBI; Technology acceptance model (TAM); Adoption intentions</t>
  </si>
  <si>
    <t>USER ACCEPTANCE; SELF-EFFICACY; FIT INDEXES; TECHNOLOGY; BEHAVIOR</t>
  </si>
  <si>
    <t>PurposeThis paper aims to comprehensively analyze the factors influencing the adoption intentions of the digital rupee, a digital currency, among users in India.Design/methodology/approachDrawing upon the Technology Acceptance Model (TAM), the study examines the relationships between cognitive beliefs (perceived usefulness, perceived ease of use, perceived trust, perceived self-efficacy, perceived cost and awareness), affective belief (attitude) and adoption intention of the digital rupee. The study uses a structured questionnaire to collect primary data from 1,707 respondents, which are then analyzed using structural equation modeling.FindingsThe results indicate that perceived usefulness and perceived ease of use significantly impact users' attitudes toward the digital rupee, as well as their adoption intentions. The findings further reveal that perceived trust, perceived self-efficacy, and awareness positively influence attitude and adoption intention. On the other hand, perceived cost exhibits a negative effect on attitude and adoption intention. These results provide empirical evidence on the factors that shape users' attitudes and intentions toward adopting the digital rupee.Research limitations/implicationsThe research methodology used in this study ensures rigorous data collection and analysis. The structured questionnaire enabled the collection of detailed information from a large sample of respondents, allowing for robust statistical analysis. The utilization of structural equation modeling facilitated the examination of complex relationships among variables, enhancing the reliability and validity of the findings.Practical implicationsThe study's findings offer practical guidance for policymakers, financial institutions and researchers in shaping digital currency regulatory frameworks, tailored financial services and further exploration of adoption dynamics.Social implicationsThe research has social implications by potentially influencing the way individuals and communities in India engage with digital currencies, impacting financial inclusion and digital economic participation.Originality/valueThis research contributes to the understanding of the adoption of digital currencies in India and provides valuable insights for policymakers, financial institutions and researchers in the field of digital finance and technology adoption.</t>
  </si>
  <si>
    <t>[Ogunmola, Gabriel A.; Das, Ujjwal] Sharda Univ Uzbekistan, Fac Management, Andijan, Uzbekistan</t>
  </si>
  <si>
    <t>Ogunmola, GA (corresponding author), Sharda Univ Uzbekistan, Fac Management, Andijan, Uzbekistan.</t>
  </si>
  <si>
    <t>gabriel00lead@yahoo.com; ujjwal.das06@gmail.com</t>
  </si>
  <si>
    <t>; Ogunmola, Gabriel/AAB-2058-2022</t>
  </si>
  <si>
    <t>Das, Ujjwal/0000-0002-0008-2726;</t>
  </si>
  <si>
    <t>10.1108/DPRG-09-2023-0136</t>
  </si>
  <si>
    <t>WOS:001206290900001</t>
  </si>
  <si>
    <t>Fan, L; Chatterjee, S</t>
  </si>
  <si>
    <t>Fan, Lu; Chatterjee, Swarn</t>
  </si>
  <si>
    <t>Financial Socialization, Financial Education, and Student Loan Debt</t>
  </si>
  <si>
    <t>Financial socialization; Financial education; Student loan debt; Financial behavior; Financial stress</t>
  </si>
  <si>
    <t>WORKPLACE; BEHAVIOR; HEALTH</t>
  </si>
  <si>
    <t>This study examines the role of financial socialization, financial knowledge, and receiving financial education on student loan repayment behaviors and related financial stress, as reported by the participants. From an analysis of the 2015 National Financial Capability Study dataset, we find that individuals who received financial education in an academic or professional setting were less likely to be late on student loan payments or worry about their student loan debt. Additionally, those who received both financial education and learned about finances from their parents were even less likely to worry about their student loan debt. The broader implications of the main findings for financial counselors, therapists, and planners are also discussed.</t>
  </si>
  <si>
    <t>[Fan, Lu] Univ Missouri, Dept Personal Financial Planning, 239 Stanley Hall, Columbia, MO 65211 USA; [Chatterjee, Swarn] Univ Georgia, Dept Financial Planning Housing &amp; Consumer Econ, 205 Dawson Hall, Athens, GA 30602 USA</t>
  </si>
  <si>
    <t>University of Missouri System; University of Missouri Columbia; University System of Georgia; University of Georgia</t>
  </si>
  <si>
    <t>Fan, L (corresponding author), Univ Missouri, Dept Personal Financial Planning, 239 Stanley Hall, Columbia, MO 65211 USA.</t>
  </si>
  <si>
    <t>fanlu@missouri.edu; swarn@uga.edu</t>
  </si>
  <si>
    <t>Chatterjee, Swarn/D-7114-2016; Fan, Lu/ABH-4790-2020</t>
  </si>
  <si>
    <t>Chatterjee, Swarn/0000-0003-4916-1369;</t>
  </si>
  <si>
    <t>10.1007/s10834-018-9589-0</t>
  </si>
  <si>
    <t>HM5RY</t>
  </si>
  <si>
    <t>WOS:000459534100006</t>
  </si>
  <si>
    <t>Interventions Designed to Improve Financial Capability: A Systematic Review</t>
  </si>
  <si>
    <t>RESEARCH ON SOCIAL WORK PRACTICE</t>
  </si>
  <si>
    <t>financial capability; systematic review; asset building</t>
  </si>
  <si>
    <t>INDIVIDUAL DEVELOPMENT ACCOUNTS; CHILD-DEVELOPMENT ACCOUNTS; FOLLOW-UP EVIDENCE; LOW-INCOME; SAVINGS; HOMEOWNERSHIP; PARTICIPATION; KNOWLEDGE; EDUCATION; LITERACY</t>
  </si>
  <si>
    <t>Purpose: This study's aim is to review and synthesize the scientific evidence for financial capability interventions that combine financial education and financial products and services to affect financial behavior. Method: A systematic review process was used to search for, screen, and extract data from relevant studies. Following descriptive analysis, we calculated effect sizes. Results: After excluding duplicates, non-relevant and ineligible reports, this review included 24 unique studies. This review identified several different types of previously evaluated financial capability interventions. Few interventions were evaluated by more than one study that measured the same or similar outcomes. Therefore, evidence is sparse about whether financial capability interventions improved participants' financial behaviors and/or outcomes. Conclusion: While each type of financial capability intervention has a unique evidence base, this lack of evidence across financial capability interventions points to the need to develop a more definitive evidence base for financial capability interventions about the financial outcomes.</t>
  </si>
  <si>
    <t>1049-7315</t>
  </si>
  <si>
    <t>1552-7581</t>
  </si>
  <si>
    <t>RES SOCIAL WORK PRAC</t>
  </si>
  <si>
    <t>Res. Soc. Work. Pract.</t>
  </si>
  <si>
    <t>10.1177/10497315221080127</t>
  </si>
  <si>
    <t>3V0AW</t>
  </si>
  <si>
    <t>WOS:000775844200001</t>
  </si>
  <si>
    <t>Mukong, AK; Amadhila, EM</t>
  </si>
  <si>
    <t>Mukong, Alfred Kechia; Amadhila, Elina M.</t>
  </si>
  <si>
    <t>Financial Inclusion and Household Wellbeing in Namibia</t>
  </si>
  <si>
    <t>SOUTHERN AFRICAN BUSINESS REVIEW</t>
  </si>
  <si>
    <t>financial inclusion; wellbeing; Namibia</t>
  </si>
  <si>
    <t>POVERTY REDUCTION; MICROFINANCE; DETERMINANTS</t>
  </si>
  <si>
    <t>Purpose: Financial inclusion is increasingly being recognised as having an important influence on household wellbeing, as it provides resources and income, enhances consumption and investment in productive assets and stimulates overall economic growth. In this paper, we examine the impact of financial inclusion on household wellbeing in Namibia. Design/methodology: Using data extracted from the 2017 Namibia Financial Inclusion Survey, a UNDP approach for computing human development indices is used to generate a wellbeing index. Two-stage least squares regression analysis is employed to address the potential endogeneity associated with financial inclusion. Findings: The results suggest the positive and significant effects of financial inclusion on household wellbeing. The effects are consistent across location and gender when different methodological approaches are applied. Household characteristics such as education, income, and financial decisions, are important determinants of household wellbeing. Originality/value: An inclusive financial system is key in determining the level of household wellbeing, but many studies have utilised macro time-series data as opposed to household data, to tease out this relationship.</t>
  </si>
  <si>
    <t>[Mukong, Alfred Kechia; Amadhila, Elina M.] Univ Namibia, Windhoek, Namibia</t>
  </si>
  <si>
    <t>University of Namibia</t>
  </si>
  <si>
    <t>Mukong, AK (corresponding author), Univ Namibia, Windhoek, Namibia.</t>
  </si>
  <si>
    <t>amukong@unam.na; eamadhila@unam.na</t>
  </si>
  <si>
    <t>1998-8125</t>
  </si>
  <si>
    <t>SOUTH AFR BUS REV</t>
  </si>
  <si>
    <t>South. Afr. Bus. Rev.</t>
  </si>
  <si>
    <t>10.25159/1998-8125/7866</t>
  </si>
  <si>
    <t>XU3MZ</t>
  </si>
  <si>
    <t>WOS:000734174800004</t>
  </si>
  <si>
    <t>Naili, M; Jabbouri, I; Helmi, I</t>
  </si>
  <si>
    <t>Naili, Maryem; Jabbouri, Imad; Helmi, Issa</t>
  </si>
  <si>
    <t>Financial inclusion and the financial and economic development: review of the literature, evidence gaps and the road ahead</t>
  </si>
  <si>
    <t>QUALITATIVE MARKET RESEARCH</t>
  </si>
  <si>
    <t>Financial inclusion; Access to financing; Literature review; Emerging economies</t>
  </si>
  <si>
    <t>MOBILE MONEY; INCOME INEQUALITY; GROWTH EVIDENCE; SERVICES; BANKING; ACCESS; CORRUPTION; ADOPTION; POVERTY; MARKETS</t>
  </si>
  <si>
    <t>Purpose - The purpose of this study is to provide a comprehensive review of the literature on financial inclusion, with a focus on its relationship to financial and economic development. Design/methodology/approach - This paper begins by surveying the field of financial inclusion research over the past 15 years, highlighting the evolution of how financial inclusion has been studied in practice. By reviewing 107 studies published between 2008 and 2023 in 63 peer-reviewed journals, the study emphasizes the importance of recent research in this field.Findings - The analysis reveals key findings on the positive impact of financial inclusion on economic growth, poverty reduction, financial stability and CO2 emissions, among other factors. Despite the extensive empirical and theoretical work accomplished in the field, the study argues that there is still a need for further research on financial inclusion, including exploring new regions and financial and economic development indicators such as social capital, entrepreneurship and political stability.Practical implications - This research aspires to map the emerging discourse on this topic, identify major gaps, and provide a productive line to guide future research. This will contribute to the ongoing debate led by the World Bank on financial inclusion as an effective measure to fight poverty. This study attempts to proffer ideas to encourage collaborative research and deepen our understanding on the role of financial inclusion. Originality/value - This study offers a comprehensive overview of recent research on financial inclusion and highlights the need for further research in this field. This study also proposes a promising future research agenda to guide future advancements in the area of financial inclusion.</t>
  </si>
  <si>
    <t>[Naili, Maryem; Jabbouri, Imad] Akhawayn Univ Ifrane, Sch Business Adm, Ifrane, Morocco; [Helmi, Issa] Univ Bourgogne Franche Comte, Ctr Res Entreprises CEREN EA 7477, Burgundy Sch Business, Dijon, France</t>
  </si>
  <si>
    <t>Al Akhawayn University; Universite Bourgogne Europe; Burgundy School of Business</t>
  </si>
  <si>
    <t>Naili, M (corresponding author), Akhawayn Univ Ifrane, Sch Business Adm, Ifrane, Morocco.</t>
  </si>
  <si>
    <t>maryemnaili@gmail.com; i.jabbouri@aui.ma; orient.sanadj1@gmail.com</t>
  </si>
  <si>
    <t>; Naili, Maryem/JNR-2898-2023</t>
  </si>
  <si>
    <t>Issa, Helmi/0000-0002-0556-3748; Naili, Maryem/0000-0003-4333-1179; Jabbouri, Imad/0000-0002-2660-4860</t>
  </si>
  <si>
    <t>1352-2752</t>
  </si>
  <si>
    <t>1758-7646</t>
  </si>
  <si>
    <t>QUAL MARK RES</t>
  </si>
  <si>
    <t>Qual. Mark. Res.</t>
  </si>
  <si>
    <t>10.1108/QMR-02-2023-0017</t>
  </si>
  <si>
    <t>W8DZ5</t>
  </si>
  <si>
    <t>WOS:001045262000001</t>
  </si>
  <si>
    <t>Khan, F; Siddiqui, MA; Imtiaz, S; Shaikh, SA; Chen, CL; Wu, CM</t>
  </si>
  <si>
    <t>Khan, Falak; Siddiqui, Muhammad A. A.; Imtiaz, Salma; Shaikh, Shoaib A. A.; Chen, Chin-Ling; Wu, Chih-Ming</t>
  </si>
  <si>
    <t>Determinants of mental and financial health during COVID-19: Evidence from data of a developing country</t>
  </si>
  <si>
    <t>mental health; COVID 19; financial health; financial capability; financial literacy; socioeconomic and demographic factors; developing countries</t>
  </si>
  <si>
    <t>LITERACY; WOMEN</t>
  </si>
  <si>
    <t>Mental and emotional issues are the top-level concerns of public health worldwide. These issues surged during Coronavirus (COVID-19) pandemic due to varied medical, social, and personal reasons. The social determinants highlighted in the literature mainly focus on household solutions rather than on increasing the financial wellbeing of individuals, especially for the most vulnerable groups where the psychological distress coming from the social inequalities cannot be entirely treated. Hence, this study attempts to familiarize the financial capability (the financial literacy, attitude, skills and behavior required for effective financial management) construct into public health domain in the times of COVID-19 as a determinant of psychological distress, and also explores the role of gender in it. The study uses Ordinary Least Square (OLS) regression analysis and employs mental distress questions and Organization for Economic Cooperation and Development (OECD) 2018 financial capability toolkit to collect data from a large sample of households from all over Pakistan. It is inferred that the higher the financial capability, the lower the financial and mental distress during COVID-19. Additionally, females are less financially knowledgeable, depict poor financial behaviors, and face more psychological issues than their counterparts. Age and education are also linked to mental stress during COVID-19. Finally, gender plays a moderating role in financial behavior, and financial and mental stress of households. As evident, COVID-19 is not going away soon hence the findings are relevant for policymakers to proactively plan for the pandemic's upcoming waves and help people be better financially equipped to fight against this or any upcoming crisis, and achieve better mental and physical health.</t>
  </si>
  <si>
    <t>[Khan, Falak; Siddiqui, Muhammad A. A.] FAST Sch Management, Islamabad, Pakistan; [Khan, Falak; Siddiqui, Muhammad A. A.] Natl Univ Comp &amp; Emerging Sci, Islamabad, Pakistan; [Imtiaz, Salma] Int Islamic Univ, Dept Software Engn, Islamabad, Pakistan; [Shaikh, Shoaib A. A.] Sukkur IBA Univ, Elect Engn Dept, Sukkur, Pakistan; [Chen, Chin-Ling] Changchun Sci Tech Univ, Sch Informat Engn, Changchun, Peoples R China; [Chen, Chin-Ling] Chaoyang Univ Technol, Dept Comp Sci &amp; Informat Engn, Taichung, Taiwan; [Chen, Chin-Ling; Wu, Chih-Ming] Xiamen Univ Technol, Sch Civil Engn &amp; Architecture, Xiamen, Peoples R China</t>
  </si>
  <si>
    <t>International Islamic University, Pakistan; Sukkur IBA University; Chaoyang University of Technology; Xiamen University of Technology</t>
  </si>
  <si>
    <t>Khan, F (corresponding author), FAST Sch Management, Islamabad, Pakistan.;Khan, F (corresponding author), Natl Univ Comp &amp; Emerging Sci, Islamabad, Pakistan.;Chen, CL (corresponding author), Changchun Sci Tech Univ, Sch Informat Engn, Changchun, Peoples R China.;Chen, CL (corresponding author), Chaoyang Univ Technol, Dept Comp Sci &amp; Informat Engn, Taichung, Taiwan.;Chen, CL (corresponding author), Xiamen Univ Technol, Sch Civil Engn &amp; Architecture, Xiamen, Peoples R China.</t>
  </si>
  <si>
    <t>falak.khan@nu.edu.pk; clc@mail.cyut.edu.tw</t>
  </si>
  <si>
    <t>khan, Falak/AEQ-3882-2022</t>
  </si>
  <si>
    <t>Imtiaz, Salma/0000-0003-3689-9663</t>
  </si>
  <si>
    <t>10.3389/fpubh.2022.888741</t>
  </si>
  <si>
    <t>5B1BA</t>
  </si>
  <si>
    <t>WOS:000863309500001</t>
  </si>
  <si>
    <t>Xu, YB; Wang, YC; Lu, FC; Sheng, D</t>
  </si>
  <si>
    <t>Xu, Yuanbin; Wang, Yuchen; Lu, Fucai; Sheng, Dan</t>
  </si>
  <si>
    <t>A study of the impact of digital inclusive finance on firm value from the perspective of financing constraints</t>
  </si>
  <si>
    <t>Digital inclusive finance; firm value; financing constraints; financial regulation</t>
  </si>
  <si>
    <t>CORPORATE GOVERNANCE; INNOVATION; GROWTH; INFORMATION</t>
  </si>
  <si>
    <t>The existing research on the impact of digital inclusive finance on corporate behaviour is relatively extensive, but the research on the impact of digital inclusive finance on corporate value is ignored. To fill in this gap, this study examines the impact of digital inclusive finance on firm value from the perspective of financing constraints, utilizing data on A-share listed companies in China from 2012 to 2019. We found that digital inclusive finance helps increase corporate value. And digital inclusive finance uses digital technology to alleviate financing constraints and improve the credit supply, which in turn increases firm value. Moreover, the impact of digital inclusive finance on firm value demonstrates heterogeneity. Compared with other firms, digital inclusive finance has a greater value-enhancing effect on small-scale and private firms. Our findings suggest that increasing the level of digital inclusive finance in developing countries can help enhance firm value.</t>
  </si>
  <si>
    <t>[Xu, Yuanbin; Wang, Yuchen; Lu, Fucai; Sheng, Dan] Jiangxi Univ Finance &amp; Econ, Inst Ind Econ, Nanchang, Peoples R China; [Xu, Yuanbin] Jiangxi Univ Finance &amp; Econ, Inst Ind Econ, Nanchang 330013, Peoples R China</t>
  </si>
  <si>
    <t>Jiangxi University of Finance &amp; Economics; Jiangxi University of Finance &amp; Economics</t>
  </si>
  <si>
    <t>Xu, YB (corresponding author), Jiangxi Univ Finance &amp; Econ, Inst Ind Econ, Nanchang 330013, Peoples R China.</t>
  </si>
  <si>
    <t>yuanbin_xu@163.com</t>
  </si>
  <si>
    <t>Xu, Yuanbin/0000-0002-8974-0376</t>
  </si>
  <si>
    <t>National Natural Science Foundation of China [72201114, 72262015, 72063010, 72263013]; Humanities and Social Sciences Youth Program of the Ministry of Education [22YJC790148]; Social Science Foundation of Jiangxi Province Project [22Y36]; Innovative projects for postgraduate students in Jiangxi Province [YC2022-s471]</t>
  </si>
  <si>
    <t>National Natural Science Foundation of China(National Natural Science Foundation of China (NSFC)); Humanities and Social Sciences Youth Program of the Ministry of Education; Social Science Foundation of Jiangxi Province Project; Innovative projects for postgraduate students in Jiangxi Province</t>
  </si>
  <si>
    <t>The work was supported by the~National Natural Science Foundation of China [72201114, 72262015, 72063010, 72263013]; Humanities and Social Sciences Youth Program of the Ministry of Education [22YJC790148]; Social Science Foundation of Jiangxi Province Project [22Y36]; Innovative projects for postgraduate students in Jiangxi Province [YC2022-s471].</t>
  </si>
  <si>
    <t>JUL 14</t>
  </si>
  <si>
    <t>10.1080/00036846.2023.2209309</t>
  </si>
  <si>
    <t>QS5T0</t>
  </si>
  <si>
    <t>WOS:000981852900001</t>
  </si>
  <si>
    <t>Bird, CL; Sener, A; Coskuner, S</t>
  </si>
  <si>
    <t>Bird, Carolyn L.; Sener, Arzu; Coskuner, Selda</t>
  </si>
  <si>
    <t>Visualizing financial success: planning is key</t>
  </si>
  <si>
    <t>Financial planning; financial management; financial behaviour; financial capability</t>
  </si>
  <si>
    <t>LITERACY; BEHAVIOR; DEBT; MANAGEMENT</t>
  </si>
  <si>
    <t>Recent economic troubles in the US and abroad highlight the importance of family financial capability, including an understanding of financial markets. Financial capability is the foundation for desired financial behaviours, such as saving, budgeting, using credit wisely and planning. Study participants, a subsample of respondents to a Turkish university financial literacy survey (n=374), who reported uninterrupted income for a 3-year period were grouped as planners' and non-planners'. These groupings allowed examination of the relationships between planning, financial management decisions, and differential outcomes in daily household financial well-being. The practice of preferred financial management behaviours was predictive of debt. This research makes a unique contribution to the literature, demonstrating the importance of uninterrupted income over income amount in support of the planning process. Findings of this study have implications for professionals in the family and consumer sciences field and other practitioners assisting consumers with improving financial management outcomes.</t>
  </si>
  <si>
    <t>[Bird, Carolyn L.] N Carolina State Univ, Dept Youth Family &amp; Community Sci, Raleigh, NC 27695 USA; [Sener, Arzu; Coskuner, Selda] Hacettepe Univ, Deparment Family &amp; Consumer Sci, Ankara, Turkey</t>
  </si>
  <si>
    <t>North Carolina State University; Hacettepe University</t>
  </si>
  <si>
    <t>Bird, CL (corresponding author), N Carolina State Univ, Dept Youth Family &amp; Community Sci, NCSU Campus Box 7606, Raleigh, NC 27695 USA.</t>
  </si>
  <si>
    <t>carolyn_bird@ncsu.edu</t>
  </si>
  <si>
    <t>SENER, ARZU/I-8873-2013; COSKUNER AKTAS, SELDA/I-8886-2013</t>
  </si>
  <si>
    <t>Bird, Carolyn L/0000-0001-9049-4486;</t>
  </si>
  <si>
    <t>10.1111/ijcs.12141</t>
  </si>
  <si>
    <t>AS5QC</t>
  </si>
  <si>
    <t>WOS:000344323900015</t>
  </si>
  <si>
    <t>Muat, S; Mahdzan, NS; Sukor, MEA</t>
  </si>
  <si>
    <t>Muat, Susnaningsih; Mahdzan, Nurul Shahnaz; Sukor, Mohd Edil Abd</t>
  </si>
  <si>
    <t>What shapes the financial capabilities of young adults in the US and Asia-Pacific region? A systematic literature review</t>
  </si>
  <si>
    <t>EDUCATION; SOCIALIZATION; FRAMEWORK; POLICY; AGE; TRANSITION; KNOWLEDGE; CHILDREN; STUDENTS; IMPACT</t>
  </si>
  <si>
    <t>Young adults today face greater financial difficulties than previous generations as they transition from financial dependence to financial independence and require sufficient financial capabilities to overcome financial setbacks. Few studies, however, have conducted a detailed analysis of the literature on young adults' financial capabilities in the Asia-Pacific region, home to over 1.1 billion young adults, and the US. Thus, this study systematically reviewed the literature addressing the factors affecting young adults' financial capabilities in the US and the Asia-Pacific region, in accordance with the RepOrting standards for Systematic Evidence Syntheses (ROSES) publication standard and employing multiple research designs. The articles for this study were selected from two authoritative databases, Scopus and Web of Science, and a supplementary database, Google Scholar. Twenty-four articles were included for quality appraisal and qualitative synthesis based on predetermined criteria, including articles with empirical evidence published in English, with the US and Asia-Pacific countries as context and published after 2006. This review was divided into six major themes: (1) financial knowledge/literacy and education, (2) financial behaviour, (3) financial attitude, (4) financial inclusion, (5) financial socialisation, and (6) demographic characteristics. Eleven sub-themes were developed from the six major themes. The findings of this review identify three approaches to enhance the financial capability of young adults: (1) early financial education with practical simulations, which can promote positive financial attitudes and healthy financial behaviour; (2) assisting parents with adequate financial education given their role as the primary financial socialisation agents for young adults; and (3) coupling financial education with access to formal financial institutions. Additionally, this study provides insight into the directions that should be taken by future research endeavours.</t>
  </si>
  <si>
    <t>[Muat, Susnaningsih] State Islamic Univ Sultan Syarif Kasim Riau, Dept Management, JL HR Soebrantas KM 155 Panam, Pekanbaru Riau 28299, Indonesia; [Muat, Susnaningsih; Mahdzan, Nurul Shahnaz; Sukor, Mohd Edil Abd] Univ Malaya, Fac Business &amp; Econ, Dept Finance, Kuala Lumpur, Malaysia</t>
  </si>
  <si>
    <t>Mahdzan, NS (corresponding author), Univ Malaya, Fac Business &amp; Econ, Dept Finance, Kuala Lumpur, Malaysia.</t>
  </si>
  <si>
    <t>Sukor, Mohd Edil Abd/B-9079-2010; Mahdzan, Nurul Shahnaz/B-9441-2010; Muat, Susnaningsih/JOK-9426-2023</t>
  </si>
  <si>
    <t>Mahdzan, Nurul Shahnaz/0000-0003-4700-9654; Muat, Susnaningsih/0000-0001-7680-7845</t>
  </si>
  <si>
    <t>Faculty of Business and Economics, Universiti Malaya Special Publication Fund</t>
  </si>
  <si>
    <t>This publication is partially funded by the Faculty of Business and Economics, Universiti Malaya Special Publication Fund.</t>
  </si>
  <si>
    <t>JAN 8</t>
  </si>
  <si>
    <t>10.1057/s41599-023-02588-9</t>
  </si>
  <si>
    <t>EG4P3</t>
  </si>
  <si>
    <t>WOS:001137758800001</t>
  </si>
  <si>
    <t>Gabor, M; Premti, A; Jafarinejad, M</t>
  </si>
  <si>
    <t>Gabor, Michelle; Premti, Arjan; Jafarinejad, Mohammad</t>
  </si>
  <si>
    <t>Consumer protection and firm valuation: A study of overdraft protection and US banks</t>
  </si>
  <si>
    <t>Banking; Consumer protection; Overdraft; Regulation; Financial inclusion; Valuation</t>
  </si>
  <si>
    <t>RISK; IMPACT</t>
  </si>
  <si>
    <t>This study investigates the impact of regulatory and voluntary overdraft protection (ODP) reductions on bank valuations. Using event study methodology and cross-sectional regression analysis, we find that banks have significantly positive cumulative abnormal returns (CAR) as a result of regulatory ODP reductions. The CAR is higher for banks with higher reliance on ODP income. The positive valuation effect diminishes for larger and well-capitalized banks. For voluntary ODP reductions, the valuation effect is negative, and more pronounced among highly profitable banks. The valuation decrease is attenuated for banks with higher capital ratios, and higher betas. These findings highlight the nuanced financial implications of consumer protection activities on bank valuation.</t>
  </si>
  <si>
    <t>[Gabor, Michelle] Univ Wisconsin Parkside, Dept Business, Kenosha, WI 53144 USA; [Premti, Arjan; Jafarinejad, Mohammad] Univ Wisconsin Whitewater, Dept Finance &amp; Business Law, Whitewater, WI USA</t>
  </si>
  <si>
    <t>University of Wisconsin System; University of Wisconsin Parkside; University of Wisconsin System; University of Wisconsin Whitewater</t>
  </si>
  <si>
    <t>Gabor, M (corresponding author), Univ Wisconsin Parkside, Dept Business, Kenosha, WI 53144 USA.</t>
  </si>
  <si>
    <t>gabor@uwp.edu</t>
  </si>
  <si>
    <t>Jafarinejad, Mohammad/ABF-6792-2020; Gabor, Michelle/LDF-4531-2024</t>
  </si>
  <si>
    <t>Jafarinejad, Mohammad/0000-0003-2468-5174; Gabor, Michelle/0009-0001-5304-765X; Premti, Arjan/0000-0003-1529-0277</t>
  </si>
  <si>
    <t>10.1016/j.frl.2024.105949</t>
  </si>
  <si>
    <t>F9L2B</t>
  </si>
  <si>
    <t>WOS:001312939300001</t>
  </si>
  <si>
    <t>Emara, N; Kasa, H</t>
  </si>
  <si>
    <t>Emara, Noha; Kasa, Hicran</t>
  </si>
  <si>
    <t>The non-linear relationship between financial access and domestic savings: the case of emerging markets</t>
  </si>
  <si>
    <t>Financial Access; domestic savings; emerging Markets; system GMM</t>
  </si>
  <si>
    <t>SECTOR DEVELOPMENT; ECONOMIC-GROWTH; MOBILE MONEY; PANEL-DATA; DETERMINANTS; RATES; INEQUALITY; INCLUSION; COUNTRIES; SYSTEMS</t>
  </si>
  <si>
    <t>This paper examines the impact of financial access on the accumulation of domestic savings in emerging markets (EMs) covering countries from Latin America, Europe, Middle East, and Africa (EMEA), and Asia as classified by the Morgan Stanley Capital International (MSCI) index. We use the System Generalized Method of Moments panel estimation methodology on annual data spanning the period 1980-2018. Principal component analysis allows us to create a financial access index as a linear combination of two variables measured per 100,000 adults: number of bank branches per and number of ATMs.The results of the paper reveal a statistically significant nonlinear relationship between the improvement in financial access measures and the accumulation of domestic savings with a definite threshold level. More specifically, our results for the full sample indicate that improvement in financial access may initially increase the savings rateleading to an increase in savings. Nevertheless, once the financial access index reaches its threshold level further improvement in financial access tends decrease households' precautionary savings and to give rise to a decline in savings. Thus, the duality of the pattern highlights the non-linearity of financial access and domestic savings.</t>
  </si>
  <si>
    <t>[Emara, Noha] Rutgers State Univ, New Brunswick, NJ USA; [Emara, Noha] Helwan Univ, Cairo, Egypt; [Kasa, Hicran] Turk Hava Kurumu Univ, Ankara, Turkey</t>
  </si>
  <si>
    <t>Rutgers University System; Rutgers University New Brunswick; Egyptian Knowledge Bank (EKB); Capital University - Egypt; Turk Hava Kurumu University</t>
  </si>
  <si>
    <t>Emara, N (corresponding author), Rutgers State Univ, Econ Dept, 311 Armitage Hall,N 5th St,Room 313, Camden, NJ 08102 USA.</t>
  </si>
  <si>
    <t>KASA, HICRAN/AIC-9406-2022</t>
  </si>
  <si>
    <t>KASA, HICRAN/0000-0001-7266-0313; , Noha/0000-0002-7981-8256</t>
  </si>
  <si>
    <t>10.1080/00036846.2020.1808174</t>
  </si>
  <si>
    <t>WOS:000561945400001</t>
  </si>
  <si>
    <t>Alamsyah, A; Astuti, RF</t>
  </si>
  <si>
    <t>Alamsyah, Andry; Astuti, Raras Fitriyani</t>
  </si>
  <si>
    <t>Analyzing public discourse on DeFi and CBDC using advanced NLP techniques: insights for financial policy and innovation</t>
  </si>
  <si>
    <t>DeFi; CBDC; NLP; Multilabel classification; BERTopic</t>
  </si>
  <si>
    <t>PurposeThis study aims to analyze public discourse on decentralized finance (DeFi) and central bank digital currencies (CBDC) using advanced natural language processing (NLP) techniques to uncover key insights that can guide financial policy and innovation. This research seeks to fill the gap in the existing literature by applying state-of-the-art NLP models like BERT and RoBERTa to understand the evolving online discourse around DeFi and CBDC.Design/methodology/approachThis study uses a multilabel classification using BERT and RoBERTa models alongside BERTopic for topic modeling. Data is collected from social media platforms, including Twitter and LinkedIn, as well as relevant documents, to analyze public sentiment and discourse. Model performance is evaluated based on accuracy, precision, recall and F1-scores.FindingsRoBERTa outperforms BERT in classification accuracy and precision across all metrics, making it more effective in categorizing public discourse on DeFi and CBDC. BERTopic identifies five key topics frequently discussed, such as financial inclusion, competition and growth in DeFi, with important implications for policymakers.Practical implicationsThe insights derived from this study provide valuable information for financial regulators and policymakers to develop more informed, data-driven strategies for implementing and regulating DeFi and CBDC. Public discourse analysis enables policymakers to understand emerging concerns and trends critical for crafting effective financial policies.Originality/valueThis study is among the first to use advanced NLP models, including RoBERTa and BERTopic, to analyze public discourse on DeFi and CBDC. It offers novel insights into the potential challenges and opportunities these innovations present. It contributes to the growing body of research on the intersection of digital financial technologies and public sentiment.</t>
  </si>
  <si>
    <t>[Alamsyah, Andry; Astuti, Raras Fitriyani] Telkom Univ, Sch Econ &amp; Business, Bandung, Indonesia</t>
  </si>
  <si>
    <t>Telkom University</t>
  </si>
  <si>
    <t>Alamsyah, A (corresponding author), Telkom Univ, Sch Econ &amp; Business, Bandung, Indonesia.</t>
  </si>
  <si>
    <t>andrya@telkomuniversity.ac.id; fitriyaniraras@gmail.com</t>
  </si>
  <si>
    <t>Alayah, Any/I-7296-2018</t>
  </si>
  <si>
    <t>Alayah, Any/0000-0001-5106-7561</t>
  </si>
  <si>
    <t>10.1108/DPRG-09-2024-0240</t>
  </si>
  <si>
    <t>8XN4B</t>
  </si>
  <si>
    <t>WOS:001433840800001</t>
  </si>
  <si>
    <t>Xin, DL; Yi, YZ; Du, JJ</t>
  </si>
  <si>
    <t>Xin, Daleng; Yi, Yanzhen; Du, Jianjun</t>
  </si>
  <si>
    <t>Does digital finance promote corporate social responsibility of pollution-intensive industry? Evidence from Chinese listed companies</t>
  </si>
  <si>
    <t>Digital finance; Corporate social responsibility; Financing mechanism; Heterogeneous influence</t>
  </si>
  <si>
    <t>CONSTRAINTS; FIRMS; CSR; PERFORMANCE; GOVERNANCE</t>
  </si>
  <si>
    <t>It is crucial to achieve sustainable development using digital finance to promote the fulfillment of corporate social responsibility. In this paper, we study the impact of digital finance on corporate social responsibility performance of pollution-intensive industry. From the perspective of theoretical mechanism, digital finance could influence corporate social responsibility performance through financing effect. Then, we use the data of Chinese listed companies and the Peking University Digital Financial Inclusion Index of China (PKU_DFIIC) to empirically test the influence of digital finance on corporate social responsibility of pollution-intensive industry. The results show that digital finance is positively related to the fulfillment of corporate social responsibility of pollution-intensive industry. The mechanism test shows that by reducing the information asymmetry in the financial market and making them easier for enterprises to access the financial market, digital finance effectively alleviates the financing constraints of enterprises and then enables enterprises to invest more capital in corporate social responsibility. Furthermore, we find that there are heterogeneous influences of digital finance on the corporate social responsibility performance of different types of enterprises. Specially, enterprises with small scale, located in high informatization and marketization areas and eastern regions of China, and enterprises with high ownership concentration will enjoy more positive impact. By using different indicators to measure digital finance and changing samples for robustness checks, the research conclusions of the paper are still valid. Therefore, government should make more effort to support the development of digital finance, so as to promote corporate social responsibility of pollution-intensive industry and the green and sustainable development of the economy.</t>
  </si>
  <si>
    <t>[Xin, Daleng; Yi, Yanzhen] Shandong Normal Univ, Sch Econ, Jinan, Peoples R China; [Du, Jianjun] Shanghai Univ Polit Sci &amp; Law, Sch Govt Adm, Shanghai, Peoples R China</t>
  </si>
  <si>
    <t>Shandong Normal University; Shanghai University of Political Science &amp; Law</t>
  </si>
  <si>
    <t>Xin, DL (corresponding author), Shandong Normal Univ, Sch Econ, Jinan, Peoples R China.</t>
  </si>
  <si>
    <t>xindaleng@163.com; 18340088915@163.com; dujianjun@shupl.edu.cn</t>
  </si>
  <si>
    <t>China Shandong Province Natural Science Foundation [ZR2020QG027]; Youth Innovation Science and Technology Program of Shandong Province [2019RWE015]</t>
  </si>
  <si>
    <t>China Shandong Province Natural Science Foundation; Youth Innovation Science and Technology Program of Shandong Province</t>
  </si>
  <si>
    <t>The authors would like to appreciate the financial support from the China Shandong Province Natural Science Foundation (grant number: ZR2020QG027) and Youth Innovation Science and Technology Program of Shandong Province (grant number: 2019RWE015).</t>
  </si>
  <si>
    <t>10.1007/s11356-022-21695-9</t>
  </si>
  <si>
    <t>WOS:000821377100020</t>
  </si>
  <si>
    <t>Larracilla-Salazar, N; Peña-Osorio, IY; Molchanova, VS</t>
  </si>
  <si>
    <t>Larracilla-Salazar, Nemesis; Yadira Pena-Osorio, Ileana; Molchanova, Violetta S.</t>
  </si>
  <si>
    <t>Education and Financial Inclusion. An Empirical Study in Students of Higher Education</t>
  </si>
  <si>
    <t>EUROPEAN JOURNAL OF CONTEMPORARY EDUCATION</t>
  </si>
  <si>
    <t>financial inclusion; financial education; savings; investment; income</t>
  </si>
  <si>
    <t>Financial products and services are increasingly present in our daily lives, so it is very important to know the advantages that can be obtained by using them. In this way, the present study seeks to determine the existence of an underlying structure that explains the knowledge towards the topics of Income, Money Management, Savings and Investment, Expenditure and Credit in students of higher education. For this, the Financial Education Test was applied to 126 participants. The results obtained through the exploratory factor analysis provide evidence of the existence of a structure that allows us to understand the phenomenon of financial education in the perception, knowledge, use and application of financial topics in Mexican students. Two factors represent 68.18 % of the phenomenon under study, the first on knowledge, use and application towards savings and investment (37.42 % of the total variance explained) and the second on knowledge, use and application about money management (30.75 % of the total variance explained).</t>
  </si>
  <si>
    <t>[Larracilla-Salazar, Nemesis; Yadira Pena-Osorio, Ileana] Univ Cristobal Colon, UCC Business Sch, Veracruz, Mexico; [Molchanova, Violetta S.] Int Network Ctr Fundamental &amp; Appl Res, Washington, DC USA; [Molchanova, Violetta S.] Volgograd State Univ, Volgograd, Russia</t>
  </si>
  <si>
    <t>Cherkas Global University; Volgograd State University (VOLSU)</t>
  </si>
  <si>
    <t>Larracilla-Salazar, N (corresponding author), Univ Cristobal Colon, UCC Business Sch, Veracruz, Mexico.</t>
  </si>
  <si>
    <t>larracilla.n@gmail.com; v.molchanova_1991@list.ru</t>
  </si>
  <si>
    <t>Larracilla Salazar, Némesis/LBI-0282-2024; Molchanova, Violetta/X-9359-2019</t>
  </si>
  <si>
    <t>Larracilla Salazar, Némesis/0000-0001-7380-0621; Molchanova, Violetta/0000-0003-0057-4859</t>
  </si>
  <si>
    <t>Cherkas Global Univ Press</t>
  </si>
  <si>
    <t>Washington</t>
  </si>
  <si>
    <t>1717 N Street NW, Suite 1, Washington, District of Columbia, UNITED STATES</t>
  </si>
  <si>
    <t>2304-9650</t>
  </si>
  <si>
    <t>2305-6746</t>
  </si>
  <si>
    <t>EUR J CONTEMP EDUC</t>
  </si>
  <si>
    <t>Eur. J. Contermp. Educ.</t>
  </si>
  <si>
    <t>10.13187/ejced.2019.4.810</t>
  </si>
  <si>
    <t>JY8PV</t>
  </si>
  <si>
    <t>WOS:000504671300010</t>
  </si>
  <si>
    <t>Ali, S; Ghufran, M; Ashraf, J; Peng, XB; Liu, ZY</t>
  </si>
  <si>
    <t>Ali, Sumran; Ghufran, Muhammad; Ashraf, Jawaria; Peng, Xiaobao; Liu, ZhiYing</t>
  </si>
  <si>
    <t>The Role of Public and Private Interventions on the Evolution of Green Innovation in China</t>
  </si>
  <si>
    <t>Green products; Environmental management; Investment; Urban areas; Government policies; Air pollution; Carbon dioxide; Climate change; Actual foreign investment; government intervention; green innovation (GI); imperative environment regulations; investment in environmental pollution</t>
  </si>
  <si>
    <t>ENVIRONMENTAL-REGULATIONS; REDUCTION EVIDENCE; PORTER HYPOTHESIS; POLICY; PERFORMANCE; IMPACT; GOVERNANCE; MANAGEMENT; EMISSIONS; NETWORKS</t>
  </si>
  <si>
    <t>China's future economy is in jeopardy due to climate change, zero COVID policy, supply chain disruption, surging inflation, and the energy crisis due to Russia Ukraine war. Additionally, the government pledges to the Paris agreement and COP27: The UN Climate Change Conference to combat with climate change crisis through the reduction of carbon and greenhouse gases emission. In these uncertain conditions, climate pledges, and shifts to a greener economic system, it is essential to investigate the public and private interventions on the evolution of green innovation in China. Accordingly, we relied on public repositories, such as the World Bank, World Intellectual Property Organization, PatSnap, SIPR, China City Statistical Yearbook 2021, and the Peking University Digital Financial Inclusion Index of China from 2009 to 2021 in 280 Chinese cities, to investigate the role of public and private interventions in the growth of green innovation. Our findings indicate that one interquartile range increase in government intervention, imperative environment regulations, gross regional domestic product, investment in environmental pollution, actual foreign investment, market pull, and material increase the green innovation growth at the Chinese city level. At the same time, we did not find a significant relationship between energy and green innovation. Moreover, the study paves the path for policymakers to remodify and develop policies on the different authoritative levels, which can reshape the Chinese green economy in the long run.</t>
  </si>
  <si>
    <t>[Ali, Sumran; Liu, ZhiYing] Univ Sci &amp; Technol China, Sch Management, Hefei 230026, Peoples R China; [Ghufran, Muhammad] Univ Salerno, Dept Econ &amp; Stat, I-84084 Fisciano, Italy; [Ashraf, Jawaria; Peng, Xiaobao] Univ Sci &amp; Technol China, Sch Publ Affairs, Hefei 230026, Peoples R China</t>
  </si>
  <si>
    <t>Chinese Academy of Sciences; University of Science &amp; Technology of China, CAS; University of Salerno; Chinese Academy of Sciences; University of Science &amp; Technology of China, CAS</t>
  </si>
  <si>
    <t>Peng, XB (corresponding author), Univ Sci &amp; Technol China, Sch Publ Affairs, Hefei 230026, Peoples R China.</t>
  </si>
  <si>
    <t>sumranali@mail.ustc.edu.cn; mghufran@unisa.it; jawaria@mail.ustc.edu.cn; pxb1982@ustc.edu.cn; liuzhiy@ustc.edu.cn</t>
  </si>
  <si>
    <t>Ashraf, Jawaria/JZD-9794-2024; Ali, Sumran/LFV-3755-2024</t>
  </si>
  <si>
    <t>xiaobao, peng/0000-0003-2399-192X; Ghufran, Muhammad/0000-0002-6902-2297; Ali, Sumran/0000-0003-3957-6114</t>
  </si>
  <si>
    <t>Major Project of National Social Science Foundation research on the Realization Mechanism and Breakthrough Path of the Key Core Technologies of Innovation Chain and Industrial Chain Coupling [22 ZD094]; National Natural Science Foundation of China research on the Impact of Low-Carbon Policy on Green Innovation Collaboration and the Moderating Effect of Heterogeneity: Based on the Quasi-Natural Experiment and Computational Experiment [72174107]</t>
  </si>
  <si>
    <t>Major Project of National Social Science Foundation research on the Realization Mechanism and Breakthrough Path of the Key Core Technologies of Innovation Chain and Industrial Chain Coupling; National Natural Science Foundation of China research on the Impact of Low-Carbon Policy on Green Innovation Collaboration and the Moderating Effect of Heterogeneity: Based on the Quasi-Natural Experiment and Computational Experiment</t>
  </si>
  <si>
    <t>This work was supported in part by the Major Project of National Social Science Foundation research on the Realization Mechanism and Breakthrough Path of the Key Core Technologies of Innovation Chain and Industrial Chain Coupling under Grant 22 &amp; ZD094 and in part by the National Natural Science Foundation of China research on the Impact of Low-Carbon Policy on Green Innovation Collaboration and the Moderating Effect of Heterogeneity: Based on the Quasi-Natural Experiment and Computational Experiment under Grant 72174107.</t>
  </si>
  <si>
    <t>10.1109/TEM.2023.3280574</t>
  </si>
  <si>
    <t>9HF2B</t>
  </si>
  <si>
    <t>WOS:001012426900001</t>
  </si>
  <si>
    <t>Xiao, XH; Yu, M; Liu, H; Zhao, Q</t>
  </si>
  <si>
    <t>Xiao, Xiaohong; Yu, Mei; Liu, Hai; Zhao, Qing</t>
  </si>
  <si>
    <t>How Does Financial Literacy Affect Digital Entrepreneurship Willingness and Behavior-Evidence from Chinese Villagers' Participation in Entrepreneurship</t>
  </si>
  <si>
    <t>financial literacy; digital literacy; financial inclusion; digital entrepreneurial willingness and behavior; villagers</t>
  </si>
  <si>
    <t>EDUCATION; MODELS</t>
  </si>
  <si>
    <t>How financial literacy (FL) can contribute to both digital entrepreneurship (DE) willingness and behavior has become a widely concerned and controversial topic among scholars and practitioners, one that is particularly relevant for bottom of pyramid (BOP) entrepreneurs. However, existing literature has not established a systematic theoretical framework for this issue, and its internal mechanism has not been thoroughly revealed. Hence, based on behavioral finance theory and digital business-related literature, we construct a multi-layer linear and mediated-moderation model that relates latent variables of FL, financial inclusion (FI), digital literacy (DL), and DE. A total of 664 villagers carrying out DE are the sample from China, and the empirical results mainly reveal the following: FL significantly improves the DE willingness and behavior, and the sense of FI plays a partial mediating role between FL and DE willingness and behavior. DL is a crucial influencing factor that moderates a positive effect between FL and DE willingness and behavior. Moreover, DL plays a mediated-moderating role. By contrast, FL in poverty-stricken counties (PSC) has a more substantial influence on DE than that in non-poverty-stricken counties (NPSC). If the family background (social capital) is superior (excellent), and the resources are abundant, then the influence of FL on DE will be stronger. This research contributes to the theories and practices related to FL, DE, FI, and DL.</t>
  </si>
  <si>
    <t>[Xiao, Xiaohong; Yu, Mei; Liu, Hai; Zhao, Qing] Guizhou Univ Finance &amp; Econ, Sch Business Adm, Guiyang 550025, Peoples R China</t>
  </si>
  <si>
    <t>Guizhou University of Finance &amp; Economics</t>
  </si>
  <si>
    <t>Yu, M (corresponding author), Guizhou Univ Finance &amp; Econ, Sch Business Adm, Guiyang 550025, Peoples R China.</t>
  </si>
  <si>
    <t>gufestudy@163.com</t>
  </si>
  <si>
    <t>Guizhou Province Graduate Research Fund Projects [YJSKYJJ (2021) 129]; Guizhou Provincial Department of Education; Guizhou University of Finance and Economics School-Level Research Fund Project [2021KYZD05]; Guizhou University of Finance and Economics</t>
  </si>
  <si>
    <t>Guizhou Province Graduate Research Fund Projects; Guizhou Provincial Department of Education; Guizhou University of Finance and Economics School-Level Research Fund Project; Guizhou University of Finance and Economics</t>
  </si>
  <si>
    <t>This research was funded by the Guizhou Province Graduate Research Fund Projects (No: YJSKYJJ (2021) 129), From Guizhou Provincial Department of Education (2021); Guizhou University of Finance and Economics School-Level Research Fund Project (No: 2021KYZD05), From Guizhou University of Finance and Economics (2021).</t>
  </si>
  <si>
    <t>10.3390/su142114103</t>
  </si>
  <si>
    <t>6C8XK</t>
  </si>
  <si>
    <t>WOS:000882289400001</t>
  </si>
  <si>
    <t>Uthaileang, W; Kiattisin, S</t>
  </si>
  <si>
    <t>Uthaileang, Wasan; Kiattisin, Supaporn</t>
  </si>
  <si>
    <t>Developing the capability of digital financial literacy in developing countries: A Case of online loan for small entrepreneurs</t>
  </si>
  <si>
    <t>Digital financial literacy; Digital financial capability; Motivation factor; Online loan; I -change model; Behavior change theory</t>
  </si>
  <si>
    <t>SELF-EFFICACY; BEHAVIOR; KNOWLEDGE; ATTITUDE; EDUCATION; STUDENTS; BRAZIL</t>
  </si>
  <si>
    <t>The rapid growth of digital financial services especially during the COVID-19 outbreak, is a factor accelerating the use of online loan applications that inevitably require the knowledge of digital finance. This study used the behavior change theory and digital financial literacy to identify relevant and correlated variables to confirm positive motivational factors on digital financial skills and capability. Structure equation modeling (SEM) and path analysis were applied to find the correlation and confirm the proposed hypotheses presented. There were 400 samples of small entrepreneurs from different provinces, and online questionnaires were used for data collection. The findings showed that the knowledge and motivation variables were related and had a positive effect. It contributes to continuously building up the skills and capabilities of small entrepreneurs who need to develop their capabilities in digital financial literacy adequately in line with the changes in business and technology after the outbreak of COVID-19. This concept can apply to online loan policy for small entrepreneurs trained with motivating courses who accepted digital finance literacy's usefulness.</t>
  </si>
  <si>
    <t>[Uthaileang, Wasan; Kiattisin, Supaporn] Mahidol Univ, Fac Engn, Informat Technol Management, Salaya, Thailand</t>
  </si>
  <si>
    <t>Mahidol University</t>
  </si>
  <si>
    <t>Kiattisin, S (corresponding author), Mahidol Univ, Fac Engn, Informat Technol Management, Salaya, Thailand.</t>
  </si>
  <si>
    <t>wasan.uta@student.mahidol.ac.th; supaporn.kit@mahidol.ac.th</t>
  </si>
  <si>
    <t>kiattisin, supaporn/0000-0002-7776-643X</t>
  </si>
  <si>
    <t>e21961</t>
  </si>
  <si>
    <t>10.1016/j.heliyon.2023.e21961</t>
  </si>
  <si>
    <t>CK7Y8</t>
  </si>
  <si>
    <t>WOS:001125224100001</t>
  </si>
  <si>
    <t>Jackson, T; Osabutey, ELC</t>
  </si>
  <si>
    <t>Jackson, Terence; Osabutey, Ellis L. C.</t>
  </si>
  <si>
    <t>Challenging the bottom-of-the-pyramid narrative in Africa: A cross-cultural management perspective on the impact of mobile money</t>
  </si>
  <si>
    <t>Africa; cross-cultural management; informal economy; ROSCAs; bottom-of-the-pyramid; fintech; mobile money; narratives</t>
  </si>
  <si>
    <t>SUB-SAHARAN AFRICA; INNOVATION; ENTREPRENEURSHIP; ORGANIZATION</t>
  </si>
  <si>
    <t>The bottom-of-the-pyramid (BoP) narrative underpins the introduction of fintech initiatives such as mobile money into Africa's largely informal economies by multinational enterprises (MNEs) often endorsed by the international development community. This is claimed to enhance financial inclusion and enterprise development among poorer communities. By examining the cultural meaning of money and the impact of mobile money on traditional community initiatives like Rotating Savings and Credit Associations (ROSCAs), this work sets out to show how accepted truths may be challenged in power-laden international interactions. Four objectives guide our multidimensional approach: methodological (exposing hidden narratives in international business), epistemological (questioning prevailing knowledge of Africa), strategic (critiquing MNE-led technology transfers), and inclusive (advocating for marginalized perspectives in policy and research). It calls for more inclusive cross-cultural research in Africa that incorporates perspectives from less powerful groups excluded by dominant narratives such as BoP. Rather than seeing African countries as lacking and seeing mobile money as a means of plugging institutional voids such as access to formal institutional finance, we ask researchers to take account of existing community-led institutions in constructing alternative narratives to inform their research, business school curricula, MNEs' strategies and international development policies.</t>
  </si>
  <si>
    <t>[Jackson, Terence] Middlesex Univ, Business Sch, London, England; [Osabutey, Ellis L. C.] Northumbria Univ, Newcastle Business Sch, Newcastle, England</t>
  </si>
  <si>
    <t>Middlesex University; Northumbria University</t>
  </si>
  <si>
    <t>Osabutey, ELC (corresponding author), Northumbria Univ, Newcastle Business Sch, Newcastle, England.</t>
  </si>
  <si>
    <t>ellis.osabutey@northumbria.ac.uk</t>
  </si>
  <si>
    <t>10.1080/23322373.2025.2541144</t>
  </si>
  <si>
    <t>8RT7Z</t>
  </si>
  <si>
    <t>WOS:001564244400001</t>
  </si>
  <si>
    <t>Li, HQ; Lin, QN; Wang, Y; Mao, SP</t>
  </si>
  <si>
    <t>Li, Huiquan; Lin, Qingning; Wang, Yan; Mao, Shiping</t>
  </si>
  <si>
    <t>Can Digital Finance Improve China's Agricultural Green Total Factor Productivity?</t>
  </si>
  <si>
    <t>digital finance; AGTFP; resource mismatch; technical innovation</t>
  </si>
  <si>
    <t>COMMUNICATION TECHNOLOGY; GROWTH; INFORMATION; INVESTMENTS; CONSTRAINTS; INNOVATION; DISTANCE</t>
  </si>
  <si>
    <t>The improvement of agricultural green total factor productivity (AGTFP) is crucial to achieve sustainable agricultural development. By matching China's provincial digital financial inclusion index and agricultural production data from 2011 to 2020, and on the basis of using the DEA-Malmquist productivity index to measure AGTFP, the fixed effect model and Mesomeric effect model are used to empirically test the impact and mechanism of digital financial development on China's AGTFP. Our research found that from 2011 to 2020, China experienced consistent improvement in AGTFP, which was largely attributed to advancements in technology. Interestingly, the AGTFP in non-major grain-producing areas surpassed that in major grain producing areas. Additionally, digital finance has proven to be an effective tool in boosting China's AGTFP, the coverage subdimension, the depth of use subdimension and the digitization subdimension all significantly promote the AGTFP. Digital finance can significantly promote the efficiency and progress of agricultural green technology, which shows that digital finance promotes AGTFP in a dual wheel driven manner. However, the impact of digital finance on agricultural green technology efficiency and progress is more pronounced in major grain-producing areas than in non-major areas. The impact mechanism demonstrates that digital finance has the potential to stimulate AGTFP in two key ways. First, it can improve the mismatch of agricultural production resources; second, it can promote agricultural technology innovation. Therefore, it is necessary to further promote the rapid development of digital finance, optimize the rational allocation of financial resources, and formulate tailored digital finance development strategies to promote green development of agriculture.</t>
  </si>
  <si>
    <t>[Li, Huiquan] South China Univ Technol, Sch Business Adm, Guangzhou 510641, Peoples R China; [Lin, Qingning; Mao, Shiping] Chinese Acad Agr Sci, Inst Agr Econ &amp; Dev, Beijing 100081, Peoples R China; [Wang, Yan] Qingdao Univ Technol, Business Sch, Qingdao 266520, Peoples R China</t>
  </si>
  <si>
    <t>South China University of Technology; Chinese Academy of Agricultural Sciences; Institute of Agricultural Economics &amp; Development, CAAS; Qingdao University of Technology</t>
  </si>
  <si>
    <t>Mao, SP (corresponding author), Chinese Acad Agr Sci, Inst Agr Econ &amp; Dev, Beijing 100081, Peoples R China.</t>
  </si>
  <si>
    <t>lihuiquan1017@163.com; linqingning@caas.cn; wangyan9004@163.com; maoshiping@caas.cn</t>
  </si>
  <si>
    <t>yan, wang/JRW-9981-2023</t>
  </si>
  <si>
    <t>Innovation Project of Chinese Academy of Agricultural Science and Technology Innovation Program Research on the Impact of Digital Economy on the Transformation and Development of Agricultural Industry [10-IAED-RC-03-2023-2]</t>
  </si>
  <si>
    <t>Innovation Project of Chinese Academy of Agricultural Science and Technology Innovation Program Research on the Impact of Digital Economy on the Transformation and Development of Agricultural Industry</t>
  </si>
  <si>
    <t>This research was funded by the Innovation Project of Chinese Academy of Agricultural Science and Technology Innovation Program Research on the Impact of Digital Economy on the Transformation and Development of Agricultural Industry (10-IAED-RC-03-2023-2).</t>
  </si>
  <si>
    <t>10.3390/agriculture13071429</t>
  </si>
  <si>
    <t>N1NA7</t>
  </si>
  <si>
    <t>WOS:001034752000001</t>
  </si>
  <si>
    <t>Hameed, MA; Rahman, MM; Khanam, R</t>
  </si>
  <si>
    <t>Hameed, Mohammad Ajmal; Rahman, Mohammad Mafizur; Khanam, Rasheda</t>
  </si>
  <si>
    <t>Analyzing the Consequences of Long-Run Civil War on Unemployment Rate: Empirical Evidence from Afghanistan</t>
  </si>
  <si>
    <t>cost of war; unemployment rate; Afghanistan; GDP; NARDL</t>
  </si>
  <si>
    <t>TIME-SERIES; OIL-PRICE; UNIT-ROOT; CONFLICT; IMPACT; DURATION; DYNAMICS</t>
  </si>
  <si>
    <t>This article aims to uncover the asymmetric labor-market consequences of the long-run civil war in Afghanistan by employing a non-linear autoregressive distributed lags (NARDL) model and an asymmetric causality technique over the period from 2004Q3 to 2020Q4. The findings from the NARDL model reveal that the positive asymmetric shocks from the cost of war, GDP growth, final government expenditure, foreign direct investment, and the rule of law significantly decrease the unemployment rate, while their negative asymmetric shocks increase the unemployment rate in the short and long runs. Innovatively, the composite financial inclusion index has been incorporated into the model, which provides interesting results. It demonstrates that enhancing the outreach of financial services plays an important role in reducing the unemployment rate during wartime in Afghanistan, while its exclusion is found to increase the unemployment rate both in the short and long runs. Moreover, the results of the asymmetric causality test reveal that an asymmetric causality runs from both the positive and negative components of the cost of war, the composite financial inclusion index, GDP growth, foreign direct investment, inflation rate, population growth, and the rule of law to the unemployment rate, while no evidence is found to support a causality nexus between the unemployment rate, final government expenditure, and the secondary school enrollment rate. The results entail several policy implications that are discussed.</t>
  </si>
  <si>
    <t>[Hameed, Mohammad Ajmal; Rahman, Mohammad Mafizur; Khanam, Rasheda] Univ Southern Queensland, Sch Business, Toowoomba, Qld 4350, Australia</t>
  </si>
  <si>
    <t>University of Southern Queensland</t>
  </si>
  <si>
    <t>Hameed, MA (corresponding author), Univ Southern Queensland, Sch Business, Toowoomba, Qld 4350, Australia.</t>
  </si>
  <si>
    <t>u1129358@usq.edu.au</t>
  </si>
  <si>
    <t>Rahman, Mohammad Mafizur/AGK-9296-2022; Khanam, Rasheda/P-8050-2018</t>
  </si>
  <si>
    <t>Rahman, Mohammad Mafizur/0000-0002-7950-1961;</t>
  </si>
  <si>
    <t>10.3390/su15087012</t>
  </si>
  <si>
    <t>E8JK4</t>
  </si>
  <si>
    <t>WOS:000977938900001</t>
  </si>
  <si>
    <t>Khan, Z; Patel, L; Graham, L; Burger, R; Chowa, GA; Masa, R</t>
  </si>
  <si>
    <t>Khan, Zoheb; Patel, Leila; Graham, Lauren; Burger, Rulof; Chowa, Gina A.; Masa, Rainier</t>
  </si>
  <si>
    <t>Youth Employability programmes in South Africa: Which features work best and for whom?</t>
  </si>
  <si>
    <t>Active labour market programmes; youth unemployment; financial capability; skills training</t>
  </si>
  <si>
    <t>SKILLS</t>
  </si>
  <si>
    <t>This article analyses a subset of eight youth employability programmes (YEPs) operating across South Africa using a panel survey of participants. It assesses the features of these YEPs and their links to subsequent employment while controlling for individual characteristics. Each YEP delivered technical and soft skills training, alongside other programme features offered in different combinations. Additionally, a financial capability intervention comprising financial literacy and access to a savings product was randomised to half of the training sites. Job matching, soft skills training, and financial capability are all strongly associated with better employment odds. The strength of these associations depends on how different training components are combined, and on graduates' education level and area of residence. The findings have implications for the design of active labour market policies in developing countries with large youth unemployment and fast-changing labour markets.</t>
  </si>
  <si>
    <t>[Khan, Zoheb; Patel, Leila; Graham, Lauren] Univ Johannesburg, Ctr Social Dev Africa, Johannesburg, South Africa; [Burger, Rulof] Stellenbosch Univ, Dept Econ, Stellenbosch, South Africa; [Chowa, Gina A.; Masa, Rainier] Univ North Carolina Chapel Hill, Global Social Dev Innovat, Chapel Hill, NC USA</t>
  </si>
  <si>
    <t>University of Johannesburg; Stellenbosch University; University of North Carolina; University of North Carolina Chapel Hill; University of North Carolina School of Medicine</t>
  </si>
  <si>
    <t>Khan, Z (corresponding author), Univ Johannesburg, Ctr Social Dev Africa, Johannesburg, South Africa.</t>
  </si>
  <si>
    <t>zkhan@uj.ac.za</t>
  </si>
  <si>
    <t>Burger, Rulof/AAA-5632-2020; Masa, Rainier/S-9723-2019; Khan, Zoheb/IQT-0107-2023; Chowa, Gina/L-4721-2019</t>
  </si>
  <si>
    <t>Masa, Rainier/0000-0002-0484-3107; Khan, Zoheb/0000-0002-5820-401X;</t>
  </si>
  <si>
    <t>Ford Foundation [0140-0188]; National Treasury's Government Technical Advisory Committee; British Academy Newton Fund [AF140164]; National Youth Development Agency; University of Johannesburg's University Research Committee; Department of Science and Technology/National Research Foundation South African Research Chair Initiative (SARCHi) through the SARCHi for Welfare and Social Development; Ford Foundation; British Academy Newton Fund</t>
  </si>
  <si>
    <t>Ford Foundation; National Treasury's Government Technical Advisory Committee; British Academy Newton Fund(British Academy); National Youth Development Agency; University of Johannesburg's University Research Committee; Department of Science and Technology/National Research Foundation South African Research Chair Initiative (SARCHi) through the SARCHi for Welfare and Social Development; Ford Foundation; British Academy Newton Fund(British Academy)</t>
  </si>
  <si>
    <t>This work was supported by the Ford Foundation [grant number 0140-0188]; The National Treasury's Government Technical Advisory Committee (no grant number); the British Academy Newton Fund [grant number AF140164]; the National Youth Development Agency (no grant number); the University of Johannesburg's University Research Committee (no grant number);and the Department of Science and Technology/National Research Foundation South African Research Chair Initiative (SARCHi) through the SARCHi for Welfare and Social Development (no grant number). The study was granted ethical clearance by the University of JohannesburgFaculty of Humanities Research Ethics Committee.</t>
  </si>
  <si>
    <t>10.1080/0376835X.2023.2273533</t>
  </si>
  <si>
    <t>EP7Y9</t>
  </si>
  <si>
    <t>WOS:001094201000001</t>
  </si>
  <si>
    <t>Bialowolski, P; Cwynar, A; Cwynar, W</t>
  </si>
  <si>
    <t>Bialowolski, Piotr; Cwynar, Andrzej; Cwynar, Wiktor</t>
  </si>
  <si>
    <t>Decomposition of the Financial Capability Construct: A Structural Model of Debt Knowledge, Skills, Confidence, Attitudes, and Behavior</t>
  </si>
  <si>
    <t>debt literacy; financial attitudes; financial behavior; financial confidence; financial knowledge; financial literacy; financial skills</t>
  </si>
  <si>
    <t>SUBJECTIVE KNOWLEDGE; NUMERICAL ABILITY; CREDIT CARD; LITERACY; EDUCATION; GENDER; NUMERACY; DEMAND; IMPACT; THINK</t>
  </si>
  <si>
    <t>Based on a nationally representative sample of adult Poles (N = 1,004), we examined structural relationships between financial knowledge, skills, confidence, attitudes, and behavior in debt-domain. We found that financial confidence-at least regarding debt-related issues-is tied to debt attitudes and behavior beyond the extent to which the attitudes and behaviors are linked to objective debt knowledge. Moreover, the relationship between objective knowledge and confidence turned out to be insignificant in our study. These findings suggest that confidence should be used as a separate marker of financial capability. Having established that skills correlate with behavior and attitudes differently than objective knowledge, we argue also to include them separately in financial capability measurements.</t>
  </si>
  <si>
    <t>[Bialowolski, Piotr] Harvard TH Chan Sch Publ Hlth, Sustainabil &amp; Hlth Initiat SHINE, 665 Huntington Ave,G28, Boston, MA 02115 USA; [Bialowolski, Piotr] WSB Acad, Dept Management, Ul Cieplaka 1c, Dabrowa Gornicza, Poland; [Cwynar, Andrzej; Cwynar, Wiktor] Univ Econ &amp; Innovat, Inst Publ Adm Business &amp; Management, Ul Projektowa 4, Lublin, Poland</t>
  </si>
  <si>
    <t>Harvard University; Harvard T.H. Chan School of Public Health</t>
  </si>
  <si>
    <t>Bialowolski, P (corresponding author), Harvard TH Chan Sch Publ Hlth, Sustainabil &amp; Hlth Initiat SHINE, 665 Huntington Ave,G28, Boston, MA 02115 USA.;Bialowolski, P (corresponding author), WSB Acad, Dept Management, Ul Cieplaka 1c, Dabrowa Gornicza, Poland.</t>
  </si>
  <si>
    <t>Białowolski, Piotr/AAI-8393-2020; Cwynar, Anzej/AAD-5409-2019; Cwynar, Wiktor/AAA-9664-2020</t>
  </si>
  <si>
    <t>Białowolski, Piotr/0000-0003-4102-0107; Cwynar, Anzej/0000-0003-2702-0397;</t>
  </si>
  <si>
    <t>Polish Ministry of Science and Higher Education grant [0057/DLG/2016/10]</t>
  </si>
  <si>
    <t>Polish Ministry of Science and Higher Education grant(Ministry of Science and Higher Education, Poland)</t>
  </si>
  <si>
    <t>This work was supported by the Polish Ministry of Science and Higher Education grant [contract no. 0057/DLG/2016/10 under the program Dialogue (within the project entitled Debt Watch)]</t>
  </si>
  <si>
    <t>10.1891/JFCP-19-00056</t>
  </si>
  <si>
    <t>WOS:000659298600001</t>
  </si>
  <si>
    <t>Fayyaz, S; Khan, A</t>
  </si>
  <si>
    <t>Fayyaz, Sana; Khan, Areeba</t>
  </si>
  <si>
    <t>Impact of microfinance on quality of life, personal empowerment and familial harmony of female borrowers in Pakistan</t>
  </si>
  <si>
    <t>Microfinance institutions have made a significant progress in the last decade with elliptic growth in clients all over the world. As a financial inclusion initiative, microfinance institutions have performed well insofar as outreach to gender diverse groups is concerned. However, their role in poverty alleviation and social mobility is still not convincing albeit the incentives targeted on female borrowers. This paper aims to study the impact of microfinance initiative on enhancement of quality of life (QOL), personal empowerment and familial harmony of the female borrowers through logit probit regression model. Our results show a significant impact of microfinance on QOL enhancement of female borrowers, as well as their families, mediated by personal empowerment. This paper introduces the concept of familial harmony as an integral predictor of QOL of females in Pakistan. Our findings may be helpful in devising cointegrated policies directed upon community and gender-based microfinance initiatives in public private partnerships.</t>
  </si>
  <si>
    <t>[Fayyaz, Sana] Univ Utara Malaysia, Dept Econ, Changlun, Malaysia; [Khan, Areeba] Islamia Univ Bahawalpur, IBMAS, Dept Islamic &amp; Convent Banking, Bahawalpur, Pakistan</t>
  </si>
  <si>
    <t>Universiti Utara Malaysia; Islamia University of Bahawalpur</t>
  </si>
  <si>
    <t>Khan, A (corresponding author), Islamia Univ Bahawalpur, IBMAS, Dept Islamic &amp; Convent Banking, Bahawalpur, Pakistan.</t>
  </si>
  <si>
    <t>areeba.phd12@grad.putrabs.edu.my</t>
  </si>
  <si>
    <t>Khan, Areeba/AAS-1184-2021</t>
  </si>
  <si>
    <t>Khan, Areeba/0000-0001-7197-7984</t>
  </si>
  <si>
    <t>e2614</t>
  </si>
  <si>
    <t>10.1002/pa.2614</t>
  </si>
  <si>
    <t>WOS:000616400000001</t>
  </si>
  <si>
    <t>Bongomin, GOC; Munene, JC; Mpeera, JN; Akol, CM</t>
  </si>
  <si>
    <t>Bongomin, George Okello Candiya; Munene, John C.; Mpeera, Joseph Ntayi; Akol, Charles Malinga</t>
  </si>
  <si>
    <t>Financial inclusion in rural Uganda: The role of social capital and generational values</t>
  </si>
  <si>
    <t>bonding and bridging social capital; collective action; financial inclusion; poor households; generational values; microfinance; rural Uganda; trust; social structure; reciprocation</t>
  </si>
  <si>
    <t>COMMUNITY-DEVELOPMENT; DETERMINANTS; INFORMATION; ECONOMICS; REPAYMENT; ORIGINS</t>
  </si>
  <si>
    <t>The purpose of this paper was to examine how variations in social capital across generations promote financial inclusion among the poor in rural Uganda. Data were collected from a sample of 200 poor households located in Mukono district and processed using ordinary least square regression and ANOVA to examine how variations in social capital across generations promote financial inclusion of the poor in rural Uganda. The results generated indicate that variations in social capital components across generations significantly and positively affect financial inclusion of the poor in rural Uganda. The paper makes a significant contribution to existing body of literature by showing that variations in social capital across generations can cause an effect in financial inclusion of the poor, especially in rural Uganda. Managers of financial institutions should consider generational values in promoting financial inclusion. Specifically, they should design social financial products and services that can boost collective action in order to promote financial inclusion of the poor, especially in rural Uganda.</t>
  </si>
  <si>
    <t>[Bongomin, George Okello Candiya] MUBS, Dept Finance, Kampala, Uganda; [Munene, John C.] MUBS, FGRS, Kampala, Uganda; [Mpeera, Joseph Ntayi] MUBS, Dept Management Sci, Kampala, Uganda; [Akol, Charles Malinga] Bank Uganda BoU, Currency Dept, Kampala, Uganda</t>
  </si>
  <si>
    <t>abaikol3@yahoo.co.uk; kigozimunene@gmail.com; ntayius@gmail.com; camalinga@gmail.com</t>
  </si>
  <si>
    <t>10.1080/23311975.2017.1302866</t>
  </si>
  <si>
    <t>EO7ND</t>
  </si>
  <si>
    <t>WOS:000396876500001</t>
  </si>
  <si>
    <t>Gallenstein, RA; Dougherty, JP; Jent, J</t>
  </si>
  <si>
    <t>Gallenstein, Richard A.; Dougherty, John P.; Jent, Julie</t>
  </si>
  <si>
    <t>Achieving Inclusive Microfinance: Recommendations from Catholic Social Teaching and Economic Development Literature</t>
  </si>
  <si>
    <t>JOURNAL OF MANAGEMENT SPIRITUALITY &amp; RELIGION</t>
  </si>
  <si>
    <t>Microfinance; inclusivity; sustainability; Catholic social teaching; integral approach</t>
  </si>
  <si>
    <t>SUB-SAHARAN AFRICA; POVERTY TRAP THEORY; WILLINGNESS-TO-PAY; INDEX INSURANCE; JOINT LIABILITY; CREDIT MARKETS; REPAYMENT INCENTIVES; FIELD EXPERIMENT; MORAL HAZARD; RISK</t>
  </si>
  <si>
    <t>Microfinance programs are promoted as powerful tools for increasing financial inclusion and reducing poverty in the developing world. While these programs have shown promise, they often fail to reach the most marginalized potential clients and can actually increase exclusion through mechanisms such as social sanctions. In this paper, we review recent microfinance literature highlighting the benefits, drawbacks, and potential mechanisms of exclusion inherent in current microfinance models. We then outline principles, rooted in Catholic Social Teaching, that provide a fuller understanding of the human person and IP: 203 8 109 20 On: Tue, 29 Aug 2 can help inform a more inclusive vrsion of microfinace. elivered by Ingenta Finally, we apply these principles and recent innovations in the economics literature to propose a list of practical recommendations for inclusive microfinance to achieve integral development. D</t>
  </si>
  <si>
    <t>[Gallenstein, Richard A.; Jent, Julie] Catholic Univ Amer, Sch Arts &amp; Sci, Dept Econ, Washington, DC 20064 USA; [Dougherty, John P.] Loyola Univ Maryland, Sellinger Sch Business, Dept Econ, Baltimore, MD USA</t>
  </si>
  <si>
    <t>Catholic University of America; Loyola University Maryland</t>
  </si>
  <si>
    <t>Gallenstein, RA (corresponding author), Catholic Univ Amer, Sch Arts &amp; Sci, Dept Econ, Washington, DC 20064 USA.</t>
  </si>
  <si>
    <t>gallenstein@cua.edu</t>
  </si>
  <si>
    <t>Gallenstein, Richard/0000-0002-2712-6872</t>
  </si>
  <si>
    <t>Michelsen Institute</t>
  </si>
  <si>
    <t>5 We thank Dr. Jon Einar Flatnes at the Chr. Michelsen Institute for this idea.</t>
  </si>
  <si>
    <t>IMASR-INT ASSOC MANAGEMENT SPIRITUALITY &amp; RELIGION</t>
  </si>
  <si>
    <t>262 SHAKESPEARE TOWER, LONDON, ENGLAND</t>
  </si>
  <si>
    <t>1476-6086</t>
  </si>
  <si>
    <t>1942-258X</t>
  </si>
  <si>
    <t>J MANAG SPIRITUAL RE</t>
  </si>
  <si>
    <t>J. Manag. Spiritual. Relig.</t>
  </si>
  <si>
    <t>10.51327/YJSZ9508</t>
  </si>
  <si>
    <t>R5KM5</t>
  </si>
  <si>
    <t>WOS:001064738800002</t>
  </si>
  <si>
    <t>Fu, J; Ioannidou, V; Mishra, M</t>
  </si>
  <si>
    <t>Fu, Jonathan; Ioannidou, Vasso; Mishra, Mrinal</t>
  </si>
  <si>
    <t>Banking on Competition: The Spillover Effects of Bank Entry into Microfinance</t>
  </si>
  <si>
    <t>ADVERSE SELECTION; CREDIT; INFORMATION; FINANCE; MARKETS; IMPACTS; GROWTH</t>
  </si>
  <si>
    <t>This article examines how the entry of commercial lenders (CLs) transforms microfinance markets, focusing on borrower outcomes and market-wide spillovers. Using detailed credit registry data, we show that increased competition improves loan terms for both graduating and staying borrowers, generating sustained benefits. Our setting also allows us to document what happens when entry fails and entrants retreat following a crisis. Despite increasing defaults, borrowers who graduate to banks experience long-term gains, particularly through lower borrowing costs. Our findings highlight the broader benefits and risks of fostering competition in microfinance, providing valuable insights for policymakers and financial inclusion initiatives.</t>
  </si>
  <si>
    <t>[Fu, Jonathan] Univ Zurich, Dept Finance, Zurich, Switzerland; [Ioannidou, Vasso] Univ London, Bayes Business Sch, London, England; [Mishra, Mrinal] Univ Melbourne, Dept Finance, Melbourne, Australia</t>
  </si>
  <si>
    <t>University of Zurich; University of London; University of Melbourne</t>
  </si>
  <si>
    <t>Ioannidou, V (corresponding author), Univ London, Bayes Business Sch, London, England.</t>
  </si>
  <si>
    <t>jonathan.fu@df.uzh.ch; vasso.ioannidou@city.ac.uk; mrinal.mishra@unimelb.edu.au</t>
  </si>
  <si>
    <t>Mishra, Mrinal/0009-0007-6232-9038</t>
  </si>
  <si>
    <t>2025 AUG 12</t>
  </si>
  <si>
    <t>10.1017/S0022109025101865</t>
  </si>
  <si>
    <t>8AM7J</t>
  </si>
  <si>
    <t>WOS:001584032100001</t>
  </si>
  <si>
    <t>Srivastava, B; Singh, S; Jain, S</t>
  </si>
  <si>
    <t>Srivastava, Bhavya; Singh, Shveta; Jain, Sonali</t>
  </si>
  <si>
    <t>Unveiling the macrolevel implications of competition in the commercial banking sector: empirical insights from the BRICS region</t>
  </si>
  <si>
    <t>COMPETITIVENESS REVIEW</t>
  </si>
  <si>
    <t>Lerner index; Economic growth; Financial inclusion; PMG ARDL; C67; G21; I30; L11</t>
  </si>
  <si>
    <t>UNIT-ROOT TESTS; MARKET POWER; ECONOMIC-GROWTH; FINANCIAL STABILITY; RISK-TAKING; COST; EFFICIENCY; MONOPOLY; INDUSTRY</t>
  </si>
  <si>
    <t>PurposeThe purpose of this study is to assess the macroeconomic consequences of banking sector competition for the Brazil, Russia, India, China and South Africa (BRICS) region, organized into two main areas of focus: economic growth and financial inclusion spanning the period 2005-2020.Design/methodology/approachWhile the annual growth rate of real per capita GDP is used to quantify economic growth, the financial inclusion index is constructed by applying the normalized inverse of the Euclidean distance to two fundamental aspects of an inclusive financial system: availability, and utilization of financial services. The study uses a pooled mean group autoregressive distributed lag approach, a methodology that has not been previously used to analyze both the competition-economic growth and competition-financial inclusion relationships.FindingsFindings suggest that a rise in competition within the BRICS banking sector results in a decline in long-term economic growth. Greater competition induces greater risk-taking among banks via the franchise-value effect, resulting in inefficient capital allocation. Further, in line with the argument that banks have lesser incentives to perform comprehensive applicant evaluations in a highly competitive market, findings suggest that increasing competition leads to a decline in financial inclusion over the long term. Nevertheless, the impact of competition on economic growth and financial inclusion in the short term is insignificant.Originality/valueGiven the significant impact that banks had on the real macroeconomy during the global financial crises, the paper is one of the first to investigate whether banking sector competition hinders or promotes economic growth and financial inclusion both in the short- and long term.</t>
  </si>
  <si>
    <t>[Srivastava, Bhavya] OP Jindal Global Univ, Jindal Sch Banking &amp; Finance JSBF, Sonipat, India; [Singh, Shveta; Jain, Sonali] Indian Inst Technol Delhi, Dept Management Studies, New Delhi, India</t>
  </si>
  <si>
    <t>O.P. Jindal Global University; Indian Institute of Technology System (IIT System); Indian Institute of Technology (IIT) - Delhi</t>
  </si>
  <si>
    <t>Srivastava, B (corresponding author), OP Jindal Global Univ, Jindal Sch Banking &amp; Finance JSBF, Sonipat, India.</t>
  </si>
  <si>
    <t>bhavya.srivastava@jgu.edu.in; shvetasingh@dms.iitd.ac.in; sonalijain@dms.iitd.ac.in</t>
  </si>
  <si>
    <t>1059-5422</t>
  </si>
  <si>
    <t>2051-3143</t>
  </si>
  <si>
    <t>COMPET REV</t>
  </si>
  <si>
    <t>Compet. Rev.</t>
  </si>
  <si>
    <t>2025 DEC 15</t>
  </si>
  <si>
    <t>10.1108/CR-12-2024-0266</t>
  </si>
  <si>
    <t>S1161</t>
  </si>
  <si>
    <t>WOS:001636272100001</t>
  </si>
  <si>
    <t>Iheanachor, N; Umukoro, I</t>
  </si>
  <si>
    <t>Iheanachor, Nkemdilim; Umukoro, Immanuel</t>
  </si>
  <si>
    <t>Partnerships in digital financial services: An exploratory study of providers in an emerging market</t>
  </si>
  <si>
    <t>Partnerships; Digital financial services; Emerging markets</t>
  </si>
  <si>
    <t>DYNAMIC CAPABILITIES; STRATEGIC ALLIANCES; MOBILE MONEY; INNOVATION; PERFORMANCE; ECOSYSTEMS; BOTTOM</t>
  </si>
  <si>
    <t>Partnerships play a crucial role in unlocking the enormous potential of digital financial services to increase access to affordable and scalable services in emerging markets. This study explores the major forms and patterns of partnerships consummated by Nigerian financial service providers (FSPs) in the creation and delivery of digital financial services. Through case studies of existing providers and ecosystem participants, this study investigates the role of partnerships in facilitating financial inclusion, as a cardinal aim of FSPs. The study finds that a well -developed ecosystem is critical in driving financial inclusion and that such an ecosystem is built on effective partnerships. Furthermore, it shows that ineffective partnerships hamper financial inclusion significantly. This study develops a framework for consummating partnerships between FSPs from an emerging market perspective.</t>
  </si>
  <si>
    <t>[Iheanachor, Nkemdilim] Pan Atlantic Univ, Lagos Business Sch, Strategy &amp; Int Business, Lagos, Nigeria; [Umukoro, Immanuel] Pan Atlantic Univ, Lagos Business Sch, Financial Inclus &amp; Digital Financial Serv, Lagos, Nigeria</t>
  </si>
  <si>
    <t>Iheanachor, N (corresponding author), Pan Atlantic Univ, Lagos Business Sch, Strategy &amp; Int Business, Lagos, Nigeria.</t>
  </si>
  <si>
    <t>niheanachor@lbs.edu.ng; uimmanuel@lbs.edu.ng</t>
  </si>
  <si>
    <t>10.1016/j.jbusres.2022.08.010</t>
  </si>
  <si>
    <t>4X7QP</t>
  </si>
  <si>
    <t>WOS:000861032500014</t>
  </si>
  <si>
    <t>Sommer, M; Lim, H</t>
  </si>
  <si>
    <t>Sommer, Matthew; Lim, HanNa</t>
  </si>
  <si>
    <t>Financial literacy and naming a trusted contact for U.S. brokerage accounts</t>
  </si>
  <si>
    <t>Trusted contact; FINRA Rule 4512; Financial exploitation; Elder abuse; Cognitive decline</t>
  </si>
  <si>
    <t>Using data from the 2021 National Financial Capability Study (NFCS), this research investigated the relationship between financial literacy and naming a trusted contact. In early 2018, FINRA enacted Rule 4512 that requires brokerage firms to make a reasonable effort to obtain a trusted contact for all retail account owners. A trusted contact is someone who can be contacted in limited circumstances to discuss the welfare of the account owner. Based on a sample of 2046 respondents, approximately 40% reported naming a trusted contact. A logistic regression analysis indicated a negative relationship between objective knowledge and naming a trusted contact, while a positive relationship was found with subjective knowledge.</t>
  </si>
  <si>
    <t>[Sommer, Matthew] Janus Henderson Investors, 151 Detroit St, Denver, CO 80206 USA; [Lim, HanNa] Kansas State Univ, Dept Personal Financial Planning, Manhattan, KS USA</t>
  </si>
  <si>
    <t>Sommer, M (corresponding author), Janus Henderson Investors, 151 Detroit St, Denver, CO 80206 USA.</t>
  </si>
  <si>
    <t>matthew.sommer@janushenderson.com</t>
  </si>
  <si>
    <t>10.1057/s41264-023-00227-7</t>
  </si>
  <si>
    <t>WOS:000965837700001</t>
  </si>
  <si>
    <t>Murshid, NS</t>
  </si>
  <si>
    <t>Murshid, Nadine Shaanta</t>
  </si>
  <si>
    <t>Microfinance Participation and Women's Decision-Making Power in the Household in Bangladesh</t>
  </si>
  <si>
    <t>JOURNAL OF SOCIAL SERVICE RESEARCH</t>
  </si>
  <si>
    <t>decision-making power; microfinance; Bangladesh; gender; bargaining theory</t>
  </si>
  <si>
    <t>INTIMATE PARTNER VIOLENCE; RURAL CREDIT PROGRAMS; DOMESTIC VIOLENCE; MARRIAGE; GENDER; IMPACT; RESOURCES; EMPOWERMENT; FAMILY; AGENCY</t>
  </si>
  <si>
    <t>This study draws from bargaining theory to examine whether microfinance, a range of financial instruments such as micro-loans to support micro-enterprises, affects women's participation in household decision-making operationalized by whether women play a role in household decisions about large purchases, small purchases, going out to meet friends and family, and health care among a nationally representative sample of 6,150 women between the ages of 15 and 49years in Bangladesh. Bargaining theory suggests that decision-making in households is conflictual but conflict can be mitigated through bargaining. Central to bargaining power of women is control over resources, assuming that household decision-making involves making economic decisions. Logistic regression analysis was used to test the interaction effect of microfinance and control over resources on decision-making power in the household utilizing the nationally representative Bangladesh Demographic and Health Survey 2011. Results revealed that microfinance participants with control over resources reported higher odds of decision-making power (OR = 4.3, p &lt; 0.05) when compared to microfinance participants without control over resources (OR = 1.22, p &lt; 0.05) but less than women who did not participate in microfinance but had control over resources (OR = 5.2; p &lt; 0.05). In conclusion, control over resources play an important role in bargaining that increases odds of having decision-making power in the household, even for women who do not participate in microfinance. The study findings contribute to both social work practice and research on low-income populations as it allows an understanding of the importance financial access and financial know-how while it sheds light on how precarious women's lives can be as they navigate income-generating financial systems that interfere with gender norms, which may have negative consequences. These findings are particularly important for practitioners working in the area of women's empowerment who would do well to emphasize the need for building financial capability so that women are able to garner control over their own and familial resources, whether or not they participate in empowerment programs like microfinance, which in turn gives women voice and agency. Meanwhile, future researchers are well positioned to examine the kinds of specific skills that best predict increases in women's decision-making power in the household as well how gender dynamics play into the decision-making process.</t>
  </si>
  <si>
    <t>[Murshid, Nadine Shaanta] SUNY Buffalo, Sch Social Work, Buffalo, NY USA</t>
  </si>
  <si>
    <t>State University of New York (SUNY) System; University at Buffalo, SUNY</t>
  </si>
  <si>
    <t>Murshid, NS (corresponding author), SUNY Buffalo, 685 Baldy Hall, Buffalo, NY 14260 USA.</t>
  </si>
  <si>
    <t>0148-8376</t>
  </si>
  <si>
    <t>1540-7314</t>
  </si>
  <si>
    <t>J SOC SERV RES</t>
  </si>
  <si>
    <t>J. Soc. Serv. Res.</t>
  </si>
  <si>
    <t>10.1080/01488376.2018.1472170</t>
  </si>
  <si>
    <t>GR5PR</t>
  </si>
  <si>
    <t>WOS:000442689700004</t>
  </si>
  <si>
    <t>Chu, J</t>
  </si>
  <si>
    <t>Chu, Jing</t>
  </si>
  <si>
    <t>Monetary Statecraft and the Bahamian SandDollar</t>
  </si>
  <si>
    <t>SINGAPORE JOURNAL OF TROPICAL GEOGRAPHY</t>
  </si>
  <si>
    <t>CBDCs; monetary statecraft; financial inclusion; payment; infrastructure</t>
  </si>
  <si>
    <t>Central banks across the globe are currently engaged in an array of experimental projects with central bank digital currencies (CBDCs) that intervene in the digital transformation of payments. The Bahamas has been circulating the first-issued CBDC since 2020, Project SandDollar (PSD), to advance financial inclusion in the archipelagic state. Despite public messaging, however, whether the Bahamian CBDC would fulfil its goals remains debatable. Informed by primary data collected through 15 elite interviews and secondary data analysis, this paper hereby attempts to unpack the rationales behind the variegated issuance of CBDCs in the empirical case of the Bahamian PSD to analyse how the state could strategically mobilise it for its own purposes. Firstly, the research proposes theorising payment relations as an important dynamic of monetary statecraft, foregrounding how weaker states and central banks may intervene in payment relations in response to domestic and external pressures. Secondly, PSD demonstrates that the Bahamian domestic and international relations are rewired through the state-led digitalisation of payment relations and shifting relationships with public and private actors. Taken together, this paper contributes to the theoretical understanding of CBDCs from state and finance perspectives and to current debates on the global development of CBDCs.</t>
  </si>
  <si>
    <t>[Chu, Jing] Univ Durham, Dept Geog, Durham, England</t>
  </si>
  <si>
    <t>Chu, J (corresponding author), Univ Durham, Dept Geog, Durham, England.</t>
  </si>
  <si>
    <t>jing.chu@durham.ac.uk</t>
  </si>
  <si>
    <t>0129-7619</t>
  </si>
  <si>
    <t>1467-9493</t>
  </si>
  <si>
    <t>SINGAPORE J TROP GEO</t>
  </si>
  <si>
    <t>Singap. J. Trop. Geogr.</t>
  </si>
  <si>
    <t>10.1111/sjtg.70051</t>
  </si>
  <si>
    <t>T0599</t>
  </si>
  <si>
    <t>WOS:001637216500001</t>
  </si>
  <si>
    <t>Zhao, HD; Zhang, LN</t>
  </si>
  <si>
    <t>Zhao, Haidong; Zhang, Lini</t>
  </si>
  <si>
    <t>Financial literacy or investment experience: which is more influential in cryptocurrency investment?</t>
  </si>
  <si>
    <t>Cryptocurrency investment; Financial literacy; Investment experience; Social cognitive theory</t>
  </si>
  <si>
    <t>KNOWLEDGE; RISK; BITCOIN</t>
  </si>
  <si>
    <t>Purpose The purpose of this study was to investigate how financial literacy and investment experience impact cryptocurrency investment behavior and explore which factor is more influential in cryptocurrency investment. Design/methodology/approach Using a sample of US individual investors from the 2018 National Financial Capability Study Investor Survey, a three-step hierarchical logistic regression was conducted following a model-comparison approach. In addition, a mediation analysis was conducted using the Karlson-Holm-Breen (KHB) method to further explore the mediating effect of investment experience between financial literacy and cryptocurrency investment. Findings This study found that while both financial literacy and investment experience were positively associated with investing in cryptocurrencies, investment experience was more influential in cryptocurrency investment. The findings also demonstrated that investment experience, especially risky asset holding, had a significant mediating effect between subjective financial knowledge and cryptocurrency investment behavior. Practical implications The findings of this study offer insight to researchers by providing a deeper understanding of the determinants of cryptocurrency investment in the United States. This study also provides detailed implications for financial institutions, financial professionals and policymakers to guide rational cryptocurrency investment behavior. Originality/value This study is one of the initial attempts to explore the determinant factors in cryptocurrency investment, an area that has rarely been studied in the literature.</t>
  </si>
  <si>
    <t>[Zhao, Haidong] Shanghai Normal Univ, Sch Finance &amp; Business, Shanghai, Peoples R China; [Zhang, Lini] Shanghai Inst Technol, Sch Econom &amp; Management, Shanghai, Peoples R China</t>
  </si>
  <si>
    <t>Shanghai Normal University; Shanghai Institute of Technology</t>
  </si>
  <si>
    <t>Zhang, LN (corresponding author), Shanghai Inst Technol, Sch Econom &amp; Management, Shanghai, Peoples R China.</t>
  </si>
  <si>
    <t>zhao.haidong@outlook.com; zhang.lini@hotmail.com</t>
  </si>
  <si>
    <t>Zhang, Lini/ABG-2168-2021; Zhao, Haidong/O-4162-2018</t>
  </si>
  <si>
    <t>Zhang, Lini/0000-0003-4805-0069; Zhao, Haidong/0000-0002-7997-948X</t>
  </si>
  <si>
    <t>Shanghai Sailing Program [21YF1446700]</t>
  </si>
  <si>
    <t>Shanghai Sailing Program</t>
  </si>
  <si>
    <t>This work was supported by the Shanghai Sailing Program No. 21YF1446700.</t>
  </si>
  <si>
    <t>10.1108/IJBM-11-2020-0552</t>
  </si>
  <si>
    <t>WOS:000656783200001</t>
  </si>
  <si>
    <t>Iorember, PT; Hounkanrin, DO; Diyoke, K; Tang, CF</t>
  </si>
  <si>
    <t>Iorember, Paul Terhemba; Hounkanrin, Dian Oluwatobi; Diyoke, Kenneth; Tang, Chor Foon</t>
  </si>
  <si>
    <t>Tracing financial inclusion pathway to sustainable development: the criticality of population growth and energy intensity using a machine learning approach</t>
  </si>
  <si>
    <t>Financial inclusion; Population growth; Energy intensity; Sustainable development; Kernelized regularized least squares</t>
  </si>
  <si>
    <t>GOALS</t>
  </si>
  <si>
    <t>PurposeDespite the criticality of financial inclusion, population growth and energy intensity in shaping production and consumption, economic and environmental sustainability, less attention has been directed to their collective and integrating role as pathways to sustainable development. This study therefore examines the critical link between financial inclusion and sustainable development in Nigeria, taking into account the role of population growth and energy intensity.Design/methodology/approachThe study employs the Kernelized regularized least squares (KRLS) machine learning approach and Granger causality test to investigate the pathways of financial inclusion, population growth and energy intensity on sustainable development.FindingsFinancial inclusion path to sustainable development is not statistically significant. This is because the potential of financial inclusion are eclipsed by broader economic problems Population growth and energy intensity have significant dampening effects on sustainable development. These results have broad ramifications for environmental sustainability and macroeconomic strategies to Nigeria's quest for achieving sustainable development.Practical implicationsPolicies such as improvement of financial literacy and development of responsible financial behavior among the underserved populations can enhance the role of financial inclusion in sustainable development. Similarly, investment in education and human capital development, and adoption of renewable energy technologies can mitigate the effects of population growth and energy intensity.Originality/valueThe present study focuses on the pathway of financial inclusion to sustainable development, taking into account key variables of population growth and energy intensity.</t>
  </si>
  <si>
    <t>[Iorember, Paul Terhemba; Tang, Chor Foon] Univ Sains Malaysia, Ctr Policy Res, Minden, Malaysia; [Iorember, Paul Terhemba; Hounkanrin, Dian Oluwatobi; Diyoke, Kenneth] Nile Univ Nigeria, Dept Econ, Abuja, Nigeria</t>
  </si>
  <si>
    <t>Iorember, PT (corresponding author), Univ Sains Malaysia, Ctr Policy Res, Minden, Malaysia.</t>
  </si>
  <si>
    <t>piorember1990@gmail.com; dianhounkanrin@gmail.com; dkofirst@yahoo.com; tcfoon@usm.my</t>
  </si>
  <si>
    <t>Tang, Chor Foon/F-9289-2011; Terhemba Iorember, Paul/AAI-5890-2020</t>
  </si>
  <si>
    <t>Tang, Chor Foon/0000-0003-2242-9222; Terhemba Iorember, Paul/0000-0002-3092-2378</t>
  </si>
  <si>
    <t>2025 FEB 11</t>
  </si>
  <si>
    <t>10.1108/AJEMS-08-2024-0435</t>
  </si>
  <si>
    <t>W1D2S</t>
  </si>
  <si>
    <t>WOS:001416058900001</t>
  </si>
  <si>
    <t>Wirajing, MAK; Haruna, A; Nchofoung, TN</t>
  </si>
  <si>
    <t>Wirajing, Muhamadu Awal Kindzeka; Haruna, Ali; Nchofoung, Tii N.</t>
  </si>
  <si>
    <t>Financial inclusion and healthcare in Africa: Examining the moderating role of education</t>
  </si>
  <si>
    <t>Africa; education; financial inclusion; GMM; healthcare</t>
  </si>
  <si>
    <t>LIFE EXPECTANCY</t>
  </si>
  <si>
    <t>The 2023 Sustainable Development Goal Report reveals that Africa is still struggling in its pursuit to achieve universal healthcare coverage. However, financial risk protection and human capital development could come to the rescue by facilitating the attainment of quality healthcare services. This study examines the effect of financial inclusion on healthcare in Africa, spanning from 2000 to 2021. Healthcare is proxied by life expectancy at birth, the immunisation rate, and the lifetime risk of maternal death. Financial inclusion is approached through access and usage of financial services. After controlling for the problem of potential endogeneity through the system generalised method of moment (GMM), the findings reveal that financial inclusion enhances healthcare in Africa, signifying that financially included individuals have a higher conditional probability of spending more on improving their health relative to the financially excluded individuals. Moreover, the findings indicate that education and technology diffusion are imperative in the quest for enhancing healthcare in Africa. In addition, after testing for sensitivity analysis by adopting different indicators of healthcare, the results remain consistent throughout the study, confirming the role of financial inclusion in enhancing healthcare in Africa. After computing the marginal effects, the findings depict that education and financial inclusion interact to produce positive synergy effects, signifying that the positive role of financial inclusion and education in enhancing healthcare outweighs the negative conditional effect. The results recommend policymakers establish a framework that promotes financial literacy for the enhancement of healthcare in Africa.</t>
  </si>
  <si>
    <t>[Wirajing, Muhamadu Awal Kindzeka] Univ Dschang, Dept Econ Policy Anal, Dschang, Cameroon; [Haruna, Ali] Univ Dschang, Dept Econ policy Anal, Dschang, Cameroon; [Nchofoung, Tii N.] Univ Dschang, Res Lab Fundamental &amp; Appl Econ LAREFA, Dschang, Cameroon; [Nchofoung, Tii N.] Grp Rech Econ Appl &amp; Dev GREAD, Dschang, Cameroon; [Nchofoung, Tii N.] Minist Trade, Yaounde, Cameroon</t>
  </si>
  <si>
    <t>Wirajing, MAK (corresponding author), Univ Dschang, Dept Econ Policy Anal, Dschang, Cameroon.</t>
  </si>
  <si>
    <t>wirajingmuhamadu@gmail.com</t>
  </si>
  <si>
    <t>; Nchofoung, Tii/AAU-5995-2021; , Wirajing Muhamadu Awal Kindzeka/JLM-2631-2023</t>
  </si>
  <si>
    <t>Haruna, Ali/0000-0002-9891-3355; Nchofoung, Tii/0000-0003-2436-6659; , Wirajing Muhamadu Awal Kindzeka/0000-0001-6151-4417</t>
  </si>
  <si>
    <t>10.1111/rode.13043</t>
  </si>
  <si>
    <t>GC6O1</t>
  </si>
  <si>
    <t>WOS:001050281600001</t>
  </si>
  <si>
    <t>Nair, VP</t>
  </si>
  <si>
    <t>Nair, Vandana Prakash</t>
  </si>
  <si>
    <t>Eschewing Cash The Challenges of Cashless Transactions in the Philippines</t>
  </si>
  <si>
    <t>JOURNAL OF SOUTHEAST ASIAN ECONOMIES</t>
  </si>
  <si>
    <t>Cashless payments; financial inclusion; mobile banking; financial cards; the Philippines</t>
  </si>
  <si>
    <t>Over the last decade, the Philippine government and private sector have spearheaded several cashless initiatives in part to address the structural deficiencies of the country's economy, such as its poor financial inclusion levels and its heavy reliance on remittances. This paper will provide an assessment of the non-cash payment industry in the Philippines. It will argue that while structural challenges have spurred the country's most cutting-edge cashless initiatives, they have simultaneously impeded the full integration of cashless transactions into Philippine society. The Philippines will only achieve its goal to transition to a cash-lite country if the central bank, Bangko Sentral ng Pilipinas (BSP), and the private sector are able to coordinate efforts to address the financial system's limitations.</t>
  </si>
  <si>
    <t>[Nair, Vandana Prakash] ISEAS Yusof Ishak Inst, 30 Heng Mui Keng Terrace, Singapore 119614, Singapore</t>
  </si>
  <si>
    <t>Nair, VP (corresponding author), ISEAS Yusof Ishak Inst, 30 Heng Mui Keng Terrace, Singapore 119614, Singapore.</t>
  </si>
  <si>
    <t>vandana_nair@iseas.edu.sg</t>
  </si>
  <si>
    <t>INST SOUTHEAST ASIAN STUDIES-ISEAS</t>
  </si>
  <si>
    <t>PASIR PANJANG</t>
  </si>
  <si>
    <t>30 HENG MUI KING TERACE, PASIR PANJANG, 119614, SINGAPORE</t>
  </si>
  <si>
    <t>2339-5095</t>
  </si>
  <si>
    <t>2339-5206</t>
  </si>
  <si>
    <t>J SOUTHEAST ASIAN EC</t>
  </si>
  <si>
    <t>J. Southeast Asian Economies</t>
  </si>
  <si>
    <t>10.1355/ae33-3f</t>
  </si>
  <si>
    <t>FI9BQ</t>
  </si>
  <si>
    <t>WOS:000412298900006</t>
  </si>
  <si>
    <t>Kumar, D; Singh, R</t>
  </si>
  <si>
    <t>Kumar, Devendra; Singh, Rahul</t>
  </si>
  <si>
    <t>Identifying Effective Communication Channels for Financial Inclusion: Evidence from Self-funded Retirement Plans</t>
  </si>
  <si>
    <t>MARGIN-JOURNAL OF APPLIED ECONOMIC RESEARCH</t>
  </si>
  <si>
    <t>Retirement Planning; Self-funded Plan; Promotion Channels; Print Media; Digital Media</t>
  </si>
  <si>
    <t>PROPENSITY SCORE; LITERACY; MODEL</t>
  </si>
  <si>
    <t>This study empirically examines the relative effectiveness of print and digital media in promoting self-funded retirement plans as a pathway to financial inclusion in India. Using data from the NABARD All India Financial Inclusion Survey (NAFIS) 2016-2017, and applying propensity score matching to mitigate selection bias, we compare how exposure to print and digital media influences household participation in voluntary retirement schemes. The findings reveal that for every 1,000 households, approximately 4.5 households that accessed financial information through digital media subscribed to a self-funded retirement plan, compared to only 2.5 households reached through print media. Nearly 80 per cent of Indian households remain without any retirement plan, with substantial state-level disparities in subscription patterns. By clearly distinguishing between traditional and digital communication channels, this study advances understanding of how information delivery shapes financial behaviour. The findings contribute to the policy discourse on effective communication for financial inclusion, offering guidance for prioritising digital outreach in national financial literacy initiatives.JEL Codes: G53, D14, I38, O16, L82</t>
  </si>
  <si>
    <t>[Kumar, Devendra] British Int Univ, Res Ctr, Sch Humanities &amp; Social Sci, Erbil, Iraq; [Kumar, Devendra] IILM, New Delhi, India; [Singh, Rahul] IILM Univ, Gurugram, Haryana, India</t>
  </si>
  <si>
    <t>Kumar, D (corresponding author), British Int Univ, Res Ctr, Sch Humanities &amp; Social Sci, Erbil, Iraq.;Kumar, D (corresponding author), IILM, New Delhi, India.</t>
  </si>
  <si>
    <t>devendra.kumar@britishuniversity.krd</t>
  </si>
  <si>
    <t>0973-8010</t>
  </si>
  <si>
    <t>0973-8029</t>
  </si>
  <si>
    <t>MARGIN</t>
  </si>
  <si>
    <t>Margin</t>
  </si>
  <si>
    <t>10.1177/00252921251394817</t>
  </si>
  <si>
    <t>AD8QZ</t>
  </si>
  <si>
    <t>WOS:001626365200001</t>
  </si>
  <si>
    <t>Kear, M</t>
  </si>
  <si>
    <t>Kear, Mark</t>
  </si>
  <si>
    <t>Playing the credit score game: algorithms, positive' data and the personification of financial objects</t>
  </si>
  <si>
    <t>credit score; datafication; subject formation; algorithmic governance; financial inclusion</t>
  </si>
  <si>
    <t>CONSUMER-CREDIT; MARKETS; SPACE; DEBT; RISK; FAIR</t>
  </si>
  <si>
    <t>This paper is about how people are learning to make themselves up' in response to the market's new algorithmic ways of seeing. More specifically, it explores how the self-datafication of informal financial relations is being used to affect the calculation of credit score. I argue that credit score functions as a legal technology of arbitration beset with contradictions that are giving rise to inchoate struggles over the distribution of calculative agency in consumer credit markets. Drawing on an ethnographic case study of credit building peer lending circles', the paper explores how financially marginalized groups and financial inclusion advocates are reacting to the blind spots and biases of credit-scoring algorithms through compensatory and transgressive data-generation practices.</t>
  </si>
  <si>
    <t>[Kear, Mark] Univ Arizona, Sch Geog &amp; Dev, ENR2,Room S515,1064 E Lowell St,Box 210137, Tucson, AZ 85721 USA</t>
  </si>
  <si>
    <t>University of Arizona</t>
  </si>
  <si>
    <t>Kear, M (corresponding author), Univ Arizona, Sch Geog &amp; Dev, ENR2,Room S515,1064 E Lowell St,Box 210137, Tucson, AZ 85721 USA.</t>
  </si>
  <si>
    <t>mkear@email.arizona.edu</t>
  </si>
  <si>
    <t>Kear, Mark/0000-0003-3998-3481</t>
  </si>
  <si>
    <t>Social Sciences and Humanities Research Council of Canada [752-2011-2326]</t>
  </si>
  <si>
    <t>The article draws on PhD research supported by the Social Sciences and Humanities Research Council of Canada, award number 752-2011-2326.</t>
  </si>
  <si>
    <t>10.1080/03085147.2017.1412642</t>
  </si>
  <si>
    <t>WOS:000424166300003</t>
  </si>
  <si>
    <t>Cobovic, MV</t>
  </si>
  <si>
    <t>Simic, ML; Crnkovic, B</t>
  </si>
  <si>
    <t>Cobovic, Maja Vretenar</t>
  </si>
  <si>
    <t>FINANCIAL EDUCATION OF THE POPULATION - A KEY FACTOR FOR SUCCESSFUL PERSONAL FINANCE MANAGEMENT</t>
  </si>
  <si>
    <t>9TH INTERNATIONAL SCIENTIFIC SYMPOSIUM REGION ENTREPRENEURSHIP DEVELOPMENT (RED 2020)</t>
  </si>
  <si>
    <t>Medunarodni Znanstveni Simpozij Gospodarstvo Istocne Hrvatske-Jucer Danas Sutra</t>
  </si>
  <si>
    <t>9th International Scientific Symposium on Region Entrepreneurship Development (RED)</t>
  </si>
  <si>
    <t>JUN, 2020</t>
  </si>
  <si>
    <t>J J Strossmayer Univ Osijek,Fac Econ Osijek,Croatian Acad Arts &amp; Sci, Inst Sci &amp; Art Res Work,Univ Maribor, Fac Econ &amp; Business,Univ Tuzla, Fac Econ,Republ Croatia, Minist Sci &amp; Educ,Studio HS</t>
  </si>
  <si>
    <t>financial education; personal finance; financial management; Eastern Croatia</t>
  </si>
  <si>
    <t>By acquiring new knowledge and technologies on a daily basis, one of the key competences of each individual is the possession of knowledge and skills in the field of finance. Financial education is a set of knowledge in the field of finance that is necessary in making short-term and long-term financial decisions for the population. Adequate financial involvement of the population in the financial system as a basic starting point for social participation is gaining more importance. However, financial exclusion can be defined as the gap between the needs and the demand of certain social groups to offer basic financial services to credit institutions. It addresses the problem of individual participation in the financial sector through difficulties in obtaining and using financial services. The reasons for complete or increased financial exclusion of the population can be sought in their marginal participation in the financial system due to lack of personal income, insufficient knowledge of financial laws, poor education in the personal finance segment and individuals' attitudes towards personal finances. The aim of this paper is to research, collect and analyze relevant information on the financial potential of the population in Eastern Croatia, understanding their status in the financial system, and their relationship to personal finance, which substantially reflects the level of their financial education. Accordingly, the author presents the results of research related to financial education of the population and its impact on the management of personal finances using the survey method, comparative, analytical and synthetic method. The expected result of the research will be reflected in the segment of establishing the correlation between financial education and the management of personal finances of the population in the territory of Eastern Croatia for individual variables from the questionnaire.</t>
  </si>
  <si>
    <t>[Cobovic, Maja Vretenar] Coll Slavonski Brod, Slavonski Brod, Croatia</t>
  </si>
  <si>
    <t>Cobovic, MV (corresponding author), Coll Slavonski Brod, Slavonski Brod, Croatia.</t>
  </si>
  <si>
    <t>Maja.VretenarCobovic@vusb.hr</t>
  </si>
  <si>
    <t>Cobović, Maja/AAB-6210-2020</t>
  </si>
  <si>
    <t>1848-9559</t>
  </si>
  <si>
    <t>MEDUNAR ZNAN SIMP GO</t>
  </si>
  <si>
    <t>Business; Economics; Hospitality, Leisure, Sport &amp; Tourism</t>
  </si>
  <si>
    <t>BS5EP</t>
  </si>
  <si>
    <t>WOS:000728402200104</t>
  </si>
  <si>
    <t>Journey of financial inclusion: a systematic literature review and conceptual framework for future research</t>
  </si>
  <si>
    <t>Financial inclusion; Financial literacy; Systematic literature review; Financial self-efficacy; Conceptual framework</t>
  </si>
  <si>
    <t>ECONOMIC-GROWTH EVIDENCE; SELF-EFFICACY; DETERMINANTS; IMPACT; POLICY; INCOME; NEXUS; INDIA</t>
  </si>
  <si>
    <t>PurposeThis article provides a systematic literature review on financial inclusion, offering a comprehensive overview of research publications. It also develops a conceptual framework to outline future research objectives, enhancing understanding and identifying key areas for further investigation. Design/methodology/approachThe data extraction concentrates on facts and figures about financial inclusion from 2005 to 2024. Using the Preferred Reporting Items for Systematic Reviews and Meta-Analyses (PRISMA), the study reviews and synthesizes insights from 115 pertinent articles published in 77 high-ranked journals, indexed across three academic databases: Scopus, Web of Science (WoS) and the Australian Business Deans Council (ABDC). FindingsPrevious research on financial inclusion demonstrates that out of 115 articles, 50 were published between 2020 and 2024 and 43 between 2015 and 2019. This indicates the increasing trend of research on financial inclusion. Another interesting point is that researchers mostly use regression techniques to analyze the relationship between variables. Notably, reviewing the selected literature is valuable for researchers and practitioners interested in financial inclusion. It synthesizes the existing knowledge on the topic, identifies research gaps and suggests a conceptual framework to direct future studies. Originality/valueThis unique study contributes original value to the financial inclusion literature through a systematic literature review. By synthesizing existing knowledge and identifying research gaps, it presents a novel framework that offers new perspectives and highlights areas for future research, advancing the understanding of financial inclusion.</t>
  </si>
  <si>
    <t>[Kumar, Jitender; Ahuja, Anjali] Deenbandhu Chhotu Ram Univ Sci &amp; Technol, Dept Management Studies, Murthal, India</t>
  </si>
  <si>
    <t>Ahuja, A (corresponding author), Deenbandhu Chhotu Ram Univ Sci &amp; Technol, Dept Management Studies, Murthal, India.</t>
  </si>
  <si>
    <t>Kumar, Dr. Jitender/AHD-2062-2022</t>
  </si>
  <si>
    <t>10.1108/APJBA-12-2023-0619</t>
  </si>
  <si>
    <t>2RF4Y</t>
  </si>
  <si>
    <t>WOS:001331593000001</t>
  </si>
  <si>
    <t>Pinto, PD; Ortuño-Pérez, S; Garcés, DM; Centeno, VA</t>
  </si>
  <si>
    <t>Pinto, Pablo Davila; Ortuno-Perez, Sigfredo; Garces, Diego Mantilla; Centeno, Victor Albuja</t>
  </si>
  <si>
    <t>The Role of Solidarity Finance in Sustainable Local Development in Ecuador</t>
  </si>
  <si>
    <t>associativity; self-management; autonomy; solidarity; sustainability; inclusive finance</t>
  </si>
  <si>
    <t>This study explores the role of solidarity finance in promoting local development and the empowerment of marginalized communities through financial inclusion and access to community credits. It focuses on how solidarity-based financial mechanisms provide accessible credit with fewer barriers, fostering productive activities and economic resilience. This study employed a quantitative and exploratory design, analyzing data from 51 community funds in Ecuador out of a total of 220 through a self-administered online survey, validated by auditing professionals and answered by community representatives. The 25-item questionnaire gathered data on organizational dynamics, financial practices, and perceptions of sustainability. Descriptive analysis was complemented with an analysis of variance to test hypotheses concerning associativity, self-management, and organizational performance. The results show that while associativity, self-management, and organizational management are perceived as institutional strengths, aspects such as autonomy and solidarity received lower evaluations, suggesting critical areas for strategic improvement. Notably, significant differences emerged between self-management-organization and solidarity-organization groups, emphasizing the importance of associativity (collaboration) in enhancing the sustainability of solidarity finance, which proves to be a vital mechanism for community empowerment and local development; however, its long-term sustainability depends on strengthening internal dimensions, particularly autonomy and solidarity, and reinforcing associativity as a core driver of organizational resilience.</t>
  </si>
  <si>
    <t>[Pinto, Pablo Davila] Tech Univ Madrid, ETSI Forestry &amp; Nat Environm, Madrid 28040, Spain; [Pinto, Pablo Davila; Garces, Diego Mantilla; Centeno, Victor Albuja] Cent Univ Ecuador, Fac Adm Sci, Quito 170521, Ecuador; [Ortuno-Perez, Sigfredo] Tech Univ Madrid, Univ Dept Environm Forestry Engn &amp; Management, Univ Res Inst Ctr IDI Biodivers Conservat &amp; Sustai, Madrid 28040, Spain</t>
  </si>
  <si>
    <t>Universidad Politecnica de Madrid; Universidad Central del Ecuador; Universidad Politecnica de Madrid</t>
  </si>
  <si>
    <t>Pinto, PD (corresponding author), Tech Univ Madrid, ETSI Forestry &amp; Nat Environm, Madrid 28040, Spain.;Pinto, PD (corresponding author), Cent Univ Ecuador, Fac Adm Sci, Quito 170521, Ecuador.</t>
  </si>
  <si>
    <t>pgdavila@uce.edu.ec; sigfredo.ortuno@upm.es; dmmantilla@uce.edu.ec; valbuja@uce.edu.ec</t>
  </si>
  <si>
    <t>ortuño, sigfredo/AAA-4763-2019</t>
  </si>
  <si>
    <t>Mantilla, Diego/0000-0002-4826-9784</t>
  </si>
  <si>
    <t>10.3390/economies13080227</t>
  </si>
  <si>
    <t>6NG8X</t>
  </si>
  <si>
    <t>WOS:001557414400001</t>
  </si>
  <si>
    <t>Tomaselli, MF; Timko, J; Kozak, R</t>
  </si>
  <si>
    <t>Tomaselli, Maria Fernanda; Timko, Joleen; Kozak, Robert</t>
  </si>
  <si>
    <t>Assessing Small and Medium Forest Enterprises' Access to Microfinance: Case Studies from The Gambia</t>
  </si>
  <si>
    <t>DYNAMICS</t>
  </si>
  <si>
    <t>Small and medium forest enterprises (SMFEs) are commonplace in many developing economies. SMFEs often face several challenges, with access to finance frequently being cited as a key hurdle. This study aimed to evaluate the access that SMFEs in The Gambia have to microfinance, and to determine strategies for improving the delivery of these services. Data show that most SMFEs have decent access to deposit accounts, but limited access to credit. While cooperative credit unions and other non-financial institutions have been providing microloans to SMFEs, access to such financial services could be improved. Six strategies to do so are proposed.</t>
  </si>
  <si>
    <t>[Tomaselli, Maria Fernanda; Timko, Joleen; Kozak, Robert] Univ British Columbia, Fac Forestry, Vancouver, BC V6T 1Z4, Canada</t>
  </si>
  <si>
    <t>University of British Columbia</t>
  </si>
  <si>
    <t>Tomaselli, MF (corresponding author), Univ British Columbia, Fac Forestry, 2424 Main Mall, Vancouver, BC V6T 1Z4, Canada.</t>
  </si>
  <si>
    <t>fertomaselli@hotmail.com</t>
  </si>
  <si>
    <t>Timko, Joleen/0000-0001-5316-8323</t>
  </si>
  <si>
    <t>10.1080/00220388.2012.740018</t>
  </si>
  <si>
    <t>085SM</t>
  </si>
  <si>
    <t>WOS:000314634600002</t>
  </si>
  <si>
    <t>Pacheco, MAD; Arias, EL; Torres, J</t>
  </si>
  <si>
    <t>Pacheco, Mario Alberto de la Puente; Arias, Elkyn Lugo; Torres, Jose</t>
  </si>
  <si>
    <t>Optimizing capital allocation in microfinance projects: an experimental case study in Barranquilla, Colombia</t>
  </si>
  <si>
    <t>Optimization framework; microfinance performance; experimental design; statistical analysis; poverty alleviation; Economics; Business; Management and Accounting; Industry &amp; Industrial Studies</t>
  </si>
  <si>
    <t>PERFORMANCE; EFFICIENCY</t>
  </si>
  <si>
    <t>This research examines the development and evaluation of an optimization framework for the strategic deployment of financial resources in microfinance initiatives in Barranquilla, Colombia. The framework incorporates an array of variables, including market dynamics, institutional elements, project attributes, and firm-specific factors, to optimize project outcomes and long-term viability. With approximately 3,500 microfinance projects currently operating in the country, Colombia has a thriving microfinance sector that plays a crucial role in promoting financial inclusion and economic development. To ensure a representative sample for this study, 21 microfinance projects were selected using stratified sampling based on key characteristics such as sector, size, and years of operation. The optimization framework developed in this study incorporates an array of variables, including market dynamics, institutional elements, project attributes, and firm-specific factors, to optimize project outcomes and long-term viability. Comprehensive statistical techniques, such as factor analysis, principal component analysis, ANOVA, and t-tests, demonstrate substantial enhancements in critical performance indicators when the optimization framework is implemented. The experimental group, employing the framework, displays superior investment returns, reduced loan defaults, expanded beneficiary reach, and amplified employment generation compared to the control group utilizing conventional allocation strategies. These outcomes corroborate prior studies emphasizing the merits of data-driven methodologies for financial resource allocation in microfinance. The research contributes to the comprehension of effective capital deployment in microfinance initiatives and offers institutions a practical instrument to boost performance, attain financial sustainability, and support poverty reduction and economic growth. The findings have implications for microfinance organizations, policymakers, and academics, underscoring the significance of incorporating a comprehensive set of variables and integrating social capital considerations into microfinance approaches. Subsequent research can expand upon these discoveries to further investigate the efficiency of capital allocation and develop innovative strategies to strengthen microfinance programs. IMPACT STATEMENT This study demonstrates the significant impact of an innovative optimization model on improving the performance of microfinance projects in Barranquilla, Colombia. Microfinance projects utilizing the optimization framework showed higher returns on investment, lower default rates, increased beneficiary outreach, and greater job creation compared to those using traditional allocation methods. These findings underscore the potential of data-driven approaches to optimize resource allocation in microfinance, offering a valuable tool for practitioners to enhance both financial sustainability and social impact. The study's results have important implications for policymakers and microfinance institutions, highlighting the need for supportive environments that facilitate the adoption of such optimization models. This research contributes to the growing body of evidence on effective strategies for enhancing microfinance performance, with potential applications beyond Colombia to other developing countries facing similar challenges in financial inclusion and poverty alleviation.</t>
  </si>
  <si>
    <t>[Pacheco, Mario Alberto de la Puente] Univ Norte, Dept Polit Sci &amp; Int Relat, Barranquilla, Colombia; [Arias, Elkyn Lugo] Corp Univ Minuto Dios, UNIMINUTO, Dept Business Management, Barranquilla, Colombia; [Torres, Jose] Univ Sucre, Sucre, Colombia</t>
  </si>
  <si>
    <t>Universidad del Norte Colombia; Corporacion Universitaria Minuto de Dios (UNIMINUTO)</t>
  </si>
  <si>
    <t>Pacheco, MAD (corresponding author), Univ Norte, Dept Polit Sci &amp; Int Relat, Barranquilla, Colombia.</t>
  </si>
  <si>
    <t>mdelapuente@uninorte.edu.co</t>
  </si>
  <si>
    <t>Pacheco, F.A.L./H-6400-2013</t>
  </si>
  <si>
    <t>Lugo, Elkyn/0000-0002-7049-4451</t>
  </si>
  <si>
    <t>Estrategias y Datos S.A.S</t>
  </si>
  <si>
    <t>The authors would like to express their sincere gratitude to the participating microfinance institutions in Barranquilla, Colombia, for their valuable contributions and willingness to engage in this research. Their insights, experiences, and data have been crucial in developing and testing the optimization model, ultimately leading to the significant findings presented in this study. The authors also extend their appreciation to the academic community and reviewers for their feedback and suggestions, which have helped to refine and strengthen this study.</t>
  </si>
  <si>
    <t>10.1080/23322039.2024.2391937</t>
  </si>
  <si>
    <t>D6R2Y</t>
  </si>
  <si>
    <t>WOS:001297431300001</t>
  </si>
  <si>
    <t>Kangwa, D; Mwale, JT; Shaikh, JM</t>
  </si>
  <si>
    <t>Kangwa, Diana; Mwale, Joseph Thokozani; Shaikh, Junaid M.</t>
  </si>
  <si>
    <t>The Social Production of Financial Inclusion of Generation Z in Digital Banking Ecosystems</t>
  </si>
  <si>
    <t>Financial inclusion; Generation Z; Social production of space; Digital banking ecosystem</t>
  </si>
  <si>
    <t>Digital finance is an emerging frontier of financial sector development in the contemporary 21st century. In spite of the known benefits of digital finance, there is a widely held view that digital financial services have not adequately permeated vast segments of society given the disparities in the availability of finance, its accessibility, and use. Therefore, the evolution of financial technologies along with digital consumer behaviourism in the present age presents scope for remodelling conventional financial business models to particularly enhance the financial inclusion of Generation Z. This generation presumably has a unique mental construct of digital financial inclusion on account of its financial needs and circumstances, and its intrinsic digital consumer behaviourism. Therefore, this article espouses the Lefebvrean Social Production of Space as a novel theoretical lens through which financial inclusion of Generation Z could be better conceptualised to provide predictive insight for the future development of inclusive digital banking ecosystems. To this end, the article demonstrates, under the Zambian context in sub-Saharan Africa, that Generation Z has the propensity and competence to use digital technologies, but its adoptive response to digital finance is shaped by the perception that conventional banking and finance is highly exclusive. This suggests that the conventional banking ecosystem operates along a continuum between social equity and financial sustainability, posing a conceptual challenge of designing financial business models that are equitable without undermining the sustainability of the ecosystem. It is hereby recommended that for a digital banking ecosystem to be authentically inclusive of Generation Z there must be participatory accountability that considers and embraces the generation's bidding strategies for financial inclusion, and further facilitates empowerment of this clientele based on the co-evolutionary dynamics of financial technology and digital consumer behaviourism.(4)</t>
  </si>
  <si>
    <t>[Kangwa, Diana] Binary Univ Management &amp; Entreprenuership, Puchong, Selangor, Malaysia; [Mwale, Joseph Thokozani] Mulungushi Univ, Kabwe, Zambia; [Shaikh, Junaid M.] Univ Technol Brunei, UTB Sch Business, Bandar Seri Begawan, Brunei</t>
  </si>
  <si>
    <t>Kangwa, D (corresponding author), Binary Univ Management &amp; Entreprenuership, Puchong, Selangor, Malaysia.</t>
  </si>
  <si>
    <t>TU9LO</t>
  </si>
  <si>
    <t>WOS:000681351200005</t>
  </si>
  <si>
    <t>Marron, D</t>
  </si>
  <si>
    <t>Marron, Donncha</t>
  </si>
  <si>
    <t>Informed, educated and more confident: financial capability and the problematization of personal finance consumption</t>
  </si>
  <si>
    <t>financial capability; financial education; governmentality; financial services; consumption; youth work</t>
  </si>
  <si>
    <t>NEW-LABOR; GOVERNMENTALITY; DISCOURSES; LITERACY; POWER; RISK</t>
  </si>
  <si>
    <t>The focus of this paper is the concept of financial capability that has developed within Britain over the last 10 years as a means of problematizing personal finance consumption. It critically examines how authorities have come to delineate the problem of financial capability and how this has been located by them within a wider trajectory of social change and complexity. This is followed by an attempt that explain this emergent concern by positing it as a form of advanced liberal governmentality, while also seeking to trace the contributory role of economic ideas through the concept of virtualism. The paper then seeks to address the particular modality through which financial capability has become a known, measured and assessable attribute of individuals and populations. After outlining the government's National Strategy for Financial Capability, we examine one case study programme within the context of youth work.</t>
  </si>
  <si>
    <t>Robert Gordon Univ, Sch Appl Social Studies, Aberdeen AB9 1FR, Scotland</t>
  </si>
  <si>
    <t>Robert Gordon University</t>
  </si>
  <si>
    <t>Marron, D (corresponding author), Robert Gordon Univ, Sch Appl Social Studies, Aberdeen AB9 1FR, Scotland.</t>
  </si>
  <si>
    <t>d.s.marron@rgu.ac.uk</t>
  </si>
  <si>
    <t>10.1080/10253866.2013.849590</t>
  </si>
  <si>
    <t>AM8DO</t>
  </si>
  <si>
    <t>WOS:000340101000006</t>
  </si>
  <si>
    <t>Bhatt, A; Bhatt, S</t>
  </si>
  <si>
    <t>Bhatt, Amola; Bhatt, Shahir</t>
  </si>
  <si>
    <t>Microfinance Institutions: Do they Empower Women? A Case Study of Light Microfinance Pvt. Ltd.</t>
  </si>
  <si>
    <t>Microfinance; Impact study; Women Empowerment; NBFC</t>
  </si>
  <si>
    <t>Microfinance as an activity involves giving small loans to poor but economically active people, so as to bring them within the scope of financial inclusion. Microfinance is a celebrated tool of poverty alleviation but practitioners also believe that it can uplift the status of women in the society, since women are the primary target audience of micro-finance operations. The current case study highlights the working and activities of Light Microfinance Pvt. Ltd., a microfinance institution based in Ahmedabad district of Gujarat state in India. The institution was interested in finding the impact of its operations and for this purpose, fifty clients were interviewed. It was found that the loans helped increase the incomes of the women members, which gave them a sense of self-worth and confidence. Moreover, the group formations increased their unity and they were confident of solving any developmental issues in their village. However, when it came to taking independent decisions of big ticket items, or playing a greater role in decision-making processes at home, there was almost no change in the role of these women even after availing microfinance.</t>
  </si>
  <si>
    <t>[Bhatt, Amola; Bhatt, Shahir] Nirma Univ, Inst Management, Ahmadabad, Gujarat, India</t>
  </si>
  <si>
    <t>Bhatt, A (corresponding author), Nirma Univ, Inst Management, Ahmadabad, Gujarat, India.</t>
  </si>
  <si>
    <t>amola@nirmauni.ac.in; shahir@nirmauni.ac.in</t>
  </si>
  <si>
    <t>Bhatt, Shahir/HJY-4872-2023; Bhatt, Amola/HJY-4706-2023</t>
  </si>
  <si>
    <t>NARSEE MONJEE INST MANAGEMENT STUDIES</t>
  </si>
  <si>
    <t>MUMBAI</t>
  </si>
  <si>
    <t>V L MEHTA RD, VILE PARLE WEST, MUMBAI, 400056, INDIA</t>
  </si>
  <si>
    <t>VF3TS</t>
  </si>
  <si>
    <t>WOS:000442726700005</t>
  </si>
  <si>
    <t>Burlando, A; Kuhn, MA; Prina, S</t>
  </si>
  <si>
    <t>Burlando, Alfredo; Kuhn, Michael A.; Prina, Silvia</t>
  </si>
  <si>
    <t>Too fast, too furious? Digital credit delivery speed and repayment rates</t>
  </si>
  <si>
    <t>Digital credit; Waiting periods; Defaults; Financial access</t>
  </si>
  <si>
    <t>REGRESSION-DISCONTINUITY; INTRAHOUSEHOLD; ALLOCATION; RESOURCES; EFFICIENT; BIASES; COSTS; MODEL</t>
  </si>
  <si>
    <t>Digital loans area source of fast, short-term credit for millions of people. While digital credit broadens market access and reduces frictions, default rates are high. We study the role of the speed of delivery of digital loans on repayment. Our study uses unique administrative data from a digital lender in Mexico and a regression- discontinuity design. We show that reducing loan speed by doubling the delivery time from ten to twenty hours decreases the likelihood of default by 21%. A number of the plausible mechanisms could explain these results. The one that best support our data is that following an unexpected delay, borrowers switch their preferred use of loans in away that improves the chances of repayment. Our findings suggest that waiting periods used to selectively slow down credit could improve lender profitability and help consumers avoid default.</t>
  </si>
  <si>
    <t>[Burlando, Alfredo; Kuhn, Michael A.] Univ Oregon, Eugene, OR USA; [Burlando, Alfredo; Kuhn, Michael A.] CEGA, Berkeley, CA USA; [Burlando, Alfredo; Prina, Silvia] J PAL, Cambridge, MA USA; [Burlando, Alfredo; Kuhn, Michael A.] 1285 Univ Oregon, Dept Econ, Eugene, OR 97403 USA; [Prina, Silvia] Northeastern Univ, Boston, MA USA; [Prina, Silvia] IZA, Bonn, Germany; [Prina, Silvia] Dept Econ, 310A Lake Hall,360 Huntington Ave, Boston, MA 02115 USA</t>
  </si>
  <si>
    <t>University of Oregon; University of Oregon; Northeastern University; IZA Institute Labor Economics</t>
  </si>
  <si>
    <t>Prina, S (corresponding author), Dept Econ, 310A Lake Hall,360 Huntington Ave, Boston, MA 02115 USA.</t>
  </si>
  <si>
    <t>burlando@uoregon.edu; mkuhn@uoregon.edu; s.prina@northeastern.edu</t>
  </si>
  <si>
    <t>Burlando, Alfredo/L-2770-2013</t>
  </si>
  <si>
    <t>Burlando, Alfredo/0000-0002-6904-1842; Kuhn, Michael/0000-0001-9850-1273</t>
  </si>
  <si>
    <t>Digital Credit Observatory/Bill and Melinda Gates Foundation [00009744]</t>
  </si>
  <si>
    <t>Digital Credit Observatory/Bill and Melinda Gates Foundation</t>
  </si>
  <si>
    <t>star We are grateful to Carlos Chiapa, Bilge Erten, Benjamin Hansen, Glen Waddell, Dilip Mookherjee, Tavneet Suri, Bob Triest, Judy Chevalier, Kevin Lang, Diego Ubfal, Prashant Bharadwaj, David Freeman Niels Hermes and seminar participants at ASSA, Bocconi University, CEGA, DCO, NEUDC, Simon Fraser University and the University of Padua for helpful comments. We thank our digital lender partner for providing us with the data and answering our many questions. The authors thank the Digital Credit Observatory/Bill and Melinda Gates Foundation grant #00009744 for generous research support. Any errors are our own. The dataset analyzed in the current study is not publicly available because it is proprietary to our lender partner, but is available from the corresponding author on reasonable request. All code is available on request. *</t>
  </si>
  <si>
    <t>10.1016/j.jdeveco.2024.103427</t>
  </si>
  <si>
    <t>R3X3F</t>
  </si>
  <si>
    <t>WOS:001390813300001</t>
  </si>
  <si>
    <t>Boermans, MA; Willebrands, D</t>
  </si>
  <si>
    <t>Boermans, Martijn A.; Willebrands, Daan</t>
  </si>
  <si>
    <t>FINANCIAL CONSTRAINTS MATTER: EMPIRICAL EVIDENCE ON BORROWING BEHAVIOR, MICROFINANCE AND FIRM PRODUCTIVITY</t>
  </si>
  <si>
    <t>Entrepreneurship; credit constraints; access to finance; firm performance; Africa; Tanzania</t>
  </si>
  <si>
    <t>CREDIT CONSTRAINTS; SMALL ENTERPRISES; ENTREPRENEURSHIP; PERFORMANCE; PROFITS; GROWTH; ACCESS; IMPACT</t>
  </si>
  <si>
    <t>This paper examines the effect of financial constraints on firm performance using a sample of small business owners who are clients at a microfinance institution (MFI). In developing countries, a lack of access to finance is seen as a key obstacle to successful entrepreneurship and economic growth. However, empirical evidence on this is still fragmented and sparse. This study contributes to the literature by applying an alternative measure of financial constraints based on actual lending and borrowing behavior to test how borrowing affects firm productivity. We use survey data of 615 entrepreneurs from Tanzania to analyze the relationship between financial constraints and labor productivity. Using OLS regression and propensity score matching techniques the results show that financial constraints impede labor productivity and are important barriers to successful entrepreneurship. Further tests suggest financial constraints matter regardless of the measurement method used, thereby comforting researchers in a fragmented field that applies a wide range of financial constraints variables.</t>
  </si>
  <si>
    <t>[Boermans, Martijn A.] DNB, Res Dept, POB 98,Westeinde 1, NL-1000 AB Amsterdam, Netherlands; [Boermans, Martijn A.] Univ Utrecht, Sch Econ, Adam Smith Hall,Int Campus Utrecht,Kriekenpitpl 2, NL-3508 TC Utrecht, Netherlands; [Willebrands, Daan] Lage Landen, Vestdijk 51, NL-5611 CA Eindhoven, Netherlands</t>
  </si>
  <si>
    <t>Boermans, MA (corresponding author), DNB, Res Dept, POB 98,Westeinde 1, NL-1000 AB Amsterdam, Netherlands.;Boermans, MA (corresponding author), Univ Utrecht, Sch Econ, Adam Smith Hall,Int Campus Utrecht,Kriekenpitpl 2, NL-3508 TC Utrecht, Netherlands.</t>
  </si>
  <si>
    <t>m.a.boermans@dnb.nl</t>
  </si>
  <si>
    <t>Boermans, Martijn/LFS-5110-2024</t>
  </si>
  <si>
    <t>Boermans, Martijn/0000-0002-7809-1868</t>
  </si>
  <si>
    <t>10.1142/S1084946718500085</t>
  </si>
  <si>
    <t>GP4IE</t>
  </si>
  <si>
    <t>WOS:000440823700002</t>
  </si>
  <si>
    <t>Naseef, M; Rafi, M; Prasad, S</t>
  </si>
  <si>
    <t>Naseef, Mohemmad; Rafi, Muhammed; Prasad, Salu</t>
  </si>
  <si>
    <t>Financial inclusion, women empowerment and the role of active banking behaviour</t>
  </si>
  <si>
    <t>India; Financial inclusion; Empowerment; Banking</t>
  </si>
  <si>
    <t>PROPENSITY SCORE; INCOME INEQUALITY; COLLECTIVE ACTION; MATCHING METHODS; CREDIT PROGRAMS; GENDER; MICROFINANCE; POVERTY; POOR; HOUSEHOLDS</t>
  </si>
  <si>
    <t>PurposeFinancial inclusion is widely promoted as a tool for empowering women, yet its actual effectiveness in achieving this goal remains unclear. This study addresses this critical gap by investigating whether increased access to financial services translates into genuine financial empowerment for women.Design/methodology/approachThe study employs nationally representative survey data from India, covering over 23,700 women. Statistical analyses such as ordinary least squares regression, coarsened exact matching, propensity score matching, instrumental variable regression and mediation analysis were conducted to assess the relationship between financial inclusion and women's financial empowerment.FindingsThe results indicate that financial inclusion significantly enhances the financial empowerment status of women. This empowerment manifests in various dimensions, including enhancement in resource endowments and financial agency reflecting the transformative potential of financial inclusion initiatives. The results also imply that the relationship between women's financial inclusion and financial empowerment is partially mediated by active banking behaviour.Practical implicationsThe findings underscore the importance of fostering financial inclusion to empower women economically, offering policymakers actionable insights to design gender-sensitive financial policies and programs.Social implicationsImproved financial inclusion among women can drive broader societal benefits, including greater gender equity and enhanced economic development. It highlights the role of financial inclusion as a tool for social transformation in developing countries.Originality/valueThis study contributes original empirical evidence to the discourse on financial inclusion and women's financial empowerment in developing countries, providing a robust basis for informed policy formulation.</t>
  </si>
  <si>
    <t>[Naseef, Mohemmad; Prasad, Salu] Manipal Acad Higher Educ, T A Pai Management Inst, Manipal, India; [Rafi, Muhammed] Duxford Int Business Sch, Malappuram, India</t>
  </si>
  <si>
    <t>Rafi, M (corresponding author), Duxford Int Business Sch, Malappuram, India.</t>
  </si>
  <si>
    <t>mohemmad.naseef@manipal.edu; rafi@dibs.edu.in; salu.prasad@manipal.edu</t>
  </si>
  <si>
    <t>RAFI, MUHAMMED/0000-0002-2493-3521</t>
  </si>
  <si>
    <t>10.1108/IJSSP-02-2025-0104</t>
  </si>
  <si>
    <t>4MD4P</t>
  </si>
  <si>
    <t>WOS:001509703000001</t>
  </si>
  <si>
    <t>Smith, MD; Wesselbaum, D</t>
  </si>
  <si>
    <t>Smith, Michael D.; Wesselbaum, Dennis</t>
  </si>
  <si>
    <t>Financial inclusion and international migration in low- and middle-income countries</t>
  </si>
  <si>
    <t>Financial inclusion; Financial access; Emigration</t>
  </si>
  <si>
    <t>CHAIN MIGRATION; SOCIAL NETWORKS; BRAIN-DRAIN; REMITTANCES; INTENTIONS; SELECTION; DETERMINANTS; INSURANCE; MIGRANTS; CREDIT</t>
  </si>
  <si>
    <t>Research has insufficiently addressed the role of financial inclusion in migration decisions. Financial inclusion empowers people and provides the means to improve their own lives. We explore this relationship using data from the 2014 and 2017 waves of the Gallup World Poll Survey, which includes the first global measure of individual-level financial inclusion. Using a series of binary-choice models with sample selection, we find that financial inclusion meaningfully affects both intentions to migrate and preparations to do so. The likelihood of migration intentions and preparations increase with having an account, access to a debit card and the ability to make internet payments and to send and receive remittances. Saving for educational purposes, the ability to take out a loan, and savings via a savings club are also critical factors in converting migration intentions to preparations. Results show heterogeneous effects across rural and urban locations. Our findings imply that financial inclusion increases respondents' ability to finance and save for migration costs and may increase their ability to utilize social networks for migration purposes. This has potentially important policy implications for policymakers seeking to achieve the Sustainable Development Goals, specifically targets 1.4, 8.10, and 10.7.</t>
  </si>
  <si>
    <t>[Smith, Michael D.] NOAA, Econ &amp; Social Sci Res, Alaska Fisheries Sci Ctr, 7600 Sand Point Way NE, Seattle, WA 98115 USA; [Wesselbaum, Dennis] Univ Otago, Dept Econ, POB 56, Dunedin 9054, New Zealand</t>
  </si>
  <si>
    <t>National Oceanic Atmospheric Admin (NOAA) - USA; University of Otago</t>
  </si>
  <si>
    <t>Smith, MD (corresponding author), NOAA, Econ &amp; Social Sci Res, Alaska Fisheries Sci Ctr, 7600 Sand Point Way NE, Seattle, WA 98115 USA.</t>
  </si>
  <si>
    <t>michael.d.smith@noaa.gov; dennis.wesselbaum@otago.ac.nz</t>
  </si>
  <si>
    <t>Smith, Michael/0000-0001-9709-4485</t>
  </si>
  <si>
    <t>10.1007/s00181-022-02331-4</t>
  </si>
  <si>
    <t>M8YH6</t>
  </si>
  <si>
    <t>WOS:000881744300002</t>
  </si>
  <si>
    <t>Sundarasen, S; Rajagopalan, U; Ibrahim, I</t>
  </si>
  <si>
    <t>Sundarasen, Sheela; Rajagopalan, Usha; Ibrahim, Izani</t>
  </si>
  <si>
    <t>Money Matters: A Contemporary Review of Young Adults' Financial Behavior</t>
  </si>
  <si>
    <t>SOCIETIES</t>
  </si>
  <si>
    <t>financial behavior; young adults; socialization agents; financial capability; financial literacy</t>
  </si>
  <si>
    <t>ROMANTIC PARTNER; SELF-EFFICACY; SOCIALIZATION; LITERACY; KNOWLEDGE; CAPABILITY; EDUCATION</t>
  </si>
  <si>
    <t>This study intends to examine the intellectual discussion on the financial behavior of young adults between the ages of 18 and 29. Research on the financial behavior of this demographic group is critical as they are transitioning from parental guidance to independently managing their finances. Vosviewer and Biblioshiny R-package were used to examine a total of 364 peer-reviewed articles from 1993 to March 2025. The results of the study underwrote three dominant themes: (1) Red Cluster-Financial literacy, Financial Capability, and Financial Behavior among Young Adults; (2) Green Cluster-Psychosocial, Demographic (gender), and Financial Behavior among Young Adults; and (3) Blue Cluster-Socialization and Financial Behavior among Young Adults. The outcome of this study provides valuable insights to all stakeholders, i.e., parents, educational institutions, employers, and regulatory bodies, in terms of the importance of the financial behavior of young adults and thus the design of appropriate intervention strategies and tools that stakeholders could use at every stage of an individual's life to ensure proper financial management and well-being, ultimately contributing to a sustainable economy.</t>
  </si>
  <si>
    <t>[Sundarasen, Sheela; Rajagopalan, Usha] Prince Sultan Univ, Dept Accounting, Riyadh 12435, Saudi Arabia; [Ibrahim, Izani] Prince Sultan Univ, Coll Business Adm, Riyadh 12435, Saudi Arabia</t>
  </si>
  <si>
    <t>Prince Sultan University; Prince Sultan University</t>
  </si>
  <si>
    <t>Sundarasen, S (corresponding author), Prince Sultan Univ, Dept Accounting, Riyadh 12435, Saudi Arabia.</t>
  </si>
  <si>
    <t>ssundarasen@psu.edu.sa; urajagopalan@psu.edu.sa; profizani@psu.edu.sa</t>
  </si>
  <si>
    <t>D.Sundarasen, Sheela/C-1541-2015</t>
  </si>
  <si>
    <t>Prince Sultan University(Prince Sultan University)</t>
  </si>
  <si>
    <t>The authors thank Prince Sultan University for the financial support.</t>
  </si>
  <si>
    <t>2075-4698</t>
  </si>
  <si>
    <t>Societies</t>
  </si>
  <si>
    <t>10.3390/soc15110304</t>
  </si>
  <si>
    <t>G2456</t>
  </si>
  <si>
    <t>WOS:001624349100001</t>
  </si>
  <si>
    <t>Ruiz-Palomo, D; Galache-Laza, MT; Cisneros-Ruiz, AJ; García-Lopera, F</t>
  </si>
  <si>
    <t>Ruiz-Palomo, Daniel; Galache-Laza, M. Teresa; Cisneros-Ruiz, Ana Jose; Garcia-Lopera, Francisca</t>
  </si>
  <si>
    <t>Financial knowledge of pre-university students: Effects of age and gender</t>
  </si>
  <si>
    <t>Financial literacy; Financial knowledge; Age; Gender; Pre-university students</t>
  </si>
  <si>
    <t>Financial education is a constant social concern since it is essential to improve the well-being of individuals and society in general. Wrong financial decisions can have serious consequences that lead to serious economic and even social problems. Therefore, an adequate financial base is necessary and must be instilled from an early age. This work aims to identify the potential effects of two demographic variables, age and gender, on acquiring financial knowledge, delving into the potential moderating interrelationships between them. Applying a set of multi-level (mixed-effects) regression models to a sample of 9917 pre-university students from 175 high schools in Andalusia, our results show that: age and gender are significantly related to the acquisition of financial knowledge of pre-university students. Moreover, gender plays a moderating role in the relationship between age and the acquisition of financial knowledge of pre-university students. This study has practical implications for teachers, students, heads of educational centres and those responsible for educational plans because this paper's results help to better understand the key factors of financial education at a pre-college stage as it identifies significant differences in both age and gender. Policymakers responsible for educational plans are provided with the necessary evidence to propose adapting specific actions to the different student profiles. By doing so, they may design measures to make citizens' financial inclusion possible, resulting in greater welfare for society.</t>
  </si>
  <si>
    <t>[Ruiz-Palomo, Daniel; Galache-Laza, M. Teresa; Cisneros-Ruiz, Ana Jose] Univ Malaga, Dept Finance &amp; Accounting, Malaga, Spain; [Garcia-Lopera, Francisca] Univ Malaga, Dept Appl Econ Math, Malaga, Spain</t>
  </si>
  <si>
    <t>Universidad de Malaga; Universidad de Malaga</t>
  </si>
  <si>
    <t>Galache-Laza, MT (corresponding author), Univ Malaga, Dept Finance &amp; Accounting, Malaga, Spain.</t>
  </si>
  <si>
    <t>drp@uma.es; mtgalache@uma.es; ajcisneros@uma.es; fg_lopera@uma.es</t>
  </si>
  <si>
    <t>Ruiz Palomo, Daniel/C-1549-2019; LAZA, GALACHE/JKH-6601-2023</t>
  </si>
  <si>
    <t>University of Malaga</t>
  </si>
  <si>
    <t>EDUFINET provided the data free of charge. The University of Malaga funded the article processing charges (APC) and the publication fees.</t>
  </si>
  <si>
    <t>e15440</t>
  </si>
  <si>
    <t>10.1016/j.heliyon.2023.e15440</t>
  </si>
  <si>
    <t>I0ML4</t>
  </si>
  <si>
    <t>WOS:000999801000001</t>
  </si>
  <si>
    <t>Valdebenito-Niesel, J; Pardo, JSD</t>
  </si>
  <si>
    <t>Valdebenito-Niesel, Jorge; Dote Pardo, Jairo Stefano</t>
  </si>
  <si>
    <t>Mental health and financial behavior: there are a link between these two spheres?</t>
  </si>
  <si>
    <t>MENTAL HEALTH AND SOCIAL INCLUSION</t>
  </si>
  <si>
    <t>Compulsive buying; Mental health; Financial behavior; Mental health disorders; Financial anxiety; Emotional spending</t>
  </si>
  <si>
    <t>LITERACY; ANXIETY; SCIENCE</t>
  </si>
  <si>
    <t>Purpose-The purpose of this study systematically reviews the growing body of interdisciplinary literature exploring the link between mental health (MH) and financial behavior (FB). It seeks to clarify how financial literacy, financial capability and economic behaviors influence various forms of anxiety and psychological distress across different demographic and cultural contexts. Design/methodology/approach-Using the Web of Science database, a systematic search was conducted combining keywords related to MH and FB. A total of 14 peer-reviewed journal articles published up to 2024 were included. Bibliometric and thematic analyses were carried out using VOSviewer, Excel and Bibliometrix in RStudio to identify conceptual clusters and research trends. Findings-The review highlights both individual-level mechanisms and structural determinants in the MH-FB nexus. It proposes a multidimensional framework for future research and practical policy development, underscoring the need to incorporate financial education into public health, education and social inclusion agendas as a strategy to foster both economic empowerment and mental resilience. Originality/value-This review is among the first to integrate multidisciplinary evidence on the MH-FB nexus, highlighting both individual-level mechanisms and structural determinants. It proposes a multidimensional framework for future research and practical policy development. The findings underscore the need to incorporate financial education into public health, education and social inclusion agendas as a strategy to foster both economic empowerment and mental resilience.</t>
  </si>
  <si>
    <t>[Valdebenito-Niesel, Jorge; Dote Pardo, Jairo Stefano] Catholic Univ Temuco, Fac Law Econ &amp; Adm Sci, Dept Econ &amp; Adm Sci, Temuco, Chile</t>
  </si>
  <si>
    <t>Universidad Catolica de Temuco</t>
  </si>
  <si>
    <t>Pardo, JSD (corresponding author), Catholic Univ Temuco, Fac Law Econ &amp; Adm Sci, Dept Econ &amp; Adm Sci, Temuco, Chile.</t>
  </si>
  <si>
    <t>jvaldebenito2020@alu.uct.cl; jairo.dote@uct.cl</t>
  </si>
  <si>
    <t>2042-8316</t>
  </si>
  <si>
    <t>2042-8308</t>
  </si>
  <si>
    <t>MENT HEALTH SOC INCL</t>
  </si>
  <si>
    <t>Ment. Health Soc. Incl.</t>
  </si>
  <si>
    <t>2025 OCT 13</t>
  </si>
  <si>
    <t>10.1108/MHSI-09-2025-0248</t>
  </si>
  <si>
    <t>8LF7Z</t>
  </si>
  <si>
    <t>WOS:001591333500001</t>
  </si>
  <si>
    <t>Drori, I; Manos, R; Santacreu-Vasut, E; Shoham, A</t>
  </si>
  <si>
    <t>Drori, Israel; Manos, Ronny; Santacreu-Vasut, Estefania; Shoham, Amir</t>
  </si>
  <si>
    <t>How does the global microfinance industry determine its targeting strategy across cultures with differing gender values?</t>
  </si>
  <si>
    <t>JOURNAL OF WORLD BUSINESS</t>
  </si>
  <si>
    <t>Culture; Gender-targeting strategy; Gender-discrimination; Gender marking in language; The global microfinance industry</t>
  </si>
  <si>
    <t>COMMERCIAL MICROFINANCE; FINANCIAL INCLUSION; WOMEN EVIDENCE; LANGUAGE; INSTITUTIONS; PERFORMANCE; INEQUALITY; IMPACT; CREDIT; ENTREPRENEURSHIP</t>
  </si>
  <si>
    <t>In this paper we empirically investigate the role of culture in determining the gender-targeting strategy of microfinance institutions (MFIs). We use female/male grammatical distinctions in language as the manifestation of culturally-inherited gender values. Our findings indicate that grammatical gender distinctions have a significant effect on the targeting strategy of MFIs. Specifically, MFIs target women in cultures where they are most likely to experience financial discrimination. This suggests that MFIs adapt to disparate discriminatory cultures in a way that serves their core mission of outreaching financially-excluded women, particularly where such strategy is most needed.</t>
  </si>
  <si>
    <t>[Drori, Israel] Free Univ Amsterdam, Dept Org Sci, Amsterdam, Netherlands; [Manos, Ronny] Coll Management Acad Studies, Sch Business, Rishon Leziyyon, Israel; [Santacreu-Vasut, Estefania] ESSEC Business Sch, Cergy, France; [Santacreu-Vasut, Estefania] THEMA, Paris, France; [Shoham, Amir] Temple Univ, Fox Sch Business, Philadelphia, PA 19122 USA</t>
  </si>
  <si>
    <t>Vrije Universiteit Amsterdam; College of Management Academic Studies; ESSEC Business School; Pennsylvania Commonwealth System of Higher Education (PCSHE); Temple University</t>
  </si>
  <si>
    <t>Shoham, A (corresponding author), Temple Univ, Fox Sch Business, Philadelphia, PA 19122 USA.</t>
  </si>
  <si>
    <t>i.drori@vu.nl; rmanos@colman.ac.il; santacreuvasut@essec.edu; tud20698@temple.edu</t>
  </si>
  <si>
    <t>1090-9516</t>
  </si>
  <si>
    <t>1878-5573</t>
  </si>
  <si>
    <t>J WORLD BUS</t>
  </si>
  <si>
    <t>J. World Bus.</t>
  </si>
  <si>
    <t>10.1016/j.jwb.2019.02.004</t>
  </si>
  <si>
    <t>MS8PF</t>
  </si>
  <si>
    <t>WOS:000554535000003</t>
  </si>
  <si>
    <t>Núñez-Letamendia, L; Sánchez-Ruiz, P; Silva, AC</t>
  </si>
  <si>
    <t>Nunez-Letamendia, Laura; Sanchez-Ruiz, Patricia; Silva, Ana C.</t>
  </si>
  <si>
    <t>More Than Knowledge: Consumer Financial Capability and Saving Behavior</t>
  </si>
  <si>
    <t>consumer finance; financial capability; financial knowledge; financial literacy; financial self-confidence; household finance; savings behavior; theory of planned behavior</t>
  </si>
  <si>
    <t>RISK TOLERANCE; LITERACY; EDUCATION; WEALTH; TRUST</t>
  </si>
  <si>
    <t>This paper explores the association between financial capability, defined broadly through different constituents, and households' savings behavior. Using a survey conducted to a sample of 1501 consumers, the results, correcting for endogeneity, indicate that in order to explain savings behavior: (i) knowledge about investment products (funds, stocks, bonds, etc.) is more important than knowledge about concepts of an economic-financial nature (simple and compound interest rate, inflation, and diversification); (2) self-confidence in financial knowledge is more relevant than actual financial knowledge; (3) budgeting skills are strongly relevant; and (4) some of the elements proposed by the Theory of Planned Behavior, in particular control or self-efficacy, are valid predictors of savings behavior. In sum, a broad conception of financial capability, beyond financial knowledge, is needed to understand savings behavior. Our study has implications for policy decision makers, consumers, and educational and financial institutions and sheds light on future lines of research.</t>
  </si>
  <si>
    <t>[Nunez-Letamendia, Laura] IE Univ, Madrid, Spain; [Nunez-Letamendia, Laura; Sanchez-Ruiz, Patricia] IE Fdn, Madrid, Spain; [Silva, Ana C.] Merrimack Coll, N Andover, MA USA</t>
  </si>
  <si>
    <t>IE University; Merrimack College</t>
  </si>
  <si>
    <t>Núñez-Letamendia, L (corresponding author), IE Univ, Madrid, Spain.;Núñez-Letamendia, L (corresponding author), IE Fdn, Madrid, Spain.</t>
  </si>
  <si>
    <t>laura.nunez@ie.edu</t>
  </si>
  <si>
    <t>Núñez Letamendía, Laura/IVU-9691-2023</t>
  </si>
  <si>
    <t>Núñez Letamendía, Laura/0000-0001-8213-7630</t>
  </si>
  <si>
    <t>NTT Data</t>
  </si>
  <si>
    <t>We sincerely appreciate the valuable feedback and insights provided by the three anonymous reviewers and the editor. Undoubtedly, the revisions have substantially improved and strengthened the manuscript.</t>
  </si>
  <si>
    <t>e13097</t>
  </si>
  <si>
    <t>10.1111/ijcs.13097</t>
  </si>
  <si>
    <t>O5T7S</t>
  </si>
  <si>
    <t>WOS:001371753400001</t>
  </si>
  <si>
    <t>Sabri, MF; Dass, TM; Burhan, NAS; Rahim, HA; Wahab, A; Wijekoon, R; Simanjuntak, M</t>
  </si>
  <si>
    <t>Sabri, Mohamad Fazli; Dass, Thinagaran Moga; Burhan, Nik Ahmad Sufian; Rahim, Husniyah Abdul; Wahab, Abdul; Wijekoon, Rusitha; Simanjuntak, Megawati</t>
  </si>
  <si>
    <t>DETERMINANTS OF LIFE SATISFACTION AMONG FEMALE-HEADED HOUSEHOLDS IN MALAYSIA</t>
  </si>
  <si>
    <t>Financial Capability; Financial Vulnerability; Life Satisfaction; Locus of Control; Religiosity</t>
  </si>
  <si>
    <t>QUALITY-OF-LIFE; FINANCIAL LITERACY; PREDICTORS; RELIGIOSITY; SINGLE; LOCUS; MANAGEMENT; ATTITUDE; MOTHERS; STRAIN</t>
  </si>
  <si>
    <t>Female-headed households in Malaysia have been a financially vulnerable community in the society where their life satisfaction becomes a question. Therefore, this study aims to determine the factors affecting life satisfaction among female-headed households in Malaysia. A total of 527 respondents who are single, divorced, separated or widowed women, with children in the home including those on public assistance participated in this study which adapted a multi-stage sampling method using self-administered questionnaire. The results show that locus of control, religiosity, financial capability, and financial vulnerability have positive significant relationships with life satisfaction. The multiple regressions show that locus of control, religiosity, financial capability, and financial vulnerability are significant determinants of life satisfaction among female-headed household in Malaysia. More knowledge, and enhancement through financial workshops could be helpful to empower female-headed household on the use of modern financial instruments. Hence, able to increase financial capability and reduce financial vulnerability of female-headed households in Malaysia towards a better life satisfaction.</t>
  </si>
  <si>
    <t>[Sabri, Mohamad Fazli; Dass, Thinagaran Moga; Burhan, Nik Ahmad Sufian; Rahim, Husniyah Abdul; Wahab, Abdul; Wijekoon, Rusitha] Univ Putra Malaysia, Serdang 43400, Malaysia; [Simanjuntak, Megawati] Bogor Agr Univ, Bogor, Indonesia</t>
  </si>
  <si>
    <t>Universiti Putra Malaysia; Bogor Agricultural University</t>
  </si>
  <si>
    <t>Sabri, MF (corresponding author), Univ Putra Malaysia, Inst Social Sci Studies, Upm Serdang 43400, Selangor, Malaysia.;Sabri, MF (corresponding author), Univ Putra Malaysia, Fac Human Ecol, Serdang, Malaysia.</t>
  </si>
  <si>
    <t>fazli@upm.edu.my</t>
  </si>
  <si>
    <t>Burhan, Nik Ahmad Sufian/N-5766-2018; Sabri, Mohamad Fazli/D-3861-2019; Wijekoon, Rusitha/AAS-3165-2021; Simanjuntak, Megawati/AGV-8697-2022</t>
  </si>
  <si>
    <t>Burhan, Nik Ahmad Sufian/0000-0003-1666-8673; Sabri, Mohamad Fazli/0000-0001-6229-7151; Simanjuntak, Megawati/0000-0003-1300-0280</t>
  </si>
  <si>
    <t>10.33736/ijbs.3175.2021</t>
  </si>
  <si>
    <t>UB0KQ</t>
  </si>
  <si>
    <t>WOS:000685542400016</t>
  </si>
  <si>
    <t>Duvendack, M; Palmer-Jones, R</t>
  </si>
  <si>
    <t>Duvendack, Maren; Palmer-Jones, Richard</t>
  </si>
  <si>
    <t>Colonial Legacies, Ethnicity and Fertility Decline in Kenya: What has Financial Inclusion Got to Do with It?</t>
  </si>
  <si>
    <t>Fertility; Financial inclusion; Colonial legacies; Ethnicity; Kenya</t>
  </si>
  <si>
    <t>WOMENS EMPOWERMENT; MATERNAL HEALTH; POLITICS; AFRICA; IMPACT; POLICY; GROWTH; MICROFINANCE; TRANSITIONS; BANGLADESH</t>
  </si>
  <si>
    <t>Kenya has seen unprecedented declines in fertility from the late 1970s, which stalled during the decade from the mid-1990s, only to resume in the early 2000s when Kenya experienced rapid growth in financial inclusion. In this paper, we do not intend to make causal explanations of these phenomena; instead, we explore what may be sensible to adduce from relationships between fertility and financial inclusion. The Kenyan context presents some unique challenges to establish such connections; regional geographic and ethnic differences, spatial and temporal uneven economic growth, diverse legacies of colonialism, all of which may have affected how fertility trends and financial inclusion activities played out. We find that while modernisation variables such as urbanisation, education, wealth and employment are convincingly related to lower fertility levels, there is little plausible evidence of a role for financial inclusion. More plausible explanations may be found in the country's colonial history, ethnic identities and post-independence politics.</t>
  </si>
  <si>
    <t>[Duvendack, Maren; Palmer-Jones, Richard] Univ East Anglia, Sch Int Dev, Norwich NR4 7TJ, Norfolk, England</t>
  </si>
  <si>
    <t>Duvendack, M (corresponding author), Univ East Anglia, Sch Int Dev, Norwich NR4 7TJ, Norfolk, England.</t>
  </si>
  <si>
    <t>m.duvendack@uea.ac.uk; r.palmer-jones@uea.ac.uk</t>
  </si>
  <si>
    <t>UK Economic and Social Research Council (ESRC); UK Department for International Development (DFID) [ES/N013344/2]; Economic and Social Research Council [ES/N013344/2] Funding Source: researchfish</t>
  </si>
  <si>
    <t>UK Economic and Social Research Council (ESRC)(UK Research &amp; Innovation (UKRI)Economic &amp; Social Research Council (ESRC)); UK Department for International Development (DFID); Economic and Social Research Council(UK Research &amp; Innovation (UKRI)Economic &amp; Social Research Council (ESRC))</t>
  </si>
  <si>
    <t>We acknowledge, without implication, funding by the UK Economic and Social Research Council (ESRC) and the UK Department for International Development (DFID) under a research grant, ESRC Reference: ES/N013344/2, on 'Delivering inclusive financial development and growth'.</t>
  </si>
  <si>
    <t>10.1057/s41287-022-00557-7</t>
  </si>
  <si>
    <t>T8XV8</t>
  </si>
  <si>
    <t>WOS:000828454700001</t>
  </si>
  <si>
    <t>Khan, HH; Qureshi, F; Jamali, D</t>
  </si>
  <si>
    <t>Khan, Habib Hussain; Qureshi, Fiza; Jamali, Dima</t>
  </si>
  <si>
    <t>Digital disruption in financing: Are fintech and bigtech credit reshaping corporate access to capital?</t>
  </si>
  <si>
    <t>Fintech Credit; Bigtech Credit; Total Alternative Credit; Financial Constraints; Conventional Financial Sector</t>
  </si>
  <si>
    <t>BANK MARKET POWER; COMPETITION ALLEVIATE; MONETARY-POLICY; AGENCY COSTS; ECONOMIC-GROWTH; PANEL-DATA; INVESTMENT; CONSTRAINTS; FIRM; INNOVATION</t>
  </si>
  <si>
    <t>This study examines the role of fintech and bigtech credit, collectively referred to as alternative digital credit, in alleviating corporate financing constraints across 70 countries from 2013 to 2019. The findings indicate that alternative digital credit alleviates financing constraints by reducing investment-to-cash flow sensitivity, particularly in developing countries. This effect is more pronounced in financially developed markets with strong institutional frameworks but less competitive banking sectors. The advantages of alternative digital credit are particularly notable for small, young, and manufacturing firms. Firms engaged in international trade and those owned by foreign investors face fewer constraints due to their inherent advantages. Consistency checks using alternative measures of financing constraints reaffirm these findings. The analysis of transmission channels further highlights that the entry of fintech and bigtech firms weakens banks' market power, encouraging greater competition in the banking sector and ultimately lowering firms' financing constraints. These insights highlight the transformative potential of alternative digital credit in promoting financial inclusion and propose targeted policies to enhance its adoption globally.</t>
  </si>
  <si>
    <t>[Khan, Habib Hussain] Univ Hail, Coll Business Adm, Dept Econ &amp; Finance, Hail, Saudi Arabia; [Qureshi, Fiza] RMIT Univ Vietnam, Business Sch, Saigon South Campus, Ho Chi Minh City, Vietnam; [Jamali, Dima] Canadian Univ, VP Acad Affairs, Dubai, U Arab Emirates</t>
  </si>
  <si>
    <t>University Ha'il; Royal Melbourne Institute of Technology (RMIT); Canadian University Dubai</t>
  </si>
  <si>
    <t>Khan, HH (corresponding author), Univ Hail, Coll Business Adm, Dept Econ &amp; Finance, Hail, Saudi Arabia.</t>
  </si>
  <si>
    <t>habib.suduzai@gmail.com; fiza.qureshi@rmit.edu.vn; dima.jamali@cud.ac.ae</t>
  </si>
  <si>
    <t>Qureshi, Fiza/J-5409-2019; Hussain Khan, Habib/AET-0812-2022</t>
  </si>
  <si>
    <t>Qureshi, Fiza/0000-0002-3730-6084; Hussain Khan, Habib/0000-0002-9407-9797</t>
  </si>
  <si>
    <t>10.1016/j.intfin.2025.102198</t>
  </si>
  <si>
    <t>4TA1R</t>
  </si>
  <si>
    <t>WOS:001525970900003</t>
  </si>
  <si>
    <t>Sharma, P; Vashishtha, S</t>
  </si>
  <si>
    <t>Sharma, Pooja; Vashishtha, Sangeet</t>
  </si>
  <si>
    <t>Digital literacy and financial inclusion in virtual economies: Analyzing the role of education in shaping attitudes toward cryptocurrencies</t>
  </si>
  <si>
    <t>Digital literacy; financial inclusion; cryptocurrency; virtual economies; blockchain</t>
  </si>
  <si>
    <t>The development of cryptocurrencies has altered traditional economic institutions and financial inclusion. This study investigates the complicated relationships between education, digital literacy, cryptocurrency views, and financial inclusion in virtual economies, addressing a key gap in comprehending the disruptive dynamics of emerging financial technologies. Undergraduate, postgraduate, and PhD students from private universities in Delhi NCR were polled using a standardized questionnaire with a 5-point Likert scale. According to the study, higher education boosts digital literacy, cryptocurrency opinions and financial inclusion. Although education is critical for financial inclusion, the link between positive attitudes about cryptocurrencies and financial inclusion remains uncertain. As virtual currencies expand, these results urge policymakers and educators to concentrate on digital literacy and positive attitudes in order to promote inclusive financial ecosystems.</t>
  </si>
  <si>
    <t>[Sharma, Pooja; Vashishtha, Sangeet] IIMT Univ Meerut, Sch Commerce &amp; Management, Meerut, Uttar Pradesh, India</t>
  </si>
  <si>
    <t>Vashishtha, S (corresponding author), IIMT Univ Meerut, Sch Commerce &amp; Management, Meerut, Uttar Pradesh, India.</t>
  </si>
  <si>
    <t>sangeet83@gmail.com</t>
  </si>
  <si>
    <t>Vashishtha, Sangeet/0000-0003-4102-495X</t>
  </si>
  <si>
    <t>10.1142/S2424786324420015</t>
  </si>
  <si>
    <t>Q6S7G</t>
  </si>
  <si>
    <t>WOS:001248268400001</t>
  </si>
  <si>
    <t>Hartarska, V; Zhang, JF; Nadolnyak, D</t>
  </si>
  <si>
    <t>Hartarska, Valentina; Zhang, Jingfang; Nadolnyak, Denis</t>
  </si>
  <si>
    <t>Financial inclusion through specialization or diversification with group and individual loans in microfinance</t>
  </si>
  <si>
    <t>Outreach; Economies of diversification; Microfinance; Group loans; Individual loans; Excessive extrapolation; Q14; G21; G15</t>
  </si>
  <si>
    <t>REPAYMENT INCENTIVES; SCOPE ECONOMIES; INSTITUTIONS; SCALE; PERFORMANCE; DECLINE; MATTER</t>
  </si>
  <si>
    <t>The poorest clients of microfinance institutions (MFIs) use more group loans than individual loans, yet fewer group loans are available, possibly because of their higher cost. We evaluate whether MFIs that offer both group and individual loans benefited from this diversification relative to specializing in only one loan type. We estimate separate economies of diversification and their changes over time for credit-only and credit-plus-deposit MFIs with panel data from 101 countries for the period 2008 to 2018. To accommodate the small number of MFIs specializing in group loans, we apply an estimation method that resolves the excessive extrapolation challenge. The results indicate that over a quarter of credit-only MFIs have on average 10% lower costs from diversification, while the majority of credit-plus-deposit MFIs are better off specializing. Since policymakers tend to support the credit-plus-deposit for-profit business model, awareness of the cost implications is essential as it may limit the financial inclusion of the poorest users of group loans.</t>
  </si>
  <si>
    <t>[Hartarska, Valentina; Nadolnyak, Denis] Auburn Univ, Dept Agr Econ &amp; Rural Sociol, 210 Comer Hall, Auburn, AL 36849 USA; [Zhang, Jingfang] Alcorn State Univ, Dept Agr Econ, 1000 ASU Dr, Lorman, MS 39096 USA</t>
  </si>
  <si>
    <t>Auburn University System; Auburn University; Alcorn State University</t>
  </si>
  <si>
    <t>Nadolnyak, D (corresponding author), Auburn Univ, Dept Agr Econ &amp; Rural Sociol, 210 Comer Hall, Auburn, AL 36849 USA.</t>
  </si>
  <si>
    <t>hartarska@auburn.edu; jzhang@alcorn.edu; nadolda@auburn.edu</t>
  </si>
  <si>
    <t>; Zhang, Jingfang/OKS-3417-2025</t>
  </si>
  <si>
    <t>Nadolnyak, Denis/0000-0003-0961-8141;</t>
  </si>
  <si>
    <t>Alabama Agricultural Experiment Station</t>
  </si>
  <si>
    <t>This article was Funded by Alabama Agricultural Experiment Station.</t>
  </si>
  <si>
    <t>10.1007/s00181-025-02714-3</t>
  </si>
  <si>
    <t>4BZ2H</t>
  </si>
  <si>
    <t>WOS:001415257900001</t>
  </si>
  <si>
    <t>Naz, M; Iftikhar, SF; Fatima, A</t>
  </si>
  <si>
    <t>Naz, Mariam; Iftikhar, Syed Faizan; Fatima, Ambreen</t>
  </si>
  <si>
    <t>Does financial inclusiveness matter for the formal financial inflows? Evidence from Pakistan</t>
  </si>
  <si>
    <t>financial inclusion; remittances; household dynamics; Heckman Selection Model</t>
  </si>
  <si>
    <t>The remittance inflows are the major source of financial transfers received by households to maintain their livelihood. However, the formal inflows can play an immense role in improving the indigenous economy by affecting household welfare, these flows further strengthen the economy at micro and macro levels. Previously, various studies found a determinant relationship between supply-side factors and financial inclusion. Whereas, this paper emphasizes a sweltering issue of formal financial inflows in Pakistan especially focusing on the demand side factors on the household level. The analysis uses Heckman Selection Technique to assess the demand for formal financial inclusion which can only be realized for the households receiving remittances, where the determinants for both depend upon the distinctive demographic, individuals and household characteristics. The study appraises household survey data from the Household Integrated Economic Survey (HIES) for the period 2013-2014. The results demonstrate the strong effects of households' demand-side factors on financial inclusion. The demographic features such as education and the highest earner's age are found to have a positive and significant impact on financial inclusion. Whereas, the household characteristics such as household living conditions, asset accumulation, household savings, and borrowings also strongly affect the formal financial inclusive decision. It is therefore suggested to employ a comprehensive policy regarding the enhancement of households' awareness by the spread of formal and financial literacy.</t>
  </si>
  <si>
    <t>[Naz, Mariam; Iftikhar, Syed Faizan; Fatima, Ambreen] Univ Karachi, Appl Econ Res Ctr, Karachi, Pakistan</t>
  </si>
  <si>
    <t>Iftikhar, SF (corresponding author), Univ Karachi, Appl Econ Res Ctr, Karachi, Pakistan.</t>
  </si>
  <si>
    <t>faizanburney@aerc.edu.pk</t>
  </si>
  <si>
    <t>Iftikhar, Syed/A-7975-2014; Fatima, Ambreen/P-5503-2019</t>
  </si>
  <si>
    <t>PO BOX 2604, SPRINGFIELD, MO 65801-2604 USA</t>
  </si>
  <si>
    <t>10.3934/QFE.2020002</t>
  </si>
  <si>
    <t>LD0XZ</t>
  </si>
  <si>
    <t>WOS:000525758100002</t>
  </si>
  <si>
    <t>Wang, YR; Kim, DK; Jeong, D</t>
  </si>
  <si>
    <t>Wang, Yiran; Kim, Dae-Kyoo; Jeong, Dongwon</t>
  </si>
  <si>
    <t>A Survey of the Application of Blockchain in Multiple Fields of Financial Services</t>
  </si>
  <si>
    <t>JOURNAL OF INFORMATION PROCESSING SYSTEMS</t>
  </si>
  <si>
    <t>Blockchain; Consensus Mechanism; Financial Service; Fintech; Smart Contract</t>
  </si>
  <si>
    <t>CONTRACTS</t>
  </si>
  <si>
    <t>The core value of finance is credit. It can be said that without credit, there can be no finance. The distributed structure of the blockchain and the low-cost trust-building mechanism based on mathematical algorithms provide a new solution and path for solving and optimizing related problems in the financial field. The blockchain technology is applied in the development of the financial industry through consensus mechanisms, smart contracts, and distributed networks. In this research, a comprehensive survey of the blockchain technology is proposed in the development of financial services including equity crowdfunding and credit investigations in inclusive finance, cross-border remittance, Internet financial payment, P2P lending, supply chains finance, and the application of blockchain in the field of anti-money laundering. This paper discusses the role of blockchain in solutions to different issues in the financial field. It also discusses the architectures in different financial service application scenarios from the perspective of the financial trust mechanism and the perspective of the technology and rule change of blockchain participation in financial innovation. Finally, the problems and challenges of blockchain in financial services are discussed, and corresponding solutions are proposed.</t>
  </si>
  <si>
    <t>[Wang, Yiran; Jeong, Dongwon] Kunsan Natl Univ, Dept Software Convergence Engn, Gunsan, South Korea; [Kim, Dae-Kyoo] Oakland Univ, Dept Comp Sci &amp; Engn, Rochester, MI 48063 USA</t>
  </si>
  <si>
    <t>Kunsan National University; Oakland University</t>
  </si>
  <si>
    <t>Jeong, D (corresponding author), Kunsan Natl Univ, Dept Software Convergence Engn, Gunsan, South Korea.</t>
  </si>
  <si>
    <t>56043829@qq.com; kim2@oakland.edu; djeong@kunsan.ac.kr</t>
  </si>
  <si>
    <t>Kim, Daekyoo/HGE-1133-2022</t>
  </si>
  <si>
    <t>Ministry of Education of the Republic of Korea [2019R1I1A3A01060826]</t>
  </si>
  <si>
    <t>Ministry of Education of the Republic of Korea(Ministry of Education (MOE), Republic of Korea)</t>
  </si>
  <si>
    <t>This work was supported by the Ministry of Education of the Republic of Korea (No. 2019R1I1A3A01060826).</t>
  </si>
  <si>
    <t>KOREA INFORMATION PROCESSING SOC</t>
  </si>
  <si>
    <t>1002HO YONGSUNGBIZTEL 314-1 2GA HANKANGRO YONGSAN-GU, SEOUL, 140-750, SOUTH KOREA</t>
  </si>
  <si>
    <t>1976-913X</t>
  </si>
  <si>
    <t>2092-805X</t>
  </si>
  <si>
    <t>J INF PROCESS SYST</t>
  </si>
  <si>
    <t>J. Inf. Process. Syst.</t>
  </si>
  <si>
    <t>10.3745/JIPS.04.0185</t>
  </si>
  <si>
    <t>OE1UX</t>
  </si>
  <si>
    <t>WOS:000580325500016</t>
  </si>
  <si>
    <t>Sela, VM; Gonzalez, L; Christopoulos, TP</t>
  </si>
  <si>
    <t>Sela, Vilma Meurer; Gonzalez, Lauro; Christopoulos, Tania P.</t>
  </si>
  <si>
    <t>Construction of the financial inclusion agenda in light of the actor network theory</t>
  </si>
  <si>
    <t>agenda-setting; financial inclusion; actors; financial inclusion agenda</t>
  </si>
  <si>
    <t>OVER-INDEBTEDNESS; MICROFINANCE</t>
  </si>
  <si>
    <t>This article adopts the perspective of the actor-network theory to understand the role of the actors in the process of social construction of the financial inclusion agenda, considering that agenda-setting can be seen as a continuous process of associations that involves different mediators. Data were collected through semi-structured interviews with representatives of the institutions involved in the process of agenda-setting examined, as well as from documentary sources. The dynamics of the process of developing the financial inclusion agenda were analyzed considering the four moments (problematization, interessement, enrolment, and mobilization) presented in the relevant literature. The research found out that the financial inclusion agenda in Brazil is the result of an incremental process, which was attended by a wide range of actors (government, market, developers and scholars, and also international actors) and it was influenced by some non-human elements, among which the Central Bank of Brazil (BCB) stands out as the focal actor of the process.</t>
  </si>
  <si>
    <t>[Sela, Vilma Meurer] Univ Estadual Maringa, Dept Adm, Maringa, Parana, Brazil; [Gonzalez, Lauro] Fundacao Getulio Vargas, Escola Adm Empresas Sao Paulo, Sao Paulo, SP, Brazil; [Christopoulos, Tania P.] Univ Sao Paulo, Escola Artes Ciencias &amp; Humanidades, Sao Paulo, SP, Brazil</t>
  </si>
  <si>
    <t>Universidade Estadual de Maringa; Getulio Vargas Foundation; Universidade de Sao Paulo</t>
  </si>
  <si>
    <t>Sela, VM (corresponding author), Univ Estadual Maringa, Dept Adm, Maringa, Parana, Brazil.</t>
  </si>
  <si>
    <t>vmsela@uem.br; lauro.gonzalez@fgv.br; tchristop@gmail.com</t>
  </si>
  <si>
    <t>; Christopoulos, Tania/MHQ-3266-2025</t>
  </si>
  <si>
    <t>Meurer Sela, Vilma/0000-0002-8594-9471;</t>
  </si>
  <si>
    <t>10.1590/0034-761220180382x</t>
  </si>
  <si>
    <t>ND4MX</t>
  </si>
  <si>
    <t>WOS:000561876900008</t>
  </si>
  <si>
    <t>Saha, S</t>
  </si>
  <si>
    <t>Saha, Somen</t>
  </si>
  <si>
    <t>Expanding health coverage in India: role of microfinance-based self-help groups</t>
  </si>
  <si>
    <t>Microfinance; self-help group; health access; India</t>
  </si>
  <si>
    <t>OUTCOMES</t>
  </si>
  <si>
    <t>To fulfil its commitment to universal health coverage, it will be necessary for the Indian government to expand access to appropriate and affordable health services. Through the mechanism of microfinance-based self-help groups (SHGs), poor women and their families are provided not only with access to finance to improve their livelihoods but also, in many cases, with a range of basic health services. Governments and non-governmental organisations in India have implemented large-scale programmes for the promotion of SHGs. With 93 million people organised nationally, the SHGs provide an established population base that can potentially be used to extend health coverage. However, the potential for working with SHGs to improve people's access to health services has not been an active part of the national policy discourse.</t>
  </si>
  <si>
    <t>[Saha, Somen] Indian Inst Publ Hlth Gandhinagar, NH 147,Chiloda Rd, Gandhinagar 382042, Gujarat, India</t>
  </si>
  <si>
    <t>Saha, S (corresponding author), Indian Inst Publ Hlth Gandhinagar, NH 147,Chiloda Rd, Gandhinagar 382042, Gujarat, India.</t>
  </si>
  <si>
    <t>ssaha@iiphg.org</t>
  </si>
  <si>
    <t>Saha, Somen/C-6286-2012</t>
  </si>
  <si>
    <t>Saha, Somen/0000-0002-8043-3388</t>
  </si>
  <si>
    <t>Bill Melinda Gates</t>
  </si>
  <si>
    <t>Bill Melinda Gates(Bill &amp; Melinda Gates Foundation)</t>
  </si>
  <si>
    <t>The research was supported the Bill &amp; Melinda Gates-funded Uttar Pradesh Community Mobilization Project awarded to the Public Health Foundation of India. The funders of the study had no role in the study design, data collection, data analysis, data interpretation, or writing of the report.</t>
  </si>
  <si>
    <t>10.1080/16549716.2017.1321272</t>
  </si>
  <si>
    <t>EW5LR</t>
  </si>
  <si>
    <t>WOS:000402548000001</t>
  </si>
  <si>
    <t>Lee, N; Stücklin, SB; Rodriguez, PL; Faris, M; Mukaka, I</t>
  </si>
  <si>
    <t>Lee, Nanci; Beeler Stucklin, Sabrina; Lopez Rodriguez, Patricia; Faris, Meryem; Mukaka, Idah</t>
  </si>
  <si>
    <t>Financial education for HIV-vulnerable youth, orphans and vulnerable children: a systematic review of outcome evidence</t>
  </si>
  <si>
    <t>VULNERABLE CHILDREN AND YOUTH STUDIES</t>
  </si>
  <si>
    <t>HIV; economic strengthening; financial education; orphans and vulnerable children; youth; sexual and reproductive health outcomes</t>
  </si>
  <si>
    <t>SEXUAL RISK; MICROFINANCE INTERVENTION; ECONOMIC EMPOWERMENT; SAVINGS ACCOUNTS; ADOLESCENTS; HIV/AIDS; EFFICACY; PROGRAM; IMPACT; GIRLS</t>
  </si>
  <si>
    <t>This systematic review assessed outcome evidence of financial education and plural interventions aimed at reducing HIV vulnerability for youth, orphans and vulnerable children in low and middle-income countries. Relevant evidence reviews found both positive and mixed evidence that HIV prevention may be addressed through economic strengthening activities such as financial education for youth. There was some evidence related to the potential for plural interventions that include sexual and reproductive health education but limited quality evidence that focused on HIV vulnerable youth in low-and-middle income countries. To address this gap, the team systematically reviewed the scope and strength of impact evidence of financial education and plural interventions for HIV-vulnerable youth and OVC in LMIC, with a focus on outcome analysis. Of 5,216 records, 16 moderate to higher quality studies representing 10 interventions were identified, mostly focusing on HIV-vulnerable girls in Sub-Saharan Africa. More than half of the interventions were plural and included access to finance and counseling or social supports. Most used an experimental design. The strongest odds ratio effects were found to be on HIV-related outcomes by plural interventions. Observed improvements included increased HIV related knowledge, attitudes, reduced sexual risk-taking behavior and improved self-efficacy. While positive effects were also observed related to increased savings and improved attitudes toward saving, generally interventions showed mixed effects on financial and economic outcomes. This review supports emerging evidence that plural interventions are associated with positive health and economic outcomes for vulnerable youth and children in LMIC. Even so, as a body of evidence, it is not clear which components are effective at producing favorable outcomes. Quality evidence is needed in more settings separating out economic, health and self-efficacy components to better understand pathways and effects on outcomes. Segmentation will enhance our understanding of asset, capability and self-efficacy theories for greater impact.</t>
  </si>
  <si>
    <t>[Lee, Nanci; Beeler Stucklin, Sabrina; Faris, Meryem; Mukaka, Idah] Sisters Ink, Halifax, NS B3K 1A3, Canada; [Lopez Rodriguez, Patricia] Univ Iberoamer, Econ Dept, Mexico City, DF, Mexico</t>
  </si>
  <si>
    <t>Lee, N (corresponding author), Sisters Ink, Halifax, NS B3K 1A3, Canada.</t>
  </si>
  <si>
    <t>nancilee@eastlink.ca</t>
  </si>
  <si>
    <t>FHI 360; United States Agency for International Development (USAID) [AID-OAA-LA-13-00001]</t>
  </si>
  <si>
    <t>FHI 360; United States Agency for International Development (USAID)(United States Agency for International Development (USAID)CGIAR)</t>
  </si>
  <si>
    <t>This work was supported by FHI 360 with funding from the United States Agency for International Development (USAID) Cooperative Agreement No. AID-OAA-LA-13-00001.</t>
  </si>
  <si>
    <t>1745-0128</t>
  </si>
  <si>
    <t>1745-0136</t>
  </si>
  <si>
    <t>VULNERABLE CHILD YOU</t>
  </si>
  <si>
    <t>Vulnerable Child. Youth Stud.</t>
  </si>
  <si>
    <t>10.1080/17450128.2019.1612128</t>
  </si>
  <si>
    <t>IH6HT</t>
  </si>
  <si>
    <t>WOS:000474596300001</t>
  </si>
  <si>
    <t>Chavan, P</t>
  </si>
  <si>
    <t>Chavan, Pallavi</t>
  </si>
  <si>
    <t>Women's Access to Banking in India: Policy Context, Trends, and Predictors</t>
  </si>
  <si>
    <t>Gender gap; banking policy; financial inclusion; credit-deposit ratio; microfinance; credit to women; bank deposits; India; rural</t>
  </si>
  <si>
    <t>There has been an increase in women's share in bank credit in India in recent years, which includes credit given directly to women and indirectly via microfinance institutions that lend to women. However, bank credit to women has not grown as fast as credit given to men, resulting in a widening gender gap. The gender gap in credit is even wider when the credit received by women and men is seen as a ratio of the bank deposits they contribute. Credit received by women is only 27 per cent of the deposits they contribute, while the credit received by men is 52 per cent of their deposits. The policy of financial inclusion has significantly enhanced the probability of women holding bank deposits, and has pushed India above the world average in terms of the percentage of women with bank deposits. This increase in deposits is not matched by a corresponding increase in women's access to bank credit. To address the gender gap, the policy of financial inclusion must be gender-sensitive and correct its disproportionate emphasis on deposits.</t>
  </si>
  <si>
    <t>pallavichavan@gmail.com</t>
  </si>
  <si>
    <t>OU4XL</t>
  </si>
  <si>
    <t>WOS:000591533000004</t>
  </si>
  <si>
    <t>Badre, A</t>
  </si>
  <si>
    <t>Badre, Abdeslam</t>
  </si>
  <si>
    <t>Impacts of neo-banks on North African migrants' remittances and financial inclusion</t>
  </si>
  <si>
    <t>Neo-banks; Remittance; Immigrants; Financial Inclusion; North Africa; EU</t>
  </si>
  <si>
    <t>This study examined remittance trends and financial institution preferences among North African migrants in Europe and assessed neobanks' potential to foster financial inclusion and cost reductions. The main objetive was to explore how neobanks can alleviate economic pressures on North African migrants and help achieve the World Bank Group's goal of reducing remittance costs to 5 % and the UN-SDG target of 3 %. Exploratory in nature, both surveys and interviews were used for data collection. The sample consisted of 64 North African migrants from Morocco, Tunisia, and Algeria (North Africa) residing in France, Spain, and Italy (EU). Key findings revealed that North African migrants had diverse remittance behaviors, with varying frequencies and amounts sent home. Trust in traditional banks remained high due to familiarity, cultural norms, and accessibility issues in rural areas. However, neobanks offered significant cost savings, with potential annual savings ranging from 30 to 134 depending on the monthly remitted amount that ranges between a 100 and a 1000 . Adoption of neobanks was higher among younger, and digitally literate migrants with better access to technology. Barriers to wider adoption of neobanks included limited digital and financial literacy, lack of necessary technology in home countries, and cultural resistance to change. High regulatory and compliance costs for traditional banks also contributed to inflated remittance fees. To address these issues, the paper recommends enhancing market competition, improving access to new payment technologies, encouraging larger remittances through incentives, learning from successful public bank models like France's La Banque Postale, and fostering financial literacy and digital inclusion. Additionally, it suggests building trust and cultural sensitivity, investing in robust cybersecurity measures, and developing offline transaction capabilities to increase accessibility for migrants in remote areas.</t>
  </si>
  <si>
    <t>[Badre, Abdeslam] Youth Gender &amp; Strateg Foresights Mohammed V Univ, Migrat, Rabat, Morocco</t>
  </si>
  <si>
    <t>Badre, A (corresponding author), Youth Gender &amp; Strateg Foresights Mohammed V Univ, Migrat, Rabat, Morocco.</t>
  </si>
  <si>
    <t>a.badre@um5r.ac.ma</t>
  </si>
  <si>
    <t>Bae, Abdeslam/0000-0002-8582-2892</t>
  </si>
  <si>
    <t>FEMISE; Spanish Agency for Development ([AECID]); IEMed</t>
  </si>
  <si>
    <t>This paper is accepted for publication under FEMISE conference paper series following peer reviewing and received financial support from FEMISE, IEMed and the Spanish Agency for Development (AECID] , to participate in the Annual conference in Barcelona (27-29 September 2023) . http:// www.femise.org</t>
  </si>
  <si>
    <t>e02384</t>
  </si>
  <si>
    <t>10.1016/j.sciaf.2024.e02384</t>
  </si>
  <si>
    <t>J2Y2G</t>
  </si>
  <si>
    <t>WOS:001335765500001</t>
  </si>
  <si>
    <t>Abbas, S; Dastgeer, G; Nasreen, S; Kousar, S; Riaz, U; Arsh, S; Imran, M</t>
  </si>
  <si>
    <t>Abbas, Sohail; Dastgeer, Ghulam; Nasreen, Samia; Kousar, Shazia; Riaz, Urooj; Arsh, Saira; Imran, Muhammad</t>
  </si>
  <si>
    <t>How Financial Inclusion and Green Innovation Promote Green Economic Growth in Developing Countries</t>
  </si>
  <si>
    <t>green growth; financial inclusion; FMOLS; SDGs; developing countries</t>
  </si>
  <si>
    <t>TESTS; COINTEGRATION; DEPENDENCE</t>
  </si>
  <si>
    <t>The aim of this study is to analyze the impact of financial inclusion on green economic growth in developing countries. For this purpose, 12 developing countries were selected based on the availability of data: Armenia, Egypt, Ethiopia, India, Indonesia, Iran, Jamaica, Kenya, Pakistan, Sri Lanka, Thailand, and Tunisia. Annual data for the period from 2004 to 2023 were used for this study. The focus of this study is on the achievement of Sustainable Development Goal 13 (SDG 13), which requires immediate intervention to address the challenges of climate change and its consequences. This study used principal component analysis (PCA) to construct the financial inclusion index. In this study, we conducted a unit root analysis using the second-generation unit root test. For long-run estimates, we used the Fully Modified Least Squares (FMOLS) model. According to the findings of the study, green innovation (beta = 0.052 *), foreign direct investment (beta = 0.438 *), and trade openness (beta = 0.016 **) have positive and significant impacts on green economic growth (GEG). The extent of the positive effect of foreign direct investment (FDI) is greater, compared to green innovation and trade openness (TR). The results also indicate that financial inclusion (beta = -0.241) and population (beta = -0.291) have significantly detrimental impacts on GEG. However, the population impacts GEG to a greater extent, compared to financial inclusion. Similarly, results indicate that the negative impact of financial inclusion on GEG is greater than the positive impact of green innovation on GEG. On the basis of the findings of this study, policymakers are advised to promote green innovation, foreign direct investment, and trade openness to promote green economic growth. Moreover, this study suggests that green finance or financial inclusion constrained by environmental quality should be promoted to safeguard environmental quality.</t>
  </si>
  <si>
    <t>[Abbas, Sohail] Henan Univ, Key Res Inst Yellow River Civilizat &amp; Sustainable, Coll Geog &amp; Environm Sci, Kaifeng 475004, Peoples R China; [Abbas, Sohail] Henan Univ, Collaborat Innovat Ctr Yellow River Civilizat Hena, Kaifeng 475004, Peoples R China; [Abbas, Sohail] Henan Univ, Natl Demonstrat Ctr Environm &amp; Planning, Key Lab Geospatial Technol Middle &amp; Lower Yellow R, Minist Educ, Kaifeng 475004, Peoples R China; [Dastgeer, Ghulam] Sejong Univ, Dept Phys &amp; Astron, Seoul 05006, South Korea; [Nasreen, Samia; Kousar, Shazia; Riaz, Urooj; Arsh, Saira] Lahore Coll Women Univ, Dept Econ, Lahore 44444, Pakistan; [Imran, Muhammad] King Khalid Univ, Res Ctr Adv Mat Sci RCAMS, POB 9004, Abha 61413, Saudi Arabia; [Imran, Muhammad] King Khalid Univ, Fac Sci, Chem Dept, POB 9004, Abha 61413, Saudi Arabia</t>
  </si>
  <si>
    <t>Henan University; Henan University; Henan University; Sejong University; King Khalid University; King Khalid University</t>
  </si>
  <si>
    <t>Dastgeer, G (corresponding author), Sejong Univ, Dept Phys &amp; Astron, Seoul 05006, South Korea.;Kousar, S (corresponding author), Lahore Coll Women Univ, Dept Econ, Lahore 44444, Pakistan.</t>
  </si>
  <si>
    <t>sohailclimate@henu.edu.cn; gdastgeer@sejong.ac.kr; samia.nasreen@lcwu.edu.pk; shazia.kousar@lcwu.edu.pk; orujbseco@gmail.com; sairaarsh44@gmail.com; miahmad@kku.edu.sa</t>
  </si>
  <si>
    <t>Dastgeer, Ghulam/AAX-2637-2021; Abbas, Sohail/ADF-9204-2022; Kousar, shazia/JGM-0813-2023; Nasreen, Samia/K-4205-2013; Kousar, shazia/ADF-9204-2022</t>
  </si>
  <si>
    <t>Dastgeer, Ghulam/0000-0001-9078-6139; Abbas, Sohail/0000-0003-1194-064X; Kousar, shazia/0009-0008-2542-7701; Kousar, shazia/0009-0008-2542-7701</t>
  </si>
  <si>
    <t>National Research Foundation (NRF) of Korea; Ministry of Science and ICT [2022R1G1A1009887]; Deanship of Scientific Research at King Khalid University, Saudi Arabia [RGP-2/232/45]</t>
  </si>
  <si>
    <t>National Research Foundation (NRF) of Korea(National Research Foundation of Korea); Ministry of Science and ICT(Ministry of Science, ICT &amp; Future Planning, Republic of Korea); Deanship of Scientific Research at King Khalid University, Saudi Arabia(King Faisal UniversityKing Saud University)</t>
  </si>
  <si>
    <t>This research was supported by the National Research Foundation (NRF) of Korea and funded by the Ministry of Science and ICT (2022R1G1A1009887). The authors express their appreciation to the Deanship of Scientific Research at King Khalid University, Saudi Arabia, for this work, through a research group program under grant number RGP-2/232/45.</t>
  </si>
  <si>
    <t>10.3390/su16156430</t>
  </si>
  <si>
    <t>C1S6D</t>
  </si>
  <si>
    <t>WOS:001287230900001</t>
  </si>
  <si>
    <t>Arráiz, I; Bruhn, M; Stucchi, R</t>
  </si>
  <si>
    <t>Arraiz, Irani; Bruhn, Miriam; Stucchi, Rodolfo</t>
  </si>
  <si>
    <t>Psychometrics as a Tool to Improve Credit Information</t>
  </si>
  <si>
    <t>BIG 5; ENTERPRISES; COUNTRIES; GROWTH</t>
  </si>
  <si>
    <t>This paper studies the use of psychometric tests, designed by the Entrepreneurial Finance Lab (EFL), as a tool to screen out high credit risk and potentially increase access to credit for small business owners in Peru. We compare repayment behavior patterns across entrepreneurs who were offered a loan based on the traditional credit-scoring method versus the EFL tool. We find that the psychometric test can lower the risk of the loan portfolio when used as a secondary screening mechanism for already banked entrepreneurs-that is, those with a credit history. The EFL tool can also allow lenders to offer credit to some unbanked entrepreneurs-that is, those without a credit history-who were rejected based on their traditional credit scores, without increasing the risk of the portfolio.</t>
  </si>
  <si>
    <t>[Arraiz, Irani; Stucchi, Rodolfo] Interamer Dev Bank, Washington, DC 20577 USA; [Bruhn, Miriam] World Bank, 1818 H St NW, Washington, DC 20433 USA</t>
  </si>
  <si>
    <t>Inter-American Development Bank; The World Bank</t>
  </si>
  <si>
    <t>Arráiz, I (corresponding author), Interamer Dev Bank, Washington, DC 20577 USA.</t>
  </si>
  <si>
    <t>iarraiz@iadb.org; mbruhn@worldbank.org; rstucchi@iadb.org</t>
  </si>
  <si>
    <t>Stucchi, Rodolfo/0000-0002-6317-9461; Bruhn, Miriam/0009-0002-6114-6049</t>
  </si>
  <si>
    <t>S67</t>
  </si>
  <si>
    <t>S76</t>
  </si>
  <si>
    <t>10.1093/wber/lhw016</t>
  </si>
  <si>
    <t>EW9UO</t>
  </si>
  <si>
    <t>WOS:000402865100007</t>
  </si>
  <si>
    <t>Empowering African entrepreneurs: The crucial role of financial inclusion in mediating the relationship between contextual factors and entrepreneurial willingness</t>
  </si>
  <si>
    <t>Financial inclusion; Entrepreneurial willingness; Contextual factors; Micro -level data; IV Probit model; Africa</t>
  </si>
  <si>
    <t>DETERMINANTS; BIAS; RISK</t>
  </si>
  <si>
    <t>Our study aims to investigate the role of financial inclusion as a mediator in the relationship between contextual factors and entrepreneurial willingness in Africa. While previous research has emphasized the importance of improving institutional and contextual factors to foster entrepreneurship, our study adds a new dimension by highlighting the critical need for tailored financial services that can cater to the unique needs of African entrepreneurs. In light of this, we have employed a robust and comprehensive methodology, leveraging micro-level data that covers 44,129 African adults and using Instrumental Variable Probit estimation. This approach allows us to offer valuable insights into the factors driving entrepreneurship in Africa. Our results suggest financial inclusion as a crucial determinant in the relationship between contextual factors and entrepreneurship in Africa, with the usage dimension being more important than the access dimension. Our findings reveal that the impact of contextual factors on entrepreneurship in Africa is strongly influenced by financial inclusion. By acting as a mediator, financial inclusion plays a pivotal role in shaping entrepreneurial willingness. Moreover, policymakers in Africa should focus on improving the business environment, addressing key contextual determinants of entrepreneurship where most African countries face a significant deficit compared to the world's topranking economies. These determinants include institutional quality, infrastructure, Information and Communication Technology (ICT) adoption, health, skills, product market, labor market, and innovation capability. Our study advances the field of research in two key ways. First, it provides empirically grounded evidence on both individual and contextual factors that can stimulate entrepreneurship in Africa. Given the representativeness of our sample, the policy implications of our study are valuable, offering useful insights for international institutions and policymakers working to promote entrepreneurship in Africa. Second, in contrast to previous studies on financial inclusion that use macroeconomic data to quantify the multidimensionality of financial inclusion, our study is unique in that it constructs a financial inclusion index based on microeconomic data to quantify the financial inclusion level of each individual in our sample.</t>
  </si>
  <si>
    <t>[Elouaourti, Zakaria] Mohammed V Univ, Res Lab Appl Econ, Rabat, Morocco; [Ibourk, Aomar] Cadi Ayyad Univ, Res Lab Social &amp; Solidar Econ Governance &amp; Dev LAR, Marrakech, Morocco; [Ibourk, Aomar] Mohammed VI Polytech Univ, Africa Inst Res Econ &amp; Social Sci, Rabat, Morocco; [Ibourk, Aomar] Policy Ctr New South, Rabat, Morocco</t>
  </si>
  <si>
    <t>Elouaourti, Z (corresponding author), Mohammed V Univ, Res Lab Appl Econ, Rabat, Morocco.</t>
  </si>
  <si>
    <t>Ibourk, Aomar/0000-0002-3066-8138;</t>
  </si>
  <si>
    <t>10.1016/j.ememar.2024.101118</t>
  </si>
  <si>
    <t>NW7K1</t>
  </si>
  <si>
    <t>WOS:001203555000001</t>
  </si>
  <si>
    <t>Roy, PK; Shaw, K</t>
  </si>
  <si>
    <t>Roy, Pranith K.; Shaw, Krishnendu</t>
  </si>
  <si>
    <t>A credit scoring model for SMEs using AHP and TOPSIS</t>
  </si>
  <si>
    <t>AHP; credit scoring model; financial institutions; MCDM; SMEs; TOPSIS</t>
  </si>
  <si>
    <t>MULTIATTRIBUTE DECISION-MAKING; WORKING CAPITAL MANAGEMENT; FUZZY-AHP; SUPPLIER SELECTION; FINANCIAL RATIOS; SUPPORT-SYSTEM; RISK; RANKING; RATINGS; FIRMS</t>
  </si>
  <si>
    <t>Small and Medium Enterprises (SMEs) have played a significant role in the development of any economy. However, easy access to finance from financial institutions is a prime challenge for them. Similarly, financial institutions also face difficulties while selecting the potential SMEs for granting credit. The SMEs are often seen as unorganized in terms of financial data as compared to large corporate sectors. The credit risk assessment based on unorganized financial data is a challenge for financial institutions. Most of the existing models used regression to predict the possibility of default of SMEs. However, the regression model may not perform well with limited data points and missing data. The problem can be solved by using a multi criteria decision-making (MCDM) model. Credit scoring, especially addressing the SMEs, has been infrequently reported in the archived literature. To fill the gaps of literature, the present study proposes a credit scoring model applying the hybrid analytic hierarchy process-technique for order of preference by similarity to ideal solution (AHP-TOPSIS) technique. The study has been carried out in three stages. In the first stage, credit rating criteria and sub-criteria have been identified from the literature review and taking opinions from experts. In the second stage, weights of criteria and sub-criteria have been calculated using AHP. Finally, in the third stage, weights calculated by AHP have been used in TOPSIS to determine the credit score. The effectiveness of the proposed model has been illustrated through a case study. Further, the results of the proposed model are compared with the commercially available ratings. The proposed model may be a low-cost alternative for financial institutions for credit scoring of SMEs. Further, the model has the advantage of customization as per the needs of the financial institutions. The suggested model can help the managers to identify the potential SMEs for granting credit.</t>
  </si>
  <si>
    <t>[Roy, Pranith K.; Shaw, Krishnendu] Indian Inst Technol ISM, Dept Management Studies, Dhanbad 826004, Jharkhand, India</t>
  </si>
  <si>
    <t>Roy, PK (corresponding author), Indian Inst Technol ISM, Dept Management Studies, Dhanbad 826004, Jharkhand, India.</t>
  </si>
  <si>
    <t>pranithroy@gmail.com</t>
  </si>
  <si>
    <t>ROY, PRANITH KUMAR/AAL-5337-2021</t>
  </si>
  <si>
    <t>ROY, PRANITH KUMAR/0000-0002-0929-7563</t>
  </si>
  <si>
    <t>Punjab National Bank, India [PNB/ZTC-Kolkata/2018]</t>
  </si>
  <si>
    <t>Punjab National Bank, India</t>
  </si>
  <si>
    <t>Punjab National Bank, India, Grant/Award Number: PNB/ZTC-Kolkata/2018 dated 03/03/2018</t>
  </si>
  <si>
    <t>10.1002/ijfe.2425</t>
  </si>
  <si>
    <t>G5PQ2</t>
  </si>
  <si>
    <t>WOS:000605198500001</t>
  </si>
  <si>
    <t>Crivellaro, F</t>
  </si>
  <si>
    <t>Chova, LG; Torres, IC; Martinez, AL</t>
  </si>
  <si>
    <t>Crivellaro, Francesca</t>
  </si>
  <si>
    <t>MICROCREDIT PROGRAMMES TARGETING MIGRANT WOMEN: EMPOWERING WOMEN THROUGH MICROENTERPRISE?</t>
  </si>
  <si>
    <t>EDULEARN12: 4TH INTERNATIONAL CONFERENCE ON EDUCATION AND NEW LEARNING TECHNOLOGIES</t>
  </si>
  <si>
    <t>EDULEARN Proceedings</t>
  </si>
  <si>
    <t>4th International Conference on Education and New Learning Technologies (EDULEARN)</t>
  </si>
  <si>
    <t>JUL 02-04, 2012</t>
  </si>
  <si>
    <t>gender; migration; microcredit; anthropology</t>
  </si>
  <si>
    <t>Microcredit is a financial tool targeting poor people or people defined as not bankable, that is, excluded from formal financial credit institutions because unable to provide collaterals to get a loan. Loans are given to allow poor people starting small business activities that will enable them achieving economic autonomy and breaking poverty vicious circle. This is the philosophy underpinning Muhammad Yunus' Grameen Bank, the first bank for the poor founded in Bangladesh in 1976. Yunus decided to promote microcredit programmes in rural areas and to target poor women. Since the Seventies, microcredit programs spread all over the world both following Yunus' success in Bangladesh, both independently from it. Starting from the Nineties, International Development Organizations increasingly adopted microcredit as a strategic tool not only to fight extreme poverty, but also to support women's empowerment: access to credit has become one of the privileged strategies to foster women's emancipation, both social and economic in many development countries. In the last decade, microcredit programmes were progressively introduced in post industrial countries by different institutions (e. g. bank foundations, not for profit and for profit organizations, cooperatives, etc.) to foster socio-economic and financial inclusion of marginalized categories, such as single mothers, welfare recipients and migrants. The paper will explore to which extent microcredit programmes actually helps promoting women empowerment. Specifically, data from an ethnographic research carried out in Venice (Italy) will be taken into account in order to describe how migrant women empowerment and integration in the receiving country was pursued by a social cooperative through the promotion of microenterprise.</t>
  </si>
  <si>
    <t>[Crivellaro, Francesca] Univ Bologna, Dept Educ, CSGe, I-40126 Bologna, Italy</t>
  </si>
  <si>
    <t>francesca.crivellar4@unibo.it</t>
  </si>
  <si>
    <t>CRIVELLARO, FRANCESCA/KIC-7185-2024</t>
  </si>
  <si>
    <t>CRIVELLARO, FRANCESCA/0000-0002-7637-8865</t>
  </si>
  <si>
    <t>IATED-INT ASSOC TECHNOLOGY EDUCATION &amp; DEVELOPMENT</t>
  </si>
  <si>
    <t>2340-1117</t>
  </si>
  <si>
    <t>978-84-695-3491-5</t>
  </si>
  <si>
    <t>EDULEARN PROC</t>
  </si>
  <si>
    <t>BHP41</t>
  </si>
  <si>
    <t>WOS:000326239301139</t>
  </si>
  <si>
    <t>Maji, SK; Laha, A</t>
  </si>
  <si>
    <t>Maji, Sumit Kumar; Laha, Arindam</t>
  </si>
  <si>
    <t>Financial literacy and its antecedents amongst the farmers: evidence from India</t>
  </si>
  <si>
    <t>Financial literacy; Farmers; India</t>
  </si>
  <si>
    <t>INCLUSION; EDUCATION</t>
  </si>
  <si>
    <t>Purpose The article makes a modest attempt to explore the level of financial literacy (FL) amongst the farmers in India. An effort was also made to unearth the factors affecting such FL. Design/methodology/approach The study used secondary data on 11,030 farmers across various regions of India from the Financial Inclusion Insight Survey, 2017. Standard and Poor Global FL questions were used to measure the level of FL amongst the respondents. In addition to the appropriate statistical tools and techniques, the censored tobit regression model and generalized structural equation model were applied to explore the determinants of FL of the Indian farmers. Findings The outcome of the study indicated that the majority of Indian farmers are financially illiterate. The average FL score obtained by the sample farmers was found to be only 33%. The results of the study signaled significant regional variation in FL amongst the farmers across India. Apart from the regional variation in FL, farmer type, state-specific agricultural productivity, gender, marital status, age, educational attainment and financial inclusion were found to be the major determinants of the FL amongst the farmers. Originality/value Evaluation of FL amongst farmers is scanty in the literature in developed nations and especially in the context of emerging economies, like India. The authors tried to fill this gap by exploring FL and its determinants amongst Indian farmers. In addition to this, the study for the first time used a comprehensive and rich dataset of 11,030 Indian farmers while exploring the level of FL and its determinants.</t>
  </si>
  <si>
    <t>[Maji, Sumit Kumar; Laha, Arindam] Univ Burdwan, Dept Commerce, Burdwan, W Bengal, India</t>
  </si>
  <si>
    <t>Maji, SK (corresponding author), Univ Burdwan, Dept Commerce, Burdwan, W Bengal, India.</t>
  </si>
  <si>
    <t>skmaji@com.buruniv.ac.in; alaha@com.buruniv.ac.in</t>
  </si>
  <si>
    <t>Maji, Sumit Kumar/J-2542-2015; Laha, Arindam/X-2300-2019</t>
  </si>
  <si>
    <t>Maji, Sumit Kumar/0000-0001-7592-6594; Laha, Arindam/0000-0002-3758-4973</t>
  </si>
  <si>
    <t>JAN 19</t>
  </si>
  <si>
    <t>10.1108/AFR-01-2022-0009</t>
  </si>
  <si>
    <t>7Z1SR</t>
  </si>
  <si>
    <t>WOS:000813115800001</t>
  </si>
  <si>
    <t>Lee, DKC; Shih, CM; Zheng, JC</t>
  </si>
  <si>
    <t>Lee, David Kuo Chuen; Shih, Chia Mei; Zheng, Jincheng</t>
  </si>
  <si>
    <t>Asian CBDCs on the rise: An in-depth analysis of developments and implications</t>
  </si>
  <si>
    <t>Central Bank Digital Currencies (CBDCs); digital monetary system; Fintech; financial inclusion; monetary innovation</t>
  </si>
  <si>
    <t>In this paper, we present an in-depth analysis of Central Bank Digital Currencies (CBDCs), focusing on their definition, purpose, design considerations and recent developments. We also delve into the potential advantages of CBDCs for Asia, such as enhancing convenience, precisely quantifying economic metrics, managing anonymity, catalyzing innovation, and promoting financial inclusion. Moreover, we examine how CBDCs can fortify monetary and fiscal policies, ensure safe distribution, reduce costs and combat corruption. We also address the risks associated with CBDC adoption in Asia and explore potential outcomes such as substitution effects, valuation fluctuations, and foreign currency dependence, while highlighting the importance of managing financial imbalances, holdings concentration and public apprehension toward digital currencies.</t>
  </si>
  <si>
    <t>[Lee, David Kuo Chuen; Shih, Chia Mei; Zheng, Jincheng] Singapore Univ Social Sci, Sch Business, Finance Programme, Singapore, Singapore</t>
  </si>
  <si>
    <t>Singapore University of Social Sciences (SUSS)</t>
  </si>
  <si>
    <t>Lee, DKC (corresponding author), Singapore Univ Social Sci, Sch Business, Finance Programme, Singapore, Singapore.</t>
  </si>
  <si>
    <t>Zheng, Jincheng/HPG-8792-2023</t>
  </si>
  <si>
    <t>10.3934/QFE.2023032</t>
  </si>
  <si>
    <t>KQ9T5</t>
  </si>
  <si>
    <t>WOS:001181557400001</t>
  </si>
  <si>
    <t>Benedict, IO; Wilson, E; Ugwu, CN; Ibe, CB</t>
  </si>
  <si>
    <t>Benedict, Imhanrenialena Ogbemudia; Wilson, Ebhotemhen; Ugwu, Cyril Ndubuisi; Ibe, Chukwu Benjamin</t>
  </si>
  <si>
    <t>Investing in Rural Agriculture in the Face of Innovative Financial Services: Does Financial Literacy Matter in Nigeria?</t>
  </si>
  <si>
    <t>investment; rural farming; innovative financial services; financial literacy; Africa</t>
  </si>
  <si>
    <t>The complex nature of formal financial products and services and the frequently associated innovations occasioned by disruptive technologies inform researchers' calls for studies on financial literacy, particularly in African rural communities. As a response to the calls, this study explores how financial literacy relates to performance, access to credit facilities, and payment preferences among smallholder rural farmers in Nigeria. Further, the rural farmers' financial literacy level on each of the four dimensions of the Standard and Poor Global Financial Literacy criteria was assessed. A random sample was drawn from the registered rural farmers in the Central Bank of Nigeria's Anchored Borrower's Program for the 2022 farming year. Quantitative data were collected from rural farmers using the Standard and Poor Global Financial Literacy questionnaire. The proposed hypotheses were tested with partial least squares structural equation modeling (PLS-SEM), while descriptive statistics were used to analyze the data. The outcomes show that financial literacy significantly predicts performance, access to credit facilities, and mode of payment preferences among smallholder rural farmers. Also, the analyses of the four dimensions of financial literacy show that the farmers are more literate in risk diversification and inflation than numeracy and compound interest. It is concluded that financial literacy is cardinal to profitable investments in rural farming, and as such, there is a need for the Nigerian government and financial authorities to embark on financial literacy drive with more emphasis on numeracy and compound interest where the rural farmers are more deficient. Purpose: This study explored how financial literacy relates to performance, access to credit facilities, and mode payment preferences among smallholder rural farmers in Nigeria. Further, the rural farmers' financial literacy level on each of the four dimensions of the Standard and Poor Global Financial Literacy criteria was assessed. Methods: A random sample was drawn from the registered rural farmers in the Central Bank of Nigeria Anchored Borrower Program for the 2022 farming year. The proposed hypotheses were tested with partial least squares structural equation modeling (PLS-SEM), while descriptive statistics were used to analyze the data. Conclusion: It is concluded that financial literacy significantly influences performance, access to credit facilities, and mode of payment preferences among smallholder rural farmers in Nigeria. Practical Implications of Findings: The outcomes suggest a need for the Nigerian government and financial authorities to embark on a financial literacy drive with greater emphasis on numeracy and compound interest, where the current study found rural farmers to be more deficient. Also, the current findings on Nigerian rural farmers' mode of payment preference behavior could guide the government and financial authorities in formulating financial inclusion policies as well as helping payment card companies make strategic decisions to increase the overall performance of the payment system in Nigeria.</t>
  </si>
  <si>
    <t>[Benedict, Imhanrenialena Ogbemudia; Ugwu, Cyril Ndubuisi; Ibe, Chukwu Benjamin] Univ Nigeria, Enugu, Nigeria; [Wilson, Ebhotemhen] Edo State Univ, Iyamho, Nigeria; [Ibe, Chukwu Benjamin] Univ Nigeria, Fac Business Adm, Dept Management, Coll Rd, Enugu, Nigeria</t>
  </si>
  <si>
    <t>Ibe, CB (corresponding author), Univ Nigeria, Fac Business Adm, Dept Management, Coll Rd, Enugu, Nigeria.</t>
  </si>
  <si>
    <t>benjamin.chukwu@unn.edu.ng</t>
  </si>
  <si>
    <t>, benedict/0000-0002-7052-2440</t>
  </si>
  <si>
    <t>10.1177/21582440241244685</t>
  </si>
  <si>
    <t>QF8V3</t>
  </si>
  <si>
    <t>WOS:001219564400001</t>
  </si>
  <si>
    <t>Rachmah, APN; Wulandari, P; Prijadi, R</t>
  </si>
  <si>
    <t>Rachmah, Nur A. P.; Wulandari, Permata; Prijadi, Ruslan</t>
  </si>
  <si>
    <t>Socio Economic Factors in Financial Inclusion for Women Micro Entrepreneur in Indonesia</t>
  </si>
  <si>
    <t>EDUCATION EXCELLENCE AND INNOVATION MANAGEMENT THROUGH VISION 2020</t>
  </si>
  <si>
    <t>33rd International-Business-Information-Management-Association (IBIMA) Conference</t>
  </si>
  <si>
    <t>APR 10-11, 2019</t>
  </si>
  <si>
    <t>Granada, SPAIN</t>
  </si>
  <si>
    <t>Women Micro Entrepreneur; Socio-economic Factor; Financial Service Consumption Determinant; Financial Inclusion</t>
  </si>
  <si>
    <t>CREDIT; MICROFINANCE; DETERMINANTS; CONSTRAINTS</t>
  </si>
  <si>
    <t>The relation of gender in financial inclusion has been widely explore in recent times. There are several cross-country studies about this topic, but only few that study within-country condition and addressed this issue in a comprehensive context. In this study, we use household-level data from Indonesian women micro entrepreneur with questionnaire, and examine whether gender matters for financial inclusion and what are the possible factors that constrain the financial inclusion. Women micro entrepreneur has been chosen for several factors, high impact of micro-entrepreneur to the nation economic growth make this topic important to study. Also, one of the target of financial inclusion activities that classified by Indonesian Bank is women, more study about women and finance to capture the interface is the necessary. Our analysis will highlight more about factor-factor that may be a constrain for women financial inclusion especially on micro business owner. Stressing in socio-economic factor for financial inclusion with controlling some business characteristic. Sampling on 1492 women micro entrepreneur from 13 provinces in Indonesia, shows that not all socio-economics factors affect the knowledge and the use of formal and informal financial services.</t>
  </si>
  <si>
    <t>[Rachmah, Nur A. P.; Wulandari, Permata; Prijadi, Ruslan] Univ Indonesia, Jakarta, Indonesia</t>
  </si>
  <si>
    <t>Rachmah, APN (corresponding author), Univ Indonesia, Jakarta, Indonesia.</t>
  </si>
  <si>
    <t>nraisyahputri@gmail.com; permata.w@gmail.com; ruslan.prijadi@gmail.com</t>
  </si>
  <si>
    <t>PRIJADI, Ruslan/IVU-7399-2023</t>
  </si>
  <si>
    <t>PRIJADI, Ruslan/0000-0002-1233-9744; Wulandari, Permata/0000-0001-9500-5901</t>
  </si>
  <si>
    <t>Ministry of Finance Republic of Indonesia</t>
  </si>
  <si>
    <t>Ministry of Finance Republic of Indonesia(Ministry of Research and Technology of the Republic of Indonesia (RISTEK))</t>
  </si>
  <si>
    <t>This research was supported by Ministry of Finance Republic of Indonesia.</t>
  </si>
  <si>
    <t>978-0-9998551-2-6</t>
  </si>
  <si>
    <t>Education &amp; Educational Research; Management</t>
  </si>
  <si>
    <t>Education &amp; Educational Research; Business &amp; Economics</t>
  </si>
  <si>
    <t>BO3KC</t>
  </si>
  <si>
    <t>WOS:000510675600016</t>
  </si>
  <si>
    <t>Das, S; Maji, SK</t>
  </si>
  <si>
    <t>Das, Soumyadwip; Maji, Sumit Kumar</t>
  </si>
  <si>
    <t>Farmer's financial literacy and its determinants: evidence from South Asia</t>
  </si>
  <si>
    <t>Farmer; Financial literacy; South Asia</t>
  </si>
  <si>
    <t>Purpose- The objective of this study is to ascertain the financial literacy (FL) of the farmers in three South Asian economies (India, Bangladesh and Pakistan). Further, an effort was made to explore various demographic and socioeconomic antecedents of FL of the farmers.Design/methodology/approach- The study used secondary data of 11,025, 782 and 657 farmers from India, Bangladesh and Pakistan respectively from Financial Inclusion Insights (2017) database. Big five FL questions were used to measure the FL of the farmers. Appropriate statistical techniques and censored Tobit regression were used to identify the determinants of such FL.Findings-Bangladeshi farmers (48.75%: Moderate) were found to exhibit greater FL as compared to Pakistani (38.96%: Poor) and Indian (32.61%: Poor) farmers. The outcome of the study revealed that the farm ownership and educational attainment of the farmers significantly determined FL of the farmers in all three Asian countries. Financial confidence and gender were observed to exacerbate a positive influence on the level of FL of farmers belonging to India and Pakistan. Age, marital status, financial inclusion and economic status were found to be the major determinants of FL of Indian farmers.Originality/value- There is a dearth of studies in the scholarship examining the FL of farmers in both developed and developing economies. The present study makes an original contribution to the literature by unearthing FL amongst farmers and its determinants in three South Asian economies using a large sample of 12,464 farmers for the first time.Peer review- The peer-review history for this article is available at:</t>
  </si>
  <si>
    <t>[Das, Soumyadwip; Maji, Sumit Kumar] Univ Burdwan, Dept Commerce, Burdwan, India</t>
  </si>
  <si>
    <t>Soumyadwipdas9@gmail.com; skmaji@com.buruniv.ac.in</t>
  </si>
  <si>
    <t>Maji, Sumit Kumar/J-2542-2015; Das, Soumyadwip/KMX-2417-2024</t>
  </si>
  <si>
    <t>Maji, Sumit Kumar/0000-0001-7592-6594; Das, Soumyadwip/0000-0002-7177-1094</t>
  </si>
  <si>
    <t>10.1108/IJSE-12-2022-0776</t>
  </si>
  <si>
    <t>WOS:000959215300001</t>
  </si>
  <si>
    <t>Khan, I; Khan, I; Sayal, AU; Khan, MZ</t>
  </si>
  <si>
    <t>Khan, Iftikhar; Khan, Ismail; Sayal, Aziz Ullah; Khan, Muhammad Zubair</t>
  </si>
  <si>
    <t>Does financial inclusion induce poverty, income inequality, and financial stability: empirical evidence from the 54 African countries?</t>
  </si>
  <si>
    <t>Financial inclusion; Poverty; Income inequality; Financial stability; Africa</t>
  </si>
  <si>
    <t>SUSTAINABILITY; POLICIES; DEBT</t>
  </si>
  <si>
    <t>Purpose The aim of the study is to examine the impact of financial inclusion on poverty, income inequality and financial stability using panel data of 54 African countries. Design/methodology/approach To achieve this objective, the current study used multiple regressions across an unbalanced panel data of 54 African countries which are based on the four years mean value for the period 2001-2019. Findings The results show that financial inclusion (FI) is a valuable indicator; it reduces poverty, income inequality and improves financial stability. Research limitations/implications The study invokes the attention of government and policymakers to build up a financially inclusive system which, in turn, leads to improve financial stability and lower poverty and income inequality. They should focus on quality and sustainable financial products and services in terms of financial inclusion to avoid dominant accounts and ensure consumer protection. Originality/value This adds to the scarce literature on the impact of financial inclusion on poverty, income inequality and financial stability in the context of African countries. The study contributes to the literature on the issue of financial inclusion and poverty, income inequality and financial stability by reconfirming (or otherwise) findings of previous studies.</t>
  </si>
  <si>
    <t>[Khan, Iftikhar; Sayal, Aziz Ullah] COMSATS Univ Islamabad, Dept Management Sci, Abbottabad, Pakistan; [Khan, Ismail] Sunway Univ, Business Sch, Dept Management, Subang Jaya, Malaysia; [Khan, Muhammad Zubair] Gomal Univ, Inst Business Adm, Dera Ismail Khan, Pakistan</t>
  </si>
  <si>
    <t>COMSATS University Islamabad (CUI); Sunway University; Gomal University</t>
  </si>
  <si>
    <t>Khan, I (corresponding author), Sunway Univ, Business Sch, Dept Management, Subang Jaya, Malaysia.</t>
  </si>
  <si>
    <t>iftikharmarwat792@gmail.com; ismailwazir048@gmail.com; sayal@cuiatd.edu.pk; zubairmwt09@gmail.com</t>
  </si>
  <si>
    <t>; Khan, Ismail/ACN-5409-2022</t>
  </si>
  <si>
    <t>Sayal, Aziz Ullah/0000-0003-2603-5968;</t>
  </si>
  <si>
    <t>FEB 11</t>
  </si>
  <si>
    <t>10.1108/JES-07-2020-0317</t>
  </si>
  <si>
    <t>ZD5IF</t>
  </si>
  <si>
    <t>WOS:000627908500001</t>
  </si>
  <si>
    <t>Suryavanshi, U; Chaudhry, R; Arora, M; Mittal, A</t>
  </si>
  <si>
    <t>Suryavanshi, Urvashi; Chaudhry, Rishi; Arora, Meenal; Mittal, Amit</t>
  </si>
  <si>
    <t>Mapping the evolution of financial inclusion: a retrospective overview using bibliometric analysis</t>
  </si>
  <si>
    <t>GLOBAL KNOWLEDGE MEMORY AND COMMUNICATION</t>
  </si>
  <si>
    <t>Network visualization; Bibliometric; VOS viewer; Financial inclusion; Co-citation analysis; Bibliographic coupling</t>
  </si>
  <si>
    <t>ECONOMIC-GROWTH; INEQUALITY; SCIENCE; ACCESS; FIELD</t>
  </si>
  <si>
    <t>PurposeThe purpose of this paper is to analyze the existing literature in the domain of financial inclusion and emphasizing forthcoming trends. It examines recent literature while assessing the geographical distribution, identifying well-known authors, publications, journals and keyword occurrences.Design/methodology/approachBased on a scientific search technique, bibliometric analysis in the field of financial inclusion was carried out on a sample of 2,125 Scopus documents for the years 2004-2022. A VOS viewer was used in the study as a tool for performance evaluation and analysis of the science mapping.FindingsThe bibliometric analysis illustrates that India and the USA are dominating in financial inclusion field with significant contributions. The most well-known authors were Ghosh, S. and Munene, J.C. and International Journal of Social Economics was considered as the best journal. Finally, six prominent clusters were identified through keyword analysis. The major themes revolve around digitalization, economic development, demographic and geographic factors and financial literacy.Practical implicationsThe research helps in providing information for formulating financial inclusion policies for RBI and Government of India. A comprehensive literature assessment is useful for future scholars to develop a solid conceptual framework. This research would help practitioners to formulate strategies for rural population to enhance their earnings, investments and money.Originality/valueThis study can supply data to describe the framework of earlier financial inclusion studies and provides potential directions for future research.</t>
  </si>
  <si>
    <t>[Suryavanshi, Urvashi; Chaudhry, Rishi] Maharshi Dayanand Univ, Inst Management Studies &amp; Res, Rohtak, India; [Arora, Meenal; Mittal, Amit] Chitkara Univ, Chitkara Business Sch, Rajpura, India</t>
  </si>
  <si>
    <t>Maharshi Dayanand University; Chitkara University, Punjab</t>
  </si>
  <si>
    <t>Arora, M (corresponding author), Chitkara Univ, Chitkara Business Sch, Rajpura, India.</t>
  </si>
  <si>
    <t>meenal.bajaj20@gmail.com</t>
  </si>
  <si>
    <t>Arora, Meenal/ADH-7267-2022; Mittal, Amit/AAD-2112-2019</t>
  </si>
  <si>
    <t>Mittal, Amit/0000-0002-1191-4620</t>
  </si>
  <si>
    <t>2514-9342</t>
  </si>
  <si>
    <t>2514-9350</t>
  </si>
  <si>
    <t>GLOB KNOWL MEM COMMU</t>
  </si>
  <si>
    <t>Glob. Knowl. Mem. Commun.</t>
  </si>
  <si>
    <t>2024 JUN 17</t>
  </si>
  <si>
    <t>10.1108/GKMC-11-2023-0452</t>
  </si>
  <si>
    <t>TZ1C2</t>
  </si>
  <si>
    <t>WOS:001244978800001</t>
  </si>
  <si>
    <t>Alaro, AAM; Alalubosa, AH</t>
  </si>
  <si>
    <t>Alaro, AbdulRazzaq Abdul-Majeed; Alalubosa, Abdulrahman Habeeb</t>
  </si>
  <si>
    <t>Potential of Shari'ah compliant microfinance in alleviating poverty in Nigeria A lesson from Bangladesh</t>
  </si>
  <si>
    <t>Microfinance; Zakat; Poverty alleviation; Waqf; Mudharabah; Musharakah</t>
  </si>
  <si>
    <t>Purpose - This paper aims to explore the option of Shari'ah-compliant microfinance as a viable alternative to many previous approaches adopted by the Nigerian State in tackling the menace of poverty in the land. In spite of many poverty alleviation policies and interventions of the past three decades, millions of Nigerians still live in abject poverty, while thousands of university graduates roam the streets looking for jobs. Many unemployed Nigerians with good business ideas are usually discouraged by the alarmingly high interest rate charged on start-up capitals by local banks. Design/methodology/approach - To achieve its objective, this paper used both analytical and qualitative methods after thoroughly examining many relevant literature and empirical works. The study explores four Shari'ah tools for the implementation of the proposed scheme, to wit: musharakah, mudharabah, zakat and waqf. Findings - The study finds that the suggested Shari'ah tools are viable and sustainable in lunching microfinance projects in the Nigerian context. The paper further argues that exploring Islamic non-interest microfinance options will guarantee the financial inclusion of a large percentage of Nigerians, pursuant to the Constitutional provision on economic rights of the entire citizenry (s.16 of the 1999 Constitution of the Federal Republic of Nigeria, as amended). Originality/value - The paper identifies a yet-to-be explored viable option, with great potential not only in enhancing government policies for poverty alleviation but also in assuring a large percentage of the citizens of financial inclusion.</t>
  </si>
  <si>
    <t>[Alaro, AbdulRazzaq Abdul-Majeed] Univ Ilorin, Dept Islamic Law, Ilorin, Nigeria; [Alalubosa, Abdulrahman Habeeb] Int Inst Islamic Banking &amp; Finance, Kano, Nigeria</t>
  </si>
  <si>
    <t>Alaro, AAM (corresponding author), Univ Ilorin, Dept Islamic Law, Ilorin, Nigeria.</t>
  </si>
  <si>
    <t>aralaro@hotmail.com</t>
  </si>
  <si>
    <t>10.1108/IMEFM-01-2017-0021</t>
  </si>
  <si>
    <t>JT4CM</t>
  </si>
  <si>
    <t>WOS:000500939200006</t>
  </si>
  <si>
    <t>Abd Wahab, N; Bin-Nashwan, SA; Chik, MN; Hussin, MYM</t>
  </si>
  <si>
    <t>Abd Wahab, Norazlina; Bin-Nashwan, Saeed Awadh; Chik, Mohd Nazri; Hussin, Mohd Yahya Mohd</t>
  </si>
  <si>
    <t>ISLAMIC SOCIAL FINANCE INITIATIVES: AN INSIGHT INTO BANK ISLAM MALAYSIA BERHAD'S INNOVATIVE BANGKIT MICROFINANCE PRODUCT</t>
  </si>
  <si>
    <t>Financial inclusion; Islamic bank; Islamic social finance; Microfinance; Sustainability</t>
  </si>
  <si>
    <t>INSTITUTIONS; PERFORMANCE</t>
  </si>
  <si>
    <t>Purpose - The aim of this study is to explore the initiative taken by Bank Islam Malaysia Berhad (BIMB) in upholding Islamic social finance (ISF) through the innovative BangKIT Microfinance product. Design/Methodology/Approach - This paper adopts the qualitative approach to review and synthesise the relevant literature on microfinance and Islamic microfinance and, moreover, analyses the BangKIT Microfinance product offered by BIMB. Findings - The paper identifies the ISF initiative undertaken by BIMB as one of the primary objectives of Islamic banks with the noble aim to contribute to the society. This study makes some recommendations for further improvement of the product to unlock the full potential of ISF. It also proposes such a unique sadaqah-based product to other Islamic financial institutions (IFIs) and Islamic microfinance institutions (IsMFIs) to promote the provision of credits to individuals and businesses that lack access to fundamental financial products and services. Originality/Value - This paper sheds light on the use of loans and sadaqah-based products as a microfinance initiative offered by an Islamic bank. Although there are several microfinance institutions (MFIs) in Malaysia, this product is amongst the pioneer contributions to the role of Islamic banks in ISF.</t>
  </si>
  <si>
    <t>[Abd Wahab, Norazlina] Univ Utara Malaysia, Islamic Business Sch, Inst Shariah Governance &amp; Islamic Finance, Sintok, Kedah, Malaysia; [Bin-Nashwan, Saeed Awadh] Curtin Univ, Fac Business, Miri, Malaysia; [Chik, Mohd Nazri] Bank Islamic Malaysia Berhad, Kuala Lumpur, Malaysia; [Hussin, Mohd Yahya Mohd] Univ Pendidikan Sultan Idris, Fac Econ &amp; Management, Darul Ridzuan, Perak, Malaysia</t>
  </si>
  <si>
    <t>Universiti Utara Malaysia; Curtin University Malaysia; Universiti Pendidikan Sultan Idris</t>
  </si>
  <si>
    <t>Abd Wahab, N (corresponding author), Univ Utara Malaysia, Islamic Business Sch, Inst Shariah Governance &amp; Islamic Finance, Sintok, Kedah, Malaysia.</t>
  </si>
  <si>
    <t>norazlina.aw@uum.edu.my</t>
  </si>
  <si>
    <t>Bin-Nashwan, Saeed A./W-6643-2018; Wahab, Norazlina/K-4900-2016</t>
  </si>
  <si>
    <t>10.55188/ijif.v15i1.483</t>
  </si>
  <si>
    <t>HD9C4</t>
  </si>
  <si>
    <t>WOS:001157663700003</t>
  </si>
  <si>
    <t>García, LDG; Aranda, GMZ; Concha, EJT</t>
  </si>
  <si>
    <t>Garcia, Luis Demetrio Gomez; Aranda, Gloria Maria Zambrano; Concha, Emerson Jesus Toledo</t>
  </si>
  <si>
    <t>Beyond the counter: unveiling the financial informality dynamics of female entrepreneurs in Lima's Bodega sector</t>
  </si>
  <si>
    <t>Informal female entrepreneurship; Informal business practices; Financial literacy; Financial inclusion; Convenience store; Bodega</t>
  </si>
  <si>
    <t>INCLUSION; ECONOMY; LITERACY; DETERMINANTS; GEOGRAPHY; POVERTY; IMPACT; WOMEN</t>
  </si>
  <si>
    <t>Purpose - This study examines the interrelations among educational level, financial literacy, financial inclusion and informal financial business practices of female entrepreneurs in Lima, Peru, focusing on their intentions toward business formalization. Additionally, it explores the influence of legal formalization on both business formality and tendencies toward informality intentions. Design/methodology/approach - The methodology involved a self-administered survey among 118 female entrepreneurs in the small vendor Bodega sector, with statistical analysis conducted via partial least structural equation modeling. Findings - The study's outcomes validated the significant role of financial literacy and inclusion as mediators between educational level and formalization intentions. Notably, legal formalization did not significantly alter these dynamics. Research limitations/implications - Limitations arise from the study's explanatory power and lack of predictive capability for all dependent variables, likely due to sample specificity. Additionally, the quantitative research approach does not allow for a deeper understanding of these phenomena. Practical implications - We advocate reevaluating prevailing attitudes toward legal formality and informal practices, emphasizing tailored public policies for older female entrepreneurs and access to formal financing independent of legal registration. This underscores the need for enhanced educational levels for young women and coordinated efforts among institutional actors to more effectively promote formality. Originality/value - This research contributes original insights into the emphasis on informal practices over mere legal registration, especially pertinent to female entrepreneurship. It also highlights the counterintuitive significant inverse relationship between age and formalization intentions, enriching the discourse on entrepreneurial motivation.</t>
  </si>
  <si>
    <t>[Garcia, Luis Demetrio Gomez; Aranda, Gloria Maria Zambrano; Concha, Emerson Jesus Toledo] Pontificia Univ Catol Peru, Acad Dept Accounting Sci, Lima, Peru</t>
  </si>
  <si>
    <t>García, LDG (corresponding author), Pontificia Univ Catol Peru, Acad Dept Accounting Sci, Lima, Peru.</t>
  </si>
  <si>
    <t>l.gomez@pucp.edu.pe; gzambrano@pucp.edu.pe; toledo.ej@pucp.edu.pe</t>
  </si>
  <si>
    <t>; Gómez García, Luis Demetrio/ACJ-3185-2022</t>
  </si>
  <si>
    <t>Toledo, Emerson/0000-0002-1660-0305; Gómez García, Luis Demetrio/0000-0001-8038-5315; ZAMBRANO ARANDA, GLORIA MARÍA/0000-0001-6021-5757</t>
  </si>
  <si>
    <t>Pontificia Universidad Catolica del Peru [PI1018, (2023) CAP 2023]</t>
  </si>
  <si>
    <t>This research was funded by the Concurso Anual de Proyectos de Investigacion PUCP 2023 (Annual Competition of Research Projects PUCP 2023) CAP 2023 of the Pontificia Universidad Catolica del Peru. The project is number PI1018 and is entitled: Improving the perception of entrepreneurs towards the formalization of businesses in the convenience store sector of Lima, Peru, year 2023: a research proposal with social impact.</t>
  </si>
  <si>
    <t>2024 NOV 12</t>
  </si>
  <si>
    <t>10.1108/JSBED-03-2024-0172</t>
  </si>
  <si>
    <t>L6F2R</t>
  </si>
  <si>
    <t>WOS:001351649300001</t>
  </si>
  <si>
    <t>Opiniano, JM</t>
  </si>
  <si>
    <t>Opiniano, Jeremaiah M.</t>
  </si>
  <si>
    <t>Remittances and the financial capabilities of migrant households in the Philippines</t>
  </si>
  <si>
    <t>financial capabilities; overseas remittances; migrant households; Philippines; rural hometown investing</t>
  </si>
  <si>
    <t>This exploratory mixed methods study sought to determine the financial capabilities of remittance-receiving households from two rural municipalities in the Philippines: San Nicolas in Ilocos Norte province and Moncada in Tarlac province. The broader concept of financial capabilities not only looks at people's financial literacy but also their financial inclusion (access to financial products) and financial functionings (actions on finance). Quantitative household surveys and qualitative data gathering methods that fall under a rapid qualitative inquiry (RQI) design were employed. Results and findings show that more remittance households from San Nicolas saved, invested, and did business in their hometown compared to counterpart migrant household respondents from Moncada. Differences in migrant households' levels of financial literacy, as well as the geographic make-up and economic activities of the two municipalities, may help explain why one municipality had more migrant investors, savers, and entrepreneurs over the other.</t>
  </si>
  <si>
    <t>[Opiniano, Jeremaiah M.] Univ Santo Tomas, Manila, Philippines</t>
  </si>
  <si>
    <t>University of Santo Tomas</t>
  </si>
  <si>
    <t>Opiniano, JM (corresponding author), Univ Santo Tomas, Dept Commun &amp; Media Studies, Espana Blvd, Manila 1008, Philippines.</t>
  </si>
  <si>
    <t>jmopiniano@ust.edu.ph</t>
  </si>
  <si>
    <t>Opiniano, Jeremaiah/R-9153-2017</t>
  </si>
  <si>
    <t>Opiniano, Jeremaiah/0000-0003-3847-9494</t>
  </si>
  <si>
    <t>10.1177/01171968211044573</t>
  </si>
  <si>
    <t>WH5MY</t>
  </si>
  <si>
    <t>WOS:000699947900001</t>
  </si>
  <si>
    <t>Ferilli, GB; Palmieri, E; Miani, S; Stefanelli, V</t>
  </si>
  <si>
    <t>Ferilli, Greta Benedetta; Palmieri, Egidio; Miani, Stefano; Stefanelli, Valeria</t>
  </si>
  <si>
    <t>The impact of FinTech innovation on digital financial literacy in Europe: Insights from the banking industry</t>
  </si>
  <si>
    <t>Financial literacy; Digital skills; FinTech; Financial inclusion; Banking</t>
  </si>
  <si>
    <t>MODELS</t>
  </si>
  <si>
    <t>Within the evolving financial industry, characterised by the proliferation of FinTech and exacerbated by the Covid-19 , this paper investigates the unexplored relationship between financial, social, infrastructural factors and the level of digital financial divide (DFD) in Europe. Applying a difference-in-difference model, the study reveals that innovation in financial services correlates with a reduced DFD, further reinforced by improved digital infrastructure and social progress. However, the post-Covid environment has widened the gap in EU financially illiterate regions. Our results hold relevance for policymakers, governments, and supervisory banking authorities, indicating the most effective areas for intervention in lowering the country's DFD, but they could also support banks in the design of tailor-made digitalization strategies.</t>
  </si>
  <si>
    <t>[Ferilli, Greta Benedetta; Stefanelli, Valeria] Univ Salento, Dept Econ Sci, Lecce, Italy; [Ferilli, Greta Benedetta; Palmieri, Egidio] Bangor Business Sch, Bangor, Wales; [Palmieri, Egidio; Miani, Stefano] Univ Udine, Dept Econ &amp; Stat, Udine, Italy</t>
  </si>
  <si>
    <t>University of Salento; Bangor University; University of Udine</t>
  </si>
  <si>
    <t>Ferilli, GB (corresponding author), Univ Salento, Dept Econ Sci, Lecce, Italy.</t>
  </si>
  <si>
    <t>greta.ferilli@unisalento.it; egidio.palmieri@uniud.it; stefano.miani@uniud.it; valeria.stefanelli@unisalento.it</t>
  </si>
  <si>
    <t>Palmieri, Egidio/JCO-4746-2023; Ferilli, Greta Benedetta/AEV-0075-2022</t>
  </si>
  <si>
    <t>Palmieri, Egidio/0000-0001-9216-3664; Ferilli, Greta Benedetta/0000-0002-5676-8065</t>
  </si>
  <si>
    <t>European Union [202288NZT7-CUP F53D23002960006]</t>
  </si>
  <si>
    <t>We express our gratitude to the organizers of the Corporate Governance and Risk Management in Financial Institutions (CGRM) 2023 Conference in Rome, the European Academy of Management (EURAM) 2023 Conference, hosted by Trinity Business School in Dublin and ADEIMF Conference 2023 hosted by University of Florence. We would like to extend our appreciation to Prof. Yener Altunbas, Prof. Andrea Paltrinieri, and Prof. Daniele Previati for their valuable insights and suggestions, which have significantly contributed to the enhancement of our manuscript.Project funded under the PRIN 2022, European Union -Next Generation EU, Project NO. 202288NZT7-CUP F53D23002960006.</t>
  </si>
  <si>
    <t>10.1016/j.ribaf.2024.102218</t>
  </si>
  <si>
    <t>JH1U2</t>
  </si>
  <si>
    <t>WOS:001172190100001</t>
  </si>
  <si>
    <t>Meyer, J; Krauss, A</t>
  </si>
  <si>
    <t>Meyer, Julia; Krauss, Annette</t>
  </si>
  <si>
    <t>The social performance of microfinance investment vehicles</t>
  </si>
  <si>
    <t>Microfinance investment vehicle; social performance; ESG measurement; ESG rating; ESG index construction; impact investing</t>
  </si>
  <si>
    <t>MUTUAL FUND PERFORMANCE; INSTITUTIONS; IMPACT; RESPONSIBILITY; OUTREACH</t>
  </si>
  <si>
    <t>Assessing whether investments result in the desired non-financial performance is a key concern in the fast growing field of impact investments, including microfinance. The social performance of the institutions that offer financial inclusion services to underprivileged populations has come under increasing scrutiny, whereas the social performance of the investment vehicles that in turn finance these institutions is researched less. This paper makes use of several large data sets to develop an approach to measure the social performance of microfinance investment vehicles. Drawing on methods from empirical social science and the literature on non-financial ratings of firms, we develop formal quality criteria that the selection of individual social performance indicators and their aggregation into a single metric need to satisfy..</t>
  </si>
  <si>
    <t>[Meyer, Julia; Krauss, Annette] Univ Zurich, Ctr Sustainable Finance &amp; Private Wealth, Dept Banking &amp; Finance, Plattenstr 32, CH-8032 Zurich, Switzerland</t>
  </si>
  <si>
    <t>Meyer, J (corresponding author), Univ Zurich, Ctr Sustainable Finance &amp; Private Wealth, Dept Banking &amp; Finance, Plattenstr 32, CH-8032 Zurich, Switzerland.</t>
  </si>
  <si>
    <t>julia.meyer@bf.uzh.ch</t>
  </si>
  <si>
    <t>Meyer, Julia Annette/0000-0002-1140-9050; Krauss, Annette/0000-0003-1259-3125</t>
  </si>
  <si>
    <t>Swiss Finance Institute (Analyzing Microfinance Markets)</t>
  </si>
  <si>
    <t>This work was supported by Swiss Finance Institute (Analyzing Microfinance Markets).</t>
  </si>
  <si>
    <t>10.1080/20430795.2020.1715094</t>
  </si>
  <si>
    <t>RD1CA</t>
  </si>
  <si>
    <t>WOS:000512763700001</t>
  </si>
  <si>
    <t>Esposito, TJ</t>
  </si>
  <si>
    <t>Esposito, Thomas J.</t>
  </si>
  <si>
    <t>Student loan debt in retirement: identifying the correlates and implications for policy, practice and research</t>
  </si>
  <si>
    <t>Student loan debt; Financial literacy; Financial fragility; Retirement; Financial education</t>
  </si>
  <si>
    <t>FINANCIAL EDUCATION; LITERACY; HEALTH; GENDER</t>
  </si>
  <si>
    <t>PurposeResearch shows that having student loan debt in retirement is associated negatively with life satisfaction, suggesting that student debt is a bane of retiree well-being. The rationale for this study is to determine the factors related to owing student debt in retirement, given the adverse effects on the well-being of retired households.Design/methodology/approachThe study utilizes pooled cross-sectional data from the 2015 and 2018 U.S. National Financial Capability Study. The empirical analysis uses a sample of retired Americans aged 65 years and older (N = approximately 8,000) and estimates two-block logistic regression models to examine the effects of demographic, socioeconomic and behavioral factors on student loan indebtedness in retirement. A sensitivity analysis is performed for the subsample of retirees holding student debt for their children's education. Statistical interpretations use odds ratios.FindingsThe findings indicate that financial literacy, age, homeownership and high subjective financial knowledge are associated with a low likelihood of holding student loan debt in retirement. However, being Black, having postsecondary education, having difficulty covering expenses, having financially dependent children, having high-risk preferences and spending more than income increase the likelihood of holding student debt in retirement. The ensuing discussion will assist financial planners and educators identify practical ways to shape decisions regarding student loan debt in retirement.Research limitations/implicationsThe amount of student loan debt is unavailable in the dataset for analysis. One cannot infer causal relations from the study. The factors examined do not reflect the time the student loan was obtained.Originality/valueThe study focuses on the determinants of student loan indebtedness among retired Americans rather than young adults or older adults on the verge of retirement. The paper enhances the understanding of student loan holdings in the decumulation phase of the life cycle. Many US individuals have low retirement savings from which they draw a retirement income. The more the student debt burdens on retired Americans, the greater the likelihood of outliving their resources and experiencing poverty.</t>
  </si>
  <si>
    <t>[Esposito, Thomas J.] Univ Arizona, Personal &amp; Family Financial Planning Program, Tucson, AZ 85724 USA</t>
  </si>
  <si>
    <t>Esposito, TJ (corresponding author), Univ Arizona, Personal &amp; Family Financial Planning Program, Tucson, AZ 85724 USA.</t>
  </si>
  <si>
    <t>tesposi@gmail.com</t>
  </si>
  <si>
    <t>Korankye, Thomas/0000-0001-6146-2725</t>
  </si>
  <si>
    <t>Take Charge America Institute for Consumer Financial Education and Research</t>
  </si>
  <si>
    <t>The author acknowledges receiving funding from the Take Charge America Institute for Consumer Financial Education and Research for this project. The paper's content is solely the author's responsibility. In addition, the author thanks Melissa Curran of the University of Arizona for her support and constructive feedback.</t>
  </si>
  <si>
    <t>MAR 26</t>
  </si>
  <si>
    <t>10.1108/MF-11-2022-0543</t>
  </si>
  <si>
    <t>LZ5H3</t>
  </si>
  <si>
    <t>WOS:001109471200001</t>
  </si>
  <si>
    <t>Thomas, NM; Mendiratta, P; Kashiramka, S</t>
  </si>
  <si>
    <t>Thomas, Nisha Mary; Mendiratta, Priyam; Kashiramka, Smita</t>
  </si>
  <si>
    <t>FinTech credit: uncovering knowledge base, intellectual structure and research front</t>
  </si>
  <si>
    <t>FinTech; Credit market; Innovation; Bibliometrics; Web of science</t>
  </si>
  <si>
    <t>TECHNOLOGY ACCEPTANCE MODEL; MOBILE PAYMENT SERVICES; PERCEIVED RISK; FINANCIAL INCLUSION; ELECTRONIC COMMERCE; PLANNED BEHAVIOR; BANKING SERVICES; DECISION-MAKING; INITIAL TRUST; PLS-SEM</t>
  </si>
  <si>
    <t>PurposeOwing to the dramatic rise of FinTech credit in the financial sector, this study describes its knowledge and intellectual structure and paves the way for future research.Design/methodology/approachThe study employs citation analysis, keyword analysis, co-author analysis, co-citation analysis and bibliographic coupling on 268 peer-reviewed articles published during 2010-2021 and extracted from the Web of Science database.FindingsResearch on FinTech credit has picked up momentum from 2016, with majority contributions from China, followed by UK and USA. International Journal of Bank Marketing is found to be the most productive journal. Co-citation analysis reveals that past studies have focused on three dominant themes, viz. (a) factors that influence user intention to adopt technological products and services (b) borrowers' and lenders' characteristics that impact fund-raising in FinTech credit platforms and (c) evolution of FinTech market over the years. Bibliographic coupling reveals that recent trends in FinTech credit include (a) impact of emerging technologies like blockchain, artificial intelligence, big data on financial system, (b) factors that encourage consumers to adopt the FinTech products and services, (c) mechanisms by which FinTechs have transformed formal credit markets, (d) factors that lead to successful fundraising in FinTech platforms and (e) critical perspectives on digital lending platforms.Originality/valueTo the best of the authors' knowledge, this is a pioneering study undertaking an exhaustive analysis of FinTech credit as a research area. The study offers valuable insights on potential topics of research in FinTech credit domain like investigating Balance Sheet Lending Model, investigating the impact of FinTechs on financial system, and new markets by collaborating with scholars of other regions.</t>
  </si>
  <si>
    <t>[Thomas, Nisha Mary] Int Sch Management Excellence, Bangalore, Karnataka, India; [Mendiratta, Priyam; Kashiramka, Smita] Indian Inst Technol Delhi, Dept Management Studies, New Delhi, India</t>
  </si>
  <si>
    <t>Indian Institute of Technology System (IIT System); Indian Institute of Technology (IIT) - Delhi</t>
  </si>
  <si>
    <t>Thomas, NM (corresponding author), Int Sch Management Excellence, Bangalore, Karnataka, India.</t>
  </si>
  <si>
    <t>nishamthomas11@gmail.com; Priyam.Mendiratta@dms.iitd.ac.in; smitak@dms.iitd.ac.in</t>
  </si>
  <si>
    <t>Kashiramka, Smita/AAM-5217-2020; Thomas, Nisha/L-9647-2016</t>
  </si>
  <si>
    <t>Mendiratta, Priyam/0000-0001-8249-2077;</t>
  </si>
  <si>
    <t>2023 AUG 15</t>
  </si>
  <si>
    <t>10.1108/IJBM-01-2023-0039</t>
  </si>
  <si>
    <t>O9AH9</t>
  </si>
  <si>
    <t>WOS:001046668400001</t>
  </si>
  <si>
    <t>Simumba, N; Okami, S; Kohtake, N</t>
  </si>
  <si>
    <t>Nie, JY; Obradovic, Z; Suzumura, T; Ghosh, R; Nambiar, R; Wang, C; Zang, H; BaezaYates, R; Hu, X; Kepner, J; Cuzzocrea, A; Tang, J; Toyoda, M</t>
  </si>
  <si>
    <t>Simumba, Naomi; Okami, Suguru; Kohtake, Naohiko</t>
  </si>
  <si>
    <t>Credit Decision Tool using Mobile Application Data for Microfinance in Agriculture</t>
  </si>
  <si>
    <t>2017 IEEE INTERNATIONAL CONFERENCE ON BIG DATA (BIG DATA)</t>
  </si>
  <si>
    <t>IEEE International Conference on Big Data (IEEE Big Data)</t>
  </si>
  <si>
    <t>DEC 11-14, 2017</t>
  </si>
  <si>
    <t>IEEE,IEEE Comp Soc,ELSEVIER,CISCO</t>
  </si>
  <si>
    <t>mobile application; decision support systems; support vector machines; agriculture; microfinance</t>
  </si>
  <si>
    <t>Smallholder agriculture is vital for food security and poverty reduction. Poor, unbanked smallholder farmers face challenges in obtaining loans for agriculture due to missing financial credit history. Although credit decisions tools with alternatives such as big data from mobile phones currently exist, these are mainly targeted towards consumer credit solutions. There is need for research focused on applying such data to credit decisions in agriculture, considering the unique challenges of the field. This research proposes a credit decision tool using alternative data from a mobile phone application used for reporting agricultural activities. 213 users submitted 41613 reports of farm activity by 11336 farmers over a 5-year period. Users were classified groups based on personal information, association with farmers, and reports. Three methods are applied for analysis: multiple logistic regression, a support vector machine with a linear kernel, and a support vector machine with a radial basis function kernel. Three sets of features, selected with different methods, are used. The results are evaluated by accuracy, and Area Under the Receiver operating curve (AUC). The support vector machine with a radial basis function kernel shows the best performance on the original data set with an Area Under the Receiver operating curve (AUC) value of 0.983. Feasibility of applying each method in agricultural microfinance is considered. Finally, further development of the models using Geographic Information System analysis of geospatial data which affects agricultural productivity, such as soil type and water resources, is suggested to incorporate the ability of the borrower to repay loans from farm activity.</t>
  </si>
  <si>
    <t>[Simumba, Naomi; Okami, Suguru; Kohtake, Naohiko] Keio Univ, Grad Sch Syst Design &amp; Management, Yokohama, Kanagawa, Japan</t>
  </si>
  <si>
    <t>naomi.simumba@keio.jp; yiu68252@nifty.com; kohtake@sdm.keio.ac.jp</t>
  </si>
  <si>
    <t>978-1-5386-2715-0</t>
  </si>
  <si>
    <t>BJ8DN</t>
  </si>
  <si>
    <t>WOS:000428073704101</t>
  </si>
  <si>
    <t>Compaore, ED; Guira, A; Maiga, B</t>
  </si>
  <si>
    <t>Compaore, Eugene Dimaviya; Guira, Asmo; Maiga, Boukare</t>
  </si>
  <si>
    <t>Mobile money and multidimensional energy poverty: a cross-national study of Burkina Faso and Togo</t>
  </si>
  <si>
    <t>Burkina Faso; instrumental variable; mobile money; multidimensional energy poverty; Togo; African Studies; Economics; Finance; Political Economy; Economics and Development; D14; O12; D12; I32; O55</t>
  </si>
  <si>
    <t>FINANCIAL INCLUSION; EMPIRICAL-EVIDENCE; HOUSEHOLD WELFARE; IMPACTS; PERSPECTIVE; REGRESSION; ADOPTION; PROVIDE; INCOME; COSTS</t>
  </si>
  <si>
    <t>Using data from the FinScop survey (2016), this study aims to analyse the effect of mobile money on multidimensional energy poverty (MEPI) in Burkina Faso and Togo. MEPI was calculated using the method of Alkire and Foster in 2011, and a linear regression based on the instrumental variable strategy was applied to control for endogeneity bias arising from the dual causality between energy poverty and mobile money. To test the robustness of our results, we used the endogenous switching regression (ESR) model to resolve the problems of self-selection bias and endogeneity. The average effects of treatment on the treated (ATT) and the untreated (ATU) were calculated from the coefficients of the ESR models. The incidence of multidimensional energy poverty was estimated at 90.7 and 91.1% in Burkina Faso and Togo, respectively. In addition, we found substantial differences between the subgroups in terms of multidimensional energy poverty in each of the countries. The results also robustly indicate that an increase in mobile money adoption per standard deviation is associated with a reduction in multidimensional energy poverty of -0.402 standard deviations in the case of Burkina Faso and -0.628 standard deviations in the case of Togo. We argue that mobile money can be an effective policy tool in the fight against energy poverty in developing countries. This research explores the impact of mobile money on multidimensional household fuel poverty by focusing on two developing countries (Burkina Faso and Togo). The comparative study between these two countries aims to shed light on the mechanisms by which mobile money influences household energy poverty. By analysing the effects of mobile money in different contexts, the study seeks to establish whether the results observed can be generalised. If the impact is similar in the two countries despite their differences, this would allow the conclusions to be applied on a more global level. The results highlight the need to integrate mobile money into policies aimed at reducing household energy poverty in developing countries.</t>
  </si>
  <si>
    <t>[Compaore, Eugene Dimaviya; Guira, Asmo; Maiga, Boukare] Thomas SANKARA Univ, Ctr Econ &amp; Social Studies Documentat &amp; Res CEDRES, 12P 417, Saaba, Burkina Faso</t>
  </si>
  <si>
    <t>Compaore, ED (corresponding author), Thomas SANKARA Univ, Ctr Econ &amp; Social Studies Documentat &amp; Res CEDRES, 12P 417, Saaba, Burkina Faso.</t>
  </si>
  <si>
    <t>MAIGA, Boukaré/0000-0002-9155-7095; GUIRA, Asmo/0009-0005-9558-7573; Dimaviya Eugène, COMPAORE/0000-0003-1732-2578</t>
  </si>
  <si>
    <t>10.1080/23322039.2024.2399758</t>
  </si>
  <si>
    <t>E9Z3E</t>
  </si>
  <si>
    <t>WOS:001306505200001</t>
  </si>
  <si>
    <t>McKenzie, D; Woodruff, C</t>
  </si>
  <si>
    <t>McKenzie, David; Woodruff, Christopher</t>
  </si>
  <si>
    <t>Experimental Evidence on Returns to Capital and Access to Finance in Mexico</t>
  </si>
  <si>
    <t>A strong theoretical argument for focusing on access to finance is that financial market imperfections can result in large inefficiencies, as firms with productive investment opportunities underinvest. Lack of access to finance is a frequent complaint of microenterprises, which account for a large share of employment in developing countries. However, assessing the extent to which a lack of capital affects their business profits is complicated by the fact that business investment is likely to be correlated with a host of unmeasured characteristics of the owner and firm, such as entrepreneurial ability and demand shocks. In a randomized experiment that gave cash and in-kind grants to small retail firms, providing an exogenous shock to capital, the shock generated large increases in profits, with the effects concentrated among firms that were more financially constrained. The estimated return to capital was at least 20-33 percent a month-025EFthree to five times higher than market interest rates.</t>
  </si>
  <si>
    <t>[McKenzie, David] World Bank, Dev Res Grp, Res Unit, Finance &amp; Private Sector, Washington, DC USA; [Woodruff, Christopher] Univ Calif San Diego, Grad Sch Int Relat &amp; Pacific Studies, La Jolla, CA 92093 USA</t>
  </si>
  <si>
    <t>The World Bank; University of California System; University of California San Diego</t>
  </si>
  <si>
    <t>McKenzie, D (corresponding author), World Bank, Dev Res Grp, Res Unit, Finance &amp; Private Sector, Washington, DC USA.</t>
  </si>
  <si>
    <t>dmckenzie@worldbank.org; cwoodruff@ucsd.edu</t>
  </si>
  <si>
    <t>10.1093/wber/lhn017</t>
  </si>
  <si>
    <t>WOS:000261892200004</t>
  </si>
  <si>
    <t>Chaurasiya, JK; Singh, BP</t>
  </si>
  <si>
    <t>Chaurasiya, Jitendra Kumar; Singh, Bhanu Pratap</t>
  </si>
  <si>
    <t>Do financial inclusion and institutional quality impact stock market development? Evidence from BRICS</t>
  </si>
  <si>
    <t>Financial inclusion; Stock market development; Institutional quality; G38; O16; E44</t>
  </si>
  <si>
    <t>CORPORATE GOVERNANCE; ECONOMIC-GROWTH; CORRUPTION; MATTER; DETERMINANTS; PERFORMANCE; INCOME</t>
  </si>
  <si>
    <t>Stock market development (SMD) plays a crucial role in promoting economic growth and financial stability in emerging economies. As these economies become more influential globally, understanding the factors driving SMD is increasingly important. Institutional quality (IQ) and financial inclusion (FI) are two key, interconnected factors: IQ enhances investor confidence and market efficiency, while FI broadens access to financial services. This study, therefore, examines the impact of institutional quality, financial inclusion, and their interaction on stock market development in BRICS countries from 2012 to 2020. Random-effects panel regression with Driscoll-Kraay standard errors is employed to examine the relationships, while two-stage least squares instrumental variables (2SLS-IV) address potential endogeneity and test the robustness of the results. Further, Diagnostic tests, including Anderson LM, Cragg-Donald F, Stock-Yogo, Sargan/Hansen J, and the Endogeneity Test, were conducted to validate the 2SLS-IV results. The major finding is that strong institutions promote stock market development, whereas the impact of financial inclusion is insignificant. Additionally, financial inclusion with better governance levels also restrains stock market development. The reason behind this finding could be that increased financial inclusion may dampen the positive effects of IQ by governance-backed financial inclusion in emerging markets often prioritises basic banking and safer assets, which, while promoting stability, can divert resources and limit growth in the stock market in emerging economies. The findings suggest that policymakers in BRICS countries must adopt a balanced approach that strengthens institutional frameworks while promoting responsible financial inclusion. By fostering transparent regulations and enhancing financial literacy, BRICS nations can develop more stable stock markets, thus ensuring sustainable economic growth and resilience in the global financial landscape.</t>
  </si>
  <si>
    <t>[Chaurasiya, Jitendra Kumar] Banaras Hindu Univ, Dept Econ, Varanasi 221005, Uttar Pradesh, India; [Singh, Bhanu Pratap] Banaras Hindu Univ, Econ Sect, Mahila Mahavidyalaya, Varanasi 221005, Uttar Pradesh, India</t>
  </si>
  <si>
    <t>Banaras Hindu University (BHU); Banaras Hindu University (BHU)</t>
  </si>
  <si>
    <t>10.1007/s40822-025-00340-z</t>
  </si>
  <si>
    <t>9HC1B</t>
  </si>
  <si>
    <t>WOS:001606201200001</t>
  </si>
  <si>
    <t>Guo, YS; Naseer, MM</t>
  </si>
  <si>
    <t>Guo, Yongsheng; Naseer, Mirza Muhammad</t>
  </si>
  <si>
    <t>Financial Pathways to Sustainability-The Effects of Financial Inclusion, Development, and Innovation on Shaping ESG Readiness in Low- and Middle-Income Countries</t>
  </si>
  <si>
    <t>financial inclusion; financial development; sustainable development; ESG readiness</t>
  </si>
  <si>
    <t>CROSS-SECTIONAL DEPENDENCE; TESTING SLOPE HOMOGENEITY; LAGRANGE MULTIPLIER TEST; PANEL COINTEGRATION; ECONOMIC-GROWTH; MODEL</t>
  </si>
  <si>
    <t>This study investigates the impacts of financial inclusion, development, and technological innovation on ESG readiness across low-income, lower-middle-income, and upper-middle-income countries from 2004 to 2020. Grounded in an augmented environmental Kuznets curve framework, financial intermediation, and financial literacy theories, the analysis employs a panel data approach. Results from panel and quantile regressions reveal that financial inclusion and financial development positively influence ESG readiness, with stronger effects in less financially developed countries. However, in upper-middle-income countries, excessive credit may increase energy-intensive consumption, moderating sustainability gains. Financial inclusion negatively affects ESG readiness at lower quantiles in low-innovation contexts but enhances it at higher quantiles in high-innovation settings. Financial development consistently supports ESG readiness, which is amplified by technological innovation. Effects are stronger in less financially developed countries, moderated by energy-intensive consumption in upper-middle-income economies. The findings underscore the critical role of technological infrastructure in maximising the sustainability benefits of financial systems, advocating for technology-supported financial inclusion and green financing. This study enriches the sustainable development literature and informs policies for achieving the UN Sustainable Development Goals.</t>
  </si>
  <si>
    <t>[Guo, Yongsheng; Naseer, Mirza Muhammad] Teesside Univ, Int Business Sch, Middlesbrough TS1 3BA, England</t>
  </si>
  <si>
    <t>University of Teesside</t>
  </si>
  <si>
    <t>Guo, YS (corresponding author), Teesside Univ, Int Business Sch, Middlesbrough TS1 3BA, England.</t>
  </si>
  <si>
    <t>y.guo@tees.ac.uk; m.naseer@tees.ac.uk</t>
  </si>
  <si>
    <t>Guo, Yongsheng/HTR-2778-2023; Naseer, Mirza Muhammad/AAO-5866-2021</t>
  </si>
  <si>
    <t>10.3390/ijfs13030122</t>
  </si>
  <si>
    <t>7UR0V</t>
  </si>
  <si>
    <t>WOS:001580079900001</t>
  </si>
  <si>
    <t>Malquín, DMS; Cano, JRM; Hidalgo, MVA; Cevallos, CYD; Escobar, MPC</t>
  </si>
  <si>
    <t>Sandoval Malquin, Danny Mauricio; Morillo Cano, Julio Rodrigo; Aveiga Hidalgo, Maria Veronica; Dorado Cevallos, Cristian Yovao; Chalacan Escobar, Monica Patricia</t>
  </si>
  <si>
    <t>STRATEGIC TOOLS FOR STRENGTHENING THE FINANCIAL EDUCATION IN RURAL PARISHES IN THE TULCAN CANTON</t>
  </si>
  <si>
    <t>REVISTA CONRADO</t>
  </si>
  <si>
    <t>Finance; financial education; financial inclusion</t>
  </si>
  <si>
    <t>The economic environment of the rural sector in the Tulcan Canton, characterized by being a primary livestock farming, has had a slow growth in recent years. Under this scenario, it is proposed to improve the level of financial education, as a fundamental basis in money management. A qualitative-quantitative research process is carried out, of a descriptive and correlational type. The survey and interview were used in gathering information on financial behavior; where it is possible to identify the inefficient application of the basic principles of finance, with a weak insertion in the financial system. Under these circumstances, a strategic model of theoretical and practical application on fundamental elements of financial education is proposed.</t>
  </si>
  <si>
    <t>[Sandoval Malquin, Danny Mauricio; Morillo Cano, Julio Rodrigo; Aveiga Hidalgo, Maria Veronica; Dorado Cevallos, Cristian Yovao; Chalacan Escobar, Monica Patricia] Univ Reg Autonoma Los Andes, Quevedo, Ecuador</t>
  </si>
  <si>
    <t>Universidad Regional Autonoma de los Andes (UNIANDES)</t>
  </si>
  <si>
    <t>Malquín, DMS (corresponding author), Univ Reg Autonoma Los Andes, Quevedo, Ecuador.</t>
  </si>
  <si>
    <t>ut.dannysandoval@uniandes.edu.ec; ut.jullomorillo@uniandes.eclu.ec; ut.mariaaveiga@uniandes.edu.ec; ut.c.sistemas@uniandes.edu.ec; ct.monicapce71@uniandes.edu.ec</t>
  </si>
  <si>
    <t>1990-8644</t>
  </si>
  <si>
    <t>REV CONRADO</t>
  </si>
  <si>
    <t>REV. CONRADO</t>
  </si>
  <si>
    <t>OW7EO</t>
  </si>
  <si>
    <t>WOS:000593045400015</t>
  </si>
  <si>
    <t>Ketchoua, GS; Wirajing, MAK; Mba, JC</t>
  </si>
  <si>
    <t>Ketchoua, Germain Stephane; Wirajing, Muhamadu Awal Kindzeka; Mba, Jules Clement</t>
  </si>
  <si>
    <t>Advancing agro-environmental sustainability in developing economies: the moderating role of governance in aligning inclusive justice and financial inclusion</t>
  </si>
  <si>
    <t>Agro-environmental sustainability; Developing Countries; Financial inclusion; Governance; Inclusive justice</t>
  </si>
  <si>
    <t>NITROUS-OXIDE EMISSIONS; AGRICULTURE; METHANE; AGROBIODIVERSITY; TECHNOLOGY; INEQUALITY; SYSTEMS; GDP</t>
  </si>
  <si>
    <t>The agricultural sector in developing nations grapples with formidable environmental challenges, posing significant threats to ecosystems and sustainable development. This study explores the pivotal role of governance in mediating the impact of inclusive justice and financial inclusion on agro-environmental sustainability across 83 developing countries from 2000 to 2020. Utilising the Environmental Kuznets Curve (EKC) and the Stochastic Impacts by Regression on Population, Affluence, and Technology (STIRPAT) framework, empirical analyses employing System GMM methodologies unveil critical insights. The findings suggest that inclusive justice and effective governance positively influence agro-environmental sustainability, while financial inclusion exacerbates agricultural emissions. Importantly, this relationship persists even after accounting for income bracket, adjusting for gender justice and various financial inclusion specifications. Furthermore, we observe that the interaction between inclusive justice governance tends to increase agricultural emissions, while financial inclusion coupled with governance, boost agro-environmental sustainability. These conclusions carry significant implications for policymakers in developing countries. Prioritizing inclusive justice within agricultural sector is crucial to ensure equitable access to resources, information, and decision-making processes, particularly for marginalized groups. Additionally, in an economy with an efficient governance structure, targeted interventions like financial literacy programs and incentives for environmentally friendly activities and technological advancements can promote sustainable farming methods and agro-environmental sustainability initiatives.</t>
  </si>
  <si>
    <t>[Ketchoua, Germain Stephane] Univ Johannesburg, Coll Business &amp; Econ, South African Res Chair SARChI Ind Dev, Sch Econ, Johannesburg, South Africa; [Wirajing, Muhamadu Awal Kindzeka] Univ Dschang, Dept Econ Policy Anal, Dschang, Cameroon; [Mba, Jules Clement] Univ Johannesburg, Coll Business &amp; Econ, Sch Econ, Johannesburg, South Africa</t>
  </si>
  <si>
    <t>University of Johannesburg; Universite de Dschang; University of Johannesburg</t>
  </si>
  <si>
    <t>Ketchoua, GS (corresponding author), Univ Johannesburg, Coll Business &amp; Econ, South African Res Chair SARChI Ind Dev, Sch Econ, Johannesburg, South Africa.</t>
  </si>
  <si>
    <t>stephanegk@yahoo.com; wirajingmuhamadu@gmail.com; jmba@uj.ac.za</t>
  </si>
  <si>
    <t>Ketchoua, Stephane/LZI-4830-2025; , Wirajing Muhamadu Awal Kindzeka/JLM-2631-2023</t>
  </si>
  <si>
    <t>10.1007/s43621-025-02041-8</t>
  </si>
  <si>
    <t>WOS:001626502300010</t>
  </si>
  <si>
    <t>Chen, YR; Huang, RX; Zeng, YG; Huang, Q</t>
  </si>
  <si>
    <t>Chen, Yuran; Huang, Ruoxuan; Zeng, Yangge; Huang, Qian</t>
  </si>
  <si>
    <t>Research on the impact of digital inclusive finance on the performance of rural returnee entrepreneurs in China</t>
  </si>
  <si>
    <t>Digital inclusive finance; Entrepreneurial performance; Digital divide; Rural migrants; Behaviour</t>
  </si>
  <si>
    <t>Using data from the 2019 China Household Finance Survey (CHFS), this paper explores the impact of digital inclusive finance on the entrepreneurial performance of returning rural migrants. The study first finds that digital inclusive finance can enhance the entrepreneurial performance of returning rural migrants. Second, it significantly improves entrepreneurial performance in three dimensions: the degree of digitization in inclusive finance, the depth of digital financial usage, and the breadth of digital financial coverage. Third, farmers' digital participation, digital usage, and the extent of digital usage are crucial pathways through which digital inclusive finance influences their entrepreneurial performance. Fourth, the impact of digital inclusive finance on entrepreneurial performance varies according to different types of migration, duration of migration, scale of entrepreneurship, educational attainment, and credit access channels. The findings of this study help validate the real effects of digital inclusive finance on entrepreneurial outcomes in rural populations.</t>
  </si>
  <si>
    <t>[Chen, Yuran; Huang, Ruoxuan] Southwestern Univ Finance &amp; Econ, Sch Finance, Chengdu, Peoples R China; [Huang, Ruoxuan] Southwestern Univ Finance &amp; Econ, Sch Business Adm, Chengdu, Peoples R China; [Zeng, Yangge; Huang, Qian] Yunnan Univ Finance &amp; Econ, Sch Finance, Kunming, Peoples R China</t>
  </si>
  <si>
    <t>Southwestern University of Finance &amp; Economics - China; Southwestern University of Finance &amp; Economics - China; Yunnan University of Finance &amp; Economics</t>
  </si>
  <si>
    <t>Huang, Q (corresponding author), Yunnan Univ Finance &amp; Econ, Sch Finance, Kunming, Peoples R China.</t>
  </si>
  <si>
    <t>huangqian.lovely@aliyun.com</t>
  </si>
  <si>
    <t>Huang, RuoXuan/0009-0009-1252-3259; Chen, Yuran/0000-0002-8518-3373</t>
  </si>
  <si>
    <t>National Natural Science Foundation Regional Project(China)</t>
  </si>
  <si>
    <t>The authors are grateful to the editors and the anonymous reviewers for their insightful comments and suggestions.</t>
  </si>
  <si>
    <t>10.1038/s41598-024-72691-7</t>
  </si>
  <si>
    <t>M0L1B</t>
  </si>
  <si>
    <t>WOS:001354536300078</t>
  </si>
  <si>
    <t>Usman, M; Chughtai, S; Khan, N</t>
  </si>
  <si>
    <t>Usman, Mahjabeen; Chughtai, Sumayya; Khan, Nasir</t>
  </si>
  <si>
    <t>Sustainable development goals in emerging markets: Aligning the role of financial inclusion in promoting environmental quality of the Next-11 economies</t>
  </si>
  <si>
    <t>NATURAL RESOURCES FORUM</t>
  </si>
  <si>
    <t>DCCE; ecological footprint; financial inclusion; GMM; Next-11 countries; SDGs</t>
  </si>
  <si>
    <t>RENEWABLE ENERGY; KUZNETS CURVE; EMISSION</t>
  </si>
  <si>
    <t>Pursuing sustainable development has emerged as a paramount global objective, with the United Nations' Sustainable Development Goals (SDGs) serving as a guiding framework. Increasing environmental degradation is associated with increased greenhouse gas emissions, deforestation, industrial waste, fossil fuel depletion, and loss of biodiversity. This study has analyzed the effect of financial inclusion on ecological sustainability while controlling the effect of financial development, energy consumption, economic growth, urbanization, and trade openness in the Next-11 economies from 1995 to 2019. The study develops the financial inclusion index through principal components analysis by inculcating three demand-side and three supply-side factors of financial inclusion. To analyze the developed model, various first-generation and second-generation techniques are applied. The results of Westerlund co-integration reveal significant long-run co-integration among the series. The long-run elasticities are estimated through dynamic common correlated effect estimation and generalized method of moments where results reveal that FI helps to secure environmental sustainability by reducing the ecological footprint, hence it works on the SDG framework. Economic growth and financial development are found to be the root causes of increasing ecological footprint. So, it is the penetration of excessive credit, not the financial inclusivity which needs to be directed toward sustainability. It is suggested that the governments of Next-11 countries should steer the capital toward sustainable usage and should continue facilitating financial services to curtail environmental degradation. Our findings have significant repercussions for Next-11 countries, giving decision makers fresh perceptions of financial inclusion and development implications.</t>
  </si>
  <si>
    <t>[Usman, Mahjabeen; Chughtai, Sumayya] Int Islamic Univ, Dept Business Adm, Islamabad, Pakistan; [Khan, Nasir] Univ Cent Punjab, UCP Business Sch, Lahore, Pakistan</t>
  </si>
  <si>
    <t>International Islamic University, Pakistan; University of Central Punjab</t>
  </si>
  <si>
    <t>Usman, M (corresponding author), Int Islamic Univ, Dept Business Adm, Islamabad, Pakistan.</t>
  </si>
  <si>
    <t>mahjabeen_88@hotmail.com</t>
  </si>
  <si>
    <t>Chughtai, Sumayya/JNT-3837-2023; Usman, Mahjabeen/KZU-8043-2024</t>
  </si>
  <si>
    <t>Usman, Mahjabeen/0000-0001-7032-2564</t>
  </si>
  <si>
    <t>0165-0203</t>
  </si>
  <si>
    <t>1477-8947</t>
  </si>
  <si>
    <t>NAT RESOUR FORUM</t>
  </si>
  <si>
    <t>Nat. Resour. Forum</t>
  </si>
  <si>
    <t>2024 OCT 24</t>
  </si>
  <si>
    <t>10.1111/1477-8947.12575</t>
  </si>
  <si>
    <t>Environmental Sciences; Environmental Studies</t>
  </si>
  <si>
    <t>K0A0D</t>
  </si>
  <si>
    <t>WOS:001340585900001</t>
  </si>
  <si>
    <t>Thathsarani, US; Wei, JG; Samaraweera, GRSRC</t>
  </si>
  <si>
    <t>Thathsarani, U. S.; Wei, Jianguo; Samaraweera, G. R. S. R. C.</t>
  </si>
  <si>
    <t>Financial Inclusion's Role in Economic Growth and Human Capital in South Asia: An Econometric Approach</t>
  </si>
  <si>
    <t>financial inclusion; economic growth; HDI; panel VECM; South Asia</t>
  </si>
  <si>
    <t>INCOME INEQUALITY; PANEL-DATA; POVERTY; ACCESS; PERSPECTIVE; NEXUS</t>
  </si>
  <si>
    <t>Many of the 2030 sustainable development goals have targeted the strengthening of financial inclusion, which is currently a key policy priority on the agendas of most governments in developing nations. The process of facilitating banking and financial services for individuals is called financial inclusion, which supports growth and the broader development goals of an economy. Although economic growth and human capital development indices have been analyzed using different proxy variables, insufficient attention has been paid to constructing a composite index for measuring this to achieve greater sustainability in terms of the economy, communities, and the environment. This study sought to address this gap using secondary data from eight countries in South Asia from 2004 to 2018. A financial inclusion index was developed through principal component analysis using an econometric approach of panel data with vector error correction models and a Granger causality test. As per the results of the study, financial inclusion has a long-run impact on human capital development in South Asian countries, whereas it has a short-run positive impact on economic growth. Domestic credits to the private sector also impact the short-run growth and human capital development in the economy. This ensures the confidence of vulnerable communities in their economy, as well as information management, and allows for quality enhancements of transactions with fewer environmental impacts. Government intervention to improve access to financial services, including ATMs and commercial banking, is one policy allowing digital finance to accelerate the achievement of sustainable development goals in South Asian countries.</t>
  </si>
  <si>
    <t>[Thathsarani, U. S.; Wei, Jianguo] Wuhan Univ Technol, Sch Econ, Wuhan 430070, Peoples R China; [Thathsarani, U. S.; Samaraweera, G. R. S. R. C.] Sabaragamuwa Univ Sri Lanka, Dept Econ &amp; Stat, POB 02, Belihuloya 70140, Sri Lanka</t>
  </si>
  <si>
    <t>Thathsarani0@gmail.com; weijg@whut.edu.cn; sumadi@ssl.sab.ac.lk</t>
  </si>
  <si>
    <t>Thathsarani, Shanika/0000-0002-3385-4972; Samaraweera, GRSRC/0000-0001-7103-2702</t>
  </si>
  <si>
    <t>10.3390/su13084303</t>
  </si>
  <si>
    <t>RU7JK</t>
  </si>
  <si>
    <t>WOS:000645319800001</t>
  </si>
  <si>
    <t>Musinguzi, LK</t>
  </si>
  <si>
    <t>Musinguzi, Laban Kashaija</t>
  </si>
  <si>
    <t>The role of social networks in savings groups: insights from village savings and loan associations in Luwero, Uganda</t>
  </si>
  <si>
    <t>COMMUNITY DEVELOPMENT JOURNAL</t>
  </si>
  <si>
    <t>WOMENS EMPOWERMENT; MICROFINANCE; CREDIT; HEALTH; RISK</t>
  </si>
  <si>
    <t>Studies of village savings and loan association (VSLAs) programmes in several African countries portray these initiatives as spaces that increase financial access for the poor, improve livelihoods, and provide members with social capital. Little is known, however, about their impact beyond increasing financial access. This paper shows that the benefits that accrue (or do not) from membership in VSLAs are mediated through networks of friendships and other social relations that predate the introduction of VSLAs. Based on ethnographic research on VSLAs conducted between 2012 and 2014 in Luwero District, Uganda, this paper examines women's experiences in VSLAs, how social networks influence their decision to join a VSLA, and how VSLAs provide women an opportunity to exercise agency through utilizing their social networks in their community. In this way, they are able to challenge structural barriers to financial autonomy and control at the household level. This research shows that female participants utilize two kinds of networks in VSLA spaces: 'silence-in' and 'silence-through' networks. The findings underscore the influence of friendships and family relations in shaping the impact of externally initiated microlevel programmes such as VSLAs beyond financial inclusion, livelihood, and poverty reduction. The decision to join a VSLA, the desire for financial autonomy, the struggle against power dynamics, and unintended consequences are all negotiated within the VSLAs space through social networks.</t>
  </si>
  <si>
    <t>[Musinguzi, Laban Kashaija] Makerere Univ, Dept Social Work &amp; Social Adm, POB 7062, Kampala, Uganda; [Musinguzi, Laban Kashaija] Univ Amsterdam, AISSR, Amsterdam Inst Social Sci Res, Nieuwe Achtergracht 166, NL-1018 WV Amsterdam, Netherlands</t>
  </si>
  <si>
    <t>Makerere University; University of Amsterdam</t>
  </si>
  <si>
    <t>Musinguzi, LK (corresponding author), Makerere Univ, Dept Social Work &amp; Social Adm, POB 7062, Kampala, Uganda.;Musinguzi, LK (corresponding author), Univ Amsterdam, AISSR, Amsterdam Inst Social Sci Res, Nieuwe Achtergracht 166, NL-1018 WV Amsterdam, Netherlands.</t>
  </si>
  <si>
    <t>rebman2k@yahoo.com</t>
  </si>
  <si>
    <t>Musinguzi Kashaija, Laban/0000-0001-6710-3133</t>
  </si>
  <si>
    <t>WOTRO Science for Global Development under the Netherlands Organisation for Scientific Research (NWO) [W07.45.105.00]</t>
  </si>
  <si>
    <t>WOTRO Science for Global Development under the Netherlands Organisation for Scientific Research (NWO)(Netherlands Organization for Scientific Research (NWO))</t>
  </si>
  <si>
    <t>This work is part of the research programme Developing Sustainable Community Health Resources in Poor Settings in Uganda (CoHeRe), which is financed by WOTRO Science for Global Development under the Netherlands Organisation for Scientific Research (NWO) grant number W07.45.105.00.</t>
  </si>
  <si>
    <t>0010-3802</t>
  </si>
  <si>
    <t>1468-2656</t>
  </si>
  <si>
    <t>COMMUNITY DEV J</t>
  </si>
  <si>
    <t>Community Dev. J.</t>
  </si>
  <si>
    <t>OCT 4</t>
  </si>
  <si>
    <t>10.1093/cdj/bsv050</t>
  </si>
  <si>
    <t>EI8CO</t>
  </si>
  <si>
    <t>WOS:000392732600004</t>
  </si>
  <si>
    <t>Scheba, A</t>
  </si>
  <si>
    <t>Scheba, Andreas</t>
  </si>
  <si>
    <t>Financializing Africa's urban peripheries: the rise of housing microfinance</t>
  </si>
  <si>
    <t>URBAN GEOGRAPHY</t>
  </si>
  <si>
    <t>Housing microfinance; urban Africa; financialization; fintech</t>
  </si>
  <si>
    <t>CAPITALISM</t>
  </si>
  <si>
    <t>Housing microfinance is transforming Africa's urban peripheries. While many actors, factors, and processes are driving the financialization of peripheral urban Africa, social enterprises and fintech (financial technology) play a key role in making these spaces the new real estate frontier. At the same time, efforts to promote financial inclusion are hampered by longstanding challenges related to informality and state bureaucracy that are becoming important sites of regulatory reform and political contestation. The rise of housing micro-finance in urban Africa poses important questions and calls for more critical geographical research. In this piece, I highlight three themes that deserve particular attention: models and impacts, informality and fintech, and restructuring of states and urban governance.</t>
  </si>
  <si>
    <t>[Scheba, Andreas] Human Sci Res Council, Equitable Educ &amp; Econ Div, Cape Town, South Africa; [Scheba, Andreas] Univ Free State, Ctr Dev Support, Bloemfontein, South Africa; [Scheba, Andreas] 2 Dockrail Rd, ZA-8001 Cape Town, South Africa</t>
  </si>
  <si>
    <t>Human Sciences Research Council-South Africa; University of the Free State</t>
  </si>
  <si>
    <t>Scheba, A (corresponding author), 2 Dockrail Rd, ZA-8001 Cape Town, South Africa.</t>
  </si>
  <si>
    <t>ascheba@hsrc.ac.za</t>
  </si>
  <si>
    <t>Scheba, Aneas/0000-0002-8078-4997</t>
  </si>
  <si>
    <t>0272-3638</t>
  </si>
  <si>
    <t>1938-2847</t>
  </si>
  <si>
    <t>URBAN GEOGR</t>
  </si>
  <si>
    <t>Urban Geogr.</t>
  </si>
  <si>
    <t>MAY 28</t>
  </si>
  <si>
    <t>10.1080/02723638.2023.2188853</t>
  </si>
  <si>
    <t>Geography; Urban Studies</t>
  </si>
  <si>
    <t>H7NF6</t>
  </si>
  <si>
    <t>WOS:000957908200001</t>
  </si>
  <si>
    <t>An Examination of Mobile Fintech Utilization From a Stress-Coping Perspective</t>
  </si>
  <si>
    <t>financial stress; financial technology; mobile banking; mobile financial management; mobile fintech; mobile transaction</t>
  </si>
  <si>
    <t>FINANCIAL BEHAVIORS; LITERACY; ADOPTION; DEBT</t>
  </si>
  <si>
    <t>This study examines associations between a set of financial stress factors and three types of utilizations of mobile financial technology (fintech) from a stress-coping perspective. With data from the 2018 National Financial Capability Study, the results indicated that financial stress, perceived overindebtedness, and stressful financial stressors were positively related to the usage of mobile fintech for fundamental financial task management, mobile transaction, and mobile banking. Policy makers need to be aware of the opportunities generated within the growing fintech industry and its potential role as a stress-coping resource for consumers experiencing financial stress, perceived overindebtedness, and financial stressor events. Financial practitioners, educators, and institutions can apply the findings of this study as they develop and promote financial services and products through mobile devices to create greater access for individuals to cope with financial stress and difficulties.</t>
  </si>
  <si>
    <t>[Zhang, Yu; Fan, Lu] Univ Georgia, Financial Planning Housing &amp; Consumer Econ, Athens, GA 30602 USA</t>
  </si>
  <si>
    <t>Zhang, Y (corresponding author), Univ Georgia, Financial Planning Housing &amp; Consumer Econ, Athens, GA 30602 USA.</t>
  </si>
  <si>
    <t>yu.zhang5@uga.edu; lufan@uga.edu</t>
  </si>
  <si>
    <t>10.1891/JFCP-2022-0061</t>
  </si>
  <si>
    <t>Y4UD7</t>
  </si>
  <si>
    <t>WOS:001105218800005</t>
  </si>
  <si>
    <t>Fernando, G; Durham, J; Hill, PS; Gouda, H</t>
  </si>
  <si>
    <t>Fernando, Gabriela; Durham, Jo; Hill, Peter S.; Gouda, Hebe</t>
  </si>
  <si>
    <t>Unravelling the nexus of microfinance and women's non-communicable disease (NCD) health outcomes in Sri Lanka: An exploratory study</t>
  </si>
  <si>
    <t>GLOBAL PUBLIC HEALTH</t>
  </si>
  <si>
    <t>Microfinance institutions; non-communicable diseases (NCDs); women's health; ethnographic methods</t>
  </si>
  <si>
    <t>CARE; FRAMEWORK; IMPACTS</t>
  </si>
  <si>
    <t>Non-communicable diseases (NCDs) are a major contributor to the global burden of disease, increasingly impacting low-income and marginalised populations in low- and middle-income countries such as Sri Lanka. Microfinance could be a potential approach to target NCDs. Using an ethnographic approach with thematic analysis, this study explored the nexus between microfinance and NCD outcomes. In-depth interviews were conducted with 29 micro-loan borrowing women across 15 field sites within Puttalam district in Sri Lanka. The findings revealed that perceived increases in income from microfinance loans contributed to enhanced household health savings ability, enabling the purchase of medicines bought out-of-pocket and from privately owned pharmacies, and spending for NCD-relevant health emergencies and health-related transportation. Additionally, perceived income increases also influenced the behavioural risks, including the spending and consumption of food, and physical activity levels, both positively and negatively. The microfinance networks also influenced women's perceived social support, psychological stress and coping mechanisms, and health information transmission, positively and negatively. The findings from this study provide important insights on how financial inclusion programs such as microfinance influence the health determinants and outcomes relevant to NCDs. This can help address ways to target both NCDs and inequities of socioeconomically disadvantaged and marginalised populations, particularly women.</t>
  </si>
  <si>
    <t>[Fernando, Gabriela] Monash Univ, Publ Hlth, Bumi Serpong Damai, Indonesia; [Fernando, Gabriela; Hill, Peter S.; Gouda, Hebe] Univ Queensland, Fac Med, Sch Publ Hlth, Brisbane, Australia; [Durham, Jo] Queensland Univ Technol, Fac Hlth, Sch Publ Hlth &amp; Social Work, Kelvin Grove, Australia</t>
  </si>
  <si>
    <t>University of Queensland; Queensland University of Technology (QUT)</t>
  </si>
  <si>
    <t>Fernando, G (corresponding author), Monash Univ, Publ Hlth, Bumi Serpong Damai, Indonesia.;Fernando, G (corresponding author), Univ Queensland, Fac Med, Sch Publ Hlth, Brisbane, Australia.</t>
  </si>
  <si>
    <t>gabriela.fernando@monash.edu</t>
  </si>
  <si>
    <t>Durham, Jo/A-1977-2014; Hill, Peter/AAL-8053-2020</t>
  </si>
  <si>
    <t>Durham, Jo/0000-0003-0544-9424;</t>
  </si>
  <si>
    <t>We express our sincere gratitude to all the research informants and their families for generously dedicating their time to participate in this study. We extend our appreciation to the microfinance organisation and their staff for supporting with the research activities. We also thank Dr. Sue Vlack for her invaluable support and guidance as the thesis supervisor.</t>
  </si>
  <si>
    <t>1744-1692</t>
  </si>
  <si>
    <t>1744-1706</t>
  </si>
  <si>
    <t>GLOB PUBLIC HEALTH</t>
  </si>
  <si>
    <t>Glob. Public Health</t>
  </si>
  <si>
    <t>10.1080/17441692.2024.2396941</t>
  </si>
  <si>
    <t>F5U1M</t>
  </si>
  <si>
    <t>WOS:001310458100001</t>
  </si>
  <si>
    <t>Mazzoli, C; Baiocco, S</t>
  </si>
  <si>
    <t>Mazzoli, Camilla; Baiocco, Sofia</t>
  </si>
  <si>
    <t>Unlocking sustainable investing through digital financial literacy: the impact of advanced digital skills</t>
  </si>
  <si>
    <t>Digital financial literacy; Household sustainable investing; Financial literacy; Sustainable finance; Household financial behaviour</t>
  </si>
  <si>
    <t>Purpose- This paper aims to investigate whether and how different levels of digital financial literacy (DFL) foster sustainable investing. Design/methodology/approach- The authors use a large, representative sample of more than 5,000 Italian households (Edufin Report, 2023), representing individuals responsible for managing the family finances. A principal component analysis (PCA) is used to assess respondents' DFL, which reflects self-reported confidence in conducting financial transactions through digital devices. The paper adopts probit models to investigate the link between DFL and holding at least one sustainable asset in households' portfolio while controlling for certain socio-demographic and behavioural variables. Findings- The results show that DFL has a positive and significant effect on the likelihood of holding sustainable investments, but only among investors with advanced digital skills that enable them to manage sophisticated financial activities (e.g. investing or pension management). The results are robust to alternative measures of DFL and to endogeneity concerns. In particular, the most predictive measures of DFL relate to investors' behaviours and attitudes towards, rather than awareness of, digital financial services. The behavioural dimension is further supported by the positive association between sustainable investment holding and self-assessed financial literacy, optimism and overconfidence. Originality/value- To the best of the authors' knowledge, this is the first study to empirically connect DFL to sustainable investment holdings among individual investors. Building on previous insights on digitalisation and sustainability in the business context, this study identifies DFL as a critical enabler of households' sustainable investments. This study provides new evidence on how promoting advanced digital skills can foster financial inclusion and support the uptake of environmental, social and governance investments among households.</t>
  </si>
  <si>
    <t>[Mazzoli, Camilla; Baiocco, Sofia] Univ Politecn Marche, Dept Management, Ancona, Italy</t>
  </si>
  <si>
    <t>Marche Polytechnic University</t>
  </si>
  <si>
    <t>Mazzoli, C (corresponding author), Univ Politecn Marche, Dept Management, Ancona, Italy.</t>
  </si>
  <si>
    <t>c.mazzoli@univpm.it; s.baiocco@pm.univpm.it</t>
  </si>
  <si>
    <t>Baiocco, Sofia/0009-0002-0963-8193</t>
  </si>
  <si>
    <t>10.1108/IJBM-10-2024-0622</t>
  </si>
  <si>
    <t>WOS:001564439200001</t>
  </si>
  <si>
    <t>Boamah, EF; Murshid, NS</t>
  </si>
  <si>
    <t>Boamah, Emmanuel Frimpong; Murshid, Nadine S.</t>
  </si>
  <si>
    <t>Techno-market fix? Decoding wealth through mobile money in the global South</t>
  </si>
  <si>
    <t>GEOGRAPHIES; FINANCIALIZATION; BANKING; FOLLOW; SECTOR; IMPACT; CREDIT; FIRMS; STATE</t>
  </si>
  <si>
    <t>The use of mobile phones for financial services in the global South has gained prominence in the last decade. These financial technology (FinTech) services, popularly known as mobile money (MM), offer an avenue for financial inclusivity, a recurring theme in the United Nations Sustainable Development Goals. This paper, largely conceptual but interlaced with empirical examples from Ghana and Bangladesh, critically examines the rise of mobile money in the global South. Specifically, it employs David Harvey's adaptation and redeployment of the laws of accumulation to relate the economic phenomenon of MM to the capitalistic relationship between capital and labor. We argue, among other points, that MM emerges as a techno-market fix to make visible, bankable, and taxable the hitherto invisible, unbanked, and untaxed urban sub-proletariat who are mostly engaged in the informal sector. Thus, whether in sub-Saharan Africa or South Asia, the underlying laws of accumulation through MM are the same: make informality visible in order to decode wealth, and accumulate for the sake of accumulation. We conclude by briefly reflecting on how our arguments contribute to the literature on economic, digital, and development geographies of postcolonial economies in the global South.</t>
  </si>
  <si>
    <t>[Boamah, Emmanuel Frimpong] Univ Buffalo, Dept Urban &amp; Reg Planning Community Global Hlth E, Buffalo, NY USA; [Murshid, Nadine S.] Univ Buffalo, Sch Social Work, Buffalo, NY USA</t>
  </si>
  <si>
    <t>State University of New York (SUNY) System; University at Buffalo, SUNY; State University of New York (SUNY) System; University at Buffalo, SUNY</t>
  </si>
  <si>
    <t>Boamah, EF (corresponding author), SUNY Buffalo, Univ Buffalo, Dept Urban &amp; Reg Planning, 226 Hayes Hall, Buffalo, NY 12826 USA.</t>
  </si>
  <si>
    <t>efrimpon@buffalo.edu; nadinemu@buffalo.edu</t>
  </si>
  <si>
    <t>Frimpong Boamah, Emmanuel/0000-0002-6608-9170</t>
  </si>
  <si>
    <t>Community of Global Health Equity, University at Buffalo</t>
  </si>
  <si>
    <t>This work was supported (in part) by the Community of Global Health Equity, University at Buffalo.</t>
  </si>
  <si>
    <t>10.1016/j.geoforum.2019.08.012</t>
  </si>
  <si>
    <t>JM6SC</t>
  </si>
  <si>
    <t>WOS:000496340900024</t>
  </si>
  <si>
    <t>Grigorian, DA; Kryshko, M</t>
  </si>
  <si>
    <t>Grigorian, David A.; Kryshko, Maxym</t>
  </si>
  <si>
    <t>Deposit insurance, remittances, and dollarization: Survey-based evidence from a top remittance-receiving country</t>
  </si>
  <si>
    <t>deposit insurance; dollarization; remittances; Tajikistan</t>
  </si>
  <si>
    <t>RISK</t>
  </si>
  <si>
    <t>The study uses a unique survey of remittance-receiving individuals from Tajikistan to study the impact of policy awareness on consumer behavior. The results show that knowledge of deposit insurance encourages the use of formal channels for transmitting remittances and reduces dollarization. Given the size and importance of remittances in Tajikistan, improving financial literacy and better publicizing details of the social safety net may encourage a more frequent use of formal channels for transferring remittances and reduce reliance on foreign exchange for transaction purposes. This is likely to improve bank profitability, enhance financial stability, and improve access to finance.</t>
  </si>
  <si>
    <t>[Grigorian, David A.] Int Monetary Fund, Asia &amp; Pacific Dept, Washington, DC 20431 USA; [Kryshko, Maxym] Int Monetary Fund, Middle East &amp; Cent Asia Dept, Washington, DC 20431 USA</t>
  </si>
  <si>
    <t>International Monetary Fund; International Monetary Fund</t>
  </si>
  <si>
    <t>Grigorian, DA (corresponding author), Int Monetary Fund, Monetary &amp; Capital Markets Dept, 700 19th St NW, Washington, DC 20431 USA.</t>
  </si>
  <si>
    <t>dgrigorian@imf.org</t>
  </si>
  <si>
    <t>e12138</t>
  </si>
  <si>
    <t>10.1111/ecno.12138</t>
  </si>
  <si>
    <t>JC0KO</t>
  </si>
  <si>
    <t>WOS:000488968100004</t>
  </si>
  <si>
    <t>Nwachukwu, C; Akwiwu-Uzoma, C; Ovuehor, S; Durodola-Tunde, K</t>
  </si>
  <si>
    <t>Huang, KW; Cao, Q; Su, R</t>
  </si>
  <si>
    <t>Nwachukwu, Chukwuemeka; Akwiwu-Uzoma, Chukwuebuka; Ovuehor, Samuel; Durodola-Tunde, Kehinde</t>
  </si>
  <si>
    <t>Improved Machine Learning Algorithms for Fraud Detection in Fintech Companies</t>
  </si>
  <si>
    <t>FINANCIAL TECHNOLOGY, ICFT 2024</t>
  </si>
  <si>
    <t>5th International Conference on Financial Technology-ICFT</t>
  </si>
  <si>
    <t>SEP 23-25, 2024</t>
  </si>
  <si>
    <t>Machine Learning; Mobile Money; Fraud Detection</t>
  </si>
  <si>
    <t>The rapid adoption of mobile money is due to the penetration of smart devices and the reduced cost of computing power. Today, many rural dwellers use mobile smart devices (Ofcom, 2022). A financial solution that creates a transaction system through mobile smart devices is instrumental in closing the financial inclusion gap. Mobile money offers digital financial service providers access to an untapped market that is profitable. There has been a shift from traditional banking to digital banking services (mobile money). This is due to a rapid increase in mobile phone penetration and reliance on domestic remittances in many households (Mauree and Kohli, 2013). With the broad internet usage, modern technologies, and the current growth of digital financial service providers, there is a need for financial institutions to mitigate against financial crimes and fraudulent activities (Wewege et al., 2020). The sporadic expansion of digital transformation has made digital financial services providers vulnerable to cyber risks. The continuous partnerships with third parties, technology providers and fintech companies have heightened their vulnerability to cyber-attacks (Tsys, 2017). More people are prioritizing their delicate personal data against hacking, identity theft, cyberattacks and money laundering. Digital banks with lesser security infrastructure and small fintech companies are more prone to financial fraud and cyber risks. Hence, digital financial service providers and fintech companies should continuously update their security infrastructure (Wewege et al., 2020). This study focuses on how fintech companies can maximize improved machine learning algorithms for fraud detection.</t>
  </si>
  <si>
    <t>[Nwachukwu, Chukwuemeka; Ovuehor, Samuel; Durodola-Tunde, Kehinde] Univ Bradford, Dept Appl AI &amp; Data Analyt, Bradford, W Yorkshire, England; [Akwiwu-Uzoma, Chukwuebuka] Univ Dundee, Dept Comp, Dundee, Scotland</t>
  </si>
  <si>
    <t>University of Bradford; University of Dundee</t>
  </si>
  <si>
    <t>Durodola-Tunde, K (corresponding author), Univ Bradford, Dept Appl AI &amp; Data Analyt, Bradford, W Yorkshire, England.</t>
  </si>
  <si>
    <t>k.durodola-tunde@bradford.ac.uk</t>
  </si>
  <si>
    <t>978-981-96-3810-9; 978-981-96-3811-6</t>
  </si>
  <si>
    <t>10.1007/978-981-96-3811-6_2</t>
  </si>
  <si>
    <t>Business, Finance; Computer Science, Information Systems</t>
  </si>
  <si>
    <t>BY6IR</t>
  </si>
  <si>
    <t>WOS:001479724400002</t>
  </si>
  <si>
    <t>Baek, HY; Cho, DD</t>
  </si>
  <si>
    <t>Baek, Hyungkee Young; Cho, David D.</t>
  </si>
  <si>
    <t>Overconfidence and risky investment choices</t>
  </si>
  <si>
    <t>FINANCIAL LITERACY; GENDER-DIFFERENCES; CONFIDENCE; DECISION</t>
  </si>
  <si>
    <t>Overconfident investors tend to overestimate their chances of relative success in competitive financial markets and undervalue risk; they are more likely to pursue risky rewards from financial markets. We intend to examine the effects of overconfidence on risk -taking behaviors among the active U.S. investors. We analyze a nationally representative survey among active investors in the U.S.: the National Financial Capability Survey (NFCS). We control for survey weights and endogeneity between dependent and independent variables. Control variables include investment depth, income, trading frequency, risk tolerance, and demographic information. We find that U.S. investors overconfident in their investment knowledge are more likely to purchase securities on margin, and invest in microcap stocks, derivatives and cryptocurrencies. We improve the previous literature by examining active investors in the U.S., studying investment choices riskier than stock market participation, using a continuous measure of overconfidence based on subjective and objective investment knowledge, and correcting for endogeneity. Taking more than optimal level of risk may reduce the welfare of investors. Investors and policy makers can collaborate to control overconfidence through financial education and counseling, which will improve the objective investment literacy and reduce the subjective literacy level, respectively.</t>
  </si>
  <si>
    <t>[Baek, Hyungkee Young; Cho, David D.] Nova Southeastern Univ, Ft Lauderdale, FL 33328 USA</t>
  </si>
  <si>
    <t>Nova Southeastern University</t>
  </si>
  <si>
    <t>Baek, HY (corresponding author), Nova Southeastern Univ, Ft Lauderdale, FL 33328 USA.</t>
  </si>
  <si>
    <t>hybaek@nova.edu; dcho@nova.edu</t>
  </si>
  <si>
    <t>RN9I8</t>
  </si>
  <si>
    <t>WOS:001228456800004</t>
  </si>
  <si>
    <t>Yassine, E; Said, E; Amine, B</t>
  </si>
  <si>
    <t>Jawab, F</t>
  </si>
  <si>
    <t>Yassine, Elkoraichi; Said, Elfezazi; Amine, Belhadi</t>
  </si>
  <si>
    <t>The potential of blockchain technology for achieving SDG 2</t>
  </si>
  <si>
    <t>2025 16TH INTERNATIONAL CONFERENCE ON LOGISTICS AND SUPPLY CHAIN MANAGEMENT, LOGISTIQUA</t>
  </si>
  <si>
    <t>International Conference on Logistics</t>
  </si>
  <si>
    <t>16th International Conference on Logistics and Supply Chain Management-LOGISTIQUA</t>
  </si>
  <si>
    <t>MAY 28-30, 2025</t>
  </si>
  <si>
    <t>MOROCCO</t>
  </si>
  <si>
    <t>Blockchain; SDG 2; sustainability; food supply chain; food safety</t>
  </si>
  <si>
    <t>Blockchain is a nascent and promising technology with many use cases. Despite a growing body of research on the contribution of blockchain technology to achieving various Sustainable Development Goals (SDGs). SDG 2 has received less attention. This study aims to investigate the potential of blockchain for achieving SDG 2 by examining numerous blockchain's real-world applications and classifying them according to the SDG 2 target to which they contribute most. The results show that blockchain could enhance food safety and quality, sustainability, financial inclusion, and agricultural trade and investments.</t>
  </si>
  <si>
    <t>[Yassine, Elkoraichi; Said, Elfezazi] Cady Ayyad Univ, Higher Sch Technol Safi, Safi, Morocco; [Amine, Belhadi] Int Univ Rabat, Rabat Business Sch, Rabat, Morocco</t>
  </si>
  <si>
    <t>Cadi Ayyad University of Marrakech; Universite Internationale de Rabat</t>
  </si>
  <si>
    <t>Yassine, E (corresponding author), Cady Ayyad Univ, Higher Sch Technol Safi, Safi, Morocco.</t>
  </si>
  <si>
    <t>2166-7349</t>
  </si>
  <si>
    <t>2166-7373</t>
  </si>
  <si>
    <t>979-8-3315-5313-5; 979-8-3315-5312-8</t>
  </si>
  <si>
    <t>I CONF LOGISTICS</t>
  </si>
  <si>
    <t>10.1109/LOGISTIQUA66323.2025.11122766</t>
  </si>
  <si>
    <t>BZ4QU</t>
  </si>
  <si>
    <t>WOS:001586065100117</t>
  </si>
  <si>
    <t>Kayongo, S; Mathiassen, L</t>
  </si>
  <si>
    <t>Kayongo, Sarah; Mathiassen, Lars</t>
  </si>
  <si>
    <t>Improving agricultural relations and innovation: financial inclusion through microfinancing</t>
  </si>
  <si>
    <t>JOURNAL OF BUSINESS &amp; INDUSTRIAL MARKETING</t>
  </si>
  <si>
    <t>Financial inclusion; Agricultural; Microfinance; Innovation</t>
  </si>
  <si>
    <t>INFORMATION; CAPABILITIES</t>
  </si>
  <si>
    <t>PurposeAlthough microfinance (MF) has been established as an effective approach to provide access to financial services for people in low income countries, close to one-third of adults worldwide, about 2 billion people, are still without access. The purpose of this study is therefore to provide knowledge on how MF institutions (MFIs) can innovate and scale their services to improve financial inclusion for more people in need, particularly small holder farmers. Design/methodology/approachRecent research suggests that Grameen Foundation builds on well-established MF models and focuses on continuously improving the design and increasing the reach of its services. Based on a retrospective longitudinal design, this study draws on dynamic capability theory to identify important lessons in MF innovation at Grameen through analyses of seven key agricultural MF programs. FindingsThis study finds that Grameen innovated these programs by sensing country-specific needs; seizing opportunities to use existing technology; creating linkages across multisector partners; adopting a business model that enabled replicability and sustainability of innovation transfer; and 5 integrating solutions that enabled process automation and scaling of outcomes. A key theoretical finding in applying dynamic capabilities theory to studies of innovation in MF revealed the core concepts to be transferrable, valuable, imitable and nonsubstitutable resources. Research limitations/implicationsUsing these insights, this study discusses theoretical, practical and policy implications of MF innovation to improve financial inclusion in low-income countries. Practitioners and researchers should assess the transferability of our findings to other MFIs and economic development contexts.</t>
  </si>
  <si>
    <t>[Kayongo, Sarah; Mathiassen, Lars] Georgia State Univ, Robinson Coll Business, Atlanta, GA 30302 USA</t>
  </si>
  <si>
    <t>University System of Georgia; Georgia State University</t>
  </si>
  <si>
    <t>Kayongo, S (corresponding author), Georgia State Univ, Robinson Coll Business, Atlanta, GA 30302 USA.</t>
  </si>
  <si>
    <t>drsarahkayongo@gmail.com; lars.mathiassen@ceprin.org</t>
  </si>
  <si>
    <t>0885-8624</t>
  </si>
  <si>
    <t>2052-1189</t>
  </si>
  <si>
    <t>J BUS IND MARK</t>
  </si>
  <si>
    <t>J. Bus. Ind. Mark.</t>
  </si>
  <si>
    <t>10.1108/JBIM-10-2022-0459</t>
  </si>
  <si>
    <t>X7UH4</t>
  </si>
  <si>
    <t>WOS:000966622700001</t>
  </si>
  <si>
    <t>Soegiono, L; Atahau, ADR; Harijono; Huruta, AD</t>
  </si>
  <si>
    <t>Soegiono, Like; Atahau, Apriani Dorkas Rambu; Harijono; Huruta, Andrian Dolfriandra</t>
  </si>
  <si>
    <t>LOCAL WISDOM IN RURAL MICROFINANCE: A DESCRIPTIVE STUDY ON VILLAGERS OF EAST SUMBA</t>
  </si>
  <si>
    <t>ENTREPRENEURSHIP AND SUSTAINABILITY ISSUES</t>
  </si>
  <si>
    <t>Microfinance; Local Wisdom; Sustainable Development; Sumba</t>
  </si>
  <si>
    <t>Developing microfinance in rural areas by considering local wisdom in Sumba-island becomes an urgent issue due to limited access to formal financial services experienced by the majority of the villagers. This study aims at describing the forms of local wisdom in rural microfinance to overcome problems of access to financial services. This is in line with the government program of financial inclusion for villagers in the remote area. This study uses the qualitative method in the form of a case study in Mbatakapidu village in East Sumba region. Data was collected through observation and focus group discussion with community leaders and several non-government organizations. The findings show the existence of local wisdom in saving and investing by the villagers to overcome the limited access to formal financial services. In addition, there is evidence of village development using a bottom-up approach by considering the local wisdom to reduce poverty through microfinance development. Thus, culture-led development might be an alternative policy for the local government in developing microfinance.</t>
  </si>
  <si>
    <t>[Soegiono, Like; Atahau, Apriani Dorkas Rambu; Harijono; Huruta, Andrian Dolfriandra] Satya Wacana Christian Univ, Fac Econ &amp; Business, Diponegoro 52-60, Salatiga, Indonesia</t>
  </si>
  <si>
    <t>Atahau, ADR (corresponding author), Satya Wacana Christian Univ, Fac Econ &amp; Business, Diponegoro 52-60, Salatiga, Indonesia.</t>
  </si>
  <si>
    <t>like.sugiono@staff.uksw.edu; apriani@staff.uksw.edu; harijono@staff.uksw.edu; andrian.huruta@staff.uksw.edu</t>
  </si>
  <si>
    <t>Huruta, Andrian/M-2654-2019; Atahau, Apriani Dorkas Rambu/AAB-9654-2021; huruta, anian/M-2654-2019</t>
  </si>
  <si>
    <t>Soegiono, Like/0000-0001-8842-4817; Atahau, Apriani Dorkas Rambu/0000-0002-0186-0796; huruta, anian/0000-0001-7676-5294</t>
  </si>
  <si>
    <t>Satya Wacana Christian University</t>
  </si>
  <si>
    <t>This research was supported by the project, which has received funding from the Satya Wacana Christian University under the 2018 internal competitive funding program for the scheme of university basic research</t>
  </si>
  <si>
    <t>ENTERPRENEURSHIP &amp; SUSTAINABILITY CENTER</t>
  </si>
  <si>
    <t>VILNUS</t>
  </si>
  <si>
    <t>M K CIURLIONIO STR 86A, VILNUS, 03100, LITHUANIA</t>
  </si>
  <si>
    <t>2345-0282</t>
  </si>
  <si>
    <t>ENTREPRENEUR SUSTAIN</t>
  </si>
  <si>
    <t>Entrepreneurship. Sustain.</t>
  </si>
  <si>
    <t>10.9770/jssi.2019.6.3(30)</t>
  </si>
  <si>
    <t>HO5AD</t>
  </si>
  <si>
    <t>WOS:000460934100030</t>
  </si>
  <si>
    <t>Mahmood, S; Shuhui, W; Aslam, S; Ahmed, T</t>
  </si>
  <si>
    <t>Mahmood, Salman; Shuhui, Wen; Aslam, Shoaib; Ahmed, Tanveer</t>
  </si>
  <si>
    <t>Financial Inclusion: Does it matter in Alleviating Poverty in Pakistan</t>
  </si>
  <si>
    <t>SMEs; Financial inclusion; Inclusive growth; Financial literacy; Poverty alleviation</t>
  </si>
  <si>
    <t>ECONOMIC-DEVELOPMENT; GROWTH; INNOVATION; LITERACY; ACCESS; SMES</t>
  </si>
  <si>
    <t>The world is currently transitioning from a paradigm of purely economic growth to one of inclusive growth. Financial inclusion (FI) as a driver of inclusive growth and poverty alleviation has attracted significant attention in this epochal transition. Although many excellent works have been published regarding advanced applications of FI and FI-poverty alleviation mechanisms, no work has been done to systematically discuss the interaction of financial literacy (FL) and the mediation of inclusive growth, particularly in Pakistan. Therefore, we examine how FI and the interaction of FI and FL explain their successful translation into inclusive growth and poverty alleviation. To better understand the mechanism, we examine SME perspectives in Pakistan using deductive and cross-sectional study designs and employ mediational and moderated mediational approaches through structural equation modeling technique in Amos 24. This is a significant oversight because small firms are often neglected when accessing financial services. Our findings show that, first, FI influences inclusive growth and poverty alleviation, respectively. Second, it demonstrated the inclusive growth mediation link between FI and poverty alleviation. Finally, FL strengthens the mediational link between FI, inclusive growth, and poverty alleviation. Yet, in the face of low FL, we also suggest that the FI will start to converge in ways that are problematic for a nation's SME sector in promoting inclusive growth and poverty alleviation. This insight contributes to an important understanding of the efficacy of FI as an inclusive growth and poverty reduction tool.</t>
  </si>
  <si>
    <t>[Mahmood, Salman] Southwest Forestry Univ, Fac Econ &amp; Management, Kunming, Yunnan, Peoples R China; [Shuhui, Wen; Ahmed, Tanveer] Kunming Univ Sci &amp; Technol, Fac Management &amp; Econ, Kunming, Yunnan, Peoples R China; [Aslam, Shoaib] Islamia Univ Bahawalpur, Dept Commerce, Bahawalpur, Pakistan</t>
  </si>
  <si>
    <t>Southwest Forestry University - China; Kunming University of Science &amp; Technology; Islamia University of Bahawalpur</t>
  </si>
  <si>
    <t>Mahmood, S (corresponding author), Southwest Forestry Univ, Fac Econ &amp; Management, Kunming, Yunnan, Peoples R China.</t>
  </si>
  <si>
    <t>salmankmust@gmail.com; swen33@163.com; shoaib.aslam@iub.edu.pk; tmsurahio82cs@hotmail.com</t>
  </si>
  <si>
    <t>Ahmed, Tanveer/ABC-2863-2021; Aslam, Shoaib/JJE-4599-2023</t>
  </si>
  <si>
    <t>Aslam, Shoaib/0000-0001-6817-6246</t>
  </si>
  <si>
    <t>This research work is not funded by any person or organization.</t>
  </si>
  <si>
    <t>2023 AUG 31</t>
  </si>
  <si>
    <t>10.1007/s11205-023-03200-y</t>
  </si>
  <si>
    <t>R1JI3</t>
  </si>
  <si>
    <t>WOS:001061969800001</t>
  </si>
  <si>
    <t>Heo, W; Lee, JM; Rabbani, AG</t>
  </si>
  <si>
    <t>Heo, Wookjae; Lee, Jae Min; Rabbani, Abed G.</t>
  </si>
  <si>
    <t>Mediation Effect of Financial Education between Financial Stress and Use of Financial Technology</t>
  </si>
  <si>
    <t>Financial education; Financial stress; Financial technology; National financial capability study</t>
  </si>
  <si>
    <t>HIGH-SCHOOL; PERSONAL FINANCE; IMPACT; ADOPTION; CURRICULUM; LITERACY</t>
  </si>
  <si>
    <t>This study investigated the relationship between financial stress and financial technology and included the mediating role of financial knowledge based on the ABC-X model. This study used the 2018 National Financial Capability Study to construct financial stress and the use of financial technology and tested the proposed model with two subgroups: one group with financial education and the other group without financial education. We used confirmatory factor analysis and structural equation modeling to evaluate our model. Results show that respondents with a greater level of financial stress generally tended to more engage in financial technology. When the role of financial knowledge was considered in the model, the relationship between financial stress and the use of financial technology varied by the type of financial knowledge. Although this study did not identify the onset of the coping process directly, the direct effect of financial stress on the use of financial technology in each subgroup regardless of their financial education experience confirms efforts of looking for coping when facing and responding to financially stressful situations. Thus, this study sheds light on the new technology for financial services as a potential tool for better financial management and as a coping mechanism for those with financial stress. Results from this study provide insights for financial practitioners and educators who help US households manage their financial stress.</t>
  </si>
  <si>
    <t>[Heo, Wookjae] South Dakota State Univ, Dept Consumer Sci, Box 2275A,Wagner Hall 149, Brookings, SD 57007 USA; [Lee, Jae Min] Minnesota State Univ, Dept Family Consumer Sci, 102 Wiecking Ctr, Mankato, MN 56001 USA; [Rabbani, Abed G.] Univ Missouri, Dept Personal Financial Planning, 239 E Stanley Hall, Columbia, MO 65211 USA</t>
  </si>
  <si>
    <t>South Dakota State University; Minnesota State Colleges &amp; Universities; Minnesota State University Mankato; University of Missouri System; University of Missouri Columbia</t>
  </si>
  <si>
    <t>Lee, JM (corresponding author), Minnesota State Univ, Dept Family Consumer Sci, 102 Wiecking Ctr, Mankato, MN 56001 USA.</t>
  </si>
  <si>
    <t>Wookjae.Heo@sdstate.edu; jae-min.lee@mnsu.edu; rabbania@missouri.edu</t>
  </si>
  <si>
    <t>Heo, Wookjae/I-4890-2016; Rabbani, Abed/R-6061-2019</t>
  </si>
  <si>
    <t>Rabbani, Abed/0000-0001-7647-8973</t>
  </si>
  <si>
    <t>10.1007/s10834-020-09720-w</t>
  </si>
  <si>
    <t>UC6JF</t>
  </si>
  <si>
    <t>WOS:000577398300001</t>
  </si>
  <si>
    <t>Campbell-Verduyn, M; Rodima-Taylor, D; Hütten, M</t>
  </si>
  <si>
    <t>Campbell-Verduyn, Malcolm; Rodima-Taylor, Daivi; Huetten, Moritz</t>
  </si>
  <si>
    <t>Technology, small states and the legitimacy of digital development: combatting de-risking through blockchain-based re-risking?</t>
  </si>
  <si>
    <t>JOURNAL OF INTERNATIONAL RELATIONS AND DEVELOPMENT</t>
  </si>
  <si>
    <t>Global finance; International development; Legitimacy; Monetary cooperation; Risk; Technology</t>
  </si>
  <si>
    <t>ACCOUNTABILITY; GOVERNANCE; CRISIS</t>
  </si>
  <si>
    <t>An increasingly lamented consequence of re-regulatory efforts following the 2007/2008 global financial crisis has been 'de-risking'-the growing disengagement by banks and other financial institutions with markets perceived as posing greater risks than justified by potential profits. As banks based in the Global North have moved to withdraw financial services from many emerging economies, de-risking has attracted attention for undermining financial inclusion and developmental efforts. Novel technologies are being harnessed to address this problem, including applications of blockchain, the digital ledgers of transactions originally underpinning cryptocurrencies. Contributing to IR theorising of legitimacy and re-risking, this article illustrates how technology-based de-risking efforts that seek to attend to the perceptions of foreign financiers can undermine the legitimacy of financial inclusion projects. Contrasting unfolding blockchain-based financial inclusion initiatives in two regions of small states in the Eastern Caribbean and Eastern Europe, our analysis stresses the need for greater local participation and clearer distribution of benefits from finance and technology (fintech) centred forms of digital development.</t>
  </si>
  <si>
    <t>[Campbell-Verduyn, Malcolm] Univ Groningen, Dept Int Relat &amp; Int Org IRIO, Oude Kijk Int Jatstr 26, NL-9712 EK Groningen, Netherlands; [Huetten, Moritz] Boston Univ, Boston, MA 02215 USA; [Rodima-Taylor, Daivi] Darmstadt Business Sch, Darmstadt, Germany</t>
  </si>
  <si>
    <t>University of Groningen; Boston University</t>
  </si>
  <si>
    <t>Campbell-Verduyn, M (corresponding author), Univ Groningen, Dept Int Relat &amp; Int Org IRIO, Oude Kijk Int Jatstr 26, NL-9712 EK Groningen, Netherlands.</t>
  </si>
  <si>
    <t>m.a.campbell-verduyn@rug.nl</t>
  </si>
  <si>
    <t>Huetten, Moritz/AAC-8869-2020; Rodima-Taylor, Daivi/ADW-6733-2022</t>
  </si>
  <si>
    <t>Campbell-Verduyn, Malcolm/0000-0003-1081-5417</t>
  </si>
  <si>
    <t>Hans-Bockler-Stiftung [2017-437-2]</t>
  </si>
  <si>
    <t>Hans-Bockler-Stiftung</t>
  </si>
  <si>
    <t>Moritz Hutten has also benefited from funding by the Hans-Bockler-Stiftung, Project Number 2017-437-2.</t>
  </si>
  <si>
    <t>1408-6980</t>
  </si>
  <si>
    <t>1581-1980</t>
  </si>
  <si>
    <t>J INT RELAT DEV</t>
  </si>
  <si>
    <t>J. Int. Relat. Dev.</t>
  </si>
  <si>
    <t>10.1057/s41268-020-00198-5</t>
  </si>
  <si>
    <t>SC7DI</t>
  </si>
  <si>
    <t>WOS:000559701500001</t>
  </si>
  <si>
    <t>Béres, D; Mészáros, A; Hanák, Z; Németh, E</t>
  </si>
  <si>
    <t>Beres, Daniel; Meszaros, Aranka; Hanak, Zsuzsanna; Nemeth, Erzsebet</t>
  </si>
  <si>
    <t>THE ROLE OF POCKET MONEY IN THE FINANCIAL SOCIALIZATION OF YOUNG PEOPLE</t>
  </si>
  <si>
    <t>pocket money; financial literacy; development model</t>
  </si>
  <si>
    <t>The paper examines the role of pocket money in relation to both financial socialisation and financial literacy. The results based on academic and grey literature and on primary research shows that pocket money has a significant impact on the development of financial awareness. The main conclusion of our research is that financial socialisation can be understood along an eight-stage, pocket money-centred development model in which theoretical knowledge is complemented by practice according to the receptive capacity of children and young adults. The development model can also serve as a starting point for programmes to improve financial literacy and increase their effectiveness. However, for the completion of financial socialisation and financial inclusion, it is also necessary that the fees and costs applied in the financial system should not distort the socialisation process outlined in the developmental model - all financial services should be available free of charge to individuals up to the age of 24, without excessive risk-taking. This can be interpreted as an investment by financial system actors in financially aware customers.</t>
  </si>
  <si>
    <t>[Beres, Daniel; Nemeth, Erzsebet] Budapest Metropolitan Univ, Nagy Lajos Kiraly Utja 1-9, H-1148 Budapest, Hungary; [Meszaros, Aranka; Hanak, Zsuzsanna] Eszterhazy Karoly Catholic Univ, Eszterhazy Ter 1, H-3300 Eger, Hungary</t>
  </si>
  <si>
    <t>Budapest Metropolitan University; Eszterhazy Karoly Catholic University</t>
  </si>
  <si>
    <t>Németh, E (corresponding author), Budapest Metropolitan Univ, Nagy Lajos Kiraly Utja 1-9, H-1148 Budapest, Hungary.</t>
  </si>
  <si>
    <t>enemeth@metropolitan.hu</t>
  </si>
  <si>
    <t>Németh, Erzsébet/AAD-4181-2020</t>
  </si>
  <si>
    <t>10.33736/ijbs.8578.2024</t>
  </si>
  <si>
    <t>WOS:001417292000021</t>
  </si>
  <si>
    <t>Nitoi, M; Pochea, MM</t>
  </si>
  <si>
    <t>Nitoi, Mihai; Pochea, Maria-Miruna</t>
  </si>
  <si>
    <t>Trust in the central bank, financial literacy, and personal beliefs</t>
  </si>
  <si>
    <t>Trust; Central bank; Government; Financial literacy; Beliefs; OeNB Euro Survey</t>
  </si>
  <si>
    <t>MONETARY-POLICY; EDUCATION; DISTRUST; ECB</t>
  </si>
  <si>
    <t>This paper examines trust in the central bank across ten Central, Eastern and Southeastern European countries, using survey data collected from 61,398 individuals. Our results show that financially literate individuals are more likely to trust central banks. The association is stronger in countries with inflation targeting and flexible exchange rates regimes. Distrust in the central bank is associated with higher inflation expectations, savings in foreign currency or a preference for cash. Even when the sample is restricted to individuals with high inflation expectations, financial literacy remains associated with greater trust in the central bank. We find that trust in the central bank correlates negatively with financial inclusion but positively with wealth. Financially literate citizens express less trust in the government, which highlights that trust in the central bank is not entirely indicative of trust in the government. However, individuals who think that prices will rise and the local currency will depreciate distrust both the central bank and the government.</t>
  </si>
  <si>
    <t>[Nitoi, Mihai] Romanian Acad, Inst World Econ, Natl Inst Econ Res, Bucharest, Romania; [Pochea, Maria-Miruna] Babes Bolyai Univ, Dept Finance, Cluj Napoca, Romania</t>
  </si>
  <si>
    <t>Romanian Academy; National Institute for Economic Research Costin C. Kiritescu; Babes Bolyai University from Cluj</t>
  </si>
  <si>
    <t>Pochea, MM (corresponding author), Babes Bolyai Univ, Dept Finance, Cluj Napoca, Romania.</t>
  </si>
  <si>
    <t>mihai.nitoi@ince.ro; miruna.pochea@econ.ubbcluj.ro</t>
  </si>
  <si>
    <t>Niţoi, Mihai/LNQ-6102-2024</t>
  </si>
  <si>
    <t>Recurring Donors Fund [GAR2023-165]; Romanian Ministry of Research, Innovation and Digitization, CNCS-UEFISCDI within PNCDI III [PNIII-P1-1.1-TE-2019-1702]</t>
  </si>
  <si>
    <t>Recurring Donors Fund; Romanian Ministry of Research, Innovation and Digitization, CNCS-UEFISCDI within PNCDI III</t>
  </si>
  <si>
    <t>The work of Mihai Nitoi was supported by a grant of Recurring Donors Fund, available to the Romanian Academy and managed by the PATRIMONIU Foundation, project number GAR2023-165. The work of Maria-Miruna Pochea was supported by a grant of the Romanian Ministry of Research, Innovation and Digitization, CNCS-UEFISCDI, project number PNIII-P1-1.1-TE-2019-1702, within PNCDI III.</t>
  </si>
  <si>
    <t>10.1016/j.jimonfin.2024.103066</t>
  </si>
  <si>
    <t>RF1C5</t>
  </si>
  <si>
    <t>WOS:001226151700001</t>
  </si>
  <si>
    <t>Mago, S; Modiba, FS</t>
  </si>
  <si>
    <t>Mago, Stephen; Modiba, Florah Sewela</t>
  </si>
  <si>
    <t>The Regulation and Inequality Nexus in Microfinance and Tourism Sectors</t>
  </si>
  <si>
    <t>regulation; inequality; informal sector; microfinance policy; tourism enterprises</t>
  </si>
  <si>
    <t>INSTITUTIONS; IMPACT</t>
  </si>
  <si>
    <t>This paper examines the complex nexus between regulation and inequality in Zimbabwe's microfinance and tourism sectors. Rural Small to Medium Enterprises in Tourism (SMETs) is typical in the informal sector. However, SMETs in rural areas face financial, regulatory, and exclusionary constraints. This paper follows a qualitative literature review methodology guided by an exploratory design. In addition, one secondary case study was included to highlight the lived realities of SMETs. Findings indicate a complex connection between regulation and inequality in the economy. Overregulation leads to corruption, marginalization, and exclusion of small business activities. SMETs are constrained because they need access to finance for business growth. Thus, the nexus between the two variables profoundly impacts policy. The government must entangle the relationship for policy directions in the microfinance and tourism sectors. The paper concludes that the nexus between regulation and inequality needs urgent attention. The paper's originality is based on using a systematic literature review to assess how regulations affect microfinance's ability to fund rural SMETs so that these areas could have economic opportunities that would improve the livelihoods of people residing in these areas, thereby addressing inequalities. Furthermore, it contributes to the debates on the complex relationship between regulation and inequality of two sectors (microfinance and tourism) in Zimbabwe. It also informs future lines of research on the subject. Due to noted limitations on the research design used, more comprehensive empirical studies are required to understand the complexity of the nexus. This paper explores the link between regulation and inequality in Zimbabwe's microfinance and tourism sectors, with a focus on rural Small to Medium Enterprises in Tourism (SMETs). It employs a qualitative literature review methodology. One secondary case study is included to understand the constraints faced by SMETs in rural areas. The results indicate that overregulation leads to corruption, marginalization, and exclusion of small business activities, hindering SMETs' access to finance and business growth. The paper highlights the urgent need for policymakers to address the complex nexus between regulation and inequality and calls for further empirical research to understand the intricacies of the relationship. It contributes to debates on the regulation-inequality connection and offers insights into the future lines of research. However, it has limitations due to the research design, highlighting the need for more comprehensive empirical studies.</t>
  </si>
  <si>
    <t>[Mago, Stephen; Modiba, Florah Sewela] Nelson Mandela Univ, Gqeberha, South Africa; [Mago, Stephen] Nelson Mandela Univ, Dept Dev Studies, 1022 Main Bldg,South Campus, Gqeberha, South Africa</t>
  </si>
  <si>
    <t>Nelson Mandela University; Nelson Mandela University</t>
  </si>
  <si>
    <t>Mago, S (corresponding author), Nelson Mandela Univ, Dept Dev Studies, 1022 Main Bldg,South Campus, Gqeberha, South Africa.</t>
  </si>
  <si>
    <t>Stephen.Mago@mandela.ac.za</t>
  </si>
  <si>
    <t>Mago, Stephen/AEY-6840-2022</t>
  </si>
  <si>
    <t>Nelson Mandela University through the SANLiC agreement</t>
  </si>
  <si>
    <t>The author(s) disclosed receipt of the following financial support for the research, authorship, and/or publication of this article: The funding refers to the page fees for this article that will be paid by Nelson Mandela University through the SANLiC agreement.</t>
  </si>
  <si>
    <t>10.1177/21582440241252269</t>
  </si>
  <si>
    <t>RL7F4</t>
  </si>
  <si>
    <t>WOS:001227878300001</t>
  </si>
  <si>
    <t>Alhammadi, S</t>
  </si>
  <si>
    <t>Alhammadi, Salah</t>
  </si>
  <si>
    <t>Expanding financial inclusion in Indonesia through Takaful: opportunities, challenges and sustainability</t>
  </si>
  <si>
    <t>Financial inclusion; Microfinance; Takaful; Islamic banking and finance; Indonesia; Sustainable economic development</t>
  </si>
  <si>
    <t>POVERTY REDUCTION</t>
  </si>
  <si>
    <t>PurposeThis study aims to investigate the relationship between financial inclusion and sustainable economic development in Indonesia by exploring the potential impact of Takaful. Specifically, the study seeks to examine the feasibility of leveraging Takaful as a means to foster financial inclusion and drive economic growth in Indonesia.Design/methodology/approachThis study uses a qualitative analysis methodology, specifically using content analysis techniques, to investigate the relationship between financial inclusion and sustainable economic growth in Indonesia, focussing on the role of Takaful. The content analysis enables a systematic study of the data to identify trends and topics pertinent to Takaful and its potential to advance financial inclusion.FindingsThe study's results reveal a direct causal link between economic growth and achieving financial inclusion through the use of Takaful. The findings also indicate a positive correlation between the increased presence of Takaful markets and accelerated economic growth.Research limitations/implicationsThe study examines only the use of Takaful in achieving financial inclusion and sustainable economic growth in Indonesia. Nonetheless, the practical implications of this research are substantial, as they highlight the potential of Takaful to foster financial inclusion and stimulate economic growth in Indonesia.Practical implicationsThis study contributes to the limited body of research on the relationship between financial inclusion and economic growth in Indonesia, specifically in the context of Takaful.Originality/valueThis study's value lies in its exploration of an under-researched area, providing crucial insights into the potential of Takaful to promote financial inclusion and drive economic growth in Indonesia. The social implications of this study are also noteworthy, as increased financial inclusion and economic growth can positively affect poverty reduction, job creation and overall societal well-being in Indonesia.</t>
  </si>
  <si>
    <t>[Alhammadi, Salah] Arab Open Univ, Business Studies Dept, Farwaniya, Kuwait</t>
  </si>
  <si>
    <t>Arab Open University-Kuwait</t>
  </si>
  <si>
    <t>Alhammadi, S (corresponding author), Arab Open Univ, Business Studies Dept, Farwaniya, Kuwait.</t>
  </si>
  <si>
    <t>salhammadi@aou.edu.kw</t>
  </si>
  <si>
    <t>Alhammadi, Salah/F-2637-2015</t>
  </si>
  <si>
    <t>10.1108/JFRA-05-2023-0256</t>
  </si>
  <si>
    <t>L3647</t>
  </si>
  <si>
    <t>WOS:001133249400001</t>
  </si>
  <si>
    <t>Financial inclusion effects of engaging with the fintech ecosystem</t>
  </si>
  <si>
    <t>Fintech ecosystem; Financial inclusion; Financial products; Engagement</t>
  </si>
  <si>
    <t>FIELD EXPERIMENTAL-EVIDENCE; MOBILE MONEY; TRANSACTION COSTS; SAVINGS; BANKING; RISK; IDENTIFICATION; TECHNOLOGY; LITERACY; SERVICES</t>
  </si>
  <si>
    <t>Using the FinAccess Kenya Household Survey dataset, we construct a metric of individual engagement with the fintech ecosystem and examine its linkage with consumption of traditional financial products. Deploying a battery of econometric procedures, we document a pervasive gap in the usage of traditional financial products, ranging from 5.3% to 17.5%, between individuals who engage with the fintech ecosystem and those who do not. Treatment-effects procedures yield evidence that engaging with the fintech ecosystem improves individuals' usage of traditional financial products by about 4 percentage points. The positive impact of the fintech ecosystem on the usage of traditional financial products is enabled by fintech mitigating the distance barrier. Interestingly, our findings suggest that the fintech ecosystem does not perform well in addressing financial inclusion inequalities facing young adults, women, the less educated and less wealthy people. We offer policy guides and future research suggestions anchored on these findings.</t>
  </si>
  <si>
    <t>[Kodongo, Odongo] Wits Business Sch, 2 St Davids Pl,Parktown 2193 &amp; Thako Capital,84 So, ZA-2195 Fairland, South Africa</t>
  </si>
  <si>
    <t>Kodongo, O (corresponding author), Wits Business Sch, 2 St Davids Pl,Parktown 2193 &amp; Thako Capital,84 So, ZA-2195 Fairland, South Africa.</t>
  </si>
  <si>
    <t>odongo.kodongo2@wits.ac.za</t>
  </si>
  <si>
    <t>10.1016/j.iref.2024.103671</t>
  </si>
  <si>
    <t>J7U9A</t>
  </si>
  <si>
    <t>WOS:001339085700001</t>
  </si>
  <si>
    <t>Beisland, LA; Djan, KO; Mersland, R; Randoy, T</t>
  </si>
  <si>
    <t>Beisland, Leif Atle; Djan, Kwame Ohene; Mersland, Roy; Randoy, Trond</t>
  </si>
  <si>
    <t>Measuring Social Performance in Social Enterprises: A Global Study of Microfinance Institutions</t>
  </si>
  <si>
    <t>Social rating; Microfinance rating; Microfinance institution; Ethical finance; Non-profit organizations; Social performance; Poverty alleviation</t>
  </si>
  <si>
    <t>FINANCIAL INCLUSION; EFFICIENCY; OUTREACH; ENTREPRENEURSHIP; ORGANIZATIONS; CRISIS; WOMEN</t>
  </si>
  <si>
    <t>Social enterprises in the microfinance industry need to adhere to both financial and social demands. Critics argue that there is a mission drift away from the social mission, and this has motivated the introduction of social rating agencies to strengthen the business ethics of microfinance institutions (MFIs). Using a global dataset of 204 socially rated MFIs from 58 countries, we assess the factors that drive the social performance ratings of MFIs. Overall our results show that social ratings of MFIs are significantly related to financial performance, greater outreach especially in rural areas, well-defined social objectives, staff commitment, service quality and an enhanced customer service. We observe that various rating agencies attach different importance to each of the social indicators. The public policy implication is that social rating agencies need to become more transparent, to reduce the information asymmetries between heterogenous socially motivated investors and the focal MFI.</t>
  </si>
  <si>
    <t>[Beisland, Leif Atle; Djan, Kwame Ohene; Mersland, Roy; Randoy, Trond] Univ Agder, Sch Business &amp; Law, Servicebox 422, N-4604 Kristiansand, Norway</t>
  </si>
  <si>
    <t>Beisland, LA (corresponding author), Univ Agder, Sch Business &amp; Law, Servicebox 422, N-4604 Kristiansand, Norway.</t>
  </si>
  <si>
    <t>leif.a.beisland@uia.no</t>
  </si>
  <si>
    <t>Mersland, Roy/0000-0002-6683-2737; Randøy, Trond/0000-0003-4530-8108</t>
  </si>
  <si>
    <t>10.1007/s10551-019-04417-z</t>
  </si>
  <si>
    <t>SF9DY</t>
  </si>
  <si>
    <t>WOS:000574119700001</t>
  </si>
  <si>
    <t>Peters, CM; Sherraden, M; Kuchinski, AM</t>
  </si>
  <si>
    <t>Peters, Clark M.; Sherraden, Margaret; Kuchinski, Ann Marie</t>
  </si>
  <si>
    <t>From Foster Care to Adulthood: The Role of Income</t>
  </si>
  <si>
    <t>JOURNAL OF PUBLIC CHILD WELFARE</t>
  </si>
  <si>
    <t>foster care; aging out; asset development; financial capability employment</t>
  </si>
  <si>
    <t>YOUTH; OUTCOMES; CHILDREN</t>
  </si>
  <si>
    <t>This study explores the role of income for young people with experience in foster care transitioning to adulthood. It draws on in-depth structured interviews with eight staff members and 38 current and former foster youths age 18 years and older, who were participants in an innovative program to build their assets and financial capability. Interviews took place in four sites in three states. This study illuminates how those with experience in foster care seek to obtain and manage money to transition successfully to adult financial roles. Findings suggest that early and practical experiences with money are important for gaining financial capability. The study also highlights the need for child welfare professionals to develop expertise in financial literacy and understand the pitfalls that lie in both traditional and nontraditional financial services. By deepening understanding among staff of the economic realities facing the young people today, child welfare agencies will be more likely to prepare former foster youths for life on their own.</t>
  </si>
  <si>
    <t>[Peters, Clark M.] Univ Missouri, Sch Social Work, Columbia, MO USA; [Peters, Clark M.] Univ Missouri, Truman Sch Publ Affairs, Columbia, MO USA; [Peters, Clark M.] Univ Missouri, Sch Law, Columbia, MO USA; [Sherraden, Margaret] Univ Missouri, St Louis, MO 63121 USA; [Sherraden, Margaret] Washington Univ, George Warren Brown Sch, Fac Ctr Social Dev, St Louis, MO USA; [Kuchinski, Ann Marie] Georgia Regents Univ, Dept Emergency Med, Augusta, GA USA; [Kuchinski, Ann Marie] Georgia Regents Univ, Dept Hist Anthropol &amp; Philosophy, Augusta, GA USA</t>
  </si>
  <si>
    <t>University of Missouri System; University of Missouri Columbia; University of Missouri System; University of Missouri Columbia; University of Missouri System; University of Missouri Columbia; University of Missouri System; University of Missouri Saint Louis; Washington University (WUSTL); University System of Georgia; Augusta University; University System of Georgia; Augusta University</t>
  </si>
  <si>
    <t>Peters, CM (corresponding author), Univ Missouri, 719 Clark Hall, Columbia, MO 65211 USA.</t>
  </si>
  <si>
    <t>peterscm@missouri.edu</t>
  </si>
  <si>
    <t>1554-8732</t>
  </si>
  <si>
    <t>1554-8740</t>
  </si>
  <si>
    <t>J PUBLIC CHILD WELF</t>
  </si>
  <si>
    <t>J. Public Child Welf.</t>
  </si>
  <si>
    <t>10.1080/15548732.2015.1090940</t>
  </si>
  <si>
    <t>EA9BU</t>
  </si>
  <si>
    <t>WOS:000386936500003</t>
  </si>
  <si>
    <t>Lahnech, A; Chami, M</t>
  </si>
  <si>
    <t>Lahnech, Asmae; Chami, Mustapha</t>
  </si>
  <si>
    <t>Exploring the Synergy Between Microfinance and Poverty: A Bibliometric and Comprehensive Systematic Literature Review</t>
  </si>
  <si>
    <t>microfinance; poverty alleviation; financial inclusion; systematic literature review; bibliometric analysis</t>
  </si>
  <si>
    <t>CREDIT; IMPACT; INSTITUTIONS; PERFORMANCE; BUSINESS; OUTREACH</t>
  </si>
  <si>
    <t>Microfinance has become an increasingly important instrument in the global battle against poverty. However, its long-term success and the hurdles it faces require further critical examination. The goal of this research is to critically evaluate the influence of microfinance on poverty reduction through a thorough analysis that combines bibliometric tools with a Systematic Literature Review (SLR) using the PRISMA framework. This dual-methodology approach seeks to offer a more comprehensive view of the present state of microfinance research and its implications for poverty alleviation. The bibliometric analysis identifies leading countries, academic institutions, journals, authors, and keywords in microfinance research, providing a global, multidisciplinary perspective on the field. The SLR focuses on 26 carefully selected scholarly articles, offering in-depth insights into key themes, current applications, challenges, and future directions of microfinance in poverty reduction. The findings show that, while microfinance has great promise for driving economic growth and promoting social inclusion, it also confronts significant challenges. Key findings include identification of high interest rates, repayment difficulties, and sustainability concerns among microfinance institutions as major obstacles. These findings highlight the need for focused interventions and innovative strategies for increasing microfinance's efficacy in poverty alleviation. Finally, the study provides a strategic framework for stakeholders, including academics, policymakers, and practitioners, to effectively leverage microfinance as a sustainable tool for poverty reduction.</t>
  </si>
  <si>
    <t>[Lahnech, Asmae; Chami, Mustapha] Hassan 1st Univ, Natl Sch Business &amp; Management, 50 Rue Ibnou Lhaytham BP 577, Settat 26002, Morocco</t>
  </si>
  <si>
    <t>Hassan First University of Settat</t>
  </si>
  <si>
    <t>Lahnech, A (corresponding author), Hassan 1st Univ, Natl Sch Business &amp; Management, 50 Rue Ibnou Lhaytham BP 577, Settat 26002, Morocco.</t>
  </si>
  <si>
    <t>a.lahnech@uhp.ac.ma</t>
  </si>
  <si>
    <t>10.1177/21582440251340771</t>
  </si>
  <si>
    <t>3DO5M</t>
  </si>
  <si>
    <t>WOS:001497788400001</t>
  </si>
  <si>
    <t>Vukovic, DB; Dekpo-Adza, S; Matovic, S</t>
  </si>
  <si>
    <t>Vukovic, Darko B.; Dekpo-Adza, Senanu; Matovic, Stefana</t>
  </si>
  <si>
    <t>AI integration in financial services: a systematic review of trends and regulatory challenges</t>
  </si>
  <si>
    <t>SUPPLY CHAIN FINANCE; BIG DATA; ARTIFICIAL-INTELLIGENCE; NEURAL-NETWORKS; FINTECH ECOSYSTEM; STATEMENT FRAUD; PREDICTION; ANALYTICS; MODEL; RELATEDNESS</t>
  </si>
  <si>
    <t>The integration of Artificial Intelligence (AI) into financial services represents a developmental shift in the industry, presenting unprecedented opportunities and challenges. This scientometric review examines the evolution of AI in finance from 1989 to 2024, analyzing its pivotal applications in credit scoring, fraud detection, digital insurance, robo-advisory services, and financial inclusion. The analysis reveals significant trends, particularly the growing adoption of machine learning, natural language processing, and blockchain technologies in reshaping financial operations and decision-making processes. The review addresses critical regulatory and ethical challenges, emphasizing the imperative for explainable AI (XAI) and robust governance frameworks to ensure transparency, fairness, and accountability in AI-driven systems. Despite rapid advancements, persistent gaps remain, the most notable of which is the lack of standardized frameworks for AI implementation across financial sectors. The findings support the need for a balanced approach that promotes innovation while addressing ethical, regulatory, and societal concerns. This comprehensive synthesis maps the trajectory of AI in finance, identifies key areas for future research, and recommends interdisciplinary collaboration to advance responsible and sustainable AI integration within the financial ecosystem.</t>
  </si>
  <si>
    <t>[Vukovic, Darko B.] St Petersburg State Univ, Grad Sch Management, St Petersburg, Russia; [Vukovic, Darko B.; Matovic, Stefana] Geog Inst Jovan Cvij SASA, Belgrade, Serbia; [Dekpo-Adza, Senanu] HSE Univ, St Petersburg Sch Econ &amp; Management, St Petersburg, Russia</t>
  </si>
  <si>
    <t>Saint Petersburg State University; HSE University (National Research University Higher School of Economics)</t>
  </si>
  <si>
    <t>Vukovic, DB (corresponding author), St Petersburg State Univ, Grad Sch Management, St Petersburg, Russia.;Vukovic, DB (corresponding author), Geog Inst Jovan Cvij SASA, Belgrade, Serbia.</t>
  </si>
  <si>
    <t>vdarko@hotmail.rs</t>
  </si>
  <si>
    <t>Matovic, Stefana/AAN-9798-2021; Dekpo-Adza, Senanu/OFN-7630-2025; Vukovic, Darko B/AGI-2271-2022</t>
  </si>
  <si>
    <t>Vukovic, Darko B/0000-0002-1165-489X</t>
  </si>
  <si>
    <t>RSF grant [24-28-00521]</t>
  </si>
  <si>
    <t>RSF grant(Russian Science Foundation (RSF))</t>
  </si>
  <si>
    <t>The work of author Darko B. Vukovic for his contribution in the paper (investigation of Fintech on market dynamics) has been supported by the RSF grant 24-28-00521 for the project Market efficiency in turmoil: an arbitrage opportunity and a relative optimization in the long run. Link: https://rscf.ru/en/project/24-28-00521/.</t>
  </si>
  <si>
    <t>APR 22</t>
  </si>
  <si>
    <t>10.1057/s41599-025-04850-8</t>
  </si>
  <si>
    <t>1RG8J</t>
  </si>
  <si>
    <t>WOS:001471773700001</t>
  </si>
  <si>
    <t>Aslam, R; Rehman, S; Nasir, A</t>
  </si>
  <si>
    <t>Aslam, Rabia; Rehman, Saqib; Nasir, Adeel</t>
  </si>
  <si>
    <t>Investigating the relationship between government support and SMEs' sustainability through financial and green lenses</t>
  </si>
  <si>
    <t>Financial literacy; Access to finance; Green value co-creation; Government support; SMEs sustainability</t>
  </si>
  <si>
    <t>VALUE CO-CREATION; SOCIAL-RESPONSIBILITY; BUSINESS; PERFORMANCE; INNOVATION; ACCESS; ENTERPRISES; COVID-19; POLICY; MANAGEMENT</t>
  </si>
  <si>
    <t>PurposeTo be successful on a global scale, small- and medium-sized enterprises (SMEs) need government support (GS) for innovation, sustainability and creativity. GS has always been a constructive influence on enterprises. This paper aims to examine the role of GS in assessing financial literacy (FL), access to finance (AF) and green value co-creation (GVC) for the sustainability of SMEs. Design/methodology/approachThis study's sample comprises SMEs in Lahore, Pakistan. Data collection started in December 2021 and ended in February 2022. Using convenient sampling, 320 responses were collected from SMEs and included in data analysis. Hypotheses were tested, and model fit was checked through the software AMOS 22. FindingsIt has been examined that GS plays a pivotal role in acquiring FL, AF and GVC for the sustainability of SMEs. Research limitations/implicationsIncreasing the sample size will give a more demonstrative picture as the population size is quite large. Future researchers should design causal relationships, linking these variables through longitudinal research. Originality/valueNo study has been conducted on SMEs of developing economies using these variables. This study contributes to the literature by providing a comprehensive model and identifying GSs importance in achieving SMEs' sustainability through financial and green lenses. This research significantly impacts government policymakers and SMEs by giving them insight into the importance of green practices, financial capabilities and SMEs' sustainability.</t>
  </si>
  <si>
    <t>[Aslam, Rabia; Rehman, Saqib; Nasir, Adeel] Lahore Coll Women Univ, Dept Management Sci, Lahore, Pakistan</t>
  </si>
  <si>
    <t>Rehman, S (corresponding author), Lahore Coll Women Univ, Dept Management Sci, Lahore, Pakistan.</t>
  </si>
  <si>
    <t>rabia628333@hotmail.co.uk; Dr.SaqibRehman81@gmail.com; Adeel.nasir@lcwu.edu.pk</t>
  </si>
  <si>
    <t>Nasir, Adeel/W-2023-2017; Rehman, Saqib/GNH-4990-2022</t>
  </si>
  <si>
    <t>Nasir, Adeel/0000-0002-4065-3159; Rehman, Saqib/0000-0001-6307-7978</t>
  </si>
  <si>
    <t>10.1108/JBIM-05-2022-0191</t>
  </si>
  <si>
    <t>WOS:000929805300001</t>
  </si>
  <si>
    <t>Imhanrenialena, BO; Obi-Anike, OH; Okafor, CN; Ike, RN; Obiora-Okafo, C</t>
  </si>
  <si>
    <t>Imhanrenialena, Benedict Ogbemudia; Obi-Anike, Ozioma Happiness; Okafor, Chikodili Nkiruka; Ike, Ruby Nneka; Obiora-Okafo, Chinedu</t>
  </si>
  <si>
    <t>Addressing Financial Inclusion Challenges in Rural Areas from the Financial Services Marketing Employee Emotional Labor Dimension: Evidence from Nigeria</t>
  </si>
  <si>
    <t>Emotional labor; Job satisfaction; Financial services sales performance; Rural area</t>
  </si>
  <si>
    <t>INTELLIGENCE; AFFECTIVITY</t>
  </si>
  <si>
    <t>Financial authorities basically regard low financial literacy rate and poor information and communication technology as the major challenges facing financial inclusion drive, particularly among rural dwellers in Nigeria. No study has assessed the cause of low financial inclusion from the financial services marketers' emotional labor perspective. This quantitative study attempted to close this gap by exploring how emotional labor variables relate to financial services sales performance and job satisfaction among bank marketers. Primary data were collected from 417 bank marketers operating in Edo and Delta States. Partial least squares structural equation modeling was used to test the formulated hypotheses. The outcomes show that surface acting has a significant negative effect on financial service sales outcomes and job satisfaction, while deep acting was found to have a significant positive effect on financial service sales outcomes and job satisfaction among bank marketers.</t>
  </si>
  <si>
    <t>[Imhanrenialena, Benedict Ogbemudia; Obi-Anike, Ozioma Happiness; Okafor, Chikodili Nkiruka; Ike, Ruby Nneka; Obiora-Okafo, Chinedu] Univ Nigeria Nsukka, Fac Business Adm, Dept Management, Nsukka, Nigeria</t>
  </si>
  <si>
    <t>Imhanrenialena, BO (corresponding author), Univ Nigeria Nsukka, Fac Business Adm, Dept Management, Nsukka, Nigeria.</t>
  </si>
  <si>
    <t>benedict.imhanrenialena@unn.edu.ng; ozioma.obi-anike@unn.edu.ng; chikodili.okafor@unn.edu.ng; ruby.ike@unn.edu.ng; chineduobioraokafo@gmail.com</t>
  </si>
  <si>
    <t>OBI-ANIKE, HAPPINESS OZIOMA/0000-0002-6301-2186</t>
  </si>
  <si>
    <t>10.1057/s41264-021-00107-y</t>
  </si>
  <si>
    <t>1H4QU</t>
  </si>
  <si>
    <t>WOS:000673437900001</t>
  </si>
  <si>
    <t>Kumari, R; Kulkarni, M</t>
  </si>
  <si>
    <t>Kumari, Rupali; Kulkarni, Mugdha</t>
  </si>
  <si>
    <t>Enhancing financial citizenship through financial technology: a systematic literature review</t>
  </si>
  <si>
    <t>Financial citizenship; financial technology; financial inclusion; financial literacy; financial trust; Public Finance; Banking; Finance</t>
  </si>
  <si>
    <t>SCIENCE; SCOPUS; WEB</t>
  </si>
  <si>
    <t>This study seeks to integrate the most recent research surrounding financial citizenship and financial technology (FinTech) to highlight their role within contemporary financial systems in promoting economic equity and transforming financial services in practice. Data were systematically collected from the databases- Scopus and Web of Science using the PRISMA method. A bibliometric analysis was performed using Biblioshiny on the open-access documents. The review concluded that financial citizenship, which consists of financial inclusion, literacy, financial protection and financial trust, is the key to advancing economic equality and democratic participation. This study contributes to both the financial citizenship and financial technology bodies of knowledge by conducting a comprehensive review of the current literature, linking the two areas of research that are usually seen separately. The study brings a unique perspective in understanding the implications of technology concerning financial inclusion and stability and identifies important aspects that call for future research.</t>
  </si>
  <si>
    <t>[Kumari, Rupali] Symbiosis Int Univ, Pune, Maharashtra, India; [Kulkarni, Mugdha] Symbiosis Ctr Informat Technol SCIT, Pune, Maharashtra, India</t>
  </si>
  <si>
    <t>Symbiosis International University; Symbiosis International University; Symbiosis Centre for Information Technology (SCIT)</t>
  </si>
  <si>
    <t>Kumari, R (corresponding author), Symbiosis Int Univ, Pune, Maharashtra, India.</t>
  </si>
  <si>
    <t>phdgrad.rupali.kumari@siu.edu.in</t>
  </si>
  <si>
    <t>10.1080/23322039.2025.2511883</t>
  </si>
  <si>
    <t>3JU4F</t>
  </si>
  <si>
    <t>WOS:001502038700001</t>
  </si>
  <si>
    <t>Mukherjee, SW; Bergquist, LF; Burke, M; Miguel, E</t>
  </si>
  <si>
    <t>Mukherjee, Sanghamitra Warrier; Bergquist, Lauren Falcao; Burke, Marshall; Miguel, Edward</t>
  </si>
  <si>
    <t>Unlocking the benefits of credit through saving</t>
  </si>
  <si>
    <t>Credit; Saving; Consumption; Investment; Seasonality</t>
  </si>
  <si>
    <t>FIELD EXPERIMENTAL-EVIDENCE; MICROCREDIT; IMPACT; BANKING; POOR; FARMERS</t>
  </si>
  <si>
    <t>Access to microcredit has been shown to generate only modest average benefits for recipient households. We study whether other financial market frictions - in particular, lack of access to a safe place to save - might limit credit's benefits. Working with Kenyan farmers, we cross-randomize access to a simple savings product with a harvest-time loan. Among loan offer recipients, the additional offer of a savings lockbox increased farm investment by 11% and household consumption by 7%. Results suggest that financial market frictions can interact in important ways and that multifaceted financial access programs might unlock dynamic household gains.</t>
  </si>
  <si>
    <t>[Mukherjee, Sanghamitra Warrier] Univ Oxford, Dept Econ, Oxford, England; [Bergquist, Lauren Falcao] Yale Univ, Dept Econ, New Haven, CT USA; [Bergquist, Lauren Falcao] Yale Univ, Jackson Sch Global Affairs, New Haven, CT USA; [Bergquist, Lauren Falcao; Burke, Marshall; Miguel, Edward] Natl Bur Econ Res, Cambridge, MA USA; [Burke, Marshall] Stanford Univ, Doerr Sch Sustainabil, Stanford, CA USA; [Burke, Marshall] Stanford Univ, Ctr Food Secur &amp; Environm, Stanford, CA USA; [Miguel, Edward] Univ Calif Berkeley, Dept Econ, Berkeley, CA USA</t>
  </si>
  <si>
    <t>University of Oxford; Yale University; Yale University; National Bureau of Economic Research; Stanford University; Stanford University; University of California System; University of California Berkeley</t>
  </si>
  <si>
    <t>Bergquist, LF (corresponding author), 27 Hillhouse Ave, New Haven, CT 06511 USA.</t>
  </si>
  <si>
    <t>lauren.bergquist@yale.edu</t>
  </si>
  <si>
    <t>Miguel, Edward/AGZ-9405-2022</t>
  </si>
  <si>
    <t>Burke, Marshall/0000-0003-4288-5858</t>
  </si>
  <si>
    <t>Agricultural Technology Adoption Initiative and Wellspring Advisors LLC; University of California, Berkeley [CPHS 2010-06-1696]</t>
  </si>
  <si>
    <t>Agricultural Technology Adoption Initiative and Wellspring Advisors LLC; University of California, Berkeley(University of California System)</t>
  </si>
  <si>
    <t>We thank One Acre Fund for partnering with us on the intervention. We gratefully acknowledge funding from the Agricultural Technology Adoption Initiative and Wellspring Advisors LLC. IRB approval for the project was obtained from University of California, Berkeley (CPHS 2010-06-1696) . All errors are our own.</t>
  </si>
  <si>
    <t>10.1016/j.jdeveco.2024.103346</t>
  </si>
  <si>
    <t>E0O0D</t>
  </si>
  <si>
    <t>WOS:001300073100001</t>
  </si>
  <si>
    <t>Schwittay, A</t>
  </si>
  <si>
    <t>Schwittay, Anke</t>
  </si>
  <si>
    <t>Designing Development: Humanitarian Design in the Financial Inclusion Assemblage</t>
  </si>
  <si>
    <t>POLAR-POLITICAL AND LEGAL ANTHROPOLOGY REVIEW</t>
  </si>
  <si>
    <t>financial inclusion; humanitarian design; microfinance; mobile technologies</t>
  </si>
  <si>
    <t>TECHNOLOGIES</t>
  </si>
  <si>
    <t>This article examines the emergence of a new group of development experts who tackle development problems in innovative ways: professional designers and the organizations that fund them. What has become known as humanitarian design is an instantiation of the afterlives of development, which redefines the problem of development as eliciting the needs of poor clients and creating mechanisms so that they can provide feedback on proposed solutions. This reframing results in hybrid forms of development knowledge that combine business and entrepreneurial objectives with concerns about designers' moral responsibilities in the contemporary world. The use of humanitarian design in creating formal financial products and services for the poor is analyzed through the work of the Institute for Money, Technology, and Financial Inclusion.</t>
  </si>
  <si>
    <t>Univ Auckland, Auckland 1, New Zealand</t>
  </si>
  <si>
    <t>Schwittay, A (corresponding author), Univ Auckland, Auckland 1, New Zealand.</t>
  </si>
  <si>
    <t>1081-6976</t>
  </si>
  <si>
    <t>1555-2934</t>
  </si>
  <si>
    <t>POLAR-POLIT LEG ANTH</t>
  </si>
  <si>
    <t>Polar</t>
  </si>
  <si>
    <t>10.1111/plar.12049</t>
  </si>
  <si>
    <t>AG5KY</t>
  </si>
  <si>
    <t>WOS:000335459100004</t>
  </si>
  <si>
    <t>Collins, JM; Odders-White, E</t>
  </si>
  <si>
    <t>Collins, J. Michael; Odders-White, Elizabeth</t>
  </si>
  <si>
    <t>A Framework for Developing and Testing Financial Capability Education Programs Targeted to Elementary Schools</t>
  </si>
  <si>
    <t>financial education; program evaluation; elementary education; financial capability</t>
  </si>
  <si>
    <t>ECONOMIC EDUCATION; CONSUMER SOCIALIZATION; FUTURE ORIENTATION; LITERACY; CHILDREN; PARTICIPATION; DETERMINANTS; ACHIEVEMENT; KNOWLEDGE; STATE</t>
  </si>
  <si>
    <t>Concerns about consumers' ability to manage their finances have triggered a range of proposals, including interventions aimed at elementary school students. The goal of these approaches is to improve lifelong economic decision making, but the evidence supporting their efficacy is thin. In this article, the authors discuss the trend toward elementary financial education and propose a framework for developing evidence-based programs. They emphasize the need for understanding the underlying mechanisms that facilitate the translation of student knowledge into the ability to make sound economic decisions over the life course. The framework illustrates the importance of articulating the intended mechanisms and effects of education programs. This focus on mechanisms will not only facilitate the evaluation of individual programs, but also the synthesis of evidence across interventions.</t>
  </si>
  <si>
    <t>[Collins, J. Michael] Univ Wisconsin, Sch Human Ecol, Madison, WI 53706 USA; [Odders-White, Elizabeth] Univ Wisconsin, Wisconsin Sch Business, Madison, WI 53706 USA</t>
  </si>
  <si>
    <t>University of Wisconsin System; University of Wisconsin Madison; University of Wisconsin System; University of Wisconsin Madison</t>
  </si>
  <si>
    <t>Collins, JM (corresponding author), Univ Wisconsin, Sch Human Ecol, Madison, WI 53706 USA.</t>
  </si>
  <si>
    <t>jmcollins@wisc.edu; ewhite@bus.wisc.edu</t>
  </si>
  <si>
    <t>10.1080/00220485.2014.976325</t>
  </si>
  <si>
    <t>CA6QF</t>
  </si>
  <si>
    <t>WOS:000349039400008</t>
  </si>
  <si>
    <t>Coffie, CPK; Yeboah, FK; Emuron, ASO; Ahiabenu, K</t>
  </si>
  <si>
    <t>Coffie, Cephas Paa Kwasi; Yeboah, Frederick Kwame; Emuron, Abraham Simon Otim; Ahiabenu, Kwami</t>
  </si>
  <si>
    <t>FinTech and CO2 emission: evidence from (top 7) mobile money economies in Africa</t>
  </si>
  <si>
    <t>Financial Technology; Carbon emission; Trade Openness; Foreign Direct Investment; Economic Growth; Mobile Money</t>
  </si>
  <si>
    <t>RENEWABLE ENERGY-CONSUMPTION; ENVIRONMENTAL KUZNETS CURVE; CARBON EMISSIONS; FINANCIAL DEVELOPMENT; GROWTH; PANEL; SUSTAINABILITY; CHINA; COINTEGRATION; IMPACT</t>
  </si>
  <si>
    <t>PurposeThe impact of FinTech in sub-Saharan Africa has primarily been limited to financial inclusion. Contrarily, this study aims to deviate from this norm to estimate how FinTech affects carbon emissions in the subregion. This provides policy recommendations for FinTech regulators, service providers and practitioners to consider optimal products and services that reduce carbon emissions.Design/methodology/approachA balanced panel data set from 2009 to 2020 is used and estimated with the fully modified ordinary least squares estimator after checking for cross-sectional dependence, unit root, stationarity and cointegration.FindingsResults from the estimation suggest a negatively significant relationship between financial technology and carbon emissions in these countries. However, domestic credit to the private sector revealed a statistically insignificant relationship with carbon emissions for the same period. Further, foreign direct investment reduces carbon emissions but gross domestic product and trade openness increase carbon emissions in these countries.Originality/valueThe impact of FinTech in sub-Saharan Africa has primarily been limited to financial inclusion. Contrarily, this study deviates from this norm and estimates how FinTech affects carbon emissions in the subregion.</t>
  </si>
  <si>
    <t>[Coffie, Cephas Paa Kwasi] Melbourne Polytech, Dept Business, Fuzhou Campus, Fuzhou, Fujian, Peoples R China; [Yeboah, Frederick Kwame] Beijing Normal Univ, Sch Environm, Beijing, Peoples R China; [Emuron, Abraham Simon Otim] Int Univ Management, Grad Sch Business, Windhoek, Namibia; [Ahiabenu, Kwami] Global Ctr Fintech Innovat, Fintech Innovat Dept, Toronto, ON, Canada</t>
  </si>
  <si>
    <t>Coffie, CPK (corresponding author), Melbourne Polytech, Dept Business, Fuzhou Campus, Fuzhou, Fujian, Peoples R China.</t>
  </si>
  <si>
    <t>coffiecephas@gmail.com; fredyk87@gmail.com; otimabraham@yahoo.com; kwami@mangokope.com</t>
  </si>
  <si>
    <t>Emuron, Abraham/AAO-7042-2021; Coffie, Cephas/AAO-7607-2020; Yeboah, Frederick/AHA-0804-2022; Ahiabenu, Kwami/AIF-4401-2022</t>
  </si>
  <si>
    <t>10.1108/JFRC-05-2024-0089</t>
  </si>
  <si>
    <t>Q8W1A</t>
  </si>
  <si>
    <t>WOS:001378463000001</t>
  </si>
  <si>
    <t>Abbas, A; Triani, N; Rayyani, WO; Muchran, M</t>
  </si>
  <si>
    <t>Abbas, Ahmad; Triani, Neks; Rayyani, Wa Ode; Muchran, Muchriana</t>
  </si>
  <si>
    <t>Earnings growth, marketability and the role of Islamic financial literacy and inclusion in Indonesia</t>
  </si>
  <si>
    <t>Earnings growth; Inclusion; Islamic banking; Literacy; Marketability</t>
  </si>
  <si>
    <t>MARKET-POWER; BANKING; COMPETITION; IMPACT</t>
  </si>
  <si>
    <t>PurposeThis paper aims to describe earnings growth and marketability generated by Islamic banks in Indonesia and to find the effects of a moderated mediation model on the nexus between Islamic financial inclusion and literacy, marketability and earnings growth. Design/methodology/approachThe sample of this research was Islamic commercial banks in Indonesia listed on the Financial Services Authority and Bank Indonesia using time-series data of financial statements from 2014 to 2021. This research was designed using the model of moderated mediation. FindingsEarnings growth experienced by Islamic banks in Indonesia has a positive average value followed by a positive marketability. Based on the significance test, the level of earnings growth is positively affected by marketability. The result indicates that the higher the marketability, the higher the earnings growth of Islamic banks. In a moderated mediation model, the result has found a positive effect on the nexus between inclusion supported by the role of literacy, marketability and earnings growth. It indicates that Islamic financial inclusion moderated purely by the role of literacy enhances Islamic banking marketability so that earnings growth continuously increases. Practical implicationsThe increase of literacy is an empirically proven way to strengthen market power, so the finding obtained in this research can be feedback from the scheme made by the Indonesian government in supporting the Islamic business and for the corporate area being eager to grow greater and faster in competing and equalizing its power in the banking industry. In addition, this research implies that other countries continuously promote and increase the role of Islamic financial literacy and inclusion to enhance market power and increase the growth in Islamic banking. Originality/valueThis research extends the limited scholarly work on the role of Islamic financial literacy and inclusion using a different design from prior studies. The framework of market power theory has been elaborated to find the effect of Islamic financial inclusion supported by the role of literacy on earnings growth through marketability. This research is a trailblazer in testing the nexus model between variables allowing the path analysis using the moderated mediation model.</t>
  </si>
  <si>
    <t>[Abbas, Ahmad] Sekolah Tinggi Agama Islam Negeri Majene, Dept Sharia &amp; Islamic Business Econ, Majene, Indonesia; [Triani, Neks] Univ Sembilanbelas November Kolaka, Kolaka, Indonesia; [Rayyani, Wa Ode; Muchran, Muchriana] Univ Muhammadiyah Makassar, Dept Accounting, Makassar, Indonesia</t>
  </si>
  <si>
    <t>University of 19 November Kolaka; Universitas Muhammadiyah Makassar</t>
  </si>
  <si>
    <t>Abbas, A (corresponding author), Sekolah Tinggi Agama Islam Negeri Majene, Dept Sharia &amp; Islamic Business Econ, Majene, Indonesia.</t>
  </si>
  <si>
    <t>ahmad.abbas@stainmajene.ac.id; nekstriani1987@gmail.com; waode.rayyani@unismuh.ac.id; muchranmuchriana@gmail.com</t>
  </si>
  <si>
    <t>Abbas, Ahmad/L-1944-2018</t>
  </si>
  <si>
    <t>Abbas, Ahmad/0000-0002-6492-8145</t>
  </si>
  <si>
    <t>10.1108/JIABR-12-2021-0322</t>
  </si>
  <si>
    <t>U8AY5</t>
  </si>
  <si>
    <t>WOS:000899696200001</t>
  </si>
  <si>
    <t>Cobb, JA; Wry, T; Zhao, EY</t>
  </si>
  <si>
    <t>Cobb, J. Adam; Wry, Tyler; Zhao, Eric Yanfei</t>
  </si>
  <si>
    <t>FUNDING FINANCIAL INCLUSION: INSTITUTIONAL LOGICS AND THE CONTEXTUAL CONTINGENCY OF FUNDING FOR MICROFINANCE ORGANIZATIONS</t>
  </si>
  <si>
    <t>ACADEMY OF MANAGEMENT JOURNAL</t>
  </si>
  <si>
    <t>PARTNER SELECTION; MARKET UNCERTAINTY; COMPETING LOGICS; RISK; SIZE; FIRM; ENTREPRENEURSHIP; MECHANISMS; STRATEGIES; DIVERSITY</t>
  </si>
  <si>
    <t>Microfinance is a promising tool for addressing the grand challenge of global poverty. Yet, while many studies have examined how microfinance loans affect poor borrowers, we know little about how microfinance organizations (MFOs) themselves finance their lending activities. This is a significant oversight because most MFOs do not self-fund their lending, but, rather, rely on loans from external funders. To better understand microfinance funding, we apply and extend the institutional logics perspective to analyze the lending practices of commercial and public funders, who together provide most of the capital for global microfinance. We argue that these funders adhere to financial and development logics, respectively, and that this leads them to invest in different types of MFOs. Yet, in the face of uncertainty, we suggest that the practices motivated by these logics will start to converge in ways that are problematic for a nation's microfinance sector. Using a proprietary database of all traceable loans to MFOs from 2004 to 2012, we find strong support for our hypotheses. In particular, our findings show that the relationship between institutional logics and organizational practices is contextually contingent, and this insight contributes important understanding about the efficacy of microfinance as a poverty-reduction tool.</t>
  </si>
  <si>
    <t>[Cobb, J. Adam; Wry, Tyler] Univ Penn, Management, Wharton Sch, Philadelphia, PA 19104 USA; [Zhao, Eric Yanfei] Indiana Univ, Management &amp; Entrepreneurship, Kelley Sch Business, Bloomington, IN 47405 USA</t>
  </si>
  <si>
    <t>University of Pennsylvania; Indiana University System; Indiana University Bloomington; IU Kelley School of Business</t>
  </si>
  <si>
    <t>Cobb, JA (corresponding author), Univ Penn, Management, Wharton Sch, Philadelphia, PA 19104 USA.</t>
  </si>
  <si>
    <t>adamcobb@wharton.upenn.edu; twry@wharton.upenn.edu; ericzhao@indiana.edu</t>
  </si>
  <si>
    <t>Cobb, Joel Adam/T-3029-2019; Zhao, Eric Yanfei/KCK-7541-2024</t>
  </si>
  <si>
    <t>Cobb, Joel Adam/0000-0001-8038-6908; Zhao, Eric Yanfei/0000-0002-3012-5926</t>
  </si>
  <si>
    <t>Wharton Social Impact Initiative</t>
  </si>
  <si>
    <t>Authors contributed equally and are listed in alphabetical order. The authors gratefully acknowledge the excellent suggestions and support provided by Laszlo Tihanyi and the three anonymous reviewers. We also thank Matthew Bidwell, Mauro Guillen, Martine Haas, Vit Henisz, Zeke Hernandez, Michael Lounsbury, Ethan Mollick, and seminar participants at Boston College, Harvard Business School, Indiana University Developmental Research Seminar Series, the University of Michigan, the National University of Singapore, and the 2015 Community for Social Impact Conference for thoughtful comments on earlier versions of the paper. Financial support was provided by the Wharton Social Impact Initiative.</t>
  </si>
  <si>
    <t>ACAD MANAGEMENT</t>
  </si>
  <si>
    <t>BRIARCLIFF MANOR</t>
  </si>
  <si>
    <t>PACE UNIV, PO BOX 3020, 235 ELM RD, BRIARCLIFF MANOR, NY 10510-8020 USA</t>
  </si>
  <si>
    <t>0001-4273</t>
  </si>
  <si>
    <t>1948-0989</t>
  </si>
  <si>
    <t>ACAD MANAGE J</t>
  </si>
  <si>
    <t>Acad. Manage. J.</t>
  </si>
  <si>
    <t>10.5465/amj.2015.0715</t>
  </si>
  <si>
    <t>EF8XO</t>
  </si>
  <si>
    <t>WOS:000390615500011</t>
  </si>
  <si>
    <t>Exploring the Role of Microinsurance in Financial Inclusion: a Tanzanian Case Study</t>
  </si>
  <si>
    <t>microinsurance; financial inclusion; mobile money; political mutualization of risk principle; inclusive development; political economy</t>
  </si>
  <si>
    <t>MICRO-INSURANCE; RISK; POVERTY; DEMAND; PERFORMANCE; CHALLENGES; SCHEMES; MARKETS; CREDIT</t>
  </si>
  <si>
    <t>The study addresses a significant gap in the literature by investigating the relationship between microinsurance and financial inclusion in Tanzania, mainly focusing on the role of digital financial services. Although some literature and knowledge exist that explain microinsurance and financial inclusion, what remains unexplained in terms of contribution to knowledge is the specific nuances or mechanisms through which digital financial services facilitate access to microinsurance and how microinsurance contributes to financial inclusion. This research bridges this gap to some extent. While other studies mention that digital financial services have opened doors for low-income individuals to access microinsurance and that microinsurance has promoted financial inclusion by offering affordable products, they do not delve into the specific mechanisms or strategies employed to achieve these outcomes. To bridge the gap, the research gathered data through in-depth unstructured interviews, and thematic analysis was employed for data analysis. The study's findings suggest that digital financial services play a significant role in shaping microinsurance opportunities in Tanzania, mainly by providing access to low-income and financially excluded individuals. These findings underscore the positive impact of microinsurance services on financial inclusion, emphasizing the importance of accessible and affordable financial services for marginalized individuals. Moreover, the principle of risk mutualization has been used to provide the theoretical underpinning of the study, and it extends beyond financial transactions to include building awareness and understanding of microinsurance and</t>
  </si>
  <si>
    <t>drkadenge@hotrnail.corn</t>
  </si>
  <si>
    <t>10.1163/15691497-12341665</t>
  </si>
  <si>
    <t>YE8E4</t>
  </si>
  <si>
    <t>WOS:001266892500002</t>
  </si>
  <si>
    <t>Irene, B; Ndlovu, E; Felix-Faure, PC; Dlabatshana, Z; Ogunmokun, O</t>
  </si>
  <si>
    <t>Irene, Bridget; Ndlovu, Elona; Felix-Faure, Palesa Charlotte; Dlabatshana, Zikhona; Ogunmokun, Olapeju</t>
  </si>
  <si>
    <t>The Role of Financial Institutions in Bridging the Financing Gap for Women Entrepreneurs in Sub-Saharan Africa</t>
  </si>
  <si>
    <t>SME financing; financial inclusion; fintech solutions; credit accessibility; economic development</t>
  </si>
  <si>
    <t>DEVELOPING-COUNTRIES; CONSTRAINTS; KNOWLEDGE; LITERACY; IMPACTS; GENDER; ACCESS; FEMALE</t>
  </si>
  <si>
    <t>Small and Medium Enterprises (SMEs) are vital to economic growth, innovation, and job creation across Sub-Saharan Africa (SSA). Women entrepreneurs are key contributors to this sector, yet they face persistent barriers to accessing finance, which constrain their business growth and broader economic participation. This study investigates the role of financial institutions in closing the financing gap for women-owned SMEs and assesses the effectiveness of various financing mechanisms, including traditional banking, micro-finance, fintech innovations, and government-backed credit schemes. Adopting a quantitative approach, this study utilises structured surveys with women SME owners across multiple SSA countries. Supplementary secondary data from sources such as the World Bank and national financial statistics provide additional context. Econometric modelling and Structural Equation Modelling (SEM) are employed to identify key factors influencing loan accessibility, such as collateral requirements, interest rates, financial literacy, and the regulatory environment. Findings reveal that high collateral demands and interest rates remain major obstacles, particularly for smaller or informal women-led enterprises. Financial literacy emerges as a critical enabler of access to credit. While fintech solutions and digital lending platforms show promise in improving access, issues around infrastructure, regulation, and trust persist. Government-backed schemes also contribute positively but are hindered by implementation inefficiencies. This study offers practical recommendations, including the need for harmonised regional credit reporting systems, gender-responsive policy frameworks, and targeted financial education. Strengthening digital infrastructure and regulatory support across SSA is essential to build inclusive, sustainable financial ecosystems that empower women entrepreneurs and drive regional development.</t>
  </si>
  <si>
    <t>[Irene, Bridget; Ogunmokun, Olapeju] De Montfort Univ, Leicester Castle Business Sch, Leicester LE1 9BH, England; [Ndlovu, Elona] BizPreneur, 1122 Burnett St, ZA-0083 Pretoria, South Africa; [Felix-Faure, Palesa Charlotte] IDRAC Business Sch, 11 Rue Tour Eau St Martin dHeres, F-38400 Lyon, France; [Dlabatshana, Zikhona] Univ Ft Hare, Fac Management &amp; Commerce, ZA-5200 East London, South Africa</t>
  </si>
  <si>
    <t>De Montfort University; University of Fort Hare</t>
  </si>
  <si>
    <t>Irene, B (corresponding author), De Montfort Univ, Leicester Castle Business Sch, Leicester LE1 9BH, England.</t>
  </si>
  <si>
    <t>bridget.irene@dmu.ac.uk; elona@bizpreneur.co.za; c.felixfaure@idrac-bs.fr; zdlabatshana@ufh.ac.za; olapeju.ogunmokun@dmu.ac.uk</t>
  </si>
  <si>
    <t>Ndlovu, Elona/AAO-7167-2021; Ogunmokun, Olapeju/ISU-1210-2023; Ndlovu, Elona/AAO-7167-2021; Irene, Bridget/G-1326-2013</t>
  </si>
  <si>
    <t>Ndlovu, Elona/0000-0002-1697-610X;</t>
  </si>
  <si>
    <t>10.3390/admsci15080323</t>
  </si>
  <si>
    <t>6MV1S</t>
  </si>
  <si>
    <t>WOS:001557109000001</t>
  </si>
  <si>
    <t>Moharrak, M; Mogaji, E</t>
  </si>
  <si>
    <t>Moharrak, Moayad; Mogaji, Emmanuel</t>
  </si>
  <si>
    <t>Customer-to-customer (C2C) interactions in Islamic banking: a conceptual framework for service co-creation in financial services</t>
  </si>
  <si>
    <t>Customer-to-customer (C2C) interactions; Islamic banking; Sharia compliance; Digital financial ecosystems; Financial inclusion</t>
  </si>
  <si>
    <t>DOMINANT LOGIC; TRUST; ENGAGEMENT; LOYALTY; DESIGN; IMPACT</t>
  </si>
  <si>
    <t>Purpose - This paper develops a conceptual framework to theorise consumer-to-consumer (C2C) interactions in Islamic banking, integrating Service-Dominant Logic and Transformative Service Research within an institutional logics perspective to highlight how peer dynamics co-create, disrupt and legitimise financial value in religiously and culturally complex service ecosystems. Design/methodology/approach - This study conducts a critical review of consumer literature on service co-creation, financial decision-making and Islamic banking to develop a conceptual framework for C2C interactions in financial services. Findings - This paper conceptualises C2C interactions in Islamic banking as shaped by five institutional drivers - religious norms, community ties, digital platforms, market incentives and regulatory environments, each exhibiting both protagonist (enabling) and antagonist (disruptive) tendencies. Mechanisms such as social validation, informal education and interpretive guidance influence how trust is built, Sharia compliance is assessed and financial inclusion is achieved. The framework positions Islamic banking as a contested service ecosystem where value is co-created, challenged and negotiated through peer-led dynamics. Research limitations/implications - As a conceptual paper, empirical validation is needed through quantitative studies and cross-market comparative analyses. Practical implications - Islamic banks should integrate peer-driven financial literacy programmes, enhance digital peer validation mechanisms and collaborate with religious scholars to improve customer engagement and trust. C2C interactions play a vital role in financial inclusion, particularly for underserved communities, migrant workers and women in conservative societies, where access to formal banking services may be limited. Leveraging these peer networks can help bridge financial literacy gaps and foster greater participation in ethical banking. Originality/value - This study extends S-D Logic to peer-driven service experiences, bridges TSR with financial inclusion and redefines trust in Islamic banking, offering new insights for service marketing and digital financial ecosystems.</t>
  </si>
  <si>
    <t>[Moharrak, Moayad] Taif Univ, Taif, Saudi Arabia; [Mogaji, Emmanuel] Keele Univ, Keele Business Sch, Keele, England</t>
  </si>
  <si>
    <t>Taif University; Keele University</t>
  </si>
  <si>
    <t>Mogaji, E (corresponding author), Keele Univ, Keele Business Sch, Keele, England.</t>
  </si>
  <si>
    <t>m.moharrak@tu.edu.sa; e.mogaji@keele.ac.uk</t>
  </si>
  <si>
    <t>Mogaji, Emmanuel/B-8900-2014; Moharrak, Moayad/LDG-6677-2024</t>
  </si>
  <si>
    <t>The authors gratefully acknowledge the Deanship of Graduate Studies and Scientific Research at Taif University, Saudi Arabia for their generous funding support for this project.</t>
  </si>
  <si>
    <t>10.1108/IJBM-02-2025-0095</t>
  </si>
  <si>
    <t>AS5LF</t>
  </si>
  <si>
    <t>WOS:001575537700001</t>
  </si>
  <si>
    <t>Ababio, JOM; Yiadom, EB; Mawutor, JKM; Tuffour, JK; Attah-Botchwey, E</t>
  </si>
  <si>
    <t>Ababio, Josephine Ofosu-Mensah; Yiadom, Eric B.; Mawutor, John K. M.; Tuffour, Joseph K.; Attah-Botchwey, Edward</t>
  </si>
  <si>
    <t>Sustainable energy for all: the link between financial inclusion, renewable energy and environmental sustainability in developing economies</t>
  </si>
  <si>
    <t>Sustainable development; Environmental sustainability; Financial inclusion; GMM-PVAR; Renewable energy</t>
  </si>
  <si>
    <t>KUZNETS CURVE; GREEN FINANCE; CO2 EMISSIONS; PANEL; GROWTH; IMPACT; CONSUMPTION; REDUCTION; COUNTRIES</t>
  </si>
  <si>
    <t>PurposeThis study aims to use 67 developing countries to examine the role of financial inclusion as an empowering tool for renewable energy uptake and to improve environmental sustainability in developing countries.Design/methodology/approachUsing a battery of econometric models, including the generalized method of moment-panel vector autoregression (GMM-PVAR), impulse response function, Granger causality, fully modified ordinary least squares and dynamic ordinary least squares, the study proposed and tested three hypotheses.FindingsThe results from various estimations indicate that financial inclusion has a positive effect on renewable energy consumption and environmental sustainability improvement in developing countries. The findings suggest that financial inclusion can improve environmental sustainability by increasing access to financing to fund renewable energy projects, support sustainable businesses and promote sustainable practices.Originality/valueThis study suggests that policymakers prioritize financial inclusion to promote renewable energy consumption and environmental sustainability. Policies should enhance access to financial services, offer financial incentives and subsidies, provide affordable loans through microfinance institutions and fintech companies and promote sustainable businesses and green technologies.</t>
  </si>
  <si>
    <t>[Ababio, Josephine Ofosu-Mensah; Yiadom, Eric B.; Mawutor, John K. M.; Tuffour, Joseph K.; Attah-Botchwey, Edward] Univ Profess Studies, Fac Accounting &amp; Finance, Accra, Ghana</t>
  </si>
  <si>
    <t>Yiadom, EB (corresponding author), Univ Profess Studies, Fac Accounting &amp; Finance, Accra, Ghana.</t>
  </si>
  <si>
    <t>boachie.eric@upsamail.edu.gh</t>
  </si>
  <si>
    <t>; Mawutor, John/ABE-8069-2021; Tuffour, Joseph/C-5470-2018</t>
  </si>
  <si>
    <t>B Yiadom, Eric/0000-0003-0310-2937;</t>
  </si>
  <si>
    <t>10.1108/IJESM-07-2023-0012</t>
  </si>
  <si>
    <t>YD8T7</t>
  </si>
  <si>
    <t>WOS:001093040400001</t>
  </si>
  <si>
    <t>Van Hove, L; Dubus, A</t>
  </si>
  <si>
    <t>Van Hove, Leo; Dubus, Antoine</t>
  </si>
  <si>
    <t>M-PESA and Financial Inclusion in Kenya: Of Paying Comes Saving?</t>
  </si>
  <si>
    <t>financial inclusion; saving; mobile financial services; M-PESA; Kenya</t>
  </si>
  <si>
    <t>MOBILE MONEY; ECONOMIC-DEVELOPMENT; POVERTY; ACCESS; IMPACT; SERVICES; ADOPTION; PHONES; MARKET; USAGE</t>
  </si>
  <si>
    <t>Mobile financial services such as M-PESA in Kenya are said to promote inclusion. Yet only 7.6 per cent of the Kenyans in the 2013 Financial Inclusion Insights dataset have ever used an M-PESA account to save for a future purchase. This paper uses a novel, three-step probit analysis to identify the socio-demographic characteristics of, successively, respondents who do not have access to a SIM card, have access to a SIM but do not have an M-PESA account, and, finally, have an account but do not save on it. We find that those who are excluded in the early stages are predominantly poor, non-educated, and female. For the final stage, we find that those who are in a position to save on their phonethe phone owners, the better educatedare less likely to do so. These results go against the traditional optimistic discourse on mobile savings as a prime path to financial inclusion. As such, our findings corroborate qualitative research that indicates that Kenyans have other needs, and want their money to circulate and work'.</t>
  </si>
  <si>
    <t>[Van Hove, Leo] Vrije Univ Brussel, Dept Appl Econ APEC, Pl Laan 2, B-1050 Brussels, Belgium; [Van Hove, Leo] Nicolaus Copernicus Univ, Fac Econ Sci &amp; Management, Gagarina 13a, PL-87100 Torun, Poland; [Dubus, Antoine] Telecom ParisTech, 46 Rue Barrault, F-75013 Paris, France</t>
  </si>
  <si>
    <t>Vrije Universiteit Brussel; Nicolaus Copernicus University; IMT - Institut Mines-Telecom; Institut Polytechnique de Paris; Telecom Paris</t>
  </si>
  <si>
    <t>Van Hove, L (corresponding author), Vrije Univ Brussel, Dept Appl Econ APEC, Pl Laan 2, B-1050 Brussels, Belgium.;Van Hove, L (corresponding author), Nicolaus Copernicus Univ, Fac Econ Sci &amp; Management, Gagarina 13a, PL-87100 Torun, Poland.</t>
  </si>
  <si>
    <t>Leo.Van.Hove@vub.be; antoine.dubus@telecom-paristech.fr</t>
  </si>
  <si>
    <t>10.3390/su11030568</t>
  </si>
  <si>
    <t>HL7NY</t>
  </si>
  <si>
    <t>WOS:000458929500013</t>
  </si>
  <si>
    <t>Harnessing Remittances for Access to Finance</t>
  </si>
  <si>
    <t>Remittances to Pakistan are estimated at around $16 billion and have experienced considerable growth in recent years. International flows (through both formal and informal channels) total $9 billion, with domestic flows at approximately $6.95 billion. These remittance flows play a valuable role in supporting the economy by providing foreign exchange and improving the balance of payments and external debt position. They also offer significant potential to support incomes of poor and vulnerable groups. The lion's share of remittances is transferred by banks (80 percent), with a further 17 percent accounted for by exchange companies (ECs) and a small share by the Pakistan Post Office. Banks operate a fully automated system that runs seven days a week, has excellent urban and some good rural coverage, and usually can deliver within 24 hours. The majority of remittances are received in less than one week, although service tends to be slower in rural areas. Pakistan Post has a large rural network and is the most common channel for domestic remittances, but services remain relatively inefficient. Home consumption constitutes the largest use of remittances. State Bank of Pakisan (SBP) has taken various measures that have significantly increased remittances through formal channels, though a large share of domestic remittances continues to be transferred informally. SBP has been encouraging the private sector to provide mobile banking solutions. The mobile coverage (about 90 percent of the population of Pakistan), and the success of mobile money transfer solutions in other countries, suggests that mobile phone banking offers significant potential to scale up access to financial services in Pakistan. There is already a lot of activity in this sector and both banks and mobile phone companies are working to structure viable models.</t>
  </si>
  <si>
    <t>WOS:000304007600005</t>
  </si>
  <si>
    <t>Kim, KT; Lee, S; Hanna, SD</t>
  </si>
  <si>
    <t>Kim, Kyoung Tae; Lee, Sunwoo; Hanna, Sherman D.</t>
  </si>
  <si>
    <t>Has Financial Knowledge Increased in the United States?</t>
  </si>
  <si>
    <t>financial knowledge; financial literacy; national financial capability study; overconfidence; trends</t>
  </si>
  <si>
    <t>LITERACY; GENDER; EDUCATION; CONFIDENCE; BEHAVIOR</t>
  </si>
  <si>
    <t>This study explores financial knowledge patterns from 2009 to 2018, focusing on objective and subjective knowledge, overconfidence in financial knowledge, and Don't know responses. We used four waves of National Financial Capability Study (NFCS) datasets. Objective financial knowledge was lower in 2018 than in 2009, and the proportion of individuals who were overconfident was higher in 2018 than in 2009. The mean number of Don't know responses to objective knowledge questions increased consistently over the period. Most of these patterns persisted when we controlled for household characteristics in regressions. The lack of increases in financial knowledge despite formal and informal educational efforts raises the question as to whether existing efforts for formal and informal education are sufficient.</t>
  </si>
  <si>
    <t>[Kim, Kyoung Tae] Univ Alabama, Dept Consumer Sci, 316-C Adams Hall, Tuscaloosa, AL 35487 USA; [Lee, Sunwoo] York Univ, Sch Adm Studies, Atkinson Bldg,4700 Keele St, Toronto, ON M3J 1P3, Canada; [Hanna, Sherman D.] Ohio State Univ, Dept Human Sci, 1787 Neil Ave, Columbus, OH 43210 USA</t>
  </si>
  <si>
    <t>University of Alabama System; University of Alabama Tuscaloosa; York University - Canada; University System of Ohio; Ohio State University</t>
  </si>
  <si>
    <t>ktkim@ches.ua.edu; sunwool@yorku.ca; hanna.1@osu.edu</t>
  </si>
  <si>
    <t>10.1891/JFCP-2021-0049</t>
  </si>
  <si>
    <t>WOS:000825261300006</t>
  </si>
  <si>
    <t>Li, A; Gao, L; Chen, S; Zhao, JL; Ujiyad, S; Huang, JH; Han, XG; Bryan, BA</t>
  </si>
  <si>
    <t>Li, Ang; Gao, Lei; Chen, Shi; Zhao, Jinling; Ujiyad, Saqirilatu; Huang, Jianhui; Han, Xingguo; Bryan, Brett A.</t>
  </si>
  <si>
    <t>Financial inclusion may limit sustainable development under economic globalization and climate change</t>
  </si>
  <si>
    <t>ENVIRONMENTAL RESEARCH LETTERS</t>
  </si>
  <si>
    <t>Sustainable Development Goals; financial inclusion; social-ecological systems; smallholder agriculture; livestock; sustainability</t>
  </si>
  <si>
    <t>SOCIAL-ECOLOGICAL SYSTEM; INNER-MONGOLIA; GRASSLAND DEGRADATION; INSTITUTIONAL CHANGE; PROPERTY-RIGHTS; ANDHRA-PRADESH; MICROFINANCE; VARIABILITY; CHINA; MANAGEMENT</t>
  </si>
  <si>
    <t>Financial inclusion is a key policy for achieving the UN Sustainable Development Goals worldwide. However, emerging evidence has challenged the universal effectiveness of this policy. Combining a cross-sectional socio-economic and ecological survey with regional macro-economic and climatic data, we undertook an integrated causal analysis of the impact of financial inclusion policy on the Inner Mongolian herder social-ecological system. Exposure to economic globalization and climate change threatened herder livelihoods via increased feed costs and reduced livestock sales prices. Financial inclusion loans were beneficial for herders with large grassland plot size who used their traditional ecological knowledge to adapt via seasonal herd mobility. However, most herders were sedentary, constrained by small plot size, and used financial inclusion loans to reserve livestock and maintain high stocking densities. This strategy exposed them to inflated feed costs, increased their debt, and led to widespread grassland degradation. The results illustrate the limitations of financial inclusion policy in achieving sustainable development when people are trapped in poverty, subject to novel social-ecological contexts, and their ability to adapt is compromised. Transformative adaptations based on community cooperation, traditional knowledge and institutions, complementary public policies, and technological innovation are crucial to support financial inclusion policy and enhance sustainable development.</t>
  </si>
  <si>
    <t>[Li, Ang; Zhao, Jinling; Huang, Jianhui; Han, Xingguo] Chinese Acad Sci, Inst Bot, State Key Lab Vegetat &amp; Environm Change, Beijing 100093, Peoples R China; [Gao, Lei] CSIRO, Waite Campus, Adelaide, SA 5064, Australia; [Chen, Shi] Univ North Carolina, Dept Publ Hlth Sci, Charlotte, NC 28223 USA; [Chen, Shi] Univ North Carolina, Sch Data Sci, Charlotte, NC 28223 USA; [Zhao, Jinling; Huang, Jianhui; Han, Xingguo] Univ Chinese Acad Sci, Coll Resources &amp; Environm, Beijing 100864, Peoples R China; [Ujiyad, Saqirilatu] Forestry &amp; Grassland Bur East Ujimuqin Banner, Xilingol 026300, Inner Mongolia, Peoples R China; [Bryan, Brett A.] Deakin Univ, Ctr Integrat Ecol, Melbourne, Vic 3216, Australia</t>
  </si>
  <si>
    <t>Chinese Academy of Sciences; Institute of Botany, CAS; Commonwealth Scientific &amp; Industrial Research Organisation (CSIRO); University of North Carolina; University of North Carolina Charlotte; University of North Carolina; University of North Carolina Charlotte; Chinese Academy of Sciences; University of Chinese Academy of Sciences, CAS; Deakin University</t>
  </si>
  <si>
    <t>Li, A; Huang, JH (corresponding author), Chinese Acad Sci, Inst Bot, State Key Lab Vegetat &amp; Environm Change, Beijing 100093, Peoples R China.;Huang, JH (corresponding author), Univ Chinese Acad Sci, Coll Resources &amp; Environm, Beijing 100864, Peoples R China.</t>
  </si>
  <si>
    <t>lyons@ibcas.ac.cn; jhhuang@ibcas.ac.cn</t>
  </si>
  <si>
    <t>; Han, Xingguo/K-7552-2016; Ang, li/J-6087-2012; Bryan, Brett/F-8949-2010; Gao, Lei/F-9698-2010</t>
  </si>
  <si>
    <t>黄, 建辉/0000-0002-4880-1208; Han, Xingguo/0000-0002-1836-975X; Bryan, Brett/0000-0003-4834-5641; 李, 昂/0000-0003-0796-5350; Gao, Lei/0000-0003-4272-9417</t>
  </si>
  <si>
    <t>National Natural Science Foundation of China [31971484]; Chinese Ministry of Science and Technology through the National Basic Research Program of China [2016YFC0500706]; Strategic Priority Research Program of the Chinese Academy of Sciences [XDA23080401, XDA26010301]; Deakin University, Australia</t>
  </si>
  <si>
    <t>National Natural Science Foundation of China(National Natural Science Foundation of China (NSFC)); Chinese Ministry of Science and Technology through the National Basic Research Program of China; Strategic Priority Research Program of the Chinese Academy of Sciences(Chinese Academy of Sciences); Deakin University, Australia(Deakin University)</t>
  </si>
  <si>
    <t>We also thank Professor Freddie Taylor and two anonymous reviewers for their valuable and constructive comments. This study was funded by the National Natural Science Foundation of China (Grant Number 31971484), the Chinese Ministry of Science and Technology through the National Basic Research Program of China (Grant Number 2016YFC0500706), and the Strategic Priority Research Program of the Chinese Academy of Sciences (Grant Numbers XDA23080401, XDA26010301), and Deakin University, Australia. The authors have confirmed that any identifiable participants in this study have given their consent for publication.</t>
  </si>
  <si>
    <t>IOP Publishing Ltd</t>
  </si>
  <si>
    <t>Bristol</t>
  </si>
  <si>
    <t>No.2 The Distillery, Glassfields, Avon Street, Bristol, ENGLAND</t>
  </si>
  <si>
    <t>1748-9326</t>
  </si>
  <si>
    <t>ENVIRON RES LETT</t>
  </si>
  <si>
    <t>Environ. Res. Lett.</t>
  </si>
  <si>
    <t>10.1088/1748-9326/abf465</t>
  </si>
  <si>
    <t>Environmental Sciences; Meteorology &amp; Atmospheric Sciences</t>
  </si>
  <si>
    <t>Environmental Sciences &amp; Ecology; Meteorology &amp; Atmospheric Sciences</t>
  </si>
  <si>
    <t>RX5QG</t>
  </si>
  <si>
    <t>WOS:000647277700001</t>
  </si>
  <si>
    <t>Fan, Lu; Chatterjee, Swam</t>
  </si>
  <si>
    <t>The Utilization of Robo-Advisors by Individual Investors: An Analysis Using Diffusion of Innovation and Information Search Frameworks</t>
  </si>
  <si>
    <t>financial literacy; fintech; financial planning; information search; investment knowledge; robo-advisor</t>
  </si>
  <si>
    <t>FINANCIAL LITERACY; BEHAVIOR; ADVICE; INCOME</t>
  </si>
  <si>
    <t>This study examines the roles of internal and external search characteristics and attitudinal factors in investors' decisions to utilize robo-advisor-based platforms. Using the 2015 state-by-state National Financial Capability Study and Investor Survey, this study finds that the need to free up time, higher risk tolerance, higher subjective financial knowledge, and higher amounts of investable assets were positively associated with individual investors ' adoption of robo-advisors. Additionally, the results from the interaction model indicates that individuals under 65 with a higher risk tolerance and greater perceived investment knowledge were more likely to use robo-advisors. Implications of the key findings for scholars, practitioners, and industry leaders are included.</t>
  </si>
  <si>
    <t>[Fan, Lu] Univ Missouri, Dept Personal Financial Planning, 239 Stanley Hall, Columbia, MO 65211 USA; [Chatterjee, Swam] Univ Georgia, Dept Financial Planning Housing &amp; Consumer Econ, 205 Dawson Hall, Athens, GA 30602 USA</t>
  </si>
  <si>
    <t>Fan, Lu/ABH-4790-2020; Chatterjee, Swarn/D-7114-2016</t>
  </si>
  <si>
    <t>Chatterjee, Swarn/0000-0003-4916-1369</t>
  </si>
  <si>
    <t>10.1891/JFCP-18-00078</t>
  </si>
  <si>
    <t>WOS:000543736300010</t>
  </si>
  <si>
    <t>Magableh, KNY; Badwan, N; Al-Nimer, M; Al-Khazaleh, S; Abdallah-Ou-Moussa, S; Chen, Y</t>
  </si>
  <si>
    <t>Magableh, Khaled Naser Yousef; Badwan, Nemer; Al-Nimer, Munther; Al-Khazaleh, Suhaib; Abdallah-Ou-Moussa, Soukaina; Chen, Ying</t>
  </si>
  <si>
    <t>Role of financial technology (FinTech) innovations in driving sustainable development: a comprehensive literature review and future research avenues</t>
  </si>
  <si>
    <t>Financial technology (FinTech); Innovations; Sustainable development; Sustainability; Literature review; Future research avenues; F65; G20; G30; Q01</t>
  </si>
  <si>
    <t>BANKING; DETERMINANTS; INVESTMENTS</t>
  </si>
  <si>
    <t>Purpose The purpose of this paper is to conduct a thorough analysis of the current body of literature about the role of financial technology FinTech innovations in driving sustainable development, pinpointing significant patterns, obstacles and prospects and identifying thematic clusters. In addition to filling up knowledge gaps, this research will suggest future directions for an investigation that will advance our comprehension of how FinTech might promote sustainable development. Design/methodology/approach A comprehensive review, based on the publications indexed in the Web of Science and Scopus databases, has been prepared. The framework involves consolidating the literature using VOS viewer software to identify gaps extracted from primary literature on the topic under review to suggest future research directions. Findings This review demonstrates that FinTech innovations have a great deal of potential to advance sustainable development through increasing resource efficiency, lowering carbon footprints, and fostering accessible financial services. Research limitations/implications This study has several limitations. The fast development of FinTech technologies and the scope of the reviewed literature may not include all pertinent studies. The findings of this study may not be fully generalizable because of the incomplete exploration of the complexity and diversity of regulatory environments across different regions. Moreover, this study mainly draws from extant literature, which might not accurately reflect contemporary industry practices and innovations. Practical implications This study provides valuable insights for decision-makers and financial managers. This study suggests that FinTech is significantly enhancing and improving green finance, financial inclusion and sustainable business practices. Important technological developments such as mobile banking, blockchain and artificial intelligence have shown great promise in enhancing accountability, transparency and access to financial services. Social implications This study presents socially responsible and valuable policy implications for financial managers and policymakers of FinTech innovations and sustainable development, in addition to contributing insightful data to the academic discourse. FinTech-based microfinance and microfinance services, such as alternative financing options tailored to specific underserved groups that cannot afford the costs of traditional financial services, are the main focus of these recommendations, which also aim to improve and/or develop an environment that supports financial inclusion or environmental reporting. Originality/value This paper contributes to the knowledge by providing an in-depth, comprehensive and accurate analysis of the role of FinTech innovations in promoting and accelerating sustainable development, in contrast to previous studies that often focused on specific components or technologies. To the best of the authors' knowledge, this study is one of the unique studies that provide an in-depth analysis to understand the role of Fintech innovations in improving sustainable development and provides future research avenues that help study Fintech innovations in different sectors.</t>
  </si>
  <si>
    <t>[Magableh, Khaled Naser Yousef] Hashemite Univ, Business Sch, Dept Business Adm, Zarqa, Jordan; [Badwan, Nemer] Palestine Tech Univ Kadoorie PTUK, Fac Business &amp; Econ, Computerized Banking &amp; Financial Dept, Tulkarm, Palestine; [Al-Nimer, Munther] Hashemite Univ, Business Sch, Dept Accounting, Zarqa, Jordan; [Al-Khazaleh, Suhaib] Amman Arab Univ, Fac Business, Dept Finance, Amman, Jordan; [Abdallah-Ou-Moussa, Soukaina] Ibn Tofail Univ, Fac Econ &amp; Management, Lab Econ &amp; Management Org, Kenitra, Morocco; [Chen, Ying] Anhui Univ, Anhui Business &amp; Technol Coll, Hefei, Peoples R China</t>
  </si>
  <si>
    <t>Hashemite University; Palestine Technical University - Kadoorie; Hashemite University; Ibn Tofail University of Kenitra; Anhui University</t>
  </si>
  <si>
    <t>Badwan, N (corresponding author), Palestine Tech Univ Kadoorie PTUK, Fac Business &amp; Econ, Computerized Banking &amp; Financial Dept, Tulkarm, Palestine.</t>
  </si>
  <si>
    <t>khaledn@hu.edu.jo; nemer.badwan@ptuk.edu.ps; dr.muntheralnimer@gmail.com; s.alkhazaleh@aau.edu.jo; soukaina.abdallahoumoussa@uit.ac.ma; 3601409867@qq.com</t>
  </si>
  <si>
    <t>Badwan, Asst. Prof. Dr. Nemer/ABB-2414-2020; MAGABLEH, KHALED/JEF-5669-2023; Al-Nimer, Munther/K-1142-2017</t>
  </si>
  <si>
    <t>Abdallah-ou-moussa, Soukaina/0009-0002-9618-9882;</t>
  </si>
  <si>
    <t>Hashemite University (HU), Palestine Technical University-Kadoorie (PTUK); Amman Arab University (AAU)</t>
  </si>
  <si>
    <t>The authors express their appreciation and thanks to the Emerald Publishing Group, and they extend special thanks to the Journal of Science and Technology Policy Management, which will receive the paper and help to publish it, and great thanks and appreciation go to the journal's reviewers and its editorial board for their valuable comments and suggestions, which helped improve the quality of the paper and brought it to the level required for publication. A special appreciation to The Hashemite University (HU), Palestine Technical University-Kadoorie (PTUK) and to the Amman Arab University (AAU) and supporting this research paper.</t>
  </si>
  <si>
    <t>2025 SEP 5</t>
  </si>
  <si>
    <t>10.1108/JSTPM-02-2025-0033</t>
  </si>
  <si>
    <t>6YU5N</t>
  </si>
  <si>
    <t>WOS:001565249200001</t>
  </si>
  <si>
    <t>Koride, P; Ganesh, L</t>
  </si>
  <si>
    <t>Koride, Padmavathi; Ganesh, L.</t>
  </si>
  <si>
    <t>Formal banks, semi-formal SHGs or informal moneylenders, who is better? a study of borrower credit preference in India</t>
  </si>
  <si>
    <t>CURRENT SCIENCE</t>
  </si>
  <si>
    <t>Agency theory; banks; moneylenders; prefe- rence; self-help groups; self-help groups</t>
  </si>
  <si>
    <t>FINANCIAL INCLUSION; MICROFINANCE; MARKET; MICROCREDIT; WOMEN; INSTITUTIONS; ACCESS; IMPACT</t>
  </si>
  <si>
    <t>The present study explores the factors driving borrowers' preference for formal banks, self-help groups (SHGs) and moneylenders. The study is based on a systematic survey of 839 rural borrowers from southern India, sampled from four districts with varied levels of credit access (surplus, constrained and moderate credit). The data was analysed using multinomial logistic regression in SPSS. Results show how banks and moneylenders exclude borrowers based on relative wealth and gender. SHGs service women borrowers but are preferred more by wealthier borrowers, highlighting intragroup inequalities. Yet, the three lenders service a variety of purposes, justifying their demand in the market. The study enhances understanding of rural borrowers' constraints concerning various credit sources. The implications of this study are as follows: one is identifying the lacunae in the formal banking system, which policy amendments could address. Two, the study recommends an investigation of intragroup inequalities within SHGs. Third, the study underscores the demand for multiple players in the rural credit markets and their contribution to the borrower's credit needs.</t>
  </si>
  <si>
    <t>[Koride, Padmavathi] MS Ramaiah Univ Appl Sci, Univ House,New BEL Rd, Bengaluru 560054, India; [Ganesh, L.] Christ, Hosur Rd, Bengaluru 560029, India</t>
  </si>
  <si>
    <t>M. S. Ramaiah University of Applied Sciences; Christ University</t>
  </si>
  <si>
    <t>Koride, P (corresponding author), MS Ramaiah Univ Appl Sci, Univ House,New BEL Rd, Bengaluru 560054, India.</t>
  </si>
  <si>
    <t>padmavathikoride.ms.mc@msruas.ac.in</t>
  </si>
  <si>
    <t>ACKNOWLEDGEMENTS. We thank Florida State University, Talla-hassee, USA, for their support in accessing the relevant literature for this study. We also thank the respondents who graciously responded to the survey questions.</t>
  </si>
  <si>
    <t>INDIAN ACAD SCIENCES</t>
  </si>
  <si>
    <t>C V RAMAN AVENUE, SADASHIVANAGAR, P B #8005, BANGALORE 560 080, INDIA</t>
  </si>
  <si>
    <t>0011-3891</t>
  </si>
  <si>
    <t>CURR SCI INDIA</t>
  </si>
  <si>
    <t>Curr. Sci.</t>
  </si>
  <si>
    <t>10.18520/cs/v127/i2/182-193</t>
  </si>
  <si>
    <t>A2M5K</t>
  </si>
  <si>
    <t>WOS:001280923300011</t>
  </si>
  <si>
    <t>Financial literacy in for-profit vs pro-social peer-to-peer lending</t>
  </si>
  <si>
    <t>Financial literacy; Peer to peer lending; Pro-social; Financial inclusion; G01; G20; G41</t>
  </si>
  <si>
    <t>EDUCATION; NETWORKS; CREDIT; TRUST</t>
  </si>
  <si>
    <t>Purpose Peer-to-peer (P2P) lending facilitates direct online lending and aims to provide financial inclusion and investment returns. Lender goals range from for-profit to pro-social and objective information is limited, which highlights the need to examine heuristics. Design/methodology/approach This study examines 1,347 lending decisions by finance students on a mock P2P site. Testimonials were used to randomly condition the financially literate lenders towards for-profit or pro-social decision-making. Each investor evaluated three loans. The three loan applications were identical except for a female or male headshot (vs an icon) and random reports of 50% funding for the female or male loan in 3 days (vs 11 days for opposite gender and 7 for icon). Previous research surveys students on a mock platform (Gonzalez, 2020) and reports similar heuristics and lifelike decisions in student and general population samples (Gonzalez and Komarova, 2014). Findings Lenders randomly conditioned towards pro-social lending state lower trust in borrowers. However, pro-social investors state lower risk in P2P lending and higher financial literacy. Second, pro-social investors are more confident when lending to borrowers highly trusted by other lenders, especially if the popular loan applicant is female. Third, pro-social conditioning increases lending to male applicants when the popular loan applicant is female. Fourth, pro-social investors who have experienced financial trauma have greater confidence in bad loan recovery. Originality/value This is the first study of heuristics in pro-social vs for-profit P2P lending. In addition, it shows that testimonials can effectively condition lending goals and affect trust and risk perceptions.</t>
  </si>
  <si>
    <t>[Gonzalez, Laura] Calif State Univ Long Beach, Coll Business, Dept Finance, Long Beach, CA 90840 USA</t>
  </si>
  <si>
    <t>Gonzalez, L (corresponding author), Calif State Univ Long Beach, Coll Business, Dept Finance, Long Beach, CA 90840 USA.</t>
  </si>
  <si>
    <t>JAN 26</t>
  </si>
  <si>
    <t>10.1108/MF-07-2021-0329</t>
  </si>
  <si>
    <t>8F7FB</t>
  </si>
  <si>
    <t>WOS:000852710000001</t>
  </si>
  <si>
    <t>Liu, ZW; Chen, JK</t>
  </si>
  <si>
    <t>Liu, Zewei; Chen, Ji-Kang</t>
  </si>
  <si>
    <t>Socioeconomic Determinants and Health Outcomes of Financial Resilience Patterns</t>
  </si>
  <si>
    <t>FAMILY &amp; COMMUNITY HEALTH</t>
  </si>
  <si>
    <t>family practice; financial management; mental health; psychological; resilience; socioeconomic disparities in health</t>
  </si>
  <si>
    <t>ASSOCIATION</t>
  </si>
  <si>
    <t>Background and Objectives:Financial resilience describes an actionable financial capability to cope with emergencies and adversities. However, little is known about whether financial resilience patterns impact holistic health outcomes.Methods:This study conducted a 3-step latent profile analysis using an urban community sample (n = 3710) from a nationally representative database in China. A multinomial logistic regression model and multiple linear regression models were estimated to examine the proposed argument guided by social determinants of health and resilience theory.Results:Three latent subgroups were identified to differentiate population heterogeneity with high, moderate, and low financial resilience. Younger generations with lower employment participation, education, income, and assets were significantly less likely to be in moderate and high financial resilience subgroups. After controlling demographics and conventional socioeconomic covariates, financial resilience patterns were significantly negatively associated with mental illness, while positively associated with physical health, subjective happiness, and life satisfaction.Conclusion:Financial resilience could be a strength-based and actionable socioeconomic determinant of health. Research and practical implications are provided for addressing health inequalities. A new target in community health and social welfare is to enhance financial resilience among marginalized populations through family asset-building, financial inclusion policy, financial literacy education, and social capital investment.</t>
  </si>
  <si>
    <t>[Liu, Zewei; Chen, Ji-Kang] Chinese Univ Hong Kong, Dept Social Work, Shatin, Hong Kong, Peoples R China</t>
  </si>
  <si>
    <t>Chinese University of Hong Kong</t>
  </si>
  <si>
    <t>Liu, ZW (corresponding author), Chinese Univ Hong Kong, Dept Social Work, Shatin, Hong Kong, Peoples R China.</t>
  </si>
  <si>
    <t>zwliu@link.cuhk.edu.hk; jkchen@swk.cuhk.edu.hk</t>
  </si>
  <si>
    <t>Liu, Zewei/KYP-7946-2024</t>
  </si>
  <si>
    <t>Liu, Zewei/0000-0001-6916-751X</t>
  </si>
  <si>
    <t>LIPPINCOTT WILLIAMS &amp; WILKINS</t>
  </si>
  <si>
    <t>TWO COMMERCE SQ, 2001 MARKET ST, PHILADELPHIA, PA 19103 USA</t>
  </si>
  <si>
    <t>0160-6379</t>
  </si>
  <si>
    <t>1550-5057</t>
  </si>
  <si>
    <t>FAM COMMUNITY HEALTH</t>
  </si>
  <si>
    <t>Fam. Community Health</t>
  </si>
  <si>
    <t>10.1097/FCH.0000000000000426</t>
  </si>
  <si>
    <t>Family Studies; Public, Environmental &amp; Occupational Health</t>
  </si>
  <si>
    <t>X2C7J</t>
  </si>
  <si>
    <t>WOS:001423500000007</t>
  </si>
  <si>
    <t>Narváez, ARA; Alvarez, YPR</t>
  </si>
  <si>
    <t>Anaya Narvaez, Alfredo R.; Romero Alvarez, Yaneth Patricia</t>
  </si>
  <si>
    <t>Financial inclusion in Sincelejo (Colombia). A Probit econometric model</t>
  </si>
  <si>
    <t>inclusion; poverty; socioeconomic variables; Probit; Sincelejo</t>
  </si>
  <si>
    <t>MICROFINANCE; ACCESS</t>
  </si>
  <si>
    <t>This paper examines the relationship between financial inclusion and income poverty of households in the city of Sincelejo, in the Colombian department of Sucre. The correlation between these two variables is confirmed through a probabilistic or qualitative response econometric model called Probit. Additional socioeconomic variables were used which help account for the phenomenon of financial inclusion. In order to achieve this purpose, primary information was collected through surveys conducted in 541 sincelejanos households on the variables involved in the analysis and the information gathered was processed through Eviews 7.1 in order to obtain the estimates of the econometric model. The results confirm that this phenomenon can be adequately studied through a binomial regression analysis and that there is an inverse relationship between income poverty and financial inclusion (measured as the access by households to any kind of service or product from formal financial institutions). The results also confirm that higher schooling of the household head is the major factor in increasing the likelihood of household financial inclusion.</t>
  </si>
  <si>
    <t>[Anaya Narvaez, Alfredo R.] Univ Cordoba, Monteria, Cordoba, Colombia; [Romero Alvarez, Yaneth Patricia] Univ Sucre, Sincelejo, Sucre, Colombia</t>
  </si>
  <si>
    <t>Narváez, ARA (corresponding author), Univ Cordoba, Monteria, Cordoba, Colombia.</t>
  </si>
  <si>
    <t>aranaya@correo.unicordoba.edu.co; yaneth.romero@unisucre.edu.co</t>
  </si>
  <si>
    <t>Romero Alvarez, Yaneth/D-4484-2019</t>
  </si>
  <si>
    <t>2462-8107</t>
  </si>
  <si>
    <t>10.17230/ecos.2018.46.4</t>
  </si>
  <si>
    <t>WOS:000438024600004</t>
  </si>
  <si>
    <t>Urooj, S</t>
  </si>
  <si>
    <t>Urooj, Shama</t>
  </si>
  <si>
    <t>A dynamic threshold analysis of effect of Financial Action Task Force (FATF) measures on financial inclusion: evidence from the world</t>
  </si>
  <si>
    <t>Anti-money laundering; Threshold regression; Financial Action Task Force compliance; Financial inclusiveness</t>
  </si>
  <si>
    <t>MONEY LAUNDERING REGULATIONS</t>
  </si>
  <si>
    <t>PurposeThis study aims to examine the effect of Financial Action Task Force (FATF) compliance on the degree of financial inclusion (FI) across 174 economies during the period from 2011 to 2021, including developed and developing countries.Design/methodology/approachThis paper uses panel dynamic threshold regression to examine whether there is a threshold effect that exists in FATF compliance.FindingsThe findings show that FATF regulations enhance financial inclusiveness all over the world, but at the same time, FATF regulations regarding AML/CFT implications impose a high cost on financial institutions above the threshold of FATF compliance.Research limitations/implicationsThis study's findings indicate that nations should undertake deliberate struggle to reduce the prevalence of money laundering (ML) and terrorism financing by putting in place effective FATF regulatory frameworks to support FI.Originality/valueThis study's findings indicate that nations should undertake deliberate struggle to reduce the prevalence of ML and terrorism financing by putting in place effective FATF regulatory frameworks to support FI. Regulators must, however, guarantee that the process is cost-effective and efficient.</t>
  </si>
  <si>
    <t>[Urooj, Shama] Huazhong Univ Sci &amp; Technol Main Campus, Sch Management, Wuhan, Peoples R China</t>
  </si>
  <si>
    <t>Urooj, S (corresponding author), Huazhong Univ Sci &amp; Technol Main Campus, Sch Management, Wuhan, Peoples R China.</t>
  </si>
  <si>
    <t>shama_urooj123@hotmail.com</t>
  </si>
  <si>
    <t>10.1108/JMLC-07-2023-0128</t>
  </si>
  <si>
    <t>SS1Q4</t>
  </si>
  <si>
    <t>WOS:001092256100001</t>
  </si>
  <si>
    <t>Makulilo, AB</t>
  </si>
  <si>
    <t>Makulilo, Alex B.</t>
  </si>
  <si>
    <t>Privacy in mobile money: central banks in Africa and their regulatory limits</t>
  </si>
  <si>
    <t>INTERNATIONAL JOURNAL OF LAW AND INFORMATION TECHNOLOGY</t>
  </si>
  <si>
    <t>mobile money; data protection; privacy; central banks; Africa</t>
  </si>
  <si>
    <t>The increased pervasiveness of technology in Africa has increasingly facilitated the growth of mobile financial services. In Africa where financial inclusion is so limited, mobile financial services provide avenue for majority urban and rural population to participate in economic activities. Yet until recently Mobile Network Operators (MNOs) have dominated the mobile financial services. Banks and financial institutions which are traditionally the subject of the regulatory ambit of central banks have only recently taken interests in the mobile financial services. Quite often this has been done by partnering with MNOs. To this end, central banks in Africa have developed guidelines and regulations to bring MNOs of financial services under their regulatory authority. This article is set to analyse bank guidelines as well as regulations on electronic payment systems from the perspective of the right to privacy of customers in Africa. Illustrations of regulatory issues raised in this article are drawn from different African countries. Particularly, the author of this article argues that although the traditional banker's duty of secrecy which restricts bankers from disclosing information about their customers might still be applicable to mobile money providers, it may not be adequate to secure such information. Similarly, the recently developed mobile money regulations by central banks in Africa are limited to secure the right to privacy in the mobile financial services.</t>
  </si>
  <si>
    <t>[Makulilo, Alex B.] Univ Bremen, Humboldt Fdn, Fac Law, Bremen, Germany</t>
  </si>
  <si>
    <t>University of Bremen</t>
  </si>
  <si>
    <t>Makulilo, AB (corresponding author), Univ Bremen, Humboldt Fdn, Fac Law, Bremen, Germany.</t>
  </si>
  <si>
    <t>alex.makulilo@uni-bremen.de</t>
  </si>
  <si>
    <t>0967-0769</t>
  </si>
  <si>
    <t>1464-3693</t>
  </si>
  <si>
    <t>INT J LAW INFORM TEC</t>
  </si>
  <si>
    <t>Int. J. Law Inform. Technol.</t>
  </si>
  <si>
    <t>10.1093/ijlit/eav014</t>
  </si>
  <si>
    <t>V64LM</t>
  </si>
  <si>
    <t>WOS:000211102500003</t>
  </si>
  <si>
    <t>Digital Financial Services and Sustainable Development: Temporal Trade-Offs and the Moderating Role of Financial Literacy</t>
  </si>
  <si>
    <t>digital financial services; mobile financial services; financial literacy; sustainable development; temporal trade-offs; financial behavior; financial resilience</t>
  </si>
  <si>
    <t>SHORT-TERM; CHOICE</t>
  </si>
  <si>
    <t>Digital financial services have transformed consumer financial behavior, yet their effects on sustainable development outcomes remain poorly understood. This study examines how mobile financial services (MFS) usage influences financial behaviors across temporal dimensions and investigates the moderating role of financial literacy from a systemic sustainability perspective. Drawing on Construal Level Theory, Dual Process Theory, and Social Cognitive Theory, we analyze data from 21,757 U.S. adults from the 2021 National Financial Capability Study to explore relationships between MFS usage, financial literacy dimensions-objective knowledge (OK), subjective knowledge (SK), and perceived ability (PA)-and both short-term and long-term financial behaviors. The results reveal a dual temporal pattern: MFS usage negatively affects short-term behaviors, including spending control and emergency preparedness, while positively influencing long-term behaviors such as retirement planning and investment participation. Financial literacy dimensions demonstrate differential moderating effects, with OK providing protective benefits against short-term risks, while PA can paradoxically exacerbate these adverse short-term effects. These findings highlight complex implications for sustainable development, demonstrating how individual behaviors aggregate to influence systemic financial resilience and progress toward Sustainable Development Goals related to poverty reduction, economic growth, and inequality reduction. Policymakers should adopt behaviorally informed regulatory approaches that address temporal trade-offs. Educators should design digital-specific literacy programs emphasizing realistic risk assessment alongside confidence-building, thereby promoting sustainable financial behaviors in increasingly digital environments.</t>
  </si>
  <si>
    <t>Han, Jihyung/0000-0002-4799-4466</t>
  </si>
  <si>
    <t>National Research Foundation of Korea [NRF-2022S1A5B5A16056267]</t>
  </si>
  <si>
    <t>National Research Foundation of Korea(National Research Foundation of Korea)</t>
  </si>
  <si>
    <t>This work was supported by the Ministry of Education of the Republic of Korea and the National Research Foundation of Korea (NRF-2022S1A5B5A16056267).</t>
  </si>
  <si>
    <t>10.3390/su17208976</t>
  </si>
  <si>
    <t>9BN6V</t>
  </si>
  <si>
    <t>WOS:001602418400001</t>
  </si>
  <si>
    <t>Nanda, K</t>
  </si>
  <si>
    <t>Nanda, Kajole</t>
  </si>
  <si>
    <t>Bank Led Financial Inclusion and Socio Economic Development: The Case of Indian States</t>
  </si>
  <si>
    <t>Financial Inclusion; Socio Economic Development; Indian States</t>
  </si>
  <si>
    <t>Financial inclusion, of late has assumed a development policy priority in many countries. For a country of continental proportions like India, wherein around 28 per cent of the population suffers from chronic poverty and hunger, the need for reaching out to the 'bottom of the pyramid'becomes even more pronounced. Financial inclusion thus becomes imperative to ensure comprehensive development of a country. To actualize such an objective, banks play a majorly important catalytic role. In India, major (banking) efforts in this regard were initiated around the year 2004 when 'inancial inclusion' was made an explicit policy objective and the provision of 'or frill' saving account/s was thrust upon. With this backdrop, the paper seeks to examine the inter-state progress in achieving the objective of 'inancial access to all' at two points in time, viz. 2002-03 and 2012-13 (period before and after the banking sector drive, directed towards inclusion). The results indicate absence of any drastic improvement in the computed values of IFIs for the two years under study. The results additionally highlight regional imbalances in the inclusion extent across the states of the country (IFI values ranging from 1 for Chandigarh to as low as 0.00 for Manipur for the year 2002-03). With the exception of North Eastern 'sister states', the level of financial inclusion seems to reflect a movement in tandem with the extent of per capita income and the extent of socio economic development (HDI). Financial inclusion is, therefore an ineludible dimension of socio economic development. To capture this essence, a modified measure of HDI, as an improvement over HDI has been computed to measure the extent of a regions' socio economic development by encompassing in addition to the life expectancy index, education index and GDP index for a country, the index for financial inclusion. Notably, the index of financial inclusion is less than the reported human development levels of all states; hence the value of modified HDI falls below the HDI value for all states.</t>
  </si>
  <si>
    <t>[Nanda, Kajole] Guru Nanak Dev Univ, Dept Commerce, Amritsar, Punjab, India</t>
  </si>
  <si>
    <t>Guru Nanak Dev University</t>
  </si>
  <si>
    <t>Nanda, K (corresponding author), Guru Nanak Dev Univ, Dept Commerce, Amritsar, Punjab, India.</t>
  </si>
  <si>
    <t>Nanda, Kajole/0000-0002-2806-436X</t>
  </si>
  <si>
    <t>WOS:000430112400006</t>
  </si>
  <si>
    <t>Leonardi, PM; Bailey, DE; Diniz, EH; Sholler, D; Nardi, B</t>
  </si>
  <si>
    <t>Leonardi, Paul M.; Bailey, Diane E.; Diniz, Eduardo H.; Sholler, Dan; Nardi, Bonnie</t>
  </si>
  <si>
    <t>MULTIPLEX APPROPRIATION IN COMPLEX SYSTEMS IMPLEMENTATION: THE CASE OF BRAZIL'S CORRESPONDENT BANKING SYSTEM</t>
  </si>
  <si>
    <t>Technology use; appropriation; multiplexity; complexity; complex systems; implementation; ICT4D; developing countries; user-centered design</t>
  </si>
  <si>
    <t>INFORMATION-TECHNOLOGY; STRUCTURATION; MATERIALITY; ADAPTATION; DYNAMICS; CONTEXT; WORK</t>
  </si>
  <si>
    <t>When user needs do not align with system designers' visions, new technology implementation becomes a complex process as users appropriate the new technology to meet their needs. Prior studies recognize this complexity, but focus on the complex implementation of simple systems in which user groups are well defined and the IT artifact is the primary change. We extend the research lens by examining the implementation of the Brazilian correspondent banking system, a complex system involving multiple actors, system elements, and settings intended to address the social problem of financial exclusion. Our case study comparison of two settings-retail stores and post offices-reveals that actors' appropriations extended beyond the IT artifact to include technical, role, usage, social, and policy appropriations. The intended users (poor clients in remote and underserved areas) barely interacted with the IT artifact or other system elements; instead, they relied upon remote bankers (correspondents) to appropriate the system on their behalf. Because rewards, incentives, and constraints differed by setting, correspondents' appropriations differed by setting. We call the resulting mix of appropriations across multiple elements by multiple actors in multiple settings multiplex appropriation. Complex societal challenges often involve multiple users in multiple settings with varied needs and few technology skills; thus, designing systems to meet user requirements may prove impossible. Instead, allowing multiplex appropriation might foster system success because, rather than forcing a global alignment among system elements or trying to ascertain multiple user needs, it allows for multiple local alignments of system elements that fit local settings.</t>
  </si>
  <si>
    <t>[Leonardi, Paul M.] Univ Calif Santa Barbara, Technol Management Program, 1319 Phelps Hall, Santa Barbara, CA 93106 USA; [Bailey, Diane E.] Univ Texas Austin, Sch Informat, 1616 Guadalupe Suite 5-202, Austin, TX 78701 USA; [Diniz, Eduardo H.] Fundacao Getulio Vargas, Escola Adm Empresas Sao Paulo, Rua Itapeva 474, BR-01313902 Sao Paulo, SP, Brazil; [Sholler, Dan] Univ Texas Austin, Sch Informat, 1616 Guadalupe Suite 5-550, Austin, TX 78701 USA; [Nardi, Bonnie] Univ Calif Irvine, Sch Informat &amp; Comp Sci, Dept Informat, 5088 Bren Hall, Irvine, CA 92697 USA</t>
  </si>
  <si>
    <t>University of California System; University of California Santa Barbara; University of Texas System; University of Texas Austin; Getulio Vargas Foundation; University of Texas System; University of Texas Austin; University of California System; University of California Irvine</t>
  </si>
  <si>
    <t>Leonardi, PM (corresponding author), Univ Calif Santa Barbara, Technol Management Program, 1319 Phelps Hall, Santa Barbara, CA 93106 USA.;Bailey, DE (corresponding author), Univ Texas Austin, Sch Informat, 1616 Guadalupe Suite 5-202, Austin, TX 78701 USA.;Diniz, EH (corresponding author), Fundacao Getulio Vargas, Escola Adm Empresas Sao Paulo, Rua Itapeva 474, BR-01313902 Sao Paulo, SP, Brazil.;Sholler, D (corresponding author), Univ Texas Austin, Sch Informat, 1616 Guadalupe Suite 5-550, Austin, TX 78701 USA.;Nardi, B (corresponding author), Univ Calif Irvine, Sch Informat &amp; Comp Sci, Dept Informat, 5088 Bren Hall, Irvine, CA 92697 USA.</t>
  </si>
  <si>
    <t>Leonardi@tmp.ucsb.edu; debailey@ischool.utexas.edu; Eduardo.Diniz@fgv.br; dansholler@utexas.edu; nardi@uci.edu</t>
  </si>
  <si>
    <t>; Leonardi, Paul/B-7471-2009</t>
  </si>
  <si>
    <t>National Science Foundation [IIS-1111246]; Direct For Computer &amp; Info Scie &amp; Enginr [1111288] Funding Source: National Science Foundation; Direct For Computer &amp; Info Scie &amp; Enginr; Div Of Information &amp; Intelligent Systems [1543683] Funding Source: National Science Foundation; Direct For Computer &amp; Info Scie &amp; Enginr; Div Of Information &amp; Intelligent Systems [1111237] Funding Source: National Science Foundation; Div Of Information &amp; Intelligent Systems [1111288] Funding Source: National Science Foundation</t>
  </si>
  <si>
    <t>National Science Foundation(National Science Foundation (NSF)); Direct For Computer &amp; Info Scie &amp; Enginr(National Science Foundation (NSF)NSF - Directorate for Computer &amp; Information Science &amp; Engineering (CISE)); Direct For Computer &amp; Info Scie &amp; Enginr; Div Of Information &amp; Intelligent Systems(National Science Foundation (NSF)NSF - Directorate for Computer &amp; Information Science &amp; Engineering (CISE)NSF - Division of Information &amp; Intelligent Systems (IIS)); Direct For Computer &amp; Info Scie &amp; Enginr; Div Of Information &amp; Intelligent Systems(National Science Foundation (NSF)NSF - Directorate for Computer &amp; Information Science &amp; Engineering (CISE)NSF - Division of Information &amp; Intelligent Systems (IIS)); Div Of Information &amp; Intelligent Systems(National Science Foundation (NSF)NSF - Directorate for Computer &amp; Information Science &amp; Engineering (CISE)NSF - Division of Information &amp; Intelligent Systems (IIS))</t>
  </si>
  <si>
    <t>The authors would like to thank Melina Rombac, Flavio Foguel, and Stephanie Dailey for their help with data collection. Generous funding for this research was provided by a grant from the National Science Foundation (IIS-1111246)</t>
  </si>
  <si>
    <t>10.25300/MISQ/2016/40.2.10</t>
  </si>
  <si>
    <t>DN0VB</t>
  </si>
  <si>
    <t>WOS:000376783300010</t>
  </si>
  <si>
    <t>Abraham, TW</t>
  </si>
  <si>
    <t>Abraham, Terfa W.</t>
  </si>
  <si>
    <t>Estimating the effects of financial access on poor farmers in rural northern Nigeria</t>
  </si>
  <si>
    <t>Rural households; Farm income; Climate change; Financial inclusion</t>
  </si>
  <si>
    <t>By recognizing the gap in the literature in examining the effects of financial resources and development outcomes at the household level, this paper examines whether the poorest income quintile would benefit most from programs aimed at increasing their access to financial services in rural northern Nigeria. Most households from this part of the world consist of farmers and, hence, are exposed to the vagaries of climate change. The data from 320 questionnaires administered in two rural communities (Rijau and Fakai) were analyzed using an ordered logit regression model. The results showed that access to financial services by using formal financial institutions and farmer savings clubs benefits vulnerable farmers (mostly women). The robustness check using the Brant test also confirmed that the parallel regression assumption of the model was not violated. A policy scenario that seeks to increase the delivery of financial services to rural farm households using community savings clubs and microfinance institution reforms for reaching the financially underserved was also found to benefit the poorest income quintile, hence, bringing them out of poverty.</t>
  </si>
  <si>
    <t>[Abraham, Terfa W.] NILDS, 1 River Niger St, Maitama, Abuja, Nigeria</t>
  </si>
  <si>
    <t>Abraham, TW (corresponding author), NILDS, 1 River Niger St, Maitama, Abuja, Nigeria.</t>
  </si>
  <si>
    <t>Lorenzcurve@yahoo.com</t>
  </si>
  <si>
    <t>German Federal Ministry of Education (BMBF); Zentrum fur Entwicklungsforschung (ZEF)/Centre for Development Research, Department for Economic and Technological, Universitat Bonn, Bonn - Germany under the West African Science Service Center on Climate Change and Adapted Land Use (WASCAL); MFW4A (Making Finance Work for Africa)</t>
  </si>
  <si>
    <t>German Federal Ministry of Education (BMBF)(Federal Ministry of Education &amp; Research (BMBF)); Zentrum fur Entwicklungsforschung (ZEF)/Centre for Development Research, Department for Economic and Technological, Universitat Bonn, Bonn - Germany under the West African Science Service Center on Climate Change and Adapted Land Use (WASCAL); MFW4A (Making Finance Work for Africa)</t>
  </si>
  <si>
    <t>This paper benefits from the Graduate Research Programme in Climate Change Economics fund provided by the German Federal Ministry of Education (BMBF) in collaboration with the Zentrum fur Entwicklungsforschung (ZEF)/Centre for Development Research, Department for Economic and Technological, Universitat Bonn, Bonn - Germany under the West African Science Service Center on Climate Change and Adapted Land Use (WASCAL) hosted at the Universite Cheikh Anta Diop de Dakar, Senegal. In 2015, Terfa W. Abraham was one of the recipient of the MFW4A (Making Finance Work for Africa) Research Paper prize for his paper titled, Financial Innovation and Poverty Reduction: Evidence from Northern Nigeria. The paper was presented at the Research Meets Africa Conference during the African Microfinance Week (i.e. Semaine Africaine de la Microfinance -SAM): a University Meets Microfinance (UMM) workshop organized in collaboration with ADA (Appui au Developpement Autonome) and Positive Planet during the African Microfinance Week on June 9, 2015. The MFW4A award, therefore provided additional funds that helped advance this research paper.</t>
  </si>
  <si>
    <t>10.1186/s40854-018-0112-2</t>
  </si>
  <si>
    <t>HR9KY</t>
  </si>
  <si>
    <t>WOS:000463479800001</t>
  </si>
  <si>
    <t>Masilela, JJ; van Wyk, RB; Marwa, N</t>
  </si>
  <si>
    <t>Masilela, Jane Jabulile; van Wyk, Roscoe Bertrum; Marwa, Nyankomo</t>
  </si>
  <si>
    <t>Assessing the variability of crypto collateral assets in secured lending on the blockchain</t>
  </si>
  <si>
    <t>Innovative finance; financial inclusion; digital finance; blockchain; crypto-currency; secured lending</t>
  </si>
  <si>
    <t>The objective is to assess the variability of collateral crypto-assets used in secured lending on the blockchain. Using the coefficient of variation, the study estimates volatility of selected assets and implied risk intensity for both borrowers and lenders on blockchain-based lending. The coefficient of variation model was adopted by testing volatility. The model produced a number of key empirical observations from January 2017 to December 2018 reflecting market swings resulting in volatility, despite its simplicity, using Bitcoin, Ethereum and Ripple crypto-assets. The results of the study provide clarity on the crypto-assets bullish and bearish markets and whether there is a correlation between crypto-assets and Bitcoin market dominance. The recommendations include that financial institutions should de-risk their investment, participate in the crypto-currency domain and ensure financial inclusion; concepts of traditional asset-backed lending could be implemented by looking at 50 percent loan-to-value ratio.</t>
  </si>
  <si>
    <t>[Masilela, Jane Jabulile; van Wyk, Roscoe Bertrum; Marwa, Nyankomo] Stellenbosch Univ, Univ Stellenbosch Business Sch, Stellenbosch, South Africa</t>
  </si>
  <si>
    <t>Masilela, JJ (corresponding author), Stellenbosch Univ, Univ Stellenbosch Business Sch, Stellenbosch, South Africa.</t>
  </si>
  <si>
    <t>jmasilela2013@gmail.com</t>
  </si>
  <si>
    <t>marwa, nyankomo/JJD-6827-2023</t>
  </si>
  <si>
    <t>van Wyk, Roscoe/0000-0002-3640-0319</t>
  </si>
  <si>
    <t>10.1080/0376835X.2021.1906630</t>
  </si>
  <si>
    <t>5E4OA</t>
  </si>
  <si>
    <t>WOS:000639762800001</t>
  </si>
  <si>
    <t>Byrne, N; McCarthy, O; Ward, M</t>
  </si>
  <si>
    <t>Byrne, Noreen; McCarthy, Olive; Ward, Michael</t>
  </si>
  <si>
    <t>Money-lending and financial exclusion</t>
  </si>
  <si>
    <t>This article focuses on money-lending and financial exclusion in Ireland. Borrowing from money-lenders is seen in the academic literature as an indicator of exclusion from more affordable sources of credit. However, Ireland has a widespread credit union movement which provides access to affordable credit. The authors investigated whether this has an impact on the use of money-lending in Ireland. They found that a significant number of people who borrow from moneylenders also borrow from mainstream sources of credit. The borrower and moneylender relationship is complex and is not centred on access alone. The authors explain why new policy is needed which must not only focus on access to financial services but equally on financial education and regulation.</t>
  </si>
  <si>
    <t>Natl Univ Ireland Univ Coll Cork, Ctr Cooperat Studies, Cork, Ireland</t>
  </si>
  <si>
    <t>Byrne, N (corresponding author), Natl Univ Ireland Univ Coll Cork, Ctr Cooperat Studies, Cork, Ireland.</t>
  </si>
  <si>
    <t>McCarthy, Olive/0000-0002-2791-5214; Byrne, Noreen/0000-0003-0595-7058</t>
  </si>
  <si>
    <t>BLACKWELL PUBLISHING</t>
  </si>
  <si>
    <t>9600 GARSINGTON RD, OXFORD OX4 2DQ, OXON, ENGLAND</t>
  </si>
  <si>
    <t>10.1111/j.1467-9302.2007.00554.x</t>
  </si>
  <si>
    <t>WOS:000243756000008</t>
  </si>
  <si>
    <t>Singh, N; Vaish, A</t>
  </si>
  <si>
    <t>Singh, Nimisha; Vaish, Anurika</t>
  </si>
  <si>
    <t>Digital Banking and Gig Workers' Green Behaviour: The Intervening Role of Financial Inclusion and Sustainable Bank Initiatives</t>
  </si>
  <si>
    <t>INZINERINE EKONOMIKA-ENGINEERING ECONOMICS</t>
  </si>
  <si>
    <t>Digital Banking; Financial Inclusion; Green Behavioural Intention; Gig Worker.</t>
  </si>
  <si>
    <t>EXCLUSION</t>
  </si>
  <si>
    <t>The digital banking system bridges the gap between green and sustainable activities by encouraging sustainable behaviour and empowering financial institutions to provide eco-friendly services. This study examines how financial inclusion and sustainable bank initiatives mediate the association between digital banking and gig workers' green behaviour. This study utilised a quantitative survey methodology, based on data from gig workers in India who have used banking services for at least 10 years. The final sample consisted of 247 responses from gig workers aware of banks' sustainability initiatives. Data was analysed on AMOS, SPSS version 25 for confirmatory factor analysis. The sequential mediation model was analysed using Process Macro. Findings suggest that financial inclusion and sustainable bank initiatives are having a significant influence on expanding gig workers' access to sustainable financial goods and services, encouraging sustainable behaviour, and providing incentives for it. The study's findings provide policymakers with valuable insights into how they can incentivise banking institutions to adopt digital banking as an influential tool for dealing with financial exclusion and promoting sustainable banking practices. These policy measures are anticipated to have a favourable effect on gig workers' green behaviour.</t>
  </si>
  <si>
    <t>[Singh, Nimisha; Vaish, Anurika] IIIT Allahabad, Dept Management Studies, Jhalwa 211012, Prayagraj, India</t>
  </si>
  <si>
    <t>Singh, N (corresponding author), IIIT Allahabad, Dept Management Studies, Jhalwa 211012, Prayagraj, India.</t>
  </si>
  <si>
    <t>rsm2018505@iiita.ac.in; anurika@iiit.ac.in</t>
  </si>
  <si>
    <t>KAUNAS UNIV TECHNOL</t>
  </si>
  <si>
    <t>LAISVES AL 55, KAUNAS, 44309, LITHUANIA</t>
  </si>
  <si>
    <t>1392-2785</t>
  </si>
  <si>
    <t>2029-5839</t>
  </si>
  <si>
    <t>INZ EKON</t>
  </si>
  <si>
    <t>Inz. Ekon.</t>
  </si>
  <si>
    <t>10.5755/j01.ee.35.5.34631</t>
  </si>
  <si>
    <t>Q0Z1A</t>
  </si>
  <si>
    <t>WOS:001382064000003</t>
  </si>
  <si>
    <t>Tan, TH; Phan, TQ</t>
  </si>
  <si>
    <t>Tan, Tianhui; Phan, Tuan Q.</t>
  </si>
  <si>
    <t>Improving Loan Servicing in Microfinance: A Mobility-Network Approach</t>
  </si>
  <si>
    <t>PROCEEDINGS OF THE 58TH HAWAII INTERNATIONAL CONFERENCE ON SYSTEM SCIENCES</t>
  </si>
  <si>
    <t>58th Hawaii International Conference on System Sciences</t>
  </si>
  <si>
    <t>JAN 07-10, 2025</t>
  </si>
  <si>
    <t>National Security Agency</t>
  </si>
  <si>
    <t>Co-location; network analysis; privacy-preserving approach; loan servicing; microfinance</t>
  </si>
  <si>
    <t>Microfinance organizations have emerged as a lasting solution to the financial exclusion problem in several emerging economies. With a rapidly increasing penetration of mobile phones, and Internet services in these countries, organizations are now exploring novel sources of information for servicing micro-loans and assessing creditworthiness. In this paper, we emphasize the importance of leveraging the network of borrowers in predicting defaults for loan servicing and collection. Specifically, we propose a modeling technique that uses the mobility pattern of borrowers, following the loan approval, to create representation of co-located network among the borrowers. Through collaboration with a large consumer finance marketplace in China, we illustrate the statistical power of such network representations at predicting loan repayment behavior, for a selected sample of borrowers. Our results highlight a novel strategy for modeling credit risk, and improving loan servicing mechanisms, in a scalable and privacy-preserving manner.</t>
  </si>
  <si>
    <t>[Tan, Tianhui] Natl Univ Singapore, Singapore, Singapore; [Phan, Tuan Q.] Univ Hong Kong, Hong Kong, Peoples R China</t>
  </si>
  <si>
    <t>National University of Singapore; University of Hong Kong</t>
  </si>
  <si>
    <t>Tan, TH (corresponding author), Natl Univ Singapore, Singapore, Singapore.</t>
  </si>
  <si>
    <t>tant@nus.edu.sg; tphan@hku.hk</t>
  </si>
  <si>
    <t>978-0-9981331-8-8</t>
  </si>
  <si>
    <t>Computer Science, Artificial Intelligence; Computer Science, Information Systems; Computer Science, Interdisciplinary Applications; Computer Science, Software Engineering</t>
  </si>
  <si>
    <t>BY4KB</t>
  </si>
  <si>
    <t>WOS:001443246900617</t>
  </si>
  <si>
    <t>Faboyede, S; Ben-Caleb, E; Faboyede, A; Oyewo, B; Akande, O</t>
  </si>
  <si>
    <t>Faboyede, S.; Ben-Caleb, E.; Faboyede, A.; Oyewo, B.; Akande, O.</t>
  </si>
  <si>
    <t>FINANCIAL LITERACY EDUCATION POLICY IN NIGERIA: ESSENTIAL MONEY MANAGEMENT PRINCIPLES</t>
  </si>
  <si>
    <t>EDULEARN14: 6TH INTERNATIONAL CONFERENCE ON EDUCATION AND NEW LEARNING TECHNOLOGIES</t>
  </si>
  <si>
    <t>6th International Conference on Education and New Learning Technologies (EDULEARN)</t>
  </si>
  <si>
    <t>JUL 07-09, 2014</t>
  </si>
  <si>
    <t>Financial literacy; Education policy; Money management; Financial intelligence</t>
  </si>
  <si>
    <t>As a result of Nigeria's commitment to the Maya declaration, the Central Bank of Nigeria (CBN) and other polity stakeholders intend to implement a National Financial Inclusion Strategy to decrease the number of Nigerians who have no access to financial services from 46.3% to 20% by the year 2020. A high implementation priority has been put on the design of a Financial Literacy Framework which is aimed at educating the Nigerian populace to improve their understanding of financial products, develop their skills and confidence so as to become more aware of financial risks and opportunities. This paper offers immense and detailed contributions to the curricula content development implementation and strategic direction of the financial literacy programmes which are being proposed for the country. It posits time tested/quick practical tips to jump-start and sustain a poverty free financial life. The research finds that essential money management principles are critically required to be liberated from the inability to make, manage, or multiply money, resources, and opportunities as this inability is one of the biggest causes of poverty. The paper finds that poverty is a man-made challenge which can be overcome or eradicated by man's positively reinforced actions. It therefore recommends that these practical money management principles should be decisively and urgently made the bedrock of a new national financial literacy orientation campaign which aims at stamping out wastes, corruption, indiscipline, poverty, ignorance, unemployment, underdevelopment, a bleak future, and changing the face of practical curricula of schools, institutions, and organizations in the country.</t>
  </si>
  <si>
    <t>[Faboyede, S.; Ben-Caleb, E.; Oyewo, B.] Covenant Univ, Lagos, Nigeria; [Faboyede, A.] Crawford Univ, Lagos, Nigeria; [Akande, O.] Ecole Super Management Univ ESM, Porto Novo, Benin</t>
  </si>
  <si>
    <t>Faboyede, S (corresponding author), Covenant Univ, Lagos, Nigeria.</t>
  </si>
  <si>
    <t>OYEWO, BABAJIDE/ABG-5995-2022; Ben-Caleb, Egbide/AAS-9730-2020</t>
  </si>
  <si>
    <t>978-84-617-0557-3</t>
  </si>
  <si>
    <t>BE0SP</t>
  </si>
  <si>
    <t>WOS:000366837205002</t>
  </si>
  <si>
    <t>Suarez, L; Quispe, J; Fiore, C; Oyasa, A; Calvache, P</t>
  </si>
  <si>
    <t>Tobar, MB; Martin, SC; DeOliveira, GG; Durakovic, B; Vizuete, MZ</t>
  </si>
  <si>
    <t>Suarez, Lizbeth; Quispe, Jessica; Fiore, Calos; Oyasa, Ana; Calvache, Pablo</t>
  </si>
  <si>
    <t>Revolutionizing Local Economies: The Impact of Blockchain and DeFi Social Currencies in Latin America and Ecuador</t>
  </si>
  <si>
    <t>INNOVATION AND RESEARCH-SMART TECHNOLOGIES AND SYSTEMS, CI3 2024, VOL 1</t>
  </si>
  <si>
    <t>5th International Conference on Smart Technologies and Systems-CI3</t>
  </si>
  <si>
    <t>SEP 11-12, 2024</t>
  </si>
  <si>
    <t>Guayaquil, ECUADOR</t>
  </si>
  <si>
    <t>Blockchain; Defi; Wallets; Social currencies; Economy</t>
  </si>
  <si>
    <t>Social currencies, blockchain and DeFi are changing local economies in Latin America. In a region with significant financial inclusion challenges, these technologies offer opportunities to improve quality of life. Integrating social currencies with blockchain and DeFi facilitates secure transactions and access to advanced financial services without intermediaries. This synergy promotes broader financial inclusion and sustainable economic development. The research also addresses how these innovations can identify economic patterns and provide feedback to improve local economic practices. Ethical and regulatory implications are discussed, including the need to protect privacy and establish appropriate regulatory frameworks. With a focus on Ecuador, it highlights how social currencies backed by blockchain and DeFi can boost local economies, promoting social cohesion and community empowerment. However, it is recognized that challenges exist, and the importance of interdisciplinary collaboration between economists, technology developers and regulators is emphasized to maximize benefits and address ethical and practical challenges. In short, the integration of social currencies, blockchain and DeFi has the potential to transform local economies in Latin America. Its effective implementation requires a careful and collaborative approach to ensure broad benefits and mitigate risks.</t>
  </si>
  <si>
    <t>[Suarez, Lizbeth; Quispe, Jessica] Inst Tecnol Super Vida Nueva, Quito 170131, Ecuador; [Fiore, Calos] Inst Tecnol Super Espiritu Santo, Guayaquil 090501, Ecuador; [Oyasa, Ana; Calvache, Pablo] Inst Tecnol Super ISMAC, Quito 170902, Ecuador</t>
  </si>
  <si>
    <t>Suarez, L (corresponding author), Inst Tecnol Super Vida Nueva, Quito 170131, Ecuador.</t>
  </si>
  <si>
    <t>lizbeth.suarez@itsvidanueva.edu.ec</t>
  </si>
  <si>
    <t>978-3-031-99341-1; 978-3-031-99342-8</t>
  </si>
  <si>
    <t>10.1007/978-3-031-99342-8_6</t>
  </si>
  <si>
    <t>BZ5ZU</t>
  </si>
  <si>
    <t>WOS:001601238000006</t>
  </si>
  <si>
    <t>Exploring Financial Decision-Making Abilities for Female Workers in the Indian Context</t>
  </si>
  <si>
    <t>Women's Financial Literacy; Financial Decision-Making; Financial Self-Efficacy And Women</t>
  </si>
  <si>
    <t>SELF-EFFICACY; BEHAVIOR</t>
  </si>
  <si>
    <t>Women's decision-making capability and empowerment are becoming increasingly important in the rapidly evolving socio-economic landscape. This exploration sheds light on the factors influencing women's autonomy and their ability to contribute to financial decision-making. This work investigates the intricate interplay of financial literacy, inclusion, self-efficacy and decision-making capabilities by focusing mainly on working women. These elements are intricate in dynamic ways that influence each other and can shape their economic empowerment. Additionally, this study uses purposive sampling to examine the mediating influence of financial self-efficacy on this relationship by gathering data from 160 employed female respondents in the Delhi-NCR area. PLS-SEM and bootstrapping with 5000 iterations were used to analyse the relationships among the variables. The results show that financial inclusion significantly impacts the decision-making abilities of female employees within the financial sector. However, possessing financial knowledge about financial matters does not guarantee their decision-making capability. This pertains to their financial efficacy, representing their confidence and ability in financial matters. Financial literacy significantly influences decision-making ability through financial self-efficacy, with implications for boosting women's economic empowerment. By examining how financial literacy and inclusion indirectly influence decision-making through financial self-efficacy, this study offers a new perspective for understanding economic empowerment among marginalised communities.</t>
  </si>
  <si>
    <t>[Gupta, Priya; Aggarwal, Mamta; Bamba, Meera] Indira Gandhi Univ, Dept Commerce, Rewari, Haryana, India</t>
  </si>
  <si>
    <t>3GJ0A</t>
  </si>
  <si>
    <t>WOS:001499686400001</t>
  </si>
  <si>
    <t>Impact of financial literacy and financial confidence on the savings behaviour of the farmers: the Indian scene</t>
  </si>
  <si>
    <t>Farmers; Financial literacy; Financial confidence; Savings behaviour; India</t>
  </si>
  <si>
    <t>HOUSEHOLD SAVINGS; GHANA; POOR</t>
  </si>
  <si>
    <t>PurposeThe study aims to explore the savings behaviour of Indian farmers. An attempt is also made to inspect the effect of financial literacy (FL) and financial confidence (FC) on the savings behaviour of the farmers in India.Design/methodology/approach This study used secondary data on 10,263 Indian farmers from Financial Inclusion Insights, 2017 database. Relevant statistical techniques and ordered probit regression were used to unfold the effect of FL and FC on the savings behaviour of farmers.Findings The outcome of the study revealed that the majority of the Indian farmers exhibited poor levels of FL and FC. Of the total, 42.99% were found to save regularly. FL and FC were observed to play instrumental roles in steering the savings behaviour of the Indian farmers. Household size, financial shocks, gender, farm ownership, income, household financial decision-making process, religion and educational attainment have emerged to be significant predictors of the savings behaviour of Indian farmers.Originality/value The present study makes an original contribution to the extant literature by unfolding the savings behaviour of Indian farmers and the effect of FL and FC on such behaviour using a rich sample of 10,263 farmers for the first time.</t>
  </si>
  <si>
    <t>; Maji, Sumit Kumar/J-2542-2015; Das, Soumyadwip/KMX-2417-2024</t>
  </si>
  <si>
    <t>Das, Soumyadwip/0000-0002-7177-1094; Maji, Sumit Kumar/0000-0001-7592-6594;</t>
  </si>
  <si>
    <t>The authors acknowledge the data support provided by InterMediaapos;s Financial Inclusion Insights (FII) Program. The authors would also like to acknowledge the suggestions provided by Prof. Arindam Laha, Department of Commerce, The University of Burdwan</t>
  </si>
  <si>
    <t>The authors acknowledge the data support provided by InterMedia &amp; apos;s Financial Inclusion Insights (FII) Program. The authors would also like to acknowledge the suggestions provided by Prof. Arindam Laha, Department of Commerce, The University of Burdwan for revising the article.</t>
  </si>
  <si>
    <t>10.1108/AFR-05-2023-0056</t>
  </si>
  <si>
    <t>WOS:001100625300001</t>
  </si>
  <si>
    <t>IMPACT OF FINANCIAL INCLUSION IN LOW- AND MIDDLE-INCOME COUNTRIES: A SYSTEMATIC REVIEW OF REVIEWS</t>
  </si>
  <si>
    <t>Financial inclusion; Impact; Poverty alleviation; Systematic review of reviews</t>
  </si>
  <si>
    <t>MICROFINANCE; INTERVENTIONS; POVERTY; SAVINGS; CREDIT</t>
  </si>
  <si>
    <t>Financial inclusion programmes seek to increase access to financial services such as credit, savings, insurance and money transfers. Despite a wealth of systematic review evidence, the impacts of financial inclusion are inconclusive. Hence, the first systematic review of systematic reviews was undertaken to synthesize the impacts of financial inclusion interventions on economic, social, gender and behavioural outcomes. Thirty-two systematic reviews were identified. The headline finding is that impacts are more likely to be positive than negative, but the effects vary, and appear not to be transformative in scope or scale, as they largely occur in the early stages of the causal chain. The effects of financial services on core economic and social poverty indicators are small and inconsistent. There is no evidence for meaningful behaviour-change outcomes. The effects on women's empowerment appear generally positive, but they depend upon programme features that are often peripheral to the financial service, and cultural and geographical context. Accessing savings opportunities has small but more consistently positive effects for poor people, and bears fewer downside risks for clients than credit. The inconsistent quality of the primary evidence base that formed the basis of their syntheses raises concerns about the reliability of the overall findings.</t>
  </si>
  <si>
    <t>[Duvendack, Maren] Univ East Anglia, Sch Int Dev, Norwich NR4 7TJ, Norfolk, England; [Mader, Philip] Inst Dev Studies, Brighton BN1 9RE, E Sussex, England</t>
  </si>
  <si>
    <t>m.duvendack@uea.ac.uk</t>
  </si>
  <si>
    <t>Mader, Philip/0000-0002-8833-1917; Duvendack, Maren/0000-0002-8125-9115</t>
  </si>
  <si>
    <t>10.1111/joes.12367</t>
  </si>
  <si>
    <t>MA7MV</t>
  </si>
  <si>
    <t>WOS:000530833400001</t>
  </si>
  <si>
    <t>Hunter, S; Chai, AD; Morgan, P; Chan, HF; Torgler, B; Rohde, N</t>
  </si>
  <si>
    <t>Hunter, Shawn; Chai, Andreas; Morgan, Peter; Chan, Ho Fai; Torgler, Benno; Rohde, Nicholas</t>
  </si>
  <si>
    <t>Mobile banking apps and the informal economy: evidence from survey data in Indonesia and Bangladesh</t>
  </si>
  <si>
    <t>Financial inclusion; informal economy; digital finance; economic development; O12; O17</t>
  </si>
  <si>
    <t>FINANCIAL INCLUSION; IMPACT</t>
  </si>
  <si>
    <t>Reducing preference for cash and supporting the adoption of digital financial services can help achieve financial inclusion while also diminishing economic informality. However, previous evidence suggests that increased access to formal banking services has not resulted in an immediate reduction in usage of informal services. This paper estimates the effects of mobile phone banking apps on the demand for cash using unique survey data from Bangladesh and Indonesia. Our models indicate that having access to a banking or payment app reduces a variable capturing preference for cash by between 4% and 10%. The results are robust to a range of specification checks (including the inclusion/omission of various controls) which suggests that confounding from unobservables is unlikely to be a substantive source of bias. Since cash is the preferred payment mechanism for the poor in developing countries, the results suggest that access to digital banking apps may reduce informality within the finance sector, leading to broader development implications.</t>
  </si>
  <si>
    <t>[Hunter, Shawn] Griffith Univ, Griffith Asia Inst, Brisbane, Australia; [Chai, Andreas] Griffith Business Sch, Dept Accounting Finance &amp; Econ, Brisbane, Australia; [Morgan, Peter] Asian Dev Bank Inst, Tokyo, Japan; [Chan, Ho Fai; Torgler, Benno] Queensland Univ Technol, Sch Econ &amp; Finance, Brisbane, Australia; [Rohde, Nicholas] Griffith Univ, Dept Accounting Finance &amp; Econ, Brisbane, Australia</t>
  </si>
  <si>
    <t>Griffith University; Queensland University of Technology (QUT); Griffith University</t>
  </si>
  <si>
    <t>Hunter, S (corresponding author), Griffith Univ, Griffith Asia Inst, Brisbane, Australia.</t>
  </si>
  <si>
    <t>shawn.hunter@griffith.edu.au</t>
  </si>
  <si>
    <t>Torgler, Benno/W-4556-2019; Hunter, Shawn/OEO-1000-2025; Chan, Ho Fai/G-9541-2015</t>
  </si>
  <si>
    <t>Torgler, Benno/0000-0002-9809-963X; Rohde, Nicholas/0000-0002-4606-2624; Hunter, Shawn/0000-0002-6682-5502; Morgan, Peter/0000-0002-5973-5859; Chai, Aneas/0000-0003-0838-9324; Chan, Ho Fai/0000-0002-7281-5212</t>
  </si>
  <si>
    <t>Citi Foundation; Asian Development Bank Institute</t>
  </si>
  <si>
    <t>This research was made possible through financial support provided by the Citi Foundation and the Asian Development Bank Institute. Data collected as part of this research is proprietary.</t>
  </si>
  <si>
    <t>10.1080/00036846.2024.2393900</t>
  </si>
  <si>
    <t>8HE2W</t>
  </si>
  <si>
    <t>WOS:001298434900001</t>
  </si>
  <si>
    <t>Islam, MA; Uddin, MS; Ahmed, Z</t>
  </si>
  <si>
    <t>Islam, Md Amirul; Uddin, Muhammad Salah; Ahmed, Zobayer</t>
  </si>
  <si>
    <t>The Role of Islamic Microfinance in Empowering Women and Enhancing Entrepreneurial Success</t>
  </si>
  <si>
    <t>adoption; Islamic microfinance; innovation and diffusion theory; theory of planned behavior; women entrepreneurs</t>
  </si>
  <si>
    <t>KNOWLEDGE MANAGEMENT; ADOPTION; CUSTOMERS; INTENTION</t>
  </si>
  <si>
    <t>Women's financial inclusion and entrepreneurial aspirations are central to achieving sustainable and balanced economic development. Therefore, in this study we examine how knowledge (KN), subjective norms (SN), attitude (ATT), perceived complexity (PC), and relative advantage (RA) influence the adoption of Islamic microfinance (AIM) through mediating factor social system norms (SSN). Using the structural equation model (SEM) via SmartPLS, we evaluated eleven hypotheses, with primary data collected from 384 female entrepreneurs. Using innovation diffusion theory (IDT) and theory of planned behavior (TPB), the study finds that KN, SN, and RA significantly and directly affect the social system norms. In addition, KN, SN, RA, and SSN substantially contribute to AIM. The effect of KN and SN on AIM is substantial and is mediated through SSN. By screening how social construction significantly influences women's microfinance borrowing behavior, we add to the standing body of literature on Islamic finance. It delivers practical insights for policymakers and microfinance organizations on how to raise consciousness, implement policies that improve social acceptance, and disseminate information to improve women's access to Islamic microfinance.</t>
  </si>
  <si>
    <t>[Islam, Md Amirul] Karabuk Univ, Dept Ind Engn, Karabuk, Turkiye; [Uddin, Muhammad Salah] Sakarya Appl Sci Univ, Sakarya, Turkiye; [Ahmed, Zobayer] Bangladesh Inst Governance &amp; Management BIGM, Dhaka, Bangladesh</t>
  </si>
  <si>
    <t>Karabuk University</t>
  </si>
  <si>
    <t>Uddin, MS (corresponding author), Sakarya Appl Sci Univ, Sakarya, Turkiye.</t>
  </si>
  <si>
    <t>amirulmiu@gmail.com; salahuddindu2004@gmail.com; ecozobayer@gmail.com</t>
  </si>
  <si>
    <t>Ahmed, Zobayer/ABF-6585-2020; Salah Uddin, Muhammad/HTR-7526-2023; ISLAM, Dr. MD AMIRUL/GYR-3107-2022</t>
  </si>
  <si>
    <t>AZIZ MAHMUT HUDAYI MAH TURBE KAPISI SOK NO 13 USKUDAR, ISTANBUL, 00000, Turkiye</t>
  </si>
  <si>
    <t>2587-232X</t>
  </si>
  <si>
    <t>10.26414/A539</t>
  </si>
  <si>
    <t>9QC0W</t>
  </si>
  <si>
    <t>WOS:001612336200001</t>
  </si>
  <si>
    <t>Sukmana, R; Taqwa, KZ</t>
  </si>
  <si>
    <t>Sukmana, Raditya; Taqwa, Khoirul Zadid</t>
  </si>
  <si>
    <t>DEVELOPING PROGRAMS BASED ON MAQASID SHARIA BY ISLAMIC MICROFINANCE INSTITUTION TO SUPPORT FINANCIAL INCLUSION</t>
  </si>
  <si>
    <t>2ND INTERNATIONAL CONFERENCE ON EDUCATION AND SOCIAL SCIENCES (INTCESS'15)</t>
  </si>
  <si>
    <t>2nd International Conference on Education and Social Sciences (INTCESS)</t>
  </si>
  <si>
    <t>FEB 02-04, 2015</t>
  </si>
  <si>
    <t>Int Org Ctr Acad Res</t>
  </si>
  <si>
    <t>Islamic Microfinance Institution; Maqasid Sharia; and Financing Program</t>
  </si>
  <si>
    <t>Islamic Microfinance has been put in greater attention nowdays. Not only developing countries have developed this institution but developed countries also have developed Islamic Microfinance institution. Many studies shows the important role of Islamic microfinance in alleviating poverty. There are many financing programs by Islamic microfinance institution has successfully change the life of poor people. In fact, the Islamic financing program is more inclusive than conventional microfinance. Even the world Islamic microfinance institution growth is untrammeled. However the existing financing program created mainly focus on the economic aspect and less on other aspect such as education, health and others. This program doesn't have sustainability for long term growth. Indeed, the Islamic microfinance has to provide world welfare and hereafter welfare. Hence, this paper aims to propose a financing program which is based on maqasid sharia. The five elements in maqasid sharia such as safeguarding of faith, human self, intellect, posterity, and wealth are transformed into programs by Islamic microfinance institution. The program put attention on the halaqah concept to implement those five elements. The halaqah is intensive small group discussion which can optimize five elements in maqashid sharia. Besides, halaqah is more intensive program than community banking. It shows that halaqah program is more inclusive than other Islamic microfinance program. For the example of proposed programs are discussing the administration process during the halaqah is fulfilling the elements of wealth in the maqasid sharia. It is expected that with this proposed program the prosperity in this world and hereafter can be obtained</t>
  </si>
  <si>
    <t>[Sukmana, Raditya; Taqwa, Khoirul Zadid] Univ Airlangga, Surabaya, Indonesia</t>
  </si>
  <si>
    <t>Airlangga University</t>
  </si>
  <si>
    <t>Sukmana, R (corresponding author), Univ Airlangga, Surabaya, Indonesia.</t>
  </si>
  <si>
    <t>momyadit@gmail.com; zadidtaqwa@gmail.com</t>
  </si>
  <si>
    <t>Sukmana, Raditya/AER-6387-2022</t>
  </si>
  <si>
    <t>978-605-64453-2-3</t>
  </si>
  <si>
    <t>BE2LY</t>
  </si>
  <si>
    <t>WOS:000369591700102</t>
  </si>
  <si>
    <t>Shuaibu, BL; Muneeza, A</t>
  </si>
  <si>
    <t>Shuaibu, Bilkis Lawal; Muneeza, Aishath</t>
  </si>
  <si>
    <t>Operational and regulatory dynamics of Islamic microfinance in Nigeria: a qualitative analysis of women's involvement and challenges</t>
  </si>
  <si>
    <t>Financial inclusion; Women empowerment; Islamic microfinance; Poverty; Regulatory challenges; Social development; SDG1; SDG5; G21; G28; J16; O55; P43</t>
  </si>
  <si>
    <t>EMPOWERMENT; IMPACT</t>
  </si>
  <si>
    <t>PurposeAs financial inclusion becomes increasingly important - particularly for women often impoverished in many countries - this study aims to examine a specific tool for promoting financial inclusion: Islamic microfinance (IsMF). It explores the regulatory and operational dynamics of Islamic finance institutions in Nigeria and examines the role of women as stakeholders in this process.Design/methodology/approachThe study uses a qualitative analysis. Semi-structured interviews were conducted, and responses were analysed via the content analysis technique.FindingsThe findings of this study prove to be relevant to both the literature and the practice of IsMF, especially in Nigeria. The findings reveal several regulatory challenges that existing institutions face, specifically sufficient capital and an absence of a favourable environment. In addition, while there is a notable emphasis on women's involvement within IsMFIs, female entrepreneurs still encounter barriers to accessing their services.Research limitations/implicationsThe limitations of this study are due to its qualitative nature, which takes into consideration a limited number of responses.Practical implicationsThe findings provide suggestions on how both policymakers and industry practitioners can enhance their services/policies to better increase the participation of women in IsMF.Social implicationsImproving women's participation in finance has implications in promoting their economic and social development and empowerment.Originality/valueWhile IsMF has been explored in various global contexts, much of the existing literature focuses on regions like South and Southeast Asia. Fewer studies have addressed this issue within the African context, and even fewer comprehensively analyse the role of women in these institutions. In addition, studies on IsMF in Nigeria have not explored all existing institutions, leaving a gap in the understanding of the full landscape.</t>
  </si>
  <si>
    <t>[Shuaibu, Bilkis Lawal; Muneeza, Aishath] Int Ctr Educ Islamic Finance INCEIF, Kuala Lumpur, Malaysia</t>
  </si>
  <si>
    <t>INCEIF</t>
  </si>
  <si>
    <t>Shuaibu, BL (corresponding author), Int Ctr Educ Islamic Finance INCEIF, Kuala Lumpur, Malaysia.</t>
  </si>
  <si>
    <t>Bilkisshuaib22@gmail.com</t>
  </si>
  <si>
    <t>Muneeza, Aishath/GLS-3230-2022</t>
  </si>
  <si>
    <t>2025 OCT 1</t>
  </si>
  <si>
    <t>10.1108/QRFM-11-2024-0330</t>
  </si>
  <si>
    <t>8AO4C</t>
  </si>
  <si>
    <t>WOS:001584075600001</t>
  </si>
  <si>
    <t>Fan, L</t>
  </si>
  <si>
    <t>Fan, Lu</t>
  </si>
  <si>
    <t>Mobile investment technology adoption among investors</t>
  </si>
  <si>
    <t>Mobile investing; Mobile trading; FinTech; Investment knowledge; Risk tolerance; Investment confidence</t>
  </si>
  <si>
    <t>FINANCIAL LITERACY; INTERNET BANKING; RISK; TRUST; PERSPECTIVE; INTENTION; CONFIDENCE; GENDER</t>
  </si>
  <si>
    <t>Purpose The purpose of this study is to examine investors' internal characteristics, including investment literacy, risk tolerance and familiarity with mobile financial services, as antecedents of mobile investment technology adoption among American investors. Design/methodology/approach Using the 2018 National Financial Capability Study and its supplemental Investor Survey, this study examined antecedents, including investors' internal characteristics, in relation to mobile investment technology adoption. Nested logistic regression analyses were performed for adopting mobile apps for investment decisions and for investment trading. Findings This study found that objective and subjective investment knowledge, experience using mobile banking for payments and money transfers, and certain ownerships of investment vehicles (such as whole-life insurance policies and ETFs) were significant determinants of mobile investment decision-making. On the other hand, subjective investment literacy, risk tolerance, familiarity with mobile financial services, and portfolio value, as well as certain types of investment vehicles were significantly associated with mobile investment trading. Originality/value This study is among the first to examine investors' investment literacy, risk tolerance and familiarity with mobile financial services as investors' internal characteristics in relation to mobile investment technology adoption. The diffusion of innovations theory and related concepts provide theoretical support for this study. The findings provide new insights into mobile investing as an emerging FinTech subject and provide implications for practitioners and FinTech developers, as well as contribute to the literature of mobile investment service adoption among retail investors.</t>
  </si>
  <si>
    <t>[Fan, Lu] Univ Missouri, Personal Financial Planning, Columbia, MO 65201 USA</t>
  </si>
  <si>
    <t>University of Missouri System; University of Missouri Columbia</t>
  </si>
  <si>
    <t>Fan, L (corresponding author), Univ Missouri, Personal Financial Planning, Columbia, MO 65201 USA.</t>
  </si>
  <si>
    <t>fanlu@missouri.edu</t>
  </si>
  <si>
    <t>Fan, Lu/ABH-4790-2020</t>
  </si>
  <si>
    <t>10.1108/IJBM-11-2020-0551</t>
  </si>
  <si>
    <t>YP9FR</t>
  </si>
  <si>
    <t>WOS:000694802400001</t>
  </si>
  <si>
    <t>Schwarcz, SL</t>
  </si>
  <si>
    <t>Schwarcz, Steven L.</t>
  </si>
  <si>
    <t>REGULATING DIGITAL CURRENCIES: TOWARDS AN ANALYTICAL FRAMEWORK</t>
  </si>
  <si>
    <t>BOSTON UNIVERSITY LAW REVIEW</t>
  </si>
  <si>
    <t>Digital currencies have the potential to improve the speed and efficiency of payments and to broaden financial inclusion. The principal goal is to facilitate payments among consumers on a day-to-day basis as an alternative to cash, both domestically and across national borders. This Article begins by critically examining and critiquing the ongoing progress of trying to develop retail digital currencies, focusing on the two most feasible approaches: central bank digital currencies (CBDC), and privately issued currencies that are backed by assets having intrinsic value (stablecoins). The Article then analyzes how these digital currencies should be regulated and supervised, exploring their similarities and differences. Both CBDC and stablecoins raise innovative legal issues as well as the types of legal issues normally associated with money and payment systems, although in novel contexts. If widely used, stablecoins could also impair central banks' abilities to control monetary policy and possibly undermine confidence in the value or operational continuity of currencies, which could threaten international monetary and financial stability. Stablecoin regulation must also address those potential threats.</t>
  </si>
  <si>
    <t>[Schwarcz, Steven L.] Duke Univ, Sch Law, Law &amp; Business, Durham, NC 27706 USA; [Schwarcz, Steven L.] Ctr Int Governance Innovat CIGI, Waterloo, ON, Canada; [Schwarcz, Steven L.] Univ Leeds, Sch Law, Leeds, W Yorkshire, England</t>
  </si>
  <si>
    <t>Duke University; University of Leeds</t>
  </si>
  <si>
    <t>Schwarcz, SL (corresponding author), Duke Univ, Sch Law, Law &amp; Business, Durham, NC 27706 USA.;Schwarcz, SL (corresponding author), Ctr Int Governance Innovat CIGI, Waterloo, ON, Canada.;Schwarcz, SL (corresponding author), Univ Leeds, Sch Law, Leeds, W Yorkshire, England.</t>
  </si>
  <si>
    <t>BOSTON UNIV LAW REVIEW</t>
  </si>
  <si>
    <t>BOSTON</t>
  </si>
  <si>
    <t>765 COMMONWEALTH AVE, BOSTON, MA 02215 USA</t>
  </si>
  <si>
    <t>0006-8047</t>
  </si>
  <si>
    <t>BOSTON U LAW REV</t>
  </si>
  <si>
    <t>Boston Univ. Law Rev.</t>
  </si>
  <si>
    <t>0W4ZM</t>
  </si>
  <si>
    <t>WOS:000789036800005</t>
  </si>
  <si>
    <t>Eichelberger, B; Mattioli, H; Foxhoven, R</t>
  </si>
  <si>
    <t>Eichelberger, Brenda; Mattioli, Heather; Foxhoven, Rachel</t>
  </si>
  <si>
    <t>Uncovering Barriers to Financial Capability: Underrepresented Students' Access to Financial Resources</t>
  </si>
  <si>
    <t>JOURNAL OF STUDENT FINANCIAL AID</t>
  </si>
  <si>
    <t>financial capability; student debt; underrepresented minorities; financial aid</t>
  </si>
  <si>
    <t>Financial aid is designed to increase access to postsecondary education at all socioeconomic levels; however, college students are not always knowledgeable about personal finances or capable of making sound decisions regarding complex college and program choices, debt options, and long-term spending. This article reviews previous research on the need for financial literacy training among underrepresented students and the barriers caused by inadequate access to financial services and information. Studies reviewed explore (a) the abilities of underrepresented students to make informed financial decisions; (b) the disadvantages faced by minority and first-generation students compared to their more advantaged peers; and (c) the need for cross-campus collaboration when developing a multipronged informational access system to overcome existing cultural biases. We used survey data, focus-group information, and personal interviews to determine current barriers impacting access to financial information and define the best practices leading to financial capability, as identified by faculty and staff working directly with underrepresented students. Barriers denying access to financial information include students' lack of financial literacy, lack of trust in resources and services, and lack of reliable online resources. Best practices include workshops, online informational resource pages, and one-on-one advising. We describe the unique barriers faced by students who self-identified with one of nine specific student resource cultural centers on campus serving underrepresented minorities, women, LBGTQ+, students with disabilities, veterans, and others. Our results suggest that with an increasingly diverse student body, it is critical to student success that all university faculty and staff nationwide increase awareness and support of financial issues impacting underrepresented populations.</t>
  </si>
  <si>
    <t>[Eichelberger, Brenda] Portland State Univ, Portland, OR 97207 USA; [Mattioli, Heather] Portland State Univ, Financial Aid &amp; Scholarships, Portland, OR 97207 USA; [Foxhoven, Rachel] Portland State Univ, Grad Sch Business, Global Initiat, Portland, OR 97207 USA</t>
  </si>
  <si>
    <t>Portland State University; Portland State University; Portland State University</t>
  </si>
  <si>
    <t>Eichelberger, B (corresponding author), Portland State Univ, Portland, OR 97207 USA.</t>
  </si>
  <si>
    <t>brendae@pdx.edu; mattioli@pdx.edu; foxhoven@pdx.edu</t>
  </si>
  <si>
    <t>NATL ASSOC STUDENT FINANCIAL AID ADMIN</t>
  </si>
  <si>
    <t>1101 CONNECTICUT AVE N W, STE 1100, WASHINGTON, DC 20036 USA</t>
  </si>
  <si>
    <t>0884-9153</t>
  </si>
  <si>
    <t>J STUD FINANC AID</t>
  </si>
  <si>
    <t>J. Stud. Financ. Aid</t>
  </si>
  <si>
    <t>FR0QF</t>
  </si>
  <si>
    <t>WOS:000418767300005</t>
  </si>
  <si>
    <t>Green, WN</t>
  </si>
  <si>
    <t>Green, W. Nathan</t>
  </si>
  <si>
    <t>Financial Inclusion or Subordination? The Monetary Politics of Debt in Cambodia</t>
  </si>
  <si>
    <t>ANTIPODE</t>
  </si>
  <si>
    <t>financial subordination; monetary policy; financial inclusion; debt; Cambodia</t>
  </si>
  <si>
    <t>MICROFINANCE; GEOGRAPHY; LAND</t>
  </si>
  <si>
    <t>Financial inclusion is a leading driver of household debt across the global South. Although critical geographers have analysed this debt through the lens of financialisation, few have examined it in terms of monetary politics. This is a salient issue, because poorer nations often have limited control over their monetary policy due to their dependence on foreign currencies, which can adversely affect the structure of their financial markets. Building on the concept of monetary dependency from scholarship on financial subordination, I analyse the monetary politics of debt in Cambodia. Drawing on elite interviews and ethnographic research, I argue that Cambodia's extreme monetary dependence on the US dollar has shaped monetary and fiscal policies that compel poorer households to take on private debt to pay for their basic needs. This paper advances critical geographies of debt and development by studying financial subordination and its impact on financial inclusion in the global South.</t>
  </si>
  <si>
    <t>[Green, W. Nathan] Natl Univ Singapore, Dept Geog, Singapore, Singapore</t>
  </si>
  <si>
    <t>Green, WN (corresponding author), Natl Univ Singapore, Dept Geog, Singapore, Singapore.</t>
  </si>
  <si>
    <t>geowng@nus.edu.sg</t>
  </si>
  <si>
    <t>Green, W Nathan/AAU-6799-2020</t>
  </si>
  <si>
    <t>Green, W Nathan/0000-0002-0498-5623</t>
  </si>
  <si>
    <t>National University of Singapore [A-0003620-00-00]</t>
  </si>
  <si>
    <t>National University of Singapore(National University of Singapore)</t>
  </si>
  <si>
    <t>The research for this paper was funded by a faculty start-up grant at the National University of Singapore (A-0003620-00-00). Many thanks to San Sophany, Chhom Theavy, and Sean Chanmony, who provided invaluable assistance for this research during the Covid-19 pandemic. I also wish to thank Jennifer Estes and Andrew Crawford, as well as the editor Stefan Ouma and three anonymous reviewers, for their helpful suggestions on earlier drafts of this paper.</t>
  </si>
  <si>
    <t>0066-4812</t>
  </si>
  <si>
    <t>1467-8330</t>
  </si>
  <si>
    <t>Antipode</t>
  </si>
  <si>
    <t>10.1111/anti.12920</t>
  </si>
  <si>
    <t>I1SB2</t>
  </si>
  <si>
    <t>WOS:000915408300001</t>
  </si>
  <si>
    <t>Ramos, D; Solana, J; Buckley, RP; Greenacre, J</t>
  </si>
  <si>
    <t>Ramos, David; Solana, Javier; Buckley, Ross P.; Greenacre, Jonathan</t>
  </si>
  <si>
    <t>PROTECTING MOBILE MONEY CUSTOMER FUNDS IN CIVIL LAW JURISDICTIONS</t>
  </si>
  <si>
    <t>INTERNATIONAL &amp; COMPARATIVE LAW QUARTERLY</t>
  </si>
  <si>
    <t>digital financial services; fiduciary; funds protection; mandate; mobile money; trusts</t>
  </si>
  <si>
    <t>CONTRACTS; LIMITS</t>
  </si>
  <si>
    <t>The provision of financial services through mobile phones is a powerful tool to foster financial inclusion, and thus economic growth, in developing countries. However, it raises important regulatory issues. Given the vulnerability of most potential customers of these services, the protection of customer funds is important. In common law countries, trust accounts are an effective response to these concerns. In civil law jurisdictions however, in the absence of trusts, protection of customer funds is more difficult. This paper identifies the theoretical and practical problems that regulators in civil law jurisdictions might face when trying to protect customer funds and explores how fiduciary contracts, mandate contracts and direct regulation might be used to achieve this goal. It offers a series of practical recommendations for policymakers in developing countries that provide a range of regulatory options that combine private law and regulation.</t>
  </si>
  <si>
    <t>[Ramos, David] Univ Carlos III Madrid, Commercial Law, E-28903 Getafe, Spain; [Solana, Javier; Greenacre, Jonathan] Univ Oxford, Law, Oxford OX1 2JD, England; [Buckley, Ross P.] UNSW Australia, Int Finance Law, Melbourne, Vic, Australia; [Buckley, Ross P.] UNSW Australia, Ctr Law Markets &amp; Regulat, Melbourne, Vic, Australia</t>
  </si>
  <si>
    <t>Universidad Carlos III de Madrid; University of Oxford; University of New South Wales Sydney; University of New South Wales Sydney</t>
  </si>
  <si>
    <t>Ramos, D (corresponding author), Univ Carlos III Madrid, Commercial Law, E-28903 Getafe, Spain.</t>
  </si>
  <si>
    <t>dramos@der-pr.uc3m.es; javier.solana@law.ox.ac.uk; ross.buckley@unsw.edu.au; j.greenacre@oxfordbusinessalumni.org</t>
  </si>
  <si>
    <t>; Muñoz, David/AAD-9726-2020</t>
  </si>
  <si>
    <t>Solana, Javier/0000-0002-4120-2368; buckley, ross/0000-0003-4522-0210;</t>
  </si>
  <si>
    <t>0020-5893</t>
  </si>
  <si>
    <t>1471-6895</t>
  </si>
  <si>
    <t>INT COMP LAW Q</t>
  </si>
  <si>
    <t>Int. Comp. Law Quart.</t>
  </si>
  <si>
    <t>10.1017/S0020589316000142</t>
  </si>
  <si>
    <t>DY0XS</t>
  </si>
  <si>
    <t>WOS:000384820100007</t>
  </si>
  <si>
    <t>Swamy, V</t>
  </si>
  <si>
    <t>Swamy, Vighneswara</t>
  </si>
  <si>
    <t>Financial Inclusion, Gender Dimension, and Economic Impact on Poor Households</t>
  </si>
  <si>
    <t>financial inclusion; program evaluation; panel data; government policy and regulation; economic development and financial markets; institutions and growth</t>
  </si>
  <si>
    <t>CREDIT PROGRAMS; MICROFINANCE; INEQUALITY; EMPOWERMENT; INDONESIA; POVERTY; LOOKING; GROWTH; ACCESS; WOMEN</t>
  </si>
  <si>
    <t>We examine the question: In the context of gender dimension what is the evidence of the impact of the financial inclusion programs on poor households represented by women relative to that represented by men? By constructing a good counterfactual and comparison group, we employ the difference-in-difference estimator approach with Panel Least Squares and Generalized Methods of. Moments using standard errors for a robust analysis. We notice that income growth (CAGR) net of inflation effect was 8.40% for women as against 3.97% for men, indicating that the gender of participating poor undoubtedly affects the outcomes of these programs. (C) 2013 Elsevier Ltd. All rights reserved.</t>
  </si>
  <si>
    <t>IBS Hyderabad, Hyderabad, Andhra Pradesh, India</t>
  </si>
  <si>
    <t>Swamy, V (corresponding author), IBS Hyderabad, Hyderabad, Andhra Pradesh, India.</t>
  </si>
  <si>
    <t>Swamy, Vighneswara/AAA-9415-2020</t>
  </si>
  <si>
    <t>Swamy, Vighneswara/0000-0001-7287-4637</t>
  </si>
  <si>
    <t>10.1016/j.worlddev.2013.10.019</t>
  </si>
  <si>
    <t>300WZ</t>
  </si>
  <si>
    <t>WOS:000330496000001</t>
  </si>
  <si>
    <t>Hembruff, J; Soederberg, S</t>
  </si>
  <si>
    <t>Hembruff, Jesse; Soederberg, Susanne</t>
  </si>
  <si>
    <t>Debtfarism and the Violence of Financial Inclusion: The Case of the Payday Lending Industry</t>
  </si>
  <si>
    <t>financial inclusion; payday loans; microfinance; debtfare state; workfarism</t>
  </si>
  <si>
    <t>The official development literature is replete with studies about the alleged benefits of financial inclusion in reducing poverty in the global South. Few analyses have sought to critically explore advanced forms of financial inclusion in the global North, particularly with regard to the highly lucrative and controversial payday lending industry in the USA. This article fills this void by examining the political economic landscape of payday lending in Ohio. In contrast to the mainstream literature, our analysis suggests that the payday lending industry is not a natural feature of the market that has led to universal benefits for all. Instead, we argue that payday lending not only benefits private creditors at the expense of the working poor, but also that the latter have been made to rely on these expensive loans to meet basic subsistence needs largely through the structural violence of labor market restructuring and neoliberal forms of governance, such as workfarism and 'debtfarism.'</t>
  </si>
  <si>
    <t>[Hembruff, Jesse; Soederberg, Susanne] Queens Univ, Dept Polit Studies, Kingston, ON, Canada</t>
  </si>
  <si>
    <t>Hembruff, J (corresponding author), Queens Univ, Dept Polit Studies, Kingston, ON, Canada.</t>
  </si>
  <si>
    <t>jesse.hembruff@queensu.ca</t>
  </si>
  <si>
    <t>10.1080/07360932.2015.1056205</t>
  </si>
  <si>
    <t>WOS:000471816700004</t>
  </si>
  <si>
    <t>Diniz, EH; Sanches, BH; Pozzebon, M; Luvizan, S</t>
  </si>
  <si>
    <t>Diniz, Eduardo Henrique; Sanches, Bruno Henrique; Pozzebon, Marlei; Luvizan, Simone</t>
  </si>
  <si>
    <t>D O B LACK F INTECHS M ATTER ? T HE L ONG AND W INDING R OAD TO D EVELOP I NCLUSIVE A LGORITHMS FOR S OCIAL J USTICE 1</t>
  </si>
  <si>
    <t>Algorithm racial bias; Black-owned fintechs; social justice; tecnologia social (social technology); financial inclusion</t>
  </si>
  <si>
    <t>RACIAL BIAS; MACHINE; FINTECH; DISCRIMINATION; OPPORTUNITY; EQUALITY; JUSTICE; LOGICS; IMPACT</t>
  </si>
  <si>
    <t>Racism in the financial sector is a complex global phenomenon involving intertwined social, economic, and digital systems. Credit denial rates for Black applicants suggest that financial systems have assimilated racial discrimination into their algorithms and credit scoring tools. Considering that digital tools incorporate their developers' life experiences and perspectives, and in view of the low representation of the Black community in the digital startup universe, it is evident that even well-meaning fintechs are reproducing racial bias in their technology-intensive business models. In this paper, we investigate how three Black-owned Brazilian fintechs design and use inclusive algorithms to decrease persistent social injustice involving racial financial inclusion. We combine the concept of sociotechnical reconfiguration, taken from the South American tradition of  tecnologia social (social technology), with the three core concepts of Nancy Fraser's theory of social justice-representation, recognition, and redistribution-to analyze the process by which Black-owned fintechs develop their particular solutions for combating racial bias. We found that pressured by the need to be profitable, the lack of capital to develop their own credit scoring tools, and the low profile maintained by the Black community ecosystem, Black-owned fintechs focus on a sort of affirmative experimentation to gradually create original digital solutions aimed at achieving social justice in the financial system.</t>
  </si>
  <si>
    <t>[Diniz, Eduardo Henrique; Sanches, Bruno Henrique; Pozzebon, Marlei; Luvizan, Simone] FGV EAESP, Dept Technol &amp; Data Sci, Sao Paulo, Brazil; [Diniz, Eduardo Henrique] Coppead UFRJ, Rio De Janeiro, Brazil; [Pozzebon, Marlei] HEC Montreal, Dept Int Business, Montreal, PQ, Canada</t>
  </si>
  <si>
    <t>Diniz, EH (corresponding author), FGV EAESP, Dept Technol &amp; Data Sci, Sao Paulo, Brazil.</t>
  </si>
  <si>
    <t>eduardo.diniz@fgv.br; bruno.sanches@fgv.edu.br; marlei.pozzebon@hec.ca; sluvizan@octua.com.br</t>
  </si>
  <si>
    <t>Sanches, Bruno/LUY-1838-2024; POZZEBON, MARLEI/MXM-3035-2025</t>
  </si>
  <si>
    <t>Sanches, Bruno/0000-0002-4448-8920; Pozzebon, Marlei/0000-0001-5380-908X; Luvizan, Simone/0000-0001-5955-8584; Diniz, Eduardo H/0000-0002-7950-9146</t>
  </si>
  <si>
    <t>10.25300/MISQ/2024/18288</t>
  </si>
  <si>
    <t>WOS:001411539400018</t>
  </si>
  <si>
    <t>Chhillar, N; Arora, S</t>
  </si>
  <si>
    <t>Chhillar, Neetu; Arora, Swaranjeet</t>
  </si>
  <si>
    <t>Financial Awareness among Women in Delhi NCR: A Comparative Study</t>
  </si>
  <si>
    <t>Basic financial literacy; effective policy making; demographic factor; socio-economic factors; education level</t>
  </si>
  <si>
    <t>Gender Equality in recognized as one of the economic objective of all the nations around the world. In spite of various measures taken to ensure financial inclusion globally, it has been found that women are still unable to access the formal financial system (World Bank, 2015). Financial inclusion aims at making easy access of financial services to all sections of the society including the underprivileged. For financial inclusion to take place the pre requirement is that people should have basic understanding of the financial concepts like budgeting, interest rates, time value of money, inflation, debit-credit, money management, investment, banking products, risk-return, etc. Low levels of basic financial understanding leads to ineffectiveness and inefficiencies in making economic decision. Demographic factor, socio-economic factors, education level, workplace activity, etc. are related to individual's level of financial awareness. Understanding the intensity of the impact of such factors on their basic financial understanding level among different categories of people is essential for effective policy making that aims at achieving financial well-being of all people including the underprivileged. Hence the current study aims at exploring basic financial literacy level among females in Delhi NCR. The online survey was carried out with questionnaire as the research instrument on a sample of people from Delhi NCR region using convenience sampling technique. The collected data was analyzed using Non-Parametric test of independent samples Kruskal-Wallis test and Mann-Whitney U test. The study identified that there is a significant difference in the basic financial awareness among different age groups and employment status among the women in Delhi NCR. But the difference in the basic financial awareness among different education level among the women was insignificant in Delhi NCR.</t>
  </si>
  <si>
    <t>[Chhillar, Neetu; Arora, Swaranjeet] NorthCap Univ, Gurugram, India</t>
  </si>
  <si>
    <t>The Northcap University</t>
  </si>
  <si>
    <t>Chhillar, N (corresponding author), NorthCap Univ, Gurugram, India.</t>
  </si>
  <si>
    <t>Chhillar, Neetu/GLR-2379-2022; arora, swaranjeet/ABH-6222-2020</t>
  </si>
  <si>
    <t>WZ3BF</t>
  </si>
  <si>
    <t>WOS:000719845200014</t>
  </si>
  <si>
    <t>Engel, S; Pedersen, D</t>
  </si>
  <si>
    <t>Engel, Susan; Pedersen, David</t>
  </si>
  <si>
    <t>Microfinance as poverty-shame debt</t>
  </si>
  <si>
    <t>EMOTIONS AND SOCIETY</t>
  </si>
  <si>
    <t>microfinance; emotions; shame; debt; psychosocial wellbeing</t>
  </si>
  <si>
    <t>MICRO-CREDIT; ANDHRA-PRADESH; EMOTIONS; VIOLENCE; CRISIS; HEALTH</t>
  </si>
  <si>
    <t>In an excellent anthropological study of microfinance in Bangladesh, Karim (2008: xviii) argues that it operates as `an economy of shame'. That is to say, microfinance is not the benign tool for financial inclusion and empowerment that mainstream development organisations proclaim. Rather, it unintentionally (perhaps) but nevertheless actively deploys shaming techniques in order to maximise loan repayment rates. Karim, however, does not employ an explicit analysis of shame; instead she emphasises its disciplining power for rural women in Bangladesh. Our article builds on this insight but applies a specific psychosocial approach to shame that critically examines a number of the emotion's harmful practices and outcomes, especially when deployed within microfinance practice. It highlights that microfinance personalises and socialises people's debt relations, making them a matter for group concern, but that at the same time money-debt's impersonalising nature results in coercive and disciplinary actions that would otherwise be seen as intolerable. We demonstrate how the active shaming of microfinance participants all too often degenerates into human rights abuses, including violence. The shame of debt and the active shaming that facilitates microfinance's high repayment rates harms the psychosocial wellbeing of those being shamed as well as their families, and can be linked to a range of concerning outcomes including self-harm and suicide. To conclude, we explore whether the coercion by shame and shaming of microfinance may be linked to its growing use in other areas of development programming.</t>
  </si>
  <si>
    <t>[Engel, Susan; Pedersen, David] Univ Wollongong, Wollongong, NSW, Australia</t>
  </si>
  <si>
    <t>University of Wollongong</t>
  </si>
  <si>
    <t>Engel, S (corresponding author), Univ Wollongong, Wollongong, NSW, Australia.</t>
  </si>
  <si>
    <t>sengel@uow.edu.au; pdavid@uow.edu.au</t>
  </si>
  <si>
    <t>Engel, Susan/AEX-9394-2022</t>
  </si>
  <si>
    <t>Engel, Susan/0000-0002-4184-6139</t>
  </si>
  <si>
    <t>2631-6897</t>
  </si>
  <si>
    <t>2631-6900</t>
  </si>
  <si>
    <t>EMOTION SOC</t>
  </si>
  <si>
    <t>Emotions Soc.</t>
  </si>
  <si>
    <t>10.1332/263168919X15653391247919</t>
  </si>
  <si>
    <t>VL0ZZ</t>
  </si>
  <si>
    <t>WOS:000788484100004</t>
  </si>
  <si>
    <t>Mukendi, S; Manda, S</t>
  </si>
  <si>
    <t>Mukendi, Suzan; Manda, Simon</t>
  </si>
  <si>
    <t>Micro-financial institutions and processes of women empowerment in Zambia</t>
  </si>
  <si>
    <t>Financial inclusion; Livelihood pathways; Women empowerment; Microfinance; Zambia</t>
  </si>
  <si>
    <t>MICROFINANCE INSTITUTIONS; PERFORMANCE; OUTREACH</t>
  </si>
  <si>
    <t>This study explores microfinancial institutions (MFIs) and processes that shape (dis)empowerment among women operating in informal business settings in Zambia, drawing from a schema that integrates multidimensional, multi-level, and dynamic understandings of livelihoods specifically how MFIs shape prospects of 'stepping-up,' 'stepping-out,' or 'hanging-out.' We used questionnaires group discussions, and multi-level interviews to draw lessons from women linked to the main branch of Vision Fund Zambia. We explored policy and institutional processes shaping micro-finance, processes of inclusion or exclusion, and implications for livelihood pathways as indicators of empowerment. Results show MFIs enhance social networks and connections between and among women beneficiaries, facilitating cooperation, access to additional finance, exchange of information, and innovation among group members (stepping up). Access to financial capital (loans) improved livelihood activities, permitting investments into immediate business activities as well as wider investments into agriculture (stepping out) but these remain minimal and unsustainable. Meanwhile, we find a general lack of business knowledge and financial management skills among beneficiaries, limiting the extent to which access to finance can lead to sustained transformative changes across beneficiary groups. Whereas coordination mechanisms and processes of inclusion and exclusion processes exist, policy and institutional processes themselves remain vague about micro-level processes for accessing finance and empowerment. As a result, most beneficiaries were merely hanging in, trapped in the financial arrangement and debt. An argument is made that rather than frame empowerment of marginalized groups as apolitical, and primarily within financial capital lens - which we acknowledge remains important - MFIs should consider multi-dimensional elements that altogether shape effective forms of livelihoods and women empowerment.</t>
  </si>
  <si>
    <t>[Mukendi, Suzan] Univ Zambia, Grad Sch Business, Lusaka, Zambia; [Manda, Simon] Univ Zambia, Dept Dev Studies, Lusaka, Zambia</t>
  </si>
  <si>
    <t>Manda, S (corresponding author), Univ Zambia, Dept Dev Studies, Lusaka, Zambia.</t>
  </si>
  <si>
    <t>Manda, Simon/0000-0001-6064-114X</t>
  </si>
  <si>
    <t>10.1016/j.wdp.2022.100466</t>
  </si>
  <si>
    <t>5U6ZC</t>
  </si>
  <si>
    <t>WOS:000876691900004</t>
  </si>
  <si>
    <t>Ma, Q; Li, S; Aslam, M; Ali, N; Alamri, AM</t>
  </si>
  <si>
    <t>Ma, Qiang; Li, Sa; Aslam, Misbah; Ali, Naveed; Alamri, Ahmad Mohammed</t>
  </si>
  <si>
    <t>Extraction of natural resources and sustainable renewable energy: COP26 target in the context of financial inclusion</t>
  </si>
  <si>
    <t>RESOURCES POLICY</t>
  </si>
  <si>
    <t>Natural resources extraction; Sustainable renewable energy; COP26; Financial inclusion; MMQR; OECD</t>
  </si>
  <si>
    <t>UNIT-ROOT TESTS; ECONOMIC-GROWTH; PANEL-DATA; EMPIRICAL-ANALYSIS; CONSUMPTION; INNOVATION; REGRESSION; POVERTY; POWER; CONSTRAINTS</t>
  </si>
  <si>
    <t>Transitioning towards REC is essential to meet the COP26 net zero emissions target by 2050. In this perspective, FI is a necessary enabler of the REC transformation. The switching of Natural Resources industries to Sustainable Renewable Energy not only helps to attain the COP26 target but also helps the economy to achieve Sustainable Development Goals. To accomplish this objective, the current research investigates the influence of the Extraction of Natural Resources and financial inclusion in addition to the composite risk index and the development of environment-related innovation on renewable energy consumption by utilizing annual data of selected OECD countries from 2004 to 2020. Pesaran CD and Likelihood ratio test indicate cross-section dependence and heteroskedasticity among the chosen panel. All of the variables were found to have non-normal or nonparametric distributions by the normality tests, allowing this study to employ the novel method of moments quantile regression (MMQR). We used the PCA in two stages to calculate the multidimensional financial inclusion index. However, the impact of ENR is revealed to be positive and significant on REC throughout the chosen quantiles. The other three variables show a similar pattern. These findings are confirmed by quantile regression, which is found to be robust. This study recommends appropriate policies to decision-makers based on the empirical findings regarding the appropriate handling of natural resource rent, enhancement of financial inclusion, further development of eco-innovation, and improvement of composite risk index that would lead to the encouragement of Sustainable Renewable Energy.</t>
  </si>
  <si>
    <t>[Ma, Qiang; Li, Sa] Liaoning Petrochem Univ, Sch Econ &amp; Management, Fushun 113001, Peoples R China; [Aslam, Misbah] Int Islamic Univ, Int Inst Islamic Econ, Islamabad, Pakistan; [Ali, Naveed] Univ Swat, Dept Econ &amp; Dev Studies, Swat, Khyber Pakhtunk, Pakistan; [Alamri, Ahmad Mohammed] King Saud Univ, Community Coll, Accounting Adm Sci Dept, Riyadh, Saudi Arabia</t>
  </si>
  <si>
    <t>Liaoning Petrochemical University; International Islamic University, Pakistan; King Saud University</t>
  </si>
  <si>
    <t>Ma, Q (corresponding author), Liaoning Petrochem Univ, Sch Econ &amp; Management, Fushun 113001, Peoples R China.</t>
  </si>
  <si>
    <t>maqiang@lnpu.edu.cn</t>
  </si>
  <si>
    <t>; Alamri, Ahmad Mohammed/AAY-5169-2021</t>
  </si>
  <si>
    <t>Aslam, Misbah/0000-0003-1271-111X; Alamri, Ahmad Mohammed/0000-0002-0856-5001</t>
  </si>
  <si>
    <t>Liaoning Social Science Planning Fund Project ? [L21BJY031]</t>
  </si>
  <si>
    <t>Liaoning Social Science Planning Fund Project ?</t>
  </si>
  <si>
    <t>Liaoning Social Science Planning Fund Project ?Research on Mech- anism and path of digital development promoting carbon emissions reduction (grant number L21BJY031) ?.</t>
  </si>
  <si>
    <t>0301-4207</t>
  </si>
  <si>
    <t>1873-7641</t>
  </si>
  <si>
    <t>RESOUR POLICY</t>
  </si>
  <si>
    <t>Resour. Policy</t>
  </si>
  <si>
    <t>10.1016/j.resourpol.2023.103466</t>
  </si>
  <si>
    <t>D9OH7</t>
  </si>
  <si>
    <t>WOS:000971944300001</t>
  </si>
  <si>
    <t>Msulwa, B; Chamboko, R; Lee, C; Weideman, J; Nordin, K</t>
  </si>
  <si>
    <t>Msulwa, Baraka; Chamboko, Richard; Lee, Celina; Weideman, Jaco; Nordin, Krista</t>
  </si>
  <si>
    <t>The impact of formal financial services uptake on asset holdings in Kenya: Causal evidence from a propensity score- matching approach</t>
  </si>
  <si>
    <t>Financial inclusion; development; asset ownership; propensity score matching; multiple correspondence analysis</t>
  </si>
  <si>
    <t>SAVINGS; POOR; MICROFINANCE; POVERTY; BANKING; INDEX</t>
  </si>
  <si>
    <t>Literature on the impact of financial services on economic wellbeing has largely relied on findings from randomised control trials. Given the scarcity of such trials, this has led to gaps in the sector's understanding of financial inclusion as a development tool, hence a lack of consensus on whether financial inclusion as a strategy indeed leads to improved individual outcomes. To close this gap, this study employs the propensity score-matching technique on the 2016 FinAccess Kenya Household Survey dataset to estimate the average treatment effect of taking up financial services. Our findings suggest that individual take-up of savings, credit and insurance have positive effects on household economic welfare.</t>
  </si>
  <si>
    <t>[Msulwa, Baraka] Inclus Solut, Cape Town, South Africa; [Chamboko, Richard] Int Finance Corp, Washington, DC USA; [Chamboko, Richard] Univ Johannesburg, Inst Intelligent Syst, Johannesburg, South Africa; [Lee, Celina] ZINDI Cape Town, Cape Town, South Africa; [Weideman, Jaco] FinMar Trust, Grand Cent Off Pk, Johannesburg, South Africa; [Nordin, Krista] ClearCost Hlth, San Francisco, CA USA</t>
  </si>
  <si>
    <t>Msulwa, B (corresponding author), Inclus Solut, Cape Town, South Africa.</t>
  </si>
  <si>
    <t>baraka@inclusivitysolutions.com</t>
  </si>
  <si>
    <t>Msulwa, Baraka/LUZ-7260-2024; Chamboko, Richard/AAQ-4608-2021</t>
  </si>
  <si>
    <t>Bill &amp; Melinda Gates Foundation [OPP1114990]; MasterCard Foundation; Bill and Melinda Gates Foundation [OPP1114990] Funding Source: Bill and Melinda Gates Foundation</t>
  </si>
  <si>
    <t>Bill &amp; Melinda Gates Foundation(Bill &amp; Melinda Gates FoundationBill &amp; Melinda Gates Foundation Grand Challenges Explorations InitiativeCGIAR); MasterCard Foundation; Bill and Melinda Gates Foundation(Bill &amp; Melinda Gates Foundation)</t>
  </si>
  <si>
    <t>The work was supported by insight2impact, which is a resource centre that is funded by the Bill &amp; Melinda Gates Foundation [Grant number OPP1114990] in partnership with The MasterCard Foundation.</t>
  </si>
  <si>
    <t>TX8WV</t>
  </si>
  <si>
    <t>WOS:000683367800012</t>
  </si>
  <si>
    <t>Johnson, S; Krijtenburg, F</t>
  </si>
  <si>
    <t>Johnson, Susan; Krijtenburg, Froukje</t>
  </si>
  <si>
    <t>'Upliftment', friends and finance: everyday exchange repertoires and mobile money transfer in Kenya</t>
  </si>
  <si>
    <t>JOURNAL OF MODERN AFRICAN STUDIES</t>
  </si>
  <si>
    <t>NETWORKS</t>
  </si>
  <si>
    <t>The rapid and massive adoption of mobile money transfer (MMT) services in East Africa, particularly in Kenya, stands in stark contrast to historically low use of formal financial systems on the continent. Its fertile grounds' therefore require in-depth analysis to understand the implications for African financial systems. This paper argues for the need to examine the underlying conceptual environment that enables low income and poor people's MMT adoption. It innovatively combines anthropological with ethnolinguistic analytical approaches to distinguish two repertoires around resource exchange. First, is a relational financial repertoire where relationships are developed and consolidated to create support and upliftment'. A contrasting resource-focused repertoire is more like that of the formal financial sector. Identifying the conceptual features of relationality, the study offers a new perspective on the adoption and use of MMT in Africa and highlights the potential for disjunctures with policy efforts to increase financial inclusion.</t>
  </si>
  <si>
    <t>[Johnson, Susan] Univ Bath, Ctr Dev Studies, Bath BA2 7AY, Avon, England; [Krijtenburg, Froukje] Leiden Univ, African Studies Ctr, Leiden, Netherlands</t>
  </si>
  <si>
    <t>University of Bath; Leiden University; Leiden University - Excl LUMC</t>
  </si>
  <si>
    <t>The authors are grateful to the Financial Sector Deepening Trust, Kenya for funding this research. We are particularly indebted to those people and organisations who willingly contributed their experience and insights. We also thankfully acknowledge comments on previous drafts from James Copestake, Jason Hart, Amrik Heyer and Sibel Kusimba.</t>
  </si>
  <si>
    <t>32 AVENUE OF THE AMERICAS, NEW YORK, NY 10013-2473 USA</t>
  </si>
  <si>
    <t>0022-278X</t>
  </si>
  <si>
    <t>1469-7777</t>
  </si>
  <si>
    <t>J MOD AFR STUD</t>
  </si>
  <si>
    <t>J. Mod. Afr. Stud.</t>
  </si>
  <si>
    <t>10.1017/S0022278X18000435</t>
  </si>
  <si>
    <t>HB7VE</t>
  </si>
  <si>
    <t>WOS:000451288600002</t>
  </si>
  <si>
    <t>Hubbard, S</t>
  </si>
  <si>
    <t>Hubbard, Sean</t>
  </si>
  <si>
    <t>Improving Financial Inclusion Through Understanding the Credit Preferences of Immigrants</t>
  </si>
  <si>
    <t>JOURNAL OF IMMIGRANT &amp; REFUGEE STUDIES</t>
  </si>
  <si>
    <t>Financial inclusion; economics; informal lending; communal systems</t>
  </si>
  <si>
    <t>DISCRETE-CHOICE EXPERIMENTS; CONTINGENT VALUATION; PAYDAY LOAN; ECONOMICS; QUALITY; IMPACT; TIME</t>
  </si>
  <si>
    <t>Financial inclusion is one of the most critical factors to the long-term success of immigrants in a new country. Despite the known benefits of financial inclusion, how to increase financial inclusion remains one of the most challenging questions facing host countries. While significant efforts have been made by the government, private, and nonprofit sectors, immigrants remain significantly less likely than native-born persons to use mainstream financial services. This study combines interviews with a discrete choice experiment to examine the credit preferences of Cambodian immigrants. The results reveal that in this immigrant community, borrowers place a high value on nonmonetary factors such as approval requirements and trust. The results also suggest that immigrants may be using a poliheuristic two-stage rule wherein they first eliminate lenders whose approval requirements they are unlikely to satisfy and then choose between the remaining lenders based on other criteria such as price. These findings suggest that financial education and credit building at the community level may be the key to increasing financial inclusion rates in immigrant communities.</t>
  </si>
  <si>
    <t>[Hubbard, Sean] Univ North Texas, Hlth Sci Ctr, Ft Worth, TX 76107 USA</t>
  </si>
  <si>
    <t>University of North Texas System; University of North Texas Denton</t>
  </si>
  <si>
    <t>Hubbard, S (corresponding author), Univ North Texas, Hlth Sci Ctr, Ft Worth, TX 76107 USA.</t>
  </si>
  <si>
    <t>Sean.Hubbard@unthsc.edu</t>
  </si>
  <si>
    <t>Hubbard, Sean/0000-0002-1546-193X</t>
  </si>
  <si>
    <t>Sawtooth Software</t>
  </si>
  <si>
    <t>This study was made possible by an in-kind grant from Sawtooth Software.</t>
  </si>
  <si>
    <t>1556-2948</t>
  </si>
  <si>
    <t>1556-2956</t>
  </si>
  <si>
    <t>J IMMIGR REFUG STUD</t>
  </si>
  <si>
    <t>J. Immigr. Refug. Stud.</t>
  </si>
  <si>
    <t>2025 JAN 31</t>
  </si>
  <si>
    <t>10.1080/15562948.2025.2459257</t>
  </si>
  <si>
    <t>Demography; Ethnic Studies; Sociology</t>
  </si>
  <si>
    <t>1KP6P</t>
  </si>
  <si>
    <t>WOS:001467260200001</t>
  </si>
  <si>
    <t>Adeleke, R</t>
  </si>
  <si>
    <t>Adeleke, Richard</t>
  </si>
  <si>
    <t>Urban-rural differences in women's use of mobile money and the underlying determinants: Evidence from Nigeria Demographic and Health Survey</t>
  </si>
  <si>
    <t>Mobile money; Socio-economic; Enabling factors; Urban-rural; Nigeria</t>
  </si>
  <si>
    <t>Mobile money (MM) is pivotal to improving financial inclusion and socio-economic well-being. However, many women in developing countries are excluded from its use. While there are existing studies that have interrogated the predictors of MM use by women, the problem persists in most low-and-middle-income countries probably due to the scarcity of location specific interventions in addressing the low rates. Thus, this study examines the determinants of MM use by women at a local context disaggregated along national, rural, and urban scales in Nigeria to achieve effective policy formulation tailored towards the uniqueness of the different geographical locations. Drawing on the unified theory of acceptance and use of technology, this study provides evidence that MM use by women varies substantially between urban and rural areas and these disparities are driven by spatial differences in socio-economic, enabling, and contextual factors. The study recommends that policy makers need to address women's socio-economic problems from a spatial viewpoint to ensure that they fully benefit from the advantages of MM.</t>
  </si>
  <si>
    <t>[Adeleke, Richard] Univ Waterloo, Dept Geog &amp; Environm Management, Waterloo, ON, Canada</t>
  </si>
  <si>
    <t>University of Waterloo</t>
  </si>
  <si>
    <t>Adeleke, R (corresponding author), Univ Waterloo, Dept Geog &amp; Environm Management, Waterloo, ON, Canada.</t>
  </si>
  <si>
    <t>radeleke@uwaterloo.ca</t>
  </si>
  <si>
    <t>10.1016/j.wsif.2024.102919</t>
  </si>
  <si>
    <t>D2O4F</t>
  </si>
  <si>
    <t>WOS:001294630000001</t>
  </si>
  <si>
    <t>Hanson, TA; Byrd, AJ</t>
  </si>
  <si>
    <t>Hanson, Thomas A.; Byrd, Andrew J.</t>
  </si>
  <si>
    <t>Developing a Measure of Financial Privacy: A Pilot Study of U.S. College Students</t>
  </si>
  <si>
    <t>financial literacy; financial privacy; financial socialization; financial capability; communication privacy management</t>
  </si>
  <si>
    <t>FAMILY COMMUNICATION; LITERACY; SOCIALIZATION; ATTITUDES; EDUCATION; PERCEPTIONS; EXPERIENCES; KNOWLEDGE; BEHAVIOR; PARENTS</t>
  </si>
  <si>
    <t>This study applied communication privacy management (CPM) theory to develop a new measure of financial privacy, encompassing three dimensions of ownership, permeability, and linkages. The exploratory factor analysis was based on a pilot survey of 371 U.S. college students. The development of this scale was motivated by previous research establishing links between financial literacy, financial socialization, and family communication patterns to suggest the importance of understanding and measuring the role of communication and privacy in the transmission of financial knowledge. Therefore, correlations are also presented between the new measure of financial privacy and measures of financial knowledge, confidence, and experience. The financial privacy scale attained adequate validity and reliability to encourage further refinement and utilization in future theoretical and practical research related to family financial socialization.</t>
  </si>
  <si>
    <t>[Hanson, Thomas A.; Byrd, Andrew J.] Butler Univ, Lacy Sch Business, 4600 Sunset Ave, Indianapolis, IN 46208 USA</t>
  </si>
  <si>
    <t>Butler University</t>
  </si>
  <si>
    <t>Hanson, TA (corresponding author), Butler Univ, Lacy Sch Business, 4600 Sunset Ave, Indianapolis, IN 46208 USA.</t>
  </si>
  <si>
    <t>tahanson@butler.edu; ajbyrd1@butler.edu</t>
  </si>
  <si>
    <t>; Hanson, Thomas/J-6583-2019</t>
  </si>
  <si>
    <t>Byrd, Anew/0009-0003-9960-1286; Hanson, Thomas/0000-0001-9074-8829</t>
  </si>
  <si>
    <t>10.3390/ijfs12040116</t>
  </si>
  <si>
    <t>Q5A8Y</t>
  </si>
  <si>
    <t>WOS:001384816600001</t>
  </si>
  <si>
    <t>Chen, ZB; Jin, MC</t>
  </si>
  <si>
    <t>Chen, Zibei; Jin, Minchao</t>
  </si>
  <si>
    <t>Financial Inclusion in China: Use of Credit</t>
  </si>
  <si>
    <t>Access to credit; Formal credit; Financial inclusion; Chinese households</t>
  </si>
  <si>
    <t>BANKING SERVICES; ACCESS; MICROFINANCE; MEMBERSHIP</t>
  </si>
  <si>
    <t>Limited access to credit can cause financial vulnerability for a household and economic loss for a country. Previous studies have shown that only small portions of the population in developing countries had access to formal credit, and few of them focused on Chinese populations. Using data from 2011 China Household Financial Studies, this study explores Chinese households' credit use. We found that over half of the sample (53.21%) used credit, and only 19.77% used formal credit. Use of formal credit was associated with socioeconomic characteristics of household heads (e.g., employment, education) and households (e.g., income, net worth). The findings suggest that promoting financial inclusion in China involves expanding access to formal credit among the socially and economically disadvantaged households.</t>
  </si>
  <si>
    <t>[Chen, Zibei] Louisiana State Univ, Sch Social Work, Baton Rouge, LA 70803 USA; [Jin, Minchao] NYU, Silver Sch Social Work, 1 Washington Sq North, New York, NY 10003 USA</t>
  </si>
  <si>
    <t>Louisiana State University System; Louisiana State University; New York University</t>
  </si>
  <si>
    <t>Jin, MC (corresponding author), NYU, Silver Sch Social Work, 1 Washington Sq North, New York, NY 10003 USA.</t>
  </si>
  <si>
    <t>minchao.jin@nyu.edu</t>
  </si>
  <si>
    <t>10.1007/s10834-017-9531-x</t>
  </si>
  <si>
    <t>FL2VL</t>
  </si>
  <si>
    <t>WOS:000414077700005</t>
  </si>
  <si>
    <t>Guzmán, APS; Procacci, V; Moscarini, F</t>
  </si>
  <si>
    <t>Guzman, Alejandra P. Sevilla; Procacci, Veronica; Moscarini, Flaviano</t>
  </si>
  <si>
    <t>Seeking Credit: A Small Business Owner's Journey</t>
  </si>
  <si>
    <t>Entrepreneurship; Access to Finance; Gender</t>
  </si>
  <si>
    <t>FINANCIAL INCLUSION; WOMEN; ENTREPRENEURS</t>
  </si>
  <si>
    <t>Purpose - The objective of this study is to delve into the challenges that female entrepreneurs encounter when seeking access to credit and to examine the strategies they employ to overcome these hurdles. A case study was conducted, involving interviews with an Italian businesswoman in the food sector. Access to credit emerges as a vital tool for enhancing the economic standing of these enterprises and fostering gender equality. Existing literature corroborates the presence of various obstacles faced by women when applying for credit, such as lower incomes and a lack of financial literacy (Perrin et al., 2023). These barriers present a significant challenge in securing the necessary resources both for initiating and expanding their ventures. Methodology - This study employs qualitative research, utilizing a pilot single case study approach to analyze real- life events (Yin, 2003). The case study method enables detailed data analysis within a specific context, exploring contemporary phenomena through limited events or conditions and their relationships (Yin, 2009). Additionally, it allows researchers to articulate the significance of social actions and events, facilitating a nuanced interpretation of their meanings (Covaleski and Dirsmith, 1990). Originality/Value - This study provides valuable insights and evidence based on the experience of a small businesswoman in the food sector. It reveals that one of the factors limiting her access to credit may stem from cultural factors, not just gender perspectives. Practical Implications - The financial sectors and policymakers could adopt a unified approach to foster financial inclusion by designing programs for entrepreneurs in collaboration with various governmental and non-governmental institutions (Onoshakpor et. al, 2023). From a theoretical standpoint, these contributions identify conceptual gaps in understanding credit access and its perception across contexts and regions, aiding the development of solid theoretical frameworks. Future research suggests exploring communication channels between banking institutions and female entrepreneurs, as well as financial products tailored to small businesswomen.</t>
  </si>
  <si>
    <t>[Guzman, Alejandra P. Sevilla; Procacci, Veronica; Moscarini, Flaviano] Univ Roma La Sapienza, Dept Law &amp; Econ Prod Act, Via Castro Laurenziano 9, I-00161 Rome, Italy</t>
  </si>
  <si>
    <t>Sapienza University Rome</t>
  </si>
  <si>
    <t>Guzmán, APS (corresponding author), Univ Roma La Sapienza, Dept Law &amp; Econ Prod Act, Via Castro Laurenziano 9, I-00161 Rome, Italy.</t>
  </si>
  <si>
    <t>WOS:001524978800120</t>
  </si>
  <si>
    <t>Burlando, A; Canidio, A</t>
  </si>
  <si>
    <t>Burlando, Alfredo; Canidio, Andrea</t>
  </si>
  <si>
    <t>Does group inclusion hurt financial inclusion? Evidence from ultra-poor members of Ugandan savings groups</t>
  </si>
  <si>
    <t>Savings groups; VSLA; Financial inclusion; Microfinance; Self-help groups</t>
  </si>
  <si>
    <t>Millions of ultra-poor households in sub-Saharan Africa rely exclusively on savings groups to meet their financial needs. However, the ability of savings groups to fully meet these needs remains unclear. We randomize at the village level the proportion of ultra-poor members of newly-formed savings groups. We find that scarcity of loanable funds is more severe in poorer groups and affects disproportionately their poorest members. A trade-off emerges between the inclusion of ultra-poor households into a savings group and its ability to provide credit to these same ultra-poor households.</t>
  </si>
  <si>
    <t>[Burlando, Alfredo] Univ Oregon, Dept Econ, Eugene, OR 97403 USA; [Canidio, Andrea] INSEAD, Econ &amp; Polit Sci Area, Blvd Constance, F-77300 Fontainebleau, France</t>
  </si>
  <si>
    <t>University of Oregon; INSEAD Business School</t>
  </si>
  <si>
    <t>Burlando, A (corresponding author), Univ Oregon, Dept Econ, Eugene, OR 97403 USA.</t>
  </si>
  <si>
    <t>burlando@uoregon.edu; andrea.canidio@insead.edu</t>
  </si>
  <si>
    <t>USAID; CERGE-EI Foundation under Global Development Network; Central European University</t>
  </si>
  <si>
    <t>USAID(United States Agency for International Development (USAID)); CERGE-EI Foundation under Global Development Network; Central European University</t>
  </si>
  <si>
    <t>We are grateful to SCORE's chief of party Massimo Zucca, as well as to Patrick Walugembe, Noel Nakibuuka, John Paul Nyeko, Michael Muwairwa, Ramadhan Kirunda, and staff at FHI360, AVSI, CARE, and TPO for their field support. We received outstanding research assistance from Derek Wolfson, Biraj Bisht, and Attila Gaspar. We benefited from comments and suggestions received from Chris Ahlin, Dean Karlan, Cynthia Kinnan, Jason Lepore, Janina Matuszesld, Dilip Mookherjee, Glen Waddell, two anonymous referees, conference participants to the GDN Workshop, Northwest Development Workshop, ASSA, PACDEV and NEUDC. Finally, we acknowledge the financial support of USAID (through project SCORE), CERGE-EI Foundation under a program of the Global Development Network (Regional Research Competition), Central European University (Research Support Scheme).</t>
  </si>
  <si>
    <t>10.1016/j.jdeveco.2017.05.001</t>
  </si>
  <si>
    <t>FE1LY</t>
  </si>
  <si>
    <t>WOS:000407980900002</t>
  </si>
  <si>
    <t>Novaes, ALF; Hartmann, I</t>
  </si>
  <si>
    <t>Farias Novaes, Andre Luiz; Hartmann, Ivar</t>
  </si>
  <si>
    <t>An Overview on the Brazilian Digital Payment System: Legal, Business and Technological Aspects</t>
  </si>
  <si>
    <t>REVISTA BRASILEIRA DE DIREITO</t>
  </si>
  <si>
    <t>Digital Payment Systems; The Brazilian Digital Payment System; Overview</t>
  </si>
  <si>
    <t>MOBILE PAYMENTS; ACCEPTANCE</t>
  </si>
  <si>
    <t>The adoption of new, digital payment methods brings significant benefits to customers and society such as improved efficiency, greater competition, broader financial inclusion, and more innovation, according to IMF in Digital Currencies: The Rise of Stablecoins, 2019. The digital payment market is a $3 trillion industry, corresponding to 13% of total commerce, and will more than double by 2022, informs the McKinsey report Global payments 2018: A dynamic industry continues to break new ground, 2018. Although it is a prospective market, the Digital Payment System is not an intensive research topic, with a literature still in an embryonic stage. Even more: it does not completely capture the real movement on digital payments systems happening worldwide. Through an extensive but not exhaustive overview on the Brazilian digital payment system, this paper aims to develop the literature on the field, focused on the legal, business and technology fronts; to partially fulfil the gap between market and academia, through a comprehensive analysis on usual KPIs and descriptive statistics on digital payment systems, establishing a parallel with recent literature; and, finally, to describe challenges and opportunities for development in the Digital Payment System both in market and academia.</t>
  </si>
  <si>
    <t>[Farias Novaes, Andre Luiz] Pontificia Univ Catolica Rio de Janeiro, Rio de Janeiro, Brazil; [Hartmann, Ivar] FGV DIREITO RIO, Ctr Just &amp; Soc CJUS, Rio De Janeiro, Brazil</t>
  </si>
  <si>
    <t>Pontificia Universidade Catolica do Rio de Janeiro</t>
  </si>
  <si>
    <t>Novaes, ALF (corresponding author), Pontificia Univ Catolica Rio de Janeiro, Rio de Janeiro, Brazil.</t>
  </si>
  <si>
    <t>andrelfnovaes@gmail.com; ivar.hartmann@fgv.br</t>
  </si>
  <si>
    <t>; Hartmann, Ivar/ONI-5536-2025</t>
  </si>
  <si>
    <t>Hartmann, Ivar/0000-0002-8497-6291; Novaes, André/0000-0003-0736-9452;</t>
  </si>
  <si>
    <t>FAC MERIDIONAL-IMED</t>
  </si>
  <si>
    <t>PASSO FUNDO</t>
  </si>
  <si>
    <t>R SEN PINHEIRO, 304-CRUZEIRO, PASSO FUNDO, RS 99070-220, BRAZIL</t>
  </si>
  <si>
    <t>1807-1228</t>
  </si>
  <si>
    <t>2238-0604</t>
  </si>
  <si>
    <t>REV BRAS DIREITO</t>
  </si>
  <si>
    <t>Rev. Bras. Direito</t>
  </si>
  <si>
    <t>10.18256/2238-0604.2020.v16i1.3825</t>
  </si>
  <si>
    <t>YV1CV</t>
  </si>
  <si>
    <t>WOS:000752470900010</t>
  </si>
  <si>
    <t>Kanyurhi, EB</t>
  </si>
  <si>
    <t>Kanyurhi, Eddy Balemba</t>
  </si>
  <si>
    <t>Customer satisfaction with the services of microfinance institutions: Scale development and validation</t>
  </si>
  <si>
    <t>ATTRIBUTE-LEVEL PERFORMANCE; QUALITY</t>
  </si>
  <si>
    <t>Customer satisfaction is a multidimensional construct with five factors: price, reliability, accessibility and flexibility, appearance, social and enhancement of customers. The presence of social inclusion and customer enhancement, accessibility, and flexibility dimensions reveals that a scale measurement should be specific both to a context and to a sector. The value attached to the appearance factor confirms that microfinance seriously tends to mission drift which means targeting less poor customers. The simultaneous occurrence of appearance and social dimensions in the same scale is proof that the social and financial goals should coexist in all stages of the development of microfinance institutions. As long as the social funds do not substitute market funds used in financing poor microborrowers, the share of poor clients served increases. So does financial inclusion of the poor.</t>
  </si>
  <si>
    <t>[Kanyurhi, Eddy Balemba] Catholic Univ Bukavu, 2 Mission St, Bukavu, DEM REP CONGO; [Kanyurhi, Eddy Balemba] LEAD, Toulon, France</t>
  </si>
  <si>
    <t>Catholic University of Bukavu</t>
  </si>
  <si>
    <t>Kanyurhi, EB (corresponding author), Catholic Univ Bukavu, 2 Mission St, Bukavu, DEM REP CONGO.</t>
  </si>
  <si>
    <t>balemba.kanyurhi@ucbukavu.ac.cd</t>
  </si>
  <si>
    <t>Academie de Recherche pour l'Enseignement Superieur, ARES-CUD Belgium</t>
  </si>
  <si>
    <t>10.1002/jsc.2168</t>
  </si>
  <si>
    <t>WOS:000415925100004</t>
  </si>
  <si>
    <t>A comprehensive framework for understanding microfinance performance evaluation methods</t>
  </si>
  <si>
    <t>INSTITUTIONS; EFFICIENCY; OUTREACH</t>
  </si>
  <si>
    <t>Multiple stakeholders in the microfinance sector seek to foster financial, social, and environmental development in a sustainable way by providing a wide range of products and services for financial inclusion. This heterogeneity is also reflected in the multiple methods to evaluate the performance of financial service providers. For this reason, it can be challenging for stakeholders to identify and understand the evaluation approaches that may be required to meet their needs and help them improve their performance. This study presents a comprehensive review of the existing approaches for the evaluation of the financial and social performance of microfinance. This research provides a systematic and comprehensive classification of microfinance performance evaluation methods, an explanation of evaluation methods and techniques, and a theoretical framework suitable to explain the applicability every method to assess different dimensions of microfinance. These results of this research are useful to help policymakers, donors, and practitioners understand and compare existing evaluation methods. Also, this framework enables the identification of the appropriate evaluation method according to the type of performance being examined and considering how to communicate this information effectively to the market.</t>
  </si>
  <si>
    <t>[Sierra, Javier; Muriel-Patino, Victoria; Rodriguez-Lopez, Fernando] Univ Salamanca, Dept Appl Econ, Paseo Francisco Tomas &amp; Valiente s-n, Salamanca 37007, Spain</t>
  </si>
  <si>
    <t>Sierra, J (corresponding author), Univ Salamanca, Dept Appl Econ, Paseo Francisco Tomas &amp; Valiente s-n, Salamanca 37007, Spain.</t>
  </si>
  <si>
    <t>10.1057/s41599-024-03213-z</t>
  </si>
  <si>
    <t>UP1H0</t>
  </si>
  <si>
    <t>WOS:001249163400001</t>
  </si>
  <si>
    <t>Riyadi, S; Nidar, SR</t>
  </si>
  <si>
    <t>Joesron, TS; Siregar, AYM; Anwar, M; Ambaretnani, P; Amar, SCD; Dimas, H</t>
  </si>
  <si>
    <t>Riyadi, Slamet; Nidar, Sulaeman Rahman</t>
  </si>
  <si>
    <t>Poor women empowerment service through microfinance Grameen bank system (case study of Mitra Dhuafa Cooperative /Komida)</t>
  </si>
  <si>
    <t>PROCEEDINGS OF THE INTERNATIONAL CONFERENCE, INTEGRATED MICROFINANCE MANAGEMENT FOR SUSTAINABLE COMMUNITY DEVELOPMENT (IMM 2016)</t>
  </si>
  <si>
    <t>International Conference on Integrated Microfinance Management for Sustainable Community Development(IMM)</t>
  </si>
  <si>
    <t>SEP 19-22, 2016</t>
  </si>
  <si>
    <t>Poor Women; SME; Microfinance; Grameen Bank System</t>
  </si>
  <si>
    <t>Poverty is a complex problem that is faced by all governments in the world. It was influenced by several factors that are interrelated with each other. These factors include the level of income, education, health, access to goods and services, geographic location, gender and environmental conditions. Strategic effort to do in order to empower SMEs include: First, Creating a climate conducive to the development of SMEs include the regulation and protection of business, creating a system of guarantees for micro businesses and provide technical assistance in the form of mentoring and managerial assistance. Second, Enlarge the access of credit to financial institutions included in this is access to finance to microfinance institutions, that is one of Microfinance Grameen Bank system. With these two steps, then the SME sector will be more actives that will ultimately result in the reduction of poverty. This article will present the experience of Microfinance Grameen Bank system Koperasi Mitra Dhuafa or Komida who have committed financial services to poor women since 2005. From over 10 years experience to serve and assist poor families, some changes occurred including increases income, access to health and improving the quality of education.</t>
  </si>
  <si>
    <t>[Riyadi, Slamet] Padjadjaran State Univ, Integrated Microfinance Management, Sumedang, Indonesia; [Nidar, Sulaeman Rahman] Padjadjaran State Univ, Management &amp; Business Dept, Sumedang, Indonesia</t>
  </si>
  <si>
    <t>Universitas Padjadjaran; Universitas Padjadjaran</t>
  </si>
  <si>
    <t>Nidar, SR (corresponding author), Padjadjaran State Univ, Management &amp; Business Dept, Sumedang, Indonesia.</t>
  </si>
  <si>
    <t>sulaeman.rahman@unpad.ac.id</t>
  </si>
  <si>
    <t>Nidar, Sulaeman/AAD-2507-2021</t>
  </si>
  <si>
    <t>978-94-6252-264-0</t>
  </si>
  <si>
    <t>Business; Business, Finance; Economics; Management</t>
  </si>
  <si>
    <t>BG6XG</t>
  </si>
  <si>
    <t>WOS:000390913100016</t>
  </si>
  <si>
    <t>Aryani, S; Wiryono, SK; Koesrindartoto, DP; Anggahegari, P</t>
  </si>
  <si>
    <t>Aryani, Sinta; Wiryono, Sudarso Kaderi; Koesrindartoto, Deddy P.; Anggahegari, Prameshwara</t>
  </si>
  <si>
    <t>Global competition strategies for Indonesian SMEs</t>
  </si>
  <si>
    <t>INTERNATIONAL JOURNAL OF ENTREPRENEURIAL VENTURING</t>
  </si>
  <si>
    <t>financing; SMEs; financial intermediaries; global sustainable growth</t>
  </si>
  <si>
    <t>FINANCIAL LITERACY; CREDIT; ENTREPRENEURSHIP; ENTERPRISES; GROWTH; POLICY</t>
  </si>
  <si>
    <t>Given the limitations of SMEs and the rigid requirements of financial institutions, this paper evaluates the bridge which connects those ends. The purpose of the paper is to find smooth connections between SMEs and financial institutions in order to enhance the quality credits given to SMEs. The literature came from qualified international academic journals and papers, reports from prominent global institutions, and reports from the Indonesian government which are related to their policies towards SMEs and financial institutions. Comparisons were made among countries around the world regarding the policies applied to their SMEs and financial institutions. This paper looks specifically at the global challenges related to Indonesian SMEs to reach sustainable growth. Collaborations between the government, financial institutions, and SMEs are needed. The roles of financial inclusion, financial literacy, innovation lending, and the government are important measures to support SMEs' developments.</t>
  </si>
  <si>
    <t>[Aryani, Sinta; Wiryono, Sudarso Kaderi; Koesrindartoto, Deddy P.; Anggahegari, Prameshwara] Inst Teknol Bandung, Sch Business &amp; Management, Jl Ganesha 10, Bandung 40132, Indonesia; [Aryani, Sinta] Telkom Univ, Sch Ind Engn, Jl Telekomunikasi, Bandung 40257, Indonesia</t>
  </si>
  <si>
    <t>Institute Technology of Bandung; Telkom University</t>
  </si>
  <si>
    <t>Aryani, S (corresponding author), Inst Teknol Bandung, Sch Business &amp; Management, Jl Ganesha 10, Bandung 40132, Indonesia.;Aryani, S (corresponding author), Telkom Univ, Sch Ind Engn, Jl Telekomunikasi, Bandung 40257, Indonesia.</t>
  </si>
  <si>
    <t>sinta.aryani@sbm-itb.ac.id; sudarso_kw@sbm-itb.ac.id; deddypri@sbm-itb.ac.id; prameshwara@sbm-itb.ac.id</t>
  </si>
  <si>
    <t>; Aryani, Sinta/AAD-3363-2021; anggahegari, prameshwara/KFB-3953-2024</t>
  </si>
  <si>
    <t>Wiryono, Sudarso Kaderi/0000-0002-8165-5994; anggahegari, prameshwara/0000-0002-2380-6897</t>
  </si>
  <si>
    <t>1742-5360</t>
  </si>
  <si>
    <t>1742-5379</t>
  </si>
  <si>
    <t>INT J ENTREP VENTUR</t>
  </si>
  <si>
    <t>Int. J. Entrep. Ventur.</t>
  </si>
  <si>
    <t>NT6VF</t>
  </si>
  <si>
    <t>WOS:000573075200003</t>
  </si>
  <si>
    <t>Flynn, J; Sumberg, J</t>
  </si>
  <si>
    <t>Flynn, Justin; Sumberg, James</t>
  </si>
  <si>
    <t>Are savings groups a livelihoods game changer for young people in Africa?</t>
  </si>
  <si>
    <t>Labour and livelihoods - Microfinance</t>
  </si>
  <si>
    <t>The triad of entrepreneurship, self-employment, and financial inclusion underpins policy and development interventions meant to address the youth employment challenge in Africa. Youth savings groups are being widely promoted as a first step toward financial inclusion and economic empowerment. This article reports on the links between income-generating activities of 57 members of youth savings groups in Tanzania, Uganda, Zambia, and Ghana, and their membership in savings groups. It concludes that while savings groups can help to facilitate operational expenses and cash flow - and thus support members' micro-enterprises - in opportunity starved contexts their transformational potential is probably being oversold.</t>
  </si>
  <si>
    <t>[Flynn, Justin] IDS, Brighton, E Sussex, England; [Sumberg, James] IDS, Rural Futures Cluster, Brighton, E Sussex, England</t>
  </si>
  <si>
    <t>University of Sussex; University of Sussex</t>
  </si>
  <si>
    <t>Flynn, J (corresponding author), IDS, Brighton, E Sussex, England.</t>
  </si>
  <si>
    <t>j.flynn2@ids.ac.uk</t>
  </si>
  <si>
    <t>Sumberg, James/0000-0002-4626-5237</t>
  </si>
  <si>
    <t>Plan UK; CARE International; Barclays</t>
  </si>
  <si>
    <t>We are indebted to the BoC partners, including Plan UK, CARE International, and Barclays, for their support during the course of this work. We also thank the two anonymous reviewers for their useful suggestions.</t>
  </si>
  <si>
    <t>10.1080/09614524.2018.1397102</t>
  </si>
  <si>
    <t>FT8UD</t>
  </si>
  <si>
    <t>WOS:000423427800005</t>
  </si>
  <si>
    <t>Does robo-advisory help reduce the likelihood of carrying a credit card debt? Evidence from an instrumental variable approach</t>
  </si>
  <si>
    <t>Financial advice; Credit card debt; Robo-advisory; Financial literacy; Fear of investment fraud</t>
  </si>
  <si>
    <t>FINANCIAL LITERACY; MONEY ATTITUDES; RATIONAL CHOICE; BUYING BEHAVIOR; CONSUMER-CREDIT; KNOWLEDGE; ADVISERS; PERSONALITY; CONFIDENCE; EDUCATION</t>
  </si>
  <si>
    <t>The rapid increase in consumer credit card debt has been a major concern in the United States. The emerging robo-advisory, which allows fraud detection and credit spending planning, has shown to be a potential preventive measure for credit card indebtedness. Thus, the present study examines the causal effect of robo-advisory usage on the likelihood of carrying a credit card debt. Instrumental variable regression is carried out on a sample (n = 1762) extracted from the 2015 National Financial Capability Study (NFCS) Investor Survey and State-by-State Survey. Although the present study cannot establish a causal relationship between robo-advisory and carrying a credit card debt, this study shows that fear of investment fraud can be a suitable instrument variable for examining this relationship in future research. Results are robust after controlling for an individual's demographic factors and variables related to financial literacy that may affect credit card use. (c) 2021 Elsevier B.V. All rights reserved.</t>
  </si>
  <si>
    <t>[Bai, Zefeng] Bentley Univ, Dept Math Sci, 175 Forest St, Waltham, MA 02452 USA</t>
  </si>
  <si>
    <t>Bai, ZF (corresponding author), Bentley Univ, Dept Math Sci, 175 Forest St, Waltham, MA 02452 USA.</t>
  </si>
  <si>
    <t>zbai@bentley.edu</t>
  </si>
  <si>
    <t>10.1016/j.jbef.2021.100461</t>
  </si>
  <si>
    <t>RC2EZ</t>
  </si>
  <si>
    <t>WOS:000632618200011</t>
  </si>
  <si>
    <t>Correa, BPD; Coletta, C</t>
  </si>
  <si>
    <t>Correa, Barbara Priscila de Souza; Coletta, Carolina</t>
  </si>
  <si>
    <t>Does access to credit from digital banks and FinTechs increase the likelihood of personal debt in Brazil?</t>
  </si>
  <si>
    <t>REVISTA CIENCIAS ADMINISTRATIVAS</t>
  </si>
  <si>
    <t>financial inclusion; financial literacy; financial attitude; digital finance; fintech</t>
  </si>
  <si>
    <t>This study analyzes the relationship between access to credit through digital banks and fintechs and the probability of personal debt in Brazil. A structured questionnaire was applied, obtaining 303 respondents, aged between 18 and 65, with questions related to the level of indebtedness, financial literacy, and access to credit. The data obtained were analyzed through logistic regressions. The results show that most respondents have some level of debt and that a significant part of the sample has easy access to credit through digital banks and FinTechs. Specifically, there is a positive relationship between ease of access to credit in digital financial institutions and the likelihood of indebtedness at different levels. There is also a negative relationship between the level of financial literacy and indebtedness. The article contributes to the understanding of the economic scenario in Brazil and may also have significant practical implications for public policies, regulation, financial practices, and education. The lack of previous studies on this topic demonstrates the importance of further investigating this specific interaction in the Brazilian context and highlights a gap in the academic literature and opportunities for future research.</t>
  </si>
  <si>
    <t>[Coletta, Carolina] Fundacao Getulio Vargas, Adm Empresas Financas, Sao Paulo, Brazil</t>
  </si>
  <si>
    <t>Coletta, C (corresponding author), Fundacao Getulio Vargas, Adm Empresas Financas, Sao Paulo, Brazil.</t>
  </si>
  <si>
    <t>barbaracorrea.contabeis@gmail.com; carolina.coletta@fgv.br</t>
  </si>
  <si>
    <t>RUSSIAN SOC HISTORIANS &amp; ARCHIVISTS</t>
  </si>
  <si>
    <t>RUSSIAN SOC HISTORIANS &amp; ARCHIVISTS, MOSCOW, 00000, RUSSIA</t>
  </si>
  <si>
    <t>1414-0896</t>
  </si>
  <si>
    <t>2318-0722</t>
  </si>
  <si>
    <t>REV CIENC ADM</t>
  </si>
  <si>
    <t>Rev. Cienc. Adm.</t>
  </si>
  <si>
    <t>e14924</t>
  </si>
  <si>
    <t>0YE1X</t>
  </si>
  <si>
    <t>WOS:001458818400001</t>
  </si>
  <si>
    <t>Chhatwani, M</t>
  </si>
  <si>
    <t>Chhatwani, Malvika</t>
  </si>
  <si>
    <t>Does robo-advisory increase retirement worry? A causal explanation</t>
  </si>
  <si>
    <t>Financial advice; Retirement worry; Financial literacy; Financial fraud; Robo-advisory</t>
  </si>
  <si>
    <t>FINANCIAL LITERACY; FRAUD; EDUCATION; ADVICE; MODEL; TRUST; AGE</t>
  </si>
  <si>
    <t>Purpose Artificial intelligence and robo-advisory have become prevalent in the finance industry, and many people rely on robots instead of humans for financial advice. This study aims to examine whether robo-advisory increases retirement worry based on agency theory and rational choice theory. Design/methodology/approach The present study investigate whether relying on robots for financial advice increases retirement-related worry in the present study. Using a sample of 1915 investors from the National Financial Capability Study (NCFS) survey, the author conducted instrumental variable regression analysis to examine the causal linkage. Findings Using fear of financial fraud as an instrument variable, the study provides a causal explanation of the linkage between robo-advisory usage and retirement worry. After controlling for sociodemographic and financial literacy-related variables, it is found that robo-advisory increases retirement worry. Originality/value Findings of the study emphasize on downsides of the artificial intelligence-enabled robo-advisory for financial planning. This article provides evidence that a lack of human involvement in financial planning may lead to increased worry among investors, which calls for attention from the regulators and policymakers.</t>
  </si>
  <si>
    <t>[Chhatwani, Malvika] OP Jindal Global Univ, Jindal Sch Banking &amp; Finance, Sonipat, India</t>
  </si>
  <si>
    <t>Chhatwani, M (corresponding author), OP Jindal Global Univ, Jindal Sch Banking &amp; Finance, Sonipat, India.</t>
  </si>
  <si>
    <t>mnchhatwani@jgu.edu.in</t>
  </si>
  <si>
    <t>10.1108/MF-05-2021-0195</t>
  </si>
  <si>
    <t>ZQ2MH</t>
  </si>
  <si>
    <t>WOS:000758973400001</t>
  </si>
  <si>
    <t>Darma, S; Syahrul; Hardianti; Susanti, L; Rahmati, A; Irfun</t>
  </si>
  <si>
    <t>Darma, Satria; Syahrul; Hardianti; Susanti, Leni; Rahmati, Arinal; Irfun</t>
  </si>
  <si>
    <t>Gen Z Rural Area Perspective on Use of E-Money Applications in Indonesia</t>
  </si>
  <si>
    <t>E-Money; Rural Area; Indonesia; FinTech; Gen Z</t>
  </si>
  <si>
    <t>FACTORS INFLUENCING ADOPTION; MOBILE-BANKING; INFORMATION-TECHNOLOGY; BEHAVIORAL INTENTION; EMPIRICAL-EVIDENCE; UNIFIED THEORY; UTAUT; ACCEPTANCE; FINTECH; DEMONETIZATION</t>
  </si>
  <si>
    <t>This study investigates factors influencing e-money adoption among Generation Z in rural Indonesia, a demographic vital for financial inclusion. Employing a modified Unified Theory of Acceptance and Use of Technology (UTAUT) framework, data from 208 rural Gen Z respondents were analyzed using Partial Least Squares Structural Equation Modeling (PLS-SEM). Key findings reveal social influence and effort expectancy significantly drive e-money usage, while performance expectancy does not. These results highlight the need for tailored strategies by fintech providers to foster digital payment adoption, particularly by strengthening community engagement and enhancing user-friendliness. The study offers novel insights into consumer behavior in underserved areas, with implications for financial inclusion policies. Future research should expand sample size and geographical scope.</t>
  </si>
  <si>
    <t>[Darma, Satria] Natl Dong Hwa Univ, Shoufeng, Taiwan; [Syahrul] Khon Kaen Univ, Khon Kaen, Thailand; [Hardianti] Univ Muhammadiyah Sidenreng Rappang, Sidenreng Rappang, Indonesia; [Susanti, Leni] Univ Muhammadiyah Pekajangan Pekalongan, Kabupaten Pekalongan, Indonesia; [Rahmati, Arinal] State Collage Sharia Sci Ummul Ayman, Pidie Jaya, Indonesia; [Irfun] Univ Muhammadiyah Papua, Jayapura, Indonesia</t>
  </si>
  <si>
    <t>National Dong Hwa University; Khon Kaen University; Universitas Muhammadiyah Sidenreng Rappang</t>
  </si>
  <si>
    <t>Darma, S (corresponding author), Natl Dong Hwa Univ, Shoufeng, Taiwan.</t>
  </si>
  <si>
    <t>81130b004@gms.ndhu.edu.tw</t>
  </si>
  <si>
    <t>Darma, Satria/0000-0002-7450-942X</t>
  </si>
  <si>
    <t>e1294</t>
  </si>
  <si>
    <t>10.21919/remef.v20i4.1294</t>
  </si>
  <si>
    <t>R4466</t>
  </si>
  <si>
    <t>WOS:001635601000006</t>
  </si>
  <si>
    <t>Liu, S; Koster, S; Chen, XY</t>
  </si>
  <si>
    <t>Liu, Sheng; Koster, Sierdjan; Chen, Xiuying</t>
  </si>
  <si>
    <t>Digital divide or dividend? The impact of digital finance on the migrants entrepreneurship in less developed regions of China</t>
  </si>
  <si>
    <t>Digital finance; Migrants; Entrepreneurship; Less developed regions</t>
  </si>
  <si>
    <t>WOMEN ENTREPRENEURS; BROAD-BAND; GROWTH</t>
  </si>
  <si>
    <t>Entrepreneurial activity has been documented as an important mechanism to achieve poverty alleviation. In line with this, providing access to entrepreneurial finance for disadvantaged groups has been a prominent policy tool. The advent of digital finance may prove a game changer in that it could substantially lower the threshold to access entrepreneurial finance, particularly for disadvantaged entrepreneur who have a hard time accessing formal sources of finance. This study explores whether the availability of digital finance indeed increases the propensity and the quality of entrepreneurship among Chinese migrants. The paper applies data of the China Migrants Dynamic Survey in 2018 and the China's digital financial inclusion index. The results show that local digital financial development is indeed positively associated with entrepreneurial probability and quality. Moreover, the three sub-dimensions of digital finance (e.g., breadth of coverage, depth of use and level of digitization) also increase the likelihood of migrants' entrepreneurship. From the perspective of entrepreneurial motivation, digital finance has a significant positive impact on not only the migrants' choice of necessity-based entrepreneurship, but also on the selection of opportunity-based entrepreneurship. In addition, this paper finds that the facilitating role of digital finance on entrepreneurship is more prominent for migrants who lived in rural regions, with lower educational levels, experienced cross-provincial mobility, not belonging to a member of party organization and whose parents do not have good education background and local hukou, which reflects the inclusiveness of digital finance in reversing the financing disadvantage of vulnerable groups. Though this study is set in the context of China, the principle that access to digital finance increases the propensity of entrepreneurship as well as its quality likely translates to other contexts in the developing world.</t>
  </si>
  <si>
    <t>[Liu, Sheng] Guangdong Univ Foreign Studies, Inst Studies Great Bay Area, Guangzhou, Peoples R China; [Koster, Sierdjan] Univ Groningen, Fac Spatial Sci, Groningen, Netherlands; [Chen, Xiuying] Guangdong Univ Finance, Sch Econ &amp; Trade, Guangzhou, Peoples R China; [Chen, Xiuying] Guangdong Univ Finance, Sch Econ &amp; Trade, 527 Yingfu Str, Tianhe Dist, Guangdong, Peoples R China</t>
  </si>
  <si>
    <t>Guangdong University of Foreign Studies; University of Groningen; Guangdong University of Finance; Guangdong University of Finance</t>
  </si>
  <si>
    <t>Chen, XY (corresponding author), Guangdong Univ Finance, Sch Econ &amp; Trade, 527 Yingfu Str, Tianhe Dist, Guangdong, Peoples R China.</t>
  </si>
  <si>
    <t>sierdjan.koster@rug.nl; chenxiuying1128@163.com</t>
  </si>
  <si>
    <t>koster, sierdjan/AFQ-3084-2022</t>
  </si>
  <si>
    <t>koster, sierdjan/0000-0001-6047-920X</t>
  </si>
  <si>
    <t>National Social Science Fund of China [21 ZD123]</t>
  </si>
  <si>
    <t>This work was supported by the National Social Science Fund of China (Grant No. 21 &amp;ZD123) .</t>
  </si>
  <si>
    <t>10.1016/j.cities.2022.103896</t>
  </si>
  <si>
    <t>4U2NR</t>
  </si>
  <si>
    <t>WOS:000858637500003</t>
  </si>
  <si>
    <t>Tang, K; Cai, XP; Wang, HJ</t>
  </si>
  <si>
    <t>Tang, Kai; Cai, Xiaopei; Wang, Haijie</t>
  </si>
  <si>
    <t>Innovation capacity in urban agglomerations: The role of digital finance</t>
  </si>
  <si>
    <t>Urban agglomeration; Innovation capacity; Digital finance; Mediating effect; Economic policy uncertainty</t>
  </si>
  <si>
    <t>ECONOMIC-POLICY UNCERTAINTY; DYNAMIC CAPABILITIES; INVESTMENT; CHINA; ENTREPRENEURSHIP; IMPACT; DETERMINANTS; SPILLOVER; REALITY; MARKETS</t>
  </si>
  <si>
    <t>Using panel data of 196 cities in 19 urban agglomerations in China from 2012 to 2021, this study analyzes the impact of digital finance on the innovation capacity of urban agglomerations and the underlying mechanisms. The level of digital finance development is measured using Peking University's Digital Financial Inclusion Index. Meanwhile, by manually sorting the relevant evaluation indicators in CSSCI journal papers, creating frequency statistics, and combining the total and average indices, innovation capacity is measured from five aspects: innovation resources, knowledge creation, innovation performance, innovation environment, and innovation collaboration. The results show that digital finance promotes the innovation capacity of urban agglomerations. This effect is stronger for small-scale, highly marketized, and polycentric urban agglomerations. Mechanism analysis shows that, first, via the agglomeration of innovation capital, digital finance provides financial support for improving the innovation capacity of urban agglomerations. Second, by improving entrepreneurial activity, digital finance promotes the formation of an innovation ecosystem. Third, by enhancing credit resource allocation, digital finance encourages more innovation funds to flow into innovative enterprises and promotes innovation capacity in urban agglomerations. Finally, economic policy uncertainty plays an inverted N-type, nonlinear moderating role in the relationship between digital finance and innovation capacity. In summary, by introducing digital finance as a key variable into urban agglomeration innovation research, this study expands the theory of financial and regional innovation systems. Next, demonstrating the heterogeneous impact of digital finance on different types of urban agglomerations, the findings can serve as a benchmark against which urban agglomerations can be compared to develop differentiated digital finance development strategies. Finally, the insights can inspire managers to re-examine the complex influence of economic policy uncertainty in the innovation process, which may help them make sound economic decisions.</t>
  </si>
  <si>
    <t>[Tang, Kai; Cai, Xiaopei; Wang, Haijie] Zhengzhou Univ, Business Sch, 100 Sci Rd, Zhengzhou 450001, Henan, Peoples R China</t>
  </si>
  <si>
    <t>Wang, HJ (corresponding author), Zhengzhou Univ, Business Sch, 100 Sci Rd, Zhengzhou 450001, Henan, Peoples R China.</t>
  </si>
  <si>
    <t>zzusxy123@163.com</t>
  </si>
  <si>
    <t>Tang, Kai/0000-0003-2645-2702</t>
  </si>
  <si>
    <t>Henan Provincial University Philosophy and Social Science Innovation Talent Support Program [2024-CXRC-13]; Key Project of National Social Science Fund Research on Technology security Strategy of China's manufacturing industry chain under the new development pattern Key project of National Social Science Fund [21AZD109]</t>
  </si>
  <si>
    <t>Henan Provincial University Philosophy and Social Science Innovation Talent Support Program; Key Project of National Social Science Fund Research on Technology security Strategy of China's manufacturing industry chain under the new development pattern Key project of National Social Science Fund</t>
  </si>
  <si>
    <t>This work was supported by Henan Provincial University Philosophy and Social Science Innovation Talent Support Program [Grant Numbers: 2024-CXRC-13] and Key Project of National Social Science Fund Research on Technology security Strategy of China's manufacturing industry chain under the new development pattern Key project of National Social Science Fund [Grant Numbers: 21AZD109] .</t>
  </si>
  <si>
    <t>10.1016/j.jik.2025.100697</t>
  </si>
  <si>
    <t>0TB2N</t>
  </si>
  <si>
    <t>WOS:001455345800001</t>
  </si>
  <si>
    <t>Banal, D</t>
  </si>
  <si>
    <t>Banal, Dawid</t>
  </si>
  <si>
    <t>Economic education of people with disabilities as a tool supporting social inclusion</t>
  </si>
  <si>
    <t>financial education; people with disabilities; social exclusion; financial exclu- sion; inclusion</t>
  </si>
  <si>
    <t>Economic education is becoming increasingly essential for modern societies to function. It consists of three aspects: knowledge, skills and attitudes, and if such aspects remain at a low level, the people it concerns are susceptible to financial exclusion. Due to dynamic changes occurring in financial markets, knowledge quickly becomes outdated and needs to be frequently updated. People with disabilities fall into this group of people at risk of social exclusion, usually displaying lower participation in the educational system (although this has been changing) and facing greater difficulties in the labour market. A hypothesis has been posed that economic education may contribute to the social inclusion of people with disabilities, and the determined goal was to demonstrate the existence of the need for financial education targeted at people with disabilities to make them less susceptible to the risk of social and financial exclusion. This goal was achieved through critical analysis of the literature on the subject, and by way of deduction. The author's research demonstrated that economic education is a tool that contributes to reducing the risk of social and financial exclusion, and therefore economic education should be primarily targeted at the groups most susceptible to the risk of exclusion, including, among others, people with disabilities. The paper demonstrates that Poland also lacks measures that would contribute to the level of economic knowledge of that social group.</t>
  </si>
  <si>
    <t>[Banal, Dawid] Poznan Univ Econ &amp; Business, Poznan, Poland</t>
  </si>
  <si>
    <t>Poznan University of Economics &amp; Business</t>
  </si>
  <si>
    <t>Banal, D (corresponding author), Poznan Univ Econ &amp; Business, Poznan, Poland.</t>
  </si>
  <si>
    <t>; Banas, Dawid/OYD-3060-2025</t>
  </si>
  <si>
    <t>Banaś, Dawid/0000-0002-8568-3861;</t>
  </si>
  <si>
    <t>10.15219/em106.1676</t>
  </si>
  <si>
    <t>J5M2P</t>
  </si>
  <si>
    <t>WOS:001337497500003</t>
  </si>
  <si>
    <t>Wagner, J; Walstad, WB</t>
  </si>
  <si>
    <t>Wagner, Jamie; Walstad, William B.</t>
  </si>
  <si>
    <t>The Effects of Financial Education on Short-Term and Long-Term Financial Behaviors</t>
  </si>
  <si>
    <t>HIGH-SCHOOL; LITERACY; WORKPLACE; KNOWLEDGE</t>
  </si>
  <si>
    <t>This study investigates how financial education in high school, college, or in the workplace affects the short- and long-term financial behaviors of adults using the 2015 National Financial Capability Study (NFCS) data. Financial education appears to have generally insignificant effects on short-term behaviors for which there is regular feedback and penalties, and thus greater opportunity for learning by doing. If consumers do not pay off their credit card bill, they get a monthly statement showing interest charges and penalties. Financial education appears to have more positive and stronger effects on long-term behaviors with less timely feedback, and for which the adverse consequences are not fully realized until later in life, so learning by doing may not work. Not saving enough money for retirement cannot be easily or quickly corrected, if at all. The benefits to financial education may differ based on the time horizon for the financial behaviors.</t>
  </si>
  <si>
    <t>[Wagner, Jamie] Univ Nebraska, Dept Econ, Econ, Omaha, NE 68182 USA; [Wagner, Jamie] Univ Nebraska, Dept Econ, Ctr Econ Educ, Omaha, NE 68182 USA; [Walstad, William B.] Univ Nebraska, Dept Econ, Econ, Lincoln, NE USA</t>
  </si>
  <si>
    <t>University of Nebraska System; University of Nebraska System; University of Nebraska System; University of Nebraska Lincoln</t>
  </si>
  <si>
    <t>Wagner, J (corresponding author), Univ Nebraska, Dept Econ, Econ, Omaha, NE 68182 USA.;Wagner, J (corresponding author), Univ Nebraska, Dept Econ, Ctr Econ Educ, Omaha, NE 68182 USA.</t>
  </si>
  <si>
    <t>jfwagner@unomaha.edu; wwalstad1@unl.edu</t>
  </si>
  <si>
    <t>10.1111/joca.12210</t>
  </si>
  <si>
    <t>HN7YM</t>
  </si>
  <si>
    <t>WOS:000460409600009</t>
  </si>
  <si>
    <t>Warsame, AO; Mohamed, JA; Abdulle, AY; Ahmed, AA</t>
  </si>
  <si>
    <t>Warsame, Abdirizak Osman; Mohamed, Jamal Abdulkadir; Abdulle, Abdikani Yusuf; Ahmed, Abdirahman Ad'ed</t>
  </si>
  <si>
    <t>Overcoming structural barriers: understanding the multi-dimensional barriers to women's entrepreneurship in Somalia</t>
  </si>
  <si>
    <t>Women's entrepreneurship; multi-dimensional barriers; access to finance; gender stereotypes, entrepreneurial success; women's empowerment; Economics; Finance; Business, Management and Accounting; Social Work</t>
  </si>
  <si>
    <t>The paper discusses structural obstacles that influence the entrepreneurship of women in Mogadishu, Somalia, which is concerned with gender stereotypes, financial access, education and managerial skills, and so on the legal and regulatory environment. A cross-sectional study of 156 female entrepreneurs disclosed that the most important factor of entrepreneurial success is access to finance, which comes next. Through lack of education and management skills, inbuilt gender stereotypes and legal and regulatory challenges. These obstacles are interconnected, and cycles of poor growth in them go on diminished sustainability, and limited income production. The paper has policy implications as well as the promotion of gender-sensitive financial products, streamlining the business registration procedures, and enacting legal changes to deal with institutional exclusion. Capacity-building initiatives, Skills and market can be developed with the help of mentorship programs, and specific digital inclusion strategies participation. There is also the need to promote gender-restrictive challenge through national awareness campaigns. Conventions that restrict economic agency of women. Policymakers, by dealing with these barriers, can address them. The economic potential of women can be unlocked by the development agencies and the financial institutions. Businesspersons, supporting inclusive and sustainable economic development in the delicate post conflict situation of Somalia. The paper has a contribution to the literature on entrepreneurship by advancing a multidimensional framework that offers a relationship between financial, education, cultural, and institutional constraints, which affect the entrepreneurship of women in weak post-conflict settings using Mogadishu as an example. The results contribute to the study of structural impediments in low-governance settings and provide a policy direction in promoting inclusive entrepreneurship in such post-conflict areas.</t>
  </si>
  <si>
    <t>[Warsame, Abdirizak Osman] Jamhuriya Univ Sci &amp; Technol, Fac Econ &amp; Management, Dept Business &amp; Adm, Mogadishu, Somalia; [Mohamed, Jamal Abdulkadir] Jamhuriya Univ Sci &amp; Technol, Fac Comp &amp; IT, Jamhuriya Incubat Ctr, Mogadishu, Somalia; [Mohamed, Jamal Abdulkadir] Jamhuriya Univ Sci &amp; Technol, Fac Comp &amp; IT, Dept Comp Applicat, Mogadishu, Somalia; [Abdulle, Abdikani Yusuf] Jamhuriya Univ Sci &amp; Technol, Fac Econ &amp; Management, Dept Econ, Mogadishu, Somalia; [Ahmed, Abdirahman Ad'ed] Jamhuriya Univ Sci &amp; Technol, Fac Econ &amp; Management, Dept Accounting &amp; Finance, Mogadishu, Somalia</t>
  </si>
  <si>
    <t>Warsame, AO (corresponding author), Jamhuriya Univ Sci &amp; Technol, Fac Econ &amp; Management, Dept Business &amp; Adm, Mogadishu, Somalia.</t>
  </si>
  <si>
    <t>a.osman@just.edu.so</t>
  </si>
  <si>
    <t>Warsame, Abdirizak Osman/PFR-0579-2025; Abdulle, Abdikani/MCK-5845-2025</t>
  </si>
  <si>
    <t>Department of Economic and Management at Jamhuriya University of Science and Technology</t>
  </si>
  <si>
    <t>I am also very grateful to the Department of Economic and Management at Jamhuriya University of Science and Technology for giving me the tools and space I needed to finish this study. I also want to thank my friends and coworkers who helped me, talked to me, and supported me during this journey. Jamal Abdulkadir Mohamed, in particular, has pushed me to publish this paper with his hard work and dedication.</t>
  </si>
  <si>
    <t>10.1080/23311975.2025.2593090</t>
  </si>
  <si>
    <t>N1527</t>
  </si>
  <si>
    <t>WOS:001631288300001</t>
  </si>
  <si>
    <t>Behr, P; Jacob, J</t>
  </si>
  <si>
    <t>Behr, Patrick; Jacob, Jorge</t>
  </si>
  <si>
    <t>Neighbourhood social capital, account usage and savings behaviour in low-income countries: Field experimental evidence from Senegal</t>
  </si>
  <si>
    <t>account activity; financial inclusion; neighbourhood social capital; RCT; savings; text message reminders</t>
  </si>
  <si>
    <t>STEREOTYPE THREAT; FINANCIAL INCLUSION; GENDER; WOMEN; ECONOMICS; ACCESS; MICROFINANCE; PERFORMANCE; IMPACT; COMMUNITY</t>
  </si>
  <si>
    <t>Financial inclusion is an important driver of economic growth, but gender gaps persist in financial activity, especially in low-income countries. This study analyses the impact of text messages that make salient neighbours' savings behaviour on account usage and savings behaviour of low-income men and women in Senegal. We performed a randomized field experiment in which 2056 clients of a local financial institution were assigned to one of three experimental conditions. We found gender differences in how these text messages impact savings and account usage. Account usage, account activity and average savings balances of female clients who received weekly savings reminders making their neighbours' savings behaviour salient increased compared to those who received generic savings reminders and those who received no savings reminders. The treatment had no impact on male clients. These results suggest that content-specific text message reminders can create benefits for both the supply and demand side of financial services for women in low-income countries, thereby increasing financial inclusion.</t>
  </si>
  <si>
    <t>[Jacob, Jorge] Univ Lille, Dept Mkt &amp; Sales, CNRS, IESEG Sch Management,UMR 9221 LEM Lille Econ Manag, Lille, France; [Jacob, Jorge] IESEG Sch Management, Dept Mkt &amp; Sales, 1 Promenade Arche, F-92800 Puteaux La Defense, France</t>
  </si>
  <si>
    <t>IESEG School of Management; Universite de Lille; Centre National de la Recherche Scientifique (CNRS); IESEG School of Management</t>
  </si>
  <si>
    <t>Jacob, J (corresponding author), IESEG Sch Management, Dept Mkt &amp; Sales, 1 Promenade Arche, F-92800 Puteaux La Defense, France.</t>
  </si>
  <si>
    <t>j.jacob@ieseg.fr</t>
  </si>
  <si>
    <t>Jacob, Jorge/AAP-6555-2020</t>
  </si>
  <si>
    <t>Jacob, Jorge/0000-0001-6786-3706</t>
  </si>
  <si>
    <t>10.1002/jid.3806</t>
  </si>
  <si>
    <t>WOS:001047716700001</t>
  </si>
  <si>
    <t>Vicedo, JC; Tomás-Miquel, JV</t>
  </si>
  <si>
    <t>Vicedo, Jordi Capo; Tomas-Miquel, Jose-Vicente</t>
  </si>
  <si>
    <t>Decoding sustainable finance: A Multi-Criteria Approach to financial inclusion barriers in High-Income Economies</t>
  </si>
  <si>
    <t>financial inclusion; sustainable finance; developed economies; Multi-criteria decision models; Fuzzy DEMATEL; ISM; MICMAC</t>
  </si>
  <si>
    <t>FUZZY DEMATEL; CREDIT UNIONS; BANK; LITERACY; SERVICES; DETERMINANTS; EXCLUSION; GEOGRAPHY; POLICIES; BRITAIN</t>
  </si>
  <si>
    <t>Financial inclusion is crucial for poverty reduction and inclusive growth. Although most research has focused on developing economies, increasing social exclusion in developed nations calls for a closer look at the barriers impeding financial inclusion in these contexts. This study examines how demand-side, supply-side and institutional/regulatory factors interrelate in developed countries. A comprehensive literature review identified key barriers, which were then evaluated by a panel of 12 experts from academia and the financial industry through structured questionnaires and in-depth interviews. The study applied fuzzy DEMATEL to uncover causal relationships, used interpretive structural modeling (ISM) to establish a hierarchical structure of the barriers and conducted MICMAC analysis to classify them based on driving and dependence power. Findings indicate that the most critical obstacles are primarily institutional and supply-side in nature, including the absence of a coordinated national policy, inadequate regulations, limited rural financial services, restricted banking access and unsuitable financial products. While demand-side factors, such as low financial literacy and a lack of trust in the financial system, were observed, their influence was comparatively lower. The results underscore the complexity and interdependence of barriers to financial inclusion in developed countries. They challenge the assumption that high-income economies naturally foster inclusivity, suggesting that policies focusing solely on demand-side factors are insufficient. Instead, coordinated strategies addressing multiple barriers simultaneously are essential for advancing financial inclusion and promoting inclusive growth.</t>
  </si>
  <si>
    <t>[Vicedo, Jordi Capo] Univ Politecn Valencia, Dept Econ &amp; Social Sci, Plaza Ferrandiz &amp; Carbonell 2, Alcoy 03801, Alicante, Spain; [Tomas-Miquel, Jose-Vicente] Univ Politecn Valencia, Dept Business Adm, Plaza Ferrandiz &amp; Carbonell 2, Alcoy 03801, Alicante, Spain</t>
  </si>
  <si>
    <t>Universitat Politecnica de Valencia; Universitat Politecnica de Valencia</t>
  </si>
  <si>
    <t>Vicedo, JC (corresponding author), Univ Politecn Valencia, Dept Econ &amp; Social Sci, Plaza Ferrandiz &amp; Carbonell 2, Alcoy 03801, Alicante, Spain.</t>
  </si>
  <si>
    <t>jorcavi0@esp.upv.es</t>
  </si>
  <si>
    <t>Capó Vicedo, Jordi/R-9892-2018; Tomás-Miquel, José-Vicente/H-5127-2015</t>
  </si>
  <si>
    <t>Capó Vicedo, Jordi/0000-0003-1642-1590;</t>
  </si>
  <si>
    <t>MCIN / AEI/FEDER, UE [PID2021-126516NB-I00, MCIN/AEI/10.13039/501100011033/FEDER]</t>
  </si>
  <si>
    <t>MCIN / AEI/FEDER, UE</t>
  </si>
  <si>
    <t>The authors acknowledge the financial support provided by the PID2021-126516NB-I00 project funded by MCIN/AEI/10.13039/501100011033/FEDER, UE.</t>
  </si>
  <si>
    <t>10.3934/GF.2025004</t>
  </si>
  <si>
    <t>X5W2Y</t>
  </si>
  <si>
    <t>WOS:001426043600001</t>
  </si>
  <si>
    <t>Rohman, PS; Fianto, BA; Shah, SAA; Kayani, UN; Suprayogi, N; Supriani, I</t>
  </si>
  <si>
    <t>Rohman, Pupun Saepul; Fianto, Bayu Arie; Shah, Syed Alamdar Ali; Kayani, Umar Nawaz; Suprayogi, Noven; Supriani, Indri</t>
  </si>
  <si>
    <t>A review on literature of Islamic microfinance from 2010-2020: lesson for practitioners and future directions</t>
  </si>
  <si>
    <t>Islamic microfinance; Literature review; Future directions; Poverty</t>
  </si>
  <si>
    <t>MAAL-WA-TAMWIL; POVERTY ALLEVIATION; BAITUL-MAAL; FINANCIAL INCLUSION; SOCIAL BUSINESS; MICRO-CREDIT; INSTITUTIONS; MODEL; BANKS; POOR</t>
  </si>
  <si>
    <t>This study reviews the literature related to Islamic microfinance institutions (IMFI) published in reputable international journals. The manuscripts that have been collected consist of 71 papers that are classified into several study topics. The most researched topic is Poverty alleviation with as many as 25 papers (35%). Next are the papers with the topic of Waqf-based microfinance as many as 12 papers (17%). This follows with 11 papers on the topic of Marketing &amp; Fintech (15%), and 10 papers on the topic of Sustainability &amp; Outreach (14%). Meanwhile, the paper with the theme Maqashid Shariah ranks fifth with a total of 7 papers (10%). Finally, there are 6 papers with the theme of Risk management &amp; Governance (8%). At the end of each topic, the essence of research is presented for future research, which will be useful for academics and practitioners.</t>
  </si>
  <si>
    <t>[Rohman, Pupun Saepul] Mayasari Business Polytech, Dept Sharia Accounting, Mayasari Plaza Complex 1-4, Cihideung Dist 46122, Tasikmalaya, Indonesia; [Rohman, Pupun Saepul; Fianto, Bayu Arie; Shah, Syed Alamdar Ali; Suprayogi, Noven; Supriani, Indri] Univ Airlangga, Fac Econ &amp; Business, Dept Islam Econ, Jl Airlangga 4, Surabaya 60286, Indonesia; [Kayani, Umar Nawaz] Al Falah Univ, Coll Business Adm, Dubai, U Arab Emirates</t>
  </si>
  <si>
    <t>Fianto, BA (corresponding author), Univ Airlangga, Fac Econ &amp; Business, Dept Islam Econ, Jl Airlangga 4, Surabaya 60286, Indonesia.</t>
  </si>
  <si>
    <t>Supriani, Ini/JRY-5220-2023; Fianto, Bayu Arie/R-7393-2019; Kayani, Umar/AAN-3820-2021; Shah, Syed Alaar Ali/C-3011-2014; Suprayogi, Noven/HJH-2525-2023</t>
  </si>
  <si>
    <t>Supriani, Ini/0000-0001-5279-5042; Fianto, Bayu Arie/0000-0002-0163-2224; Kayani, Umar/0000-0003-1404-5288; Shah, Syed Alaar Ali/0000-0002-1606-3714; Saepul Rohman, Pupun/0000-0003-2555-0191; Suprayogi, Noven/0000-0002-3649-7325</t>
  </si>
  <si>
    <t>Universitas Airlangga</t>
  </si>
  <si>
    <t>This work is supported by Universitas Airlangga.</t>
  </si>
  <si>
    <t>e08549</t>
  </si>
  <si>
    <t>10.1016/j.heliyon.2021.e08549</t>
  </si>
  <si>
    <t>YD9SF</t>
  </si>
  <si>
    <t>WOS:000740772600007</t>
  </si>
  <si>
    <t>Trotta, A; Gallucci, C; Rania, F; Strano, E; Tipaldi, R</t>
  </si>
  <si>
    <t>Trotta, Annarita; Gallucci, Carmen; Rania, Francesco; Strano, Eugenia; Tipaldi, Riccardo</t>
  </si>
  <si>
    <t>The black box of digital finance: An umbrella review of the challenges and drawbacks in advancing financial inclusion</t>
  </si>
  <si>
    <t>Bibliometric; Digital finance; Financial inclusion; FinTech; Umbrella review</t>
  </si>
  <si>
    <t>FINTECH; MICROFINANCE; MODELS</t>
  </si>
  <si>
    <t>In recent years, scholars have highlighted the pivotal role of digital finance in promoting financial inclusion among underserved populations, alleviating urban poverty, supporting individuals and households, and fostering green economies. However, despite these benefits, digital finance also presents challenges and limitations, including the risk of triggering financial crises. Additionally, its antecedents, dynamics, and global impacts remain underexplored. This article addresses this gap using an umbrella review methodology-a review of reviews-which consolidates insights from existing literature to provide a comprehensive perspective. To achieve this, 47 systematic and bibliometric reviews published in Chartered Association of Business Schools (ABS)-ranked journals were analyzed. The analysis identifies five key barriers to financial inclusion via digital finance: accessibility, technological and ethical, and economic and structural challenges, as well as regulatory and policy barriers, and social and behavioral factors. This review introduces the concept of a digital finance black box, highlighting the uncertainty surrounding the outputs of financial inclusion initiatives resulting from policy interventions. It concludes by suggesting future research directions and offering recommendations for policymakers and practitioners.</t>
  </si>
  <si>
    <t>[Trotta, Annarita; Rania, Francesco; Strano, Eugenia] Univ Magna Graecia UMG Catanzaro, Dept Law Econ &amp; Sociol, Campus S Venuta,Viale Europa, I-88100 Catanzaro, Italy; [Gallucci, Carmen; Tipaldi, Riccardo] Univ Salerno, Dept Management &amp; Innovat Syst, Via Giovanni Paolo II 132, I-84084 Fisciano, SA, Italy; [Gallucci, Carmen] IPAG Business Sch, 184 Blvd St Germain, F-75006 Paris, France; [Tipaldi, Riccardo] Univ Essex, Essex Business Sch, Wivenhoe Pk, Colchester CO4 3SQ, England</t>
  </si>
  <si>
    <t>University of Salerno; IPAG Business School; University of Essex</t>
  </si>
  <si>
    <t>Rania, F (corresponding author), Univ Magna Graecia UMG Catanzaro, Dept Law Econ &amp; Sociol, Campus S Venuta,Viale Europa, I-88100 Catanzaro, Italy.</t>
  </si>
  <si>
    <t>trotta@unicz.it; cgallucci@unisa.it; raniaf@unicz.it; eugenia.strano@unicz.it; rtipaldi@unisa.it</t>
  </si>
  <si>
    <t>Tipaldi, Riccardo/JBS-3660-2023; Rania, Francesco/ABO-0156-2022</t>
  </si>
  <si>
    <t>Universita degli Studi Magna Graecia di Catanzaro within the CRUI-CARE Agreement</t>
  </si>
  <si>
    <t>Open access funding provided by Universita degli Studi Magna Graecia di Catanzaro within the CRUI-CARE Agreement.</t>
  </si>
  <si>
    <t>10.1016/j.ribaf.2025.103188</t>
  </si>
  <si>
    <t>9XR0N</t>
  </si>
  <si>
    <t>WOS:001617488400001</t>
  </si>
  <si>
    <t>Wang, L; Wu, YH; Huang, ZY; Wang, YA</t>
  </si>
  <si>
    <t>Wang, Li; Wu, Yuhan; Huang, Zeyu; Wang, Yanan</t>
  </si>
  <si>
    <t>How big data drives green economic development: Evidence from China</t>
  </si>
  <si>
    <t>big data; green economic development; technological progress; efficiency improvement; global MINDW-MML model</t>
  </si>
  <si>
    <t>PRODUCTIVITY; PERFORMANCE; INFORMATION; INNOVATION; EFFICIENCY; INDUSTRY</t>
  </si>
  <si>
    <t>Big data can improve production efficiency and optimize resource allocation, which is conductive to achieve sustainable development. This paper explores the impact of big data on green economic development. The global MINDW-MML model is used to measure green economic development and text analysis method is used to quantify the development of big data. An empirical study is conducted based on the panel data from 30 provinces in China from 2011 to 2018. Results show that, big data promotes the development of green economy and plays a greater role in facilitating technological progress than improving efficiency. As for sub-indicators of big data, cloud computing, Internet of things, artificial intelligence, and Hadoop positively affect technological progress, while blockchain can improve efficiency. In addition, the positive role of big data in promoting green technological progress and green efficiency will vary according to geographical location, the intensity of environmental governance and the development of digital financial inclusion. As moving into the good phase of the economy, big data is more inclined to enhance green technological progress, while in a sluggish phase, it improves green efficiency more. These findings point the way forward for sustainable development. The Chinese government can actively build information infrastructure and improve the technical level and application capacity of big data.</t>
  </si>
  <si>
    <t>[Wang, Li; Wu, Yuhan] East China Normal Univ, Fac Econ &amp; Management, Sch Econ, Shanghai, Peoples R China; [Huang, Zeyu] Renmin Univ China, Fac Econ, Sch Econ, Beijing, Peoples R China; [Wang, Yanan] South China Univ Technol, Sch Econ &amp; Finance, Guangzhou, Guangdong, Peoples R China</t>
  </si>
  <si>
    <t>East China Normal University; Renmin University of China; South China University of Technology</t>
  </si>
  <si>
    <t>Wang, YA (corresponding author), South China Univ Technol, Sch Econ &amp; Finance, Guangzhou, Guangdong, Peoples R China.</t>
  </si>
  <si>
    <t>wangyn518@sina.com</t>
  </si>
  <si>
    <t>Huang, Zeyu/KIL-3357-2024; Wang, Yanan/MEK-8891-2025</t>
  </si>
  <si>
    <t>Wang, Yanan/0000-0001-7910-8126</t>
  </si>
  <si>
    <t>Humanities and Social Sciences Project of the Ministry of Education of China; Guangdong Philosophy and Social Science Planning Project; [22YJA790055]; [21YJC790107]; [GD22YYJ06]</t>
  </si>
  <si>
    <t>Humanities and Social Sciences Project of the Ministry of Education of China; Guangdong Philosophy and Social Science Planning Project; ; ;</t>
  </si>
  <si>
    <t>Funding This work is supported by Humanities and Social Sciences Project of the Ministry of Education of China (Grant numbers 22YJA790055, Grant numbers 21YJC790107), Guangdong Philosophy and Social Science Planning Project (Grant numbers GD22YYJ06).</t>
  </si>
  <si>
    <t>10.3389/fenvs.2022.1055162</t>
  </si>
  <si>
    <t>6T7XC</t>
  </si>
  <si>
    <t>WOS:000893887700001</t>
  </si>
  <si>
    <t>Begum, H; Alam, ASAF; Mia, MA; Bhuiyan, F; Ghani, ABA</t>
  </si>
  <si>
    <t>Begum, Halima; Alam, A. S. A. Ferdous; Mia, Md Aslam; Bhuiyan, Faruk; Ghani, Ahmad Bashawir Abdul</t>
  </si>
  <si>
    <t>Development of Islamic microfinance: a sustainable poverty reduction approach</t>
  </si>
  <si>
    <t>Bangladesh; Sustainable development; Poverty alleviation; Islamic microfinance</t>
  </si>
  <si>
    <t>BANGLADESH; IMPACT; POOR; ACCESS</t>
  </si>
  <si>
    <t>Purpose Though microfinance has been working for many years as a tool to eradicate poverty from its root, most of the least developed and developing countries are yet to significantly alleviate it from the society. The purpose of this paper is to focus on Shariah-based microfinance products in the context of sustainable poverty alleviation approach and provide them financial benefits to enhance their livelihoods. Design/methodology/approach Here, this qualitative study critically analyzes the basics of the sustainable Islamic microfinance to exterminate the level of poverty. Findings Islamic microfinance is a more ethical practice than the traditional motives of profit maximization, and it encourages extending the time of repayment if the debtors are in hardship. In some case, it suggests to give charity if the creditor has capability. Research limitations/implications - Most importantly, research scholars and experts have already criticized the concept of conventional microfinance on the basis of various points, especially for its high rate of interest. Social implications - Islamic microfinance is provided with a view to fulfill two tools simultaneously, i.e., social and financial inclusion. In this case, credits and Zakah can be given to the extreme poor people for satisfying basic needs. In terms of social responsibility, Islam encourages the people to be soft in case of collecting the lending money. Originality/value The study discoursed that sustainable Islamic Microfinance (IM) may be a promising future option to draw the attention of the religiously sensitive people toward the Shariah-based microfinance which can, in turn, mitigate the poverty level.</t>
  </si>
  <si>
    <t>[Begum, Halima] Univ Kebangsaan Malaysia, Fac Social Sci &amp; Humanities, Bangi, Malaysia; [Alam, A. S. A. Ferdous; Ghani, Ahmad Bashawir Abdul] Univ Utara Malaysia, Sch Int Studies, Sintok, Malaysia; [Mia, Md Aslam] Univ Sains Malaysia, Sch Management, Gelugor, Malaysia; [Bhuiyan, Faruk] Macquarie Univ, Fac Business &amp; Econ, Sydney, NSW, Australia</t>
  </si>
  <si>
    <t>Universiti Kebangsaan Malaysia; Universiti Utara Malaysia; Universiti Sains Malaysia; Macquarie University</t>
  </si>
  <si>
    <t>Begum, H (corresponding author), Univ Kebangsaan Malaysia, Fac Social Sci &amp; Humanities, Bangi, Malaysia.</t>
  </si>
  <si>
    <t>halima.shilpi@gmail.com</t>
  </si>
  <si>
    <t>Alam, A S A Ferdous/I-4594-2014; Bhuiyan, Faruk/LCD-2353-2024; Ghani, Ahmad/AAO-2812-2021; Mia, Aslam/AAD-6996-2020; Begum, Halima/ABG-7850-2021</t>
  </si>
  <si>
    <t>Alam, A S A Ferdous/0000-0003-2413-3046; Begum, Halima/0000-0002-6424-4966</t>
  </si>
  <si>
    <t>10.1108/JEAS-01-2018-0007</t>
  </si>
  <si>
    <t>IW9GW</t>
  </si>
  <si>
    <t>WOS:000485302500002</t>
  </si>
  <si>
    <t>Sarkar, KK; Thapa, R</t>
  </si>
  <si>
    <t>Sarkar, Kaustav K.; Thapa, Rukmini</t>
  </si>
  <si>
    <t>Commercialization and Mission Drift in Microfinance: Implications for Rural India</t>
  </si>
  <si>
    <t>ASIAN JOURNAL OF AGRICULTURE AND DEVELOPMENT</t>
  </si>
  <si>
    <t>microfinance; mission drift; India; for-profit microfinance institutions; commercialization</t>
  </si>
  <si>
    <t>CRISIS</t>
  </si>
  <si>
    <t>The emergence of microfinance has been justified as a measure to occupy the empty space that was created with the retreat of formal banking as part of structural and neoliberal reforms for rural India in post-1990s. Worldwide, although the microfinance institution (MFI) has been flouted to provide credit to unbanked areas with the broader objectives of empowering people and eventually eradicating poverty, there is much disagreement among scholars regarding its actual achievements toward these goals. While some scholars are of the opinion that MFIs are currently in a phase of mission drift, based on their increasing commercialization, others argue that these institutions have been always driven by the neoliberal principles of maximizing profit. In view of the globally demonstrated changes in the features and operations of MFIs, this paper uses evidence from secondary data sources to flag the changing trends in credit market with particular reference to MFIs in India. We argue that these changes provide evidence of a mission drift in microfinance that must be critically examined against the backdrop of a chronic and persistent credit crisis in rural India, which may get further exacerbated by the increasing dominance of private credit players. At this juncture, instead of taking lessons and rectifying the existing lapses in enabling rural credit, the reorientation of the MFI's credit-delivery operation toward commercialization must be seen as a perilous step that could close the door of affordable credit to poor and petty borrowers. Chronic bottlenecks in credit delivery must be addressed through more permanent and holistic solutions.</t>
  </si>
  <si>
    <t>[Sarkar, Kaustav K.] Tata Inst Social Sci, Mumbai, Maharashtra, India</t>
  </si>
  <si>
    <t>Sarkar, KK (corresponding author), Tata Inst Social Sci, Mumbai, Maharashtra, India.</t>
  </si>
  <si>
    <t>kksarkar5@gmail.com; thaparukmini@gmail.com</t>
  </si>
  <si>
    <t>Sarkar, Kaustav K/GWC-4030-2022</t>
  </si>
  <si>
    <t>SOUTHEAST ASIAN REGIONAL CENTER GRADUATE STUDY &amp; RESEARCH AGRICULTURE</t>
  </si>
  <si>
    <t>LAGUNA</t>
  </si>
  <si>
    <t>UPLB CAMPUS, LOS BANOS, LAGUNA, 00000, PHILIPPINES</t>
  </si>
  <si>
    <t>1656-4383</t>
  </si>
  <si>
    <t>ASIAN J AGRIC DEV</t>
  </si>
  <si>
    <t>Asian J. Agric. Dev.</t>
  </si>
  <si>
    <t>10.37801/ajad2020.17.1.2</t>
  </si>
  <si>
    <t>LU8TJ</t>
  </si>
  <si>
    <t>WOS:000538021000002</t>
  </si>
  <si>
    <t>Loke, YJ</t>
  </si>
  <si>
    <t>Loke, Yiing-Jia</t>
  </si>
  <si>
    <t>THE INFLUENCE OF SOCIO-DEMOGRAPHIC AND FINANCIAL KNOWLEDGE FACTORS ON FINANCIAL MANAGEMENT PRACTICES OF MALAYSIANS</t>
  </si>
  <si>
    <t>Emergency Saving; Financial Capability; Financial Knowledge; Living within One's Means; Personal Finance</t>
  </si>
  <si>
    <t>EMERGENCY FUNDS; LITERACY</t>
  </si>
  <si>
    <t>Using the pilot survey data on Measuring financial literacy in 2010 from OECD (International Network for Financial Education, INFE), this paper aims to investigate the influence of socio-demographic and financial knowledge factors on four selected financial management practices of Malaysians. The four types of financial management practices are: whether the individual plans a budget, lives within their means, is prepared for income shock and owns an insurance policy. These four financial management practices are used to measure individuals' overall financial management behaviour. The measurement of financial management behaviour is divided into three levels depending on the type of financial management practices carried out by individuals. Ordered probit is used to determine socio-economic factors that are significant in explaining the varying differences in the financial management behaviours among Malaysians. The paper also identifies the financial knowledge gaps and investigates the levels of financial knowledge of Malaysians. While the majority of Malaysians show an average level of financial knowledge and plan their budget, many are financially unprepared for income shock and unexpected circumstances. The findings show that ethnicity, income, gender, regularity of income, education, age and financial knowledge have significant effect on individuals' financial management behaviour. The findings have implications for regulators, financial educators and consumer groups in their efforts to enhance individuals' financial management behaviour.</t>
  </si>
  <si>
    <t>[Loke, Yiing-Jia] Univ Sains Malaysia, Minden, Penang, Malaysia</t>
  </si>
  <si>
    <t>Loke, YJ (corresponding author), Univ Sains Malaysia, Sch Social Sci, Minden 11800, Penang, Malaysia.</t>
  </si>
  <si>
    <t>yjloke@usm.my</t>
  </si>
  <si>
    <t>Loke, Yiing Jia/A-6698-2010</t>
  </si>
  <si>
    <t>Loke, Yiing Jia/0000-0001-7405-4640</t>
  </si>
  <si>
    <t>Universiti Sains Malaysia [1001/PSOSIAL/816213]</t>
  </si>
  <si>
    <t>The author would like to thank Bank Negara Malaysia for the data used in the study. Opinions expressed are those of the author. Financial support from the Research University Grant of Universiti Sains Malaysia (1001/PSOSIAL/816213) is acknowledged.</t>
  </si>
  <si>
    <t>EZ5NP</t>
  </si>
  <si>
    <t>WOS:000404764400003</t>
  </si>
  <si>
    <t>Mejía, SH; García, EM</t>
  </si>
  <si>
    <t>Mejia, Sergio Hernandez; Garcia, Elena Moreno</t>
  </si>
  <si>
    <t>Savings for emergencies, inclusion and financial education in Mexico</t>
  </si>
  <si>
    <t>saving; education; emergencies; finance; inclusion; Mexico</t>
  </si>
  <si>
    <t>LITERACY; MILLENNIALS; TERM</t>
  </si>
  <si>
    <t>The aim of this research is to analyze the relationship between knowledge, education and financial inclusion of Mexicans and the owning of savings accounts for emergencies. The sociodemographic and financial determinants of savings accounts for emergencies are identified. For the analysis, the dichotomous Probit model is used with data from the 2018 National Survey of Financial Inclusion. Results show that financial knowledge, owning a financial accounts, financial training and owning physical assets have a positive effect on holding savings for emergencies. Holding a savings account is the most important predictor, whose effect on the probability of holding savings for emergencies is 12.96%. The people most likely to have an emergency fund are men, elderly, married, with a higher level of education, from an urban location, and those with few dependents. The findings may be useful for the design of financial education strategies that make it possible to enhance access of population to short-term savings products.</t>
  </si>
  <si>
    <t>[Mejia, Sergio Hernandez; Garcia, Elena Moreno] Univ Cristobal Colon, Veracruz, Mexico; [Mejia, Sergio Hernandez; Garcia, Elena Moreno] Tecnol Nacl Mexico, Ciudad de Mexico, Mexico</t>
  </si>
  <si>
    <t>García, EM (corresponding author), Km 1 8 Carretera Loma Del Cojolite, Misantla 93850, Veracruz, Mexico.</t>
  </si>
  <si>
    <t>emorenog@itsm.edu.mx</t>
  </si>
  <si>
    <t>Hernández, Sergio/GRF-1508-2022</t>
  </si>
  <si>
    <t>e1256</t>
  </si>
  <si>
    <t>10.21919/remef.v20i2.1256</t>
  </si>
  <si>
    <t>R4481</t>
  </si>
  <si>
    <t>WOS:001635602500002</t>
  </si>
  <si>
    <t>Tuffour, J; Acheampong, A; Mensah-Williams, E; Amonoo, JH</t>
  </si>
  <si>
    <t>Tuffour, James; Acheampong, Albert; Mensah-Williams, Enoch; Hector Amonoo, John</t>
  </si>
  <si>
    <t>Debt capital access procedures for small and medium-sized enterprises in an emerging economy: does financial knowledge matter?</t>
  </si>
  <si>
    <t>Small and medium-sized enterprises; debt capital accessibility; SME financing challenges; financial literacy; sustainable development goals; financial inclusion; Entrepreneurship and Small Business Management; Sustainability; Entrepreneurial Finance</t>
  </si>
  <si>
    <t>INVESTMENT DECISIONS; INFORMATION; GHANA</t>
  </si>
  <si>
    <t>Small and Medium-Sized Enterprises (SMEs) play a crucial role in the development of emerging economies. However, access to debt financing poses a major challenge to their sustenance and growth. This quantitative study explored the Perking order and trade-off theories to analyse data from 201 SME operators in Ghana on the effect of debt capital access procedures and financial knowledge. This study contributes to the ongoing discussion on SMEs' sustainable financing, and may influence policy on financial support to SMEs operating in marginalised sectors of emerging economies. The findings indicate that bureaucratic debt approval processes significantly hinder SMEs' access to debt finance. Again, we found that SME operators' financial knowledge does not aid access to debt capital. It is therefore suggested that simplifying credit approval processes and improving SME operators' financial literacy through training could enhance SMEs' ability to secure debt finance. This will contribute to the financial inclusion of marginalised groups and bridge the economic inequality gap to promote inclusive and sustainable growth. Additionally, we recommend that government agencies responsible for SMEs provide special funds to augment those provided by the private sector.</t>
  </si>
  <si>
    <t>[Tuffour, James] Burman Univ, Sch Business, Lacombe, AB, Canada; [Acheampong, Albert; Hector Amonoo, John] Univ Cape Coast, Sch Business, Dept Accounting, Cape Coast, Ghana; [Mensah-Williams, Enoch] Univ Cape Coast, Ctr Entrepreneurship &amp; Small Enterprise Dev, Cape Coast, Ghana</t>
  </si>
  <si>
    <t>University of Cape Coast; University of Cape Coast</t>
  </si>
  <si>
    <t>Acheampong, A (corresponding author), Univ Cape Coast, Sch Business, Dept Accounting, Cape Coast, Ghana.</t>
  </si>
  <si>
    <t>albertacheampong11@gmail.com</t>
  </si>
  <si>
    <t>Mensah-Williams, Enoch/ACK-0939-2022</t>
  </si>
  <si>
    <t>Tuffour, James/0000-0002-8447-7062</t>
  </si>
  <si>
    <t>10.1080/23311975.2025.2508368</t>
  </si>
  <si>
    <t>3HE4J</t>
  </si>
  <si>
    <t>WOS:001500249800001</t>
  </si>
  <si>
    <t>Grubbauer, M; Escobar, L</t>
  </si>
  <si>
    <t>Grubbauer, Monika; Escobar, Luisa</t>
  </si>
  <si>
    <t>World Bank experiments in housing: microfinance for self-organised housing in Mexico in the era of financial inclusion</t>
  </si>
  <si>
    <t>INTERNATIONAL JOURNAL OF HOUSING POLICY</t>
  </si>
  <si>
    <t>Housing microfinance; housing policy; Mexico; World Bank; self-help housing</t>
  </si>
  <si>
    <t>STATE; POLICY</t>
  </si>
  <si>
    <t>Framed by an agenda of financial inclusion, housing for and by the poor has become a field of experimentation. These experiments have included the introduction of small, non-mortgage loans dedicated to the construction and improvement of self-organised housing. This paper provides a close reading of how such housing microfinance schemes have been introduced in Mexico with the support of the World Bank since the early 2000s. We highlight how the roll-out of the new schemes has been facilitated through several loans aimed at structural reforms of the Mexican housing sector. Yet while wrapped in a pro-poor discourse, it ultimately served the goal of expanding housing finance to low and middle-income groups. The ensuing implementation, however, was a complex and protracted process. We argue that it was characterised by experimentation, negotiations, and failures, both within state institutions as well as between state actors, World Bank representatives, and civil society. The conclusion presents Mexico's housing agendas as a field of finance-induced experimentation, in which institutional ruptures resulting from the changes in government rub against the long-term engagement of local housing associations and activists. The latter have played an important role in setting noteworthy limits to financially driven interests.</t>
  </si>
  <si>
    <t>[Grubbauer, Monika; Escobar, Luisa] HafenCity Univ Hamburg, Hist &amp; Theory City, Hamburg, Germany</t>
  </si>
  <si>
    <t>Grubbauer, M (corresponding author), HafenCity Univ Hamburg, Hist &amp; Theory City, Hamburg, Germany.</t>
  </si>
  <si>
    <t>1949-1247</t>
  </si>
  <si>
    <t>1949-1255</t>
  </si>
  <si>
    <t>INT J HOUS POLICY</t>
  </si>
  <si>
    <t>Int. J. Hous. Policy</t>
  </si>
  <si>
    <t>10.1080/19491247.2021.1898897</t>
  </si>
  <si>
    <t>Environmental Studies; Regional &amp; Urban Planning; Urban Studies</t>
  </si>
  <si>
    <t>Environmental Sciences &amp; Ecology; Public Administration; Urban Studies</t>
  </si>
  <si>
    <t>XD9OT</t>
  </si>
  <si>
    <t>WOS:000723029800001</t>
  </si>
  <si>
    <t>Dagnachew, TG; Mawugatie, TW</t>
  </si>
  <si>
    <t>Dagnachew, Tefera Getachew; Mawugatie, Temeselew Woldetsadik</t>
  </si>
  <si>
    <t>The analysis of financial inclusion and its determinants in the rural area of south Wollo zone, Amhara Region, Ethiopia</t>
  </si>
  <si>
    <t>financial inclusion; binary logistic model; development and rural area</t>
  </si>
  <si>
    <t>The main goal of this study is to examine financial inclusion and related factors in rural South Wollo Zone areas. The binary logit model, primary and secondary data, and multi-stage sampling techniques were all applied in the study. Only 20.72 percent of those questioned in the rural South Wollo zone were given access to formal financial institutions, leaving 79.28 percent of those who were excluded. According to the report, access to traditional financial institutions is influenced favorably by factors such as affordability, financial literacy, age, and secondary education in rural areas, as well as the availability of Islamic banking services. Both the inability of rural inhabitants to access formal financial institutions and their lack of trust in traditional financial institutions represent significant obstacles. The study also looks into the expensive replacement of formal financial institutions in rural areas by traditional financial groups. Based on our research, we recommend that the government and other relevant organizations seek to improve the country's degree of financial inclusion in rural areas by offering formal financial services at a reasonable cost and by boosting the financial capacity of rural low-income groups.</t>
  </si>
  <si>
    <t>[Dagnachew, Tefera Getachew; Mawugatie, Temeselew Woldetsadik] Wollo Univ, Dept Econ, POB 1145, Dessie, Ethiopia</t>
  </si>
  <si>
    <t>Dagnachew, TG (corresponding author), Wollo Univ, Dept Econ, POB 1145, Dessie, Ethiopia.</t>
  </si>
  <si>
    <t>tgetachew54@gmail.com</t>
  </si>
  <si>
    <t>Mawugatie, Temeselew/LWI-0166-2024</t>
  </si>
  <si>
    <t>Woldetsadik, Temeselew/0000-0003-1856-4923</t>
  </si>
  <si>
    <t>Wollo University</t>
  </si>
  <si>
    <t>We appreciate the editor's feedback as well as that of the reviewers who chose to remain anonymous. We also acknowledge Wollo University's financial contribution to this work.</t>
  </si>
  <si>
    <t>10.1080/23322039.2022.2146298</t>
  </si>
  <si>
    <t>6D6OO</t>
  </si>
  <si>
    <t>WOS:000882807600001</t>
  </si>
  <si>
    <t>Atta-Ankomah, R; Adjei-Mantey, K; Amankwah, A</t>
  </si>
  <si>
    <t>Atta-Ankomah, Richmond; Adjei-Mantey, Kwame; Amankwah, Akuffo</t>
  </si>
  <si>
    <t>Digital financial services and livelihood diversification in rural Ghana</t>
  </si>
  <si>
    <t>Digital finance; mobile money; livelihood diversification; crops; livestock; non-farm enterprises; Goodness Aye, University of Agriculture, Makurdi Benue State, NIGERIA; Economics and Development; Economics; Development Studies; Finance; Rural Development; G50; I31; Q00; O39</t>
  </si>
  <si>
    <t>MOBILE MONEY; HOUSEHOLDS; INCLUSION; ADOPTION; PHONES; KENYA</t>
  </si>
  <si>
    <t>The emergence of digital financial systems, especially mobile money, has significantly changed the financial services space in sub-Saharan Africa in ways that promote financial inclusion among the poor, including those in rural communities. Focusing on mobile money, which is the main avenue for digital financial services for rural households in Ghana, this study investigates whether digital finance affects rural households' livelihood diversification, using a nationally representative data on Ghana. Employing several econometric methods, including instrumental variable techniques to address potential endogeneity bias, the study finds mobile money to be positively associated with households' choice of non-farm business as a livelihood option as well as their engagement in livestock production. However, we find a negative relationship between mobile money and diversification in crop production including the extent to which households engaged in the crop sector are able to diversify crop production. The implication is that when rural households have access to mobile money services, they produce fewer number of different crops while exploring non-farm activities and livestock production as additional livelihood options. The results underscore the need to address constraints that limit rural households' access to digital financial tools, especially mobile money, in Ghana and in similar developing country contexts. This study employs a nationally representative micro-data from rural Ghana to investigate the effect of digital finance on livelihood diversification using several econometric methods including instrumental variables to address potential endogeneity bias. The study represents a significant attempt at addressing an important gap in the existing literature which is about whether digital finance brings any value addition to livelihood diversification efforts by rural households. The key finding is that when rural agricultural households have access to digital financial services through mobile money, they produce fewer different crops, while exploring non-farm activities and livestock production as additional livelihood options. The finding implies that access to digital finance may influence rural households' ability to reallocate productive resources to areas that yield higher returns to their livelihoods and/or mitigate the risk of income loss. Expanding upon this finding with an exploration of the key correlates of diversification and access to digital finance, the study shows that addressing constraints to access to digital finance or mobile money (particularly, the limited mobile phone connectivity, electricity access or supply challenges, and low education or digital illiteracy in rural areas) is important for deepening livelihood diversification in rural Ghana.</t>
  </si>
  <si>
    <t>[Atta-Ankomah, Richmond] Univ Ghana, Inst Stat Social &amp; Econ Res, Legon, Ghana; [Adjei-Mantey, Kwame] Univ Environm &amp; Sustainable Dev, Dept Appl Econ, Somanya, Ghana; [Amankwah, Akuffo] Dev Data Grp, Living Stand Measurement Study, Washington, DC USA</t>
  </si>
  <si>
    <t>Atta-Ankomah, R (corresponding author), Univ Ghana, Inst Stat Social &amp; Econ Res, Legon, Ghana.</t>
  </si>
  <si>
    <t>attasnr@gmail.com</t>
  </si>
  <si>
    <t>; Adjei-Mantey, Kwame/LCE-0404-2024</t>
  </si>
  <si>
    <t>AMANKWAH, AKUFFO/0000-0002-2120-5035; Atta-Ankomah, Richmond/0000-0001-9982-9377</t>
  </si>
  <si>
    <t>10.1080/23322039.2024.2330434</t>
  </si>
  <si>
    <t>MZ2D7</t>
  </si>
  <si>
    <t>WOS:001197383200001</t>
  </si>
  <si>
    <t>Crowdfunding and entrepreneurial/SME finance: regulatory framework for financial inclusion</t>
  </si>
  <si>
    <t>Crowdfunding; Entrepreneurial/SME finance; Financial inclusion; Regulations</t>
  </si>
  <si>
    <t>Crowdfunding is considered an efficient alternative to traditional sources of finance that can enhance financial inclusion and reduce financing gaps faced by entrepreneurial firms and small and medium enterprises (SMEs). The growth of crowdfunding platforms (CFPs), however, depends on an enabling regulatory regime that can promote the objectives of innovation and financial inclusion on the one hand and mitigate the concerns of financial stability and consumer protection on the other hand. This article identifies some key elements of a sound regulatory framework that can promote CFPs to enhance entrepreneurial/SME finance and give opportunities to retail investors to invest in alternative assets while protecting them from large losses. The framework is used to assess regulatory regimes of CFPs in four GCC countries (Bahrain, Oman, Saudi Arabia and United Arab Emirates) by using content analysis of the relevant laws and regulations. The results show varied regulatory regimes in terms of institutional frameworks, types and scope of CFPs, the financing requirements for firms seeking funds and investment opportunities available to retail investors. The article concludes that the appropriate design of regulatory regimes is important for determining the scope of CFPs and their role in enhancing entrepreneurial/SME financing and financial inclusion.</t>
  </si>
  <si>
    <t>[Ahmed, Habib] Univ Durham, Business Sch, Durham, England; [Ahmed, Habib] Univ Jordan, Dept Islamic Banking, Amman, Jordan</t>
  </si>
  <si>
    <t>Ahmed, H (corresponding author), Univ Durham, Business Sch, Durham, England.;Ahmed, H (corresponding author), Univ Jordan, Dept Islamic Banking, Amman, Jordan.</t>
  </si>
  <si>
    <t>10.1057/s41261-025-00273-2</t>
  </si>
  <si>
    <t>7IG9G</t>
  </si>
  <si>
    <t>WOS:001456604800001</t>
  </si>
  <si>
    <t>Guermond, V; Lawreniuk, S; Estes, J; Green, WN; Parsons, L; Brickell, K</t>
  </si>
  <si>
    <t>Guermond, Vincent; Lawreniuk, Sabina; Estes, Jennifer; Green, W. Nathan; Parsons, Laurie; Brickell, Katherine</t>
  </si>
  <si>
    <t>Remittances as translocal collateral: How microfinance profitably sustains precarity in Cambodia</t>
  </si>
  <si>
    <t>microfinance; remittances; collateral; precarity; translocal</t>
  </si>
  <si>
    <t>MIGRATION; DEBT; FINANCIALISATION; MIGRANTS; POVERTY; GENDER</t>
  </si>
  <si>
    <t>In this paper, we explore how commercialised microfinance institutions and banks leverage remittance-related information to assess and provide microfinance loans to households in Cambodia. We argue that (microfinance) debt regimes profitably sustain precarity in the Cambodian translocal context. Building from five studies undertaken between 2014 and 2022, we illustrate our argument through a two-pronged approach. First, we critically unpack the empirical realities of the relationship between migration, remittances, and debt repayment. We show that the lending strategies of microfinance institutions and banks take into account the remittances received by rural households from adult children who have moved to cities or overseas. It is the social obligations within the family to remit money home - or 'filial debts' - that are being collateralised. As the monetary expression of these social obligations, remittances serve as a form of what we call 'translocal collateral' which (re)constitutes connections among family members across space to mitigate repayment risks for the microfinance industry, often at the expense of the well-being of its borrowers. Second, we contend that these financial institutions' lending practices - and the development programmes and policies that promote them - rely on translocal strategies of social reproduction that are unstable and fragile. Sudden interruptions in remittance flows can have significant ramifications for rural households, forcing them to deal not only with decreases in income but also looming debts to repay. This should serve as a call for caution among development practitioners and policymakers promoting the leveraging of remittances for financial inclusion.</t>
  </si>
  <si>
    <t>[Guermond, Vincent] Queen Mary Univ London, Sch Business &amp; Management, London, England; [Lawreniuk, Sabina] Univ Nottingham, Sch Geog, Nottingham, England; [Estes, Jennifer; Green, W. Nathan] Natl Univ Singapore, Dept Sociol &amp; Anthropol, Singapore City, Singapore; [Parsons, Laurie] Royal Holloway Univ London, Dept Geog, Egham, England; [Brickell, Katherine] Kings Coll London, Dept Geog, London, England</t>
  </si>
  <si>
    <t>University of London; Queen Mary University London; University of Nottingham; National University of Singapore; University of London; Royal Holloway University London; University of London; King's College London</t>
  </si>
  <si>
    <t>Guermond, V (corresponding author), Queen Mary Univ London, Mile End Rd, London E1 4NS, England.</t>
  </si>
  <si>
    <t>Vincent.guermond@qmul.ac.uk</t>
  </si>
  <si>
    <t>Estes, Jennifer/AAU-8747-2020; Green, W. Nathan/AAU-6799-2020; Parsons, Laurie/Q-2185-2019</t>
  </si>
  <si>
    <t>UK Research and Innovation's Global Challenges Research Fund [ES/T003191/1]; Engineering and Physical Sciences Research Council [EP/V026054/1]</t>
  </si>
  <si>
    <t>UK Research and Innovation's Global Challenges Research Fund; Engineering and Physical Sciences Research Council(UK Research &amp; Innovation (UKRI)Engineering &amp; Physical Sciences Research Council (EPSRC))</t>
  </si>
  <si>
    <t>The authors disclosed receipt of the following financial support for the research, authorship, and/or publication of this article: The 'Depleted by Debt' project was funded by the UK Research and Innovation's Global Challenges Research Fund (ES/T003191/1). The 'Refashion' study was supported by the UKRI (EP/V026054/1). The 'Landscapes of Debt' project was funded by the Center for Khmer Studies and the Fulbright Institute of International Education. The study entitled 'The Financialization of Agrarian Landcapes' was funded by a faculty start-up grant at the National University of Singapore (A-0003620-00-00). Estes' study was funded by the Fulbright Institute of International Education and the Center for Khmer Studies.</t>
  </si>
  <si>
    <t>2025 NOV 22</t>
  </si>
  <si>
    <t>10.1177/0308518X251396422</t>
  </si>
  <si>
    <t>A9354</t>
  </si>
  <si>
    <t>WOS:001620021000001</t>
  </si>
  <si>
    <t>Tia, J; Kuunibe, N; Nkegbe, PK</t>
  </si>
  <si>
    <t>Tia, Jonas; Kuunibe, Naasegnibe; Nkegbe, Paul Kwame</t>
  </si>
  <si>
    <t>Drivers of financial inclusion in Ghana: Evidence from microentrepreneurs in the Wa Municipality of the Upper West Region</t>
  </si>
  <si>
    <t>financial inclusion; microenterprise; probit regression; Ghana</t>
  </si>
  <si>
    <t>Globally Financial inclusion provides an opportunity to promote equal access to resources for all. One of the crucial catalysts for microenterprises development is access to the financial market. However, the growth of many microenterprises has been truncated in Ghana due to limited access to financial opportunities. Despite this challenge, little is known about the drivers of financial inclusion in Wa Municipality of the Upper West Region of Ghana. This paper examines the drivers of financial inclusion of microentrepreneurs in the Wa Municipality of the Upper West Region of Ghana. Using a close ended questionnaire, this study employed an exploratory survey design to collect data from 200 engaged in trading, manufacturing, and services. The respondents were sampled using a simple random sampling technique. Given that the outcome variable is binary, the study used a binary probit regression model for the data analysis. The results predicted that religion, awareness of loan services, business registration, and preparation of financial statements drive financial inclusion in Wa Municipality. From the results, the study recommends that financial service providers should consider social networks, entrepreneurial practice, gender and religion as sensitive drivers of financial inclusion. In addition, financial education should be intensified as knowledge of the available financial products is a key driver of financial inclusion in the Municipality. While this study has contributed to the body of literature on financial inclusion in Ghana, further research is necessary to identify consumer financial needs to meet clients' expectations.</t>
  </si>
  <si>
    <t>[Tia, Jonas] Jostimo Grp Co, Golbridge Associates, Tumu, Ghana; [Kuunibe, Naasegnibe] SDD Univ Business &amp; Integrated Dev Studies, Dept Econ, Wa, Ghana; [Nkegbe, Paul Kwame] Univ Dev Studies, Dept Appl Econ, Tamale, Ghana</t>
  </si>
  <si>
    <t>Tia, J (corresponding author), Jostimo Grp Co, Golbridge Associates, Tumu, Ghana.</t>
  </si>
  <si>
    <t>tiajonas@yahoo.com</t>
  </si>
  <si>
    <t>Kuunibe, Naasegnibe/HKW-2426-2023; Nkegbe, Paul/M-9283-2017</t>
  </si>
  <si>
    <t>10.1080/23322039.2023.2267854</t>
  </si>
  <si>
    <t>T8QL0</t>
  </si>
  <si>
    <t>WOS:001080574400001</t>
  </si>
  <si>
    <t>Mia, MA; Lee, HA</t>
  </si>
  <si>
    <t>Mia, Md Aslam; Lee, Hwok-Aun</t>
  </si>
  <si>
    <t>Mission drift and ethical crisis in microfinance institutions: What matters?</t>
  </si>
  <si>
    <t>Microfinance institutions; Financial inclusion; Mission drift; Sources of funds; Sustainable development; Bangladesh</t>
  </si>
  <si>
    <t>CAPITAL STRUCTURE; SOCIAL PERFORMANCE; OUTREACH; SUSTAINABILITY; IMPACT; EFFICIENCY; MODELS; GMM</t>
  </si>
  <si>
    <t>In recent years, financial interests have increasingly influenced microfinance institutions (MFIs), with financial gain overshadowing service to the poor. This phenomenon, which we can term mission drift, has caused apprehension among academicians as well as policy makers, for its negation of the fundamental social ethos of MFIs and the mandate of sustainable financial inclusion. Hence, this study aims to identify the factors of mission drift, with special emphasis on the role of funding sources. We collect data from a sample of 169 MFIs in Bangladesh from the period of 2009-2014, and deploy static and dynamic panel data estimation techniques. The results suggest that commercial fund is susceptible to mission drift, as average loan size over GNI per capita increases when MFIs use more commercial fund in their operation. The finding also revealed that when MFIs focus more on commercial interest (return on assets and operational sustainability), they tend to depart further from the original aim of serving the poorest of the poor. The findings further suggest that mission drift is influenced by other factors, such as, macroeconomic conditions and regulatory environment. This study underscores the importance for policy to ensure that poor people have viable access to financial services from MFIs, toward promoting long-term sustainable development. (C) 2017 Elsevier Ltd. All rights reserved.</t>
  </si>
  <si>
    <t>[Mia, Md Aslam; Lee, Hwok-Aun] Univ Malaya, Fac Econ &amp; Adm, Dept Dev Studies, Kuala Lumpur 50603, Malaysia; [Lee, Hwok-Aun] ISEAS Yusuf Ishak Inst, 30 Heng Mui Keng Terrace, Singapore 119614, Singapore</t>
  </si>
  <si>
    <t>Mia, MA (corresponding author), Univ Malaya, Fac Econ &amp; Adm, Dept Dev Studies, Kuala Lumpur 50603, Malaysia.</t>
  </si>
  <si>
    <t>mdaslam.mia@siswa.um.edu.my; lee_hwok_aun@iseas.edu.sg</t>
  </si>
  <si>
    <t>LEE, Hwok-Aun/B-8835-2010; Mia, Aslam/AAD-6996-2020</t>
  </si>
  <si>
    <t>Mia, Aslam/0000-0002-6452-1126</t>
  </si>
  <si>
    <t>Bright Spark Program (BSP), University of Malaya, Malaysia [BSP/APP/1590/2013]</t>
  </si>
  <si>
    <t>Bright Spark Program (BSP), University of Malaya, Malaysia</t>
  </si>
  <si>
    <t>We are very much thankful to the Editor and anonymous reviewers for their helpful comments and suggestions. A great deal of appreciation also goes to Assoc. Prof. Dr. VGR Chandran and Dr. Cheong Ke-Cheok for their insightful suggestion on the subject matter. We also thank Professor Peter Morgan (Asian Development Bank Institute, Japan) for his valuable comments and suggestions, as well as presenting this paper on behalf of us to the 5th International Seminar on Asia Pacific Economies (2017) held at the Xi'an Jiaotong-Liverpool University, China. The first author has also benefited discussion with his colleagues, notably, Zhang Cheng (Dana), Mushfique Ahmed, Sohel Rana, Khaled Saifullah, Halima Begam Shilpi, Dr. Rial Ferdous and Abu Hanifa Md. Noman on various occasions while preparing this manuscript. The first author also thankful to the Bright Spark Program (BSP), University of Malaya, Malaysia for funding his doctoral degree (Grant Number-BSP/APP/1590/2013). The second author was based at the University of Malaya when this study was conducted. All remaining errors are our own.</t>
  </si>
  <si>
    <t>10.1016/j.jclepro.2017.06.176</t>
  </si>
  <si>
    <t>FF8TM</t>
  </si>
  <si>
    <t>WOS:000409290700010</t>
  </si>
  <si>
    <t>Sahela, KZ; Susanti, R; Adjie, AR</t>
  </si>
  <si>
    <t>Sahela, Karisa Zeisha; Susanti, Riana; Adjie, Askardiya Radmoyo</t>
  </si>
  <si>
    <t>The Influence of Government Dimension on Financial Education and Empowerment of Micro-, Small- and Medium-Sized Enterprises in Indonesia</t>
  </si>
  <si>
    <t>Financial Education; MSMEs Empowerment; Entrepreneurship Theory</t>
  </si>
  <si>
    <t>The study examines the influence of the five pillars of inclusive financing on the empowerment of micro-, small- and medium-sized enterprises (MSMEs) and the influence of institutional conditions on the empowerment of MSMEs. This study uses primary and secondary data. The population of the study are MSMEs; the is a total of 930,620 MSMEs in Jakarta. Owners of micro-, small- and medium-sized enterprises is a good population to be measured because they are the main actors that know exactly the challenges and the obstacles in doing business addressing problems faced in inclusive financing, which is related to the purpose of the study. The research borrows from finance and entrepreneurial theories for model design. The results of the study show that all the variables are significant and positive in the efforts to finance MSMEs in Indonesia, which means that financial education plays an important role in the sustainability of financial inclusion. The financial theory, developed to explain financing at the company level, needs to be adapted to the entrepreneurial situation, so that it can explain the behavior of small businesses. This means that, with correct financial knowledge, financial inclusion plays an important role in the sustainability of MSMEs in Indonesia.</t>
  </si>
  <si>
    <t>[Sahela, Karisa Zeisha] Lincoln Univ Coll, Fac Business &amp; Accountancy, Management Dept, Kota Baharu 15050, Kelantan, Malaysia; [Susanti, Riana; Adjie, Askardiya Radmoyo] Sekolah Tinggi Ilmu Ekon IPWI Jakarta, Management Dept, Jakarta, Indonesia</t>
  </si>
  <si>
    <t>Lincoln University College</t>
  </si>
  <si>
    <t>Sahela, KZ (corresponding author), Lincoln Univ Coll, Fac Business &amp; Accountancy, Management Dept, Kota Baharu 15050, Kelantan, Malaysia.</t>
  </si>
  <si>
    <t>karisazeisha08@gmail.com; santihoesodo@gmail.com; ahoesodo@gmail.com</t>
  </si>
  <si>
    <t>10.13106/jafeb.2021.vol8.no3.0637</t>
  </si>
  <si>
    <t>WOS:000639112300063</t>
  </si>
  <si>
    <t>Iwashita, N</t>
  </si>
  <si>
    <t>Iwashita, Naoyuki</t>
  </si>
  <si>
    <t>Facebook's Libra is far from broad acceptance as a world currency</t>
  </si>
  <si>
    <t>EVOLUTIONARY AND INSTITUTIONAL ECONOMICS REVIEW</t>
  </si>
  <si>
    <t>Libra; Blockchain; Financial inclusion; Bitcoin; Regulation; Anti-money laundering</t>
  </si>
  <si>
    <t>Facebook's Libra intends to provide a financial infrastructure for the people living in the developing countries in which financial inclusion rates still fall low. Libra plans to stabilize the market by holding legal currencies as collateral. However, markets determine prices, and there is no guarantee that the prices can be controlled as intended. As long as a central authority holds legal currencies as collateral and issues the Libra, it cannot be a decentralized structure like bitcoin. Libra plans to move to a permissionless blockchain within 5 years, but no concrete steps have been proposed yet. Thus, it would be difficult for Libra to be realized and widely accepted as a world currency.</t>
  </si>
  <si>
    <t>[Iwashita, Naoyuki] Kyoto Univ, Sch Govt, Kyoto, Japan</t>
  </si>
  <si>
    <t>Iwashita, N (corresponding author), Kyoto Univ, Sch Govt, Kyoto, Japan.</t>
  </si>
  <si>
    <t>iwashita.naoyuki.7e@kyoto-u.ac.jp</t>
  </si>
  <si>
    <t>Iwashita, Naoyuki/0000-0001-8989-1804</t>
  </si>
  <si>
    <t>1349-4961</t>
  </si>
  <si>
    <t>2188-2096</t>
  </si>
  <si>
    <t>EVOL INST ECON REV</t>
  </si>
  <si>
    <t>Evol. Inst. Econ. Rev.</t>
  </si>
  <si>
    <t>10.1007/s40844-020-00165-2</t>
  </si>
  <si>
    <t>RO1DT</t>
  </si>
  <si>
    <t>WOS:000562487600001</t>
  </si>
  <si>
    <t>Reichel, V</t>
  </si>
  <si>
    <t>Reichel, Victoria</t>
  </si>
  <si>
    <t>Financial inclusion for women and men in artisanal gold mining communities: A case study from the Democratic Republic of the Congo</t>
  </si>
  <si>
    <t>EXTRACTIVE INDUSTRIES AND SOCIETY</t>
  </si>
  <si>
    <t>Financial inclusion; Artisanal gold mining; ASM; Democratic Republic of the Congo; Village Savings and Loans Associations; VSLA; Microfinance</t>
  </si>
  <si>
    <t>This article presents results from a community-led savings and credit project implemented by the Canadian non-governmental organization IMPACT in six artisanal gold mining communities in Ituri Province of the Democratic Republic of the Congo. The Artisanal Mining Women's Empowerment Credit &amp; Savings project (known in French as Autonomisation des femmes par l'epargne et le credit communautaire responsible or AFECCOR) supports more than 1400 women and men in artisanal gold mining communities to access savings and credit by establishing Village Savings and Loans Associations (VSLAs). While international development efforts increasingly focus on the formalization of the artisanal and smallscale mining (ASM) sector, how to improve the sector's access to formal financial services, including through microfinance, has not yet been fully explored. The results from the AFECCOR project are among some of the first documented experiences of introducing VSLAs into artisanal mining communities where they can positively contribute to cover basic financial needs.</t>
  </si>
  <si>
    <t>[Reichel, Victoria] IMPACT Transforming Nat Resource Management, 600-331 Cooper, Ottawa, ON K2P 0G5, Canada</t>
  </si>
  <si>
    <t>Reichel, V (corresponding author), IMPACT Transforming Nat Resource Management, 600-331 Cooper, Ottawa, ON K2P 0G5, Canada.</t>
  </si>
  <si>
    <t>vreichel@impacttransform.org</t>
  </si>
  <si>
    <t>2214-790X</t>
  </si>
  <si>
    <t>2214-7918</t>
  </si>
  <si>
    <t>EXTRACT IND SOC</t>
  </si>
  <si>
    <t>Extr. Ind. Soc.</t>
  </si>
  <si>
    <t>10.1016/j.exis.2019.05.003</t>
  </si>
  <si>
    <t>MA3LD</t>
  </si>
  <si>
    <t>WOS:000541817900021</t>
  </si>
  <si>
    <t>McKenzie, G; Slind, RT</t>
  </si>
  <si>
    <t>McKenzie, Grant; Slind, R. Todd</t>
  </si>
  <si>
    <t>A user-generated data based approach to enhancing location prediction of financial services in sub-Saharan Africa</t>
  </si>
  <si>
    <t>APPLIED GEOGRAPHY</t>
  </si>
  <si>
    <t>Financial access; User-generated content; Social media; Kenya; Random forest</t>
  </si>
  <si>
    <t>MOBILE PHONES; SOCIAL MEDIA; INFORMATION; ALGORITHMS; MODIS</t>
  </si>
  <si>
    <t>The recent increase in user-generated content and social media adoption in developing countries offers an unprecedented opportunity to better understand the accessibility and spatial distribution of financial services in sub-Saharan Africa. Financial inclusion has been identified as a priority by multiple agencies in the region and on-the-ground efforts are currently underway to identify previously unknown financial access points in numerous developing African countries. Existing techniques for estimating the location of these access points rely on spatial analysis of often outdated or unsuitable publicly available datasets such as population density, road networks, etc., as well as expensive and time consuming surveys of locals in the region. In this work we propose an approach to augment existing spatial data analysis techniques through the inclusion of user-generated geo-content and geo-social media data. Through a comparison of standard regression models and machine learning techniques, this work proposes the use of alternative data sources to build prediction models for identifying financial access locations in countries where current estimation models are insufficient. With a better understanding of geospatial distribution patterns this work aims at reducing data acquisition costs and providing decision makers with critical data more quickly and efficiently. Finally, we present a mobile application built on the outcomes of this analysis that is currently being used to better inform on-the-ground data collection efforts.</t>
  </si>
  <si>
    <t>[McKenzie, Grant] McGill Univ, Dept Geog, Montreal, PQ, Canada; [McKenzie, Grant; Slind, R. Todd] Spatial Dev Int, Seattle, WA USA</t>
  </si>
  <si>
    <t>McGill University</t>
  </si>
  <si>
    <t>McKenzie, G (corresponding author), McGill Univ, Dept Geog, Montreal, PQ, Canada.</t>
  </si>
  <si>
    <t>grant.mckenzie@mcgill.ca; tslind@spatialdev.com</t>
  </si>
  <si>
    <t>McKenzie, Grant/P-9383-2019</t>
  </si>
  <si>
    <t>McKenzie, Grant/0000-0003-3247-2777</t>
  </si>
  <si>
    <t>Bill &amp; Melinda Gates Foundation, Grand Challenges Explorations Initiative, Seattle WA [OPP1140466]; Bill and Melinda Gates Foundation [OPP1140466] Funding Source: Bill and Melinda Gates Foundation</t>
  </si>
  <si>
    <t>Bill &amp; Melinda Gates Foundation, Grand Challenges Explorations Initiative, Seattle WA; Bill and Melinda Gates Foundation(Bill &amp; Melinda Gates Foundation)</t>
  </si>
  <si>
    <t>This research was made possible in part through a grant from the Bill &amp; Melinda Gates Foundation, Grand Challenges Explorations Initiative, Seattle WA [Grant number OPP1140466]. We would also like to acknowledge the mobile application development work by the software and data science team at Spatial Development International and data collection efforts by Brand Fusion and the Humanitarian OpenStreetMap Team.</t>
  </si>
  <si>
    <t>0143-6228</t>
  </si>
  <si>
    <t>1873-7730</t>
  </si>
  <si>
    <t>APPL GEOGR</t>
  </si>
  <si>
    <t>Appl. Geogr.</t>
  </si>
  <si>
    <t>10.1016/j.apgeog.2019.02.005</t>
  </si>
  <si>
    <t>HT3QV</t>
  </si>
  <si>
    <t>WOS:000464479200003</t>
  </si>
  <si>
    <t>Maeenuddin; Hamid, SA; Fahlevi, M; Nassir, AM; Hashim, PM</t>
  </si>
  <si>
    <t>Maeenuddin; Hamid, Shaari Abd; Fahlevi, Mochammad; Nassir, Annuar M. D.; Hashim, Padzil Mohd</t>
  </si>
  <si>
    <t>Predictors of microfinance sustainability: Empirical evidence from Bangladesh</t>
  </si>
  <si>
    <t>Financial sustainability; microfinance; sustainability; national governance indicators; sustainability index; microfinance providers</t>
  </si>
  <si>
    <t>FINANCIAL SUSTAINABILITY; INSTITUTIONS; PERFORMANCE; IMPACT</t>
  </si>
  <si>
    <t>Poverty reduction and sustainability are the two major issues in achieving sustainable development. Microfinance emerged as an essential catalyst for socioeconomic development and financial inclusion to reduce poverty. MFIs cannot meet their primary objective of poverty reduction if they are not sustainable financially. With the theoretical support of the Profit Incentive theory, this paper examines the financial sustainability of microfinance providers (MFPs) in Bangladesh. A financial sustainability index (FSI) is developed by using Principal Component Analysis (PCA). This study analyzes the data using two-step system GMM from 2006 to 2018 collected from the MIX market of the World Bank. The results show that loan size, number of borrowers, percentage of women borrowers, and inflation significantly impact FSI positively. Organizational structure, liquidity, leverage, cost per borrower and GDP have significant negative impacts on the financial sustainability of the microfinance sector of Bangladesh. Upon further analysis, the estimates demonstrated that national governance indicators have a negative impact on the relationship between organizational structure, average loan balance per borrower and FSI. Similarly, a stronger national governance reduces (erases) the negative effect of number of borrowers and cost per borrower on FS of MFPs of Bangladesh. This study incorporated all six dimensions of the national governance indicators and developed a new financial sustainability index for measuring the financial sustainability of microfinance providers.</t>
  </si>
  <si>
    <t>[Maeenuddin; Hamid, Shaari Abd; Nassir, Annuar M. D.; Hashim, Padzil Mohd] Univ Putra Malaysia, Putra Business Sch, Serdang, Selangor, Malaysia; [Fahlevi, Mochammad] Bina Nusantara Univ, Management Dept, BINUS Online Learning, Jakarta, Indonesia; [Nassir, Annuar M. D.] Xiamen Univ Malaysia XMU, Sch Econ &amp; Management, Sepang, Malaysia; [Maeenuddin] Sromanzo,POB 18100,Barawal Bandi, Khyber Pakhtunkhwa, Pakistan</t>
  </si>
  <si>
    <t>Universiti Putra Malaysia; Universitas Bina Nusantara</t>
  </si>
  <si>
    <t>Maeenuddin (corresponding author), Univ Putra Malaysia, Putra Business Sch, Serdang, Selangor, Malaysia.;Maeenuddin (corresponding author), Sromanzo,POB 18100,Barawal Bandi, Khyber Pakhtunkhwa, Pakistan.</t>
  </si>
  <si>
    <t>moin.karim7744@gmail.com</t>
  </si>
  <si>
    <t>, Maeenuddin/AAU-5000-2020; Fahlevi, Mochammad/C-4911-2019</t>
  </si>
  <si>
    <t>, Maeenuddin/0000-0001-8722-2180; Fahlevi, Mochammad/0000-0002-1419-8308</t>
  </si>
  <si>
    <t>10.1080/23322039.2023.2202964</t>
  </si>
  <si>
    <t>F1TH7</t>
  </si>
  <si>
    <t>WOS:000980236600001</t>
  </si>
  <si>
    <t>Bussoli, C; Fattobene, L; Intini, S</t>
  </si>
  <si>
    <t>Bussoli, Candida; Fattobene, Lucrezia; Intini, Silvia</t>
  </si>
  <si>
    <t>Achieving SDG 5 through the Digitalization of the Financial System: Gender Gap and Digital Financial Behaviour</t>
  </si>
  <si>
    <t>Gender equality; 2030 Agenda; Digital Financial Behaviour; Financial Inclusion; Fintech</t>
  </si>
  <si>
    <t>INDIVIDUAL-DIFFERENCES; LITERACY</t>
  </si>
  <si>
    <t>Financial inclusion plays a crucial role in enabling sustainable development, a key objective of the 2030 agenda, containing the 17 UN Sustainable Development Goals (SDGs). The digitisation of the financial system and the spread of digital financial services (DFS) are crucial in enhancing financial inclusion. A positive impact is emerging in improving the participation and involvement of female individuals in the financial system. Greater financial inclusion of women, leading them to greater financial independence and autonomy, makes the 2030 Agenda's goal of gender equality (SDG 5) more easily achievable. The study investigates retail consumers' financial behaviour through digital channels, studying its determinants. This study also aims to understand female digital financial behaviour and what skills and knowledge need to be improved to increase women's participation in the digitisation of the financial system. This paper delves into the crucial relationship between individual differences in financial, digital, and cryptocurrency literacy and cognitive schema towards automated systems (PAS) and digital financial behaviour (DFB). DFB, the inclination of individuals to use digital channels for financial instruments and services, is a key focus. The findings underscore the significance of gender differences, with women showing a lower attitude toward active DFB than men. However, a higher level of financial literacy, digital literacy, knowledge of cryptocurrencies, and PAS are all found to be significant and positively related to active DFB. These new skills and their increased dissemination could be a game-changer, fostering greater participation of women in the digitisation of the financial system. Therefore, initiatives aimed at enhancing these skills that positively influence DFB would fortify financial inclusion and gender equality, thereby supporting the achievement of the 2030 Agenda for gender equality.</t>
  </si>
  <si>
    <t>[Bussoli, Candida; Intini, Silvia] Univ LUM Giuseppe Degennaro, Dept Management Finance &amp; Technol, SS 100 Km 18, I-70010 Bari, Italy; [Fattobene, Lucrezia] Univ Roma Tor Vergata, Dept Management &amp; Law, Rome, Italy</t>
  </si>
  <si>
    <t>University of Rome Tor Vergata</t>
  </si>
  <si>
    <t>Intini, S (corresponding author), Univ LUM Giuseppe Degennaro, Dept Management Finance &amp; Technol, SS 100 Km 18, I-70010 Bari, Italy.</t>
  </si>
  <si>
    <t>WOS:001524978800158</t>
  </si>
  <si>
    <t>Shikur, AA; Akkas, E</t>
  </si>
  <si>
    <t>Shikur, Anwar Adem; Akkas, Erhan</t>
  </si>
  <si>
    <t>Islamic microfinance services: a catalyst for poverty reduction in eastern Ethiopia</t>
  </si>
  <si>
    <t>Microfinance; Binary logistic model; Poverty reduction; Ethiopia</t>
  </si>
  <si>
    <t>ALLEVIATION</t>
  </si>
  <si>
    <t>PurposeThis study aims to examine the influence of Islamic microfinance services (IMFS) on poverty reduction in the eastern part of Ethiopia.Design/methodology/approachA binary logistic regression model was used to analyze poverty reduction and income, education, household size, age and saving of IMFS through a semi-closed questionnaire by using a purposive sampling technique. A semi-closed interview with higher officials from an Islamic microfinance service was also used.FindingsThe study results show that the income, education, household size and age of the IMFS' clients are the major influencing factors that affect poverty reduction in Ethiopia.Practical implicationsThe study's findings provide insights for policymakers to revise intensively their regulations and directives for Islamic microfinance operators. It emphasizes the government's role in serving the community's interests through financial inclusion and in developing programs to enhance the effectiveness of Islamic microfinance operations in the poverty reduction process. As a social implication, Islamic microfinance service providers gain insights into how beneficiary-side variables contribute to the country's poverty reduction after offering Islamic microfinance products to them.Originality/valueThe results of this study are distinctive because they show how poverty reduction in Ethiopia is influenced by how income level is increased, how better educational level is attained, how household size is managed and how well the age of the client is effectively used for productivity. The paper also provides a new view of Islamic microfinance in Ethiopia, its influencing factors for poverty reduction and challenges with the operating system.</t>
  </si>
  <si>
    <t>[Shikur, Anwar Adem] Sakarya Univ, Dept Islamic Econ &amp; Finance, Serdivan, Turkiye; [Akkas, Erhan] Sakarya Univ, Fac Polit Sci, Dept Islamic Econ &amp; Finance, Serdivan, Turkiye</t>
  </si>
  <si>
    <t>Sakarya University; Sakarya University</t>
  </si>
  <si>
    <t>Akkas, E (corresponding author), Sakarya Univ, Fac Polit Sci, Dept Islamic Econ &amp; Finance, Serdivan, Turkiye.</t>
  </si>
  <si>
    <t>erhanakkas@sakarya.edu.tr</t>
  </si>
  <si>
    <t>Shikur, Anwar Adem/HOA-9848-2023; Akkas, Erhan/ABF-1698-2021</t>
  </si>
  <si>
    <t>Shikur, Anwar Adem/0000-0001-8738-098X; Akkas, Erhan/0000-0002-7370-6050</t>
  </si>
  <si>
    <t>It is with the utmost sincerity and deepest gratitude that authors extend their heartfelt acknowledgement to the esteemed Dire Microfinance (S.C) and Harar Microfinance (S.C) Islamic Microfinance Directorates for their unwavering and invaluable support.</t>
  </si>
  <si>
    <t>10.1108/IMEFM-09-2023-0327</t>
  </si>
  <si>
    <t>WOS:001269281700001</t>
  </si>
  <si>
    <t>Cevik, S</t>
  </si>
  <si>
    <t>Cevik, Serhan</t>
  </si>
  <si>
    <t>Promise (Un)Kept? Fintech and Financial Inclusion</t>
  </si>
  <si>
    <t>SCOTTISH JOURNAL OF POLITICAL ECONOMY</t>
  </si>
  <si>
    <t>financial inclusion; financial innovation; Fintech</t>
  </si>
  <si>
    <t>STABILITY</t>
  </si>
  <si>
    <t>The emergence of financial technologies-fintech-has become an engine of change, promising to expand access to financial services and give a boost to financial inclusion. The ownership of accounts in formal financial institutions increased from 51% of the world's adult population in 2011 to 76% in 2021, but there is still significant variation across countries. So has the rapid growth of fintech delivered the promise of broadening financial services to the under-served populations? In this paper, I use a comprehensive dataset to investigate the relationship between fintech and financial inclusion in a panel of 84 countries over the period 2012-2020 and obtain interesting empirical insights. First, the magnitude and statistical significance of fintech on financial inclusion vary according to the type of instrument. While digital lending has a significant negative effect on financial inclusion, digital capital raising is statistically insignificant. Second, the overall impact of fintech is also statistically insignificant for the full sample, but becomes positive and statistically highly significant in developing countries. Policymakers need to develop an adequate regulatory framework that balances fostering innovation and ensuring equitable treatment of individuals and groups. This requires better financial education, strong regulatory institutions, and well-calibrated prudential regulations for a level playing field and effective supervision.</t>
  </si>
  <si>
    <t>[Cevik, Serhan] Int Monetary Fund, Washington, DC 20431 USA</t>
  </si>
  <si>
    <t>Cevik, S (corresponding author), Int Monetary Fund, Washington, DC 20431 USA.</t>
  </si>
  <si>
    <t>scevik@imf.org</t>
  </si>
  <si>
    <t>Cevik, Serhan/0000-0002-2373-2023</t>
  </si>
  <si>
    <t>0036-9292</t>
  </si>
  <si>
    <t>1467-9485</t>
  </si>
  <si>
    <t>SCOT J POLIT ECON</t>
  </si>
  <si>
    <t>Scott. J. Polit. Econ.</t>
  </si>
  <si>
    <t>10.1111/sjpe.70012</t>
  </si>
  <si>
    <t>4JX1G</t>
  </si>
  <si>
    <t>WOS:001479152300001</t>
  </si>
  <si>
    <t>Kazemikhasragh, A; Pineda, MVB</t>
  </si>
  <si>
    <t>Kazemikhasragh, Amirreza; Pineda, Marianna Vanessa Buoni</t>
  </si>
  <si>
    <t>Financial inclusion and education: An empirical study of financial inclusion in the face of the pandemic emergency due to Covid-19 in Latin America and the Caribbean</t>
  </si>
  <si>
    <t>financial inclusion; gender diversity; stringency; sustainable development</t>
  </si>
  <si>
    <t>WOMEN ENTREPRENEURS; GENDER; POVERTY; GROWTH</t>
  </si>
  <si>
    <t>Financial inclusion and education contribute to a country's development and economic growth. However, despite the significant efforts being made to increase access to financial products for women, a high percentage still do not have access to and effective use of formal financial services in the countries of Latin America and the Caribbean. This study analyzes financial inclusion (based on gender equality) in the countries studied using a pooled-panel ordinary least squares econometric technique. Furthermore, the impact of interactions between the level of study, use of technology, academic degree during the Covid-19 restrictions, number of credit borrowers, and number of borrowers with the interaction of the restrictions during the health emergency was evaluated employing the Gini coefficient and human development index (HDI). This study confirms that Latin America and the Caribbean countries can increase financial inclusion by changing their social aspects based on gender equality to ease using technology and access to credit. The results of this study are helpful for policy-makers in formulating and implementing policies that lead to action plans that reverse an exclusionary financial system, promote financial education, and empower women.</t>
  </si>
  <si>
    <t>[Kazemikhasragh, Amirreza] Univ Bologna, Dept Management, Via Capo di Lucca 34, I-40126 Bologna, Italy; [Pineda, Marianna Vanessa Buoni] Univ Bologna, Fac Econ, Bologna, Italy</t>
  </si>
  <si>
    <t>University of Bologna; University of Bologna</t>
  </si>
  <si>
    <t>Kazemikhasragh, A (corresponding author), Univ Bologna, Dept Management, Via Capo di Lucca 34, I-40126 Bologna, Italy.</t>
  </si>
  <si>
    <t>amirkazemi@outlook.com</t>
  </si>
  <si>
    <t>Kazemikhasragh, Amirreza/AAD-9634-2021; Buoni Pineda, Marianna Vanessa/AGE-9352-2022</t>
  </si>
  <si>
    <t>Kazemikhasragh, Amirreza/0000-0001-9257-2505; Buoni Pineda, Marianna Vanessa/0000-0002-0439-7901</t>
  </si>
  <si>
    <t>10.1111/rode.12884</t>
  </si>
  <si>
    <t>2W6VM</t>
  </si>
  <si>
    <t>WOS:000777557900001</t>
  </si>
  <si>
    <t>Bendig, M; Arun, T</t>
  </si>
  <si>
    <t>Bendig, Mirko; Arun, Thankom</t>
  </si>
  <si>
    <t>Uptake of Multiple Microinsurance Schemes: Evidence from Sri Lanka</t>
  </si>
  <si>
    <t>microinsurance; microfinance; household behaviour; Sri Lanka</t>
  </si>
  <si>
    <t>HEALTH-INSURANCE; PARTICIPATION; SELECTION; BARRIERS; MARKET; IMPACT</t>
  </si>
  <si>
    <t>Since it is common among households to use more than one form of microinsurance, this paper estimates the uptake of different kinds of microinsurance by the same population. We use a multivariate probit model which examines the participation in the different forms of insurance simultaneously. By doing this, we can establish whether participation patterns in different types of microinsurance options indicate if the participation in specific insurance schemes is complementary or a substitute. We establish that membership of a microfinance institution means that households are more likely to have purchased an insurance policy. Furthermore, the study describes a need for more inclusive and composite packages of microinsurance products for greater financial inclusion of the poor.</t>
  </si>
  <si>
    <t>[Bendig, Mirko] PhantoMinds, Geschwister Scholl Str 86, D-20251 Hamburg, Germany; [Arun, Thankom] Univ Essex, Essex Business Sch, Wivenhoe Pk, Colchester CO4 3SQ, Essex, England</t>
  </si>
  <si>
    <t>University of Essex</t>
  </si>
  <si>
    <t>Bendig, M (corresponding author), PhantoMinds, Geschwister Scholl Str 86, D-20251 Hamburg, Germany.;Arun, T (corresponding author), Univ Essex, Essex Business Sch, Wivenhoe Pk, Colchester CO4 3SQ, Essex, England.</t>
  </si>
  <si>
    <t>mirko@phantominds.com; tarun@essex.ac.uk</t>
  </si>
  <si>
    <t>British Academy [SG-44036]</t>
  </si>
  <si>
    <t>British Academy(British AcademyInstituto Politecnico Nacional - Mexico)</t>
  </si>
  <si>
    <t>The financial support for the research underlying this paper was provided by the British Academy (SG-44036) and we gratefully acknowledge the support of the Institute of Policy Studies of Sri Lanka (IPS) in carrying out the field survey. All errors are our own.</t>
  </si>
  <si>
    <t>10.1057/gpp.2015.36</t>
  </si>
  <si>
    <t>DI3VM</t>
  </si>
  <si>
    <t>WOS:000373427000003</t>
  </si>
  <si>
    <t>Cakhyaneu, A; Muhammad, M; Anwar, R; Sari, E</t>
  </si>
  <si>
    <t>Cakhyaneu, Aneu; Muhammad, Mumuh; Anwar, Rofiq; Sari, Emre</t>
  </si>
  <si>
    <t>EXPLORING THE DETERMINANTS OF FINANCIAL WELLBEING: AN EMPIRICAL STUDY IN MUSLIM-MAJORITY COUNTRIES</t>
  </si>
  <si>
    <t>Education; Financial capability; Financial well-being (FWB); Religiosity</t>
  </si>
  <si>
    <t>MARITAL-STATUS; RELIGIOSITY; LIFE; EDUCATION; ADULTS; HEALTH; INCOME</t>
  </si>
  <si>
    <t>Purpose - This study explores the financial well-being (FWB) of Muslim countries. It particularly examines the effect of financial capability, religiosity, and education level on FWB. Design/Methodology/Approach - The data utilised was obtained from the World Values Survey. The data analysis used was the ordered logit/probit regression analysis with a sample of 20,701 respondents from 16 countries. To measure FWB, this study uses both objective and subjective FWB. Findings - The results show the average FWB in the medium category, reflecting a moderate level where individuals neither face substantial financial difficulties nor achieve full financial satisfaction. The feeling of happiness is an important factor for a person to achieve high FWB even though they have a relatively low income or are relatively satisfied with their financial situation. Religiosity and education level have a positive effect on FWB while financial capability in success (hard work) has a negative effect, but saving has a positive effect on FWB. Originality/Value - This paper is the first to highlight the determinants of FWB in Muslim-majority countries with insights from World Values Survey data. The study contributes to the literature on FWB, specifically in the context of Muslim-majority countries. Research Limitations/Implications - A limitation of this study relates to the data availability and its use of some independent variables based on World Values Survey data. From a theoretical perspective, the research contributes to a better understanding of the factors influencing FWB. Practical Implications - One of the policy implications of this research is for governments to strengthen financial education that is integrated with religious values to encourage wiser financial management while adhering to religious principles. Practically, this study encourages individuals to improve financial literacy while considering religious values; financial institutions can also provide relevant financial services that accommodate religious needs. Individuals are advised to not only pursue high income but also to prioritise satisfaction and happiness through a healthy work-life balance.</t>
  </si>
  <si>
    <t>[Cakhyaneu, Aneu; Anwar, Rofiq] Univ Gadjah Mada, Doctoral Program Islamic Econ &amp; Halal Ind, Grad Sch, Yogyakarta, Indonesia; [Cakhyaneu, Aneu; Muhammad, Mumuh] Univ Pendidikan Indonesia, Dept Islamic Econ &amp; Finance, Bandung, Indonesia; [Anwar, Rofiq] Sekolah Tinggi Agama Islam Senori, Dept Islamic Econ, Tuban, Indonesia; [Sari, Emre] Istanbul Univ, Sch Business, Istanbul, Turkiye</t>
  </si>
  <si>
    <t>Gadjah Mada University; Universitas Pendidikan Indonesia; Istanbul University</t>
  </si>
  <si>
    <t>Cakhyaneu, A (corresponding author), Univ Gadjah Mada, Doctoral Program Islamic Econ &amp; Halal Ind, Grad Sch, Yogyakarta, Indonesia.</t>
  </si>
  <si>
    <t>aneucakhyaneu@mail.ugm.ac.id</t>
  </si>
  <si>
    <t>Muhammad, Mumuh/HPF-6190-2023</t>
  </si>
  <si>
    <t>Muhammad, Mumuh/0000-0002-1995-8724; Anwar, Rofiq/0009-0006-0303-3889</t>
  </si>
  <si>
    <t>10.55188/ijifsd.v16i4.807</t>
  </si>
  <si>
    <t>WOS:001444377700006</t>
  </si>
  <si>
    <t>Ciriello, RF</t>
  </si>
  <si>
    <t>Ciriello, Raffaele Fabio</t>
  </si>
  <si>
    <t>Tokenized index funds: A blockchain-based concept and a multidisciplinary research framework</t>
  </si>
  <si>
    <t>Blockchain; Index funds; Tokenized securities; Stablecoins; Finance; Investing</t>
  </si>
  <si>
    <t>MUTUAL FUNDS; PERFORMANCE; TECHNOLOGY; BUSINESS; PRICE</t>
  </si>
  <si>
    <t>In response to the bleak prospects of today's financial markets, a wave of financial and technological innovations emerges, bringing about potential benefits but also new challenges. For instance, tokenized securities are a new kind of blockchain-based asset enabling price stability, programmability, pseudonymity, and transaction efficiency, while also introducing new regulatory challenges and uncertainties. Conversely, index funds are an established investment device enabling broad diversification in a cost-effective, tax-efficient, and transparent way, while potentially also contributing to concentration of market power, intermediation cost, access barriers for underbanked or impoverished investors, increased market volatility, and human behavioral challenges. This paper conceptually develops Tokenized Index Funds as a hybrid approach that combines the benefits of tokenized securities and index funds while alleviating some of their drawbacks. Based thereupon, a corresponding multidisciplinary research framework is presented, with sample research questions along the activities of design and features, business and economics, management and organization, and law and regulation.</t>
  </si>
  <si>
    <t>[Ciriello, Raffaele Fabio] Univ Sydney, Business Sch, Business Informat Syst Discipline, Business Informat Syst, 21-23 Codrington St, Sydney, NSW 2006, Australia</t>
  </si>
  <si>
    <t>Ciriello, RF (corresponding author), Univ Sydney, Business Sch, Business Informat Syst Discipline, Business Informat Syst, 21-23 Codrington St, Sydney, NSW 2006, Australia.</t>
  </si>
  <si>
    <t>raffaele.ciriello@sydney.edu.au</t>
  </si>
  <si>
    <t>Ciriello, Raffaele Fabio/AAM-2649-2021</t>
  </si>
  <si>
    <t>Ciriello, Raffaele Fabio/0000-0002-5073-6310</t>
  </si>
  <si>
    <t>10.1016/j.ijinfomgt.2021.102400</t>
  </si>
  <si>
    <t>WC6LL</t>
  </si>
  <si>
    <t>WOS:000704367600004</t>
  </si>
  <si>
    <t>Chowa, G; Ansong, D; Despard, MR</t>
  </si>
  <si>
    <t>Chowa, Gina; Ansong, David; Despard, Mathieu R.</t>
  </si>
  <si>
    <t>Financial Capabilities: Multilevel Modeling of the Impact of Internal and External Capabilities of Rural Households</t>
  </si>
  <si>
    <t>SOCIAL WORK RESEARCH</t>
  </si>
  <si>
    <t>bank savings; financial capability; multilevel modeling; rural households; Uganda</t>
  </si>
  <si>
    <t>ASSETS; RACE/ETHNICITY; SAVINGS; BANKING; ACCESS</t>
  </si>
  <si>
    <t>In recent years, discussion about the financial capability of rural households has increased. Although studies have conceptualized what financial capability means, there is a dearth of empirical evidence that addresses how the different components of financial capability interact to improve savings outcomes, especially in rural households in sub-Saharan Africa. In this article, the authors use data from an asset-building project in Masindi, Uganda, and a multilevel logistic regression approach to model the likelihood of households contributing to a savings account in a bank. The advantage of a multilevel modeling approach is that it will allow for understanding how contextual factors, such as proximity to the bank and the presence of informal savings mechanisms, affect how households save. Findings suggest that community characteristics affect rural households' financial capability. The study also shows that financial education and the existence of informal savings groups are associated with the households' saving behaviors and that internal and external factors are important in shaping them. The implications of the findings and the importance of using the correct method of analysis are discussed.</t>
  </si>
  <si>
    <t>[Chowa, Gina; Ansong, David; Despard, Mathieu R.] Univ N Carolina, Chapel Hill, NC USA</t>
  </si>
  <si>
    <t>Ansong, D (corresponding author), 325 Pittsboro St,3550, Chapel Hill, NC 27599 USA.</t>
  </si>
  <si>
    <t>; Chowa, Gina/L-4721-2019; Ansong, David/P-6162-2016</t>
  </si>
  <si>
    <t>1070-5309</t>
  </si>
  <si>
    <t>1545-6838</t>
  </si>
  <si>
    <t>SOC WORK RES</t>
  </si>
  <si>
    <t>Soc. Work Res.</t>
  </si>
  <si>
    <t>10.1093/swr/svu002</t>
  </si>
  <si>
    <t>AH1SH</t>
  </si>
  <si>
    <t>WOS:000335900700004</t>
  </si>
  <si>
    <t>Dafe, F</t>
  </si>
  <si>
    <t>Dafe, Florence</t>
  </si>
  <si>
    <t>Ambiguity in international finance and the spread of financial norms: the localization of financial inclusion in Kenya and Nigeria</t>
  </si>
  <si>
    <t>Global finance; spread of norms; central banking; financial inclusion; Africa; structural power</t>
  </si>
  <si>
    <t>POLICY DIFFUSION; POLITICS; RECURSIVITY; POWER; MICROFINANCE; VARIETIES; POVERTY; STATE; IDEAS</t>
  </si>
  <si>
    <t>Despite powerful pressures for convergence towards global financial norms we do not see uniform outcomes across the globe. Instead, local agents seek to adapt foreign agendas to local conditions. While scholarship has illustrated the localization of global norms, we still lack a systematic understanding of why certain localized norms emerge and how we can explain agency in the face of pressures for policy convergence. I offer an analysis of the spread of the financial inclusion agenda to highlight the role that ambiguity in global financial norms and the structural dependence on capital play in explaining the emergence of specific localized norms. Using case studies of central bank promotion of financial inclusion in Kenya and Nigeria, I argue that the ambiguity of the concept of financial inclusion made it compatible with the pre-existing beliefs of local central bankers and helped them to navigate their socio-political environments to implement their preferred vision of financial inclusion. The cases also show that while ambiguity enhances agency, the structural dependence on capital constrains it. More broadly, the study highlights the constructive role ambiguity may play in the spread of financial norms and the agency developing countries may exercise in their engagement with global norms.</t>
  </si>
  <si>
    <t>[Dafe, Florence] London Sch Econ &amp; Polit Sci, Dept Int Relat, London, England</t>
  </si>
  <si>
    <t>Dafe, F (corresponding author), Houghton St, London WC2A 2AE, England.</t>
  </si>
  <si>
    <t>f.dafe@lse.ac.uk</t>
  </si>
  <si>
    <t>Dafe, Florence/0000-0001-7337-0027</t>
  </si>
  <si>
    <t>10.1080/09692290.2019.1650093</t>
  </si>
  <si>
    <t>LP1BU</t>
  </si>
  <si>
    <t>WOS:000481136700001</t>
  </si>
  <si>
    <t>Borowska-Beszta, A; Smieszek, M; Borowska-Beszta, B</t>
  </si>
  <si>
    <t>Borowska-Beszta, Anna; Smieszek, Mateusz; Borowska-Beszta, Beata</t>
  </si>
  <si>
    <t>Mobile banking apps in Poland and their accessibility for consumers with disabilities: a case study</t>
  </si>
  <si>
    <t>Accessibility; assistive technology; mobile apps; mobile banking; case study</t>
  </si>
  <si>
    <t>Proper adaptation of banking mobile applications to the needs of people with disabilities can play a crucial role in minimising the financial exclusion. The article examines selected mobile banking applications of four Polish banks in the context of their adaptation to the needs of consumers with disabilities. The project used a descriptive case study method based on analytical induction, and observation was carried out for six months. The analysis of the application was conducted in two parts: the adaptation of interfaces and functionalities to the preferences of people with disabilities in terms of readability, the efficiency of the application, and comprehensibility of the form of information transfer, and other accessible functionalities within the analysed applications that meet the needs of people with disabilities. The study's results indicate the strengths of the accessibility of the analysed mobile applications as well as their limitations in enhancing independent living for people with disabilities. Smartphones and mobile apps are becoming an inseparable part of the everyday life of consumers all over the world.The paper examines the design of modern banking apps in Poland in the context of their adaptation to the needs of consumers with disabilities.While the tested mobile applications meet many criteria of accessibility, there is room for improvement.The study indicates that further guidelines are needed to improve the usability and accessibility of banking apps and help conduct further consumer research in this area.</t>
  </si>
  <si>
    <t>[Borowska-Beszta, Anna] Nicolaus Copernicus Univ, Interdisciplinary Doctoral Sch social Sci, Torun, Poland; [Smieszek, Mateusz] Nicolaus Copernicus Univ, Interdisciplinary Doctoral Studies Acad Copernican, Torun, Poland; [Borowska-Beszta, Beata] Nicolaus Copernicus Univ, Fac Philosophy &amp; Social Sci, Torun, Poland</t>
  </si>
  <si>
    <t>Borowska-Beszta, A (corresponding author), Nicolaus Copernicus Univ, Interdisciplinary Doctoral Sch social Sci, Torun, Poland.</t>
  </si>
  <si>
    <t>anna.kiermas@doktorant.umk.pl</t>
  </si>
  <si>
    <t>Borowska-Beszta, Beata/B-6131-2013; Smieszek, Mateusz/AED-2161-2022</t>
  </si>
  <si>
    <t>Borowska-Beszta, Beata/0000-0002-2133-4400; Smieszek, Mateusz/0000-0001-6058-4018</t>
  </si>
  <si>
    <t>10.1080/09687599.2023.2263631</t>
  </si>
  <si>
    <t>1PA5U</t>
  </si>
  <si>
    <t>WOS:001080675500001</t>
  </si>
  <si>
    <t>Lara-Rubio, J; Galvez-Sánchez, FJ; Molina-Moreno, V; Navarro-Galera, A</t>
  </si>
  <si>
    <t>Lara-Rubio, Juan; Galvez-Sanchez, Francisco J.; Molina-Moreno, Valentin; Navarro-Galera, Andres</t>
  </si>
  <si>
    <t>Analysing credit risk in persons with disabilities as an instrument of financial inclusion</t>
  </si>
  <si>
    <t>Disability; Financial inclusion; Credit risk; Logit; Neural network; Basel III</t>
  </si>
  <si>
    <t>ARTIFICIAL NEURAL-NETWORKS; REPAYMENT PERFORMANCE; LOCAL-GOVERNMENTS; MICROFINANCE; DEFAULT; MODEL</t>
  </si>
  <si>
    <t>In many countries, the full financial inclusion of persons with disabilities remains to be achieved. Although researchers and international organisations observed that financial inclusion would be facilitated by analysis of solvency, the causes of default risk among this population have yet to be established. Our study, applied to loans made by a Spanish bank to 785 persons with disabilities, identifies several factors relevant to the default risk of this population. The findings show that the purpose of the loan, the borrower's degree of liquidity and financial leverage, economic context of GDP and risk premium all influence the probability of default of persons with disabilities. These risk factors have a similar impact to that observed in persons without disabilities. Our conclusions can be interesting in the negotiation of bank loans for persons with disabilities and also for bank managers, politicians, government managers, international organisations and other stakeholders concerned about financial inclusion. For developing countries our findings can have a high favourable impact on the financial inclusion of these people, due to their high number in these countries. Furthermore, our conclusions raise the usefulness of adopting political measures such as tax advantages or regulation of specific criteria to evaluate the default risk of these people.</t>
  </si>
  <si>
    <t>[Lara-Rubio, Juan; Galvez-Sanchez, Francisco J.; Navarro-Galera, Andres] Univ Granada, Fac Econ &amp; Business Studies, Dept Financial Econ &amp; Accounting, Campus Univ Cartuja s-n, Granada 18071, Spain; [Molina-Moreno, Valentin] Univ Granada, Fac Econ &amp; Business Studies, Dept Management, Campus Cartuja S-N, Granada 18071, Spain</t>
  </si>
  <si>
    <t>Lara-Rubio, J (corresponding author), Univ Granada, Fac Econ &amp; Business Studies, Dept Financial Econ &amp; Accounting, Campus Univ Cartuja s-n, Granada 18071, Spain.</t>
  </si>
  <si>
    <t>juanlara@ugr.es; jgalvez@ugr.es; vmolina2@ugr.es; angalera@ugr.es</t>
  </si>
  <si>
    <t>Galera, Andrés/AAA-6599-2019; Gálvez Sánchez, Francisco Jesús/AGE-2496-2022; Lara-Rubio, Juan/L-4234-2014</t>
  </si>
  <si>
    <t>Gálvez Sánchez, Francisco Jesús/0000-0001-5888-7298; Lara-Rubio, Juan/0000-0001-7703-5920; molina, valentin/0000-0003-2679-3195</t>
  </si>
  <si>
    <t>Universidad de Granada; CIEES Foundation</t>
  </si>
  <si>
    <t>Universidad de Granada; CIEES Foundation(ACEV Foundation)</t>
  </si>
  <si>
    <t>We thank CECAP, the CIEES Foundation, COCEMFE, CERMI, the Iberoamerican Institute for Research into Intellectual Disability and the Royal Board of Trustees for Disability, among others, for their valuable cooperation in the performance of this research, which is in line with their objectives of promoting the financial inclusion and thus enhancing the welfare of people with disabilities, and their families.</t>
  </si>
  <si>
    <t>10.1007/s40847-024-00346-4</t>
  </si>
  <si>
    <t>WOS:001220730500001</t>
  </si>
  <si>
    <t>Ssewamala, FM; Sperber, E; Zimmerman, JM; Karimli, L</t>
  </si>
  <si>
    <t>Ssewamala, Fred M.; Sperber, Elizabeth; Zimmerman, Jamie M.; Karimli, Leyla</t>
  </si>
  <si>
    <t>The potential of asset-based development strategies for poverty alleviation in Sub-Saharan Africa</t>
  </si>
  <si>
    <t>INTERNATIONAL JOURNAL OF SOCIAL WELFARE</t>
  </si>
  <si>
    <t>assets; microfinance; Sub-Saharan Africa; microenterprises; savings; children savings accounts; financial inclusion</t>
  </si>
  <si>
    <t>CASH TRANSFERS; REMITTANCES; SAVINGS; INCOME; INTERVENTION; MICROFINANCE; REDUCTION; MIGRATION; COUNTRIES; OUTCOMES</t>
  </si>
  <si>
    <t>Int J Soc Welfare 2010: 19: 433-443 (C) 2010 The Author(s), Journal compilation (C) 2010 Blackwell Publishing Ltd and International Journal of Social Welfare. This article explores the potential of a relatively new approach to social development as a poverty alleviation strategy in Sub-Saharan Africa (SSA): asset-based development, an integrated approach to human, social, and economic capital formation. It considers the theoretical framework guiding asset-based development and the accompanying set of programmatic and policy-level tools for poverty alleviation in SSA. After considering the recent historical and theoretical contexts of the approach, the authors examine the potential of asset-based development programs, specifically savings-led microfinance programs for the poor, to engender development and, more specifically, poverty alleviation in the region. Major challenges and directions for future research are presented.</t>
  </si>
  <si>
    <t>[Ssewamala, Fred M.; Karimli, Leyla] Columbia Univ, Sch Social Work, New York, NY 10027 USA; [Sperber, Elizabeth] Columbia Univ, Grad Sch Arts &amp; Sci, New York, NY 10027 USA; [Zimmerman, Jamie M.] New Amer Fdn, Global Assets Project, Washington, DC USA</t>
  </si>
  <si>
    <t>Columbia University; Columbia University</t>
  </si>
  <si>
    <t>Ssewamala, FM (corresponding author), Columbia Univ, Sch Social Work, 1255 Amsterdam Ave, New York, NY 10027 USA.</t>
  </si>
  <si>
    <t>fs2114@columbia.edu</t>
  </si>
  <si>
    <t>; Karimli, Leyla/U-3882-2019</t>
  </si>
  <si>
    <t>Ssewamala, Fred/0000-0002-4849-5650; Karimli, Leyla/0000-0002-7255-7540</t>
  </si>
  <si>
    <t>1369-6866</t>
  </si>
  <si>
    <t>1468-2397</t>
  </si>
  <si>
    <t>INT J SOC WELF</t>
  </si>
  <si>
    <t>Int. J. Soc. Welf.</t>
  </si>
  <si>
    <t>10.1111/j.1468-2397.2010.00738.x</t>
  </si>
  <si>
    <t>639LB</t>
  </si>
  <si>
    <t>WOS:000280975200008</t>
  </si>
  <si>
    <t>Lucic, A; Erceg, N; Jezovit, M</t>
  </si>
  <si>
    <t>Lucic, Andrea; Erceg, Nikola; Jezovit, Marija</t>
  </si>
  <si>
    <t>Financial Capability Typology: The Investigation of Group Differences Among Young Adults</t>
  </si>
  <si>
    <t>consumer typology; financial behavior; financial capability; young adults</t>
  </si>
  <si>
    <t>OPEN-MINDED THINKING; CONSUMERS; BEHAVIOR; LITERACY; SATISFACTION; METHODOLOGY; KNOWLEDGE; ATTITUDES; HAPPINESS; OPTIMISM</t>
  </si>
  <si>
    <t>The study aims to determine possible venues for the categorization of young adults based on their financial capabilities in order to facilitate a shift in how we define, evaluate, and shape their financial capability. A cross-sectional survey of 2,299 Croatians 16-28 years old led to the identification of four consumer types: extreme impulsives, illiterate impulsives, moderately uninterested, and rational planners. To guide in-depth analyses, the study identified key psychological and environmental characteristics that differentiated types of young consumers based on financial capability. The types differed significantly in their psychological characteristics relevant for responsible and rational financial decision-making and behavior (actively openminded thinking, consideration of future consequences, dispositional optimism, and life satisfaction), their environmental characteristics considering social surroundings (parental and peer social norms), and real-life outcomes such as the experience of money shortages. Finally, the study discusses the implications of the findings for financial education and interventions for increasing financial capability and improving financial decision-making and, consequently, responsible financial behaviors among young people.</t>
  </si>
  <si>
    <t>[Lucic, Andrea] Univ Zagreb, Fac Econ &amp; Business, Dept Mkt, JF Kennedy Sq 6, Zagreb 10000, Croatia; [Erceg, Nikola] Univ Zagreb, Fac Humanities &amp; Social Sci, Dept Psychol, Ul Ivana Lucica 3, Zagreb 10000, Croatia; [Jezovit, Marija] Univ Zagreb, Fac Econ &amp; Business, JF Kennedy Sq 6, Zagreb 10000, Croatia</t>
  </si>
  <si>
    <t>Lucic, A (corresponding author), Univ Zagreb, Fac Econ &amp; Business, Dept Mkt, JF Kennedy Sq 6, Zagreb 10000, Croatia.</t>
  </si>
  <si>
    <t>andrea.lucic@efzg.hr; nerceg@ffzg.hr; muzelac@efzg.hr</t>
  </si>
  <si>
    <t>Lučić, Andrea/C-4741-2018; Erceg, Nikola/MSZ-2530-2025</t>
  </si>
  <si>
    <t>Croatian Science Foundation (UIP-2019-04-3580 EfFICAcY-Empowering financial capability of young consumers through education and behavioral intervention.)</t>
  </si>
  <si>
    <t>10.1891/JFCP-2023-0094</t>
  </si>
  <si>
    <t>5PV5L</t>
  </si>
  <si>
    <t>WOS:001541474400005</t>
  </si>
  <si>
    <t>Ceballos-Mina, OE; Santiago-Ayala, LE</t>
  </si>
  <si>
    <t>Eli Ceballos-Mina, Owen; Enrique Santiago-Ayala, Luis</t>
  </si>
  <si>
    <t>The effects of credit cards on consumption structure and inequality in Mexican households</t>
  </si>
  <si>
    <t>Consumption; credit cards; financial inclusion; inequality; Mexican household; well-being</t>
  </si>
  <si>
    <t>FINANCIAL LITERACY; MODELS; INCOME</t>
  </si>
  <si>
    <t>This paper analyzes the effects of credit card holding on the structure and distribution of household expenditure in Mexico in 2016. To the effect, two-stage quantile regressions are used to estimate models for consumption determinants, using instrumental variables on credit card holding. The study evidences that credit cards have a positive effect on aggregate consumption, driven mainly by increased health expenditure and items such as clothing, communications, and entertainment. Results show that credit card holding does not have statistical effects on education expenditure, nor on durable goods consumption. Also, the effects of credit cards are greater on the top of consumption distribution; thus, the effects of such financial services on the reduction of inequality and the future well-being of families are questioned, given that preconditions for financial inclusion have not been enough.</t>
  </si>
  <si>
    <t>[Eli Ceballos-Mina, Owen] Univ Autonoma Metropolitana, Dept Econ, Azcapotzalco, Mexico; [Enrique Santiago-Ayala, Luis] El Colegio Mexico, Econ, Mexico City, DF, Mexico</t>
  </si>
  <si>
    <t>Universidad Autonoma Metropolitana - Mexico; Colegio de Mexico</t>
  </si>
  <si>
    <t>Ceballos-Mina, OE (corresponding author), Univ Autonoma Metropolitana, Dept Econ, Azcapotzalco, Mexico.</t>
  </si>
  <si>
    <t>oecm@azc.uam.mx; luis.santiago@colmex.mx</t>
  </si>
  <si>
    <t>Ceballos Mina, Owen Eli/ITV-4905-2023</t>
  </si>
  <si>
    <t>Ceballos Mina, Owen Eli/0000-0003-1931-8388</t>
  </si>
  <si>
    <t>10.14718/revfinanzpolitecon.2019.11.2.5</t>
  </si>
  <si>
    <t>NH4OX</t>
  </si>
  <si>
    <t>WOS:000564652300005</t>
  </si>
  <si>
    <t>Ambrosius, C</t>
  </si>
  <si>
    <t>Ambrosius, Christian</t>
  </si>
  <si>
    <t>Remittances and Financial Access: Is There Really a Link and for Whom? Evidence from Mexican Household Data</t>
  </si>
  <si>
    <t>WORLD ECONOMY</t>
  </si>
  <si>
    <t>EXCHANGE-RATE; MIGRATION; POVERTY; SHOCKS</t>
  </si>
  <si>
    <t>In policy discussions, it has frequently been claimed that migrants' remittances could function as a catalyst' for financial access among receiving households. This paper provides empirical evidence on this hypothesis from Mexico, a major receiver of remittances worldwide. Using the Mexican Family Life Survey panel (MxFLS) for 2002 and 2005, the results from the fixed effects logit model show that receiving remittances is strongly correlated with the ownership of savings accounts and to a limited degree with the availability of borrowing options. Effects are particularly important for microfinance institutions, and more important for rural households compared to urban households.</t>
  </si>
  <si>
    <t>[Ambrosius, Christian] Free Univ Berlin, Inst Latin Amer Studies, Berlin, Germany</t>
  </si>
  <si>
    <t>0378-5920</t>
  </si>
  <si>
    <t>1467-9701</t>
  </si>
  <si>
    <t>WORLD ECON</t>
  </si>
  <si>
    <t>World Econ.</t>
  </si>
  <si>
    <t>10.1111/twec.12287</t>
  </si>
  <si>
    <t>Business, Finance; Economics; International Relations</t>
  </si>
  <si>
    <t>DR5OU</t>
  </si>
  <si>
    <t>WOS:000379953100003</t>
  </si>
  <si>
    <t>Mina, OEC</t>
  </si>
  <si>
    <t>Ceballos Mina, Owen Eli</t>
  </si>
  <si>
    <t>Profiles of Saving and Payment of Debt in the Life Cycle of Mexican Households</t>
  </si>
  <si>
    <t>savings; credit; life cycle; financial inclusion</t>
  </si>
  <si>
    <t>MODELS; INCOME</t>
  </si>
  <si>
    <t>Background: Considering the uncertainty of Mexican families about their future income and grand expectations on financial inclusion policies in the country, consumption studies continue to be important. Studying household savings and credit patterns is a fundamental key to financial development. Methods: This paper uses a synthetic panel to provide a semi-parametric estimation of savings and debt patterns over life cycle. Result: It shows that the beginning of family life mainly depends on credit, while at the end, there is a high monetary saving profile, sustained and different from the reduction predicted by the life cycle model. Human capital and income explain most of differences between families' financial patterns. Conclusions: Results show persistence of inequalities in the financing process; financial literacy and saving incentives should be main goals for the country's inclusion strategy.</t>
  </si>
  <si>
    <t>[Ceballos Mina, Owen Eli] Univ Autonoma Metropolitana Azcapotzalco, Dept Econ, Mexico City, DF, Mexico</t>
  </si>
  <si>
    <t>Universidad Autonoma Metropolitana - Mexico; University Autonoma Metropolitana Azcapotzalco</t>
  </si>
  <si>
    <t>Mina, OEC (corresponding author), Univ Autonoma Metropolitana Azcapotzalco, Dept Econ, Mexico City, DF, Mexico.</t>
  </si>
  <si>
    <t>oecm@azc.uam.mx</t>
  </si>
  <si>
    <t>GN3WR</t>
  </si>
  <si>
    <t>WOS:000438943100004</t>
  </si>
  <si>
    <t>Kar, RN; Tiwari, K; Bhandari, V</t>
  </si>
  <si>
    <t>Kar, Rabi Narayan; Tiwari, Kusha; Bhandari, Varun</t>
  </si>
  <si>
    <t>Unlocking Human Perspectives of PMJDY: Evidence from Rajasthan and Madhya Pradesh</t>
  </si>
  <si>
    <t>INDIAN JOURNAL OF PSYCHOLOGICAL SCIENCE</t>
  </si>
  <si>
    <t>Unlocking human perspectives; PMJDY</t>
  </si>
  <si>
    <t>The Pradhan Mantri Jan Dhan Yojana (PMJDY), India's biggest financial inclusion initiative, has transformed the banking sector in India. However, its real impact can only be gauged through the experiences and perceptions of the people it seeks to empower. This study explores the motivating factors driving force behind successful implementation of PMJDY and examines its role in transforming livelihoods and promoting financial empowerment among its beneficiaries. The findings indicate five key motivational factors driving the mass adoption of PMJDY-operational benefits, access convenience, service reliability, livelihood transformation, and financial empowerment. These factors align with a behavioural model rooted in Operant Conditioning Theory, where continuous reinforcements (operational ease and convenience) initiate financial habits, variable reinforcements (periodic benefits like DBTs) sustain engagement, and generalized reinforcements (empowerment outcomes) foster intrinsic motivation. This progression leads to sustained behavioural change and psychological empowerment, highlighting PMJDY's long-term impact beyond mere account ownership. Additionally, PMJDY has contributed substantially to improving the lives of beneficiaries, with a particularly notable impact on livelihood transformation and the enhancement of financial empowerment. This framework offers a novel lens to understand the long-term impact of PMJDY beyond financial inclusion.</t>
  </si>
  <si>
    <t>[Kar, Rabi Narayan] Univ Delhi, SLC, Delhi, India; [Tiwari, Kusha] Univ Delhi, Dept English, SLC, Delhi, India; [Bhandari, Varun] Univ Delhi, Dept Commerce, SLC, Delhi, India</t>
  </si>
  <si>
    <t>Kar, RN (corresponding author), Univ Delhi, SLC, Delhi, India.</t>
  </si>
  <si>
    <t>NATL ASSOC PSYCHOLOGICAL SCIENCE</t>
  </si>
  <si>
    <t>HARYANA</t>
  </si>
  <si>
    <t>2265, SECTOR-19C, CHANDIGARH, HARYANA, 160 017, INDIA</t>
  </si>
  <si>
    <t>0976-9218</t>
  </si>
  <si>
    <t>INDIAN J PSYCHOL SCI</t>
  </si>
  <si>
    <t>Indian J. Psychol. Sci.</t>
  </si>
  <si>
    <t>2WE6G</t>
  </si>
  <si>
    <t>WOS:001492771700001</t>
  </si>
  <si>
    <t>dos Santos, PL; Kvangraven, IH</t>
  </si>
  <si>
    <t>dos Santos, Paulo L.; Kvangraven, Ingrid Harvold</t>
  </si>
  <si>
    <t>Better than Cash, but Beware the Costs: Electronic Payments Systems and Financial Inclusion in Developing Economies</t>
  </si>
  <si>
    <t>CREDIT; BANKING; POOR</t>
  </si>
  <si>
    <t>This article considers current proposals for using electronic payments systems to promote financial inclusion that is, to widen the availability of financial and monetary services in developing countries. While such systems can generate significant savings in the operation of monetary systems, payment services markets are typically uncompetitive and require regulatory and broader state interventions to ensure those savings are widely distributed. The use of those systems to broaden the reach of for-profit lenders raises a number of concerns, as a growing literature has documented how microcredit initiatives in developing countries have resulted primarily in expansions in consumption credit to households, often under predatory terms. The authors advance two original arguments in this connection. First, the perverse results of many microcredit initiatives reflect the underdevelopment of the areas concerned: without broader development strategies, potentially transformative productive projects are rare and unprofitable to finance. In contrast, widespread unmet consumption needs ensure consumption credit offers lenders a profitable alternative business orientation. Second, and in light of this, electronic payments platforms can contribute to economic development by enabling the establishment of well-regulated or public systems of electronic narrow banks' restricted from lending, but capable of widening access to affordable payments, savings and insurance services.</t>
  </si>
  <si>
    <t>[dos Santos, Paulo L.; Kvangraven, Ingrid Harvold] New Sch Social Res, Econ, New York, NY 10011 USA</t>
  </si>
  <si>
    <t>The New School</t>
  </si>
  <si>
    <t>dos Santos, PL (corresponding author), New Sch Social Res, Econ, New York, NY 10011 USA.</t>
  </si>
  <si>
    <t>p.dossantos@newschool.edu; kvani263@newschool.edu</t>
  </si>
  <si>
    <t>Kvangraven, Ingrid Harvold/R-4242-2019</t>
  </si>
  <si>
    <t>Kvangraven, Ingrid Harvold/0000-0001-8606-1717</t>
  </si>
  <si>
    <t>10.1111/dech.12296</t>
  </si>
  <si>
    <t>EM8HR</t>
  </si>
  <si>
    <t>WOS:000395552600001</t>
  </si>
  <si>
    <t>Zhou, L; Han, B; Zhang, JX; Yang, RF</t>
  </si>
  <si>
    <t>Zhou, Li; Han, Bin; Zhang, Jinxing; Yang, Ruifeng</t>
  </si>
  <si>
    <t>The impact of illegal fundraising on the household savings rate</t>
  </si>
  <si>
    <t>Illegal Fundraising; household savings rate; happiness; risk attitudes; JEL; D14; G23</t>
  </si>
  <si>
    <t>PRECAUTIONARY SAVINGS; INCOME; TRUST</t>
  </si>
  <si>
    <t>China has long faced the persistent challenge of low household consumption and high savings rates. This paper empirically examines the impact of illegal fundraising on household savings rate using data from criminal court cases of illegal fundraising and three waves of the China Household Finance Survey (CHFS). The results indicate that illegal fundraising significantly increases household savings, with happiness and risk attitudes being the transmission mechanisms. Heterogeneity analysis reveals that the effect of illegal fundraising on household savings rate is more pronounced among middle-aged and elderly groups, individuals with lower educational attainment, and regions with higher levels of digital financial inclusion. This study provides a new perspective and robust evidence for a deeper understanding of Chinese households' consumption and savings behaviour, offering further insights to stimulate consumer potential.</t>
  </si>
  <si>
    <t>[Zhou, Li; Han, Bin; Yang, Ruifeng] Guangdong Univ Foreign Studies, Sch Finance, Guangzhou, Peoples R China; [Zhou, Li] Inst Fortune Management Res, Guangzhou, Peoples R China; [Zhang, Jinxing] Xiamen Univ, Sch Econ, Xiamen, Peoples R China</t>
  </si>
  <si>
    <t>Guangdong University of Foreign Studies; Xiamen University</t>
  </si>
  <si>
    <t>Yang, RF (corresponding author), Guangdong Univ Foreign Studies, Sch Finance, Guangzhou, Peoples R China.</t>
  </si>
  <si>
    <t>202010019@oamail.gdufs.edu.cn</t>
  </si>
  <si>
    <t>GuangDong Basic and Applied Basic Research Foundation [2025A1515010207, 2021A1515110943]; Guangdong Social Sciences Planning Office [GD22XYJ06]; Guangdong University of Foreign Studies [22TS15]</t>
  </si>
  <si>
    <t>GuangDong Basic and Applied Basic Research Foundation; Guangdong Social Sciences Planning Office; Guangdong University of Foreign Studies(Guangdong University of Foreign Studies)</t>
  </si>
  <si>
    <t>This work was supported by GuangDong Basic and Applied Basic Research Foundation under Grant [No. 2025A1515010207; 2021A1515110943], Guangdong Social Sciences Planning Office under Grant [No. GD22XYJ06], Guangdong University of Foreign Studies under Grant [No. 22TS15].</t>
  </si>
  <si>
    <t>2025 OCT 11</t>
  </si>
  <si>
    <t>10.1080/00036846.2025.2571518</t>
  </si>
  <si>
    <t>8JK8O</t>
  </si>
  <si>
    <t>WOS:001590106700001</t>
  </si>
  <si>
    <t>Metu, AG; Nwogwugwu, UCC</t>
  </si>
  <si>
    <t>Metu, Amaka Gertrude; Nwogwugwu, Uche C. C.</t>
  </si>
  <si>
    <t>Challenging Factors Affecting Access to Finance by Female Micro Entrepreneurs in Anambra State, Nigeria</t>
  </si>
  <si>
    <t>Female entrepreneurs; finance; small businesses; self-employment</t>
  </si>
  <si>
    <t>SUCCESS FACTORS; INTENTIONS; ORIENTATION; EDUCATION; IMPACT; PREFERENCES; ATTITUDES; GROWTH</t>
  </si>
  <si>
    <t>The objective of this study was to determine challenging factors in accessing finance by female microentrepreneurs in Anambra state, Nigeria. This study employed both qualitative and quantitative methods in data collection. Multi-stage sampling technique was adopted in selecting the sample, and the data analyzed using logit regression model based on the binary choice that describes the probability of women micro entrepreneur's choice between two mutually exclusive alternatives (accessing or not accessing micro-credit). The study identifies fear of default, lack of collaterals, inability to get guarantors and information asymmetry as main factors challenging women's access to finance. The study recommends, among others, the need for financial education for female micro entrepreneurs.</t>
  </si>
  <si>
    <t>[Metu, Amaka Gertrude; Nwogwugwu, Uche C. C.] Nnamdi Azikiwe Univ, Dept Econ, PMB 5025, Awka 420211, Anambra, Nigeria</t>
  </si>
  <si>
    <t>Metu, AG (corresponding author), Nnamdi Azikiwe Univ, Dept Econ, PMB 5025, Awka 420211, Anambra, Nigeria.</t>
  </si>
  <si>
    <t>ag.metu@unizik.edu.ng</t>
  </si>
  <si>
    <t>Metu, Amaka Gertrude/CAF-0494-2022</t>
  </si>
  <si>
    <t>Metu, Amaka Gertrude/0000-0003-2651-4133</t>
  </si>
  <si>
    <t>10.1080/15228916.2022.2064677</t>
  </si>
  <si>
    <t>EX4N1</t>
  </si>
  <si>
    <t>WOS:000784073000001</t>
  </si>
  <si>
    <t>Constructing a financial inclusion index for Mexican municipalities</t>
  </si>
  <si>
    <t>Composite indicator; Financial inclusion; Mexico</t>
  </si>
  <si>
    <t>Access to financial services varies sharply around the world among countries but also within regions and municipalities in the same country. To identify this important variation multivariate indices have been considered previously but they should have an adequate formulation that results in relevant information for policy proposals. Many Financial Inclusion (FI) Indices have been constructed using methodologies that do not allow identifying subdimensions within the broad dimensions of access and usage in which the entity (country or municipality) could be lagging. In this respect our contribution is to construct a novel FI index that encompass different subdimensions of access and usage which are determined previously by exploratory factor analysis. The aggregation of our index is as a weighted geometric mean with the weights derived from DEA Benefit of the Doubt (BoD). In other formulations the weights imposed in multivariate indices have been a source of criticism when determined by the researcher discretionally or derived by factor or principal component analysis which have some shortcomings. We construct a Geometric BoD index for Mexican municipalities in 2020 considering that our FI index formulation is also appropriate to use for any other country or region. Our results show that the importance of each dimension is different for each municipality in Mexico which in turn indicates that each of them can suffer of low levels of FI for a variety of reasons.</t>
  </si>
  <si>
    <t>[Dircio-Palacios-Macedo, Maria del Carmen] Univ Jaume 1, Castellon de La Plana, Spain; [Cruz-Garcia, Paula] Univ Valencia, Valencia, Spain; [Hernandez-Trillo, Fausto] CIDE, Mexico City, Mexico; [Tortosa-Ausina, Emili] Univ Jaume 1, IIDL &amp; Ivie, Castellon de La Plana, Spain</t>
  </si>
  <si>
    <t>Universitat Jaume I; University of Valencia; Centro de Investigacion y Docencia Economicas A.C. (CIDE); Universitat Jaume I</t>
  </si>
  <si>
    <t>Tortosa-Ausina, E (corresponding author), Univ Jaume 1, Dept Econ, Campus Riu Sec, Castellon de La Plana 12071, Spain.</t>
  </si>
  <si>
    <t>MariadelCarmen.Dircio@uji.es; paula.cruz@uv.es; fausto.hernandez@cide.edu; emili.tortosa@uji.es</t>
  </si>
  <si>
    <t>Hernandez-Trillo, Fausto/W-3222-2019; Cruz-García, Paula/ABG-3261-2020; Tortosa-Ausina, Emili/B-1205-2017</t>
  </si>
  <si>
    <t>Hernandez-Trillo, Fausto/0000-0002-8884-9361; Cruz-García, Paula/0000-0001-9801-1696; Tortosa-Ausina, Emili/0000-0002-7873-1714</t>
  </si>
  <si>
    <t>Agencia Estatal de Investigacion (AEI) [PID2020-115450GB-I00]; Ministerio de Ciencia e Innovacion, Spain</t>
  </si>
  <si>
    <t>Agencia Estatal de Investigacion (AEI); Ministerio de Ciencia e Innovacion, Spain(Spanish GovernmentMinistry of Science &amp; Innovation, Spain (MICINN))</t>
  </si>
  <si>
    <t>We are thankful to two anonymous reviewers as well as to Jean-Michel Sahut, Arturo Lamadrid-Contreras and other participants at the Finance Research Letters 2022 CEMLA Conference, whose comments and suggestions have contributed to the overall improvement of the paper. Emili Tortosa-Ausina and Paula Cruz-Garcia acknowledge the financial support of Project PID2020-115450GB-I00, funded by the Agencia Estatal de Investigacion (AEI), Ministerio de Ciencia e Innovacion, Spain MCIN/AEI/10.13039/501100011033. The usual disclaimer applies.</t>
  </si>
  <si>
    <t>10.1016/j.frl.2022.103368</t>
  </si>
  <si>
    <t>9W3BI</t>
  </si>
  <si>
    <t>WOS:000948953300001</t>
  </si>
  <si>
    <t>The double bottom line of microfinance: A global comparison between conventional and Islamic microfinance</t>
  </si>
  <si>
    <t>Islamic microfinance; Social entrepreneurship; Ethical finance; Outreach; Financial performance</t>
  </si>
  <si>
    <t>INSTITUTIONS; PERFORMANCE; EFFICIENCY; OUTREACH; POOR; GOVERNANCE; BANKING; IMPACT; RISK</t>
  </si>
  <si>
    <t>Conventional microfinance institutions (MFIs) can promote financial inclusion, but they also prompt ethical concerns regarding the social consequences of commercialization and high interest rates. Islamic MFIs, which adhere to Sharia's prohibition of riba (usually interpreted as a ban on interest), present an alternative. Differences between conventional and Islamic MFIs in terms of outreach and financial sustainability remain underexplored; no comprehensive data set details Islamic MFIs either. With new data, collected with a global survey, the authors construct a unique panel of 543 conventional and 101 Islamic MFIs, operating in Islamic and non-Islamic countries. These data suggest that the market for Islamic microfinance is more important than previously recognized, has grown in recent years, and is likely to continue growing in every region of the world. Statistical comparisons, using various estimation techniques, regarding the outreach and financial performance of Islamic and conventional MFIs also reveal that the breadth and depth of Islamic MFIs exceed those of conventional MFIs, though conventional MFIs achieve stronger financial performance. This latter result is not robust though. (C) 2020 The Authors. Published by Elsevier Ltd.</t>
  </si>
  <si>
    <t>[Ahmad, Syedah; Lensink, Robert; Mueller, Annika] Univ Groningen, Fac Econ &amp; Business, Groningen, Netherlands; [Lensink, Robert] Wageningen Univ, Dev Econ Grp, Wageningen, Netherlands</t>
  </si>
  <si>
    <t>Lensink, R (corresponding author), Univ Groningen, Fac Econ &amp; Business, Groningen, Netherlands.</t>
  </si>
  <si>
    <t>s.s.ahmad@rug.nl; b.w.lensink@rug.nl; a.m.mueller@rug.nl</t>
  </si>
  <si>
    <t>10.1016/j.worlddev.2020.105130</t>
  </si>
  <si>
    <t>NS7MR</t>
  </si>
  <si>
    <t>WOS:000572442200024</t>
  </si>
  <si>
    <t>de Jong, G; Rojas, MAF; Almeyda, G</t>
  </si>
  <si>
    <t>de Jong, Gideon; Fajardo Rojas, Miguel Arturo; Almeyda, Gloria</t>
  </si>
  <si>
    <t>Grounding participatory action research in rural Colombia: a demonstration study on youth financial inclusion</t>
  </si>
  <si>
    <t>INTERNATIONAL JOURNAL OF LIFELONG EDUCATION</t>
  </si>
  <si>
    <t>Financial inclusion; financial education; youth; capacity building; Colombia; participatory action research; North-South collaboration</t>
  </si>
  <si>
    <t>Since the new millennium, the issue of financial inclusion of young people has increasingly gained recognition, especially in relation to those living in deprived circumstances. Financial inclusion can be promoted through education that specifically aims for the strengthening of young persons' financial capabilities. In 2013, a participatory action research project was started in a rural region of Colombia to improve the research capacity of a local university through the development and implementation of a demonstration project on the financial inclusion of young people. University teachers, students and employees of a financial cooperative were trained in conducting qualitative methods with a specific aim of being responsive to the life stories of their interviewees. This paper shares the experiences from an international team of educational scholars who aim for the democratisation of research capacity and the dissemination of localised knowledge. This is done by working closely together with stakeholders and ultimately giving a voice to youth employed in the informal economy as they are usually the ones being most deprived from access to financial services.</t>
  </si>
  <si>
    <t>[de Jong, Gideon] Edith Cowan Univ, Sch Nursing &amp; Midwifery, Perth, WA, Australia; [Fajardo Rojas, Miguel Arturo] Univ Fdn San Gil Unisangil, Ctr Studies Solidar Econ, San Gil, Colombia; [Almeyda, Gloria] Georgetown Univ, CIED, Washington, DC USA</t>
  </si>
  <si>
    <t>Edith Cowan University; Georgetown University</t>
  </si>
  <si>
    <t>de Jong, G (corresponding author), Edith Cowan Univ, Sch Nursing &amp; Midwifery, Bldg 21,Room 21-423,270 Joondalup Dr, Joondalup, WA 6027, Australia.</t>
  </si>
  <si>
    <t>g.dejong@ecu.edu.au</t>
  </si>
  <si>
    <t>de Jong, Gideon/LOR-2896-2024</t>
  </si>
  <si>
    <t>de Jong, Gideon/0000-0001-9439-2188; Fajardo Rojas, Miguel Arturo/0000-0002-6592-7427</t>
  </si>
  <si>
    <t>0260-1370</t>
  </si>
  <si>
    <t>1464-519X</t>
  </si>
  <si>
    <t>INT J LIFELONG EDUC</t>
  </si>
  <si>
    <t>Int. J. Lifelong Educ.</t>
  </si>
  <si>
    <t>10.1080/02601370.2019.1579262</t>
  </si>
  <si>
    <t>IB3TA</t>
  </si>
  <si>
    <t>WOS:000470188900006</t>
  </si>
  <si>
    <t>On the Role of Gender and Age in the Use of Digital Financial Services in Zimbabwe</t>
  </si>
  <si>
    <t>digital financial services; mobile money; gender; youth; financial inclusion</t>
  </si>
  <si>
    <t>MOBILE MONEY; KENYA; BEHAVIOR; BANKING</t>
  </si>
  <si>
    <t>Women and youth in developing countries remain unserved or underserved by formal financial services. The rise of digital financial services (DFS), including mobile money, provides a promise to accelerate financial and economic inclusion to these population segments. As a result, both academic researchers and policy makers are increasingly interested in understanding the role of gender and age in the use of DFS across use cases. To nuance this, the current study analyses data from a sample of 3000 respondents collected during the second quarter of 2022 from the ten provinces of Zimbabwe. Results from multivariate logit models, controlling for some socio-economic factors, show that in Zimbabwe, gender is not a significant predictor of receiving income through digital means, making payments for goods and services digitally, or for the frequency of DFS use. On the other hand, youth lag in the use of DFS, especially for making payments for goods and services, and in the frequency of use. Besides the findings on gender and age, the study reveals that the level of education, the source of income, locality, and the level of income are important determinants of how individuals use DFS in Zimbabwe.</t>
  </si>
  <si>
    <t>[Chamboko, Richard] Int Finance Corp, Dev Impact Measurement Dept, Washington, DC 20433 USA; [Chamboko, Richard] Univ Johannesburg, Inst Intelligent Syst, ZA-2092 Johannesburg, South Africa</t>
  </si>
  <si>
    <t>Chamboko, R (corresponding author), Int Finance Corp, Dev Impact Measurement Dept, Washington, DC 20433 USA.;Chamboko, R (corresponding author), Univ Johannesburg, Inst Intelligent Syst, ZA-2092 Johannesburg, South Africa.</t>
  </si>
  <si>
    <t>Chamboko, Richard/0000-0002-0870-2352</t>
  </si>
  <si>
    <t>10.3390/ijfs10030082</t>
  </si>
  <si>
    <t>4T8PZ</t>
  </si>
  <si>
    <t>WOS:000858373000001</t>
  </si>
  <si>
    <t>Molla, A; Biru, A</t>
  </si>
  <si>
    <t>Molla, Alemayehu; Biru, Ashenafi</t>
  </si>
  <si>
    <t>The evolution of the Fintech entrepreneurial ecosystem in Africa: An exploratory study and model for future development</t>
  </si>
  <si>
    <t>Fintech; Africa Entrepreneurial ecosystem; Start-up; Digital entrepreneurship; Mobile money; Digital finance; Financial inclusion</t>
  </si>
  <si>
    <t>SERVICE; MONEY; START; TIME</t>
  </si>
  <si>
    <t>Despite Africa's leadership in mobile money innovation and an increasing level of Fintech entrepreneurial activity, Africa's Fintech ecosystem trajectory is under-represented in the literature. This study is set out to redress this anomaly while addressing the tensions on the role of history, and adaptability in entrepreneurial ecosystem research. We draw upon the Fintech and the entrepreneurial ecosystem literature, analyze the views of practitioners, and apply temporal bracketing to reconstruct the historical context and three phases of the African Fintech ecosystem evolution over a decade: mobile money, digital finance, and innovative Fintech. Based on the results, we develop a model that explains the metamorphosis of entrepreneurial ecosystems. The study contributes an African narrative to the descriptive and explanatory knowledge of Fintech. By showing how Africa's Fintech entrepreneurial ecosystem has evolved, the study also contributes to the entrepreneurial ecosystems research that has thus far focused more on place, actors, and governance than evolution. Our model adds a dynamic perspective to the theorization of Fintech ecosystems and extends the existing literature by taking a historical and longitudinal foresight. Practitioners can apply the lessons to enhance polices that support future Fintech entrepreneurship.</t>
  </si>
  <si>
    <t>[Molla, Alemayehu] RMIT Univ, Dept Informat Syst &amp; Business Analyt, Melbourne, Vic 3000, Australia; [Biru, Ashenafi] RMIT Univ, Sch Management, Melbourne, Vic 3000, Australia</t>
  </si>
  <si>
    <t>Royal Melbourne Institute of Technology (RMIT); Royal Melbourne Institute of Technology (RMIT)</t>
  </si>
  <si>
    <t>Molla, A (corresponding author), RMIT Univ, Dept Informat Syst &amp; Business Analyt, Melbourne, Vic 3000, Australia.</t>
  </si>
  <si>
    <t>alemayehu.molla@rmit.edu.au; ashenafi.biru@rmit.edu.au</t>
  </si>
  <si>
    <t>Biru, Ashenafi/0000-0003-0586-8733</t>
  </si>
  <si>
    <t>10.1016/j.techfore.2022.122123</t>
  </si>
  <si>
    <t>F3ZS5</t>
  </si>
  <si>
    <t>WOS:000981768200011</t>
  </si>
  <si>
    <t>Lal, S; Bawalle, AA; Khan, MSR; Kadoya, Y</t>
  </si>
  <si>
    <t>Lal, Sumeet; Bawalle, Aliyu Ali; Khan, Mostafa Saidur Rahim; Kadoya, Yoshihiko</t>
  </si>
  <si>
    <t>What Determines Digital Financial Literacy? Evidence from a Large-Scale Investor Study in Japan</t>
  </si>
  <si>
    <t>digital financial risks; financial ecosystem; digital financial literacy; behavioral theories; determinants</t>
  </si>
  <si>
    <t>The digitalization of financial systems has intensified risks such as cyber fraud, data breaches, and financial exclusion, particularly for individuals with low digital financial literacy (DFL). As digital finance becomes ubiquitous, DFL has emerged as a critical competency. However, the determinants of DFL remain insufficiently explored. This study aims to validate a comprehensive, theory-driven model that identifies the key sociodemographic, economic, and psychological factors that influence DFL acquisition among investors. Drawing on six established learning and behavioral theories-we analyze data from 158,169 active account holders in Japan through ordinary least squares regression. The results show that higher levels of DFL are associated with being male, younger or middle-aged, highly educated, and unemployed and having greater household income and assets. In contrast, being married, having children, holding a myopic view of the future, and high risk aversion are linked to lower DFL. Interaction effects show a stronger income-DFL association for males and a diminishing return for reduced education with age. Robustness checks using a probit model with a binary DFL measure confirmed the OLS results. These findings highlight digital inequalities and behavioral barriers that shape DFL acquisition. This study contributes a validated framework for identifying at-risk groups and supports future interventions to enhance inclusive digital financial capabilities in increasingly digital economies.</t>
  </si>
  <si>
    <t>[Lal, Sumeet; Bawalle, Aliyu Ali; Khan, Mostafa Saidur Rahim; Kadoya, Yoshihiko] Hiroshima Univ, Sch Econ, 1-2-1 Kagamiyama, Higashihiroshima 7398525, Japan</t>
  </si>
  <si>
    <t>Lal, S (corresponding author), Hiroshima Univ, Sch Econ, 1-2-1 Kagamiyama, Higashihiroshima 7398525, Japan.</t>
  </si>
  <si>
    <t>lsumeet@hiroshima-u.ac.jp; d231201@hiroshima-u.ac.jp; khan@hiroshima-u.ac.jp; ykadoya@hiroshima-u.ac.jp</t>
  </si>
  <si>
    <t>Khan, Mostafa Saidur Rahim/V-1355-2018; Bawalle, Aliyu/LXB-3016-2024; Kadoya, Yoshihiko/W-1530-2017; Lal, Sumeet/KHX-1797-2024</t>
  </si>
  <si>
    <t>Khan, Mostafa Saidur Rahim/0000-0003-2632-3580;</t>
  </si>
  <si>
    <t>Rakuten Securities; JSPS KAKENHI</t>
  </si>
  <si>
    <t>Rakuten Securities; JSPS KAKENHI(Ministry of Education, Culture, Sports, Science and Technology, Japan (MEXT)Japan Society for the Promotion of ScienceGrants-in-Aid for Scientific Research (KAKENHI))</t>
  </si>
  <si>
    <t>This work was supported by Rakuten Securities (awarded to Y.K.) and JSPS KAKENHI through grant numbers JP23K25534, JP24K21417 (awarded to Y.K.), JP25K16683 (awarded to S.L.), and JP23K12503 (awarded to M.S.R.K.). Rakuten Securities (https://www.rakuten-sec.co.jp) (accessed on 28 May 2025) and JSPS KAKENHI (https://www.jsps.go.jp/english/e-grants/) (accessed on 28 May 2025) played no role in the study design, analysis, manuscript preparation, or publishing decision.</t>
  </si>
  <si>
    <t>10.3390/risks13080149</t>
  </si>
  <si>
    <t>6OW8M</t>
  </si>
  <si>
    <t>WOS:001558507600001</t>
  </si>
  <si>
    <t>Domanban, PB</t>
  </si>
  <si>
    <t>Domanban, Paul Bata</t>
  </si>
  <si>
    <t>Determinants of loan sizes in microfinance institutions: evidence from the Upper West Region of Ghana</t>
  </si>
  <si>
    <t>Loan; microfinance; determinants; region; Ghana; Samuel Obeng, University of Warwick, UK; Development Studies; Rural Development; Gender and Development; Economics; G21; G51; G53</t>
  </si>
  <si>
    <t>FINANCIAL INCLUSION; CREDIT EVIDENCE; GENDER MATTER; ACCESS; CONSTRAINTS; DEMAND; WELFARE; STATE</t>
  </si>
  <si>
    <t>The impact of microfinance institution (MFIs) activities on household revenue in Northern Ghana is of significant importance, particularly in light of the high levels of poverty in the region. The objective of this research is to explore the factors that influence the amount of loans granted to beneficiaries of three microfinance systems, namely the informal, semi-formal, and formal institutions, in the Upper West Region. This seeks to identify the factors that influence households' credit access from microfinance systems. To achieve this objective, primary data collected through a questionnaire was analysed using the Ordinary Least Squares (OLS) estimation technique. The model was initially run using data from the three microfinance systems and then separately estimated for each system. The study found consistency in the variables that affect the amount of loans received by borrowers across all systems. Age, household size, interest rate charged by the institution, and group membership were found to have a negative relationship with the amount of loan received by borrowers. The study recommends that microfinance institutions in the Upper West Region focus on reducing the geographical distance between the institution and potential borrowers, providing access to microfinance information and education, and extending repayment periods to increase the loan amount borrowers receive. Moreover, the study suggests that microfinance institutions in the region should factor in the influence of interest rates on loan accessibility and adopt measures to counteract any negative consequences.</t>
  </si>
  <si>
    <t>[Domanban, Paul Bata] SD Dombo Univ Business &amp; Integrated Dev Studies, Dept Dev Studies, Wa, Ghana; [Domanban, Paul Bata] SD Dombo Univ Businessand Integrated Dev Studies, Dept Dev Studies, POB WA 64, Wa, Ghana</t>
  </si>
  <si>
    <t>Domanban, PB (corresponding author), SD Dombo Univ Businessand Integrated Dev Studies, Dept Dev Studies, POB WA 64, Wa, Ghana.</t>
  </si>
  <si>
    <t>pdomanban@ubids.edu.gh</t>
  </si>
  <si>
    <t>Domanban, Paul Bata/0009-0009-2066-5409</t>
  </si>
  <si>
    <t>10.1080/23322039.2023.2300924</t>
  </si>
  <si>
    <t>GF1C2</t>
  </si>
  <si>
    <t>WOS:001151149100001</t>
  </si>
  <si>
    <t>Patil, S; Kokate, K</t>
  </si>
  <si>
    <t>Patil, Sandeep; Kokate, Kiran</t>
  </si>
  <si>
    <t>Identifying factors governing attitude of rural women towards Self Help Groups using principal component analysis</t>
  </si>
  <si>
    <t>Microfinance; Self-Help Groups; Financial inclusion; Disadvantaged districts; Summated rating technique; Principal component analysis</t>
  </si>
  <si>
    <t>Self-Help Groups-Bank Linkage Program (SHG-BLP) had expanded significantly and emerged as a dominant model of microfinance in India. National Bank for Agriculture and Rural Development (NABARD) had constituted the teams of acclaimed scientists, technocrats, and practitioners to evaluate the performance and impact of SHG-Bank Linkage Program. These researchers emphasised only physical aspects of the program, and specifically determined the impact of SHG microfinance on the socioeconomic aspect of the rural poor. In this context, the present study aimed at exploring the attitudinal aspect of rural women associated with SHGs. The study consists of a multistage random sample of '240' women SHG members. A well-structured interview schedule, consisting of summated rating attitude scale was administered to the respondents. The findings illustrate that 43.34 percent of the rural women had 'favourable' and 26.66 percent had 'strongly favourable' attitude towards SHGs. The factor analysis using the principal component method brought forward 'coping up ability', 'personality traits', 'resource utilisation and building', 'entrepreneurial attributes', 'organizational governance', 'financial inclusion' and 'economic upliftment' are the precursors of attitude. These seven components could explain 76.02 percent of the total variance in the attitude. Further, study suggests that policy makers, financial institutions and technocrats may consider these seven factors while planning, promoting, implementing, and evaluating any microfinance programme, especially in developing countries. The study also provides a valid and reliable instrument for measuring the attitude of rural women towards SHGs. This Likert-type attitude scale could be widely used in future researches, especially by the scholars from low-income countries for achieving more accurate and reliable results. (C) 2017 Elsevier Ltd. All rights reserved.</t>
  </si>
  <si>
    <t>[Patil, Sandeep] Dr Balasaheb Sawant Konkan Agr Univ, Krishi Vigyan Kendra, Ratnagiri 416712, Maharashtra, India; [Kokate, Kiran] Mahatma Phule Krishi Vidyapeeth, Ahmednagar 413722, Maharashtra, India</t>
  </si>
  <si>
    <t>Patil, S (corresponding author), Dr Balasaheb Sawant Konkan Agr Univ, Krishi Vigyan Kendra, Ratnagiri 416712, Maharashtra, India.</t>
  </si>
  <si>
    <t>sspatilextension@gmail.com; kdkokate@gmail.com</t>
  </si>
  <si>
    <t>Kokate, Kiran/GQQ-1242-2022</t>
  </si>
  <si>
    <t>10.1016/j.jrurstud.2017.08.003</t>
  </si>
  <si>
    <t>FK1ZD</t>
  </si>
  <si>
    <t>WOS:000413281200014</t>
  </si>
  <si>
    <t>Lu, T; Zhang, YJ; Li, BB</t>
  </si>
  <si>
    <t>Lu, Tian; Zhang, Yingjie; Li, Beibei</t>
  </si>
  <si>
    <t>PROFIT VS. EQUALITY? THE CASE OF FINANCIAL RISK ASSESSMENT AND A NEW PERSPECTIVE ON ALTERNATIVE DATA</t>
  </si>
  <si>
    <t>Credit risk; alternative data; financial trade-off; financial inclusion; profitability; equality; biases; counterfactual simulated experiment</t>
  </si>
  <si>
    <t>CREDIT; INFORMATION; PREDICTION; INCLUSION; ADDICTION; DEFAULT; BIAS</t>
  </si>
  <si>
    <t>The importance of pursuing financial inclusion to accelerate economic growth and enhance financial sustainability has been well noted. However, studies have provided few actionable insights into how financial institutions can balance the potential socioeconomic trade-off between profitability and equality. One major challenge arises from a lack of understanding of the impacts of various types of market information available on financial equality beyond economic profitability. Another challenge lies in how the socioeconomic trade-off under a large set of counterfactual policies in a real-world setting can be evaluated. Our motivation for the present study was the emerging sources of digitized user-behavior data (i.e., alternative data) stemming from the high penetration of mobile devices and internet access. Accordingly, we investigated how alternative data from smartphones and social media can help mitigate potential financial inequality while preserving business profitability in the context of financial credit risk assessment. We partnered with a leading microloan website to design a novel meta experiment that allowed us to simulate various real-world field experiments under an exhaustive set of counterfactual policies. Interestingly, we found that profiling user financial risk using smartphone activities is 1.3 times more effective in improving financial inclusion than using online social media information (23.05% better vs. 18.11%), and nearly 1.3 times more effective in improving business profitability (42% better vs. 33%). Surprisingly, we found that using consumers' online shopping activities for credit risk profiling can hurt financial inclusion. Furthermore, we investigated potential explanations for financial inclusion improvements. Our findings suggest that alternative data, especially users' smartphone activities, not only demonstrate higher ubiquity but also appear to be more orthogonal to conventional sensitive demographic attributes. This, in turn, can help mitigate statistical bias driven by the unobserved factors or underrepresentative training samples in machine-based risk assessment processes.</t>
  </si>
  <si>
    <t>[Lu, Tian] Arizona State Univ, Dept Informat Syst, WP Carey Sch Business, Tempe, AZ 85287 USA; [Zhang, Yingjie] Peking Univ, Guanghua Sch Management, Dept Mkt, Beijing, Peoples R China; [Li, Beibei] Carnegie Mellon Univ, Heinz Coll Informat Syst &amp; Publ Policy, Pittsburgh, PA 15213 USA</t>
  </si>
  <si>
    <t>Arizona State University; Arizona State University-Tempe; Peking University; Carnegie Mellon University</t>
  </si>
  <si>
    <t>Lu, T (corresponding author), Arizona State Univ, Dept Informat Syst, WP Carey Sch Business, Tempe, AZ 85287 USA.</t>
  </si>
  <si>
    <t>lutian@asu.edu; yingjiezhang@gsm.pku.edu.cn; beibeili@andrew.cmu.edu</t>
  </si>
  <si>
    <t>Zhang, Yingjie/AAG-3085-2021; Lu, Tian/JXN-2689-2024</t>
  </si>
  <si>
    <t>Zhang, Yingjie/0000-0003-0745-2563; Lu, Tian/0000-0003-3730-1897</t>
  </si>
  <si>
    <t>National Natural Science Foundation of China [72272003, 71872050]; 2019 Facebook Research Award on Economic Opportunity and Digital Platforms</t>
  </si>
  <si>
    <t>National Natural Science Foundation of China(National Natural Science Foundation of China (NSFC)); 2019 Facebook Research Award on Economic Opportunity and Digital Platforms</t>
  </si>
  <si>
    <t>Yingjie Zhang is the corresponding author. We thank the SE, AE, and three anonymous reviewers for their constructive comments. This research was partially supported by the National Natural Science Foundation of China (Grant [72272003] and Grant [71872050]) and a 2019 Facebook Research Award on Economic Opportunity and Digital Platforms.</t>
  </si>
  <si>
    <t>10.25300/MISQ/2023/17330</t>
  </si>
  <si>
    <t>KK0P7</t>
  </si>
  <si>
    <t>WOS:001179740000008</t>
  </si>
  <si>
    <t>Liu, YL; Li, HB; Fang, X</t>
  </si>
  <si>
    <t>Liu, Yulin; Li, Hebo; Fang, Xin</t>
  </si>
  <si>
    <t>Who should the elderly borrow money from under formal financial exclusion? Evidence from China</t>
  </si>
  <si>
    <t>Financial exclusion; Informal borrowing; Household life cycle; Health risks; Major events</t>
  </si>
  <si>
    <t>PERIOD-COHORT ANALYSIS; RURAL HOUSEHOLDS; HEALTH SHOCKS; MICROCREDIT; COEXISTENCE; ESTIMATOR; MARKETS</t>
  </si>
  <si>
    <t>In China's typical dual financial structure, widespread financial exclusion severely affects the availability of formal credit to special groups, such as poor and elderly individuals. Using a sample of households from the China Family Panel Studies (CFPS) between 2010 and 2018, this research identifies the life-cycle characteristics of borrowing decisions of Chinese households based on the age-period-cohort (APC) model. The results show that the informal borrowing participation of Chinese households exhibits a distinct U-shaped life-cycle pattern, while formal borrowing exhibits an inverted U-shaped pattern. The demand for informal borrowing among elderly households excluded from the formal financial market increases with age, which is not consistent with the conservative and frugal consumption preferences of elderly individuals. Our research reveals that endogenous perturbations of health risks and exogenous shocks from major events, such as weddings and funerals, are homogeneous drivers of increased informal borrowing demand among rural and urban elderly households, but the impact is greater for rural than urban households. Further analysis indicates that the choice of financing from informal channels when risk and shocks occur is not a subjective preference of elderly households but a passive choice under financial exclusion. Thus, alleviating formal credit constraints may play a major role in improving household well-being.</t>
  </si>
  <si>
    <t>[Liu, Yulin] Chongqing Univ, Ctr Publ Econ &amp; Publ Policy, Chongqing 400044, Peoples R China; [Li, Hebo] Chongqing Univ, Sch Econ &amp; Business Adm, Chongqing 400044, Peoples R China; [Fang, Xin] Hawaii Pacific Univ, Coll Business, Honolulu, HI USA</t>
  </si>
  <si>
    <t>Chongqing University; Chongqing University; Hawaii Pacific University</t>
  </si>
  <si>
    <t>Li, HB (corresponding author), Chongqing Univ, Sch Econ &amp; Business Adm, Chongqing 400044, Peoples R China.</t>
  </si>
  <si>
    <t>20160097@cqu.edu.cn</t>
  </si>
  <si>
    <t>Fang, Xin/AAN-4222-2020</t>
  </si>
  <si>
    <t>Li, Hebo/0000-0003-0750-3703</t>
  </si>
  <si>
    <t>National Natural Science Foundation of China [72173012]; National  Four Batches  Talents of China [47]; Fundamental Research Funds for the Central Universities of China [2017CDJSK]</t>
  </si>
  <si>
    <t>National Natural Science Foundation of China(National Natural Science Foundation of China (NSFC)); National  Four Batches  Talents of China; Fundamental Research Funds for the Central Universities of China(Fundamental Research Funds for the Central Universities)</t>
  </si>
  <si>
    <t>This work was supported by the National Natural Science Foundation of China (grant number 72173012) ; the National  Four Batches  Talents of China (grant number 47) ; and the Fundamental Research Funds for the Central Universities of China (grant number 2017CDJSK) .</t>
  </si>
  <si>
    <t>10.1016/j.eap.2024.01.012</t>
  </si>
  <si>
    <t>KA3M9</t>
  </si>
  <si>
    <t>WOS:001177201900001</t>
  </si>
  <si>
    <t>Kesavan, V; Polisetty, A</t>
  </si>
  <si>
    <t>Kesavan, Varun; Polisetty, Aruna</t>
  </si>
  <si>
    <t>An extensive examination of the influence of financial technology (Fintech) on advancing financial inclusion: a bibliometric investigation</t>
  </si>
  <si>
    <t>Bibliometrics; Biblioshiny; Financial inclusion; FinTech; Scopus Sustainable Development Goals (SDG); VOS viewer</t>
  </si>
  <si>
    <t>BLOCKCHAIN; OPPORTUNITIES; CHALLENGES; MANAGEMENT; INTENTION; ECOSYSTEM; ADOPTION; POVERTY; SYSTEMS; ACCESS</t>
  </si>
  <si>
    <t>Financial technologies are the fundamental basis and driving force for financial inclusion initiatives, hence facilitating the attainment of the Sustainable Development Goals. This research is extensive and meticulous, focusing on the papers in the Scopus database related to fintech and financial inclusion. The data unequivocally demonstrate that China, India, and the United States are at the forefront of fintech and financial inclusion initiatives. Furthermore, the data reveals a significant increase in the number of articles pertaining to fintech and financial inclusion. The primary contributions in this field are Ozili PK, Banna H, and Zhang Y. Principal ties include Pan-Atlantic University, the University of Professional Studies, and Renmin University of China. This study indicates that successful fintech innovation enhances financial inclusion by bridging the divide between urban and rural communities, eventually contributing to sustainability. Likewise, effective financial innovation fosters increased growth in green investments, green initiatives, and green finance, transitioning economies from a linear to a circular model. The forthcoming research has the potential to enlighten and influence regulators, politicians, and future scholars.</t>
  </si>
  <si>
    <t>[Kesavan, Varun; Polisetty, Aruna] VIT Univ, VIT Business Sch, Vellore 632014, Tamil Nadu, India</t>
  </si>
  <si>
    <t>Vellore Institute of Technology (VIT); VIT Vellore</t>
  </si>
  <si>
    <t>Polisetty, A (corresponding author), VIT Univ, VIT Business Sch, Vellore 632014, Tamil Nadu, India.</t>
  </si>
  <si>
    <t>varunkesavan@yahoo.com; arunapolisetty81@gmail.com</t>
  </si>
  <si>
    <t>KESAVAN, VARUN/HTN-5838-2023</t>
  </si>
  <si>
    <t>KESAVAN, VARUN/0000-0002-2373-2613</t>
  </si>
  <si>
    <t>Vellore Institute of Technology</t>
  </si>
  <si>
    <t>Open access funding provided by Vellore Institute of Technology.</t>
  </si>
  <si>
    <t>10.1007/s43621-025-00823-8</t>
  </si>
  <si>
    <t>U6K5O</t>
  </si>
  <si>
    <t>WOS:001412860100001</t>
  </si>
  <si>
    <t>Rrustemi, J; Tuchschmid, NS</t>
  </si>
  <si>
    <t>Rrustemi, Jahja; Tuchschmid, Nils S.</t>
  </si>
  <si>
    <t>Facebook's Digital Currency Venture Diem: the new Frontier ... or a Galaxy far, far away?</t>
  </si>
  <si>
    <t>TECHNOLOGY INNOVATION MANAGEMENT REVIEW</t>
  </si>
  <si>
    <t>Bitcoin; blockchain; crypto assets; cryptocurrencies; Diem; DiemAssociation; digital currency; distributed ledger technology; Facebook; fiat currencies; financial industry; financial inclusion; Libra; local currencies; tokenization</t>
  </si>
  <si>
    <t>LOCAL EXCHANGE</t>
  </si>
  <si>
    <t>This article focuses on Facebook's new digital currency, initially called Libra and renamed in December 2020 Diem, that has been designed and proposed by the Diem Association (formerly the Libra Association). It briefly reflects on the historical meaning of money and currency, as well as local currencies viewed as precursors to the new digital currencies or cryptocurrencies. The paper presents a general overview of the Diem project, particularly from the perspective of financial theory and practise. It looks specifically into Diem's business model and analyzes the project's planned and potential revenue streams, according to official documents published by the Diem Association. The research identifies potential obstacles and hurdles this digital currency would (since it has not happened yet) face on launch day and assesses whether the project is feasible in its current form. In the authors' view, although some early concerns were addressed in the Diem White Paper 2.0, the Diem project is only questionably ready for commercial launch in its current state. Speaking directly to the financial aspects of the Diem Association's project, the current regulatory hurdles and institutional pressures seem difficult to bypass withoutmaking some additional noticeable andmeaningful changes to Diem.</t>
  </si>
  <si>
    <t>[Rrustemi, Jahja] Univ Appl Sci &amp; Arts Western Switzerland HES SO, Haute Ecole Gest Fribourg HEG FR, Delemont, Switzerland; [Tuchschmid, Nils S.] Univ Appl Sci &amp; Arts Western Switzerland HES SO, Haute Ecole Gest Fribourg HEG FR, Finance, Delemont, Switzerland; [Tuchschmid, Nils S.] Univ Appl Sci &amp; Arts Western Switzerland HES SO, Haute Ecole Gest Fribourg HEG FR, Finance Inst, Delemont, Switzerland; [Tuchschmid, Nils S.] Tages Grp, Tact Trading Strategies, London, England; [Tuchschmid, Nils S.] Tages Grp, Investment Comm, London, England; [Tuchschmid, Nils S.] UBS, Alternat Funds Advisory Team, Zurich, Switzerland; [Tuchschmid, Nils S.] Credit Suisse, Multimanager Portfolios, Zurich, Switzerland; [Tuchschmid, Nils S.] Banque Cantonale Vaudoise, Quantitat Res &amp; Alternat Investments, Lausanne, Switzerland; [Tuchschmid, Nils S.] HEG Geneva, Banking &amp; Finance, Geneva, Switzerland; [Tuchschmid, Nils S.] HEC Lausanne Univ, Finance, Lausanne, Switzerland</t>
  </si>
  <si>
    <t>Rrustemi, J (corresponding author), Univ Appl Sci &amp; Arts Western Switzerland HES SO, Haute Ecole Gest Fribourg HEG FR, Delemont, Switzerland.</t>
  </si>
  <si>
    <t>CARLETON UNIV GRAPHIC SERVICES</t>
  </si>
  <si>
    <t>OTTAWA</t>
  </si>
  <si>
    <t>DUNTON TOWER RM 2122, 1125 COLONEL BY DR, OTTAWA, ON K1A 5B6, CANADA</t>
  </si>
  <si>
    <t>1927-0321</t>
  </si>
  <si>
    <t>TECHNOL INNOV MANAG</t>
  </si>
  <si>
    <t>Technol. Innov. Manag. Rev.</t>
  </si>
  <si>
    <t>10.22215/timreview/1407</t>
  </si>
  <si>
    <t>PY2KR</t>
  </si>
  <si>
    <t>WOS:000611878200003</t>
  </si>
  <si>
    <t>Roy, NC; Ramachandran, N</t>
  </si>
  <si>
    <t>Roy, Neha Chhabra; Ramachandran, Narayani</t>
  </si>
  <si>
    <t>Enhancing microfinance efficacy for socio-economic development: A fuzzy logic approach to Pradhan Mantri Mudra Yojana</t>
  </si>
  <si>
    <t>Microfinance; socio-economic indicators; effectiveness index; push-pull impacts; fuzzy logic theory; Pradhan Mantri Mudra Yojana; policy measures</t>
  </si>
  <si>
    <t>MANAGEMENT</t>
  </si>
  <si>
    <t>This study comprehensively explores the intricate dynamics between Microfinance (MF) scheme implementation and socio-economic development through rigorous empirical analysis. The focal point is to provide a well-structured, stakeholder-specific mitigation plan, empowering microfinance institutions and customers for judicious investment planning, catalyzing socio-economic development and ensuring scheme implementation efficacy. Socioeconomic development is examined specifically through the Pradhan Mantri Mudra Yojana, a prominent microfinance scheme in India that encompasses financial inclusion, employment generation, women empowerment and sustainable development. Indicators within each domain are meticulously categorized into push and pull classes, influencing customer engagement with MF schemes. Noteworthy indicators exert forces that repel or attract customers, creating a nuanced understanding. The Microfinance Scheme Effectiveness Index, computed through fuzzy logic theory, facilitates empirical assessment across states, stratifying them into levels of effective scheme implementation. Addressing ineffectiveness requires bespoke, state-specific development plans, necessitating a multi-dimensional approach involving diverse stakeholders. The study advocates for policy interventions linked to pivotal aspects such as women's education, equal pay rights, start-up support, women representation promotion, customer training, awareness campaigns and enhanced governmental policies for structured customer involvement. In conclusion, despite robust planning systems, the effectiveness of scheme implementation faces challenges in a dynamic environment, requiring an iterative and adaptive monitoring approach.</t>
  </si>
  <si>
    <t>[Roy, Neha Chhabra; Ramachandran, Narayani] SVKMs Narsee Monjee Inst Management Studies, Dept Finance &amp; Accounting, Bannerghatta Rd, Bangalore 560083, India</t>
  </si>
  <si>
    <t>SVKM's NMIMS (Deemed to be University)</t>
  </si>
  <si>
    <t>Roy, NC (corresponding author), SVKMs Narsee Monjee Inst Management Studies, Dept Finance &amp; Accounting, Bannerghatta Rd, Bangalore 560083, India.</t>
  </si>
  <si>
    <t>nehang201112@gmail.com</t>
  </si>
  <si>
    <t>Chhabra Roy, Neha/AAM-7970-2020</t>
  </si>
  <si>
    <t>Chhabra Roy, Neha/0000-0003-2473-7413</t>
  </si>
  <si>
    <t>10.1142/S2424786324430035</t>
  </si>
  <si>
    <t>N4C5C</t>
  </si>
  <si>
    <t>WOS:001316896000001</t>
  </si>
  <si>
    <t>Ma, D; Wang, WC</t>
  </si>
  <si>
    <t>Ma, Dan; Wang, Wenchun</t>
  </si>
  <si>
    <t>Mandatory inclusive finance policy and small banks' operating performance: Evidence from China</t>
  </si>
  <si>
    <t>mandated inclusive finance; profitability; risk-taking; small regional banks</t>
  </si>
  <si>
    <t>FOREIGN; IMPACT</t>
  </si>
  <si>
    <t>We take the mandatory establishment of the Inclusive Finance Division in large state-owned banks as a quasi-experiment to explore the impact of inclusive finance policy on operating performance and risk-taking behaviours of small regional banks. Using financial information for Chinese banks from 2013 to 2019, we find that small regional banks' performance deteriorated, and they engaged in more risk-taking activities after the policy shock. Moreover, there are even much sharper performance declines in subsets of city commercial banks, and banks face high competition from large state-owned banks.</t>
  </si>
  <si>
    <t>[Ma, Dan] Zhejiang Gongshang Univ, Tailong Finance Sch, Hangzhou, Peoples R China; [Wang, Wenchun] Zhejiang Gongshang Univ, Sch Finance, Hangzhou, Peoples R China; [Wang, Wenchun] Zhejiang Gongshang Univ, Sch Finance, 18 Xuezheng Rd, Hangzhou 310018, Zhejiang, Peoples R China</t>
  </si>
  <si>
    <t>Zhejiang Gongshang University; Zhejiang Gongshang University; Zhejiang Gongshang University</t>
  </si>
  <si>
    <t>Wang, WC (corresponding author), Zhejiang Gongshang Univ, Sch Finance, 18 Xuezheng Rd, Hangzhou 310018, Zhejiang, Peoples R China.</t>
  </si>
  <si>
    <t>w_wenchun@163.com</t>
  </si>
  <si>
    <t>Wang, Wenchun/0000-0003-2048-2935</t>
  </si>
  <si>
    <t>MOE (Ministry of Education in China) Project of Humanities and Social Sciences [22YJA790042]; Natural Science Foundation of Zhejiang Province of China [LQ20G030009]</t>
  </si>
  <si>
    <t>MOE (Ministry of Education in China) Project of Humanities and Social Sciences; Natural Science Foundation of Zhejiang Province of China(Natural Science Foundation of Zhejiang Province)</t>
  </si>
  <si>
    <t>ACKNOWLEDGEMENTS This research is funded by MOE (Ministry of Education in China) Project of Humanities and Social Sciences (Project No. 22YJA790042) and Natural Science Foundation of Zhejiang Province of China (LQ20G030009). We thank Miss Qi Wu and Yu Cao for research assistance.</t>
  </si>
  <si>
    <t>10.1111/acfi.13130</t>
  </si>
  <si>
    <t>WR0B6</t>
  </si>
  <si>
    <t>WOS:001017827600001</t>
  </si>
  <si>
    <t>Tetteh, FK; Kwateng, KO</t>
  </si>
  <si>
    <t>Tetteh, Francis Kamewor; Kwateng, Kwame Owusu</t>
  </si>
  <si>
    <t>The pathways from digital financial literacy to sustained engagement with mobile financial services: a technology continuance theory perspective</t>
  </si>
  <si>
    <t>Digital financial literacy; Mobile financial services; Technology continuance theory</t>
  </si>
  <si>
    <t>PERCEIVED EASE; INFORMATION-TECHNOLOGY; PSYCHOLOGICAL-RESEARCH; MULTIVARIATE OUTLIERS; USER ACCEPTANCE; BANKING; DETERMINANTS; ANTECEDENTS; USAGE; INTENTION</t>
  </si>
  <si>
    <t>As digital transformation reshapes the financial landscape, understanding how individuals sustain their use of mobile financial services (MFS) has become increasingly important. While digital financial literacy (DFL) is widely recognized as essential for technology-enabled financial inclusion, the mechanisms through which DFL fosters continual usage of MFS remain under-explored. Guided by the Technology continuance theory (TCT), this study investigates how satisfaction, perceived usefulness, and attitude mediate the relationship between DFL and the continual use of MFS. The study validates the proposed hypotheses using survey data from 359 tertiary students from the Ghanaian universities. The study employed structural equation modeling to validate the hypotheses. The study reveals that DFL has a significant positive effect on continued MFS usage. Furthermore, DFL positively influences satisfaction, perceived usefulness, and attitude, three core constructs of TCT which in turn significantly predict continual usage of MFS. The mediation analysis shows that satisfaction, perceived usefulness, and attitude partially mediate the link between DFL and continued MFS usage. The paper offers insights for universities, financial institutions, and policymakers aiming to enhance digital financial engagement among young adults through education, platform design, and policy alignment.</t>
  </si>
  <si>
    <t>[Tetteh, Francis Kamewor; Kwateng, Kwame Owusu] Kwame Nkrumah Univ Sci &amp; Technol, KNUST Sch Business, Dept Supply Chain &amp; Informat Syst, Kumasi, Ghana</t>
  </si>
  <si>
    <t>Tetteh, FK (corresponding author), Kwame Nkrumah Univ Sci &amp; Technol, KNUST Sch Business, Dept Supply Chain &amp; Informat Syst, Kumasi, Ghana.</t>
  </si>
  <si>
    <t>kameworfrancis@gmail.com; kowusukwateng@yahoo.com</t>
  </si>
  <si>
    <t>Owusu Kwateng, Kwame/I-8268-2019</t>
  </si>
  <si>
    <t>10.1057/s41264-025-00335-6</t>
  </si>
  <si>
    <t>D4982</t>
  </si>
  <si>
    <t>WOS:001621592000001</t>
  </si>
  <si>
    <t>El Chaarani, H; EL Abiad, Z; El Nemar, S; Sakka, G</t>
  </si>
  <si>
    <t>El Chaarani, Hani; EL Abiad, Zouhour; El Nemar, Sam; Sakka, Georgia</t>
  </si>
  <si>
    <t>Factors affecting the adoption of cryptocurrencies for financial transactions</t>
  </si>
  <si>
    <t>EUROMED JOURNAL OF BUSINESS</t>
  </si>
  <si>
    <t>Cryptocurrencies; Bitcoin; Tourism; Hospitality; Risk; Financial literacy; Social influence; Customer behavior</t>
  </si>
  <si>
    <t>USER ACCEPTANCE; INFORMATION-TECHNOLOGY; SOCIAL COMMERCE; INTENTION; BITCOIN</t>
  </si>
  <si>
    <t>PurposeThis study contributes to examining the factors that drive the adoption of cryptocurrencies for financial transactions in the tourism and hospitality industries. This is crucial to develop tourism and hospitality and stimulate financial inclusion in developing and developed countries.Design/methodology/approachThis research paper employs the SEM model and bootstrapping method on a sample of 417 French participants involved in tourism and hospitality industries to reveal the causal pathway between a set of independent factors and the willingness to adopt cryptocurrencies for financial transactions.FindingsThe empirical findings reveal that ease of use, perceived usefulness, social influence, and financial literacy increase the willingness to use cryptocurrencies. French hotels need to have a strategic orientation, to deal with customers, competitors and changing technological environment. The study also reveals that social influence and financial literacy reduce the level of perceived financial risk and thus, leads to increase the intention to adopt the new type of decentralized currencies.Originality/valueIn contrast to previous studies that focused on the volatility and risk of cryptocurrencies, this research employs a human-centric approach covering different factors that could lead to the adoption of the new type of currency for financial transactions in tourism and hospitality industries.</t>
  </si>
  <si>
    <t>[El Chaarani, Hani] Beirut Arab Univ, Beirut, Lebanon; [EL Abiad, Zouhour] ESA Business Sch, Beirut, Lebanon; [El Nemar, Sam] AZM Univ, Tripoli, Lebanon; [El Nemar, Sam] Univ Balamand, Tripoli, Lebanon; [Sakka, Georgia] Univ Nicosia, Nicosia, Cyprus; [Sakka, Georgia] Unicaf Univ, Nicosia, Cyprus</t>
  </si>
  <si>
    <t>Beirut Arab University; University Balamand; University of Nicosia</t>
  </si>
  <si>
    <t>El Nemar, S (corresponding author), AZM Univ, Tripoli, Lebanon.;El Nemar, S (corresponding author), Univ Balamand, Tripoli, Lebanon.</t>
  </si>
  <si>
    <t>h.shaarani@bau.edu.lb; elabiad.z@esa.edu.lb; snemer@azmuniversity.edu.lb; geosakka@cytanet.com.cy</t>
  </si>
  <si>
    <t>El-Chaarani, Hani/C-2074-2016</t>
  </si>
  <si>
    <t>El-Chaarani, Hani/0000-0002-3074-9093</t>
  </si>
  <si>
    <t>1450-2194</t>
  </si>
  <si>
    <t>1758-888X</t>
  </si>
  <si>
    <t>EUROMED J BUS</t>
  </si>
  <si>
    <t>EuroMed J. Bus.</t>
  </si>
  <si>
    <t>10.1108/EMJB-04-2023-0121</t>
  </si>
  <si>
    <t>MJ5M0</t>
  </si>
  <si>
    <t>WOS:001026730000001</t>
  </si>
  <si>
    <t>Bayram, O; Talay, I; Feridun, M</t>
  </si>
  <si>
    <t>Bayram, Orkun; Talay, Isilay; Feridun, Mete</t>
  </si>
  <si>
    <t>Can Fintech Promote Sustainable Finance? Policy Lessons from the Case of Turkey</t>
  </si>
  <si>
    <t>sustainable finance; fintech; Turkey; emerging economies</t>
  </si>
  <si>
    <t>This study contributes to sustainable finance literature by exemplifying promotion of sustainable finance through fintech solutions for emerging market economies by presenting the case of Turkey. Turkey is one of the largest emerging market economies in the world with a strong banking system and high adoption of technology, so it has great potential to benefit from fintech solutions to boost sustainable finance. For the case analysis, the data used came from a research platform for a Turkish start-up ecosystem, Turkish regulations, and documents released on Turkey's sustainable finance strategies by Turkish and international institutions. We found that Turkey has made remarkable progress in increasing financial inclusivity for underbanked individuals and SMEs via providing contactless payment and contract systems and microfinance by mobile carriers and other online platforms. Turkey was also able to promote the responsible consumption goal for sustainable development by improving fintech solutions on payment systems with educational content on this goal. With upcoming developments such as the sandbox environment in Istanbul Financial Center, fintech solutions using Big Data, AI, and blockchain could emerge much faster with collaboration between banking and fintech sectors and regulatory institutions to better assess climate-related financial risks and form a national carbon trading mechanism.</t>
  </si>
  <si>
    <t>[Bayram, Orkun] Antalya Bilim Univ, Sch Business &amp; Social Sci, Akdeniz Blvd 290 Dosemealti, TR-07190 Antalya, Turkey; [Talay, Isilay] Trinity Coll Dublin, Trinity Business Sch, Luce Hall,Pearse St, Dublin D02 H308, Ireland; [Feridun, Mete] Eastern Mediterranean Univ, Dept Banking &amp; Finance, CY-99628 Gazimagusa, Cyprus</t>
  </si>
  <si>
    <t>Antalya Bilim University; Trinity College Dublin; Eastern Mediterranean University</t>
  </si>
  <si>
    <t>Talay, I (corresponding author), Trinity Coll Dublin, Trinity Business Sch, Luce Hall,Pearse St, Dublin D02 H308, Ireland.</t>
  </si>
  <si>
    <t>talayi@tcd.ie</t>
  </si>
  <si>
    <t>Talay, Isilay/AFN-6784-2022; BAYRAM, ORKUN/F-9879-2018; Feridun, Mete/A-9891-2016</t>
  </si>
  <si>
    <t>Talay, Isilay/0000-0002-8956-9505; BAYRAM, ORKUN/0000-0001-9958-7822; Feridun, Mete/0000-0002-3138-9245</t>
  </si>
  <si>
    <t>10.3390/su141912414</t>
  </si>
  <si>
    <t>5G6SX</t>
  </si>
  <si>
    <t>WOS:000867127600001</t>
  </si>
  <si>
    <t>Brejcha, J; Wang, C; Wang, XT; Wang, ZW; Wang, L; Xu, Q; Yang, C; Chen, LY; Luo, YX; Cheng, YJ; Zhang, SP; Liang, SW; Liu, XR; Miao, HT; Wang, BB; Chen, NL; Liu, ZJ</t>
  </si>
  <si>
    <t>Brejcha, Jan; Wang, Cong; Wang, Xiaotong; Wang, Ziwei; Wang, Li; Xu, Qing; Yang, Cheng; Chen, Liangyu; Luo, Yuxuan; Cheng, Yijian; Zhang, Shaopeng; Liang, Shuwen; Liu, Xinru; Miao, Huitian; Wang, Bingbing; Chen, Nilin; Liu, Zhengjie</t>
  </si>
  <si>
    <t>Financial Literacy in China as an Innovation Opportunity</t>
  </si>
  <si>
    <t>Design, User Experience, and Usability: Novel User Experiences, Pt II</t>
  </si>
  <si>
    <t>5th International Conference on Design, User Experience, and Usability (DUXU) held as part of 18th International Conference on Human-Computer Interaction (HCI International)</t>
  </si>
  <si>
    <t>JUL 17-22, 2016</t>
  </si>
  <si>
    <t>Toronto, CANADA</t>
  </si>
  <si>
    <t>Cross-cultural research; Cultural markers; Design patterns; Design philosophy; Design thinking; DUXU in developing countries; Emotion; Financial competence; Financial inclusion; Financial literacy; Future trends in DUXU; HCI; Innovation; Methodology; Mobile products/services; Motivation; Persuasion design; Semiotics; Service design; Sustainability; User-interface</t>
  </si>
  <si>
    <t>The purpose of the study was to get insights of the financial knowledge, behavior, and attitudes of the young generation of Chinese (Millenials or Little Emperors, i.e. born between 1980-1995), in order to find and exploit design opportunities to improve the financial wellbeing of our target group. Our paper presents an introduction to the research area, the current technological trends, the results of our initial study, and further directions both for research and design of solutions targeted at our tentative users. Our results suggest that there is a strong growth in smartphone adoption and a growing availability of mobile applications targeted at managing finances, and conducting payments. However, the young Chinese have a middle-to-low level of financial literacy, and mimic the conservative behavior of their parents and family, who prefer to hold cash (or gold) in favor of investment instruments. There is a number of design opportunities to leverage our insights to improve the financial health and wellbeing of our target user group presented in our work.</t>
  </si>
  <si>
    <t>[Wang, Cong; Wang, Xiaotong; Wang, Ziwei; Wang, Li; Xu, Qing; Yang, Cheng; Chen, Liangyu; Luo, Yuxuan; Cheng, Yijian; Zhang, Shaopeng; Liang, Shuwen; Liu, Xinru; Miao, Huitian; Wang, Bingbing; Chen, Nilin; Liu, Zhengjie] Dalian Maritime Univ, SEUC, Dalian 116026, Peoples R China</t>
  </si>
  <si>
    <t>Dalian Maritime University</t>
  </si>
  <si>
    <t>jan@brejcha.name; gutmannwc@live.com; chenliangyu@dlmu.edu.cn; tianlidemiao@163.com; cn10015@126.com; liuzhj@dlmu.edu.cn</t>
  </si>
  <si>
    <t>Liu, Xinru/KEH-2341-2024; Luo, YuXuan/MCK-3374-2025; wang, ziwei/HQY-9921-2023</t>
  </si>
  <si>
    <t>SPRINGER INT PUBLISHING AG</t>
  </si>
  <si>
    <t>978-3-319-40355-7; 978-3-319-40354-0</t>
  </si>
  <si>
    <t>10.1007/978-3-319-40355-7_42</t>
  </si>
  <si>
    <t>Computer Science, Cybernetics; Computer Science, Interdisciplinary Applications; Computer Science, Software Engineering; Computer Science, Theory &amp; Methods</t>
  </si>
  <si>
    <t>BG5FW</t>
  </si>
  <si>
    <t>WOS:000389470000042</t>
  </si>
  <si>
    <t>Ab Manan, SK; Jaaffar, SN; Shafiai, MHM; Rahman, FA; Shahrullail, SHIS</t>
  </si>
  <si>
    <t>Lean, HH; Lim, ES; Khoo, SL; Mohd, S</t>
  </si>
  <si>
    <t>Ab Manan, Siti Khadijah; Jaaffar, Siti Nurfarah; Shafiai, Muhammad Hakimi Mohd; Rahman, Fadhilah Abdul; Shahrullail, Syarifah Hazera Izzati Sayid</t>
  </si>
  <si>
    <t>Financial Risk and Risk Management of Islamic Microfinance (IMF) Product</t>
  </si>
  <si>
    <t>PROCEEDINGS OF INTERNATIONAL CONFERENCE ON CONTEMPORARY ECONOMIC ISSUES 2014: STIMULATING ECONOMIC GROWTH, IMPROVING QUALITY OF LIFE &amp; ENHANCING YOUTH INVOLVEMENT</t>
  </si>
  <si>
    <t>International Conference on Contemporary Economic Issues (ICCEI)</t>
  </si>
  <si>
    <t>DEC 10-12, 2014</t>
  </si>
  <si>
    <t>Kuala Lumpur, MALAYSIA</t>
  </si>
  <si>
    <t>Univ Sains Malaysia, Sch Social Sci,Inst Youth Res Malaysia</t>
  </si>
  <si>
    <t>Financial Risk; Risk Management; Islamic Microfinance</t>
  </si>
  <si>
    <t>Maintaining microfinance institutions' (MFIs) sustainability is extremely significant owing to the fact that it is aimed at alleviating poverty and improving the living standard of the poor. Hence, a sustainable Micro Finance Institution (MFI) is necessary in order to achieve the objective of realizing tequitable economic growth. Nevertheless, there are issues and challenges being faced by the institutions that could give impact towards their sustainability. Among others are moral hazard and adverse selection problems among participants that would ultimately give potential risks to the institutions. Hence, maintaining its sustainability by way of risk management is significant in ensuring financial inclusion of the poor and materializing the objective of poverty alleviation. This qualitative study was conducted toexamine one type of financial risk i.e. credit risk in the specific context of Islamic microfinance (IMF) product. The study focused on one particular productof a selected bank in Malaysia known as Micro Financing-I (MUsK). Primary data was collected through structured interviews with selected officers of the bank. Findings of the study indicated the presence of default risks among the borrowers.</t>
  </si>
  <si>
    <t>[Ab Manan, Siti Khadijah] Univ Teknol MARA, ARI, Shah Alam 40450, Malaysia; [Ab Manan, Siti Khadijah; Rahman, Fadhilah Abdul] Univ Teknol MARA, ACIS, Shah Alam 40450, Malaysia; [Jaaffar, Siti Nurfarah] Univ Teknol MARA, Fac Business Management, Shah Alam 40450, Malaysia; [Shafiai, Muhammad Hakimi Mohd] Univ Kebangsaan Malaysia, Fac Econ &amp; Management, Bangi 43600, Selangor, Malaysia; [Shahrullail, Syarifah Hazera Izzati Sayid] Univ Kebangsaan Malaysia, Grad Sch Business, Bangi 43600, Selangor, Malaysia</t>
  </si>
  <si>
    <t>Universiti Teknologi MARA; Universiti Teknologi MARA; Universiti Teknologi MARA; Universiti Kebangsaan Malaysia; Universiti Kebangsaan Malaysia</t>
  </si>
  <si>
    <t>Ab Manan, SK (corresponding author), Univ Teknol MARA, ARI, Shah Alam 40450, Malaysia.</t>
  </si>
  <si>
    <t>sitik274@salam.uitm.edu.my; siti_nurfarah90@yahoo.com; hakimi@ukm.my; farasy@gmail.com; syarifahazera@gmail.com</t>
  </si>
  <si>
    <t>SCHOOL OF SOCIAL SCIENCES, UNIVERSITI SAINS MALAYSIA</t>
  </si>
  <si>
    <t>PULAU PENANG</t>
  </si>
  <si>
    <t>11800 GEORGETOWN, PULAU PENANG, 00000, MALAYSIA</t>
  </si>
  <si>
    <t>978-967-394-206-0</t>
  </si>
  <si>
    <t>BE0OB</t>
  </si>
  <si>
    <t>WOS:000366474600019</t>
  </si>
  <si>
    <t>Katsamakas, E; Sánchez-Cartas, JM</t>
  </si>
  <si>
    <t>Katsamakas, Evangelos; Manuel Sanchez-Cartas, J.</t>
  </si>
  <si>
    <t>Network Formation and Financial Inclusion in P2P Lending: A Computational Model</t>
  </si>
  <si>
    <t>fintech; digital platform; Peer-to-Peer lending; digital financial service; network structure; agent-based model</t>
  </si>
  <si>
    <t>INFORMATION-SYSTEMS; PEER; DYNAMICS; PLATFORM; MICROFINANCE; BEHAVIOR; INDEX; TRUST</t>
  </si>
  <si>
    <t>What characteristics of fintech lending platforms improve access to funding and increase financial inclusion? We build a computational model of platform lending that is used to study the endogenous loan network formation process on the platform. Given the multidimensional nature of financial inclusion, we address what factors influence the number of loans, the level of investment/debt, and how those relate to the distribution of investment/debt across agents. We find that platform scale and SME reach are essential in determining the number of loans on the platform. However, the willingness to accept risks is the main driver behind the value of those loans. We also find that increased platform scale, high-risk thresholds, and low-interest rates lead to more evenly distributed investments. Moreover, we find that large platforms help increase diversity and lead to a more evenly distributed power among peers. We conclude that digital platforms increase financial inclusion, helping to foster investment and achieve a more egalitarian allocation of resources. These results can guide new theory development about the impact of P2P lending on inequality as well as help platforms to promote financial inclusion.</t>
  </si>
  <si>
    <t>[Katsamakas, Evangelos] Fordham Univ, Gabelli Sch Business, 140 W 62nd St, New York, NY 10023 USA; [Manuel Sanchez-Cartas, J.] Univ Politecn Madrid, Campus Montegancedo, Madrid 28223, Spain</t>
  </si>
  <si>
    <t>Fordham University; Universidad Politecnica de Madrid</t>
  </si>
  <si>
    <t>Sánchez-Cartas, JM (corresponding author), Univ Politecn Madrid, Campus Montegancedo, Madrid 28223, Spain.</t>
  </si>
  <si>
    <t>juanmanuel.sanchez@upm.es</t>
  </si>
  <si>
    <t>Sánchez-Cartas, Juan-Manuel/ADO-5657-2022</t>
  </si>
  <si>
    <t>Sánchez-Cartas, Juan-Manuel/0000-0002-7968-0840</t>
  </si>
  <si>
    <t>10.3390/systems10050155</t>
  </si>
  <si>
    <t>5Q3YE</t>
  </si>
  <si>
    <t>WOS:000873770400001</t>
  </si>
  <si>
    <t>Loke, V; Choi, L; Libby, M</t>
  </si>
  <si>
    <t>Loke, Vernon; Choi, Laura; Libby, Margaret</t>
  </si>
  <si>
    <t>Increasing Youth Financial Capability: An Evaluation of the MyPath Savings Initiative</t>
  </si>
  <si>
    <t>EDUCATION; PARTICIPATION; LITERACY; INCOME</t>
  </si>
  <si>
    <t>Although there has been mixed evidence from research on the efficacy of financial education efforts for youth, there is an emerging consensus that focusing on financial capability may be a more effective approach. This article examines the impact of the MyPath Savings pilot on 275 economically disadvantaged youth participating in a youth development and employment program. MyPath Savings targets youth earning their first paychecka critical teachable moment to promote savings and connect youth with mainstream financial products. The results indicate that MyPath Savings is highly relevant to participants' needs. In addition, youth experienced significant increases in financial knowledge, financial self-efficacy, and the frequency with which positive financial behaviors were carried out. Participants also saved an average of $507 through MyPath Savings. Gains in financial capability were mostly independent of the youths' race, gender, household income, and public benefits receipt. Possible factors for the promising results are discussed.</t>
  </si>
  <si>
    <t>[Loke, Vernon] Eastern Washington Univ, Cheney, WA 99004 USA; [Choi, Laura] Fed Reserve Bank San Francisco, San Francisco, CA USA; [Libby, Margaret] MyPath, Washington, DC USA</t>
  </si>
  <si>
    <t>Eastern Washington University; Federal Reserve System - USA; Federal Reserve Bank - San Francisco</t>
  </si>
  <si>
    <t>Loke, V (corresponding author), Eastern Washington Univ, Cheney, WA 99004 USA.</t>
  </si>
  <si>
    <t>vloke@ewu.edu; laura.choi@sf.frb.org; mlibby@mission.coop</t>
  </si>
  <si>
    <t>Loke, Vernon/LLM-4755-2024</t>
  </si>
  <si>
    <t>10.1111/joca.12066</t>
  </si>
  <si>
    <t>WOS:000351219200005</t>
  </si>
  <si>
    <t>Babu, MM</t>
  </si>
  <si>
    <t>Babu, Muneer M.</t>
  </si>
  <si>
    <t>Macroeconomic Determinants of Technological Change in Indian Microfinance Institutions</t>
  </si>
  <si>
    <t>Data envelopment analysis (DEA); Malmquist total factor productivity index (TFP); microfinance institutions (MFIs); random effect model (REM); technological change</t>
  </si>
  <si>
    <t>Performance of Indian microfinance institutions (MFIs) is crucial to ensure access to financial services by the poor who lack access to finance from banks. Improvement in technology of Indian MFIs over a period of time is vital to ensure higher access and expansion of microfinance services to a large number of poor individuals or households in the economy. Better performance of Indian MFIs is also important, as MFIs are social entrepreneurial in nature, expecting fair returns on their investment. This article analyzes the changing trends of technological change in Indian MFIs by using the technological index, decomposed from the Malmquist total factor productivity index (TFP), employing data envelopment analysis (DEA) for a panel of 34 Indian MFIs during the period 2005-2006 to 2010-2011. We further use a static panel data model, such as random effect model (REM), to examine various macroeconomic determinants of technological change in Indian MFIs during the period 2006-2007 to 2010-2011. Our result indicates that the technological change in Indian MFIs is positively driven by macroeconomic factors, namely, GDP growth rate and size of the economy, whereas it is negatively influenced by the rate of inflation.</t>
  </si>
  <si>
    <t>[Babu, Muneer M.] Adigrat Univ, Coll Business &amp; Econ, Dept Econ, Econ, Adigrat, Tigray, Ethiopia</t>
  </si>
  <si>
    <t>Babu, MM (corresponding author), Adigrat Univ, Coll Business &amp; Econ, Dept Econ, Econ, Adigrat, Tigray, Ethiopia.</t>
  </si>
  <si>
    <t>mkmmuneerbabu@gmail.com</t>
  </si>
  <si>
    <t>Babu, Muneer/LHA-1553-2024</t>
  </si>
  <si>
    <t>10.1177/0972150916656685</t>
  </si>
  <si>
    <t>VD5HW</t>
  </si>
  <si>
    <t>WOS:000436922000011</t>
  </si>
  <si>
    <t>Exploring the mediating role of social capital in the relationship between financial intermediation and financial inclusion in rural Uganda</t>
  </si>
  <si>
    <t>Financial inclusion; Social capital; Structural equation modelling; Mediation effect; Financial intermediation; Rural Uganda</t>
  </si>
  <si>
    <t>MICROFINANCE; INFORMATION; REPAYMENT; BANKING; SOCIETY; ACCESS</t>
  </si>
  <si>
    <t>Purpose The purpose of this paper is to establish the mediating role of social capital in the relationship between financial intermediation and financial inclusion in rural Uganda. Design/methodology/approach The current study used cross-sectional research design and a semi-structured questionnaire was used to collect data for this study. The study applied structural equation modeling through bootstrap approach in AMOS to establish the mediating role of social capital in the relationship between financial intermediation and financial inclusion. Findings The results indicated that social capital significantly mediates the relationship between financial intermediation and financial inclusion in rural Uganda. Therefore, it can be deduced that social capital among the poor play an important role in promoting financial intermediation for improved financial inclusion in rural Uganda. Research limitations/implications Although the sample was large, it may not be generalized to other segments of the population. Data were collected from only poor households located in rural Uganda. Besides, the study was cross-sectional, thus, limiting efforts in investigating certain characteristics of the sample over time. Perhaps future studies could adopt the use of longitudinal research design. Practical implications Financial institutions such as banks should rely on social capital as a substitute for physical collateral in order to promote financial inclusion, especially among the poor in rural Uganda. Originality/value This study provides empirical evidence on phenomenon not studied in rural areas in Sub-Saharan Africa where the poor use social capital embedded in customs and norms for doing business. The results highlight the importance of social capital in mediating the relationship between financial intermediation and financial inclusion of the poor in rural Uganda.</t>
  </si>
  <si>
    <t>[Bongomin, George Okello Candiya; Munene, John C.] Makerere Univ, Business Sch, FGSR, Kampala, Uganda; [Ntayi, Joseph Mpeera] Makerere Univ, Business Sch, Dept Management Sci, Kampala, Uganda; [Malinga, Charles Akol] Makerere Univ, Business Sch, Dept Finance, Kampala, Uganda</t>
  </si>
  <si>
    <t>10.1108/IJSE-08-2017-0357</t>
  </si>
  <si>
    <t>GD9NA</t>
  </si>
  <si>
    <t>WOS:000430838200007</t>
  </si>
  <si>
    <t>Verma, SS; Sreenu, N; Kushwaha, GS</t>
  </si>
  <si>
    <t>Verma, Som Shekhar; Sreenu, Nenavath; Kushwaha, Gyaneshwar Singh</t>
  </si>
  <si>
    <t>EXPLORING THE IMPACT OF FINANCIAL TECHNOLOGY ON COMMERCIAL BANKING EFFICIENCY: AN EMPIRICAL INVESTIGATION</t>
  </si>
  <si>
    <t>FinTech; Banking efficiency; Digital transformation; Financial innovation</t>
  </si>
  <si>
    <t>This study investigates the impact of Financial Technology (FinTech) on the efficiency of commercial banks in India. It explores whether FinTech enhances operational productivity and fosters financial inclusion in the rapidly evolving financial landscape. The research employs an empirical framework, analyzing annual data from 2012 to 2022 for 29 Indian commercial banks. Efficiency is measured using the Data Envelopment Analysis (DEA)-based Malmquist Index, while the FinTech Development Index is constructed using text-mining techniques. Regression models, including Pooled OLS, Fixed Effects, Random Effects, and Generalized Method of Moments (GMM), are employed to test hypotheses. The results indicate that FinTech adoption significantly enhances commercial bank efficiency. Innovations like mobile banking, digital payments, and blockchain technology improve customer experiences while reducing operational costs. Positive correlations were observed between FinTech development, GDP growth, and capital adequacy ratios, supporting the hypothesis that FinTech is a catalyst for efficiency and innovation in banking. The study is limited to Indian commercial banks and relies on secondary data. Future research could extend the scope to include comparative analyses across emerging markets and incorporate primary data for deeper insights. The findings emphasize the need for Indian banks to embrace digital transformation by integrating FinTech solutions into their operations. This approach could foster financial inclusion, enhance service delivery, and bolster economic growth. By leveraging FinTech, banks can improve access to financial services for underserved populations, contributing to poverty alleviation and economic equity. This study provides empirical evidence of the transformative role of FinTech in enhancing commercial banking efficiency in India, offering actionable insights for policymakers, financial institutions, and stakeholders.</t>
  </si>
  <si>
    <t>[Verma, Som Shekhar; Sreenu, Nenavath; Kushwaha, Gyaneshwar Singh] Maulana Azad Natl Inst Technol, Dept Management Studies, Bhopal, India</t>
  </si>
  <si>
    <t>National Institute of Technology (NIT System); Maulana Azad National Institute of Technology Bhopal</t>
  </si>
  <si>
    <t>Verma, SS (corresponding author), Maulana Azad Natl Inst Technol, Dept Management Studies, Bhopal, India.</t>
  </si>
  <si>
    <t>shekharvrm5@gmail.com; srinunaikphd@gmail.com; gyanbhu@gmail.com</t>
  </si>
  <si>
    <t>Kushwaha, Gyaneshwar Singh/A-9324-2017; Verma, Som Shekhar/HKW-6913-2023; Sreenu, Nenavath/AAV-1381-2021</t>
  </si>
  <si>
    <t>Verma, Som Shekhar/0009-0007-1830-6605;</t>
  </si>
  <si>
    <t>10.23925/2179-3565.2025v16i2p94-106</t>
  </si>
  <si>
    <t>5ME0F</t>
  </si>
  <si>
    <t>WOS:001538974600007</t>
  </si>
  <si>
    <t>Marwa, N; Aziakpono, M</t>
  </si>
  <si>
    <t>Marwa, Nyankomo; Aziakpono, Meshach</t>
  </si>
  <si>
    <t>Financial sustainability of Tanzanian saving and credit cooperatives</t>
  </si>
  <si>
    <t>Social economy; Microcredit; Cooperatives; Sustainable development</t>
  </si>
  <si>
    <t>Purpose - The purpose of this paper is to discuss the financial sustainability of Tanzanian saving and credit cooperatives (SACCOs). Design/methodology/approach - The data set used in this study comes from SACCOs' audited financial reports for the year 2011. The performance was estimated using return on asset (ROA) and financial sustainability was estimated using the ratio of total expenses to total revenue. Linear regression was used to investigate the determinants of financial sustainability. Findings - The results show that, about 61 per cent of the sample SACCOs is operationally sustainable and 51 per cent of the total sample is both operationally and financially sustainable. The average sustainability score was 127 per cent. On average, the results for profitability (measured by ROA) is higher than some of the results reported for standard microfinance in the region and globally. In terms of sustainability the result forecasts a promising future for financial cooperative business model as an alternative form of financing the poor. Research limitations/implications - Only SACCOs with audited financial statements were included in the study, thus the conclusion is limited to SACCOs with similar characteristics. Future work might consider extending the analysis to include SACCOs with non-audited financial statements. Practical implications - Based on the sample SACCOs can under good management can be used as a sustainable social conduit for financial access and social economic development among the poor in Tanzania. Originality/value - This study contributes in two ways. First, it contributes towards the scanty empirical literature on the performance of SACCOs in developing countries and in Tanzania in particular. Second, it provides provocative evidence which appears to contradict earlier and more pessimistic accounts and it challenges the ontology about extending member-based microfinance.</t>
  </si>
  <si>
    <t>[Marwa, Nyankomo; Aziakpono, Meshach] Univ Stellenbosch, Sch Business, Dept Dev Finance, Cape Town, South Africa</t>
  </si>
  <si>
    <t>Marwa, N (corresponding author), Univ Stellenbosch, Sch Business, Dept Dev Finance, Cape Town, South Africa.</t>
  </si>
  <si>
    <t>nyankomo.marwa@gmail.com</t>
  </si>
  <si>
    <t>; marwa, nyankomo/JJD-6827-2023</t>
  </si>
  <si>
    <t>Aziakpono, Meshach/0000-0002-5290-3311;</t>
  </si>
  <si>
    <t>10.1108/IJSE-06-2014-0127</t>
  </si>
  <si>
    <t>CY7XB</t>
  </si>
  <si>
    <t>WOS:000366621500001</t>
  </si>
  <si>
    <t>Engelbrecht, LK; Ornellas, A</t>
  </si>
  <si>
    <t>Engelbrecht, Lambert K.; Ornellas, Abigail</t>
  </si>
  <si>
    <t>Financial capabilities development: essential discourse in social work</t>
  </si>
  <si>
    <t>Neoliberalism; Financial literacy; Social work; Financial capability; Community education; Vulnerable households</t>
  </si>
  <si>
    <t>NEOLIBERALISM; LITERACY</t>
  </si>
  <si>
    <t>Purpose Within a neoliberal environment, financial vulnerability of households has become an increasing challenge and there is a requirement of financial literacy education, a necessary activity to facilitate sustainable development and well-being. However, this is seldom a mainstream discourse in social work deliberations. The paper aims to discuss these issues. Design/methodology/approach First, introducing the neoliberal impact on financial well-being and capability for vulnerable households, the authors' postulation is substantiated on a seven-point argument. The contexts of financially vulnerable households are sketched. Second, a conceptualisation of financial literacy is offered, and third, perspectives on and approaches to financial literacy as a fundamental capability are presented. This is followed by a theoretical foundation of community education as a practice model in social work to develop financial capabilities. In the fifth place, prevailing practices of Financial Capabilities Development (FCD) programmes are offered. Subsequently, the implications of a neoliberal environment for social work practice are examined. Findings The revised global definition of social work encourages the profession to understand and address the structural causes of social problems through collective interventions. As a response, it is argued that community education towards FCD of vulnerable households within a neoliberal environment should be an essential discourse in social development. Originality/value The authors reflect on the significance of FCD, highlighting its contribution towards human security and sustainable development. Although this paper draws on Southern African contexts, the discourse finds resonance in other contexts across the world.</t>
  </si>
  <si>
    <t>[Engelbrecht, Lambert K.; Ornellas, Abigail] Stellenbosch Univ, Dept Social Work, Saldanha, South Africa</t>
  </si>
  <si>
    <t>Ornellas, A (corresponding author), Stellenbosch Univ, Dept Social Work, Saldanha, South Africa.</t>
  </si>
  <si>
    <t>lke@sun.ac.za; abiornellas@gmail.com</t>
  </si>
  <si>
    <t>10.1108/IJSE-02-2019-0076</t>
  </si>
  <si>
    <t>JF6CW</t>
  </si>
  <si>
    <t>WOS:000491476500005</t>
  </si>
  <si>
    <t>Mohauad, GAZ; Alfonso, KRR; Bermeo, MMS; Ordoñez, APS; Barragán, LAA</t>
  </si>
  <si>
    <t>Mohauad, Guillermo Andres Zambrano; Alfonso, Karen Rossana Ramirez; Bermeo, Maritza Maribel Satama; Ordonez, Adriana Patricia Santos; Barragan, Livinsgthone Aristides Andrade</t>
  </si>
  <si>
    <t>MODELING ACCESS TO FORMAL AGRICULTURAL CREDIT FOR SMALLHOLDER RICE FARMERS IN THE SANTA LUCIA CANTON-ECUADOR</t>
  </si>
  <si>
    <t>INTERCIENCIA</t>
  </si>
  <si>
    <t>Access to Agricultural Credit; Microcredit; Poverty Reduction; Rural Development; Rice Production</t>
  </si>
  <si>
    <t>Smallholder rice farmers in Ecuador face persistent poverty conditions. As a result, rural development policies have increasingly promoted formal agricultural credit, which provides more favorable financing conditions for rice-growing cycles. This study was carried out in Santa Lucia Canton, one of the principal rice-producing areas in the country. A problem tree analysis and a logit model were applied to identify the socioeconomic factors that limit access to formal agricultural credit among smallholder farmers affiliated with a local irrigation association. Data were collected through a participatory workshop and a survey of 220 farmers conducted in 2019.The problem tree indicated that limited access to formal credit contributes to elevated poverty levels, as many farmers resort to informal lenders who offer loans under un- favorable financial conditions. The logit model identified that educational attainment, rice hectares, household size, access to government-subsidized agricultural kits , the ability to negotiate the selling price of rice significantly increase the likelihood of obtaining formal credit. These findings high- light key factors influencing financial access , can inform the design of more inclusive rural credit programs. The study contributes to improving the targeting and impact of financial inclusion initiatives by identifying farmer profiles with limited access opportunities.</t>
  </si>
  <si>
    <t>[Mohauad, Guillermo Andres Zambrano; Alfonso, Karen Rossana Ramirez; Ordonez, Adriana Patricia Santos] Escuela Super Politecn Litoral ESPOL, Sci Rural Dev, Guayaquil, Ecuador; [Mohauad, Guillermo Andres Zambrano; Alfonso, Karen Rossana Ramirez; Ordonez, Adriana Patricia Santos] ESPOL, Res Technician, Guayaquil, Ecuador; [Mohauad, Guillermo Andres Zambrano] Fac Ciencias Vida, Campus Gustavo Galindo Km 30-5 Via Perimetral,POB, Guayaquil 09015863, Ecuador; [Bermeo, Maritza Maribel Satama] EPN, Quito, Ecuador; [Bermeo, Maritza Maribel Satama] UPM, Sci Agr Econ &amp; Nat Resource Management, Madrid, Spain; [Bermeo, Maritza Maribel Satama] WSL Swiss Fed Res Inst, Econ &amp; Social Sci Unit, Birmensdorf, Switzerland; [Barragan, Livinsgthone Aristides Andrade] Univ Ghent, Sci Environm Sanitat, Ghent, Belgium; [Barragan, Livinsgthone Aristides Andrade] Educere Ecuador, Psicol Educ, Guayaquil, Ecuador</t>
  </si>
  <si>
    <t>Escuela Superior Politecnica del Litoral; Escuela Superior Politecnica del Litoral; Universidad Politecnica de Madrid; Swiss Federal Institutes of Technology Domain; Swiss Federal Institute for Forest, Snow &amp; Landscape Research; Ghent University</t>
  </si>
  <si>
    <t>Mohauad, GAZ (corresponding author), Escuela Super Politecn Litoral ESPOL, Sci Rural Dev, Guayaquil, Ecuador.;Mohauad, GAZ (corresponding author), Fac Ciencias Vida, Campus Gustavo Galindo Km 30-5 Via Perimetral,POB, Guayaquil 09015863, Ecuador.</t>
  </si>
  <si>
    <t>guiazamb@espol.edu.ec; karorami@espol.edu.ec; maritza.satama@wsl.ch; psantos@espol.edu.ec; landrade@eminat.net</t>
  </si>
  <si>
    <t>CARACAS</t>
  </si>
  <si>
    <t>APARTADO 51842, CARACAS 1050A, VENEZUELA</t>
  </si>
  <si>
    <t>0378-1844</t>
  </si>
  <si>
    <t>Interciencia</t>
  </si>
  <si>
    <t>Ecology</t>
  </si>
  <si>
    <t>4RG2T</t>
  </si>
  <si>
    <t>WOS:001524767800006</t>
  </si>
  <si>
    <t>Collins, JM; O'Rourke, C; Olive, P</t>
  </si>
  <si>
    <t>Collins, J. Michael; O'Rourke, Collin; Olive, Peggy</t>
  </si>
  <si>
    <t>Reminding Individuals to Check Their Free Credit Reports: A Case for Using Low-Touch Campaigns to Promote Positive Behaviors</t>
  </si>
  <si>
    <t>JOURNAL OF EXTENSION</t>
  </si>
  <si>
    <t>credit reports; financial education; financial capability; program assessment</t>
  </si>
  <si>
    <t>This article describes University of Wisconsin-Extension's Check Your Free Credit Report Campaign. The program encourages adults to check their free credit reports through use of a memorable rule of thumb. The primary mechanisms of the program are a set of three email reminders each year and a campaign website. Data on program participation, engagement, and outcomes suggest that this program can complement higher touch financial education activities. Moreover, the format could be used to address other financial behaviors or extended to domains beyond consumer finance.</t>
  </si>
  <si>
    <t>[Collins, J. Michael; O'Rourke, Collin; Olive, Peggy] Univ Wisconsin, Madison, WI 53706 USA</t>
  </si>
  <si>
    <t>Collins, JM (corresponding author), Univ Wisconsin, Madison, WI 53706 USA.</t>
  </si>
  <si>
    <t>jmcollins@wisc.edu; cmorourke@wisc.edu; polive@wisc.edu</t>
  </si>
  <si>
    <t>Collins, J./G-3428-2013</t>
  </si>
  <si>
    <t>UNIV OF WISCONSIN EXTENSION JOURNAL INC</t>
  </si>
  <si>
    <t>605 EXTENSION BLDG 432 NORTH LAKE ST, MADISON, WI 53706 USA</t>
  </si>
  <si>
    <t>0022-0140</t>
  </si>
  <si>
    <t>1077-5315</t>
  </si>
  <si>
    <t>J EXT</t>
  </si>
  <si>
    <t>J. Ext.</t>
  </si>
  <si>
    <t>GQ0EU</t>
  </si>
  <si>
    <t>WOS:000441290400006</t>
  </si>
  <si>
    <t>Chanaliya, N; Bansal, S; Cichon, D</t>
  </si>
  <si>
    <t>Chanaliya, Nisha; Bansal, Sanchita; Cichon, Dariusz</t>
  </si>
  <si>
    <t>Are Entitlements Enough? Understanding the Role of Financial Inclusion in Strengthening Food Security</t>
  </si>
  <si>
    <t>food security; entitlements; financial inclusion; financial literacy; hunger; SDG2</t>
  </si>
  <si>
    <t>SUB-SAHARAN AFRICA; AGRICULTURAL TECHNOLOGIES; REGIONAL TRADE; CAPABILITY; POVERTY; GENDER; IMPACT; REPRESENTATION; HOUSEHOLDS; AID</t>
  </si>
  <si>
    <t>In 2024, 28% of the global population experienced moderate or severe food insecurity. The State of Food Security and Nutrition in the World (SOFI) 2024 report underscores that adequate and sustained financing is critical to achieving global food security and improved nutrition outcomes. Grounded in the entitlement theory, this study examines how financial inclusion can reinforce the relationship between entitlements and food security. The study conducts a systematic review research methodology to collect, interpret, and integrate 84 studies. The findings of the paper include a thematic map and a conceptual framework. The thematic map highlights the major themes of the research area. The conceptual framework illustrates how financial inclusion enhances key entitlements such as production, trade, labor, and aid, which help achieve the four dimensions of food security: availability, accessibility, utilization, and stability. The study contributes theoretically by extending both entitlement and capability theory, showing how financial services improve access to food and strengthen people's capabilities. On the policy front, the study recommends enhancing digital infrastructure in rural areas, promoting sustainable agriculture, empowering women, and encouraging millet production through targeted subsidies and cash transfer schemes. The study also suggests future research directions to help address its limitations, such as the lack of empirical testing of the proposed relationships.</t>
  </si>
  <si>
    <t>[Chanaliya, Nisha; Bansal, Sanchita] Guru Gobind Singh Indraprastha Univ, Univ Sch Management Studies, Dwarka Sect 16C, New Delhi 110078, India; [Cichon, Dariusz] AGH Univ Krakow, Dept Enterprise Management, PL-30059 Krakow, Poland</t>
  </si>
  <si>
    <t>GGS Indraprastha University; AGH University of Krakow</t>
  </si>
  <si>
    <t>Cichon, D (corresponding author), AGH Univ Krakow, Dept Enterprise Management, PL-30059 Krakow, Poland.</t>
  </si>
  <si>
    <t>nishachanaliya25@gmail.com; bansalsanchita@gmail.com; dcichon@agh.edu.pl</t>
  </si>
  <si>
    <t>bansal, sanchita/JED-4123-2023; Cichon, Dariusz/NOF-4058-2025</t>
  </si>
  <si>
    <t>10.3390/su17177954</t>
  </si>
  <si>
    <t>7FX3G</t>
  </si>
  <si>
    <t>WOS:001570068300001</t>
  </si>
  <si>
    <t>Ogujiuba, K; Makhubupetsi, K; Maponya, L</t>
  </si>
  <si>
    <t>Ogujiuba, Kanayo; Makhubupetsi, Kholofelo; Maponya, Lethabo</t>
  </si>
  <si>
    <t>Pathways to Business Financing in South Africa: Exploring Microloans, Venture Capital, and Gender-Responsive Grants</t>
  </si>
  <si>
    <t>entrepreneurial finance; microloans; venture capital; gender-responsive grants; financial inclusion</t>
  </si>
  <si>
    <t>Business financing involves supplying funds or capital to initiate, expand, or maintain a business. This study investigates entrepreneurial funding in South Africa, emphasizing microloans, venture capital, and gender-sensitive grants as tools to facilitate inclusive business growth. Using a qualitative desktop research methodology, this study relies on policy documents, institutional reports, and peer-reviewed studies to assess how these funding strategies tackle access barriers for marginalized populations, specifically women, youth, and rural entrepreneurs. Guided by Access to Finance Theory, Gender Finance Theory, and Innovation Ecosystems Theory, this study indicates that microloans offer immediate funding for informal businesses but show minimal long-term effects without additional assistance. Venture capital promotes rapid innovation, yet it is predominantly based in urban regions and unattainable for underrepresented populations. Grants that address gender issues foster equity but are obstructed by institutional fragmentation and insufficient scale. The results highlight the necessity for unified financing frameworks that merge financial and non-financial assistance, facilitating scalable and inclusive business ventures. Policy suggestions involve aligning public financing tools with the National Integrated Small Enterprise Development Masterplan, integrating gender-sensitive budgeting frameworks, and utilizing digital financial platforms to enhance access. Future studies should utilize mixed-methods or longitudinal approaches to assess the ongoing developmental effects of coordinated financing models within the South African setting.</t>
  </si>
  <si>
    <t>[Ogujiuba, Kanayo; Makhubupetsi, Kholofelo; Maponya, Lethabo] Univ Mpumalanga, Ctr Entrepreneurship &amp; Rapid Incubator, ZA-1200 Nelspruit, South Africa</t>
  </si>
  <si>
    <t>Ogujiuba, K (corresponding author), Univ Mpumalanga, Ctr Entrepreneurship &amp; Rapid Incubator, ZA-1200 Nelspruit, South Africa.</t>
  </si>
  <si>
    <t>kanayo.ogujiuba@ump.ac.za</t>
  </si>
  <si>
    <t>Ogujiuba, Kanayo/AAV-3900-2020</t>
  </si>
  <si>
    <t>10.3390/admsci15080319</t>
  </si>
  <si>
    <t>6MV1U</t>
  </si>
  <si>
    <t>WOS:001557109200001</t>
  </si>
  <si>
    <t>Tlapek, SM; Knott, LH; Schrag, RV</t>
  </si>
  <si>
    <t>Tlapek, Sarah Myers; Knott, Leslie Hannah; Schrag, Rachel Voth</t>
  </si>
  <si>
    <t>A Process to Identify and Address Barriers to Providing Financial Capability Programming to Survivors of Intimate Partner Violence</t>
  </si>
  <si>
    <t>FAMILIES IN SOCIETY-THE JOURNAL OF CONTEMPORARY SOCIAL SERVICES</t>
  </si>
  <si>
    <t>financial capacity; human capital; social capital; intimate partner violence; financial capability; financial literacy; service provision; abuse; neglect; violence</t>
  </si>
  <si>
    <t>ECONOMIC EMPOWERMENT; BATTERED WOMEN; SAVINGS; HEALTH; LIVES</t>
  </si>
  <si>
    <t>Financial dependence on an abusive partner is a threat to long-term safety for survivors of interpersonal violence. This study piloted a process to identify and address barriers to implementation of financial capability and asset building (FCAB) programming for survivors in one domestic and sexual violence agency. A tiered implementation approach included (a) a participatory diagnostic evaluation with clients (n = 10), staff (n = 10), and stakeholders (n = 3); (b) an expert panel to prioritize the barriers and propose implementation strategies; and (c) the development of a tailored action plan. The formative evaluation identified limited staff financial knowledge, self-efficacy, and incentives as barriers. The tailored action plan included research-tested implementation strategies: (a) conduct ongoing training for staff, (b) identify champions, and (c) change the record system. Monitoring and evaluation of the action plan is ongoing; the process provides a replicable method for social service agencies to improve FCAB programming and to ultimately improve economic conditions for clients.</t>
  </si>
  <si>
    <t>[Tlapek, Sarah Myers; Knott, Leslie Hannah] Univ Missouri, Columbia, MO 65211 USA; [Schrag, Rachel Voth] Univ Texas Arlington, Arlington, TX 76019 USA</t>
  </si>
  <si>
    <t>University of Missouri System; University of Missouri Columbia; University of Texas System; University of Texas Arlington</t>
  </si>
  <si>
    <t>Tlapek, SM (corresponding author), Univ Missouri, Sch Social Work, 729 Clark Hall, Columbia, MO 65211 USA.</t>
  </si>
  <si>
    <t>tlapeks@missouri.edu</t>
  </si>
  <si>
    <t>Tlapek, Sarah Myers/0000-0002-9443-3020</t>
  </si>
  <si>
    <t>University of Missouri Research Council Board [URC-18-071]</t>
  </si>
  <si>
    <t>University of Missouri Research Council Board</t>
  </si>
  <si>
    <t>The author(s) disclosed receipt of the following financial support for the research, authorship, and/or publication of this article: This work was supported by University of Missouri Research Council Board (Grant number: URC-18-071).</t>
  </si>
  <si>
    <t>1044-3894</t>
  </si>
  <si>
    <t>1945-1350</t>
  </si>
  <si>
    <t>FAM SOC</t>
  </si>
  <si>
    <t>Fam. Soc.</t>
  </si>
  <si>
    <t>10.1177/10443894211031484</t>
  </si>
  <si>
    <t>YV1HT</t>
  </si>
  <si>
    <t>WOS:000702405400001</t>
  </si>
  <si>
    <t>Alaghbari, LMA; Othman, AHA; Noor, ABM</t>
  </si>
  <si>
    <t>Alaghbari, Lina Mohammed Abdo; Othman, Anwar Hasan Abdullah; Noor, Azman Bin Mohd</t>
  </si>
  <si>
    <t>Promoting Women's Economic Empowerment Through Islamic Financial Inclusion in Lower Income Economies: Empirical Evidence from Yemen</t>
  </si>
  <si>
    <t>Women; Economic empowerment; Islamic Financial Inclusion; Yemen</t>
  </si>
  <si>
    <t>CONFIRMATORY FACTOR-ANALYSIS; SERVICES; ACCESS; SATISFACTION; IMPACT; MICROFINANCE; POVERTY</t>
  </si>
  <si>
    <t>This research aims to examine the true impact of Islamic financial inclusion (IFI) through (access, use, quality) of Islamic financial services on women's economic empowerment (WEE) in Yemen. With the help of primary data collected from 421 respondents through non-probability sampling, the study adopted Structural Equation Modelling (SEM) to analyses the relationship between Islamic financial inclusion and the economic empowerment of women. The study findings indicate that the proposed model in its final draft fits the data very well with satisfactory goodness of fit indices. Furthermore, the findings reveal a significant impact of Islamic financial inclusion, specifically the access and quality of Islamic financial services, on women's economic empowerment in Yemen. However, there is no positive effect of the use of Islamic financial services on women's economic empowerment in Yemen. The study highlights an earnest need for serious efforts to facilitate and ease the use of Islamic financial services among women who promote their economic empowerment. The study argues that as long as accessing Islamic financial services is influential on WEE, then using such services is supposed to contribute towards improving WEE. These results will assist policymakers, organizations concerned with women's affairs in designing and implementing effective development strategies, plans, and policies for women's empowerment and Islamic financial inclusion.</t>
  </si>
  <si>
    <t>[Alaghbari, Lina Mohammed Abdo; Othman, Anwar Hasan Abdullah; Noor, Azman Bin Mohd] IIUM Inst Islamic Banking &amp; Finance IIiBF, Kuala Lumpur, Malaysia</t>
  </si>
  <si>
    <t>Alaghbari, LMA (corresponding author), IIUM Inst Islamic Banking &amp; Finance IIiBF, Kuala Lumpur, Malaysia.</t>
  </si>
  <si>
    <t>lina.alaghbari@live.iium.edu.my; anwarhasan@iium.edu.my; azmann@iium.edu.my</t>
  </si>
  <si>
    <t>Alaghbari, Lina/HNJ-3582-2023; Othman, Anwar/U-3214-2019</t>
  </si>
  <si>
    <t>10.1007/978-3-031-08084-5_69</t>
  </si>
  <si>
    <t>WOS:000892373200066</t>
  </si>
  <si>
    <t>He, K; Gan, Y; Wu, H</t>
  </si>
  <si>
    <t>He, Kang; Gan, Yue; Wu, Hong</t>
  </si>
  <si>
    <t>Natural resources, decentralized system, financial inclusion and sustainable development: Evidence from top emerging economies with resources abundance</t>
  </si>
  <si>
    <t>Natural resources; Financial inclusion; Green innovation; Decentralization; Economic risk index; GDP; MMQREG; Emerging economies</t>
  </si>
  <si>
    <t>REGRESSION</t>
  </si>
  <si>
    <t>The issue of NRR, whether a curse or a blessing, presents a complex and multifaceted dilemma, yielding varied conclusions for developed and emerging economies. However, few studies have discussed the overview of sustainable development of NRR in emerging nations. Hence, this research studies the linkage between natural resources and economic growth in emerging economies. The study also included the effective role of the financial inclusion index, green innovation, decentralization, and economic risk index in a panel data set covering the period from 2004 to 2019. The research operated various panel methods to analyze the data. These methods included tests for slope heterogeneity and cross -section dependency, as well as the CIPS unit root test to assess the significance of the data at the level or difference. The Westerlund cointegration test was employed to examine long -term cointegration, and a novel MMQR method was used for the primary analysis. Additionally, panel FMOLS and DOLS methods were used as robustness checks. The initial scrutiny revealed the occurrence of heterogeneity and cross -section dependency in the panel data. Furthermore, the results indicated that the variables were stationary when considering their differences, and there was an indication of long -term equilibrium among the variables. The outcomes observed in the research indicate that natural resources are subject to a resource curse in emerging economies where oil and mineral rents negatively influence economic expansion throughout quantiles. Furthermore, financial inclusion and decentralization foster economic expansion while economic risk index and green innovation also have positive effects on economic growth across quantiles. Relevant policies are recommended to channel the resources into the growth sector through the encouraging role of financial inclusion, decentralization, and green innovation while managing the economic risk index.</t>
  </si>
  <si>
    <t>[He, Kang] Changsha Univ, Coll Econ &amp; Management, Changsha 410022, Peoples R China; [Gan, Yue] State Grid Fujian Elect PowerCo LTD, Fuzhou 350001, Peoples R China; [Wu, Hong] FuJian Univ Technol, Sch Management, Fuzhou 350000, Fujian, Peoples R China</t>
  </si>
  <si>
    <t>Changsha University; Fujian University of Technology</t>
  </si>
  <si>
    <t>Wu, H (corresponding author), FuJian Univ Technol, Sch Management, Fuzhou 350000, Fujian, Peoples R China.</t>
  </si>
  <si>
    <t>z20190838@ccsu.edu.cn; 13950323700@163.com; wuhong@fjut.edu.cn</t>
  </si>
  <si>
    <t>kang, he/JQJ-5660-2023</t>
  </si>
  <si>
    <t>Wu, Hong/0009-0000-9799-5398</t>
  </si>
  <si>
    <t>10.1016/j.resourpol.2024.104674</t>
  </si>
  <si>
    <t>HW3N4</t>
  </si>
  <si>
    <t>WOS:001162506800001</t>
  </si>
  <si>
    <t>Agoba, AM; Sare, YA; Anarfo, EB; Tsekpoe, C</t>
  </si>
  <si>
    <t>Agoba, Abel Mawuko; Sare, Yakubu Awudu; Anarfo, Ebenezer Bugri; Tsekpoe, Christian</t>
  </si>
  <si>
    <t>The push for financial inclusion in Africa: Should central banks be wary of political institutional quality and literacy rates?Palabras Clave(sic)(sic)(sic)</t>
  </si>
  <si>
    <t>POLITICS &amp; POLICY</t>
  </si>
  <si>
    <t>Africa; African development; CBI; central bank independence; central banks; financial inclusion; literacy rates; political economy; political institutions</t>
  </si>
  <si>
    <t>PANEL-DATA; INFLATION; INDEPENDENCE; WORLD; RISK; SERVICES; GMM</t>
  </si>
  <si>
    <t>Motivated by the literature on reform complementarities and their importance for the effectiveness of central bank independence (CBI) reforms-particularly for African countries-where CBI has empirically not been found to have a significant impact on financial development, we explore the extent to which differences in literacy levels and political institutions could determine the extent and impact of CBI on financial inclusion. Using panel data from 2004 to 2014, we find that, while CBI does not promote financial inclusion in Africa, financial literacy and political institutions do; even to the extent of enabling CBI's impact on financial inclusion. The results are robust to different measures of political institutions from Freedom House and Polity IV Database and present implications for the role governments could play in shepherding central banks in Africa in the midst of Africa's developmental challenges and the global crises. Related ArticlesAideyan, Osaore. 2016. Political and Institutional Prerequisites for Monetary Union: Assessing Progress in the Economic Community of West African States (ECOWAS). Politics &amp; Policy 44(6): 1192-212. .Asongu, Simplice A., Joseph Nnanna, and Vanessa S. Tchamyou. 2021. Finance, Institutions, and Private Investment in Africa. Politics &amp; Policy 49(2): 309-51. .Scarlato, Margherita, and Giorgio d'Agostino. 2019. The Political Dimension of Cash Transfers in Latin America and Sub-Saharan Africa: A Comparative Perspective. Politics &amp; Policy 47(6): 1125-55. .</t>
  </si>
  <si>
    <t>[Agoba, Abel Mawuko] Coventry Univ, Sch Econ Finance &amp; Accounting, Coventry, England; [Sare, Yakubu Awudu] Univ Dev Studies, Sch Business &amp; Law, Dept Banking &amp; Finance, Wa, Ghana; [Anarfo, Ebenezer Bugri] Ghana Inst Management &amp; Publ Adm, GIMPA Business Sch, Accra, Ghana; [Tsekpoe, Christian] Pentecost Univ, Missions Dept, Accra, Ghana</t>
  </si>
  <si>
    <t>Coventry University; University for Development Studies</t>
  </si>
  <si>
    <t>Agoba, AM (corresponding author), Coventry Univ, Sch Econ Finance &amp; Accounting, Coventry, England.</t>
  </si>
  <si>
    <t>ad8749@coventry.ac.uk</t>
  </si>
  <si>
    <t>Tsekpoe, Christian/ABE-3141-2020</t>
  </si>
  <si>
    <t>Agoba, Abel Mawuko/0000-0002-9473-3891</t>
  </si>
  <si>
    <t>1555-5623</t>
  </si>
  <si>
    <t>1747-1346</t>
  </si>
  <si>
    <t>POLITICS POLICY</t>
  </si>
  <si>
    <t>Politics Policy</t>
  </si>
  <si>
    <t>10.1111/polp.12514</t>
  </si>
  <si>
    <t>8S6QZ</t>
  </si>
  <si>
    <t>WOS:000912141000001</t>
  </si>
  <si>
    <t>Leyshon, A; Thrift, N; Pratt, J</t>
  </si>
  <si>
    <t>Reading financial services: texts, consumers, and financial literacy</t>
  </si>
  <si>
    <t>ENVIRONMENT AND PLANNING D-SOCIETY &amp; SPACE</t>
  </si>
  <si>
    <t>TECHNOLOGY DISTRICTS; TRADING SYSTEMS; LOCAL EXCHANGE; CREDIT; EXCLUSION; MARKETS; GLOBALIZATION; ORGANIZATION; CORPORATE; BRITAIN</t>
  </si>
  <si>
    <t>The authors focus upon the changing nature of production and consumption within the retail financial services industry. The perennial problem which faces all producers of financial services is information asymmetry; that is, providers and consumers of financial products have unequal amounts of information about whether or not customers have the wherewithal to make them 'capable' purchasers. Thus, the problem of information asymmetry is usually manifested in a priori decisionmaking about the suitability of customers. This problem has traditionally been overcome by forging interpersonal relationships of trust with consumers through copresence. Increasingly, however, trust in consumers is being forged through technologically mediated means of information collection functioning 'at a distance' so that financial services producers are coming to 'read' consumers as 'texts' through the medium of databases. These developments have had a number of effects, such as increased competition in retail financial markets, while branch networks, which acted as durable barriers to entry to the market, have become less important as sites of market intelligence and knowledge. Consumers have also been forced to forge new relations of trust with retail financial service providers. This is increasingly being achieved through the use of various media and through identification with brands. Such developments have served to create social and spatial divisions of financial inclusion and exclusion, as producers use at-a-distance information to discriminate between 'good' and 'bad' customers. Those 'inside' the financial system are able to use their financial knowledge to take advantage of increased levels of competition between financial service providers. However, those excluded from the financial system are doubly handicapped as they live in both a financial and an information shadow. Such individuals are likely to pay an increasingly heavy price for their exclusion, particularly given the collapse of universal welfare provision and the allied growth of private welfare-related financial products. In recognition of this, in the final part of the paper we consider ways of countering problems of financial exclusion and low levels of financial literacy.</t>
  </si>
  <si>
    <t>Univ Bristol, Dept Geog, Bristol BS8 1SS, Avon, England; Univ Southampton, Dept Geog, Southampton SO17 1BJ, Hants, England</t>
  </si>
  <si>
    <t>University of Bristol; University of Southampton</t>
  </si>
  <si>
    <t>Leyshon, A (corresponding author), Univ Bristol, Dept Geog, Bristol BS8 1SS, Avon, England.</t>
  </si>
  <si>
    <t>A.Leyshon@bris.ac.uk; N.J.Thrift@bristol.ac.uk; D.J.Pratt@soton.ac.uk</t>
  </si>
  <si>
    <t>; Leyshon, Anew/L-9124-2018</t>
  </si>
  <si>
    <t>thrift, nigel/0000-0001-9698-6289; Leyshon, Anew/0000-0003-0822-1441</t>
  </si>
  <si>
    <t>PION LTD</t>
  </si>
  <si>
    <t>207 BRONDESBURY PARK, LONDON NW2 5JN, ENGLAND</t>
  </si>
  <si>
    <t>0263-7758</t>
  </si>
  <si>
    <t>ENVIRON PLANN D</t>
  </si>
  <si>
    <t>Environ. Plan. D-Soc. Space</t>
  </si>
  <si>
    <t>10.1068/d160029</t>
  </si>
  <si>
    <t>YW964</t>
  </si>
  <si>
    <t>WOS:000071992400003</t>
  </si>
  <si>
    <t>Kim, ET; Zhou, YJ; Mugenyi, L; Lillie, M; Bbosa, JK; Agaba, C; Ojok, AM; Hembling, J; Ruhangawebare, GK; Miller, C; Shaw, TK; Allen, BS; Egger, JR; Gallis, JA; Baumgartner, JN</t>
  </si>
  <si>
    <t>Kim, Eunsoo Timothy; Zhou, Yunji; Mugenyi, Levicatus; Lillie, Margaret; Bbosa, John Kato; Agaba, Collins; Ojok, Andrew Mijumbi; Hembling, John; Ruhangawebare, Godfrey Kalemera; Miller, Carrie; Shaw, Thomas K.; Allen, Benjamin S.; Egger, Joseph R.; Gallis, John A.; Baumgartner, Joy Noel</t>
  </si>
  <si>
    <t>Impact of the Child-optimized Financial Education (COFE) curriculum among savings group participants in Uganda: A cluster randomised controlled trial</t>
  </si>
  <si>
    <t>Savings groups; financial inclusion; financial self-efficacy; financial education; children's school attendance; children's healthcare expenses</t>
  </si>
  <si>
    <t>POVERTY; CARE</t>
  </si>
  <si>
    <t>This article reports on a post-test only cluster randomized controlled trial that assessed the impact of exposure to the Child-Optimized Financial Education (COFE) curriculum, delivered within Savings and Lending Communities (SILC) in Uganda, on caregivers' spending on school and healthcare expenses for children, and caregivers' financial self-efficacy. Participation in SILCs with COFE was significantly associated with caregivers paying for children's required school expenses compared to SILCs who were not exposed to COFE. Other outcomes were not significantly influenced by COFE. Child-centered household-level financial planning and saving may support the educational needs of Ugandan children and potentially Uganda's national-level education targets.</t>
  </si>
  <si>
    <t>[Kim, Eunsoo Timothy; Lillie, Margaret; Egger, Joseph R.] Duke Global Hlth Inst, Durham, NC USA; [Zhou, Yunji; Gallis, John A.] Duke Univ, Dept Biostat &amp; Bioinformat, Durham, NC USA; [Mugenyi, Levicatus; Bbosa, John Kato; Agaba, Collins; Ojok, Andrew Mijumbi] AIDS Support Org TASO, Kampala, Uganda; [Hembling, John; Miller, Carrie; Shaw, Thomas K.; Allen, Benjamin S.] Catholic Relief Serv, Baltimore, MD USA; [Ruhangawebare, Godfrey Kalemera] Catholic Relief Serv, Kampala, Uganda; [Baumgartner, Joy Noel] Univ N Carolina, Chapel Hill, NC 27515 USA</t>
  </si>
  <si>
    <t>Duke University; Duke University; University of North Carolina; University of North Carolina Chapel Hill</t>
  </si>
  <si>
    <t>Baumgartner, JN (corresponding author), Univ N Carolina, Chapel Hill, NC 27515 USA.</t>
  </si>
  <si>
    <t>joy.baumgartner@unc.edu</t>
  </si>
  <si>
    <t>Mugenyi, Levi/AAO-1306-2020</t>
  </si>
  <si>
    <t>Catholic Relief Services</t>
  </si>
  <si>
    <t>This study was supported by Catholic Relief Services.</t>
  </si>
  <si>
    <t>10.1080/19439342.2022.2089201</t>
  </si>
  <si>
    <t>L1HH5</t>
  </si>
  <si>
    <t>WOS:000832496700001</t>
  </si>
  <si>
    <t>Zhu, KD; Guo, LH</t>
  </si>
  <si>
    <t>Zhu, Keda; Guo, Lihong</t>
  </si>
  <si>
    <t>Financial technology, inclusive finance and bank performance</t>
  </si>
  <si>
    <t>FinTech; Digital inclusive finance; Inclusive finance; Bank performance</t>
  </si>
  <si>
    <t>In recent years, the Chinese banking industry has increasingly used financial technology (FinTech) to increase the credit supply to key areas of inclusive finance, as impulse and fee reduction and profit-sharing behaviours have exerted pressure on bank performance. This paper analyses the impacts of FinTech on bank performance and the risk adjustment mechanism of FinTech. The results show that, first, when banks issue inclusive loans, the phenomenon of increasing the balance without a corresponding increase in profits, or even resulting in no profits develops because of cost-benefit asymmetry. Doing business at a loss negatively impacts bank performance; these losses are primarily associated with small and micro enterprises (SMEs). Second, digital inclusive finance effectively mitigates the negative impacts of traditional inclusive loans, and FinTech boosts bank performance. Third, the positive effects of FinTech are attributable to risk adjustment effects that reduce information asymmetry and transaction costs. This paper demonstrates that digitalisation empowered by FinTech has improved the service efficiency and customer experience of inclusive finance, as well as other business income and bank performance. Banks must be cautious when analysing the risks and benefits afforded by internet platform flow-data. Each head office should formulate a digital financial strategy and unify the deployment of innovative FinTech applications. Bank branches should promote such transformation but must engage in digital inclusive finance differently, based on the level of local FinTech development. This optimises the allocation of credit resources.</t>
  </si>
  <si>
    <t>[Zhu, Keda] Shanghai Univ Finance &amp; Econ, Shanghai Inst Int Finance Ctr, Shanghai 200433, Peoples R China; [Guo, Lihong] Shanghai Univ Finance &amp; Econ, Sch Finance, Shanghai 200433, Peoples R China</t>
  </si>
  <si>
    <t>Shanghai University of Finance &amp; Economics; Shanghai University of Finance &amp; Economics</t>
  </si>
  <si>
    <t>Zhu, KD (corresponding author), Shanghai Univ Finance &amp; Econ, Shanghai Inst Int Finance Ctr, Shanghai 200433, Peoples R China.</t>
  </si>
  <si>
    <t>2012210433@live.sufe.edu.cn</t>
  </si>
  <si>
    <t>, Lihong/0009-0000-8935-9973; ZHU, Keda/0000-0001-9016-7979</t>
  </si>
  <si>
    <t>National Natural Science Foundation of China [72073086]</t>
  </si>
  <si>
    <t>We are grateful for comments from Wenjie MA and Chong LIU from Shanghai University of Finance and Economics, Bo JIANG from Xi'an Jiaotong Liverpool University, and conference participants at the 2022 Shanghai-Edinburgh Fintech Conference. We would like to thank the reviewers for helpful comments on our earlier versions of the paper. All remaining errors are ours. We acknowledge financial support from the National Natural Science Foundation of China (Grand NO. 72073086) .</t>
  </si>
  <si>
    <t>10.1016/j.frl.2023.104872</t>
  </si>
  <si>
    <t>HQ5G6</t>
  </si>
  <si>
    <t>WOS:001160979900001</t>
  </si>
  <si>
    <t>Kamdjoug, JRK; Wamba-Taguimdje, SL; Wamba, SF; Kake, IB</t>
  </si>
  <si>
    <t>Kamdjoug, Jean Robert Kala; Wamba-Taguimdje, Serge -Lopez; Wamba, Samuel Fosso; Kake, Ingrid Bive'e</t>
  </si>
  <si>
    <t>Determining factors and impacts of the intention to adopt mobile banking app in Cameroon: Case of SARA by afriland First Bank</t>
  </si>
  <si>
    <t>M-Banking; Financial inclusion; Rational perception; Terminal security; Behavioral control; Exploitative; explorative use; Cameroon</t>
  </si>
  <si>
    <t>INFORMATION-TECHNOLOGY; FINANCIAL INCLUSION; EMPIRICAL-EXAMINATION; PRIVACY CONCERNS; USER ACCEPTANCE; FEAR APPEALS; CONTINUANCE INTENTION; CONSUMER ADOPTION; EXTENDING UTAUT2; UNIFIED THEORY</t>
  </si>
  <si>
    <t>This study aims to know what are the factors determining the adoption of M-Banking app among customers in Cameroon. In other words, what are the factors that influence users in their decisions to adopt and use a system or technology such as the MBanking app, and indirectly, what is the impact of this use on both the customers and financial inclusion? The research model developed relying on a combination of Technology Acceptance Model (TAM ), Unified Theory of Acceptance and Use of Technology ( UTAUT2 ), Information System Success Model ( ISSM ), and Protection Motivation Theory ( PMT ) and other constructs; it was then tested with a sample of 223 users of the  SARA M-Banking app of the financial institution called  Afriland First Bank . Findings revealed that: (1) utilitarian expectation, hedonic motivation, and status gain, habit, and perceived privacy concern have a significant influence on the intention to adopt M-Banking apps; and (2) the exploitative/explorative use of this technology has an impact on user's loyalty and satisfaction but also contributes strongly to fostering financial inclusion in Cameroon. Also, the Multi-group analysis was performed on the sample using 2 gender-based groups (males, n=121; females, n=102).</t>
  </si>
  <si>
    <t>[Kamdjoug, Jean Robert Kala; Kake, Ingrid Bive'e] Catholic Univ Cent Africa, Dept Management &amp; Informat Syst, GRIAGES, Yaounde 11628, Cameroon; [Wamba-Taguimdje, Serge -Lopez] Univ Grenoble, IAE Domaine Univ, 525 Ave Cent,BP 47, Grenoble 9, France; [Wamba, Samuel Fosso] Toulouse Business Sch, Dept Informat Operat &amp; Management Sci, 1 Pl Alphonse Jourdain, F-31068 Toulouse, France</t>
  </si>
  <si>
    <t>Communaute Universite Grenoble Alpes; Universite Grenoble Alpes (UGA); Universite Federale Toulouse Midi-Pyrenees (ComUE); Universite de Toulouse; TBS Education</t>
  </si>
  <si>
    <t>Kamdjoug, JRK (corresponding author), Catholic Univ Cent Africa, Dept Management &amp; Informat Syst, GRIAGES, Yaounde 11628, Cameroon.</t>
  </si>
  <si>
    <t>jrkala@ucac-icy-fssg.net; Serge-Lopez.Wamba-Taguimdje@etu.univ-grenoble-alpes.fr; wamba@tbs-education.fr; ingridkake@yahoo.fr</t>
  </si>
  <si>
    <t>; Fosso Wamba, Samuel/AAB-4953-2019; Robert, Kala/Z-4688-2019</t>
  </si>
  <si>
    <t>Wamba-Taguije, Serge-Lopez/0000-0002-4493-4695;</t>
  </si>
  <si>
    <t>10.1016/j.jretconser.2021.102509</t>
  </si>
  <si>
    <t>SV0QX</t>
  </si>
  <si>
    <t>WOS:000663533200028</t>
  </si>
  <si>
    <t>Roa, M; Di Giannatale, S; Villegas, A; Barboza, J</t>
  </si>
  <si>
    <t>Jose Roa, Maria; Di Giannatale, Sonia; Villegas, Alejandra; Barboza, Jonathan</t>
  </si>
  <si>
    <t>Are women more financially vulnerable than men? A tale of missed economic opportunities from Latin America</t>
  </si>
  <si>
    <t>financial inclusion; financial literacy; financial vulnerability; gender gaps; Latin America; personality traits</t>
  </si>
  <si>
    <t>GENDER-DIFFERENCES; LITERACY; GAP; PROPENSITY; SAVINGS</t>
  </si>
  <si>
    <t>Motivation: Women are especially vulnerable to not being able to cover the costs of living or meet sudden demands for funds to pay for emergencies (financial vulnerability). The COVID-19 pandemic put additional stress on household incomes and the ability to meet emergency expenses, thus bringing into sharp relief the lack of inclusion of women in formal financial systems and the gender gaps between them and men. Purpose: How financially vulnerable are women in Latin America? What causes vulnerability? How do financial inclusion, personality traits, cognitive characteristics, and financial literacy affect financial vulnerability? Methods and approach: Using Financial Capabilities Surveys, we use regression to model the determinants of an index of financial vulnerability for eight countries in Latin America: Argentina, Bolivia, Brazil, Colombia, Chile, Ecuador, Paraguay, and Peru. We use Oaxaca-Blinder decomposition to establish the extent to which the gender arises from the different characteristics of men and women, or from the way in which such characteristics affect groups. Findings: We find a gender gap in financial vulnerability in most of the eight countries. Individual characteristics that often explain this gap are socioeconomic, such as belonging to a low socioeconomic class and not having a regular income. In addition to gender and socioeconomic characteristics, the use of savings products, some personality traits (ability to plan, self-control), economic preferences, and numeracy skills also drive financial vulnerability. Policy implications: Interventions to reduce financial vulnerability need, first and foremost, to address socioeconomic conditions. People on low incomes will always be financially vulnerable. In addition, programmes to expand financial inclusion and educate people on finances can help. Given the significant gender gaps, more effort must be made to reduce such gaps in education, employment, and social norms.</t>
  </si>
  <si>
    <t>[Jose Roa, Maria] Inst Invest Econ &amp; Sociales Francisco de Vitoria, Mexico City 06700, Mexico; [Di Giannatale, Sonia] Ctr Invest &amp; Docencia Econ CIDE, Cdmx, Mexico; [Villegas, Alejandra] Univ Iberoamer, Ciudad De Mexico, Mexico</t>
  </si>
  <si>
    <t>Roa, M (corresponding author), Inst Invest Econ &amp; Sociales Francisco de Vitoria, Mexico City 06700, Mexico.</t>
  </si>
  <si>
    <t>BBVA EduFin Research Grants 2019</t>
  </si>
  <si>
    <t>This work was supported by BBVA EduFin Research Grants 2019, received from the Centre for Financial Education and Capacity, an initiative by BBVA. The authors are especially grateful to Diana Meja, Senior Specialist at CAF-the Development Bank of Latin America-for outstanding logistical support with the financial capacity surveys of the database. An earlier draft of this document was presented at the Annual Meeting of FinEquity ALC on November 10, 2020, and at the Fourth Meeting of the OECD/INFE Latin American and Caribbean Regional Network of OECD/INFE, on December 17, 2020. The authors thank the participants for their very useful comments.</t>
  </si>
  <si>
    <t>e12725</t>
  </si>
  <si>
    <t>10.1111/dpr.12725</t>
  </si>
  <si>
    <t>HC5C9</t>
  </si>
  <si>
    <t>WOS:001157294600005</t>
  </si>
  <si>
    <t>Finger, M; Manos, R; Shakir, O</t>
  </si>
  <si>
    <t>Finger, Maya; Manos, Ronny; Shakir, Ofir</t>
  </si>
  <si>
    <t>Power relationships, digital literacy, and inclusive digital banking in Israel</t>
  </si>
  <si>
    <t>Digital banking; Digital literacy; Financial inclusion; Relationship banking; Constitutive rules</t>
  </si>
  <si>
    <t>MOBILE BANKING; RETURNS</t>
  </si>
  <si>
    <t>We explore the barriers that keep people such as the poor and minorities from adopting digital banking even in a developed country such as Israel. Their failure to do so can limit their participation in financial activities. Drawing on institutional theory and focusing on the structure of power relationships and digital literacy, we tested three hypotheses using survey data from 500 participants. Findings indicate that branch relationships and digital illiteracy are obstacles to the adoption of digital banking. We emphasize the need to consider the constitutive rules of digital banking when encouraging its adoption.</t>
  </si>
  <si>
    <t>[Finger, Maya; Manos, Ronny; Shakir, Ofir] Coll Management Acad Studies, Fac Business, Rishon Leziyyon, Israel; [Finger, Maya] 2 Eli Wiesel St, Rishon Leziyyon, Israel</t>
  </si>
  <si>
    <t>College of Management Academic Studies</t>
  </si>
  <si>
    <t>Finger, M (corresponding author), 2 Eli Wiesel St, Rishon Leziyyon, Israel.</t>
  </si>
  <si>
    <t>maya@colman.ac.il; rmanos@colman.ac.il; ofir74730@gmail.com</t>
  </si>
  <si>
    <t>Finger-Keren, Maya/KRP-1081-2024</t>
  </si>
  <si>
    <t>Finger-Keren, Maya/0000-0003-4312-8517</t>
  </si>
  <si>
    <t>10.1016/j.frl.2024.105292</t>
  </si>
  <si>
    <t>QV8S5</t>
  </si>
  <si>
    <t>WOS:001223742600001</t>
  </si>
  <si>
    <t>Li, Y; Ashhari, ZM; Soh, WN; Ab Razak, NH</t>
  </si>
  <si>
    <t>Li, Yue; Ashhari, Zariyawati Mohd; Ni Soh, Wei; Ab Razak, Nazrul Hisyam</t>
  </si>
  <si>
    <t>How Does Deleveraging Affect Outreach Productivity of Mfis in China? New Evidence from Dynamic Threshold Role of Green Finance</t>
  </si>
  <si>
    <t>Microfinance Institutions; Deleveraging; Financial Inclusion; Outreach Productivity; Green Finance; Macroprudential Initiative</t>
  </si>
  <si>
    <t>RENEWABLE ENERGY; BANK RISK; EFFICIENCY; POLICY</t>
  </si>
  <si>
    <t>The literature suggests ambiguity regarding the impact of microfinance institutions (MFIs) deleveraging on their outreach for promoting financial inclusion, notably within the context of China's economic transition emphasizing credit reallocation toward small businesses. This study investigates the relationship between MFIs' deleveraging and outreach productivity, considering the threshold effects of green finance and macroprudential measures. Employing an improved dynamic threshold model with system GMM estimation, the analysis utilizes a panel dataset of 204 Chinese MFIs spanning from 2012 to 2021. The empirical findings indicate that: firstly, MFIs' deleveraging enhances their outreach productivity directly; secondly, the presence of a threshold effect in green finance leads to a nonlinear impact of deleveraging on MFIs' outreach productivity, where the effect shifts from negative to positive as green finance increases up to the threshold; thirdly, the threshold effect of macroprudential green finance also exhibits a nonlinear relationship with MFIs' deleveraging, but the positive impact is statistically significant only within a specific range of green finance below the threshold. These results bear relevant policy implications.</t>
  </si>
  <si>
    <t>[Li, Yue; Ashhari, Zariyawati Mohd; Ni Soh, Wei; Ab Razak, Nazrul Hisyam] Univ Putra Malaysia, Sch Business &amp; Econ, Serdang 43400, Selangor, Malaysia; [Li, Yue] Guangxi Financial Vocat Coll, Nanning 530007, Peoples R China</t>
  </si>
  <si>
    <t>Universiti Putra Malaysia</t>
  </si>
  <si>
    <t>Ashhari, ZM (corresponding author), Univ Putra Malaysia, Sch Business &amp; Econ, Serdang 43400, Selangor, Malaysia.</t>
  </si>
  <si>
    <t>nolee36@gmail.com; zariyawati@upm.edu.my; sohweini@upm.edu.my; nazrul@upm.edu.my</t>
  </si>
  <si>
    <t>The authors would like to express the sincere gratitude to journal's editor and anonymous referees for their extremely useful suggestions and insightful comments, so that the quality of the article was significantly improved.</t>
  </si>
  <si>
    <t>10.32826/cude.v46i132.1216</t>
  </si>
  <si>
    <t>E1W7O</t>
  </si>
  <si>
    <t>WOS:001300984700006</t>
  </si>
  <si>
    <t>Thol, C</t>
  </si>
  <si>
    <t>Thol, Carolin</t>
  </si>
  <si>
    <t>Poverty Relief and Financial Inclusion: Savings Banks in Nineteenth Century Germany</t>
  </si>
  <si>
    <t>VSWG-VIERTELJAHRSCHRIFT FUR SOZIAL-UND WIRTSCHAFTSGESCHICHTE</t>
  </si>
  <si>
    <t>Savings Banks; Retail Banking; Economic Development; Financial Inclusion</t>
  </si>
  <si>
    <t>This paper examines the effects of savings banks on poverty relief and financial inclusion in the German state of Saxony during the nineteenth century by analysing a newly constructed panel dataset. In the economic literature, there is general consensus about the importance of financial inclusion for economic development, but less is known about how this can be achieved. During the nineteenth century, savings banks were introduced as a means to foster thrift among the poor. This paper finds that they were successful in catering to low-income households, and were used predominantly for precautionary saving in the short to medium term. Savings banks present an interesting case, because they performed a very limited range of functions, only giving access to savings accounts but not to loans for their target group. Therefore, their emergence allows for the study of the effect of savings in isolation from other financial services. Next to the benefits for individuals, savings banks also increased capital mobilization and served local communities through the provision of mortgages. This study finds a positive effect of savings bank deposits on housing construction. Thus, the savings banks in Saxony constitute an example of an early microfinance institution.</t>
  </si>
  <si>
    <t>[Thol, Carolin] 10 Amhurst Court,Amhurst Pk, London N16 5AX, England</t>
  </si>
  <si>
    <t>Thol, C (corresponding author), 10 Amhurst Court,Amhurst Pk, London N16 5AX, England.</t>
  </si>
  <si>
    <t>carolin.thol@outlook.com</t>
  </si>
  <si>
    <t>FRANZ STEINER VERLAG GMBH</t>
  </si>
  <si>
    <t>STUTTGART</t>
  </si>
  <si>
    <t>BIRKENWALDSTRABE 44, D-70191 STUTTGART, GERMANY</t>
  </si>
  <si>
    <t>0340-8728</t>
  </si>
  <si>
    <t>VSWG-VIERTELJAHR SOZ</t>
  </si>
  <si>
    <t>VSWG-Vierteljahr. Soz. Wirtsch.</t>
  </si>
  <si>
    <t>FM1RN</t>
  </si>
  <si>
    <t>WOS:000414757800002</t>
  </si>
  <si>
    <t>Anvari-Clark, J; Ansong, D</t>
  </si>
  <si>
    <t>Anvari-Clark, Jeffrey; Ansong, David</t>
  </si>
  <si>
    <t>Predicting Financial Well-Being Using the Financial Capability Perspective: The Roles of Financial Shocks, Income Volatility, Financial Products, and Savings Behaviors</t>
  </si>
  <si>
    <t>Financial well-being; Income volatility; Financial shock; Saving behavior; Saving habit; Financial capability</t>
  </si>
  <si>
    <t>INSECURITY; ASSOCIATION; INSTABILITY; HOUSEHOLDS; LIFE</t>
  </si>
  <si>
    <t>Efforts to improve family financial well-being usually employ individual-level, knowledge-targeted educational efforts. However, the availability and appropriateness of financial products, fluctuations in the frequency and amount of income (income volatility), the experience of costly unplanned events (financial shocks), and the habits necessary to set aside money for future use (savings behaviors), particularly for those of low income, may play important roles in a family's financial capability and thus well-being. Drawing upon a financial capability framework, this paper assessed structural, interactional, and behavioral predictors' roles in influencing financial well-being. The study used data (N = 5000 +) from the Financial Well-Being Survey and structural equation modeling techniques. Results indicate that saving habit and amount (i.e., behavioral factors) have a far stronger relationship with financial well-being than financial shocks and income volatility and the use of financial products (i.e., structural or interactional factors). These findings suggest that efforts to promote financial capability and thus improved financial well-being should not neglect behaviorally-oriented financial education and intervention programs and policies that encourage savings for families at all income levels.</t>
  </si>
  <si>
    <t>[Anvari-Clark, Jeffrey] Univ Maryland, Sch Social Work, 525 W Redwood St, Baltimore, MD 21201 USA; [Ansong, David] Univ N Carolina, Sch Social Work, Chapel Hill, NC 27599 USA</t>
  </si>
  <si>
    <t>University System of Maryland; University of Maryland Baltimore; University of North Carolina; University of North Carolina Chapel Hill</t>
  </si>
  <si>
    <t>Anvari-Clark, J (corresponding author), Univ Maryland, Sch Social Work, 525 W Redwood St, Baltimore, MD 21201 USA.</t>
  </si>
  <si>
    <t>jeffrey.clark@ssw.umaryland.edu</t>
  </si>
  <si>
    <t>Anvari-Clark, Jeffrey/0000-0003-3234-8549; Ansong, David/0000-0002-4624-3337</t>
  </si>
  <si>
    <t>10.1007/s10834-022-09849-w</t>
  </si>
  <si>
    <t>WOS:000807978700001</t>
  </si>
  <si>
    <t>Zarina, L</t>
  </si>
  <si>
    <t>Jakusonoka, I</t>
  </si>
  <si>
    <t>Zarina, Laura</t>
  </si>
  <si>
    <t>Microfinance - a Financial Tool for Developing Rural Areas</t>
  </si>
  <si>
    <t>ECONOMIC SCIENCE FOR RURAL DEVELOPMENT: FINANCES, TAXES, INVESTMENT AND SUPPORT SYSTEMS</t>
  </si>
  <si>
    <t>Economic Science for Rural Development</t>
  </si>
  <si>
    <t>17th International Scientific Conference on Economic Science for Rural Development</t>
  </si>
  <si>
    <t>APR 24-25, 2008</t>
  </si>
  <si>
    <t>Jelgava, LATVIA</t>
  </si>
  <si>
    <t>Latvia Univ Agr, Dept Accounting &amp; Finances, Fac Econom</t>
  </si>
  <si>
    <t>Microfinance; poverty alleviation; social inclusion; credit unions</t>
  </si>
  <si>
    <t>Financial services - such as savings accounts, mortgages at reasonable rates, consumer credit, and insurance, cheap money transfers - are widely accessible in urban areas, while in rural areas these services are rather poorly provided. The superficial reason for such bad financial services in rural areas lies in the idea that people with little money are not suitable enough clients for financial institutions. Social discrepancies between urban and rural areas have been officially stated to exist in Latvia according to the report about social inclusion of the European Commission. Microfinance is seen as a widely accepted tool to combat these discrepancies. Nevertheless the vocabulary of microfinance can be understood only by professionals, even if it is intended for the masses. The sector is very fragmented, and there is not even a proper definition of the term yet. Activities in the Microfinance sector identified in Latvia can be assigned to the following models: credit unions; downscaling of commercial bank activities; and NGO based programmes and projects. Recommendations to improve the Microfinance sector in Latvia and especially to combine the existing trends of commercial banks to downsize their activities with supportive measures are: target subsidies toward institution building. providing incentives to encourage greater focus and innovation in the development of financial services for the poor; increasing cooperation and partnership, both among all types of microfinance providers and between them and mainstream banks, to increase financial service provision to the poor; improving the legal and regulatory environment for microfinance and for credit unions specifically Within all these discussions it is very important to emphasize that the access to advice, education and training is regarded as equally relevant as the access to finance. The advantage for Eastern Europe may be that there are much more industry sectors here to offer opportunities for rural development than in other regions of the world that suffer from bad infrastructures and low educational levels.</t>
  </si>
  <si>
    <t>Latvia Univ Agr, Dept Accounting &amp; Finances, Fac Econ, Jelgava, Latvia</t>
  </si>
  <si>
    <t>Latvia University of Life Sciences &amp; Technologies</t>
  </si>
  <si>
    <t>Zarina, L (corresponding author), Latvia Univ Agr, Dept Accounting &amp; Finances, Fac Econ, Jelgava, Latvia.</t>
  </si>
  <si>
    <t>LATVIA UNIV AGRICULTURE</t>
  </si>
  <si>
    <t>JELGAVA</t>
  </si>
  <si>
    <t>LIELA IELA 2, JELGAVA, LV-3001, LATVIA</t>
  </si>
  <si>
    <t>1691-3078</t>
  </si>
  <si>
    <t>978-9984-9997-1-5</t>
  </si>
  <si>
    <t>ECON SCI RURAL DEV</t>
  </si>
  <si>
    <t>BTX19</t>
  </si>
  <si>
    <t>WOS:000288353100022</t>
  </si>
  <si>
    <t>McLaughlin, E; Pecchenino, R</t>
  </si>
  <si>
    <t>McLaughlin, Eoin; Pecchenino, Rowena</t>
  </si>
  <si>
    <t>Financial Inclusion with Hybrid Organizational Forms: Microfinance, Philanthropy, and the Poor Law in Ireland, c. 1836-1845</t>
  </si>
  <si>
    <t>ENTERPRISE &amp; SOCIETY</t>
  </si>
  <si>
    <t>microfinance; institutional logics; development; Ireland</t>
  </si>
  <si>
    <t>The turbulent 1830s saw a sequence of great political and social reforms in the United Kingdom. One such reform was the introduction of a locally funded Poor Law in Ireland. The development of a nascent welfare system in 1838 coincided with a boom in the formation of microfinance institutions in Ireland. The focus of this study is the expansion of a hybrid organizational form, Loan Fund Societies (LFSs), in the ten years prior to the Great Irish Famine of 1845-1849. LFSs were legally established with a conflictual structure: acting as commercially viable charitable institutions required to provide credit to the deserving poor (to enable them to be self-sufficient) while dedicating their profits to supporting the indigent poor. This study uses an analytical framework drawing inspiration from institutional logics to explore and better understand Irish microfinance in the early nineteenth century, a period of profound socioeconomic and socioreligious changes. It seeks to explain the factors that motivated the establishment and deestablishment of microfinance institutions amid this tumult. Legislative changes in LFS business parameters in 1843 made the tensions between being charitable and commercially sustainable salient; and, for some, it made continued existence untenable.</t>
  </si>
  <si>
    <t>[McLaughlin, Eoin] Univ Coll Cork, Dept Econ, Aras Laoi, Cork, Ireland; [Pecchenino, Rowena] Maynooth Univ, Dept Econ, Rhetoric House, Maynooth, Kildare, Ireland</t>
  </si>
  <si>
    <t>University College Cork; Maynooth University</t>
  </si>
  <si>
    <t>McLaughlin, E (corresponding author), Univ Coll Cork, Dept Econ, Aras Laoi, Cork, Ireland.</t>
  </si>
  <si>
    <t>eoin.mclaughlin@ucc.ie; rowena.pecchenino@mu.ie</t>
  </si>
  <si>
    <t>McLaughlin, Eoin/ABA-2401-2021</t>
  </si>
  <si>
    <t>McLaughlin, Eoin/0000-0002-0307-3374</t>
  </si>
  <si>
    <t>1467-2227</t>
  </si>
  <si>
    <t>1467-2235</t>
  </si>
  <si>
    <t>ENTERP SOC</t>
  </si>
  <si>
    <t>Enterp. Soc</t>
  </si>
  <si>
    <t>10.1017/eso.2020.67</t>
  </si>
  <si>
    <t>Business; History Of Social Sciences</t>
  </si>
  <si>
    <t>VN4HU</t>
  </si>
  <si>
    <t>WOS:000757677900001</t>
  </si>
  <si>
    <t>Abbas, N; Nazir, MA; Khan, MR</t>
  </si>
  <si>
    <t>Abbas, Noman; Nazir, Muhammad Arsalan; Khan, Mohsin Raza</t>
  </si>
  <si>
    <t>Bridging the gap: drivers of Fintech innovation and inclusion in developing economies through the lens of the technology acceptance model</t>
  </si>
  <si>
    <t>Fintech adoption; Financial innovation; Technology acceptance model (TAM); Perceived trust; Perceived risk; Perceived government support; Developing economies</t>
  </si>
  <si>
    <t>INTERNET BANKING ADOPTION; INFORMATION-TECHNOLOGY; USER ACCEPTANCE; MOBILE BANKING; PERCEIVED RISK; TRUST; CONSUMERS; SERVICES; SATISFACTION; INTENTION</t>
  </si>
  <si>
    <t>PurposeFinancial technology (Fintech) innovation is reshaping financial landscapes worldwide, yet its adoption in developing economies remains uneven. This study aims to investigate the drivers of Fintech adoption in Pakistan, a rapidly digitizing economy in Asia. It addresses a critical gap in the literature by examining the roles of perceived government support (PGS) and perceived trust (PT), together with the core constructs of the technology acceptance model (TAM), i.e. perceived ease of use (PEU) and perceived usefulness (PU), in shaping users' intentions to embrace innovative Fintech solutions.Design/methodology/approachThis study adopted quantitative, cross-sectional design grounded in TAM. Data were collected from 320 potential users, both banked and unbanked, using a structured self-administered survey. Partial least squares structural equation modeling with SmartPLS 4.0 was used to test the hypothesized relationships.FindingsThe results reveal that PEU, PU, perceived benefit, PT and PGS exert direct, significant and positive effects on users' adoption intentions, while perceived risk has a significant negative effect. These findings underscore the importance of user-friendly design, trust and credibility development, benefit communication and institutional support in accelerating Fintech innovation adoption in emerging economies.Originality/valueThis study contributes fresh insights into Fintech innovation adoption in developing economies, highlighting how user perceptions and institutional factors jointly shape technology-driven financial innovation. It underscores potential of Fintech to advance financial inclusion and stimulate economic growth. The findings provide actionable guidance for Fintech developers, financial institutions and policymakers striving to create inclusive, trusted and sustainable financial ecosystems.</t>
  </si>
  <si>
    <t>[Abbas, Noman] Islamabad Model Coll Boys IMCB, Dept Commerce, Islamabad, Pakistan; [Nazir, Muhammad Arsalan] Univ Greenwich, Execut Business Ctr, Business Sch, London, England; [Khan, Mohsin Raza] Bahria Univ, Business Sch, Islamabad, Pakistan</t>
  </si>
  <si>
    <t>University of Greenwich; Bahria University</t>
  </si>
  <si>
    <t>Nazir, MA (corresponding author), Univ Greenwich, Execut Business Ctr, Business Sch, London, England.</t>
  </si>
  <si>
    <t>Nomanabbas83@gmail.com; m.nazir@greenwich.ac.uk; Mohsin.raza.khan@gmail.com</t>
  </si>
  <si>
    <t>Nazir, Dr Muhammad Arsalan/JAC-5111-2023</t>
  </si>
  <si>
    <t>10.1108/JSTPM-04-2025-0163</t>
  </si>
  <si>
    <t>8HS5A</t>
  </si>
  <si>
    <t>WOS:001588947800001</t>
  </si>
  <si>
    <t>Makara, M; Faimau, G; Maphosa, F</t>
  </si>
  <si>
    <t>Makara, Mamotsiba; Faimau, Gabriel; Maphosa, France</t>
  </si>
  <si>
    <t>Microfinance and Poverty Alleviation: The Socio-Economic Contribution of SILC, a Savings-Led Microfinance Programme in Semonkong, Lesotho</t>
  </si>
  <si>
    <t>Microfinance; loans; poverty; rural communities; Lesotho</t>
  </si>
  <si>
    <t>Microfinance has garnered significant attention in development discourse due to its acclaimed potential to reduce poverty. Its role as a poverty reduction tool, however, has yet to be thoroughly examined. A single case study was undertaken through interviews and observations involving 30 Savings and Internal Lending in Communities beneficiaries in Semonkong, Lesotho. The rural populations in Lesotho face poverty due to, among other reasons, a lack of access to microloans necessary for alleviating poverty. The study's outcome sheds light on the phenomenon of community-led microfinance programme and analyses their contribution to the livelihoods of those living in rural communities. The study found that savings-led microfinancing has effectively increased household incomes among those participating in it thereby amplifying consumption and access to basic needs. Small loans have further facilitated the establishment of small businesses and the acquisition of assets necessary to curb poverty. While there are some negative consequences associated with participating in this activity, the study found that overall the positive impacts outweigh the negative ones. We, therefore, recommend the promotion of savings-led microfinancing as a poverty alleviation tool and envisage that the findings of this study will stimulate policy dialogue and promote advocacy for rural financial inclusion.</t>
  </si>
  <si>
    <t>[Makara, Mamotsiba; Faimau, Gabriel; Maphosa, France] Univ Botswana, Gaborone, Botswana</t>
  </si>
  <si>
    <t>University of Botswana</t>
  </si>
  <si>
    <t>Faimau, G (corresponding author), Univ Botswana, Dept Sociol, Private Bag 00705, Gaborone, Botswana.</t>
  </si>
  <si>
    <t>faimaug@ub.ac.bw</t>
  </si>
  <si>
    <t>Maphosa, France/ABB-2443-2021; Faimau, Gabriel/AAM-6137-2020</t>
  </si>
  <si>
    <t>Maphosa, France/0000-0002-7180-1775; Faimau, Gabriel/0000-0001-8177-3520</t>
  </si>
  <si>
    <t>2024 NOV 30</t>
  </si>
  <si>
    <t>10.1177/00219096241300433</t>
  </si>
  <si>
    <t>O0X2Y</t>
  </si>
  <si>
    <t>WOS:001368454100001</t>
  </si>
  <si>
    <t>Ayo, CK; Adewoye, JO; Oni, AA</t>
  </si>
  <si>
    <t>Ayo, C. K.; Adewoye, J. O.; Oni, A. A.</t>
  </si>
  <si>
    <t>Development of a Framework for Mobile Money Implementation in Nigeria</t>
  </si>
  <si>
    <t>CREATING GLOBAL COMPETITIVE ECONOMIES: A 360-DEGREE APPROACH, VOLS 1-4</t>
  </si>
  <si>
    <t>17th International-Business-Information-Management-Association Conference</t>
  </si>
  <si>
    <t>NOV 14-15, 2011</t>
  </si>
  <si>
    <t>Mobile money; e-Payment; Telecoms; e-Banking; e-Money; ATM; ATM Card; and ICT</t>
  </si>
  <si>
    <t>ADOPTION; BANKING</t>
  </si>
  <si>
    <t>For most developing nations, particularly African states, a sizeable number of their indigenes are working in the Diaspora. This development is largely referred to as brain drain of some sort but has some attendant benefits. These benefits brought about another slogan brain gain, brought about by the valuable contributions they make towards the development of their home countries as well as the remittances sent home regularly from abroad. Therefore, there is a dire need to develop an effective mechanism for funds remittance home from abroad.The development of mobile money (m-Money) will facilitate access to finance through the mobile platform, which has the largest rate of adoption all over the world (two-third of the world population has access) among other information and communication technology (ICT) facilities.This paper proposes a framework for m-Money implementation in Nigeria as a poverty alleviation tool for sending money from cities and towns to the rural dwellers. The primary objective of this paper is to design a simple, cheap and secure way of sending money better than the existing transfers. The developed framework is premised on the public and private partnership (PPP) initiatives that combines both account-based and electronic currency systems. It employs a 2-factor authentication using the phone and the national ID card, which doubles as an identity card and a payment card. The model will help jumpstart the implementation of bank-to-ATM, ATM-to-bank and mobile-to-ATM funds transfer in Nigeria among others as well as increase accessibility to funds.</t>
  </si>
  <si>
    <t>[Ayo, C. K.; Oni, A. A.] Covenant Univ, Dept Comp &amp; Informat Sci, Ota, Nigeria; [Adewoye, J. O.] Ladoke Akintola Univ Technol, Dept Management Sci, Ogbomosho, Nigeria</t>
  </si>
  <si>
    <t>Ayo, CK (corresponding author), Covenant Univ, Dept Comp &amp; Informat Sci, Ota, Nigeria.</t>
  </si>
  <si>
    <t>Charles.ayo@covenantuniversity.edu.ng; adewoyemgs@yahoo.com; ronke.oni@covenantuniversity.edu.ng</t>
  </si>
  <si>
    <t>Oni, Aderonke A/N-1775-2013</t>
  </si>
  <si>
    <t>Oni, Aderonke A/0000-0002-8625-2748</t>
  </si>
  <si>
    <t>978-0-9821489-6-9</t>
  </si>
  <si>
    <t>BEO28</t>
  </si>
  <si>
    <t>WOS:000317550000005</t>
  </si>
  <si>
    <t>Sarwari, M; Srivatsa, S</t>
  </si>
  <si>
    <t>Sarwari, Masouda; Srivatsa, Subhashini</t>
  </si>
  <si>
    <t>Does participation in Self-Help Groups Empower Muslim and non-Muslim Women Equally? Evidence from Dakshina Kannada District of Karnataka</t>
  </si>
  <si>
    <t>Microfinance; Women Empowerment; Dakshina Kannada; Religion; Self-Help Group</t>
  </si>
  <si>
    <t>RURAL CREDIT PROGRAMS; MICROFINANCE; GENDER; IMPACT; POWER</t>
  </si>
  <si>
    <t>It is widely concluded among various microfinance advocates and research scholars that Self-help group (SHG) microfinance programs are the most accepted development interventions to promote women's empowerment. However, numerous existing research directly or indirectly indicates that incessant financial exclusion, gender discrimination, and conservative religious norms adversely affect women's empowerment. In particular, it remains an open question of whether participation in Self Help Groups (SHGs) influences Muslim and non-Muslim women equally. The study surveyed 389 Muslim and non-Muslim participants of the SHGs bank linkage program in Karnataka, India. Exploratory factor analysis is used to extract the most critical variables that accounted for women empowerment. The identified factors are Household decision making, Socio-culture, and assets acquisition variables. Besides, the authors used nonparametric tests such as the Chi-square test for independence and the Mann-Whitney U test to compare the empowerment among the groups after joining SHGs. The study result reports that participation in SHGs has profoundly empowered Muslim and non-Muslim women. However, this improvement was not gained equally between both groups, which means non-Muslim women are empowered than Muslims for specific indicators.</t>
  </si>
  <si>
    <t>[Sarwari, Masouda] Mangalore Univ, Dept Studies Commerce, Mangalore, India; [Srivatsa, Subhashini] Univ Coll, Mangalore, India</t>
  </si>
  <si>
    <t>Mangalore University</t>
  </si>
  <si>
    <t>Sarwari, M (corresponding author), Mangalore Univ, Dept Studies Commerce, Mangalore, India.</t>
  </si>
  <si>
    <t>WJ0RB</t>
  </si>
  <si>
    <t>WOS:000708756900003</t>
  </si>
  <si>
    <t>Sultana, N; Chowdhury, RS; Haque, A</t>
  </si>
  <si>
    <t>Sultana, Nahida; Chowdhury, Rubaiyat Shaimom; Haque, Afruza</t>
  </si>
  <si>
    <t>Gravitating towards Fintech: A study on Undergraduates using extended UTAUT model</t>
  </si>
  <si>
    <t>Fintech; UTAUT; Financial inclusion; SEM; Bangladesh</t>
  </si>
  <si>
    <t>TECHNOLOGY ACCEPTANCE MODEL; MOBILE BANKING; INFORMATION-TECHNOLOGY; UNIFIED THEORY; USER ACCEPTANCE; ADOPTION; INNOVATIVENESS; INTENTIONS; SERVICES; ANTECEDENTS</t>
  </si>
  <si>
    <t>One of the most pressing issues affecting people worldwide is the accessibility of financial services in the wake of the COVID-19 outbreak. While peoples' adoption of technological advancements has spiraled over time, the acceptance of Fintech services edged up for instilling resilience during the pandemic. Hence, the study aims at exhuming the Fintech adoption for sustainable financial inclusion among young undergraduate users through the Unified Theory of Acceptance and Use of Technology (UTAUT) model. To test the model, the researchers obtained data from 375 undergrads. The study adopted the Structural Equation Modelling (SEM) approach in AMOS software to examine the determinants that affect the users to embrace Fintech services. The findings revealed that performance expectancy, effort expectancy, and facilitating conditions significantly influence the students' intention to use Fintech, whereas, the users' facilitating condition and behavioral purposes positively influence them to use the financial technology. Interestingly, the social influence and personal innovativeness did not affect their intention to accept and adopt Fintech. Therefore, the study results will help explore the expectations, preferences, and actual level of use of Fintech among undergraduates and contribute to the escalation of Fintech use, leading to sustainable financial inclusion.</t>
  </si>
  <si>
    <t>[Sultana, Nahida] Univ Dhaka, Fac Business Studies, Dept Management Informat Syst MIS, Dhaka 1000, Bangladesh; [Chowdhury, Rubaiyat Shaimom] Bangladesh Univ, Dept Business Adm, Dhaka 1207, Bangladesh; [Haque, Afruza] Dhaka Univ Engn &amp; Technol DUET, Dept Humanities &amp; Social Sci, Gazipur 1707, Bangladesh</t>
  </si>
  <si>
    <t>University of Dhaka; Dhaka University of Engineering &amp; Technology (DUET)</t>
  </si>
  <si>
    <t>Sultana, N (corresponding author), Univ Dhaka, Fac Business Studies, Dept Management Informat Syst MIS, Dhaka 1000, Bangladesh.</t>
  </si>
  <si>
    <t>nahidaprity.du@gmail.com; rubaiyat009@yahoo.com; afruza@duet.ac.bd</t>
  </si>
  <si>
    <t>Sultana, Nahida/MIQ-2913-2025</t>
  </si>
  <si>
    <t>Sultana, Nahida/0000-0002-6062-9914; Chowdhury, Rubaiyat Shaimom/0000-0002-4858-8769</t>
  </si>
  <si>
    <t>e20731</t>
  </si>
  <si>
    <t>10.1016/j.heliyon.2023.e20731</t>
  </si>
  <si>
    <t>Z2NF8</t>
  </si>
  <si>
    <t>WOS:001110489400001</t>
  </si>
  <si>
    <t>Dela Cruz, NA; Villanueva, ACB; Tolin, LA; Disse, S; Lensink, R; White, H</t>
  </si>
  <si>
    <t>Dela Cruz, Nina Ashley; Villanueva, Alyssa Cyrielle B.; Tolin, Lovely Ann; Disse, Sabrina; Lensink, Robert; White, Howard</t>
  </si>
  <si>
    <t>PROTOCOL: Effects of interventions to improve access to financial services for micro-, small- and medium-sized enterprises in low- and middle-income countries: An evidence and gap map</t>
  </si>
  <si>
    <t>BackgroundMicro-, small-, and medium-sized enterprises (MSMEs) account for the vast majority of firms in most economies, particularly in developing nations, and are key contributors to job creation and global economic development. However, the most significant impediment to MSME development in low- and middle-income countries is a lack of access to both investment and working capital financing. Due to a lack of essential track record, appropriate collateral, and credit history, MSMEs are frequently denied business loans by traditional lending institutions. In addition, SMEs' inability to access funding is hindered by institutional, structural, and non-financial factors. To address this, both the public and private sectors employ indirect and direct finance interventions to help MSMEs in developing and emerging economies enhance and increase their financing needs. Given the importance of MSMEs in the economy, a comprehensive overview of and systematic synthesizing of the evidence of the effects of financial access interventions for MSMEs, capturing a wide variety of outcome variables, is useful. ObjectivesThe objective of this evidence and gap map (EGM) is to describe the existing evidence on the effects of various interventions dedicated to supporting and improving MSMEs' access to credit, as well as the corresponding firm performance and/or welfare outcomes. MethodsAn EGM is a systematic evidence product that displays the existing evidence relevant to a specific research question. An EGM's end product is a research article or report, but it can also be shared via an interactive map drawn as a matrix of included studies and their corresponding interventions and outcomes. Interventions in low- and middle-income countries that target specific population subgroups are included on the map. The EGM considers five types of interventions: (i) strategy, legislation and regulatory; (ii) systems and institutions; (iii) facilitate access; (iv) lending instruments or financial products; and (v) demand-side interventions. The map, on the other hand, covers outcome domains for policy environment, financial inclusion, firm performance, and welfare. Impact evaluations or systematic reviews of relevant interventions for a previously defined target population are included in the EGM. Studies using experimental or non-experimental designs, as well as systematic reviews, are eligible. The EGM excludes before-and-after study designs with no suitable comparison group. Furthermore, the map excludes literature reviews, key informant interviews, focus group discussions, and descriptive analyses. Search strings were used to conduct electronic searches in databases. To ensure that the research team had identified a significant portion of relevant research works, the search strategy was supplemented with gray literature searches and systematic review citation tracking. We have compiled studies that are either completed or in progress. For practical reasons, studies are limited to papers written in English and are not restricted by publication date. Selection CriteriaWe included studies that examined interventions to enhance MSMEs' access to finance in low- and middle-income countries targeting MSMEs including households, smallholder farmers and single person enterprise as well as financial institutions/agencies and their staff. The EGM considers five types of interventions that aim to: (i) deliver strategy, legislation, and regulatory aspects; (ii) systems and institutions that enable financing; (iii) facilitate access to finance; (iv) deliver different lending instruments or financial products, including traditional forms of microcredit; and (v) demand-side interventions such as programs on financial literacy. The map includes outcome domains surrounding policy environment, financial inclusion, firm performance, and welfare. Eligible studies must be experimental, non-experimental, or systematic reviews. In addition, the study designs must have a suitable comparison group before and after the implementation of interventions. ResultsThe EGM includes 413 studies. The majority of the studies (379 studies) analyzed microenterprises, such as households and smallholder farmers; 7 studies analyzed community groups; while 109 studies analyzed small and medium enterprises. There were 147 studies on interventions that targeted multiple firm sizes. Lending instruments/financial products are the most common intervention across all firm types. When it comes to the types of firms that receive the said financial intervention, the data is overwhelmingly in favor of microenterprises (278 studies), followed by systems and organizations (138 studies) that support better access to such financial products and services. Welfare outcomes have the most evidence out of all of the outcomes of interest, followed by firm performance and financial inclusion. Among all firm types, welfare outcomes are primarily targeted at microenterprises. With 59 studies, we can say that small businesses have a significantly large number of enterprise performance outcomes. of the 413 studies, 243 used non-experimental or quasi-experimental designs (mainly propensity score matching and instrumental variable approaches), 136 used experimental methods, and 34 were systematic reviews. 175 studies (43%) provided evidence from Sub-Saharan Africa, 142 studies (35%) from South Asia, 86 studies (21%) from East Asia and the Pacific, 66 studies (16%) from Latin America and the Caribbean, 28 studies (7%), Europe and Central Asia, and 21 studies (5%) from the Middle East and North Africa. Most of the included evidence covers low-income (26%) and lower-middle income countries (66%), and to a lesser extent upper-middle-income countries (26%). ConclusionThis map depicts the existing evidence and gaps on the effects of interventions to enhance MSMEs' access to financial services in low and middle-income countries. Interventions directed at microenterprises with welfare outcomes have a significant number of research outcomes in the literature. SME evaluations have looked at firm performance, with less focus to employment and the welfare effects on owners and employees, including poverty reduction. Microcredit/loans have been the focus of a large number of research papers (238 studies), indicating the field's growing popularity. However, emerging financial interventions such as facilitating access to digital financial services are relatively under-studied. Several studies also investigate rural or population in remote areas with 192 studies, 126 studies on poor and disadvantaged, and 114 papers on women. Most of the research is conducted in Sub-Saharan Africa (175 studies) and South Asia (142 studies) so further research in other regions could be conducted to allow a more holistic understanding of the effects of financial inclusion interventions. Credit lines, supply chain finance, and trade financing, which are some of the ADB's financial tools have limited evidence. Future studies should look into strategy, law, and regulation interventions, as well as interventions targeted at SMEs, and examine policy and regulatory environment outcomes as well as welfare outcomes. Interventions on the demand side and their impact on the policy and regulatory environment, as well as facilitating access are relatively understudied.</t>
  </si>
  <si>
    <t>[Dela Cruz, Nina Ashley] Campbell Collaborat, Las Pinas City, Philippines; [Villanueva, Alyssa Cyrielle B.] Campbell Collaborat, Meycauayan City, Philippines; [Tolin, Lovely Ann] Campbell Collaborat, Quezon City, Philippines; [Disse, Sabrina] Campbell Collaborat, Cologne, Germany; [Lensink, Robert] Univ Groningen, Groningen, Netherlands; [White, Howard] Campbell Collaborat, New Delhi, India; [Dela Cruz, Nina Ashley] Campbell Collaborat, B8 L28 Mark St, Veraville 3, Las Pinas City 1740, Philippines</t>
  </si>
  <si>
    <t>Dela Cruz, NA (corresponding author), Campbell Collaborat, B8 L28 Mark St, Veraville 3, Las Pinas City 1740, Philippines.</t>
  </si>
  <si>
    <t>naodelacruz@gmail.com</t>
  </si>
  <si>
    <t>Dela Cruz, Nina/HKP-2657-2023; Lensink, Robert/ABA-3076-2020</t>
  </si>
  <si>
    <t>Lensink, Robert/0000-0001-6448-5164</t>
  </si>
  <si>
    <t>Asian Development Bank's Independent Evaluation Department</t>
  </si>
  <si>
    <t>e1341</t>
  </si>
  <si>
    <t>10.1002/cl2.1341</t>
  </si>
  <si>
    <t>L4EF5</t>
  </si>
  <si>
    <t>WOS:001022799500001</t>
  </si>
  <si>
    <t>THE FINANCIAL INCLUSION MODEL BASED ON BAITUL MAL WA TANWIL (BMT) COOPERATIVES AND COMMUNITY</t>
  </si>
  <si>
    <t>Islamic Microfinance; Baitul Mal Wa Tanwil; Cooperative; Financial Inclusion; Poverty Alleviation</t>
  </si>
  <si>
    <t>Financial inclusion (FI) is a global movement under the world bank programs and Alliance Financial Inclusion (AFI) which is sponsored by the Bill Gates Foundation. The aim of the movement is to ensure that the poor is able to access any financial services. The FI level in Indonesia achieved 32 %; it means 68% are financial transactions excluding the poor, whereas, the average figure in the world is just only 50%. The poverty rate in Indonesia is very high, it is reaching approximately 59%. Hence, FI is an urgent solution for the case of Indonesia. To tackle this issue, the Indonesian government has just started adopting Fl by introducing the vision, the mission, and the concept for the efforts taken. The question is to what extent the appropriate model will be applied in Indonesia. There are two models: the AFI global model or top down model and another community model based on local values. There are pros and cons to the above issue. Some proponents have suggested the Islamic microfinance cooperative, i.e., the Baitul Mal Wa Tanwil (BMT) which is the offering of a solution based on its relationship to the poor. They do not agree with the global model. This study therefore attempts to evaluate the models and design the appropriate model for Indonesia which has special characteristics, i.e., cooperation, value driven culture, local wisdom, etc., which is neglected in most studies undertaken so far. This study is based on a qualitative approach done by conducting interviews of the stakeholders, using the deductive method to explore and design the model. This research revealed that the financial inclusion model based on Baitul Mal Wa Tanwil (BMT)-Cooperative is better in terms of flexibility and acceptability when compared to the global model. This is because Indonesia is the largest archipelago in the world with wide distances, diverse cultures, values, customs, and religions. To deal with the distances, wide area, and efficiency issues, the ICT mobile phone should be suitably used. The implementation of the model will strengthen the unity of Indonesia and national issues.</t>
  </si>
  <si>
    <t>[Santoso, Bedjo] Islamic Univ Sultan Agung UNISSULA, Fac Econ, Semarang, Jawa Tengah, Indonesia; [Santoso, Bedjo] Int Council Islamic Finance Educ, Cent Java, Indonesia; Shariah Soc Assoc, Cent Java, Indonesia; Indonesian Assoc Muslim Intellectual, Cent Java, Indonesia; Indonesian Assoc Islamic Econ, Jakarta, Indonesia; [Santoso, Bedjo] Financial Inclus Movement, Jakarta, Indonesia; [Santoso, Bedjo] Indonesian Islamic Micro Finance Assoc, Bogor, Indonesia; [Santoso, Bedjo] UNISSULA, Islamic Banking &amp; Finance Res &amp; Training, Semarang, Jawa Tengah, Indonesia; [Ahmad, Khaliq] ICIFE, Kuala Lumpur, Malaysia; [Ahmad, Khaliq] IIUM Inst Islamic Banking &amp; Finance IIiBF, Kuala Lumpur, Malaysia</t>
  </si>
  <si>
    <t>Kampus Unissula; Kampus Unissula</t>
  </si>
  <si>
    <t>Ahmad, K (corresponding author), ICIFE, Kuala Lumpur, Malaysia.;Ahmad, K (corresponding author), IIUM Inst Islamic Banking &amp; Finance IIiBF, Kuala Lumpur, Malaysia.</t>
  </si>
  <si>
    <t>khaliqahmad@iium.edu.my</t>
  </si>
  <si>
    <t>EG4AG</t>
  </si>
  <si>
    <t>WOS:000390985200008</t>
  </si>
  <si>
    <t>Emini, A; Budic, H; Volarevic, H</t>
  </si>
  <si>
    <t>Emini, Adelina; Budic, Hrvoje; Volarevic, Hrvoje</t>
  </si>
  <si>
    <t>Consumer Trust and Adoption of Digital Payment Systems in Emerging Markets</t>
  </si>
  <si>
    <t>BUSINESS SYSTEMS RESEARCH JOURNAL</t>
  </si>
  <si>
    <t>Digital payments; Consumer trust; UTAUT; TAM; Financial inclusion; Structural equation modelling (SEM); I10; J20; J80</t>
  </si>
  <si>
    <t>Background Digital payment systems have already become the key to transforming financial services in emerging markets, but their usage remains highly dependent on user trust, perceptions of usefulness and convenience, and the availability of favourable conditions.Objectives This research sought to investigate how consumer trust and adoption of digital payment platforms depend on variables, drawing on the Technology Acceptance Model (TAM), the Unified Theory of Acceptance and Use of Technology (UTAUT), and a multidimensional trust theory.Methods/Approach A quantitative survey of 500 respondents across four emerging-market regions was conducted. The relationship among performance expectancy, effort expectancy, social influence, facilitating conditions, and the three trust dimensions was analysed using structural equation modelling (SEM).Results Performance expectancy, facilitating conditions, and trust-related constructs proved to be strong predictors of behavioural intention to use digital payments, and actual system utilisation was strongly predictable by behavioural intention. Trust was identified as mediating the users' technological perceptions and their intentions to adopt. Qualitative implications revealed issues of security, data privacy, and infrastructural inconsistency that continued to influence user reluctance and perceptions of risk.Conclusions The results highlight the roles of trust-building mechanisms, effective user support systems, and regulatory assurance in promoting digital financial inclusion in emerging markets.</t>
  </si>
  <si>
    <t>[Emini, Adelina] Univ Prishtina, Fac Econ, Prishtina, Kosovo; [Budic, Hrvoje] Univ Osijek, Fac Tourism &amp; Rural Dev Pozega, Pozega, Croatia; [Volarevic, Hrvoje] Croatian Natl Bank, HR-10002 Zagreb, Croatia</t>
  </si>
  <si>
    <t>Universiteti i Prishtines; University of JJ Strossmayer Osijek</t>
  </si>
  <si>
    <t>Emini, A (corresponding author), Univ Prishtina, Fac Econ, Prishtina, Kosovo.</t>
  </si>
  <si>
    <t>adelinaemini@gmail.com; hbudic@ftrr.hr; hrvoje.volarevic@hnb.hr</t>
  </si>
  <si>
    <t>1847-8344</t>
  </si>
  <si>
    <t>1847-9375</t>
  </si>
  <si>
    <t>BUS SYST RES J</t>
  </si>
  <si>
    <t>Bus. Syst. Res. J.</t>
  </si>
  <si>
    <t>10.2478/bsrj-2026-0001</t>
  </si>
  <si>
    <t>AB1GU</t>
  </si>
  <si>
    <t>WOS:001643936800001</t>
  </si>
  <si>
    <t>Anong, ST; Kunovskaya, I</t>
  </si>
  <si>
    <t>Anong, Sophia T.; Kunovskaya, Irina</t>
  </si>
  <si>
    <t>M-finance and consumer redress for the unbanked in South Africa</t>
  </si>
  <si>
    <t>Transformational mobile finance; consumer redress; developing countries; OECD</t>
  </si>
  <si>
    <t>MOBILE PHONES; SERVICES; ADOPTION; BANKING</t>
  </si>
  <si>
    <t>The paper describes the nature and impact of mobile financial services (m-finance) and consumer protection in developing countries. Specifically, it explores consumer redress in South Africa's m-finance, a sector responsible for rapidly drawing unbanked consumers in developing countries into the financial mainstream. The Actor-Network Theory is used to identify key actors of transformational m-finance in South Africa. Complaint procedures of the identified providers are reviewed and evaluated against the 2007 recommendation by the Organization for Economic Co-operation and Development (OECD) on consumer dispute resolution and redress. The research shows that although South Africa is not an OECD member, the legal and self-regulatory environments have fostered what appear to be good consumer redress intentions by businesses. All providers in the study had consumer information on internal redress channels and some even provided additional information on alternative dispute resolution services in the country. Some shortcomings, however, were the lack of standard designs for online complaint forms and not providing expected time frames for the resolution process and possible solutions.</t>
  </si>
  <si>
    <t>[Anong, Sophia T.] Univ Georgia, Dept Housing &amp; Consumer Econ, Griffin, GA 30223 USA; [Kunovskaya, Irina] Univ Georgia, Coll Family &amp; Consumer Sci, Athens, GA 30602 USA</t>
  </si>
  <si>
    <t>Anong, ST (corresponding author), Univ Georgia, Dept Housing &amp; Consumer Econ, 129 Stuckey Conf Ctr,1109 Expt St, Griffin, GA 30223 USA.</t>
  </si>
  <si>
    <t>10.1111/ijcs.12014</t>
  </si>
  <si>
    <t>167EI</t>
  </si>
  <si>
    <t>WOS:000320613300014</t>
  </si>
  <si>
    <t>Samreth, S; Aiba, D; Oeur, S; Vat, V</t>
  </si>
  <si>
    <t>Samreth, Sovannroeun; Aiba, Daiju; Oeur, Sothearoath; Vat, Vanndy</t>
  </si>
  <si>
    <t>Impact of the interest rate ceiling on credit cost, loan size, and informal credit in the microfinance sector: evidence from a household survey in Cambodia</t>
  </si>
  <si>
    <t>Interest rate ceiling; Microfinance; Informal credit; Financial inclusion</t>
  </si>
  <si>
    <t>USURY LAWS</t>
  </si>
  <si>
    <t>This study examines the effects of the imposition of an interest rate ceiling in April 2017 on credit cost, loan size, and informal credit in Cambodia's rapidly growing microfinance sector, based on a household survey conducted in August and September 2019. From our analyses, we confirm past evidence that indicates that the average interest rate was reduced, but the average loan assessment and processing fee increased after the ceiling imposition. However, our results confirm the decline in the average effective interest rate (interest rate plus loan assessment and processing fee) after the ceiling imposition. The results also show an increase in the average size of loans from formal sources at a relatively small loan level, and an increase in the percentage of loans from informal sources. Monitoring of informal credit activities is important to mitigate the adverse consequences of the ceiling imposition.</t>
  </si>
  <si>
    <t>[Samreth, Sovannroeun] Saitama Univ, Grad Sch Humanities &amp; Social Sci, 255 Shimo Okubo,Sakura Ku, Saitama, Saitama 3388570, Japan; [Samreth, Sovannroeun; Aiba, Daiju] JICA Ogata Res Inst, Tokyo, Japan; [Aiba, Daiju] Waseda Univ, Res Inst Business Adm, Tokyo, Japan; [Oeur, Sothearoath; Vat, Vanndy] Credit Bur Cambodia, Phnom Penh, Cambodia</t>
  </si>
  <si>
    <t>Saitama University; Waseda University</t>
  </si>
  <si>
    <t>Samreth, S (corresponding author), Saitama Univ, Grad Sch Humanities &amp; Social Sci, 255 Shimo Okubo,Sakura Ku, Saitama, Saitama 3388570, Japan.;Samreth, S (corresponding author), JICA Ogata Res Inst, Tokyo, Japan.</t>
  </si>
  <si>
    <t>JICA Ogata Research Institute; Grant-in-Aid for Scientific Research (c) [18K01604, 18K01641]; Cambodia Microfinance Association; Credit Bureau of Cambodia; Grants-in-Aid for Scientific Research [22K01514] Funding Source: KAKEN</t>
  </si>
  <si>
    <t>JICA Ogata Research Institute; Grant-in-Aid for Scientific Research (c)(Ministry of Education, Culture, Sports, Science and Technology, Japan (MEXT)Japan Society for the Promotion of ScienceGrants-in-Aid for Scientific Research (KAKENHI)); Cambodia Microfinance Association; Credit Bureau of Cambodia; Grants-in-Aid for Scientific Research(Ministry of Education, Culture, Sports, Science and Technology, Japan (MEXT)Japan Society for the Promotion of ScienceGrants-in-Aid for Scientific Research (KAKENHI))</t>
  </si>
  <si>
    <t>This research is mainly supported by JICA Ogata Research Institute and partially supported by Grant-in-Aid for Scientific Research (C), No. 18K01604 and No. 18K01641. We would like to thank the Cambodia Microfinance Association and the Credit Bureau of Cambodia for their support. We acknowledge the comments and suggestions from the participants of workshops held by the National Bank of Cambodia and the Cambodia Microfinance Association. We would like to thank an associate editor and anonymous reviewers for their helpful comments and suggestions. We are solely responsible for any errors that may appear in this paper. Any result discussions and interpretations in this study are ours and do not reflect the views of our affiliated institutions.</t>
  </si>
  <si>
    <t>10.1007/s00181-023-02443-5</t>
  </si>
  <si>
    <t>T9JQ0</t>
  </si>
  <si>
    <t>WOS:001005785800001</t>
  </si>
  <si>
    <t>Wu, J; Vadera, S; Dayson, K; Burridge, D; Clough, I</t>
  </si>
  <si>
    <t>Lau, E; Tseng, S</t>
  </si>
  <si>
    <t>Wu, Jia; Vadera, Sunil; Dayson, Karl; Burridge, Diane; Clough, Ian</t>
  </si>
  <si>
    <t>A Comparison of Data Mining Methods in Microfinance</t>
  </si>
  <si>
    <t>2010 2ND IEEE INTERNATIONAL CONFERENCE ON INFORMATION AND FINANCIAL ENGINEERING (ICIFE)</t>
  </si>
  <si>
    <t>2nd IEEE International Conference on Information and Financial Engineering (ICIFE)</t>
  </si>
  <si>
    <t>SEP 17-19, 2010</t>
  </si>
  <si>
    <t>Chongqing, PEOPLES R CHINA</t>
  </si>
  <si>
    <t>IEEE,Int Assoc Comp Sci &amp; Informat Technol (IACSIT),IEDRC</t>
  </si>
  <si>
    <t>Microfinance; Data mining; Exemplar based model; Bayesian network; Decision tree; Clustering</t>
  </si>
  <si>
    <t>Microfinance provides financial services to low income or poor credit record clients. The 'credit crunch' has led to mainstream lenders tightening their lending policies, resulting in increased financial exclusion. Loan sharks then become an alternative and easy way of borrowing money. However, extremely high interest rates from loan sharks put low income people into worse poverty. Sub-prime lenders play an important role in providing affordable loans to fill the gap between loan sharks and mainstream lenders. All the mainstream lenders have their own loan risk assessment systems, but these systems are either 'in house' or not applicable for giving loans to this marginal group of client. Due to the varying characteristics of this marginal group of clients, sub-prime lenders need to develop their own loan risk assessment system. Although data mining methods have the potential for developing such a risk assessment system, the relative performance of the different data mining methods on such data is not known. Hence, this paper focuses on comparing different data mining methods when applied to loan data for sub-prime lenders.</t>
  </si>
  <si>
    <t>[Wu, Jia; Vadera, Sunil; Dayson, Karl] Univ Salford, 43 Crescent, Salford M5 4WT, Lancs, England; [Burridge, Diane; Clough, Ian] East Lans Moneyline IPS Ltd, Lancaster, England</t>
  </si>
  <si>
    <t>Wu, J (corresponding author), Univ Salford, 43 Crescent, Salford M5 4WT, Lancs, England.</t>
  </si>
  <si>
    <t>j.wu1@salford.ac.uk</t>
  </si>
  <si>
    <t>Vadera, Sunil/T-7438-2019</t>
  </si>
  <si>
    <t>978-1-4244-6928-4</t>
  </si>
  <si>
    <t>10.1109/ICIFE.2010.5609408</t>
  </si>
  <si>
    <t>BXM15</t>
  </si>
  <si>
    <t>WOS:000296350100113</t>
  </si>
  <si>
    <t>Kebede, J; Naranpanawa, A; Selvanathan, S</t>
  </si>
  <si>
    <t>Kebede, Jeleta; Naranpanawa, Athula; Selvanathan, Saroja</t>
  </si>
  <si>
    <t>Financial inclusion: Measures and applications to Africa</t>
  </si>
  <si>
    <t>Financial inclusion index; Bank market power; Bank asset concentration; Panel threshold model; Africa</t>
  </si>
  <si>
    <t>BANK COMPETITION; CREDIT CONSTRAINTS; DETERMINANTS; ALLEVIATE; ACCESS; FIRMS</t>
  </si>
  <si>
    <t>Financial inclusion (FI) is increasingly becoming a global policy priority because it enables access to financial services, such as savings, payments, risk management, and credit, to households and firms with a wide range of needs. However, to the best of our knowledge, no study has yet been undertaken on measures of FI and the nexus between FI and bank market structure in Africa. We used panel data from 17 African countries from 2004 to 2018 to measure FI and examine its nexus with bank market structure in these countries. We employed two-stage unsupervised machine learning to index FI: its dimensions in the first stage and overall FI in the second stage. Then, we employed an endogenous panel threshold model to examine bank market power and asset concentration impacts on FI. We found that bank market power enhances availability and accessibility dimensions but reduces the usage dimension. The impact of a higher regime market power on usage is worse than that of a lower regime market power. Asset concentration impacts on overall FI, availability, and usage are more pronounced under a lower regime concentration. The results imply that bank asset concentration and market power beyond thresholds are not desirable for promoting FI. The results also imply that scrutinizing potential sensitivity of the results to FI dimensions is vital. (C) 2021 Economic Society of Australia, Queensland. Published by Elsevier B.V. All rights reserved.</t>
  </si>
  <si>
    <t>[Kebede, Jeleta; Naranpanawa, Athula; Selvanathan, Saroja] Griffith Univ, Griffith Business Sch, 170 Kessels Rd, Brisbane, Qld, Australia</t>
  </si>
  <si>
    <t>Kebede, J (corresponding author), Griffith Univ, Griffith Business Sch, 170 Kessels Rd, Brisbane, Qld, Australia.</t>
  </si>
  <si>
    <t>jeleta.kebede@griffithuni.edu.au</t>
  </si>
  <si>
    <t>Naranpanawa, Athula/AAD-2533-2021</t>
  </si>
  <si>
    <t>10.1016/j.eap.2021.03.008</t>
  </si>
  <si>
    <t>SF3RL</t>
  </si>
  <si>
    <t>WOS:000652676400025</t>
  </si>
  <si>
    <t>Mugoro, MM; Makhura, MN</t>
  </si>
  <si>
    <t>Mugoro, Mihretu Mulugeta; Makhura, Moraka Nakedi</t>
  </si>
  <si>
    <t>What drives digital finance use in rural Africa? Insights from Ethiopia</t>
  </si>
  <si>
    <t>Digital finance; mobile money; factors; adoption and intensity; zero inflated negative binomial; Ethiopia</t>
  </si>
  <si>
    <t>MOBILE MONEY; INFORMATION-TECHNOLOGY; CONSUMER ACCEPTANCE; ADOPTION</t>
  </si>
  <si>
    <t>Despite the growing role of digital finance particularly mobile money in advancing financial inclusion, its use remains limited in many rural parts of Africa. This study examines the drivers of digital finance use in rural Ethiopia, focusing on the adoption and usage intensity of CBE Birr and Telebirr in the Kembata Tambaro Zone. Using the Extended Unified Theory of Acceptance and Use of Technology (UTAUT2), data from 399 respondents were analysed through a double-hurdle model combining binary logit and zero-inflated negative binomial regression. Results show that education, mobile ownership, social influence, trust, perceived ease of use, perceived usefulness, and internet access positively drive adoption, while distance to financial institutions or agents negatively affects it. Usage intensity rises with formal employment, distance to financial institutions, and internet access, while unemployment reduces transaction frequency. Moreover, education, occupation, trust, perceived ease of use and usefulness lower the likelihood of zero transactions. The study confirms that both individual-level and structural factors significantly shape the adoption and intensity of digital finance use in rural Ethiopia. The study emphasizes the need for digital literacy, broader internet access, and context-sensitive service design, while contributing to the literature methodologically by addressing both adoption and usage intensity.</t>
  </si>
  <si>
    <t>[Mugoro, Mihretu Mulugeta; Makhura, Moraka Nakedi] Univ Pretoria, Dept Agr Econ Extens &amp; Rural Dev, Pretoria, South Africa; [Mugoro, Mihretu Mulugeta] Werabe Univ, Dept Rural Dev &amp; Agr Extens, Werabe, Ethiopia</t>
  </si>
  <si>
    <t>Mugoro, MM (corresponding author), Univ Pretoria, Dept Agr Econ Extens &amp; Rural Dev, Pretoria, South Africa.;Mugoro, MM (corresponding author), Werabe Univ, Dept Rural Dev &amp; Agr Extens, Werabe, Ethiopia.</t>
  </si>
  <si>
    <t>u23892936@tuks.co.za</t>
  </si>
  <si>
    <t>Mugoro, Mihretu Mulugeta/0000-0002-3119-5993</t>
  </si>
  <si>
    <t>Department of Agricultural Economics, Extension, and Rural Development; University of Pretoria</t>
  </si>
  <si>
    <t>Department of Agricultural Economics, Extension, and Rural Development; University of Pretoria(University of Pretoria)</t>
  </si>
  <si>
    <t>The authors would like to express their gratitude to the Department of Agricultural Economics, Extension, and Rural Development, the University of Pretoria for funding, the data collectors, research participants, and all individuals who contributed to this study. Mihretu Mulugeta Mugoro: conceptualization, data curation, formal analysis, funding acquisition, investigation, methodology, software, resources, validation, visualization, writing the original draft. Moraka Nakedi Makhura: conceptualization, supervision, editing, validation, revising critically for intellectual content, and the final approval of the version to be published.</t>
  </si>
  <si>
    <t>2025 AUG 8</t>
  </si>
  <si>
    <t>10.1080/2157930X.2025.2542637</t>
  </si>
  <si>
    <t>6HL8Y</t>
  </si>
  <si>
    <t>WOS:001553459900001</t>
  </si>
  <si>
    <t>Karra, M; Hernandez, M; Brennan, C; Mcconnell, MA</t>
  </si>
  <si>
    <t>Karra, Mahesh; Hernandez, Mindy; Brennan, Catherine; Mcconnell, Margaret A.</t>
  </si>
  <si>
    <t>Supply-Side Innovations to Increase Equitable Access to Digital Financial Services: Experimental Evidence from Mozambique</t>
  </si>
  <si>
    <t>Mobile money; digital financial services; M-Pesa; gender; financial inclusion; Mozambique</t>
  </si>
  <si>
    <t>MOBILE MONEY; GENDER; WOMEN; BANKING; IMPACTS</t>
  </si>
  <si>
    <t>Access to digital financial services has expanded in Sub-Saharan Africa, but this expansion may not be distributed equitably. Improved access may require increased engagement with traditionally under-served groups, particularly women. In collaboration with M-Pesa in Mozambique, we worked with Telephonic Sales Representatives (TSRs) to target outreach efforts towards populations that are less likely to utilize mobile money accounts. TSRs were divided into teams by gender and were trained to support clients with opening M-Pesa accounts after clients had purchased a SIM card. We randomized the market that male or female TSR teams were sent to each day. Midway through the intervention, we introduced incentives for enrolling women in rural areas into M-Pesa. We assessed the impact of gendered outreach and incentives on new SIM card registrations and clients enrollment into M-Pesa accounts. Although female TSR teams registered fewer clients to SIM cards relative to male TSR teams, they were more successful at converting clients to M-Pesa, resulting in similar overall M-Pesa enrollments. Introducing incentives to engage with female clients in remote areas also increased overall M-Pesa enrollment rates, particularly among female TSR teams. We find that supply-side innovations can be effective in increasing digital service access and utilization.</t>
  </si>
  <si>
    <t>[Karra, Mahesh] Columbia Univ, Heilbrunn Dept Populat &amp; Family Hlth, Mailman Sch Publ Hlth, New York, NY 10027 USA; [Hernandez, Mindy] World Resources Inst, Washington, DC USA; [Brennan, Catherine] Mobiles4All, Scottsdale, AZ USA; [Mcconnell, Margaret A.] Harvard Univ, Dept Global Hlth &amp; Populat, Boston, MA 02115 USA</t>
  </si>
  <si>
    <t>Columbia University; Harvard University</t>
  </si>
  <si>
    <t>Karra, M (corresponding author), Columbia Univ, Heilbrunn Dept Populat &amp; Family Hlth, Mailman Sch Publ Hlth, New York, NY 10027 USA.</t>
  </si>
  <si>
    <t>; Brennan, Catherine/OGQ-6272-2025; Karra, Mahesh/K-8578-2019</t>
  </si>
  <si>
    <t>McConnell, Margaret/0000-0002-3437-3249;</t>
  </si>
  <si>
    <t>Bill and Melinda Gates Foundation [AEARCTR-0003987]</t>
  </si>
  <si>
    <t>Bill and Melinda Gates Foundation(Bill &amp; Melinda Gates Foundation)</t>
  </si>
  <si>
    <t>This study was registered in the AEA RCT Registry, RCT ID AEARCTR-0003987. Link to registration: https://www.socialscienceregistry.org/trials/3987. We are grateful to Jonathan Greenacre, Fatima Zahra, Nishith Prakash, and seminar participants at the 2021 NEUDC Conference and the 2024 Digital Technologies and Sustainable Development Workshop at Oxford University for their comments and feedback.</t>
  </si>
  <si>
    <t>2025 SEP 24</t>
  </si>
  <si>
    <t>10.1080/00220388.2025.2555199</t>
  </si>
  <si>
    <t>7RQ4B</t>
  </si>
  <si>
    <t>WOS:001578028200001</t>
  </si>
  <si>
    <t>Ashraf, A; Lyons, E</t>
  </si>
  <si>
    <t>Ashraf, Anik; Lyons, Elizabeth</t>
  </si>
  <si>
    <t>Complementing business training with access to finance: Evidence from SMEs in Kenya</t>
  </si>
  <si>
    <t>Business training; Access to finance</t>
  </si>
  <si>
    <t>ENTREPRENEURSHIP; MICROCREDIT; IMPACT; MICROENTERPRISES; RETURNS; GRANTS; CASH</t>
  </si>
  <si>
    <t>This paper investigates the complementarity between business training and timely access to financial capital for small and medium enterprises (SMEs) in Kenya. All participants in the business support program we study are offered training. One-third of participants are offered loans immediately after training (Concurrent Loan group), one-third are offered loans six weeks after training (Delayed Loan group), and the remaining third are offered loans after another four weeks (Control group). While a long time lag may reduce knowledge retention and application among SMEs, concurrent access to loans and associated business spending may divert the entrepreneurs' attention away from improving business practices. We find evidence for the latter in both intention-to-treat and treatment-on-the-treated estimates. While SMEs in both Control and Delayed Loan groups improve their business practices, SMEs in the Concurrent Loan group who take loans do not improve their practices at all. Moreover, entrepreneurs who take loans spend less time on their businesses and experience declines in their business revenue.</t>
  </si>
  <si>
    <t>[Ashraf, Anik] Ludwig Maximilians Univ Munchen, Dept Econ, Munich, Germany; [Lyons, Elizabeth] Univ Calif San Diego, Sch Global Policy &amp; Strategy, La Jolla, CA USA</t>
  </si>
  <si>
    <t>University of Munich; University of California System; University of California San Diego</t>
  </si>
  <si>
    <t>Ashraf, A (corresponding author), Ludwig Maximilians Univ Munchen, Dept Econ, Munich, Germany.</t>
  </si>
  <si>
    <t>anik.ashraf@econ.lmu.de; lizlyons@ucsd.edu</t>
  </si>
  <si>
    <t>Lyons, Elizabeth/0000-0003-2334-2153</t>
  </si>
  <si>
    <t>DFG [280092119]; AEA RCT Registry [AEARCTR-0008292]</t>
  </si>
  <si>
    <t>DFG(German Research Foundation (DFG)); AEA RCT Registry</t>
  </si>
  <si>
    <t>We are grateful to Technoserve Kenya for their collaboration and research support. Dennis Klein and Taha Bilgic provided excellent research assistance. We thank Florian Englmaier, Matthias Fahn, Ri-card Gil, Andreas Menzel, and two anonymous referees for helpful comments. Financial support from DFG through CRC TRR 190 (project number 280092119) is gratefully acknowledged. The experiment in this paper has been registered at AEA RCT Registry under AEARCTR-0008292.</t>
  </si>
  <si>
    <t>10.1016/j.jdeveco.2025.103645</t>
  </si>
  <si>
    <t>8QY0F</t>
  </si>
  <si>
    <t>WOS:001595210500001</t>
  </si>
  <si>
    <t>Atahau, ADR; Huruta, AD; Lee, CW</t>
  </si>
  <si>
    <t>Atahau, Apriani Dorkas Rambu; Huruta, Andrian Dolfriandra; Lee, Cheng-Wen</t>
  </si>
  <si>
    <t>Rural microfinance sustainability: Does local wisdom driven-governance work?</t>
  </si>
  <si>
    <t>Micro-finance sustainability; Local wisdom; Economic; Social; Environment; Governance</t>
  </si>
  <si>
    <t>CORPORATE SOCIAL PERFORMANCE; FINANCIAL PERFORMANCE; POVERTY; IMPACT; SIZE; CSR</t>
  </si>
  <si>
    <t>Microfinance has been addressed as a mechanism to increase financial access to the poor as one of the sustainable development goals. Accordingly, a more comprehensive understanding of the determinant factors of microfinance sustainability is necessary to implement further these financial institutions in rural areas. This research seeks to develop sustainability microfinance models and policy formulation to alleviate poverty in rural communities in East Sumba. We collect the data by distributing questionnaires to 148 stakeholders of the Tapa Walla Badi microfinance group in Mbatakapidu and the Rinjung Pahamu microfinance group in Wangga village. Focus group discussions in those locations supplement the data from the questionnaires. The endogenous and mediating variables of this study are microfinance sustainability and governance factors, respectively. Meanwhile, the exogenous variables are social, economic, and environmental factors. We then quantitatively analyze the data by using structural equation modeling (SEM) through the analysis of moment structures (AMOS). The findings show the mediating role of governance factors in microfinance sustainability. To do so, the MFIs need to maintain their positive attitudes towards the environment and implement green practices to achieve sustainability. The last but not least, this study provides empirical evidence regarding the level of adaptation of small-scale MFIs to green MFIs. Thus, the transformation process towards a green MFI can survive in the long-run through good governance support. The MFIs can oversee the process by initiating green practices and launching environment-based loan products.</t>
  </si>
  <si>
    <t>[Atahau, Apriani Dorkas Rambu] Satya Wacana Christian Univ, Fac Econ &amp; Business, Dept Management, 52-60 Diponegoro Rd, Salatiga City 50711, Central Java, Indonesia; [Huruta, Andrian Dolfriandra] Chung Yuan Christian Univ, Coll Business, PhD Program Business, 200 Chung Pei Rd, Taoyuan 32023, Taiwan; [Huruta, Andrian Dolfriandra] Satya Wacana Christian Univ, Fac Econ &amp; Business, Dept Econ, 52-60 Diponegoro Rd, Salatiga City 50711, Central Java, Indonesia; [Lee, Cheng-Wen] Chung Yuan Christian Univ, Coll Business, Dept Int Business, 200 Chung Pei Rd, Taoyuan 32023, Taiwan</t>
  </si>
  <si>
    <t>Universitas Kristen Satya Wacana; Chung Yuan Christian University; Universitas Kristen Satya Wacana; Chung Yuan Christian University</t>
  </si>
  <si>
    <t>Huruta, AD (corresponding author), Chung Yuan Christian Univ, Coll Business, PhD Program Business, 200 Chung Pei Rd, Taoyuan 32023, Taiwan.</t>
  </si>
  <si>
    <t>apriani@staff.uksw.edu; g10804610@cycu.edu.tw; chengwen@cycu.edu.tw</t>
  </si>
  <si>
    <t>Huruta, Andrian/M-2654-2019; huruta, anian/M-2654-2019; Atahau, Apriani Dorkas Rambu/AAB-9654-2021</t>
  </si>
  <si>
    <t>huruta, anian/0000-0001-7676-5294; Lee, Cheng-Wen/0000-0002-4811-7000; Atahau, Apriani Dorkas Rambu/0000-0002-0186-0796</t>
  </si>
  <si>
    <t>Research, Publication AMP; Community Service Bureau of the Satya Wacana Christian University</t>
  </si>
  <si>
    <t>We dedicate this paper to the late Like Soegiono, our team member who passed away at the initiation of this project. The memories of her will always are in our hearts forever. Also, We would like to thank the Research, Publication &amp; Community Service Bureau of the Satya Wacana Christian University for their support during the publication of this article. We thanked Alliny Namilana Rambu Hutar and Yan Alexander Pattisina from Wira Wacana Christian University for their help during the data collection process in Waingapu-Sumba, Adi Papa Pandarangga for his help to provide the secondary data, Korlina Konda Ngguna from Women Farmer Group Tapa Walla Badi and Ndawa Lomi from Farmer's Group Association Rinjung Pahamu for their valuable information and assistance in the questionnaire distribution and FGD, Johnson Umbu Radda for the discussion of Sumbanese tradition, values, and local wisdom, Tom Cronje for the valuable feedback of the paper draft and suggestion of the paper quality improvement, Ronny Prabowo for proofreading the paper and last but not least we give our utmost thank to the article editor and anonymous reviewers for the critical comments and suggestions which shape up the focus of the paper.</t>
  </si>
  <si>
    <t>SEP 10</t>
  </si>
  <si>
    <t>10.1016/j.jclepro.2020.122153</t>
  </si>
  <si>
    <t>MB2HK</t>
  </si>
  <si>
    <t>WOS:000542425300014</t>
  </si>
  <si>
    <t>Imarhiagbe, BO; Saridakis, G; Mohammed, AM</t>
  </si>
  <si>
    <t>Imarhiagbe, Bernard Owens; Saridakis, George; Mohammed, Anne-Marie</t>
  </si>
  <si>
    <t>Do bank credit rejection and financial education affect financial self-confidence?</t>
  </si>
  <si>
    <t>Gender; SMEs; Access to finance; Self-confidence; Bank credit rejection; Financial education</t>
  </si>
  <si>
    <t>GENDER; ENTREPRENEURS; EFFICACY; OVERCONFIDENCE; WOMEN; INNOVATION; SUCCESS; MARKETS; ACCESS; GROWTH</t>
  </si>
  <si>
    <t>Purpose - The purpose of this paper is to examine empirically the determinants of owner manager financial self-confidence. In particular, it estimates the effect of bank credit rejection and financial education (FE) on the financial self-confidence of business owners. Design/methodology/approach - This paper uses data from 2004 and 2008 surveys of 2,500 UK small and medium sized enterprises (SMEs). An ordered probit estimation is used to measure and assess the effect of bank credit rejection and FE variables on financial self-confidence for the two periods. The authors also explore potential differences in self-confidence between males and females. Findings - The results show that outright bank credit rejection reduces financial self-confidence among owner managers whereas partial bank credit rejection is found to help boost confidence prior to the financial crisis. There is strong evidence that FE increases financial self-confidence. Finally, the authors find no association between gender and reported self-confidence in finance. Research limitations/implications - Entrepreneurs and potential entrepreneurs are encouraged to explore financial literacy and knowledge with a view to increasing their financial self-confidence. This will help SMEs to deal with the banks or other finance providers more efficiently. In addition, better application procedures and information on lending criteria may help SMEs to minimize the probability of bank credit rejection. So the current study has implications for professional bodies as well. The study, however, is restricted to sole proprietor and partnership SMEs and in the UK context only. Practical implications - Financial self-confidence has a progressive effect on entrepreneurship and entrepreneurial venture growth. The financial self-confidence of owner managers can support their entrepreneurial capability in starting and operating one or more businesses. As entrepreneurs successfully start and operate their own businesses, they are contributing to economic development through job creation, employment and tax contribution. Originality/value - This paper makes an original contribution in highlighting the usefulness of FE in boosting financial self-confidence among entrepreneurs and potential entrepreneurs. It is also found that the experience of bank credit rejection reduces entrepreneurs' financial self-confidence.</t>
  </si>
  <si>
    <t>[Imarhiagbe, Bernard Owens; Saridakis, George] Kingston Univ, Small Business Res Ctr, Kingston Upon Thames, Surrey, England; [Mohammed, Anne-Marie] Univ West Indies, Dept Econ, St Augustine, Trinidad Tobago</t>
  </si>
  <si>
    <t>Kingston University; University West Indies Mona Jamaica; University West Indies Saint Augustine</t>
  </si>
  <si>
    <t>Imarhiagbe, BO (corresponding author), Kingston Univ, Small Business Res Ctr, Kingston Upon Thames, Surrey, England.</t>
  </si>
  <si>
    <t>k1250663@kingston.ac.uk</t>
  </si>
  <si>
    <t>10.1108/IJEBR-05-2016-0168</t>
  </si>
  <si>
    <t>FJ9KY</t>
  </si>
  <si>
    <t>WOS:000413097000012</t>
  </si>
  <si>
    <t>Patil, S; Singh, M</t>
  </si>
  <si>
    <t>Patil, Sandeep; Singh, Monica</t>
  </si>
  <si>
    <t>Micro Financial Perspectives of Self-Help Groups from Disadvantaged Districts of Maharashtra</t>
  </si>
  <si>
    <t>Financial inclusion; microfinance; self-help groups; sustainable development goals</t>
  </si>
  <si>
    <t>The present study was planned to determine the micro-financial perspectives of SHGs from disadvantaged districts in Maharashtra. A total of 40 SHGs from two disadvantaged districts were selected using a disproportionate random sampling method. The data were collected from SHGs by personal interview method. The study revealed that SHG members strictly adhered to the principle of Saving First and Credit Later. The cumulative savings of SHGs were (sic)83,785. The sampled SHGs had mobilized their savings in the form of an internal loan. The need-based lending approach was used which ensured a cent percent loan recovery. The average loan borrowed by SHGs from banks was fairly high due to an affordable interest rate of 4.0 percent per annum charged by banks on external loans. However, SHGs had charged 1.00 to 2.00 percent monthly interest, it accounted annually 12 to 24 percent interest on the external loan while lending. This shortfall in lending microfinance may be overcome by organizing the sensitization program for SHGs. It was concluded that sampled SHGs adopted good microfinance management practices in disadvantaged districts of Maharashtra. Further, the SHG Bank Linkage programme was an effective intervention in economic upliftment and financial inclusion for the bottom of the pyramid. This proven platform initially conceived for increasing the outreach of banking services among the poor which led to promotion of livelihoods and poverty alleviation. Further, the potential SHGs may be encouraged to graduate as members of farmers producers' organisations/companies.</t>
  </si>
  <si>
    <t>[Patil, Sandeep] Krishi Vigyan Kendra, Dr Balasaheb Sawant Konkan Krishi Vidyapeeth DBSK, Agr Extens, Ratnagiri 415629, Maharashtra, India; [Singh, Monica] ICAR CCARI Krishi Vigyan Kendra, Agr Extens, Ella 403402, Goa, India</t>
  </si>
  <si>
    <t>Indian Council of Agricultural Research (ICAR); ICAR - Central Coastal Agricultural Research Institute</t>
  </si>
  <si>
    <t>Patil, S (corresponding author), Krishi Vigyan Kendra, Dr Balasaheb Sawant Konkan Krishi Vidyapeeth DBSK, Agr Extens, Ratnagiri 415629, Maharashtra, India.</t>
  </si>
  <si>
    <t>sspatilextension@gmail.com</t>
  </si>
  <si>
    <t>10.35716/IJED/18110</t>
  </si>
  <si>
    <t>WOS:000562049800010</t>
  </si>
  <si>
    <t>Kim, N; Mountain, TP</t>
  </si>
  <si>
    <t>Kim, Namhoon; Mountain, Travis P.</t>
  </si>
  <si>
    <t>Financial Knowledge and Don't Know Response</t>
  </si>
  <si>
    <t>HIGH-SCHOOL; GENDER-GAP; EDUCATION; LITERACY</t>
  </si>
  <si>
    <t>We investigate the effect of group characteristics and educational interventions on young respondents' objective financial knowledge level. We examine six questions about personal finance and covariates selected from the 2015 National Financial Capability Study. Because these questions include Don't Know or Refuse (DK/RF) responses, a simple regression model could cause researchers to reach misleading conclusions if DK/RF responses are not random. Thus, we suggest a binomial-latent regression model to evaluate the effect of educational interventions and group differences that are hidden in DK/RF responses. The estimation result shows that rejecting financial education opportunities is disadvantageous to obtaining proper financial knowledge. In addition, both formal and informal financial education are less effective in improving objective financial knowledge in our preferred model. We also find few or no gender, income, and age differences in young adults' objective financial knowledge level after controlling for financial education interventions.</t>
  </si>
  <si>
    <t>[Kim, Namhoon] Korea Rural Econ Inst, Naju, Jeollanam Do, South Korea; [Mountain, Travis P.] Virginia Tech, Dept Agr &amp; Appl Econ, Blacksburg, VA USA</t>
  </si>
  <si>
    <t>Virginia Polytechnic Institute &amp; State University</t>
  </si>
  <si>
    <t>Kim, N (corresponding author), Korea Rural Econ Inst, Naju, Jeollanam Do, South Korea.</t>
  </si>
  <si>
    <t>hoonkim@krei.re.kr; travis35@vt.edu</t>
  </si>
  <si>
    <t>; Kim, Namhoon/AAJ-8887-2021</t>
  </si>
  <si>
    <t>Mountain, Travis/0000-0003-4210-8151;</t>
  </si>
  <si>
    <t>10.1111/joca.12275</t>
  </si>
  <si>
    <t>WOS:000480943900001</t>
  </si>
  <si>
    <t>Mohanty, D; Anand, D; Aljahdali, HM; Villar, SG</t>
  </si>
  <si>
    <t>Mohanty, Debasis; Anand, Divya; Aljahdali, Hani Moaiteq; Villar, Santos Gracia</t>
  </si>
  <si>
    <t>Blockchain Interoperability: Towards a Sustainable Payment System</t>
  </si>
  <si>
    <t>blockchain; interoperability; atomic; swap; P2P; cryptocurrency; exchange</t>
  </si>
  <si>
    <t>The highly fragmented blockchain and cryptocurrency ecosystem necessitates interoperability mechanisms as a requirement for blockchain-technology acceptance. The immediate implication of interchain interoperability is automatic swapping between cryptocurrencies. We performed a systematic review of the existing literature on Blockchain interoperability and atomic cross-chain transactions. We investigated different blockchain interoperability approaches, including industrial solutions, categorized them and identified the key mechanisms used, and list several example projects for each category. We focused on the atomic transactions between blockchain, a process also known as atomic swap. Furthermore, we studied recent implementations along with architectural approaches for atomic swap and deduced research issues and challenges in cross-chain interoperability and atomic swap. Atomic swap can instantly transfer tokens and significantly reduce the associated costs without using any centralized authority, and thus facilitates the development of a sustainable payment system for wider financial inclusion.</t>
  </si>
  <si>
    <t>[Mohanty, Debasis; Anand, Divya] Lovely Profess Univ, Sch Comp Sci &amp; Engn, Phagwara 144411, India; [Aljahdali, Hani Moaiteq] King Abdulaziz Univ, Fac Comp &amp; Informat Technol, Jeddah 37848, Saudi Arabia; [Villar, Santos Gracia] Univ Europea Atlantico, Higher Polytech School, Ind Org Engn, Isabel Torres 21, Santander 39011, Spain; [Villar, Santos Gracia] Univ Int Cuanza Bairro Kaluanda, Project Dept, Cuito 250, Bie, Angola</t>
  </si>
  <si>
    <t>Lovely Professional University; King Abdulaziz University</t>
  </si>
  <si>
    <t>Anand, D (corresponding author), Lovely Profess Univ, Sch Comp Sci &amp; Engn, Phagwara 144411, India.</t>
  </si>
  <si>
    <t>debasis.41900381@lpu.in; divyaanand.y@gmail.com; hmaljahdali@kau.edu.sa; santos.gracia@uneatlantico.es</t>
  </si>
  <si>
    <t>Anand, Divya/KIA-5889-2024; Mohanty, Debasis/HSH-6855-2023; Gracia Villar, Santos/ABF-1694-2021; ALJAHDALI, HANI/GLN-5656-2022</t>
  </si>
  <si>
    <t>Anand, Divya/0000-0003-4915-8426; Mohanty, Debasis/0000-0001-9342-3050; Gracia Villar, Santos/0000-0002-7065-4793;</t>
  </si>
  <si>
    <t>Deanship of Scientific Re-search (DSR), King Abdulaziz University, Jeddah [D64-830-1443]</t>
  </si>
  <si>
    <t>Deanship of Scientific Re-search (DSR), King Abdulaziz University, Jeddah(King Abdulaziz University)</t>
  </si>
  <si>
    <t>FundingThis project was funded by the Deanship of Scientific Research (DSR), King Abdulaziz University, Jeddah, under grant No. (D64-830-1443). The authors, therefore, gratefully acknowledge DSR technical and financial support.</t>
  </si>
  <si>
    <t>10.3390/su14020913</t>
  </si>
  <si>
    <t>ZD5CR</t>
  </si>
  <si>
    <t>WOS:000758216900001</t>
  </si>
  <si>
    <t>Attrams, AS; Tshehla, M</t>
  </si>
  <si>
    <t>Attrams, Afia Serwaa; Tshehla, Makgopa</t>
  </si>
  <si>
    <t>Challenges of services sector SMEs in a developing country: A case of Ghana</t>
  </si>
  <si>
    <t>World Congress of the International Council for Small Business (ICSB)</t>
  </si>
  <si>
    <t>JUL 11-16, 2021</t>
  </si>
  <si>
    <t>SMEs; challenges; obstacles; service sector; Ghana</t>
  </si>
  <si>
    <t>Small and medium-sized enterprises (SMEs) face diverse challenges that require solutions to enable the sector to thrive. The study used a sector-based approach to assess the challenges of SMEs from the financial institutions' and SMEs' points of view and suggested solutions to the challenges with a focus on the service sector in Ghana. The findings revealed that diversion of funds, inconsistencies in business, and lack of documentation prevail and are curbed by using mobile banking, improving relationship banking, and monitoring. From the analysis of 688 SMEs, high taxes and informal competitions are the highest-ranked challenges, while access to finance is ranked tenth. The policy recommendation is to reduce SME taxes and ban the importation of inferior goods.</t>
  </si>
  <si>
    <t>[Attrams, Afia Serwaa; Tshehla, Makgopa] Univ South Africa, Sch Business Leadership, Coll Grad Studies, Midrand, South Africa; [Attrams, Afia Serwaa] Cnr Janadel &amp; Alexandra Ave, ZA-1686 Midrand, Gauteng, South Africa</t>
  </si>
  <si>
    <t>Attrams, AS (corresponding author), Cnr Janadel &amp; Alexandra Ave, ZA-1686 Midrand, Gauteng, South Africa.</t>
  </si>
  <si>
    <t>79172040@mylife.unisa.ac.za</t>
  </si>
  <si>
    <t>Attra, Afia Serwaa/0000-0002-0784-8069; Tshehla, Makgopa/0000-0002-3536-2517</t>
  </si>
  <si>
    <t>10.1080/26437015.2021.1982369</t>
  </si>
  <si>
    <t>CW9M8</t>
  </si>
  <si>
    <t>WOS:001128389200003</t>
  </si>
  <si>
    <t>Montalto, CP; Phillips, EL; McDaniel, A; Baker, AR</t>
  </si>
  <si>
    <t>Montalto, Catherine P.; Phillips, Erica L.; McDaniel, Anne; Baker, Amanda R.</t>
  </si>
  <si>
    <t>College Student Financial Wellness: Student Loans and Beyond</t>
  </si>
  <si>
    <t>Financial capability; Financial wellness; Higher education; Student loans</t>
  </si>
  <si>
    <t>CREDIT-CARD DEBT; SELF-EFFICACY; BEHAVIOR; ATTITUDES; EDUCATION; KNOWLEDGE; IMPACT; TIME; GRADUATION; ENROLLMENT</t>
  </si>
  <si>
    <t>Financial wellness is multidimensional, incorporating all aspects of a person's financial situation, including their awareness of their financial situation, goal setting to maintain or improve their current financial situation, and the capability to put these goals into action. This review explores key aspects of college student financial wellness and financial behavior including use of credit cards and student loans, financial literacy, financial stress, and financial self-efficacy. This review also incorporates new information from the multi-institutional Study on Collegiate Financial Wellness, which adds depth to understanding of college student financial wellness in unique ways. Colleges and universities can and should contribute to the ongoing development of the financial capability of the college student population. To effectively plan and implement financial wellness initiatives on campus, understanding the needs of students on our campuses and how finances influence the day-to-day lives of students is critical.</t>
  </si>
  <si>
    <t>[Montalto, Catherine P.] Ohio State Univ, Dept Human Sci, 1787 Neil Ave,Room 115F, Columbus, OH 43210 USA; [Phillips, Erica L.; McDaniel, Anne] Ohio State Univ, Ctr Study Student Life, 1800 Cannon Dr,Room 517, Columbus, OH 43210 USA; [Baker, Amanda R.] Iowa State Univ, Sch Educ, 2648C Lagomarcino Hall,901 Strange Rd, Ames, IA 50011 USA</t>
  </si>
  <si>
    <t>University System of Ohio; Ohio State University; University System of Ohio; Ohio State University; Iowa State University</t>
  </si>
  <si>
    <t>Montalto, CP (corresponding author), Ohio State Univ, Dept Human Sci, 1787 Neil Ave,Room 115F, Columbus, OH 43210 USA.</t>
  </si>
  <si>
    <t>montalto.2@osu.edu</t>
  </si>
  <si>
    <t>Baker, Amanda/0000-0001-9388-5730</t>
  </si>
  <si>
    <t>10.1007/s10834-018-9593-4</t>
  </si>
  <si>
    <t>WOS:000459534100002</t>
  </si>
  <si>
    <t>Xu, GS; Feng, L; Wang, WZ; Liang, QH</t>
  </si>
  <si>
    <t>Xu, Guangshun; Feng, Lin; Wang, Wenzheng; Liang, Qiaohui</t>
  </si>
  <si>
    <t>Digital Financial Literacy and Rural Income Inequality</t>
  </si>
  <si>
    <t>digital financial literacy; rural income inequality; financial asset allocation; entrepreneurial probability; rural China</t>
  </si>
  <si>
    <t>IMPACT; YOUTH; EDUCATION; CHINA; WOMEN</t>
  </si>
  <si>
    <t>Digital finance plays a crucial role in enhancing financial inclusion and decreasing income inequality within developing countries. Given the digital and financial attributes that characterize digital finance, digital financial literacy (DFL) is a critical factor that influences the extent to which this function can be exploited. There is relatively little empirical evidence linking DFL to rural income inequality. Based on the 2017 and 2019 China Household Finance Survey data and two-way fixed effect panel model, this study focuses on rural China and examines the effect of DFL on income inequality. Meanwhile, this study also explores the mechanism of this effect from the perspectives of financial asset allocation and entrepreneurship. The empirical results show that (1) increasing DFL within rural households contributes to decreasing income inequality; (2) DFL can decrease income inequality by enriching the variety of household financial assets and enlarging the proportion of risky financial assets in rural households; and (3) improving DFL can ameliorate rural income inequality by increasing the probability of entrepreneurship. The study's findings put forward fresh empirical evidence for understanding the relationship and mechanism that exist between DFL and income inequality, and more significantly, provide new suggestions for designing and enhancing financial policies that aim to decrease income inequality in developing countries.</t>
  </si>
  <si>
    <t>[Xu, Guangshun; Feng, Lin; Wang, Wenzheng; Liang, Qiaohui] Shandong Univ Finance &amp; Econ, Jinan, Peoples R China</t>
  </si>
  <si>
    <t>Shandong University of Finance &amp; Economics</t>
  </si>
  <si>
    <t>Xu, GS (corresponding author), Shandong Univ Finance &amp; Econ, Sch Finance, Shungeng Rd 40, Jinan 250014, Shandong, Peoples R China.</t>
  </si>
  <si>
    <t>20186619@sdufe.edu.cn</t>
  </si>
  <si>
    <t>National Social Science Foundation of China [23BGL185]; Shandong Provincial Natural Science Foundation [ZR202103020652]</t>
  </si>
  <si>
    <t>National Social Science Foundation of China(National Office of Philosophy and Social Sciences); Shandong Provincial Natural Science Foundation(Natural Science Foundation of Shandong Province)</t>
  </si>
  <si>
    <t>The author(s) disclosed receipt of the following financial sup-port for the research, authorship, and/or publication of this article: This work was supported by the National Social Science Foundation of China (grant number: 23BGL185), and the Shandong Provincial Natural Science Foundation (grant number: ZR202103020652)</t>
  </si>
  <si>
    <t>10.1177/21582440241275642</t>
  </si>
  <si>
    <t>H2S2G</t>
  </si>
  <si>
    <t>WOS:001321980600001</t>
  </si>
  <si>
    <t>Zikhali, W</t>
  </si>
  <si>
    <t>Zikhali, Whitehead</t>
  </si>
  <si>
    <t>Changing money, changing fortunes: experiences of money changers in Nkayi, Zimbabwe</t>
  </si>
  <si>
    <t>CANADIAN JOURNAL OF AFRICAN STUDIES</t>
  </si>
  <si>
    <t>Bond notes; Zimbabwe; informal economy; fiscal crisis; rural economies; financial inclusion</t>
  </si>
  <si>
    <t>Formal and informal trade and economic enterprise in Zimbabwe have in recent years become more complex due to multi-layered modes of exchange available to the public. This article examines informal currency trade complexities in Nkayi - a district in Zimbabwe - within the context of a multi-tiered monetary system. It traces the complexities through cash, mobile money and point-of-sale transactions. Contrary to the literature on financial participation in Zimbabwe that is characterized by binaries such as inclusion/exclusion and rural/urban, I argue that financial inclusion is a complex process fraught with various price regimes and complex social economies as well as some illicit activity. While inflationary pressure and cash shortages equally typify the complexity, the mitigating factor among actors is trust, which is built on often mutually binding social networks. This trust, I argue, is a key ingredient for engagements with the government, whose past actions continue to be a source of angst.</t>
  </si>
  <si>
    <t>[Zikhali, Whitehead] Natl Univ Sci &amp; Technol, Inst Dev Studies, Bulawayo, Zimbabwe</t>
  </si>
  <si>
    <t>National University of Science &amp; Technology - Zimbabwe</t>
  </si>
  <si>
    <t>Zikhali, W (corresponding author), Natl Univ Sci &amp; Technol, Inst Dev Studies, Bulawayo, Zimbabwe.</t>
  </si>
  <si>
    <t>whitezikhali@gmail.com</t>
  </si>
  <si>
    <t>Zikhali, Whitehead/HWQ-4729-2023</t>
  </si>
  <si>
    <t>0008-3968</t>
  </si>
  <si>
    <t>1923-3051</t>
  </si>
  <si>
    <t>CAN J AFR STUDIES</t>
  </si>
  <si>
    <t>Can. J. Afr. Stud.</t>
  </si>
  <si>
    <t>10.1080/00083968.2020.1802610</t>
  </si>
  <si>
    <t>YV3PZ</t>
  </si>
  <si>
    <t>WOS:000571299200001</t>
  </si>
  <si>
    <t>Big data for (not so) small loans: technological infrastructures and the massification of fringe finance</t>
  </si>
  <si>
    <t>Big Data; financial inclusion; fringe finance; infrastructure; accumulation; indebtedness</t>
  </si>
  <si>
    <t>This article examines the evolution of the sociotechnical systems that is leading to a massive increase in the overall indebtedness of marginalized populations in the Global South. I analyze the processes through which Big Data (or alternative data) technologies are transforming the infrastructure of fringe finance, the nature of its power relations, and its capacities. The article identifies the consequences of these technological transformations on financial practices and illustrates the qualitative nature of the changes involved. I propose that while these innovations have increased the power of this market to capture value, they have also increased risks to indebted populations and the infrastructure's stability. I argue that these financial practices, enhanced by the power of Big Data, have made the infrastructure of fringe finance dangerously hermetic to careful consideration of the productive capacities of those being targeted for inclusion into the formal financial system, thereby making it potentially dysfunctional.</t>
  </si>
  <si>
    <t>[Langevin, Marie] Univ Quebec Montreal, ESG UQAM, Sch Business, Dept Strategy Social &amp; Environm Responsibil, Montreal, PQ, Canada</t>
  </si>
  <si>
    <t>University of Quebec; University of Quebec Montreal</t>
  </si>
  <si>
    <t>Langevin, M (corresponding author), Univ Quebec Montreal, Strategie Responsabilite Sociale &amp; Environm, Montreal, PQ H3C 3P8, Canada.</t>
  </si>
  <si>
    <t>Fonds de Recherche du Quebec-Societe et Culture, Bourse de recherche postdoctorale and Soutien a la recherche pour la releve professorale</t>
  </si>
  <si>
    <t>This work was supported by the Fonds de Recherche du Quebec-Societe et Culture, Bourse de recherche postdoctorale and Soutien a la recherche pour la releve professorale.</t>
  </si>
  <si>
    <t>10.1080/09692290.2019.1616597</t>
  </si>
  <si>
    <t>JUN 2019</t>
  </si>
  <si>
    <t>WOS:000476065600001</t>
  </si>
  <si>
    <t>Qureshi, S</t>
  </si>
  <si>
    <t>Qureshi, Sajda</t>
  </si>
  <si>
    <t>Why Data Matters for Development? Exploring Data Justice, Micro-Entrepreneurship, Mobile Money and Financial Inclusion</t>
  </si>
  <si>
    <t>BIG</t>
  </si>
  <si>
    <t>With the widespread extraction of very large datasets, artificial intelligence using machine learning hold the promise to address socio-economic problems such as poverty, environmental safety, food production, security and the spread of disease. These applications entail Big Data for Development in which social problems, poverty, food security and responses to climate disasters can be solved in the most efficient and effective manner. This brave new world of solving pressing problems through machine learning has several dark sides. A data divide is being created that leaves the most vulnerable populations out of the solutions being created while discriminating against those whose data is churned by obscure algorithms. Complex mathematical models together with computing algorithms produce scores that are used to evaluate the lives of the masses. These systems have scaled to enormous proportions, changing lives by affecting credit scores, job prospects and access to healthcare. The promise of fairness, transparency, cost-effectiveness and efficiency gives rise to powerful scoring algorithms that have the power to create mass devastation while discriminating against the most vulnerable. Questions arise as to: What injustices (types of injustice) are created by datafication of development? how can the injustices caused by the extraction, analysis and commoditization of data be alleviated? Who has access to and what is being done with private data? And for whose benefit or purpose is personal data being extracted? Such questions are explored through the contributions in on data justice, the use of ICTs by micro-Entrepreneurs, mobile money and financial inclusion offered through papers in this issue.</t>
  </si>
  <si>
    <t>squreshi@unomaha.edu</t>
  </si>
  <si>
    <t>Qureshi, Sajda/AAS-4877-2020</t>
  </si>
  <si>
    <t>10.1080/02681102.2020.1736820</t>
  </si>
  <si>
    <t>WOS:000527826400001</t>
  </si>
  <si>
    <t>Asongu, SA; Acha-Anyi, PN</t>
  </si>
  <si>
    <t>Asongu, Simplice A.; Acha-Anyi, Paul N.</t>
  </si>
  <si>
    <t>ICT, conflicts in financial intermediation and financial access: evidence of synergy and threshold effects</t>
  </si>
  <si>
    <t>NETNOMICS</t>
  </si>
  <si>
    <t>Allocation efficiency; Financial sector development; ICT</t>
  </si>
  <si>
    <t>UNIT-ROOT TESTS; FOREIGN DIRECT-INVESTMENT; STOCK-MARKET DEVELOPMENT; SUB-SAHARAN AFRICA; ECONOMIC-GROWTH; MOBILE BANKING; SECTOR COMPETITION; KNOWLEDGE ECONOMY; PANEL-DATA; IMPACT</t>
  </si>
  <si>
    <t>In this study we investigate the role of information and communication technology (ICT) in conflicts of financial intermediation for financial access. The empirical evidence is based on contemporary (or current values) and non-contemporary (or lagged by a year) quantile regressions in 53 African countries for the period 2004-2011. The main findings are: First, the net effect of ICT in formalization for financial activity in the banking system is consistently beneficial with positive thresholds. The fact that corresponding, unconditional and conditional effects are persistently positive is evidence of synergy or complementary effects. Second, the net effect of ICT in financial informalization for financial activity in the financial system is negative with a consistent negative threshold. Hence, the positive (negative) complementarity of ICT and financial formalization (informalization) is an increasing (decreasing) function of financial activity. Policy measures on how to leverage the synergy or complementarity between ICT and financial formalization in order to enhance financial access are discussed.</t>
  </si>
  <si>
    <t>[Asongu, Simplice A.] Univ Cape Town, Dev Finance Ctr, Grad Sch Business, Cape Town, South Africa; [Acha-Anyi, Paul N.] Tshwane Univ Technol, Private Bag X680, ZA-0001 Pretoria, South Africa</t>
  </si>
  <si>
    <t>University of Cape Town; Tshwane University of Technology</t>
  </si>
  <si>
    <t>Asongu, SA (corresponding author), Univ Cape Town, Dev Finance Ctr, Grad Sch Business, Cape Town, South Africa.</t>
  </si>
  <si>
    <t>asongusimplice@yahoo.com; acha-anyipn@tut.ac.za</t>
  </si>
  <si>
    <t>Simplice, Asongu/K-3436-2014; ACHA-ANYI, PAUL/HLW-1357-2023</t>
  </si>
  <si>
    <t>Simplice, Asongu/0000-0001-5227-5135; ACHA-ANYI, PAUL/0000-0003-1632-1717</t>
  </si>
  <si>
    <t>1385-9587</t>
  </si>
  <si>
    <t>1573-7071</t>
  </si>
  <si>
    <t>Netnomics</t>
  </si>
  <si>
    <t>10.1007/s11066-017-9119-5</t>
  </si>
  <si>
    <t>FV3BW</t>
  </si>
  <si>
    <t>WOS:000424443900002</t>
  </si>
  <si>
    <t>Chibbonta, D; Chishimba, H</t>
  </si>
  <si>
    <t>Chibbonta, Dorothy; Chishimba, Hanson</t>
  </si>
  <si>
    <t>Effects of microfinance services on the livelihoods of marketeers in Zambia: A case of Matero market in Lusaka</t>
  </si>
  <si>
    <t>Microfinance; Livelihoods; Marketers; Zambia</t>
  </si>
  <si>
    <t>Over the years, marketers in Zambia have increasingly turned to microfinance institutions (MFIs) to access financial assistance for the purpose of driving socio-economic development and alleviating poverty within their households. Recognizing the pivotal role of small and medium enterprises (SMEs) and microfinance services in fostering economic growth, the Government of Zambia has proactively established an enabling environment through various policy initiatives. Key among these are the inclusion of provisions for financial inclusion in national policy documents, such as the lapsed Seventh National Development Plan (2017-2021), the National Financial Inclusion Strategy (2017-2022), and the creation of the Ministry of Small Medium Enterprises (MSMEs) to oversee the comprehensive development of SMEs. The primary objective is to empower under-serviced economic agents such as marketers, enabling them to spur business growth and augment their income. In this article, we delve into the impact of microfinance services on the livelihoods of marketers in Zambia. To accomplish this, the study employed a robust quantitative research design, utilizing a research instrument comprising closed-ended questions. The data collected through questionnaires was subjected to meticulous analysis using descriptive statistics and regression analysis, employing the Excel package. The findings of the study revealed that several determinants influence marketers' participation in MFIs. These determinants include gender, the level of knowledge and understanding, marital status, the type of business, and the duration of business operation. Furthermore, the study reveals that marketers who engage with MFIs experience significantly improved livelihoods compared to those who do not. Access to MFI services plays a pivotal role in enhancing the overall well-being of marketers. Based on the study's insights, it is strongly recommended that MFIs continue to extend their support and management of loans by providing comprehensive education on loan utilization. Such educational initiatives, offered by MFI officers, should be implemented after clients receive their loan disbursements. By empowering marketers with knowledge and guidance on optimizing loan utilization, MFIs can significantly contribute to the sustained growth and success of marketers' businesses while simultaneously improving their livelihoods.</t>
  </si>
  <si>
    <t>[Chibbonta, Dorothy; Chishimba, Hanson] Univ Zambia, Sch Humanities &amp; Social Sci, Lusaka, Zambia</t>
  </si>
  <si>
    <t>University of Zambia</t>
  </si>
  <si>
    <t>Chishimba, H (corresponding author), Univ Zambia, Sch Humanities &amp; Social Sci, Lusaka, Zambia.</t>
  </si>
  <si>
    <t>hansonchishimba@gmail.com</t>
  </si>
  <si>
    <t>Chishimba, Hanson/0000-0001-9800-7582; Chibbonta, Dorothy/0000-0001-7047-1818</t>
  </si>
  <si>
    <t>10.1080/23311886.2023.2266922</t>
  </si>
  <si>
    <t>T8QA6</t>
  </si>
  <si>
    <t>WOS:001080563700001</t>
  </si>
  <si>
    <t>Tegambwage, AG; Kasoga, PS</t>
  </si>
  <si>
    <t>Tegambwage, Amani Gration; Kasoga, Pendo Shukrani</t>
  </si>
  <si>
    <t>The Moderation Effect of Strategic Intent in the Relationship Between Business Respect, Reciprocity, and Loan Repayment in Microfinance</t>
  </si>
  <si>
    <t>Business respect; reciprocity; strategic intent; loan repayment; microfinance</t>
  </si>
  <si>
    <t>RELATIONSHIP QUALITY; VARIANCE</t>
  </si>
  <si>
    <t>This research investigates the moderation effect of strategic intent in the relationship between business respect, reciprocity, and loan repayment (LR) in microfinance. This study uses social exchange theory to relate business respect, reciprocity, strategic intent, and LR, improving our understanding of the theory in the context of microfinance and its scope of applicability in the business-to-business (B2B) context. Data was collected using a cross-sectional design and structured questionnaires from 603 respondents, and analyzed using the multiple regression analysis technique. Findings reveal that LR is influenced by the business relationship quality dimensions of respect and reciprocity. Strategic intent moderates the relationships between business respect, reciprocity, and LR. The research was conducted in developing nation, Tanzania. Hence, it opens an opportunity for cross-cultural validation in different countries to foster generalizability. By considering reciprocity norms when deciding loan factors such as interest rates and repayment schedules, microfinance institutions (MFIs) could achieve their social goal of improving societal well-being through the financial inclusion of trusted microenterprises that can obtain loans at reasonable rates and on a consistent basis. This study offers MFIs and policymakers helpful guidance on how to boost business respect, reciprocity, strategic intent, and consequently, LR, which is essential for MFI sustainability, poverty reduction, and socio-economic development in general.</t>
  </si>
  <si>
    <t>[Tegambwage, Amani Gration; Kasoga, Pendo Shukrani] Univ Dodoma, Dodoma, Tanzania</t>
  </si>
  <si>
    <t>Kasoga, PS (corresponding author), Univ Dodoma, Dept Accounting &amp; Finance, POB 259, Dodoma, Tanzania.</t>
  </si>
  <si>
    <t>pendokasoga@gmail.com</t>
  </si>
  <si>
    <t>Kasoga, Pendo/AAJ-6700-2021; Tegambwage, Amani Gration/AID-5735-2022</t>
  </si>
  <si>
    <t>Kasoga, Pendo/0000-0001-6634-3020; Tegambwage, Amani Gration/0000-0002-9529-4712</t>
  </si>
  <si>
    <t>10.1177/21582440251367928</t>
  </si>
  <si>
    <t>6LO2K</t>
  </si>
  <si>
    <t>WOS:001556244200001</t>
  </si>
  <si>
    <t>Sultan, N; Mohamed, N; Chisunga, D; Satar, A</t>
  </si>
  <si>
    <t>Sultan, Nasir; Mohamed, Norazida; Chisunga, David; Satar, Akhbar</t>
  </si>
  <si>
    <t>The correlation of Financial Action Task Force recommendations: the perception of compliance officers concerning the deployment of third parties and Fintech for customer due diligence</t>
  </si>
  <si>
    <t>Anti-money laundering; Customer due diligence; Fintech</t>
  </si>
  <si>
    <t>MONEY; BANKS; CHALLENGES; AML; INSTITUTIONS; PERSPECTIVES; LEGISLATION; AML/CFT; RISK</t>
  </si>
  <si>
    <t>PurposeThis study aims to explore the challenges financial institutions face in deploying third parties and financial technologies to perform customer due diligence.Design/methodology/approachThis study applied a qualitative technique and interviewed 25 compliance officers from different financial institutes and their regulators.FindingsThis study found that the third-party recommendation of the Financial Action Task Force is restrictive, contradictory, time-consuming and seriously lacks standardisation. Furthermore, this recommendation restricts the use of modern Fintechs. This recommendation has posed significant challenges for the adoption of Fintechs, international banking/onboarding, digital onboarding and financial inclusion.Practical implicationsThus, revisiting the Financial Action Task Force Recommendations 17 and 15 in correlation with Recommendation 10 is suggested.Originality/valueThe Recommendation 17 is rarely discussed in details, especially in developing courtiers' context.</t>
  </si>
  <si>
    <t>[Sultan, Nasir] Univ Gujrat, Dept Management Sci, Gujrat, Pakistan; [Mohamed, Norazida] Univ Teknol MARA, Fac Accountancy, Bangi, Selangor, Malaysia; [Chisunga, David] Harare Inst Technol, Belvedere, Zimbabwe; [Satar, Akhbar] HELP Univ, Kuala Lumpur, Malaysia</t>
  </si>
  <si>
    <t>University of Gujrat; Help University</t>
  </si>
  <si>
    <t>Mohamed, N (corresponding author), Univ Teknol MARA, Fac Accountancy, Bangi, Selangor, Malaysia.</t>
  </si>
  <si>
    <t>nasir.tarar@uog.edu.pk; azida767@uitm.edu.my; dchisunga@gmail.com; akhbar.satar@gmail.com</t>
  </si>
  <si>
    <t>Sultan, Nasir/LYO-0660-2024; mohamed, norazida/AAA-5110-2021</t>
  </si>
  <si>
    <t>Sultan, Nasir/0000-0002-1124-8920;</t>
  </si>
  <si>
    <t>10.1108/JMLC-08-2024-0135</t>
  </si>
  <si>
    <t>0QZ6V</t>
  </si>
  <si>
    <t>WOS:001443060700001</t>
  </si>
  <si>
    <t>Erel, I; Liebersohn, J</t>
  </si>
  <si>
    <t>Erel, Isil; Liebersohn, Jack</t>
  </si>
  <si>
    <t>Can FinTech reduce disparities in access to finance? Evidence from the Paycheck Protection Program</t>
  </si>
  <si>
    <t>JOURNAL OF FINANCIAL ECONOMICS</t>
  </si>
  <si>
    <t>Financial technology; PPP; Coronavirus; Financial inclusion; Nonbank; Online bank</t>
  </si>
  <si>
    <t>INFORMATION; LENDERS; BANKS</t>
  </si>
  <si>
    <t>New technology promises to expand the supply of financial services to small businesses poorly served by banks. Does it succeed? We study the response of FinTech to financial ser-vices demand created by the introduction of the Paycheck Protection Program. FinTech is disproportionately used in ZIP codes with fewer bank branches, lower incomes, and more minority households, and in industries with fewer banking relationships. It is also greater in counties where the economic effects of the COVID-19 pandemic were more severe. Sub-stitution between FinTech and banks is economically small, implying that FinTech mostly expands, rather than redistributes, the supply of financial services.(c) 2022 Elsevier B.V. All rights reserved.</t>
  </si>
  <si>
    <t>[Erel, Isil] Ohio State Univ, Dept Finance, Columbus, OH 43210 USA; [Erel, Isil] NBER, Cambridge, MA 02138 USA; [Erel, Isil] ECGI, Brussels, Belgium; [Liebersohn, Jack] Univ Calif Irvine, Dept Econ, 3151 Social Sci Plaza, Irvine, CA 92617 USA</t>
  </si>
  <si>
    <t>University System of Ohio; Ohio State University; National Bureau of Economic Research; European Corporate Governance Institute; University of California System; University of California Irvine</t>
  </si>
  <si>
    <t>Liebersohn, J (corresponding author), Univ Calif Irvine, Dept Econ, 3151 Social Sci Plaza, Irvine, CA 92617 USA.</t>
  </si>
  <si>
    <t>erel@fisher.osu.edu; cjlieber@uci.edu</t>
  </si>
  <si>
    <t>0304-405X</t>
  </si>
  <si>
    <t>J FINANC ECON</t>
  </si>
  <si>
    <t>J. Financ. Econ.</t>
  </si>
  <si>
    <t>10.1016/j.jfineco.2022.05.004</t>
  </si>
  <si>
    <t>3L2XV</t>
  </si>
  <si>
    <t>WOS:000834630100003</t>
  </si>
  <si>
    <t>Guizar, I; Olivares, DG; Housni, FE</t>
  </si>
  <si>
    <t>Guizar, Isai; Gonzalez Olivares, Daniel; Ezzahra Housni, Fatima</t>
  </si>
  <si>
    <t>Participation in Formal versus Informal Credit Markets in Mexico</t>
  </si>
  <si>
    <t>CIENCIA ERGO-SUM</t>
  </si>
  <si>
    <t>Credit Choices; Financial Inclusion; Financial Services</t>
  </si>
  <si>
    <t>MICROFINANCE; ACCESS; GROWTH</t>
  </si>
  <si>
    <t>This paper identifies factors that influence the decisions to take credits from formal and from informal sources in Mexico. Employing data from the Mexican National Survey of Financial Inclusion, the econometric results reveal a set of factors that have a positive effect on the choices of formal credit, but negative in the choice of informal sources (income, education, marital status, gender, and access to insurance), another set that statistically explains only the choice of formal sources (ownership of collateral, size of the household, financial savings, and ownership of cellphones), and a variable that only influences the use of informal sources (age). The study helps to improve our understanding of why participation in the formal sector in Mexico remains low relative to its informal counterpart.</t>
  </si>
  <si>
    <t>[Guizar, Isai; Gonzalez Olivares, Daniel; Ezzahra Housni, Fatima] Univ Guadalajara, Guadalajara, Jalisco, Mexico</t>
  </si>
  <si>
    <t>Universidad de Guadalajara</t>
  </si>
  <si>
    <t>Guizar, I (corresponding author), Univ Guadalajara, Guadalajara, Jalisco, Mexico.</t>
  </si>
  <si>
    <t>isai.guizar@cucea.udg.mx; daniel.gonzalez.o@cucea.udg.mx; fatima.housni@cusur.udg.mx</t>
  </si>
  <si>
    <t>; Housni, Fatima Ezzahra/W-3949-2017</t>
  </si>
  <si>
    <t>González Olivares, Daniel/0000-0002-9052-2763; Guizar, Isai/0000-0001-8616-8848; Housni, Fatima Ezzahra/0000-0003-0660-609X</t>
  </si>
  <si>
    <t>UNIV AUTONOMA ESTADO MEXICO</t>
  </si>
  <si>
    <t>TOLUCA</t>
  </si>
  <si>
    <t>INST LITERARIO 100, TOLUCA, 50000, MEXICO</t>
  </si>
  <si>
    <t>1405-0269</t>
  </si>
  <si>
    <t>2395-8782</t>
  </si>
  <si>
    <t>CIENC ERGO-SUM</t>
  </si>
  <si>
    <t>Cienc. Ergo-Sum</t>
  </si>
  <si>
    <t>JUL-OCT</t>
  </si>
  <si>
    <t>e81</t>
  </si>
  <si>
    <t>10.30878/ces.v27n2a2</t>
  </si>
  <si>
    <t>MC8KC</t>
  </si>
  <si>
    <t>WOS:000543527600002</t>
  </si>
  <si>
    <t>Saviano, M; Nenci, L; Caputo, F</t>
  </si>
  <si>
    <t>Saviano, Marialuisa; Nenci, Luisa; Caputo, Francesco</t>
  </si>
  <si>
    <t>The financial gap for women in the MENA region: a systemic perspective</t>
  </si>
  <si>
    <t>Financial gap for women; Gender equality; MENA financial market; Sustainable finance; Systemic perspective; Women financial inclusion</t>
  </si>
  <si>
    <t>GENDER; ENTREPRENEURSHIP; MICROFINANCE; INSTITUTIONS; INCLUSION; KNOWLEDGE; POLICY; SMES</t>
  </si>
  <si>
    <t>Purpose - This paper aims to investigate women's financial inclusion as a critical element for the competitiveness of the Middle East and North Africa (MENA) market for entrepreneurship and sustainable development of the region, as MENA financial institutions' loans to women-owned SMEs tend to be significantly lower than the share of women-owned SMEs in their target markets. Causes of under-serving this market are not very well studied. Design/methodology/approach - The paper builds on an inductive approach supported by the interpretative contribution offered by the viable systems approach as methodological and interpretative lens to investigate the topic of women financial inclusion in MENA regions. Reflections herein are supported by an exploratory study on the conditions for women financial inclusion in MENA regions. Findings - The main focus of this paper is to study the financial gap that women entrepreneurs are experiencing in enlarging their businesses and/or lunching innovative projects. In accordance with this, the paper highlights the need of a more systemic approach and long-term vision to support a more extensive women financial inclusion in MENA regions. Originality/value - Financial institutions' need to understand women-owned SMEs' financial needs for innovation and growth to build new customized financial products. This paper's argument is that the dominant short-term approach to credit-granting for women, although providing support, may be inadequate to achieve a real financial inclusion, and possible causes and solutions are discussed.</t>
  </si>
  <si>
    <t>[Saviano, Marialuisa; Caputo, Francesco] Univ Salerno, Dept Pharm, Fisciano, Italy; [Nenci, Luisa] Sustain Values, Rome, Italy</t>
  </si>
  <si>
    <t>University of Salerno</t>
  </si>
  <si>
    <t>Saviano, M (corresponding author), Univ Salerno, Dept Pharm, Fisciano, Italy.</t>
  </si>
  <si>
    <t>msaviano@unisa.it</t>
  </si>
  <si>
    <t>; Saviano, Marialuisa/C-8643-2014</t>
  </si>
  <si>
    <t>Caputo, Francesco/0000-0001-9583-7222; Saviano, Marialuisa/0000-0001-7566-9639</t>
  </si>
  <si>
    <t>10.1108/GM-07-2016-0138</t>
  </si>
  <si>
    <t>EZ5RR</t>
  </si>
  <si>
    <t>WOS:000404775800003</t>
  </si>
  <si>
    <t>Hong, PYP; Shin, A; Wathen, MV; Gibbons, T</t>
  </si>
  <si>
    <t>Hong, Philip Young P.; Shin, Alanna; Wathen, Maria V. V.; Gibbons, Theresa</t>
  </si>
  <si>
    <t>Transforming Impossible into Possible (TIP) for Financial Capability: Application of Practice-Based Program Theory and Measures in Intervention Design</t>
  </si>
  <si>
    <t>program theory; psychological self-sufficiency; financial capability; financial hope; perceived financial barriers; social intervention; Transforming Impossible into Possible (TIP)</t>
  </si>
  <si>
    <t>PSYCHOLOGICAL SELF-SUFFICIENCY; LITERACY; VALIDATION; PREVENTION; KNOWLEDGE; EFFICACY</t>
  </si>
  <si>
    <t>Purpose: Financial knowledge often does not translate into financial well-being. This study looks at how knowledge might be converted to well-being for people living in low-income environments, based on a theory called Financial PSS. Methods: The study tests the validity of the two scales that make up Financial PSS: Perceived Financial Barriers and Financial Hope. Then it examines how these measures along with an intervention measure called TIP are associated with financial capability. Results: Results validated the Perceived Financial Barrier Scale and Financial Hope Scale. Next, the study found that the Perceived Financial Barriers Scale and the Financial Hope Scale are associated with financial capability, as is the TIP score. Conclusions: The study concludes that Financial PSS as a newly applied practice-based theory should be further tested. Workforce providers could integrate financial education and empowerment-based F-PSS process models and see a positive impact on their placement and retention outcomes.</t>
  </si>
  <si>
    <t>[Hong, Philip Young P.] Univ Georgia, Sch Social Work, 279 Williams St, Athens, GA 30602 USA; [Shin, Alanna; Wathen, Maria V. V.] Loyola Univ Chicago, Sch Social Work, Chicago, IL USA; [Gibbons, Theresa] Univ Illinois, Grad Coll, Chicago, IL USA</t>
  </si>
  <si>
    <t>University System of Georgia; University of Georgia; Loyola University Chicago; University of Illinois System; University of Illinois Chicago; University of Illinois Chicago Hospital</t>
  </si>
  <si>
    <t>Hong, PYP (corresponding author), Univ Georgia, Sch Social Work, 279 Williams St, Athens, GA 30602 USA.</t>
  </si>
  <si>
    <t>pyphong@uga.edu</t>
  </si>
  <si>
    <t>Wathen, Maria V/0000-0003-3771-3162; Hong, Philip Young P/0000-0003-3346-2917</t>
  </si>
  <si>
    <t>State of Illinois Department of Commerce &amp; Economic Opportunity's Office of Employment Training; Korea Foundation; Lloyd A. Fry Foundation</t>
  </si>
  <si>
    <t>The authors disclosed receipt of the following financial support for the research, authorship, and/or publication of this article: This work was supported by the State of Illinois Department of Commerce &amp; Economic Opportunity's Office of Employment &amp; Training; Korea Foundation; and Lloyd A. Fry Foundation.</t>
  </si>
  <si>
    <t>10.1177/10497315231179643</t>
  </si>
  <si>
    <t>J5VU0</t>
  </si>
  <si>
    <t>WOS:001008327000001</t>
  </si>
  <si>
    <t>Georgieva, V; Nitani, M; Riding, A</t>
  </si>
  <si>
    <t>Georgieva, Vanya; Nitani, Miwako; Riding, Allan</t>
  </si>
  <si>
    <t>Budgeting and Gender: Employees and Self-Employed</t>
  </si>
  <si>
    <t>budgeting; Canadian Financial Capability Survey; gender; self-employment; decision-making; financial knowledge</t>
  </si>
  <si>
    <t>BEHAVIORAL INTENTIONS; FIRM AGE; OPPORTUNITIES; LITERACY</t>
  </si>
  <si>
    <t>Budgeting, an exemplar of good financial practices, informs financial decisions. This research employs the Theory of Reasoned Action to identify potential antecedents of individuals' decisions to maintain a budget. Analysis of the 2014 Canadian Financial Capability Survey (CFCS) shows that the likelihood of budgeting depends on attitudes toward finance, reliance on professional advice, financial knowledge, and confidence. Women are relatively more likely to budget than men, but self-employed individuals are no more likely to have a budget than paid employees. The latter result is consistent with research findings of high rates of failure among young enterprises. The need for yet greater financial education is implied.</t>
  </si>
  <si>
    <t>[Georgieva, Vanya] Univ Toronto, Dept Econ, Toronto, ON, Canada; [Nitani, Miwako; Riding, Allan] Univ Ottawa, Telfer Sch Management, Ottawa, ON, Canada</t>
  </si>
  <si>
    <t>University of Toronto; University of Ottawa</t>
  </si>
  <si>
    <t>Riding, A (corresponding author), Univ Ottawa, Telfer Sch Management, Ottawa, ON, Canada.</t>
  </si>
  <si>
    <t>riding@telfer.uottawa.ca</t>
  </si>
  <si>
    <t>Nitani, Miwako/0000-0002-4574-0737; Riding, Allan/0000-0003-3982-4202</t>
  </si>
  <si>
    <t>10.1111/fcsr.12398</t>
  </si>
  <si>
    <t>WOS:000643426300001</t>
  </si>
  <si>
    <t>Rasticová, M; Versal, N; Prykaziuk, N; Balytska, M; Dudnyk, Y</t>
  </si>
  <si>
    <t>Rasticova, Martina; Versal, Nataliia; Prykaziuk, Nataliia; Balytska, Mariia; Dudnyk, Yana</t>
  </si>
  <si>
    <t>DIGITAL BANKING AND (IN)EQUALITY: A SYSTEMATIC OVERVIEW</t>
  </si>
  <si>
    <t>online banking; internet banking; gender divide; age divide; income divide; financial literacy; financial inclusion</t>
  </si>
  <si>
    <t>INTERNET USE; ADOPTION; DIVIDE; GENDER; ADULTS</t>
  </si>
  <si>
    <t>The rapid expansion of digital banking has revolutionised financial services globally and stipulated financial inclusion. Still, debates remain about the (in)equalities that digital banking can contribute to. Its impact varies significantly among different social groups, which is why this review will show how digital banking contributes to inequalities across them and what policy responses can be used to overcome challenges. The study employs a systematic literature review of 27 articles from 1999 to September 2023. Firstly, the review highlights a significant research gap in digital banking and inequalities in low-income countries. Secondly, there is an obvious shift in the research time from high-income countries to upper-middle and lower-middle countries, which may indicate that the problem of inequality under digital banking in high-income countries is not under urgent question. However, the issue of inequality remains relevant in upper-middle and lower-middle countries despite the previous experience gained in high-income countries, which may indicate gaps in the implementation of policy decisions. Thirdly, the most attention in research papers to inequalities is paid to age (74.1%), gender (66.7%), education (40.7%), and income (25.9%). The age gap, in particular, remains pronounced, with the elderly being disproportionately affected. The analysed research highlights that policies place significant responsibility on banks, but there is a pressing need for collaborative efforts involving the state, financial regulators, and banks, especially with an emphasis on training initiatives to bridge gaps in digital financial literacy.</t>
  </si>
  <si>
    <t>[Rasticova, Martina; Versal, Nataliia] Mendel Univ Brno, Dept Management, Brno, Czech Republic; [Versal, Nataliia; Prykaziuk, Nataliia; Balytska, Mariia] Taras Shevchenko Natl Univ Kyiv, Dept Insurance Banking &amp; Risk Management, Kyiv, Ukraine; [Dudnyk, Yana] Taras Shevchenko Natl Univ Kyiv, Kyiv, Ukraine</t>
  </si>
  <si>
    <t>Mendel University in Brno; Ministry of Education &amp; Science of Ukraine; Taras Shevchenko National University of Kyiv; Ministry of Education &amp; Science of Ukraine; Taras Shevchenko National University of Kyiv</t>
  </si>
  <si>
    <t>Balytska, M (corresponding author), Taras Shevchenko Natl Univ Kyiv, Dept Insurance Banking &amp; Risk Management, Kyiv, Ukraine.</t>
  </si>
  <si>
    <t>m.balytskaknu@gmail.com</t>
  </si>
  <si>
    <t>Balytska, Mariia/Y-3412-2018; Versal, Nataliia/V-3456-2017; Rašticová, Martina/L-9230-2015; Prykaziuk, Nataliia/Y-1624-2018</t>
  </si>
  <si>
    <t>Balytska, Mariia/0000-0002-7129-4232; Versal, Nataliia/0000-0002-8801-6351; Rašticová, Martina/0000-0001-9322-0763;</t>
  </si>
  <si>
    <t>Czech Development Agency; Ministry of Foreign Affairs of the Czech Republic; [24-PKVV-UM-002]</t>
  </si>
  <si>
    <t>Czech Development Agency; Ministry of Foreign Affairs of the Czech Republic;</t>
  </si>
  <si>
    <t>This publication is funded through project 24-PKVV-UM-002, Strengthening the Resilience of Universities: Czech-Ukrainian Partnership for Digital Education, Research Cooperation, and Diversity Management. The Czech Development Agency and the Ministry of Foreign Affairs of the Czech Republic support the project under the initiative Capacity Building of Public Universities in Ukraine 2024.</t>
  </si>
  <si>
    <t>10.55643/fcaptp.1.60.2025.4657</t>
  </si>
  <si>
    <t>Z1E6P</t>
  </si>
  <si>
    <t>WOS:001436428000003</t>
  </si>
  <si>
    <t>Phalatse, T; Arthur, J; Rensleigh, C</t>
  </si>
  <si>
    <t>Phalatse, Tiisetso; Arthur, Joel; Rensleigh, Chris</t>
  </si>
  <si>
    <t>The use of FinTech products and services by SMEs in an underserved community</t>
  </si>
  <si>
    <t>FinTech; information services; SMEs; financial inclusion; underserved communities; township economies</t>
  </si>
  <si>
    <t>Background: Financial technology (FinTech), integral to any economy, transcends banking, sparking innovation and accessibility. Its global impact facilitates financial market globalisation. But, for underserved and underdeveloped communities, FinTech offers more: a path to financial inclusion and the removal of historical barriers. Objectives: This research aims to explore the current FinTech adoption landscape and barriers to financial inclusion for small and micro enterprises (SMEs) in underserved communities like the townships of Soweto, South Africa. Method: The study explores the pivotal role of research in advancing knowledge. Employing a pragmatic approach and a deductive reasoning framework, the study focuses on FinTech adoption challenges among SMEs in underserved communities, utilising an online survey design for data collection. Results: Insights around FinTech adoption by Soweto SMEs are revealed, discussing challenges, trust dynamics, and operational implications. It explores the transformative role of FinTech in township economies. Conclusion: This study explored FinTech adoption in underserved communities, emphasising tailored solutions, financial inclusion, evolving acceptance, and the need for financial education campaigns. Contribution: This research contributes insights that can facilitate the achievement of critical mass for FinTech products and services in South African townships, fostering financial emancipation in underserved communities.</t>
  </si>
  <si>
    <t>[Phalatse, Tiisetso; Arthur, Joel; Rensleigh, Chris] Univ Johannesburg, Coll Business &amp; Econ, Dept Informat &amp; Knowledge Management, Johannesburg, South Africa</t>
  </si>
  <si>
    <t>Arthur, J (corresponding author), Univ Johannesburg, Coll Business &amp; Econ, Dept Informat &amp; Knowledge Management, Johannesburg, South Africa.</t>
  </si>
  <si>
    <t>jarthur@uj.ac.za</t>
  </si>
  <si>
    <t>a2047</t>
  </si>
  <si>
    <t>10.4102/sajim.v27i1.2047</t>
  </si>
  <si>
    <t>9LU6F</t>
  </si>
  <si>
    <t>WOS:001609415300001</t>
  </si>
  <si>
    <t>Sultan, N; Hussain, D; Mohamed, N; Latif, HM; Passas, N</t>
  </si>
  <si>
    <t>Sultan, Nasir; Hussain, Dildar; Mohamed, Norazida; Latif, Hafizah Mohd; Passas, Nikos</t>
  </si>
  <si>
    <t>Jurisdictional challenges in the implementation of customer due diligence in financial institutions of developing countries</t>
  </si>
  <si>
    <t>Anti-money laundering; Customer due diligence; Challenges; Financial institutes</t>
  </si>
  <si>
    <t>QUALITATIVE RESEARCH; MONEY; BANKS; TRUSTWORTHINESS; PERSPECTIVES; FRAMEWORK; AML/CFT; CRIME</t>
  </si>
  <si>
    <t>PurposeThe purpose of this study is to investigate the jurisdictional challenges faced by Pakistani financial institutions (FIs) while implementing robust anti-money laundering/counter financing of terrorism regulations concerning customer due diligence.Design/methodology/approachThis study adopted a semi-structured interview technique - the informants include compliance officers from FIs, their regulators and law enforcement agencies.FindingsBecause of its unique geopolitical location and circumstances, including geographical, political, economic, social and cultural, Pakistan faces several challenges. For example, border management and hostility from neighbours coupled with smuggling and trafficking created a challenging environment to implement anti-money laundering/counter financing of terrorism measures. Additionally, the undocumented economy and the massive availability of alternative financial channels made it more difficult. Further, distrust of the public in the financial and public sectors, boosted by uneven tax policies, impedes the implementation. Furthermore, concentration and distrust of FIs resulted in financial exclusion.Originality/valueThere are rare studies on this topic specifically in developing jurisdictions context.</t>
  </si>
  <si>
    <t>[Sultan, Nasir] Univ Gujrat, Dept Management Sci, Gujrat, Pakistan; [Hussain, Dildar] Rennes Sch Business, Rennes, France; [Mohamed, Norazida; Latif, Hafizah Mohd] Univ Teknol MARA, Fak Alam Bina, Permatang Pauh, Malaysia; [Passas, Nikos] Northeastern Univ, Criminol &amp; Criminal Justice, Boston, MA 02115 USA</t>
  </si>
  <si>
    <t>University of Gujrat; Universite de Rennes; Universiti Teknologi MARA; Northeastern University</t>
  </si>
  <si>
    <t>Mohamed, N (corresponding author), Univ Teknol MARA, Fak Alam Bina, Permatang Pauh, Malaysia.</t>
  </si>
  <si>
    <t>nasir.tarar@uog.edu.pk; dildar.hussain@rennes-sb.com; azida767@uitm.edu.my; hafiz017@uitm.edu.my; n.passas@northeastern.edu</t>
  </si>
  <si>
    <t>mohamed, norazida/AAA-5110-2021; Sultan, Nasir/LYO-0660-2024</t>
  </si>
  <si>
    <t>10.1108/QRFM-09-2024-0282</t>
  </si>
  <si>
    <t>7TB9P</t>
  </si>
  <si>
    <t>WOS:001579007900001</t>
  </si>
  <si>
    <t>Rodima-Taylor, D</t>
  </si>
  <si>
    <t>Rodima-Taylor, Daivi</t>
  </si>
  <si>
    <t>Platformizing Ubuntu? FinTech, Inclusion, and Mutual Help in Africa</t>
  </si>
  <si>
    <t>FinTech; platform economy; mobile money; mutual help groups; financial inclusion; Africa</t>
  </si>
  <si>
    <t>SELF-HELP; CREDIT; KENYA</t>
  </si>
  <si>
    <t>The article explores the ways in which FinTech is constituted as a platform economy in two African countries, Kenya and South Africa. Investigating the intersection of FinTech with the social economies of African mutual help groups, it situates the evolvement of such groups in chronic instabilities shaped by the extractive legacies of colonialism and neoliberal restructuring. Seeking to contribute to wider debates about FinTech-mediated financial inclusion, the article contends that FinTech as a political economy does not simply formalize monetary and financial relations. Instead, it works explicitly at the intersection of formal and informal, by combining old and new, digital and non-digital, inanimate and peopled infrastructures. The paper studies how these sociotechnical assemblages are shaped by colonial legacies, transforming financial relations while carrying forward inequalities. It argues that the peculiar constellation of private capital and financial technology around digital platforms seeks to profit from these social networks that are often seen by FinTech actors as driven by various local versions of Ubuntu, the idea of human interdependence rooted in humanist African philosophy. The article makes novel contributions to several literatures, including those of rotating saving and credit associations, financial inclusion, and formalization.</t>
  </si>
  <si>
    <t>[Rodima-Taylor, Daivi] Boston Univ, African Studies Ctr, Pardee Sch Global Studies, 232 Bay State Rd, Boston, MA 02215 USA</t>
  </si>
  <si>
    <t>Rodima-Taylor, D (corresponding author), Boston Univ, African Studies Ctr, Pardee Sch Global Studies, 232 Bay State Rd, Boston, MA 02215 USA.</t>
  </si>
  <si>
    <t>10.1080/17530350.2022.2040569</t>
  </si>
  <si>
    <t>WOS:000780960300001</t>
  </si>
  <si>
    <t>Detthamrong, U; Nguyen, LT; Chansanam, W</t>
  </si>
  <si>
    <t>Detthamrong, Umawadee; Nguyen, Lan Thi; Chansanam, Wirapong</t>
  </si>
  <si>
    <t>Leadership and Group Management: Key Success Factors for Microfinance Institutions in Chaiyaphum Province, Thailand</t>
  </si>
  <si>
    <t>microfinance institutions; leadership; group management; key success factors; sustainability; Thailand</t>
  </si>
  <si>
    <t>CAPITAL STRUCTURE; PERFORMANCE; GOVERNANCE; LESSONS</t>
  </si>
  <si>
    <t>Microfinance institutions (MFIs) are critical in promoting financial inclusion and socio-economic development, particularly in marginalized regions. The success and effectiveness of these institutions heavily rely on leadership and group management. This study examines the relationship between leadership, participation, group management, morals, and key success factors for MFIs in Chaiyaphum, Thailand. A quantitative study used a questionnaire to collect data from 396 MFIs. The study revealed a substantial positive correlation between leadership and group management and key success factors. Notably, leadership exhibited the strongest correlation among the variables analyzed. This implies that effective leadership practices and efficient group management significantly contribute to achieving key success factors in microfinance institutions. This study also developed a predictive equation that demonstrated a remarkable level of accuracy in predicting key success factors for MFIs. The equation accurately captured and predicted the interplay between the identified factors and the key success factors for microfinance institutions. The findings highlight the critical importance of leadership and group management in driving the key success factors for MFIs in Chaiyaphum. It underscores the significance of strong leadership capabilities and the implementation of effective group management strategies to enhance the overall performance and sustainability of MFIs. This study also has practical implications for developing and managing MFIs in Chaiyaphum and beyond. By leveraging the findings of this study, policymakers, practitioners, and stakeholders can gain valuable insights into the factors that contribute to the success of microfinance institutions and make informed decisions to support their growth and impact.</t>
  </si>
  <si>
    <t>[Detthamrong, Umawadee] Chaiyaphum Rajabhat Univ, Fac Business Adm, Dept Business &amp; Innovat Management, Chaiyaphum 36000, Thailand; [Nguyen, Lan Thi; Chansanam, Wirapong] Khon Kaen Univ, Fac Humanities &amp; Social Sci, Dept Informat Sci, Khon Kaen 40002, Thailand</t>
  </si>
  <si>
    <t>Chaiyaphum Rajabhat University; Khon Kaen University</t>
  </si>
  <si>
    <t>Chansanam, W (corresponding author), Khon Kaen Univ, Fac Humanities &amp; Social Sci, Dept Informat Sci, Khon Kaen 40002, Thailand.</t>
  </si>
  <si>
    <t>umawadee.d@cpru.ac.th; nguyenth@kku.ac.th; wirach@kku.ac.th</t>
  </si>
  <si>
    <t>Chansanam, Wirapong/AAT-2952-2020</t>
  </si>
  <si>
    <t>Chansanam, Wirapong/0000-0001-5546-8485</t>
  </si>
  <si>
    <t>Chaiyaphum Rajabhat University [CPRU-2561]</t>
  </si>
  <si>
    <t>Chaiyaphum Rajabhat University</t>
  </si>
  <si>
    <t>This research was funded by the research fund from the Chaiyaphum Rajabhat University, grant number CPRU-2561.</t>
  </si>
  <si>
    <t>10.3390/su151411192</t>
  </si>
  <si>
    <t>N4KL0</t>
  </si>
  <si>
    <t>WOS:001036719100001</t>
  </si>
  <si>
    <t>Susan, EB; Matilda, AB; Natu, MM</t>
  </si>
  <si>
    <t>Susan, Enyang Besong; Matilda, Agbortarh Besong; Natu, Manases Mbengwor</t>
  </si>
  <si>
    <t>Examining the nexus between governance and financial inclusion in the Nordic-Baltic region: Bank stability as a moderator</t>
  </si>
  <si>
    <t>Financial inclusion; Good governance; Bank stability; Nordic-Baltic region</t>
  </si>
  <si>
    <t>SUPERVISION; LITERACY; ACCESS; EU</t>
  </si>
  <si>
    <t>To attain sustainable development, a pertinent question that needs to be answered is whether good governance leads to financial inclusion (FI) and whether bank stability matters. This study examines how financial stability modulates the link between governance and FI in the NordicBaltic region between 2004 and 2021. Using a mixed effect model, we observed a positive causal relationship between governance and FI and bank stability modulate this causality. These findings are robust to alternative assumptions and model specifications. Interestingly, we found that good governance helps foster economic growth and social equality. The study further highlights the need for digital financial education to overcome the phobia of digital products as a priority policy agenda. Overall, this finding supports arguments in the literature that for FI to be sustainable, inequality should be low as income levels and well-being increase.</t>
  </si>
  <si>
    <t>[Susan, Enyang Besong] Shenzhen Univ, Coll Management, Shenzhen, Peoples R China; [Susan, Enyang Besong] Univ Buea, Dept Econ &amp; Management, POB 63, Buea, Cameroon; [Matilda, Agbortarh Besong] Univ Buea, Dept Sociol &amp; Anthropol, POB 63, Buea, Cameroon; [Natu, Manases Mbengwor] Univ Buea, Dept Law, POB 63, Buea, Cameroon</t>
  </si>
  <si>
    <t>Susan, EB (corresponding author), Shenzhen Univ, Coll Management, Shenzhen, Peoples R China.</t>
  </si>
  <si>
    <t>susanenyang@gmail.com</t>
  </si>
  <si>
    <t>Susan, Enyang Besong/ADQ-3657-2022</t>
  </si>
  <si>
    <t>Susan, Enyang Besong/0000-0002-2283-276X</t>
  </si>
  <si>
    <t>e34227</t>
  </si>
  <si>
    <t>10.1016/j.heliyon.2024.e34227</t>
  </si>
  <si>
    <t>YE8Q0</t>
  </si>
  <si>
    <t>WOS:001266904100001</t>
  </si>
  <si>
    <t>Peña, LDD; Robles, RD; Sosa, FAP; Sauza, RM</t>
  </si>
  <si>
    <t>Pena, Luz del Carmen Diaz; Robles, Raymundo Diaz; Sosa, Felipe Abelardo Perez; Sauza, Regina Medina</t>
  </si>
  <si>
    <t>The Service-Dominant Logic as driver of financial inclusion in digital payments sector: The case of E-fectivo</t>
  </si>
  <si>
    <t>Digital financial services; digital payments; financial inclusi &amp; oacute;n; Service-Dominant Logic</t>
  </si>
  <si>
    <t>Despite the benefits of financial inclusion through digital payments, many entrepreneurs in Mexico perceive more obstacles than advantages when joining the payments network. By analyzing the case of E-fectivo, a technological solutions firm that offers financial products and services, this study aims to understand how digital payments contribute to financial inclusion and if a Service-Dominant Logic (SDL) incentivizes a wider adoption of them. To do so, the study was divided into three phases: firstly, the application of a questionnaire took place in Cuetzalan, M &amp; eacute;xico within five dimensions: 1) financial inclusion, 2) user experience, 3) personalization, 4) relationship and 5) financial education. Secondly, a graph analysis was made to analyze the percentage and values of respondents that comply with the elements of the SDL. Finally, a statistical and correlation analysis was made to confirm the research questions and adjustment of the model. We found that, even when the use of digital technologies is common and easy in Mexico, that does not guarantee confidence in digital payment services. The limitation of the study is that it considers only rural and semi-rural regions.</t>
  </si>
  <si>
    <t>[Pena, Luz del Carmen Diaz; Robles, Raymundo Diaz; Sosa, Felipe Abelardo Perez] Tecnol Monterrey, Monterrey, Mexico; [Sauza, Regina Medina] Univ Valle Mexico, Mexico City, Mexico</t>
  </si>
  <si>
    <t>Tecnologico de Monterrey; Universidade del Valle de Mexico</t>
  </si>
  <si>
    <t>Peña, LDD (corresponding author), Tecnol Monterrey, Monterrey, Mexico.</t>
  </si>
  <si>
    <t>luzdiazp@tec.mx</t>
  </si>
  <si>
    <t>Pérez Sosa, Felipe Abelardo/AAC-3809-2022</t>
  </si>
  <si>
    <t>Pérez Sosa, Felipe Abelardo/0000-0002-0631-9106</t>
  </si>
  <si>
    <t>e1025</t>
  </si>
  <si>
    <t>10.21919/remef.v20i4.1025</t>
  </si>
  <si>
    <t>WOS:001635601000007</t>
  </si>
  <si>
    <t>Nsiah, AY; Tweneboah, G</t>
  </si>
  <si>
    <t>Nsiah, Anthony Yaw; Tweneboah, George</t>
  </si>
  <si>
    <t>Threshold Effect of Financial Inclusion on Poverty Reduction in Africa: Does institutional quality play a role?</t>
  </si>
  <si>
    <t>Financial inclusion; poverty reduction; Africa; institutional quality; threshold level</t>
  </si>
  <si>
    <t>ECONOMIC-GROWTH; EMPIRICAL-EVIDENCE; INEQUALITY; IMPACT; POLICY; ALLEVIATION; INFLATION; DYNAMICS</t>
  </si>
  <si>
    <t>In Africa, poverty levels are still very high, especially with the advent of the COVID-19 pandemic, despite efforts by governments and development partners to address it. Financial inclusion has been identified as an important concept in fighting poverty due to its ability to increase the income level of households. This study sought to estimate the threshold level at which financial inclusion, aided by strong institutions, will lead to poverty reduction in Africa, using Hansen's threshold estimation method, covering a period of 2004-2020. The Hansen threshold estimation method uses an endogenous approach to identify threshold values, which eliminates deterministic process by using a systematic approach, as compared to the linear methods of sample-splitting of threshold-level specifications by other methods. This therefore makes the Hansen threshold estimation method robust in threshold estimations compared to other methods. The study found double threshold values of 0.0534 and 0.341, indicating that a financial inclusion value below 0.0534 would increase household consumption expenditure, leading to poverty reduction. However, a threshold value between 0.0534 and 0.3141 has a negative impact on poverty reduction. Furthermore, beyond a threshold value of 0.3141, financial inclusion will improve household consumption and as such reduce poverty in Africa. The study also established a threshold value of institutional quality index of -1.6325, indicating that below that institutional quality index, financial inclusion will have a negative impact on household consumption as well as poverty reduction in Africa. The results further indicated that dependency ratio, gross national income, interest rate, inflation, education, and government expenditure contribute significantly to poverty reduction in Africa. It is recommended that development partners, central banks and governments in the region should consciously develop and implement financial literacy policies, with the collaboration of all financial institutions that are aimed at promoting financial inclusion due to its ability to end poverty. Financial inclusion has been accepted globally to be the means to end global poverty due to its ability to ensure growth in the income of households. Africa is one of the poorest continents in the world, indicating, among others, that there is a low financial inclusion level in the continent. The relationship between financial inclusion and poverty reduction has been inconclusively established in the literature. Most importantly, the establishment of the nonlinear relationship between the financial inclusion and poverty reduction and estimation of the exact level of financial inclusion that will trigger poverty reduction are all missing in the literature. There is also the need to interrogate the level at which financial barriers will hurt the poverty reduction efforts. To handle these concerns, this study estimates the threshold level at which financial inclusion will lead to poverty reduction as well as the threshold level at financial barriers will prevent one from participating in the financial sector. In all of these, the moderating role institutional quality plays in the financial inclusion and poverty reduction drive was also investigated. It was established in the study that there exists a double threshold level at which financial inclusion, moderated by strong institutions, will stimulate poverty reduction in Africa as well as a single threshold level at which financial barriers will hinder one from participating in the financial sector and the poverty reduction efforts. In view of the findings, the study stated some policy recommendations aimed at improving financial inclusion to stimulate poverty reduction in Africa.</t>
  </si>
  <si>
    <t>[Nsiah, Anthony Yaw; Tweneboah, George] Bank Ghana, Other Financial Inst Supervis, Accra, Ghana; [Tweneboah, George] Univ Witwatersrand, Grad Sch Business Adm, Johannesburg, South Africa</t>
  </si>
  <si>
    <t>Nsiah, AY (corresponding author), Bank Ghana, Other Financial Inst Supervis, Accra, Ghana.</t>
  </si>
  <si>
    <t>anthony.yaw@yahoo.com</t>
  </si>
  <si>
    <t>Tweneboah, George/AAN-8615-2020</t>
  </si>
  <si>
    <t>Tweneboah, George/0000-0001-7992-7340</t>
  </si>
  <si>
    <t>10.1080/15228916.2024.2344136</t>
  </si>
  <si>
    <t>1TM2A</t>
  </si>
  <si>
    <t>WOS:001206913000001</t>
  </si>
  <si>
    <t>Sethy, SK; Mir, TA; Gopinathan, R; Joshi, DPP</t>
  </si>
  <si>
    <t>Sethy, Susanta Kumar; Mir, Tariq Ahmad; Gopinathan, R.; Joshi, D. P. Priyadarshi</t>
  </si>
  <si>
    <t>Exploring the socio-economic attributes of financial inclusion in India: a decomposition analysis</t>
  </si>
  <si>
    <t>Financial inclusion; Fairlie decomposition; Financial institution; Unified payment interface; Financial services</t>
  </si>
  <si>
    <t>GENDER; ACCESS; GROWTH; WOMEN</t>
  </si>
  <si>
    <t>PurposeThis paper examines India's socio-economic attributes and different financial dimensions of financial inclusion (FI).Design/methodology/approachThe paper uses a principal component analysis (PCA) to build indexes related to financial dimensions. It applies the logistics regression model and the Fairlie decomposition method to determine India's socio-economic and financial characteristics of FI.FindingsBased on the logistic regression, socio-economic factors like age, gender, marital status, level of education and religion have an impact on FI. The use of financial institutions has positively contributed to the probability of FI, while the low proximity of financial service providers retards the process of FI. Fairlie decomposition concludes regional disparity and gender disparity in FI; however, the rural-urban gap in FI is not captured by the variables included in the study. The main reasons for the discrepancy are lack of education, financial literacy, the proximity of financial service providers and lack of financial institutions.Originality/valueThis paper makes two important contributions: first, it presents a micro-level analysis of FI across the socio-demographic strata of India, and second, it demonstrates the regional, rural-urban and gender disparity in FI in India.</t>
  </si>
  <si>
    <t>[Sethy, Susanta Kumar] Rajendra Univ, Dept Econ, Balangir, India; [Mir, Tariq Ahmad; Gopinathan, R.] Shri Mata Vaishno Devi Univ, Sch Econ, Katra, India; [Joshi, D. P. Priyadarshi] Gangadhar Meher Univ, Sch Econ, Sambalpur, India</t>
  </si>
  <si>
    <t>susanthu2010@gmail.com; tariqmir945@gmail.com; gopinathan.r@smvdu.ac.in; dppriyadarshi.joshi@gmail.com</t>
  </si>
  <si>
    <t>; Gopinathan, R/KBQ-3462-2024; Joshi, D P Priyadarshi/ADO-3931-2022</t>
  </si>
  <si>
    <t>Mir, Tariq/0000-0003-2178-9461; Gopinathan, R/0000-0002-5238-2501; Joshi, D P Priyadarshi/0000-0001-9512-6332</t>
  </si>
  <si>
    <t>10.1108/IJSE-08-2021-0451</t>
  </si>
  <si>
    <t>L2MT3</t>
  </si>
  <si>
    <t>WOS:000931921500001</t>
  </si>
  <si>
    <t>Rooney, G; Loibl, C</t>
  </si>
  <si>
    <t>Rooney, George; Loibl, Cazilia</t>
  </si>
  <si>
    <t>Scarcity mindset as a predictor of cryptocurrency investments</t>
  </si>
  <si>
    <t>Scarcity mindset; Cryptocurrency; Financial literacy; Risk taking</t>
  </si>
  <si>
    <t>LEVEL</t>
  </si>
  <si>
    <t>The often lottery-like, speculative process of investing in cryptocurrency may be particularly interesting to investors with a scarcity mindset because the prospect of large gains can be attractive when financial resources are considered to be inadequate to satisfy needs or wants. Data from the National Financial Capability Study for 2021 (n = 2,364) and 2018 (n = 1634) confirm a direct and positive association between a scarcity mindset and cryptocurrency investing when established predictors of investment behavior are controlled. The role of scarcity mindset also holds for other risky investments. The study extends the understanding of behavioral mechanisms that explain risky financial decisions.</t>
  </si>
  <si>
    <t>[Rooney, George; Loibl, Cazilia] Ohio State Univ, Dept Human Sci, 1787 Neil Ave, Columbus, OH 43210 USA</t>
  </si>
  <si>
    <t>Loibl, C (corresponding author), Ohio State Univ, Dept Human Sci, 1787 Neil Ave, Columbus, OH 43210 USA.</t>
  </si>
  <si>
    <t>rooney.60@osu.edu; loibl.3@osu.edu</t>
  </si>
  <si>
    <t>10.1016/j.joep.2025.102867</t>
  </si>
  <si>
    <t>U3210</t>
  </si>
  <si>
    <t>WOS:001638482500001</t>
  </si>
  <si>
    <t>Goel, V</t>
  </si>
  <si>
    <t>Goel, Vishal</t>
  </si>
  <si>
    <t>An Empirical Assessment of Microfinance and its Associated Socio-Economic Development</t>
  </si>
  <si>
    <t>STUDIA UNIVERSITATIS VASILE GOLDIS ARAD SERIA STIINTE ECONOMICE</t>
  </si>
  <si>
    <t>MFI-Microfinance institutions; Jabalpur; social development; economic condition financial services</t>
  </si>
  <si>
    <t>Microfinance institutions (MFIs) provide support for the sustainability of livelihood and financial inclusion through social development. Micro-enterprises helps in empowering the communities especially marginalized section worldwide. The MFIs attempt to transform the lives of poor people, through different interventions. It revolved around the social development of marginalized people. In recent decades, microfinance played a vital role in alleviating poverty and involved empowering low-income earners socially and economically. The present study intended to highlight the role of MFIs located in Jabalpur (Madhya Pradesh) in enhancing the social and economic status of beneficiaries. This study also acknowledges the significance of MFIs in eradicating poverty, through financial services. In this research, questionnaire responses were gathered and analyzed from 150 beneficiaries of three MFIs (Credit Access Grameen, ESAF, and Fusion Micro-finance) in Jabalpur. The exploratory data analysis reveals diverse findings, regarding the impact of microfinance on the socio-economic conditions of beneficiaries through improving their savings, supporting the employment generation, and as a whole improving life standards as well as eradicating poverty. Alternatively, MFI programs also assist beneficiaries in employment generation, to a certain extent. The conclusion of the research prioritizes that MFI programs ought to be accelerated more by the Government through different schemes and can be easily accessed to even remote areas for economic expansion and social development of low-privileged people.</t>
  </si>
  <si>
    <t>[Goel, Vishal] Swarrnim Startup &amp; Innovat Univ, Dept Innovat &amp; Entrepreneurship, Gandhingar, India</t>
  </si>
  <si>
    <t>Goel, V (corresponding author), Swarrnim Startup &amp; Innovat Univ, Dept Innovat &amp; Entrepreneurship, Gandhingar, India.</t>
  </si>
  <si>
    <t>vishal.goel76@gmail.com</t>
  </si>
  <si>
    <t>Goel, Vishal/HQZ-7633-2023</t>
  </si>
  <si>
    <t>1584-2339</t>
  </si>
  <si>
    <t>2285-3065</t>
  </si>
  <si>
    <t>STUD U VASILE GOL EC</t>
  </si>
  <si>
    <t>Stud. Univ. Vasile Goldis Arad Seria Stiinte Economice</t>
  </si>
  <si>
    <t>10.2478/sues-2024-0010</t>
  </si>
  <si>
    <t>ON4C4</t>
  </si>
  <si>
    <t>WOS:001207930800002</t>
  </si>
  <si>
    <t>Nashihin, M</t>
  </si>
  <si>
    <t>Larso, D; Simatupang, TM; Toth, R; Sendjaya, S; Lantu, DC; Dhewanto, W</t>
  </si>
  <si>
    <t>Nashihin, Muhammad</t>
  </si>
  <si>
    <t>Analysis of Potential Demand for Microfinance Services in West-Java by District Areas</t>
  </si>
  <si>
    <t>5TH INDONESIA INTERNATIONAL CONFERENCE ON INNOVATION, ENTREPRENEURSHIP, AND SMALL BUSINESS (IICIES 2013)</t>
  </si>
  <si>
    <t>5th Indonesia International Conference on Innovation, Entrepreneurship, and Small Business (IICIES)</t>
  </si>
  <si>
    <t>JUN 25-27, 2013</t>
  </si>
  <si>
    <t>demand for microfinance services; West Java; potential demand for saving; potential demand for micro credit; BPR</t>
  </si>
  <si>
    <t>INDONESIA</t>
  </si>
  <si>
    <t>Indonesia has long history of microfinance services in both rural and urban areas. However, financial inclusion in Indonesia currently is quite low compared to other developing countries. One of the strategies is to establish microfinance instituions (MFI). The MFI is believed to be an important tool to reach the low-income people. Access to financial services has allowed many low-income families to make a significant progress in their own efforts to escape from poverty. The government supports the growth of microfinance services through many instruments, such as regulations, subsidy, and directed credit policies. The government aware that such policies have not been effective in providing the poor with a sustainable access to the MFIs services. Assessing potential demand is one aspect to ensure that the microfinance is feasible and hence the sustainabilty of the services is assured. This study is aimed to analyze the potential demand for microfinance services in West Java by district areas. The approach used in this study is to employ the rich information about household and household members in the National SocioEconomic Survey (Susenas) data. Data from Bank of Indonesia on the size of depositor funds or credit disbursed in rural banks (BPR) are also used to supplement the previous data sources. The result shows that potential demand for microfinance services in West Java are almost 2 million people who are self-employed and self-employed with no paid workers. The potential demand for saving is estimated at Rp 1,902 billion, micro credit is estimated at Rp 16,669 billion, and the need for microfinance institution in terms of BPR is about 513 units, which is far above the existing number of BPR in West Java. (C) 2013 The Authors. Published by Elsevier Ltd.</t>
  </si>
  <si>
    <t>Univ Trilogi, Jln TMP Kalibata, Jakarta 12760, Indonesia</t>
  </si>
  <si>
    <t>Nashihin, M (corresponding author), Univ Trilogi, Jln TMP Kalibata, Jakarta 12760, Indonesia.</t>
  </si>
  <si>
    <t>m.nashihin@universitas-trilogi.ac.id</t>
  </si>
  <si>
    <t>10.1016/j.sbspro.2014.02.418</t>
  </si>
  <si>
    <t>BD5JC</t>
  </si>
  <si>
    <t>WOS:000361490600009</t>
  </si>
  <si>
    <t>Arcos-Medina, G; Hernández-Romero, O; Zapata-Martelo, E</t>
  </si>
  <si>
    <t>Arcos-Medina, Guadalupe; Hernandez-Romero, Oliverio; Zapata-Martelo, Emma</t>
  </si>
  <si>
    <t>CHILDREN'S SAVINGS, AN APPROACH TO FINANCIAL INCLUSION: CHISPITAS FROM THE FUNDACION AYU, OAXACA, MEXICO</t>
  </si>
  <si>
    <t>AGRICULTURA SOCIEDAD Y DESARROLLO</t>
  </si>
  <si>
    <t>savings; savings funds; Mixtec region; loans</t>
  </si>
  <si>
    <t>Microfinances have placed an emphasis on microcredits, leaving aside other elements of financial services such as savings in poor families, and virtually ignoring the presence and participation of girls and boys in schemes such as the savings funds. The article analyzes the operation of two savings funds as part of the strategy used to combat poverty, by Fundacion Ayu, in the Mixtec Region of Oaxaca, which allows, promotes and stimulates children's savings, contributing to the financial inclusion of boys, girls and teenagers. The study was carried out in the municipality of San Francisco Jaltepetongo, Oaxaca. The methodology used was based on the application of a questionnaire, interviews and a financial education workshop. Results indicate that the presence and example of mothers in the savings funds are the principal influence for boys and girls to save; also, empirically, they distinguish between desires and needs, a basis for future financial education, so their savings have specific objectives that they decide for themselves. The conclusion is that boys and girls begin to relate with terms such as loan, interest, money management, which brings them closer to being financially included, outside formal banking.</t>
  </si>
  <si>
    <t>[Arcos-Medina, Guadalupe; Hernandez-Romero, Oliverio; Zapata-Martelo, Emma] Colegio Postgrad, Desarrollo Rural, Carretera Fed Mexico Texcoco Km 36-5, Montecillo 56230, Estado De Mexic, Mexico</t>
  </si>
  <si>
    <t>Colegio de Postgraduados - Mexico</t>
  </si>
  <si>
    <t>Hernández-Romero, O (corresponding author), Colegio Postgrad, Desarrollo Rural, Carretera Fed Mexico Texcoco Km 36-5, Montecillo 56230, Estado De Mexic, Mexico.</t>
  </si>
  <si>
    <t>garcos@colpos.mx; ohr@colpos.mx; emmazm@yahoo.com.mx</t>
  </si>
  <si>
    <t>COLEGIO POSTGRADUADOS</t>
  </si>
  <si>
    <t>MONTECILLO</t>
  </si>
  <si>
    <t>CARRETERA MEXICO TEXCOCO KM 36 5, MONTECILLO 56230, ESTADO MEXICO, MEXICO</t>
  </si>
  <si>
    <t>1870-5472</t>
  </si>
  <si>
    <t>AGRIC SOC DESARRO</t>
  </si>
  <si>
    <t>Agric. Soc. Desarro.</t>
  </si>
  <si>
    <t>ED7RC</t>
  </si>
  <si>
    <t>WOS:000389066000008</t>
  </si>
  <si>
    <t>Prymostka, L; Krasnova, I; Piymostka, O; Nikitin, A; Shevaldina, V</t>
  </si>
  <si>
    <t>Prymostka, L.; Krasnova, I; Piymostka, O.; Nikitin, A.; Shevaldina, V</t>
  </si>
  <si>
    <t>FINANCIAL INCLUSION IN UKRAINE: DETERMINANTS AND EVALUATION</t>
  </si>
  <si>
    <t>financial inclusion of the population; inclusion literacy; welfare; awareness; accessibility; snvolvement; using; index; map of the financial inclusion</t>
  </si>
  <si>
    <t>SAVINGS; BANKING; ACCESS</t>
  </si>
  <si>
    <t>The low level of coverage of the population by banking services is one of the relevant problem for the Ukrainian banking system and for the economy as a whole. The economic growth, the well-being of the population and the social climate in society depend from the ability of the population to the use of basic financial services. In the article the definition of financial inclusion of the population is considered and formed. The determinants of supply and demand, which are complemented by the determinants of social responsibility, are studied. This approach, together with the needs and accessibility of basic financial services, combines the protection of consumer rights, the development of proportional surveillance, the promotion of digital technology and the creation of financial literacy programs, taking into account national and sociological characteristics. The author's proposed vision of the components of financial inclusion is related to well-being, awareness, accessibility, involvement and use. Their economic content, logical consistency and interconnectedness are disclosed. A set of analytical indicators has been formed, quantitatively characterizing them and integrated indexes have been constructed. On the basis of a composite consideration of all indices, a map of financial inclusion was constructed, which clearly shows that the population in Ukraine is not sufficiently oriented in the economy and financial sphere. The reasons for the low interest of the population in the use of banking services, among which the dominant ones are recognized: lack of funds, distrust of banking institutions, unacceptable pricing policy of banks. According to the statistics of the World Bank and the NBU, the coverage of the population of Ukraine with basic financial services is analyzed in comparison with other countries. It is determined that in order to increase the level of financial inclusion, it is necessary to ensure that the basic financial services of those part of the population of the country who do not have access to them are covered.</t>
  </si>
  <si>
    <t>[Prymostka, L.; Krasnova, I; Piymostka, O.; Nikitin, A.; Shevaldina, V] Kyiv Natl Econ Univ, Kiev, Ukraine</t>
  </si>
  <si>
    <t>Prymostka, L (corresponding author), Kyiv Natl Econ Univ, Kiev, Ukraine.</t>
  </si>
  <si>
    <t>priml@ukr.net; iryna.krasnova@kneu.ua; hprimostka@gmail.com; andrii.nikitin@kneu.ua; shevaldina@ukr.net</t>
  </si>
  <si>
    <t>Prymostka, Olena/ABH-5964-2020; Nikitin, Anii/K-8658-2018; Shevaldina, Valentyna/IST-7521-2023; Prymostka, Liudmyla/K-7815-2018; Krasnova, Iryna/AAC-8131-2020</t>
  </si>
  <si>
    <t>Nikitin, Anii/0000-0001-9184-6471; Shevaldina, Valentyna/0000-0001-7496-1443;</t>
  </si>
  <si>
    <t>MJ9YY</t>
  </si>
  <si>
    <t>WOS:000548442900051</t>
  </si>
  <si>
    <t>Robson, J; Peetz, J</t>
  </si>
  <si>
    <t>Robson, Jennifer; Peetz, Johanna</t>
  </si>
  <si>
    <t>Gender differences in financial knowledge, attitudes, and behaviors: Accounting for socioeconomic disparities and psychological traits</t>
  </si>
  <si>
    <t>financial behavior; financial knowledge; gender differences</t>
  </si>
  <si>
    <t>5 PERSONALITY-TRAITS; WAGE GAP; LITERACY; LOCUS; DECOMPOSITION</t>
  </si>
  <si>
    <t>A large body of international research finds a persistent gender gap in the financial literacy of women compared to men, but explanations for this gap remain a topic of active debate. In this observational study, we explore the explanatory value of psychological characteristics, in addition to demographic variables and roles in household financial decision making. We begin by documenting the expected gender differences in financial knowledge, attitudes, and behaviors, using a national survey of adult Canadians (n= 21,789) that provides population-level estimates. Next, we contrast these results against a second Canadian survey data set (n= 3,502) where we are able to control for individual differences in psychological traits. Results of OLS regressions suggest that gender is not a significant predictor on three scales of financial capability. Decomposition analysis finds underlying differences in individual characteristics (endowments) explain the majority of the observed gender gap in financial literacy when psychological traits are included in the model.</t>
  </si>
  <si>
    <t>[Robson, Jennifer] Carleton Univ, Clayton H Riddell Grad Sch Polit Management, Ottawa, ON, Canada; [Peetz, Johanna] Carleton Univ, Dept Psychol, Ottawa, ON, Canada</t>
  </si>
  <si>
    <t>Carleton University; Carleton University</t>
  </si>
  <si>
    <t>Robson, J (corresponding author), Carleton Univ, Clayton H Riddell Grad Sch Polit Management, Ottawa, ON, Canada.</t>
  </si>
  <si>
    <t>jennifer.robson@carleton.ca</t>
  </si>
  <si>
    <t>Robson, Jennifer/LPQ-9291-2024</t>
  </si>
  <si>
    <t>Chartered Professional Accountants Canada; Social Sciences and Humanities Research Council of Canada</t>
  </si>
  <si>
    <t>Chartered Professional Accountants Canada; Social Sciences and Humanities Research Council of Canada(Social Sciences &amp; Humanities Research Council of Canada (SSHRC))</t>
  </si>
  <si>
    <t>10.1111/joca.12304</t>
  </si>
  <si>
    <t>NS0TM</t>
  </si>
  <si>
    <t>WOS:000544185900001</t>
  </si>
  <si>
    <t>Financial digitalization in India</t>
  </si>
  <si>
    <t>Aadhaar-enabled digital finance; Digital exclusion; Financial inclusion; Financial literacy; Financial digitalization; G00; G29; G53</t>
  </si>
  <si>
    <t>In this paper, we discuss India's financial digitalization. In addition to the conventional forms of digitalization such as online banking and card-based payments, India has, in recent years, embarked on technology driven financial digitalization powered by the Aadhaar system, a publicly funded biometric identification system. With a combination of biometric identification system and the digital public infrastructure (DPI) developed through public-private partnership, financial digitalization in India is one of its own kind. Adaptation of digital modes of financial transactions has grown over the last decade compared to paper based modes, as indicated by relevant data; however, there is a large digital divide. In the backdrop of structural barriers of digital divide, poverty, illiteracy and infrastructural bottlenecks, we elaborate on various concerns around digitalization of finance in India as well as fallout of digitalized finance without digital literacy and financial literacy. We will also delve into the concern surrounding cyber security and personal data protection and highlight that persistence of cyber-attacks makes India's financial digitalization experiment vulnerable to personal data breaches.</t>
  </si>
  <si>
    <t>[Sarma, Mandira] Jawaharlal Nehru Univ, Ctr Int Trade &amp; Dev, Sch Int Studies, Delhi 110067, India</t>
  </si>
  <si>
    <t>Sarma, M (corresponding author), Jawaharlal Nehru Univ, Ctr Int Trade &amp; Dev, Sch Int Studies, Delhi 110067, India.</t>
  </si>
  <si>
    <t>10.1007/s40822-024-00298-4</t>
  </si>
  <si>
    <t>WOS:001388151200001</t>
  </si>
  <si>
    <t>Julaihah, U; Miranti, R; Gebremedhin, T</t>
  </si>
  <si>
    <t>Julaihah, Umi; Miranti, Riyana; Gebremedhin, Tesfaye</t>
  </si>
  <si>
    <t>Digitising social assistance payments to accelerate financial inclusion in East Java, Indonesia: which factors matter for user acceptance?</t>
  </si>
  <si>
    <t>Social assistance payment; trust; financial literacy; religious belief; UTAUT; B26; D12; D91; G53; H31</t>
  </si>
  <si>
    <t>INFORMATION-TECHNOLOGY; CONTINUANCE INTENTION; TRUST; SATISFACTION; LITERACY; SECURITY; ADOPTION; IMPACT; MODEL</t>
  </si>
  <si>
    <t>Indonesia has disbursed social assistance payments electronically and via debit cards since 2017. This study aims to identify factors affecting user acceptance of debit cards among the social assistance program (PKH) recipients in Indonesia. This study modified the unified theory of acceptance and use of technology (UTAUT) model by incorporating variables such as trust, financial literacy, religious beliefs, and perceived security. Data were collected through a field survey using multistage stratified random sampling and analysed using PLS-SEM. The study found that the two salient variables in the UTAUT model - performance expectancy and effort expectancy - were the best predictors of attitudes toward using debit cards; however, their effect sizes were small. Perceived security and religious beliefs also significantly affected trust in using debit cards. The research findings enrich our understanding of technology acceptance in the financial sector, offering practical insights for authorities to support the digitisation of social assistance programs.</t>
  </si>
  <si>
    <t>[Julaihah, Umi] Univ Islam Negeri Maulana Malik Ibrahim Malang, Dept Social Sci Educ, Malang, Indonesia; [Miranti, Riyana; Gebremedhin, Tesfaye] Univ Canberra, Canberra Sch Polit Econ &amp; Soc, Canberra, Australia</t>
  </si>
  <si>
    <t>University of Canberra</t>
  </si>
  <si>
    <t>Julaihah, U (corresponding author), Univ Islam Negeri Maulana Malik Ibrahim Malang, Dept Social Sci Educ, Malang, Indonesia.</t>
  </si>
  <si>
    <t>julaihah@pips.uin-malang.ac.id</t>
  </si>
  <si>
    <t>GEBREMEDHIN, AMANUEL/Q-1586-2017</t>
  </si>
  <si>
    <t>2025 NOV 15</t>
  </si>
  <si>
    <t>10.1080/13600818.2025.2588189</t>
  </si>
  <si>
    <t>9SJ7I</t>
  </si>
  <si>
    <t>WOS:001613894400001</t>
  </si>
  <si>
    <t>Garz, S; Giné, X; Karlan, D; Mazer, R; Sanford, C; Zinman, J</t>
  </si>
  <si>
    <t>Lo, AW; Merton, RC</t>
  </si>
  <si>
    <t>Garz, Seth; Gine, Xavier; Karlan, Dean; Mazer, Rafe; Sanford, Caitlin; Zinman, Jonathan</t>
  </si>
  <si>
    <t>Consumer Protection for Financial Inclusion in Low- and Middle-Income Countries: Bridging Regulator and Academic Perspectives</t>
  </si>
  <si>
    <t>ANNUAL REVIEW OF FINANCIAL ECONOMICS, VOL 13, 2021</t>
  </si>
  <si>
    <t>Annual Review of Financial Economics</t>
  </si>
  <si>
    <t>household finance; consumer protection</t>
  </si>
  <si>
    <t>PRICE ELASTICITIES; NATURAL EXPERIMENT; CREDIT; DEBT; DISCLOSURE; COMPETITION; ECONOMICS; DEMAND; SEARCH; CHOICE</t>
  </si>
  <si>
    <t>Markets for consumer financial services are growing rapidly in low- and middle-income countries and are being transformed by digital technologies and platforms. With growth and change come concerns about protecting consumers from firm exploitation due to imperfect information and contracting as well as from their own decision-making limitations. We seek to bridge regulator and academic perspectives on these underlying sources of harm and five potential problems that can result: high and hidden prices, overindebtedness, postcontract exploitation, fraud, and discrimination. These potential problems span product markets old and new and could impact micro- and macroeconomies alike. Yet there is little consensus on how to define, diagnose, or treat such problems. Evidence-based consumer financial protection will require substantial advances in theory and especially empirics, and we outline key areas for future research.</t>
  </si>
  <si>
    <t>[Garz, Seth] Bill &amp; Melinda Gates Fdn, Seattle, WA 98102 USA; [Gine, Xavier] World Bank, Washington, DC 20433 USA; [Karlan, Dean] Northwestern Univ, Kellogg Sch Management, Evanston, IL 60208 USA; [Karlan, Dean; Mazer, Rafe; Sanford, Caitlin] Innovat Poverty Act, Washington, DC 20005 USA; [Zinman, Jonathan] Dartmouth Coll, Dept Econ, Hanover, NH 03755 USA</t>
  </si>
  <si>
    <t>Bill &amp; Melinda Gates Foundation; The World Bank; Northwestern University; Innovations for Poverty Action (IPA); Dartmouth College</t>
  </si>
  <si>
    <t>Garz, S (corresponding author), Bill &amp; Melinda Gates Fdn, Seattle, WA 98102 USA.</t>
  </si>
  <si>
    <t>seth.garz@gatesfoundation.org; xgine@worldbank.org; karlan@northwestern.edu; rmazer@poverty-action.org; caitlins@gmail.com; jzinman@dartmouth.edu</t>
  </si>
  <si>
    <t>978-0-8243-4813-7</t>
  </si>
  <si>
    <t>10.1146/annurev-financial-071020-012008</t>
  </si>
  <si>
    <t>BS3UP</t>
  </si>
  <si>
    <t>WOS:000715530100012</t>
  </si>
  <si>
    <t>López-Penabad, C; Alvarez-Espiño, M; Benito-Torres, L</t>
  </si>
  <si>
    <t>Lopez-Penabad, Celia; Alvarez-Espino, Marcos; Benito-Torres, Leandro</t>
  </si>
  <si>
    <t>Addressing financial biases in university undergraduates: Unveiling connections with knowledge, behaviours and attitudes</t>
  </si>
  <si>
    <t>LITERACY; EFFICIENCY; EDUCATION; OVERCONFIDENCE; HEURISTICS; WOMEN</t>
  </si>
  <si>
    <t>Purpose This study investigates how financial knowledge, behaviours, and attitudes shape the prevalence of financial biases among Economics students at the University of Santiago de Compostela.Methodology Based on survey data from 403 first- and fourth-year students, a composite bias index-covering overconfidence, gambler's fallacy, and herd behaviour-is constructed using the Benefit of the Doubt method. Truncated regressions explore the influence of financial capability.Findings Results show attitudinal factors explain biases better than knowledge. Surprisingly, behaviours such as long-term planning and fraud avoidance increase susceptibility to biases. These findings highlight the complexity of financial decision-making and the need for emotionally aware, bias-targeted financial education.Value This paper introduces a novel approach by constructing multiple financial bias indices and calling for hands-on, behaviour-focused financial education.</t>
  </si>
  <si>
    <t>[Lopez-Penabad, Celia; Alvarez-Espino, Marcos] Univ Santiago De Compostela, ECOBAS, Dept Financial Econ &amp; Accounting, Santiago De Compostela, Spain; [Benito-Torres, Leandro] Univ Santiago De Compostela, Dept Org Co &amp; Commercialisat, Santiago De Compostela, Spain</t>
  </si>
  <si>
    <t>Alvarez-Espiño, M (corresponding author), Univ Santiago De Compostela, ECOBAS, Dept Financial Econ &amp; Accounting, Santiago De Compostela, Spain.</t>
  </si>
  <si>
    <t>marcos.alvarez.espino@usc.es</t>
  </si>
  <si>
    <t>Álvarez-Espiño, Marcos/HIR-6303-2022</t>
  </si>
  <si>
    <t>Sistema Universitario de Galicia [ED431C 2024/08]; Ministerio de Universidades [FPU21/03287]</t>
  </si>
  <si>
    <t>Sistema Universitario de Galicia; Ministerio de Universidades</t>
  </si>
  <si>
    <t>Marcos Alvarez-Espino acknowledges the financial support from the Ministry of Universities of Spain through the FPU program (Grants for University Teaching Staff Training) [FPU21/03287] at the early stage of this research. Grupo de Investigacion GI-1866-USC Valoracion Financeira Aplicada - VALFINAP, Grupo de Referencia Competitiva do Sistema Universitario de Galicia - Xunta de Galicia, ED431C 2024/08. The funders had no role in study design, data collection and analysis, decision to publish, or preparation of the manuscript.</t>
  </si>
  <si>
    <t>e0336274</t>
  </si>
  <si>
    <t>10.1371/journal.pone.0336274</t>
  </si>
  <si>
    <t>9NR0A</t>
  </si>
  <si>
    <t>WOS:001610681100008</t>
  </si>
  <si>
    <t>Mathibe, MS; Oppong, C</t>
  </si>
  <si>
    <t>Mathibe, Motshedisi Sina; Oppong, Clement</t>
  </si>
  <si>
    <t>Enhancing Financial Inclusion and Entrepreneurship Drive in Africa: Do Digital Technologies Matter?</t>
  </si>
  <si>
    <t>digital technology; entrepreneurship; FI</t>
  </si>
  <si>
    <t>The study investigates the use of digital technologies in promoting entrepreneurship and financial inclusion (FI) in Sub-Saharan Africa (SSA). Employing an exploratory and quantitative design, the research utilises a longitudinal dataset spanning 2016-2023, aligning with the UN SDGs implementation. Secondary data from 30 SSA nations were analysed, based on specific inclusion criteria and data availability, to examine the interplay between FI, digital technologies (DT), and entrepreneurship. A Pooled OLS regression model was used to assess the impact of digital technologies on FI and entrepreneurial drive in Africa. Recognising potential limitations of the pooled OLS model, including omitted variable bias and specification error, the GMM was applied as a robust check. Modern financial services like mobile banking, fintech solutions, and digital platforms significantly enhance FI and entrepreneurship success in underdeveloped regions. The study stressed the need for diverse financial products, regulations, and policies tailored to varying socio-economic backgrounds. The research contributes to existing literature by exploring how customer-centric innovations and stakeholder collaboration can sustainably promote FI, entrepreneurship, the achievement of SDGs, and economic growth in Africa.</t>
  </si>
  <si>
    <t>[Mathibe, Motshedisi Sina; Oppong, Clement] Univ Pretoria, Gordon Inst Business Sci, Johannesburg, South Africa; [Oppong, Clement] Kwame Nkrumah Univ Sci &amp; Technol, Sch Business, Kumasi, Ghana</t>
  </si>
  <si>
    <t>University of Pretoria; Kwame Nkrumah University Science &amp; Technology</t>
  </si>
  <si>
    <t>Oppong, C (corresponding author), Univ Pretoria, Gordon Inst Business Sci, Johannesburg, South Africa.;Oppong, C (corresponding author), Kwame Nkrumah Univ Sci &amp; Technol, Sch Business, Kumasi, Ghana.</t>
  </si>
  <si>
    <t>clement.oppong@knust.edu.gh</t>
  </si>
  <si>
    <t>; Mathibe, Motshedisi/ACU-2896-2022</t>
  </si>
  <si>
    <t>Oppong, Clement/0000-0002-6114-1339;</t>
  </si>
  <si>
    <t>e70202</t>
  </si>
  <si>
    <t>10.1002/bsd2.70202</t>
  </si>
  <si>
    <t>5WW6I</t>
  </si>
  <si>
    <t>WOS:001546259100001</t>
  </si>
  <si>
    <t>Building Knowledge-Based Economies in Africa: A Systematic Review of Policies and Strategies</t>
  </si>
  <si>
    <t>Knowledge economy; Development; Africa</t>
  </si>
  <si>
    <t>INCLUSIVE DEVELOPMENT; FINANCIAL ACCESS; MOBILE BANKING; INFORMATION; EDUCATION; QUALITY; IMPACT; INSTITUTIONS; TECHNOLOGY; GOVERNANCE</t>
  </si>
  <si>
    <t>Compared to other regions of the world, Africa is lagging in its drive towards knowledge-based economies. This study systematically reviews the literature in order to highlight the policies and strategies with which African countries can accelerate their current drive towards building knowledge-based economies. These are discussed in terms of three pillars of the World Bank's knowledge economy framework. They are the indices for (i) education and skilled population, (ii) information and communication technology and (iii) economic incentives and institutional regime.</t>
  </si>
  <si>
    <t>[Asongu, Simplice A.; Odhiambo, Nicholas M.] Univ South Africa, Dept Econ, Pretoria, South Africa</t>
  </si>
  <si>
    <t>Asongu, SA (corresponding author), Univ South Africa, Dept Econ, Pretoria, South Africa.</t>
  </si>
  <si>
    <t>10.1007/s13132-019-00617-0</t>
  </si>
  <si>
    <t>PD6TJ</t>
  </si>
  <si>
    <t>WOS:000495420800001</t>
  </si>
  <si>
    <t>Ansong, D; Okumu, M; Kim, YK; Despard, M; Darfo-Oduro, R; Small, E</t>
  </si>
  <si>
    <t>Ansong, David; Okumu, Moses; Kim, Youn Kyoung; Despard, Mathieu; Darfo-Oduro, Raymond; Small, Eusebius</t>
  </si>
  <si>
    <t>Effects of Education Savings Accounts on Student Engagement: Instrumental Variable Analysis</t>
  </si>
  <si>
    <t>Saving; Asset effect; Student engagement; Sub-Saharan Africa; Instrumental variable</t>
  </si>
  <si>
    <t>CHILD-DEVELOPMENT ACCOUNTS; FUTURE ORIENTATION; SCHOOL ENGAGEMENT; ACADEMIC-ACHIEVEMENT; ECONOMIC-STABILITY; PROPENSITY SCORE; ASSETS; BEHAVIORS; WORK; ASSOCIATIONS</t>
  </si>
  <si>
    <t>As interest in youth financial inclusion continues to grow substantially, emerging research points to positive associations between students'savings and their educational outcomes. However, there is no definitive data on how assets alter student engagement, particularly in resource-limited settings. This study contributes knowledge by assessing the causal effects of education savings accounts on student engagement. We evaluate causal effects by using instrumental variable methods and data from a pilot study that assessed the viability of different education funding mechanisms for junior high-school students in Ghana. Results show that the offering of an education savings account to young people with an opt-out option has great promise for improving education account ownership. Results also show that simply having an account is not strongly predictive of school engagement. Instead, it is when people begin to save into the account that it positively shapes their school engagement. The finding speaks to the value of policies that support young people to cultivate a savings habit and to build their financial knowledge and skills. Efforts should be made to understand better how social workers and teachers could be adequately trained to provide financial counseling and financial education assistance to students within the community or school settings.</t>
  </si>
  <si>
    <t>[Ansong, David] Univ N Carolina, Sch Social Work, Chapel Hill, NC 27515 USA; [Okumu, Moses] Univ Toronto, Factor Inwentash Fac Social Work, 246 Bloor St W, Toronto, ON M5S 1V4, Canada; [Kim, Youn Kyoung] Louisiana State Univ, Sch Social Work, 311 Huey P Long Field House, Baton Rouge, LA 70803 USA; [Despard, Mathieu] Washington Univ, Brown Sch Social Work, One Brookings Dr, St Louis, MO 63130 USA; [Darfo-Oduro, Raymond] Univ London SOAS, Capital Res, POB DK 882, Accra, Ghana; [Small, Eusebius] Univ Texas Arlington, Sch Social Work, 700 Greek Row Dr, Arlington, TX 76019 USA</t>
  </si>
  <si>
    <t>University of North Carolina; University of North Carolina Chapel Hill; University of Toronto; Louisiana State University System; Louisiana State University; Washington University (WUSTL); University of Texas System; University of Texas Arlington</t>
  </si>
  <si>
    <t>Okumu, M (corresponding author), Univ Toronto, Factor Inwentash Fac Social Work, 246 Bloor St W, Toronto, ON M5S 1V4, Canada.</t>
  </si>
  <si>
    <t>ansong@email.unc.edu; moses.okumu@mail.utoronto.ca; ykim@lsu.edu; mdespard@wustl.edu; ray.oduro@yahoo.com; esmall@uta.edu</t>
  </si>
  <si>
    <t>Small, Eusebius/HPG-2328-2023; Ansong, David/P-6162-2016; Okumu, Moses/AAI-7317-2021; KWAAME ADANE DARFO-ODURO, RAYMOND/HDN-9432-2022; Kim, Youn Kyoung/AAA-8302-2021</t>
  </si>
  <si>
    <t>Armfield-Reeves Innovation Fund at the University of North Carolina, Chapel Hill</t>
  </si>
  <si>
    <t>The data for this paper were drawn from a project supported by a research grant from the Armfield-Reeves Innovation Fund at the University of North Carolina, Chapel Hill.</t>
  </si>
  <si>
    <t>10.1007/s40609-019-00142-7</t>
  </si>
  <si>
    <t>LR4PI</t>
  </si>
  <si>
    <t>WOS:000535678500002</t>
  </si>
  <si>
    <t>Fouillet, C; Guérin, I; Servet, JM</t>
  </si>
  <si>
    <t>Fouillet, Cyril; Guerin, Isabelle; Servet, Jean-Michel</t>
  </si>
  <si>
    <t>Demonetization and digitalization: The Indian government's hidden agenda</t>
  </si>
  <si>
    <t>Demonetization; Digitalization; Financial inclusion; Cashless; Mobile banking; Policy implications; India</t>
  </si>
  <si>
    <t>The Indian demonetizations of November 2016 came at an entirely new scale to those of January 1946 and January 1978. This time around, the Narendra Modi government's measures applied to 86.4% of the banknotes and coins in circulation, the equivalent to 11% of GDP. Much analysis has been undertaken on the demonetization. This has largely been critical because of its disastrous consequences on local populations and the most deprived among them. Our paper adopts a different angle: it argues that demonetization has had a key impact on the digitalization of payments. We use data from the Reserve Bank of India from 2014 to 2020 to show that the demonetization period brought about a decline in Automatic Teller Machines (ATM) withdrawals. It equally boosted the adoption of digital means of payments, via Point of Sale Terminals (POS) and mobile banking. Since October 2016, the number of POS transactions has risen almost threefold, while the number of ATM transactions has decreased by almost one-fifth. The current government's rhetoric is to promote digitalization as a means of both formalizing the economy and protecting the poor. Its claim is unfortunately highly debatable.</t>
  </si>
  <si>
    <t>[Fouillet, Cyril] ESSCA Sch Management, 1 Rue Joseph Lakanal,BP 40348, F-49003 Angers, France; [Guerin, Isabelle] Inst Rech Dev IRD, Paris, France; [Servet, Jean-Michel] Grad Inst Int &amp; Dev Studies IHEID, Geneva, Switzerland; [Servet, Jean-Michel] Lyon 2 Univ, UMR Triangle ENS, Lyon, France</t>
  </si>
  <si>
    <t>ESSCA School of Management; Institut de Recherche pour le Developpement (IRD); Ecole Normale Superieure de Lyon (ENS de LYON)</t>
  </si>
  <si>
    <t>Fouillet, C (corresponding author), ESSCA Sch Management, 1 Rue Joseph Lakanal,BP 40348, F-49003 Angers, France.</t>
  </si>
  <si>
    <t>cyril.fouillet@essca.fr; isabelle.guerin@ird.fr; jean-michel.servet@graduateinstitute.ch</t>
  </si>
  <si>
    <t>Fouillet, Cyril/0000-0002-8142-2680;</t>
  </si>
  <si>
    <t>10.1016/j.telpol.2020.102079</t>
  </si>
  <si>
    <t>QK8NJ</t>
  </si>
  <si>
    <t>WOS:000620636400004</t>
  </si>
  <si>
    <t>Ahmad, M; Shah, SZA</t>
  </si>
  <si>
    <t>Ahmad, Maqsood; Shah, Syed Zulfiqar Ali</t>
  </si>
  <si>
    <t>Overconfidence heuristic-driven bias in investment decision-making and performance: mediating effects of risk perception and moderating effects of financial literacy</t>
  </si>
  <si>
    <t>Financial literacy; Overconfidence bias; Risk perception; Individual investors; Investment decisions and performance</t>
  </si>
  <si>
    <t>BEHAVIORAL BIASES; MARKET EQUILIBRIUM; COGNITIVE BIASES; STOCK-MARKET; INVESTORS; IMPACT; ENTREPRENEURS; MODEL; PRICE; KNOWLEDGE</t>
  </si>
  <si>
    <t>Purpose This paper aims to show how overconfidence influences the decisions and performance of individual investors trading on the Pakistan Stock Exchange (PSX), with the mediating role of risk perception and moderating role of financial literacy. Design/methodology/approach The deductive approach was used, as the research is based on the theoretical framework of behavioural finance. A questionnaire and cross-sectional design were employed for data collection from the sample of 183 individual investors trading on the PSX. Hypotheses were tested through correlation and regression analysis. The Baron and Kenny method was used to test the mediation effect of risk perception and the moderation effect of financial literacy. The results of mediation and moderation were also authenticated through the PROCESS and structural equation modelling (SEM) technique. Findings The results suggest that risk perception fully mediates the relationships between the overconfidence heuristic on the one hand, and investment decisions and performance on the other. At the same time, financial literacy appears to moderate these relationships. The results suggest that overconfidence can impair the quality of investment decisions and performance, while financial literacy and risk perception can improve their quality. Practical implications The paper encourages investors to base decisions on their financial capability and experience levels and to avoid relying on heuristics or their sentiments when making investments. It provides awareness and understanding of heuristic biases in investment management, which could be very useful for decision makers and professionals in financial institutions, such as portfolio managers and traders in commercial banks, investment banks and mutual funds. This paper helps investors to select better investment tools and avoid repeating the expensive errors that occur due to heuristic biases. They can improve their performance by recognizing their biases and errors of judgment, to which we are all prone, resulting in better investment decisions and a more efficient market. The paper also highlights the importance on relying on professional knowledge, giving it greater weight than feelings and biases. Originality/value The current study is the first to focus on links between overconfidence, financial literacy, risk perception and individual investors' decisions and performance. This article enhanced the understanding of the role that heuristic-driven bias plays in the investment management, and more importantly, it went some way towards enhancing understanding of behavioural aspects and their influence on the investment decision-making and performance in an emerging market. It also adds to the literature in the area of behavioural finance specifically the role of heuristics in investment strategies; this field is in its initial stage, even in developed countries, while, in developing countries, little work has been done.</t>
  </si>
  <si>
    <t>[Ahmad, Maqsood; Shah, Syed Zulfiqar Ali] Int Islamic Univ, Fac Management Sci, Dept Business Adm, Islamabad, Pakistan</t>
  </si>
  <si>
    <t>Ahmad, M (corresponding author), Int Islamic Univ, Fac Management Sci, Dept Business Adm, Islamabad, Pakistan.</t>
  </si>
  <si>
    <t>maqsood.rehamani@gmail.com; zulfiqar.shah@iiu.edu.pk</t>
  </si>
  <si>
    <t>Shah, Syed Zulfiqar Ali/JHV-9052-2023; Ahmad, Maqsood/W-8812-2019</t>
  </si>
  <si>
    <t>Shah, Syed Zulfiqar Ali/0000-0002-5256-3003; Ahmad, Maqsood/0000-0002-1427-1237</t>
  </si>
  <si>
    <t>10.1108/JEAS-07-2020-0116</t>
  </si>
  <si>
    <t>YT6MV</t>
  </si>
  <si>
    <t>WOS:000599969000001</t>
  </si>
  <si>
    <t>Unveiling the potential of community financing for entrepreneurs: A systematic review and research agenda</t>
  </si>
  <si>
    <t>bibliometric analysis; community financing; entrepreneurship; self-help groups; SLR; TCCM</t>
  </si>
  <si>
    <t>SELF-HELP GROUPS; DELIVERY MECHANISMS; LOAN ASSOCIATIONS; COLLECTIVE ACTION; EMPOWERING WOMEN; MICROFINANCE; IMPACT; INCLUSION; INTERMEDIATION; REPAYMENT</t>
  </si>
  <si>
    <t>Grassroots entrepreneurship catalyses economic revitalization, innovation and societal transformation. However, microentrepreneurs, especially women, often encounter amplified impediments to obtaining formal finance, hindering their growth. This study proposes a community-based financing model, anchored in informal collectives, such as self-help groups, that provides a conducive entrepreneurial ecosystem, especially for women entrepreneurs, by providing easy access to finance, market knowledge, social capital and capacity-building support for entrepreneurial development. Despite the growing significance, research in this field is scarce. The present study addresses this gap by integrating bibliometric and systematic review employing the SPAR-4SLR protocol. We analysed 180 Social Science Citation Index-indexed articles published up to September 2024 using the Web of Science database. The present endeavour aims to construct a cognitive framework by conducting performance analysis and highlighting prominent themes using science mapping techniques. The seven identified (n = 59) themes include policy advocacy, women's empowerment, financial inclusion, digitalization, sustainable entrepreneurship, social capital, capacity building and socioeconomic impact assessment. Additionally, a TCCM framework utilized 74 highly esteemed articles and offered valuable insights into future research directions. Our findings call for empirical validation of community financing on entrepreneurial performance and sustainability, digital transformation and the realization of sustainable development goals. In conclusion, this study underscores community-based entrepreneurship as a strategic framework for inclusive and sustainable economic development.</t>
  </si>
  <si>
    <t>[Mishra, Samanwita; Sahoo, Chandan Kumar] Natl Inst Technol, Sch Management, Rourkela 769008, Odisha, India</t>
  </si>
  <si>
    <t>Mishra, S (corresponding author), Natl Inst Technol, Sch Management, Rourkela 769008, Odisha, India.</t>
  </si>
  <si>
    <t>10.1111/apce.70009</t>
  </si>
  <si>
    <t>6DK1D</t>
  </si>
  <si>
    <t>WOS:001529842500001</t>
  </si>
  <si>
    <t>Adong, A; Ambler, K; Bloem, JR; de Brauw, A; Herskowitz, S; Islam, AHMS; Wagner, J</t>
  </si>
  <si>
    <t>Adong, Annet; Ambler, Kate; Bloem, Jeffrey R.; de Brauw, Alan; Herskowitz, Sylvan; Islam, A. H. M. Saiful; Wagner, Julia</t>
  </si>
  <si>
    <t>The unmet financial needs of intermediary firms within agri-food value chains in Uganda and Bangladesh</t>
  </si>
  <si>
    <t>FOOD POLICY</t>
  </si>
  <si>
    <t>Agri-food value chains; Financial access; Digital finance; Payment systems</t>
  </si>
  <si>
    <t>SUB-SAHARAN AFRICA; MOBILE MONEY; MARKET PERFORMANCE; INDEX INSURANCE; INPUT USE; AGRICULTURE; RISK; INFORMATION; ACCESS; PRODUCTIVITY</t>
  </si>
  <si>
    <t>Intermediary firms within agri-food value chains - operating between the farmgate and retailers - typically account for at least as much, if not more, value added as the primary agricultural production sector of the economy, but little is known about how these small and largely informal firms conduct their business. Drawing on a set of innovative surveys implemented amid the arabica coffee and soybean value chains in Uganda and the rice and potato value chains in Bangladesh, we describe the financial activities of these intermediary firms. We document four sets of results. First, across all intermediary actors in our data the overwhelming majority of transactions are cash-based. Second, although many intermediary actors are un-banked, access to financial accounts varies considerably by value chain segment, commodity, and country. Third, while most intermediary actors report using mobile money for personal purposes, especially in Uganda, very few use mobile money to facilitate business transactions. Fourth, although intermediary actors frequently report exposure to risk, very few effectively manage this risk. We conclude by discussing how intermediary agri-food value chain actors represent an underappreciated population for the promotion of new technologies to improve outcomes among both intermediary actors themselves and smallholder farmers.</t>
  </si>
  <si>
    <t>[Adong, Annet] Makerere Univ, Kampala, Uganda; [Ambler, Kate; Bloem, Jeffrey R.; de Brauw, Alan; Wagner, Julia] Int Food Policy Res Inst, Washington, DC 20005 USA; [Herskowitz, Sylvan] World Bank, Washington, DC USA; [Islam, A. H. M. Saiful] Bangladesh Agr Univ, Mymensingh, Bangladesh</t>
  </si>
  <si>
    <t>Makerere University; CGIAR; International Food Policy Research Institute (IFPRI); The World Bank; Bangladesh Agricultural University (BAU)</t>
  </si>
  <si>
    <t>Bloem, JR (corresponding author), Int Food Policy Res Inst, Washington, DC 20005 USA.</t>
  </si>
  <si>
    <t>annetteadong@gmail.com; k.ambler@cgiar.org; j.r.bloem@cgiar.org; a.debrauw@cgiar.org; sherskowitz@worldbank.org; saifulislam@bau.edu.bd; j.wagner@cgiar.org</t>
  </si>
  <si>
    <t>de Brauw, Alan/0000-0002-5045-8939; Herskowitz, Sylvan/0000-0003-3758-4524; Wagner, Julia/0009-0004-9609-0609; ADONG, ANNET/0009-0008-8629-0083</t>
  </si>
  <si>
    <t>Gates Foundation [INV-018355]; CGIAR Research Initiative on Rethinking Food Markets; CGIAR Trust Fund; Bill and Melinda Gates Foundation [INV-018355] Funding Source: Bill and Melinda Gates Foundation</t>
  </si>
  <si>
    <t>Gates Foundation(Bill &amp; Melinda Gates Foundation); CGIAR Research Initiative on Rethinking Food Markets; CGIAR Trust Fund(CGIAR); Bill and Melinda Gates Foundation(Bill &amp; Melinda Gates Foundation)</t>
  </si>
  <si>
    <t>The authors are listed in alphabetical order. We are grateful to Seth Garz, Maria May, Hope Michelson, Bart Minten, Marc Bellemare, Rich Sexton, Rob Vos, two anonymous reviewers, and Sven Anders, our editor at Food Policy, for constructive comments on previous versions of this paper. This work was supported by the Gates Foundation grant number INV-018355. This work also supported by the CGIAR Research Initiative on Rethinking Food Markets. We are grateful to all funders who supported this research through their contributions to the CGIAR Trust Fund. The findings, interpretations, and conclusions expressed in this paper are entirely those of the authors. They do not necessarily represent the views of the World Bank and its affiliated organizations, or those of the Executive Directors of the World Bank or the governments they represent.</t>
  </si>
  <si>
    <t>0306-9192</t>
  </si>
  <si>
    <t>1873-5657</t>
  </si>
  <si>
    <t>Food Policy</t>
  </si>
  <si>
    <t>10.1016/j.foodpol.2025.102838</t>
  </si>
  <si>
    <t>Agricultural Economics &amp; Policy; Economics; Food Science &amp; Technology; Nutrition &amp; Dietetics</t>
  </si>
  <si>
    <t>Agriculture; Business &amp; Economics; Food Science &amp; Technology; Nutrition &amp; Dietetics</t>
  </si>
  <si>
    <t>0TU1J</t>
  </si>
  <si>
    <t>WOS:001455838500001</t>
  </si>
  <si>
    <t>Are donor funds used effectively? An examination of Islamic and conventional microfinance institutions</t>
  </si>
  <si>
    <t>Microfinance; Donations; Islamic finance; Credit risk; Financial inclusion; D64; G21; I30; O10</t>
  </si>
  <si>
    <t>PERFORMANCE; GOVERNANCE; SPECIFICATION; SUBSIDIES; FINANCE; TESTS; EAST; GMM</t>
  </si>
  <si>
    <t>PurposeThis study aims to compare the nexus between donations to Islamic and conventional microfinance institutions (MFIs) and their credit risk, financial performance and social outreach. Design/methodology/approachThe authors use fixed effects and two-step system generalized methods of moments models with internal instrumentation. The analysis is conducted on an international sample of 1,519 MFIs in 55 countries during 1999-2019. FindingsIslamic MFIs receiving greater donations experience an increase in credit risk, whereas the opposite occurs among their conventional counterparts. Donations are associated with an improvement in the depth of outreach of Islamic MFIs, allowing them to serve a poorer client base, despite a simultaneous decline in the breadth of their outreach. On the other hand, donations improve both the depth and breadth of conventional MFIs outreach. Donations also exhibit a positive relation with productivity, efficiency and sustainability in conventional MFIs. Practical implicationsThis paper addresses a gap in the literature on Islamic MFIs and their use of donor funds by examining how donations contribute to the quality of their credit portfolios, financial performance and social outreach. This study used Ahmed's (2012, 2017, 2020, 2021) total factor productivity model to capture the impact of donations on the performance of MFIs. Social implicationsDonations are found to contribute to positive financial inclusion outcomes for both Islamic and conventional MFIs, a promising implication for society and donors alike. Originality/valueThis paper addresses a gap in the academic literature on Islamic MFIs and their use of donor funds by examining how donations contribute to the quality of their credit portfolios, financial performance and social outreach.</t>
  </si>
  <si>
    <t>[Mohamed, Toka S.] Qatar Univ, Coll Business &amp; Econ, Doha, Qatar; [Elgammal, Mohammed M.] Qatar Univ, Coll Business &amp; Econ, Ctr Entrepreneurship &amp; Org Excellence, Doha, Qatar</t>
  </si>
  <si>
    <t>Qatar University; Qatar University</t>
  </si>
  <si>
    <t>10.1108/IMEFM-11-2021-0462</t>
  </si>
  <si>
    <t>N2VI6</t>
  </si>
  <si>
    <t>WOS:000955529400001</t>
  </si>
  <si>
    <t>Ab Manan, SK; Shafiai, MHB</t>
  </si>
  <si>
    <t>Sanusi, ZM; Zakaria, NB; Othman, AA; Musirin, I; Dahlan, JM</t>
  </si>
  <si>
    <t>Ab Manan, Siti Khadijah; Shafiai, Muhammad Hakimi Bin Mohd</t>
  </si>
  <si>
    <t>Risk Management of Islamic Microfinance (IMF) Product by Financial Institutions in Malaysia</t>
  </si>
  <si>
    <t>INTERNATIONAL ACCOUNTING AND BUSINESS CONFERENCE 2015, IABC 2015</t>
  </si>
  <si>
    <t>Procedia Economics and Finance</t>
  </si>
  <si>
    <t>4th International Accounting and Business Conference (IABC)</t>
  </si>
  <si>
    <t>AUG 17-18, 2015</t>
  </si>
  <si>
    <t>Putrajaya, MALAYSIA</t>
  </si>
  <si>
    <t>Accounting Res Inst, Management Sci, Adv Comp &amp; Commun,Core Res Management Ctr,Univ Teknologi MARA</t>
  </si>
  <si>
    <t>Maintaining microfinance institutions' (MFIs) sustainability is extremely significant owing to the fact that it aims at alleviating poverty and improving the living standard of the poor at the same time. Hence, a sustainable Micro Finance Institution (MFI) is necessary in order to achieve the objective thereby realizing a just economic growth. Nevertheless, there are issues and challenges being faced by the institutions that could give impact towards their sustainability. Among others are moral hazards and adverse selection problems among participants that would ultimately give potential risks to the institutions. Hence, maintaining its sustainability by way of risk management is significant in ensuring financial inclusion of the poor and materializing the objective of poverty alleviation. This quantitative study was conducted to examine the practice of risk management in the specific context of Islamic microfinance (IMF) product offered by several Islamic financial institutions in Malaysia. Primary data were collected through the distribution of questionnaires to the selected officers of the bank. Findings of the study indicated that the institutions had taken the necessary steps in managing the risks. (C) 2015 The Authors. Published by Elsevier B.V. This is an open access article under the CC BY-NC-ND license.</t>
  </si>
  <si>
    <t>[Ab Manan, Siti Khadijah] Univ Teknol MARA, ARI, Shah Alam, Selangor, Malaysia; [Ab Manan, Siti Khadijah] Univ Teknol MARA, ACIS, Shah Alam, Selangor, Malaysia; [Shafiai, Muhammad Hakimi Bin Mohd] Univ Kebangsaan Malaysia, Fac Econ &amp; Management, Bangi 43600, Malaysia</t>
  </si>
  <si>
    <t>Universiti Teknologi MARA; Universiti Teknologi MARA; Universiti Kebangsaan Malaysia</t>
  </si>
  <si>
    <t>Ab Manan, SK (corresponding author), Univ Teknol MARA, ARI, Shah Alam, Selangor, Malaysia.</t>
  </si>
  <si>
    <t>sitik274@salam.uitm.edu.my</t>
  </si>
  <si>
    <t>2212-5671</t>
  </si>
  <si>
    <t>PROC ECON FINANC</t>
  </si>
  <si>
    <t>10.1016/S2212-5671(15)01134-X</t>
  </si>
  <si>
    <t>BF4JT</t>
  </si>
  <si>
    <t>WOS:000381102700009</t>
  </si>
  <si>
    <t>Saha, M; Dutta, KD</t>
  </si>
  <si>
    <t>Saha, Mallika; Dutta, Kumar Debasis</t>
  </si>
  <si>
    <t>Do macroprudential regulations condition the role of financial inclusion for ensuring financial stability? Cross-country perspective</t>
  </si>
  <si>
    <t>Financial inclusion index; Financial stability; Macroprudential regulations; 3SLS; Two-step system GMM; JEL: G18; G21; G28</t>
  </si>
  <si>
    <t>CAPITAL FLOWS; POLICY; GROWTH; LAW</t>
  </si>
  <si>
    <t>Purpose Empirical studies, to date, show that financial inclusion (FI) enhances financial stability (FS) by promoting a large deposit base, reducing information asymmetry, and strengthening market power on the one hand, and leads to financial fragility by expanding credit without proper screening, increasing operational costs, and provoking borrowers' moral hazard on the other. Thus, the most important issue is to maintain FS while extending formal financial services to the impoverished and disadvantaged segments of society. Therefore, this paper investigates the efficacy of macroprudential regulations (MPRs) to align these policy divergences. Design/methodology/approach To accomplish the objective and facilitate policy implications, the authors use aggregated and disaggregated measures of both FI and MPRs, employ advanced econometric models that minimize endogeneity and ensure robustness, and investigate their joint effectiveness in upholding FS using data of 138 countries spanning the 2004-2017 years. Findings The findings indicate that the effectiveness of MPRs is instrument specific. Some MPRs that obstruct access to formal financial services, in particular, moderate the advantage of FI in achieving FS, while others boost the effect of inclusion in attaining financial sector stability. Therefore, prudence should be emphasized while designing MPRs as a tool for aligning the policy trade-off between FI and FS. Originality/value To the best of the authors knowledge, this paper extends previous empirical research by investigating the conditioning impact of MPRs in the FI-FS nexus.</t>
  </si>
  <si>
    <t>[Saha, Mallika] Univ Barishal, Dept Accounting &amp; Informat Syst, Barishal, Bangladesh; [Saha, Mallika; Dutta, Kumar Debasis] Zhongnan Univ Econ &amp; Law, Sch Finance, Wuhan, Peoples R China; [Dutta, Kumar Debasis] Patuakhali Sci &amp; Technol Univ, Dept Finance &amp; Banking, Patuakhali, Bangladesh</t>
  </si>
  <si>
    <t>University of Barishal; Zhongnan University of Economics &amp; Law</t>
  </si>
  <si>
    <t>Saha, M (corresponding author), Univ Barishal, Dept Accounting &amp; Informat Syst, Barishal, Bangladesh.;Saha, M (corresponding author), Zhongnan Univ Econ &amp; Law, Sch Finance, Wuhan, Peoples R China.</t>
  </si>
  <si>
    <t>msaha@stu.zuel.edu.cn</t>
  </si>
  <si>
    <t>Saha, Mallika/AAK-6265-2020; Dutta, Kumar Debasis/HIK-3176-2022</t>
  </si>
  <si>
    <t>Saha, Mallika/0000-0001-8846-2864; Dutta, Kumar Debasis/0000-0003-3529-2376</t>
  </si>
  <si>
    <t>JUN 25</t>
  </si>
  <si>
    <t>10.1108/IJOEM-08-2021-1232</t>
  </si>
  <si>
    <t>WC5E6</t>
  </si>
  <si>
    <t>WOS:000871233400001</t>
  </si>
  <si>
    <t>Willis, R; Marshall, JN; Richardson, R</t>
  </si>
  <si>
    <t>The impact of 'branchless banking' on building society branch networks</t>
  </si>
  <si>
    <t>ENVIRONMENT AND PLANNING A</t>
  </si>
  <si>
    <t>FINANCIAL EXCLUSION; RETAIL BANKING; LOS-ANGELES; GEOGRAPHIES; SERVICES; BRITAIN</t>
  </si>
  <si>
    <t>The authors examine the impact of the remote delivery of financial services on the branch network of British building societies. The current phase of branch-network rationalisation in the financial sector in Europe and North America is argued in the academic literature to be the inevitable consequence of the growth of electronic and telemediated forms of delivery of financial services. In the British building society sector, despite some evidence of branch closure as the use of the Internet and telephone call centres in the delivery of financial services has grown, the picture that emerges is of a dynamic branch network that is responding to changing customer demands and new technological possibilities. Face-to-face advice and discussions between customers and trained 'experts' remain an important part of the mortgage transaction. In the savings market, where products have become more commodified, telephone call centres and, more recently, the Internet have become more prominent, but institutions still rely heavily on the branch network to deliver services. The authors suggest that, although there have been changes in the relative importance of different distribution channels as sources of business in the financial sector, it is wrong to view these changes in terms of a simple branch-versus-direct dichotomy. A more complex picture is presented, with most institutions adopting a multichannel approach to the delivery of financial services, and electronic forms of delivery of financial services being developed as an additional delivery channel alongside the branch.</t>
  </si>
  <si>
    <t>Univ Newcastle Upon Tyne, Ctr Urban &amp; Reg Dev Studies, Newcastle Upon Tyne NE1 7RU, Tyne &amp; Wear, England</t>
  </si>
  <si>
    <t>Newcastle University - UK</t>
  </si>
  <si>
    <t>Willis, R (corresponding author), Univ Newcastle Upon Tyne, Ctr Urban &amp; Reg Dev Studies, Claremont Bridge, Newcastle Upon Tyne NE1 7RU, Tyne &amp; Wear, England.</t>
  </si>
  <si>
    <t>10.1068/a33171</t>
  </si>
  <si>
    <t>472PG</t>
  </si>
  <si>
    <t>WOS:000170992200011</t>
  </si>
  <si>
    <t>Mujiatun, S; Trianto, B; Cahyono, EF; Rahmayati, R</t>
  </si>
  <si>
    <t>Mujiatun, Siti; Trianto, Budi; Cahyono, Eko Fajar; Rahmayati, Rahmayati</t>
  </si>
  <si>
    <t>The effects of Islamic financial literacy on entrepreneurial venture performance and halal tourism ecosystem development</t>
  </si>
  <si>
    <t>Islamic financial literacy; Halal finance; Venture performance; Halal tourism</t>
  </si>
  <si>
    <t>RESOURCE-BASED THEORY; INSTITUTIONAL THEORY; MODERATING ROLE; INCLUSION; GROWTH; BANKS; INVESTMENT; ECONOMIES; STRATEGY; ACCESS</t>
  </si>
  <si>
    <t>Purpose- This study aims to investigate the role of Islamic financial literacy and halal finance in the development of ventures in the halal tourism sector. Design/methodology/approach- Respondents of this study were business actors in the halal tourism ecosystem, as were 152 entrepreneurs. PLS-SEM was used to analyze the data. Findings- Marketing communication, religiosity and Islamic financial skill are determining factors in achieving halal finance inclusion. The results of this study also found that the components of Islamic financial literacy, especially Islamic financial awareness and Islamic financial skills, have a positive and significant effect on the development of venture. Halal finance also has a positive and significant effect on venture development in the halal tourism sector. Research limitations/implications- The sample for this study was only taken from one country, the results could not be generalized to all of the countries. However, these results can be used as an illustration that halal finance has a real contribution in developing ventures in the halal tourism sector. Practical implications- To establish a halal tourist ecosystem for long-term development, commercial actors must lend their full support. This study demonstrates that when ventures in the halal tourist ecosystem are backed by halal finance, such as Islamic banking and Islamic rural banks, they can thrive. As a result, a more accommodating approach from Islamic banking as halal finance is required to provide access to halal finance for venture in the halal tourism ecosystem. Originality/value- This study integrates Islamic financial literacy, marketing communication, religiosity and Islamic financial inclusion. In the literature on venture development in the halal tourism sector, these variables have not been well integrated. In addition, this study was analyzed using RBV theory, institutional theory and human capital theory to provide deeper and broader insights, thus providing a different perspective on resources and capabilities towards competitive advantage and venture sustainability.</t>
  </si>
  <si>
    <t>[Mujiatun, Siti] Univ Muhammadiyah Sumatera Utara, Fac Econ &amp; Business, Medan, Indonesia; [Trianto, Budi] STEI Iqra Annisa, Pekanbaru, Indonesia; [Cahyono, Eko Fajar] Univ Airlangga, Fac Econ &amp; Business, Dept Islamic Econ, Surabaya, Indonesia; [Rahmayati, Rahmayati] Univ Muhammadiyah Sumatera Utara, Fac Islamic Relig, Medan, Indonesia</t>
  </si>
  <si>
    <t>Trianto, B (corresponding author), STEI Iqra Annisa, Pekanbaru, Indonesia.</t>
  </si>
  <si>
    <t>sitimujiatun@umsu.ac.id; budi_asamandiri@yahoo.com; ekofajarc@feb.unair.ac.id; rahmayati@umsu.ac.id</t>
  </si>
  <si>
    <t>OCT 8</t>
  </si>
  <si>
    <t>10.1108/JSBED-03-2023-0108</t>
  </si>
  <si>
    <t>8FR2L</t>
  </si>
  <si>
    <t>WOS:001556525100001</t>
  </si>
  <si>
    <t>Pardo, JSD; Parra-Domínguez, J</t>
  </si>
  <si>
    <t>Pardo, Jairo Stefano Dote; Parra-Dominguez, Javier</t>
  </si>
  <si>
    <t>The mind-money connection: how financial health shapes mental well-being (and vice versa)</t>
  </si>
  <si>
    <t>Mental health; Financial literacy; Psychological well-being; Financial capabilities; Behavioral finance</t>
  </si>
  <si>
    <t>CHILDREN; STRESS; IMPACT</t>
  </si>
  <si>
    <t>Purpose - This work aims to examine the bidirectional relationship between mental health and personal finance, synthesizing empirical evidence to identify trends, characteristics and future directions for research. Design/methodology/approach - Using PRISMA Framework guidelines, 32 articles published between 2002 and 2024 from Web of Science were analyzed. Bibliometric tools (Microsoft Excel and R Studio) mapped research evolution, country collaborations and keyword co-occurrence. Thematic analysis clustered findings into mental health, financial capability and financial literacy perspectives. Findings - The interplay between mental health and personal finance creates a self-perpetuating cycle, wherein structural elements like debt and income instability disproportionately impact marginalized populations, including women, autistic individuals and low-income families. Financial literacy, while important, cannot stand alone; it necessitates accompanying structural support such as debt relief and cash transfers. Central facilitators encompass fiscal assurance and personal efficacy. Advancements like artificial intelligence and longitudinal designs are propelling development in this domain; however, discrepancies in measurement continue to exist. Originality/value - This review synthesizes a diverse array of literature, underscoring the imperative for integrated mental and financial health interventions. It offers a critical examination of the excessive dependence on solutions focused solely on the individual, advocating for comprehensive policies that tackle financial instability as a matter of public health significance. Future inquiries should aim to establish uniform metrics, investigate the ramifications of digital finance and emphasize the importance of cross-cultural causal analyses.</t>
  </si>
  <si>
    <t>[Pardo, Jairo Stefano Dote] Catholic Univ Temuco, Fac Law Econ &amp; Adm Sci, Dept Econ &amp; Adm Sci, Temuco, Chile; [Pardo, Jairo Stefano Dote] Catholic Univ Temuco, Fac Law Econ &amp; Adm Sci, Ctr Management &amp; Appl Econ CMAE, Temuco, Chile; [Parra-Dominguez, Javier] Univ Salamanca, BISITE Res Grp, Salamanca, Spain</t>
  </si>
  <si>
    <t>Universidad Catolica de Temuco; Universidad Catolica de Temuco; University of Salamanca</t>
  </si>
  <si>
    <t>Pardo, JSD (corresponding author), Catholic Univ Temuco, Fac Law Econ &amp; Adm Sci, Dept Econ &amp; Adm Sci, Temuco, Chile.;Pardo, JSD (corresponding author), Catholic Univ Temuco, Fac Law Econ &amp; Adm Sci, Ctr Management &amp; Appl Econ CMAE, Temuco, Chile.</t>
  </si>
  <si>
    <t>jairo.dote@uct.cl; javierparra@usal.es</t>
  </si>
  <si>
    <t>Parra, Javier/ABE-5866-2021</t>
  </si>
  <si>
    <t>2025 APR 16</t>
  </si>
  <si>
    <t>10.1108/MHSI-03-2025-0101</t>
  </si>
  <si>
    <t>1JT9G</t>
  </si>
  <si>
    <t>WOS:001466692900001</t>
  </si>
  <si>
    <t>Uddin, MH; Al Mahi, M; Akter, S; Mollah, S; Liu, J</t>
  </si>
  <si>
    <t>Uddin, Md Hamid; Al Mahi, Masnun; Akter, Shabiha; Mollah, Sabur; Liu, Jia</t>
  </si>
  <si>
    <t>Is donation funding a dilemma for microfinance institutions?</t>
  </si>
  <si>
    <t>Microfinance; Microfinance institutions; Financial stability; Survival analysis; Donations</t>
  </si>
  <si>
    <t>INTEREST-RATE RISK; PANEL-DATA; FINANCIAL INTERMEDIATION; CORPORATE GOVERNANCE; QUANTILE REGRESSION; EFFICIENCY; PERFORMANCE; IMPACT; OUTREACH; SUSTAINABILITY</t>
  </si>
  <si>
    <t>Microfinance institutions (MFIs) play critical roles in providing financial access to low-income communities worldwide. Yet, reliance on donation funding in the operations poses fundamental challenges to their long-term sustainability. We argue that this dependence creates an unclear agency relationship between donors (principal) - providing cost-free funds - and the MFI managers (agent), heightening moral hazard concerns. Also, due to the nature of the business model, MFIs' operating leverage increases as they increasingly expand lending operations with more cost-free donation funds. Based on a global dataset of 2653 MFIs across 119 countries over 20 years, we find that greater reliance on donations weakens MFIs' financial stability and reduces their likelihood of survival in the long run. The destabilizing effect intensifies over time, confirming the ex-post inefficiency of donation-reliant models. Our findings are robust across multiple empirical techniques and consistent across various dimensions such as profit orientation, legal status, geography, and country characteristics. By jointly examining financial stability and institutional survival, the study provides a comprehensive assessment of the long-term risks of donation dependence. These findings have important implications for donor agencies and policymakers in re-evaluating the effectiveness of the donation-based microfinance and in designing measures to promote sustainable models.</t>
  </si>
  <si>
    <t>[Uddin, Md Hamid] Univ Bradford, Sch Management, Bradford, England; [Al Mahi, Masnun] BRAC Univ, BRAC Business Sch, Dhaka, Bangladesh; [Akter, Shabiha] East West Univ, Dept Business Adm, Dhaka, Bangladesh; [Mollah, Sabur] Univ Sheffield, Sheffield Univ Management Sch, Sheffield, England; [Liu, Jia] Univ Portsmouth, Sch Accounting Econ &amp; Finance, Portsmouth, England</t>
  </si>
  <si>
    <t>University of Bradford; Bangladesh Rural Advancement Committee BRAC; BRAC University; East West University Bangladesh; University of Sheffield; University of Portsmouth</t>
  </si>
  <si>
    <t>Uddin, MH (corresponding author), Univ Bradford, Sch Management, Bradford, England.</t>
  </si>
  <si>
    <t>m.h.uddin@bradford.ac.uk; masnun.mahi@bracu.ac.bd; shabiha.akter@ewubd.edu; s.mollah@sheffield.ac.uk; jia.liu@port.ac.uk</t>
  </si>
  <si>
    <t>Mahi, Masnun Al/AAI-6121-2020</t>
  </si>
  <si>
    <t>10.1016/j.intfin.2025.102244</t>
  </si>
  <si>
    <t>9TV9N</t>
  </si>
  <si>
    <t>WOS:001614891900001</t>
  </si>
  <si>
    <t>Khera, N; Zhang, N; Hilal, T; Durani, U; Lee, M; Padman, R; Voleti, S; Warsame, RM; Borah, BJ; Yabroff, KR; Griffin, JM</t>
  </si>
  <si>
    <t>Khera, Nandita; Zhang, Nan; Hilal, Talal; Durani, Urshila; Lee, Minji; Padman, Rema; Voleti, Sandeep; Warsame, Rahma M.; Borah, Bijan J.; Yabroff, K. Robin; Griffin, Joan M.</t>
  </si>
  <si>
    <t>Association of Health Insurance Literacy With Financial Hardship in Patients With Cancer</t>
  </si>
  <si>
    <t>JAMA NETWORK OPEN</t>
  </si>
  <si>
    <t>TOXICITY; SURVIVORS; BURDEN; RISK</t>
  </si>
  <si>
    <t>IMPORTANCE Patient-reported financial hardship is an increasing challenge in cancer care delivery. Health insurance literacy and its association with financial hardship in patients with cancer, especially after controlling for financial literacy, have not been well examined. OBJECTIVE To examine the prevalence of and factors in the association between health insurance literacy and financial literacy as well as the overall and individual domains of financial hardship and their association with health insurance literacy, both independently and when adjusted for financial literacy, in patients with cancer. DESIGN, SETTING, AND PARTICIPANTS This cross-sectional survey study recruited and enrolled patients from 2 separate ambulatory infusion centers at Mayo Clinic Arizona in Phoenix, Arizona, and the University of Mississippi Medical Center in Jackson, Mississippi. Adult patients aged 18 years or older were enrolled from December 2019 to February 2020 and from August to October 2020 at Mayo Clinic Arizona (n = 299) and from September 2020 through January 2021 at the University of Mississippi Medical Center (n = 105). Survey respondents received a $5 gift card. EXPOSURES Surveys included questions about sociodemographic characteristics, health insurance literacy and financial literacy, financial knowledge, and financial hardship and its domains (material hardship, psychological hardship, and behavioral hardship). MAIN OUTCOMES AND MEASURES Financial hardship was assessed using the COST-FACIT (Comprehensive Score for Financial Toxicity-Functional Assessment of Chronic Illness Therapy) measure and National Health Interview Survey questions to capture information about the domains of financial hardship. The Health Insurance Literacy Measure is a validated 21-item measure of a consumer's ability to select and use health insurance. Five questions from the National Financial Capability Study assessed financial literacy. RESULTS A total of 404 participants were enrolled in the study. Median (IQR) age of the respondents was 63 (54-71) years, and 219 were women (54%), 307 were non-Hispanic White individuals (76%), 153 (38%) had private insurance, and 289 (72%) had solid tumors. Overall financial hardship (denoted by median COST-FACIT score &lt;27 points) was reported by 49% (95% CI, 44%-53%) of the cohort. Prevalence of financial hardship was higher using the National Health Interview Survey questions, with 68% (95% CI, 63%-72%) of respondents reporting at least 1 hardship domain (n = 276). Sixty-six percent (95% CI, 60%-69%) of respondents (n = 265) had a high level of financial literacy. The mean (SD) Health Insurance Literacy Measure score was 64.9 (13.3) points. In multivariable analyses, each 10-point increase in the Health Insurance Literacy Measure score was associated with lower odds of financial hardship (odds ratio, 0.82; 95% CI, 0.68-0.99; P = .04). However, this association was no longer significant after adjusting for financial literacy. CONCLUSIONS AND RELEVANCE Results of this study showed that, despite a high level of health insurance literacy and financial literacy, the prevalence of financial hardship was high. Although there were lower odds of financial hardship with increased health insurance literacy, the association was no longer significant when financial literacy was added to the model, suggesting that a high level of financial literacy may help mitigate the adverse outcome of lower health insurance literacy levels in patients with cancer.</t>
  </si>
  <si>
    <t>[Khera, Nandita; Zhang, Nan; Voleti, Sandeep] Mayo Clin, Dept Internal Med, Phoenix, AZ 85054 USA; [Hilal, Talal] Univ Mississippi, Div Hematol Oncol, Jackson, MS USA; [Durani, Urshila; Lee, Minji; Warsame, Rahma M.; Borah, Bijan J.; Griffin, Joan M.] Mayo Clin, Rochester, MN USA; [Padman, Rema] Carnegie Mellon Univ, Pittsburgh, PA 15213 USA; [Yabroff, K. Robin] Amer Canc Soc, Kennesaw, GA USA</t>
  </si>
  <si>
    <t>Mayo Clinic; Mayo Clinic Phoenix; University of Mississippi; Mayo Clinic; Carnegie Mellon University; American Cancer Society</t>
  </si>
  <si>
    <t>Khera, N (corresponding author), Mayo Clin, Alix Sch Med, Dept Internal Med, 5777 E Mayo Blvd, Phoenix, AZ 85054 USA.</t>
  </si>
  <si>
    <t>khera.nandita@mayo.edu</t>
  </si>
  <si>
    <t>Khera, Nandita/AAD-2268-2022; Hilal, Talal/AAG-7598-2019</t>
  </si>
  <si>
    <t>Durani, Urshila/0000-0003-1860-2424;</t>
  </si>
  <si>
    <t>Henry J. Predolin Foundation, Mayo Clinic; National Cancer Institute [P30CA015083] Funding Source: NIH RePORTER</t>
  </si>
  <si>
    <t>Henry J. Predolin Foundation, Mayo Clinic; National Cancer Institute(United States Department of Health &amp; Human ServicesNational Institutes of Health (NIH) - USANIH National Cancer Institute (NCI))</t>
  </si>
  <si>
    <t>This study was supported in part by a grant from The Henry J. Predolin Foundation, Mayo Clinic.</t>
  </si>
  <si>
    <t>AMER MEDICAL ASSOC</t>
  </si>
  <si>
    <t>330 N WABASH AVE, STE 39300, CHICAGO, IL 60611-5885 USA</t>
  </si>
  <si>
    <t>2574-3805</t>
  </si>
  <si>
    <t>JAMA NETW OPEN</t>
  </si>
  <si>
    <t>JAMA Netw. Open</t>
  </si>
  <si>
    <t>e2223141</t>
  </si>
  <si>
    <t>10.1001/jamanetworkopen.2022.23141</t>
  </si>
  <si>
    <t>3I3OC</t>
  </si>
  <si>
    <t>WOS:000832629600002</t>
  </si>
  <si>
    <t>Bayulgen, O</t>
  </si>
  <si>
    <t>Bayulgen, Oksan</t>
  </si>
  <si>
    <t>Giving Credit Where Credit Is Due: Can Access to Credit Be Justified as a New Economic Right?</t>
  </si>
  <si>
    <t>JOURNAL OF HUMAN RIGHTS</t>
  </si>
  <si>
    <t>PROGRAMS; INEQUALITY; FINANCE; GENDER</t>
  </si>
  <si>
    <t>A large proportion of the population in poor countries is deemed unbankable and cannot borrow money from formal, reliable financial institutions to invest in new businesses or to meet urgent consumption needs. In the past few decades, the development community has increasingly focused on the goal of financial inclusionproviding access to financial services for all. Along these lines, the Nobel Peace Price laureate and the founder of a prominent microfinance institution in Bangladesh, Muhammad Yunus, has been advocating the view that credit is a human right and that financial inclusion for millions of poor and marginalized people is an obligation that governments, international institutions, and civil society organizations have to fulfill. In this article, I outline and analyze the debate over whether or not access to credit should be recognized as a new, emergent human right. In the first part of the article, I present the case for establishing credit as a human right, as laid out by Muhammad Yunus. Second, I map out five potential criticisms of a rights-based approach to credit. Finally, I assess the validity and consistency of these objections and discuss what would be gained by using the language of human rights in addressing the issue of financial exclusion. This exercise of conceptual construction of a possible human right to credit highlights some of the important debates in the human rights literature on what constitutes an emergent human right and how it can be justified.</t>
  </si>
  <si>
    <t>Univ Connecticut, Storrs, CT 06269 USA</t>
  </si>
  <si>
    <t>Bayulgen, O (corresponding author), Univ Connecticut, 365 Fairfield Way, Storrs, CT 06269 USA.</t>
  </si>
  <si>
    <t>oksan.bayulgen@uconn.edu</t>
  </si>
  <si>
    <t>1475-4835</t>
  </si>
  <si>
    <t>1475-4843</t>
  </si>
  <si>
    <t>J HUM RIGHTS</t>
  </si>
  <si>
    <t>J. Hum. Rights</t>
  </si>
  <si>
    <t>10.1080/14754835.2013.812468</t>
  </si>
  <si>
    <t>258QT</t>
  </si>
  <si>
    <t>WOS:000327474500006</t>
  </si>
  <si>
    <t>Siddika, A; Sarwar, A</t>
  </si>
  <si>
    <t>Siddika, Aysa; Sarwar, Abdullah</t>
  </si>
  <si>
    <t>Socio and macroeconomic determinants of mobile money adoption: a cross-cultural study of selected MENA and Sub-Saharan countries</t>
  </si>
  <si>
    <t>Mobile money services; MENA; Sub-Saharan Africa; Socio and macroeconomic determinants</t>
  </si>
  <si>
    <t>FINANCIAL INCLUSION; BANKING ADOPTION; SERVICES</t>
  </si>
  <si>
    <t>PurposeThis study aims to investigate the factors contributing to the low adoption rate of mobile money services (MMS) in the Middle East and North Africa (MENA) region compared to other regions. The study focussed on socio-demographic factors and macro-level determinants in several selected MENA and Sub-Saharan African (SSA) regions where MMS have been successful.Design/methodology/approachThis study analysed 23 countries across MENA and SSA to establish the correlation between socio and macroeconomic factors and MMS adoption using a quantitative approach. The analysis used the generalized least square (GLS) method.FindingsThe study revealed that gender and income are factors that positively influence the adoption of MMS in MENA and SSA regions. Additionally, the study found that the affordability index, which measures macroeconomic indicators, correlates with MMS adoption in both regions but in an inversed way. On the other hand, political stability appears to have a positive correlation with MMS adoption in the MENA region. The correlation between the regulatory index and MMS adoption positively impacts the entire study group, although it is insignificant in the SSA region.Research limitations/implicationsFuture studies should assess market competition among MMS providers and the psychological aspect of user adoption behaviour. Additionally, conducting a focus group discussion with stakeholders in the MMS industry can assist in uncovering potential factors contributing to low MMS adoption in the MENA region.Originality/valueThis study contributes to understanding the role of the socio-demographic and macroeconomic determinants in promoting digital transformation through adopting MMS.</t>
  </si>
  <si>
    <t>[Siddika, Aysa; Sarwar, Abdullah] Multimedia Univ, Fac Management, Cyberjaya Campus, Cyberjaya, Malaysia</t>
  </si>
  <si>
    <t>Siddika, A (corresponding author), Multimedia Univ, Fac Management, Cyberjaya Campus, Cyberjaya, Malaysia.</t>
  </si>
  <si>
    <t>aysasiddika25@gmail.com</t>
  </si>
  <si>
    <t>Siddika, Aysa/AAG-9764-2021; Sarwar, Abdullah/G-8388-2014</t>
  </si>
  <si>
    <t>Siddika, Aysa/0000-0001-7407-5150; Sarwar, Abdullah/0000-0001-6475-7393</t>
  </si>
  <si>
    <t>10.1108/DPRG-09-2023-0138</t>
  </si>
  <si>
    <t>A2U3P</t>
  </si>
  <si>
    <t>WOS:001097540000001</t>
  </si>
  <si>
    <t>Buliskeria, N; Baxa, J</t>
  </si>
  <si>
    <t>Buliskeria, Nino; Baxa, Jaromir</t>
  </si>
  <si>
    <t>Do rural banks matter that much? Burgess and Pande (2005) reconsidered</t>
  </si>
  <si>
    <t>JOURNAL OF APPLIED ECONOMETRICS</t>
  </si>
  <si>
    <t>access to finance; finance and development; rural poverty</t>
  </si>
  <si>
    <t>SOCIAL BANKING; MICROFINANCE; POVERTY; GROWTH</t>
  </si>
  <si>
    <t>We replicate Burgess and Pande's (2005) analysis of the effect of India's state-led bank expansion on poverty. The authors instrument rural bank branch expansion by its trend reversal explained by the 1977 licensing rule and find that the bank expansion decreased poverty. However, the authors do not consider other licensing rule amendments and concurrent policies. Thus, their instrument is not necessarily exogenous to poverty. We show that the significant effect of bank expansion on poverty disappears after summarizing the trend reversal with more breaks linked to the bank licensing policy.</t>
  </si>
  <si>
    <t>[Buliskeria, Nino; Baxa, Jaromir] Charles Univ Prague, Fac Social Sci, Inst Econ Studies, Opletalova 26, Prague 11000, Czech Republic; [Baxa, Jaromir] Czech Acad Sci, Inst Informat Theory &amp; Automat, Pod Vodarenskou Vezi 4, Prague 18200, Czech Republic</t>
  </si>
  <si>
    <t>Charles University Prague; Czech Academy of Sciences; Institute of Information Theory &amp; Automation of the Czech Academy of Sciences</t>
  </si>
  <si>
    <t>Buliskeria, N (corresponding author), Charles Univ Prague, Inst Econ Studies, Opletalova 26, Prague 11000, Czech Republic.</t>
  </si>
  <si>
    <t>nino.buliskeria@fsv.cuni.cz</t>
  </si>
  <si>
    <t>Baxa, Jaromír/K-3195-2019; Buliskeria, Nino/GXZ-9760-2022</t>
  </si>
  <si>
    <t>Baxa, Jaromír/0000-0002-9768-209X; Buliskeria, Nino/0000-0001-6708-8519</t>
  </si>
  <si>
    <t>Czech Science Foundation [20-14990S]; Charles University Research Centre program [UNCE/HUM/035]; Charles University Grant Agency [1034519]; Cooperation Program at Charles University</t>
  </si>
  <si>
    <t>Czech Science Foundation(Grant Agency of the Czech Republic); Charles University Research Centre program(Charles University Prague); Charles University Grant Agency(Charles University Prague); Cooperation Program at Charles University(Charles University Prague)</t>
  </si>
  <si>
    <t>Czech Science Foundation, Grant/Award Number: 20-14990S; Charles University Research Centre program, Grant/Award Number: UNCE/HUM/035; Charles University Grant Agency, Grant/Award Number: 1034519; Cooperation Program at Charles University</t>
  </si>
  <si>
    <t>0883-7252</t>
  </si>
  <si>
    <t>1099-1255</t>
  </si>
  <si>
    <t>J APPL ECONOMET</t>
  </si>
  <si>
    <t>J. Appl. Econom.</t>
  </si>
  <si>
    <t>10.1002/jae.2922</t>
  </si>
  <si>
    <t>5F0EJ</t>
  </si>
  <si>
    <t>WOS:000827080900001</t>
  </si>
  <si>
    <t>Mousa, R; Ozili, PK</t>
  </si>
  <si>
    <t>Mousa, Rania; Ozili, Peterson K.</t>
  </si>
  <si>
    <t>Reimagining financial inclusion in the post COVID-19 world: the case of Grameen America</t>
  </si>
  <si>
    <t>COVID-19; Financial inclusion; Sustainable development; Microcredit; Microlending; Qualitative content analysis; Grameen Bank</t>
  </si>
  <si>
    <t>Purpose - The purpose of this paper is to analyze Grameen America's response to COVID-19 pandemic. This is accomplished by identifying and analyzing the key initiatives implemented by Grameen America within the framework of selected United Nations' Sustainability Development Goals (UN's SD Goals). Design/methodology/approach - This study has used qualitative content analysis to analyze financial and nonfinancial information of Grameen Bank. Findings - This study follows a qualitative content analysis method to precisely gauge the shift in Grameen's strategy and focus, as well as to assess the impact of its initiatives on the small business community before and after the pandemic. The findings showcase that Grameen's longstanding mission to alleviate poverty is in line with the UN's SD Goal 1. Also, Grameen's commitment to create partnerships with external organizations to offer credit and noncredit services and support is consistent with UN's SD Goal 17. Research limitations/implications - Notwithstanding the significant contributions of this case study, the findings are limited in some respects. First, this case study focuses on the Grameen America's unique experience regarding its response to COVID-19 pandemic. This may affect the interpretation and generalization of the findings of this study. Performing comparative views across wide range of relevant microlending institutions could help improve the generalization of the findings. Also, this case study examines the impact on women and minority groups who were particularly affected by the pandemic. The results should, therefore, be interpreted with care as circumstances may change over time. Practical implications - The implication for practice is that policymakers should encourage the creation of more member-based financial and non-financial institutions that can help members integrate financially and socially into society. Also, practitioners should increase their ethical duties and responsibilities to their members in society in good and bad times as members tend to value the ethical aspect of financial businesses. Social implications - The social implication of the findings is that helping members of society to cope with the difficulties brought about by COVID increased the sense of belonging among members and made them feel cared for, thereby increasing financial and social inclusion among underserved people. Originality/value - Prior literature addressed the initiatives of microlending institutions such as Grameen Bank to achieve financial inclusion among financially vulnerable women. This case study contributes to the literature on financial inclusion and poverty alleviation by examining Grameen America's response to the pandemic by identifying and assessing Grameen America (GA's) key initiatives and their impact within the framework of the UN's SD Goals in the post COVID-19 world.</t>
  </si>
  <si>
    <t>[Mousa, Rania] Univ Evansville, Dept Accounting, Evansville, IN 47722 USA; [Ozili, Peterson K.] Nile Univ Nigeria, Cent Bank Nigeria, Abuja, Nigeria</t>
  </si>
  <si>
    <t>University of Evansville; Central Bank of Nigeria</t>
  </si>
  <si>
    <t>Mousa, R (corresponding author), Univ Evansville, Dept Accounting, Evansville, IN 47722 USA.</t>
  </si>
  <si>
    <t>rm190@evansville.edu</t>
  </si>
  <si>
    <t>Mousa, Rania/LCD-6700-2024; Ozili, Peterson/A-8418-2015</t>
  </si>
  <si>
    <t>Mousa, Rania/0000-0002-1482-3767;</t>
  </si>
  <si>
    <t>JUL 12</t>
  </si>
  <si>
    <t>10.1108/IJOES-12-2021-0230</t>
  </si>
  <si>
    <t>L8YK7</t>
  </si>
  <si>
    <t>WOS:000804537400001</t>
  </si>
  <si>
    <t>Christiani, TA; Kastowo, C</t>
  </si>
  <si>
    <t>Christiani, Theresia Anita; Kastowo, Chryssantus</t>
  </si>
  <si>
    <t>Increased financial literacy and inclusion indexes versus the number of unlicensed financial institutions in Indonesia</t>
  </si>
  <si>
    <t>Financial; Inclusion; Institution; Literacy; Weakness</t>
  </si>
  <si>
    <t>Purpose This study aims to provide and find an alternative solution to achieving literacy indexes and financial inclusion that exceeded the target in 2019. Design/methodology/approach This research uses a normative research type. Secondary data becomes the primary data and uses the method of qualitative data analysis. Findings The results showed that public literacy and financial institutions' inclusion were dependent on public trust in financial institutions. The Financial Services Authorities' (FSA) arrangement's weakness lies in the limited scope of the FSA's authority in carrying out legal actions against unlicensed financial institutions and the low critical power of the community in choosing a credible financial institution. Research limitations/implications Based on the research findings, results are expected to have implications for the concept of FSA's authority. Practical implications Based on the research findings, results are expected to have implications for expanding the FSA's authority to conduct oversight of financial institutions so that the high literacy and financial inclusion of the public can achieve public welfare. Social implications The research implication for the community is that the results of this study find weaknesses in the financial literacy and inclusion policies to find the causes of the problems and find solutions to these problems. The practical research implications are for policymakers; research results can be used as a basis for determining solutions to problems in regulations. The results of this study can also have implications for the development of a boy of knowledge in the field of business economic law, especially economic law. Originality/value To the best of the authors' knowledge, there are no researches that have similarities with this paper.</t>
  </si>
  <si>
    <t>[Christiani, Theresia Anita; Kastowo, Chryssantus] Univ Atma Jaya Yogyakarta, Fac Law, Yogyakarta, Indonesia</t>
  </si>
  <si>
    <t>Universitas Atma Jaya Yogyakarta</t>
  </si>
  <si>
    <t>Christiani, TA (corresponding author), Univ Atma Jaya Yogyakarta, Fac Law, Yogyakarta, Indonesia.</t>
  </si>
  <si>
    <t>theresiaanita27@gmail.com</t>
  </si>
  <si>
    <t>Universitas Atma Jaya Yogyakarta, Indonesia</t>
  </si>
  <si>
    <t>Universitas Atma Jaya Yogyakarta, Indonesia(Ministry of Research and Technology of the Republic of Indonesia (RISTEK))</t>
  </si>
  <si>
    <t>Thanks to Universitas Atma Jaya Yogyakarta, Indonesia for funding research and publications.</t>
  </si>
  <si>
    <t>10.1108/FS-01-2021-0003</t>
  </si>
  <si>
    <t>F6VL6</t>
  </si>
  <si>
    <t>WOS:000790863400001</t>
  </si>
  <si>
    <t>Friedline, T; Wood, AK; Morrow, S</t>
  </si>
  <si>
    <t>Friedline, Terri; Wood, Anna K.; Morrow, So'Phelia</t>
  </si>
  <si>
    <t>Financial education as political education: a framework for targeting systems as sites of change</t>
  </si>
  <si>
    <t>Financial capability; financial education; political education; asset building; critical praxis</t>
  </si>
  <si>
    <t>SOCIAL-WORK; LABOR UNIONS; LITERACY; CAPABILITY; INCLUSION; POVERTY; WOMEN; YOUTH</t>
  </si>
  <si>
    <t>The ability of individual-level interventions to improve people's financial conditions is compromised when the root causes of precarity develop at systems levels. While it can be a challenge to intervene at the systems-level, we contend that one approach is for social work and allied professions to treat financial education as political education. Building on the activist organizing approaches of Paulo Freire and the Black feminist scholarship of bell hooks, we offer a framework to target systems as critical sites for change. If we wish to empower people to transcend rather than cope with the oppressive power of racial capitalism, there may be no choice but to find ways to raise people's consciousness about structural oppression as the root cause of financial precarity. Implications for practice are discussed in the contexts of labor organizing and the Black cooperative movement.</t>
  </si>
  <si>
    <t>[Friedline, Terri] Univ Michigan, Sch Social Work, 1080 S Univ Ave, Ann Arbor, MI 48109 USA; [Wood, Anna K.; Morrow, So'Phelia] Univ Michigan, Sch Social Work, Social Work &amp; Sociol, Ann Arbor, MI 48109 USA</t>
  </si>
  <si>
    <t>University of Michigan System; University of Michigan; University of Michigan System; University of Michigan</t>
  </si>
  <si>
    <t>Friedline, T (corresponding author), Univ Michigan, Sch Social Work, 1080 S Univ Ave, Ann Arbor, MI 48109 USA.</t>
  </si>
  <si>
    <t>tfriedli@umich.edu</t>
  </si>
  <si>
    <t>Wood, Anna/JVZ-6745-2024</t>
  </si>
  <si>
    <t>Morrow, So'Phelia/0000-0001-5067-014X</t>
  </si>
  <si>
    <t>10.1080/10705422.2022.2140737</t>
  </si>
  <si>
    <t>6D4ZC</t>
  </si>
  <si>
    <t>WOS:000878547900001</t>
  </si>
  <si>
    <t>Shiddike, J; Ahmed, A; Farshid, M; Das Oaishe, P</t>
  </si>
  <si>
    <t>Shiddike, Jasrin; Ahmed, Afsana; Farshid, Mohammad; Das Oaishe, Prapty</t>
  </si>
  <si>
    <t>Development of Blockchain In Smart Grid Using IoT</t>
  </si>
  <si>
    <t>2022 INTERNATIONAL CONFERENCE ON INVENTIVE COMPUTATION TECHNOLOGIES, ICICT 2022</t>
  </si>
  <si>
    <t>International Conference on Inventive Computation Technologies</t>
  </si>
  <si>
    <t>5th International Conference on Inventive Computation Technologies (ICICT)</t>
  </si>
  <si>
    <t>JUL 20-22, 2022</t>
  </si>
  <si>
    <t>Lalitpur, NEPAL</t>
  </si>
  <si>
    <t>IEEE,Tribhuvan Univ, Pulchowk Campus</t>
  </si>
  <si>
    <t>Blockchain; Internet of Things (IoT); Smart grid; Smart contracts</t>
  </si>
  <si>
    <t>SECURITY</t>
  </si>
  <si>
    <t>For Smart Grid management, people rely on Trusted Third Party (TTP) administration-based Centralized systems, which lack security, faith, immutability, and clarity. This paper proposes a Smart Grid management system based on Blockchain and IoT, taking advantage of the 'Ethereum server' capabilities to solve these problems. To control access privileges, a smart contract is used, and a customized version of IPFS software is used to enforce the established access-control list. To secure Grid management, an application framework for a secure decentralized smart Grid system is proposed using Ethereum and IoT. Every transaction was hashed using Ethereum Server, and identities were authenticated using Metamask to cryptographically recognize account ownership in the Blockchain system. In the private Ethereum network, a gas consumption-based outcome analysis is performed. It achieves transparency, security-regulated access, and process quality, all of which indicate that this activity is more effective.</t>
  </si>
  <si>
    <t>[Shiddike, Jasrin; Ahmed, Afsana; Farshid, Mohammad; Das Oaishe, Prapty] Int Islamic Univ, Dept CSE, Chittagong, Bangladesh</t>
  </si>
  <si>
    <t>International Islamic University Chittagong (IIUC)</t>
  </si>
  <si>
    <t>Shiddike, J (corresponding author), Int Islamic Univ, Dept CSE, Chittagong, Bangladesh.</t>
  </si>
  <si>
    <t>jasrinshiddike@gmail.com; afsana.ahmed1000@gmail.com; mdfar42@gmail.com; praptyoishe0@gmail.com</t>
  </si>
  <si>
    <t>, Mohammad Farshid/0000-0001-6319-8497</t>
  </si>
  <si>
    <t>2767-777X</t>
  </si>
  <si>
    <t>978-1-6654-0838-7; 978-1-6654-0837-0</t>
  </si>
  <si>
    <t>Invent Compu Technol</t>
  </si>
  <si>
    <t>10.1109/ICICT54344.2022.9850555</t>
  </si>
  <si>
    <t>BX9GD</t>
  </si>
  <si>
    <t>WOS:001345033500045</t>
  </si>
  <si>
    <t>LeBaron, AB; Rosa-Holyoak, CM; Bryce, LA; Hill, EJ; Marks, LD</t>
  </si>
  <si>
    <t>LeBaron, Ashley B.; Rosa-Holyoak, Christina M.; Bryce, L. Ashley; Hill, E. Jeffrey; Marks, Loren D.</t>
  </si>
  <si>
    <t>Teaching Children About Money: Prospective Parenting Ideas From Undergraduate Students</t>
  </si>
  <si>
    <t>emerging adults; financial socialization; financial education; family finance; financial parenting; qualitative</t>
  </si>
  <si>
    <t>FINANCIAL SOCIALIZATION; LITERACY; INCOME; ADULTS; IMPACT</t>
  </si>
  <si>
    <t>Many Millennials (aged 18-30 in 2016) are struggling with financial capability and independence. As efforts unfold to address this issue by improving financial education, Millennials themselves can offer helpful family-centered ideas for children's financial learning. As part of the Whats and Hows of Family Financial Socialization project, this qualitative study explored the ideas of 126 undergraduate students enrolled in family finance classes at three institutions from three regions of the United States about how and what they intend to teach their future children about finances. Thematic content analysis and coding of interviews revealed four core themes: (a) Communicating Family Finances, (b) Opportunities for Responsibility (c) The Value of Hard Work, and (d) The Process of Saving. These findings have implications for parents, future parents, financial counselors, financial planners, family life educators, financial educators, therapists, and researchers in improving parental financial education for future generations.</t>
  </si>
  <si>
    <t>[LeBaron, Ashley B.] Univ Arizona, Norton Sch Family &amp; Consumer Sci, Family Studies &amp; Human Dev, 650 N Pk Ave, Tucson, AZ 85721 USA; [Rosa-Holyoak, Christina M.] Brigham Young Univ, Marriage &amp; Family Therapy, 2086 JFSB, Provo, UT 84602 USA; [Bryce, L. Ashley] Brigham Young Univ, Family Life, 2086 JFSB, Provo, UT 84602 USA; [Hill, E. Jeffrey] Brigham Young Univ, Family Life, 2052 JFSB, Provo, UT 84602 USA; [Marks, Loren D.] Brigham Young Univ, Family Life, 2092C JFSB, Provo, UT 84602 USA</t>
  </si>
  <si>
    <t>University of Arizona; Brigham Young University; Brigham Young University; Brigham Young University; Brigham Young University</t>
  </si>
  <si>
    <t>LeBaron, AB (corresponding author), Univ Arizona, Norton Sch Family &amp; Consumer Sci, Family Studies &amp; Human Dev, 650 N Pk Ave, Tucson, AZ 85721 USA.</t>
  </si>
  <si>
    <t>lebaronashley@gmail.com; christinamrosa7@gmail.com; amork@live.com; jeff_hill@byu.edu; loren_marks@byu.edu</t>
  </si>
  <si>
    <t>LeBaron-Black, Ashley/JYQ-1823-2024; Hill, E./A-8509-2009</t>
  </si>
  <si>
    <t>LeBaron-Black, Ashley/0000-0002-4980-2659;</t>
  </si>
  <si>
    <t>10.1891/1052-3073.29.2.259</t>
  </si>
  <si>
    <t>HF7YC</t>
  </si>
  <si>
    <t>WOS:000454457100008</t>
  </si>
  <si>
    <t>Inoue, T; Hamori, S</t>
  </si>
  <si>
    <t>Inoue, Takeshi; Hamori, Shigeyuki</t>
  </si>
  <si>
    <t>Do Workers' Remittances Promote Access to Finance? Evidence from Asia-Pacific Developing Countries</t>
  </si>
  <si>
    <t>Asia and Pacific; financial access; remittances</t>
  </si>
  <si>
    <t>BANKS; POVERTY; GROWTH</t>
  </si>
  <si>
    <t>This study empirically analyzes the impact of remittance inflows on access to formal financial services using panel data on thirty-eight developing countries in Asia and Oceania between 2001 and 2012. Our results indicate that remittances help to enlarge the national branch network of commercial banks. These findings are robust to changes in the dependent variable, namely, the number of commercial bank branches per person or per area, as well as the estimation method. With regard to control variables, we find that income level and economic openness have positive impacts on the number of bank branches, whereas the inflation rate has a negative impact.</t>
  </si>
  <si>
    <t>[Inoue, Takeshi] Nanzan Univ, Fac Policy Studies, Seto, Japan; [Hamori, Shigeyuki] Kobe Univ, Fac Econ, Kobe, Hyogo 6578501, Japan</t>
  </si>
  <si>
    <t>Hamori, S (corresponding author), Kobe Univ, Fac Econ, Nada Ku, Kobe, Hyogo 6578501, Japan.</t>
  </si>
  <si>
    <t>hamori@econ.kobe-u.ac.jp</t>
  </si>
  <si>
    <t>Hamori, Shigeyuki/J-4877-2019</t>
  </si>
  <si>
    <t>Hamori, Shigeyuki/0000-0003-1498-0188; inoue, takeshi/0000-0003-1614-5231</t>
  </si>
  <si>
    <t>JSPS KAKENHI [26380334]; Grants-in-Aid for Scientific Research [26380334] Funding Source: KAKEN</t>
  </si>
  <si>
    <t>This work was supported by JSPS KAKENHI Grant Number 26380334.</t>
  </si>
  <si>
    <t>10.1080/1540496X.2016.1116287</t>
  </si>
  <si>
    <t>DE1LK</t>
  </si>
  <si>
    <t>WOS:000370388300017</t>
  </si>
  <si>
    <t>Nyonzo, F</t>
  </si>
  <si>
    <t>Nyonzo, Francis</t>
  </si>
  <si>
    <t>Tanzania's solidarity tax</t>
  </si>
  <si>
    <t>Financial inclusion; development; solidarity tax; Tanzania; mobile financial services; poverty</t>
  </si>
  <si>
    <t>Financial services are important for development. Most people in developing countries lack access to financial services. The availability of financial services on mobile phones has made these services accessible to people who previously lacked access. Economists have recommended that infrastructure and tax systems be improved in order to enable more people to benefit from mobile financial services. However, in 2021 the Tanzanian government introduced levies on mobile transactions and airtime, which increased the costs of transactions, contrary to the advice of economists. This briefing discusses the taxes on mobile money transactions and their economic legitimacy, considering the fact that the country was not in an emergency and that there are revenue losses.</t>
  </si>
  <si>
    <t>[Nyonzo, Francis] Jamii Forums, Dar es Salaam, Tanzania</t>
  </si>
  <si>
    <t>Nyonzo, F (corresponding author), Jamii Forums, Dar es Salaam, Tanzania.</t>
  </si>
  <si>
    <t>francisnyonzo@gmail.com</t>
  </si>
  <si>
    <t>Nyonzo, Francis Stephen/0000-0002-5434-0401</t>
  </si>
  <si>
    <t>10.1080/03056244.2022.2138308</t>
  </si>
  <si>
    <t>F5PY7</t>
  </si>
  <si>
    <t>WOS:000897155100001</t>
  </si>
  <si>
    <t>Pandey, I; Guillemette, M</t>
  </si>
  <si>
    <t>Pandey, Ichchha; Guillemette, Michael</t>
  </si>
  <si>
    <t>Social Media, Investment Knowledge, and Meme Stock Trading</t>
  </si>
  <si>
    <t>JOURNAL OF BEHAVIORAL FINANCE</t>
  </si>
  <si>
    <t>Investment knowledge; Meme stocks; Moderating role; Social cognitive theory; Social media</t>
  </si>
  <si>
    <t>FINANCIAL LITERACY; MARKET PARTICIPATION</t>
  </si>
  <si>
    <t>This study investigates the influence of social media and investment knowledge on meme stock trading, using data from the 2021 National Financial Capability Study. It examines the relationships among social media usage, investor decisions, and the role of investment knowledge. The study emphasizes the significant impact of social media use on investor behavior within the meme stock phenomenon. No association was found between investment knowledge and meme stock trading decisions. However, the interaction of investment knowledge and the use of social media was significantly negative, illustrating that the influence of social media use on meme stock trading weakens when investors have greater investment knowledge.</t>
  </si>
  <si>
    <t>[Pandey, Ichchha] Augusta Univ, Augusta, GA USA; [Guillemette, Michael] Texas Tech Univ, Lubbock, TX 79409 USA; [Pandey, Ichchha] Augusta Univ Summerville Campus, Econ &amp; Finance, 1120 15th St, Augusta, GA 30912 USA</t>
  </si>
  <si>
    <t>University System of Georgia; Augusta University; Texas Tech University System; Texas Tech University</t>
  </si>
  <si>
    <t>Pandey, I (corresponding author), Augusta Univ Summerville Campus, Econ &amp; Finance, 1120 15th St, Augusta, GA 30912 USA.</t>
  </si>
  <si>
    <t>ipandey@augusta.edu</t>
  </si>
  <si>
    <t>Pandey, Ichchha/0009-0000-8139-9081</t>
  </si>
  <si>
    <t>1542-7560</t>
  </si>
  <si>
    <t>1542-7579</t>
  </si>
  <si>
    <t>J BEHAV FINANC</t>
  </si>
  <si>
    <t>J. Behav. Financ.</t>
  </si>
  <si>
    <t>10.1080/15427560.2024.2361875</t>
  </si>
  <si>
    <t>9VI3G</t>
  </si>
  <si>
    <t>WOS:001249002500001</t>
  </si>
  <si>
    <t>Okoye, N; Siwale, J</t>
  </si>
  <si>
    <t>Okoye, Ngozi; Siwale, Juliana</t>
  </si>
  <si>
    <t>Microfinance regulation and effective corporate governance in Nigeria and Zambia</t>
  </si>
  <si>
    <t>Microfinance; Corporate governance; Nigeria; Zambia; Regulation</t>
  </si>
  <si>
    <t>PERFORMANCE</t>
  </si>
  <si>
    <t>Purpose - There have been various forms of regulatory intervention by the central banks of countries to streamline microfinance activities and ensure effective corporate governance of microfinance institutions (MFIs). Considering the limited amount of research in this area and the need to ensure regulatory effectiveness, the purpose of this paper is to evaluate the impact of regulatory provisions on the attainment of effective corporate governance in MFIs in Nigeria and Zambia. Design/methodology/approach - Interviews were conducted with regulators at the Central Bank of Nigeria and the Bank of Zambia, directors and executive management officers of MFIs and executives of apex associations of MFIs in both countries. Findings - The paper presents five significant findings which are that the regulations have enabled negative outcomes in areas such as board composition, the ownership requirements in the regulations have resulted in differing governance implications, the certification requirements for board members are problematic in practice, supervision by regulators is ineffective and has impacts on risk management and the principle of consultation with stakeholders is inadequate in both countries. Practical implications - Regulatory provisions must be robust and fit for purpose to ensure the microfinance initiative in emerging economies achieves the objectives of enhancing financial inclusion and economic development of the society. Originality/value - The paper addresses an area of limited research and provides empirical findings in relation to regulation and corporate governance in developing economies, which would help to ensure regulatory effectiveness.</t>
  </si>
  <si>
    <t>[Okoye, Ngozi] Lincoln Univ, Lincoln Law Sch, Lincoln, NE USA; [Siwale, Juliana] Lincoln Univ, Lincoln Int Business Sch, Lincoln, NE USA</t>
  </si>
  <si>
    <t>Okoye, N (corresponding author), Lincoln Univ, Lincoln Law Sch, Lincoln, NE USA.</t>
  </si>
  <si>
    <t>nokoye@lincoln.ac.uk</t>
  </si>
  <si>
    <t>Okoye, Ngozi/0000-0002-2194-8816; Siwale, Juliana/0000-0002-6315-0896</t>
  </si>
  <si>
    <t>10.1108/IJLMA-06-2016-0054</t>
  </si>
  <si>
    <t>EP2PM</t>
  </si>
  <si>
    <t>WOS:000397225600007</t>
  </si>
  <si>
    <t>Candrika, AC; Nuryakin, C</t>
  </si>
  <si>
    <t>Candrika, Andari Cita; Nuryakin, Chaikal</t>
  </si>
  <si>
    <t>Mobile Phone and Internet: The Dynamics of Technology and Financial Inclusion in Indonesia</t>
  </si>
  <si>
    <t>Financial Inclusion; Internet; ICT; Mobile phone</t>
  </si>
  <si>
    <t>SAVINGS; SERVICES</t>
  </si>
  <si>
    <t>The use of ICT in the household can be a force to increase financial inclusion. Especially if mobile phone and Internet is used in a way that it will gain user information and knowledge about finance. ICT could create a demand pull from the user side because of its nature to create a massive flow of information and knowledge (Sarma &amp; Pais 2008; Ouma, Odongo &amp; Were, 2017; Kabakova &amp; Plaksenkov, 2018). In 2018 a survey by APJII stated that 64,8% (171.17 million people) of Indonesian have access to Internet with mobile phone as the most popular gadget to access it. The Indonesia's digital base continues to grow. But the digital base mainly uses mobile phone and Internet for a social purposes and entertainment, not really reflecting any information flows about financial education. Therefore, this study is interested in seeing whether the use of mobile phone and Internet in Indonesia households can improve the flow of information and knowledge about finance. That in the end will increase financial inclusion. This study uses Susenas 2017 and 2018 Podes with data at the household level for all cities/districts in Indonesia. The method use in this research are Poisson Regression and Logistic Regression methods. This study found that ownership of mobile phones and Internet access in Indonesian households can significantly increase ownership of savings accounts in formal financial institutions as a proxy for financial inclusion.</t>
  </si>
  <si>
    <t>[Candrika, Andari Cita; Nuryakin, Chaikal] Univ Indonesia, Depok, Indonesia</t>
  </si>
  <si>
    <t>Candrika, AC (corresponding author), Univ Indonesia, Depok, Indonesia.</t>
  </si>
  <si>
    <t>andaricita.c@gmail.com; chaikal.nuryakin@ui.ac.id</t>
  </si>
  <si>
    <t>Nuryakin, Chaikal/GXF-7575-2022</t>
  </si>
  <si>
    <t>WOS:000661127405013</t>
  </si>
  <si>
    <t>Giganti, P; Borrello, M; Falcone, PM; Cembalo, L</t>
  </si>
  <si>
    <t>Giganti, Patrizio; Borrello, Massimiliano; Falcone, Pasquale Marcello; Cembalo, Luigi</t>
  </si>
  <si>
    <t>The impact of blockchain technology on enhancing sustainability in the agri-food sector: A scoping review</t>
  </si>
  <si>
    <t>Blockchain adoption; Sustainable agriculture; Food supply chain; Review methodology; PRISMA</t>
  </si>
  <si>
    <t>SUPPLY CHAIN; BIG DATA; AGRICULTURE; PERFORMANCE; CHALLENGES; INTERNET; THINGS; FUTURE</t>
  </si>
  <si>
    <t>Blockchain technology has the potential to address sustainability challenges in the agri-food industry. This scoping review analyzes 72 papers and finds that blockchain technology can enhance economic, environmental, and social sustainability. By reducing transaction costs, improving transparency, and empowering consumers, it contributes to economic sustainability. Environmental sustainability is enhanced through carbon emissions reduction, waste management, and better environmental impact monitoring. Social sustainability is promoted through food safety, consumer trust, and financial inclusion for small farmers. However, unexplored avenues like obstacle identification, localized solutions, consumer trust factors, crisis resilience, environmental implications, and fair market access require further research. The transformative potential of blockchain in the agri-food industry requires interdisciplinary collaboration to fully harness its benefits for a more sustainable future.</t>
  </si>
  <si>
    <t>[Giganti, Patrizio; Falcone, Pasquale Marcello] Univ Naples Parthenope, Dept Business &amp; Econ, Naples, Italy; [Borrello, Massimiliano; Cembalo, Luigi] Univ Naples Federico II, Dept Agr Sci, Naples, Italy</t>
  </si>
  <si>
    <t>Parthenope University Naples; University of Naples Federico II</t>
  </si>
  <si>
    <t>Falcone, PM (corresponding author), Univ Naples Parthenope, Dept Business &amp; Econ, Naples, Italy.</t>
  </si>
  <si>
    <t>pasquale.falcone@uniparthenope.it</t>
  </si>
  <si>
    <t>Falcone, Pasquale Marcello/HGB-7216-2022; Giganti, Patrizio/GXA-2978-2022; Borrello, Massimiliano/AAS-3220-2020</t>
  </si>
  <si>
    <t>Cembalo, Luigi/0000-0002-3808-5797; Giganti, Patrizio/0009-0009-8823-3696; Borrello, Massimiliano/0000-0003-1508-713X</t>
  </si>
  <si>
    <t>10.1016/j.jclepro.2024.142379</t>
  </si>
  <si>
    <t>TA1H8</t>
  </si>
  <si>
    <t>WOS:001238438300001</t>
  </si>
  <si>
    <t>Souissi, Y; Ezzi, F; Jarboui, A</t>
  </si>
  <si>
    <t>Souissi, Yasmine; Ezzi, Ferdaws; Jarboui, Anis</t>
  </si>
  <si>
    <t>Blockchain Adoption and Financial Distress: Mediating Role of Information Asymmetry</t>
  </si>
  <si>
    <t>Blockchain technology; Financial distress; Information asymmetry; STOXX Europe 600</t>
  </si>
  <si>
    <t>SUPPLY CHAIN; FIRM PERFORMANCE; TECHNOLOGY; COST; MANAGEMENT; OWNERSHIP; IMPACT</t>
  </si>
  <si>
    <t>Blockchain is an emerging decentralized ledger technology and distributed computing paradigm which has recently attracted strong attention. However, the lack of empirical evidence on the benefits of this technology has confounded information technology managers about investing in it. This study addresses this issue by investigating the relationship between blockchain technology and firms' financial distress with particular emphasis on the mediating role of information asymmetry.This research is based on a sample of 297 European companies listed in the STOXX Europe 600 during 2014-2018. Our feasible generalized least squares (FGLS) results show that blockchain technology's adoption significantly reduces the financial distress of the firm. In addition, the link between blockchain technology and firms' financial distress is mediated by information asymmetry. Blockchain technology can facilitate information transformation and improve banks' information acquisition ability. Besides, the employment of smart contracts and collaborative mechanism can reduce information risk and achieve lower financial distress.The research contributes to the literature by confirming the role of blockchain technology in reducing financial distress. The study opines that the firm's access to finance can be improved through the adoption of this technology and achieve greater transparency and lower costs.</t>
  </si>
  <si>
    <t>[Souissi, Yasmine; Ezzi, Ferdaws] Univ Sfax, Dept Finance, Sfax, Tunisia; [Jarboui, Anis] Univ Sfax, Sfax, Tunisia</t>
  </si>
  <si>
    <t>Souissi, Y (corresponding author), Univ Sfax, Dept Finance, Sfax, Tunisia.</t>
  </si>
  <si>
    <t>souissi.yasmine@laposte.net; ferdawsezzi@yahoo.fr; anisjarboui@yahoo.fr</t>
  </si>
  <si>
    <t>10.1007/s13132-023-01263-3</t>
  </si>
  <si>
    <t>WOS:000958695900004</t>
  </si>
  <si>
    <t>Aurazo, J; Gasmi, F</t>
  </si>
  <si>
    <t>Aurazo, Jose; Gasmi, Farid</t>
  </si>
  <si>
    <t>Digital payment systems in emerging economies: Lessons from Kenya, India, Brazil, and Peru</t>
  </si>
  <si>
    <t>Developing countries; Digital payment systems; Financial inclusion; Interoperability; Regulation</t>
  </si>
  <si>
    <t>MOBILE MONEY; BEHAVIOR</t>
  </si>
  <si>
    <t>Digitalization of retail payments has facilitated financial inclusion. This is recognized to stimulate growth, alleviate poverty, and address gender disparities in the financial sector. This paper closely examines four prominent payment solutions in the developing world, namely M-Pesa in Kenya, UPI in India, Pix in Brazil, and Yape in Peru. These payment systems differ enough in their key characteristics to draw useful lessons from their successful implementation. We employ a descriptive approach based on a three-dimensional conceptual framework that emphasizes the role played by payment service providers, the role played by regulators and central banks, and the degree of payment system interoperability. We then attempt to make this framework operational by suggesting a way to quantitatively represent the four payment systems examined. While these varied experiences demonstrate that there is no one-size-fits-all solution, they highlight the necessity of active public-private sector cooperation and placing the end user at the center of such initiatives.</t>
  </si>
  <si>
    <t>[Aurazo, Jose] Bank Int Settlements, Mexico City, Mexico; [Aurazo, Jose] Cent Reserve Bank Peru, Lima, Peru; [Gasmi, Farid] Univ Toulouse Capitole, Toulouse Sch Econ, Toulouse, France</t>
  </si>
  <si>
    <t>Bank for International Settlements (BIS); Universite de Toulouse; Universite Toulouse 1 Capitole; Toulouse School of Economics</t>
  </si>
  <si>
    <t>Gasmi, F (corresponding author), Univ Toulouse Capitole, Toulouse Sch Econ, Toulouse, France.</t>
  </si>
  <si>
    <t>jose.aurazo@bis.org; farid.gasmi@tse-fr.eu</t>
  </si>
  <si>
    <t>FIT IN initiative; Agence Nationale de la Recherche [ANR-17-EURE-0010]</t>
  </si>
  <si>
    <t>FIT IN initiative; Agence Nationale de la Recherche(Agence Nationale de la Recherche (ANR))</t>
  </si>
  <si>
    <t>We thank Ulrich Kaiser, the editor of this journal, and two anonymous referees for very useful comments. We acknowledge financial support from the FIT IN initiative, a research partnership between the Toulouse School of Economics and the Bill &amp; Melinda Gates Foundation, and from the Agence Nationale de la Recherche (Grant ANR-17-EURE-0010) . We thank Angelo Duarte, Jon Frost, Priscilla Koo Wilkens and Jose Luis Vasquez for their helpful comments. Farid Gasmi thanks Radia Bacha for excellent research assistantship, Milo Bianchi and Dorgyles Kouakou for useful discussions, and Samantha Metevier for insightful comments and suggestions on an earlier draft. The views expressed in this paper are those of the authors and do not necessarily reflect those of the Bank for International Settlements or the Central Reserve Bank of Peru. Any errors are our own.</t>
  </si>
  <si>
    <t>10.1016/j.infoecopol.2024.101113</t>
  </si>
  <si>
    <t>J2R4B</t>
  </si>
  <si>
    <t>WOS:001335587400001</t>
  </si>
  <si>
    <t>Cuddeback, GS; Wilson, AB; Despard, MR; Tomar, N; Chowa, G</t>
  </si>
  <si>
    <t>Cuddeback, Gary S.; Wilson, Amy Blank; Despard, Mathieu R.; Tomar, Nikhil; Chowa, Gina</t>
  </si>
  <si>
    <t>Financial insecurity and risk experiences of justice involved persons with severe mental illness</t>
  </si>
  <si>
    <t>SOCIAL WORK IN MENTAL HEALTH</t>
  </si>
  <si>
    <t>Criminal justice involvement; financial capability; mental health court; psychosocial intervention; severe mental illness</t>
  </si>
  <si>
    <t>MANAGEMENT; CREDIT; MODEL</t>
  </si>
  <si>
    <t>More information is needed about the financial experiences of justice-involved persons with severe mental illness. Qualitative and quantitative methods were used to examine the financial resources, financial risk experiences, and financial literacy of a random sample of 12 mental health court participants. Mental health court participants had limited financial resources, frequently ran out of money, and had engaged very few financial tools to manage their money. Justice-involved persons with severe mental illness need financial management interventions to help develop strategies for managing depleted resources and to develop the financial resources needed to live in community settings.</t>
  </si>
  <si>
    <t>[Cuddeback, Gary S.; Wilson, Amy Blank; Chowa, Gina] Univ North Carolina Chapel Hill, Sch Social Work, 325 Pittsboro St,CB 3550, Chapel Hill, NC 27599 USA; [Cuddeback, Gary S.] Univ North Carolina Chapel Hill, Cecil G Sheps Ctr Hlth Serv Res, Chapel Hill, NC USA; [Despard, Mathieu R.] Univ Michigan, Sch Social Work, Ann Arbor, MI 48109 USA; [Tomar, Nikhil] Univ North Carolina Chapel Hill, Div Occupat Sci &amp; Occupat Therapy, Chapel Hill, NC USA</t>
  </si>
  <si>
    <t>University of North Carolina; University of North Carolina Chapel Hill; University of North Carolina School of Medicine; University of North Carolina; University of North Carolina Chapel Hill; University of North Carolina School of Medicine; University of Michigan System; University of Michigan; University of North Carolina; University of North Carolina Chapel Hill; University of North Carolina School of Medicine</t>
  </si>
  <si>
    <t>Cuddeback, GS (corresponding author), Univ North Carolina Chapel Hill, Sch Social Work, 325 Pittsboro St,CB 3550, Chapel Hill, NC 27599 USA.</t>
  </si>
  <si>
    <t>gcuddeba@email.unc.edu</t>
  </si>
  <si>
    <t>Tomar, Nikhil/LWI-9134-2024; Chowa, Gina/L-4721-2019</t>
  </si>
  <si>
    <t>North Carolina Translational and Clinical Sciences Institute (NCTraCS), at the University of North Carolina at Chapel Hill [UL1RR025747]; National Institutes of Health Clinical and Translational Science Award program, National Center for Research Resources</t>
  </si>
  <si>
    <t>North Carolina Translational and Clinical Sciences Institute (NCTraCS), at the University of North Carolina at Chapel Hill; National Institutes of Health Clinical and Translational Science Award program, National Center for Research Resources</t>
  </si>
  <si>
    <t>This project was supported by a grant from the North Carolina Translational and Clinical Sciences Institute (NCTraCS), award number UL1RR025747, at the University of North Carolina at Chapel Hill. NCTraCS is funded by the National Institutes of Health Clinical and Translational Science Award program as a part of the National Center for Research Resources. The content is solely the responsibility of the authors and does not necessarily represent the official views of the National Center for Research Resources or the National Institutes of Health.</t>
  </si>
  <si>
    <t>1533-2985</t>
  </si>
  <si>
    <t>1533-2993</t>
  </si>
  <si>
    <t>SOC WORK MENT HEALTH</t>
  </si>
  <si>
    <t>Soc. Work Ment. Health</t>
  </si>
  <si>
    <t>10.1080/15332985.2016.1267069</t>
  </si>
  <si>
    <t>FQ7CO</t>
  </si>
  <si>
    <t>WOS:000418520600002</t>
  </si>
  <si>
    <t>Urueña-Mejfa, JC; Gutierrez, LH; Rodríguez-Lesmes, P</t>
  </si>
  <si>
    <t>Uruena-Mejia, Juan Carlos; Gutierrez, Luis H.; Rodriguez-Lesmes, Paul</t>
  </si>
  <si>
    <t>Financial inclusion and business practices of microbusiness in Colombia</t>
  </si>
  <si>
    <t>EURASIAN BUSINESS REVIEW</t>
  </si>
  <si>
    <t>Financial inclusion; Business practices; Formality; Personal initiative; Microbusiness</t>
  </si>
  <si>
    <t>MANAGEMENT-PRACTICES; DEVELOPING-COUNTRIES; FIRMS; ENTREPRENEURSHIP; MARKETS; SAVINGS; ACCESS; CREDIT; MICROFINANCE; CONSTRAINTS</t>
  </si>
  <si>
    <t>Financial inclusion is known to be relevant for improving the growth perspectives of microbusinesses. This research has three aims. First, to explore how adopting business practices can impact the usage of financial products and services of these firms. Second, to determine if higher levels of microbusinesses' formalization mediate the impact. Third, to establish if there are differences according to gender and education level. A structural equation model was estimated to test these hypotheses while considering the potential endogeneity of the main variables of interest. The model includes latent variables modeled in the form of confirmatory factor analysis. Estimates are based on self-reported information collected through a survey of 1542 microentrepreneurs in 10 Colombian cities in 2019. The results show that microentrepreneurs who adopt (more) business practices have more financial inclusion. No specific category of business practices drives the results. The effect is larger for men than women and is not present for microentrepreneurs of low education levels. Furthermore, personal initiative, a psychological construct, indirectly relates to being more financially included by increasing the adoption of business practices. Finally, there is no evidence that this is driven by higher levels of formalization regardless of the specific set of requirements that are considered. Our findings support efforts to improve business skills in microentrepreneurs and call for more comprehensive public policy strategies. These findings open the door to using soft skill-based training programs that enhance business practices, to improve microbusinesses' financial inclusion.</t>
  </si>
  <si>
    <t>[Uruena-Mejia, Juan Carlos] Univ Rosario, Corp Univ Minuto Dios, Bogota, Colombia; [Uruena-Mejia, Juan Carlos; Gutierrez, Luis H.; Rodriguez-Lesmes, Paul] Univ Rosario, Sch Econ, Bogota, Colombia</t>
  </si>
  <si>
    <t>Universidad del Rosario; Corporacion Universitaria Minuto de Dios (UNIMINUTO); Universidad del Rosario</t>
  </si>
  <si>
    <t>Urueña-Mejfa, JC (corresponding author), Univ Rosario, Corp Univ Minuto Dios, Bogota, Colombia.;Urueña-Mejfa, JC (corresponding author), Univ Rosario, Sch Econ, Bogota, Colombia.</t>
  </si>
  <si>
    <t>juanca.uruena@urosario.edu.co; Luis.gutierrez@urosario.edu.co; paul.rodriguez@urosario.edu.co</t>
  </si>
  <si>
    <t>Urueña Mejia, Juan Carlos/IUQ-3768-2023; Roiguez-Lesmes, Paul/R-5172-2019</t>
  </si>
  <si>
    <t>Urueña Mejia, Juan Carlos/0000-0001-5628-3255; Roiguez-Lesmes, Paul/0000-0003-1058-3062</t>
  </si>
  <si>
    <t>Colombia Consortium [FP44842-220-2018]</t>
  </si>
  <si>
    <t>Colombia Consortium</t>
  </si>
  <si>
    <t>Open Access funding provided by Colombia Consortium. Funding Financial Support from the program Inclusion productiva y social: programas y politicas para la promocion de una economia for-mal, codigo 60185, que conforma la Alianza EFI, bajo el Contrato de Recuperacion Contingente No. FP44842-220-2018. is gratefully acknowledged.</t>
  </si>
  <si>
    <t>1309-4297</t>
  </si>
  <si>
    <t>2147-4281</t>
  </si>
  <si>
    <t>EURASIAN BUS REV</t>
  </si>
  <si>
    <t>Eurasian Bus. Rev.</t>
  </si>
  <si>
    <t>10.1007/s40821-022-00231-2</t>
  </si>
  <si>
    <t>D1GK4</t>
  </si>
  <si>
    <t>WOS:000923991200001</t>
  </si>
  <si>
    <t>Dela Cruz, NAO; Villanueva, ACB; Tolin, L; Disse, S; Lensink, R; White, H</t>
  </si>
  <si>
    <t>Dela Cruz, Nina Ashley O.; Villanueva, Alyssa Cyrielle B.; Tolin, Lovely; Disse, Sabrina; Lensink, Robert; White, Howard</t>
  </si>
  <si>
    <t>Effects of Interventions to Improve Access to Financial Services for Micro, Small, and Medium-Sized Enterprises in Low- and Middle-Income Countries: An Evidence and Gap Map</t>
  </si>
  <si>
    <t>FIELD EXPERIMENTAL-EVIDENCE; INSURANCE EXPERIMENTAL-EVIDENCE; HOUSEHOLD POVERTY REDUCTION; QUASI-EXPERIMENTAL EVIDENCE; SELF-EMPLOYMENT PROFITS; SUB-SAHARAN AFRICA; MICROFINANCE EVIDENCE; RURAL HOUSEHOLDS; INDEX INSURANCE; RANDOMIZED EXPERIMENT</t>
  </si>
  <si>
    <t>Micro, small, and medium-sized enterprises (MSMEs) account for most firms in most economies, particularly in developing nations, and are key contributors to job creation and global economic development. However, the most significant impediment to MSME development in low- and middle-income countries is a lack of access to both investment and working capital financing. Due to a lack of essential track record, appropriate collateral, and credit history, MSMEs are frequently denied business loans by traditional lending institutions. In addition, MSMEs face institutional, structural, and non-financial factors that further impede access to funding. To address this, both public and private sectors employ indirect and direct finance interventions to help MSMEs in developing and emerging economies enhance and increase their financing needs. Given the importance of MSMEs in the economy, a comprehensive overview and systematic synthesizing of the evidence of the effects of financial access interventions for MSMEs, capturing a wide variety of outcome variables, is useful. The objective of this evidence and gap map (EGM) is to describe the existing evidence on the effects of various interventions dedicated to supporting and improving MSMEs' access to credit, as well as the corresponding firm performance and/or welfare outcomes. An EGM is a systematic evidence product that displays the existing evidence relevant to a specific research question. To better understand the various interventions dedicated to supporting and improving MSMEs' access to credit, as well as their outcomes, we conducted electronic searches in databases using various search strings. This search strategy was supplemented with gray literature searches and systematic review citation tracking to ensure that the research team had identified a significant portion of relevant research works. We included studies that examined interventions aimed at enhancing MSMEs' access to finance in low- and middle-income countries, targeting MSMEs including households, smallholder farmers and single person enterprise, as well as financial institutions/agencies and their staff. This EGM considered five types of interventions: (i) strategy, legislation and regulatory; (ii) financing systems and institutions; (iii) access facilitation; (iv) lending instruments or financial products; and (v) demand-side programs for financial literacy. On the other hand, the EGM also covered outcome domains for policy environment, financial inclusion, firm performance, and welfare. Both impact evaluations and systematic reviews of relevant interventions for a previously defined target population were included in this EGM, whether they had experimental or non-experimental designs. We considered studies that were completed or in progress. All eligible studies included a suitable comparison group for interventions. For practical reasons, studies were limited to papers written in English, with no restrictions by publication date. Before-and-after study designs with no suitable comparison group were excluded from the study, as well as literature reviews, key informant interviews, focus group discussions, and descriptive analyses. The result of our study is outlined in this study article, as well as an interactive map drawn as a matrix of various interventions improving MSMEs' access to finance and their corresponding firm performance and/or welfare outcomes. The preliminary map was produced in March 2022 and after adding supplementary research the updated map and analysis started in April 2022. The final interactive map is available online. The EGM includes 413 studies. One hundred and forty-seven studies featured interventions that targeted multiple firm sizes, though most (379 studies) analyzed microenterprises, such as households and smallholder farmers. One hundred and nine studies analyzed small and medium enterprises, while seven studies analyzed community groups. Lending instruments/financial products are the most common form of intervention across all firm types, with microenterprises most often receiving the said financial intervention (278 studies). This is followed by systems and organizations (138 studies) that support better access to such financial products and services. Welfare outcomes have the most evidence out of all the outcomes of interest, followed by firm performance and financial inclusion. Welfare outcomes refer to economic, food security and nutrition, health, education, housing, well-being, and gender outcomes. Among all firm types, welfare outcomes are primarily targeted at microenterprises. With 59 studies, we can say that small businesses have a significantly large number of enterprise performance outcomes. Of the 413 studies, 243 used non-experimental or quasi-experimental designs (mainly propensity score matching and instrumental variable approaches), 136 used experimental methods, and 34 were systematic reviews. 175 studies (43%) provided evidence from Sub-Saharan Africa, 142 studies (35%) from South Asia, 86 studies (21%) from East Asia and the Pacific, 66 studies (16%) from Latin America and the Caribbean, 28 studies (7%) from Europe and Central Asia, and 21 studies (5%) from the Middle East and North Africa. Most of the evidence included covers low-income (26%) and lower-middle income countries (66%), and to a lesser extent upper-middle-income countries (26%). This map depicts the existing evidence and gaps on the effects of interventions to enhance MSMEs' access to financial services in low- and middle-income countries. Interventions directed at microenterprises with welfare outcomes have a significant number of research outcomes in the literature. SME evaluations have looked at firm performance, with less focus on employment and the welfare effects on owners and employees, including poverty reduction. Microcredit/loans have been the focus of a large number of research papers (238 studies), indicating the field's growing popularity. However, emerging financial interventions such as facilitating access to digital financial services are relatively understudied. Additionally, 192 studies focus on rural or remote populations, 126 studies investigate interventions to the poor and disadvantaged, and 114 papers specifically address interventions targeted to women. Most of the research is conducted in Sub-Saharan Africa (175 studies) and South Asia (142 studies), so further research in other regions could be conducted to allow a more holistic understanding of the effects of financial inclusion interventions. Future studies should look into strategy, law, and regulation interventions, as well as interventions targeted at SMEs, and examine policy and regulatory environment outcomes, as well as welfare outcomes. Interventions on the demand side and their impact on the policy and regulatory environment, as well as facilitating access, are relatively understudied.</t>
  </si>
  <si>
    <t>[Dela Cruz, Nina Ashley O.; White, Howard] Lanzhou Univ, Ctr Evidence Based Social Sci, Lanzhou, Peoples R China; [Villanueva, Alyssa Cyrielle B.] Campbell Collaborat, Meycauayan City, Bulacan, Philippines; [Tolin, Lovely] Campbell Collaborat, Quezon City, Philippines; [Disse, Sabrina] Campbell Collaborat, Cologne, Germany; [Lensink, Robert] Univ Groningen, Groningen, Netherlands</t>
  </si>
  <si>
    <t>Lanzhou University; University of Groningen</t>
  </si>
  <si>
    <t>Dela Cruz, NAO (corresponding author), Lanzhou Univ, Ctr Evidence Based Social Sci, Lanzhou, Peoples R China.</t>
  </si>
  <si>
    <t>Lensink, Robert/ABA-3076-2020; Dela Cruz, Nina/HKP-2657-2023</t>
  </si>
  <si>
    <t>Lensink, Robert/0000-0001-6448-5164;</t>
  </si>
  <si>
    <t>This study was supported by the Asian Development Bank.</t>
  </si>
  <si>
    <t>e70061</t>
  </si>
  <si>
    <t>10.1002/cl2.70061</t>
  </si>
  <si>
    <t>7DS2E</t>
  </si>
  <si>
    <t>WOS:001568578300001</t>
  </si>
  <si>
    <t>Serrano-Cinca, C; Fuertes-Callén, Y; Cuéllar-Fernández, B</t>
  </si>
  <si>
    <t>Serrano-Cinca, Carlos; Fuertes-Callen, Yolanda; Cuellar-Fernandez, Beatriz</t>
  </si>
  <si>
    <t>The Relationship Between Microfinance Mission Drift and Financial Returns to Stakeholders</t>
  </si>
  <si>
    <t>NONPROFIT AND VOLUNTARY SECTOR QUARTERLY</t>
  </si>
  <si>
    <t>microfinance; non-profit; mission drift; social performance; stakeholders</t>
  </si>
  <si>
    <t>SURPLUS DISTRIBUTION; PERFORMANCE; INSTITUTIONS; OUTREACH; MANAGEMENT; DEPENDENCE; NONPROFIT; COUNTRIES</t>
  </si>
  <si>
    <t>Some microfinance institutions (MFIs) can drift from their social mission, generating well-studied effects for their borrowers. We focus on the lesser-known effect of mission drift on the financial return to other stakeholders (employees, government, micro-savers, and banking creditors). Using a sample of 534 MFIs, we calculated the economic value distributed by the MFI to these stakeholders by considering salaries, taxes, and interest paid. We found a negative relationship between average loan size and return to employees (RTE), government, and banking creditors, and a positive relationship between women borrowers and RTE and government. This is explained by the fact that mission-focused MFIs are usually small, labor-intensive institutions with a stable business model. We found a positive relationship between average loan size and return to micro-savers, and a negative relationship between women borrowers and return to micro-savers. The reason is that many mission-focused MFIs do not offer micro-savings, undermining financial inclusion.</t>
  </si>
  <si>
    <t>[Serrano-Cinca, Carlos; Fuertes-Callen, Yolanda; Cuellar-Fernandez, Beatriz] Univ Zaragoza, Zaragoza, Spain</t>
  </si>
  <si>
    <t>Serrano-Cinca, C (corresponding author), Univ Zaragoza, Fac Econ &amp; Business, Dept Accounting &amp; Finance, C Gran Via 2, Zaragoza 50005, Spain.</t>
  </si>
  <si>
    <t>serrano@unizar.es</t>
  </si>
  <si>
    <t>Serrano Cinca, Carlos/K-1744-2017; CUELLAR, BEATRIZ/KFS-1417-2024</t>
  </si>
  <si>
    <t>Serrano Cinca, Carlos/0000-0003-2596-9638;</t>
  </si>
  <si>
    <t>Spanish Ministry of Education [RTI2018-093483-B-I00]; European Regional Development Fund (ERDF); University of Zaragoza [JIUZ-2021-SOC-03]; Government of Aragon [S38_20R]</t>
  </si>
  <si>
    <t>Spanish Ministry of Education(Spanish Government); European Regional Development Fund (ERDF)(European Union (EU)); University of Zaragoza; Government of Aragon(Gobierno de Aragon)</t>
  </si>
  <si>
    <t>The author(s) disclosed receipt of the following financial support for the research, authorship, and/or publication of this article: The study was funded by the Spanish Ministry of Education (code RTI2018-093483-B-I00), the European Regional Development Fund (ERDF) A way of making Europe, the University of Zaragoza (code JIUZ-2021-SOC-03) and by the Government of Aragon (code S38_20R).</t>
  </si>
  <si>
    <t>0899-7640</t>
  </si>
  <si>
    <t>1552-7395</t>
  </si>
  <si>
    <t>NONPROF VOLUNT SEC Q</t>
  </si>
  <si>
    <t>Nonprofit Volunt. Sect. Q.</t>
  </si>
  <si>
    <t>10.1177/08997640221138763</t>
  </si>
  <si>
    <t>DS4Q0</t>
  </si>
  <si>
    <t>WOS:000897919900001</t>
  </si>
  <si>
    <t>Ayimah, JC; Kuada, J; Ayimey, EK</t>
  </si>
  <si>
    <t>Ayimah, John Coker; Kuada, John; Ayimey, Edward Kwame</t>
  </si>
  <si>
    <t>Digital financial service adoption decisions of semi-urban Ghanaian university students - implications for enterprise development and job creation</t>
  </si>
  <si>
    <t>Financial inclusion; Digitized financial services; Financial technology adoption; Developing countries</t>
  </si>
  <si>
    <t>TECHNOLOGY ACCEPTANCE; CONSUMER ACCEPTANCE; SELF-SERVICE; MOBILE MONEY; SAMPLE-SIZE; BANKING; INTERNET; QUALITY; GROWTH; GENDER</t>
  </si>
  <si>
    <t>PurposeThis paper reports results of an investigation into semi-urban Ghanaian university youths' attitude to digitized financial services (DFSs) and the determinants of their adoption decisions.Design/methodology/approachQuantitative cross-sectional research approach was used. Three hundred and seventy-five (375) university students were randomly selected from a semi-urban town in Ghana to test the applicability of technology acceptance model (TAM) within such a context. Structural equation modeling was employed to assess stated hypotheses.FindingsThe results indicate a high penetration of digital financial services among the students, which confirms the applicability of TAM for such studies. The results further suggest that DFS provides a pathway to financial inclusion and can stimulate small enterprise development and job creation in Ghana's semi-urban communities.Originality/valueHitherto, little academic attention has been given to digitization of financial services in semi-urban African towns. The study contributes to filling this research gap.</t>
  </si>
  <si>
    <t>[Ayimah, John Coker] Ho Tech Univ, Dept Math &amp; Stat, Ho, Ghana; [Kuada, John] Aalborg Univ, Business Sch, Aalborg, Denmark; [Ayimey, Edward Kwame] Ho Tech Univ, Dept Mkt, Ho, Ghana</t>
  </si>
  <si>
    <t>Ayimah, JC (corresponding author), Ho Tech Univ, Dept Math &amp; Stat, Ho, Ghana.</t>
  </si>
  <si>
    <t>jayimah@htu.edu.gh; kuada@business.aau.dk; eayimey@htu.edu.gh</t>
  </si>
  <si>
    <t>Ayimey, Edward Kwame/0000-0001-9285-1520; Ayimah, John/0000-0003-3619-8226; Kuada, John Ernest/0000-0002-8314-643X</t>
  </si>
  <si>
    <t>10.1108/AJEMS-02-2022-0055</t>
  </si>
  <si>
    <t>WOS:000986405700001</t>
  </si>
  <si>
    <t>Mutsonziwa, K; Fanta, A</t>
  </si>
  <si>
    <t>Mutsonziwa, Kingstone; Fanta, Ashenafi</t>
  </si>
  <si>
    <t>Over-indebtedness and its welfare effect on households: Evidence from the Southern African countries</t>
  </si>
  <si>
    <t>Africa; Poverty; Financial inclusion; Debt; SADC</t>
  </si>
  <si>
    <t>CREDIT MARKETS; DEBT; MICROFINANCE; HEALTH; DETERMINANTS</t>
  </si>
  <si>
    <t>Purpose Although credit plays a crucial role in modern society, the increased availability of credit is partly responsible for higher levels of debt burden and household over-indebtedness. However, despite the serious consequences of over-indebtedness on household welfare our understanding of the factors that determine over-indebtedness and the link between over-indebtedness and poverty is limited. The purpose of this paper is therefore to identify drivers of over-indebtedness at an individual level and its link with poverty. Design/methodology/approach The authors analysed the determinants of over-indebtedness and its links with poverty employing a binary logistic regression model using data on 51,359 individuals from 11 economies in the Southern Africa Development Community. Findings The results suggest that over-indebtedness is driven by, among others, lack of credit literacy, cross-borrowing and income. The results also suggest that over-indebtedness is likely to impoverish the indebted. Practical implications Policies that encourage access to financial services such as credit should be designed such that increased financial inclusion does not aggravate poverty and inequality. Originality/value The authors used a unique financial inclusion survey that reports data on financial inclusion and poverty measures to identify the determinants of over-indebtedness and its link with poverty.</t>
  </si>
  <si>
    <t>[Mutsonziwa, Kingstone] Finmark Trust, Dept Informat &amp; Res, Johannesburg, South Africa; [Fanta, Ashenafi] Stellenbosch Univ, Dept Dev Finance, Saldanha, South Africa</t>
  </si>
  <si>
    <t>Mutsonziwa, K (corresponding author), Finmark Trust, Dept Informat &amp; Res, Johannesburg, South Africa.</t>
  </si>
  <si>
    <t>kingstoneM@finmark.org.za; ashenafi@usb.ac.za</t>
  </si>
  <si>
    <t>10.1108/AJEMS-04-2018-0105</t>
  </si>
  <si>
    <t>IC2CO</t>
  </si>
  <si>
    <t>WOS:000470767600004</t>
  </si>
  <si>
    <t>Wellalage, NH; Hunjra, AI; Manita, R; Locke, SM</t>
  </si>
  <si>
    <t>Wellalage, Nirosha Hewa; Hunjra, Ahmed Imran; Manita, Riadh; Locke, Stuart M.</t>
  </si>
  <si>
    <t>Information communication technology and financial inclusion of innovative entrepreneurs</t>
  </si>
  <si>
    <t>Financial inclusion; Information communication technologies; Entrepreneurs; Developing countries; Propensity score analysis; Inverse probability of treatment weighting</t>
  </si>
  <si>
    <t>CREDIT CONSTRAINTS EVIDENCE; PROPENSITY SCORE METHODS; EMERGING MARKETS; MOBILE MONEY; INDUSTRY 4.0; ICT; ACCESS; PERFORMANCE; GOVERNANCE; COMPANIES</t>
  </si>
  <si>
    <t>Financial inclusion (FI) provides significant possibilities for poverty alleviation. Information communication technology (ICT) is an essential component of any FI strategy aiming to enable access to a wide range of financial products and services. This study explores entrepreneurs' assessments of the role of ICT for their FI and its effect in Africa. Using data for 1436 entrepreneurs, from the World Bank Enterprise Survey database and applying an inverse probability of treatment weighting (IPTW) based on propensity scores, the results of our study indicate that ICT increases entrepreneurs' FI. In particular, we find that the average FI of entrepreneurs using ICT in their business is approximately 12% higher than their counterparts who do not use ICT. Further, separate treatments of email, website, and mobile phone, show that business website ownership has the highest impact on FI, followed by mobile phone and email. The results are robust through a series of robustness checks including the bivariate pmbit model, propensity score matching model, and alternative proxies for FI. Our findings confirm the significant role technological deepening plays in advancing FI in Africa, and its potential for wider applicability to other developing economies.</t>
  </si>
  <si>
    <t>[Wellalage, Nirosha Hewa; Locke, Stuart M.] Univ Waikato, Sch Accounting Finance &amp; Econ, Hamilton, New Zealand; [Hunjra, Ahmed Imran] PMAS Arid Agr Univ Rawalpindi, Univ Inst Management Sci, Rawalpindi, Pakistan; [Manita, Riadh] NEOMA Business Sch, Mont St Aignan, France</t>
  </si>
  <si>
    <t>University of Waikato; Arid Agriculture University; NEOMA Business School</t>
  </si>
  <si>
    <t>Hunjra, AI (corresponding author), PMAS Arid Agr Univ Rawalpindi, Univ Inst Management Sci, Rawalpindi, Pakistan.</t>
  </si>
  <si>
    <t>nirosha@waikato.ac.nz; ahmedhunjra@gmail.com; riadh.manita@neoma-bs.fr; smlocke@waikato.ac.nz</t>
  </si>
  <si>
    <t>Wellalage, Nirosha/H-7776-2014; Hunjra, Ahmed Imran/G-7795-2017; Locke, Stuart/C-3727-2015</t>
  </si>
  <si>
    <t>Wellalage, Nirosha/0000-0002-3316-3813; Hunjra, Ahmed Imran/0000-0002-7272-3684;</t>
  </si>
  <si>
    <t>10.1016/j.techfore.2020.120416</t>
  </si>
  <si>
    <t>PT1ZW</t>
  </si>
  <si>
    <t>WOS:000608420000019</t>
  </si>
  <si>
    <t>Gandhi, M; Rooj, D; Sengupta, R</t>
  </si>
  <si>
    <t>Gandhi, Mahika; Rooj, Debasis; Sengupta, Reshmi</t>
  </si>
  <si>
    <t>Impact of banking penetration on stock market participation: A district-level analysis</t>
  </si>
  <si>
    <t>Stock market participation; Bank penetration; India: Financial inclusion: NSSO</t>
  </si>
  <si>
    <t>FINANCIAL LITERACY; GENDER</t>
  </si>
  <si>
    <t>This paper examines the impact of increasing bank branches in a district on the stock market participation of households. Using household-level data from the 70(th) and 77(th) rounds of the National Sample Surveys, we find that households' decision to participate in the stock market increases significantly when the number of bank branches in their district increases. The subsample analysis shows that an increase in bank branches has a greater impact in rural areas than urban areas. Also, OBC families and household heads with graduate-level or higher education are the primary beneficiaries of increased banking services on stock market participation.</t>
  </si>
  <si>
    <t>[Gandhi, Mahika] Johns Hopkins Univ, Sch Adv Int Studies, Washington, DC USA; [Rooj, Debasis; Sengupta, Reshmi] FLAME Univ, Pune, Maharashtra, India; [Gandhi, Mahika] Int Monetary Fund, Washington, DC USA</t>
  </si>
  <si>
    <t>Johns Hopkins University; International Monetary Fund</t>
  </si>
  <si>
    <t>Rooj, D (corresponding author), FLAME Univ, Pune, Maharashtra, India.</t>
  </si>
  <si>
    <t>roojdeb@gmail.com</t>
  </si>
  <si>
    <t>10.1016/j.iimb.2025.100616</t>
  </si>
  <si>
    <t>AQ0SP</t>
  </si>
  <si>
    <t>WOS:001654050700002</t>
  </si>
  <si>
    <t>Overton, L; O'Mahony, LF</t>
  </si>
  <si>
    <t>Overton, Louise; O'Mahony, Lorna Fox</t>
  </si>
  <si>
    <t>Stakeholder Conceptions of Later-Life Consumer Vulnerability in the Financial Services Industry: Beyond Financial Capability?</t>
  </si>
  <si>
    <t>Vulnerability; Ageing; Consumer protection; Financial regulation; Equity release</t>
  </si>
  <si>
    <t>EQUITY-RELEASE; ATTITUDES; PRODUCT</t>
  </si>
  <si>
    <t>When thenewly re-constituted UK financial services regulator-the Financial Conduct Authority-was launched in 2013, it promised to adopt a new approach to its consumer protection objectives. This shift included articulating a new conception of consumer vulnerability, beyond narrow, individualistic, conceptions of vulnerability based on (limited) financial capability, towards a broader conception which takes account of the connection between individual circumstances, situations, and market factors in causing or exacerbating manifestations of consumer vulnerability. Drawing on new empirical research with later-life financial services stakeholders and consumers, this article examines the extent to which equity release stakeholder perceptions of consumer vulnerability align to this new regulatory philosophy, and to the realities of consumer experiences. Our findings indicate that, in contrast to the FCA's new, broader understanding of consumer vulnerability, the stakeholders in our study tended to understand vulnerability through a narrower lens, focusing predominantly on information vulnerability, or on whether or not the consumer knows what they are doing. This conception supports the assumption that providing financial advice is sufficient intervention to ensure good consumer outcomes. This assumption is also at odds with our earlier consumer study findings, which revealed a much wider set of vulnerabilities amongst equity release consumers. We reflect on the implications of these findings for the development of the later-life financial services industry, in ways that can more appropriately serve the needs of this consumer population.</t>
  </si>
  <si>
    <t>[Overton, Louise] Univ Birmingham, Dept Social Policy Sociol &amp; Criminol, Birmingham B15 2TT, W Midlands, England; [O'Mahony, Lorna Fox] Univ Essex, Essex Law Sch, Wivenhoe Pk, Colchester CO3 4SQ, Essex, England</t>
  </si>
  <si>
    <t>University of Birmingham; University of Essex</t>
  </si>
  <si>
    <t>Overton, L (corresponding author), Univ Birmingham, Dept Social Policy Sociol &amp; Criminol, Birmingham B15 2TT, W Midlands, England.</t>
  </si>
  <si>
    <t>l.e.overton@bham.ac.uk</t>
  </si>
  <si>
    <t>Overton, Louise/0000-0002-3757-4257</t>
  </si>
  <si>
    <t>10.1007/s10603-018-9375-2</t>
  </si>
  <si>
    <t>GS2GX</t>
  </si>
  <si>
    <t>WOS:000443364200005</t>
  </si>
  <si>
    <t>Dimitrova-Grajzl, V; Grajzl, P; Guse, AJ; Kokodoko, M; Wheeler, L</t>
  </si>
  <si>
    <t>Dimitrova-Grajzl, Valentina; Grajzl, Peter; Guse, A. Joseph; Kokodoko, Michou; Wheeler, Laurel</t>
  </si>
  <si>
    <t>When the Lender Extends a Helping Hand: Native CDFI Client Counseling and Loan Performance in Indian Country</t>
  </si>
  <si>
    <t>JOURNAL OF ECONOMICS RACE AND POLICY</t>
  </si>
  <si>
    <t>Native CDFIs; Consumer loans; Financial counseling; Credit history; Loan performance; Financial inclusion; Indian Country; G21; G53; G11; J15; O16; P43</t>
  </si>
  <si>
    <t>FINANCIAL LITERACY; CREDIT; RISK</t>
  </si>
  <si>
    <t>Native Community Development Financial Institutions (NCDFIs) fill credit supply gaps and promote financial inclusion in Native communities. To mitigate lending risks and aid clients, NCDFIs often rely on unconventional lending practices such as providing clients with free financial counseling. Drawing on uniquely detailed consumer loan-level data of one prominent NCDFI, we empirically model the hazard of a loan turning into bad debt. Our analysis shows that borrower exposure to NCDFI-provided financial counseling appreciably reduces the prospects of consumer loan failure when the borrower has had limited prior credit-market experience. Personalized coaching is more effective than the relatively less client-tailored, classroom-style training. Our results have implications for the lending practices of creditors serving Native communities and beyond. More broadly, our findings are indicative of the importance of the growing, but understudied, NCDFI industry for financial development of Indian Country.</t>
  </si>
  <si>
    <t>[Dimitrova-Grajzl, Valentina] Virginia Mil Inst, Dept Econ &amp; Business, Lexington, VA USA; [Grajzl, Peter; Guse, A. Joseph] Washington &amp; Lee Univ, Williams Sch Commerce Econ &amp; Polit, Dept Econ, Lexington, VA 24450 USA; [Grajzl, Peter] CESifo, Munich, Germany; [Kokodoko, Michou; Wheeler, Laurel] Fed Reserve Bank Minneapolis, Ctr Indian Country Dev, Minneapolis, MN USA</t>
  </si>
  <si>
    <t>Washington &amp; Lee University; Leibniz Association; Ifo Institut; Federal Reserve System - USA; Federal Reserve Bank - Minneapolis</t>
  </si>
  <si>
    <t>Grajzl, P (corresponding author), Washington &amp; Lee Univ, Williams Sch Commerce Econ &amp; Polit, Dept Econ, Lexington, VA 24450 USA.;Grajzl, P (corresponding author), CESifo, Munich, Germany.</t>
  </si>
  <si>
    <t>dimitrova-grajzlvp@vmi.edu; grajzlp@wlu.edu; gusej@wlu.edu; michou.kokodoko@mpls.frb.org; laurel.wheeler@mpls.frb.org</t>
  </si>
  <si>
    <t>Wheeler, Laurel/KQU-5495-2024</t>
  </si>
  <si>
    <t>Wheeler, Laurel/0000-0002-7557-1153</t>
  </si>
  <si>
    <t>Center for Indian Country Development at the Federal Reserve Bank of Minneapolis</t>
  </si>
  <si>
    <t>This project was partly funded by the Center for Indian Country Development at the Federal Reserve Bank of Minneapolis.</t>
  </si>
  <si>
    <t>2520-8411</t>
  </si>
  <si>
    <t>2520-842X</t>
  </si>
  <si>
    <t>J ECON RACE POLICY</t>
  </si>
  <si>
    <t>J. Econ. Race Policy</t>
  </si>
  <si>
    <t>10.1007/s41996-023-00119-x</t>
  </si>
  <si>
    <t>TV3O3</t>
  </si>
  <si>
    <t>WOS:001243997400002</t>
  </si>
  <si>
    <t>Abdulkareem, HKK; Jimoh, SO; Nofiu, TT; Akande, RS</t>
  </si>
  <si>
    <t>Abdulkareem, Hauwah K. K.; Jimoh, Sodiq Olaiwola; Nofiu, Taofeekat Temitope; Akande, Rashidat Sumbola</t>
  </si>
  <si>
    <t>Leaving No One Behind: Examining the effect of financial, gender, and digital inclusion on sustainable development</t>
  </si>
  <si>
    <t>digital inclusion; financial inclusion; gender inclusion; sub-Sahara Africa; sustainable development</t>
  </si>
  <si>
    <t>ECONOMIC-GROWTH; ECO-INNOVATION; IMPACT</t>
  </si>
  <si>
    <t>This paper analyzes the effects of different dimensions of inclusion toward the attainment of sustainable development in 33 sub-Saharan African (SSA) countries from the financial, gender, and technological perspectives between 2004 and 2021. This study employs the System Generalized Method of Moments given its ability to address potential endogeneity issues, capture the dynamic nature of relationships, and mitigate potential biases while adopting the Driscoll-Kraay standard errors for robustness check. Findings reveal two of the three measures of financial inclusion wield positive and significant effects on sustainable development while credit to the private sector is found to be detrimental. Also, all three measures of gender inclusion (female employment to population, female labor force participation rate, and the number of women holding a seat in parliament) positively influence sustainable development. Contrastingly, the coefficients of digital inclusion (mobile phone subscription and internet usage) were revealed to be harmful to sustainable development in SSA. This paper advocates for increased financial inclusion through financial literacy, customized financial products, and gender-sensitive financial services. Pertinent are gender policies that address gender norms in addition to the enactment, avowed commitment, and support for affirmative action toward closing gender gaps across all sectors and at all levels.</t>
  </si>
  <si>
    <t>[Abdulkareem, Hauwah K. K.; Jimoh, Sodiq Olaiwola; Nofiu, Taofeekat Temitope; Akande, Rashidat Sumbola] Kwara State Univ, Dept Econ &amp; Dev Studies, Malete, Nigeria</t>
  </si>
  <si>
    <t>Nofiu, TT (corresponding author), Kwara State Univ, Dept Econ &amp; Dev Studies, Malete, Nigeria.</t>
  </si>
  <si>
    <t>taofeekat.sulaimon@kwasu.edu.ng</t>
  </si>
  <si>
    <t>; Akande, Rashidat/NYT-3035-2025; Jimoh, Sodiq/ABC-9330-2021; AbdulKareem, Hauwah K K/HOH-0976-2023</t>
  </si>
  <si>
    <t>Jimoh, Sodiq/0000-0001-8389-5505; Akande, Rashidat/0000-0003-2228-2929; Nofiu, Taofeekat Temitope/0000-0002-9062-4495; AbdulKareem, Hauwah K K/0000-0003-1300-4126</t>
  </si>
  <si>
    <t>10.1002/sd.3245</t>
  </si>
  <si>
    <t>0WG2V</t>
  </si>
  <si>
    <t>WOS:001344088200001</t>
  </si>
  <si>
    <t>The role of financial inclusion and FinTech in addressing climate-related challenges in the industry 4.0: Lessons for sustainable development goals</t>
  </si>
  <si>
    <t>FRONTIERS IN CLIMATE</t>
  </si>
  <si>
    <t>challenges; climate change; financial inclusion; Fourth Industrial Revolution; sustainable development goals</t>
  </si>
  <si>
    <t>ECONOMIC-GROWTH; ENERGY-CONSUMPTION; RENEWABLE ENERGY; POVERTY; SAVINGS; HEALTH; POLICY; TRADE</t>
  </si>
  <si>
    <t>Individuals and enterprises have an increasing need for financial resources, which has led to the development of numerous financial instruments such as microfinance, insurance, and cash transfers, among other things. The number of development partners advocating for the use of these technologies to address disaster risks and climate change-related concerns is also increasing. With the rise in risk reduction needs and challenges associated with climate change, it's more important than ever to assess the effectiveness of various financial instruments (financial inclusion) in solving climate-related issues. The study used secondary data studied through document analysis to answer the question, what role does financial technology play in addressing the challenges or hazards associated with climate change in the Fourth Industrial Revolution? The results indicated that financial inclusion through FinTech could aid in the resilience of households, individuals, and companies in the case of a rapid climate event or the gradual effects of changing rainfall patterns, rising sea levels, or salter water incursion. Insurance, savings, credit, money transfers, and new digital distribution channels can all help victims of climate change and those in charge of dealing with the new environmental realities. As a result, the study advises that financial inclusion through FinTech be promoted as one of the channels that can aid in managing the risks of climate-related concerns and achieving sustainable development goals through development patterns, governments, and civil society.</t>
  </si>
  <si>
    <t>[Mhlanga, David] Univ Johannesburg, Dept Accountancy, Johannesburg, South Africa</t>
  </si>
  <si>
    <t>Mhlanga, D (corresponding author), Univ Johannesburg, Dept Accountancy, Johannesburg, South Africa.</t>
  </si>
  <si>
    <t>2624-9553</t>
  </si>
  <si>
    <t>FRONT CLIM</t>
  </si>
  <si>
    <t>Front. Clim.</t>
  </si>
  <si>
    <t>SEP 15</t>
  </si>
  <si>
    <t>10.3389/fclim.2022.949178</t>
  </si>
  <si>
    <t>K8UN3</t>
  </si>
  <si>
    <t>WOS:001019134000001</t>
  </si>
  <si>
    <t>Luckyardi, S; Fahrezi, M; Soegoto, ES</t>
  </si>
  <si>
    <t>Luckyardi, Senny; Fahrezi, Muhamad; Soegoto, Eddy Soeryanto</t>
  </si>
  <si>
    <t>ENHANCING TRUST IN DIGITAL FINANCE: BLOCKCHAIN AND AI FOR SECURE AND TRANSPARENT FINTECH SOLUTIONS</t>
  </si>
  <si>
    <t>JOURNAL OF ENGINEERING SCIENCE AND TECHNOLOGY</t>
  </si>
  <si>
    <t>Artificial intelligence (AI); Blockchain; Digital finance; Fraud detection; Regulatory compliance</t>
  </si>
  <si>
    <t>The rapid advancement of financial technology (FinTech) has brought significant innovations while raising concerns about security, transparency, and trust. This study explores how blockchain and artificial intelligence (AI) enhance trust in digital finance by strengthening security, improving fraud detection, and ensuring regulatory compliance. This study systematically reviews the integration of blockchain and AI in financial operations using a qualitative research approach. The findings indicate that blockchain enhances transaction security through decentralization and immutability, while AI significantly improves fraud detection and risk assessment through predictive analytics and machine learning. These advancements are driven by blockchain's ability to ensure data integrity and AI's capacity to analyse vast datasets in real time. This research highlights the potential of these technologies to boost consumer confidence, promote financial inclusion, and enhance the resilience of digital financial systems. However, regulatory complexities, high integration costs, and interoperability issues must be addressed to enable broader adoption.</t>
  </si>
  <si>
    <t>[Luckyardi, Senny; Fahrezi, Muhamad; Soegoto, Eddy Soeryanto] Univ Komputer Indonesia, Bandung, Indonesia</t>
  </si>
  <si>
    <t>Fahrezi, M (corresponding author), Univ Komputer Indonesia, Bandung, Indonesia.</t>
  </si>
  <si>
    <t>fahrezi.21222225@mahasiswa.unikom.ac.id</t>
  </si>
  <si>
    <t>Soegoto, Eddy/ABF-4068-2020; Luckyardi, Senny/AAT-2335-2021</t>
  </si>
  <si>
    <t>TAYLORS UNIV SDN BHD</t>
  </si>
  <si>
    <t>1 JALAN SS15-8, SUBANG JAYA, SELANGOR, 47500, MALAYSIA</t>
  </si>
  <si>
    <t>1823-4690</t>
  </si>
  <si>
    <t>J ENG SCI TECHNOL</t>
  </si>
  <si>
    <t>J. Eng. Sci. Technol.</t>
  </si>
  <si>
    <t>1AH2U</t>
  </si>
  <si>
    <t>WOS:001460253400006</t>
  </si>
  <si>
    <t>Lee, J; Kim, KT; Lee, JM</t>
  </si>
  <si>
    <t>Lee, Jonghee; Kim, Kyoung Tae; Lee, Jae Min</t>
  </si>
  <si>
    <t>Understanding the factors behind racial and ethnic disparities in the adoption of alternative financial services: a decomposition analysis</t>
  </si>
  <si>
    <t>Race/ethnicity; Alternative financial services; Financial literacy; Decomposition analysis</t>
  </si>
  <si>
    <t>LITERACY; CREDIT; ACCESS; DISCRIMINATION; CONFIDENCE; INEQUALITY; EMPLOYMENT; KNOWLEDGE</t>
  </si>
  <si>
    <t>PurposeThe purpose of this study was to examine racial/ethnic differences in AFS use and their contributing factors using a decomposition analysis.Design/methodology/approachThe 2018 National Financial Capability Study dataset was used to analyze the four major types of AFS-title loans, payday loans, pawnshops, and rent-to-own (RTO) stores-as proxies for AFS use. The study conducted both logistic regression analysis and decomposition analysis to examine the contributing factors.FindingsThe results of the logistic regression analysis demonstrated significant disparities in the use of alternative financial services (AFS) among racial and ethnic groups. Specifically, it was found that Blacks were more likely to utilize title and payday loans, pawnshops, and rent-to-own (RTO) stores compared to Whites. In contrast, Hispanics and Asians/individuals of other ethnicities were less likely to use title loans, but Hispanics were more likely to opt for payday loans over Whites. Furthermore, objective financial literacy exhibited a negative association with the likelihood of using these four types of AFS, whereas subjective financial literacy consistently showed a positive association. When examining the decomposition analyses, it became evident that both objective and subjective financial literacy played significant roles in explaining the racial and ethnic disparities in AFS usage. However, the patterns varied in three specific pairwise comparisons.Originality/valueThis study revealed the relative contributions of each factor to the racial/ethnic disparities through decomposition analysis. Our Fairlie decomposition approach addressed non-linearities within the decomposition framework, particularly in estimating the probabilities of AFS utilization, given its binary outcomes. This extension builds upon the Oaxaca decomposition. The study offers valuable insights into the variations in AFS use among different racial and ethnic groups.</t>
  </si>
  <si>
    <t>[Lee, Jonghee] Inha Univ, Dept Consumer Sci, Incheon, South Korea; [Kim, Kyoung Tae] Univ Alabama, Tuscaloosa, AL USA; [Lee, Jae Min] Minnesota State Univ Mankato, Mankato, MN 56001 USA</t>
  </si>
  <si>
    <t>Inha University; University of Alabama System; University of Alabama Tuscaloosa; Minnesota State Colleges &amp; Universities; Minnesota State University Mankato</t>
  </si>
  <si>
    <t>Lee, JM (corresponding author), Minnesota State Univ Mankato, Mankato, MN 56001 USA.</t>
  </si>
  <si>
    <t>jae-min.lee@mnsu.edu</t>
  </si>
  <si>
    <t>10.1108/IJBM-03-2023-0136</t>
  </si>
  <si>
    <t>WOS:001253230800001</t>
  </si>
  <si>
    <t>Xiao, JJ; Lavigueur, B; Izenstark, A; Hanna, SD; Lawrence, FC</t>
  </si>
  <si>
    <t>Xiao, Jing Jian; Lavigueur, Beatrix; Izenstark, Amanda; Hanna, Sherman D.; Lawrence, Francis C.</t>
  </si>
  <si>
    <t>Three Decades of the Journal of Financial Counseling and Planning</t>
  </si>
  <si>
    <t>content analysis; financial counseling; financial education; financial planning; financial well-being; journal review</t>
  </si>
  <si>
    <t>This article describes the current status and trends in the past three decades (1990-2019) of the Journal of Financial Counseling and Planning (JFCP). Since its first issue published in 1990, JFCP has become a major research outlet in consumer finance. The journal publishes cutting-edge, peer-reviewed, original research papers on consumer financial counseling, planning, and education that have broad impacts on both academic research and business practices in the field of consumer finance. It is included in many major indexes such as Scopus, Emerging Source Citation Index, EconLit, among others. It has published influential papers on consumer financial well-being, financial capability, financial education, financial counseling, financial planning, retirement planning, risk tolerance, and financial behavior change.</t>
  </si>
  <si>
    <t>[Xiao, Jing Jian; Lavigueur, Beatrix] Univ Rhode Isl, Dept Human Dev &amp; Family Studies, Kingston, RI 02881 USA; [Izenstark, Amanda] Univ Rhode Isl, Kingston, RI 02881 USA; [Hanna, Sherman D.] Ohio State Univ, Dept Human Serv, 1787 Neil Ave, Columbus, OH 43210 USA; [Lawrence, Francis C.] Univ Missouri, Dept Human Sci, 241 Stanley Hall, Columbia, MO 65211 USA</t>
  </si>
  <si>
    <t>University of Rhode Island; University of Rhode Island; University System of Ohio; Ohio State University; University of Missouri System; University of Missouri Columbia</t>
  </si>
  <si>
    <t>xiao@uri.edu; blavigueur@my.uri.edu; amanda@uri.edu; hanna.1@osu.edu; lawrencef@missouri.edu</t>
  </si>
  <si>
    <t>Xiao, Jing Jian/R-1415-2016; Izenstark, Amanda/A-7885-2013</t>
  </si>
  <si>
    <t>Xiao, Jing Jian/0000-0003-3252-5672; Izenstark, Amanda/0000-0001-9411-1948</t>
  </si>
  <si>
    <t>10.1891/JFCP-20-00010</t>
  </si>
  <si>
    <t>WOS:000543736300001</t>
  </si>
  <si>
    <t>Ouyang, CR; Naveed, K; Chatterjee, S</t>
  </si>
  <si>
    <t>Ouyang, Congrong; Naveed, Khurram; Chatterjee, Swarn</t>
  </si>
  <si>
    <t>Poverty and mortgage delinquency: unpacking the mediating role of financial overconfidence</t>
  </si>
  <si>
    <t>COVID-19; poverty; financial knowledge; financial overconfidence; mortgage delinquency</t>
  </si>
  <si>
    <t>This study examines the association between poverty and mortgage delinquency, and the mediating role of financial overconfidence during the COVID-19 pandemic. Analyses for this study are done using the geo-coded 2021 wave of the FINRA National Financial Capability Study (NFCS), combined with ZIP-code-level characteristics from the U.S. Census data. Results indicate that living in areas at 150% and 200% of poverty level was positively associated with mortgage delinquency. Notably, this relationship was mediated by financial overconfidence, suggesting that financial overconfidence can exacerbate household financial vulnerability in economically disadvantaged areas. These findings underscore the importance of financial capability, and emphasize the need to strengthen financial education and support initiatives for economically vulnerable communities to enhance financial resilience during times of economic uncertainty.</t>
  </si>
  <si>
    <t>[Ouyang, Congrong; Naveed, Khurram] Kansas State Univ, Dept Personal Financial Planning, Manhattan, KS USA; [Chatterjee, Swarn] Univ Georgia, Dept Financial Planning Housing &amp; Consumer Econ, Athens, GA 30602 USA</t>
  </si>
  <si>
    <t>10.1080/13504851.2025.2489781</t>
  </si>
  <si>
    <t>1DK1N</t>
  </si>
  <si>
    <t>WOS:001462368300001</t>
  </si>
  <si>
    <t>Carbonell, Pilar; Rodriguez Escudero, Ana Isabel</t>
  </si>
  <si>
    <t>Expectations unmet: disconfirmation and abandonment of mobile money services in rural base of the pyramid markets</t>
  </si>
  <si>
    <t>Mobile money services; Negative disconfirmation; Satisfaction; Abandonment</t>
  </si>
  <si>
    <t>ATTRIBUTE-LEVEL PERFORMANCE; CUSTOMER SATISFACTION; COMPLAINT INTENTIONS; USER ACCEPTANCE; BEHAVIOR; ADOPTION; MODEL; USAGE; TECHNOLOGY; EXPECTANCY</t>
  </si>
  <si>
    <t>Purpose This study investigates the abandonment of mobile money (MM) services in rural base of the pyramid (BoP) markets, where financial exclusion is prevalent. Using the expectation-confirmation theory as a foundation, the study examines how declines in specific performance beliefs namely, perceived usefulness, ease of use, affordability, and service access affect negative disconfirmation and satisfaction, which drive service abandonment. Brand reputation and social influence are explored as moderators amplifying the impact of performance decreases on negative disconfirmation. Design/methodology/approach Data were collected at two time points, one year apart, from BoP individuals in the Peruvian Amazon. Partial least squares structural equation modeling was employed to test the study's hypotheses. Findings Findings reveal an asymmetrical pattern in how performance decreases across MM attributes influence negative disconfirmation. Specifically, decreases in perceived ease of use and service access significantly increase negative disconfirmation and reduce satisfaction, heightening the likelihood of abandonment. In contrast, performance declines in perceived usefulness and affordability do not significantly predict negative disconfirmation but still lower satisfaction, thereby indirectly contributing to abandonment. Moreover, high brand reputation and strong social influence amplify the effects of performance decreases on disconfirmation. Originality/value This study applies expectation-confirmation theory to MM abandonment, a distinct post-adoption outcome that has received limited empirical attention. Also, by disaggregating performance and disconfirmation at the attribute level, it advances a more diagnostic understanding of abandonment drivers. Finally, examining the moderating effects of brand reputation and social influence offers a more psychologically nuanced view of MM post-adoption evaluation in rural BoP markets.</t>
  </si>
  <si>
    <t>[Carbonell, Pilar] York Univ, Sch Adm Studies, Toronto, ON, Canada; [Rodriguez Escudero, Ana Isabel] Univ Valladolid, Fac Econ &amp; Business Sci, Valladolid, Spain</t>
  </si>
  <si>
    <t>Carbonell, P (corresponding author), York Univ, Sch Adm Studies, Toronto, ON, Canada.</t>
  </si>
  <si>
    <t>Rodríguez-Escudero, Ana/C-8586-2011; Carbonell, Pilar/P-6890-2019</t>
  </si>
  <si>
    <t>Social Sciences and Humanities Research Council of Canada-Partnership Engage [892-2021-0055]; Spanish Ministry of Economy, Industry, and Competitiveness [PID2021-123004NB-I00]</t>
  </si>
  <si>
    <t>Social Sciences and Humanities Research Council of Canada-Partnership Engage; Spanish Ministry of Economy, Industry, and Competitiveness(Spanish Government)</t>
  </si>
  <si>
    <t>The funding for this study was provided by the Social Sciences and Humanities Research Council of Canada-Partnership Engage Grants, #892-2021-0055 and the Spanish Ministry of Economy, Industry, and Competitiveness [project reference PID2021-123004NB-I00].</t>
  </si>
  <si>
    <t>10.1108/IJBM-05-2025-0341</t>
  </si>
  <si>
    <t>7VM1X</t>
  </si>
  <si>
    <t>WOS:001580628700001</t>
  </si>
  <si>
    <t>Bettington, J; Nicholson, G</t>
  </si>
  <si>
    <t>Bettington, Jackie; Nicholson, Gavin</t>
  </si>
  <si>
    <t>Director Financial Literacy: Defining a Baseline Competence for Board Oversight and Legal Accountability</t>
  </si>
  <si>
    <t>CORPORATE GOVERNANCE-AN INTERNATIONAL REVIEW</t>
  </si>
  <si>
    <t>agency theory; board composition; board of director mechanisms; board processes; board task effectiveness; board-level governance outcomes; corporate governance; internal CG: board of directors issues</t>
  </si>
  <si>
    <t>NON-EXECUTIVE DIRECTOR; CORPORATE GOVERNANCE; DELPHI METHOD; AUDIT COMMITTEES; CEO DUALITY; EMPIRICAL-EVIDENCE; FIRM PERFORMANCE; UPPER ECHELONS; AGENCY THEORY; EXPERTISE</t>
  </si>
  <si>
    <t>Research Question/Issue: What does it mean for a board director to be financially literate? Despite widespread agreement that financial competence is vital for corporate oversight, governance researchers have mostly focused on financial expertise at the board level. This approach to monitoring overlooks the potential contributions of directors who have the basic financial capability necessary to fulfill their individual legal duties. Research Findings/Insights: This study employs a three-round Delphi study of 35 expert panelists drawn from a pool of directors, governance educators, and accounting professionals. The findings establish a baseline definition and concept inventory for director financial literacy (DFL) that distinguishes financial literacy from financial expertise and identifies 24 core concepts that directors must understand to fulfill their duties of care and diligence. Results indicate that this baseline allows a director to form an independent view of the firm's finances, thereby enhancing boardroom participation and supporting collective oversight. Theoretical/Academic Implications: The study reconciles governance scholarship with legal accountability by highlighting how financial literacy is an individual-level competence that offers insight into agency theory's problem of adverse selection. It contributes to multilevel theorizing in corporate governance research by aligning group-based monitoring constructs with the legal requirement that each director must form an independent view. The framework establishes a foundation for measuring director competence and addressing the levels-of-analysis challenge endemic to governance research. Practitioner/Policy Implications: DFL is necessary-but not always sufficient-for directors to fulfill their legal duties. This study provides a foundational framework to guide regulatory benchmarking, director training, and board recruitment.</t>
  </si>
  <si>
    <t>[Bettington, Jackie; Nicholson, Gavin] Queensland Univ Technol, Brisbane, Australia</t>
  </si>
  <si>
    <t>Bettington, J (corresponding author), Queensland Univ Technol, Brisbane, Australia.</t>
  </si>
  <si>
    <t>j.bettington@qut.edu.au</t>
  </si>
  <si>
    <t>Bettington, Jackie/ABB-2132-2021</t>
  </si>
  <si>
    <t>Westpac Davidson Institute; Wiley - Queensland University of Technology agreement via the Council of Australian University Librarians</t>
  </si>
  <si>
    <t>We would like to acknowledge the participation and contributions provided to the Delphi study by Chris Barnard, Sonya Beyers, Bruce Binnie, Michael S. Booth, Graham Carpenter, J.F. Church, Mark Dowling, Ted Flack, Dr Michael Gousmett, David Hey-Cunningham, W. Laird Hunter, Q.C, Elizabeth Jameson, Andrew Lind, John McAuliffe AM, Ken McFarland, Wendy McMillan, Jim Mein AM, Richard Moore, Kerryn Newton, Robert Packer, Paul Paxton-Hall, Dawson Petie, Glenn Poole, Ray Richards, Chris Skelton, Betty Thompson, Chris Townend, Matthew Turnour and Alexandra Wilson. We also thank Westpac Davidson Institute for their financial support. Open access publishing facilitated by Queensland University of Technology, as part of the Wiley - Queensland University of Technology agreement via the Council of Australian University Librarians.</t>
  </si>
  <si>
    <t>0964-8410</t>
  </si>
  <si>
    <t>1467-8683</t>
  </si>
  <si>
    <t>CORP GOV-OXFORD</t>
  </si>
  <si>
    <t>Corp. Gov.</t>
  </si>
  <si>
    <t>10.1111/corg.12662</t>
  </si>
  <si>
    <t>Business; Business, Finance; Management</t>
  </si>
  <si>
    <t>A1570</t>
  </si>
  <si>
    <t>WOS:001531620000001</t>
  </si>
  <si>
    <t>Goedecke, J; Guérin, I; D'Espallier, B; Venkatasubramanian, G</t>
  </si>
  <si>
    <t>Goedecke, Jann; Guerin, Isabelle; D'Espallier, Bert; Venkatasubramanian, Govindan</t>
  </si>
  <si>
    <t>Why do financial inclusion policies fail in mobilizing savings from the poor? Lessons from rural south India</t>
  </si>
  <si>
    <t>banks; economic anthropology; financial inclusion; India; informal saving; microfinance; political economy</t>
  </si>
  <si>
    <t>FIELD EXPERIMENT</t>
  </si>
  <si>
    <t>Combining multivariate and qualitative analyses, this micro-level study suggests an explanation for the persistence of informal savings in rural south India despite publicly run large-scale programmes to promote bank savings. Gold, in particular, but also Rotating Saving and Credit Associations (ROSCAs) and private lending, remain the dominant forms of savings. We argue that cultural norms and social institutions, such as social class and caste, shape the nature of savings, and also the propensity and opportunities to save. Gold serves multiple purposes, financial, economic, socio-cultural and political. Furthermore, we find that the preference of Dalits (the lowest caste) for gold illustrates a relative emancipation, which contrasts with the persistence of caste-related prohibitions preventing them investing in other assets, such as land.</t>
  </si>
  <si>
    <t>[Goedecke, Jann; D'Espallier, Bert] Katholieke Univ Leuven, Fac Econ &amp; Business, Campus Brussels,Warmoesberg 26, B-1000 Brussels, Belgium; [Goedecke, Jann] Univ Agder, Sch Business &amp; Law, Gimlemoen 25, N-4630 Kristiansand, Norway; [Guerin, Isabelle] IRD CESSMA, Paris, France; [Guerin, Isabelle; Venkatasubramanian, Govindan] French Inst Pondicherry, Pondicherry, India</t>
  </si>
  <si>
    <t>KU Leuven; University of Agder; Universite Paris Cite</t>
  </si>
  <si>
    <t>Goedecke, J (corresponding author), Katholieke Univ Leuven, Fac Econ &amp; Business, Campus Brussels,Warmoesberg 26, B-1000 Brussels, Belgium.;Goedecke, J (corresponding author), Univ Agder, Sch Business &amp; Law, Gimlemoen 25, N-4630 Kristiansand, Norway.</t>
  </si>
  <si>
    <t>jann.goedecke@kuleuven.be</t>
  </si>
  <si>
    <t>Goedecke, Jann/0000-0002-2288-8464; D'Espallier, Bert/0000-0001-7567-2520</t>
  </si>
  <si>
    <t>ANR (French National Research Agency)</t>
  </si>
  <si>
    <t>ANR (French National Research Agency)(Agence Nationale de la Recherche (ANR))</t>
  </si>
  <si>
    <t>O201</t>
  </si>
  <si>
    <t>O219</t>
  </si>
  <si>
    <t>10.1111/dpr.12272</t>
  </si>
  <si>
    <t>FU4EP</t>
  </si>
  <si>
    <t>WOS:000423806600010</t>
  </si>
  <si>
    <t>Big Man politics in the social economy: a case study of microfinance in Kingston, Jamaica</t>
  </si>
  <si>
    <t>Bias; economic exclusion; gangsters; microfinance; social economy; politicians; clientelism; Jamaica; partner banks; Dons; party politics</t>
  </si>
  <si>
    <t>Microfinance and its reinvention as bankers-for-the-poor to create financial inclusion has not been effective everywhere. The literature seems to suggest that the social economy and microfinance help marginalized business people; yet no one considers that political bias interferes with the social economy, making it hard for it to be just. The promise of micro-credit was to achieve a double bottom line: first, the financial sustainability of the lending institution itself, and second, the social benefit of providing loans to low-income business people. Yet, alternative pitches of a social economy to help people fail to analyze the embedded power dynamics within the social economy. In this case study in downtown Kingston, Jamaica, 233 small-business people who depend on development finance because of social exclusion now find that these targeted programs are intertwined in partisan, sometimes dangerous, politics. As a result, oppressed people opt out of micro-banking programs to resist Big Man politics - the politicians or gangsters attempting to control them. In this study of 307 interviews, I analyze the informal politics of Dons and politicians who misuse micro-credit for their own ends. I find that the coupling of class biases and clientelist practices in the social economy discourages eligible business people from taking micro-loans, and argue that the microfinance industry needs to pay close attention to this issue if it is to continue to help marginalized business people.</t>
  </si>
  <si>
    <t>US Fulbright; University of Toronto's Frank Peers Award</t>
  </si>
  <si>
    <t>Hundreds of Jamaican entrepreneurs and activists contributed to this paper. Tony Harriott of the University of West Indies/Mona, Jamaica, and John Rapley, then-Director of the Caribbean Policy Research Institute, were critical to the methods used and helped me to navigate downtown Kingston. Dwaine Forbes of UWI/Mona reviewed the material for local context. Jack Quarter of the University of Toronto's Social Economy Centre assisted me to improve my methods section. My York colleagues Tokunbo Ojo, Allan Greenbaum, and Teresa Abbruzzese (introduction) gave me helpful suggestions. Thank you to Josh Goldstein at the Centre for Financial Inclusion for your comments on cultural and political bias. The US Fulbright and the University of Toronto's Frank Peers Award provided the necessary financial support for my year-long research stay in Jamaica. Two anonymous reviewers plus one from Queen's University provided excellent comments that helped me to revise the structure and findings.</t>
  </si>
  <si>
    <t>10.1080/00346764.2015.1067754</t>
  </si>
  <si>
    <t>VF6OU</t>
  </si>
  <si>
    <t>WOS:000443359100003</t>
  </si>
  <si>
    <t>Shabbir, MN; Duong, TL</t>
  </si>
  <si>
    <t>Shabbir, Muhammad Nadir; Duong, Thuy Linh</t>
  </si>
  <si>
    <t>Digital Yuan and the Future of Currency in a Globalized Economy</t>
  </si>
  <si>
    <t>CHINESE ECONOMY</t>
  </si>
  <si>
    <t>Digital Yuan; central bank digital currencies; monetary policy; financial inclusion; global trade; E42; E58; E52; G28; F33</t>
  </si>
  <si>
    <t>With China's Digital Yuan (e-CNY) rising as a major development, the fast rise of digital currencies is changing the scene of world finance. Theoretically and practically, this paper investigates how the Digital Yuan would affect the home and international economies. It looks at its evolution, acceptance, and relative merits with other central bank digital currencies (CBDCs) and cryptocurrencies. Domestically, the e-CNY is changing monetary policy, financial inclusion, and payment systems. Globally, it is challenging the hegemony of the U.S. dollar in international trade and reserve currencies, so perhaps changing world financial systems. The Digital Yuan begs questions about privacy, cybersecurity, and financial stability even as it provides efficiency and improved financial control. Inspired by comparable CBDC projects, the study offers policy suggestions for promoting global cooperation and combining innovation with financial stability. The results highlight China's central influence on the direction of digital currencies as well as their wider economic consequences.</t>
  </si>
  <si>
    <t>[Shabbir, Muhammad Nadir] Xian Univ Finance &amp; Econ, Sch Econ, Xian, Peoples R China; [Shabbir, Muhammad Nadir] Renmin Univ China, Sch Econ, Beijing, Peoples R China; [Duong, Thuy Linh] Natl Econ Univ, Fac Management Sci, Hanoi, Vietnam</t>
  </si>
  <si>
    <t>Xi'an University of Finance &amp; Economics; Renmin University of China; National Economics University - Vietnam</t>
  </si>
  <si>
    <t>Shabbir, MN (corresponding author), Xian Univ Finance &amp; Econ, Sch Econ, Xian, Peoples R China.</t>
  </si>
  <si>
    <t>20238018@ruc.edu.cn</t>
  </si>
  <si>
    <t>Duong, Thuy Linh/IZE-4240-2023; Shabbir 纳德, Dr. Muhammad/HMV-0817-2023</t>
  </si>
  <si>
    <t>1097-1475</t>
  </si>
  <si>
    <t>1558-0954</t>
  </si>
  <si>
    <t>CHIN ECON</t>
  </si>
  <si>
    <t>Chin. Econ.</t>
  </si>
  <si>
    <t>2025 OCT 14</t>
  </si>
  <si>
    <t>10.1080/10971475.2025.2575414</t>
  </si>
  <si>
    <t>8RT0O</t>
  </si>
  <si>
    <t>WOS:001595760400001</t>
  </si>
  <si>
    <t>Islam, F; Chitose, A; Kusadokoro, M</t>
  </si>
  <si>
    <t>Islam, Farhana; Chitose, Atsushi; Kusadokoro, Motoi</t>
  </si>
  <si>
    <t>Gender Gap in Mobile-Banking Use in Rural Northern Bangladesh</t>
  </si>
  <si>
    <t>financial inclusion; mobile banking; northern Bangladesh; wife's responsibilities</t>
  </si>
  <si>
    <t>LABOR-MARKET OPPORTUNITIES; EDUCATION; FERTILITY; ADOPTION; POVERTY; KENYA; MONEY; POWER</t>
  </si>
  <si>
    <t>Mobile banking (M-bank), a newly introduced technology, can improve women's access to financial services. This study empirically estimates the effect of a husband's and wife's socioeconomic characteristics, relative differences in age and education, and household characteristics on M-bank use in northern Bangladesh, exploring the presence and possible effect of the gender gap between husband and wife. A couple's relative differences in age or education can function as a proxy to capture the wife's M-bank use, thereby, her financial responsibilities in the household. The empirical evidence is based on a two-equation probit estimation that predicts the possible determinants of M-bank use by husbands and wives. M-bank use of husbands and wives differed remarkably, with wife to husband ratio of 4:15. Households were categorized into three subgroups: wife user, husband user, and nonuser. Results show that a husband's level of education, having his own business, and having a migrant family member within the household have a statistically significant positive effect on the likelihood of him using M-bank. On the other hand, a wife with an education level higher than that of her husband's has a significant positive effect on the likelihood of her using M-bank. A substantial gender gap in M-bank use, favoring husbands, was observed in most couples where the husband has more schooling than the wife and vice versa. The impact of M-bank use must be critically studied, focusing on the couple's relative status due to the gender gap in educational attainment and positive relative characteristics of couples in patriarchal, Islamic, rural settings in Bangladesh.</t>
  </si>
  <si>
    <t>[Islam, Farhana; Chitose, Atsushi; Kusadokoro, Motoi] Tokyo Univ Agr &amp; Technol, Fuchu, Tokyo, Japan</t>
  </si>
  <si>
    <t>Tokyo University of Agriculture &amp; Technology</t>
  </si>
  <si>
    <t>Islam, F (corresponding author), Tokyo Univ Agr &amp; Technol, Fuchu, Tokyo, Japan.</t>
  </si>
  <si>
    <t>shetu3070@gmail.com</t>
  </si>
  <si>
    <t>Chitose, Atsushi/C-8334-2013; Kusadokoro, Motoi/H-6583-2013</t>
  </si>
  <si>
    <t>Islam, Farhana/0000-0002-6152-8883; Kusadokoro, Motoi/0000-0002-4601-1835</t>
  </si>
  <si>
    <t>10.37801/ajad2022.19.2.6</t>
  </si>
  <si>
    <t>7P0IU</t>
  </si>
  <si>
    <t>WOS:000908398000006</t>
  </si>
  <si>
    <t>Kaittila, A; Isoniemi, H; Viitasalo, K; Moisio, M; Raijas, A; Toikka, E; Tuominen, J; Hakovirta, M</t>
  </si>
  <si>
    <t>Kaittila, Anniina; Isoniemi, Henna; Viitasalo, Katri; Moisio, Meri; Raijas, Anu; Toikka, Enna; Tuominen, Jarno; Hakovirta, Mia</t>
  </si>
  <si>
    <t>A Pilot Randomized Controlled Trial of Intervention for Social Work Clients with Children Facing Complex Financial Problems in Finland (FinSoc): A Study Protocol</t>
  </si>
  <si>
    <t>Financial capability; financial literacy; financial social work; families; mixed methods; psychosocial intervention; pilot randomized controlled trial</t>
  </si>
  <si>
    <t>SOCIOECONOMIC-STATUS; TREATMENT FIDELITY; FAMILY PROCESSES; ADOLESCENT; EDUCATION; LITERACY; BEHAVIOR; POVERTY; LIFE</t>
  </si>
  <si>
    <t>PurposeSocial work clients often face complex financial problems. We have developed a financial social work intervention, FinSoc, to increase financial literacy and economic self-efficacy and reduce financial anxiety among parents with financial problems in Finland. The aim of this pilot randomized controlled trial is to explore the feasibility, acceptability, and preliminary effectiveness of the intervention. This paper, a study protocol, describes the design and implementation of the trial. Study protocols are articles detailing a priori the research plan, rationale, proposed methods and plans for how a clinical trial will be conducted.MethodThis study is a pilot randomized controlled trial with a mixed methods approach applying both quantitative measures and qualitative interviews. Participating social work clients with children are randomly assigned to either the treatment or the waiting list control group at a ratio of 1:1. The treatment group receives the intervention and the control group receives services as usual. The quantitative data from social work clients are collected at three measurement points. Qualitative interviews are conducted post-intervention with both clients receiving, and professionals implementing the intervention. The feasibility is assessed through recruitment and retention rates and the interviews with social work professionals providing the intervention. Acceptability is assessed through feedback from participants on satisfaction with the intervention and usefulness of the specific intervention components. Potential effectiveness is measured by financial literacy, economic self-efficacy and financial anxiety.DiscussionThe intervention is hypothesized to increase financial literacy and economic self-efficacy and reduce financial anxiety among social work clients with children. The results of this pilot study will increase the evidence base of financial social work and offer new insights for developing interventions for clients experiencing financial difficulties.</t>
  </si>
  <si>
    <t>[Kaittila, Anniina; Isoniemi, Henna; Moisio, Meri; Hakovirta, Mia] Univ Turku, INVEST Flagship, Turku, Finland; [Viitasalo, Katri] Univ Helsinki, Fac Social Sci, Helsinki, Finland; [Toikka, Enna] Univ Turku, Dept Social Res, Turku, Finland; [Raijas, Anu] Bank Finland Museum, Bank Finland, Helsinki, Finland; [Tuominen, Jarno] Univ Turku, Dept Psychol &amp; Speech Language Pathol, Turku, Finland; [Kaittila, Anniina] Univ Turku, INVEST Flagship, Assistentinkatu 7, Turku 20500, Finland</t>
  </si>
  <si>
    <t>University of Turku; University of Helsinki; University of Turku; Bank of Finland; University of Turku; University of Turku</t>
  </si>
  <si>
    <t>Kaittila, A (corresponding author), Univ Turku, INVEST Flagship, Assistentinkatu 7, Turku 20500, Finland.</t>
  </si>
  <si>
    <t>anniina.kaittila@utu.fi</t>
  </si>
  <si>
    <t>; Tuominen, Jarno/J-3708-2017</t>
  </si>
  <si>
    <t>Hakovirta, Mia/0000-0002-0947-3985; Tuominen, Jarno/0000-0002-3892-3199; Viitasalo, Katri/0000-0001-9216-2506; Kaittila, Anniina/0000-0001-8322-3688</t>
  </si>
  <si>
    <t>Ministry of Social Affairs and Health (Finland)</t>
  </si>
  <si>
    <t>The work was supported by the Ministry of Social Affairs and Health (Finland).</t>
  </si>
  <si>
    <t>10.1080/26408066.2023.2257174</t>
  </si>
  <si>
    <t>DS9G8</t>
  </si>
  <si>
    <t>WOS:001066698700001</t>
  </si>
  <si>
    <t>Supramono, S; Mahardhika, DRW; Lestari, UP</t>
  </si>
  <si>
    <t>Supramono, Supramono; Mahardhika, Dhoni Rizky Widya; Lestari, Utami Puji</t>
  </si>
  <si>
    <t>DETERMINANTS OF THE SUSTAINABILITY OF CAPABILITY-BASED CULINARY BUSINESSES: EVIDENCE FROM URBAN AREAS IN CENTRAL JAVA PROVINCE</t>
  </si>
  <si>
    <t>sustainability; entrepreneurial marketing; transformation capability; financial capability; and culinary business</t>
  </si>
  <si>
    <t>FINANCIAL CAPABILITY; DYNAMIC CAPABILITIES; SMES; ENTREPRENEURIAL; PERFORMANCE</t>
  </si>
  <si>
    <t>Purpose-Amidst the increasing public awareness of the need for environmentally friendly products and social concerns, sustainability practices can be utilized as a source of competitive advantage for businesses in the culinary industry. The purpose of this study is to investigate the effects of entrepreneurial marketing, transformation capability, and financial capability on sustainability. Research methodology-This study was based on field survey data involving 315 culinary business actors in the cities of Semarang, Salatiga, and Surakarta, Central Java Province. The data analysis used the Partial Least Squares Structural Equation Modeling (PLS-SEM) method. Findings-The determinants of sustainability predicted through the formulation of nine hypotheses are mostly proven empirically. Entrepreneurial marketing, transformation capability, and financial capability are demonstrated to have a positive effect on all dimensions of sustainability including economic, environmental, and social performance. Research limitations-The objects of this research were limited to culinary business actors in urban areas so that only limited generalizations could be made. Future studies can be directed to involve business actors in rural areas so that they can capture the dynamics of sustainability practices better. Practical implications-A policy that can be proposed based on research findings to the government in order to improve sustainability practices is to improve the capabilities of culinary business actors through training and mentoring that emphasize the importance of creating customer value, renewing company operations, and having financial literacy. Originality/Value-This study fills the research gap by introducing a capability-based sustain-ability determinant model.</t>
  </si>
  <si>
    <t>[Supramono, Supramono; Mahardhika, Dhoni Rizky Widya] Univ Kristen Satya Wacana, Fac Econ &amp; Business, Dept Management, Salatiga, Indonesia; [Lestari, Utami Puji] Univ Kristen Satya Wacana, Fac Econ &amp; Business, Dept Accounting, Salatiga, Indonesia</t>
  </si>
  <si>
    <t>Universitas Kristen Satya Wacana; Universitas Kristen Satya Wacana</t>
  </si>
  <si>
    <t>Supramono, S (corresponding author), Univ Kristen Satya Wacana, Fac Econ &amp; Business, Dept Management, Salatiga, Indonesia.</t>
  </si>
  <si>
    <t>supramono@uksw.edu</t>
  </si>
  <si>
    <t>Universitas Kristen Satya Wacana, Salatiga, Indonesia</t>
  </si>
  <si>
    <t>This work was supported by Universitas Kristen Satya Wacana, Salatiga, Indonesia, through the Internal Grants for Professors program, Vice-Rector for Research, Innovation, and Entrepreneurship.</t>
  </si>
  <si>
    <t>10.3846/bmee.2025.21987</t>
  </si>
  <si>
    <t>4RQ3J</t>
  </si>
  <si>
    <t>WOS:001525031400001</t>
  </si>
  <si>
    <t>Junianto, FH; Fernandes, AAR; Solimun, S; Astuti, AB</t>
  </si>
  <si>
    <t>Junianto, Fachira Haneinanda; Fernandes, Adji Achmad Rinaldo; Solimun, Solimun; Astuti, Ani Budi</t>
  </si>
  <si>
    <t>Monte Carlo-Based Bayesian Path Analysis for Modeling Indirect Financial Effects on Literacy in Emerging Markets</t>
  </si>
  <si>
    <t>Banking Literation; Financial Determinants; Indirect Effects; Bayesian Approach; Path Analysis</t>
  </si>
  <si>
    <t>Banking literacy is an important foundation in realizing financial inclusion, especially in developing countries such as Indonesia. This study examines the indirect effects of payment instrument use, financial inclusion, and financial capacity on banking literacy, with financial knowledge as a mediator. A Bayesian Parametric Path Analysis approach is used with estimation through Markov Chain Monte Carlo (MCMC) simulation. Primary data were obtained from a national survey of 600 respondents selected through multistage sampling. Results show that the three exogenous variables have significant indirect effects through financial knowledge, with credible intervals of all paths above zero. The Bayesian approach allows flexible estimation and probabilistic interpretation. The findings provide theoretical contributions and practical implications for financial education policies that support the digital transformation of banking services.</t>
  </si>
  <si>
    <t>[Junianto, Fachira Haneinanda] Univ Brawijaya, Dept Math, Malang, Indonesia; [Fernandes, Adji Achmad Rinaldo; Solimun, Solimun; Astuti, Ani Budi] Univ Brawijaya, Dept Stat, Malang, Indonesia; [Junianto, Fachira Haneinanda; Fernandes, Adji Achmad Rinaldo; Solimun, Solimun] Univ Brawijaya, Data Sci &amp; Stat Business Analyt Ctr, Malang, Indonesia</t>
  </si>
  <si>
    <t>Brawijaya University; Brawijaya University; Brawijaya University</t>
  </si>
  <si>
    <t>Solimun, S (corresponding author), Univ Brawijaya, Dept Stat, Malang, Indonesia.;Solimun, S (corresponding author), Univ Brawijaya, Data Sci &amp; Stat Business Analyt Ctr, Malang, Indonesia.</t>
  </si>
  <si>
    <t>Fachiraneinaj@student.ub.ac.id; Fernandes@ub.ac.id; Solimun@ub.ac.id; ani_budi@ub.ac.id</t>
  </si>
  <si>
    <t>-, Solimun/M-5961-2016; Fernandes, Adji/L-8714-2016; Astuti, Ani Budi/JLM-5165-2023</t>
  </si>
  <si>
    <t>10.11130/jei.2025009</t>
  </si>
  <si>
    <t>L4506</t>
  </si>
  <si>
    <t>WOS:001629575700008</t>
  </si>
  <si>
    <t>Nyarko, SA; Beisland, LA; Mersland, R</t>
  </si>
  <si>
    <t>Nyarko, Samuel Anokye; Beisland, Leif Atle; Mersland, Roy</t>
  </si>
  <si>
    <t>Lending to Women and Credit Risk in Microfinance Institutions: The Moderating Effects of Patriarchy and Female Leadership</t>
  </si>
  <si>
    <t>patriarchy; lending to women; credit risk; microfinance institutions; female leadership; women's empowerment; G21; G23; L31; O17; O50; P36</t>
  </si>
  <si>
    <t>FRACTIONAL RESPONSE VARIABLES; MICRO-CREDIT; PERFORMANCE; GENDER; POVERTY; IMPACT; BANGLADESH; GOVERNANCE; POWER</t>
  </si>
  <si>
    <t>Female poverty and financial exclusion of women often reflect patriarchy, a societal logic that consists of norms, beliefs, and traditions that rationalise the marginalisation of women. Microfinance institutions (MFIs) have a developmental objective of promoting women's empowerment through the provision of banking services. Yet, it remains the case that patriarchy not only influences the extent of outreach to women but also the relationship and contractual terms between MFIs and the female clients they serve. In this study, we revisit the debate on the relationship between lending to women and credit risk and test the moderating effects of the level of patriarchy in the host country and the existence of female leadership in the MFI. Using data on 415 MFIs, we find that patriarchy negatively moderates the impact of lending to women on credit risk. The results further show that the observed effect is less pronounced in female-led MFIs than in male-led ones. We argue that, in comparison to their male counterparts, female leaders of MFIs possess heightened skills and a deeper understanding necessary to effectively serve women in patriarchal societies.</t>
  </si>
  <si>
    <t>[Nyarko, Samuel Anokye] Montpellier Business Sch, 2300 Ave Moulins, F-34185 Montpellier 4, France; [Beisland, Leif Atle; Mersland, Roy] Univ Agder, Sch Business &amp; Law, Kristiansand, Norway</t>
  </si>
  <si>
    <t>Montpellier Business School; University of Agder</t>
  </si>
  <si>
    <t>Nyarko, SA (corresponding author), Montpellier Business Sch, 2300 Ave Moulins, F-34185 Montpellier 4, France.</t>
  </si>
  <si>
    <t>s.nyarko@montpellier-bs.com</t>
  </si>
  <si>
    <t>Nyarko, Samuel Anokye/0000-0002-6996-4057</t>
  </si>
  <si>
    <t>Caisse d'Epargne Languedoc Roussillon; BNP Paribas - French government (LabEx Entreprendre) [ANR-10-Labex-11-01]</t>
  </si>
  <si>
    <t>Caisse d'Epargne Languedoc Roussillon; BNP Paribas - French government (LabEx Entreprendre)</t>
  </si>
  <si>
    <t>We would like to thank Anastasia Cozarenco, Domenico Dentoni, Rotem Shneor, two anonymous referees, the participants at the University of Agder lunch seminar (Norway), at the 13th Annual Global Business Conference (Croatia), at the 2023 International Conference on Alternative Finance Research (Poland), and at the Management and Organisation of Sustainable Transformations seminar (France) for valuable comments and suggestions. This study was carried out within the framework of the Montpellier Business School (MBS) Social and Sustainable Finance Chair funded by the Caisse d'Epargne Languedoc Roussillon and BNP Paribas. Samuel Anokye Nyarko is a member of LabEx Entrepreneurship, funded by the French government (LabEx Entreprendre, ANR-10-Labex-11-01).</t>
  </si>
  <si>
    <t>10.1080/00220388.2024.2434252</t>
  </si>
  <si>
    <t>1QN6E</t>
  </si>
  <si>
    <t>WOS:001377692000001</t>
  </si>
  <si>
    <t>Farah, MF; Hasni, MJS; Abbas, AK</t>
  </si>
  <si>
    <t>Farah, Maya F.; Hasni, Muhammad Junaid Shahid; Abbas, Abbas Khan</t>
  </si>
  <si>
    <t>Mobile-banking adoption: empirical evidence from the banking sector in Pakistan</t>
  </si>
  <si>
    <t>Pakistan; Intention; Bank customers; M-banking; UTAUT2; Use behaviour</t>
  </si>
  <si>
    <t>TECHNOLOGY ACCEPTANCE; UNIFIED THEORY; INFORMATION-SYSTEMS; CONSUMER ACCEPTANCE; INTERNET BANKING; BEHAVIORAL INTENTION; USAGE INTENTION; USER ACCEPTANCE; ONLINE BANKING; SELF-EFFICACY</t>
  </si>
  <si>
    <t>Purpose - The purpose of this paper is to study the important factors which help explain consumer intention and use behavior in mobile banking (m-banking) adoption. All constructs of the unified theory of acceptance and use of technology 2 are studied. Non-monetary value is studied through perceived value. Trust and perceived risk are also included to predict intention. Design/methodology/approach - A questionnaire was utilized to evaluate customer responses on a five-point Likert scale. A convenience sampling technique was used to collect data from a sample of 490 respondents in Pakistan. The data were analyzed using AMOS and SPSS for Cronbach's alpha, CR, CMV, AVE, Harmon's single factor test, correlation and structural equation modeling. Findings - The results of the study show that most of the predictors of intention, including perceived value, performance expectancy, habit, social influence, effort expectancy, hedonic motivation (except for facilitating condition), perceived risk and trust, are significant. All predictors of usage behavior are significant. Research limitations/implications - A cross-sectional study was conducted due to time constraints. Practical implications - Bank managers must focus on improving customers' intentions to use m-banking as well as on providing facilitating conditions to increase its actual use. To boost mobile banking, banks' management must consider the customers' habits while designing their m-banking products. Originality/value - The findings of this paper are not only interesting in terms of boosting m-banking diffusion rate, but also in terms of financial inclusion of the vast majority of mobile users. Further the impact of intention, facilitating condition and habit were checked on actual use behavior since people tend not always to act upon their intentions.</t>
  </si>
  <si>
    <t>[Farah, Maya F.] Lebanese Amer Univ, Dept Mkt, Sch Business, Byblos, Lebanon; [Hasni, Muhammad Junaid Shahid] Helsingin Yliopisto Maatalous Metsatieteellinen T, Dept Econ &amp; Management, Helsinki, Finland; [Abbas, Abbas Khan] Univ Lahore, Dept Management Sci, Lahore, Pakistan</t>
  </si>
  <si>
    <t>Lebanese American University; University of Lahore</t>
  </si>
  <si>
    <t>Farah, MF (corresponding author), Lebanese Amer Univ, Dept Mkt, Sch Business, Byblos, Lebanon.</t>
  </si>
  <si>
    <t>mfarah@lau.edu.lb</t>
  </si>
  <si>
    <t>Farah, Maya/L-2322-2013; Hasni, Muhammad Junaid Shahid/HJI-5540-2023</t>
  </si>
  <si>
    <t>Farah, Maya/0000-0002-6251-4096; Hasni, Muhammad Junaid Shahid/0000-0002-4674-0755</t>
  </si>
  <si>
    <t>10.1108/IJBM-10-2017-0215</t>
  </si>
  <si>
    <t>WOS:000456883600008</t>
  </si>
  <si>
    <t>Revisiting financial inclusion-stability nexus: cross-country heterogeneity</t>
  </si>
  <si>
    <t>Financial inclusion index; Financial stability; Cross-country heterogeneity; Two-step quantile regression; Two-Step System GMM; Policy coordination; Financial economics; Financial institutions and services</t>
  </si>
  <si>
    <t>LENDING RELATIONSHIPS; ACCESS; INFORMATION; COMPETITION; DISTANCE</t>
  </si>
  <si>
    <t>Purpose This paper aims to investigate the debated nexus of financial inclusion (FI) and financial stability (FS) in a comprehensive way, with several indicators of FI, considering nonlinearity and cross-country heterogeneity. Design/methodology/approach The authors introduce several indexes for FI by applying principal component analysis (PCA) and explore their impact on stability for a sample of 108 countries and subsamples based on income grouping as well as for pre- and post-crisis episodes over the period 2004-2017. To address the heterogeneity and endogeneity, the authors use the two-step quantile regression (2SQR), three-stage least square (3SLS) and two-step system-GMM (System-GMM). Findings The findings reveal that the relationship of FI and stability depends on the measurement of FI used and the heterogeneity of different macroeconomic factors. Besides, there is nonlinearity, irrespective of the measurement of inclusion used. The findings also confirm that the effect of FI is more prominent in countries with strong governance. The results are robust to several robustness validations, which could be useful for policymakers to align the divergence of these policies and ensure FS while expanding access to formal financial services. Originality/value This study makes an attempt to explore the reasons behind the debated empirical findings of the existing literature by revisiting the nexus using several disaggregated indexes, each representing individual dimension and a multidimensional index, examine the possible nonlinearity and investigate the conditioning effect of different macroeconomic factors that might play a significant role in this relationship.</t>
  </si>
  <si>
    <t>[Saha, Mallika] Univ Barishal, Dept Accounting &amp; Informat Syst, Barishal, Bangladesh; [Saha, Mallika] Zhongnan Univ Econ &amp; Law, Wuhan, Peoples R China; [Dutta, Kumar Debasis] Patuakhali Sci &amp; Technol Univ, Dept Finance &amp; Banking, Patuakhali, Bangladesh; [Dutta, Kumar Debasis] Zhongnan Univ Econ &amp; Law, Sch Finance, Wuhan, Peoples R China</t>
  </si>
  <si>
    <t>University of Barishal; Zhongnan University of Economics &amp; Law; Zhongnan University of Economics &amp; Law</t>
  </si>
  <si>
    <t>Saha, M (corresponding author), Univ Barishal, Dept Accounting &amp; Informat Syst, Barishal, Bangladesh.;Saha, M (corresponding author), Zhongnan Univ Econ &amp; Law, Wuhan, Peoples R China.</t>
  </si>
  <si>
    <t>10.1108/JFEP-06-2021-0162</t>
  </si>
  <si>
    <t>WOS:000776742300001</t>
  </si>
  <si>
    <t>Bondzie-Micah, V; Bentum-Micah, G</t>
  </si>
  <si>
    <t>Bondzie-Micah, Victor; Bentum-Micah, Geoffrey</t>
  </si>
  <si>
    <t>To Continue or Discontinue Use? An Empirical Assessment of Users' Intentions Toward E-Levy Policy Anchored on the Theory of Reasoned Action</t>
  </si>
  <si>
    <t>electronic transaction levy; Ghana; Ghanaian government; mobile money service; theory of reasoned action</t>
  </si>
  <si>
    <t>ATTITUDE; ECONOMY; PLS</t>
  </si>
  <si>
    <t>Electronic payment systems have become increasingly innovative avenues to generate revenue while fostering financial inclusion and creating employment. These benefits notwithstanding, Ghana's institution of the electronic levy legislation in the year 2022 erupted mixed reactions-of support and dissent among its residents. Though this has forefronted a hybridity of behavioral and policy discussions, the latter appears to have received little research attention. Therefore, on the back of this observation, to fill the research gap, the current study probes empirically the nuanced behavioral factors underlying residents' disposition toward the electronic levy payment policy. This research, which is anchored on the theory of reasoned action, engages the structural equation modeling technique to analyze a cross-sectional data (n = 422) drawn from Ghana. Alongside the negative effect of the electronic levy policy, this research revealed attitude and subjective norm as significant predictors of behavioral intention toward mobile money service use. Uniquely, this study foregrounds the differential effects of demographic variables on behavior, with empirical evidence of younger users exhibiting greater resilience to policy changes compared to the older and rural populace. The results of this research taken together confirm the appropriateness and predictive viability of the research model, which contributed 36% to residents' explained variance in intention to use mobile money service. While these furnish a robust predictive model for future research, the study implications, on the back of the results, are discussed accordingly.</t>
  </si>
  <si>
    <t>[Bondzie-Micah, Victor] Kong Baptist Univ, Dept Govt &amp; Int Studies, Hong Kong, Peoples R China; [Bentum-Micah, Geoffrey] Zhejiang Normal Univ, Coll Teacher Educ, Jinhua, Peoples R China</t>
  </si>
  <si>
    <t>Hong Kong Baptist University; Zhejiang Normal University</t>
  </si>
  <si>
    <t>Bondzie-Micah, V (corresponding author), Kong Baptist Univ, Dept Govt &amp; Int Studies, Hong Kong, Peoples R China.</t>
  </si>
  <si>
    <t>victorbondziemicah@yahoo.com</t>
  </si>
  <si>
    <t>; BentumMicah, Geoffrey/OUH-9414-2025</t>
  </si>
  <si>
    <t>Bondzie-Micah, Victor/0000-0002-7524-7599;</t>
  </si>
  <si>
    <t>e70030</t>
  </si>
  <si>
    <t>10.1002/pa.70030</t>
  </si>
  <si>
    <t>2DN2G</t>
  </si>
  <si>
    <t>WOS:001480074600001</t>
  </si>
  <si>
    <t>Sreenu, N</t>
  </si>
  <si>
    <t>Sreenu, Nenavath</t>
  </si>
  <si>
    <t>The influence of fintech and financial knowledge on sustainable business success: exploring the mediating effect of financial accessibility in Indian</t>
  </si>
  <si>
    <t>BENCHMARKING-AN INTERNATIONAL JOURNAL</t>
  </si>
  <si>
    <t>Fintech; Financial literacy; Sustainability; Access to finance; Firm achievement</t>
  </si>
  <si>
    <t>MODEL; INNOVATION; PERFORMANCE; IMPACT; ENTERPRISES; MANAGEMENT; RESOURCES; LITERACY; ACCESS</t>
  </si>
  <si>
    <t>PurposeThe present study aims to investigate the effects of sector 4.0 technologies, particularly Financial Technology (Fintech), on Sustainable Business Success (SBS) within the Indian garment sector. It aims to analyse the impact of Fintech Integration (IF) and Extent of Financial Knowledge (EFK) on sustainability performance, with a focus on understanding the mediating effect of Financial Accessibility (FA) in this relationship.Design/methodology/approachThe study utilizes covariance-based structural equation modelling (CB-SEM) to analyse data collected from 683 enterprises in the Indian garment sector. The theoretical frameworks of Ecological Modernization Theory (EMT) and the Resource-Based View are employed to guide the research.FindingsThe investigation reveals that Fintech Integration (IF) and environmental friendliness knowledge significantly impact the promotion and maintenance of sustainability within the Indian garment sector. Moreover, the study highlights the moderating influence of financial Accessibility (FA) on the associations among fintech integration, Extent of Financial Knowledge, and sustainability attainment. Furthermore, sensitivity studies demonstrate that improved financial access positively affects a firm's sustainability performance.Originality/valueThis study contributes to the existing literature by addressing significant knowledge gaps and offering practical insights for managers and policymakers in the Ready-Made Garments (RMG) industry. It provides a comprehensive approach that integrates fintech and financial expertise to enhance credit accessibility and foster long-term viability for enterprises within the Indian garment sector. The originality lies in its holistic perspective, combining technological integration with the Extent of Financial Knowledge to drive sustainability in a specific industrial context, thus providing valuable guidance for industry stakeholders.</t>
  </si>
  <si>
    <t>[Sreenu, Nenavath] MANIT, Dept Management Studies, Bhopal, India</t>
  </si>
  <si>
    <t>Sreenu, N (corresponding author), MANIT, Dept Management Studies, Bhopal, India.</t>
  </si>
  <si>
    <t>sri_cbm@yahoo.com</t>
  </si>
  <si>
    <t>Sreenu, Nenavath/AAV-1381-2021</t>
  </si>
  <si>
    <t>1463-5771</t>
  </si>
  <si>
    <t>1758-4094</t>
  </si>
  <si>
    <t>BENCHMARKING</t>
  </si>
  <si>
    <t>Benchmarking</t>
  </si>
  <si>
    <t>10.1108/BIJ-12-2023-0875</t>
  </si>
  <si>
    <t>9GF2J</t>
  </si>
  <si>
    <t>WOS:001264077400001</t>
  </si>
  <si>
    <t>Delis, M; Galariotis, E; Iosifidi, M; Monne, J</t>
  </si>
  <si>
    <t>Delis, Manthos; Galariotis, Emilios; Iosifidi, Maria; Monne, Jerome</t>
  </si>
  <si>
    <t>Poverty and seeking bank advice: Evidence from a survey experiment</t>
  </si>
  <si>
    <t>JOURNAL OF FINANCIAL STABILITY</t>
  </si>
  <si>
    <t>Behavioral economics and finance; Poverty; Salience; Survey experiment; Financial inclusion; Banking services; Financial advisor</t>
  </si>
  <si>
    <t>FINANCIAL LITERACY; BEHAVIORAL-ECONOMICS; DECISION-MAKING; STIGMA; SALIENCE; PREFERENCES; BENEFITS</t>
  </si>
  <si>
    <t>Access to banking services for the poorest individuals is key to reducing their vulnerability, but are poor people likely to seek help from bank advisors? This study tests the hypothesis that poor peoples' financial concerns affect their willingness to seek professional financial advice from banks. A survey experiment is run by performing hard priming (a euro2000 car repair expense) on a treatment group and soft priming (a euro200 expense) on a control group. Overall, hard priming triggers higher positive intention to consult a bank advisor. However, poverty sharply and negatively moderates this effect. For respondents below the poverty line, the priming effect is close to significantly negative and becomes such when restricting the sample to individuals who responded before their payday rather than after it. Hard priming also decreases poor people's self-reported trust in banks, and this variable mediates the negative effect on intention to consult a bank advisor. There is no evidence that a lack of financial literacy or actual financial distress influence the priming effects.</t>
  </si>
  <si>
    <t>[Delis, Manthos; Galariotis, Emilios] Audencia Business Sch, 8 Route Joneliere, F-44300 Nantes, France; [Iosifidi, Maria] Montpellier Business Sch, 2300 Ave Moulins, F-34080 Montpellier, France; [Monne, Jerome] ESSCA Sch Management, 1 Rue Joseph Lakanal, F-49000 Angers, France</t>
  </si>
  <si>
    <t>Audencia; Montpellier Business School; ESSCA School of Management</t>
  </si>
  <si>
    <t>Monne, J (corresponding author), ESSCA Sch Management, 1 Rue Joseph Lakanal, F-49000 Angers, France.</t>
  </si>
  <si>
    <t>jerome.monne@essca.fr</t>
  </si>
  <si>
    <t>Galariotis, Emilios/B-7849-2018; Delis, Manthos/MAI-3812-2025</t>
  </si>
  <si>
    <t>Galariotis, Emilios/0000-0002-8575-894X; Delis, Manthos/0000-0001-7987-2706</t>
  </si>
  <si>
    <t>1572-3089</t>
  </si>
  <si>
    <t>1878-0962</t>
  </si>
  <si>
    <t>J FINANC STABIL</t>
  </si>
  <si>
    <t>J. Financ. Stab.</t>
  </si>
  <si>
    <t>10.1016/j.jfs.2023.101156</t>
  </si>
  <si>
    <t>P3RZ9</t>
  </si>
  <si>
    <t>WOS:001049863000001</t>
  </si>
  <si>
    <t>Mbangiswano, SZ; Ndlovu, E; Vuthela, ZS</t>
  </si>
  <si>
    <t>Mbangiswano, Sive Zintle; Ndlovu, Elona; Vuthela, Zamagebe Siphokazi</t>
  </si>
  <si>
    <t>Empowering Rural Women Agripreneurs Through Financial Inclusion: Lessons from South Africa for the G20 Development Agenda</t>
  </si>
  <si>
    <t>rural agripreneurship; women's financial inclusion; gender equity; agricultural value chains; digital financial services; gender-responsive finance; policy analysis</t>
  </si>
  <si>
    <t>HOUSEHOLDS</t>
  </si>
  <si>
    <t>In the Eastern Cape Province of South Africa, rural women agripreneurs encounter ongoing structural challenges in accessing formal finance, securing land rights, and gaining leadership roles, despite their vital contribution to agriculture and food security. This research combines a thematic review of secondary sources from 2018 to 2024 with an embedded case study based on primary qualitative data with women involved in the Citrus Growers Association-Grower Development Company (CGA-GDC) public-private partnership. This dual approach connects local, real-world entrepreneurial experiences with global financial inclusion initiatives, especially the G20 Women's Empowerment Principles and the G20 Development Agenda. The findings highlight a consistent gap between policy and practice: while frameworks at both national and international levels advocate for women's financial inclusion, actual implementation in rural agribusiness often neglects gender differences. Women's engagement is limited by insecure land rights, restricted access to formal credit, male-controlled cooperative management, and insufficient gender-specific data monitoring. Drawing comparative insights from Kenya, India, and West Africa, the study proposes seven interconnected policy suggestions, such as establishing gender-disaggregated data systems, expanding women-led cooperatives, reforming land tenure laws, including entrepreneurial financial literacy in capacity-building programmes, and utilising gender-sensitive digital finance solutions. By connecting grassroots empirical evidence with global policy discussions, this study aims to contribute to academic debates and practical efforts to develop gender-responsive financial ecosystems, thereby boosting women's economic independence, entrepreneurial activity, and rural progress in South Africa and similar contexts in the Global South.</t>
  </si>
  <si>
    <t>[Mbangiswano, Sive Zintle] Cent Univ Technol, Fac Management Sci, Entrepreneurship Dev Unit, 20 President Brand St, ZA-9301 Bloemfontein, South Africa; [Ndlovu, Elona] BizPreneur, 1122 Burnett St, ZA-0083 Pretoria, South Africa; [Vuthela, Zamagebe Siphokazi] Cent Univ Technol, Fac Management Sci, Business Management, 20 President Brand St, ZA-9301 Bloemfontein, South Africa</t>
  </si>
  <si>
    <t>Central University of Technology; Central University of Technology</t>
  </si>
  <si>
    <t>Mbangiswano, SZ (corresponding author), Cent Univ Technol, Fac Management Sci, Entrepreneurship Dev Unit, 20 President Brand St, ZA-9301 Bloemfontein, South Africa.</t>
  </si>
  <si>
    <t>smbangiswano@cut.ac.za; elona@bizpreneur.co.za; zvuthela@cut.ac.za</t>
  </si>
  <si>
    <t>Ndlovu, Elona/AAO-7167-2021; Ndlovu, Elona/AAO-7167-2021</t>
  </si>
  <si>
    <t>10.3390/admsci15090340</t>
  </si>
  <si>
    <t>7TP5S</t>
  </si>
  <si>
    <t>WOS:001579363700001</t>
  </si>
  <si>
    <t>Orazi, S; Martinez, LB; Guercio, MB; Vigier, HP</t>
  </si>
  <si>
    <t>Orazi, Sofia; Martinez, Lisana B.; Guercio, M. Belen; Vigier, Hernan P.</t>
  </si>
  <si>
    <t>Potential demand for microloans: A household-level study</t>
  </si>
  <si>
    <t>Financial inclusion; financial institutions; potential demand</t>
  </si>
  <si>
    <t>MICROFINANCE; EMPOWERMENT</t>
  </si>
  <si>
    <t>Having an inclusive financial system is an important tool for economic and social development. Given the lack of depth of financial markets in emerging economies, microfinance represents a paradigm shift. It involves incorporating instruments into the financial management of households that can lead to a genuine reduction in vulnerability by generating greater access to durable consumer goods or housing. For this reason, this article analyzed the characteristics of households excluded from formal financial services in the city of Bahia Blanca, Argentina, in 2021. Once identified, they were used to calculate the potential demand for microcredits (MCs). This allows measuring the importance of having an alternative to meet the unsatisfied demand for small-scale credit of the population excluded from the formal financial market. Comparing the unsatisfied needs with the actual supply of MCs, the results obtained show a considerable scope for developing MC institutions in the city (but also in Argentina).</t>
  </si>
  <si>
    <t>[Orazi, Sofia] Natl Univ South, Dept Econ, Inst Invest Econ &amp; Sociales Sur CONICET UNS, Bahia Blanca, Argentina; [Martinez, Lisana B.; Guercio, M. Belen] Natl Univ South, Univ Prov Sudoeste, Dept Econ, Inst Invest Econ &amp; Sociales Sur CONICET UNS, Bahia Blanca, Argentina; [Vigier, Hernan P.] Natl Univ South, Dept Econ, Univ Prov Sudoeste CEDETS, Bahia Blanca, Argentina</t>
  </si>
  <si>
    <t>Martinez, LB (corresponding author), Natl Univ South, Univ Prov Sudoeste, Dept Econ, Inst Invest Econ &amp; Sociales Sur CONICET UNS, Bahia Blanca, Argentina.</t>
  </si>
  <si>
    <t>lbmartinez@iiess-conicet.gob.ar</t>
  </si>
  <si>
    <t>Martinez, Lisana Belen/0000-0001-5201-6651; Orazi, Sofia/0000-0002-0611-8179; Vigier, Hernan/0000-0003-0774-8620; Guercio, M Belen/0000-0001-5780-2854</t>
  </si>
  <si>
    <t>10.1080/26437015.2023.2201897</t>
  </si>
  <si>
    <t>CX4L2</t>
  </si>
  <si>
    <t>WOS:001128517800001</t>
  </si>
  <si>
    <t>Okoli, TT; Tewari, DD</t>
  </si>
  <si>
    <t>Okoli, Tochukwu Timothy; Tewari, Devi Datt.</t>
  </si>
  <si>
    <t>Investigating the determinants and growth of financial technology depth of penetration among the heterogeneous Africa economies</t>
  </si>
  <si>
    <t>financial technology; mobile banking; internet banking; ATM; African economies</t>
  </si>
  <si>
    <t>MOBILE COMMERCE; PANEL-DATA; INNOVATION; ACCEPTANCE; ADOPTION</t>
  </si>
  <si>
    <t>The widespread financial exclusion in Africa despite the continent's high adoption of financial technology (Fintech) suggests that there is a gap between Fintech's adoption and its actual usefulness. This study seeks to measure Fintech's usefulness, its growth and identify its determinants in a panel of three emerging, twenty-four frontiers and five fragile African markets for the period 2004-2018. A dummy variable interactive equation was modelled based on theory to account for heterogeneity between groups. Results from the system Generalised Method of Moments (GMM) estimation technique reveal that on average, Fintech usefulness in Africa is a dynamic heterogeneous process. Income per person, level of financial development, Fintechs' compatibility with users' experiences, users' risk perception, inflation rate and financial-openness were the main determinants of its usefulness. Its rapid growth after the 2009 financial crisis suggests that greater Fintech usefulness can mitigate financial crisis among Africa markets. In particular, the growth of Mobile-banking, ATM and Internet-banking as at 2018 are on average 41.8%, 0.4%, and 20.8% respectively greater than its average in the base year 2004. The study concludes that Fintech's usefulness is driven by economic, financial and psychological factors; therefore, structural transformation, financial development and improved literacy were recommended.</t>
  </si>
  <si>
    <t>[Okoli, Tochukwu Timothy] Univ Zululand South Africa, Econ Dept, Private Bag X1001, ZA-3886 Kwa Dlangezwa, South Africa; [Tewari, Devi Datt.] Univ Zululand, Private Bag X1001, Kwa Dlangezwa, South Africa</t>
  </si>
  <si>
    <t>University of Zululand</t>
  </si>
  <si>
    <t>Okoli, TT (corresponding author), Univ Zululand, Econ, ZA-3886 Kwa Dlangezwa, South Africa.</t>
  </si>
  <si>
    <t>tochukwu.okoli@fuoye.edu.ng; TewariD@unizulu.ac.za</t>
  </si>
  <si>
    <t>Okoli, Tochukwu/0000-0002-9163-0272</t>
  </si>
  <si>
    <t>10.1080/23322039.2020.1838691</t>
  </si>
  <si>
    <t>PR4OV</t>
  </si>
  <si>
    <t>WOS:000607218200001</t>
  </si>
  <si>
    <t>Béres, D; Huzdik, K</t>
  </si>
  <si>
    <t>Beres, Daniel; Huzdik, Katalin</t>
  </si>
  <si>
    <t>Attitude of Hungarian Young Adults Towards Bank Loans: The Risk Mitigation Trap</t>
  </si>
  <si>
    <t>PUBLIC FINANCE QUARTERLY-HUNGARY</t>
  </si>
  <si>
    <t>credit; loan; young adults; attitude; risk mitigation trap</t>
  </si>
  <si>
    <t>HABIT</t>
  </si>
  <si>
    <t>The aim of this study is to examine the attitude of young adults (18-25 years) towards hank loans. For the analysis we used two primary data sources (financial literacy surveys were executed in 2013 and 2020). The samples arc non-representatives, the number of involved survey participants exceeded 1,740 in both cases. The survey included 6 sections with open and closed questions, as well as Iikert-scales. It was found that the attitude of young adults towards the loans is negative. Between the 2013 and 2020 surveys the economic cycle showed prosperity. As a result, the respondents devalued the importance of the loans in the economy. Besides, the extreme rejection of having a hank loan was also mitigated. As for the bank loan experiences of the respondents it was found that the purposes of the borrowed loans are along the good criteria of financial literacy - the spendings examined can be considered as an investment for the future. Regarding the satisfaction level of the respondents with the hank loans the most important satisfactory factor was the expectations for the future. The measures taken after 2008 financial crisis such as re-defining consumer friendly lending and executing population supporting policy involving credit institutions resulted a mild positive effect on the attitude of the young adults towards hank loans. Risk avoidance results a trap situation that is against financial inclusion and results disequilibrium in demand and supply of banking services. The effect of the so called 'risk mitigation trap' can be reduced by developing the financial literacy.</t>
  </si>
  <si>
    <t>[Beres, Daniel; Huzdik, Katalin] Budapest Metropolitan Univ, Budapest, Hungary</t>
  </si>
  <si>
    <t>Budapest Metropolitan University</t>
  </si>
  <si>
    <t>Béres, D (corresponding author), Budapest Metropolitan Univ, Budapest, Hungary.</t>
  </si>
  <si>
    <t>dberes@metropolitan.hu; khuzdik@metropolitan.hu</t>
  </si>
  <si>
    <t>STATE AUDIT OFFICE HUNGARY</t>
  </si>
  <si>
    <t>BECSI U 5, BUDAPEST, 1052, HUNGARY</t>
  </si>
  <si>
    <t>0031-496X</t>
  </si>
  <si>
    <t>2064-8294</t>
  </si>
  <si>
    <t>PUBLIC FINANC Q-HUNG</t>
  </si>
  <si>
    <t>Public Financ. Q.-Hung.</t>
  </si>
  <si>
    <t>10.35551/PFQ_2022_1_2</t>
  </si>
  <si>
    <t>1T2KP</t>
  </si>
  <si>
    <t>WOS:000804564500002</t>
  </si>
  <si>
    <t>Allen, JS</t>
  </si>
  <si>
    <t>Allen, Jeffrey S.</t>
  </si>
  <si>
    <t>Pay it forward (digitally): sizing up the global impact of electronic wages on digital payment usage</t>
  </si>
  <si>
    <t>JOURNAL OF ECONOMICS AND FINANCE</t>
  </si>
  <si>
    <t>Digital financial services; Consumer payments; Business-to-person payments; Financial inclusion; D12; E41; G20; O30</t>
  </si>
  <si>
    <t>SAMPLE SELECTION; 2-SIDED MARKETS; INSTRUMENTS; DEMAND</t>
  </si>
  <si>
    <t>This paper explores the extent to which electronic wage payments affect the likelihood that consumers pay merchants digitally. I examine this relationship on a global basis, using microdata from the World Bank's 2021 Global Financial Inclusion (Findex) survey. Methodologically, I employ a two-stage modeling approach, which first accounts for a consumer's access to an electronic payment instrument before estimating the effects of electronic wages on digital payment usage. Overall, I find that consumers who receive wages electronically are 15% more likely to make digital merchant payments than those who do not. Electronic wages have a more powerful effect on the probability of making digital merchant payments than the other relevant demographic, personal economic, and connectivity variables included in the model. Only certain geographic indicators have larger effects. Further, in examining heterogeneous effects across regions, the positive and statistically significant effect of electronic wages holds in seven of eight regions-more often than the other explanatory factors. The findings presented in this paper have implications for scholars and policymakers seeking to understand the drivers of digital payment usage among consumers.</t>
  </si>
  <si>
    <t>[Allen, Jeffrey S.] Johns Hopkins Univ, Krieger Sch Arts &amp; Sci, Adv Acad Programs, Washington, DC 20001 USA</t>
  </si>
  <si>
    <t>Johns Hopkins University</t>
  </si>
  <si>
    <t>Allen, JS (corresponding author), Johns Hopkins Univ, Krieger Sch Arts &amp; Sci, Adv Acad Programs, Washington, DC 20001 USA.</t>
  </si>
  <si>
    <t>jallen71@jhu.edu</t>
  </si>
  <si>
    <t>Allen, Jeffrey/0000-0002-9805-8029</t>
  </si>
  <si>
    <t>1055-0925</t>
  </si>
  <si>
    <t>1938-9744</t>
  </si>
  <si>
    <t>J ECON FINANC-US</t>
  </si>
  <si>
    <t>J. Econ. Financ.</t>
  </si>
  <si>
    <t>10.1007/s12197-023-09645-8</t>
  </si>
  <si>
    <t>TG9Q9</t>
  </si>
  <si>
    <t>WOS:001072262600001</t>
  </si>
  <si>
    <t>Lessy, D; Dhib, N; Diener, F; Diener, M</t>
  </si>
  <si>
    <t>Lessy, Djaffar; Dhib, Nahla; Diener, Francine; Diener, Marc</t>
  </si>
  <si>
    <t>May Microcredit Lead to Inclusion?</t>
  </si>
  <si>
    <t>SIAM JOURNAL ON FINANCIAL MATHEMATICS</t>
  </si>
  <si>
    <t>micro-credit; Markov Chain with income; financial inclusion; absence of strategic default</t>
  </si>
  <si>
    <t>We consider a Markov-Chain model for a Micro-Finance Institution (MFI) borrower who can be in in the regular banking system. Given the transition matrix we compute the equilibrium and deduce the influence of probability parameters on what is profitable to the borrower within breaking-even constraints of the MFI. We give a general theorem on the expected income flow of a Markov Chain with Income (MCI), that we then apply to our model to determine the constraints emerging from Absence of Strategic Default (ASD) requirements. These not only bound the probabilities of success from above but sometimes also from below.</t>
  </si>
  <si>
    <t>[Lessy, Djaffar; Dhib, Nahla; Diener, Francine; Diener, Marc] Univ Cote Azur, LJAD, F-06100 Nice, France; [Lessy, Djaffar] IAIN Ambon, Maluku 97128, Indonesia</t>
  </si>
  <si>
    <t>Universite Cote d'Azur</t>
  </si>
  <si>
    <t>Lessy, D (corresponding author), Univ Cote Azur, LJAD, F-06100 Nice, France.;Lessy, D (corresponding author), IAIN Ambon, Maluku 97128, Indonesia.</t>
  </si>
  <si>
    <t>Djaffar.LESSY@univ-cotedazur.fr; Nahla.DHIB@univ-cotedazur.fr; Francine.DIENER@univ-cotedazur.fr; Marc.DIENER@univ-cotedazur.fr</t>
  </si>
  <si>
    <t>dhib, nahla/0000-0002-9213-9071</t>
  </si>
  <si>
    <t>SIAM PUBLICATIONS</t>
  </si>
  <si>
    <t>3600 UNIV CITY SCIENCE CENTER, PHILADELPHIA, PA 19104-2688 USA</t>
  </si>
  <si>
    <t>1945-497X</t>
  </si>
  <si>
    <t>SIAM J FINANC MATH</t>
  </si>
  <si>
    <t>SIAM J. Financ. Math.</t>
  </si>
  <si>
    <t>10.1137/20M1342811</t>
  </si>
  <si>
    <t>Business, Finance; Mathematics, Interdisciplinary Applications; Social Sciences, Mathematical Methods</t>
  </si>
  <si>
    <t>Business &amp; Economics; Mathematics; Mathematical Methods In Social Sciences</t>
  </si>
  <si>
    <t>XU7UM</t>
  </si>
  <si>
    <t>WOS:000734465000004</t>
  </si>
  <si>
    <t>Charron-Chénier, R</t>
  </si>
  <si>
    <t>Charron-Chenier, Raphael</t>
  </si>
  <si>
    <t>Predatory Inclusion in Consumer Credit: Explaining Black and White Disparities in Payday Loan Use</t>
  </si>
  <si>
    <t>SOCIOLOGICAL FORUM</t>
  </si>
  <si>
    <t>consumer credit; finance; financial exclusion; payday loans; predatory lending; racial inequality</t>
  </si>
  <si>
    <t>CONSUMPTION; ACCESS; STORE; CARDS; NEED</t>
  </si>
  <si>
    <t>Payday loans are a high-cost form of credit, yet they remain a popular financial tool used by a significant proportion of Americans. Use of these loans varies significantly across social groups. Black households in particular are more than twice as likely to use payday lending as white households. Explanations for households' decision to use payday loans remain disputed. Some scholars argue that poor financial literacy is a major driver of payday borrowing. Others propose instead that payday loans are a form of credit of last resort used after depleting higher quality sources of credit. In this article, I argue these explanations are incomplete and miss the racialized nature of payday lending. Payday lending is a form of predatory inclusion: it provides households experiencing exclusion from consumer credit markets with a needed source of credit but under conditions that jeopardize long-term benefits of access. Given historical and contemporary patterns of financial exclusion, this process entails disproportionate reliance on payday lending by black households. Models using data from the Survey of Consumer Finances provide support for both the predatory inclusion and the credit exhaustion explanations. Predatory inclusion, however, explains the largest portion of racial disparities in payday loan use.</t>
  </si>
  <si>
    <t>[Charron-Chenier, Raphael] Arizona State Univ, Sch Social Transformat, 240 E Orange Mall,POB 876403, Tempe, AZ 85287 USA</t>
  </si>
  <si>
    <t>Charron-Chénier, R (corresponding author), Arizona State Univ, Sch Social Transformat, 240 E Orange Mall,POB 876403, Tempe, AZ 85287 USA.</t>
  </si>
  <si>
    <t>0884-8971</t>
  </si>
  <si>
    <t>1573-7861</t>
  </si>
  <si>
    <t>SOCIOL FORUM</t>
  </si>
  <si>
    <t>Sociol. Forum</t>
  </si>
  <si>
    <t>10.1111/socf.12586</t>
  </si>
  <si>
    <t>LV3AD</t>
  </si>
  <si>
    <t>WOS:000510986900001</t>
  </si>
  <si>
    <t>Singh, KN; Malik, S</t>
  </si>
  <si>
    <t>Singh, Kamakhya Nr; Malik, Shruti</t>
  </si>
  <si>
    <t>An empirical analysis on household financial vulnerability in India: exploring the role of financial knowledge, impulsivity and money management skills</t>
  </si>
  <si>
    <t>Financial vulnerability index; Financial education; Financial knowledge; Financial attitude; Financial behaviour; Good money management; Impulsivity; Financial inclusion; Behavioural factors; Demographic factors</t>
  </si>
  <si>
    <t>PRINCIPAL-COMPONENTS-ANALYSIS; ECONOMIC VULNERABILITY; SELF-CONTROL; LITERACY; DEBT; BEHAVIOR; POVERTY; IMPACT; PROBIT</t>
  </si>
  <si>
    <t>Purpose The COVID-19 pandemic has exposed the financial-economic vulnerability of the public and threatened the household financial stability, especially of the low-income group population, in developing economies such as India. The assessment of household financial vulnerability has gained considerable attention these days, especially in poor and developing countries. This article seeks to assess the level of household financial vulnerability in India, based on a household survey conducted across India. Design/methodology/approach This paper has proposed a financial vulnerability index (FVI) based on three self-reported parameters: (1) making end meet, (2) perception of income shock and (3) perception of expenditure shock. Subsequently, the impact of various behavioural and socioeconomic factors on the proposed financial vulnerability index has been assessed using fractional probit regression. Findings The research findings indicate that higher financial knowledge, better money management skills and lower impulsivity in financial behaviour can reduce financial vulnerability. It is suggested that suitable financial literacy programmes be implemented for vulnerable sections of society to enhance their financial knowledge, improve money management skills and manage impulsivity, thereby helping them make informed financial decisions leading to their financial well-being. Originality/value To the best of the authors' knowledge, none of the past studies have developed and assessed the financial vulnerability index in India. This study provides relevant recommendations for various financial sector regulators and government institutions in India.</t>
  </si>
  <si>
    <t>[Singh, Kamakhya Nr] Govt India, Minist Corp Affairs, Indian Inst Corp Affairs, Res Chair Investor Educ &amp; Protect Fund Author, Gurgaon, India; [Malik, Shruti] JC Bose Univ Sci &amp; Technol, YMCA, Fac Management Studies, Faridabad, India</t>
  </si>
  <si>
    <t>J.C. Bose University of Science &amp; Technology, YMCA</t>
  </si>
  <si>
    <t>Malik, S (corresponding author), JC Bose Univ Sci &amp; Technol, YMCA, Fac Management Studies, Faridabad, India.</t>
  </si>
  <si>
    <t>shrutimalik.2050@gmail.com</t>
  </si>
  <si>
    <t>Singh, Kamakhya/0000-0002-0257-0686</t>
  </si>
  <si>
    <t>10.1108/MF-08-2021-0386</t>
  </si>
  <si>
    <t>WOS:000773565700001</t>
  </si>
  <si>
    <t>Tan, D</t>
  </si>
  <si>
    <t>Tan, David</t>
  </si>
  <si>
    <t>Demystifying the proliferation of online peer-to-peer lending in Indonesia: Decoding fintech as a regulatory challenge</t>
  </si>
  <si>
    <t>peer-to-peer lending; P2P lending; crowdfunding; fintech; financial inclusion; financial regulation</t>
  </si>
  <si>
    <t>FINANCIAL INNOVATION; BANKING; CHINA; TECHNOLOGY; SECURITIES; RESPONSES; TECH; FIN</t>
  </si>
  <si>
    <t>This paper purports to study the enormous proliferation of fintech online peer-to-peer (P2P) lending in Indonesia, along with their risks and the prevailing regulations of fintech online P2P lending. This article also suggests a varied spectrum of regulatory actions for regulating online P2P lending as an approach to increase consumer protection and stimulate the growth of Indonesia's financial inclusion. It highlights the regulative risks and challenges of fintech online P2P lending in Indonesia and has discovered various spectra of regulatory responses that the Indonesian government can practise to regulate this potential industry. Solid recommendations were also given to regulators to better develop the present regulatory framework. This paper adds to the literature on the prevailing practice of online P2P lending by offering a legal outlook involving legal protection and the newly emerging fintech industry from an Indonesian context.</t>
  </si>
  <si>
    <t>[Tan, David] Batam Int Univ, Fac Law, Batam, Indonesia; [Tan, David] Pelita Harapan Univ, Sch Law, Tangerang, Indonesia; [Tan, David] Kings Coll London, Dickson Poon Sch Law, London, England</t>
  </si>
  <si>
    <t>Universitas Pelita Harapan; University of London; King's College London</t>
  </si>
  <si>
    <t>Tan, D (corresponding author), Batam Int Univ, Fac Law, Batam, Indonesia.;Tan, D (corresponding author), Pelita Harapan Univ, Sch Law, Tangerang, Indonesia.;Tan, D (corresponding author), Kings Coll London, Dickson Poon Sch Law, London, England.</t>
  </si>
  <si>
    <t>david.tan@uib.ac.id</t>
  </si>
  <si>
    <t>Tan, David/HIR-2214-2022</t>
  </si>
  <si>
    <t>Batam International University [284/LPPM/KP-UIB/XII/2021]; British Government Chevening Scholarship</t>
  </si>
  <si>
    <t>Batam International University; British Government Chevening Scholarship</t>
  </si>
  <si>
    <t>I wish to express my gratitude to the anonymous referees for their very thoughtful, invaluable, particularly detailed, and constructing comments and remarks and who took a keen interest in reviewing the earlier draft of this manuscript and in this way contributed materially to the development of the research paper. I would also like to thank the Editorial Office of the Asian Journal of Law and Society, especially Dr Haozhou Lin and Prof. Dr Duoqi Xu for their thorough editorial work. A research grant from the Batam International University supported some of the work for this paper (Grant Number: 284/LPPM/KP-UIB/XII/2021). This paper was also written as part of independent research conducted during study at the Dickson Poon School of Law, King's College London with funding from the British Government Chevening Scholarship. Any opinions expressed and policies advocated in this material are the author's and do not necessarily reflect the views of the Foreign, Commonwealth &amp; Development Office (FCDO), the funder, and the institution with which the author is affiliated. The author reserves all remaining omissions and/or errors. The standard disclaimers apply.</t>
  </si>
  <si>
    <t>10.1017/als.2022.21</t>
  </si>
  <si>
    <t>JJ4O2</t>
  </si>
  <si>
    <t>WOS:000865972600001</t>
  </si>
  <si>
    <t>Sonne, L</t>
  </si>
  <si>
    <t>Sonne, Lina</t>
  </si>
  <si>
    <t>Innovative initiatives supporting inclusive innovation in India: Social business incubation and micro venture capital</t>
  </si>
  <si>
    <t>Inclusive finance; Inclusive innovation; Entrepreneurship; Financial innovation; Rural finance; India; India's financial system</t>
  </si>
  <si>
    <t>In India inclusive innovation through social entrepreneurs is currently booming. However, these entrepreneurs suffer from a lack of finance since the bank system as well as the microfinance sector are unwilling or unable to finance them. However, pioneering finance initiatives have been emerging recently to bridge this gap. This paper discusses these emerging alternative financing initiatives which are forming an innovation eco-system of support for inclusive innovation and social entrepreneurship. It highlights two instruments in particular that are used in conventional innovation support: business incubation and venture capital. Two case studies are undertaken in order to provide evidence on how such instruments can operate with a 'dual bottom line in supporting inclusive innovation and social entrepreneurship. (C) 2011 Published by Elsevier Inc.</t>
  </si>
  <si>
    <t>Azim Premji Univ, Bangalore 560100, Karnataka, India</t>
  </si>
  <si>
    <t>Azim Premji Foundation; Azim Premji University Bengaluru</t>
  </si>
  <si>
    <t>Sonne, L (corresponding author), Azim Premji Univ, Hosur Rd, Bangalore 560100, Karnataka, India.</t>
  </si>
  <si>
    <t>linaesonne@gmail.com</t>
  </si>
  <si>
    <t>Sonne Vyas, Lina/0000-0002-4089-4454</t>
  </si>
  <si>
    <t>10.1016/j.techfore.2011.06.008</t>
  </si>
  <si>
    <t>929TD</t>
  </si>
  <si>
    <t>WOS:000303087700004</t>
  </si>
  <si>
    <t>ICT-equipped bank boat and the financial inclusion of the riverine population of Marajo Island in the Brazilian Amazon</t>
  </si>
  <si>
    <t>INFORMATION SYSTEMS JOURNAL</t>
  </si>
  <si>
    <t>Agencia Barco; development; financial inclusion; ICT for development; Marajo Island</t>
  </si>
  <si>
    <t>DEVELOPING-COUNTRIES; INFORMATION-SYSTEMS; CAPABILITY APPROACH; SUCCESS; TRENDS</t>
  </si>
  <si>
    <t>The challenge in offering public services in less developed areas in Brazil has mobilized the government in search of new and creative approaches that can reduce major interregional disparities, including lack of access to the financial system, which is the prevailing situation on Marajo Island in the state of Para in the Brazilian Amazon. To transform this reality, an information and communication technology (ICT)-equipped travelling bank branch installed on a boat-named Agencia Barco-was designed for the purpose of meeting the financial needs of the riverine population that lives in a vast territory with low population density, marked transportation difficulties, and a limited supply of ICT. Thus, this research aims to assess the impact of this bank boat in the financial inclusion of a riverine population of Marajo Island in the state of Para, which is the unit of analysis of this work. The research outcomes indicate that Agencia Barco, via ICT, has partially managed to provide access to financial products and services that might be of interest to the riverine population of Marajo Island. However, the lack of basic financial education and context-based issues related to the ICT infrastructure has been obstacles to the financial inclusion of this riverine population. Finally, the absence of involvement of local people in this endeavour has not stimulated dynamics of empowerment and participation that could lead to sustainable financial inclusion.</t>
  </si>
  <si>
    <t>[Joia, Luiz Antonio; dos Santos, Ricardo Paschoeto] Getulio Vargas Fdn, Brazilian Sch Publ &amp; Business Adm, Rio De Janeiro, Brazil</t>
  </si>
  <si>
    <t>Joia, LA (corresponding author), Getulio Vargas Fdn, Brazilian Sch Publ &amp; Business Adm, Rio De Janeiro, Brazil.</t>
  </si>
  <si>
    <t>luiz.joia@fgv.br</t>
  </si>
  <si>
    <t>JOIA, LUIZ ANTONIO/JHT-8863-2023; Joia, Luiz Antonio/H-1028-2012</t>
  </si>
  <si>
    <t>Joia, Luiz Antonio/0000-0002-5903-5190</t>
  </si>
  <si>
    <t>CNPq - Brazilian National Research Center [305661/2015-9]</t>
  </si>
  <si>
    <t>CNPq - Brazilian National Research Center</t>
  </si>
  <si>
    <t>CNPq - Brazilian National Research Center, Grant/Award Number: 305661/2015-9</t>
  </si>
  <si>
    <t>1350-1917</t>
  </si>
  <si>
    <t>1365-2575</t>
  </si>
  <si>
    <t>INFORM SYST J</t>
  </si>
  <si>
    <t>Inf. Syst. J.</t>
  </si>
  <si>
    <t>10.1111/isj.12200</t>
  </si>
  <si>
    <t>IE8ZF</t>
  </si>
  <si>
    <t>WOS:000472661900006</t>
  </si>
  <si>
    <t>Yao, R; Xu, YL</t>
  </si>
  <si>
    <t>Yao, Rui; Xu, Yilan</t>
  </si>
  <si>
    <t>Chinese Urban Households' Security Market Participation: Does Investment Knowledge and Having a Long-Term Plan Help?</t>
  </si>
  <si>
    <t>China; Financial capability; Financial planning; Investment decisions</t>
  </si>
  <si>
    <t>PORTFOLIO CHOICE; FINANCIAL LITERACY; GENDER-DIFFERENCES; SAVING RATES; LIFE-CYCLE; BEHAVIOR; CONSUMPTION; WEALTH</t>
  </si>
  <si>
    <t>Investment in the securities markets is vital to households' wealth accumulation and financial security. Using data from the 2008 Survey of Chinese Consumer Finance and Investor Education, we found that self-assessed investment knowledge and having a long-term financial plan were positively associated with Chinese households' participation in the securities markets. The findings provide insight into the long-term financial security of Chinese households. Given the growing middle class and the rapid development of the financial markets in China, the Chinese financial planning industry is likely to grow substantially in the coming years.</t>
  </si>
  <si>
    <t>[Yao, Rui] Univ Missouri, Dept Personal Financial Planning, 239A Stanley Hall, Columbia, MO 65211 USA; [Xu, Yilan] Univ Illinois, Dept Agr &amp; Consumer Econ, Urbana, IL 61801 USA</t>
  </si>
  <si>
    <t>University of Missouri System; University of Missouri Columbia; University of Illinois System; University of Illinois Urbana-Champaign</t>
  </si>
  <si>
    <t>Yao, R (corresponding author), Univ Missouri, Dept Personal Financial Planning, 239A Stanley Hall, Columbia, MO 65211 USA.</t>
  </si>
  <si>
    <t>yaor@missouri.edu; yilanxu@illinois.edu</t>
  </si>
  <si>
    <t>Xu, Yilan/OMM-8142-2025</t>
  </si>
  <si>
    <t>Xu, Yilan/0000-0003-3650-1416</t>
  </si>
  <si>
    <t>10.1007/s10834-015-9455-2</t>
  </si>
  <si>
    <t>V64ZL</t>
  </si>
  <si>
    <t>WOS:000211138800004</t>
  </si>
  <si>
    <t>Ally, AM</t>
  </si>
  <si>
    <t>Ally, Abdallah Mrindoko</t>
  </si>
  <si>
    <t>Artificial intelligence (AI) and financial technology (FinTech) in Tanzania; legal and regulatory issues</t>
  </si>
  <si>
    <t>Artificial intelligence; FinTech; M-banking; ICT; Tanzania</t>
  </si>
  <si>
    <t>PurposeThis paper aims to investigate the legal challenges arising from the increasing integration of artificial intelligence (AI) within the financial industry. It examines issues such as data privacy, cyber security, fraud and consumer protection, as well as ethical concerns like algorithmic bias, fairness and transparency. The study explores ways to create a regulatory environment that supports innovation while ensuring financial stability and consumer protection. It also examines the impact of FinTech innovations, such as mobile banking and block chain, on Tanzania's legal landscape, providing recommendations for adapting laws to better manage AI and FinTech integration.Design/methodology/approachThe study adopts a doctrinal legal approach and comparative analysis to assess Tanzanian laws, identifying gaps and proposing solutions. It draws on international legal frameworks and applies both deductive and inductive reasoning, alongside key rules of statutory interpretation, including the mischief rule, literal rule, golden rule and purposive approach. Key Tanzanian laws, such as the Cybercrime Act (2015), the Electronic Transactions Act (2015), the Personal Data Protection Act (2022) and the National Payments System Act (2015), are critically examined. Comparative analysis with international legal standards further highlights areas for improvement and opportunities for legal harmonization.FindingsThe study revealed that the existing legal instruments in Tanzania, such as the Cybercrime Act 2015, Electronic Transaction Act 2015 and others, are inadequate in addressing the specific legal challenges posed by AI and FinTech. There is a significant need for specialized legal frameworks that facilitate financial inclusion in the digital economy and protect consumers from potential financial risks associated with emerging technologies. The integration of AI and FinTech has democratized access to financial services but has also introduced unforeseen legal complexities and regulatory gaps.Originality/valueThis paper presents an in-depth analysis of the impact of AI on Tanzania's financial sector. Its originality and value stem from its focused exploration of AI's influence on FinTech, detailed legal analysis and practical legislative reform recommendations. The discussion provides insights into the local legal framework and its preparedness to handle the complexities introduced by AI and automated contracts. This localized analysis fills a significant gap in the literature, offering valuable information for policymakers and scholars interested in FinTech. The paper contributes to the discourse on digital economy regulations and the adaptation of legal frameworks to emerging technologies.</t>
  </si>
  <si>
    <t>[Ally, Abdallah Mrindoko] Open Univ Tanzania, Fac Law, Private Law Dept, Dar Es Salaam, Tanzania</t>
  </si>
  <si>
    <t>Ally, AM (corresponding author), Open Univ Tanzania, Fac Law, Private Law Dept, Dar Es Salaam, Tanzania.</t>
  </si>
  <si>
    <t>abdallahally2@gmail.com</t>
  </si>
  <si>
    <t>2025 MAR 5</t>
  </si>
  <si>
    <t>10.1108/IJLMA-07-2024-0251</t>
  </si>
  <si>
    <t>Y9K3R</t>
  </si>
  <si>
    <t>WOS:001435218900001</t>
  </si>
  <si>
    <t>Adewale, AA; Haron, R</t>
  </si>
  <si>
    <t>Adewale, Abideen Adeyemi; Haron, Razali</t>
  </si>
  <si>
    <t>DEMOCRACY AND SOCIO-ECONOMIC INCLUSION IN NIGERIA: REDUCING THE MUTUAL EXCLUSIVITY THROUGH ISLAMIC MICROFINANCE</t>
  </si>
  <si>
    <t>Democracy; Political-economy; Islamic microfinance; Socio-economic; Financial inclusion; Nigeria</t>
  </si>
  <si>
    <t>Nigeria's return to democratic rule about 18 years ago heralded a new beginning that was expected to promote political stability, ensure economic prosperity and build societal civility. However, Nigeria is now politically disintegrated, socially dislocated and economically unstable mainly due to many reasons but chiefly socio-economic exclusion. Notwithstanding its large Muslim population, policy recommendations from the West towards solving its myriad of political-economy issues often discounts Islamic alternatives. This has brought to the fore a challenge to the status quo as well as the philosophy that underlines Nigeria's political-economy inclinations and implications for its teeming population. The objective of this theoretical paper is to stimulate discourse on the policy directions that are in alignment with political economy reality of Nigeria as a Muslim majority country. Specifically, this paper profiles Nigeria's current socio-economic realities, and its political economy vis-a-vis the global economic order. The paper argues that the various Islamic social finance platforms especially Islamic microfinance may play a big role in mitigating the mutual exclusivity of democracy and socio-economic inclusion of Nigerians especially the Muslims.</t>
  </si>
  <si>
    <t>[Adewale, Abideen Adeyemi; Haron, Razali] IIUM Inst Islamic Banking &amp; Finance IIiBF, Kuala Lumpur, Malaysia; [Adewale, Abideen Adeyemi] IIUM, KENMS, Dept Finance, Kuala Lumpur, Malaysia; [Adewale, Abideen Adeyemi] IIUM, Grad Sch Management, Kuala Lumpur, Malaysia; [Adewale, Abideen Adeyemi] Univ Ilorin, Accounting &amp; Finance Dept, Ilorin, Nigeria; [Haron, Razali] Minist Finance, Valuat &amp; Property Serv Dept, Putrajaya, Malaysia; [Haron, Razali] IIiBFs Journal Islamic Finance, Kuala Lumpur, Malaysia; [Haron, Razali] IIUM, FPAM, Kuala Lumpur, Malaysia</t>
  </si>
  <si>
    <t>International Islamic University Malaysia; International Islamic University Malaysia; University of Ilorin; International Islamic University Malaysia</t>
  </si>
  <si>
    <t>Adewale, AA (corresponding author), IIUM Inst Islamic Banking &amp; Finance IIiBF, Kuala Lumpur, Malaysia.;Adewale, AA (corresponding author), IIUM, KENMS, Dept Finance, Kuala Lumpur, Malaysia.;Adewale, AA (corresponding author), IIUM, Grad Sch Management, Kuala Lumpur, Malaysia.;Adewale, AA (corresponding author), Univ Ilorin, Accounting &amp; Finance Dept, Ilorin, Nigeria.</t>
  </si>
  <si>
    <t>Haron, Razali/AAG-3205-2019</t>
  </si>
  <si>
    <t>Haron, Razali/0000-0003-0415-4093</t>
  </si>
  <si>
    <t>FQ8PL</t>
  </si>
  <si>
    <t>WOS:000418624800001</t>
  </si>
  <si>
    <t>Yates, SR</t>
  </si>
  <si>
    <t>Yates, Stephanie R.</t>
  </si>
  <si>
    <t>Factors Associated With Electronic Banking Adoption</t>
  </si>
  <si>
    <t>banking; electronic banking; electronic funds transfer</t>
  </si>
  <si>
    <t>FINANCIAL LITERACY; ANTECEDENTS; BEHAVIOR</t>
  </si>
  <si>
    <t>Using data from the 2016 Survey of Consumer Finances, this study investigates factors that affect electronic banking adoption rates. Financial knowledge, income, education, and credit card ownership are associated with a high probability of electronic banking adoption. However, age is negatively associated with the probability of online banking adoption and the African American consumer is less likely to adopt electronic banking. This result is more prominent for African American women but does not hold for African American business owners. Financial counselors, planners, and educators should be aware and sensitive to these differences in order to provide additional education as needed on how to effectively use electronic banking services in order to achieve a greater degree of financial inclusion.</t>
  </si>
  <si>
    <t>[Yates, Stephanie R.] Univ Alabama Birmingham, Collat Sch Business, Reg Inst Financial Educ, 710 13th St S,Suite 153, Birmingham, AL 35294 USA</t>
  </si>
  <si>
    <t>University of Alabama System; University of Alabama Birmingham</t>
  </si>
  <si>
    <t>Yates, SR (corresponding author), Univ Alabama Birmingham, Collat Sch Business, Reg Inst Financial Educ, 710 13th St S,Suite 153, Birmingham, AL 35294 USA.</t>
  </si>
  <si>
    <t>sryates@uab.edu</t>
  </si>
  <si>
    <t>Yates, Stephanie/NBX-7973-2025</t>
  </si>
  <si>
    <t>10.1891/JFCP-18-00079</t>
  </si>
  <si>
    <t>WOS:000543736300008</t>
  </si>
  <si>
    <t>Hemtanon, W; Gan, C</t>
  </si>
  <si>
    <t>Hemtanon, Wittawat; Gan, Christopher</t>
  </si>
  <si>
    <t>Microfinance Participation in Thailand</t>
  </si>
  <si>
    <t>microfinance participation; Village Funds; Saving Groups for Production; Thailand; income inequality</t>
  </si>
  <si>
    <t>SMALLHOLDER FARMERS; CREDIT PROGRAMS; ACCESS; IMPACT; GENDER; DETERMINANTS; POVERTY; FINANCE; MATTER</t>
  </si>
  <si>
    <t>Income inequality is a major problem in Thailand. A key determinant of income inequality in Thailand is the lack of financial access to financial institutions for low-income families. Microfinance institutions (MFIs) play an important role in enabling poor households to access financial resources at a reasonable cost. The purpose of this paper is to investigate factors that affect Thai households participating in microfinance programs in Thailand. A multinomial logit model is used to investigate the factors that impact the Thai households' access to microfinance. The study employs secondary data from the Thai Socioeconomic Survey (cross-sectional data in 2017) to identify factors affecting Thai household participation in microfinance programs. The results show that the Village Fund (VF) targets low-income rural households and encourages those with older household heads who have lower levels of education, and female household heads, to participate in their program. Larger households are more likely to access the VF. Households with higher dependency ratios are less likely to borrow from the VF. Households with well-educated, young household heads in regional areas are more likely to borrow money from Saving Groups for Production (SGPs). SGP borrower households have higher household incomes than VF borrower households. Our findings indicate that VFs and SGPs are credit sources in the rural credit market; these sources enable rural households to access credit to meet their needs. In addition, rural Thai households borrow from many sources so that they can rotate their loan repayments. Low-income households refinance their loans by borrowing from different sources.</t>
  </si>
  <si>
    <t>[Hemtanon, Wittawat] Lincoln Univ, Fac Agribusiness &amp; Commerce, Lincoln 7647, New Zealand; [Hemtanon, Wittawat] Prince Songkla Univ, Fac Econ, Hat Yai 90110, Thailand; [Gan, Christopher] Lincoln Univ, Dept Accounting Econ &amp; Finance, Lincoln 7647, New Zealand</t>
  </si>
  <si>
    <t>Lincoln University - New Zealand; Prince of Songkla University; Lincoln University - New Zealand</t>
  </si>
  <si>
    <t>Hemtanon, W (corresponding author), Lincoln Univ, Fac Agribusiness &amp; Commerce, Lincoln 7647, New Zealand.;Hemtanon, W (corresponding author), Prince Songkla Univ, Fac Econ, Hat Yai 90110, Thailand.</t>
  </si>
  <si>
    <t>wittawat.he@gmail.com; Christopher.Gan@lincoln.ac.nz</t>
  </si>
  <si>
    <t>Hemtanon, Wittawat/AAQ-9024-2020; Gan, Christopher/JSL-2036-2023</t>
  </si>
  <si>
    <t>Hemtanon, Wittawat/0000-0002-9038-5500; Gan, Christopher/0000-0002-5618-1651</t>
  </si>
  <si>
    <t>Faculty of Agribusiness and Commerce, Lincoln University, New Zealand; Faculty of Economics, Prince of Songkla University, Thailand; National Statistical Office, from the Ministry of Information and Communication Technology</t>
  </si>
  <si>
    <t>We thank Faculty of Agribusiness and Commerce, Lincoln University, New Zealand; Faculty of Economics, Prince of Songkla University, Thailand and the National Statistical Office, from the Ministry of Information and Communication Technology for their support in carrying out this study.</t>
  </si>
  <si>
    <t>10.3390/jrfm13060122</t>
  </si>
  <si>
    <t>MO0MX</t>
  </si>
  <si>
    <t>WOS:000551232500008</t>
  </si>
  <si>
    <t>Bhatia, MS; Chaudhuri, A; Kayikci, Y; Treiblmaier, H</t>
  </si>
  <si>
    <t>Bhatia, Manjot Singh; Chaudhuri, Atanu; Kayikci, Yasanur; Treiblmaier, Horst</t>
  </si>
  <si>
    <t>Implementation of blockchain-enabled supply chain finance solutions in the agricultural commodity supply chain: a transaction cost economics perspective</t>
  </si>
  <si>
    <t>PRODUCTION PLANNING &amp; CONTROL</t>
  </si>
  <si>
    <t>Blockchain; supply chain finance; agricultural commodity supply chain; Transaction Cost Economics; CIMO analysis</t>
  </si>
  <si>
    <t>OPERATIONS MANAGEMENT; INDUSTRY 4.0; TECHNOLOGY; WILL</t>
  </si>
  <si>
    <t>Agricultural commodity supply chains are characterised by the involvement of multiple intermediaries, lack of access to finance and poor financial conditions of farmers. Additionally, there exist numerous inefficiencies and a lack of transparency in the trading processes. Blockchain-enabled supply chain finance (SCF) solutions can potentially help to overcome these problems. However, there is limited research on the process of developing and implementing such solutions and the potential consequences of their implementation. In this paper, we apply the Context-Intervention-Mechanism-Outcome (CIMO) framework to systematically analyse case studies of four firms that have developed blockchain-enabled SCF solutions in agricultural commodity supply chains. The findings show that blockchain-enabled SCF solutions can reduce different types of transaction costs such as costs associated with information search, negotiation and contracting costs, and costs of accessing finance. The solutions designed with the core objective of improving the financial conditions of farmers will differ from those with the core objective of reducing process inefficiencies. The findings of the study will benefit companies planning to develop and implement blockchain-enabled SCF solutions, by highlighting operational challenges and offering concrete solutions on how they can be overcome.</t>
  </si>
  <si>
    <t>[Bhatia, Manjot Singh] LM Thapar Sch Management, Dera Bassi, India; [Chaudhuri, Atanu] Univ Durham, Business Sch, Durham, England; [Kayikci, Yasanur] Sheffield Hallam Univ, Sheffield Business Sch, Sheffield, England; [Kayikci, Yasanur] Univ Sussex, Sci Policy Res Unit, Business Sch, Brighton, England; [Treiblmaier, Horst] Modul Univ Vienna, Sch Int Management, Vienna, Austria</t>
  </si>
  <si>
    <t>Thapar Institute of Engineering &amp; Technology; Durham University; Sheffield Hallam University; University of Sussex</t>
  </si>
  <si>
    <t>Bhatia, MS (corresponding author), LM Thapar Sch Management, Dera Bassi, India.</t>
  </si>
  <si>
    <t>manjotbht@gmail.com</t>
  </si>
  <si>
    <t>Chaudhuri, Atanu/C-2690-2011; Kayikci, Yaşanur/D-3681-2014; Treiblmaier, Horst/X-1282-2019; Bhatia, Manjot/S-7339-2019</t>
  </si>
  <si>
    <t>Chaudhuri, Atanu/0000-0002-6156-9634; Kayikci, Yaşanur/0000-0003-2406-3164; Treiblmaier, Horst/0000-0002-0755-5223;</t>
  </si>
  <si>
    <t>0953-7287</t>
  </si>
  <si>
    <t>1366-5871</t>
  </si>
  <si>
    <t>PROD PLAN CONTROL</t>
  </si>
  <si>
    <t>Prod. Plan. Control</t>
  </si>
  <si>
    <t>10.1080/09537287.2023.2180685</t>
  </si>
  <si>
    <t>Engineering, Industrial; Engineering, Manufacturing; Operations Research &amp; Management Science</t>
  </si>
  <si>
    <t>C7W5K</t>
  </si>
  <si>
    <t>WOS:000936049000001</t>
  </si>
  <si>
    <t>Mohapatra, CS; Ghosh, D</t>
  </si>
  <si>
    <t>Mohapatra, C. S.; Ghosh, Depannita</t>
  </si>
  <si>
    <t>Investor Protection Paradigm in India: Mounting Criticality of Digitalisation</t>
  </si>
  <si>
    <t>Investor Protection; Investor Education; Digitalisation; Ombudsman; Grievance redressal; SEBI; RBI; DPDP Act; Financial Literacy; Financial Inclusion</t>
  </si>
  <si>
    <t>With the advent of digitalisation and expansion of the retail market in recent years, India has experienced a significant shift in its financial landscape, necessitating an increased emphasis on investor education and protection. This article delves into the intricate relationship between investor education and investor protection, emphasising the pivotal role of the government, regulators and financial institutions in framing protective measures for investors. With the rise of digitalisation, particularly fintech, the financial services sector has witnessed transformative changes, influencing access to investment opportunities. This exploratory article reviews the existing architecture for investor protection and stresses the need for a dynamic and well-coordinated approach, robust complaint resolution mechanism, and comprehensive research to enhance investor protection in this evolving financial ecosystem. It discusses notable initiatives, including the National Strategy on Financial Education and its 5C strategy, suggesting an additional '6th C', that is, a class-oriented approach to serve as a key driver in creating a financially aware and empowered India. The strengthening of the regulatory framework with adequate cybersecurity measures, launch of an online portal for claim settlement and the establishment of a Centralised Grievance Redressal system are highlighted as crucial steps in building a comprehensive investor protection framework. The authors also highlight that investor protection is a two-way approach involving the government and regulatory bodies on the one hand and investors on the other, with both sides being equally accountable, alert and watchful in the digital era.JEL Codes: D02, D14, D18, G18, G21, G22, G23, G28</t>
  </si>
  <si>
    <t>[Mohapatra, C. S.] IEPFA, Natl Council Appl Econ Res, Minist Corp Affairs, New Delhi, India; [Ghosh, Depannita] NCAER, IEPF Chair Unit, New Delhi, India</t>
  </si>
  <si>
    <t>Mohapatra, CS (corresponding author), IEPFA, Natl Council Appl Econ Res, Minist Corp Affairs, New Delhi, India.</t>
  </si>
  <si>
    <t>csmohapatra@ncaer.org; dghosh@ncaer.org</t>
  </si>
  <si>
    <t>; GHOSH, DEPANNITA/MNO-4667-2025</t>
  </si>
  <si>
    <t>, CS Mohapatra/0009-0008-6055-0254; GHOSH, DEPANNITA/0009-0001-5527-0695</t>
  </si>
  <si>
    <t>IEPFA</t>
  </si>
  <si>
    <t>The authors disclosed receipt of the following financial support for the research, authorship and/or publication of this article: The authors' work including this research paper at the IEPF Chair Unit at NCAER is undertaken under an MoU between NCAER and IEPFA. The IEPF Chair Unit is funded by IEPFA.</t>
  </si>
  <si>
    <t>10.1177/00252921241262674</t>
  </si>
  <si>
    <t>J3L2G</t>
  </si>
  <si>
    <t>WOS:001287933400001</t>
  </si>
  <si>
    <t>The role of financial inclusion in moderating the incidence of entrepreneurship on energy poverty in Ghana</t>
  </si>
  <si>
    <t>JOURNAL OF ENTREPRENEURSHIP IN EMERGING ECONOMIES</t>
  </si>
  <si>
    <t>Energy poverty; Financial inclusion; Consumption poverty; Education; Household income; D03; D12; D14; I32; Q41</t>
  </si>
  <si>
    <t>MOBILE MONEY INNOVATIONS; DEVELOPING-COUNTRIES; POPULATION-GROWTH; ECONOMIC-GROWTH; REPLICATION; INEQUALITY; INVESTMENT; EDUCATION; PANEL; ICT</t>
  </si>
  <si>
    <t>PurposeThis study aims to assess the role of financial inclusion (FI) in moderating the incidence of entrepreneurship on energy poverty in Ghana. Design/methodology/approachThe assessment is made by using pooled data and two-stage least squares. The exposition builds from the 7th (GLSS7) and 6th (GLSS6) rounds focusing on the Ghana Living Standards Survey (GSS, 2014, 2019) that is collected by the Ghana Statistical Service (GSS) from 10 principal regions in the country. FindingsThe findings show that entrepreneurship has an unconditional positive incidence on energy poverty while the interactive incidence between entrepreneurship and FI on energy poverty is negative. The corresponding FI policy thresholds that should be exceeded in order for FI to effectively moderate entrepreneurship for negative outcomes in energy poverty are between 0.154 and 0.280 index for the full sample; 0.187 index for the rural subsample; 0.200 and 0.333 index for the male sample. Thresholds are not computed for the rural and female subsamples because at least one estimated coefficient that is needed for the computation of such thresholds is not significant. Policy implications are discussed. Originality/valueThis study has complemented the existing literature by assessing how FI can be used to influence the nexus between entrepreneurship and poverty in Ghana.</t>
  </si>
  <si>
    <t>2053-4604</t>
  </si>
  <si>
    <t>2053-4612</t>
  </si>
  <si>
    <t>J ENTREP EMERG ECON</t>
  </si>
  <si>
    <t>J. Entrep. Emerg. Econ.</t>
  </si>
  <si>
    <t>2023 JUN 23</t>
  </si>
  <si>
    <t>10.1108/JEEE-03-2023-0089</t>
  </si>
  <si>
    <t>J5LD2</t>
  </si>
  <si>
    <t>WOS:001010022300001</t>
  </si>
  <si>
    <t>Rahadi, AP; Koesrindartoto, DP; Wisesa, A</t>
  </si>
  <si>
    <t>Rahadi, Ashri Putri; Koesrindartoto, Deddy Priatmodjo; Wisesa, Anggara</t>
  </si>
  <si>
    <t>Gender, anxiety and perceived Islamic values in students' debt attitudes and behaviour: an ethnographic study of an Indonesian multicultural university</t>
  </si>
  <si>
    <t>Financial behaviour; Debt attitudes; Student debt; Higher education; Cultural economics; Islamic values</t>
  </si>
  <si>
    <t>CREDIT-CARD DEBT; RELIGIOSITY; CONSUMPTION</t>
  </si>
  <si>
    <t>PurposeTo mitigate debt repayment ability in underbanked borrowers such as students, debt attitude is used as an initial approach. This study aims to focus on how students' debt attitudes and behaviours are shaped from a cultural point of view.Design/methodology/approachThrough qualitative research in one of Indonesia's multicultural universities, ethnography was used to elicit a stable dominant cultural factor that shapes students' debt attitudes and behaviours.FindingsPerceived Islamic values were found to induce debt anxiety but to encourage positive coping strategies such as prioritising debt repayment, minimising consumption and spending and avoiding shirking one's responsibilities.Research limitations/implicationsDebt is a complex issue, and the authors have simply examined the impact of religion on attitudes and behaviours. Nonetheless, other important variables are considered in the literature, such as family and a debt-friendly atmosphere. This research was constrained by time and finance, so it only relates to ITB students. Additionally, understanding why women were more likely to be anxious because of their embracing of debt-related Islamic values from a religious point of view is absent in the literature, and thus requires future investigation.Practical implicationsThe findings offer two practical implications. Firstly, this study could improve the credit assessment process to detect debt anxiety more accurately because the causality of anxiety is known. Furthermore, when detecting debt-relax, creditors may demand a higher financial literacy score to minimise non-payment. Secondly, with regard to financial literacy, Indonesians exhibit low levels, with only 32% considered to be financially literate according to the 2020 OECD assessment. By recognising the stable cultural factor influencing debt attitudes and behaviours, educators, creditors and policymakers can enhance financial literacy programme efficiency with participants' religious values.Social implicationsIn the context of limited financial literacy, Islamic values can be beneficial for society because their perception and practice could induce debt anxiety while generating positive anxiety-coping mechanisms identified as anti-debt behaviours.Originality/valuePrevious research has found correlations between religiosity and attitudes, as well as between gender and attitudes, towards debt. However, to the best of the authors' knowledge, this study is the first to demonstrate that perceived religiosity causes anti-debt attitudes and behaviours, which is more evident in anxiety-prone women. The findings answer the calls of Harrison et al. (2013, 2015), Harrison and Agnew (2016) and Kettley et al. (2008) to understand why women possess an aversion to taking on debt, especially from the point of view of cultural and societal norms, as posited by Meyll and Pauls (2019).</t>
  </si>
  <si>
    <t>[Rahadi, Ashri Putri; Koesrindartoto, Deddy Priatmodjo; Wisesa, Anggara] Bandung Inst Technol, Sch Business &amp; Management, Bandung, Indonesia; [Rahadi, Ashri Putri] Telkom Univ, Sch Econ &amp; Business, Bandung, Indonesia</t>
  </si>
  <si>
    <t>Rahadi, AP (corresponding author), Bandung Inst Technol, Sch Business &amp; Management, Bandung, Indonesia.;Rahadi, AP (corresponding author), Telkom Univ, Sch Econ &amp; Business, Bandung, Indonesia.</t>
  </si>
  <si>
    <t>ashri.putri@sbm-itb.ac.id; deddypri@sbm-itb.ac.id; anggara@sbm-itb.ac.id</t>
  </si>
  <si>
    <t>Wisesa, Anggara/P-5275-2015; rahadi, ashri putri/LNR-4337-2024</t>
  </si>
  <si>
    <t>rahadi, ashri putri/0000-0002-9849-9254</t>
  </si>
  <si>
    <t>Funding statement: This work is self-funded. We do not accept funding from any organisations.</t>
  </si>
  <si>
    <t>10.1108/JIABR-03-2024-0079</t>
  </si>
  <si>
    <t>O3G1G</t>
  </si>
  <si>
    <t>WOS:001370045100001</t>
  </si>
  <si>
    <t>Correia, F; Martins, A; Waikel, A</t>
  </si>
  <si>
    <t>Correia, Filipe; Martins, Antonio; Waikel, Anthony</t>
  </si>
  <si>
    <t>Online financing without FinTech: Evidence from online informal loans</t>
  </si>
  <si>
    <t>FinTech; Informal credit; Online lending; Pandemic</t>
  </si>
  <si>
    <t>MICROCREDIT EVIDENCE; IMPACTS</t>
  </si>
  <si>
    <t>We present the first comprehensive dataset on an online informal micro-lending community. These informal loans are small, short duration and high-cost. Using our unique micro data, and the Covid-19 pandemic as a laboratory, we uncover different types of information contained on loan terms and on the narratives of market participants. First, loan terms reflect the aggregate economic context of borrowers and lenders. Second, narratives among market participants contain additional and timely information about aggregate and individual borrower circumstances. Third, lenders imperfectly screen on both loan terms and narrative information. These findings highlight the role of data in FinTech. Transparency on micro-loans can improve the efficiency of the credit market, democratizing access to finance for borrowers, while protecting lenders.</t>
  </si>
  <si>
    <t>[Correia, Filipe; Waikel, Anthony] Univ Georgia, Terry Coll Business, 600 S Lumpkin St, Athens, GA 30605 USA; [Martins, Antonio] Lisbon Sch Econ &amp; Management, Res Unit Complex &amp; Econ UECE, Res Econ &amp; Math REM, Rua Quelhas 6, P-1200781 Lisbon, Portugal</t>
  </si>
  <si>
    <t>Correia, F (corresponding author), Univ Georgia, Terry Coll Business, 600 S Lumpkin St, Athens, GA 30605 USA.</t>
  </si>
  <si>
    <t>filipe.correia@uga.edu; acmartins@iseg.ulisboa.pt; waikela@uga.edu</t>
  </si>
  <si>
    <t>Martins, António/JRY-6309-2023</t>
  </si>
  <si>
    <t>Martins, António/0000-0001-7555-3783; Correia, Filipe/0000-0003-3778-2715</t>
  </si>
  <si>
    <t>FCT-Fundacao para a Ciencia e Tecnologia (Portuguese National Science Foundation) [UIDB/05069/2020]</t>
  </si>
  <si>
    <t>FCT-Fundacao para a Ciencia e Tecnologia (Portuguese National Science Foundation)</t>
  </si>
  <si>
    <t>This paper has circulated before under the title ?The Pandemonics of Informal Credit Market?. We thank the comments of Pedro Pita Barros, Cl?audia Cust?odio, Peter Mueller, Jialan Wang, and two anonymous referees and editor. We also thank participants at the Nova Healthcare Eco-nomics and Management seminar. We thank Jonathan Sahil Varghese for outstanding research assistance. Ant?onio Martins acknowledges financial support from FCT-Fundacao para a Ciencia e Tecnologia (Portuguese National Science Foundation) , national funding through research grant UIDB/05069/2020.</t>
  </si>
  <si>
    <t>10.1016/j.jeconbus.2022.106080</t>
  </si>
  <si>
    <t>4Q0DI</t>
  </si>
  <si>
    <t>WOS:000855757000003</t>
  </si>
  <si>
    <t>Swan, M</t>
  </si>
  <si>
    <t>Swan, Melanie</t>
  </si>
  <si>
    <t>Anticipating the Economic Benefits of Blockchain</t>
  </si>
  <si>
    <t>blockchain; economics; payment channels; distributed ledgers; cryptocurrencies; cybersecurity; cryptoeconomics; long tail markets; digital goods; smart assets; smart contracts; streaming money; programmable money; lightning network; digital asset registries; eWallet</t>
  </si>
  <si>
    <t>In this general overview article intended for non-experts, I define blockchain technology and some of the key concepts, and then I elaborate four specific applications that highlight the potential economic benefits of digital ledgers. These applications are digital asset registries, blockchains as leapfrog technology for global financial inclusion, long-tail personalized economic services, and net settlement payment channels. I also highlight key challenges that offset the potential economic benefits of blockchain distributed ledgers, while arguing that the benefits would outweigh the potential risks. The overarching theme is that an increasing amount of everyday operations involving money, assets, and documents could start to be conducted via blockchain-based distributed network ledgers with cryptographic security, and at more granular levels of detail. One economic implication of widespread blockchain adoption is that the institutional structure of society could shift to one that is computationally-based and thus has a diminished need for human-operated brick-and-mortar institutions.</t>
  </si>
  <si>
    <t>[Swan, Melanie] Purdue Univ, Philosophy Dept, W Lafayette, IN 47907 USA; [Swan, Melanie] Singular Univ, Moffett Field, CA USA; [Swan, Melanie] Univ Commons, Gainesville, FL 32608 USA; [Swan, Melanie] Inst Eth &amp; Emerging Technol, Gainesville, FL USA</t>
  </si>
  <si>
    <t>Purdue University System; Purdue University</t>
  </si>
  <si>
    <t>Swan, M (corresponding author), Purdue Univ, Philosophy Dept, W Lafayette, IN 47907 USA.;Swan, M (corresponding author), Singular Univ, Moffett Field, CA USA.;Swan, M (corresponding author), Univ Commons, Gainesville, FL 32608 USA.;Swan, M (corresponding author), Inst Eth &amp; Emerging Technol, Gainesville, FL USA.</t>
  </si>
  <si>
    <t>McPhee, Chris/0000-0003-3070-5274</t>
  </si>
  <si>
    <t>10.22215/timreview/1109</t>
  </si>
  <si>
    <t>FP1RP</t>
  </si>
  <si>
    <t>WOS:000417392100002</t>
  </si>
  <si>
    <t>Schinckus, C</t>
  </si>
  <si>
    <t>Schinckus, Christophe</t>
  </si>
  <si>
    <t>The good, the bad and the ugly: An overview of the sustainability of blockchain technology</t>
  </si>
  <si>
    <t>FinTech; Innovation; Blockchain; Proof-of-Work; Mining industry</t>
  </si>
  <si>
    <t>ENERGY-CONSUMPTION; BITCOIN</t>
  </si>
  <si>
    <t>Blockchain is a buzzword describing the current excitement for an innovative technology that could change and disrupt major industries and economic sectors. Blockchain technology has the promise to change all existing business models and make financial services cheaper contributing therefore to a better financial inclusion and, even a better economic wealth distribution. Numerous studies optimistically praise such potential societal benefits by listing all processes that could be optimized through this technology. However, the picture is not necessary all bright. Blockchain can indeed disrupt and significantly improve our societies but there still exist some societal costs in the way this technology is implemented. This paper provides a perspective overviewing of the current trends related to the development of the most widely used implementation of blockchain technology based on the proof-of-work consensus algorithm. These trends will be discussed in three steps: the 'Good 'lockchain' overviews how this technology can improve our societies; the 'Bad blockchain' offers a more nuanced perspective by discussing the potential polluting activities generated by some mining activities. Finally, the 'Ugly blockchain' investigates how this technology might generate a risk of concentration in the mining industry affecting therefore the nature and even the existence of the blockchain technology.</t>
  </si>
  <si>
    <t>[Schinckus, Christophe] Taylors Univ, Lakeside Campus,1 Jalan Taylors, Subang Jaya 47500, Selangor, Malaysia</t>
  </si>
  <si>
    <t>Taylor's University</t>
  </si>
  <si>
    <t>Schinckus, C (corresponding author), Taylors Univ, Lakeside Campus,1 Jalan Taylors, Subang Jaya 47500, Selangor, Malaysia.</t>
  </si>
  <si>
    <t>Christophe.Schinckus@taylors.edu.my</t>
  </si>
  <si>
    <t>Schinckus, Christophe/AAS-4859-2020</t>
  </si>
  <si>
    <t>10.1016/j.erss.2020.101614</t>
  </si>
  <si>
    <t>OC8VC</t>
  </si>
  <si>
    <t>WOS:000579433300025</t>
  </si>
  <si>
    <t>Rastogi, S; Ragabiruntha, E</t>
  </si>
  <si>
    <t>Rastogi, Shailesh; Ragabiruntha, E.</t>
  </si>
  <si>
    <t>Financial inclusion and socioeconomic development: gaps and solution</t>
  </si>
  <si>
    <t>Online banking; Economic development; Financial inclusion; Financial literacy; Demonetization</t>
  </si>
  <si>
    <t>ECONOMIC-GROWTH; INCOME INEQUALITY; POVERTY; DETERMINANTS; CONSTRAINTS; VARIABLES; BANKING; ACCESS</t>
  </si>
  <si>
    <t>Purpose The purpose of this paper is to identify factors relevant for financial inclusion (FI) and establish a model that shows how these factors lead to economic development (ED) through FI. Design/methodology/approach Primary data were collected through structured questionnaire. Out of 350, 311 respondents accurately filled the questionnaire. The data were collected from rural areas of Tamil Nadu. Exploratory factor analysis has been applied to evaluate drivers/factors relevant for FI. Confirmatory factor analysis has been applied to establish reliability and validity of the identified factors. A structural model has been proposed and empirically tested for ED through FI. Findings The main findings of the current paper are as follows: online banking (OB), understanding banking services (UBS) and financial literacy (FL) are the drivers of FI; FI can lead to ED, as the proposed model of ED, through FI, is supported in the paper ((2)/degree of freedom and CMIN/degree of freedom are less than 3; GFI and AGFI are more than 0.90 and 0.85, respectively). Behavior of the people, with respect to mode of financial transactions, has changed due to demonetization. (The (2) test for mode of financial transaction is significant). Research limitations/implications The geographical reach of the sample should cover the whole India. The sample should also have equal representation from rural and urban areas. Practical implications The identified factors for FI (OB, UBS and FL) should be more focused to bring about better results for FI in India. These factors can lead to a more effective execution of FI initiatives. In addition to this, policy makers can be confident of relying upon FI as a tool for ED. Originality/value The identified three drivers for FI have not been explored earlier. In addition to this, ED (through FI) in the form of structural model has also not been tested earlier. Government of India can realign their policies toward FI by using findings of this paper. In addition to increasing the access of formal financial system to masses, more thrust can be given to OB and FL for better results of FI in India.</t>
  </si>
  <si>
    <t>[Rastogi, Shailesh] Symbiosis Int Univ, Symbiosis Inst Business Management, Pune, Maharashtra, India; [Ragabiruntha, E.] Thiagarajar Sch Management, Madurai, Tamil Nadu, India</t>
  </si>
  <si>
    <t>Symbiosis International University; Symbiosis Institute of Business Management (SIBM) Pune</t>
  </si>
  <si>
    <t>Rastogi, S (corresponding author), Symbiosis Int Univ, Symbiosis Inst Business Management, Pune, Maharashtra, India.</t>
  </si>
  <si>
    <t>krishnasgdas@gmail.com; ragabiruntha@gmail.com</t>
  </si>
  <si>
    <t>Rastogi, Shailesh/AAU-1920-2020</t>
  </si>
  <si>
    <t>Rastogi, Shailesh/0000-0001-6766-8708</t>
  </si>
  <si>
    <t>10.1108/IJSE-08-2017-0324</t>
  </si>
  <si>
    <t>GM8YU</t>
  </si>
  <si>
    <t>WOS:000438526500008</t>
  </si>
  <si>
    <t>Ahmad, SA; Adesina-Uthman, GA</t>
  </si>
  <si>
    <t>Ahmad, Sumayya Adam; Adesina-Uthman, Ganiyat Adejoke</t>
  </si>
  <si>
    <t>THE WILLINGNESS OF WOMEN ENTREPRENEURS TO PATRONISE ISLAMIC BANKS IN NIGERIA</t>
  </si>
  <si>
    <t>Economic empowerment; Financial inclusion; Ordered probit regression; Shari'ah-compliant banking; Socio-economic factors</t>
  </si>
  <si>
    <t>EMPOWERMENT</t>
  </si>
  <si>
    <t>Purpose - This study examines the factors influencing women entrepreneurs' willingness to patronise Islamic banks in Nigeria, focusing on socio-economic and financial determinants. Design/Methodology/Approach - Using an ordered probit regression model, the study analysed data collected from 357 women entrepreneurs across various regions in Nigeria. Key variables include education, marital status, business duration, and the availability of Shari'ah-compliant financial products. Findings - The results reveal that education significantly and positively influences women entrepreneurs' willingness to use Islamic banks, with a coefficient of 0.393 (p = 0.003), highlighting the role of financial literacy. Conversely, marital status negatively affects this willingness, with a coefficient of-0.799 (p &lt; 0.001), suggesting that single women are more inclined to use Islamic banking services. Additionally, longer-established businesses demonstrated less likelihood of engaging with Islamic banks, emphasising the need for tailored outreach strategies. Other factors, such as religion and geographical location, were found to have no significant effects. Originality/Value - Some studies have examined the relationship between women's entrepreneurial performance and Islamic banking, but are predominantly outside of Africa. This research offers novel insights into the socio-economic and financial factors that drive women entrepreneurs' engagement with Islamic banking in Nigeria. By highlighting the relationship between education, marital status, and financial decision-making, the study contributes to the broader discourse on financial inclusion and sustainable economic development within the context of Islamic finance. Research Limitations/Implications - The study is limited to women entrepreneurs in Nigeria and may not capture variations across other cultural or regional perspectives. Further research could explore the influence of cultural norms and rural-urban dynamics on Islamic banking adoption.Practical Implications - The findings suggest that Islamic banks, such as Jaiz and Taj, should implement tailored financial literacy programmes and awareness campaigns targeting diverse demographic segments. These efforts could include workshops, webinars, and collaborations with business development organisations to enhance women entrepreneurs' understanding of Islamic financial products. Additionally, culturally sensitive financial solutions can address the unique needs of married women entrepreneurs, further enhancing social equity. This study emphasises the critical role of education and targeted outreach in increasing the adoption of Islamic banking services among women entrepreneurs, ultimately contributing to financial inclusion and sustainable development in Nigeria.</t>
  </si>
  <si>
    <t>[Ahmad, Sumayya Adam] Nile Univ Nigeria, Dept Econ, Abuja, Nigeria; [Adesina-Uthman, Ganiyat Adejoke] Natl Open Univ Nigeria, Dept Econ, Abuja, Nigeria</t>
  </si>
  <si>
    <t>Ahmad, SA (corresponding author), Nile Univ Nigeria, Dept Econ, Abuja, Nigeria.</t>
  </si>
  <si>
    <t>sumyadam2011@gmail.com</t>
  </si>
  <si>
    <t>10.55188/ijifsd.v17i2.1021</t>
  </si>
  <si>
    <t>5IG9X</t>
  </si>
  <si>
    <t>WOS:001536337500007</t>
  </si>
  <si>
    <t>Mbodji, FN; Mendy, G; Mbacke, AB; Ouya, S</t>
  </si>
  <si>
    <t>Zitouni, R; Agueh, M; Houngue, P; Soude, H</t>
  </si>
  <si>
    <t>Mbodji, Fatou Ndiaye; Mendy, Gervais; Mbacke, Ahmath Bamba; Ouya, Samuel</t>
  </si>
  <si>
    <t>Proof of Concept of Blockchain Integration in P2P Lending for Developing Countries</t>
  </si>
  <si>
    <t>E-INFRASTRUCTURE AND E-SERVICES FOR DEVELOPING COUNTRIES (AFRICOMM 2019)</t>
  </si>
  <si>
    <t>11th European-Alliance-for-Innovation (EAI) International Conference on e-Infrastructure and e-Services for Developing Countries (AFRICOMM)</t>
  </si>
  <si>
    <t>DEC 03-04, 2019</t>
  </si>
  <si>
    <t>Porto Novo, BENIN</t>
  </si>
  <si>
    <t>European Alliance Innovat</t>
  </si>
  <si>
    <t>Blockchain; Fintech; Developing countries; P2P lending; Smart contracts</t>
  </si>
  <si>
    <t>Blockchain is depicted as a promising technology for fintech notably in developing countries. That's why, it's important to be interested in it, so as to know how to realize these probables blockchain's benefits. It presents a diversity of choices that impact on results in various ways. Studies have focused on fintech services business models such as P2P lending, others on the blockchain impact on finance, some even particularized in the case of developing countries. In these areas, a massive penetration of mobile phones is noted. It is in this context that fits this present study. In this paper we study the feasibility of a P2P lending platform based on blockchain and adapted to developing countries. The main contribution made by this article is: we developed a protocol and a business model of Peer-to-Peer (P2P) lending suitable to developing countries and accessible via mobile phone. The protocol integrates a service against the diversion of objectives which is based on smart contract.</t>
  </si>
  <si>
    <t>[Mbodji, Fatou Ndiaye; Mendy, Gervais; Mbacke, Ahmath Bamba; Ouya, Samuel] Univ Cheikh Anta Diop Dakar UCAD, Ecole Super Polytech ESP, Dakar, Senegal</t>
  </si>
  <si>
    <t>Mbodji, FN (corresponding author), Univ Cheikh Anta Diop Dakar UCAD, Ecole Super Polytech ESP, Dakar, Senegal.</t>
  </si>
  <si>
    <t>fatou.mbodji@esp.sn; gervais.mendy@esp.sn; ahmathbamba.mbacke@esp.sn; samuel.ouya@gmail.com</t>
  </si>
  <si>
    <t>OUYA, Samuel/0000-0002-8665-8131; Mbacke, Ahmath Bamba/0000-0002-6729-3763; Mendy, Gervais/0000-0002-1678-4175</t>
  </si>
  <si>
    <t>978-3-030-41593-8; 978-3-030-41592-1</t>
  </si>
  <si>
    <t>10.1007/978-3-030-41593-8_5</t>
  </si>
  <si>
    <t>Development Studies; Computer Science, Information Systems; Computer Science, Interdisciplinary Applications; Computer Science, Theory &amp; Methods; Regional &amp; Urban Planning; Telecommunications</t>
  </si>
  <si>
    <t>Development Studies; Computer Science; Public Administration; Telecommunications</t>
  </si>
  <si>
    <t>BS4SB</t>
  </si>
  <si>
    <t>WOS:000722300500005</t>
  </si>
  <si>
    <t>de la Cuesta-González, M; Fernandez-Olit, B; Orenes-Casanova, I; Paredes-Gazquez, J</t>
  </si>
  <si>
    <t>de la Cuesta-Gonzalez, Marta; Fernandez-Olit, Beatriz; Orenes-Casanova, Isabel; Paredes-Gazquez, Juandiego</t>
  </si>
  <si>
    <t>Affective and cognitive factors that hinder the banking relationships of economically vulnerable consumers</t>
  </si>
  <si>
    <t>Discourse analysis; Behavioural finance; Financial exclusion; Vulnerable consumers; Affective-cognitive factors</t>
  </si>
  <si>
    <t>FINANCIAL LITERACY; DECISION-MAKING; PSYCHOLOGICAL-FACTORS; BEHAVIORAL FINANCE; LOSS AVERSION; EXCLUSION; RISK; INFORMATION; DETERMINANTS; PERCEPTIONS</t>
  </si>
  <si>
    <t>Purpose The aim of this paper is to explore the affective and cognitive factors that condition banking relationships for economically vulnerable consumers and how these factors contribute to increasing financial difficulties and exclusion. This research, performed on a set of focus groups, bases its findings on a combination of experimental and discourse analysis methods. Design/methodology/approach Financial decisions are not rational and can be biased by affective and cognitive factors. Behavioural finance has focused very little on analysing how consumer biases influence relationships with banking institutions. Additionally, these relationships are affected by the digitalization and transformation of banking business. Thus, in the case of economically vulnerable consumers, who are not profitable for the increasingly competitive banking industry and lack financial abilities, their risk of financial exclusion is increasing. Findings The results show that distrust and shame lead to financial difficulties in economically vulnerable consumers. Distrust generates problems of access and self-exclusion, while shame generates difficulties of use. This lack of trust makes them more rational when dealing with machines than with people, showing greater banking difficulties for consumers with a person-suspicious profile. Originality/value This finding can help regulators establish limits on banking behaviour, require banks to incorporate affective and cognitive factors in their convenience tests and detect new variables that can help them improve their insolvency ratios and reputations.</t>
  </si>
  <si>
    <t>[de la Cuesta-Gonzalez, Marta; Orenes-Casanova, Isabel; Paredes-Gazquez, Juandiego] Univ Nacl Educ Distancia, Madrid, Spain; [Fernandez-Olit, Beatriz] Univ Alcala, Madrid, Spain</t>
  </si>
  <si>
    <t>Universidad Nacional de Educacion a Distancia (UNED); Universidad de Alcala</t>
  </si>
  <si>
    <t>Fernandez-Olit, B (corresponding author), Univ Alcala, Madrid, Spain.</t>
  </si>
  <si>
    <t>beatriz.olit@uah.es</t>
  </si>
  <si>
    <t>Paredes-Gazquez, Juandiego/AAH-4531-2019; Fernández Olit, Beatriz/F-6883-2016; Orenes, Isabel/R-7383-2018; de la Cuesta, Marta/R-6732-2018</t>
  </si>
  <si>
    <t>Paredes-Gazquez, Juandiego/0000-0001-6952-1750; Fernández Olit, Beatriz/0000-0003-4567-9558; Orenes, Isabel/0000-0002-8677-2399; de la Cuesta, Marta/0000-0002-5401-7081</t>
  </si>
  <si>
    <t>UCEIF Foundation (Foundation of Bank Santander); UCEIF Foundation (University of Cantabria)</t>
  </si>
  <si>
    <t>This work was supported by the UCEIF Foundation (Foundation of Bank Santander and University of Cantabria) with a grant for young researchers (2017 edition). The grant was awarded to the project People in situations of social vulnerability and the digital revolution in financial services: an analysis from behavioral psychology</t>
  </si>
  <si>
    <t>10.1108/IJBM-10-2021-0491</t>
  </si>
  <si>
    <t>WOS:000789003200001</t>
  </si>
  <si>
    <t>Fenton-O'Creevy, M; Furnham, A</t>
  </si>
  <si>
    <t>Fenton-O'Creevy, Mark; Furnham, Adrian</t>
  </si>
  <si>
    <t>Money attitudes, financial capabilities, and impulsiveness as predictors of wealth accumulation</t>
  </si>
  <si>
    <t>LITERACY; CONSEQUENCES; IMPACT</t>
  </si>
  <si>
    <t>In this study we examined three correlates of personal wealth-financial capability, buying impulsiveness, and attitudes to money in a large UK adult sample (N = 90,184). We were interested in how these psychological variables related to personal wealth controlling for well-established demographic correlates: age, education, gender, and household income. We drew on three personal wealth variables based on savings and investments, property wealth and personal items. Using correlational and regression analysis we tested three specific hypotheses which each received support. Our variables accounted for around half the variance with respect to property value, and two thirds with respect to investments. The hierarchical regression onto the savings and investment factor showed two thirds of the variance was accounted for: the demographic variables accounted for 27% of the variance, money attitudes an additional 14%; financial capability an additional 24% and buying impulsivity no additional variance. Age, income, and planning ahead were the most powerful and consistent predictors of wealth variables, with associating money with security as an important predictor for savings and investments. Implications for helping improve financial literacy and capability are noted. Limitations are acknowledged.</t>
  </si>
  <si>
    <t>[Fenton-O'Creevy, Mark] Open Univ, Open Univ Business Sch, Milton Keynes, Bucks, England; [Furnham, Adrian] BI Norwegian Sch Management, Oslo, Norway</t>
  </si>
  <si>
    <t>Open University - UK; BI Norwegian Business School</t>
  </si>
  <si>
    <t>Fenton-O'Creevy, M (corresponding author), Open Univ, Open Univ Business Sch, Milton Keynes, Bucks, England.</t>
  </si>
  <si>
    <t>mark.fentonocreevy@open.ac.uk</t>
  </si>
  <si>
    <t>Fenton-O'Creevy, Mark/B-7836-2008; Furnham, Adrian/ABB-2072-2020</t>
  </si>
  <si>
    <t>Fenton-O'Creevy, Mark/0000-0003-3233-725X;</t>
  </si>
  <si>
    <t>NOV 21</t>
  </si>
  <si>
    <t>e0278047</t>
  </si>
  <si>
    <t>10.1371/journal.pone.0278047</t>
  </si>
  <si>
    <t>8N2BO</t>
  </si>
  <si>
    <t>WOS:000924955100068</t>
  </si>
  <si>
    <t>Okamoto, I; Lwin, HY; Fujita, K</t>
  </si>
  <si>
    <t>Okamoto, Ikuko; Lwin, Hnin Yu; Fujita, Koichi</t>
  </si>
  <si>
    <t>The persistence of credit ? labor interlinked transactions in rural Myanmar: The case of Kanyingu Village in Ayeyarwady Delta</t>
  </si>
  <si>
    <t>Labor-tying credit; Advance wage payment; Financial inclusion; Myanmar</t>
  </si>
  <si>
    <t>Financial inclusion has been one of the key agendas for poverty reduction in development practices since the mid-2000s. However, informal finance has clearly not been completely replaced by formal finance in the Global South. This study examines labor-tying credit, which is one type of informal finance, and based on a case study in the Delta region of Myanmar, the study explores the reason for which it persists despite the promotion of financial inclusion policies. This paper found that credit?labor interlinked credits or advance wage payments from farmers to agricultural laborers persist because subsistence is still the key element of life for the poor in rural Myanmar. Formal finance, which includes microfinance and conventional types of informal finance such as credit from money lenders, is only a partial substitution. The poor must stabilize consumption or meet other basic needs in the lean season, and there is no better option or credit source available. In the reality of the subsistence-oriented poor, ?How much is left?? is more important than ?How much is taken?? Therefore, the high interest rates involved in labor-tying credit is not the major concern of its recipients because of the immediacy of such advances.</t>
  </si>
  <si>
    <t>[Okamoto, Ikuko] Toyo Univ, Fac Global &amp; Reg Studies, Tokyo, Japan; [Lwin, Hnin Yu] Yezin Agr Univ, Dept Agr Econ, Naypyidaw, Myanmar; [Fujita, Koichi] Kyoto Univ, Ctr Southeast Asian Studies, Kyoto, Japan</t>
  </si>
  <si>
    <t>Toyo University; Kyoto University</t>
  </si>
  <si>
    <t>Okamoto, I (corresponding author), 5-28-20 Hakusan,Bunkyo Ku, Tokyo, Japan.</t>
  </si>
  <si>
    <t>okamoto025@toyo.jp</t>
  </si>
  <si>
    <t>JSPS KAKENHI [16K02007]; Grants-in-Aid for Scientific Research [16K02007] Funding Source: KAKEN</t>
  </si>
  <si>
    <t>The first to third survey was done as a part of Economic Support Program of Japan International Cooperation Agency (JICA). The fourth survey was supported by JSPS KAKENHI [grant number 16K02007].</t>
  </si>
  <si>
    <t>10.1016/j.jrurstud.2020.12.006</t>
  </si>
  <si>
    <t>RB0GN</t>
  </si>
  <si>
    <t>WOS:000631796000005</t>
  </si>
  <si>
    <t>Naegels, V; Mori, N; D'Espallier, B</t>
  </si>
  <si>
    <t>Naegels, Vanessa; Mori, Neema; D'Espallier, Bert</t>
  </si>
  <si>
    <t>An institutional view on access to finance by Tanzanian women-owned enterprises</t>
  </si>
  <si>
    <t>Development economics; finance; Tanzania; women-owned businesses; institutional theory; debt</t>
  </si>
  <si>
    <t>TRANSITION ECONOMIES; EMERGING ECONOMIES; ENTREPRENEURSHIP; COUNTRIES; STRATEGY; MARKETS; GROWTH; CREDIT; FIRMS</t>
  </si>
  <si>
    <t>We investigate the limited use of bank and microfinance loans by Tanzanian female entrepreneurs. Using survey data, we observe that female entrepreneurs mainly use informal sources to finance their businesses. We analyze how perceptions of gendered cognitive and normative institutions determine whether a female entrepreneur applies for a formal loan. Following results stand out: first, we find that high collateral requirements, interest rates and personal guarantee requirements make formal loans unattractive. Second, female entrepreneurs only apply when they expect to be successful. Since they perceive access to finance to be more problematic for women, female entrepreneurs are discouraged from applying. Third, female entrepreneurs perceive they have insufficient access to financial knowledge which again will prevent them from applying. This study contributes to theory by exploring the effect of entrepreneurs' perceptions of the institutional business environment on financing behavior. Furthermore, we show that the low use of formal loans by female entrepreneurs is primarily demand-driven, which calls into question the effectivity of policy recommendations aiming to increase supply of formal loans.</t>
  </si>
  <si>
    <t>[Naegels, Vanessa; D'Espallier, Bert] Katholieke Univ Leuven, FAcT, Fac Econ &amp; Business, Brussels, Belgium; [Mori, Neema] Univ Dar Es Salaam, Business Sch, Dept Finance, Dar Es Salaam, Tanzania; [Mori, Neema] Univ Agder, Agder, Norway</t>
  </si>
  <si>
    <t>KU Leuven; University of Dar es Salaam; University of Agder</t>
  </si>
  <si>
    <t>D'Espallier, B (corresponding author), Katholieke Univ Leuven, FAcT, Fac Econ &amp; Business, Brussels, Belgium.</t>
  </si>
  <si>
    <t>bert.despallier@kuleuven.be</t>
  </si>
  <si>
    <t>Mori, Neema/IRZ-0105-2023</t>
  </si>
  <si>
    <t>Mori, Neema/0000-0002-2119-2000; Naegels, Vanessa/0000-0001-6813-8805; D'Espallier, Bert/0000-0001-7567-2520</t>
  </si>
  <si>
    <t>Belgian Development Cooperation through VLIRUOS; South looking for innovative responses to global and local challenges; universities and university colleges in Flanders (Belgium)</t>
  </si>
  <si>
    <t>This research has been supported by the Belgian Development Cooperation through VLIRUOS. VLIR-UOS supports partnerships between universities and university colleges in Flanders (Belgium) and the South looking for innovative responses to global and local challenges. Visit www.vliruos. be for more information. The authors would like to thank the anonymous reviewers for their constructive feedback which greatly improved the quality of our work.</t>
  </si>
  <si>
    <t>10.1080/13691066.2017.1358927</t>
  </si>
  <si>
    <t>GN3BG</t>
  </si>
  <si>
    <t>WOS:000438876700005</t>
  </si>
  <si>
    <t>Azali, K</t>
  </si>
  <si>
    <t>Azali, Kathleen</t>
  </si>
  <si>
    <t>Cashless in Indonesia Gelling Mobile E-frictions?</t>
  </si>
  <si>
    <t>Cashless; Indonesia; mobile; e-money; infrastructure</t>
  </si>
  <si>
    <t>Indonesia has a large and diverse population, with highly uneven levels of development and a complex decentralized structure. This makes creating a long-term institutional framework and building connectivity infrastructure extremely challenging. The majority of the population is unbanked, and lacks access to fixed telephone lines or the country's limited banking services. Cashless payment systems such as credit cards are used by less than 10 per cent of the population. The use of ATM and debit cards is still limited, although inter-bank transfers have increased after the introduction of a recent mechanism allowing inter-operability between different banks and mobile network operators. With the rapid growth of mobile uptake, mobile money has the potential to grow but comes with various constraints. This research note argues that in this highly dynamic and fragmented market, analysis and development of cashless payment needs to look beyond masterplan reports, to investigate the more informal, decentralized, mobile-led development and frictions in non-cash payments.</t>
  </si>
  <si>
    <t>[Azali, Kathleen] ISEAS Yusof Ishak Inst, 30 Heng Mui Keng Terrace, Singapore 119614, Singapore</t>
  </si>
  <si>
    <t>Azali, K (corresponding author), ISEAS Yusof Ishak Inst, 30 Heng Mui Keng Terrace, Singapore 119614, Singapore.</t>
  </si>
  <si>
    <t>k.azali@gmail.com</t>
  </si>
  <si>
    <t>10.1355/ae33-3e</t>
  </si>
  <si>
    <t>WOS:000412298900005</t>
  </si>
  <si>
    <t>Cull, R; Spreng, CP</t>
  </si>
  <si>
    <t>Cull, Robert; Spreng, Connor P.</t>
  </si>
  <si>
    <t>Pursuing efficiency while maintaining outreach: Bank privatization in Tanzania</t>
  </si>
  <si>
    <t>Bank privatization; Tanzania; Africa; Access to finance</t>
  </si>
  <si>
    <t>GOVERNMENT OWNERSHIP; PERFORMANCE; FOREIGN</t>
  </si>
  <si>
    <t>Profitability improvements after the privatization of a large state-owned bank might come at the expense of reduced access to financial services for some groups, especially the rural poor. The privatization of Tanzania's National Bank of Commerce provides a unique episode for studying this issue. The bank was split into the new National Bank of Commerce, a commercial bank that assumed most of the original bank's assets and liabilities, and the National Microfinance Bank, which assumed most of the branch network and the mandate to foster access to financial services. The new National Bank of Commerce's profitability and portfolio quality improved although credit growth was slow, in line with the privatization experiences in other developing countries. Finding a buyer for the National Microfinance Bank proved very difficult, although after years under contract management by private banking consultants. Rabobank of the Netherlands emerged as a purchaser. Profitability has since improved and lending has slowly grown, while the share of non-performing loans remains low. (C) 2010 Elsevier B.V. All rights reserved.</t>
  </si>
  <si>
    <t>[Cull, Robert] World Bank, Dev Res Grp, Washington, DC 20433 USA; [Spreng, Connor P.] World Bank Grp, FIAS Investment Climate Dept, Washington, DC 20433 USA</t>
  </si>
  <si>
    <t>Cull, R (corresponding author), World Bank, Dev Res Grp, 1818 H St NW, Washington, DC 20433 USA.</t>
  </si>
  <si>
    <t>10.1016/j.jdeveco.2010.01.010</t>
  </si>
  <si>
    <t>693HK</t>
  </si>
  <si>
    <t>WOS:000285215000010</t>
  </si>
  <si>
    <t>Menshikov, V; Ruza, O; Baltgailis, J</t>
  </si>
  <si>
    <t>Menshikov, Vladimir; Ruza, Oksana; Baltgailis, Jurijs</t>
  </si>
  <si>
    <t>THE DIGITAL TRANSFORMATION AND THE INCLUSIVE ECONOMY: NAVIGATING THE RISKS</t>
  </si>
  <si>
    <t>inclusive economy; central bank digital currencies (CBDC); asset tokenization; financial inclusion; digital platforms; Big Data; digital authoritarianism; digital neo-feudalism</t>
  </si>
  <si>
    <t>The article examines the paradoxical relationship between the development of an inclusive economy and the emergence of digital neo-feudalism. While central bank digital currencies (CBDCs) and asset tokenisation are presented as instruments for enhancing financial inclusion, reducing transaction costs, and supporting social stability, they simultaneously create unprecedented opportunities for state and corporate control over economic activities and personal data. The research highlights the dual nature of digital financial innovations: on the one hand, they democratise access to financial services and stimulate the development of small and medium-sized businesses; on the other hand, they concentrate power in the hands of central banks and digital platforms, fostering new forms of dependence. The study employs theoretical and comparative analysis to show how the combination of state regulation, Big Data, and technological monopolies can reproduce hierarchical structures reminiscent of neo-feudalism in a digitalised society. The findings suggest that the path toward an inclusive economy requires critical attention to ethical and institutional safeguards to avoid the risks of digital authoritarianism and the privatisation of social control.</t>
  </si>
  <si>
    <t>[Menshikov, Vladimir; Ruza, Oksana] Daugavpils Univ, Parades Str 1, LV-5401 Daugavpils, Latvia; [Baltgailis, Jurijs] Balt Int Acad, Valeria Seile St, LV-1003 Riga, Latvia</t>
  </si>
  <si>
    <t>University of Daugavpils</t>
  </si>
  <si>
    <t>Ruza, O (corresponding author), Daugavpils Univ, Parades Str 1, LV-5401 Daugavpils, Latvia.</t>
  </si>
  <si>
    <t>vladimirs.mensikovs@du.lv; oksana.ruza@du.lv; jurijs.baltgailis@bsa.edu.lv</t>
  </si>
  <si>
    <t>Menshikov, Vladimir/LXV-7756-2024; Baltgailis, Jurijs/GZG-4592-2022</t>
  </si>
  <si>
    <t>ENTREP SUSTAIN ISS</t>
  </si>
  <si>
    <t>10.9770/s4626758963</t>
  </si>
  <si>
    <t>AD8PA</t>
  </si>
  <si>
    <t>WOS:001645786200018</t>
  </si>
  <si>
    <t>Moyo, S; Sibindi, AB</t>
  </si>
  <si>
    <t>Moyo, Sani; Sibindi, Athenia Bongani</t>
  </si>
  <si>
    <t>Bank Competition and Credit Access: The Case of Informal Firms in Sub-Saharan Africa</t>
  </si>
  <si>
    <t>competition; credit access; informal firms; sub-Saharan Africa (SSA)</t>
  </si>
  <si>
    <t>MARKET POWER; CONSTRAINTS; EFFICIENCY; ALLEVIATE; INDUSTRY; FINANCE; PRICES</t>
  </si>
  <si>
    <t>Purpose of the study: This paper investigates the impact of bank competition on access to finance by informal firms in 14 sub-Saharan African countries, using World Bank enterprise survey data. Access to finance is one of the main factors identified as hindering the growth of opaque borrowers, who are generally characterised by poor financial transparency. Methodology: This study uses a discrete binary choice probit model to estimate the probability or likelihood of accessing finance, conditional on the level of bank competition and other firm-level characteristics. Findings: Results show that the impact depends on the competition measure used. The Lerner index shows a positive relationship supporting the information-based hypothesis, while the most robust competition indicator, the Boone index, is negative in line with the market power hypothesis. These results also show that reducing or minimising information asymmetry using public credit registries is good for enhancing financial access. Research implications: Improving the competitiveness of the banking sector by encouraging the entrance of more players should be promoted without compromising the soundness of the sector. Measures should be introduced to control anti-competitive behaviour in the banking industry. Originality: The informal sector contributes close to 50% to Africa's GDP and 80% towards employment and, therefore, strategies aimed at eliminating the obstacles faced by these firms are important for livelihood protection. Many studies done on the African banking industry have generally found it to be less competitive and this affects financial access since banks tend to be risk averse in such settings. There are also few studies that have analysed the relationship between bank competition and credit access in the informal sector, mostly because publicly available data on these firms are scarce.</t>
  </si>
  <si>
    <t>[Moyo, Sani; Sibindi, Athenia Bongani] Univ South Africa, Pretoria, South Africa</t>
  </si>
  <si>
    <t>Moyo, S (corresponding author), Univ South Africa, Pretoria, South Africa.</t>
  </si>
  <si>
    <t>moyob@unisa.ac.za; sibinab@unisa.ac.za</t>
  </si>
  <si>
    <t>10.25159/1998-8125/6799</t>
  </si>
  <si>
    <t>WOS:000734174800001</t>
  </si>
  <si>
    <t>Bhatia, MS; Khetarpaul, S</t>
  </si>
  <si>
    <t>Bhatia, Manasbir Singh; Khetarpaul, Sonia</t>
  </si>
  <si>
    <t>AI-enhanced bilingual banking assistant</t>
  </si>
  <si>
    <t>Bilingual chatbot; Banking services; Natural language processing; Financial inclusion</t>
  </si>
  <si>
    <t>CHATBOTS</t>
  </si>
  <si>
    <t>Financial literacy and access to banking services are still major challenges, especially in multilingual regions. Many people who do not speak English fluently face difficulties using traditional banking online systems. To help solve this problem, we developed a bilingual banking assistant that works in English, Hindi, and Hinglish (a mix of Hindi and English). To ensure user privacy without storing client conversations, the proposed assistant processes natural language banking queries and provides help with product details and financial advice. Our solution uses a Mixtral AI model for language understanding, automatic detection of English, Hindi and mixed languages and uses Google Translate to provide real-time translations. It also supports voice input and output, that makes it easier for users to interact using speech. The assistant can handle queries related to account services, fixed deposits, credit cards, fund transfers and many other banking-related topics. We conducted usability tests with 50 participants across 100 conversations to evaluate the effectiveness of the system. The development of this banking assistant shows how conversational interfaces can potentially improve banking accessibility across various language barriers to promote greater financial inclusion as well as customer satisfaction in a privacy-conscious manner.</t>
  </si>
  <si>
    <t>[Bhatia, Manasbir Singh; Khetarpaul, Sonia] Shiv Nadar Univ, Dadri, India</t>
  </si>
  <si>
    <t>Khetarpaul, S (corresponding author), Shiv Nadar Univ, Dadri, India.</t>
  </si>
  <si>
    <t>sonia.khetarpaul@snu.edu.in</t>
  </si>
  <si>
    <t>KHETARPAUL, SONIA/AAC-8721-2021</t>
  </si>
  <si>
    <t>Shiv Nadar University; Shiv Nadar University, Dadri, Uttar Pradesh, India</t>
  </si>
  <si>
    <t>Open access funding provided by Shiv Nadar University. Open access funding is expected to be supported and facilitated by Shiv Nadar University, Dadri, Uttar Pradesh, India.</t>
  </si>
  <si>
    <t>10.1038/s41598-025-22569-z</t>
  </si>
  <si>
    <t>9DM3H</t>
  </si>
  <si>
    <t>WOS:001603740100028</t>
  </si>
  <si>
    <t>Farah, AA; Mohamed, MA; Farah, MA; Yusuf, IA; Abdulle, MS</t>
  </si>
  <si>
    <t>Farah, Abdikarim Abdullahi; Mohamed, Mohamud Ahmed; Farah, Mohamed Ali; Yusuf, Ismail Ali; Abdulle, Mohamed Sharif</t>
  </si>
  <si>
    <t>Impact of Islamic banking on economic growth: a systematic review of SCOPUS-indexed studies (2009-2024)</t>
  </si>
  <si>
    <t>Islamic banking; economic growth; financial stability and inclusion; sustainability and green financing; poverty alleviation; FinTech; Statistics for Business, Finance, and Economics; Economics and Development; Macroeconomics</t>
  </si>
  <si>
    <t>This systematic literature review investigates the influence of Islamic banking on economic growth by analyzing 68 studies from the SCOPUS database, spanning from 2009 to 2024. The findings consistently show a positive relationship between Islamic banking and economic growth, highlighting its role in fostering inclusive development, reducing economic volatility, and enhancing financial stability, especially during crises. Islamic banking also significantly contributes to social development and poverty alleviation through mechanisms, such as zakat and microfinance. The findings also suggest that integrating FinTech with Islamic banking could enhance the accessibility and efficiency of Islamic banking services. This study provides valuable insights for policymakers in designing regulations that promote financial inclusion, market efficiency, and economic resilience. Additionally, the adoption of technologies, such as blockchain, artificial intelligence, and digital banking can enable Islamic banks to offer secure, accessible, and transparent financial services while adhering to Shariah principles. Overall, Islamic banking makes a substantial contribution to economic growth and development. The study underscores the necessity for strategic regulatory frameworks and the integration of technology to fully leverage Islamic banking's potential in enhancing economic stability and inclusivity.</t>
  </si>
  <si>
    <t>[Farah, Abdikarim Abdullahi; Mohamed, Mohamud Ahmed; Farah, Mohamed Ali; Yusuf, Ismail Ali; Abdulle, Mohamed Sharif] Simad Univ, Fac Management Sci, Mogadishu, Somalia</t>
  </si>
  <si>
    <t>Farah, AA (corresponding author), Simad Univ, Fac Management Sci, Mogadishu, Somalia.</t>
  </si>
  <si>
    <t>abdikarimabdullahifarah@gmail.com</t>
  </si>
  <si>
    <t>; Mohamed, Mohamud Ahmed/JVN-8213-2024; Ali Farah, Mohamed/LGY-7475-2024</t>
  </si>
  <si>
    <t>Farah, Abdikarim Abdullahi/0009-0004-0177-6000; Mohamed, Mohamud Ahmed/0009-0008-3247-8443; Ali Farah, Mohamed/0009-0006-3005-858X</t>
  </si>
  <si>
    <t>SIMAD University</t>
  </si>
  <si>
    <t>This research was supported by SIMAD University.</t>
  </si>
  <si>
    <t>10.1080/23322039.2025.2490819</t>
  </si>
  <si>
    <t>1KI7K</t>
  </si>
  <si>
    <t>WOS:001467079300001</t>
  </si>
  <si>
    <t>Shukla, T</t>
  </si>
  <si>
    <t>Shukla, Timira</t>
  </si>
  <si>
    <t>STUDY OF AWARENESS OF MICRO-INSURANCE POLICIES: COMPARATIVE ANALYSIS OF TWO VILLAGES</t>
  </si>
  <si>
    <t>Rural; Micro-insurance; Awareness; Financial Inclusion</t>
  </si>
  <si>
    <t>Financial inclusion is the new paradigm of growth to mitigate poverty from the country and achieve inclusive growth. Micro insurance can make an important contribution by reducing people's financial vulnerability and poverty via economic development. Many attempts have been initiated by successive governments towards financial inclusion of the poor particularly in rural areas. The awareness of insurance per se and its use is abysmally low in rural areas. This is despite the various initiatives taken by banks, co-operatives followed by priority sector lending, introduction of regional rural banks, microfinance, creation of NABARD and finally Pradhan-Mantri Jan-Dhan Yojana. In India micro-insurance has been largely supply-driven; the outcome therefore is far below expectations. This has resulted in a wide chasm and jeopardized economic and social development. Micro insurance is the provision of insurance services to low-income people. For the purposes of this study an insurance product is deemed to be a micro insurance product if the providers either targeted or sold the product to low-income people. The study is an attempt to find out about the awareness of micro-insurance in two villages of the state of Uttar Pradesh and identify the purposes for using micro-insurance plans. The study is exploratory in nature.</t>
  </si>
  <si>
    <t>[Shukla, Timira] Jaipuria Sch Business, Indirapuram, Ghaziabad, India</t>
  </si>
  <si>
    <t>Shukla, T (corresponding author), Jaipuria Sch Business, Indirapuram, Ghaziabad, India.</t>
  </si>
  <si>
    <t>Shukla, Timira/Y-8949-2019</t>
  </si>
  <si>
    <t>10.5958/0973-9343.2018.00009.1</t>
  </si>
  <si>
    <t>IT2NX</t>
  </si>
  <si>
    <t>WOS:000482689100010</t>
  </si>
  <si>
    <t>García-Pérez, I; Fernández-Izquierdo, MA; Muñoz-Torres, MJ</t>
  </si>
  <si>
    <t>Garcia-Perez, Iciar; Angeles Fernandez-Izquierdo, Maria; Jesus Munoz-Torres, Maria</t>
  </si>
  <si>
    <t>Microfinance Institutions Fostering Sustainable Development by Region</t>
  </si>
  <si>
    <t>microfinance; microfinance institutions; sustainability; FESG; region</t>
  </si>
  <si>
    <t>GENDER EQUITY; CREDIT RISK; POVERTY; IMPACT; PERFORMANCE; GOVERNANCE; EFFICIENCY; MANAGEMENT; ACCESS; POLICY</t>
  </si>
  <si>
    <t>In the last few years, considerable attention has been paid to microfinance as a relevant participant in the formal financial system, whose target audience is people who are otherwise at risk of financial exclusion. In parallel, sustainability and the promotion of Sustainable Development (SD) are imposed as the theoretical frame when facing any study. This, connected with cultural and organizational dimensions theories, are the analytical framework for the analysis of the relationship between the context of performance in which Microfinance Institutions (MFIs) operate and their activity in promoting sustainability. A holistic approach is necessary to make operational these concepts; for that reason, financial, environmental, social and governance dimensions (FESG), and the balance among them, have to be considered. The main objective of the paper is to explore to what extent MFIs are fostering SD, and how this promotion is performed by region. For the analysis, two different sources of information have been studied: sectoral academic literature that focuses on the different sustainability dimensions, and MIX Market sustainability data obtained from the MFIs. A keyword analysis of the selected papers has been executed to be conscious of the most investigated aspects by region; on the data provided by the institutions, a Kruskal-WallisHtest has been performed to learn what the main Sustainability Indicators (SIs) are that are reported affirmatively. To obtain comprehensive research, a comparative study of the results offers the convergences, divergences and gaps of information in each of the regions. The findings show significant differences depending on the region, and confirm that operationalization should be adjusted at the regional context of the MFIs. The paper, with the inherent limitations due to data quality, also offers recommendations for the better promotion of sustainability in each of the regions.</t>
  </si>
  <si>
    <t>[Garcia-Perez, Iciar; Angeles Fernandez-Izquierdo, Maria; Jesus Munoz-Torres, Maria] Jaume I Univ, Law &amp; Econ Fac, Dept Finance &amp; Accounting, Campus Riu Sec, Castellon de La Plana 12071, Spain</t>
  </si>
  <si>
    <t>Universitat Jaume I</t>
  </si>
  <si>
    <t>García-Pérez, I (corresponding author), Jaume I Univ, Law &amp; Econ Fac, Dept Finance &amp; Accounting, Campus Riu Sec, Castellon de La Plana 12071, Spain.</t>
  </si>
  <si>
    <t>icgarcia@uji.es; afernand@uji.es; munoz@uji.es</t>
  </si>
  <si>
    <t>Muñoz-Torres, María Jesus/L-1227-2016</t>
  </si>
  <si>
    <t>Muñoz-Torres, María Jesus/0000-0002-7500-0617; Fernandez-Izquierdo, Maria Angeles/0000-0001-5048-956X</t>
  </si>
  <si>
    <t>European Union [693642]</t>
  </si>
  <si>
    <t>This paper is supported by European Union's Horizon 2020 Research and Innovation Programme under Grant Agreement No. 693642, project SMART (Sustainable Market Actors for Responsible Trade).</t>
  </si>
  <si>
    <t>10.3390/su12072682</t>
  </si>
  <si>
    <t>LL4WR</t>
  </si>
  <si>
    <t>WOS:000531558100107</t>
  </si>
  <si>
    <t>Rivas, MCR</t>
  </si>
  <si>
    <t>Rivas, Marling Coromoto Rojas</t>
  </si>
  <si>
    <t>FINCA International community banks, a methodological benchmark for Rural Savings Banks in Venezuela</t>
  </si>
  <si>
    <t>VISION GERENCIAL</t>
  </si>
  <si>
    <t>community banks; community bank; villagebanking; rural savings banks; social economy; microcredit</t>
  </si>
  <si>
    <t>Introduction: Community banks are non-profit organizations, whose clients manage monetary resources granted, mainly, by a donor agency. Its work is based on microcredits and financial inclusion of the poorest. This methodology was proposed by the Foundation for International Community Assistance (FINCA International). In Venezuela, efforts inspired by this experience were united, managing to create more than 300 Rural Savings Banks, which generated a positive impact on their environment. However, recently they have seen their radius of action diminished as a result of monetary reconversions and hyperinflation, a reason that forces them to make methodological changes. Objective: This article seeks to describe the original methodology of community banks and contrast it with the adaptations made by the Rural Banks of Venezuela. Methodology: The type of research was descriptive, with an analytical and precise level of depth. The population was limited to key informants, following selection criteria. The discussion group technique was applied. Conclusions: When analyzing the original methodology of Community Banks and contrasting it with the current Venezuelan case, common elements were identified such as: development, social solidarity, local knowledge and values. While the most significant variations affect topics such as: monetary contributions, organizational structure, evaluation instruments, payments with harvests, incorporation of functional currencies (foreign currencies) and reduction of recoverability periods. Recommendations: As a strategy to face a changing macroeconomic environment, it is recommended to apply good methodological practices and implement sustainable adaptations, in order to strengthen microfinance activity, training and organization; fundamental aspects for the development of rural banks and their environment.</t>
  </si>
  <si>
    <t>[Rivas, Marling Coromoto Rojas] Univ Los Andes ULA, Fac Ciencias Econ &amp; Soc FACES, Merida, Venezuela</t>
  </si>
  <si>
    <t>Rivas, MCR (corresponding author), Univ Los Andes ULA, Fac Ciencias Econ &amp; Soc FACES, Merida, Venezuela.</t>
  </si>
  <si>
    <t>marling.rojas@gmail.com</t>
  </si>
  <si>
    <t>UNIV LOS ANDES, CENTRO INVESTIGACIONES &amp; DESARROLLO EMPRESAR</t>
  </si>
  <si>
    <t>MERIDA</t>
  </si>
  <si>
    <t>NUCLEO LA LIRIA EDIF G NIVEL 2, MERIDA, 00000, VENEZUELA</t>
  </si>
  <si>
    <t>2477-9547</t>
  </si>
  <si>
    <t>1317-8822</t>
  </si>
  <si>
    <t>VIS GERENC</t>
  </si>
  <si>
    <t>Vis. Gerenc.</t>
  </si>
  <si>
    <t>10.53766/VIGEREN/2024.01.23.04</t>
  </si>
  <si>
    <t>UM2L6</t>
  </si>
  <si>
    <t>WOS:001248411400005</t>
  </si>
  <si>
    <t>Do microsavings stimulate financial performance of microfinance institutions in Sub-Saharan Africa?</t>
  </si>
  <si>
    <t>Microfinance; Sub-Saharan Africa; Financial performance; Microsavings</t>
  </si>
  <si>
    <t>PROPENSITY SCORE; OUTREACH; MODELS; ECONOMIES; SCALE; SUSTAINABILITY; INSTRUMENTS; IMPACT</t>
  </si>
  <si>
    <t>Purpose - The purpose of this paper is to investigate the empirical relationship between microsavings and the financial performance of microfinance institutions (MFIs) in Sub-Saharan Africa (SSA). Design/methodology/approach - The approach in this paper is decidedly empirical, and employs data obtained from Microfinance Information eXchange (MIX). The data set consists of 350 microfinance MFIs domiciled in 36 Sub-Saharan African countries for the period covering 1998-2012. Findings - The panel estimation results consistently show that there exists a negative and statistically significant relationship between microsavings and the financial performance of MFIs in SSA. This is perhaps surprising, albeit rational considering the exceedingly elevated operating expenses that ascend from mobilizing and managing microsavings, ceteris paribus, that could erode firm profitability. The paper draws policy implications from these important findings. Research limitations/implications - Even though generalized method of moment estimation technique was employed and robustness checks, the issue of endogeneity cannot be eliminated entirely. Practical implications - Microfinance industry is one of the fastest growing segments of the financial sector in SSA. The industry is increasingly becoming the core of financial inclusion in the region where two-thirds of the adult population lack access to formal financial services. Therefore, gaining an in-depth understanding of the role microsavings play in the financial performance of MFIs can contribute to the growth of the industry. Originality/value - This study is timely considering the significant growth in the number of microsavings - there are currently twice as many microsavings accounts in SSA as there are microcredits. More importantly, based on 400 MFIs, that reported data to MIX in 2016, the total microsavings stood at about US$11bn against an aggregate loan portfolio of about US$10.5bn. The remarkable growth of microsavings in SSA, from less than US $100m in 2000 to US$11bn in 2016, is the main motivation of undertaking this study.</t>
  </si>
  <si>
    <t>[Chikalipah, Sydney] Univ Cape Town, Dept Finance &amp; Tax, Western Cape, South Africa; [Chikalipah, Sydney] Bournemouth Univ, Grad Sch Business, Dept Accounting Finance &amp; Econ, Bournemouth, Dorset, England</t>
  </si>
  <si>
    <t>University of Cape Town; Bournemouth University</t>
  </si>
  <si>
    <t>Chikalipah, S (corresponding author), Univ Cape Town, Dept Finance &amp; Tax, Western Cape, South Africa.;Chikalipah, S (corresponding author), Bournemouth Univ, Grad Sch Business, Dept Accounting Finance &amp; Econ, Bournemouth, Dorset, England.</t>
  </si>
  <si>
    <t>10.1108/JES-05-2017-0131</t>
  </si>
  <si>
    <t>GV9KT</t>
  </si>
  <si>
    <t>WOS:000446477300010</t>
  </si>
  <si>
    <t>Collective action among rural poor Does it enhance financial intermediation by banks for financial inclusion in developing economies?</t>
  </si>
  <si>
    <t>Mediating effect; Financial inclusion; Structural equation modelling; Financial intermediation; Collective action; AMOS</t>
  </si>
  <si>
    <t>SELF-HELP GROUPS; MICROFINANCE; POLICY; REPAYMENT; SERVICES; ACCESS</t>
  </si>
  <si>
    <t>Purpose - The purpose of this paper is to establish the mediating role of collective action in the relationship between financial intermediation and financial inclusion of the poor in rural Uganda. Design/methodology/approach - The paper uses structural equation modeling (SEM) through bootstrap approach constructed using analysis of moment structures to test for the mediating role of collective action in the relationship between financial intermediation and financial inclusion of the poor in rural Uganda. Besides, the paper adopts Baron and Kenny's (1986) approach to establish whether conditions for mediation by collective action exist. Findings - The results revealed that collective action significantly mediates the relationship between financial intermediation and financial inclusion of the poor in rural Uganda. The findings further indicated that the mediated model had better model fit indices than the non-mediated model under SEM bootstrap. Furthermore, the results showed that both collective action and financial intermediation have significant and direct impacts on financial inclusion of the poor in rural Uganda. Therefore, the findings suggest that the presence of collective action boost financial intermediation for improved financial inclusion of the poor in rural Uganda. Research limitations/implications - The study used quantitative data collected through cross-sectional research design. Further studies through the use of interviews could be adopted in future. Methodologically, the study adopted use of SEM bootstrap approach to establish the mediating effect of collective action. However, it ignored the Sobel's test and MedGraph methods. Future studies could adopt the use of alternative methods of Sobel's test and MedGraph. Additionally, the study focused only on semi-formal financial institutions. Hence, further studies may consider the use of data collected from formal and informal institutions. Practical implications - Policy makers and managers of financial institutions should consider the role of collective action in promoting economic development, especially in developing countries. They should create structures and design financial services and products that promote collective action among the poor in rural Uganda. Originality/value - Although several scholars have articulated financial inclusion based on both the supply and demand side factors, this is the first study to test the mediating role of collective action in the relationship between financial intermediation and financial inclusion of the poor in rural Uganda using SEM bootstrap approach. Theoretically, the study combines the role of collective action with financial intermediation to promote financial inclusion. Financial intermediation theory ignores the role played by collective action in the intermediation process between the surplus and deficit units.</t>
  </si>
  <si>
    <t>[Bongomin, George Okello Candiya; Munene, John C.] Makerere Univ Business Sch, Fac Grad Studies &amp; Res, Kampala, Uganda; [Ntayi, Joseph Mpeera] Makerere Univ Business Sch, Dept Procurement &amp; Logist Management, Kampala, Uganda; [Malinga, Charles Akol] Makerere Univ Business Sch, Dept Finance, Kampala, Uganda</t>
  </si>
  <si>
    <t>10.1108/IJBM-08-2017-0174</t>
  </si>
  <si>
    <t>WOS:000488526000002</t>
  </si>
  <si>
    <t>Poverty alleviation through financing microenterprises with equity finance</t>
  </si>
  <si>
    <t>Microfinance; Moral hazard; Poverty; Inequality; Islamic microfinance; Adverse selection</t>
  </si>
  <si>
    <t>LOW-INCOME COUNTRIES; MICROFINANCE INSTITUTIONS; INTERMEDIATION; GROWTH</t>
  </si>
  <si>
    <t>Purpose - This paper aims to achieve scale, efficiency and mitigate high monitoring costs, and explores the efficacy of micro equity finance at the enterprise level. The study compares the economic features of the proposed framework with interest-based debt finance. Design/methodology/approach - This study uses a mathematical model to highlight the problem of agency costs including adverse selection and moral hazard. Findings -Debt finance requires frequent repayments and indebtedness for financial inclusion. Conversely, the Islamic equity modes of financing in their current baseline structure suffer from high agency costs. By using enterprise level finance and distinct entry criterion for availing Islamic debt-based and micro equity finance, Islamic microfinance institutions (IMFIs) can reach the right targets and effectively mitigate the problem of adverse selection and high monitoring costs. The study suggests a framework in which equity financing could be used to fund microenterprises that will employ poor people with related skills. Research limitations/implications - As the preferable modes of Islamic finance, i.e. Musharakah and Mudarabah, are not used by Islamic financial institutions (IFIs), empirical analysis of performance is not possible as they are rarely used. Practical implications - The study suggests a workable model that can use Islamic equity-based modes of financing to improve microfinance outreach and achieve scale. The use of equity financing will help the Islamic finance industry to move toward its egalitarian vision, and the practical implementation of the model will help in reducing poverty in the Muslim majority countries. Social implications - Muslim countries host half of global poverty, even though their share in global population is only one-fourth. Hence, there is need for solutions in achieving scale in poverty alleviation efforts. Originality/value - Using a mathematical model, the paper presents agency problems in Islamic microfinance and proposes a solution through distinct entry criterion and enterprise level micro equity finance.</t>
  </si>
  <si>
    <t>[Shaikh, Salman Ahmed] Univ Kebangsaan Malaysia, Fac Econ &amp; Management, Bangi, Malaysia</t>
  </si>
  <si>
    <t>Shaikh, SA (corresponding author), Univ Kebangsaan Malaysia, Fac Econ &amp; Management, Bangi, Malaysia.</t>
  </si>
  <si>
    <t>10.1108/JIABR-07-2013-0022</t>
  </si>
  <si>
    <t>ER3AD</t>
  </si>
  <si>
    <t>WOS:000398665600006</t>
  </si>
  <si>
    <t>Hefny, MHM; Helmy, Y; Abdelsalam, M</t>
  </si>
  <si>
    <t>Hefny, Mohamed Hamed Mohamed; Helmy, Yehia; Abdelsalam, Mohamed</t>
  </si>
  <si>
    <t>Open Banking API Framework to Improve the Online Transaction between Local Banks in Egypt Using Blockchain Technology</t>
  </si>
  <si>
    <t>JOURNAL OF ADVANCES IN INFORMATION TECHNOLOGY</t>
  </si>
  <si>
    <t>blockchain technology; e-banking; e-payment; banking integration; open APIs</t>
  </si>
  <si>
    <t>Blockchain technology is considered to have a high impact on the banking industry due to its potential to enable new ways of organizing and handling banking industry activities. It reduces costs and time associated with intermediaries and improves trust and security. This study explores how blockchain technology could enhance fund transfer transactions between local banks in Egypt by providing a blockchain-based framework to conduct instant payments and financial transactions. Due to its properties, blockchain is qualified to play a vital role in the financial sector by helping financial institutions protect their daily routine financial transactions with a more secure, instant, and low-cost model. The findings show that blockchain technology's characteristics (enhanced security, transparency, data integrity, information immutability, and instant settlement) and using open Application Programming Interface (API) architecture will give seamless integration of financial services and applications. This approach will improve Egypt's financial transactions between local banks as well as the growth of e-payments and digital transformation. The proposed framework, which uses blockchain and open banking API architecture in fund transfer between local banks, will provide a great opportunity and space for banks to improve and positively impact digital transformation strategy, financial inclusion, digitization of payments, online SME finance, increasing access points, partnerships with FinTech's, and using innovative technologies further to bring efficiency in banking and payments. By using a blockchain network for domestic remittance Automated Clearing House (ACH), banks should be able to offer customers a faster, cheaper, and more efficient service.</t>
  </si>
  <si>
    <t>[Hefny, Mohamed Hamed Mohamed; Helmy, Yehia; Abdelsalam, Mohamed] Helwan Univ, Business Informat Syst Dept, Fac Commerce &amp; Business Adm, Cairo, Egypt</t>
  </si>
  <si>
    <t>Egyptian Knowledge Bank (EKB); Capital University - Egypt</t>
  </si>
  <si>
    <t>Hefny, MHM (corresponding author), Helwan Univ, Business Informat Syst Dept, Fac Commerce &amp; Business Adm, Cairo, Egypt.</t>
  </si>
  <si>
    <t>Mohamed.Hamed21@commerce.helwan.edu.eg; ymhelmy@yahoo.com; dr.m_abdelsalam@commerce.helwan.edu.eg</t>
  </si>
  <si>
    <t>Abdelsalam, Mohamed/JAN-4942-2023</t>
  </si>
  <si>
    <t>Helmy, Yehia/0009-0002-4217-4749</t>
  </si>
  <si>
    <t>ENGINEERING &amp; TECHNOLOGY PUBLISHING</t>
  </si>
  <si>
    <t>ROWLAND HEIGHTS</t>
  </si>
  <si>
    <t>2448 DESIRE AVE, ROWLAND HEIGHTS, CA 91748 USA</t>
  </si>
  <si>
    <t>1798-2340</t>
  </si>
  <si>
    <t>J ADV INFORM TECHNOL</t>
  </si>
  <si>
    <t>J. Adv. Inf. Technol.</t>
  </si>
  <si>
    <t>10.12720/jait.14.4.729-740</t>
  </si>
  <si>
    <t>O1TV2</t>
  </si>
  <si>
    <t>WOS:001041723000013</t>
  </si>
  <si>
    <t>Githaiga, PN</t>
  </si>
  <si>
    <t>Githaiga, Peter Nderitu</t>
  </si>
  <si>
    <t>Female leadership and financial sustainability of MFIs: the moderating role of female borrowers</t>
  </si>
  <si>
    <t>Female leadership; Women borrowers; Financial sustainability; Microfinance; Global dataset</t>
  </si>
  <si>
    <t>GENDER DIVERSITY; CREDIT PROGRAMS; MICROFINANCE; PERFORMANCE; WOMEN; GOVERNANCE; OUTREACH; GROWTH; IMPACT</t>
  </si>
  <si>
    <t>PurposeThe purpose of this study was to investigate whether the percentage of female borrowers moderate the effect of female leadership on financial sustainability of microfinance institutions (MFIs).Design/methodology/approachThe study collected an unbalanced panel data of 821 MFIs between 2007 and 2018 from the Microfinance Information Exchange (MIX). MFIs' financial sustainability was measured as operational self-sufficiency (OSS). The data were analyzed using the fixed effect regression model.FindingsThe study found that having women participation in managerial and board positions has a positive effect on OSS. The results further demonstrated that the proportion of female loan officers and female borrowers had a negative effect on OSS. In addition, the study's findings revealed that the percentage of female borrowers moderated the relationship between female board members, female managers, female loan officers and OSS.Practical implicationsThese findings may offer important insights to policymakers and practitioners in formulating strategies to improve financial inclusion for women by examining the inherent link between female borrowers and women's participation in leadership roles within MFIs, which affects the financial sustainability of these entities.Originality/valueThis study is among the few that have examined the interaction between the proportion of female borrowers and other forms of female participation, including loan officers, managers and board members, and its effect on the financial sustainability of MFIs.</t>
  </si>
  <si>
    <t>[Githaiga, Peter Nderitu] Moi Univ, Dept Accounting &amp; Finance, Eldoret, Kenya</t>
  </si>
  <si>
    <t>Moi University</t>
  </si>
  <si>
    <t>Githaiga, PN (corresponding author), Moi Univ, Dept Accounting &amp; Finance, Eldoret, Kenya.</t>
  </si>
  <si>
    <t>nderitugithaiga@mu.ac.ke</t>
  </si>
  <si>
    <t>Githaiga, Peter/0000-0003-0772-7854</t>
  </si>
  <si>
    <t>2024 OCT 23</t>
  </si>
  <si>
    <t>10.1108/JES-04-2024-0223</t>
  </si>
  <si>
    <t>J4Z8V</t>
  </si>
  <si>
    <t>WOS:001337172200001</t>
  </si>
  <si>
    <t>Kanth, D; Sinha, AR; Shah, MA</t>
  </si>
  <si>
    <t>Kanth, Deepika; Sinha, Ashish Ranjan; Asif Shah, Mohd</t>
  </si>
  <si>
    <t>Global Research on Financial Well-Being for Women Entrepreneurs: A Bibliometric Analysis</t>
  </si>
  <si>
    <t>women entrepreneurship; financial well-being; bibliometric; microfinance</t>
  </si>
  <si>
    <t>LITERACY; INDIA</t>
  </si>
  <si>
    <t>The study evaluates the present state of global research on financial inclusion and well-being of female entrepreneurs, including the identifications of key contributors, patterns of collaborations, a thematic map, and the intellectual and social structure that supports this domain. A bibliometric analysis was conducted on a sample of 332 documents pertaining to women entrepreneurship and financial well-being. The analysis was centered on inclusion-exclusion criteria that were established using a specific search technique on the Scopus database, encompassing the time frame from 2010 to 2023. The bibliometrix R and VOSviewer tools were utilized for the research. The findings indicate that the interdisciplinary domain of women's entrepreneurship and financial well-being has transformed. This research uncovers the conceptual structure, illuminates the intellectual framework, and focuses on the most critical concerns in this sector, namely, how to accomplish sustainable objectives (SDG 8) through integrating female entrepreneurs in the financial ecosystem. This study offers valuable insights for researchers, policymakers, and practitioners, promoting a more nuanced understanding of female entrepreneurs' financial inclusion. This research highlights the significance of multidisciplinary collaboration and the opportunities given to female entrepreneurs in attaining sustainable development goals and promoting financial inclusion.</t>
  </si>
  <si>
    <t>[Kanth, Deepika; Sinha, Ashish Ranjan] Natl Inst Technol Patna, Patna, Bihar, India; [Asif Shah, Mohd] Kardan Univ, Dept Econ, Kabul 1001, Afghanistan</t>
  </si>
  <si>
    <t>National Institute of Technology (NIT System); National Institute of Technology Patna</t>
  </si>
  <si>
    <t>Shah, MA (corresponding author), Kardan Univ, Dept Econ, Kabul 1001, Afghanistan.</t>
  </si>
  <si>
    <t>m.asif@kardan.edu.af</t>
  </si>
  <si>
    <t>Sinha, Ashish/AFB-9546-2022</t>
  </si>
  <si>
    <t>10.1177/21582440251357160</t>
  </si>
  <si>
    <t>6DP1Z</t>
  </si>
  <si>
    <t>WOS:001550825700001</t>
  </si>
  <si>
    <t>Gupta, P; Srivastava, S</t>
  </si>
  <si>
    <t>Gupta, Priya; Srivastava, Shashi</t>
  </si>
  <si>
    <t>Exploring customer attitude towards neo-banking apps: a thematic analysis using Google Play and Apple App Store reviews</t>
  </si>
  <si>
    <t>Neo banking; Digital banking; Technology adoption; Text mining; Thematic analysis; Customer Attitude</t>
  </si>
  <si>
    <t>MOBILE BANKING; SERVICE QUALITY; SATISFACTION; EXPERIENCE; LOYALTY</t>
  </si>
  <si>
    <t>PurposeFinancial services have radically transformed in this digital age, and digital technologies are increasingly embraced. This pioneering study, the first of its kind, seeks to conduct a comprehensive review and analysis of the key factors that influence customer attitudes towards neo-banking applications. Furthermore, it aims to compare the user experience of Android and iOS neo-banking users by leveraging customer reviews from the Google Play Store and Apple App Store.Design/methodology/approachThe authors meticulously analysed user reviews from six popular banking apps to achieve the research objective. The authors used text mining and thematic analysis to extract and categorise the user feedback. The qualitative data was processed using the NVIVO survey tool, a reliable and widely used method, ensuring a rigorous and systematic analysis of unstructured qualitative data.FindingsThe study revealed that web features, customer support systems, privacy and security concerns, ease of use and overall app usefulness significantly influence customer attitudes towards neobanks. Notably, security and customer support systems emerged as paramount consumer concerns in the neo-banking landscape. The findings indicate a substantial disparity in the user experience between Android and iOS users. Customer reviews from Android users are predominantly favourable towards neobanks, whereas iOS users express considerable dissatisfaction with the services most neobanks provide.Research limitations/implicationsThis study significantly contributes to the neo-banking literature, a sector that remains underexplored despite the increasing adoption rate. While previous studies focused on mobile banking adoption using quantitative survey methods, the study used a qualitative text-mining approach and thematic analysis, allowing for a detailed understanding of customer attitudes. Although text mining has been applied in other domains, its use in neo-banking services is still limited. This study demonstrates how text mining and thematic analysis can be leveraged to extract meaningful concepts from unstructured consumer reviews. Previous banking studies rely on models such as technology acceptance models and unified theory of acceptance and use of technology, which can explain the adoption behaviour but may not fully capture attitudinal factors. This research extends the scope of neo-banking literature by incorporating consumer-generated insights through text mining. It enhances the existing knowledge of neobanking by highlighting the distinct experiences of Android and iOS users. This study addresses a gap in previous research by covering reviews from the Apple App Store. It includes reviews in Hindi to understand better the customer base that prefers expressing their emotions in Hindi. By doing so, this is revealed to be the first study of its kind, uncovering differences in user experience and satisfaction levels between Android and iOS users for the same applications. It demonstrates the necessity for further research into platformspecific user experiences, particularly in the context of emerging technologies in digital banking. Identifying critical success factors and inhibitors influencing attitudes towards neo-banking applications lays a foundation for future research. It encourages scholars to explore disparities in user behaviour and preferences in digital banking as this field evolves.Practical implicationsThese insights include strengths and areas for enhancement, particularly in user experience, customer support and feature optimisation. The reviews indicate a strong need for a user-friendly interface. Android Users express satisfaction with the app design, while iOS users report issues with the user interface, including glitches, bugs and compatibility problems. This indicates addressing specific complaints aboutmisalignment of UI with iPhone margins and ensuring the navigation elements are easily accessible. The customer support system turns out to be a crucial area for improvement. As neobanks are entirely online, the need for strong customer support becomes essential. Many iOS users report frustration with the app's support system, mentioning issues such as unresponsive chat support, lack of human assistance and unresolved queries. Managers should prioritise enhancing customer support infrastructure by providing more accessible live chat with human representatives, clear communication channels and quick response time. Managers should prioritise providing users with accessible options to ask queries beyond the fixed questions in chatbots. While chatbots can handle common queries, many users need personalised assistance. Implementing a multitiered support system with email support and dedicated helplines can significantly improve user satisfaction and trust levels in biobanking services. The review highlights the persistent problem with the Video Know Your Customer (KYC) verification process, particularly for iOS users. These delays and complications in verification can block potential customers and lead to dissatisfaction among existing ones. Managers should streamline the KYC process by leveraging advanced technologies to automate and expedite verification steps. Facilitating clear communication with customers regarding the process and potential issues can help minimise user frustration and improve satisfaction. Managers should consider developing educational content and gamified features that cater to younger users' needs, which eventually enhance the financial literacy of this engaging demography. Users express a strong desire for security measures in the applications. In contrast, many users feel confident in the app's security, and various feedback shows concerns about freezing and blocking their accounts, mainly iOS users' accounts. Implementing biometric authentication and app closure features while entering any unsecured network can enhance user trust and security. Some users also reported limitations regarding location access, which affects the ability of the app features. Managers should observe the geographical availability of services and expand them in underserved areas. This can be done by partnering with regional traditional banks to serve a broader customer base. Finally, during the review analysis, it was observed that very few neobanks bother replying to app store customer feedback. Establishing a continuous feedback loop with customers can provide valuable insight for continuous improvements. Implementing a robust tracking of customer issues on all platforms can enhance user satisfaction.Social implicationsThe rise of neobanks has broader implications for financial inclusion, financial literacy, consumer empowerment and digital literacy. By removing physical barriers, neobanks can bring unbanked and underbanked populations into the financial ecosystem. The positive feedback from users, especially younger ones, indicates that neobanks can be crucial in introducing financial services to demographics often ignored by traditional banks. Neo-banking can bridge the financial gaps between urban and rural populations, provided that challenges such as internet connectivity and smartphone accessibility are addressed. The advancement of neobanks signifies a shift in the banking landscape, challenging traditional banking models. Young individuals gravitate towards digital-only banking, which can increase competition, driving innovation and service improvement across the banking industry. The focus on financial literacy in user reviews suggests a growing societal requirement for educational resources on their platforms; neobanks can help users develop essential financial skills such as budgeting, saving, making mindful investments and responsible spending. This will contribute towards a financially literate society and improve overall financial well-being. Finally, the ability of neobanks to provide convenient banking solutions can help address broader societal challenges, such as the need for a fast and reliable payment system in a cashless economy; by facilitating financial management, neobanks can contribute to the modernisation of the fintech ecosystem and promote economic growth and stability.Originality/valueThis study is a pioneering effort, delving into India's app-based reviews of neo-banking services. It offers a unique perspective on the user experience of Android and iOS users. The findings, which hold significant implications for the banking and technology industry, provide a deeper understanding of customer attitudes, thereby shaping the future of digital banking.</t>
  </si>
  <si>
    <t>[Gupta, Priya; Srivastava, Shashi] Banaras Hindu Univ, Inst Management Studies, Varanasi, India</t>
  </si>
  <si>
    <t>Gupta, P (corresponding author), Banaras Hindu Univ, Inst Management Studies, Varanasi, India.</t>
  </si>
  <si>
    <t>priyagupta@fmsbhu.ac.in; shashishrivastava@fmsbhu.ac.in</t>
  </si>
  <si>
    <t>2025 JUL 3</t>
  </si>
  <si>
    <t>10.1108/QRFM-07-2024-0198</t>
  </si>
  <si>
    <t>4LB7U</t>
  </si>
  <si>
    <t>WOS:001520576300001</t>
  </si>
  <si>
    <t>Jacob, RT; Sensarma, R; Nair, G</t>
  </si>
  <si>
    <t>Jacob, Remya Tressa; Sensarma, Rudra; Nair, Gopakumaran</t>
  </si>
  <si>
    <t>Is rural household debt sustainable in a financially included region? Evidence from three districts of Kerala, India</t>
  </si>
  <si>
    <t>Financial inclusion; household debt; repayment capacity; rural India</t>
  </si>
  <si>
    <t>CREDIT; MICROFINANCE; EMPOWERMENT; MODELS</t>
  </si>
  <si>
    <t>This paper explores whether institutional change brought about by financial inclusion results in sustainable debt management by households. We analyze household indebtedness and its various dimensions using primary data collected from 600 households across 3 districts of rural Kerala in India. We find that more than half of the sample households are indebted. Using flow and stock analysis, we assess the repayment capacity of households. While the flow analysis based on interest and income comparison shows that debt is sustainable, the stock analysis indicates an alarming debt situation considering the illiquid nature of land assets. Both agricultural and non-agricultural households appeared to be caught in a debt trap. Our econometric analyses show that socio-economic factors like education and age of the household head, main source of household income and household asset value without land, are significant determinants of household level indebtedness.</t>
  </si>
  <si>
    <t>[Jacob, Remya Tressa; Sensarma, Rudra] Indian Inst Management Kozhikode, IIMK Campus PO, Kozhikode 673570, Kerala, India; [Nair, Gopakumaran] Natl Bank Agr &amp; Rural Dev, Ranchi, Bihar, India</t>
  </si>
  <si>
    <t>Indian Institute of Management (IIM System); Indian Institute of Management Kozhikode</t>
  </si>
  <si>
    <t>Jacob, RT (corresponding author), Indian Inst Management Kozhikode, IIMK Campus PO, Kozhikode 673570, Kerala, India.</t>
  </si>
  <si>
    <t>remyat10fpm@iimk.ac.in</t>
  </si>
  <si>
    <t>Sensarma, Rua/I-3580-2015; Jacob, Remya Tressa/LIH-5575-2024</t>
  </si>
  <si>
    <t>Sensarma, Rua/0000-0002-7948-310X; Jacob, Remya Tressa/0000-0002-4603-245X</t>
  </si>
  <si>
    <t>National Bank for Agriculture and Rural Development (NABARD), India [NB/DEAR/Collaborative Studies/01/CS-06/2016-17]</t>
  </si>
  <si>
    <t>National Bank for Agriculture and Rural Development (NABARD), India</t>
  </si>
  <si>
    <t>This work was supported by the National Bank for Agriculture and Rural Development (NABARD), India [No. NB/DEAR/Collaborative Studies/01/CS-06/2016-17].</t>
  </si>
  <si>
    <t>10.1080/13600818.2022.2088718</t>
  </si>
  <si>
    <t>5R2AF</t>
  </si>
  <si>
    <t>WOS:000812124000001</t>
  </si>
  <si>
    <t>Vieira, KM; Matheis, TK; Potrich, ACG; Puhle, MD; Bressan, AA; Klein, LL</t>
  </si>
  <si>
    <t>Vieira, Kelmara Mendes; Matheis, Taiane Keila; Potrich, Ani Caroline Grigion; Puhle, Mayara de Carvalho; Bressan, Aureliano Angel; Klein, Leander Luiz</t>
  </si>
  <si>
    <t>Financial Freedom Perception Scale (FFPS): Construction and validation</t>
  </si>
  <si>
    <t>Financial Freedom Scale; Financial literacy; Invariance model; Profile differences; Behavioral finance</t>
  </si>
  <si>
    <t>LIFE SATISFACTION; PERCEIVED STRESS; FIT INDEXES; WELL; LITERACY; EXPERIENCE; PLAN</t>
  </si>
  <si>
    <t>The main motivation of this study is the absence of consolidated measures to evaluate individuals' perceptions of financial freedom. So, this study has the objective of constructing and validating a Financial Freedom Perception Scale (FFPS). Furthermore, it seeks to provide the first evidence for differences in the perception of financial freedom according to gender, age, race and formal education. The research was developed by two main phases. The qualitative phase consisted of interviews, expert validation, and pre-test used to define the scale and the construction of the items. In the quantitative phase, two samples were collected: one with 1020 cases for exploratory analysis and another of 2293 respondents for confirmatory validation. The tests validated the FFPS as a one-dimensional scale consisting of nine items assessing the individual's financial freedom perception. We also present an application methodology for FFPS. We identified that a significant portion of the population perceives itself as financially free, but this perception is quite distinct among citizens of different profiles. The FFPS can be useful for academics, researchers, public managers, and financial agents. It can also indicate the results of public policies on financial inclusion, income transfer, and financial literacy.</t>
  </si>
  <si>
    <t>[Vieira, Kelmara Mendes; Matheis, Taiane Keila; Puhle, Mayara de Carvalho; Klein, Leander Luiz] Univ Fed Santa Maria, Santa Maria, RS, Brazil; [Potrich, Ani Caroline Grigion] Univ Fed Santa Catarina, Florianopolis, SC, Brazil; [Bressan, Aureliano Angel] Univ Fed Minas Gerais, Belo Horizonte, MG, Brazil; [Vieira, Kelmara Mendes] Univ Fed Santa Maria, Av Roraima 1000,Predio 74C,4212, BR-97105900 Santa Maria, RS, Brazil</t>
  </si>
  <si>
    <t>Universidade Federal de Santa Maria (UFSM); Universidade Federal de Santa Catarina (UFSC); Universidade Federal de Minas Gerais; Universidade Federal de Santa Maria (UFSM)</t>
  </si>
  <si>
    <t>Vieira, KM (corresponding author), Univ Fed Santa Maria, Av Roraima 1000,Predio 74C,4212, BR-97105900 Santa Maria, RS, Brazil.</t>
  </si>
  <si>
    <t>kelmara.vieira@ufsm.br; taianetrim@gmail.com; anipotrich@gmail.com; puhle.mayara@gmail.com; aureliano.bressan@gmail.com; leander.klein@ufsm.br</t>
  </si>
  <si>
    <t>Bressan, Aureliano/V-2757-2019; Matheis, Taiane/HPE-5124-2023; Klein, Leander/AAI-8973-2020; Vieira, Kelmara/AAU-7480-2020</t>
  </si>
  <si>
    <t>National Council for Scientific and Techno- logical Development (CNPq) [308953/2022-3]</t>
  </si>
  <si>
    <t>National Council for Scientific and Techno- logical Development (CNPq)(Conselho Nacional de Desenvolvimento Cientifico e Tecnologico (CNPQ))</t>
  </si>
  <si>
    <t>The authors thank the National Council for Scientific and Techno- logical Development (CNPq) for the financial support (CNPq-grant number 308953/2022-3) .</t>
  </si>
  <si>
    <t>10.1016/j.jbef.2024.100902</t>
  </si>
  <si>
    <t>NH5A6</t>
  </si>
  <si>
    <t>WOS:001199561100001</t>
  </si>
  <si>
    <t>González Núñez, J; Domínguez, S; Zimmermann, KJ</t>
  </si>
  <si>
    <t>Gonzalez-Nunez, Jose; Dominguez, Salomon; Zimmermann, Karl J.</t>
  </si>
  <si>
    <t>Characterizing uninsured population in Mexico: a multinomial analysis</t>
  </si>
  <si>
    <t>Insurance; Behavioral economics; Behavioral finance; Multinomial logistic model; National financial inclusion survey</t>
  </si>
  <si>
    <t>LIFE-INSURANCE DEMAND; FINANCIAL LITERACY; HEALTH-INSURANCE; ECONOMIC-GROWTH; DETERMINANTS; BEHAVIOR; COVERAGE</t>
  </si>
  <si>
    <t>Purpose - This research highlights the importance of understanding the characteristics of the uninsured population in Mexico, as it is closely related to economic growth. Those characteristics that are not economic but behavioral are especially important to incentivize insurance purchases in the population with sufficient resources. Design/methodology/approach- Considering the main reason for not having insurance, this research classifies the Mexican adult population into four categories using a multinomial logit model and the National Survey of Financial Inclusion (2021). Findings - The adult Mexican population can be divided into four categories: No money, Not aware or does not trust, No need, Other; this division allows comparisons between categories at 95% confidential level. The statistically significant variables were Mobile phone-ownership, Education level, Age, Financial behavior and Locality, while the variables, Financial literacy and Gender, were not. The variables that strongly characterize the uninsured population with sufficient resources (42.1%) are associated with economic factors (mobile phone ownership) and people's behavior (Education level, Age, Financial behavior and Locality). This presents an excellent opportunity for policymakers to develop public policies encouraging insurance purchases. Originality/value - Various empirical studies have focused on determining the economic, demographic and institutional factors that determine insurance tenure. Still, no empirical evidence has been found to characterize the uninsured population. This study aims to help policymakers develop public policy for the uninsured population to encourage them to purchase insurance. This research contributes to empirical theory in three ways: First, it identifies a large market in Mexico; the uninsured population in this country is about 80%. Second, it segments the adult population into categories to analyze better. Third, the characteristics of the population that has sufficient resources to take out insurance but has none can be found.</t>
  </si>
  <si>
    <t>[Gonzalez-Nunez, Jose; Dominguez, Salomon; Zimmermann, Karl J.] Univ Anahuac Mexico, Fac Econ &amp; Negocios, Mexico City, DF, Mexico</t>
  </si>
  <si>
    <t>Domínguez, S (corresponding author), Univ Anahuac Mexico, Fac Econ &amp; Negocios, Mexico City, DF, Mexico.</t>
  </si>
  <si>
    <t>josecarlos.gonzalez@anahuac.mx; salomon.dominguez@anahuac.mx; karl.zimmermann@uba.de</t>
  </si>
  <si>
    <t>Domínguez de la Cruz, Salomón/0000-0003-1380-1715</t>
  </si>
  <si>
    <t>10.1108/RBF-11-2023-0313</t>
  </si>
  <si>
    <t>S0K6H</t>
  </si>
  <si>
    <t>WOS:001362268900001</t>
  </si>
  <si>
    <t>Tyce, M</t>
  </si>
  <si>
    <t>Tyce, Matthew</t>
  </si>
  <si>
    <t>Beyond the neoliberal-statist divide on the drivers of innovation: A political settlements reading of Kenya's M-Pesa success story</t>
  </si>
  <si>
    <t>Political settlement; Innovation; Mobile money; M-Pesa; Africa; Kenya</t>
  </si>
  <si>
    <t>MOBILE MONEY; FINANCIAL INCLUSION; INSTITUTIONS; TECHNOLOGY; INDUSTRY; LESSONS; REFORMS; SECTOR; POLICY; CHINA</t>
  </si>
  <si>
    <t>While there is now broad consensus that innovation is a key driver of productivity growth, debates about the state's role in promoting innovation remain polarised between two competing analytical and ideological paradigms. The first is neoliberalism, which confines the state to correcting market failures, ensuring competition and supporting the innovative force of the private-sector. Drawing on the developmental state phenomenon, the second calls for a strong and visionary state to drive innovation by targeting industries for investment and protecting firms until they are ready to face competition. The literature broadly falls within these camps, identifying innovation as a market- or state-driven process. This paper challenges both, arguing that there are multiple pathways to innovation, many of which represent a messier middle ground. The case of Kenya, which has become a hotbed for mobile money innovation since launching its pioneering M-Pesa service in 2007, is used to make this argument. Neoliberal and statist accounts fail to explain this story, which needs to be framed in relation to underlying power relations that span this divide. The M-Pesa success has played out within a highly-particularistic and patronage-based political context, whereby the interests of key groups within Kenya's political settlement have crystallised to shield M-Pesa's parent company Safaricom, whose ownership structure and strategic partnerships draw in elites from across the political spectrum, from competition. This has afforded Safaricom space to innovate with M-Pesa, engendering a form of 'developmental patrimonialism' within which it has become a vehicle for rents to be centralised and deployed within strategic industries according to a long-term vision, with profits parcelled back to elites through generous dividend pay-outs. Concluding, the paper calls for more nuanced political economy understandings of the drivers of innovation, and mobile money adoption in particular. (C) 2019 Published by Elsevier Ltd.</t>
  </si>
  <si>
    <t>[Tyce, Matthew] Univ Manchester, Global Dev Inst, Manchester, Lancs, England</t>
  </si>
  <si>
    <t>University of Manchester</t>
  </si>
  <si>
    <t>Tyce, M (corresponding author), 5 Hall Rd, Manchester M14 5HN, Lancs, England.</t>
  </si>
  <si>
    <t>matthew.tyce@manchester.ac.uk</t>
  </si>
  <si>
    <t>Tyce, Matthew/0000-0001-8310-3205</t>
  </si>
  <si>
    <t>Economic and Social Research Council (ESRC); Effective States and Inclusive Development (ESID) research centre based at the University of Manchester; ESRC [ES/T008628/1] Funding Source: UKRI</t>
  </si>
  <si>
    <t>Economic and Social Research Council (ESRC)(UK Research &amp; Innovation (UKRI)Economic &amp; Social Research Council (ESRC)); Effective States and Inclusive Development (ESID) research centre based at the University of Manchester; ESRC(UK Research &amp; Innovation (UKRI)Economic &amp; Social Research Council (ESRC))</t>
  </si>
  <si>
    <t>This research was funded by the Economic and Social Research Council (ESRC) as well as the Effective States and Inclusive Development (ESID) research centre based at the University of Manchester. The author would like to thank Sam Hickey and Kunal Sen as well as various attendees at the 2018 UK Development Studies Association annual conference for their invaluable feedback on the previous iterations of this paper. Any errors or ommissions are the author's responsibility.</t>
  </si>
  <si>
    <t>10.1016/j.worlddev.2019.104621</t>
  </si>
  <si>
    <t>JN0OZ</t>
  </si>
  <si>
    <t>WOS:000496605200003</t>
  </si>
  <si>
    <t>Finau, G; Rika, N; Samuwai, J; McGoon, J</t>
  </si>
  <si>
    <t>Finau, Glen; Rika, Nacanieli; Samuwai, Jale; McGoon, James</t>
  </si>
  <si>
    <t>Perceptions of Digital Financial Services in Rural Fiji</t>
  </si>
  <si>
    <t>This article examines rural dwellers' perceptions of digital financial services (DFS) to identify which factors may enhance or impede their adoption. The article is based on a survey and follow-up interviews in rural Fijian communities with relatively low income levels. In Fiji, DFS are provided by mobile network operators, either individually or in collaboration with commercial banks. The provision of these services is consistent with policies of the Fijian government and The Reserve Bank of Fiji, which advocate financial inclusion as a means of promoting economic growth and enabling citizens to more efficiently receive remittances and welfare payments. However, the survey findings indicate that DFS uptake is hindered by agents' lack of liquidity and the implicit costs that agents impose on consumers. In addition, consumers tend to fully spend the funds received through mobile money, but fail to use their mobile phones for saving purposes.</t>
  </si>
  <si>
    <t>[Finau, Glen; Rika, Nacanieli; Samuwai, Jale] Univ South Pacific, Sch Accounting &amp; Finance, Suva, Fiji; [McGoon, James] Reserve Bank Fiji, Financial Syst Dev, Suva, Fiji</t>
  </si>
  <si>
    <t>University of the South Pacific</t>
  </si>
  <si>
    <t>Finau, G (corresponding author), Univ South Pacific, Sch Accounting &amp; Finance, Suva, Fiji.</t>
  </si>
  <si>
    <t>finau_g@usp.ac.fj; nacanieli.rika@usp.ac.fj; jale.samuwai@usp.ac.fj; james.m@rbf.gov.fj</t>
  </si>
  <si>
    <t>Finau, Glenn/HII-9246-2022; Rika, Nacanieli/ABG-4767-2020</t>
  </si>
  <si>
    <t>Rika, Nacanieli/0000-0002-1750-1333</t>
  </si>
  <si>
    <t>EG4JL</t>
  </si>
  <si>
    <t>WOS:000391009800003</t>
  </si>
  <si>
    <t>Choudhary, D; Banskota, K; Khanal, N; Gyawali, P</t>
  </si>
  <si>
    <t>Choudhary, Dyutiman; Banskota, Kamal; Khanal, Narayan; Gyawali, Prithvi</t>
  </si>
  <si>
    <t>The role of access to finance for smallholders' seed business growth in Nepal</t>
  </si>
  <si>
    <t>Aid - Development policies; Civil society; Environment (built and natural) - Agriculture; Labour and livelihoods - Microfinance; Economics</t>
  </si>
  <si>
    <t>Finance is vital for commercialising seed businesses and the Government of Nepal has launched a priority sector-lending plan (PSLP) for financing agriculture. This article assesses the use and role of finance and the challenges in accessing PSLP loans, using interviews with 197 farmer households and stakeholders. The results show that awareness about PSLP can increase gross margins by 46%, but farmers have yet to take on PSLP loans. Bankers lack the agribusiness knowledge to support PSLP. The study recommends that policymakers and bankers harmonise policies and PSLP implementation by aligning loans with cropping cycles, farmers' institutions, seed value chains and effective outreach.</t>
  </si>
  <si>
    <t>[Choudhary, Dyutiman] Int Wheat &amp; Maize Improvement Ctr CIMMYT, Nepal Seed &amp; Fertilizer NSAF Project, Mexico City, DF, Mexico; [Khanal, Narayan] CIMMYT Int, Kathmandu, Nepal; [Gyawali, Prithvi] Nepal Seed Co Private Ltd, Lalitpur, Nepal; [Gyawali, Prithvi] Agri Solut Private Ltd, Hyderabad, Telangana, India</t>
  </si>
  <si>
    <t>CGIAR; International Maize &amp; Wheat Improvement Center (CIMMYT); CGIAR; International Maize &amp; Wheat Improvement Center (CIMMYT)</t>
  </si>
  <si>
    <t>Choudhary, D (corresponding author), Int Wheat &amp; Maize Improvement Ctr CIMMYT, Nepal Seed &amp; Fertilizer NSAF Project, Mexico City, DF, Mexico.</t>
  </si>
  <si>
    <t>d.choudhary@cgiar.org</t>
  </si>
  <si>
    <t>United States Agency for International Development (USAID); CGIAR Research Programs on Maize Agri-food Systems (CRP MAIZE)</t>
  </si>
  <si>
    <t>United States Agency for International Development (USAID)(United States Agency for International Development (USAID)CGIARNorwegian Agency for Development Cooperation - NORAD); CGIAR Research Programs on Maize Agri-food Systems (CRP MAIZE)</t>
  </si>
  <si>
    <t>This study was elaborated in the framework of the Nepal Seed and Fertilizer Project, funded by the United States Agency for International Development (USAID). The authors also acknowledge support from the CGIAR Research Programs on Maize Agri-food Systems (CRP MAIZE). The views expressed in this paper are those of the authors.</t>
  </si>
  <si>
    <t>10.1080/09614524.2020.1828828</t>
  </si>
  <si>
    <t>RI3SE</t>
  </si>
  <si>
    <t>WOS:000579893100001</t>
  </si>
  <si>
    <t>Ayele, GT</t>
  </si>
  <si>
    <t>Ayele, Gashaw Tsegaye</t>
  </si>
  <si>
    <t>Microfinance Institutions in Ethiopia, Kenya and Uganda: Loan Outreach to the Poor and the Quest for Financial Viability</t>
  </si>
  <si>
    <t>Microfinance institutions' (MFIs') loan service outreach to the poor (depth) and the ensuing institutional viability concern is an unsettled issue in the literature. Can MFIs increase the depth of their outreach whilst achieving financial viability (viability)? Answering this question is exceedingly relevant to countries that opt for right policies towards financial inclusion. In their microfinance operations, Kenya and Uganda ranked first and second in Africa; fifth and eighth in the world, respectively; and Ethiopia is an emerging MFI destination. Yet, the loan outreach in these countries falls short of the uncontested huge demand. The study introduces an approach that disintegrates the overall effect of depth on viability into direct and indirect effects. Hausman-Taylor and Generalized Structural Equation Models are employed on unbalanced panel dataset of 31 MFIs (2003-12) drawn from the three countries. The result implied a direct-positive effect and an indirect-negative effect running from depth to viability. Under contained operational-expenses-per-loan-portfolio, depth could be pro-viability. Debt-to-Equity-Ratio relate inversely with viability whereas Real-Yield' relates directly. The paper concludes that support to MFIs should be aligned to ensure efficiency through reduced operational costs and thereby complementary depth-viability nexus can prevail.</t>
  </si>
  <si>
    <t>HESPI, Horn Econ &amp; Social Policy Inst, Addis Ababa, Ethiopia</t>
  </si>
  <si>
    <t>Ayele, GT (corresponding author), HESPI, Horn Econ &amp; Social Policy Inst, Addis Ababa, Ethiopia.</t>
  </si>
  <si>
    <t>gashaw.tsegaye@hespi.org</t>
  </si>
  <si>
    <t>Ayele, Gashaw Tsegaye/JCO-5754-2023</t>
  </si>
  <si>
    <t>Ayele, Gashaw Tsegaye/0009-0000-1852-7087</t>
  </si>
  <si>
    <t>10.1111/1467-8268.12128</t>
  </si>
  <si>
    <t>CL1HX</t>
  </si>
  <si>
    <t>WOS:000356694500004</t>
  </si>
  <si>
    <t>Campbell, A; Deshpande, S; Kumar, S; Rundle-Thiele, S; West, T</t>
  </si>
  <si>
    <t>Campbell, Alexander; Deshpande, Sameer; Kumar, Sunil; Rundle-Thiele, Sharyn; West, Tracey</t>
  </si>
  <si>
    <t>Input, Outcome, and Impact: A Program-Informed Model to Improve the Effectiveness of Corporate Social Marketing</t>
  </si>
  <si>
    <t>SOCIAL MARKETING QUARTERLY</t>
  </si>
  <si>
    <t>corporate social marketing; financial capability; behavior change; India; financial inclusion; social responsibility</t>
  </si>
  <si>
    <t>FINANCIAL LITERACY; BUSINESS RETURNS; INCLUSION; READINESS; BEHAVIOR; WOMEN</t>
  </si>
  <si>
    <t>Background: The purpose of this research is to extend Corporate Social Marketing (CSM) literature and provide practitioners with a framework that can be used in different contexts, as the existing literature lacks an understanding of what factors determine the success of a CSM program and understand the interplay between cross-sector partnerships, CSM, and societal outcomes and impact delivery. Companies are taking a greater interest in addressing social issues, utilizing innovative CSR approaches such as CSM to promote behavior change among their audience while matching their core strengths and attributes (Kotler et al., 2012). Focus of the Article: The article evaluates how the CSM programMein Pragati developed lasting behavior change and seeks to develop a conceptual model around its success. Research Question: How can the CSM contribute to behavior change programs? Program Design/Approach Importance to the Social Marketing Field: The proposed model (Input, Outcome, and Impact Model of Program Development) provides a structured approach to building a CSM program that changes behavior and develops mutual benefit between corporations, government, and nonprofits. Methods: Using a case study approach, this paper analyzes a successful financial inclusion program, Mein Pragati of a global analytics company, CRISIL, and its CSR arm. The three studies (in-depth interviews with eight management members, in-depth interviews with 82 Sakhis (peer educators) and their spouses, and 248 survey interviews with beneficiaries reveal the connection between program development, social outcomes, and societal impact. Results: Based on the findings of the three studies, the cross-sector Input, Output, and Outcome Model of the Program Development proposes ways to build effective CSR interventions. Individually, the findings from the in-depth interviews provide a thematic overview of CSM's success, peer educator interviews identify the impact and outcomes of Mein Pragati, and beneficiary interviews demonstrate program success. Recommendations for Research and Practice: Future research can empirically test the Input, Outcome, and Impact Model of Program Development, as further exploration of CSM is needed to understand how the concepts of people, planet, and profits can mutually benefit and provide both behavioral and societal change within program development.</t>
  </si>
  <si>
    <t>[Campbell, Alexander] Australian Catholic Univ, Fitzroy, Vic, Australia; [Deshpande, Sameer; Rundle-Thiele, Sharyn] Griffith Univ, Social Mkt Griffith, Nathan, Qld, Australia; [Kumar, Sunil] CRISIL Fdn, Mumbai, India; [West, Tracey] Griffith Univ, Dept Accounting Finance &amp; Econ, Gold Coast, Qld, Australia; [Campbell, Alexander] Australian Catholic Univ, Peter Faber Business Sch, 250 Victoria Prade, Fitzroy, Vic, Australia</t>
  </si>
  <si>
    <t>Australian Catholic University; Griffith University; Griffith University; Australian Catholic University</t>
  </si>
  <si>
    <t>Campbell, A (corresponding author), Australian Catholic Univ, Peter Faber Business Sch, 250 Victoria Prade, Fitzroy, Vic, Australia.</t>
  </si>
  <si>
    <t>alexander.campbell@acu.edu.au</t>
  </si>
  <si>
    <t>Campbell, Alexander/JPX-2350-2023; Deshpande, Sameer/L-1874-2015; West, Tracey/AAD-1297-2022; Kumar, sunil/HPF-5411-2023; Rundle-Thiele, Sharyn/S-5951-2019</t>
  </si>
  <si>
    <t>Campbell, Alexander/0000-0001-5576-5121; Deshpande, Sameer/0000-0002-9832-8383; West, Tracey/0000-0002-6032-2023;</t>
  </si>
  <si>
    <t>We thank Maya Vengurlekar, Chief Operating Officer, CRISIL Foundation, Tania Pal, Associate Director, CRISIL Foundation, Abhishek Neelakantan, Consultant, CRISIL Foundation, and Aneeta Dutta, Deputy Director, Assistant Director, Rashtriya Gramin Vikas Nidh</t>
  </si>
  <si>
    <t>We thank Maya Vengurlekar, Chief Operating Officer, CRISIL Foundation, Tania Pal, Associate Director, CRISIL Foundation, Abhishek Neelakantan, Consultant, CRISIL Foundation, and Aneeta Dutta, Deputy Director, Assistant Director, Rashtriya Gramin Vikas Nidhi for their contribution to this study.</t>
  </si>
  <si>
    <t>1524-5004</t>
  </si>
  <si>
    <t>1539-4093</t>
  </si>
  <si>
    <t>SOC MARK Q</t>
  </si>
  <si>
    <t>Soc. Mark. Q.</t>
  </si>
  <si>
    <t>10.1177/15245004231209101</t>
  </si>
  <si>
    <t>AF9S6</t>
  </si>
  <si>
    <t>WOS:001090455700001</t>
  </si>
  <si>
    <t>Nan, WX; Markus, ML</t>
  </si>
  <si>
    <t>Nan, Wenxiu (Vince); Markus, M. Lynne</t>
  </si>
  <si>
    <t>Is Inclusive Digital Innovation Inclusive? An Investigation of M-Shwari in Kenya</t>
  </si>
  <si>
    <t>INFORMATION AND COMMUNICATION TECHNOLOGIES FOR DEVELOPMENT: STRENGTHENING SOUTHERN-DRIVEN COOPERATION AS A CATALYST FOR ICT4D, PT I</t>
  </si>
  <si>
    <t>Inclusive digital innovations; Inclusive development; Financial inclusion; Excluded segments; M-Shwari</t>
  </si>
  <si>
    <t>INFORMATION-SYSTEMS; DEVELOPING-COUNTRIES; MOBILE MONEY; TECHNOLOGY; NETWORKS</t>
  </si>
  <si>
    <t>Inclusive digital innovations are IT-enabled innovations with the potential to promote inclusive socioeconomic development for the poor and underserved inhabitants of developing countries. This paper inquires about the extent to which this worthy objective has actually been achieved. Specifically, the paper focuses on M-Shwari, the Kenyan mobile savings and credit service. Although members of the development community and other stakeholders might hope M-Shwari to serve poor, rural, and financially underserved Kenyans, the research findings show that M-Shwari primarily reaches wealthier urban inhabitants who are already financially served. These results call for greater scholarly attention to excluded groups when evaluating the impacts of digital innovations in developing countries.</t>
  </si>
  <si>
    <t>[Nan, Wenxiu (Vince); Markus, M. Lynne] Bentley Univ, Waltham, MA 02452 USA</t>
  </si>
  <si>
    <t>wnan@bentley.edu; mlmarkus@bentley.edu</t>
  </si>
  <si>
    <t>978-3-030-18400-1; 978-3-030-18399-8</t>
  </si>
  <si>
    <t>10.1007/978-3-030-18400-1_38</t>
  </si>
  <si>
    <t>BO0WC</t>
  </si>
  <si>
    <t>WOS:000493514000038</t>
  </si>
  <si>
    <t>Chen, DQ; Ma, CQ; Zhang, LW; Li, LJ</t>
  </si>
  <si>
    <t>Chen, Dongqing; Ma, Chaoqun; Zhang, Liwei; Li, Lijie</t>
  </si>
  <si>
    <t>Unraveling the role of data sharing in open finance diffusion: an evolutionary game approach on complex networks</t>
  </si>
  <si>
    <t>Open finance; Open banking; Data sharing; Evolutionary game; Financial complex networks; Financial innovation diffusion; Financial inclusion</t>
  </si>
  <si>
    <t>INNOVATION; ADOPTION; BLOCKCHAIN; BUSINESS</t>
  </si>
  <si>
    <t>Data sharing has become a transformative force in the global financial ecosystem, driving the evolution from open banking to open finance. In this study, we develop a diffusion model using evolutionary game theory on complex networks to explore how data sharing influences lenders' micro-level decision-making and promotes the macro-level diffusion of open finance. Combined with empirical observations from China's open banking initiatives, our findings reveal that the diffusion rate of open finance remains suboptimal, with lenders adopting open finance not yet realizing significant profit advantages over traditional practices. Furthermore, sensitivity tests performed through univariate analysis show that increasing either the proportion of data sharing active borrowers or their degree of data sharing plays a critical role in accelerating open finance diffusion, following distinct nonlinear exponential and linear growth trends, respectively. Notably, data sharing active borrowers dominating the market benefit from the inclusivity of open finance, where lenders' profits are enhanced with a higher degree of data sharing. Thus, a mutually beneficial outcome arises when both the proportion of data sharing active borrowers and their degree of data sharing are maximized. We further perform several analyses to highlight the robustness of our main results, including analyzing the effects of lender strategy updates and government subsidies and extending a hybrid model that combines small-world and scale-free networks. This article suggests that policymakers should mandate secure data sharing ecosystems through privacy-centric regulation while implementing incentives like early adopter subsidies to accelerate open finance diffusion. Financial institutions must concurrently develop robust data guardianship systems using advanced encryption and federated learning technologies, transforming shared data into personalized credit innovations. These findings offer global implications, demonstrating how strategic data sharing frameworks can drive financial innovation, financial inclusion, and consumer protection across diverse regulatory regimes.</t>
  </si>
  <si>
    <t>[Chen, Dongqing; Ma, Chaoqun; Zhang, Liwei; Li, Lijie] Hunan Univ, Changsha, Peoples R China; [Chen, Dongqing; Ma, Chaoqun; Li, Lijie] Hunan Univ, Key Lab High Performance Distributed Ledger Techno, Minist Educ, Changsha, Peoples R China; [Zhang, Liwei] Hunan Univ, Res Inst Digital Soc &amp; Blockchain, Changsha, Peoples R China</t>
  </si>
  <si>
    <t>Li, LJ (corresponding author), Hunan Univ, Changsha, Peoples R China.;Li, LJ (corresponding author), Hunan Univ, Key Lab High Performance Distributed Ledger Techno, Minist Educ, Changsha, Peoples R China.</t>
  </si>
  <si>
    <t>dqchen@hnu.edu.cn; chaoqm@126.com; liweizhang@hnu.edu.cn; lijieli123@hnu.edu.cn</t>
  </si>
  <si>
    <t>Li, Li/AEM-3636-2022</t>
  </si>
  <si>
    <t>10.1186/s43093-025-00522-w</t>
  </si>
  <si>
    <t>2RN3R</t>
  </si>
  <si>
    <t>WOS:001489587900001</t>
  </si>
  <si>
    <t>Brown, JR; Cookson, JA; Heimer, RZ</t>
  </si>
  <si>
    <t>Brown, James R.; Cookson, J. Anthony; Heimer, Rawley Z.</t>
  </si>
  <si>
    <t>Growing up without finance</t>
  </si>
  <si>
    <t>Household finance; Native American reservations; Formative exposures; Financial development; Local banking</t>
  </si>
  <si>
    <t>PRODUCTIVITY EVIDENCE; EXPERIENCES; ACCESS; DEBT; LAW; INSTITUTIONS; DECISIONS; LITERACY; COSTS</t>
  </si>
  <si>
    <t>Early life exposure to local financial institutions increases household financial inclusion and leads to long-term improvements in consumer credit outcomes. We identify the effect of local financial markets using Congressional legislation that led to unintended differences in financial market development across Native American reservations. Individuals from financially underdeveloped reservations enter consumer credit markets later, and upon reaching adulthood, have ten point lower credit scores and four percentage point more delinquent accounts. These effects are long-lived and depreciate slowly after individuals move to more developed areas. Formative exposures to local banking improve consumer credit behavior by increasing financial literacy and financial trust. (C) 2019 Elsevier B.V. All rights reserved.</t>
  </si>
  <si>
    <t>[Brown, James R.; Cookson, J. Anthony] Iowa State Univ, Ivy Coll Business, 2167 Union Dr, Ames, IA 50011 USA; [Brown, James R.] Univ Colorado, Leeds Sch Business, 995 Regent Dr,Campus Box 419, Boulder, CO 80309 USA; [Brown, James R.] Boston Coll, Carroll Sch Management, Fulton Hall 360E,140 Commonwealth Ave, Chestnut Hill, MA 02467 USA</t>
  </si>
  <si>
    <t>Iowa State University; University of Colorado System; University of Colorado Boulder; Boston College</t>
  </si>
  <si>
    <t>Cookson, JA (corresponding author), Iowa State Univ, Ivy Coll Business, 2167 Union Dr, Ames, IA 50011 USA.</t>
  </si>
  <si>
    <t>tony.cookson@colorado.edu</t>
  </si>
  <si>
    <t>Heimer, Rawley/HDO-0389-2022; Brown, James/B-6221-2017</t>
  </si>
  <si>
    <t>Brown, James/0000-0002-8947-4821</t>
  </si>
  <si>
    <t>10.1016/j.jfineco.2019.05.006</t>
  </si>
  <si>
    <t>JN9ZJ</t>
  </si>
  <si>
    <t>WOS:000497247200005</t>
  </si>
  <si>
    <t>Maeenuddin; Hamid, SA; Nassir, AM; Fahlevi, M; Aljuaid, M; Jermsittiparsert, K</t>
  </si>
  <si>
    <t>Maeenuddin; Hamid, Shaari Abdul; Nassir, Annuar Md; Fahlevi, Mochammad; Aljuaid, Mohammed; Jermsittiparsert, Kittisak</t>
  </si>
  <si>
    <t>Nexus between good governance and financial sustainability: evidence from microfinance sector of India</t>
  </si>
  <si>
    <t>Financial sustainability; Microfinance; Sustainability; National governance indicators; Sustainability index; Microfinance providers</t>
  </si>
  <si>
    <t>INSTITUTIONS; PERFORMANCE; CORRUPTION; EFFICIENCY; IMPACT; BANKS</t>
  </si>
  <si>
    <t>PurposeMicrofinance emerged as an essential catalyst for socio-economic development and financial inclusion to reduce poverty. Microfinance institutions cannot meet their primary objective of poverty reduction if they are not sustainable financially. With the theoretical support of profit incentive theory, this paper aims to investigate the impact of organizational structure (OS), growth outreach (average loan per borrower [ALPB] and number of active borrowers), women empowerment (percentage of women borrowers [PWB]), liquidity, leverage and cost efficiency (cost per borrower) on the financial sustainability of microfinance providers (MFPs) in India and explore the possible moderating effect of the national governance indicators (NGIs).Design/methodology/approachA financial sustainability index has been developed by using principal components analysis, including both conventional measures (return of assets and return on equity) and efficiency measures (operational self-sufficiency and financial self-sufficiency). Due to the existence of endogeneity and heteroskedasticity, this study uses two-step system generalized method of moments estimates to examine the relationships for a period of 2006 to 2018.FindingsThe finding reveals that there is a strong significant relationship between financial sustainability and its influential factors. Organizatioanl Structure, loan size, women borrowers, Gross Domestic Products and inflation enhance the financial sustainability of India's microfinance sector. However, a number of borrowers, liquidity, leverage and operating costs negatively affect the financial sustainability of MFPs of India. The estimates demonstrate that NGIs significantly moderate the association between financial sustainability and its influential factors. The NGIs negatively affect the positive impact of Organizatioanl Structure on financial sustainability. National governance increases the positive effect of loan size (ALPB) and reduces the negative effect of a number of borrowers and leverage on the financial sustainability of MFPs of India. However, NGIs negatively affect the positive relationship between Percentage of Women Borrowers and Financial sustainability of Microfinance Providers of India.Originality/valueTo the best of the authors' knowledge, this study is the first of its kind that incorporates all of the six dimensions of the National Governance Indicators (NGIs) and uses as a moderator. Secondly, a financial sustainability index has been developed for measuring the financial sustainability of Microfinance Providers (MFPs).</t>
  </si>
  <si>
    <t>[Maeenuddin; Hamid, Shaari Abdul] Univ Putra Malaysia, Putra Business Sch, Serdang, Malaysia; [Nassir, Annuar Md] Xiamen Univ Malaysia, Sch Econ &amp; Management, Sepang, Malaysia; [Fahlevi, Mochammad] Bina Nusantara Univ, Management Dept, BINUS Online, Jakarta, Indonesia; [Aljuaid, Mohammed] King Saud Univ, Coll Business Adm, Dept Hlth Adm, Qassem, Saudi Arabia; [Jermsittiparsert, Kittisak] Univ City Isl, Fac Educ, Gazimagusa, Cyprus</t>
  </si>
  <si>
    <t>Universiti Putra Malaysia; Xiamen University Malaysia Campus; Universitas Bina Nusantara; King Saud University</t>
  </si>
  <si>
    <t>Maeenuddin (corresponding author), Univ Putra Malaysia, Putra Business Sch, Serdang, Malaysia.</t>
  </si>
  <si>
    <t>Fahlevi, Mochammad/C-4911-2019; Aljuaid, Mohammed/KPB-3960-2024; Dr, Maeenuddin/AAU-5000-2020</t>
  </si>
  <si>
    <t>Aljuaid, Mohammed/0000-0001-9339-822X;</t>
  </si>
  <si>
    <t>10.1108/JFEP-03-2023-0071</t>
  </si>
  <si>
    <t>WH4Z7</t>
  </si>
  <si>
    <t>WOS:001204583900001</t>
  </si>
  <si>
    <t>Messacar, D</t>
  </si>
  <si>
    <t>Messacar, Derek</t>
  </si>
  <si>
    <t>Loss-averse tax manipulation and tax-preferred savings</t>
  </si>
  <si>
    <t>Loss -aversion; Tax avoidance; Savings; Regression kink design</t>
  </si>
  <si>
    <t>TAXABLE INCOME; CROWD-OUT; ELASTICITY; SALIENCE</t>
  </si>
  <si>
    <t>Using administrative data from Canada linked to a financial capability survey, I show that tax-deductible savings plans are often used to manipulate final balances owed to the central tax authority during tax season. This finding implies a strong avoidance motive for saving, where tax filers manipulate final balances rather than total tax liabilities, consistent with loss-aversion. The magnitude of this effect is economically significant. For example, each $100 owed increases the likelihood of contributing by about half a percentage point. There is suggestive evidence that the behavior is driven by tax filers with low financial literacy who make disproportionately large contributions in the last 60 days before the annual deadline.(c) 2023 Elsevier B.V. All rights reserved.</t>
  </si>
  <si>
    <t>[Messacar, Derek] Mem Univ, Dept Econ, St John, NF, Canada; [Messacar, Derek] Stat Canada, Social Anal &amp; Modelling Div, Ottawa, ON, Canada; [Messacar, Derek] HEC Montreal, Retirement &amp; Savings Inst, Montreal, PQ, Canada</t>
  </si>
  <si>
    <t>Memorial University Newfoundland; Statistics Canada; Universite de Montreal; HEC Montreal</t>
  </si>
  <si>
    <t>Messacar, D (corresponding author), Mem Univ, Dept Econ, St John, NF, Canada.;Messacar, D (corresponding author), Stat Canada, Social Anal &amp; Modelling Div, Ottawa, ON, Canada.;Messacar, D (corresponding author), HEC Montreal, Retirement &amp; Savings Inst, Montreal, PQ, Canada.</t>
  </si>
  <si>
    <t>dmessacar@mun.ca</t>
  </si>
  <si>
    <t>10.1016/j.jebo.2023.01.014</t>
  </si>
  <si>
    <t>8V2YO</t>
  </si>
  <si>
    <t>WOS:000930502100001</t>
  </si>
  <si>
    <t>Hussain, MA; Tyagi, M</t>
  </si>
  <si>
    <t>Hussain, Malik Altaf; Tyagi, Malvika</t>
  </si>
  <si>
    <t>Political connections and credit access: evidence from small businesses and microenterprises in India</t>
  </si>
  <si>
    <t>Small business; Microenterprises; Credit access; Political connections; Financial inclusion</t>
  </si>
  <si>
    <t>MICROFINANCE; POVERTY; INEQUALITY; FINANCE</t>
  </si>
  <si>
    <t>This paper examines the impact of political connections on credit access for small businesses and microenterprises (SBME) in India, utilizing data from the India Human Development Survey. While such connections can facilitate overcoming challenges like high transaction costs and incomplete credit markets, they may also impede equitable credit access. This study analyzes how political connections influence the loan amounts secured by households for business purposes in both rural and urban settings. It further dissects the broader impact of political connections, revealing their nuanced effects in relation to the nature of loan and income sources. Consequently, this research offers valuable insights for policymakers and practitioners, suggesting strategies that provide fair financial opportunities to ensure a level playing field for all SBMEs.Plain English SummaryEmpirical research shows political ties lead to inequitable loan opportunities for Indian small businesses. This research investigates the impact of political connections on securing loans for small businesses and microenterprises (SBMEs) in India. It finds that businesses with such ties are more likely to secure larger loans, creating an uneven playing field. It highlights the challenges in the credit markets of developing countries and emphasizes the importance of distributing loans equitably. The study calls for policies that ensure equal financial access for all SBMEs, promoting a balanced approach to overcome the complexities of political influence in credit access. It advocates for a fair and inclusive economic environment, supporting equitable growth and opportunity for all SBMEs.</t>
  </si>
  <si>
    <t>[Hussain, Malik Altaf; Tyagi, Malvika] George Mason Univ, Dept Econ, Fairfax, VA 22030 USA; [Hussain, Malik Altaf; Tyagi, Malvika] George Mason Univ, Ctr Study Publ Choice, Fairfax, VA 22030 USA</t>
  </si>
  <si>
    <t>George Mason University; George Mason University</t>
  </si>
  <si>
    <t>Hussain, MA (corresponding author), George Mason Univ, Dept Econ, Fairfax, VA 22030 USA.;Hussain, MA (corresponding author), George Mason Univ, Ctr Study Publ Choice, Fairfax, VA 22030 USA.</t>
  </si>
  <si>
    <t>mhussa5@gmu.edu; mtyagi4@gmu.edu</t>
  </si>
  <si>
    <t>Hussain, Malik Altaf/IVU-9906-2023</t>
  </si>
  <si>
    <t>Hussain, Malik Altaf/0000-0002-8880-4761</t>
  </si>
  <si>
    <t>10.1007/s11187-024-00950-y</t>
  </si>
  <si>
    <t>0TN5F</t>
  </si>
  <si>
    <t>WOS:001271169100001</t>
  </si>
  <si>
    <t>Abraham, T; Fonta, W</t>
  </si>
  <si>
    <t>Abraham, Terfa W.; Fonta, William M.</t>
  </si>
  <si>
    <t>Climate change and financing adaptation by farmers in northern Nigeria</t>
  </si>
  <si>
    <t>INSURANCE; GROWTH</t>
  </si>
  <si>
    <t>This paper examines farmers' perceptions of their exposure to climate change in rural northern Nigeria. It also examines whether there is a significant relationship between the exposure of farmers to climate change and their need for financial access as an adaptation strategy. Questionnaires were administered to 320 respondents in rural communities in northern Nigeria. Descriptive analysis shows that rural farmers are affected by climate change through increased temperature, prolonged dry seasons, floods, and drought, which lead to low harvest and, in turn, low income. An estimate from a non-parametric test also shows a significant relationship between farmers' perceived exposure to climate change and their need for credit. Although the Spearman correlation results show a 63% association between exposure to climate change and the need for finance, 96% of those seeking credit to mitigate these impacts would be unable to do so due to financial exclusiveness. The paper recommends that the Central Bank of Nigeria should ensure that microfinance institutions refocus their products/services to those who need them the most in order to enhance access to financial resources and enable farmers to build resilience that will maximize post-harvest gains. Lastly, considering that climate change is a global phenomenon with local effects, perhaps the international community could support lending to smallholder farmers through central banks by insuring the loans that banks give to farmers towards financing climate change adaptation strategies.</t>
  </si>
  <si>
    <t>[Abraham, Terfa W.] Natl Inst Legislat Democrat Studies NILDS, Abuja, Nigeria; [Fonta, William M.] WASCAL Competence Ctr, Ouagadoudou, Burkina Faso</t>
  </si>
  <si>
    <t>Lorenzcurve@yahoo.com; fontawilliam@gmail.com</t>
  </si>
  <si>
    <t>Fonta, William/0000-0002-1398-3355</t>
  </si>
  <si>
    <t>German Federal Ministry of Education (BMBF); Zentrum fur Entwicklungsforschung (ZEF)/Centre for Development Research, Department for Economic and Technological, Universitat Bonn, Bonn - Germany under the West African Science Service Center on Climate Change and Adapted Land Use (WASCAL)</t>
  </si>
  <si>
    <t>German Federal Ministry of Education (BMBF)(Federal Ministry of Education &amp; Research (BMBF)); Zentrum fur Entwicklungsforschung (ZEF)/Centre for Development Research, Department for Economic and Technological, Universitat Bonn, Bonn - Germany under the West African Science Service Center on Climate Change and Adapted Land Use (WASCAL)</t>
  </si>
  <si>
    <t>This paper benefits from the Graduate Research Programme in Climate Change Economics fund provided by the German Federal Ministry of Education (BMBF) in collaboration with the Zentrum fur Entwicklungsforschung (ZEF)/Centre for Development Research, Department for Economic and Technological, Universitat Bonn, Bonn - Germany under the West African Science Service Center on Climate Change and Adapted Land Use (WASCAL) hosted at the Universite Cheikh Anta Diop de Dakar, Senegal.</t>
  </si>
  <si>
    <t>10.1186/s40854-018-0094-0</t>
  </si>
  <si>
    <t>GJ6AL</t>
  </si>
  <si>
    <t>WOS:000435464900002</t>
  </si>
  <si>
    <t>Anestiawati, CA; Amanda, C; Khantinyano, H; Agatha, A</t>
  </si>
  <si>
    <t>Anestiawati, Chietra Aracely; Amanda, Citra; Khantinyano, Hengdhamma; Agatha, Angelica</t>
  </si>
  <si>
    <t>Bank FinTech and credit risk: comparison of selected emerging and developed countries</t>
  </si>
  <si>
    <t>FinTech; Bank FinTech; Bank credit risk; Sustainable finance; Responsible finance</t>
  </si>
  <si>
    <t>NON-PERFORMING LOANS; BIG DATA; INNOVATION; DETERMINANTS; COMPETITION; STABILITY; MORTGAGE; IMPACT</t>
  </si>
  <si>
    <t>PurposeThis paper aims to explore FinTech's global impact in 40 countries, including the top 20 developing and developed nations, investigates FinTech's complicated effects in emerging and mature economies, considering bank-specific characteristics, macroeconomic variables, market rivalry and technology.Design/methodology/approachFixed effect regression is used to examine the baseline model before adding the efficient generalized method of moments (GMM) model to resolve endogeneity-induced biases. The panel regression model requires an efficient GMM estimate and a linear panel model with non-linear moment conditions. This research also uses a sequential test for multiple breaks at unknown breakpoints, comparing F-statistics to critical values at various significance levels.FindingsThe results show that NPL is substantially affected by prior NPL, with the preceding period's greater NPL raising it and the two periods before decreasing it. Digital lending (DL) proportionally raises NPLs. Innovation-driven emerging countries have more NPLs and faster FinTech growth due to rapid adoption beyond restrictions. Rapid FinTech advances require stronger regulation for financial inclusion and economic progress in developing countries. Additionally, DL usage has remained steady due to gradual technology adoption, while digital capital raising has consistently grown, showing resilience to market shocks.Research limitations/implicationsDue to FinTech's quick innovation and legislative changes, conclusions should be applied cautiously. There may be gaps in the study on varied settings and long-term effects.Practical implicationsFinTech credit expansion globally drives central banks and authorities to monitor economic conditions, advise monetary policies and resolve competitive and regulatory arbitrage concerns. Studies show digital banking's reach into underprivileged communities helps mortgage financing. Financial firms using FinTech for credit risk management show a dedication to risk assessment and decision-making. The practical effects show that FinTech adoption, credit risk and financial inclusion have pros and cons in different economic circumstances.Social implicationsAs central authorities use FinTech data for policy decisions, there's potential for enhanced financial inclusion, fostering social equity and empowerment. In economies with high financial exclusion, FinTech development becomes a catalyst for broader access to financial services. However, concerns about FinTech's correlation with traditional banks underscore the need for robust regulatory frameworks to ensure fair competition and consumer protection. Striking a balanced approach to FinTech adoption can lead to a more inclusive financial landscape, positively impacting individuals and communities traditionally underserved by conventional banking systems.Originality/valueThis research stands out in its comprehensive exploration of FinTech effect to the bank credit risk, delving into economic, regulatory and societal aspects. The focus on global FinTech credit expansion uniquely highlights the interconnected roles of central banks, regulatory authorities and financial institutions, outlining potential risks and benefits. The study's nuanced analysis of FinTech's impact on credit risk and financial inclusion provides distinctive insights, stressing the need for balanced adoption to foster inclusive economic growth. In essence, this research brings an original perspective to the intricate interplay between FinTech and global financial dynamics.</t>
  </si>
  <si>
    <t>[Anestiawati, Chietra Aracely; Amanda, Citra; Khantinyano, Hengdhamma; Agatha, Angelica] Bina Nusantara Univ, Sch Accounting, Dept Finance Program, Jakarta, Indonesia; [Amanda, Citra] Bank Indonesia BI Inst, Cent Jakarta, Indonesia</t>
  </si>
  <si>
    <t>Amanda, C (corresponding author), Bina Nusantara Univ, Sch Accounting, Dept Finance Program, Jakarta, Indonesia.</t>
  </si>
  <si>
    <t>chietra.anestiawati@binus.ac.id; citra_amanda@bi.go.id; hengdhamma.khantinyano@binus.ac.id; angelica.agatha@binus.ac.id</t>
  </si>
  <si>
    <t>Amanda, Citra/PCR-8337-2025</t>
  </si>
  <si>
    <t>Amanda, Citra/0000-0002-1982-6182</t>
  </si>
  <si>
    <t>2025 FEB 10</t>
  </si>
  <si>
    <t>10.1108/SEF-12-2023-0714</t>
  </si>
  <si>
    <t>U9P7Y</t>
  </si>
  <si>
    <t>WOS:001415031000001</t>
  </si>
  <si>
    <t>Sharma, GD; Tiwari, AK; Chopra, R; Dev, D</t>
  </si>
  <si>
    <t>Sharma, Gagan Deep; Tiwari, Aviral Kumar; Chopra, Ritika; Dev, Dhairya</t>
  </si>
  <si>
    <t>Past, present, and future of block-chain in finance</t>
  </si>
  <si>
    <t>Blockchain; Inductive analysis; Bibliometric; Financial revolution; Sustainability</t>
  </si>
  <si>
    <t>BIBLIOMETRIC ANALYSIS; TECHNOLOGY; MANAGEMENT; CHALLENGES; BITCOIN; IMPLEMENTATION; TRANSFORMATION; FINTECH</t>
  </si>
  <si>
    <t>Diverse businesses are investigating the possibility of redefining their current operational systems in light of the latest blockchain, initially developed for Bitcoin traBitcoinns. This research examines the existing literature on blockchain and its application in the finance sector. This paper provides a systematic literature review of the uses of blockchain in the finance sector. To conduct the review, we performed a boolean search on the Scopus database and obtained 149 records, which we then analyzed bibliometrically using the bibliometrix package in R. The categorization of the existing literature into themes resulted in identifying the following six significant research themes: financial inclusion, sustainable finance, blockchain technology, cryptocurrencies, and artificial intelligence. Following the inductive analysis, we propose a conceptual framework that includes components such as the digital financial revolution, innovation, entrepreneurship, the financial market, sustainable business development, and financial innovation and sustainability. These findings are utilized to suggest future lines of inquiry for this area of study, including the necessity of methodological development and theoretical foundation.</t>
  </si>
  <si>
    <t>[Tiwari, Aviral Kumar] Indian Inst Management Bodh Gaya, Bodh Gaya, India; [Sharma, Gagan Deep] Szecheny Istvan Univ Gyor, Gyor, Hungary; [Sharma, Gagan Deep; Chopra, Ritika; Dev, Dhairya] Guru Gobind Singh Indraprastha Univ, Univ Sch Management Studies, New Delhi, India; [Sharma, Gagan Deep] Lebanese Amer Univ, Adnan Kassar Sch Business, Beirut, Lebanon; [Chopra, Ritika] Jagan Inst Management Studies, Sect 5, New Delhi 110085, India; [Dev, Dhairya] Univ Delhi, Coll Vocat Studies, Dept Commerce, Press Enclave Marg, New Delhi, India</t>
  </si>
  <si>
    <t>Indian Institute of Management (IIM System); Indian Institute of Management Bodh Gaya; University of Istvan Szechenyi; GGS Indraprastha University; Lebanese American University; Jagan Institute of Management Studies; University of Delhi</t>
  </si>
  <si>
    <t>Tiwari, AK (corresponding author), Indian Inst Management Bodh Gaya, Bodh Gaya, India.</t>
  </si>
  <si>
    <t>aviral.t@iimbg.ac.in</t>
  </si>
  <si>
    <t>Chopra, Ritika/AAY-6086-2020; Sharma, Gagan Deep/R-2351-2018; Tiwari, Aviral/C-5556-2011</t>
  </si>
  <si>
    <t>Chopra, Ritika/0000-0003-1055-6283; Dev, Dhairya/0000-0003-0361-4924;</t>
  </si>
  <si>
    <t>10.1016/j.jbusres.2024.114640</t>
  </si>
  <si>
    <t>QJ9T1</t>
  </si>
  <si>
    <t>WOS:001220631100001</t>
  </si>
  <si>
    <t>Exter, E; Radosavljevic, M</t>
  </si>
  <si>
    <t>Exter, Evgeny; Radosavljevic, Milan</t>
  </si>
  <si>
    <t>Applying Action Design Science Research to Develop a Conceptual Design for Smart Contracts in Real Estate Transaction Processes</t>
  </si>
  <si>
    <t>2023 IEEE INTERNATIONAL SYMPOSIUM ON TECHNOLOGY AND SOCIETY, ISTAS</t>
  </si>
  <si>
    <t>IEEE International Symposium on Technology and Society</t>
  </si>
  <si>
    <t>29th Annual IEEE International Symposium on Technology and Society (ISTAS)</t>
  </si>
  <si>
    <t>SEP 13-15, 2023</t>
  </si>
  <si>
    <t>Swansea, WALES</t>
  </si>
  <si>
    <t>IEEE,IEEE Soc Social Implicat Technol,IEEE Reg 8,IEEE UK &amp; Ireland Sect,IEEE UK &amp; Ireland SSIT Chapter,IEEE UK &amp; Ireland Educ Soc</t>
  </si>
  <si>
    <t>Real estate; financial services; financial inclusion; sustainable urbanisation; Blockchain Technology; urban development; Smart Contract</t>
  </si>
  <si>
    <t>INFORMATION; BLOCKCHAIN</t>
  </si>
  <si>
    <t>Commercial real estate transactions are notorious for their complexity, which stems from multiple property brokers, legal entities, illiquidity, heterogeneity, and a lack of transparency. This conceptual study proposes a novel approach to address these challenges using blockchain technology, which enables buyers and sellers to transact in an informationally symmetrical way within an open real-estate ecosystem. The proposed conceptual model employs tokenisation on the blockchain and is developed using the Design Science Research Methodology and Action Design Science Research approach. The model undergoes multiple stages of evolution, including pre-design, which is validated through expert interviews, to arrive at the final conceptual design. The study identifies six key factors that influence the application of blockchain in real estate transactions, including adoption, governance and compliance, transaction costs, transparency and immutability, security, and scalability. Overall, the study suggests that blockchain has the global potential to significantly reduce transaction costs and improve efficiency in the real estate industry, making it a promising solution for the challenges facing the sector.</t>
  </si>
  <si>
    <t>[Exter, Evgeny; Radosavljevic, Milan] Univ West Scotland, Sch Comp Engn &amp; Phys Sci, Glasgow, Lanark, Scotland</t>
  </si>
  <si>
    <t>Exter, E (corresponding author), Univ West Scotland, Sch Comp Engn &amp; Phys Sci, Glasgow, Lanark, Scotland.</t>
  </si>
  <si>
    <t>B00321771@studentmail.uws.ac.uk; Milan.Radosavljevic@uws.ac.uk</t>
  </si>
  <si>
    <t>2158-3404</t>
  </si>
  <si>
    <t>979-8-3503-2486-0</t>
  </si>
  <si>
    <t>INT SYMP TECHNOL SOC</t>
  </si>
  <si>
    <t>10.1109/ISTAS57930.2023.10305905</t>
  </si>
  <si>
    <t>Computer Science, Interdisciplinary Applications; History &amp; Philosophy Of Science</t>
  </si>
  <si>
    <t>Computer Science; History &amp; Philosophy of Science</t>
  </si>
  <si>
    <t>BW1AZ</t>
  </si>
  <si>
    <t>WOS:001103233000005</t>
  </si>
  <si>
    <t>Financial Resilience and Adolescent Development: Exploring a Construct of Family Socioeconomic Determinants and Its Associated Psychological and School Outcomes</t>
  </si>
  <si>
    <t>Financial resilience; Adolescents; Family; Socioeconomic status; Well-being</t>
  </si>
  <si>
    <t>LIFE SATISFACTION; HEALTH; CAPABILITY; PERSPECTIVE; TRANSITION; RESOURCES; BEHAVIORS; POVERTY; IMPACT; MODEL</t>
  </si>
  <si>
    <t>Although adolescents' family socioeconomic contexts have been widely investigated, their conventional indicators neglect human adaptability, are segmented and difficult to modify, and show inconsistent effects on outcomes and across sex subgroups. Financial resilience is recently proposed as a more actionable and sustainable financial capability to cope with and adapt to emergencies and adversities, while its multidimensionality and impacts on adolescents have yet to be validated. This study utilizes developmental resilience theory and family financial socialization theory as foundations to establish its arguments. Factor analysis and structural equation modeling were performed to analyze data from the China Family Panel Studies. The four-dimensional structure of financial resilience was explored, comprising financial access, financial literacy, financial behavior, and social capital. The overall financial resilience index and its dimensions showed significant associations with psychological and school outcomes among adolescent boys and girls after controlling socioeconomic and demographic covariates. This study indicates that financial resilience might be a family socioeconomic determinant of adolescent outcomes, although its effects are not strong. Empirical evidence also suggests that financial resilience may have intergenerational effects, comprehensive socialization influences, and future-oriented characteristics among the adolescent sample, thus enriching its theoretical foundations. Meanwhile, nonsignificant results highlight the importance of considering the multidimensionality, cultural and situational contexts, population heterogeneities, developmental stages, and underlying mechanisms of financial resilience. This study could provide capability-based insights for understanding socioeconomic inequality, adolescent development, and family process. Practitioners may incorporate financial resilience into traditional socioeconomic interventions and human services.</t>
  </si>
  <si>
    <t>zwliu@link.cuhk.edu.hk</t>
  </si>
  <si>
    <t>Liu, Zewei/0000-0001-6916-751X; Chen, Ji-Kang/0000-0001-7762-3888</t>
  </si>
  <si>
    <t>10.1007/s12187-024-10164-z</t>
  </si>
  <si>
    <t>F8B0O</t>
  </si>
  <si>
    <t>WOS:001286391600001</t>
  </si>
  <si>
    <t>Mort, KST; Sulemana, A; Kodom, RB</t>
  </si>
  <si>
    <t>Mort, Kingsley Saa-Touh; Sulemana, Alhassan; Kodom, Richard Baffo</t>
  </si>
  <si>
    <t>Financial Capability and Asset Building Training in Ghana Through Project-Based Learning</t>
  </si>
  <si>
    <t>Assets building; Financial capability; Learning; Social work; Project-based; Well-being</t>
  </si>
  <si>
    <t>SOCIAL-WORK EDUCATION</t>
  </si>
  <si>
    <t>Since 2008, the continuous global resurgence of economic and financial meltdown, often with its attendant adverse effects on Africa, makes it imperative for social work education to consider introducing financial literacy training for students to ensure that graduates of social work can affect change among populations it serves. The World Bank Group (2019) recons that from 2010, the financial sector in Ghana has been growing rapidly; however, the efforts to equip social work professionals with financial capability and asset building (FCAB) competencies are lagging. Many social workers receive little training and education regarding helping clients build stable and secure financial lives. Yet, there is a greater need for such professionals who provide social and economic services to vulnerable populations to ensure that they are fully included in the emerging financial sector. The paper explores FCAB training in Ghana and discusses (a) the need for FCAB in social work, (b) how social workers contribute to FCAB to improve client's financial well-being, and (c) the strategies for leveraging project-based learning approaches to advance FCAB training in social work. This paper recommends forging collaborations with organisations and agencies that work in FCAB in Ghana to provide field education to students, build the capacity of faculty and students to engage in community-based FCAB related research, and build the capacity of field education agencies to design and facilitate effective project-based learning opportunities for practicum students. These strategies could potentially equip a new cadre of professional social workers with FCAB competencies.</t>
  </si>
  <si>
    <t>[Mort, Kingsley Saa-Touh] Univ Ghana, Dept Social Work, Accra, Ghana; [Sulemana, Alhassan] Mem Univ Newfoundland, Sch Social Work, St John, NF, Canada; [Kodom, Richard Baffo] Univ Manitoba, Fac Social Work, Winnipeg, MB, Canada</t>
  </si>
  <si>
    <t>University of Ghana; Memorial University Newfoundland; University of Manitoba</t>
  </si>
  <si>
    <t>Mort, KST (corresponding author), Univ Ghana, Dept Social Work, Accra, Ghana.</t>
  </si>
  <si>
    <t>kmort@ug.edu.gh; asulemana@mun.ca; kodomr@myumanitoba.ca</t>
  </si>
  <si>
    <t>Mort, Kingsley Saa-Touh/0000-0001-6325-5279</t>
  </si>
  <si>
    <t>2022 DEC 27</t>
  </si>
  <si>
    <t>10.1007/s40609-022-00258-3</t>
  </si>
  <si>
    <t>7S6IV</t>
  </si>
  <si>
    <t>WOS:000910856800001</t>
  </si>
  <si>
    <t>Hossain, MI; Jibir, A; Mia, MA; Abdu, M; Chauhan, S</t>
  </si>
  <si>
    <t>Hossain, Md Imran; Jibir, Adamu; Mia, Md Aslam; Abdu, Musa; Chauhan, Swati</t>
  </si>
  <si>
    <t>Sand or grease effect? The impact of Islamic banking on the social mission of microfinance institutions</t>
  </si>
  <si>
    <t>Microfinance; Islamic banking; Mission drift; Depth of outreach; Shariah</t>
  </si>
  <si>
    <t>FINANCIAL INCLUSION; ENERGY-CONSUMPTION; ECONOMIC-GROWTH; OUTREACH; SUSTAINABILITY; POVERTY; DRIFT; POOR; LINK</t>
  </si>
  <si>
    <t>Purpose - Islamic banking and microfinance institutions (MFIs) share the core objective of serving the underprivileged. This study aims to investigate whether Islamic banking development facilitates (greases) or hinders (sands) the social mission of MFIs. Design/methodology/approach - Data for 19 countries covering the period 2010-2018 were collected from the World Bank, Bank Focus and International Monetary Funds and analyzed using conventional econometric methods. Endogeneity-corrected techniques and alternative proxies were employed to ensure robust results. Findings - The study revealed that Islamic banking development (proxied by the size of the Islamic banking assets) weakens the depth of outreach of MFIs (measured by average loan size). In countries with growing Islamic banking, MFIs appear to shift their focus toward wealthier clients, potentially due to market saturation among the poor. This is evidenced by MFIs offering larger loans, suggesting a mission drift toward profit maximization. Therefore, it can be inferred that competition from Islamic banks, to some extent, erodes the social mission of MFIs. Originality/value - This study is among the few to examine the recent and comprehensive relationship between Islamic banking development and the social mission of MFIs.</t>
  </si>
  <si>
    <t>[Hossain, Md Imran; Mia, Md Aslam] Univ Sains Malaysia, Sch Management, George Town, Malaysia; [Hossain, Md Imran] Jagannath Univ, Dept Finance, Dhaka, Bangladesh; [Jibir, Adamu; Abdu, Musa] Gombe State Univ, Dept Econ, Gombe, Nigeria; [Mia, Md Aslam] Int Univ Business Agr &amp; Technol, Miyan Res Inst, Dhaka, Bangladesh; [Chauhan, Swati] Atal Bihari Vajpayee Inst Good Governance &amp; Policy, Dept Econ, Bhopal, India</t>
  </si>
  <si>
    <t>Universiti Sains Malaysia; International University of Business Agriculture &amp; Technology (IUBAT)</t>
  </si>
  <si>
    <t>Mia, MA (corresponding author), Univ Sains Malaysia, Sch Management, George Town, Malaysia.;Mia, MA (corresponding author), Int Univ Business Agr &amp; Technol, Miyan Res Inst, Dhaka, Bangladesh.</t>
  </si>
  <si>
    <t>Chauhan, Swati/R-3322-2019; Mia, Aslam/AAD-6996-2020; Abdu, Musa/AAW-6677-2020; Hossain, Imran/ABI-6302-2022</t>
  </si>
  <si>
    <t>Hossain, Imran/0000-0002-1926-5784</t>
  </si>
  <si>
    <t>The authors would like to thank the Editor-in-Chief, Professor Dr. M. Kabir Hassan and two anonymous reviewers for their very helpful comments and suggestions in improving the quality and content of the article. The authors are also grateful to Dr. Hasanul Banna for helping us in extracting some of the data related to the study. The usual disclaimer applies.</t>
  </si>
  <si>
    <t>10.1108/IMEFM-04-2024-0191</t>
  </si>
  <si>
    <t>D7Z8T</t>
  </si>
  <si>
    <t>WOS:001273752300001</t>
  </si>
  <si>
    <t>Financial Outcomes of Interventions to Improve Financial Capability Through Children's Development Accounts: A Systematic Review</t>
  </si>
  <si>
    <t>Child Development Accounts; systematic review; financial capability and asset building; financial behavior; financial outcome</t>
  </si>
  <si>
    <t>SAVINGS; LITERACY; PARTICIPATION; KNOWLEDGE; EDUCATION; SERVICES; PROGRAM; BIRTH</t>
  </si>
  <si>
    <t>Objective: This systematic review assesses the effects of Children's Development Accounts (CDAs), an intervention that uses the financial capability approach to build lifelong assets. CDA programs provide a structured opportunity to save for a child to build assets. Method: This systematic review focused on the effects of CDAs on financial outcomes and behaviors. Eligible studies included experimental and quasi-experimental studies reporting outcomes of CDAs that consisted of a savings account paired with financial education for child developmental outcomes, such as postsecondary education. We searched electronic databases, relevant grey literature sources, and reference lists of relevant studies and reviews through May 2020. Two reviewers screened each report for eligibility, extracted data, and assessed risk of bias. Two large research projects with multiple studies and one additional study involving 3,644 participants met inclusion criteria. Results: Two financial behaviors and two financial outcomes were measured. There were insufficient studies measuring the same outcomes at similar time points to conduct meta-analysis, but effect sizes were calculated when possible. Risk of bias varied across studies. Conclusion: There is some evidence that the CDA intervention improves parent or child financial behaviors and/or financial outcomes.</t>
  </si>
  <si>
    <t>[Birkenmaier, Julie; Maynard, Brandy] St Louis Univ, St Louis, MO 63103 USA; [Kim, Youngmi] Virginia Commonwealth Univ, Richmond, VA 23284 USA</t>
  </si>
  <si>
    <t>Birkenmaier, J (corresponding author), St Louis Univ, St Louis, MO 63103 USA.</t>
  </si>
  <si>
    <t>10.1086/716103</t>
  </si>
  <si>
    <t>5NU3L</t>
  </si>
  <si>
    <t>WOS:001004412100001</t>
  </si>
  <si>
    <t>Gharbi, I; Ajina, A</t>
  </si>
  <si>
    <t>Gharbi, Ines; Ajina, Aymen</t>
  </si>
  <si>
    <t>Towards a Roadmap for Financial Inclusion and the Sustainable Development Goals in Africa: A Bibliometric and Thematic Analysis</t>
  </si>
  <si>
    <t>Africa; bibliometric analysis; biblioshiny; FI; Rstudio; SDGs; VOSviewer</t>
  </si>
  <si>
    <t>ACCESS; SCIENCE</t>
  </si>
  <si>
    <t>This article presents a comprehensive bibliometric analysis of the relationship between financial inclusion (FI) and sustainable development goals (SDGs) in Africa. Using the Web of Science database, VOSviewer, and RStudio software, the study analyzed publication trends, key contributors, major themes, collaborative networks, and connections between FI and SDGs, drawing on a corpus of 669 articles published between 2007 and 2024. The findings reveal that research efforts are concentrated in a few countries, notably South Africa, which is the most influential, along with Nigeria and Ghana. Key institutions include the Egyptian Knowledge Bank and the University of South Africa. Professor Simplice Asongu is the most prolific author. Prominent outlets include journals such as Cogent Economics &amp; Finance, and Sustainability, with key roles played by publishers such as Taylor &amp; Francis and Emerald Group Publishing Limited. SDG 9 (Industry, Innovation, and Infrastructure) is the SDG most frequently associated with financial inclusion in Africa, followed closely by SDG 1; 10 and 8. Keyword analysis identifies nine major thematic clusters covering topics such as digital finance, financial literacy, fintech innovation, poverty, gender equality, environmental sustainability, and financial stability. Although co-authorship networks reveal limited international collaboration, often reflecting regional or institutional partnerships, there is significant potential to foster transnational cooperation. The study emphasizes the need for greater coordination between public and private stakeholders to maximize the impact of FI initiatives on sustainable development in Africa. The study also recommends integrating advanced analytical methods and expanding data sources to enrich future research in this important area.</t>
  </si>
  <si>
    <t>[Gharbi, Ines] Univ Sfax, Fac Econ &amp; Management Sfax, Lab LEG, Sfax, Tunisia; [Ajina, Aymen] Univ Sousse, MOFID, FSEG Sousse, Sousse, Tunisia</t>
  </si>
  <si>
    <t>Universite de Sfax; Universite de Sousse</t>
  </si>
  <si>
    <t>Gharbi, I (corresponding author), Univ Sfax, Fac Econ &amp; Management Sfax, Lab LEG, Sfax, Tunisia.</t>
  </si>
  <si>
    <t>gharbiines009@gmail.com</t>
  </si>
  <si>
    <t>Gharbi, Inès/ABE-7373-2022</t>
  </si>
  <si>
    <t>10.1002/sd.70369</t>
  </si>
  <si>
    <t>9DB4P</t>
  </si>
  <si>
    <t>WOS:001603457300001</t>
  </si>
  <si>
    <t>Owuor, D; Taylor, TK; Simushi, S; Mutondo, M</t>
  </si>
  <si>
    <t>Owuor, D.; Taylor, T. K.; Simushi, S.; Mutondo, M.</t>
  </si>
  <si>
    <t>Blockchain-driven sustainable business model for artisanal and small-scale mining operators in Zambia</t>
  </si>
  <si>
    <t>Blockchain; Artisanal mining; Sustainability; Technology adoption; Zambia; Traceability</t>
  </si>
  <si>
    <t>This study investigates blockchain adoption barriers among artisanal and small-scale mining operators in Zambia's Ndola Rural Emerald Restricted Area (NRERA) and proposes a Blockchain-enabled Sustainable Business Model (BSBM) to enhance sustainability and profitability. Using a convergent parallel mixed-methods design, quantitative surveys (n = 11) and qualitative interviews (n = 9) highlight that 72.7 % of ASM operators have basic education, 81.8 % rely on predatory informal loans, and 90.9 % face infrastructural deficits like unreliable electricity and poor internet. None have adopted blockchain technology due to financial, structural, and technological barriers. Exploitative intermediaries capture most mineral value, perpetuating low investment cycles and limiting technological progress. The BSBM addresses these challenges by leveraging mining associations to automate compliance via smart contracts, establishing traceability for premium pricing, and offering tiered financing alongside mobile blockchain interfaces to overcome literacy and connectivity issues. Early implementations suggest transaction cost reductions of 30-50 % and premium markets adding 15-30 % margins. This study underscores the need for integrated interventions that combine financial inclusion, policy collaboration, and tailored technology to enable sustainable ASM sector development. These findings provide actionable policy insights and contribute to the emerging discourse on the role of blockchain in resource-constrained mining contexts.</t>
  </si>
  <si>
    <t>[Owuor, D.] Copperbelt Univ, Afr Ctr Excellence Sustainable Min, POB 21692, Kitwe, Zambia; [Taylor, T. K.] Copperbelt Univ, Sch Grad Studies, POB 21692, Kitwe, Zambia; [Simushi, S.] Copperbelt Univ, Sch Built Environm, POB 21692, Kitwe, Zambia; [Mutondo, M.] Copperbelt Univ, Sch Math &amp; Nat Sci, POB 21692, Kitwe, Zambia</t>
  </si>
  <si>
    <t>Copperbelt University; Copperbelt University; Copperbelt University; Copperbelt University</t>
  </si>
  <si>
    <t>Owuor, D (corresponding author), Copperbelt Univ, Afr Ctr Excellence Sustainable Min, POB 21692, Kitwe, Zambia.</t>
  </si>
  <si>
    <t>dicowuor@gmail.com</t>
  </si>
  <si>
    <t>Simushi, Sitwala/E-9486-2018</t>
  </si>
  <si>
    <t>Africa Centre of Excellence for Sustainable Mining ACE-SM, at Copperbelt University; Southern Africa Higher Education Centers of Excellence [P151847]</t>
  </si>
  <si>
    <t>Africa Centre of Excellence for Sustainable Mining ACE-SM, at Copperbelt University; Southern Africa Higher Education Centers of Excellence</t>
  </si>
  <si>
    <t>This work was supported by the Africa Centre of Excellence for Sustainable Mining ACE-SM, at Copperbelt University, through funding from the World Bank-Eastern and Southern Africa Higher Education Centers of Excellence [grant number P151847] .</t>
  </si>
  <si>
    <t>10.1016/j.digbus.2025.100153</t>
  </si>
  <si>
    <t>8AW0S</t>
  </si>
  <si>
    <t>WOS:001584274800001</t>
  </si>
  <si>
    <t>Hahm, H; Subhanij, T; Almeida, R</t>
  </si>
  <si>
    <t>Hahm, Hongjoo; Subhanij, Tientip; Almeida, Rui</t>
  </si>
  <si>
    <t>Finteching remittances in paradise: A path to sustainable development</t>
  </si>
  <si>
    <t>ASIA &amp; THE PACIFIC POLICY STUDIES</t>
  </si>
  <si>
    <t>fintech; Pacific; remittance transaction costs; small island developing states</t>
  </si>
  <si>
    <t>LADDER</t>
  </si>
  <si>
    <t>The costs of sending remittances to Pacific small island developing states (SIDS) are among the highest in the world. Tackling this issue is crucial not only for economic and social development, but also for improving financial inclusion. This article analyses fintech adoption in remittance services, namely the adoption of alternative payment methods in transferring money by using the internet or mobile phones, in the Pacific. It introduces an original framework to assess the current landscape of fintech in the remittance sector and draws tailored policy recommendations. The framework is conceptualised through a ladder with five rungs: availability, accessibility, awareness, literacy and trust. Based on the ladder analysis, the authors observe the lack of basic digital infrastructure and digital platforms in many Pacific SIDS. Where the technological landscape is better developed, fintech services have established strong footholds, but there is a need for greater awareness to broaden its appeal and customer base. The benefits of fintech platforms are high, especially in the context of lower remittance costs which constitute an unduly large share of GDP in Pacific SIDS. The basic infrastructure needed to develop fintech services are equally important for the overall sustainable development of Pacific SIDS. The article observes fintech services in the Pacific are a means for financial inclusion of the unbanked, that can accelerate the economic and social development of the SIDS, and countries in the Pacific region are at different stages in their readiness for fintech adoption.</t>
  </si>
  <si>
    <t>[Hahm, Hongjoo; Subhanij, Tientip; Almeida, Rui] United Nations Econ &amp; Social Commiss Asia &amp; Pacif, Investment &amp; Innovat Div, Trade, United Nations Bldg,Rajadamern Nok Ave, Bangkok 10200, Thailand</t>
  </si>
  <si>
    <t>Subhanij, T (corresponding author), United Nations Econ &amp; Social Commiss Asia &amp; Pacif, Investment &amp; Innovat Div, Trade, United Nations Bldg,Rajadamern Nok Ave, Bangkok 10200, Thailand.</t>
  </si>
  <si>
    <t>subhanij@un.org</t>
  </si>
  <si>
    <t>Subhanij, Tientip/0000-0003-2798-0670</t>
  </si>
  <si>
    <t>2050-2680</t>
  </si>
  <si>
    <t>ASIA PAC POLICY STUD</t>
  </si>
  <si>
    <t>Asia Pac. Policy Stud.</t>
  </si>
  <si>
    <t>10.1002/app5.341</t>
  </si>
  <si>
    <t>XP2ZB</t>
  </si>
  <si>
    <t>WOS:000727791700001</t>
  </si>
  <si>
    <t>Annan, F; Cheung, C; Gine, X</t>
  </si>
  <si>
    <t>Annan, Francis; Cheung, Chiman; Gine, Xavier</t>
  </si>
  <si>
    <t>Digital payments</t>
  </si>
  <si>
    <t>digital payments; technology adoption; consumer protection; financial intermediation</t>
  </si>
  <si>
    <t>Despite the rapid growth in digital payments (DP) adoption and its positive socio-economic impacts in low-income countries, a large portion of the population remains disconnected from DP. At the same time, usage of DP conditional on adoption is low, highlighting the unexplored potential for financial inclusion and economic advancement. This paper reviews the burgeoning academic literature on DP and categorizes both macro-level adoption barriers (extensive margin) and micro-level usage challenges (intensive margin). We draw on the Transaction Cost Index, a new comprehensive database encompassing 16 low-income countries, to shed light on major themes in markets for DP. We conclude by outlining potential avenues for future research in this area.</t>
  </si>
  <si>
    <t>[Annan, Francis; Cheung, Chiman] Univ Calif Berkeley, Berkeley, CA 94720 USA; [Gine, Xavier] World Bank, Washington, DC USA</t>
  </si>
  <si>
    <t>University of California System; University of California Berkeley; The World Bank</t>
  </si>
  <si>
    <t>Annan, F (corresponding author), Univ Calif Berkeley, Berkeley, CA 94720 USA.</t>
  </si>
  <si>
    <t>fannan@berkeley.edu</t>
  </si>
  <si>
    <t>10.1093/oxrep/grad054</t>
  </si>
  <si>
    <t>WOS:001186414700009</t>
  </si>
  <si>
    <t>Kumar, RN; Janani, M; Pavithra, R; Kumar, TM</t>
  </si>
  <si>
    <t>Kumar, R. Naveen; Janani, M.; Pavithra, R.; Kumar, T. Muthu</t>
  </si>
  <si>
    <t>Beyond the Hype: A Tech-driven Analysis of Gen Z's Cryptocurrency Investment Behavior Amid Regulatory Uncertainty and Risk-return Perceptions in India</t>
  </si>
  <si>
    <t>Cryptocurrency investment; Gen Z investors; financial well-being; knowledge and awareness; regulatory changes</t>
  </si>
  <si>
    <t>Purpose: This study aims to understand how knowledge, awareness, regulatory changes, and perceived risk and return influence Gen Z's decisions to invest in cryptocurrency. It focuses on young working professionals in Bengaluru and how these factors affect their financial well-being.Data: The study surveyed 398 Gen Z respondents in Bengaluru using a structured questionnaire. The target group included early-employed young professionals, providing insights into how this demographic engages with cryptocurrency investments.Methodology: The study used a mixed-methods approach. To analyze the data, exploratory factor analysis (EFA) and confirmatory factor analysis (CFA) were conducted using SPSS and AMOS software. These methods helped examine the relationships between key factors.Findings: The results show that knowledge and awareness have the strongest positive impact on financial inclusion. Regulatory clarity comes next, followed by how Gen Z perceives the risks and returns of crypto investments. Gender and marital status do not significantly affect investment decisions. However, financial literacy, clear regulations, and managing risk perceptions are essential to encouraging smart and responsible investing.Originality: This study focuses specifically on Gen Z in India, a group often influenced by social trends and digital tools offering insights not widely explored in existing research. It also emphasizes the need to consider behavioral and psychological elements in crypto adoption.Implications: To support Gen Z investors, there is a need for better financial education, more transparent regulations, and improved communication about investment risks. These steps can help increase participation in cryptocurrency markets while promoting responsible investment behavior.</t>
  </si>
  <si>
    <t>[Kumar, R. Naveen] Kristu Jayanti Deemed Univ, Inst Management, Sch Business &amp; Management, Bengaluru, Karnataka, India; [Janani, M.] Kristu Jayati Deemed Univ, Dept Profess Accounting &amp; Finance, Bengaluru, Karnataka, India; [Pavithra, R.] Kongunadu Arts &amp; Sci Coll, Dept Comp Sci, Coimbatore, Tamil Nadu, India; [Kumar, T. Muthu] Rajalakshmi Sch Business, Sch Management, Chennai, Tamil Nadu, India</t>
  </si>
  <si>
    <t>Kumar, RN (corresponding author), Kristu Jayanti Coll, Sch Management, Bengaluru 560077, Karnataka, India.</t>
  </si>
  <si>
    <t>naveen.austin@gmail.com</t>
  </si>
  <si>
    <t>R, Naveen Kumar/JPY-0457-2023</t>
  </si>
  <si>
    <t>R, Naveen Kumar/0009-0002-6566-0862</t>
  </si>
  <si>
    <t>School of Science &amp; Computer Science, CMR University, Bengaluru, Karnataka, India</t>
  </si>
  <si>
    <t>10.1177/09711023251351511</t>
  </si>
  <si>
    <t>6MT0M</t>
  </si>
  <si>
    <t>WOS:001550256600001</t>
  </si>
  <si>
    <t>Tan, HY; Zhang, Q</t>
  </si>
  <si>
    <t>Tan, Haoyang; Zhang, Qiang</t>
  </si>
  <si>
    <t>Application of Blockchain Hierarchical Model in the Realm of Rural Green Credit Investigation</t>
  </si>
  <si>
    <t>blockchain; hierarchical model; rural green credit investigation; probability of default</t>
  </si>
  <si>
    <t>In order to realize the application research of blockchain technology in the field of green credit investigation, the current paper adopts the method of a blockchain hierarchical model to study the rural green credit. With regard to the realm of rural green credit investigation, this paper sorts out the characteristics of credit data in China's countryside by countryside credit investigation and determines the major problems and in rural green credit investigation of financial inclusion. Subsequently, the authors put forward a blockchain hierarchical model, which not only has reinforced the advantages in original blockchain dedicated to agriculture, rural areas and rural residents, such as traceability and immutability, but also has transformed the decentralization into disintermediation and changed the single-layered P2P network into a multilayered structure based on China's rural financial environment. Finally, the authors collect and extract the proper credit investigation data on the rural internet to assess the application value of the model by investigating its practical applicability in reality and problems that may occur during the application of the model. Results show that private credit information has an important impact on the prediction accuracy, and the blockchain hierarchical model is helpful to ensure the reliability and security of rural green credit data.</t>
  </si>
  <si>
    <t>[Tan, Haoyang; Zhang, Qiang] Hunan Univ, Sch Finance &amp; Stat, Changsha 410000, Peoples R China</t>
  </si>
  <si>
    <t>Tan, HY (corresponding author), Hunan Univ, Sch Finance &amp; Stat, Changsha 410000, Peoples R China.</t>
  </si>
  <si>
    <t>tlltwrok@163.com; qiangz@hnu.edu.cn</t>
  </si>
  <si>
    <t>Science Fund for Creative Research Groups of the National Natural Science Foundation of China [71661137006]; Innovation Fund for University Production, Study and Research of the Ministry of Education Science and Technology Development Center of China [2019J02015]</t>
  </si>
  <si>
    <t>Science Fund for Creative Research Groups of the National Natural Science Foundation of China(National Natural Science Foundation of China (NSFC)); Innovation Fund for University Production, Study and Research of the Ministry of Education Science and Technology Development Center of China</t>
  </si>
  <si>
    <t>This research was funded by the Science Fund for Creative Research Groups of the National Natural Science Foundation of China, grant number 71661137006, and the Innovation Fund for University Production, Study and Research of the Ministry of Education Science and Technology Development Center of China, grant number 2019J02015.</t>
  </si>
  <si>
    <t>10.3390/su13031324</t>
  </si>
  <si>
    <t>QD6LQ</t>
  </si>
  <si>
    <t>WOS:000615627500001</t>
  </si>
  <si>
    <t>Molyneux, P</t>
  </si>
  <si>
    <t>Molyneux, Philip</t>
  </si>
  <si>
    <t>Developments in Banking Research and Areas for Future Study</t>
  </si>
  <si>
    <t>INTERNATIONAL JOURNAL OF THE ECONOMICS OF BUSINESS</t>
  </si>
  <si>
    <t>Banks; Banking Crises; Regulation; Corporate Governance; Monetary Policy</t>
  </si>
  <si>
    <t>GOVERNMENT INTERVENTIONS; PERFORMANCE EVIDENCE; FINANCIAL SERVICES; SYSTEMIC RISK; IMPACT; LIQUIDITY; BOARD; GOVERNANCE; INDUSTRY; SECTOR</t>
  </si>
  <si>
    <t>There has been an explosion of research into banking issues following the global financial crisis of 2007-08. What was once regarded as a somewhat esoteric subject area, nestled halfway between economics and finance, has now become mainstream attracting significant academic and policy attention. The following review aims to outline areas of topicality and highlight possibilities for future research. This paper covers recent empirical work on: bank capital; systemic risk; corporate governance; consumer protection and financial inclusion; size and diversification; and the impact of government intervention and unconventional monetary policy in banking.</t>
  </si>
  <si>
    <t>[Molyneux, Philip] Univ Sharjah, Coll Business Adm, POB 27272, Sharjah, U Arab Emirates</t>
  </si>
  <si>
    <t>Molyneux, P (corresponding author), Univ Sharjah, Coll Business Adm, POB 27272, Sharjah, U Arab Emirates.</t>
  </si>
  <si>
    <t>pmolyneux@sharjah.ac.ae</t>
  </si>
  <si>
    <t>Molyneux, Philip/0000-0001-6210-7418</t>
  </si>
  <si>
    <t>1357-1516</t>
  </si>
  <si>
    <t>1466-1829</t>
  </si>
  <si>
    <t>INT J ECON BUS</t>
  </si>
  <si>
    <t>nt. J. Econ. Bus.</t>
  </si>
  <si>
    <t>10.1080/13571516.2017.1399654</t>
  </si>
  <si>
    <t>GJ5DA</t>
  </si>
  <si>
    <t>WOS:000435400200016</t>
  </si>
  <si>
    <t>le Polain, M; Sterck, O; Nyssens, M</t>
  </si>
  <si>
    <t>le Polain, Maite; Sterck, Olivier; Nyssens, Marthe</t>
  </si>
  <si>
    <t>Interest Rates in Savings Groups: Thrift or Threat?</t>
  </si>
  <si>
    <t>Financial inclusion; Savings groups; Interest in microfinance; Rotating savings and credit associations; DR Congo; South Kivu</t>
  </si>
  <si>
    <t>CREDIT ASSOCIATIONS; RANDOMIZATION; IMPACT</t>
  </si>
  <si>
    <t>Savings group (SG) models are praised for achieving financial inclusion for the poorest at a very low cost. Promoted by international NGOs, SG models are inspired by indigenous savings and credit associations (ROSCAs). SG models however differ in that they prescribe lending the pooled savings to group members for an interest. The interest rate aims to (1) boost capital accumulation, (2) allocate scarce capital efficiently, and (3) remunerate and incentivize savers. This paper builds on a six-month fieldwork conducted in DR Congo consisting of direct observations of SG meetings and interviews with SG participants and practitioners. We study the gaps between SG practitioners' objectives and SG participants' perceptions and practices related to the interest rate. Our research pays particular attention to the local context and local norms that interfere with SG practitioners' objectives. Our analysis highlights three gaps. First, SG participants turn savings into credit for security purposes rather for rapid capital accumulation. Second, credit allocation decisions are guided by fairness and security concerns rather than efficiency. Third, SG participants often regard the accumulated interest as belonging to the group and to active borrowers rather than to passive savers. Our results invite development actors to pay greater attention to the potential risks of the SG approach for its participants. Despite the common appellation savings groups, this microfinance innovation builds upon credit and strongly encourages its members to go into debt. (C) 2017 Elsevier Ltd. All rights reserved.</t>
  </si>
  <si>
    <t>[le Polain, Maite; Nyssens, Marthe] Catholic Univ Louvain, CIRTES, Louvain La Neuve, Belgium; [Sterck, Olivier] Univ Oxford, ODID, Oxford, England</t>
  </si>
  <si>
    <t>Universite Catholique Louvain; University of Oxford</t>
  </si>
  <si>
    <t>le Polain, M (corresponding author), Catholic Univ Louvain, CIRTES, Louvain La Neuve, Belgium.</t>
  </si>
  <si>
    <t>Sterck, Olivier/0000-0003-3835-9388</t>
  </si>
  <si>
    <t>Chaire Economie Sociale et Solidaire au Sud; Belgian Science Policy Office; research center CIRTES of the University Catholique de Louvain; NGO Louvain Cooperation</t>
  </si>
  <si>
    <t>Chaire Economie Sociale et Solidaire au Sud; Belgian Science Policy Office(Belgian Federal Science Policy Office); research center CIRTES of the University Catholique de Louvain; NGO Louvain Cooperation</t>
  </si>
  <si>
    <t>This work was supported by the Chaire Economie Sociale et Solidaire au Sud (a partnership between the research center CIRTES of the University Catholique de Louvain and the NGO Louvain Cooperation) and by the Interuniversity Attraction Pole funded by the Belgian Science Policy Office (title: If not for profit, for what? And how?). We are grateful to the two anonymous referees, to An Ansoms, Stephane Baele, Fiona Cook, Evan Easton Calabria, Pierre Joseph Laurent, Claire MacPherson, Solene Morvant-Roux and Anals Milieux, and to the participants to the CERMI internal seminar at ULB, the 4th European Microfinance Research Conference at the University of Geneva, and the Financial Inclusion Research Day at the University of Bath for their useful comments and discussions.</t>
  </si>
  <si>
    <t>10.1016/j.worlddev.2017.09.001</t>
  </si>
  <si>
    <t>FM9CN</t>
  </si>
  <si>
    <t>WOS:000415391700012</t>
  </si>
  <si>
    <t>Di Vaio, A; Hassan, R; Palladino, R</t>
  </si>
  <si>
    <t>Di Vaio, Assunta; Hassan, Rohail; Palladino, Rosa</t>
  </si>
  <si>
    <t>Blockchain technology and gender equality: A systematic literature review</t>
  </si>
  <si>
    <t>Blockchain technology; Females; Corporate governance; Digital innovation; Sustainable Development Goals</t>
  </si>
  <si>
    <t>DIGITAL TRANSFORMATION; INSTITUTIONAL THEORY; FINANCIAL INCLUSION; METAANALYSIS; GOVERNANCE; MANAGEMENT; INNOVATION; AGENDA; FIRMS; VIEW</t>
  </si>
  <si>
    <t>This study examines the literary corpus on the role and potential of blockchain technology in promoting gender equality through the lens of new technology-oriented corporate governance models. It investigates if and how corporate governance models can include blockchain technology to add value to gender equality and inclusion processes, in line with Sustainable Development Goal (SDG) 5. A bibliometric analysis of a database-containing 127 articles, 4 United Nations reports, 3 European institutions' reports, 1 International Labour Office report, 1 World Economic Forum report, and 4 industry reports useful to our analysis-was conducted from 1990 to 2021, to provide a map of the knowledge generated and circulated by the literature. This study offers insights into publication activities, essential topics, citation trends, and the status of collaborations between contributors to previous research and aggregated contributions to the area of blockchain technology studies. Furthermore, the study offers a retrospective analysis of the content published in the blockchain technology field. The findings indicate that field research has focussed primarily on blockchain's economic and financial attributes but not on social potential. This study emphasises the implementation of blockchain technology to manage gender equality and inclusion processes by orienting corporate governance models towards social and sustainable values.</t>
  </si>
  <si>
    <t>[Di Vaio, Assunta] Univ Naples Parthenope, Dept Law, Via G Parisi 13, I-80132 Naples, Italy; [Hassan, Rohail] Univ Utara Malaysia UUM, Othman Yeop Abdullah Grad Sch Business OYAGSB, Kuala Lumpur 50300, Malaysia; [Palladino, Rosa] Univ Milano Bicocca, Dept Econ Quantitat Methods &amp; Business Strategies, Piazza Ateneo Nuovo1, I-20126 Milan, Italy</t>
  </si>
  <si>
    <t>Parthenope University Naples; Universiti Utara Malaysia; University of Milano-Bicocca</t>
  </si>
  <si>
    <t>Di Vaio, A (corresponding author), Univ Naples Parthenope, Dept Law, Via G Parisi 13, I-80132 Naples, Italy.</t>
  </si>
  <si>
    <t>susy.divaio@uniparthenope.it</t>
  </si>
  <si>
    <t>Hassan, Rohail/G-1213-2015; Di Vaio, Assunta/N-2259-2019</t>
  </si>
  <si>
    <t>Hassan, Rohail/0000-0002-7825-0283;</t>
  </si>
  <si>
    <t>Department of Law, University of Naples 'Parthenope' (Italy) [DIGIU-304DiVaio-002158]</t>
  </si>
  <si>
    <t>Department of Law, University of Naples 'Parthenope' (Italy)</t>
  </si>
  <si>
    <t>This work was supported by Department of Law, DIGIU-304DiVaio-002158, University of Naples 'Parthenope' (Italy).</t>
  </si>
  <si>
    <t>10.1016/j.ijinfomgt.2022.102517</t>
  </si>
  <si>
    <t>6R2OA</t>
  </si>
  <si>
    <t>WOS:000892146500007</t>
  </si>
  <si>
    <t>Barut, A; Kaya, E; Bekun, FV; Cengiz, S</t>
  </si>
  <si>
    <t>Barut, Abdulkadir; Kaya, Emine; Bekun, Festus Victor; Cengiz, Sevgi</t>
  </si>
  <si>
    <t>Environmental sustainability amidst financial inclusion in five fragile economies: Evidence from lens of environmental Kuznets curve</t>
  </si>
  <si>
    <t>SDGs; Environmental sustainability; Carbon-reduction; Environmental sustianability index; Fragile economies; Panel econometrics</t>
  </si>
  <si>
    <t>RENEWABLE ENERGY-CONSUMPTION; FOREIGN DIRECT-INVESTMENT; CARBON EMISSIONS EVIDENCE; PANEL UNIT-ROOT; CO2 EMISSIONS; EMPIRICAL-EVIDENCE; AFRICAN COUNTRIES; DYNAMIC IMPACT; GROWTH; INCOME</t>
  </si>
  <si>
    <t>Economic growth comes with it environmental trade-off on environmental sustainability. This occurrence is evidence on a global scale as it stems from human anthropogenic activities driven by the consumption of energy sources from fossil-fuel origin. On this premise, the present study focuses on five fragile economies with huge energy and sustainability targets to explore the nexus between economic growth and the environment. The present study is distinct from previous studies in scope by the construct and inclusion of a financial inclusion index with the aid of Principal component analysis (PCA), human development to the economic growth-environment argument. To this end to reach evidence-based outcomes second generational panel analysis is employed. The Durbin-Hansen cointegration test traces the long-run equilibrium relationship between the study variables. Subsequently, an augmented mean group (AMG) estimator is employed to explore the relationship between the outlined variables. Furthermore, the present study finds support for the pollution haven hypothesis for the selected fragile economies. The plausible explanation is due to weak trade and environmental treaties in the examined countries. However, the renewable energy human development index help mitigates environ-mental degradation. Thus, the present study advocates the need for energy transition and investment into new technological innovation in research and development to attain sustainable development goals and environ-mental sustainability resonated in UNSDGs-11,12 and 13. Additionally, financial inclusion plays a vital role in the five fragile energy-environment mixes. The current study presents vital policy directives in the concluding section for individual countries and the entire bloc for more effective policy direction.</t>
  </si>
  <si>
    <t>[Barut, Abdulkadir] Harran Univ, Siverek Vocat Sch, Dept Accounting &amp; Taxat, Sanliurfa, Turkiye; [Kaya, Emine] Malatya Turgut Ozal Univ, Fac Social Sci &amp; Humanities, Dept Accounting &amp; Finance, Malatya, Turkiye; [Bekun, Festus Victor] Istanbul Gelisim Univ, Fac Econ Adm &amp; Social Sci, Istanbul, Turkiye; [Bekun, Festus Victor] Lebanese Amer Univ, Adnan Kassar Sch Business, Dept Econ, Beirut, Lebanon; [Cengiz, Sevgi] Kafkas Univ, Vocat Sch Social Sci, Kars, Turkiye</t>
  </si>
  <si>
    <t>Harran University; Malatya Turgut Ozal University; Istanbul Gelisim University; Lebanese American University; Kafkas University</t>
  </si>
  <si>
    <t>Bekun, FV (corresponding author), Istanbul Gelisim Univ, Fac Econ Adm &amp; Social Sci, Istanbul, Turkiye.</t>
  </si>
  <si>
    <t>kadirbarut@harran.edu.tr; emine.kaya001@hotmail.com; fbekun@gelisim.edu.tr; sevgicengiz36@outlook.com</t>
  </si>
  <si>
    <t>KAYA, Emine/AEO-7300-2022; Barut, Abdulkadir/NPJ-2046-2025; cengiz, sevgi/JXL-3957-2024; Bekun, festus victor/AAU-3573-2020</t>
  </si>
  <si>
    <t>Bekun, festus victor/0000-0003-4948-6905</t>
  </si>
  <si>
    <t>10.1016/j.energy.2023.126802</t>
  </si>
  <si>
    <t>8R0WT</t>
  </si>
  <si>
    <t>WOS:000927620100001</t>
  </si>
  <si>
    <t>Tripathi, AK</t>
  </si>
  <si>
    <t>Tripathi, Ashutosh Kumar</t>
  </si>
  <si>
    <t>Spread of the Self-Help Group-Bank Linkage Programme in India: Potential Vis-a-vis Achievements</t>
  </si>
  <si>
    <t>Commercial banks; credit; deposit; financial inclusion; microfinance; SHG</t>
  </si>
  <si>
    <t>The Self-Help Group-Bank Linkage Programme (SHG-BLP) was designed with the objective of bridging the prevailing gap in the financial network and spreading banking facilities to the poor in rural and urban areas. This paper examines the progress of SHG-BLP over the last two decades in terms of: (a) the outreach of SHG-BLP; (b) spatial disparity in SHG-BLP; (c) SHG spread with respect to banking and socio-economic indicators; and (d) potential vis-a-vis achievement under the programme in terms of coverage of rural poor population.</t>
  </si>
  <si>
    <t>[Tripathi, Ashutosh Kumar] Inst Rural Management IRMA, Anand, Gujarat, India</t>
  </si>
  <si>
    <t>Institute of Rural Management Anand</t>
  </si>
  <si>
    <t>Tripathi, AK (corresponding author), IRMA, Room 339,Fac Block, Anand 388001, Gujarat, India.</t>
  </si>
  <si>
    <t>ashutosh_cds@yahoo.co.in</t>
  </si>
  <si>
    <t>Tripathi, Ashutosh/LCE-6819-2024</t>
  </si>
  <si>
    <t>Tripathi, Ashutosh/0000-0002-8135-7989</t>
  </si>
  <si>
    <t>10.1177/0021909613485698</t>
  </si>
  <si>
    <t>CI3YZ</t>
  </si>
  <si>
    <t>WOS:000354684600005</t>
  </si>
  <si>
    <t>Zamora, J</t>
  </si>
  <si>
    <t>Awori, K; Bidwell, NJ</t>
  </si>
  <si>
    <t>Zamora, Jennifer</t>
  </si>
  <si>
    <t>Mobile as a Means to Electrification in Uganda</t>
  </si>
  <si>
    <t>PROCEEDINGS OF THE FIRST AFRICAN CONFERENCE FOR HUMAN COMPUTER INTERACTION (AFRICHI'16)</t>
  </si>
  <si>
    <t>1st African Conference for Human Computer Interaction (AfriCHI)</t>
  </si>
  <si>
    <t>NOV 21-25, 2016</t>
  </si>
  <si>
    <t>Univ Nairobi, Nairobi, KENYA</t>
  </si>
  <si>
    <t>Assoc Comp Machinery,ACM SIGCHI,Namibia Univ Sci &amp; Technol,Microsoft Res,IBM Res Africa,Internet Soc,Google,Tunisia Human Machine Interact,Setit,Kenya Educ Network,iHub</t>
  </si>
  <si>
    <t>Univ Nairobi</t>
  </si>
  <si>
    <t>Mobile; Energy; Solar; Microfinance; Uganda; East Africa</t>
  </si>
  <si>
    <t>This research study investigates a proposed model using mobile phones as an accelerator for solar adoption in Uganda. Sixty-five percent of Uganda is non-electrified, and 72% of people are unbanked. Due to the lack of financial infrastructure and banking history, banks are not able to predict default loan behaviors. In an attempt to scale solar adoption, we propose a USSD model for users to receive energy loan approvals based on mobile financial history. The research involves a mix-method qualitative approach with 36 users to evaluate the following objectives: 1) user's ability to understand and consent to a mobile credit check for loan approval 2) perception of variable loan discounts for those with good credit and 3) how the USSD model will fit in the broader solar environment.</t>
  </si>
  <si>
    <t>[Zamora, Jennifer] Google Inc, Mountain View, CA 94043 USA</t>
  </si>
  <si>
    <t>Alphabet Inc.; Google Incorporated</t>
  </si>
  <si>
    <t>Zamora, J (corresponding author), Google Inc, Mountain View, CA 94043 USA.</t>
  </si>
  <si>
    <t>zamora@google.com</t>
  </si>
  <si>
    <t>978-1-4503-4830-0</t>
  </si>
  <si>
    <t>10.1145/2998581.2998603</t>
  </si>
  <si>
    <t>Computer Science, Information Systems; Computer Science, Interdisciplinary Applications; Social Issues</t>
  </si>
  <si>
    <t>BG8IK</t>
  </si>
  <si>
    <t>WOS:000392317400022</t>
  </si>
  <si>
    <t>Parikh, P</t>
  </si>
  <si>
    <t>Mishra, DK; Sheikh, R</t>
  </si>
  <si>
    <t>Parikh, Purav</t>
  </si>
  <si>
    <t>Building of an Ecosystem of Applications for Efficient Delivery of Financial Services: A Case for MIPC</t>
  </si>
  <si>
    <t>2014 CONFERENCE ON IT IN BUSINESS, INDUSTRY AND GOVERNMENT (CSIBIG)</t>
  </si>
  <si>
    <t>Conference on IT in Business, Industry and Government (CSIBIG)</t>
  </si>
  <si>
    <t>MAR 08-09, 2014</t>
  </si>
  <si>
    <t>Sri Aurobindo Inst Technol, Indore, INDIA</t>
  </si>
  <si>
    <t>Comp Soc India, Division III (Applicat) &amp; Division IV (Communicat),SIG-DS,IEEE</t>
  </si>
  <si>
    <t>Sri Aurobindo Inst Technol</t>
  </si>
  <si>
    <t>MIPC (Micro finance Information Processing Center); Big Data; Data Analytics; Data Research; MFIS (Micro finance Institutions); Data Warehousing</t>
  </si>
  <si>
    <t>Microfinance industry has highest growth potential for the country like India which consists of the world's second largest population. The potential lies in the fact, that most of the rural population is not covered with good financial services. The infrastructure for the financial inclusion is not adequate given the issues relating to the system of administration. Microfinance institutions (MFIs) have made an excellent attempt to reach in the interiors of the country and provide cheap loans and financial services thereby accelerating the growth rate and economic development in recent years. However, these institutions have to face systemic problems in their loan financing business, in terms of high transaction and operation cost of managing such a business. Use of Information and Communication technology could help these institutes in efficiently delivering the required financial services. This research paper focuses on the core technology issues which MFIs face in maintaining as well as operating their Information Technology (IT) based system application. The issues, in particular, relates to data collection, flexible information processing, data migration and data warehousing as well as data mining. This paper makes an attempt to provide a solution with Microfinance Information Processing Center (MIPC) as a low cost and feature rich IT solution business model for the efficient delivery of the financial services for the Microfinance Industry. Also, the various benefits derived from implementing a model such as MIPC are explained in depth in this paper.</t>
  </si>
  <si>
    <t>[Parikh, Purav] Indian Inst Informat Technol, Management Div, Allahabad, Uttar Pradesh, India</t>
  </si>
  <si>
    <t>Parikh, P (corresponding author), Indian Inst Informat Technol, Management Div, Allahabad, Uttar Pradesh, India.</t>
  </si>
  <si>
    <t>puravparikh@gmail.com</t>
  </si>
  <si>
    <t>978-1-4799-3063-0; 978-1-4799-3064-7</t>
  </si>
  <si>
    <t>BF3PW</t>
  </si>
  <si>
    <t>WOS:000380566600037</t>
  </si>
  <si>
    <t>Saluja, OB</t>
  </si>
  <si>
    <t>Saluja, Omika Bhalla</t>
  </si>
  <si>
    <t>Crowd-funding to promote women entrepreneurship: a systematic literature review of the empirical studies conducted in the last decade (2012-2023)</t>
  </si>
  <si>
    <t>INTERNATIONAL JOURNAL OF GENDER AND ENTREPRENEURSHIP</t>
  </si>
  <si>
    <t>Womens entrepreneurship; Crowdfunding; Systematic review; Gender differences; Access to finance; Investor decision making</t>
  </si>
  <si>
    <t>GENDER; MICROFINANCE; FUTURE; CREDIT; MARKET; TERMS; BIAS</t>
  </si>
  <si>
    <t>Purpose - It aims to understand crowdfunding's effect on women's entrepreneurship and summarize key findings, methods, and challenges women face in using crowdfunding for financing. Design/methodology/approach - This literature review examines 36 empirical studies on crowdfunding use by women entrepreneurs. It follows the PRISMA framework, using Scopus and citation tracking to categorize studies on crowdfunding's potential to empower women financially and address their barriers to accessing finance. Findings - The review identified seven key themes: opportunities and challenges for women in crowdfunding, equity crowdfunding's potential, gender differences in crowdfunding outcomes, the role of social capital and networks, investor trust and decision-making, the influence of language, communication, and platform design, and the importance of considering intersectionality and context. Crowdfunding offers women entrepreneurs access to capital and helps them overcome traditional financing barriers. Women-led campaigns achieve comparable or even higher success rates compared to their male counterparts. However, under-representation, lower funding requests, pitching difficulties, and limited access to networks remain as challenges. Research limitations/implications - This study has limitations inherent to systematic reviews, including potential methodological flaws or biases in the included studies and the exclusion of relevant studies due to time and resource constraints. Practical implications - Crowdfunding can be promoted as a viable financing option for women entrepreneurs and design targeted initiatives to support them. Building social capital, enhancing financial literacy, and creating networking opportunities can contribute to their success in navigating crowdfunding platforms effectively. Originality/value - This review offers a comprehensive analysis of empirical studies conducted between 2012 and 2023. It provides up-to-date insights, identifies key themes, and offers actionable recommendations for policymakers and organizations seeking to support women entrepreneurs in effectively accessing and utilizing crowdfunding platforms.</t>
  </si>
  <si>
    <t>[Saluja, Omika Bhalla] PSIT, Dept Business Adm, Kanpur, India</t>
  </si>
  <si>
    <t>Saluja, OB (corresponding author), PSIT, Dept Business Adm, Kanpur, India.</t>
  </si>
  <si>
    <t>omikabhalla@rediff.com</t>
  </si>
  <si>
    <t>saluja, omika bhalla/GXN-0399-2022</t>
  </si>
  <si>
    <t>saluja, omika bhalla/0000-0001-9831-1947</t>
  </si>
  <si>
    <t>1756-6266</t>
  </si>
  <si>
    <t>1756-6274</t>
  </si>
  <si>
    <t>INT J GEND ENTREP</t>
  </si>
  <si>
    <t>Int. J. Gend. Entrep.</t>
  </si>
  <si>
    <t>10.1108/IJGE-09-2023-0225</t>
  </si>
  <si>
    <t>I2X7M</t>
  </si>
  <si>
    <t>WOS:001291278800001</t>
  </si>
  <si>
    <t>Packin, NG</t>
  </si>
  <si>
    <t>Packin, Nizan Geslevich</t>
  </si>
  <si>
    <t>Financial Inclusion Gone Wrong: Securities and Cryptoassets Trading for Children</t>
  </si>
  <si>
    <t>HASTINGS LAW JOURNAL</t>
  </si>
  <si>
    <t>children; education; financial inclusion; fintech; DeFi; crypto; NFTs; banking; finance; money; technology; regulation; consumer protection; FINRA; CFPB; trading; investing</t>
  </si>
  <si>
    <t>INNOVATION; LITERACY; ADULTS; BRAIN; LAW</t>
  </si>
  <si>
    <t>According to studies, money is a major source of anxiety for most Americans. In looking for ways to remedy the source of such anxiety, some believe that increasing children's financial orientation could help lower their money-related anxiety levels as adults. Identifying this market as a business opportunity-and reassured by research that shows that by age six, children are already veteran consumers of mobile apps-financial technology (fintech), decentralized finance (DeFi), and even traditional financial entities have started offering services and products to children. These services and products include a broad array of financial-related products and services, from enabling children to earn money for doing their chores, to trading stocks and cryptoassets, and even to earning digital assets and currencies while playing video games.The potential of this new market's clientele is valuable for two reasons. First, having more customers is always a good thing. Second, children will eventually mature into adult customers who presumably will continue using the services and products they like and are familiar with. And, although some legal challenges are associated with children-who are minors-entering financial-based online contracts, this business trend will continue to grow as it becomes socially acceptable to offer financial services to children. Society's newly adopted paradigms for describing, understanding, and shaping children's rights, domestic relationships, custodial status, and even digital purchasing power are all supportive of this trend. Moreover, fintech and DeFi apps and games can help teach children about the value of money, the importance of investing, and the risks involved in trading. Yet fintech and DeFi apps and games could also have a disruptive effect on children, both developmentally and behaviorally, similar to that of other consumed digital content. This disruptive effect should be a source of concern to anyone focused on investor and consumer protection, including regulatory agencies like the Securities Exchange Commission (SEC) and Financial Industry Regulatory Authority (FINRA), which have already expressed concerns over gamification and digital engagement practices. In light of the financialization of everything, this Article looks to both legal and ethical reasoning and behavioral economics tools to call for the search for effective financial literacy education for children to be replaced by a search for policies more conducive to good consumer and investor protection outcomes. These policies should guide lawmakers in regulating fintech and DeFi apps and games offered to children in light of the following considerations: (i) the addictiveness of digital gaming; (ii) how gamifying finance makes it feel less serious; (iii) the connection between gamification and gambling; (iv) how children's financial choices are more susceptible to the influence of outside parties than are those of adults; (v) fintech and DeFi apps and games' failure to teach children the importance of concepts such as debt, credit, and financial commitments; and (vi) the unrealistic burden on young parents, who are already struggling to constantly supervise their children's online activities, to monitor their children's online financial activities in our digital era.</t>
  </si>
  <si>
    <t>[Packin, Nizan Geslevich] CUNY, Baruch Coll, Law, New York, NY 10017 USA; [Packin, Nizan Geslevich] Univ Haifa, Fac Law, Haifa, Israel; [Packin, Nizan Geslevich] Indiana Univ, Bloomingtons Program Governance Internet &amp; Cyberse, Bloomington, IN 47405 USA</t>
  </si>
  <si>
    <t>City University of New York (CUNY) System; Baruch College (CUNY); University of Haifa; Indiana University System; Indiana University Bloomington</t>
  </si>
  <si>
    <t>Packin, NG (corresponding author), CUNY, Baruch Coll, Law, New York, NY 10017 USA.;Packin, NG (corresponding author), Univ Haifa, Fac Law, Haifa, Israel.;Packin, NG (corresponding author), Indiana Univ, Bloomingtons Program Governance Internet &amp; Cyberse, Bloomington, IN 47405 USA.</t>
  </si>
  <si>
    <t>UNIV CALIF</t>
  </si>
  <si>
    <t>HASTINGS COLLEGE LAW 200 MCALLISTER ST, SAN FRANCISCO, CA 94102 USA</t>
  </si>
  <si>
    <t>0017-8322</t>
  </si>
  <si>
    <t>HASTINGS LAW J</t>
  </si>
  <si>
    <t>Hastings Law J.</t>
  </si>
  <si>
    <t>9P6UH</t>
  </si>
  <si>
    <t>WOS:000944417500004</t>
  </si>
  <si>
    <t>Donovan, KP; Park, E</t>
  </si>
  <si>
    <t>Donovan, Kevin P.; Park, Emma</t>
  </si>
  <si>
    <t>Algorithmic Intimacy The Data Economy of Predatory Inclusion in Kenya</t>
  </si>
  <si>
    <t>SOCIAL ANTHROPOLOGY</t>
  </si>
  <si>
    <t>credit; debt; digital; financial inclusion; intimacy; Kenya</t>
  </si>
  <si>
    <t>MOBILE MONEY; BOTTOM; INFRASTRUCTURE; KNOWLEDGE; DEBT</t>
  </si>
  <si>
    <t>Kenya is a frontier market for ???financial technology???, or FinTech. This industry ??? which merges mobile telephony and digital data with commercial lending ??? has grown spec-tacularly, with millions of Kenyans borrowing for household, emergency, and commercial expenses. This industry???s frenzied growth has been fuelled by not merely the pursuit of profit, but also a decidedly more developmental aspiration, namely ???financial inclusion???. This article analyzes the curious merger of public good and private gain, the technological innovations, and sorts of knowledge work that undergird this field. It particularly examines the novel man -ner in which digital lenders capitalise on intimacy, converting practices of kinship and entrust -ment into frontiers of extraction. Personal and social data are translated into credit scores, extended family networks are mediated by financial services, and interpersonal relations sub-sidise risky lending decisions. In contrast to a view of capitalism as abstracting and alienating, this analysis foregrounds the sorts of personal relations, sentiments and obligations that are incorporated. Through fieldwork with borrowers, industry members and regulators, we show that digital lending relies on a conversion between different registers of wealth ??? in people, in things and in knowledge ??? and we track the ethical negotiations and anxious attachments that constitute this curious utopia.</t>
  </si>
  <si>
    <t>[Donovan, Kevin P.] Univ Edinburgh, Ctr African Studies, Edinburgh, Midlothian, Scotland; [Park, Emma] New Sch Social Res, Dept Hist Studies, New York, NY 10011 USA</t>
  </si>
  <si>
    <t>University of Edinburgh; The New School</t>
  </si>
  <si>
    <t>Donovan, KP (corresponding author), Univ Edinburgh, Ctr African Studies, Edinburgh, Midlothian, Scotland.</t>
  </si>
  <si>
    <t>kevin.donovan@ed.ac.uk; parke@newschool.edu</t>
  </si>
  <si>
    <t>BERGHAHN JOURNALS</t>
  </si>
  <si>
    <t>BROOKLYN</t>
  </si>
  <si>
    <t>20 JAY ST, SUITE 512, BROOKLYN, NY 11201 USA</t>
  </si>
  <si>
    <t>0964-0282</t>
  </si>
  <si>
    <t>1469-8676</t>
  </si>
  <si>
    <t>SOC ANTHROPOL</t>
  </si>
  <si>
    <t>Soc. Anthropol.</t>
  </si>
  <si>
    <t>10.3167/saas.2022.300208</t>
  </si>
  <si>
    <t>5F7GD</t>
  </si>
  <si>
    <t>WOS:000866479300007</t>
  </si>
  <si>
    <t>Abdu, E</t>
  </si>
  <si>
    <t>Abdu, Esmael</t>
  </si>
  <si>
    <t>Financial distress situation of financial sectors in Ethiopia: A review paper</t>
  </si>
  <si>
    <t>Commercial banks; Companies; Financial distress; Insurance; Microfinance</t>
  </si>
  <si>
    <t>The development of financial sectors is considered as one of vital determinants of the growth of Ethiopian economy, and for secure equitable distribution of the benefits to the society. However, financial distress has an effect on the sectors. This review was conducted to assess financial distress situation of financial sectors in Ethiopia. The objective is specifically to identify the determinants of financial distress, opportunities of financial sectors, and challenges and constraints of financial distress in Ethiopia. Ethiopia is a developing country with majority of unbanked population. Liquidity, profitability, leverage, firm size, capital adequacy, management efficiency, earning ability, inflation and interest rate are major determinant of financial distress in Ethiopia. Moreover, Ethiopian financial sectors have an opportunity of trade openness, rapid economic growth, unexploited resource, population growth and encouragement of privatization.</t>
  </si>
  <si>
    <t>[Abdu, Esmael] Samara Univ, Coll Business &amp; Econ, Dept Accounting &amp; Finance, Samara, Afar, Ethiopia</t>
  </si>
  <si>
    <t>Abdu, E (corresponding author), Samara Univ, Coll Business &amp; Econ, Dept Accounting &amp; Finance, Samara, Afar, Ethiopia.</t>
  </si>
  <si>
    <t>esmaelabdu@su.edu.et</t>
  </si>
  <si>
    <t>Abdu, Esmael/0000-0002-2015-8142</t>
  </si>
  <si>
    <t>10.1080/23322039.2021.1996020</t>
  </si>
  <si>
    <t>YZ2JW</t>
  </si>
  <si>
    <t>WOS:000755308600001</t>
  </si>
  <si>
    <t>Kosse, A; Vermeulen, R</t>
  </si>
  <si>
    <t>Kosse, Anneke; Vermeulen, Robert</t>
  </si>
  <si>
    <t>Migrants' Choice of Remittance Channel: Do General Payment Habits Play a Role?</t>
  </si>
  <si>
    <t>remittances; payment instruments; qualitative choice models</t>
  </si>
  <si>
    <t>This paper investigates the determinants in migrants' choice of payment channel when transferring money to relatives abroad. We analyze survey results on 501 migrants in the Netherlands, identifying five remittance channels: bank, money transfer operator, in-cash transfers via informal intermediaries, ATM withdrawals abroad, and carrying cash abroad. The results show that education, costs, access, and financial development in the recipient country are important determinants, while general cash preferences and internet banking usage play a limited role. Based on our findings, financial education, cost reduction, and increasing financial inclusion may serve a valuable role to increase the use of formal channels. (C) 2014 Elsevier Ltd. All rights reserved.</t>
  </si>
  <si>
    <t>[Kosse, Anneke; Vermeulen, Robert] Nederlandsche Bank, Amsterdam, Netherlands</t>
  </si>
  <si>
    <t>European Central Bank; De Nederlandsche Bank NV</t>
  </si>
  <si>
    <t>Kosse, A (corresponding author), Nederlandsche Bank, Amsterdam, Netherlands.</t>
  </si>
  <si>
    <t>Kosse, Anneke/0000-0002-1896-9026</t>
  </si>
  <si>
    <t>10.1016/j.worlddev.2014.05.002</t>
  </si>
  <si>
    <t>AK4KZ</t>
  </si>
  <si>
    <t>WOS:000338394900015</t>
  </si>
  <si>
    <t>Wang, PC; Bai, ZF</t>
  </si>
  <si>
    <t>Wang, Pengcheng; Bai, Zefeng</t>
  </si>
  <si>
    <t>Decoding the crypto investor profile: how financial literacy, investment experience and age shape cryptocurrency investment decisions</t>
  </si>
  <si>
    <t>USER ACCEPTANCE; CONFIDENCE</t>
  </si>
  <si>
    <t>Over the past decade, the surge in popularity of cryptocurrency investment has garnered a lot of attention in the financial marketplace. This study aims to open the black box of cryptocurrency investors by understanding the past cryptocurrency investors' characteristics. Specifically, we investigated the relationship between cryptocurrency investment investors and their characteristics, such as levels of financial literacy, as proxied by both subjective and objective financial knowledge measures, investment experience, and investment knowledge. We apply the logistic regression model to the data from the most recent cohort of the National Financial Capability Study 2021 (NFCS21). We find that investment experience and investment knowledge are the important factors related to investing in cryptocurrency among the characteristics examined. Surprisingly, we also find that individuals with higher education are less likely to become cryptocurrency investors. Finally, the present study reveals an interaction effect between age and investment knowledge, showing that the linkage between cryptocurrency investment and investment knowledge is stronger for younger investors with an age between 18 and 34 than for those above 44. This paper contributes to the existing literature on cryptocurrency investment by revealing the personal characteristics that categorize a cryptocurrency investor. This paper also extends the existing conceptual framework about cryptocurrency by showing that sociodemographic factors, such as age could moderate the linkage between investment knowledge and cryptocurrency investment.</t>
  </si>
  <si>
    <t>[Wang, Pengcheng] Kennesaw State Univ, Kennesaw, GA 30144 USA; [Bai, Zefeng] Washington &amp; Lee Univ, Lexington, KY 24450 USA</t>
  </si>
  <si>
    <t>University System of Georgia; Kennesaw State University; Washington &amp; Lee University</t>
  </si>
  <si>
    <t>Wang, PC (corresponding author), Kennesaw State Univ, Kennesaw, GA 30144 USA.;Bai, ZF (corresponding author), Washington &amp; Lee Univ, Lexington, KY 24450 USA.</t>
  </si>
  <si>
    <t>pwang17@kennesaw.edu; zbai@wlu.edu</t>
  </si>
  <si>
    <t>FINRA Investor Education Foundation</t>
  </si>
  <si>
    <t>We would like to thank the FINRA Investor Education Foundation for launching the National Financial Capability Study and providing the data adopted in the present study.</t>
  </si>
  <si>
    <t>10.1057/s41599-025-06068-0</t>
  </si>
  <si>
    <t>9ZJ1N</t>
  </si>
  <si>
    <t>WOS:001618640400007</t>
  </si>
  <si>
    <t>Sulastri, R; Janssen, M</t>
  </si>
  <si>
    <t>Sulastri, Reni; Janssen, Marijn</t>
  </si>
  <si>
    <t>The elements of the Peer-to-peer (P2P) lending system A Systematic Literature Review</t>
  </si>
  <si>
    <t>P2P lending system; Credit Scoring; Inclusive society; Financial inclusion</t>
  </si>
  <si>
    <t>ART CLASSIFICATION ALGORITHMS; CREDIT; MODEL</t>
  </si>
  <si>
    <t>Peer-to-peer (P2P) lending systems have gained governments' attention to create an inclusive society, but establishing such systems remain challenging. Specifically, the elements making up such a system are not known. This research aims to understand the main elements of P2P lending systems and their interconnections. For this, we conducted a Systematic Literature Review to investigate the elements that build the complex arrangement of the P2P lending system. Our review identified five categories of elements that build an integral part of the P2P lending system: Data and Processing, Business, Organizational, Policy and Governance, and Culture. Although technical aspects have gained much attention, social aspects need to be considered carefully. We conclude that P2P lending systems are context-dependent. Moreover, the interaction and the combination of each element influence the whole design of the system. These elements can assist the government in designing a socially accepted P2P lending system that contributes to an inclusive society.</t>
  </si>
  <si>
    <t>[Sulastri, Reni; Janssen, Marijn] Delft Univ Technol, Delft, Netherlands</t>
  </si>
  <si>
    <t>R.Sulastri@tudelft.nl; M.F.W.H.A.Janssen@tudelft.nl</t>
  </si>
  <si>
    <t>Janssen, Marijn/H-6223-2013</t>
  </si>
  <si>
    <t>Janssen, Marijn/0000-0001-6211-8790; Sulastri, Reni/0000-0002-1290-5750</t>
  </si>
  <si>
    <t>10.1145/3560107.3560172</t>
  </si>
  <si>
    <t>WOS:001098408200058</t>
  </si>
  <si>
    <t>DeLiema, M; Deevy, M; Lusardi, A; Mitchell, OS</t>
  </si>
  <si>
    <t>DeLiema, Marguerite; Deevy, Martha; Lusardi, Annamaria; Mitchell, Olivia S.</t>
  </si>
  <si>
    <t>Financial Fraud Among Older Americans: Evidence and Implications</t>
  </si>
  <si>
    <t>JOURNALS OF GERONTOLOGY SERIES B-PSYCHOLOGICAL SCIENCES AND SOCIAL SCIENCES</t>
  </si>
  <si>
    <t>Financial literacy; Health and Retirement Study; Investment fraud; Lottery scam</t>
  </si>
  <si>
    <t>VULNERABILITY; ADULTS; SUSCEPTIBILITY; LITERACY</t>
  </si>
  <si>
    <t>Objectives: The consequences of poor financial capability at older ages are serious and include making mistakes with credit, spending retirement assets too quickly, and being defrauded by financial predators. Because older persons are at or past the peak of their wealth accumulation, they are often the targets of fraud. Methods: Our project analyzes a module we developed and fielded on people aged 50 an older years in the 2016 Health and Retirement Study (HRS). Using this data set, we evaluated the incidence and prospective risk factors (measured in 2010) for investment fraud and prize/lottery fraud using logistic regression (N = 1,220). Results: Relatively few HRS respondents mentioned any single form of fraud over the prior 5 years, but 5.0% reported at least one form of investment fraud and 4.4% recounted prize/lottery fraud. Greater wealth (nonhousing) was associated with investment fraud, whereas lower housing wealth and symptoms of depression were associated with prize/lottery fraud. Hispanics were significantly less likely to report either type of fraud. Other suspected risk factors-low social integration and financial literacy-were not significant. Discussion: Fraud is a complex phenomenon and no single factor uniquely predicts victimization across different types, even within the category of investment fraud. Prevention programs should educate consumers about various types of fraud and increase awareness among financial services professionals.</t>
  </si>
  <si>
    <t>[DeLiema, Marguerite; Deevy, Martha] Stanford Ctr Longev, 579 Serra Mall, Stanford, CA 94305 USA; [Lusardi, Annamaria] George Washington Univ, Sch Business, Washington, DC USA; [Mitchell, Olivia S.] Univ Penn, Wharton Sch, Philadelphia, PA 19104 USA</t>
  </si>
  <si>
    <t>DeLiema, M (corresponding author), Stanford Ctr Longev, 579 Serra Mall, Stanford, CA 94305 USA.</t>
  </si>
  <si>
    <t>deliema@stanford.edu</t>
  </si>
  <si>
    <t>DeLiema, Marguerite/0000-0002-9807-5910; Mitchell, Olivia/0000-0002-6419-8314</t>
  </si>
  <si>
    <t>U.S. Social Security Administration (SSA) as part of the Retirement Research Consortium through the University of Michigan Retirement Research Center [RRC08098401]; TIAA Institute; Pension Research Council/Boettner Center at the Wharton School of the University of Pennsylvania; National Institute on Aging [U01AG009740] Funding Source: NIH RePORTER</t>
  </si>
  <si>
    <t>U.S. Social Security Administration (SSA) as part of the Retirement Research Consortium through the University of Michigan Retirement Research Center; TIAA Institute; Pension Research Council/Boettner Center at the Wharton School of the University of Pennsylvania; National Institute on Aging(United States Department of Health &amp; Human ServicesNational Institutes of Health (NIH) - USANIH National Institute on Aging (NIA))</t>
  </si>
  <si>
    <t>This work was supported by a grant from the U.S. Social Security Administration (SSA) funded as part of the Retirement Research Consortium through the University of Michigan Retirement Research Center, Award RRC08098401. The authors also received research support from the TIAA Institute and the Pension Research Council/Boettner Center at the Wharton School of the University of Pennsylvania. Opinions and conclusions are solely those of the authors and do not represent the opinions or policy of the TIAA Institute or TIAA, SSA, or any agency of the Federal Government. Neither the U.S. Government nor any agency thereof nor any of their employees makes any warranty, express or implied, or assumes any legal liability or responsibility for the accuracy, completeness, or usefulness of the contents of this report. Any reference herein to any specific commercial product, process, or service by trade name, trademark, manufacturer, or otherwise does not constitute or imply endorsement, recommendation, or favoring by the U.S. Government or any agency thereof.</t>
  </si>
  <si>
    <t>1079-5014</t>
  </si>
  <si>
    <t>1758-5368</t>
  </si>
  <si>
    <t>J GERONTOL B-PSYCHOL</t>
  </si>
  <si>
    <t>J. Gerontol. Ser. B-Psychol. Sci. Soc. Sci.</t>
  </si>
  <si>
    <t>10.1093/geronb/gby151</t>
  </si>
  <si>
    <t>Geriatrics &amp; Gerontology; Gerontology; Psychology; Psychology, Multidisciplinary</t>
  </si>
  <si>
    <t>Geriatrics &amp; Gerontology; Psychology</t>
  </si>
  <si>
    <t>LR7ZC</t>
  </si>
  <si>
    <t>WOS:000535914600014</t>
  </si>
  <si>
    <t>Sadok, H; Sakka, F; El Maknouzi, ME</t>
  </si>
  <si>
    <t>Sadok, Hicham; Sakka, Fadi; El Maknouzi, Mohammed El Hadi</t>
  </si>
  <si>
    <t>Artificial intelligence and bank credit analysis: A review</t>
  </si>
  <si>
    <t>Artificial intelligence; big data; credit analysis; credit scoring; regulation</t>
  </si>
  <si>
    <t>This article teases out the ramifications of artificial intelligence (AI) use in the credit analysis process by banks and other financing institutions. The unique features of AI models, coupled with the expansion of computing power, make new sources of information (big data) available for creditworthiness assessments. Combined, the use of AI and big data can capture weak signals, whether in the form of interactions or non-linearities between explanatory variables that appear to yield prediction improvements over conventional measures of creditworthiness. At the macroeconomic level, this translates into positive estimates for economic growth. On a micro scale, instead, the use of AI in credit analysis improves financial inclusion and access to credit for traditionally underserved borrowers. However, AI-based credit analysis processes raise enduring concerns due to potential biases and ethical, legal, and regulatory problems. These limits call for the establishment of a new generation of financial regulation introducing the certification of AI algorithms and of data used by banks.</t>
  </si>
  <si>
    <t>[Sadok, Hicham] Mohammed V Univ Rabat, Econ &amp; Finance, Rabat, Morocco; [Sakka, Fadi] Hamdan Bin Mohammed Smart Univ, Human Resources Management, Dubai, U Arab Emirates; [El Maknouzi, Mohammed El Hadi] Abu Dhabi Univ, Business Law, Abu Dhabi, U Arab Emirates</t>
  </si>
  <si>
    <t>Mohammed V University in Rabat; Abu Dhabi University</t>
  </si>
  <si>
    <t>El Maknouzi, ME (corresponding author), Abu Dhabi Univ, Business Law, Abu Dhabi, U Arab Emirates.;El Maknouzi, ME (corresponding author), Mohammed V Univ Rabat, Abu Dhabi, U Arab Emirates.</t>
  </si>
  <si>
    <t>mohammed.maknouzi@adu.ac.ae</t>
  </si>
  <si>
    <t>Sadok, Hicham/AAY-4626-2021</t>
  </si>
  <si>
    <t>Sadok, Hicham/0000-0003-4402-0954; Sakka, Fadi/0000-0002-4463-6217</t>
  </si>
  <si>
    <t>10.1080/23322039.2021.2023262</t>
  </si>
  <si>
    <t>YE0UF</t>
  </si>
  <si>
    <t>WOS:000740846900001</t>
  </si>
  <si>
    <t>Rambaud, SC; Pascual, JL; Moro-Visconti, R; Santandreu, EM</t>
  </si>
  <si>
    <t>Rambaud, Salvador Cruz; Pascual, Joaquin Lopez; Moro-Visconti, Roberto; Santandreu, Emilio M.</t>
  </si>
  <si>
    <t>Should gender be a determinant factor for granting crowdfunded microloans?</t>
  </si>
  <si>
    <t>GREEN MICROFINANCE; POVERTY; WOMEN; ENTREPRENEURSHIP; SUSTAINABILITY; IMPACT; RISK</t>
  </si>
  <si>
    <t>Crowdfunded microloans are a suitable tool for financing basic economic activities in developing as well as developed countries, favouring female empowerment. Despite the loans being relatively small, the widespread use of this instrument merits analyzing the factors affecting the microloan. One of these factors is gender because microloans are an important tool to finance projects promoted by women in many developing countries where microfinance is widely diffused. This research aims to determine if the gender of crowdfunded micro-borrowers is related to the main features which define the conditions of a microloan: amount, term, number of lenders, length of time to contact with borrowers and repayment system. The methodology used is the multinomial logit regression. The sample used in this study has been obtained by applying sampling techniques to a extensive public database from Kiva. This provided information on microloans from 56 countries around the world. The results based on amount, term, repayment method and recruitment period indicate that women are the best borrowers. All these variables, except the term, are significant at a 5% level. These findings may be useful to improve financial inclusion and outreach, consistently with the Sustainable Development Goals. Future research is needed to assess how green and pink  microfinance (with environmental strategies particularly favored by women) can attract more ESG-compliant crowdfunding resources.</t>
  </si>
  <si>
    <t>[Rambaud, Salvador Cruz] Univ Almeria, Almeria, Spain; [Pascual, Joaquin Lopez] Univ Rey Juan Carlos, Madrid, Spain; [Moro-Visconti, Roberto] Univ Cattolica Sacro Cuore, Milan, Italy; [Santandreu, Emilio M.] OUR Microlending, Miami, FL USA</t>
  </si>
  <si>
    <t>Universidad de Almeria; Universidad Rey Juan Carlos; Catholic University of the Sacred Heart</t>
  </si>
  <si>
    <t>Rambaud, SC (corresponding author), Univ Almeria, Almeria, Spain.</t>
  </si>
  <si>
    <t>scruz@ual.es</t>
  </si>
  <si>
    <t>, Joaquín López Pascual/Q-4225-2018; Visconti, Roberto/AAH-5997-2019</t>
  </si>
  <si>
    <t>, Joaquín López Pascual/0000-0002-6236-9853; Cruz Rambaud, Salvador/0000-0002-1318-1221</t>
  </si>
  <si>
    <t>DEC 13</t>
  </si>
  <si>
    <t>10.1057/s41599-022-01475-z</t>
  </si>
  <si>
    <t>7B1LW</t>
  </si>
  <si>
    <t>WOS:000898904900002</t>
  </si>
  <si>
    <t>Blockchain, herding and trust in peer-to-peer lending</t>
  </si>
  <si>
    <t>Financial inclusion; Blockchain; Experimental behavioural finance; Financial trauma; Fintech; Peer-to-peer lending; G21; G23; G4</t>
  </si>
  <si>
    <t>NETWORKS; CREDIT</t>
  </si>
  <si>
    <t>Purpose The gradual implementation of blockchain technology in peer-to-peer (P2P) lending platforms facilitates safer, transparent and quick access to funds without having to deal with the more complex and costly processes of banks. Beyond that, the purpose of this paper is to examine trust-enhancing heuristics that show a need for blockchain to assist in monitoring and bad loan recovery. Design/methodology/approach This study examines 909 lending decisions by 303 finance students on a mock P2P site. Each participant was asked to make three lending decisions. The loan applications were identical with the exception of a female or male photo (vs an icon) and reports of having raised half the loan in either 2 or 11 days (vs 7). Findings Investors who have experienced financial trauma are more likely to herd and lend higher amounts to loan applicants that are highly trusted by other lenders. This effect is more pronounced for male investors lending to highly trusted female loan applicants. Practical implications Blockchain can compensate for behavioral biases and improve monitoring by helping track digital money transactions and assisting in bad loan recovery efforts. Originality/value This study is the first behavioral experiment to examine herding in P2P lending. The findings complement and corroborate those by Gonzalez and Komarova (2014, 2015) and emphasize the need for blockchain to assist beyond trusted records and safe transfers of funds.</t>
  </si>
  <si>
    <t>[Gonzalez, Laura] Calif State Univ Long Beach, Coll Business Adm, Dept Finance, Long Beach, CA 90840 USA</t>
  </si>
  <si>
    <t>Gonzalez, L (corresponding author), Calif State Univ Long Beach, Coll Business Adm, Dept Finance, Long Beach, CA 90840 USA.</t>
  </si>
  <si>
    <t>Gonzalez, Laura/AAQ-3103-2021</t>
  </si>
  <si>
    <t>10.1108/MF-09-2018-0423</t>
  </si>
  <si>
    <t>NL6XY</t>
  </si>
  <si>
    <t>WOS:000567557200008</t>
  </si>
  <si>
    <t>Alemu, M; Jayamohan, MK; Mulugeta, W</t>
  </si>
  <si>
    <t>Alemu, Minyahil; Jayamohan, M. K.; Mulugeta, Wondaferahu</t>
  </si>
  <si>
    <t>Global connectivity and resilience in African Banking: Role of technology and regulation</t>
  </si>
  <si>
    <t>RESEARCH IN GLOBALIZATION</t>
  </si>
  <si>
    <t>Africa; Banking Globalization; Banking Regulation; Digital Banking; Financial Resilience; Financial Markets</t>
  </si>
  <si>
    <t>FOREIGN DIRECT-INVESTMENT; ECONOMIC-GROWTH; MOBILE BANKING; FINANCIAL INCLUSION; INITIAL CONDITIONS; GLOBALIZATION; INTEGRATION; STABILITY; SYSTEM; IMPACT</t>
  </si>
  <si>
    <t>This study emphasizes three solid questions: (i) the extent to which African banking systems are globalized; (ii) the role of regulation and technology in this process; and (iii) whether economic globalization reinforces banking stability. We conceptualize financial globalization through two symbiotic dimensions; connectivity and resilience, both affected by technological and regulatory designs. Covering 21 African nations and five major global economies, we employ comovement analysis (2000-2023), generalized impulse response functions, and SystemGMM (2010-2023). We found strong comovement between African and global banks, especially during the 2007/08 global financial crisis, followed by partial decoupling in its aftermath. Yet, African banks tend to be highly reactive to world liquidity conditions. Financial technology has a dual role: automated teller machine proliferation fosters cross-border activity, whereas mobile banking, though active for domestic inclusion, did less as a global connector due to infrastructural and regulatory curbs. Regulatory capital cushions, chiefly Tier 1 ratios, favor both stability and integration by lowering risk and refining solvency. Trade openness, one facet of economic globalization, also upholds banking stability through greater risk diversification. We suggest adaptive regulatory approaches, like sandbox outlines, and especial support for smaller African banks, for more inclusive and sustainable integration into global financial markets. Future research must expand on regulatory on scope to capture institutional asymmetry and incipient risks within Africa's finance.</t>
  </si>
  <si>
    <t>[Alemu, Minyahil; Jayamohan, M. K.] Jimma Univ, Jimma, Ethiopia; [Mulugeta, Wondaferahu] Ethiopian Civil Serv Univ, Addis Ababa, Ethiopia</t>
  </si>
  <si>
    <t>Jimma University</t>
  </si>
  <si>
    <t>Alemu, M (corresponding author), Jimma Univ, Jimma, Ethiopia.</t>
  </si>
  <si>
    <t>minyahil.alemu@ju.edu.et; mkjmohan@gmail.com; wondm2001@yahoo.com</t>
  </si>
  <si>
    <t>; Jayamohan, MK/ACO-6227-2022</t>
  </si>
  <si>
    <t>Alemu, Minyahil/0000-0002-1529-5775; Jayamohan, MK/0000-0003-4594-1536</t>
  </si>
  <si>
    <t>2590-051X</t>
  </si>
  <si>
    <t>RES GLOB</t>
  </si>
  <si>
    <t>Res. Glob.</t>
  </si>
  <si>
    <t>10.1016/j.resglo.2025.100285</t>
  </si>
  <si>
    <t>Economics; Environmental Studies; Social Sciences, Interdisciplinary</t>
  </si>
  <si>
    <t>Business &amp; Economics; Environmental Sciences &amp; Ecology; Social Sciences - Other Topics</t>
  </si>
  <si>
    <t>2RV6F</t>
  </si>
  <si>
    <t>WOS:001489803700001</t>
  </si>
  <si>
    <t>Ketkar, SP; Shankar, R; Banwet, DK</t>
  </si>
  <si>
    <t>Ketkar, S. P.; Shankar, Ravi; Banwet, D. K.</t>
  </si>
  <si>
    <t>STRUCTURAL MODELING AND MAPPING OF M-BANKING INFLUENCERS IN INDIA</t>
  </si>
  <si>
    <t>JOURNAL OF ELECTRONIC COMMERCE RESEARCH</t>
  </si>
  <si>
    <t>M-banking; drivers; barriers; ISM - Interpretive Structural Modeling; MICMAC</t>
  </si>
  <si>
    <t>CUSTOMER VALUE; VALUE CHAIN; ADOPTION; INTERNET; TECHNOLOGY</t>
  </si>
  <si>
    <t>Given that government reckons mobile phone as a vehicle for financial inclusion; banks view it as a cost-effective way of reaching out and telcos see mobile banking as an emerging stream of revenue; several enablers and drivers are at play in India's m-banking space. At the same time, low adoption of mobiles as a channel for banking, even after two years of the Reserve Bank notifying the operating guidelines, points to existence of several barriers blocking/inhibiting the spread of mobile banking in India. In these circumstances, a method like Interpretive Structural Modeling (ISM), which forces the managers to consider linkages amongst issues, can provide a better insight than the conventional survey merely seeking ranking or rating of the importance of issues. ISM of enablers/drivers brings out the factors such as 'facility to get quick updates', 'time and cost saving', 'reach of telecom distribution' and 'need for telcos to improve customer retention' as the key drivers. On the other hand, 'lack of need for banking', 'quality of telecom service reach and reliability' and 'interoperability among banks and Telcos' emerge as the inhibitors likely to have highest impact on success of m-banking implementation. Finally, juxtaposition of the two outputs on a common driver-dependency grid segregates the issues to be addressed in different stages of implementation and also highlights the factors needing attention of the top levels in government, Banks and Telcos.</t>
  </si>
  <si>
    <t>[Ketkar, S. P.; Shankar, Ravi; Banwet, D. K.] Indian Inst Technol Delhi, Dept Management Studies, New Delhi, India</t>
  </si>
  <si>
    <t>Ketkar, SP (corresponding author), Indian Inst Technol Delhi, Dept Management Studies, New Delhi, India.</t>
  </si>
  <si>
    <t>shriram.ketkar@dmsiitd.org; ravi1@dms.iitd.ernet.in; dkbanwet@dms.iitd.ac.in</t>
  </si>
  <si>
    <t>SHANKAR, RAVI/HSF-1169-2023</t>
  </si>
  <si>
    <t>SHANKAR, RAVI/0000-0001-8724-593X</t>
  </si>
  <si>
    <t>CALIFORNIA STATE UNIV</t>
  </si>
  <si>
    <t>LONG BEACH</t>
  </si>
  <si>
    <t>COLL BUSINESS, LONG BEACH, CA 90840 USA</t>
  </si>
  <si>
    <t>1526-6133</t>
  </si>
  <si>
    <t>1938-9027</t>
  </si>
  <si>
    <t>J ELECTRON COMMER RE</t>
  </si>
  <si>
    <t>J. Electron. Commer. Res.</t>
  </si>
  <si>
    <t>960JK</t>
  </si>
  <si>
    <t>WOS:000305383600005</t>
  </si>
  <si>
    <t>Ben Yahia, K</t>
  </si>
  <si>
    <t>Ben Yahia, Karim</t>
  </si>
  <si>
    <t>The dark side of cryptocurrency adoption in an emerging market: perspectives of Tunisian users vs. professionals</t>
  </si>
  <si>
    <t>Cryptocurrency; Blockchain; Qualitative approach; Netnography; In-depth interviews; Inhibitors of crypto adoption</t>
  </si>
  <si>
    <t>ACCEPTANCE</t>
  </si>
  <si>
    <t>PurposeThis paper aims to explore the challenges and opportunities of cryptocurrency adoption in Tunisia, focusing on the perspectives of users and professionals. Specifically, it seeks to investigate the underlying factors influencing the adoption and usage of cryptocurrencies in the Tunisian context, including regulatory, technological and socio-economic considerations. By conducting a comprehensive analysis of the motivations, perceptions and experiences of cryptocurrency users and professionals, this research aims to provide valuable insights into the dynamics of cryptocurrency adoption in emerging markets. Through a nuanced examination of these factors, the study ultimately seeks to inform policy decisions, industry practices and future research directions aimed at fostering the responsible and sustainable integration of cryptocurrencies and blockchain technologies into the Tunisian economy.Design/methodology/approachA qualitative approach was used, combining 18 in-depth interviews with professionals alongside netnographic research conducted within two Facebook groups and a Discord group. Data analysis was carried out using T-LAB Plus 2022 software to identify key barriers and motivations to cryptocurrency adoption.FindingsThe findings reveal four distinct categories of cryptocurrency enthusiasts, along with the primary obstacles to adoption, including regulatory uncertainty, risks of fraud and theft and legal ambiguity. Motivations for adoption include revolutionary sentiments, profit-driven motives and peer influence. Furthermore, blockchain technology is recognized for its potential to enhance transparency and drive economic growth in Tunisia, particularly in sectors such as finance, agriculture and public services. The study reveals key differences between users and professionals in cryptocurrency and blockchain adoption. Users are driven by revolutionary goals and financial gain, while professionals emphasize risks, regulatory ambiguity and the need for clear legal frameworks. This contrast underscores the need for balanced policies that consider both perspectives.Research limitations/implicationsLimitations of this research include the small sample size due to data confidentiality and the difficulty in recruiting cryptocurrency holders, many of whom were hesitant to participate due to legal concerns. A future quantitative study could further explore these findings and broaden the generalizability of the conclusions, particularly concerning blockchain technology's potential to drive economic growth.Practical implicationsThe findings of this study highlight the need for regulatory clarity and consumer protection measures to foster trust and legitimacy in the cryptocurrency and blockchain markets in Tunisia. Additionally, educational initiatives and support for blockchain-based projects could promote innovation and economic growth in the region.Social implicationsAddressing the barriers to cryptocurrency adoption could have significant social implications, including increased financial inclusion, economic empowerment and technological advancement in Tunisia. By fostering an environment conducive to cryptocurrency and blockchain use, the country could position itself as a hub for digital innovation in the region.Originality/valueThis study offers a unique insight into cryptocurrency adoption in Tunisia, exploring user perspectives in an emerging market facing structural challenges. By comparing user experiences with professional insights, it also sheds light on the divergent views within the ecosystem, offering a comprehensive understanding of the barriers and opportunities in cryptocurrency adoption.</t>
  </si>
  <si>
    <t>[Ben Yahia, Karim] Univ Bahrain, Coll Business Adm, Dept Management &amp; Mkt, Sakheer, Bahrain; [Ben Yahia, Karim] Univ Tunis, LARIME, Tunis, Tunisia</t>
  </si>
  <si>
    <t>University of Bahrain; Universite de Tunis</t>
  </si>
  <si>
    <t>Ben Yahia, K (corresponding author), Univ Bahrain, Coll Business Adm, Dept Management &amp; Mkt, Sakheer, Bahrain.;Ben Yahia, K (corresponding author), Univ Tunis, LARIME, Tunis, Tunisia.</t>
  </si>
  <si>
    <t>kyahya@uob.edu.bh</t>
  </si>
  <si>
    <t>Ben Yahia, Karim/GWC-6539-2022</t>
  </si>
  <si>
    <t>Ben Yahia, Karim/0000-0001-5873-7812</t>
  </si>
  <si>
    <t>10.1108/IJOEM-04-2024-0687</t>
  </si>
  <si>
    <t>7QN7C</t>
  </si>
  <si>
    <t>WOS:001577278800001</t>
  </si>
  <si>
    <t>Vasudevan, R; Raghavendra, S</t>
  </si>
  <si>
    <t>Vasudevan, Ramaa; Raghavendra, Srinivas</t>
  </si>
  <si>
    <t>Women's Self-Employment as a Developmental Strategy: The Dual Constraints of Care Work and Aggregate Demand</t>
  </si>
  <si>
    <t>Financial inclusion; care work; Post-Keynesian macroeconomics; development policy; women's self-employment</t>
  </si>
  <si>
    <t>MICROFINANCE; CREDIT; NEED</t>
  </si>
  <si>
    <t>The promotion of self-employment through financial inclusion initiatives has been adopted as a means of harnessing the entrepreneurial and productive capacities of women within the neoliberal developmental policy framework. This study presents a simple analytical model in the Post-Keynesian tradition to investigate the linkages between self-employment, aggregate demand, and unpaid care work by developing a two-sector model. It shows that a developmental strategy based on fostering women's self-employment is constrained, on the one hand, by the macroeconomic conditions driving aggregate demand and, on the other, by the trade-off between the time allocation between unpaid care and paid work that the gendered division of care work responsibilities imposes on the self-employed woman worker. The promotion of self-employment cannot serve as a viable development strategy without policies that directly boost aggregate demand and at the same time relieve the burden of care responsibilities on women through public investment and social provision of care.</t>
  </si>
  <si>
    <t>[Vasudevan, Ramaa] Colorado State Univ, Econ, Ft Collins, CO 80523 USA; [Raghavendra, Srinivas] Natl Univ Ireland, Galway Econ, JE Cairnes Sch Business, Galway, Ireland</t>
  </si>
  <si>
    <t>Colorado State University System; Colorado State University Fort Collins; Ollscoil na Gaillimhe-University of Galway</t>
  </si>
  <si>
    <t>Vasudevan, R (corresponding author), Colorado State Univ, Econ, Ft Collins, CO 80523 USA.</t>
  </si>
  <si>
    <t>ramaa.vasudevan@colostate.edu; s.raghav@nuigalway.ie</t>
  </si>
  <si>
    <t>Vasudevan, Ramaa/0000-0001-5052-7247; Raghavena, Srinivas/0000-0003-2058-822X</t>
  </si>
  <si>
    <t>10.1080/13545701.2022.2044497</t>
  </si>
  <si>
    <t>3W1KU</t>
  </si>
  <si>
    <t>WOS:000777517600001</t>
  </si>
  <si>
    <t>Pendame, S; Akotey, JO</t>
  </si>
  <si>
    <t>Pendame, Susan; Akotey, Joseph Oscar</t>
  </si>
  <si>
    <t>The effect of a moveable collateral registry on MSME access to finance: Evidence from Malawi</t>
  </si>
  <si>
    <t>MSMEs; access to credit; moveable assets; moveable collateral registry; Malawi</t>
  </si>
  <si>
    <t>CREDIT MARKETS; CONTRACTS</t>
  </si>
  <si>
    <t>This study explores to answer the question: does the introduction of a moveable collateral registry lead to significant increase in access to credit to micro, small and medium-sized enterprises? We examine this question through a unique dataset collected from the moveable collateral registry and commercial banks in Malawi. The findings indicate that the introduction of the registry in Malawi has led to marginal increase in MSME's access to bank credit. Real property, however, remains the preferred collateral and ability to repay the loan is the most important consideration amongst banks in assessing whether to lend to micro, small and medium-sized enterprises. We recommend the registry to integrate into its programs financial literacy training for MSMEs, and credit guarantee schemes to mitigate the perceived high risk associated with small enterprises. This will equip the MSMEs to keep proper accounts and enhance their access to the registry and bank credit.</t>
  </si>
  <si>
    <t>[Pendame, Susan] Stellenbosch Univ, Univ Stellenbosch Business Sch, Cape Town, South Africa; [Akotey, Joseph Oscar] Kwame Nkrumah Univ Sci &amp; Technol, KNUST Sch Business, Kumasi, Ghana; [Akotey, Joseph Oscar] Kwame Nkrumah Univ Sci &amp; Technol, Dept Accounting &amp; Finance, Kumasi, Ghana</t>
  </si>
  <si>
    <t>Stellenbosch University; Kwame Nkrumah University Science &amp; Technology; Kwame Nkrumah University Science &amp; Technology</t>
  </si>
  <si>
    <t>Akotey, JO (corresponding author), Kwame Nkrumah Univ Sci &amp; Technol, Dept Accounting &amp; Finance, Kumasi, Ghana.</t>
  </si>
  <si>
    <t>jesujuva1987@gmail.com</t>
  </si>
  <si>
    <t>Akotey, Joseph Oscar/AFR-6127-2022</t>
  </si>
  <si>
    <t>Akotey, Joseph Oscar/0000-0002-0414-850X</t>
  </si>
  <si>
    <t>10.1080/23322039.2022.2163873</t>
  </si>
  <si>
    <t>7O2DO</t>
  </si>
  <si>
    <t>WOS:000907840500001</t>
  </si>
  <si>
    <t>Mia, MA; Jibir, A; Omeke, M</t>
  </si>
  <si>
    <t>Mia, Md Aslam; Jibir, Adamu; Omeke, Michael</t>
  </si>
  <si>
    <t>Employee turnover and the social outreach (breadth): international evidence from the microfinance industry</t>
  </si>
  <si>
    <t>Employee turnover; Microfinance; Breadth of outreach; Social outreach; Microfinance institutions; Performance</t>
  </si>
  <si>
    <t>ORGANIZATIONAL PERFORMANCE; JOB-SATISFACTION; EFFICIENCY; IMPACT; LEVEL</t>
  </si>
  <si>
    <t>Purpose - Earlier studies on employee turnover have invested enormous scholarly mileage to understand and address human resource challenges. Considering the substantial evidence on the negative and non-linear relationship between employee turnover and firms' performance, the purpose of this study is to investigate the effects of employee turnover on the social outreach (e.g. breadth of outreach) of microfinance institutions (MFIs), also known as the financial inclusion agenda of the Sustainable Development Goals. Design/methodology/approach - To achieve the study objective, the authors collected unbalanced panel data of 1,391 MFIs, covering a total of 96 economies and a period of 2010-2018. The organizational and macroeconomic data were obtained from the World Bank's Mix Market and World Development Indicators databases, respectively, and subsequently analysed using the pooled ordinary least squares, randomeffects model, fixed effects model and generalized method of moments. Findings - Overall, the authors found that employee turnover has a positive impact on the social outreach of MFIs, which suggests that employee turnover reduces organizational blindness and groupthink, potentiates efficiency gains and minimizes retention costs. On the contrary, this study does not find evidence of a non-linear effect of employee turnover on the outreach objectives of MFIs. Meanwhile, these effects were observed to vary depending on the proxy, sub-samples and techniques used in the analysis. Originality/value - Motivated by the paucity of literature, the study has uniquely investigated the effect of employee turnover on the social outreach objective of MFIs by using relatively recent and global-level data. The study findings can help managers and the human resource departments to make optimum decisions about employee turnover management.</t>
  </si>
  <si>
    <t>[Mia, Md Aslam] Univ Sains Malaysia, Sch Management, George Town, Malaysia; [Jibir, Adamu] Gombe State Univ, Dept Econ, Gombe, Nigeria; [Omeke, Michael] Kyambogo Univ, Dept Accounting Finance &amp; Microfinance, Kampala, Uganda</t>
  </si>
  <si>
    <t>Universiti Sains Malaysia; Kyambogo University</t>
  </si>
  <si>
    <t>aslammia@usm.my; adamujibir@gsu.edu.ng; omekemichael@gmail.com</t>
  </si>
  <si>
    <t>Mia, Aslam/AAD-6996-2020</t>
  </si>
  <si>
    <t>10.1108/SRJ-09-2022-0363</t>
  </si>
  <si>
    <t>U0RM4</t>
  </si>
  <si>
    <t>WOS:000968562700001</t>
  </si>
  <si>
    <t>Hamza, SM; Aysan, AF; Kayani, UN</t>
  </si>
  <si>
    <t>Hamza, Sahibzada Muhammad; Aysan, Ahmet Faruk; Kayani, Umar Nawaz</t>
  </si>
  <si>
    <t>Cultural Catalysts of FinTech: Baring Long-Term Orientation and Indulgent Cultures in OECD Countries</t>
  </si>
  <si>
    <t>ECONOMICS-THE OPEN ACCESS OPEN-ASSESSMENT E-JOURNAL</t>
  </si>
  <si>
    <t>national culture; long-term orientation; indulgence; FinTech appetite; financial inclusion</t>
  </si>
  <si>
    <t>MOBILE BANKING; NATIONAL CULTURE; TECHNOLOGY; ADOPTION; ACCEPTANCE; CONSUMERS; INTENTION; ICT</t>
  </si>
  <si>
    <t>The proliferation of financial technology (FinTech) has been instrumental in advancing financial inclusion, particularly in regions where traditional banking services have been historically limited. This study controls for supply-side determinants of FinTech adoption across societies and investigates the influence of cultural dimensions - long-term orientation (emphasizing future rewards, perseverance, and thrift) and indulgence (prioritizing immediate personal satisfaction, leisure, and emotional expression) - on this phenomenon. Utilizing a comprehensive dataset spanning 9 years (2012-2020) from 43 OECD member countries (including partner nations), this research employs a two-stage fixed effect model with robust standard errors. The findings reveal that societies characterized by higher levels of indulgence demonstrate a lower propensity for FinTech adoption. Conversely, the long-term orientation cultural dimension exhibited a negative, albeit statistically insignificant, effect on FinTech appetite. This study underscores the necessity for industry practitioners and FinTech entrepreneurs to consider cultural dynamics when initiating FinTech ventures in specific markets. Furthermore, it recommends the exploration of additional cultural dimensions from various frameworks to enhance the generalizability of these findings. By elucidating the pivotal role of culture in shaping FinTech adoption, this research offers valuable insights for both academic discourse and industry applications, contributing to a more nuanced understanding of the interplay between cultural factors and financial innovation.</t>
  </si>
  <si>
    <t>[Hamza, Sahibzada Muhammad; Aysan, Ahmet Faruk] Hamad Bin Khalifa Univ, Qatar Fdn, Coll Islamic Studies, Doha, Qatar; [Kayani, Umar Nawaz] Al Ain Univ Abu Dhabi, Coll Business Adm, Abu Dhabi, U Arab Emirates</t>
  </si>
  <si>
    <t>Qatar Foundation (QF); Hamad Bin Khalifa University-Qatar</t>
  </si>
  <si>
    <t>Aysan, AF (corresponding author), Hamad Bin Khalifa Univ, Qatar Fdn, Coll Islamic Studies, Doha, Qatar.</t>
  </si>
  <si>
    <t>saha36711@hbku.edu.qa; aaysan@hbku.edu.qa; umar.kayani@aau.ac.ae</t>
  </si>
  <si>
    <t>Aysan, Ahmet Faruk/ABD-9167-2021; Hamza, Sahibzada/OYF-1185-2025; Kayani, Umar/AAN-3820-2021</t>
  </si>
  <si>
    <t>Aysan, Ahmet Faruk/0000-0001-7363-0116; Kayani, Umar/0000-0003-1404-5288; Hamza, Sahibzada Muhammad/0009-0008-2479-3785</t>
  </si>
  <si>
    <t>Qatar National Library</t>
  </si>
  <si>
    <t>Qatar National Library(Qatar National Research Fund (QNRF))</t>
  </si>
  <si>
    <t>The authors acknowledge the support of Qatar National Library for providing Open Access funding for this publication. This article is published under the Creative Commons Attribution (CC-BY) license, in alignment with the library s open-access policy.</t>
  </si>
  <si>
    <t>DE GRUYTER POLAND SP Z O O</t>
  </si>
  <si>
    <t>BOGUMILA ZUGA 32A STR, 01-811 WARSAW, MAZOVIA, POLAND</t>
  </si>
  <si>
    <t>1864-6042</t>
  </si>
  <si>
    <t>ECONOMICS-KIEL</t>
  </si>
  <si>
    <t>Economics-Kiel</t>
  </si>
  <si>
    <t>10.1515/econ-2025-0137</t>
  </si>
  <si>
    <t>0AT1W</t>
  </si>
  <si>
    <t>WOS:001442911100001</t>
  </si>
  <si>
    <t>Arebo, MJ</t>
  </si>
  <si>
    <t>Arebo, Mohammed Jatoro</t>
  </si>
  <si>
    <t>Asymmetric analysis of the financial inclusion - growth nexus: A NARDL approach</t>
  </si>
  <si>
    <t>Financial inclusion; PCA; Economic growth; Asymmetric effect; Ethiopia</t>
  </si>
  <si>
    <t>REAL EXCHANGE-RATE; MACROECONOMIC TIME-SERIES; OIL-PRICE SHOCK; ECONOMIC-GROWTH; UNIT-ROOT; EMPIRICAL-EVIDENCE; TRADE OPENNESS; POPULATION-GROWTH; STOCK MARKETS; GREAT CRASH</t>
  </si>
  <si>
    <t>Financial inclusion (FI) is widely recognized as a catalyst for sustainable development in the era of globalization, yet its effects may not be uniform. This paper examines the asymmetric impact of FI on Ethiopia's economic growth over the period 1991-2023. A composite FI index was developed using a two-stage Principal Component Analysis (PCA) that integrates six traditional and four digital financial indicators. The Nonlinear Autoregressive Distributed Lag (NARDL) model is employed to capture short- and long-run asymmetries, while the TodaYamamoto causality test examines directional linkages. Empirical results reveal that positive FI shocks significantly enhance long-term economic growth, whereas negative shocks reduce it, though only positive shocks significantly spur economic growth in the short run. The findings underscore a domino-effect of FI, where FI expansion generates sustained growth momentum than the adverse impact of FI contraction. Moreover, trade openness, monetary expansion, and population growth are found to exert adverse effects on growth, while the real exchange rate contributes positively in the short run. Causality results confirm both supply-leading and demand-following hypotheses, suggesting a feedback loop between FI and growth. As FI emerges as a key driver of growth, policy implications stress the need to strengthen domestic financial regulation, promote digital financial services, invest in infrastructure and expand financial literacy. For Ethiopia and similar economies, embedding FI within broader development strategies while addressing the negative asymmetric effects of FI is essential to ensure inclusive and resilient growth.</t>
  </si>
  <si>
    <t>[Arebo, Mohammed Jatoro] Addis Ababa Univ, Coll Dev Studies, Reg &amp; Local Dev Studies, Addis Ababa, Ethiopia</t>
  </si>
  <si>
    <t>Addis Ababa University</t>
  </si>
  <si>
    <t>Arebo, MJ (corresponding author), Addis Ababa Univ, Coll Dev Studies, Reg &amp; Local Dev Studies, Addis Ababa, Ethiopia.</t>
  </si>
  <si>
    <t>Arebo, Mohammed/LRS-9966-2024</t>
  </si>
  <si>
    <t>10.1016/j.resglo.2025.100316</t>
  </si>
  <si>
    <t>8JP1I</t>
  </si>
  <si>
    <t>WOS:001590218400002</t>
  </si>
  <si>
    <t>Fersi, M; Boujelbéne, M; Arous, F</t>
  </si>
  <si>
    <t>Fersi, Marwa; Boujelbene, Mouna; Arous, Feten</t>
  </si>
  <si>
    <t>Microfinance's digital transformation for sustainable inclusion</t>
  </si>
  <si>
    <t>EUROPEAN JOURNAL OF MANAGEMENT AND BUSINESS ECONOMICS</t>
  </si>
  <si>
    <t>Digital transformation; Financial performance; Social performance; Microfinance institutions; FinTech services</t>
  </si>
  <si>
    <t>TECHNICAL EFFICIENCY ESTIMATION; BANK PROFITABILITY; CEO OVERCONFIDENCE; USER ACCEPTANCE; MULTIPLE INPUTS; RISK; INSTITUTIONS; TECHNOLOGY; OUTREACH; PERFORMANCE</t>
  </si>
  <si>
    <t>Purpose - The purpose of this paper is to evaluate the performance of Microfinance Institutions (MFIs) offering FinTech services. This study contributes to the existing literature on microfinance digitalization, financial inclusion and sustainable development. The study also takes into consideration a behavioral perspective through the efficiency evaluation process of MFIs offering FinTech services.Design/methodology/approach - The following study employs the Stochastic Frontier Analysis approach to estimate the operational and social efficiency scores of the 387 MFIs over the period 2005-2019. Then, it tries to consider factors influencing MFIs' efficiency and assess their effects. Hence, two separate models for operation and social efficiency introducing a set of factors, including FinTech proxies and overconfidence proxies, are tested. The first model for operational efficiency uses a random-effects estimator while the second one for social efficiency uses a fixed-effects estimator.Findings - The results show that innovative MFIs have weaker averages of operational efficiency than non-innovative ones but higher averages of social efficiency. This was justified by the fact that innovative MFIs are more socially oriented. Further, findings of this study depict that the proxies of FinTech affect negatively the level of operational efficiency of MFIs. They also depict a negative relationship between FinTech proxies and the level of social efficiency. These results hold through robustness tests.Originality/value - The highlight of this study is that it takes heed of the indirect effect of technological innovation on the efficiency of MFIs. It has been proved that it moderates the impact of managerial overconfidence (manifested by excessive risk-taking, viz., high levels of PAR30, LGR and NIM) on the level of both operational and social efficiencies.</t>
  </si>
  <si>
    <t>[Fersi, Marwa; Boujelbene, Mouna; Arous, Feten] Univ Sfax, Fac Econ &amp; Management Sfax, Sfax, Tunisia</t>
  </si>
  <si>
    <t>Universite de Sfax</t>
  </si>
  <si>
    <t>Fersi, M (corresponding author), Univ Sfax, Fac Econ &amp; Management Sfax, Sfax, Tunisia.</t>
  </si>
  <si>
    <t>maroua.fsegs@gmail.com</t>
  </si>
  <si>
    <t>Arous, Feten/KMA-2694-2024</t>
  </si>
  <si>
    <t>Fersi, Marwa/0000-0001-7723-1403</t>
  </si>
  <si>
    <t>2444-8451</t>
  </si>
  <si>
    <t>2444-8494</t>
  </si>
  <si>
    <t>EUR J MANAG BUS ECON</t>
  </si>
  <si>
    <t>Eur. J. Manag. Bus. Econ.</t>
  </si>
  <si>
    <t>10.1108/EJMBE-10-2022-0332</t>
  </si>
  <si>
    <t>AL8D7</t>
  </si>
  <si>
    <t>WOS:001102518500001</t>
  </si>
  <si>
    <t>Ali, AEES</t>
  </si>
  <si>
    <t>Ali, Abd elrhman Elzahi Saaid</t>
  </si>
  <si>
    <t>The challenges facing poverty alleviation and financial inclusion in North-East Kenya Province (NEKP)</t>
  </si>
  <si>
    <t>Poverty alleviation; Micro-finance; Financial inclusion</t>
  </si>
  <si>
    <t>Purpose - Poverty alleviation is one of the most compelling challenges facing Kenya today. It is not only widespread but it is also steadily rising. This highlights the need for sustainable solutions to poverty particularly through microfinance. This research investigated the case of North Eastern Kenya Province. The purpose of this paper is to explore the unique micro-level challenges that are faced by poverty alleviation programs adopted by microfinance institutions operating in this region. Design/methodology/approach - The study used structured questionnaires to collect primary data. The sample covered 600 respondents randomly selected from three counties, namely, Wajir, Mandera and Marsabit. Three focus group discussions comprising 24 participants held to facilitate a deeper understanding of the challenges of poverty among the North Eastern Province's communities when alleviated through micro-finance. Findings - The results reveal that the illiteracy due to the weakness of education and the unfavorable basic and financial infrastructures such as roads, telecommunications network represents the most important challenges that may affect the success of micro-finance programs. Research limitations/implications - These results recommend that both conventional and Islamic micro-finance might contribute positively for poverty alleviation for the poorest Kenyan region if the challenges are mitigated. Practical implications - The study provides policy recommendations for the Kenya Government and the conventional and Islamic banks in Kenya to provide the expected support for the poorest area in the country. Social implications - The result of this research might help the government, micro-finance providers and the donors to assist in alleviating the poverty of the Northern Kenyan community. Originality/value - To overcome the challenges of alleviating poverty in the region of Northern Kenya.</t>
  </si>
  <si>
    <t>[Ali, Abd elrhman Elzahi Saaid] Islamic Res &amp; Training Inst, Islamic Dev Bank, Jeddah, Saudi Arabia</t>
  </si>
  <si>
    <t>Ali, AEES (corresponding author), Islamic Res &amp; Training Inst, Islamic Dev Bank, Jeddah, Saudi Arabia.</t>
  </si>
  <si>
    <t>aelzahi@isdb.org</t>
  </si>
  <si>
    <t>Ali, Abd Elrhman/E-3015-2012; Ali, Abd/E-3015-2012</t>
  </si>
  <si>
    <t>Ali, Abd Elrhman/0000-0001-7838-7557;</t>
  </si>
  <si>
    <t>10.1108/IJSE-05-2016-0133</t>
  </si>
  <si>
    <t>WOS:000415099000042</t>
  </si>
  <si>
    <t>Porteous, D</t>
  </si>
  <si>
    <t>Kohn, D; VonPischke, JD</t>
  </si>
  <si>
    <t>Porteous, David</t>
  </si>
  <si>
    <t>Housing Finance and Financial Inclusion</t>
  </si>
  <si>
    <t>HOUSING FINANCE IN EMERGING MARKETS: CONNECTING LOW-INCOME GROUPS TO MARKETS</t>
  </si>
  <si>
    <t>This chapter locates international housing finance within the emerging focus on financial inclusion in developing countries. It does this by collecting and analyzing indicators of the extent of access to housing finance in a sample of developing countries, with a special focus on low-income borrowers. A top down view of the reach of the traditional mortgage instrument is complemented by a bottom-up view of the use of financial instruments for housing purposes by low-income households. Using measures of depth, affordability and completeness, the chapter shows that, while mortgage finance has been growing rapidly in many developing countries over the past decade, its reach is limited in developing countries: at most, a third of households in typical middle-income countries has access to mortgages. This proportion is much lower in low-income countries. While housing microfinance is increasingly hailed as a vital solution for those whom mortgages cannot reach, its scale remains limited in most places, although it is growing along with microfinance in general. In practice, poor people mainly finance their housing using savings. Despite increased availability of datasets which enable the measurement of access in developing countries, there is still a shortage of consistent, reliable indicators about housing finance markets and about the performance of housing finance portfolios over time. Using the lens of access, the chapter demonstrates that it is possible to segment the population into different groups with different potential to be reached by different instruments. At very least, this analysis should clarify that the housing finance system alone cannot solve problems of lack of income or of affordability. However, in the future, the success of a housing finance system should be measured not only by the volumes of lending alone but also by the extent that access expands to appropriate forms of housing finance.</t>
  </si>
  <si>
    <t>Bankable Frontier Associates, Somerville, MA 02144 USA</t>
  </si>
  <si>
    <t>Porteous, D (corresponding author), Bankable Frontier Associates, Somerville, MA 02144 USA.</t>
  </si>
  <si>
    <t>Porteous, David/MAI-3874-2025</t>
  </si>
  <si>
    <t>978-3-540-77856-1</t>
  </si>
  <si>
    <t>10.1007/978-3-540-77857-8_2</t>
  </si>
  <si>
    <t>10.1007/978-3-540-77857-8</t>
  </si>
  <si>
    <t>BUN34</t>
  </si>
  <si>
    <t>WOS:000289826400002</t>
  </si>
  <si>
    <t>Mobile money system and market risk mitigation: an econometric case study of Kenya's farm business</t>
  </si>
  <si>
    <t>Mobile money; Take-up rate; Market risk; Farm business; Sample selection</t>
  </si>
  <si>
    <t>INFORMATION; PRICE; PHONES; PERFORMANCE; TECHNOLOGY; VOLATILITY; SERVICES; WELFARE; ACCESS; HOUSEHOLDS</t>
  </si>
  <si>
    <t>Purpose The study presents and evaluates a proposition that there is market information bundled with the mobile money (m-money) system. Also, that such information is disseminated to farmers in the process of their normal financial transactions and business interactions. This market information is important to mitigate the price uncertainty of farm products. Design/methodology/approach The empirical analysis is conducted with a two-stage econometric procedure. First, a probit model is used to estimate the likelihood of m-money take-up by farm entrepreneurs. Second, the ordinary least squares model is used to regress the farming price uncertainty index on the m-money take-up, which is quantified with a set of predicted values from the probit model in the first stage. The data used in econometric estimation come from Kenya's FinAccess Household Survey published in 2016. Findings The results of this paper show a negative effect of m-money service take-up on the price uncertainty index. A one unit increase in the m-money system is associated with a 12% reduction in the price uncertainty index. The authors interpret this as saying that access to the m-money system by farm business has a beneficial spillover effect on product risk mitigation, ceteris paribus. Research limitations/implications The implication of this research is that policy initiatives which support farm entrepreneurs to access the m-money system should be encouraged not only for their financial inclusion advantage but also for their positive externality on product risk amelioration for rural farm businesses. Originality/value The paper introduces an idea that the m-money system is bundled with relevant information for mitigating price risk to the benefit of rural farm businesses.</t>
  </si>
  <si>
    <t>[Gopane, Thabo J.] Univ Johannesburg, Dept Finance &amp; Investment Management, Johannesburg, South Africa</t>
  </si>
  <si>
    <t>Gopane, TJ (corresponding author), Univ Johannesburg, Dept Finance &amp; Investment Management, Johannesburg, South Africa.</t>
  </si>
  <si>
    <t>10.1108/AFR-05-2020-0071</t>
  </si>
  <si>
    <t>SN8ME</t>
  </si>
  <si>
    <t>WOS:000592872700001</t>
  </si>
  <si>
    <t>Lehner, JM; Gerscovich, A</t>
  </si>
  <si>
    <t>Lehner, Judith M.; Gerscovich, Alicia</t>
  </si>
  <si>
    <t>Contrasting housing microfinance with the social production of habitat in the city of Buenos Aires, Argentina</t>
  </si>
  <si>
    <t>Housing (micro)finance; Latin America; Buenos Aires; social inclusion; public housing policy</t>
  </si>
  <si>
    <t>In a context of the state withdrawing from housing provision, despite a persistent shortage of affordable housing, housing policies in Buenos Aires, Argentina, have increasingly diversified. This paper contrasts two different credit-based approaches to low-income housing provision which have been implemented since the year 2000 in the City of Buenos Aires: collective mortgage loans for self-managed housing construction and improvement projects, embedded in a logic of 'social production of habitat'; and individual housing microloans, following a logic of financial inclusion for low-income households. We examine a case study of each approach and contrast the institutional shifts that have taken place during their implementation, the learning processes each approach facilitates for participants, and the details of how housing is produced in each approach. We conclude that, although housing microfinance and the social production of habitat may appear to follow contradictory logics, they can also be treated as complementary solutions that could be combined to address each other's shortcomings.</t>
  </si>
  <si>
    <t>[Lehner, Judith M.] HafenCity Univ Hamburg, Hamburg, Germany; [Gerscovich, Alicia] Univ Buenos Aires, Ctr Estudios Habitat &amp; Vivienda, Fac Arquitectura Diseno &amp; Urbanismo, Buenos Aires, DF, Argentina</t>
  </si>
  <si>
    <t>University of Buenos Aires</t>
  </si>
  <si>
    <t>Lehner, JM (corresponding author), HafenCity Univ Hamburg, Hamburg, Germany.</t>
  </si>
  <si>
    <t>judith.lehner@urbanvoids.com</t>
  </si>
  <si>
    <t>Lehner, Judith M/0000-0002-7712-1404</t>
  </si>
  <si>
    <t>10.1080/19491247.2021.1906484</t>
  </si>
  <si>
    <t>WOS:000647135100001</t>
  </si>
  <si>
    <t>Li, MX; Zhang, L</t>
  </si>
  <si>
    <t>Li, Mingxian; Zhang, Lu</t>
  </si>
  <si>
    <t>Does residents' digital capability affect households' financial health? Evidence from the CFPS</t>
  </si>
  <si>
    <t>Digital capability; Household financial health; Information welfare; Livelihood diversification; Risk shocks</t>
  </si>
  <si>
    <t>PurposeThis study aims to examine the impact and mechanisms of residents' digital capabilities on household financial health and determine whether their effect differs across different families.Design/methodology/approachUsing the China Family Panel Studies Data and the fixed-effects model, this paper estimates how residents' digital capabilities influence household financial health.FindingsThe study reveals that digital capabilities significantly improve household financial health through information welfare and livelihood diversification. Moderating effect analysis indicates that risk shocks activate the protective role of digital capability, mitigating adverse effects of risk shocks and enhancing household financial health. The heterogeneity analysis shows that the impact of digital capabilities is more pronounced among households with lower educational levels and those with middle-level financial literacy.Originality/valueThe paper constructs a household financial health index based on four dimensions, offering realistic support for achieving high-quality development of inclusive finance in China. It uncovers the intrinsic mechanisms through which digital capabilities affect household financial health, providing a theoretical foundation for the government to guide residents in the effective and rational use of digital technologies to improve household financial well-being.</t>
  </si>
  <si>
    <t>[Li, Mingxian; Zhang, Lu] Hunan Agr Univ, Sch Econ, Changsha, Peoples R China</t>
  </si>
  <si>
    <t>Hunan Agricultural University</t>
  </si>
  <si>
    <t>Zhang, L (corresponding author), Hunan Agr Univ, Sch Econ, Changsha, Peoples R China.</t>
  </si>
  <si>
    <t>1094761686@qq.com; zhanglu@stu.hunau.edu.cn</t>
  </si>
  <si>
    <t>National Natural Science Foundation of China [72073043, 72473040]</t>
  </si>
  <si>
    <t>This study was funded by the National Natural Science Foundation of China (grant nos 72073043 and 72473040).</t>
  </si>
  <si>
    <t>2025 AUG 13</t>
  </si>
  <si>
    <t>10.1108/CAER-11-2024-0411</t>
  </si>
  <si>
    <t>7FN9L</t>
  </si>
  <si>
    <t>WOS:001569824400001</t>
  </si>
  <si>
    <t>Li, FH; Zang, DA; Chandio, AA; Yang, DM; Jiang, YS</t>
  </si>
  <si>
    <t>Li, Fanghua; Zang, Dungang; Chandio, Abbas Ali; Yang, Dongmei; Jiang, Yuansheng</t>
  </si>
  <si>
    <t>Farmers' adoption of digital technology and agricultural entrepreneurial willingness: Evidence from China</t>
  </si>
  <si>
    <t>Adoption of digital technology; Agricultural entrepreneurial willingness; Livelihoods; CHFS</t>
  </si>
  <si>
    <t>EDUCATION; BUSINESS</t>
  </si>
  <si>
    <t>Agricultural entrepreneurship significantly improves farmers' livelihoods and it also contributes toward poverty reduction. In the present study, we used the data of the China Household Finance Survey (CHFS 2019) as a sample, and empirically examined the dynamic linkages between adoption of digital technology (ADT) and farmers' agricultural entrepreneurial willingness (AEW). The findings of this study reveal that (1) the ADT significantly improved farmers' AEW by 18.5%; (2) the ADT more significantly affected the entrepreneurial willingness of farmers who live in less developed rural areas, or who preference for risk, or whose households have not been affected by major adverse events, or who belong to the rural elite; (3) digital financial participation plays a partial mediating effect of 11.7% in the effect of the ADT on farmers' AEW, with financial literacy and subjective well-being having moderating effects and reinforcing the effect of the ADT on farmers' AEW. Finally, we put forward several policy recommendations, such as narrowing the 'three-level digital divide', improving digital human capital, and developing digital inclusive finance to provide new ideas for farmer entrepreneurship, to enhance farmer's livelihood and to promote rural economic development.</t>
  </si>
  <si>
    <t>[Li, Fanghua; Zang, Dungang; Chandio, Abbas Ali; Yang, Dongmei; Jiang, Yuansheng] Sichuan Agr Univ, Coll Econ, Chengdu 611130, Peoples R China</t>
  </si>
  <si>
    <t>Zang, DA (corresponding author), Sichuan Agr Univ, Coll Econ, Chengdu 611130, Peoples R China.</t>
  </si>
  <si>
    <t>abel-lee@foxmail.com; 14155@sicau.edu.cn; alichandio@sicau.edu.cn; 1970697875@qq.com; yjiang@sicau.edu.cn</t>
  </si>
  <si>
    <t>CHANDIO, Abbas Ali/E-7189-2016; Li, Tingting/AFT-3796-2022</t>
  </si>
  <si>
    <t>CHANDIO, Abbas Ali/0000-0001-8706-9681; ZANG, Dungang/0000-0003-1965-316X;</t>
  </si>
  <si>
    <t>General Project of National Social Science Foundation of China [22BGL071]; Key Project of National Social Science Foundation of China [20AJY011]; Key Project of Social Science Planning of Sichuan Province [SC21A016]</t>
  </si>
  <si>
    <t>General Project of National Social Science Foundation of China(National Office of Philosophy and Social Sciences); Key Project of National Social Science Foundation of China(National Office of Philosophy and Social Sciences); Key Project of Social Science Planning of Sichuan Province</t>
  </si>
  <si>
    <t>This research was funded by the General Project of National Social Science Foundation of China (grant number 22BGL071), the Key Project of National Social Science Foundation of China (grant number 20AJY011) and the Key Project of Social Science Planning of Sichuan Province (grant number SC21A016).</t>
  </si>
  <si>
    <t>10.1016/j.techsoc.2023.102253</t>
  </si>
  <si>
    <t>F8FT2</t>
  </si>
  <si>
    <t>WOS:000984658200001</t>
  </si>
  <si>
    <t>Yusuf, AA; Masruroh, R; Nurhayati, N</t>
  </si>
  <si>
    <t>Abdullah, AG; Hurriyati, R; Nandiyanto, ABD; Adiwibowo, L; Aryanti, T; Adriany, V; Aripin, A</t>
  </si>
  <si>
    <t>Yusuf, Ayus Ahmad; Masruroh, Rina; Nurhayati, Neni</t>
  </si>
  <si>
    <t>Sharia Micro Financing for Women Poverty Reduction: an Empirical Study of Rural Areas of Kuningan -West Java - Indonesia</t>
  </si>
  <si>
    <t>PROCEEDINGS OF THE 2016 GLOBAL CONFERENCE ON BUSINESS, MANAGEMENT AND ENTREPRENEURSHIP</t>
  </si>
  <si>
    <t>1st UPI Global Conference on Business, Management and Entreupreuneurship (UPI - GC-BME)</t>
  </si>
  <si>
    <t>AUG 08, 2016</t>
  </si>
  <si>
    <t>Univ Pendidikan Indonesia, Fac Econ &amp; Business Educ, Business Management, Bandung, INDONESIA</t>
  </si>
  <si>
    <t>Univ Pendidikan Indonesia, Fac Econ &amp; Business Educ, Business Management</t>
  </si>
  <si>
    <t>Sharia Microfinancing; Women Poverty; Multiple Linear Regression Model (MLRM); Bait al Maal wa Tamwil (BMT)</t>
  </si>
  <si>
    <t>Sharia Microfinancing for Women Poverty Reduction: An Empirical Study of Rural Areas of Kuningan West Java - Indonesia. Sharia microfinance, has achieved an everlasting fame in all over the world by producing considerable evidence of property eradication. It provides financial services to those people, who have low income, minimal assets and don't have collateral to borrow a credit from commercial banks. The aim of the sharia microfinance is to remove property by empowering poor and the unbanked with a little amount of credit especially for the women. Present study is conducted to find out of impact of sharia micro financing by Bait al Maal wa Tamwil (BMT) in rural areas of Kuningan West Java Indonesia. A sample of 78 borrowers was randomly selected. Sample unit was the borrower who had completely repaid all the loan installments one week before from the day of survey. Survey technique was used and face to face interviews were conducted to collect the relevant information. Descriptive statistics was used and analyze the characteristics of the borrowers while for econometric analysis, Multiple Linear Regression Model (MLRM) was used to know the impact of micro financing. The study not only reveals the impact of sharia microfinancing but also gives some suggestion implication for the betterment of sharia micro financing schemes.</t>
  </si>
  <si>
    <t>[Yusuf, Ayus Ahmad] IAIN Syekh Nurjati Cirebon, Cirebon, Indonesia; [Masruroh, Rina; Nurhayati, Neni] Univ Kuningan, Kuningan, Indonesia</t>
  </si>
  <si>
    <t>ayusayusuf@yahoo.co.id; rektorat@uniku.ac.id</t>
  </si>
  <si>
    <t>Nurhayati, Nurhayati/JGD-9627-2023</t>
  </si>
  <si>
    <t>978-94-6252-268-8</t>
  </si>
  <si>
    <t>BG8HA</t>
  </si>
  <si>
    <t>WOS:000392270600130</t>
  </si>
  <si>
    <t>Georgescu, G</t>
  </si>
  <si>
    <t>Chivu, L; Ciutacu, C; IoanFranc, V; Andrei, JV</t>
  </si>
  <si>
    <t>Georgescu, George</t>
  </si>
  <si>
    <t>Bank De-Risking Impacts on Finance and Development. The Case of Romania</t>
  </si>
  <si>
    <t>ISSUES AND INNOVATIVE TRENDS IN SUSTAINABLE GROWTH - STRATEGY CHALLENGES FOR ECONOMIC AND SOCIAL POLICIES, PT 1</t>
  </si>
  <si>
    <t>4th International Conference on Economic Scientific Research - Theoretical, Empirical and Practical Approaches (ESPERA)</t>
  </si>
  <si>
    <t>DEC 15-16, 2016</t>
  </si>
  <si>
    <t>de-risking; banking system; corresponding banks; AML/CFT; financial stability; non-performing loans; financial inclusion</t>
  </si>
  <si>
    <t>The study aims to investigate the causes, external manifestations and impacts of the phenomenon of de-risking, increasingly rendered visible in the last years on international financial markets, under the circumstances of the post-crisis global economic developments. The paper reveals that this phenomenon is still little discussed and understood by academics and institutional organizations, consequently being ignored by any theoretical foundation or arguments for the possible guidance, between one direction or the other, of policies, norms and regulatory practices in order to monitor and address the slippages with adverse effects. In the paper, the stage of actual knowledge of this phenomenon, as concerns the different forms of manifestation, the main causes and factors of influence, the adverse impact observed and possible counteracting measures are presented. The paper presents some reference points for decoding this phenomenon, proposing new directions for more in-depth scientific researches, focusing on the identification of specific solutions based on customized analysis, including for Romania's case, considering the trade-off options, such as stability versus prudentiality in risk taking and risk management, profitability versus social responsibility under uncertainty conditions, banking system interests versus interests of regulatory and supervisory institutions, and monetary policies versus government policy and strategies.</t>
  </si>
  <si>
    <t>[Georgescu, George] Romanian Acad, Natl Inst Econ Res Costin C Kiritescu, 13 Calea 13 Septembrie,Acad House, Bucharest 050711, Romania</t>
  </si>
  <si>
    <t>Georgescu, G (corresponding author), Romanian Acad, Natl Inst Econ Res Costin C Kiritescu, 13 Calea 13 Septembrie,Acad House, Bucharest 050711, Romania.</t>
  </si>
  <si>
    <t>georgescu@ince.ro</t>
  </si>
  <si>
    <t>Georgescu, George/ABC-2776-2020</t>
  </si>
  <si>
    <t>PETER LANG GMBH</t>
  </si>
  <si>
    <t>INTL VERLAG WISSENSCH, SCHLUTERSTRASSE 42, 10707 BERLIN, GERMANY</t>
  </si>
  <si>
    <t>978-3-653-06572-5; 978-3-631-76221-9</t>
  </si>
  <si>
    <t>Agricultural Economics &amp; Policy; Business, Finance; Development Studies; Economics</t>
  </si>
  <si>
    <t>Agriculture; Business &amp; Economics; Development Studies</t>
  </si>
  <si>
    <t>BS7SD</t>
  </si>
  <si>
    <t>WOS:000766346000024</t>
  </si>
  <si>
    <t>Martínez, L; Short, JR</t>
  </si>
  <si>
    <t>Martinez, Lina; Short, John Rennie</t>
  </si>
  <si>
    <t>The Informal City: Exploring the Variety of the Street Vending Economy</t>
  </si>
  <si>
    <t>informal economy; global south; street vending; Colombia; financial exclusion</t>
  </si>
  <si>
    <t>VENDORS; MICROFINANCE; POOR; CALI; TRADERS</t>
  </si>
  <si>
    <t>Street vending is one of the most important economic activities of the informal sector. This paper highlights the diversity of street vending. We extend the previous analysis of the informal economy in one city, Cali, Colombia, with data on informal workers in two public spaces: Downtown and Santa Helena, and workers in the mass transit bus system. We show how the informal economy varies greatly within one city. Provided the lack of data in the study of the informal economy, most studies describe the dynamics of the informal sector as uniform across the urban space. In this analysis, we present evidence about the spatial segmentation and diversity of street vendors by their socioeconomic conditions, profits, and earnings. We further explore the spatial segmentation by analyzing the large indebtedness and financial exclusion of street vendors. We report that workers in the mass transit system are the most vulnerable and indebted and how the large indebtedness to illegal payday lenders is a major barrier for street vendors to move out of poverty. We conclude that it is important to understand the granularity of the urban informal economy in order to craft suitable public policies.</t>
  </si>
  <si>
    <t>[Martinez, Lina] Univ Icesi, Observatorio Polit Publ POLIS, Cali 760031, Colombia; [Short, John Rennie] Univ Maryland Baltimore Cty, Sch Publ Policy, Baltimore, MD 21250 USA</t>
  </si>
  <si>
    <t>Universidad ICESI; University System of Maryland; University of Maryland Baltimore County</t>
  </si>
  <si>
    <t>Martínez, L (corresponding author), Univ Icesi, Observatorio Polit Publ POLIS, Cali 760031, Colombia.</t>
  </si>
  <si>
    <t>lmmartinez@icesi.edu.co; jrs@umbc.edu</t>
  </si>
  <si>
    <t>Rennie Short, John/0000-0001-7141-6626; Martinez, Lina/0000-0002-5997-2264</t>
  </si>
  <si>
    <t>10.3390/su14127213</t>
  </si>
  <si>
    <t>2L1AX</t>
  </si>
  <si>
    <t>WOS:000816756200001</t>
  </si>
  <si>
    <t>Tahir, MS; Ahmed, AD</t>
  </si>
  <si>
    <t>Tahir, Muhammad S.; Ahmed, Abdullahi D.</t>
  </si>
  <si>
    <t>Australians' Financial Wellbeing and Household Debt: A Panel Analysis</t>
  </si>
  <si>
    <t>household debt; financial wellbeing; financial satisfaction; Australia; HILDA</t>
  </si>
  <si>
    <t>LIFE SATISFACTION; TRANSITIONS; CAPABILITY; BEHAVIOR; STRESS; MODELS; WEALTH; IMPACT; INCOME; LOCUS</t>
  </si>
  <si>
    <t>An excess of everything is bad . This famous old proverb fits well with the current condition of Australian household debt that is continuously rising. Research in Australia's household indebtedness is scarce and strategies to control the rising household debt remain contentious. The government of Australia has introduced financial literacy and financial capability measures to help control the rising household debt. Given that the literature highlights the importance of improving financial wellbeing, we analyse if financial wellbeing is a factor, which could be relevant to the reduced household debt. We use the Household, Income and Labour Dynamics in Australia panel survey in our analysis and find that improved financial wellbeing is associated with the reduced debt-taking behaviour of Australians. Our robust analysis confirms our findings. Finally, our empirical results suggest that improving households' perception of their personal financial situation can bring improvement in their financial decisions, including the decision to take on debt.</t>
  </si>
  <si>
    <t>[Tahir, Muhammad S.; Ahmed, Abdullahi D.] RMIT Univ, Coll Business &amp; Law, Sch Accounting Informat Syst &amp; Supply Chain, Melbourne, Vic 3000, Australia</t>
  </si>
  <si>
    <t>Tahir, MS (corresponding author), RMIT Univ, Coll Business &amp; Law, Sch Accounting Informat Syst &amp; Supply Chain, Melbourne, Vic 3000, Australia.</t>
  </si>
  <si>
    <t>muhammad.tahir@rmit.edu.au; abdullahidahir.ahmed@rmit.edu.au</t>
  </si>
  <si>
    <t>Tahir, Muhammad/AAU-4096-2021</t>
  </si>
  <si>
    <t>Tahir, Muhammad/0000-0002-0207-1895</t>
  </si>
  <si>
    <t>10.3390/jrfm14110513</t>
  </si>
  <si>
    <t>XI0MX</t>
  </si>
  <si>
    <t>WOS:000725818400001</t>
  </si>
  <si>
    <t>Pervaiz, F; Nawaz, RS; Ramzan, MU; Usmani, MZ; Mare, S; Heimerl, K; Kamiran, F; Anderson, R; Razaq, L</t>
  </si>
  <si>
    <t>Pervaiz, Fahad; Nawaz, Rai Shah; Ramzan, Muhammad Umer; Usmani, Maryem Zafar; Mare, Shrirang; Heimerl, Kurtis; Kamiran, Faisal; Anderson, Richard; Razaq, Lubna</t>
  </si>
  <si>
    <t>An Assessment of SMS Fraud in Pakistan</t>
  </si>
  <si>
    <t>COMPASS '19 - PROCEEDINGS OF THE CONFERENCE ON COMPUTING &amp; SUSTAINABLE SOCIETIES</t>
  </si>
  <si>
    <t>2nd ACM SIGCAS Conference on Computing and Sustainable Societies (COMPASS)</t>
  </si>
  <si>
    <t>JUL 03-05, 2019</t>
  </si>
  <si>
    <t>Accra, GHANA</t>
  </si>
  <si>
    <t>ACM SIGCAS,Assoc Comp Machinery</t>
  </si>
  <si>
    <t>ICTD; mobile money; fraud; SMS; finance; mBanking; human factors</t>
  </si>
  <si>
    <t>SMS fraud has become a growing concern for those working toward financial inclusion, however, it is often unclear how widespread such threats are in practice. This multi-method study investigates SMS fraud in Pakistan through identification and categorization of fraudulent messages as well as the impact on those who receive such messages. We collect fraudulent SMS messages by various means, including byway of a custom-built Android smartphone application. To complement this, we interview people exposed to SMS fraud and representatives of mobile network operators. Based on our analysis, lottery type fraud schemes dominate SMS fraud in Pakistan, and these schemes have the greatest impact on vulnerable low-income, rural populations. We offer a simple heuristic for fraud detection that has a high accuracy rate and is adaptable to evolving fraud schemes, and conclude with a recommendation for a fraud mitigation strategy to target fraudster call back numbers.</t>
  </si>
  <si>
    <t>[Pervaiz, Fahad; Mare, Shrirang; Heimerl, Kurtis; Anderson, Richard] Univ Washington, Seattle, WA 98195 USA; [Nawaz, Rai Shah; Ramzan, Muhammad Umer; Usmani, Maryem Zafar; Kamiran, Faisal; Razaq, Lubna] Informat Technol Univ, Lahore, Pakistan</t>
  </si>
  <si>
    <t>Pervaiz, F (corresponding author), Univ Washington, Seattle, WA 98195 USA.</t>
  </si>
  <si>
    <t>Nawaz, Rashid/LWJ-0213-2024</t>
  </si>
  <si>
    <t>Razaq, Lubna/0000-0002-0020-2804; Ramzan, Umer/0009-0002-2760-9724</t>
  </si>
  <si>
    <t>Financial Services for the Poor program at the Bill and Melinda Gates Foundation; Karandaaz Pakistan</t>
  </si>
  <si>
    <t>We thank Jake Kendall, Samia Ibtasam, Sam Castle, and Kushal Shah for their feedback during the early stages of the project. We also thank Siyu Pan, Hung -Lin Yeh, and Sean Jaffe for their help in building the Android app, and Saksham Aggarwal for his help in labeling the data. We are grateful to Jennifer Webster for thoroughly reviewing and editing this paper. We would like to acknowledge all the participants who contributed their messages for our analysis and shared their fraud experiences. The work was supported in part by grants from the Financial Services for the Poor program at the Bill and Melinda Gates Foundation and from Karandaaz Pakistan.</t>
  </si>
  <si>
    <t>978-1-4503-6714-1</t>
  </si>
  <si>
    <t>10.1145/3314344.3332500</t>
  </si>
  <si>
    <t>Computer Science, Interdisciplinary Applications; Computer Science, Theory &amp; Methods; Green &amp; Sustainable Science &amp; Technology</t>
  </si>
  <si>
    <t>BO2AJ</t>
  </si>
  <si>
    <t>WOS:000503976700019</t>
  </si>
  <si>
    <t>Adetiloye, KA; Adegboye, FB; Akinjare, VA</t>
  </si>
  <si>
    <t>Adetiloye, Kehinde A.; Adegboye, Folashade B.; Akinjare, Victoria A.</t>
  </si>
  <si>
    <t>Sustainable financial access for female entrepreneurs in the micro, small and medium enterprises sector in Nigeria</t>
  </si>
  <si>
    <t>female entrepreneurs; microfinance institutions; savings; micro; small and medium enterprises (MSMEs); loan conditions</t>
  </si>
  <si>
    <t>WOMENS ENTREPRENEURSHIP</t>
  </si>
  <si>
    <t>Challenges to accessing credit by the women or female entrepreneurs (FEs) have been observed to be demand-induced rather than supply constrained. This paper attempts to determine the issues that constrain financial access of FEs with the basic objective of achieving a sustainable access over the long term among the micro and the small and medium female entrepreneurs. The study undertook collection of data via questionnaire of FEs who operate in the micro, small and medium enterprises (MSMEs) sector through the microfinance banks' (MfBs) and institutions' (MfIs) support. The basic variables were savings, loan conditions, business registration and the number of banks accounts operated by FEs among others. Four models estimating the determinants of access for now and the future were estimated with ordinary least squares regression. The results indicate that easier loan conditions are required to assist the FEs in achieving sustainable credit access, as it was significantly negative in two of the models while compulsory savings deposits should be less emphasized. This indicates that there is the need to invest more in their enterprises for growth. Credit access is enhanced also by the regular use of the institutions for financial transactions. Finally, that targeted education is positively significant in savings shows that the there is need for continuous education of the business female folk at all levels. The study recommends that FEs should invest their surplus cash more in their businesses rather than save so much but should open accounts and intensively operate such accounts.</t>
  </si>
  <si>
    <t>[Adetiloye, Kehinde A.; Adegboye, Folashade B.; Akinjare, Victoria A.] Covenant Univ, Dept Banking &amp; Finance, Ota, Nigeria</t>
  </si>
  <si>
    <t>Adetiloye, KA (corresponding author), Covenant Univ, Dept Banking &amp; Finance, Ota, Nigeria.</t>
  </si>
  <si>
    <t>kehinde.adetiloye@covenantuniversity.edu.ng; folasade.adegboye@covenantuniversity.edu.ng; victoria.akinjare@covenantuniversity.edu.ng</t>
  </si>
  <si>
    <t>ADETILOYE, Kehinde/P-8608-2018</t>
  </si>
  <si>
    <t>ADETILOYE, Kehinde/0000-0002-7171-0793</t>
  </si>
  <si>
    <t>10.1080/23311886.2020.1823600</t>
  </si>
  <si>
    <t>NV0TB</t>
  </si>
  <si>
    <t>WOS:000574044600001</t>
  </si>
  <si>
    <t>Zhou, N; Sun, RH; Li, Y; Zhang, LY</t>
  </si>
  <si>
    <t>Zhou, Nan; Sun, Ruohan; Li, Yuan; Zhang, Longyao</t>
  </si>
  <si>
    <t>Joint effect of digital transformation and bank branch establishment on rural economic growth</t>
  </si>
  <si>
    <t>Bank branches; Bank digital transformation; Economic growth; Financial inclusion; Digital technology</t>
  </si>
  <si>
    <t>FINANCIAL INNOVATION; CREDIT MARKET; MOBILE MONEY; TECHNOLOGY; ACCESS; INEQUALITY; FINTECH; IMPACT; COSTS</t>
  </si>
  <si>
    <t>Using a panel fixed effects model based on panel data from 2012 to 2020, this study evaluates how bank branch establishment and digital transformation (DX) impact rural economic growth. Our findings indicate that bank branches establishment enhances rural economic growth; however, this effect is constrained by physical distance. Post-DX, the influence of bank branches establishment on economic growth intensifies, promoting local economic development and extending services to distant areas, thus narrowing regional economic disparities. Notably, national banks' DX has a more significant effect on rural economic growth than that of regional banks. Our findings indicate that despite the advancements in DX, bank branches continue to positively contribute to economic growth. This finding provides some direction for subsequent financial policy reforms, such as whether bank branches are still needed.</t>
  </si>
  <si>
    <t>[Zhou, Nan; Li, Yuan; Zhang, Longyao] Nanjing Agr Univ, Coll Finance, Nanjing, Peoples R China; [Zhou, Nan] Peking Univ, Sch Adv Agr Sci, Beijing, Peoples R China; [Sun, Ruohan] Bank Jiangsu, Postdoctoral Programme, Nanjing, Peoples R China; [Sun, Ruohan] Nanjing Univ, Postdoctoral Programme, Nanjing, Peoples R China; [Li, Yuan] Jiaxing Univ, Sch Econ, Jiaxing, Peoples R China</t>
  </si>
  <si>
    <t>Nanjing Agricultural University; Peking University; Nanjing University; Jiaxing University</t>
  </si>
  <si>
    <t>zhounan@pku.edu.cn; 2019218002@njau.edu.cn; m17314990392@163.com; zhangly@njau.edu.cn</t>
  </si>
  <si>
    <t>Zhang, Longyao/AAE-4468-2020; Sun, Ruohan/PFR-4729-2026; Li, Yuan/ODK-8141-2025</t>
  </si>
  <si>
    <t>Li, Yuan/0009-0009-1679-7783</t>
  </si>
  <si>
    <t>National Natural Science Foundation of China [71973064, 72473069]; Ministry of Education of Humanities and Social Science project [23YJC790207]; China Postdoctoral Science Foundation [2023M740095, 2024M751228]; National Social Science Fund of China [23FYB019]</t>
  </si>
  <si>
    <t>This work was supported by the National Natural Science Foundation of China [Grant numbers 71973064, 72473069] ; The Ministry of Education of Humanities and Social Science project [Grant number 23YJC790207] . China Postdoctoral Science Foundation funded project [Grant number 2023M740095, 2024M751228] ; The National Social Science Fund of China [Grant number 23FYB019] .</t>
  </si>
  <si>
    <t>10.1016/j.ribaf.2024.102738</t>
  </si>
  <si>
    <t>U5N6W</t>
  </si>
  <si>
    <t>WOS:001412263700001</t>
  </si>
  <si>
    <t>Anong, ST; Zahirovic-Herbert, V</t>
  </si>
  <si>
    <t>Anong, Sophia T.; Zahirovic-Herbert, Velma</t>
  </si>
  <si>
    <t>Homeownership and high-cost alternative borrowing</t>
  </si>
  <si>
    <t>Homeownership; recent homeowner; adjustable rate mortgages; alternative financial services; payday loans</t>
  </si>
  <si>
    <t>Homeowners are generally less likely to use short-term alternative loans such as payday loans, car title loans, and tax refund anticipation loans but this association has not been fully explored across all income groups and in the context of other homeownership characteristics. Using the 2009 U.S. National Financial Capability Study, this study shows that homeownership generally reduces the propensity for high-cost alternative borrowing across all income quintiles. However, home purchases made within the 5 years prior to 2009 increased the probability of alternative borrowing in the bottom two quintiles. Also, apart from the bottom quintile, homeowners with adjustable-rate mortgages are more likely to resort to alternate loans compared to those without such mortgages. Surprisingly, those with home equity loans in the lower quintile are more likely to have used AFS loans as well.</t>
  </si>
  <si>
    <t>[Anong, Sophia T.; Zahirovic-Herbert, Velma] Univ Georgia, Dept Financial Planning Housing &amp; Consumer Econ, Griffin, GA 30223 USA</t>
  </si>
  <si>
    <t>Anong, ST (corresponding author), Univ Georgia, Dept Financial Planning Housing &amp; Consumer Econ, Griffin, GA 30223 USA.</t>
  </si>
  <si>
    <t>zahirovic-herbert, velma/0000-0003-3552-3912</t>
  </si>
  <si>
    <t>10.1080/13504851.2019.1610696</t>
  </si>
  <si>
    <t>KO5DL</t>
  </si>
  <si>
    <t>WOS:000469711600001</t>
  </si>
  <si>
    <t>Nosratabadi, S; Fathi, Z; Shoul, A</t>
  </si>
  <si>
    <t>Nosratabadi, Saeideh; Fathi, Zadollah; Shoul, Abbas</t>
  </si>
  <si>
    <t>Investigating the effect of the framework of individual and group acts on the stock trading activities in Tehran stock exchange</t>
  </si>
  <si>
    <t>relationship framework; individual acts; group acts; stock trading behaviors; Tehran stock exchange</t>
  </si>
  <si>
    <t>FINANCIAL LITERACY; SOCIAL INTERACTIONS; RETIREMENT PLAN; LOSS AVERSION; MARKET; INFORMATION; BEHAVIOR; OVERCONFIDENCE; PORTFOLIO; DECISIONS</t>
  </si>
  <si>
    <t>This paper studies the relationship framework between individual and group acts of stock trading activities in the Tehran stock exchange which leads to the development of a cohesive relationship model for individual and group acts of stock trading behaviors. It has a quantitative-qualitative hybrid approach in which the model is designed by using the Delphi technique at the first stage, and it is tested and assessed by using the structural equation modeling method at the second stage. The model shows that areas of financial capability, financial capacity, word-of-mouth communication, mass media, financial consultation, stock trading behaviors, and personality are considered as causal conditions of relationship framework of individual and group acts that affect that process positively and meaningfully.</t>
  </si>
  <si>
    <t>[Nosratabadi, Saeideh] Islamic Azad Univ, Dept Accounting, Sirjan Branch, Sirjan, Iran; [Fathi, Zadollah] Islamic Azad Univ, Dept Management, Cent Tehran Branch, Tehran, Iran; [Shoul, Abbas] Vali &amp; Asr Univ Rafsanjan, Dept Ind Management, Rafsanjan, Iran</t>
  </si>
  <si>
    <t>Fathi, Z (corresponding author), Islamic Azad Univ, Dept Management, Tehran Cent Branch, Tehran, Iran.</t>
  </si>
  <si>
    <t>snosratabadee@gmail.com; zad.fathi@yahoo.com; Shoul@vru.ac.ir</t>
  </si>
  <si>
    <t>Nosratabadi, saiedeh/AAP-2775-2021; Shoul, Abbas/AAC-4026-2022</t>
  </si>
  <si>
    <t>Nosratabadi, saiedeh/0009-0008-3596-747X;</t>
  </si>
  <si>
    <t>10.1080/23311975.2019.1699310</t>
  </si>
  <si>
    <t>KD3LU</t>
  </si>
  <si>
    <t>WOS:000507771200001</t>
  </si>
  <si>
    <t>Thakur, RR; Shah, TY; Jessica, VM</t>
  </si>
  <si>
    <t>Thakur, Rajesh Ranjan; Shah, Tanya; Jessica, V. Mary</t>
  </si>
  <si>
    <t>Are Microinsurance Benefits Reaching the Poorest? Investigating the Ground Reality in Pradhan Mantri Jeevan Jyoti Bima Yojana</t>
  </si>
  <si>
    <t>Financial inclusion; Microfinance; Microinsurance; PMJDY; PMJJBY</t>
  </si>
  <si>
    <t>INSURANCE; DEMAND; MARKET</t>
  </si>
  <si>
    <t>In the last decade, microinsurance witnessed an upward trend in India, accentuated by the COVID-19 pandemic highlighting its necessity. Despite this, research indicates that microinsurance penetration remains limited, especially in Developing Countries like India. This study aims to evaluate the reach of micro-term insurance and the challenges faced by the underprivileged in accessing its benefits. Secondary data reveals that microinsurance failed to reach Poor People. However, Primary data underscores that the primary barriers are lack of awareness and the amount of premium. Moreover, we found that individuals outside the poverty demographic perceive microinsurance as advantageous for themselves.</t>
  </si>
  <si>
    <t>[Thakur, Rajesh Ranjan; Shah, Tanya; Jessica, V. Mary] Univ Hyderabad, Sch Management Studies, Hyderabad 500046, India</t>
  </si>
  <si>
    <t>Thakur, RR (corresponding author), Univ Hyderabad, Sch Management Studies, Hyderabad 500046, India.</t>
  </si>
  <si>
    <t>r.rajesh@outlook.com</t>
  </si>
  <si>
    <t>Shah, Tanya/0009-0004-2426-1915</t>
  </si>
  <si>
    <t>2024 AUG 22</t>
  </si>
  <si>
    <t>10.1080/10875549.2024.2379775</t>
  </si>
  <si>
    <t>D2B4H</t>
  </si>
  <si>
    <t>WOS:001294287300001</t>
  </si>
  <si>
    <t>West, S; Mottola, G</t>
  </si>
  <si>
    <t>West, Stacia; Mottola, Gary</t>
  </si>
  <si>
    <t>A Population on the Brink: American Renters, Emergency Savings, and Financial Fragility</t>
  </si>
  <si>
    <t>emergency savings; financial fragility; housing tenure; renters; homeownership</t>
  </si>
  <si>
    <t>Financial fragility and inadequate emergency savings are commonly associated with lower educational attainment, lower household income, younger age, minority status, and lower rates of financial knowledge and financial literacy. Using the 2012 National Financial Capability Study (N=25,509), the purpose of this research was to determine if renters, compared to homeowners, were more likely to report financial fragility or inadequate emergency savings. Results of logistic regressions suggest that renters were 75 percent more likely to experience financial fragility and 93 percent more likely to lack adequate emergency savings than homeowners. Considered in tandem with other research on the outcomes of financial fragility, these findings suggest that renters, if confronted with an income or expenditure shock, may not be able to draw upon existing resources and may be at risk for housing instability.</t>
  </si>
  <si>
    <t>[West, Stacia] Univ Kansas, Sch Social Welf, Lawrence, KS 66045 USA; [Mottola, Gary] FINRA Investor Educ Fdn, Washington, DC USA</t>
  </si>
  <si>
    <t>West, S (corresponding author), Univ Kansas, Sch Social Welf, Lawrence, KS 66045 USA.</t>
  </si>
  <si>
    <t>10.1002/pop4.130</t>
  </si>
  <si>
    <t>DG9OH</t>
  </si>
  <si>
    <t>WOS:000372412700005</t>
  </si>
  <si>
    <t>Suryavanshi, U; Chaudhry, R; Mishra, AK; Yadav, M</t>
  </si>
  <si>
    <t>Suryavanshi, Urvashi; Chaudhry, Rishi; Mishra, Akshay Kumar; Yadav, Mahender</t>
  </si>
  <si>
    <t>Mapping the intellectual landscape of financial inclusion and sustainable development: a bibliometric analysis</t>
  </si>
  <si>
    <t>Sustainable development; Bibliometric analysis; Financial inclusion; Literature review; Sustainability</t>
  </si>
  <si>
    <t>Purpose This research mirrors a 360 degrees probe into bibliometric review of various studies aimed to examine the relationship between financial inclusion and sustainable development (FI and SD). It also offers a conspectus of apex contributors, influential articles, key journals and potential avenues for further research in this crucial area of global progress. Design/methodology/approach The study is the abstract of a total 233 papers on the subject representing a period between 2012 and 2023 in the Scopus database in the domain. This investigation probes into publication trends, the most inexhaustible contributors by national journals, publications and authors. The study conducts keyword co-occurrence analysis and examines thematic evolution using Vosviewer and Biblioshiny. Findings The findings reveal four prominent clusters: (a) Financial growth with FI, (b) Economic Empowerment with Sustainable Goals, (c) Environmental Sustainability and (d) Microfinance and Digital Era. Furthermore, the study paves way for the future research agenda with the help of these research themes. Originality/value To the best of the authors' knowledge, this paper is the first of its kind in deeply probing the literature on FI and SD from a bibliometric perspective. Hence the findings of this study is a powerful weapon for researchers and practitioners coupled with future research inquiries, offering valuable insights and establishing robust quantitative foundations for advancing knowledge in the realms of FI and SD.</t>
  </si>
  <si>
    <t>[Suryavanshi, Urvashi; Chaudhry, Rishi] Maharshi Dayanand Univ, Inst Management Studies &amp; Res, Rohtak, India; [Mishra, Akshay Kumar] Jaipuria Inst Management, Dept Finance, Jaipur, India; [Yadav, Mahender] Maharshi Dayanand Univ, Dept Commerce, Rohtak, India</t>
  </si>
  <si>
    <t>Maharshi Dayanand University; Maharshi Dayanand University</t>
  </si>
  <si>
    <t>Chaudhry, R (corresponding author), Maharshi Dayanand Univ, Inst Management Studies &amp; Res, Rohtak, India.</t>
  </si>
  <si>
    <t>rishi.imsar@mdurohtak.ac.in</t>
  </si>
  <si>
    <t>Yadav, Mahender/IWV-1304-2023; Mishra, Akshay/PDY-4911-2025</t>
  </si>
  <si>
    <t>Mishra, Akshay/0000-0003-1894-7393;</t>
  </si>
  <si>
    <t>Funding: The present research received no specific grant from any of the funding agencies in the public, private or non-profit sectors. Conflict of interest: The authors declare that there is no conflict of interest.</t>
  </si>
  <si>
    <t>APR 14</t>
  </si>
  <si>
    <t>10.1108/CR-03-2024-0052</t>
  </si>
  <si>
    <t>1IQ7E</t>
  </si>
  <si>
    <t>WOS:001299731400001</t>
  </si>
  <si>
    <t>Marakkath, N; Attuel-mendes, L</t>
  </si>
  <si>
    <t>Marakkath, Nadiya; Attuel-mendes, Laurence</t>
  </si>
  <si>
    <t>Can microfinance crowdfunding reduce financial exclusion? Regulatory issues</t>
  </si>
  <si>
    <t>Marketing; Banking; Finance; Regulations</t>
  </si>
  <si>
    <t>JOINT LIABILITY</t>
  </si>
  <si>
    <t>Purpose - The purpose of this paper is to discuss how regulatory environment can be a fundamental constraint or lever in defining the scope of operations of a social innovation. Design/methodology/approach - Semi-structured interviews with top-level executives of pioneers of crowdfunding were run in India and France, two of the three leading countries in this field. Findings - Four main issues rise: choice of legal status, constraints for the operations model, compliance with anti-money laundering measures and challenges in marketing and sustainability. Originality/value - This paper contributes to knowledge advancement in the field of this new funding actor that could challenge the banking system. This is the first paper to explore these regulatory issues and their impact on marketing practices.</t>
  </si>
  <si>
    <t>[Marakkath, Nadiya] TISS, Sch Management &amp; Labour Studies, Mumbai, Maharashtra, India; [Attuel-mendes, Laurence] Burgundy Sch Business, Dijon, France</t>
  </si>
  <si>
    <t>Tata Institute of Social Sciences; Universite Bourgogne Europe; Burgundy School of Business</t>
  </si>
  <si>
    <t>Attuel-mendes, L (corresponding author), Burgundy Sch Business, Dijon, France.</t>
  </si>
  <si>
    <t>laurence.attuel-mendes@escdijon.eu</t>
  </si>
  <si>
    <t>Banque Populaire of Bourgogne-Franche Comte; FNBP (Federation Nationale des Banques Populaires); Conseil Regional de Bourgogne; ICSSR (Indian Council of Social Science Research); FMSH (Fondation Maison des sciences de l'homme)</t>
  </si>
  <si>
    <t>Banque Populaire of Bourgogne-Franche Comte; FNBP (Federation Nationale des Banques Populaires); Conseil Regional de Bourgogne(Region Bourgogne-Franche-Comte); ICSSR (Indian Council of Social Science Research); FMSH (Fondation Maison des sciences de l'homme)</t>
  </si>
  <si>
    <t>The authors would like to acknowledge the financial contribution of Banque Populaire of Bourgogne-Franche Comte and FNBP (Federation Nationale des Banques Populaires), Conseil Regional de Bourgogne, ICSSR (Indian Council of Social Science Research) and FMSH (Fondation Maison des sciences de l'homme) for supporting the conduct of this research.</t>
  </si>
  <si>
    <t>10.1108/IJBM-06-2014-0080</t>
  </si>
  <si>
    <t>WOS:000216517500004</t>
  </si>
  <si>
    <t>Fafchamps, M; Islam, A; Pakrashi, D; Tommasi, D</t>
  </si>
  <si>
    <t>Fafchamps, Marcel; Islam, Asad; Pakrashi, Debayan; Tommasi, Denni</t>
  </si>
  <si>
    <t>Diffusion in social networks: Experimental evidence on information sharing vs persuasion</t>
  </si>
  <si>
    <t>Diffusion; Social networks; Savings; Financial inclusion; Information; Persuasion</t>
  </si>
  <si>
    <t>BARGAINING POWER; FIELD EXPERIMENT; SUBSIDIES; BEHAVIOR; DEMAND; POOR; DECISION; ADOPTION; BANKING; QUALITY</t>
  </si>
  <si>
    <t>Human behaviors and innovations often spread through social networks, yet the mechanisms driving this diffusion - information sharing or persuasion - remain debated. Using a large-scale randomized controlled trial in Uttar Pradesh, India, we examine these dynamics while promoting a newly introduced savings commitment product. Our findings reveal persuasion as the dominant channel: villages where persuasion was incentivized experienced significantly higher product sign-up and take-up rates, even without corresponding increases in financial literacy or product knowledge. Conversely, providing information alone had minimal impact. The combined intervention of persuasion and information delivered the highest outcomes, highlighting their complementary roles. These results highlight the critical importance of persuasion in driving behavioral change and suggest that information dissemination alone may often be insufficient for effective adoption and diffusion.</t>
  </si>
  <si>
    <t>[Fafchamps, Marcel] Stanford Univ, Freeman Spogli Inst Int Studies, Stanford, CA 94305 USA; [Islam, Asad] Monash Univ, Ctr Dev Econ &amp; Sustainabil, Melbourne, Australia; [Islam, Asad] Monash Univ, Dept Econ, Melbourne, Australia; [Pakrashi, Debayan] Indian Inst Technol Kanpur, Dept Econ Sci, Kanpur, India; [Pakrashi, Debayan] Indian Stat Inst, Econ Res Unit, Kolkata, India; [Tommasi, Denni] Univ Bologna, Dept Econ, Bologna, Italy</t>
  </si>
  <si>
    <t>Stanford University; Monash University; Monash University; Indian Institute of Technology System (IIT System); Indian Institute of Technology (IIT) - Kanpur; Indian Statistical Institute; Indian Statistical Institute Kolkata; University of Bologna</t>
  </si>
  <si>
    <t>Fafchamps, M (corresponding author), Stanford Univ, Freeman Spogli Inst Int Studies, Stanford, CA 94305 USA.</t>
  </si>
  <si>
    <t>fafchamp@stanford.edu; asadul.islam@monash.edu; pakrashide@gmail.com; denni.tommasi@unibo.it</t>
  </si>
  <si>
    <t>ROY, GAURAV/AAG-3911-2019</t>
  </si>
  <si>
    <t>10.1016/j.jdeveco.2025.103686</t>
  </si>
  <si>
    <t>M6038</t>
  </si>
  <si>
    <t>WOS:001630736400002</t>
  </si>
  <si>
    <t>Singh, J; Singh, M</t>
  </si>
  <si>
    <t>Singh, Jaskirat; Singh, Manjit</t>
  </si>
  <si>
    <t>Does financial inclusion impact socio-economic stability? A study of social safety net in Indian slums</t>
  </si>
  <si>
    <t>Social assistance schemes; Social welfare schemes; Social safety net; Financial inclusion; Credit schemes; Poverty alleviation; Government schemes; Urban poor; Credit utilization pattern</t>
  </si>
  <si>
    <t>REDUCE POVERTY; MIGRATION; HOUSEHOLD; URBANIZATION; MICROFINANCE; LABOR; POOR</t>
  </si>
  <si>
    <t>PurposeThe study aims to examine the impact of social assistance schemes introduced by the Indian government on poverty alleviation in urban slums.Design/methodology/approachTo accomplish the study's objectives, primary data were collected from 585 beneficiaries of government schemes operating in India's northwestern state using a multistage sampling technique (Punjab). The exploratory factor analysis (EFA) technique reduced the total dataset to its minimum factors. Then, using second-order confirmatory factor analysis, the data's validity and reliability were determined. The data were analyzed using statistical techniques such as one-way ANOVA, t-test and structural equation modeling (SEM).FindingsThe study's findings indicate that social assistance provided by the Government of India has a direct and substantial influence on poverty alleviation in urban slums. The study demonstrates how access to basic credit financial services through social assistance programmes has improved the lives of urban poor households living in slums and assisted them in escaping poverty.Research limitations/implicationsThe investigation was undertaken among a few limitations. First, the in-depth investigation of the study is restricted to only the northwestern state of India solely because of limited resources and time availability. Second, the study focuses primarily on the perspectives of beneficiaries of the social assistance schemes in India. Still, it might be expanded in the future to include additional stakeholders such as bank executives, business colleagues and municipal town panchayats.Practical implicationsDue to policymakers' increased emphasis on poor households living in urban slums, this topic is critical for studying many issues.Social implicationsThe research explores gaps in social welfare schemes to direct policymakers and government authorities to take appropriate steps to aid the urban poor people in sliding out of poverty.Originality/valueBy examining the influence of the Indian government's social welfare schemes on poverty reduction in slums, this study contributes to the literature on public assistance schemes and poverty alleviation. This article can assist policymakers in developing nations in increasing financial capability among disadvantaged urban families on a national and international level.</t>
  </si>
  <si>
    <t>[Singh, Jaskirat; Singh, Manjit] Punjabi Univ, Univ Sch Appl Management, Patiala, India; [Singh, Jaskirat] Minist Educ, Indian Council Social Sci Res ICSSR, New Delhi, India</t>
  </si>
  <si>
    <t>Singh, J (corresponding author), Punjabi Univ, Univ Sch Appl Management, Patiala, India.;Singh, J (corresponding author), Minist Educ, Indian Council Social Sci Res ICSSR, New Delhi, India.</t>
  </si>
  <si>
    <t>jasky786@gmail.com; smanjitt@gmail.com</t>
  </si>
  <si>
    <t>Singh, Jaskirat/IQW-3142-2023</t>
  </si>
  <si>
    <t>Singh, Jaskirat/0000-0003-0337-7885</t>
  </si>
  <si>
    <t>ICSSR Post-Doctoral Fellowship; Indian Council of Social Science Research (ICSSR) [3-36/2021-22/PDF/GEN]</t>
  </si>
  <si>
    <t>ICSSR Post-Doctoral Fellowship; Indian Council of Social Science Research (ICSSR)</t>
  </si>
  <si>
    <t>The scholar, Dr. Jaskirat Singh (F.No. 3-36/2021-22/PDF/GEN), is the awardee of ICSSR Post-Doctoral Fellowship. This paper is largely an outcome of the Post-Doctoral Fellowship sponsored by the Indian Council of Social Science Research (ICSSR). However, the responsibility for the facts stated, opinions expressed and the conclusions drawn is entirely of the author.</t>
  </si>
  <si>
    <t>10.1108/IJSE-04-2022-0261</t>
  </si>
  <si>
    <t>WOS:000905490800001</t>
  </si>
  <si>
    <t>Dzomonda, O</t>
  </si>
  <si>
    <t>Dzomonda, Obey</t>
  </si>
  <si>
    <t>Environmental Sustainability Commitment and Access to Finance by Small and Medium Enterprises: The Role of Financial Performance and Corporate Governance</t>
  </si>
  <si>
    <t>access to finance; corporate governance; environmental sustainability; financial performance; South Africa</t>
  </si>
  <si>
    <t>ENTREPRENEURIAL ORIENTATION; SOCIAL PERFORMANCE; FIRMS EVIDENCE; IMPACT; ORGANIZATIONS; DEBT; COST; DETERMINANTS; INNOVATION; BEHAVIOR</t>
  </si>
  <si>
    <t>Small and Medium Enterprises in South Africa contribute critically to the economy, yet they face many challenges, such as lack of access to external finance. Thus, applying the stakeholder theory, this study tested the relationship between environmental sustainability commitment and access to finance and whether this relationship was mediated by financial performance. The study further examined the moderating role of corporate governance on the relationship between environmental sustainability commitment and access to finance. Owner/managers of 600 SMEs from three provinces in South Africa were randomly selected using a probability sampling method. Primary data were collected using self-administered questionnaires. The moderated mediation model was tested using PLS-SEM. The findings showed that environmental sustainability commitment significantly predicts access to finance both directly and indirectly through financial performance. Moreover, the results showed that corporate governance positively moderates the link between environmental sustainability commitment and access to finance. This study has several implications. Practically, small unlisted firms can adopt and apply the model developed in this study to enhance their environmental, social, and governance practices to unlock external funding. The novelty of this study is that it proposed and tested a moderated mediation model to understand SMEs' determinants of access to finance. In addition, this study provides a nuanced understanding of responsible business through green behaviour in the context of SMEs, which has been lacking in the existing literature.</t>
  </si>
  <si>
    <t>[Dzomonda, Obey] Univ Limpopo, Dept Res Adm &amp; Dev, Private Bag X1106, ZA-0727 Sovenga, Polokwane, South Africa</t>
  </si>
  <si>
    <t>University of Limpopo</t>
  </si>
  <si>
    <t>Dzomonda, O (corresponding author), Univ Limpopo, Dept Res Adm &amp; Dev, Private Bag X1106, ZA-0727 Sovenga, Polokwane, South Africa.</t>
  </si>
  <si>
    <t>obeydzoms@gmail.com</t>
  </si>
  <si>
    <t>Dzomonda, Obey/0000-0002-2613-7975</t>
  </si>
  <si>
    <t>Department of Research Administration and Development, University of Limpopo</t>
  </si>
  <si>
    <t>I would like to thank the Department of Research Administration and Development, University of Limpopo, for the support obtained during the preparation of this article.</t>
  </si>
  <si>
    <t>10.3390/su14148863</t>
  </si>
  <si>
    <t>3J2WA</t>
  </si>
  <si>
    <t>WOS:000833259500001</t>
  </si>
  <si>
    <t>Kim, KT; Lee, JM; DeVaney, SA</t>
  </si>
  <si>
    <t>Kim, Kyoung Tae; Lee, Jae Min; DeVaney, Sharon A.</t>
  </si>
  <si>
    <t>Financial Knowledge and Financial Fragility: A Consideration of the Neighborhood Effect</t>
  </si>
  <si>
    <t>financial fragility; financial knowledge; instrumental variable; National Financial Capability Study</t>
  </si>
  <si>
    <t>LITERACY; INEQUALITY; CAPABILITY; INCOME</t>
  </si>
  <si>
    <t>This study explores the association between financial knowledge and financial fragility. Data from the 2015 National Financial Capability Study were used to create an index of financial fragility. Relationships between this index and three different measures of financial knowledge were assessed. To mitigate potential endogeneity in the financial knowledge measures, such as neighborhood effect defined as social interactions or characteristics of communities that influence socioeconomic and health behaviors or outcomes of individuals, the neighborhood average education level in US zip code units was used as an instrumental variable. The results from the baseline Ordinary Least Squares regression models and Two Stage Least Squares (2SLS) regression models indicated a negative relationship between financial knowledge and financial fragility; the effect was greater when the instrumental variable was used. Our findings with the neighborhood effect suggest which groups could be a focus for, future research as well as offering practical interventions. Further, when designing and implementing educational and behavioral interventions, the knowledge-based approach should gain continued support from financial education, planning, and counseling programs.</t>
  </si>
  <si>
    <t>[Kim, Kyoung Tae] Univ Alabama, Dept Consumer Sci, 316-C Adams Hall,Box 870158, Tuscaloosa, AL 35487 USA; [Lee, Jae Min] Minnesota State Univ, Dept Family Consumer Sci, 102 Wiecking Ctr, Mankato, MN 56001 USA; [DeVaney, Sharon A.] Purdue Univ, Div Consumer Sci, Sch Hospitality &amp; Tourism Management, 3001 W 33rd St,305, Sioux Falls, SD 57105 USA</t>
  </si>
  <si>
    <t>University of Alabama System; University of Alabama Tuscaloosa; Minnesota State Colleges &amp; Universities; Minnesota State University Mankato</t>
  </si>
  <si>
    <t>ktkim@ches.ua.edu; jae-min.lee@mnsu.edu; devaneysa5761@gmail.com</t>
  </si>
  <si>
    <t>10.1891/JFCP-2021-0042</t>
  </si>
  <si>
    <t>WOS:000825261300011</t>
  </si>
  <si>
    <t>Jutel, O</t>
  </si>
  <si>
    <t>Jutel, Olivier</t>
  </si>
  <si>
    <t>Blockchain financialization, neo-colonialism, and Binance</t>
  </si>
  <si>
    <t>financial inclusion; neo-colonialism; cyber-libertarianism; financialization; cultural imperialism; political economy; critical geography</t>
  </si>
  <si>
    <t>This article will look at the financial geographies and legacies of neo-colonialism to critique the emergence of blockchain financialization in the developing world. Blockchain financialization advances through the interplay of crypto imaginaries, new platform economies, and the trading infrastructure for highly leveraged financial products. The largest cryptocurrency exchange, Binance, has presented itself as a champion of the blockchain for development paradigm in Africa. Its success in the region relies on the use of community leaders, hackathons, and the lobbying of governments for regulatory concessions. Binance operates on two scales. Firstly, it is part of a fintech vanguard attempting to dismantle New Deal financial regulatory systems in the Global North (Omarova, Yale Journal on Regulation, 2019, 36, 735-793; Allen, H, DeFi: Shadow Banking 2.0?, 2022). Secondly, it as an agent of financialization in the developing world, promoting DeFi to map the speculative micro-financial practices of the Global South. Crypto and blockchain thus represent extensions of subprime empire (Schuster, Current Anthropology, 2021, 62, 389-411) in which marginal economic activities in fragile developing world contexts feed into the North-South extraction of value. This article will outline Binance's forays into Nigeria as an example of the micro and macro scales of neocolonial finance and the interplay of infrastructure, territory, and the social imaginary in blockchain.</t>
  </si>
  <si>
    <t>[Jutel, Olivier] Univ Otago, Dept Media Film &amp; Commun Studies, Dunedin, New Zealand</t>
  </si>
  <si>
    <t>University of Otago</t>
  </si>
  <si>
    <t>Jutel, O (corresponding author), Univ Otago, Dept Media Film &amp; Commun Studies, Dunedin, New Zealand.</t>
  </si>
  <si>
    <t>olivier.jutel@otago.ac.nz</t>
  </si>
  <si>
    <t>Jutel, Olivier/0000-0001-6630-614X</t>
  </si>
  <si>
    <t>JUL 27</t>
  </si>
  <si>
    <t>10.3389/fbloc.2023.1160257</t>
  </si>
  <si>
    <t>O7KK8</t>
  </si>
  <si>
    <t>WOS:001045553500001</t>
  </si>
  <si>
    <t>Mungai, K; Bayat, A</t>
  </si>
  <si>
    <t>Pather, S</t>
  </si>
  <si>
    <t>Mungai, Kinyanjui; Bayat, Amiena</t>
  </si>
  <si>
    <t>The Impact of Big Data on the South African Banking Industry</t>
  </si>
  <si>
    <t>PROCEEDINGS OF THE 15TH INTERNATIONAL CONFERENCE ON INTELLECTUAL CAPITAL, KNOWLEDGE MANAGEMENT &amp; ORGANISATIONAL LEARNING (ICICKM 2018)</t>
  </si>
  <si>
    <t>Proceedings of the International Conference on Intellectual Capital Knowledge Management &amp; Organizational Learning</t>
  </si>
  <si>
    <t>15th International Conference on Intellectual Capital, Knowledge Management and Organisational Learning (ICICKM)</t>
  </si>
  <si>
    <t>NOV 29-30, 2018</t>
  </si>
  <si>
    <t>Univ Western Cape, Bellville, SOUTH AFRICA</t>
  </si>
  <si>
    <t>Univ Western Cape</t>
  </si>
  <si>
    <t>Big Data; Banking; Financial Sector; Digital Disruption</t>
  </si>
  <si>
    <t>If finance enables production, technology in the financial services sector enhances the speed of accessing and transferring finances, ultimately facilitating more production. Accepting new technologies is therefore crucial to the success of any industry in the fourth industrial revolution. Technologies such as Social Media, Mobile, Analytics (and Big Data), Cloud, along with the Internet of Things (SMACT/SMACIT), have become pervasive digital disruptors which have fundamentally changed the business models and value propositions of firms across industries. The financial services sector has been disrupted by innovations such as M-Pesa, SnapScan and EcoCash, which have made it more inclusive. The growing smartphone uptake in South Africa and developing countries has removed barriers to financial services provision and has reduced barriers to information access. SMACT technologies offer an opportunity for the financial services sector to reduce the costs of banking in such a way that those who are underserved or unserved by the financial services sector are more informed and better able to access financial services through the removal of geographic barriers to banking and through the reduction of costs. Chigada and Hirschfelder (2017:3) state that the integration of the banking system is part of the critical functions of mobile banking. Lower-income classes, despite having individually weaker purchasing power, actually have astoundingly significant purchasing power at the collective level (Chigada &amp; Hirschfelder, 2017:3). Mobile banking therefore seeks to integrate into the banking system this poor yet large population who collectively possess significant market power. In order to integrate the poor into the financial services sector, the benefits of mobile banking have to be conveyed to them in a way that clearly indicates simplicity and convenience (Ramavhona &amp; Mokwena, 2010:5; Al-Jabri &amp; Sohail, 2012: 387; Ernst &amp; Young, 2016:6). This paper aims to assess the digital disruption from big data of the South African financial services sector with a particular focus on financial inclusion. The study used a mixed method approach. For the qualitative method, data was collected from semi-structured interviews with key informants from the financial services sector and related fields of expertise.</t>
  </si>
  <si>
    <t>[Mungai, Kinyanjui; Bayat, Amiena] Univ Western Cape, Cape Town, South Africa</t>
  </si>
  <si>
    <t>Mungai, K (corresponding author), Univ Western Cape, Cape Town, South Africa.</t>
  </si>
  <si>
    <t>3259032@myuwc.ac.za; amienabayat@gmail.com</t>
  </si>
  <si>
    <t>; mungai, kinyanjui/AAC-2841-2020</t>
  </si>
  <si>
    <t>Bayat, Amiena/0000-0002-3009-930X;</t>
  </si>
  <si>
    <t>2048-9803</t>
  </si>
  <si>
    <t>978-1-912764-10-5</t>
  </si>
  <si>
    <t>PROC INT CONF INTELL</t>
  </si>
  <si>
    <t>Business; Computer Science, Information Systems; Computer Science, Interdisciplinary Applications; Psychology, Applied; Management; Operations Research &amp; Management Science</t>
  </si>
  <si>
    <t>Business &amp; Economics; Computer Science; Psychology; Operations Research &amp; Management Science</t>
  </si>
  <si>
    <t>BS0SI</t>
  </si>
  <si>
    <t>WOS:000684215100026</t>
  </si>
  <si>
    <t>Shah, IA</t>
  </si>
  <si>
    <t>Shah, Imtiyaz Ahmad</t>
  </si>
  <si>
    <t>Financial systems and poverty dynamics: a literature review on the role of institutions and fintech in economic growth</t>
  </si>
  <si>
    <t>E44; G21; O15; I32</t>
  </si>
  <si>
    <t>INCOME INEQUALITY; INCLUSION; REDUCTION; MARKETS; IMPACTS; BANKING</t>
  </si>
  <si>
    <t>This paper provides a comparative, region-specific review of financial development's impacts on economic growth and poverty alleviation, highlighting the dual influence of institutional quality and financial technology across diverse economic contexts. Drawing upon key theoretical frameworks, including the Financial Intermediation Theory and the Financial Kuznets Curve, the study examines how financial development functions as a catalyst for economic growth by facilitating capital access, encouraging investment, and supporting entrepreneurship. Findings indicate that financial development significantly enhances economic growth and reduces poverty; however, these relationships are moderated by factors such as institutional quality, governance structures, and financial literacy levels. This paper further explores the evolving role of financial technology (fintech) in improving financial inclusion, while addressing associated challenges like digital over-indebtedness. Policy recommendations emphasize the need for robust regulatory frameworks that ensure equitable access to financial services and enhance institutional support. Additionally, the study underscores the importance of aligning financial development with sustainable practices to address pressing socio-economic challenges. Concluding with an invitation for future research, the paper identifies areas such as the longitudinal impacts of financial interventions in low-income regions, the role of fintech in advancing financial inclusion, and the interactions between financial development and broader socio-economic factors.</t>
  </si>
  <si>
    <t>[Shah, Imtiyaz Ahmad] Univ Kashmir, Dept Econ, Srinagar, Jammu And Kashm, India</t>
  </si>
  <si>
    <t>Shah, IA (corresponding author), Univ Kashmir, Dept Econ, Srinagar, Jammu And Kashm, India.</t>
  </si>
  <si>
    <t>shahimtiyaz2017@gmail.com</t>
  </si>
  <si>
    <t>shah, imtiyaz/GRX-3789-2022; Shah, Imtiyaz Ahmad/GRX-3789-2022</t>
  </si>
  <si>
    <t>shah, imtiyaz/0000-0001-5704-4571;</t>
  </si>
  <si>
    <t>2025 FEB 22</t>
  </si>
  <si>
    <t>10.1080/02692171.2025.2468646</t>
  </si>
  <si>
    <t>X6S2T</t>
  </si>
  <si>
    <t>WOS:001426616500001</t>
  </si>
  <si>
    <t>Jiya, AN; Opoku, MP; Nketsia, W; Dogbe, JA; Adusei, JN</t>
  </si>
  <si>
    <t>Jiya, Alex Nester; Opoku, Maxwell Peprah; Nketsia, William; Dogbe, Joslin Alexei; Adusei, Josephine Nkrumah</t>
  </si>
  <si>
    <t>Achieving Financial Inclusion for Persons With Disabilities: Exploring Preparedness and Accessibility of Financial Services for Persons With Disabilities in Malawi</t>
  </si>
  <si>
    <t>JOURNAL OF DISABILITY POLICY STUDIES</t>
  </si>
  <si>
    <t>persons with disabilities; financial inclusion; Malawi; poverty; economic development</t>
  </si>
  <si>
    <t>HUMAN-RIGHTS; REHABILITATION; PERSPECTIVES; CHILDREN; POVERTY; GIRLS</t>
  </si>
  <si>
    <t>Deplorable living conditions among persons with disabilities and the need to improve their living conditions cannot be overemphasized. This has triggered international discussion on the need for deliberate social policies to bridge the poverty gap between persons with and without disabilities. In Malawi, expansion of financial services has been identified as an essential tool to accelerate economic and inclusive development. However, empirical studies are yet to explore the preparedness of financial institutions to extend their services to persons with disabilities. In this qualitative study, semi-structured interviews were conducted with managers from commercial banks in Malawi to understand their perspectives on extending financial services to persons with disabilities. Interviews were transcribed verbatim and a descriptive thematic analysis was performed. Although participants reiterated the need to provide persons with disabilities with financial services to improve their well-being, few initiatives have been undertaken to improve their participation. Particularly, participants stated that barriers, such as a lack of financial literacy and adaptive technologies, communication barriers, and high rates of unemployment, explained the reluctance of commercial banks to extend financial services to persons with disabilities. The limitations, recommendations for future research, and implications of the study for policymaking have been highlighted.</t>
  </si>
  <si>
    <t>[Jiya, Alex Nester] Pan African Univ, Yaounde, Cameroon; [Opoku, Maxwell Peprah] United Arab Emirates Univ, Al Ain, U Arab Emirates; [Nketsia, William] Western Sydney Univ, Penrith, NSW, Australia; [Dogbe, Joslin Alexei; Adusei, Josephine Nkrumah] Kwame Nkrumah Univ Sci &amp; Technol, Kumasi, Ghana</t>
  </si>
  <si>
    <t>United Arab Emirates University; Western Sydney University; Kwame Nkrumah University Science &amp; Technology</t>
  </si>
  <si>
    <t>Opoku, MP (corresponding author), United Arab Emirates Univ, Special Educ Dept, Coll Educ, POB 15551, Al Ain, U Arab Emirates.</t>
  </si>
  <si>
    <t>maxwell.p@uaeu.ac.ae</t>
  </si>
  <si>
    <t>Nketsia, William/AAU-4303-2021; Opoku, Maxwell Peprah/IXD-1359-2023; Jiya, Alex/MFI-9565-2025</t>
  </si>
  <si>
    <t>Nketsia, William/0000-0003-0943-7981; Opoku, Maxwell Peprah/0000-0001-7620-0007; Jiya, Alex/0000-0003-3157-5344;</t>
  </si>
  <si>
    <t>1044-2073</t>
  </si>
  <si>
    <t>1538-4802</t>
  </si>
  <si>
    <t>J DISABIL POLICY STU</t>
  </si>
  <si>
    <t>J. Disabil. Policy Stud.</t>
  </si>
  <si>
    <t>10.1177/10442073211027533</t>
  </si>
  <si>
    <t>3N7LO</t>
  </si>
  <si>
    <t>WOS:000672379100001</t>
  </si>
  <si>
    <t>Li, DS; Wu, YG; Gou, CY; Tian, Y</t>
  </si>
  <si>
    <t>Li, Deshan; Wu, Yaoguo; Gou, Chenyang; Tian, Yu</t>
  </si>
  <si>
    <t>Impact of digital inclusive finance on the innovative activities of new agricultural operating entities: evidence from China</t>
  </si>
  <si>
    <t>Digital inclusive finance; new agricultural operating entities; innovative activities; financing constraints; information access</t>
  </si>
  <si>
    <t>FIRM INNOVATION; GROWTH; CONSTRAINTS; CREDIT; COOPERATIVES; TECHNOLOGY; GOVERNANCE; PATTERNS; INTERNET</t>
  </si>
  <si>
    <t>Digital inclusive finance (DIF), as an important supplement to traditional finance, has significant practical implications for achieving agricultural modernization. Based on micro-data from a survey of small and micro enterprises in China in 2015, this paper uses the Logit model to examine the impact mechanism of DIF on innovative activities of new agricultural operating entities. It is found that DIF significantly increases the probability of new agricultural operating entities carrying out creative activities. The mechanism analysis shows that DIF can enhance the financing and information access of new agricultural operating entities, thereby promoting their innovative activities. The heterogeneity test shows that the impact of DIF on new agricultural operating entities is different due to geographical environment, Internet penetration, managers' educational level, and land transfer behaviour of operators. The above research provides empirical evidence for the deep integration and development of DIF and innovative new agricultural operating entities. It provides relevant policy implications for promoting high-quality agricultural development.</t>
  </si>
  <si>
    <t>[Li, Deshan] Sichuan Normal Univ, Sch Business, Chengdu, Peoples R China; [Wu, Yaoguo] Leshan Normal Univ, China Dev Econ Western Expt Res Ctr, Leshan, Peoples R China; [Gou, Chenyang] Univ Sci &amp; Technol China, Sch Management, Hefei 230026, Peoples R China; [Tian, Yu] China Int Engn Consulting Corp, Social Business Dept, Beijing, Peoples R China</t>
  </si>
  <si>
    <t>Sichuan Normal University; Leshan Normal University; Chinese Academy of Sciences; University of Science &amp; Technology of China, CAS</t>
  </si>
  <si>
    <t>Gou, CY (corresponding author), Univ Sci &amp; Technol China, Sch Management, Hefei 230026, Peoples R China.</t>
  </si>
  <si>
    <t>chenyang429123@163.com</t>
  </si>
  <si>
    <t>National Social Science Foundation Program of China [20XJL013]; Major Project of Sichuan Philosophy and Social Science Fund [SCJJ24ZD40]</t>
  </si>
  <si>
    <t>National Social Science Foundation Program of China; Major Project of Sichuan Philosophy and Social Science Fund</t>
  </si>
  <si>
    <t>This work was supported by National Social Science Foundation Program of China: [grant no 20XJL013] and supported by Major Project of Sichuan Philosophy and Social Science Fund: [grant no SCJJ24ZD40].</t>
  </si>
  <si>
    <t>10.1080/14735903.2024.2439114</t>
  </si>
  <si>
    <t>P8Y6A</t>
  </si>
  <si>
    <t>WOS:001380696600001</t>
  </si>
  <si>
    <t>Nanda, AP; Banerjee, R</t>
  </si>
  <si>
    <t>Nanda, Ambika Prasad; Banerjee, Ranjan</t>
  </si>
  <si>
    <t>Consumer's subjective financial well-being: A systematic review and research agenda</t>
  </si>
  <si>
    <t>conceptual article; financial happiness; financial satisfaction; financial well-being; review; systematic literature review</t>
  </si>
  <si>
    <t>FOREIGN DIRECT-INVESTMENT; 5 PERSONALITY-TRAITS; CREDIT-CARD DEBT; LIFE SATISFACTION; BEHAVIOR IMPLICATIONS; COLLEGE-STUDENTS; MONEY ATTITUDES; OLDER-ADULTS; LITERACY; INCOME</t>
  </si>
  <si>
    <t>Subjective Financial Well-being (FWB) research has gained considerable interest from both academics and practitioners recently. This research area focuses on the consumer's self-assessment of his/her disposition, belief, attitude, and behavior concerning money management, spending, savings, and investment. The authors used a systematic literature review (SLR) process, which is a step-by-step process-driven methodology, to find 128 articles published between 1978 and 2020 in marketing and related consumer studies fields. By critically examining the published studies, the paper proposes an organizing framework to identify important research gaps and suggest future research directions. The existing studies highlight (a) macro-level factors determining the consumer's FWB, (b) bank information transparency and ethical selling, (c) consumer co-production behavior, (d) consumer financial literacy and how it relates to FWB, (e) financial inclusion, (f) materialism, personality, spending self-control, and FWB, (g) multicountry research, and (h) the outcomes or consequences of FWB. Further research directions emphasize the need for research on (a) young consumers and their FWB and (b) role of marketers in maintaining FWB of consumers. The organizing framework offers actionable insights for banks, other financial institutions (FIs), businesses, third-party organizations (i.e., financial literacy service providers), and public policy makers to increase the subjective FWB of consumers.</t>
  </si>
  <si>
    <t>[Nanda, Ambika Prasad] Rajagiri Business Sch, Dept Mkt, Kochi, Kerala, India; [Banerjee, Ranjan] SP Jain Inst Management &amp; Res, Dept Mkt, Mumbai, Maharashtra, India</t>
  </si>
  <si>
    <t>Rajagiri Business School (RBS); S. P. Jain Institute of Management &amp; Research (SPJIMR)</t>
  </si>
  <si>
    <t>Nanda, AP (corresponding author), Rajagiri Business Sch, Kochi, Kerala, India.</t>
  </si>
  <si>
    <t>pgpm912.ambika@spjimr.org</t>
  </si>
  <si>
    <t>Nanda, Ambika/0000-0001-8311-1600</t>
  </si>
  <si>
    <t>10.1111/ijcs.12668</t>
  </si>
  <si>
    <t>TA6OX</t>
  </si>
  <si>
    <t>WOS:000629337900001</t>
  </si>
  <si>
    <t>Starfinger, M; Tham, L; Tegegne, YT</t>
  </si>
  <si>
    <t>Starfinger, Marcel; Tham, La Thi; Tegegne, Yitagesu Tekle</t>
  </si>
  <si>
    <t>Tree collateral-A finance blind spot for small-scale forestry? A realist synthesis review</t>
  </si>
  <si>
    <t>FOREST POLICY AND ECONOMICS</t>
  </si>
  <si>
    <t>Loan security; NTFPs; Mortgage; Asset collateral; Access to finance; Microfinance</t>
  </si>
  <si>
    <t>CHINA; HOUSEHOLDS; SECURITY; WOOD</t>
  </si>
  <si>
    <t>Small-scale forestry requires an integrated environmental rural-development approach. However, individual small-scale forest producers face various constraints, especially regarding finances, as long rotation periods clash with the more immediate financial needs. The tree-for-loan collateral approach offers a potential remedy for this financial dilemma wherein trees-or tree-derived products or services-serve as part of the security necessary for loans or other transactions in both formal and informal contexts. This approach can ease access to finance for land users that lack conventional collateral, but it requires innovative lending and valuation pro-cedures. Despite the initial and ongoing dissemination of tree collateral, deliberations in academia and practice are diverse, and relevant knowledge remains largely fragmented. This conceptual and terminological diversity further underlines the necessity of global synthesis and analysis. We conducted a realist synthesis review of literature databases and organizational websites; we also sought guidance through key informant interviews to assess the context, mechanisms, and outcomes of tree collaterals described in the literature. The analyzed mechanisms range from informal or customary approaches to the formal approaches offered by development or commercial banks. Key factors that hinder up-scaling can be overcome through the social aggregation of pro-ducers, access to processing and established market outlets, and clear regulations for forest asset collateraliza-tion. The typology classification of the reviewed mechanisms reveals a plethora of innovative intricacies and creditor-debtor constellations, including NGOs and other third parties that secure the transactions. Future eco-nomic research on tree collateral should address key parameters and assess the impact and potential conceptual optimization of easing access to finance. We also recommend further research beyond economics to examine the social implications and effects of the tree collateral mechanism as a potential tool for facilitating access to forest resources worldwide, including the financial and technical means for access.</t>
  </si>
  <si>
    <t>[Starfinger, Marcel] Tech Univ Dresden, Inst Int Forestry &amp; Forest Prod, Fac Environm Sci, Chair Trop &amp; Int Forestry, D-01062 Dresden, Germany; [Tham, La Thi] Vietnam Natl Univ Forestry, Hanoi, Vietnam; [Tegegne, Yitagesu Tekle] European Forest Inst EFI, Governance Programme, Pl Vereinten Nationen 753113, Bonn, Germany; [Tham, La Thi] Vietnam Natl Univ, VNU Univ Econ &amp; Business, Hanoi, Vietnam</t>
  </si>
  <si>
    <t>Technische Universitat Dresden; Vietnam National University of Agriculture (VNUA); Vietnam National University Hanoi (VNU Hanoi) System</t>
  </si>
  <si>
    <t>Starfinger, M (corresponding author), Tech Univ Dresden, Inst Int Forestry &amp; Forest Prod, Fac Environm Sci, Chair Trop &amp; Int Forestry, D-01062 Dresden, Germany.</t>
  </si>
  <si>
    <t>marcel.starfinger@tu-dresden.de; thamlt@vnuf.edu.vn; yitagesu.tekle@efi.int</t>
  </si>
  <si>
    <t>Starfinger, Marcel/JXL-3041-2024</t>
  </si>
  <si>
    <t>Starfinger, Marcel/0000-0002-7267-1925</t>
  </si>
  <si>
    <t>FLOURISH project; [18_III_085]</t>
  </si>
  <si>
    <t>FLOURISH project;</t>
  </si>
  <si>
    <t>Special thanks go to Gerald Kapp and Simon Benedikter for their continuous support. We would like to thank the anonymous reviewers for their dedication. Special thanks to the various key informants that supplied essential hints, contacts, and documents. Thanks to Kendisha Soekardjo Hintz for the constructive revision of the manuscript and to Alina Lehikoinen for assistance with the Finnish sources. Further thanks to the GADM Mapping Initiative as well as SankeyMATIC . This work was supported through the FLOURISH project [18_III_085_Southeast Asia_A_FLR Partnerships] under the International Climate Initiative (IKI) . The funding entity was not involved in this research.</t>
  </si>
  <si>
    <t>1389-9341</t>
  </si>
  <si>
    <t>1872-7050</t>
  </si>
  <si>
    <t>FOREST POLICY ECON</t>
  </si>
  <si>
    <t>Forest Policy Econ.</t>
  </si>
  <si>
    <t>10.1016/j.forpol.2022.102886</t>
  </si>
  <si>
    <t>Economics; Environmental Studies; Forestry</t>
  </si>
  <si>
    <t>Business &amp; Economics; Environmental Sciences &amp; Ecology; Forestry</t>
  </si>
  <si>
    <t>6X9EP</t>
  </si>
  <si>
    <t>WOS:000896709800004</t>
  </si>
  <si>
    <t>Siti-Nabiha, AK; Norfarah, N</t>
  </si>
  <si>
    <t>Siti-Nabiha, A. K.; Norfarah, N.</t>
  </si>
  <si>
    <t>Performance of Islamic Microfinance Institutions: Accounting for Well-Being</t>
  </si>
  <si>
    <t>GLOBAL JOURNAL AL-THAQAFAH</t>
  </si>
  <si>
    <t>Islamic Microfinance Institutions; Well-being; Social Performance</t>
  </si>
  <si>
    <t>Islamic micro-finance, despite being a small part of the Islamic finance industry, plays a significant role in poverty alleviation and financial inclusion activities. One of the key challenges facing Islamic micro-finance institutions (IMFIs) is the lack of measures of performance, which hinders the process of evaluating IMFIs' performance and the dynamic growth of the micro-financing sector. Unlike the conventional financial sector, there have been few attempts to measure the performance of IMFIs. The knowledge of measures and determinants of success factors for IMFIs is limited and compounded by a lack of theoretical basis underpinning research in this area. This paper focuses on examining the performance measures of micro-financing institutions in Islamic micro-financing. The determination of IMFI success factors would assist in the external evaluation and internal improvements of IMFIs, which would contribute to a more dynamic micro-finance industry. Therefore, IMFIs should be evaluated not only on output and the outcome measures of both social and financial performance, but also the process and with a view of the entire value chain of financing, along with the internal process of fostering borrower cooperation to enable the achievement of well-being.</t>
  </si>
  <si>
    <t>[Siti-Nabiha, A. K.; Norfarah, N.] Univ Sains Malaysia, Grad Sch Business, Minden 11800, Penang, Malaysia</t>
  </si>
  <si>
    <t>Siti-Nabiha, AK (corresponding author), Univ Sains Malaysia, Grad Sch Business, Minden 11800, Penang, Malaysia.</t>
  </si>
  <si>
    <t>nabiha@usm.my; norfarah@usm.my</t>
  </si>
  <si>
    <t>Nordin, Norfarah/N-7349-2016</t>
  </si>
  <si>
    <t>Malaysian Ministry of Education [203]</t>
  </si>
  <si>
    <t>Malaysian Ministry of Education</t>
  </si>
  <si>
    <t>The authors would like to express their gratitude and appreciation to the Malaysian Ministry of Education for the funding of this research through the Fundamental Research Grant Scheme (FRGS): Grant No. 203.PPAMC.6711633.</t>
  </si>
  <si>
    <t>UNIV SULTAN AZLAN SHAH</t>
  </si>
  <si>
    <t>KUALA KANGSAR PERAK</t>
  </si>
  <si>
    <t>BUKIT CHANDAN, KUALA KANGSAR PERAK, 33000, MALAYSIA</t>
  </si>
  <si>
    <t>2232-0474</t>
  </si>
  <si>
    <t>2232-0482</t>
  </si>
  <si>
    <t>GLOB J AL-THAQAFAH</t>
  </si>
  <si>
    <t>Glob. J. Al-Thaqafah</t>
  </si>
  <si>
    <t>PO5JU</t>
  </si>
  <si>
    <t>WOS:000605206200005</t>
  </si>
  <si>
    <t>Adjognon, GS; Liverpool-Tasie, LS; Shupp, R</t>
  </si>
  <si>
    <t>Adjognon, Guigonan Serge; Liverpool-Tasie, Lenis Saweda; Shupp, Robert</t>
  </si>
  <si>
    <t>Productivity Shocks and Repayment Behavior in Rural Credit Markets: A Framed Field Experiment</t>
  </si>
  <si>
    <t>TRADE; MICROFINANCE</t>
  </si>
  <si>
    <t>Improving rural credit markets requires a good understanding of the root causes of market failures and taking necessary steps to address them. This paper investigates the role of productivity shocks in borrowers repayment choices. Using a framed field experiment that simulated a repeated interaction in an input credit market, the analysis finds strong evidence that adverse productivity shocks lead to higher default, even when they do not induce negative returns. This relationship is robust to the presence of an information exchange system enforcing dynamic incentives. The findings suggest that recurrent shocks such as those resulting from the harmful effects of climate change could exacerbate failures in rural credit markets, undermining hard-won progress toward rural financial inclusion.</t>
  </si>
  <si>
    <t>[Adjognon, Guigonan Serge] World Bank Grp, Dev Res Grp DECRG, Dev Impact Evaluat Dime, Washington, DC 20433 USA; [Liverpool-Tasie, Lenis Saweda; Shupp, Robert] Michigan State Univ, Dept Agr Food &amp; Resources Econ AFRE, E Lansing, MI 48824 USA</t>
  </si>
  <si>
    <t>The World Bank; Michigan State University</t>
  </si>
  <si>
    <t>Adjognon, GS (corresponding author), World Bank Grp, Dev Res Grp DECRG, Dev Impact Evaluat Dime, Washington, DC 20433 USA.</t>
  </si>
  <si>
    <t>gadjognon@worldbank.org</t>
  </si>
  <si>
    <t>10.1080/00220388.2019.1640873</t>
  </si>
  <si>
    <t>ND8JZ</t>
  </si>
  <si>
    <t>WOS:000478652300001</t>
  </si>
  <si>
    <t>Puri, V; Kaur, G; Kalra, JK; Gill, K</t>
  </si>
  <si>
    <t>Puri, Vaibhav; Kaur, Gurleen; Kalra, Jappanjyot Kaur; Gill, Kawal</t>
  </si>
  <si>
    <t>Bank stability and digitalisation: empirical evidence from selected Indian banks</t>
  </si>
  <si>
    <t>Digitalisation; Bank stability; Financial inclusion; Panel VAR</t>
  </si>
  <si>
    <t>Purpose India's efforts to achieve large-scale financial inclusion are challenged by growing concerns related to the stability and profitability of the overall banking system. Although a rising dependence on digital finance and the acceptability of wallet-based payments was also visible during the post-demonetisation era and the coronavirus disease 2019 (Covid-19) pandemic, issues related to bank stability and profitability could be addressed through the extension of digital financial services (DFS), making the system more transparent and resilient to internal as well as external perturbations.Design/methodology/approach The study provides empirical evidence to support the bank digitalisation and extension of DFS to achieve financial inclusion. The impact of digital finance, macroeconomic aspects and microprudential factors (bank specific) on stability is examined for selected Indian banks using quarterly observations spanning 2011Q1-2020Q4. The relationship between banking stability (measured through z-score and Sharpe ratio) is established with digitalisation factors using the instrumental variable regression two-stage least square -based panel regression. Robustness is tested using panel vector autoregression models.Findings Digital transactions including mobile banking, National Electronic Fund Transfer (NEFT) and Real Time Gross Settlement (RTGS) prove vital and significant in establishing stable banking activity in the Indian context across both public and private banking institutions. Access to broadband services provides a positive impetus in this direction. These issues could be addressed through the extension of DFS making the system more transparent and resilient to internal as well as external perturbations. As an implication, the adoption of innovative means of transaction could empower the financially excluded sections of society.Originality/value The novelty of this study is to bring the discussion of digitalisation and bank stability (riskiness) in the Indian context to light. As the first of its kind, this study paves the way for providing an empirical justification for promoting and achieving bank stability through digitalisation in the era of post-demonetisation and Covid-19.</t>
  </si>
  <si>
    <t>[Puri, Vaibhav; Kaur, Gurleen] Univ Delhi, Sri Guru Gobind Singh Coll Commerce, Dept Econ, Delhi, India; [Kalra, Jappanjyot Kaur; Gill, Kawal] Univ Delhi, Sri Guru Gobind Singh Coll Commerce, Dept Commerce, Delhi, India</t>
  </si>
  <si>
    <t>University of Delhi; University of Delhi</t>
  </si>
  <si>
    <t>Kalra, JK (corresponding author), Univ Delhi, Sri Guru Gobind Singh Coll Commerce, Dept Commerce, Delhi, India.</t>
  </si>
  <si>
    <t>vaibhavpuri@sggscc.ac.in; gurleenkaur@sggscc.ac.in; jappanjyotkaur@sggscc.ac.in; drkawalgill@sggscc.ac.in</t>
  </si>
  <si>
    <t>Puri, Vaibhav/HLG-5856-2023; Gill, Kawal/OMN-1297-2025</t>
  </si>
  <si>
    <t>Puri, Vaibhav/0000-0002-5962-0074; Gill, Kawal/0000-0002-7145-6801</t>
  </si>
  <si>
    <t>10.1108/JEAS-07-2022-0172</t>
  </si>
  <si>
    <t>9GD2A</t>
  </si>
  <si>
    <t>WOS:001035067000001</t>
  </si>
  <si>
    <t>Pal, A; Tiwari, CK; Behl, A</t>
  </si>
  <si>
    <t>Pal, Abhinav; Tiwari, Chandan Kumar; Behl, Aastha</t>
  </si>
  <si>
    <t>Blockchain technology in financial services: a comprehensive review of the literature</t>
  </si>
  <si>
    <t>JOURNAL OF GLOBAL OPERATIONS AND STRATEGIC SOURCING</t>
  </si>
  <si>
    <t>Finance; Qualitative; Technology; Financial services; Blockchain; Financial inclusion; Both</t>
  </si>
  <si>
    <t>SMART CONTRACTS; BANKING; FINTECH; CHALLENGES; BUSINESS; IMPACT; OPPORTUNITIES; SECURITY; LEDGERS; FUTURE</t>
  </si>
  <si>
    <t>Purpose The purpose of this study is to thoroughly review studies that have used blockchain technology in financial services. This study will help provide a holistic framework that would highlight the current state and challenges of the blockchain in the financial services sector. Design/methodology/approach The objective of this study is to systematically examine and organize the current body of research literature that either quantitatively or qualitatively explored the use of blockchain technology in financial services. The study uses PRISMA-guided systematic review along with bibliometric analysis to achieve the purpose. Findings This study contributes to the existing literature by exploring and analyzing systematic studies available on blockchain with special reference to financial services sector. With blockchain based on five principles, namely, computational logic, peer-to-peer transmission, irreversibility of records, distributed database and transparency with pseudonym has immense potential to unleash and transform the financial service industry. With increasing blockchain-based operations of decentralized banking, insurance, trade finance, financial markets and cryptocurrency market, the subject is rapidly growing and seeking considerable contribution from scholars from around the world. Research limitations/implications This study uses systematic literature review approach, which has its own demerits. Like other studies based on Systematic Literature Review, this study also suffers from a certain bias such as sample selection bias, publication bias, data interpretation and the combination of quantitative and qualitative studies in the population. Further, the adoption and resultant benefits of blockchain have not been empirically tested. Practical implications This study can help policymakers and institutions in determining their future course of action, as it highlights the state of research in the area of blockchain technology and financial services. Originality/value Very few studies have done a comprehensive review of literature on blockchain in financial services.</t>
  </si>
  <si>
    <t>[Pal, Abhinav; Tiwari, Chandan Kumar] Symbiosis Int Univ, Fac Management, Symbiosis Ctr Management Studies, NOIDA, Pune, Maharashtra, India; [Behl, Aastha] Jagannath Inst Management Sch, Dept Management, New Delhi, India</t>
  </si>
  <si>
    <t>Symbiosis International University; Symbiosis Centre for Management Studies Pune; Symbiosis Centre for Management Studies Noida</t>
  </si>
  <si>
    <t>Tiwari, CK (corresponding author), Symbiosis Int Univ, Fac Management, Symbiosis Ctr Management Studies, NOIDA, Pune, Maharashtra, India.</t>
  </si>
  <si>
    <t>chandan.tiwari@scmsnoida.ac.in</t>
  </si>
  <si>
    <t>; Tiwari, Chandan Kumar/ABG-5430-2021</t>
  </si>
  <si>
    <t>Behl, Aastha/0000-0002-3137-3307; Tiwari, Chandan Kumar/0000-0002-7563-3238</t>
  </si>
  <si>
    <t>2398-5364</t>
  </si>
  <si>
    <t>J GLOB OPER STRATEG</t>
  </si>
  <si>
    <t>J. Glob. Oper. Strateg. Sourc.</t>
  </si>
  <si>
    <t>10.1108/JGOSS-07-2020-0039</t>
  </si>
  <si>
    <t>RA6XE</t>
  </si>
  <si>
    <t>WOS:000626708600001</t>
  </si>
  <si>
    <t>Despard, MR; Chowa, GAN; Hart, LJ</t>
  </si>
  <si>
    <t>Despard, Mathieu R.; Chowa, Gina A. N.; Hart, Lauren J.</t>
  </si>
  <si>
    <t>Personal Financial Problems: Opportunities for Social Work Interventions?</t>
  </si>
  <si>
    <t>Financial problems; financial education; financial counseling; financial capability</t>
  </si>
  <si>
    <t>LOW-INCOME; FAMILIES; TAX; KNOWLEDGE</t>
  </si>
  <si>
    <t>Social workers have opportunities to help clients address their financial problems through a variety of practice settings, yet little is known about how they do so. Using qualitative methods and descriptive statistics, we analyzed responses from a survey of social workers and other human service professionals (N = 56). Participants primarily characterized their clients' financial problems as the result of making poor financial decisions and mostly used financial education techniques in response. Most participants said they faced workplace barriers to helping their clients with financial problems, including lack of expertise and time and inability to bill for services. Social workers who want to address clients' financial problems should recognize that financial problems stem not just from difficulties in managing money, but in the need for increased income, resources, and assets and an understanding of financial services. Future research with a larger sample of social workers is needed to assess how intervention methods vary by client population and to conduct pilot efficacy evaluations of well-conceptualized interventions to promote financial well-being.</t>
  </si>
  <si>
    <t>[Despard, Mathieu R.; Chowa, Gina A. N.] Univ N Carolina, Sch Social Work, Chapel Hill, NC 27599 USA; [Hart, Lauren J.] FHI 360, Durham, NC USA</t>
  </si>
  <si>
    <t>University of North Carolina; University of North Carolina Chapel Hill; FHI 360</t>
  </si>
  <si>
    <t>Despard, MR (corresponding author), Univ N Carolina, Sch Social Work, 325 Pittsboro St,CB 3550, Chapel Hill, NC 27599 USA.</t>
  </si>
  <si>
    <t>despard@email.unc.edu</t>
  </si>
  <si>
    <t>Chowa, Gina/L-4721-2019</t>
  </si>
  <si>
    <t>Hart, Lauren/0000-0003-1519-9748; Despard, Mathieu/0000-0001-7590-7908</t>
  </si>
  <si>
    <t>10.1080/01488376.2011.638733</t>
  </si>
  <si>
    <t>936HE</t>
  </si>
  <si>
    <t>WOS:000303580700006</t>
  </si>
  <si>
    <t>Phan, C; Filomeni, S; Kok, SK</t>
  </si>
  <si>
    <t>Phan, Chung; Filomeni, Stefano; Kok, Seng Kiong</t>
  </si>
  <si>
    <t>The impact of technology on access to credit: A review of loan approval and terms in rural Vietnam and Thailand</t>
  </si>
  <si>
    <t>access to finance; fintech; rural borrowing; economic digitalisation; digital transformation; rural loans; Vietnam; Thailand</t>
  </si>
  <si>
    <t>SMALL BUSINESSES; INFORMATION; CONSTRAINTS; FINANCE; TESTS; MODEL; COST; SIZE; BIAS</t>
  </si>
  <si>
    <t>The acceleration of economic digitalisation has been immense in recent years and coupled with the rapid development of technology-augmented finance. However, less understood is how such technology-augmented finance has impacted access to credit within rural contexts of developing economies. Using household-level survey data, our results provide novel evidence of a negative relationship, on average, between rural households' access to credit as measured by loan approvals, and internet access. More specifically, use of internet in rural areas of the countries under analysis reduces the chance of accessing credit by up to 65%. Moreover, when we further investigate loan terms, our findings indicate that internet users get six-month shorter loan durations and have a lower interest cost of borrowing of up to 1.2%. The results for loan approval rates are persistent for formal loans and for nations at a lower stage of economic development, i. e., only within the less developed Vietnamese rural context. Our findings provide richer insights into the impact of information and telecommunication technologies (ITC) on access to finance in developing countries characterised by significant proportions of rural areas affected by severe information asymmetry-related issues that may be amplified or reduced by increased internet connectivity. Our results carry important policy implications. On the demand side, they highlight the need to ensure that government initiatives should aim to better educate rural borrowers in relation to financial literacy and credit choices. On the supply side, our findings urge the need to introduce policies for formal lenders targeted towards the reduction of the information asymmetries pervasive in rural areas.</t>
  </si>
  <si>
    <t>[Phan, Chung; Kok, Seng Kiong] RMIT Vietnam, Business Sch, Ho Chi Minh City, Vietnam; [Filomeni, Stefano] Univ Essex, Essex Business Sch, Finance Grp, Colchester, England</t>
  </si>
  <si>
    <t>Royal Melbourne Institute of Technology (RMIT); University of Essex</t>
  </si>
  <si>
    <t>Filomeni, S (corresponding author), Univ Essex, Essex Business Sch, Finance Grp, Colchester, England.</t>
  </si>
  <si>
    <t>chung.phan@rmit.edu.vn; stefano.filomeni@essex.ac.uk; seng.kok2@rmit.edu.vn</t>
  </si>
  <si>
    <t>Thanh Phan, Chung/GZM-8960-2022; Filomeni, Stefano/ABI-4473-2020</t>
  </si>
  <si>
    <t>Thanh Phan, Chung/0000-0002-5478-8943; Filomeni, Stefano/0000-0002-0838-5510; Kok, Seng Kiong/0000-0002-4583-2797</t>
  </si>
  <si>
    <t>10.1016/j.ribaf.2024.102504</t>
  </si>
  <si>
    <t>C7M3D</t>
  </si>
  <si>
    <t>WOS:001291169100001</t>
  </si>
  <si>
    <t>Ndaw, M; Mendy, G; Ouya, S; Seck, D</t>
  </si>
  <si>
    <t>Kebe, CMF; Gueye, A; Ndiaye, A</t>
  </si>
  <si>
    <t>Ndaw, Marie; Mendy, Gervais; Ouya, Samuel; Seck, Diaraf</t>
  </si>
  <si>
    <t>Quantify the Maturity of Internet Banking Security Measures in WAEMU (West African Economic and Monetary Union) Banks</t>
  </si>
  <si>
    <t>INNOVATION AND INTERDISCIPLINARY SOLUTIONS FOR UNDERSERVED AREAS</t>
  </si>
  <si>
    <t>1st International Conference on Innovation and Interdisciplinary Solutions for Underserved Areas (InterSol) / 6th National Colloquium on Computer Research and Applications (CNRIA)</t>
  </si>
  <si>
    <t>APR 10-11, 2017</t>
  </si>
  <si>
    <t>Dakar, SENEGAL</t>
  </si>
  <si>
    <t>Internet banking; Risk; Security; Control</t>
  </si>
  <si>
    <t>WAEMU banks should provide more facilities and convenience to theirs customers but they also should take all steps and expensive measures to make online transactions more safe and secure. Several type of controls are proposed to manage different risks related to infiltrations, breaching, stealing data and cyber-attacks. Controls maturity are measured using the actual method which is manual, require time and personal investment and have some estimation error. In this paper, we propose and apply two models on all internet banking controls in order to automatize the quantification of their maturity. The both models allow optimal assessment of security measures and aim to improve security of Ebanking transactions including increase of comfort and time saving for underserved areas. The results of our study also enable economic/social well-being and financial inclusion to people in rural areas who use internet connection for mobile banking transactions.</t>
  </si>
  <si>
    <t>[Ndaw, Marie] GIM UEMOA, Dakar, Senegal; [Mendy, Gervais; Ouya, Samuel; Seck, Diaraf] UCAD, ESP, LIRT, Dakar, Senegal</t>
  </si>
  <si>
    <t>Ndaw, M (corresponding author), GIM UEMOA, Dakar, Senegal.</t>
  </si>
  <si>
    <t>lisandaw@gmail.com; gervais.mendy@ucad.edu.sn; samuel.ouya@ucad.edu.sn; diaraf.seck@ucad.edu.sn</t>
  </si>
  <si>
    <t>OUYA, Samuel/0000-0002-8665-8131; Mendy, Gervais/0000-0002-1678-4175</t>
  </si>
  <si>
    <t>978-3-319-72965-7; 978-3-319-72964-0</t>
  </si>
  <si>
    <t>10.1007/978-3-319-72965-7_11</t>
  </si>
  <si>
    <t>Computer Science, Theory &amp; Methods; Information Science &amp; Library Science; Psychology, Social; Telecommunications</t>
  </si>
  <si>
    <t>Computer Science; Information Science &amp; Library Science; Psychology; Telecommunications</t>
  </si>
  <si>
    <t>BK3JA</t>
  </si>
  <si>
    <t>WOS:000435083500011</t>
  </si>
  <si>
    <t>Duncombe, R</t>
  </si>
  <si>
    <t>Duncombe, Richard</t>
  </si>
  <si>
    <t>An evidence-based framework for assessing the potential of mobile finance in sub-Saharan Africa</t>
  </si>
  <si>
    <t>PHONES; SERVICES; ACCESS; ISSUES</t>
  </si>
  <si>
    <t>This paper provides a framework-based approach for assessing the potential for mobile finance (m-finance) services to achieve greater financial inclusion in sub-Saharan Africa. The conceptual approach synthesises market and user perspectives, and constructs an evidence-based exploratory framework based on analysis of a single country, Uganda. Case evidence is used to inform four lifecycle stages for m-finance, moving from design to access, usage, and outcomes associated with differentiated m-finance applications. Based on analysis of published sources, findings from Uganda suggest that early adoption of m-finance has favoured those already financially included and market-driven solutions for the financially excluded are limited. Simple market modelling is found to be an insufficient basis on which to assess potential amongst the unbanked majority. The paper argues that the perception, behaviour and capability of users, and forms of user appropriation, should be a paramount concern, and potential for m-finance should be considered within a deeper understanding of a specified financial services context and within a defined market, regulatory and policy environment.</t>
  </si>
  <si>
    <t>Univ Manchester, Inst Dev Policy &amp; Management, Manchester M13 9PL, Lancs, England</t>
  </si>
  <si>
    <t>Duncombe, R (corresponding author), Univ Manchester, Inst Dev Policy &amp; Management, Oxford Rd, Manchester M13 9PL, Lancs, England.</t>
  </si>
  <si>
    <t>richard.duncombe@manchester.ac.uk</t>
  </si>
  <si>
    <t>10.1017/S0022278X1200016X</t>
  </si>
  <si>
    <t>006OC</t>
  </si>
  <si>
    <t>WOS:000308827500001</t>
  </si>
  <si>
    <t>Asaloko, PP; Mondjeli, IMMN</t>
  </si>
  <si>
    <t>Asaloko, Prince PIVA.; Mondjeli, Itchoko Montande Mwa Ndjokou</t>
  </si>
  <si>
    <t>The Digital Divide and the Financial Inclusion of Women: Evidence From African Countries</t>
  </si>
  <si>
    <t>Africa; digital divide; financial inclusion of women; quantile regression</t>
  </si>
  <si>
    <t>QUANTILE REGRESSION; REMITTANCES; DIFFUSION; SERVICES; GROWTH; USAGE</t>
  </si>
  <si>
    <t>This article analyzes how the digital divide affects women's financial inclusion in 36 African countries from 2011 to 2022. Employing the quantile regression estimation technique, the main finding shows that the digital divide severely impedes financial inclusion. The negative finding is robust with respect to the use of women's financial inclusion sub-indexes and alternative measures of the digital divide. The negative relationship is robust to OLS, Tobit, censored Poisson and truncated negative binomial estimators. Furthermore, we find that income inequality amplifies the negative effect of the digital divide on women's financial inclusion, whereas human capital mitigates the effect of the digital divide and improves women's financial inclusion. Above certain human capital thresholds, the digital divide no longer has a negative impact on the financial inclusion of women. Based on the quantiles, on average, about 10 years of schooling of the population is required to compensate for the unfavourable effect of the digital divide on the financial inclusion of women. Policy implications are discussed.</t>
  </si>
  <si>
    <t>[Asaloko, Prince PIVA.] Univ Yaounde 2, Univ Kisangani DRC, Yaounde 2, Cameroon; [Mondjeli, Itchoko Montande Mwa Ndjokou] Univ Maroua, Fac Econ &amp; Management, Maroua, Cameroon</t>
  </si>
  <si>
    <t>Asaloko, PP (corresponding author), Univ Yaounde 2, Univ Kisangani DRC, Yaounde 2, Cameroon.</t>
  </si>
  <si>
    <t>princepiva.05asaloko@gmail.com</t>
  </si>
  <si>
    <t>asaloko, prince/KAM-4434-2024</t>
  </si>
  <si>
    <t>The authors received no specific funding for this work.</t>
  </si>
  <si>
    <t>The authors would like to thank the editor and the anonymous reviewers for their comments and suggestions for improvement. They would also like to thank Ms Murielle Fokou, Mr. Eric Possi and Mr. Gilles Limnyuy for their outstanding work in revising this paper. However, the authors remain solely responsible for any residual errors.</t>
  </si>
  <si>
    <t>e70013</t>
  </si>
  <si>
    <t>10.1111/ecno.70013</t>
  </si>
  <si>
    <t>5KG2Z</t>
  </si>
  <si>
    <t>WOS:001537678000001</t>
  </si>
  <si>
    <t>Addressing unproductive credit consumption and beneficiary malpractices in social welfare programs for slum-dwellers: A study from India</t>
  </si>
  <si>
    <t>Credit consumption; Social welfare programs; Urban low-income families; Slum-dwellers; Credit escalation; Cross-financing; Unproductive loan consumption; Beneficiary malpractices; Poverty reduction; Financial inclusion</t>
  </si>
  <si>
    <t>FINANCIAL INCLUSION; POVERTY REDUCTION; MICROFINANCE; LIVELIHOODS; MANAGEMENT; BUSINESS; POLICIES; HEALTH; POOR</t>
  </si>
  <si>
    <t>This study examines the credit consumption pattern of slum-dweller households under different social welfare schemes and its impact on credit escalation and cross-financing. Using a multistage sampling approach, data were collected from 585 respondents in Punjab's most congested cities with municipal corporations. Exploratory factor analysis was applied to reduce dimensions, and confirmatory factor analysis (CFA) was performed to test validity and reliability. Structural equation modeling (SEM) was used to test hypotheses. The findings reveal that unproductive loan consumption by low-income families through social welfare programs is associated with beneficiary malpractices. The assessment models developed in this study can assist the Indian government and policymakers in improving the execution and implementation of social welfare programs aimed at poverty reduction and policy formulation. This study contributes to efforts towards financial inclusion and addresses a critical topic in the context of the current governmental attention on urban low-income families. It fills a research gap on the impact of unproductive credit usage patterns on beneficiary malpractices and provides insights into the role of social welfare schemes' norms in credit consumption patterns among low-income households in urban slums. The findings have implications for policy development, program implementation, and poverty reduction strategies, highlighting the need for effective monitoring and regulation of credit utilization in social welfare programs for vulnerable populations.</t>
  </si>
  <si>
    <t>[Singh, Jaskirat] Minist Educ, ICSSR, New Delhi, India; [Singh, Jaskirat; Singh, Manjit] Punjabi Univ, Univ Sch Appl Management, Patiala, India; [Singh, Manjit] Jagat Guru Nanak Dev Punjab State Open Univ, Patiala, India</t>
  </si>
  <si>
    <t>Singh, J (corresponding author), Minist Educ, ICSSR, New Delhi, India.</t>
  </si>
  <si>
    <t>jasky786@gmail.com</t>
  </si>
  <si>
    <t>10.1016/j.cities.2023.104729</t>
  </si>
  <si>
    <t>EN8U8</t>
  </si>
  <si>
    <t>WOS:001139705300001</t>
  </si>
  <si>
    <t>Sultan, S; Tsoukatos, E</t>
  </si>
  <si>
    <t>Vrontis, D; Weber, Y; Tsoukatos, E</t>
  </si>
  <si>
    <t>Sultan, Suhail; Tsoukatos, Evangelos</t>
  </si>
  <si>
    <t>FORMAL AND INFORMAL SMALL BUSINESSES: CHARACTERISTICS, CHALLENGES AND PROMOTION</t>
  </si>
  <si>
    <t>RESEARCH ADVANCEMENTS IN NATIONAL AND GLOBAL BUSINESS THEORY AND PRACTICE</t>
  </si>
  <si>
    <t>EuroMed Academy of Business Conference Book of Proceedings</t>
  </si>
  <si>
    <t>11th Annual Conference of the EuroMed-Academy-of-Business - Research Advancements in National and Global Business Theory and Practice</t>
  </si>
  <si>
    <t>SEP 12-14, 2018</t>
  </si>
  <si>
    <t>Valletta, MALTA</t>
  </si>
  <si>
    <t>EuroMed Acad Business,EuroMed Res Ctr</t>
  </si>
  <si>
    <t>Small Business; Formal; Informal; Characteristics; Challenges; Policies; Palestinian Territories</t>
  </si>
  <si>
    <t>ENTREPRENEURSHIP; SECTOR</t>
  </si>
  <si>
    <t>This paper aims to address the differences in characteristics and challenges of Palestinian formal and informal small businesses. In addition, it discusses needed policies to foster these businesses. This exploratory paper combines a literature review with a mixed-methods study. A survey with a sample of 300 formal and informal small businesses in the Palestinian Territories (West Bank and Gaza Strip), and in-depth interviews with representatives from government, private sector, and microfinance institutions were conducted. Findings show that formal and informal small firms operate under very unalike constraints. Most obviously, formal employers bear a number of regulatory costs that unregistered firms can typically avoid. These costs include licenses, bureaucratic approvals, and other fees. As well, findings show the significant differences between formal and informal businesses in terms of organization, employment, production, finance and sales. In addition, results show significant differences in the challenges formal and informal small businesses are facing. The informal small businesses are facing problems in access to market, access to finance and access to information. A more complete understanding of formal and informal firms may lead to adjustments in government policies to enhance their unique contributions to economic growth. Access to information about regulations, access to finance, and access to markets shall be made available to both informal and formal businesses at minimum cost. Policy makers must ensure that the compliance procedures associated with, e.g. R&amp;D and new technologies, are not unnecessarily costly, complex or lengthy.</t>
  </si>
  <si>
    <t>[Sultan, Suhail] Birzeit Univ, Dept Business &amp; Mkt, Birzeit, Palestine; [Tsoukatos, Evangelos] Univ Appl Sci Crete, Dept Accounting &amp; Finance, Iraklion, Greece</t>
  </si>
  <si>
    <t>Birzeit University</t>
  </si>
  <si>
    <t>Sultan, S (corresponding author), Birzeit Univ, Dept Business &amp; Mkt, Birzeit, Palestine.</t>
  </si>
  <si>
    <t>Sultan, Suhail/HNI-6074-2023</t>
  </si>
  <si>
    <t>EUROMED PRESS</t>
  </si>
  <si>
    <t>MARSEILLE CEDEX 9</t>
  </si>
  <si>
    <t>RUE ANTOINE BOURDELLE, DOMAINE DE LUMINY BP 921, MARSEILLE CEDEX 9, 13 288, FRANCE</t>
  </si>
  <si>
    <t>2547-8516</t>
  </si>
  <si>
    <t>978-9963-711-67-3</t>
  </si>
  <si>
    <t>EUROMED ACAD BUS CON</t>
  </si>
  <si>
    <t>BO6JN</t>
  </si>
  <si>
    <t>WOS:000520521200092</t>
  </si>
  <si>
    <t>Issabayev, M; Saydaliyev, H; Avsar, V; Chin, L</t>
  </si>
  <si>
    <t>Issabayev, Murat; Saydaliyev, Hayotbek; Avsar, Veysel; Chin, Lee</t>
  </si>
  <si>
    <t>REMITTANCES, INSTITUTIONS AND FINANCIAL INCLUSION: NEW EVIDENCE OF NON-LINEARITY</t>
  </si>
  <si>
    <t>Remittance; financial inclusion; dynamic panel data</t>
  </si>
  <si>
    <t>CAUSE ECONOMIC-GROWTH; MIGRANTS REMITTANCES; WORKERS REMITTANCES; LATIN-AMERICA; IMPACTS; ASIA</t>
  </si>
  <si>
    <t>This paper investigates the effect of remittance inflows on financial inclusion. Using data from high remittance-receiving developing countries and applying dynamic panel data methods, we find that remittance inflow has a negative impact on financial inclusion for countries with low level of remittances. However, this relationship is positive for countries with high level of remittances. Our study found that there exists a nonlinear relationship between remittances and financial inclusion. We also show that the effect of remittances on the financial inclusion is conditional upon people's perception about institutions.</t>
  </si>
  <si>
    <t>[Issabayev, Murat] Narxoz Univ, Zhandosov St 55,1st Micro Dist 81, Alma Ata 050035, Kazakhstan; [Saydaliyev, Hayotbek] Suleyman Demirel Univ, Alma Ata 040900, Kazakhstan; [Saydaliyev, Hayotbek] Univ Putra Malaysia Serdang, Serdang 43400, Selangor Darul, Malaysia; [Avsar, Veysel] Texas A&amp;M Univ, Corpus Christi, TX 78412 USA; [Chin, Lee] Univ Putra Malaysia, Serdang 43400, Selangor Darul, Malaysia</t>
  </si>
  <si>
    <t>Narxoz University; Suleyman Demirel University - Kazakhstan; Universiti Putra Malaysia; Texas A&amp;M University System; Universiti Putra Malaysia</t>
  </si>
  <si>
    <t>Issabayev, M (corresponding author), Narxoz Univ, Zhandosov St 55,1st Micro Dist 81, Alma Ata 050035, Kazakhstan.</t>
  </si>
  <si>
    <t>murat.isabayev@narxoz.kz; hayot.saydaliev@sdu.edu.kz; Veysel.Avsar@tamucc.edu; leechin@upm.edu.my</t>
  </si>
  <si>
    <t>Lee, Chin/AAR-5222-2020; Saydaliev, Hayot Berk/AAG-8199-2021; Issabayev, Murat/ABF-5176-2022</t>
  </si>
  <si>
    <t>AVSAR, VEYSEL/0000-0002-0049-8342; Saydaliev, Hayot Berk/0000-0002-4231-2366; Issabayev, Murat/0000-0001-8608-488X</t>
  </si>
  <si>
    <t>1524-5861</t>
  </si>
  <si>
    <t>10.1142/S2194565920500025</t>
  </si>
  <si>
    <t>MA3GP</t>
  </si>
  <si>
    <t>WOS:000541806100002</t>
  </si>
  <si>
    <t>Ahmat-Tidjani, MI</t>
  </si>
  <si>
    <t>Ahmat-Tidjani, Mahamat Ibrahim</t>
  </si>
  <si>
    <t>Financial inclusion, remittances and household consumption in sub-Saharan Africa: Evidence from the application of an endogenous threshold dynamic panel model</t>
  </si>
  <si>
    <t>financial inclusion; remittances; household consumption expenditures; sub-Saharan Africa; G2; I32; O11</t>
  </si>
  <si>
    <t>POVERTY REDUCTION; GROWTH; BANKING; INEQUALITY; INCOME; DISTANCE; SERVICES; CREDIT; ACCESS; IMPACT</t>
  </si>
  <si>
    <t>This paper examines the effect of financial inclusion on per capita household consumption expenditures in sub-Saharan Africa. It uses data from 28 countries over the period 2004-2022 and an endogenous threshold dynamic panel model for econometric estimations. The study finds evidence of the asymmetric effects of financial inclusion on household consumption expenditures in the region. There exists a remittances threshold that varies between 2.6% and 6.5% of an average sub-Saharan African country's GDP below which financial inclusion increases per capita household consumption expenditures. However, above that threshold, financial inclusion does not contribute to improving household welfare in the region. Therefore, given that the effect of financial inclusion increases with liquidity constraints, policies that target a better allocation of remittances received would amplify the effect of financial inclusion on household consumption.</t>
  </si>
  <si>
    <t>[Ahmat-Tidjani, Mahamat Ibrahim] Univ NDjamena, Fac Econ &amp; Management, LAEREAG, BP 1117, Ndjamena, Chad</t>
  </si>
  <si>
    <t>Ahmat-Tidjani, MI (corresponding author), Univ NDjamena, Fac Econ &amp; Management, LAEREAG, BP 1117, Ndjamena, Chad.</t>
  </si>
  <si>
    <t>ahmattidjanim@gmail.com</t>
  </si>
  <si>
    <t>AHMAT TIDJANI, Mahamat Ibrahim/0000-0002-9497-533X</t>
  </si>
  <si>
    <t>10.18559/ebr.2025.2.1969</t>
  </si>
  <si>
    <t>4QG8Y</t>
  </si>
  <si>
    <t>WOS:001524103800003</t>
  </si>
  <si>
    <t>Fisher, PJ; Hsu, C</t>
  </si>
  <si>
    <t>Fisher, Patti J.; Hsu, Chungwen</t>
  </si>
  <si>
    <t>Differences in Household Saving Between non-Hispanic White and Hispanic Households</t>
  </si>
  <si>
    <t>HISPANIC JOURNAL OF BEHAVIORAL SCIENCES</t>
  </si>
  <si>
    <t>household saving; Hispanic/Latino; Survey of Consumer Finances; unbanked</t>
  </si>
  <si>
    <t>UNITED-STATES; RETIREMENT; BEHAVIOR; WEALTH; REMITTANCES; PERSPECTIVE; CONSUMPTION; AMERICAN; HEALTH; MODEL</t>
  </si>
  <si>
    <t>This study uses the 2007 Survey of Consumer Finances to empirically explore differences in saving behavior between Hispanic (N = 533) and non-Hispanic White (N = 2,473) households. The results of the logistic regression model show that self-employed Hispanics were more likely to save, while self-employment was not significant for Whites. Being unbanked is the only variable that had a significantly negative relationship with saving for both groups. The results indicate that the model of saving applied to U. S. households may not be appropriate in studies focusing on the saving behaviors of Hispanics. In the empirical model estimated in the current article, only age, being unbanked, and self-employment have significant relationships with the saving behaviors of Hispanics, while many variables were significant for White households.</t>
  </si>
  <si>
    <t>[Fisher, Patti J.; Hsu, Chungwen] Virginia Tech, Dept Apparel Housing &amp; Resource Management, Coll Liberal Arts &amp; Human Sci, Blacksburg, VA 24061 USA</t>
  </si>
  <si>
    <t>Fisher, PJ (corresponding author), Virginia Tech, Dept Apparel Housing &amp; Resource Management, Coll Liberal Arts &amp; Human Sci, 209 Wallace Hall, Blacksburg, VA 24061 USA.</t>
  </si>
  <si>
    <t>pafisher@vt.edu</t>
  </si>
  <si>
    <t>Fisher, Patti J/0000-0003-0325-4068</t>
  </si>
  <si>
    <t>0739-9863</t>
  </si>
  <si>
    <t>HISPANIC J BEHAV SCI</t>
  </si>
  <si>
    <t>Hisp. J. Behav. Sci.</t>
  </si>
  <si>
    <t>10.1177/0739986311428891</t>
  </si>
  <si>
    <t>880PS</t>
  </si>
  <si>
    <t>WOS:000299420000008</t>
  </si>
  <si>
    <t>Ajefu, JB; Demir, A; Haghpanahan, H</t>
  </si>
  <si>
    <t>Ajefu, Joseph B.; Demir, Ayse; Haghpanahan, Houra</t>
  </si>
  <si>
    <t>The impact of financial inclusion on mental health</t>
  </si>
  <si>
    <t>Financial inclusion; Mental health; Nigeria</t>
  </si>
  <si>
    <t>This paper examines the impact of financial inclusion on the mental health of heads of household in Nigeria. The study employed data from the 2015/2016 Nigerian General Household Survey (GHS), matched with georeferenced data concerning financial services obtained from the Insight2Impact (i2i) GIS interface. The results indicate that financial inclusion has a strong positive impact on mental health. The study used a robust instrumental variable method, in which a household's distance from the nearest financial institution was used as the instrument for financial inclusion. In addition, it identified the potential channels through which financial inclusion can influence mental health, including: (1) food expenditure; (2) remittances; and (3) risk-coping mechanisms. The findings of this study reinforce growing evidence for the benefits of financial inclusion for alleviating depression symptoms.</t>
  </si>
  <si>
    <t>[Ajefu, Joseph B.] Northumbria Univ, Newcastle Business Sch, Newcastle Upon Tyne NE1 8ST, Tyne &amp; Wear, England; [Demir, Ayse] SOAS Univ London, Ctr Global Finance, London, England; [Haghpanahan, Houra] Univ Glasgow, Inst Hlth &amp; Wellbeing, Hlth Econ &amp; Hlth Technol Assessment, Glasgow, Lanark, Scotland</t>
  </si>
  <si>
    <t>Newcastle University - UK; Northumbria University; University of London; University of London School Oriental &amp; African Studies (SOAS); University of Glasgow</t>
  </si>
  <si>
    <t>Ajefu, JB (corresponding author), Northumbria Univ, Newcastle Business Sch, Newcastle Upon Tyne NE1 8ST, Tyne &amp; Wear, England.</t>
  </si>
  <si>
    <t>joeajefu@gmail.com; ad83@soas.ac.uk; Houra.Haghpanahan@glasgow.ac.uk</t>
  </si>
  <si>
    <t>ESRC [ES/N013344/1, ES/N013344/2] Funding Source: UKRI; Economic and Social Research Council [ES/N013344/1, ES/N013344/2] Funding Source: researchfish</t>
  </si>
  <si>
    <t>10.1016/j.ssmph.2020.100630</t>
  </si>
  <si>
    <t>NH3BT</t>
  </si>
  <si>
    <t>WOS:000564549800005</t>
  </si>
  <si>
    <t>Quayson, M; Bai, CG; Sarkis, J</t>
  </si>
  <si>
    <t>Quayson, Matthew; Bai, Chunguang; Sarkis, Joseph</t>
  </si>
  <si>
    <t>Technology for Social Good Foundations: A Perspective From the Smallholder Farmer in Sustainable Supply Chains</t>
  </si>
  <si>
    <t>Supply chains; Sustainable development; Blockchain; Companies; Africa; Agriculture; Technological innovation; Supply chain management; sustainable development; technology</t>
  </si>
  <si>
    <t>BLOCKCHAIN TECHNOLOGY; SYSTEMS</t>
  </si>
  <si>
    <t>The livelihood of smallholder farmers in emerging economies' cocoa supply chain is substandard because of fraud, exploitation, corruption, deceit, child labor, and financial exclusion, usually perpetrated by influential actors. This situation creates a social sustainability problem which needs urgent attention. Digital technologies such as sensors, drones, satellites, and blockchain show promise toward fostering social sustainability deep into the supply chain. This innovation is consistent with the United Nations 2030 sustainable development goals of transforming world economies toward a more sustainable future vision by reducing poverty and inequality. As our contribution, we adopt a traditional approach in our perspective article to initiate a scholarly curiosity to discuss and develop research needs on how to use technology to address this current and critical sustainability and supply chain concern. Blockchain can solve the inefficiencies, complexities, and other social issues of smallholder farmers in the supply chain. This article identifies some blockchain technologies in emerging economies, such as Hara Technology in Indonesia and Cellulant Agrikore Blockchain Solution in Nigeria. Again, we observed that the promise of using technology to improve smallholders' vulnerability in the cocoa supply chain remains underexploited in Africa and other emerging economies. Therefore, rigorous research on smallholders' social sustainability is needed to make sound policy recommendations. This short perspective article describes issues facing these smallholder farmers and how technology can play a role for them and their supply chains to alleviate various social and environmental concerns. Accordingly, we propose some research questions for technology, innovation, and engineering management researchers.</t>
  </si>
  <si>
    <t>[Quayson, Matthew; Bai, Chunguang] Univ Elect Sci &amp; Technol China, Sch Management &amp; Econ, Chengdu 611731, Peoples R China; [Sarkis, Joseph] Worcester Polytech Inst, Foisie Business Sch, Worcester, MA 01609 USA; [Sarkis, Joseph] Hanken Sch Econ, Humlog Inst, Helsinki 00100, Finland</t>
  </si>
  <si>
    <t>University of Electronic Science &amp; Technology of China; Worcester Polytechnic Institute; Hanken School of Economics</t>
  </si>
  <si>
    <t>Bai, CG (corresponding author), Univ Elect Sci &amp; Technol China, Sch Management &amp; Econ, Chengdu 611731, Peoples R China.</t>
  </si>
  <si>
    <t>matthew.quayson@yahoo.com; cbai@uestc.edu.cn; jsarkis@wpi.edu</t>
  </si>
  <si>
    <t>Quayson, Matthew/AEU-3945-2022; Bai, Chunguang/E-3296-2012; Sarkis, Joseph/F-4508-2014</t>
  </si>
  <si>
    <t>Quayson, Matthew/0000-0002-1629-8193; Bai, Chunguang/0000-0002-9461-1632; Sarkis, Joseph/0000-0003-0143-804X</t>
  </si>
  <si>
    <t>10.1109/TEM.2020.2996003</t>
  </si>
  <si>
    <t>RP8HG</t>
  </si>
  <si>
    <t>WOS:000641963600019</t>
  </si>
  <si>
    <t>Fahlevi, M; Aziz, AL; Aljuaid, M; Saniuk, S; Grabowska, S</t>
  </si>
  <si>
    <t>Fahlevi, Mochammad; Aziz, Aulia Luqman; Aljuaid, Mohammed; Saniuk, Sebastian; Grabowska, Sandra</t>
  </si>
  <si>
    <t>Seasonal Income Effects on Financial Awareness, Capability, and Risky Behavior in Agro-Industrial MSMEs in East Java</t>
  </si>
  <si>
    <t>financial awareness; financial capability; risky financial behavior; financial goals; behavioral finance theory</t>
  </si>
  <si>
    <t>LITERACY; ANTECEDENTS</t>
  </si>
  <si>
    <t>This study examines the role of financial awareness (FA), financial capability (FC), and their influence on risky financial behaviors-risky paying behavior (RPB), risky borrowing behavior (RBB), and financial goals (FGs)-among agro-industrial MSMEs in East Java. This study also explores the moderating effects of expected future financial security (EFFS) and current money management stress (CMMS) in the context of seasonal income fluctuations. This study employed a quantitative approach using structural equation modeling (SEM) with SmartPLS 4. Data were collected through surveys with 287 MSME owners in six cities/regencies in East Java, selected using a random sampling method. The research variables were measured using validated scales adapted from previous studies. FA significantly influenced FC, RPB, and RBB, whereas FC positively impacted FG. RPB had a strong positive effect on FG, whereas RBB showed no significant relationship. The mediation effect of FC between FA and FG was significant, highlighting its pivotal role in achieving FG. However, the moderating effects of EFFS and CMMS on the FC-FG relationship were not significant, suggesting their limited direct impact in this context. This study reveals the urgent need for tailored financial literacy programs that address specific issues faced by MSME owners, such as managing irregular cash flows and minimizing risky financial behavior. Financial institutions should develop accessible financial tools and products for agro-industrial MSMEs.</t>
  </si>
  <si>
    <t>[Fahlevi, Mochammad] Bina Nusantara Univ, Management Dept, BINUS Online, Jakarta 11480, Indonesia; [Fahlevi, Mochammad] Univ Sultan Zainal Abidin UniSZA, Fac Business &amp; Management, Res &amp; Management Sci, Kuala Terengganu 21300, Malaysia; [Aziz, Aulia Luqman] Univ Brawijaya, Fac Adm Sci, Malang 65145, Indonesia; [Aljuaid, Mohammed] King Saud Univ, Coll Business Adm, Dept Hlth Adm, Riyadh 11437, Saudi Arabia; [Saniuk, Sebastian] Univ Zielona Gora, Dept Engn Management &amp; Logist Syst, Zielona Gora, Poland; [Grabowska, Sandra] Silesian Tech Univ, Dept Prod Engn, PL-40019 Gliwice, Poland</t>
  </si>
  <si>
    <t>Universitas Bina Nusantara; Universiti Sultan Zainal Abidin; Brawijaya University; King Saud University; University of Zielona Gora; Silesian University of Technology</t>
  </si>
  <si>
    <t>Fahlevi, M (corresponding author), Bina Nusantara Univ, Management Dept, BINUS Online, Jakarta 11480, Indonesia.;Fahlevi, M (corresponding author), Univ Sultan Zainal Abidin UniSZA, Fac Business &amp; Management, Res &amp; Management Sci, Kuala Terengganu 21300, Malaysia.;Aziz, AL (corresponding author), Univ Brawijaya, Fac Adm Sci, Malang 65145, Indonesia.</t>
  </si>
  <si>
    <t>mochammad.fahlevi@binus.ac.id; aulialuqmanaziz@ub.ac.id; s.saniuk@wez.uz.zgora.pl; sandra.grabowska@polsl.pl</t>
  </si>
  <si>
    <t>; Fahlevi, Mochammad/C-4911-2019; Saniuk, Sebastian/D-6371-2016</t>
  </si>
  <si>
    <t>Aziz, Aulia Luqman/0000-0002-0017-433X; Fahlevi, Mochammad/0000-0002-1419-8308; Aljuaid, Mohammed/0000-0001-9339-822X;</t>
  </si>
  <si>
    <t>King Saud University; King Saud University, Riyadh, Saudi Arabia; [RSP2025R481]</t>
  </si>
  <si>
    <t>King Saud University(King Saud UniversityInstituto Politecnico Nacional - Mexico); King Saud University, Riyadh, Saudi Arabia(King Saud University);</t>
  </si>
  <si>
    <t>We would like to extend our appreciation to King Saud University for funding this work through the Researcher Supporting Project (RSP2025R481), King Saud University, Riyadh, Saudi Arabia.</t>
  </si>
  <si>
    <t>10.3390/agriculture15070709</t>
  </si>
  <si>
    <t>1FH1H</t>
  </si>
  <si>
    <t>WOS:001463650100001</t>
  </si>
  <si>
    <t>Mvondo, T</t>
  </si>
  <si>
    <t>Mvondo, Thierry</t>
  </si>
  <si>
    <t>Financial Reforms and Interest Rate Formation in Central Africa: An Approach Through the DSGE Model</t>
  </si>
  <si>
    <t>REVUE INTERVENTIONS ECONOMIQUES-PAPERS IN POLITICAL ECONOMY</t>
  </si>
  <si>
    <t>financial inclusion; collateral reform; improved information; monetary hocks</t>
  </si>
  <si>
    <t>ACCELERATOR; LIQUIDITY; GROWTH</t>
  </si>
  <si>
    <t>We focus on current or future financials reforms impacts on the formation of interest rates in Central Africa. These reforms aim to restore the efficient operation of the interest rate channel and to revitalize credit channels and asset prices through the development of the financial system and the abandonment of the principle of double intervention by the central bank. For this purpose, we have built a CEMAC DSGE model with a financial accelerator phenomenon on the credit demand side and a collateral constraint on the supply side. The simulations carried out on the intensification of the financial inclusion of firms and households, the collateral reform and the quality of information show an improvement of: (i) banking relay of monetary impulses on the interbank market; (ii) the central bank's reaction to different shocks and; (iii) the response of costs and returns of financial assets to these shocks. However, the disconnection of the variables from the real sphere to the monetary impulses ultimately raises the need for a financial education strategy, beyond the problem of the fragmentation of the money market that needs to be addressed.</t>
  </si>
  <si>
    <t>[Mvondo, Thierry] BEAC, Direct Etud Rech &amp; Stat, Yaounde, Cameroon</t>
  </si>
  <si>
    <t>Mvondo, T (corresponding author), BEAC, Direct Etud Rech &amp; Stat, Yaounde, Cameroon.</t>
  </si>
  <si>
    <t>mvondot@beac.int</t>
  </si>
  <si>
    <t>REVUES ORG</t>
  </si>
  <si>
    <t>CENTRE SOCIOLOGIE ORGANISATIONS CSO SCIENCES PO-CNRS, 27 RUE SAINT-GUILLAUME, PARIS, 75007, FRANCE</t>
  </si>
  <si>
    <t>0715-3570</t>
  </si>
  <si>
    <t>1710-7377</t>
  </si>
  <si>
    <t>REV INTERV ECON</t>
  </si>
  <si>
    <t>Rev. Interv. Econ.</t>
  </si>
  <si>
    <t>10.4000/interventionseconomiques.5171</t>
  </si>
  <si>
    <t>IF7UV</t>
  </si>
  <si>
    <t>WOS:000473291500005</t>
  </si>
  <si>
    <t>Akhter, A; Javed, MY; Akhter, J</t>
  </si>
  <si>
    <t>Akhter, Afaf; Javed, Mohd Yousuf; Akhter, Javaid</t>
  </si>
  <si>
    <t>Research trends in the field of Islamic social finance: a bibliometric analysis from 1914 to 2022</t>
  </si>
  <si>
    <t>Islamic social finance; Zakat; Waqf; Islamic microfinance; Bibliometric analysis</t>
  </si>
  <si>
    <t>WAQF; MICROFINANCE; POVERTY; ZAKAT; MODEL; GOVERNANCE; FRAMEWORK</t>
  </si>
  <si>
    <t>Purpose - This study aims to present a bibliometric analysis of Islamic social finance (ISF) by addressing gaps in the existing research, exploring the current trends of publications and determining possible future research directions in this field.Design/methodology/approach - Relevant bibliometric data of published research during 1914-2022 was extracted from the Scopus database and 1,355 studies were considered for the analysis. Biblioshiny app from RStudio, VOSviewer and Microsoft Excel were the tools used for analysis.Findings - The identified current research streams are management and distribution of ISF funds especially zakat through fintech; governance and accountability of ISF institutions; Islamic microfinance for poverty alleviation and financial inclusion; ISF for promoting sustainable development and achieving United Nations sustainable development goals; waqf endowments and cash waqf; and Islamic charities. The identified themes for future research directions are Islamic fintech, integration of ISF, sustainable development, economic recovery, social entrepreneurship, sustainable ISF ecosystem and supporting refugees.Practical implications - It provides extensive and up-to-date literature on the current trends in ISF and future research themes which can be useful for researchers, professionals and policymakers in the field.Social implications - The findings of this research contribute to the solutions to socio-economic challenges and support sustainable development through ISF.Originality/value - To the best of the authors' knowledge, this research is one of the first attempt to provide a pervasive bibliometric review on ISF by including various aspects of ISF and extending the study period to more than 100 years.</t>
  </si>
  <si>
    <t>[Akhter, Afaf; Akhter, Javaid] Aligarh Muslim Univ, Fac Management Studies &amp; Res, Dept Business Adm, Aligarh, Uttar Pradesh, India; [Javed, Mohd Yousuf] Aligarh Muslim Univ, Dept Business Adm, Kishanganj, India</t>
  </si>
  <si>
    <t>Akhter, A (corresponding author), Aligarh Muslim Univ, Fac Management Studies &amp; Res, Dept Business Adm, Aligarh, Uttar Pradesh, India.</t>
  </si>
  <si>
    <t>afafakhter@gmail.com</t>
  </si>
  <si>
    <t>Akhtar, Javaid/HLW-9113-2023; Javed, Mohd yousuf/ABF-4875-2021</t>
  </si>
  <si>
    <t>10.1108/IJOES-03-2023-0044</t>
  </si>
  <si>
    <t>1CN5J</t>
  </si>
  <si>
    <t>WOS:001130082100001</t>
  </si>
  <si>
    <t>Evans, O</t>
  </si>
  <si>
    <t>Evans, Olaniyi</t>
  </si>
  <si>
    <t>Connecting the poor: the internet, mobile phones and financial inclusion in Africa</t>
  </si>
  <si>
    <t>Internet; Africa; Financial inclusion; Mobile phones</t>
  </si>
  <si>
    <t>TECHNOLOGY ACCEPTANCE MODEL; COINTEGRATION; INFORMATION; PANELS</t>
  </si>
  <si>
    <t>Purpose The increased adoption of internet-enabled phones in Africa has caused much speculation and optimism concerning its effects on financial inclusion. Policymakers, the media and various studies have all flaunted the potentials of internet and mobile phones for financial inclusion. An important question therefore is Can the internet and mobile phones spur the inclusion of the financially excluded poor? This study therefore aims to examine the relationship and causality between internet, mobile phones and financial inclusion in Africa for the 2000-2016 period. Design/methodology/approach The empirical analysis followed these three steps: examination of the stationarity of the variables; testing for the cointegration; and evaluation of the effects of the internet and mobile phones on financial inclusion in Africa for the 2000-2016 period using three outcomes of panel FMOLS approach and Granger causality tests. Findings The empirical evidence shows that internet and mobile phones have significant positive relationship with financial inclusion, meaning that rising levels of internet and mobile phones are associated with increased financial inclusion. There is also uni-directional causality from internet and mobile phones to financial inclusion, implying that internet and mobile phones cause financial inclusion. The study also shows that macroeconomic factors such as capital formation, primary enrollment, bank credit, broad money, population growth, remittances, agriculture and interest rate, as well as institutional factors such as regulatory quality are important underlying factors for financial inclusion in Africa. Originality/value In the literature, there is a dearth of research on the internet, mobile phones and financial inclusion, especially in Africa. Most of the related studies are conceptual and micro-based, with little empirical attention to the relationship and causality between internet, mobile phones and financial inclusion. In fact, this dearth of rigorous empirical studies has been attributed as the main cause of inadequate policy guidance in enhancing information communication technologies (Roycroft and Anantho, 2003), despite saturation levels in developed economies. This study fills the gap by evaluating the effects of the Internet and mobile phones on financial inclusion for 44 African countries for the 2000-2016 period.</t>
  </si>
  <si>
    <t>[Evans, Olaniyi] Pan Atlantic Univ, Dept Management &amp; Social Sci, Lagos, Nigeria</t>
  </si>
  <si>
    <t>Evans, O (corresponding author), Pan Atlantic Univ, Dept Management &amp; Social Sci, Lagos, Nigeria.</t>
  </si>
  <si>
    <t>olaniyievans@gmail.com</t>
  </si>
  <si>
    <t>Evans, Olaniyi/J-5874-2019</t>
  </si>
  <si>
    <t>Evans, Olaniyi/0000-0003-1089-3677</t>
  </si>
  <si>
    <t>10.1108/DPRG-04-2018-0018</t>
  </si>
  <si>
    <t>GZ9OF</t>
  </si>
  <si>
    <t>WOS:000449829000004</t>
  </si>
  <si>
    <t>Swiecka, B; Terefenko, P; Wisniewski, T; Xiao, JJ</t>
  </si>
  <si>
    <t>Swiecka, Beata; Terefenko, Pawel; Wisniewski, Tomasz; Xiao, Jingjian</t>
  </si>
  <si>
    <t>Consumer Financial Knowledge and Cashless Payment Behavior for Sustainable Development in Poland</t>
  </si>
  <si>
    <t>consumer behavior; payment behavior; financial literacy; financial knowledge; cashless payment</t>
  </si>
  <si>
    <t>RANDOM FOREST; LITERACY; INSTRUMENTS; CAPABILITY; EDUCATION</t>
  </si>
  <si>
    <t>Financial knowledge is the main element of financial literacy, which is important for the sustainable development of individuals and society. Sustainability is a complex concept that spans many fields, including financial knowledge for all ages. Financial knowledge requires significant scientific research showing its impact on individuals and the economy, including non-cash payments. Consumer payment knowledge and its association with consumer financial behavior have long been a matter of widespread interest by researchers, but no in-depth, empirically based scientific research has been completed for Poland. The objective of this study was to examine factors associated with cashless payment behavior with an emphasis on the role of consumer financial knowledge. A total of 1100 interviews were carried out with Polish nationals aged 15 and above. The collected data were analyzed with the use of statistical methods, including analysis of variances (ANOVA), in order to examine consumers' financial knowledge by basic economic and non-economic factors. Additionally, a data-mining method known as Random Forests was implemented for finding the variable importance in correlations between consumer financial knowledge and preferred methods of payment. The results revealed the diversity of factors influencing consumer behavior. Among the consumers' personal traits, financial knowledge was one of the most important determinants of their payment choices. The results have implications for the design of payment processes. The results can be used by central banks to determine the directions of financial inclusion, as well as for stakeholders in the payments market.</t>
  </si>
  <si>
    <t>[Swiecka, Beata] Univ Szczecin, Inst Econ &amp; Finance, PL-71101 Szczecin, Poland; [Terefenko, Pawel] Univ Szczecin, Inst Marine &amp; Environm Sci, PL-70383 Szczecin, Poland; [Wisniewski, Tomasz] Univ Szczecin, Inst Management, PL-71004 Szczecin, Poland; [Xiao, Jingjian] Univ Rhode Isl, Dept Human Dev &amp; Family Sci, Kingston, RI 02881 USA</t>
  </si>
  <si>
    <t>University of Szczecin; University of Szczecin; University of Szczecin; University of Rhode Island</t>
  </si>
  <si>
    <t>Terefenko, P (corresponding author), Univ Szczecin, Inst Marine &amp; Environm Sci, PL-70383 Szczecin, Poland.</t>
  </si>
  <si>
    <t>beata.swiecka@usz.edu.pl; pawel.terefenko@usz.edu.pl; tomasz.wisniewski1@usz.edu.pl; jjxiao@uri.edu</t>
  </si>
  <si>
    <t>Xiao, Jing Jian/R-1415-2016; Swiecka, Beata/AAL-2445-2020; Terefenko, Paweł/J-1907-2019</t>
  </si>
  <si>
    <t>Xiao, Jing Jian/0000-0003-3252-5672; Swiecka, Beata/0000-0002-9216-1914; Terefenko, Paweł/0000-0002-5081-8615</t>
  </si>
  <si>
    <t>program of the Ministry of Science and Higher Education [001/RID/2018/19]</t>
  </si>
  <si>
    <t>program of the Ministry of Science and Higher Education</t>
  </si>
  <si>
    <t>This research was co-financed within the framework of the program of the Ministry of Science and Higher Education under the name Regional Excellence Initiative during the period 2019-2022; project number 001/RID/2018/19; the amount of financing PLN 10,684,000.00.</t>
  </si>
  <si>
    <t>10.3390/su13116401</t>
  </si>
  <si>
    <t>SR0GE</t>
  </si>
  <si>
    <t>WOS:000660723200001</t>
  </si>
  <si>
    <t>Zhang, Y; Zhu, QG; Pan, ST</t>
  </si>
  <si>
    <t>Zhang, Yue; Zhu, Qigui; Pan, Sitong</t>
  </si>
  <si>
    <t>Fintech and individual business growth: evidence from China</t>
  </si>
  <si>
    <t>Fintech; Entrepreneurship; Individual business</t>
  </si>
  <si>
    <t>FINANCIAL LITERACY; CONSTRAINTS; CHOICE; COSTS</t>
  </si>
  <si>
    <t>PurposeThis study investigates the causal impact of financial technology (FinTech) development on individual business growth in China.Design/methodology/approachUsing county-level administrative and household survey data, this study employs a two-stage least squares (2SLS) approach to address potential endogeneity and identify the causal impact of Fintech. Heterogeneity and mechanism analyses are conducted to identify region-, household- and industry-specific effects and uncover the channels through which FinTech affects individual business entrepreneurship.FindingsThe results show that a one-standard-deviation increase in the FinTech index leads to an average increase of approximately 985.56 individual businesses and raises the entry rate by 7.74% across Chinese counties. The positive impact of FinTech on individual business growth is more pronounced in non-eastern and rural regions and in sectors such as agriculture, manufacturing and traditional services. Mechanism analysis indicates that Fintech promotes entrepreneurship by relaxing credit constraints, enhancing payment convenience, fostering risk-taking capacity and improving financial literacy.Practical implicationsThe policy implications of this study are as follows: policymakers should adopt regionally tailored digital infrastructure strategies and differentiated financial capacity-building programs to maximize FinTech's entrepreneurial benefits. Underdeveloped areas require investments in basic digital and financial infrastructure, while developed regions should focus on advanced financial services. Strengthening regulatory frameworks and risk-sharing mechanisms is also crucial.Originality/valueThis study contributes to the literature by providing robust empirical evidence of FinTech's role in fostering individual business growth. It highlights the importance of digital finance for supporting micro-entrepreneurship, expanding financial inclusion and reducing regional disparities.</t>
  </si>
  <si>
    <t>[Zhu, Qigui] Shanghai Jiao Tong Univ, China Acad Financial Res, Shanghai, Peoples R China; [Zhang, Yue; Zhu, Qigui; Pan, Sitong] Shanghai Jiao Tong Univ, Antai Coll Econ &amp; Management, Shanghai, Peoples R China</t>
  </si>
  <si>
    <t>Shanghai Jiao Tong University; Shanghai Jiao Tong University</t>
  </si>
  <si>
    <t>Pan, ST (corresponding author), Shanghai Jiao Tong Univ, Antai Coll Econ &amp; Management, Shanghai, Peoples R China.</t>
  </si>
  <si>
    <t>zhangyue04@sjtu.edu.cn; qgzhu@sjtu.edu.cn; pansitong@sjtu.edu.cn</t>
  </si>
  <si>
    <t>Shanghai Municipal Education Commission through the Education and Scientific Research Project of Shanghai [E00127]; National Office for Philosophy and Social Sciences under the National Social Science Fund of China [19AZD009, 19BTJ003, 20ZD136]</t>
  </si>
  <si>
    <t>Shanghai Municipal Education Commission through the Education and Scientific Research Project of Shanghai; National Office for Philosophy and Social Sciences under the National Social Science Fund of China</t>
  </si>
  <si>
    <t>This study was supported by the Shanghai Municipal Education Commission through the Education and Scientific Research Project of Shanghai (Grant Number: E00127) and the National Office for Philosophy and Social Sciences under the National Social Science Fund of China (Grant Numbers: 19AZD009, 19BTJ003, and 20&amp;ZD136).</t>
  </si>
  <si>
    <t>2025 NOV 10</t>
  </si>
  <si>
    <t>10.1108/CFRI-10-2024-0611</t>
  </si>
  <si>
    <t>9LW5Y</t>
  </si>
  <si>
    <t>WOS:001609467300001</t>
  </si>
  <si>
    <t>Figueroa-Armijos, M; Berns, JP</t>
  </si>
  <si>
    <t>Figueroa-Armijos, Maria; Berns, John P.</t>
  </si>
  <si>
    <t>Vulnerable Populations in Prosocial Crowdfunding: Does the Framing Matter for Female and Rural Entrepreneurs?</t>
  </si>
  <si>
    <t>PROCEEDINGS OF THE 54TH ANNUAL HAWAII INTERNATIONAL CONFERENCE ON SYSTEM SCIENCES</t>
  </si>
  <si>
    <t>54th Annual Hawaii International Conference on System Sciences</t>
  </si>
  <si>
    <t>JAN 04-08, 2021</t>
  </si>
  <si>
    <t>Maui, HI</t>
  </si>
  <si>
    <t>PRO-SOCIAL BEHAVIOR; INFORMATION SEARCH; MICROFINANCE; RESPONSIBILITY; DETERMINANTS; INVESTMENT; POVERTY; CREDIT; REDUCTION; IDENTITY</t>
  </si>
  <si>
    <t>Prosocial crowdfunding was originally conceived as a financial mechanism to assist vulnerable unbanked populations, typically excluded from formal financial markets. It subsequently grew into a billion-dollar scheme in a multi-billion-dollar crowdfunding industry. However, recent evidence claims prosocial crowdfunding may be shifting away from its goal to support the poor and underserved. Drawing on a composite social responsibility and framing theory framework, we examine the role that vulnerability plays in successfully raising funds in a prosocial crowdfunding context. We conduct multilevel logistic regressions on a sample of microloans allocated to 105,727 ventures in 64 countries. Our results indicate that applying for funds through a field partner which caters to vulnerable populations may in fact have a negative effect on the entrepreneur's request to be fully funded. Notwithstanding, framing the entrepreneur as being female or rural as key characteristics of individual vulnerability increases the project's likelihood to be fully funded.</t>
  </si>
  <si>
    <t>[Figueroa-Armijos, Maria] EDHEC Business Sch, Croix, France; [Berns, John P.] Univ Mississippi, University, MS USA</t>
  </si>
  <si>
    <t>Universite Catholique de Lille; EDHEC Business School; University of Mississippi</t>
  </si>
  <si>
    <t>Figueroa-Armijos, M (corresponding author), EDHEC Business Sch, Croix, France.</t>
  </si>
  <si>
    <t>maria.figueroaarmijos@edhec.edu; jberns@bus.olemiss.edu</t>
  </si>
  <si>
    <t>Figueroa-Armijos, Maria/KOC-4851-2024</t>
  </si>
  <si>
    <t>978-0-9981331-4-0</t>
  </si>
  <si>
    <t>BX5MG</t>
  </si>
  <si>
    <t>WOS:001300419504025</t>
  </si>
  <si>
    <t>Bai, ZF; Jia, MQ; Zheng, SX</t>
  </si>
  <si>
    <t>Bai, Zefeng; Jia, Miaoqing; Zheng, Shuxin</t>
  </si>
  <si>
    <t>Are cryptocurrencies good investment options during economic downturns? A perspective from individual financial satisfaction</t>
  </si>
  <si>
    <t>Financial satisfaction; cryptocurrencies; financial well-being; economic downturn; financial literacy; G40; G41; D91; E20</t>
  </si>
  <si>
    <t>The recent economic downturn due to the labour disruption caused by the COVID-19 pandemic has again brought challenges to individual and household financial stability. Motivated by the controversial view regarding the reliability of crypto investments in times of market turbulence, we examined whether investing in cryptocurrencies would be a good option for improving individual financial satisfaction during an economic downturn. Utilizing data from the most recent 2021 cohort of the National Financial Capability Study (NFCS2021) and an instrumental variable design, we find that crypto investments relate to a lower level of financial satisfaction. Moreover, while people with higher income levels are more financially satisfied, working during the pandemic is associated with a lower level of financial satisfaction. In addition to the well-known volatile feature of cryptocurrencies, our findings provide additional insights about their influence on individual financial well-being during economic downturns.</t>
  </si>
  <si>
    <t>[Bai, Zefeng] Univ Tampa, Informat &amp; Technol Management Dept, 401 Kennedy Blvd, Tampa, FL 33606 USA; [Jia, Miaoqing] Boston Univ, Dept Econ, Boston, MA USA; [Zheng, Shuxin] Southwestern Univ Finance &amp; Econ, Chengdu, Sichuan, Peoples R China</t>
  </si>
  <si>
    <t>University of Tampa; Boston University; Southwestern University of Finance &amp; Economics - China</t>
  </si>
  <si>
    <t>Bai, ZF (corresponding author), Univ Tampa, Informat &amp; Technol Management Dept, 401 Kennedy Blvd, Tampa, FL 33606 USA.</t>
  </si>
  <si>
    <t>Jia, Miaoqing/KWU-8345-2024; Bai, Zefeng/AAM-3777-2021</t>
  </si>
  <si>
    <t>Jia, Miaoqing/0000-0001-6447-8714;</t>
  </si>
  <si>
    <t>FINRA foundation</t>
  </si>
  <si>
    <t>We would like to express our gratitude to the FINRA foundation for initiating the National Financial Capability Study (NFCS) and providing the data used in the present study.</t>
  </si>
  <si>
    <t>10.1080/00036846.2025.2465842</t>
  </si>
  <si>
    <t>X6R1V</t>
  </si>
  <si>
    <t>WOS:001426588000001</t>
  </si>
  <si>
    <t>Fombang, MS; Adjasi, CK</t>
  </si>
  <si>
    <t>Fombang, MccPowell Sali; Adjasi, Charles Komla</t>
  </si>
  <si>
    <t>Access to finance and firm innovation</t>
  </si>
  <si>
    <t>Investment decisions; Africa; Financing policy; Instrumental variables; Finance; Firm innovation; Firm behaviour; Technological change: Choices and consequences</t>
  </si>
  <si>
    <t>RESEARCH-AND-DEVELOPMENT; INSTRUMENTAL VARIABLES; SIZE; GROWTH; PERFORMANCE; INVESTMENT; EQUITY; SMES</t>
  </si>
  <si>
    <t>Purpose The study aims to examine the importance of access to finance in firm innovation by using firm-level data from the World Bank enterprise survey (WBES) on selected African countries. Design/methodology/approach This study utilises firm-level data from the WBES database and computes aggregate innovation index by using multiple correspondent analysis. The authors then apply instrumental variable models (to control for possible endogeneity between innovation and finance) to assess the link between finance and innovation. Findings The research finds that finance in the form of overdraft overwhelmingly drives innovation in all selected countries - Cameroon, Kenya, Morocco, Nigeria and South Africa. Trade credit enhances innovation among firms in Nigeria, South Africa and Cameroon, while asset finance drives innovation amongst firms in Cameroon, Nigeria and South Africa. Practical implications Policy incentives such as tax breaks could be put in place for financial intermediaries that have shown proof of extending loans to financially constraint firms to enable them to innovate. Furthermore, different financial institutions such as microfinance institutions can be supported to increase credit to enterprises. Partnerships with organisations willing to fund firms and support start-ups should be encouraged. One of such support mechanisms could be specialised schemes such as a credit guarantee scheme to encourage and secure lending to enterprises to promote innovation. Originality/value This paper provides empirical insights into how finance enhances innovation in African enterprises. It also shows how different finance structures (overdraft, asset finance and trade credit) affect firm innovation in different African countries.</t>
  </si>
  <si>
    <t>[Fombang, MccPowell Sali] Univ Stellenbosch, Sch Business, Fac Econ &amp; Management Sci, Dept Dev Finance, Bellville, South Africa; [Adjasi, Charles Komla] Univ Stellenbosch, Sch Business, Bellville, South Africa</t>
  </si>
  <si>
    <t>Fombang, MS (corresponding author), Univ Stellenbosch, Sch Business, Fac Econ &amp; Management Sci, Dept Dev Finance, Bellville, South Africa.</t>
  </si>
  <si>
    <t>fombang@sun.ac.za; Charles.Adjasi@usb.ac.za</t>
  </si>
  <si>
    <t>Adjasi, Charles K D/0000-0001-6682-5740</t>
  </si>
  <si>
    <t>10.1108/JFEP-10-2016-0070</t>
  </si>
  <si>
    <t>FZ7NB</t>
  </si>
  <si>
    <t>WOS:000427786900005</t>
  </si>
  <si>
    <t>Ofori-Acquah, C; Avortri, C; Preko, A</t>
  </si>
  <si>
    <t>Ofori-Acquah, Charles; Avortri, Christine; Preko, Alexander</t>
  </si>
  <si>
    <t>Taking Stock of Policies, Regulations, and Initiatives That Leverage Technology to Build Trust: Lessons from Ghana's Financial Sector</t>
  </si>
  <si>
    <t>Fintech; Trust; Policy; Financial Inclusion; Mobile Money; Ghana</t>
  </si>
  <si>
    <t>Technological innovations that increase trust in the financial sector can drive financial growth. Using Ghana as a case study, this study reviewed technology-focused policies, strategy documents, and peer-reviewed literature to assess how financial technology is being utilized to build trust in financial institutions. The literature search revealed that two categories of technological applications are being used to build trust: payment platforms and trade and investment technologies. The findings showed that Ghana has adopted wide-ranging initiatives to build trust-for example, the National Digital Property Addressing System, the Re-registration of SIM Cards, and the passage of the Data Protection Act (Act 843 of 2012). We also identified key challenges associated with leveraging technologies in the sector. Valuable for financial institutions, academics, practitioners, and other financial-sector actors, the insights from this study could enhance policy formulation and implementation across other jurisdictions.</t>
  </si>
  <si>
    <t>[Ofori-Acquah, Charles; Avortri, Christine] Chartered Inst Bankers, Accra, Ghana; [Preko, Alexander] Univ Profess Studies, Dept Mkt, POB LG 149, Accra, Accraaccra, Ghana</t>
  </si>
  <si>
    <t>Avortri, C (corresponding author), Chartered Inst Bankers, Accra, Ghana.</t>
  </si>
  <si>
    <t>charles.ofori-acquah@cibgh.org; christine.avortri@cibgh.org; alexander.preko@upsamail.edu.gh</t>
  </si>
  <si>
    <t>Preko, Alexander/HLX-1473-2023</t>
  </si>
  <si>
    <t>10.1007/s40609-022-00260-9</t>
  </si>
  <si>
    <t>WOS:000901956900001</t>
  </si>
  <si>
    <t>Fletcher, M; Wright, R</t>
  </si>
  <si>
    <t>Fletcher, Mary; Wright, Robert</t>
  </si>
  <si>
    <t>Sowing seeds: The impact of financial socialization on the financial understanding of young children and preschoolers</t>
  </si>
  <si>
    <t>children; financial literacy; financial socialization</t>
  </si>
  <si>
    <t>LITERACY; KNOWLEDGE; EDUCATION; BEHAVIOR; MONEY</t>
  </si>
  <si>
    <t>This paper is concerned with the relationship between financial socialization and financial understanding among young children. Measures of financial understanding, appropriate for 4-6 year olds, are developed. Regression analysis is used to relate these measures statistically to a set of financial socialization variables and control variables related to the child, their parents, and their household. Data collected in the nationally representative child and parent 2016 UK Children and Young People's Financial Capability Survey are used. A key empirical finding is that financial understanding is about 10% higher for children whose parents regularly discuss with their children how they spend their money. The analysis suggests that around 20% of parents do not discuss financial matters with their children. It is likely that variation in early-life financial socialization is important in explaining variation in later-life financial understanding. Further research is needed to establish if this relationship is causal.</t>
  </si>
  <si>
    <t>[Fletcher, Mary] Univ West Scotland, Sch Business &amp; Creat Ind, Lanarkshire Campus, Paisley G72 0LH, Scotland; [Wright, Robert] Univ Glasgow, Adam Smith Business Sch, Glasgow, Scotland; [Wright, Robert] Univ Glasgow, Sch Educ, Glasgow, Scotland</t>
  </si>
  <si>
    <t>University of West Scotland; University of Glasgow; University of Glasgow</t>
  </si>
  <si>
    <t>Fletcher, M (corresponding author), Univ West Scotland, Sch Business &amp; Creat Ind, Lanarkshire Campus, Paisley G72 0LH, Scotland.</t>
  </si>
  <si>
    <t>mary.fletcher@uws.ac.uk</t>
  </si>
  <si>
    <t>Fletcher, Mary/0000-0001-5633-8316</t>
  </si>
  <si>
    <t>10.1111/joca.12593</t>
  </si>
  <si>
    <t>M8V8Z</t>
  </si>
  <si>
    <t>WOS:001255464000001</t>
  </si>
  <si>
    <t>Giri, M; Chatterjee, D</t>
  </si>
  <si>
    <t>Giri, Manohar; Chatterjee, Devlina</t>
  </si>
  <si>
    <t>Factors affecting changes in insured status of rural and urban households: A study over two time periods in India</t>
  </si>
  <si>
    <t>Life insurance; Socio-economic factors; Demographic factors; Logistic regression; Short panel data</t>
  </si>
  <si>
    <t>FINANCIAL LITERACY; LIFE-INSURANCE; DEMAND</t>
  </si>
  <si>
    <t>The purpose of this study is to understand the socio-economic and demographic determinants of changes in life insurance consumption of Indian households. We use short panel data for 34,855 households for the periods 2004-05 and 2011-12, from the Indian Household Development Survey. Logistic regression models indicate that income and socio-economic status have the largest effect, positive for acquisition, and negative for discontinuance of insurance. Financial inclusion proxied by bank relationships increased insurance coverage in rural but not urban households. Our study contributes to the extant literature by looking at changes in insurance coverage over time rather than static demand.(c) 2021 THE AUTHORS. Published by Elsevier Limited on behalf of Indian Institute of Management Bangalore. This is an open access article under the CC BY-NC-ND license (http:// creativecommons.org/licenses/by-nc-nd/4.0/)</t>
  </si>
  <si>
    <t>[Giri, Manohar; Chatterjee, Devlina] Indian Inst Technol Kanpur, Ind &amp; Management Engn Dept, Kanpur, Uttar Pradesh, India</t>
  </si>
  <si>
    <t>Chatterjee, D (corresponding author), Indian Inst Technol Kanpur, Kanpur, Uttar Pradesh, India.</t>
  </si>
  <si>
    <t>devlina@iitk.ac.in</t>
  </si>
  <si>
    <t>Giri, Manohar/0000-0002-9280-4481</t>
  </si>
  <si>
    <t>10.1016/j.iimb.2021.12.004</t>
  </si>
  <si>
    <t>1C4UK</t>
  </si>
  <si>
    <t>WOS:000793116000007</t>
  </si>
  <si>
    <t>Noman, A; Chu, LL; Rahman, M</t>
  </si>
  <si>
    <t>Noman, Abdullah; Chu, Lanlan; Rahman, Mohammad</t>
  </si>
  <si>
    <t>Subjective and Objective Financial Knowledge and Their Associations with Financial Risk Tolerance</t>
  </si>
  <si>
    <t>behavioral decision making; financial literacy; individual investor; objective knowledge; risk tolerance; subjective knowledge</t>
  </si>
  <si>
    <t>This article examines the relationship between the financial risk-taking behavior of individual investors and their subjective and objective knowledge. The data come from multiple waves of surveys conducted by the National Financial Capability Study between 2009 and 2018. We hypothesize that subjective knowledge will have a greater association with risk tolerance than objective knowledge of individual investors. Regression models are estimated with least squares as well as with the ordered logit method. Estimation results show that individual investors' risk tolerance behavior is associated more with their subjective knowledge than their objective knowledge. This is true in all four surveys separately and in the combined sample. Additionally, as hypothesized, the relative influence of subjective knowledge on risk tolerance, compared to objective knowledge, increases as the survey periods move further away from the financial recession of 2007-2008. This article has important implications for behavioral and personal finance researchers, financial advisors, and regulators.</t>
  </si>
  <si>
    <t>[Noman, Abdullah; Rahman, Mohammad] Univ North Carolina Pembroke, Dept Accounting &amp; Finance, Pembroke, NC 28372 USA; [Chu, Lanlan] St Catherine Univ, Dept Econ &amp; Polit Sci, St Paul, MN USA</t>
  </si>
  <si>
    <t>University of North Carolina at Pembroke; University of North Carolina; Saint Catherine University</t>
  </si>
  <si>
    <t>Noman, A (corresponding author), Univ North Carolina Pembroke, Dept Accounting &amp; Finance, Pembroke, NC 28372 USA.</t>
  </si>
  <si>
    <t>abdullah.noman@uncp.edu; lchu907@stkate.edu; mohammad.rahman@uncp.edu</t>
  </si>
  <si>
    <t>; Chu, Lanlan/ABG-3628-2020; Rahman, Mohammad/P-3068-2014</t>
  </si>
  <si>
    <t>Noman, Abdullah/0000-0002-1754-2506; Chu, Lanlan/0000-0001-8557-5839;</t>
  </si>
  <si>
    <t>10.1891/JFCP-2021-0078</t>
  </si>
  <si>
    <t>WOS:001041749400005</t>
  </si>
  <si>
    <t>Chen, JY; Calabrese, R; Cowling, M</t>
  </si>
  <si>
    <t>Chen, Jingyuan; Calabrese, Raffaella; Cowling, Marc</t>
  </si>
  <si>
    <t>Does energy efficiency of UK SMEs affect their access to finance?</t>
  </si>
  <si>
    <t>Small and Medium Enterprises (SMEs); Energy efficiency; Access to finance</t>
  </si>
  <si>
    <t>MEDIUM-SIZED ENTERPRISES; ENVIRONMENTAL PERFORMANCE; EXTERNAL FINANCE; FIRMS; MANAGEMENT; DEMAND; BANKS; ADVANTAGE; ECONOMICS; IMPACT</t>
  </si>
  <si>
    <t>To effectively mitigate climate change, a crucial focus area is enhancing energy efficiency in firms and industries. This objective becomes even more imperative in light of the recent escalation in energy prices caused by the Russo-Ukrainian war. Given the limited financial resources of Small and Medium Enterprises (SMEs), facilitating their access to finance becomes a potential avenue for reducing carbon emissions. Based on our knowledge, this is the first study that analyses the potential impact of energy efficiency on access to finance for SMEs in the UK. We consider a dataset of 2855 UK firms from 2015 to 2021 collected from the Longitudinal Small Business Survey. We find that energy efficient companies and firms that show energy saving behaviours are facing fewer credit constraints. These results are robust if we control for several company characteristics, including age, size, turnover, industry, location, and legal status.</t>
  </si>
  <si>
    <t>[Chen, Jingyuan; Calabrese, Raffaella] Univ Edinburgh, Business Sch, 29 Buccleuch Pl, Edinburgh EH8 9JS, Scotland; [Cowling, Marc] Oxford Brookes Univ, Business Sch, Oxford OX3 0BP, England</t>
  </si>
  <si>
    <t>University of Edinburgh; Oxford Brookes University</t>
  </si>
  <si>
    <t>Chen, JY (corresponding author), Univ Edinburgh, Business Sch, 29 Buccleuch Pl, Edinburgh EH8 9JS, Scotland.</t>
  </si>
  <si>
    <t>Jingyuan.Chen@ed.ac.uk; raffaella.calabrese@ed.ac.uk; mcowling@brookes.ac.uk</t>
  </si>
  <si>
    <t>UK ESRC [ES/W010259/1]; UKRI [ES/W010259/2, ES/W010259/1] Funding Source: UKRI</t>
  </si>
  <si>
    <t>UK ESRC(UK Research &amp; Innovation (UKRI)Economic &amp; Social Research Council (ESRC)); UKRI(UK Research &amp; Innovation (UKRI))</t>
  </si>
  <si>
    <t>Marc Cowling and Raffaella Calabrese acknowledge the support of the UK ESRC Project code ES/W010259/1.</t>
  </si>
  <si>
    <t>10.1016/j.eneco.2023.107251</t>
  </si>
  <si>
    <t>EH5H8</t>
  </si>
  <si>
    <t>WOS:001138039400001</t>
  </si>
  <si>
    <t>Batth, V; Mohanty, PA; Bhatia, N</t>
  </si>
  <si>
    <t>Batth, Vijaya; Mohanty, Purnima Anjali; Bhatia, Nitesh</t>
  </si>
  <si>
    <t>Coerced invisibilities: financial literacy and inclusion for transgender in India</t>
  </si>
  <si>
    <t>INTERNATIONAL JOURNAL OF HUMAN RIGHTS AND CONSTITUTIONAL STUDIES</t>
  </si>
  <si>
    <t>quality of life; transgender; financial inclusion; sex change operation; Kinnar; legislative; Odisha; India</t>
  </si>
  <si>
    <t>GENDER; HEALTH</t>
  </si>
  <si>
    <t>The current paper examines the quality of life of transgender (also known as Kinnars) in Odisha, India with focus on their overall inclusivity in the mainstream exploring upon their current financial status, access to health and over all social identity. The study includes a systematic review of 157 research journals articles considering PRISMA guidelines and analysis on data collected from 60 Kinnars residing in Odisa based on a questionnaire by WHOQOL 1996, post content validity using 6 experts and 59 questions. A series of interviews were also conducted, adopting an exponential non-discriminative snowball sampling approach. The results clearly demonstrated the significance of mainstreaming and ensuring financial inclusivity for Kinnars. Results also highlighted legislative and governmental policies aiming to change the social stigma for better accessibility to financial services through banks and micro-finance as a mechanism, majorly to support sex change operations, can bring in a much-needed paradigm shift.</t>
  </si>
  <si>
    <t>[Batth, Vijaya] XIM Univ, Sch Commerce, Bhubaneswar, India; [Mohanty, Purnima Anjali] XIM Univ, Sch Commun, Bhubaneswar, Orissa, India; [Bhatia, Nitesh] Cent Univ Jharkhand, Sch Management Sci, Dept Business Adm, Ranchi, India</t>
  </si>
  <si>
    <t>Central University of Jharkhand</t>
  </si>
  <si>
    <t>Bhatia, N (corresponding author), Cent Univ Jharkhand, Sch Management Sci, Dept Business Adm, Ranchi, India.</t>
  </si>
  <si>
    <t>vijaya@xim.edu.in; purnima@xim.edu.in; nitesh.bhatia@cuj.ac.in</t>
  </si>
  <si>
    <t>Bhatia, Nitesh/ACQ-9228-2022</t>
  </si>
  <si>
    <t>2050-103X</t>
  </si>
  <si>
    <t>2050-1048</t>
  </si>
  <si>
    <t>INT J HUM RIGHTS CON</t>
  </si>
  <si>
    <t>Int. J. Hum. Rights Const. Stud.</t>
  </si>
  <si>
    <t>10.1504/IJHRCS.2026.150555</t>
  </si>
  <si>
    <t>Y9497</t>
  </si>
  <si>
    <t>WOS:001642122700003</t>
  </si>
  <si>
    <t>Zou, H; Chandrashekar, S</t>
  </si>
  <si>
    <t>Antona, M; Stephanidis, C</t>
  </si>
  <si>
    <t>Zou, Hong; Chandrashekar, Sambhavi</t>
  </si>
  <si>
    <t>ChartMaster: A Tool for Promoting Financial Inclusion of Novice Investors</t>
  </si>
  <si>
    <t>Universal Access in Human-Computer Interaction: Users and Context Diversity, Pt III</t>
  </si>
  <si>
    <t>10th International Conference on Universal Access in Human-Computer Interaction held as part of 18th International Conference on Human-Computer Interaction (HCI International)</t>
  </si>
  <si>
    <t>Interactive stock market charts; Visually impaired; Screen reader users; Accessibility; Usability; Novice investors; ChartMaster; Educational tool; Inclusive design</t>
  </si>
  <si>
    <t>ChartMaster is a digital tool developed by Hong Zou in 2015, through co-design with visually impaired screen reader users, to improve the accessibility and usability of interactive stock market charts. The first ChartMaster usability study, conducted with screen reader users, demonstrated that the tool not only helped them access data points quicker and easier, but also proved to be educational. The next usability study, conducted with sighted novice investors to examine ChartMaster's educational value, is described in this paper. Novice investors found it easier to discover features, learn action possibilities and locate specific data through ChartMaster than through direct interaction with stock market charts. Several of their experiences, such as finding the summary feature helpful in understanding the chart, were similar to those reported previously by visually impaired screen reader users, suggesting comparable cognitive and emotional barriers to financial literacy for both groups. Improvements to ChartMaster were also suggested.</t>
  </si>
  <si>
    <t>[Zou, Hong] CIBC Investor Serv Inc, Toronto, ON, Canada; [Chandrashekar, Sambhavi] OCAD Univ, Toronto, ON, Canada</t>
  </si>
  <si>
    <t>Zou, H (corresponding author), CIBC Investor Serv Inc, Toronto, ON, Canada.</t>
  </si>
  <si>
    <t>birdswimming@gmail.com; schandrashekar@faculty.ocadu.ca</t>
  </si>
  <si>
    <t>978-3-319-40238-3; 978-3-319-40237-6</t>
  </si>
  <si>
    <t>10.1007/978-3-319-40238-3_17</t>
  </si>
  <si>
    <t>Computer Science, Cybernetics; Computer Science, Hardware &amp; Architecture; Computer Science, Interdisciplinary Applications; Computer Science, Software Engineering</t>
  </si>
  <si>
    <t>BG5FD</t>
  </si>
  <si>
    <t>WOS:000389457200017</t>
  </si>
  <si>
    <t>Bangake, C; Eggoh, J</t>
  </si>
  <si>
    <t>Bangake, Chrysost; Eggoh, Jude</t>
  </si>
  <si>
    <t>Do remittances improve financial inclusion in recipient countries?</t>
  </si>
  <si>
    <t>Remittances; Financial inclusion; Dynamic panel; Panel threshold regression</t>
  </si>
  <si>
    <t>ECONOMIC-GROWTH; PANEL-DATA; ACCESS; IMPACT</t>
  </si>
  <si>
    <t>This paper analyzes the impact of remittances on financial inclusion. We use different financial inclusion variables and the study covers a large sample of 111 countries over the period 2004-2017. Using fixed effects and dynamic panel models, we find that remittances improve financial inclusion in recipient countries. Moreover, our results reveal evidence of significant non linear effects. Specifically, remittances will be more likely to contribute to financial inclusion in countries with less developed financial system. This threshold effect is confirmed when the endogeneity of remittances is taken into account using the GMM system estimator and the non-linear relationship is estimated with PTR (Panel Threshold Regression) method.</t>
  </si>
  <si>
    <t>[Bangake, Chrysost] Univ Artois, Lille Econ &amp; Management LEM, UMR 9221, CNRS, Arras, France; [Eggoh, Jude] Univ Angers, Grp Rech ANgevin Econ &amp; Management GRANEM, Angers, France; [Eggoh, Jude] Univ Abomey Calavi, FASEG, Cotonou, Benin</t>
  </si>
  <si>
    <t>Centre National de la Recherche Scientifique (CNRS); CNRS - Institute for Humanities &amp; Social Sciences (INSHS); Universite d'Artois; Universite d'Angers; University of Abomey Calavi</t>
  </si>
  <si>
    <t>Bangake, C (corresponding author), Univ Artois, Lille Econ &amp; Management LEM, UMR 9221, CNRS, Arras, France.</t>
  </si>
  <si>
    <t>chrysost.bangake@univ-artois.fr; jude.eggoh@univ-angers.fr</t>
  </si>
  <si>
    <t>Eggoh, Jude/AEN-9465-2022</t>
  </si>
  <si>
    <t>REV DEV</t>
  </si>
  <si>
    <t>OV3HV</t>
  </si>
  <si>
    <t>WOS:000592106400007</t>
  </si>
  <si>
    <t>Balbo, S; Boella, G; Busacchi, P; Cordero, A; De Carne, L; Di Caro, D; Guffanti, A; Mioli, M; Sanino, A; Schifanella, C</t>
  </si>
  <si>
    <t>Xu, J; Schulte, S; Ruppel, P; Kupper, A; Jadav, D</t>
  </si>
  <si>
    <t>Balbo, Stefano; Boella, Guido; Busacchi, Pierpaolo; Cordero, Alex; De Carne, Luca; Di Caro, Diego; Guffanti, Alberto; Mioli, Michele; Sanino, Alessandro; Schifanella, Claudio</t>
  </si>
  <si>
    <t>CommonsHood: a Blockchain-based Wallet App for Local Communities</t>
  </si>
  <si>
    <t>2020 IEEE INTERNATIONAL CONFERENCE ON DECENTRALIZED APPLICATIONS AND INFRASTRUCTURES (DAPPS 2020)</t>
  </si>
  <si>
    <t>2nd IEEE International Conference on Decentralized Applications and Infrastructures (IEEE DAPPS)</t>
  </si>
  <si>
    <t>Blockchain; Urban Commons; Tokens; Decentralized; Application</t>
  </si>
  <si>
    <t>In this paper, we present CommonsHood, a Blockchain basedWallet app aiming to provide the general public with the tools to not only use, but also create new kinds of cryptographic tokens for their own purposes, something that currently resides only in the hands of technologists. It provides communities with instruments for financial inclusion to support the sustainability of the local economy. It provides commons and associations with instruments to help finance themselves with tokens representing prepaid cards, crowdfunding, complementary currencies, to share tools and infrastructures with tokens representing access rights. It provides small retailers with tokens representing loyalty tools and institutions with purpose-driven tokens to reward volunteers for, e.g., recycling. It allows the dematerialization of tickets and collectibles. All tokens can be distributed to the Wallet app of other users, via websites, QR codes, or proximity marketing using geolocalization. The use of Blockchain allows us to construct an open decentralized and disintermediated infrastructure to avoid the fees and data control of services such as group-buying or crowdfunding websites, and to have a general purpose single app, rather than different ones for different associations and retailers. Thanks to its flexibility, actually CommonsHood is used in different projects for supporting communities in the co-creation of local economy models.</t>
  </si>
  <si>
    <t>[Balbo, Stefano; Boella, Guido; Busacchi, Pierpaolo; Cordero, Alex; Di Caro, Diego; Guffanti, Alberto; Mioli, Michele; Sanino, Alessandro; Schifanella, Claudio] Univ Turin, Dept Comp Sci, Turin, Italy</t>
  </si>
  <si>
    <t>Balbo, S (corresponding author), Univ Turin, Dept Comp Sci, Turin, Italy.</t>
  </si>
  <si>
    <t>balbos@di.unito.it; guido.boella@unito.it; busacchi@di.unito.it; cordero@di.unito.it; decarne@di.unito.it; ricardojinn@yahoo.com; guffanti@di.unito.it; mioli@di.unito.it; sanino@di.unito.it; claudio.schifanella@unito.it</t>
  </si>
  <si>
    <t>; Schifanella, Claudio/JVP-2818-2024; Boella, Guido/F-1523-2011</t>
  </si>
  <si>
    <t>Sanino, Alessano/0009-0005-0095-1476;</t>
  </si>
  <si>
    <t>978-1-7281-6978-1</t>
  </si>
  <si>
    <t>10.1109/DAPPS49028.2020.00018</t>
  </si>
  <si>
    <t>BT8CF</t>
  </si>
  <si>
    <t>WOS:000852718400018</t>
  </si>
  <si>
    <t>Jukan, MK; Okicic, J; Hopic, D</t>
  </si>
  <si>
    <t>Kokorovic Jukan, Meldina; Okicic, Jasmina; Hopic, Danijel</t>
  </si>
  <si>
    <t>Remittances as an opportunity to increase savings and financial inclusion of youth in South East Europe</t>
  </si>
  <si>
    <t>remittances; financial inclusion; South East Europe; youth</t>
  </si>
  <si>
    <t>MIGRANT REMITTANCES; INEQUALITY; INCOME; MIGRATION</t>
  </si>
  <si>
    <t>Paper discusses financial inclusion of youth focussing on effects of remittances on financial inclusion of youth (usage of debit card, credit card, savings and borrowing instruments) in South East Europe. It is argued that remittances, as stable sources of income (capital), contribute to savings and lead to an improvement in financial inclusion of individuals who receive remittances. We test our hypothesis that remittances contribute to increase in savings and in the level of financial inclusion of youth in South East European countries. We estimate probit regression models with a set of dummy dependent variables for financial inclusion: having a debit card, having a credit card, borrowing and savings, and regress them on receipt of remittances controlling for age, gender, education and income level. Results show negative impact of remittances on youth financial inclusion in selected countries with respect to having debit card, credit card and borrowing. On the other hand, results show positive effect of remittances on savings among youth that receive remittances.</t>
  </si>
  <si>
    <t>[Kokorovic Jukan, Meldina; Okicic, Jasmina] Univ Tuzla, Fac Econ, Tuzla, Bosnia &amp; Herceg; [Hopic, Danijel] Int Org Migrat, Sarajevo, Bosnia &amp; Herceg</t>
  </si>
  <si>
    <t>Okičić, Jasmina/AAG-9595-2020; Kokorovic Jukan, Meldina/AAS-7598-2021</t>
  </si>
  <si>
    <t>Okičić, Jasmina/0000-0002-3440-413X; Kokorovic Jukan, Meldina/0000-0002-4954-5437</t>
  </si>
  <si>
    <t>[USAID/MEASURE-BiH]</t>
  </si>
  <si>
    <t>This article was funded by USAID/MEASURE-BiH.</t>
  </si>
  <si>
    <t>10.1080/1331677X.2020.1749104</t>
  </si>
  <si>
    <t>NC3OY</t>
  </si>
  <si>
    <t>WOS:000532422900001</t>
  </si>
  <si>
    <t>Joseph, R</t>
  </si>
  <si>
    <t>Joseph, Rigaud</t>
  </si>
  <si>
    <t>The Self-Sufficiency Framework-Revised: A Full Welfare / Full Work Roadmap for Poverty Alleviation in Contemporary Social Welfare Systems</t>
  </si>
  <si>
    <t>Poverty; neoliberalism; economic self-sufficiency; welfare-to-work; self-sufficiency framework</t>
  </si>
  <si>
    <t>TO-WORK; SINGLE MOTHERS; PROGRAM PARTICIPATION; ECONOMIC EMPOWERMENT; ASSISTANCE DYNAMICS; FINANCIAL LITERACY; HOME OWNERSHIP; YOUNG-ADULTS; SAFETY NET; INCOME</t>
  </si>
  <si>
    <t>The long-sought self-sufficiency goal of contemporary social welfare systems has been mostly elusive, even in developed countries. This paper presents a revised version of the Self-Sufficiency Framework as a pragmatic strategy for welfare reform, investigating how the current neoliberal approach centered on promoting employment (workfare) could be made more socially just and freedom-oriented. Thus, the framework proposed here accepts the central goal of promoting employment (self-sufficiency) at the core of current welfare systems, but complements that goal with a strong and non-stigmatizing welfare support package and with labor market reforms aimed at combating exploitative forms of employment. Furthermore, the proposed model emphasizes the need for financial inclusion, notably in the banking system and the mortgage industry.</t>
  </si>
  <si>
    <t>[Joseph, Rigaud] Calif State Univ San Bernardino, Coll Social &amp; Behav Sci, Sch Social Work, 5500 Univ Pkwy,SB 409, San Bernardino, CA 92407 USA</t>
  </si>
  <si>
    <t>California State University System; California State University San Bernardino</t>
  </si>
  <si>
    <t>Joseph, R (corresponding author), Calif State Univ San Bernardino, Coll Social &amp; Behav Sci, Sch Social Work, 5500 Univ Pkwy,SB 409, San Bernardino, CA 92407 USA.</t>
  </si>
  <si>
    <t>rigaud.joseph@csusb.edu</t>
  </si>
  <si>
    <t>10.1080/10875549.2021.2011819</t>
  </si>
  <si>
    <t>CA4F2</t>
  </si>
  <si>
    <t>WOS:000725951900001</t>
  </si>
  <si>
    <t>Santos, DB; Netto, HG</t>
  </si>
  <si>
    <t>Santos, Danilo Braun; Netto, Humberto Gallucci</t>
  </si>
  <si>
    <t>Financial Illiteracy and customer credit history</t>
  </si>
  <si>
    <t>RBGN-REVISTA BRASILEIRA DE GESTAO DE NEGOCIOS</t>
  </si>
  <si>
    <t>Derogatory mark; financial illiteracy; financial literacy; capitalization bond; investment</t>
  </si>
  <si>
    <t>SELF-CONTROL; LITERACY; DEBT</t>
  </si>
  <si>
    <t>Purpose - We study how financial illiteracy affects the probability of a derogatory mark on the customer's credit history. Design/methodology/approach - We use the National Survey on Financial Inclusion in Brazil together with information on financial instrument usage and spending provided by the head of the household. To estimate the impact of financial illiteracy on the probability of a derogatory mark we use a logistic model to compute the odds ratio. Findings - Our main result is that financially illiterate individuals have between 57% and 143% more chance of having a derogatory mark. We find that age, income, expenses, and retirement positively affect the probability of a derogatory mark, while marriage has a negative impact. Gender does not have any impact over the probability of derogatory mark. Originality/value - The study uses a new proxy for financial illiteracy and correlates it to the investment and debt decisions of a family using a unique dataset.</t>
  </si>
  <si>
    <t>[Santos, Danilo Braun; Netto, Humberto Gallucci] Univ Fed Sao Paulo, Actuarial Sci Dept, Osasco, Brazil</t>
  </si>
  <si>
    <t>Universidade Federal de Sao Paulo (UNIFESP)</t>
  </si>
  <si>
    <t>Santos, DB (corresponding author), Univ Fed Sao Paulo, Actuarial Sci Dept, Osasco, Brazil.</t>
  </si>
  <si>
    <t>danilo.braun@unifesp.br; humberto.gallucci@unifesp.br</t>
  </si>
  <si>
    <t>FUND ESCOLA COMERCIO ALVARES PENTEADO-FECAP</t>
  </si>
  <si>
    <t>AV DA LIBERDADE 532, SAO PAULO SP, CEP01502-001, BRAZIL</t>
  </si>
  <si>
    <t>1806-4892</t>
  </si>
  <si>
    <t>1983-0807</t>
  </si>
  <si>
    <t>RBGN-REV BRAS GEST N</t>
  </si>
  <si>
    <t>RBGN-Rev. Bras. Gest. Negocios</t>
  </si>
  <si>
    <t>10.7819/rbgn.v22i0.4058</t>
  </si>
  <si>
    <t>OW1ZG</t>
  </si>
  <si>
    <t>WOS:000592693300002</t>
  </si>
  <si>
    <t>Peffer, G; Cederholm, H; Clough, G; Jercic, P</t>
  </si>
  <si>
    <t>Escudeiro, P</t>
  </si>
  <si>
    <t>Peffer, Gilbert; Cederholm, Henrik; Clough, Gill; Jercic, Petar</t>
  </si>
  <si>
    <t>Evaluating Games Designed to Improve Financial Capability</t>
  </si>
  <si>
    <t>PROCEEDINGS OF THE 9TH EUROPEAN CONFERENCE ON E-LEARNING, VOL 1</t>
  </si>
  <si>
    <t>9th European Conference on e-Learning</t>
  </si>
  <si>
    <t>NOV 04-05, 2010</t>
  </si>
  <si>
    <t>Instituto Superior Engenharia Porto, PORTUGAL</t>
  </si>
  <si>
    <t>Instituto Superior Engenharia Porto</t>
  </si>
  <si>
    <t>serious games; design and evaluation framework; financial capability; behaviour change; technology-enhanced learning</t>
  </si>
  <si>
    <t>A multi-level approach to evaluation of serious games for financial capability is presented in this poster. The approach has been implemented as a toolkit in the context of xDelia, a collaborative project on game-based learning with a focus on emotions in financial decision making. The toolkit has been developed as part of a larger design and evaluation framework for the project, targeting four facets of serious games for financial capability: game design, financial capability, behaviour change, and learning with technology. The development of this toolkit is work in progress. An evaluation exercise is planned with existing financial capability games, where we will assess the toolkit and refine its design to make it more effective for evaluators to use.</t>
  </si>
  <si>
    <t>[Peffer, Gilbert] Ctr Numer Methods Engn, Barcelona, Spain; [Cederholm, Henrik; Jercic, Petar] Bleking Inst Technol, Game Syst &amp; Interact Res Lab, Ronneby, Sweden; [Clough, Gill] Open Univ, Inst Educ Technol, keynes, England</t>
  </si>
  <si>
    <t>Peffer, G (corresponding author), Ctr Numer Methods Engn, Barcelona, Spain.</t>
  </si>
  <si>
    <t>gilbert.peffer@xdelia.org; henrik.cederholm@bth.se; G.M.Clough@open.ac.uk; petar.jercic@bth.se</t>
  </si>
  <si>
    <t>Jerčić, Petar/AAA-5997-2020</t>
  </si>
  <si>
    <t>978-1-906638-82-5</t>
  </si>
  <si>
    <t>BVC75</t>
  </si>
  <si>
    <t>WOS:000291089800102</t>
  </si>
  <si>
    <t>Fernández H, SR; Quintero R, ME; José, FOB; Martinez M, LA; Amaya S, BE</t>
  </si>
  <si>
    <t>Fernandez H, Saul R.; Quintero R, Miguel E.; Jose, Orejuela B. F.; Martinez M, Luz A.; Amaya S, Blanca E.</t>
  </si>
  <si>
    <t>Consequences of high interest rates for the Colombian banking sector</t>
  </si>
  <si>
    <t>ACTUALIDAD CONTABLE FACES</t>
  </si>
  <si>
    <t>Financial inclusion; financial restructuring; investment cost; interest rates</t>
  </si>
  <si>
    <t>STRATEGIES</t>
  </si>
  <si>
    <t>The objective of this investigation is to analyze the consequences of interest rates on banking entities, related to the placement of financial and investment products. The used empirical-analytic focus proposes the need for an adequate financial education helping to foment the responsible use of each one of the services provided by financial entities. As a result of this article, academic contributions are made to the finance industry, getting to know concepts related to economic and financial growth, linked to the access to banking products in the community. This investigation helps to conclude relevant aspects of financial activities that affect the strengthening of the banking industry, producing a negative effect and losing market competitiveness.</t>
  </si>
  <si>
    <t>[Fernandez H, Saul R.; Amaya S, Blanca E.] IU Escuela Nacl Deporte, Cali, Colombia; [Quintero R, Miguel E.; Jose, Orejuela B. F.] Univ Santiago Cali, Gerencia Financiera, Cali, Colombia; [Martinez M, Luz A.] Univ Autonoma Occidente, Fac Ingn, Ingn Ind, Cali, Colombia</t>
  </si>
  <si>
    <t>Universidad Santiago de Cali; Universidad Autonoma de Occidente</t>
  </si>
  <si>
    <t>Fernández H, SR (corresponding author), IU Escuela Nacl Deporte, Cali, Colombia.</t>
  </si>
  <si>
    <t>srfernandez@endeporte.edu.co; miguelquintero-19@hotmail.com; fabian.ore1992@hotmail.com; luz_angela.martinez@uao.edu.co; blanca.amaya@endeporte.edu.co</t>
  </si>
  <si>
    <t>UNIV ANDES, FAC CIENCIAS ECONOMICAS &amp; SOCIALES</t>
  </si>
  <si>
    <t>NUCLEO LIRIA, EDIF F, PISO 1, AV AMERICAS, MERIDA, 00000, VENEZUELA</t>
  </si>
  <si>
    <t>1316-8533</t>
  </si>
  <si>
    <t>ACTUAL CONTAB FACES</t>
  </si>
  <si>
    <t>Actual. Contab. Faces</t>
  </si>
  <si>
    <t>10.53766/ACCON/2021.43.03</t>
  </si>
  <si>
    <t>ZC1DB</t>
  </si>
  <si>
    <t>WOS:000757268400004</t>
  </si>
  <si>
    <t>Fosu, P; Twumasi, MA; Oppong, S</t>
  </si>
  <si>
    <t>Fosu, Prince; Twumasi, Martinson Ankrah; Oppong, Seth</t>
  </si>
  <si>
    <t>Monetary policy and unemployment nexus: evidence from Ghana</t>
  </si>
  <si>
    <t>Monetary policy; Inflation targeting; Unemployment; Vector error correction model; Ghana; E24; E51; E52</t>
  </si>
  <si>
    <t>LONG-RUN</t>
  </si>
  <si>
    <t>PurposeThis study analyzed the impact of monetary policy on unemployment in Ghana. In addition, the direction of causality among the monetary policy rate, the growth of the money supply and unemployment was performed.Design/methodology/approachWe used the vector error correction model and annual data from 1991 to 2020.FindingsThe results show that the monetary policy rate positively and significantly affected unemployment in the long run. In contrast, money supply growth negatively and significantly impacted unemployment. However, in the short run, both the monetary policy rate and money supply growth had a negative and insignificant effect on unemployment. We also found that the adoption of inflation targeting reduces the unemployment rate. The causal analysis shows a unidirectional causality from the monetary policy rate to unemployment and from unemployment to money supply growth.Practical implicationsThe study suggests that the Central Bank of Ghana creates a conducive investment environment by lowering the interest rate to create more jobs, thereby decreasing unemployment. Second, currently, the mobile money business employs a lot of Ghanaian youths and serves many unbanked Ghanaian households. Thus, the Central Bank can regulate mobile money operations and use it as a medium to circulate money in the economy, thereby boosting aggregate demand and employment and eventually lowering unemployment. Thirdly, prudent and efficient management of inflation-targeting policy by policymakers is vital, as it has a negative impact on unemployment in the country.Originality/valueMost studies on Ghana have mainly focused on the effect of monetary policy on inflation and growth. To our knowledge, no study has examined the impact of monetary policy on unemployment in Ghana. Our study fills the gap in the literature examining the effect of monetary policy on unemployment in Ghana. The findings of this study have important implications for monetary policy and fiscal policy for Ghana and other developing countries.</t>
  </si>
  <si>
    <t>[Fosu, Prince] Marquette Univ, Dept Econ, Milwaukee, WI 53233 USA; [Twumasi, Martinson Ankrah] Chengdu Univ Technol, Coll Management Sci, Chengdu, Peoples R China; [Oppong, Seth] Minot State Univ, Dept Business, Minot, ND USA</t>
  </si>
  <si>
    <t>Marquette University; Chengdu University of Technology</t>
  </si>
  <si>
    <t>Fosu, P (corresponding author), Marquette Univ, Dept Econ, Milwaukee, WI 53233 USA.</t>
  </si>
  <si>
    <t>prince.fosu@marquette.edu; twuma2012@cdut.edu.cn; seth.oppong@minotstateu.edu</t>
  </si>
  <si>
    <t>Ankrah Twumasi, Martinson/AAM-5558-2020; Fosu, Prince/HJP-5880-2023</t>
  </si>
  <si>
    <t>Ankrah Twumasi, Martinson/0000-0001-8703-7102; Fosu, Prince/0000-0001-8536-8311</t>
  </si>
  <si>
    <t>2025 APR 29</t>
  </si>
  <si>
    <t>10.1108/REPS-12-2022-0112</t>
  </si>
  <si>
    <t>1YH1B</t>
  </si>
  <si>
    <t>WOS:001476520100001</t>
  </si>
  <si>
    <t>Compaoré, A; Sawadogo, R</t>
  </si>
  <si>
    <t>Compaore, Ali; Sawadogo, Relwende</t>
  </si>
  <si>
    <t>Financial inclusion, household consumption instability and democracy in developing countries: A finite mixture of regressions approach</t>
  </si>
  <si>
    <t>JOURNAL OF INTERNATIONAL TRADE &amp; ECONOMIC DEVELOPMENT</t>
  </si>
  <si>
    <t>Financial inclusion; household consumption; democracy; developing countries; G21; H20; O11; O23</t>
  </si>
  <si>
    <t>PERMANENT INCOME HYPOTHESIS; LIFE-CYCLE; BANK RUNS; GROWTH; INTERMEDIATION; MODEL; REMITTANCES; UNCERTAINTY; LIQUIDITY; DEMAND</t>
  </si>
  <si>
    <t>The literature on the impact of financial inclusion on the instability of household consumption remains controversial. In this article, we considered the possibility that countries follow regimes of household consumption instability and tested the hypothesis of whether financial inclusion is countercyclical or procyclical to a country's regime of consumption instability. Thus, we follow recent works that used the finite mixture regression method to identify the different regimes of household consumption instability. Using a sample of 28 developing countries over the period 2011-2020, the paper highlights that the impact of financial inclusion on consumption instability differs across classes and that a model with three classes best describes the sample. the sample is best described by a model with three classes. Specifically, we found that financial inclusion is positively associated with consumption instability in the first class, while in the second class, financial inclusion significantly reduces consumption instability. Financial inclusion does not have a significant impact in the third class. Furthermore, we have focused on democracy to explain class membership by including democracy variables as concomitants. The results highlight that for developing countries to fully benefit from financial inclusion, they need to undertake strong reforms to improve democracy.</t>
  </si>
  <si>
    <t>[Compaore, Ali] Univ Paris 1 Pantheon Sorbonne, Ecole Econ Sorbonne EES, Paris, France; [Sawadogo, Relwende] Univ Joseph Ki Zerbo, Inst Burkinabe Arts &amp; Metiers IBAM, 03 BP 7021, Ouagadougou, Burkina Faso</t>
  </si>
  <si>
    <t>Sawadogo, R (corresponding author), Univ Joseph Ki Zerbo, Inst Burkinabe Arts &amp; Metiers IBAM, 03 BP 7021, Ouagadougou, Burkina Faso.</t>
  </si>
  <si>
    <t>resawadogo@yahoo.fr</t>
  </si>
  <si>
    <t>SAWADOGO, Relwendé/0009-0002-7368-766X</t>
  </si>
  <si>
    <t>0963-8199</t>
  </si>
  <si>
    <t>1469-9559</t>
  </si>
  <si>
    <t>J INT TRADE ECON DEV</t>
  </si>
  <si>
    <t>J. Int. Trade Econ. Dev.</t>
  </si>
  <si>
    <t>10.1080/09638199.2024.2331224</t>
  </si>
  <si>
    <t>2QH5O</t>
  </si>
  <si>
    <t>WOS:001190997900001</t>
  </si>
  <si>
    <t>Guan, L; Zhao, C</t>
  </si>
  <si>
    <t>Guan, Lu; Zhao, Chang</t>
  </si>
  <si>
    <t>Exploring the dual role of financial inclusion and mineral resources in elevating sustainable development</t>
  </si>
  <si>
    <t>Financial inclusion; Natural resources; Economic growth; Environmental degradation; GDP</t>
  </si>
  <si>
    <t>UNIT-ROOT TESTS; RENEWABLE ENERGY; CO2 EMISSIONS; NATURAL-RESOURCES; ECONOMIC-GROWTH; PANEL-DATA; GLOBALIZATION; COINTEGRATION; TECHNOLOGY; INNOVATION</t>
  </si>
  <si>
    <t>The empirical paper investigates the relationship between financial inclusion, natural resources, economic growth, and environmental degradation. The importance of financial inclusion in alleviating poverty has been widely acknowledged in the literature. It refers to accessing and using financial services such as credits, transactions, remittances, and payments. By providing individuals with greater financial opportunities, financial inclusion promotes economic development. This study uses BRICS panel data to examine the effects of financial inclusion and natural resources on environmental degradation by considering the influence of renewable energy and GDP. Our findings reveal that financial inclusion and natural resources contribute to a reduction in environmental degradation. Additionally, renewable energy plays a significant role in mitigating environmental impact. Conversely, GDP growth is associated with increased environmental degradation. These empirical outcomes have important implications for policymakers. To promote sustainable development, policymakers should design policies encouraging the accumulation of natural resources, financial inclusion, and the adoption renewable energy. Our findings highlight the need for a holistic approach to economic growth that considers environmental sustainability a key factor.</t>
  </si>
  <si>
    <t>[Guan, Lu] Changchun Univ Sci &amp; Technol, Changchun, Peoples R China; [Zhao, Chang] Changchun Guanghua Univ, Sch Business, Changchun, Peoples R China</t>
  </si>
  <si>
    <t>Changchun University of Science &amp; Technology</t>
  </si>
  <si>
    <t>Zhao, C (corresponding author), Changchun Guanghua Univ, Sch Business, Changchun, Peoples R China.</t>
  </si>
  <si>
    <t>Guanlu2021@163.com; zchangirl@163.com</t>
  </si>
  <si>
    <t>10.1016/j.resourpol.2023.104628</t>
  </si>
  <si>
    <t>KD0H9</t>
  </si>
  <si>
    <t>WOS:001177899600001</t>
  </si>
  <si>
    <t>Hidalgo, P; Rodriguez, C; Bravo, L; Angulo, C</t>
  </si>
  <si>
    <t>Hidalgo, Pedro; Rodriguez, Ciro; Bravo, Luis; Angulo, Cesar</t>
  </si>
  <si>
    <t>Design of a Modular Architecture Based on AI and Blockchain for Personalized Microcredits Using Open Finance</t>
  </si>
  <si>
    <t>Smart microcredits; artificial intelligence; open finance; blockchain; smart contracts; financial inclusion</t>
  </si>
  <si>
    <t>This paper presents the design and validation of a modular architecture for smart micro credits, aimed at expanding credit access for populations excluded from the traditional financial system. The solution integrates three key technological components: data acquisition through Open Finance, automated risk assessment using Artificial Intelligence (AI) models, and the execution of smart contracts on blockchain. A functional prototype was developed to process applications manually submitted by users without prior financial history, utilizing a LightGBM model trained on real, anonymized data. The model was integrated into the system workflow to generate automatic credit conditions and register decisions on the blockchain without direct human intervention. During the validation phase, the model achieved an Area Under the Curve (AUC) of 0.94, supporting its discriminative power within the automated flow. The overall technical validation demonstrates the feasibility of offering personalized, traceable, and secure credit services through open and decentralized technologies. The use of alternative unstructured data, as well as the expansion into production environments, is proposed as a future line of development. In our system, Open Finance provides consented financial data off-chain; the ML model estimates default probability and outputs an eligibility decision; a rule engine maps the score to personalized loan terms; and blockchain smart contracts only record loan terms and execution events on-chain (no personal data). This separation ensures auditability (on-chain) and privacy (off-chain).</t>
  </si>
  <si>
    <t>[Hidalgo, Pedro; Rodriguez, Ciro; Bravo, Luis; Angulo, Cesar] Univ Nacl Mayor San Marcos, Fac Syst Engn &amp; Comp Sci, Lima, Peru</t>
  </si>
  <si>
    <t>Universidad Nacional Mayor de San Marcos</t>
  </si>
  <si>
    <t>Hidalgo, P (corresponding author), Univ Nacl Mayor San Marcos, Fac Syst Engn &amp; Comp Sci, Lima, Peru.</t>
  </si>
  <si>
    <t>Rodriguez, Ciro/AAR-5866-2020</t>
  </si>
  <si>
    <t>8NO9Y</t>
  </si>
  <si>
    <t>WOS:001592935500001</t>
  </si>
  <si>
    <t>Tee, K; Rubbaniy, G</t>
  </si>
  <si>
    <t>Tee, Kenny; Rubbaniy, Ghulame</t>
  </si>
  <si>
    <t>Introduction of Palm GreenChain, a blockchain-based framework for enhanced traceability, transparency and accountable green bond financing in Malaysia</t>
  </si>
  <si>
    <t>Blockchain; Green bond; Palm oil; Malaysia; Sustainable finance; Agriculture; Q56; G23; O33; Q14; L31</t>
  </si>
  <si>
    <t>This study employs a theoretical, system design-based methodology to propose the Palm GreenChain framework-a blockchain-based platform aimed at enhancing traceability, transparency, financial coverage, and accountability in green bond financing for sustainable palm oil production in Malaysia. The methodology integrates Ethereum-compatible smart contracts, ESG oracles, IPFS-based data storage, and DAO (Decentralized Autonomous Organization) governance to structure a digital green bond lifecycle. Rather than relying on empirical data collection, the framework is conceptualized through the development of a multi-layered blockchain architecture and validated via comparative analysis with analogous blockchain applications in agriculture. The proposed system is designed to enable real-time traceability of green bond disbursements, automate ESG compliance verification using satellite and IoT data, and strengthen accountability and access to climate finance for smallholder farmers. By embedding performance-based returns within smart contracts, the model aligns financial incentives with conservation goals. Leveraging Malaysia's advanced land administration infrastructure and digital capabilities, the framework presents a scalable, open-source solution to reduce greenwashing, expand financial inclusion in underserved agricultural communities, and enhance transparency and investor confidence in sustainable agricultural finance. By directly linking green finance to verifiable sustainability outcomes, Palm GreenChain addresses key limitations in conventional green bond mechanisms. Its applicability across diverse agricultural sectors positions it as a replicable blueprint for broader sustainable development. The framework is openly available via its GitHub repository.</t>
  </si>
  <si>
    <t>[Tee, Kenny] James Cook Univ Singapore, Singapore, Singapore; [Rubbaniy, Ghulame] Univ West England, Bristol Business Sch, Bristol, England</t>
  </si>
  <si>
    <t>James Cook University; University of West England</t>
  </si>
  <si>
    <t>Tee, K (corresponding author), James Cook Univ Singapore, Singapore, Singapore.</t>
  </si>
  <si>
    <t>Kenny.Tee@jcu.edu.au; Ghulame.Rubbaniy@uwe.ac.uk</t>
  </si>
  <si>
    <t>Rubbaniy, Ghulame/JQJ-5321-2023</t>
  </si>
  <si>
    <t>10.1007/s43621-025-01970-8</t>
  </si>
  <si>
    <t>8PS6C</t>
  </si>
  <si>
    <t>WOS:001594387100010</t>
  </si>
  <si>
    <t>Eggoh, J; Bangaké, C</t>
  </si>
  <si>
    <t>Eggoh, Jude; Bangake, Chrysost</t>
  </si>
  <si>
    <t>Remittances and Financial Inclusion: Does Financial Development Matter?</t>
  </si>
  <si>
    <t>INTERNATIONAL MIGRATION; ECONOMIC-GROWTH; PANEL-DATA; POVERTY</t>
  </si>
  <si>
    <t>This study provides new evidence on the relationship between remittances and financial inclusion using generalized methods of moments (GMM) and panel threshold regressions (PTR). The sample consists of 64 developing countries over the period 2004-2017. The empirical results suggest that remittances improve financial inclusion, and the relationship between both variables is nonlinear, with respect to financial development. These findings are supported by PTR estimations, that confirm positive and significant relationship between remittances and financial inclusion below a given threshold of financial development. Beyond this threshold, remittances and financial inclusion nexus is not significant. These results have some policy implications.</t>
  </si>
  <si>
    <t>[Eggoh, Jude] Univ Angers, GRANEM, Angers, France; [Eggoh, Jude] Univ Abomey Calavi, FASEG, Godomey, Benin; [Bangake, Chrysost] Univ Artois, Lille Econ &amp; Management LEM, Arras, France</t>
  </si>
  <si>
    <t>Universite d'Angers; University of Abomey Calavi; Universite d'Artois</t>
  </si>
  <si>
    <t>Eggoh, J (corresponding author), Univ Angers, GRANEM, Angers, France.;Eggoh, J (corresponding author), Univ Abomey Calavi, FASEG, Godomey, Benin.</t>
  </si>
  <si>
    <t>jude.eggoh@univ-angers.fr; chrysost.bangake@univ-artois.fr</t>
  </si>
  <si>
    <t>Eggoh, Jude/0000-0002-9550-4820</t>
  </si>
  <si>
    <t>UR7WJ</t>
  </si>
  <si>
    <t>WOS:000696954400016</t>
  </si>
  <si>
    <t>Innovations Microfinancing Models in Rural Area</t>
  </si>
  <si>
    <t>INNOVATION MANAGEMENT AND SUSTAINABLE ECONOMIC COMPETITIVE ADVANTAGE: FROM REGIONAL DEVELOPMENT TO GLOBAL GROWTH, VOLS I - VI, 2015</t>
  </si>
  <si>
    <t>26th International-Business-Information-Management-Association Conference</t>
  </si>
  <si>
    <t>NOV 11-12, 2015</t>
  </si>
  <si>
    <t>rural microfinance; rural credit; food security; financial inclusion</t>
  </si>
  <si>
    <t>Based on the estimations of the Consultative Group to Assist the Poor (CGAP) and Food and Agriculture Organization of the United Nations (FAO) according to which worldwide there are more than 500 million family farms, farms that provide food to more than 2.5 billion people, people surviving with less than 2 daily $. It is the duty of economists to identify the most efficient models of microfinance for rural area to help those in an absolute or relative poverty degree. The new challenge is to identify the new models in the actual context with the recent evidence indicates that inclusive financial services directly impact people by helping them smooth consumption, manage risks, and invest in microenterprises. In the actual strategy of FAO exist three main goals are: the eradication of hunger, food insecurity and malnutrition; the elimination of poverty and the driving forward of economic and social progress for all; and, the sustainable management and utilization of natural resources, including land, water, air, climate and genetic resources for the benefit of present and future generations. The constraints of those who work in rural areas microfinancing are numerous and collateral risks and limitations are as, especially that we are referring to that vulnerable segment in terms of bankability.</t>
  </si>
  <si>
    <t>[Manta, Otilia] Acad Romane, Dept Economie, Scoala Studii Avansate, Sociol, Drept, Romania</t>
  </si>
  <si>
    <t>Manta, O (corresponding author), Acad Romane, Dept Economie, Scoala Studii Avansate, Sociol, Drept, Romania.</t>
  </si>
  <si>
    <t>978-0-9860419-5-2</t>
  </si>
  <si>
    <t>BE0SX</t>
  </si>
  <si>
    <t>WOS:000366872700197</t>
  </si>
  <si>
    <t>Magashi, CH; Agbinya, J; Sam, A; Mbelwa, J</t>
  </si>
  <si>
    <t>Magashi, Cosmas H.; Agbinya, Johnson; Sam, Anael; Mbelwa, Jimmy</t>
  </si>
  <si>
    <t>Prediction of SACCOS Failure in Tanzania using Machine Learning Models</t>
  </si>
  <si>
    <t>ENGINEERING TECHNOLOGY &amp; APPLIED SCIENCE RESEARCH</t>
  </si>
  <si>
    <t>microfinance; SACCOS; machine learning; prediction; classification</t>
  </si>
  <si>
    <t>PRICES</t>
  </si>
  <si>
    <t>Savings and Credit Co -Operative Societies (SACCOS) are seen as viable opportunities to promote financial inclusion and overall socioeconomic development. Despite the positive outlook for socioeconomic progress, recent observations have highlighted instances of SACCOS failures. For example, the number of SACCOS decreased from 4,177 in 2018 to 3,714 in 2019, and the value of shares held by SACCOS members in Tanzania dropped from Tshs 57.06 billion to 53.63 billion in 2018. In particular, there is limited focus on predicting SACCOS failures in Tanzania using predictive models. In this study, data were collected using a questionnaire from 880 members of SACCOS, using a stratified random sampling technique. The collected data was analyzed using machine learning models, including Random Forest (RF), Logistic Regression (LR), K Nearest Neighbors (KNN), and Support Vector Machine (SVM). The results showed that RF was the most effective model to classify and predict failures, followed by LR and KNN, while the results of SVM were not satisfactory. The findings show that RF is the most suitable model to predict SACCOS failures in Tanzania, challenging the common use of regression models in microfinance institutions. Consequently, the RF model could be considered when formulating policies related to SACCOS evaluation.</t>
  </si>
  <si>
    <t>[Magashi, Cosmas H.; Sam, Anael] Nelson Mandela African Inst Sci &amp; Technol NM AIST, Dept Informat Technol Syst Dev &amp; Management ITSDM, Bagamoyo, Tanzania; [Agbinya, Johnson] Melbourne Inst Technol MIT, Sch Informat Technol &amp; Engn, Melbourne, Australia; [Mbelwa, Jimmy] Univ Dar Es Salaam, Dept Comp Sci &amp; Engn, Dar Es Salaam, Tanzania</t>
  </si>
  <si>
    <t>Magashi, CH (corresponding author), Nelson Mandela African Inst Sci &amp; Technol NM AIST, Dept Informat Technol Syst Dev &amp; Management ITSDM, Bagamoyo, Tanzania.</t>
  </si>
  <si>
    <t>magashi80@yahoo.com; jagbinya@mit.edu.au; anael.sam@nm-aist.ac.tz; jimmymbelwa@gmail.com</t>
  </si>
  <si>
    <t>Mbelwa, Jimmy/0000-0002-2263-3218</t>
  </si>
  <si>
    <t>EOS ASSOC</t>
  </si>
  <si>
    <t>GASTOUNI</t>
  </si>
  <si>
    <t>ARCHAIAS ILIDAS 16, GASTOUNI, 27050, GREECE</t>
  </si>
  <si>
    <t>2241-4487</t>
  </si>
  <si>
    <t>1792-8036</t>
  </si>
  <si>
    <t>ENG TECHNOL APPL SCI</t>
  </si>
  <si>
    <t>Eng. Technol. Appl. Sci. Res.</t>
  </si>
  <si>
    <t>10.48084/etasr.6696</t>
  </si>
  <si>
    <t>JM2V3</t>
  </si>
  <si>
    <t>WOS:001173528400077</t>
  </si>
  <si>
    <t>Wejesiri, M; Park, C; Wanke, P; Tan, Y; Searcy, C</t>
  </si>
  <si>
    <t>Wejesiri, Mahinda; Park, Chansoo; Wanke, Peter; Tan, Yong; Searcy, Cory</t>
  </si>
  <si>
    <t>Exploring the link between corporate social responsibility and financial performance in social enterprises: The mediating role of productivity</t>
  </si>
  <si>
    <t>artificial neural networks; corporate social responsibility; financial performance; social enterprise; sustainability; sustainable development</t>
  </si>
  <si>
    <t>MICROFINANCE INSTITUTIONS; COMPETITIVE ADVANTAGE; STAKEHOLDER THEORY; CSR; SUSTAINABILITY; GOVERNANCE; EFFICIENCY; OUTREACH; ORGANIZATIONS; MANAGEMENT</t>
  </si>
  <si>
    <t>A key discussion in the current management literature is how businesses react to and can contribute to solving societal challenges while meeting the needs of their shareholders and their broader set of stakeholders. Most extant research focuses on corporate social responsibility (CSR) issues in large for-profit corporations, but social enterprises are also critical given their ability to promote financial inclusion and focus on stakeholders' needs. This study explores the mediating role of total factor productivity (TFP) in the relationship between CSR and financial performance within social enterprises, using a sample of microfinance institutions (MFIs) from Latin America. Our analysis demonstrates TFP's critical role in translating CSR initiatives into sustainable financial outcomes and enhancing both economic and social objectives. Thus, our results may provide insights to regulators, policymakers, and practitioners, allowing them to better understand best practices and actions that foster stakeholders' trust and expectations, with the potential outcome of improving MFIs overall sustainability goals. Our findings are robust due to the use of a variety of methodological approaches to address possible endogeneity problems and alternative specifications of financial performance.</t>
  </si>
  <si>
    <t>[Park, Chansoo] Mem Univ Newfoundland, Fac Business Adm, St John, NF, Canada; [Wanke, Peter] Getulio Vargas Fdn, EBAPE Brazilian Sch Publ &amp; Business Adm, Rio De Janeiro, Brazil; [Tan, Yong] Univ Bradford, Sch Management, Bradford, England; [Searcy, Cory] Toronto Metropolitan Univ, Dept Mech Ind &amp; Mechatron Engn, Toronto, ON, Canada</t>
  </si>
  <si>
    <t>Memorial University Newfoundland; Getulio Vargas Foundation; University of Bradford; Toronto Metropolitan University</t>
  </si>
  <si>
    <t>mmahinda2003@gmail.com</t>
  </si>
  <si>
    <t>Tan, Yong/N-3014-2017; Wanke, Peter/G-3184-2010</t>
  </si>
  <si>
    <t>10.1002/csr.3074</t>
  </si>
  <si>
    <t>Z4C5K</t>
  </si>
  <si>
    <t>WOS:001388962200001</t>
  </si>
  <si>
    <t>Chakraborty, G</t>
  </si>
  <si>
    <t>Chakraborty, Gourab</t>
  </si>
  <si>
    <t>Evolving profiles of financial risk management in the era of digitization: The tomorrow that began in the past</t>
  </si>
  <si>
    <t>The initial phases of digitization have automatized the front-end of banks and financial institutions (FIs). This paper documents the automation of the back-end in the current wave of digitization. In particular, it highlights the use of technology in streamlining risk management and its potential to provide competitive advantage to the FIs embracing digitization. For instance, automated big data credit scoring tools built on predictive analytics and machine learning algorithms are employed to examine several credit propositions. This can accurately construct the credit worthiness and risk profile of public, even without any credit history. These developments can widen the access of credit and other financial services to the society. However, on a cautionary note, this study emphasizes that although digitization of back-end financial transactions carries substantive advantages, the FIs must be guarded against cyber, outsourcing, financial exclusion, and macrofinance risks that can manifest with this automation. In this backdrop, the need for robust yet agile regulations and supervisory counsel to control and exploit the digitization towards optimal benefits for banks and FIs and society at large, acquires salience. Furthermore, regulators and supervisory authorities can mitigate the digitization risks and prevent any public fallout by leveraging the use of digitization itself.</t>
  </si>
  <si>
    <t>[Chakraborty, Gourab] Univ Madras, IFMR, Dept Management, Chennai, Tamil Nadu, India</t>
  </si>
  <si>
    <t>KREA University; IFMR - Graduate School of Business (GSB); University of Madras</t>
  </si>
  <si>
    <t>Chakraborty, G (corresponding author), Univ Madras, IFMR, Dept Management, Chennai, Tamil Nadu, India.</t>
  </si>
  <si>
    <t>gourab.chakraborty@ifmr.ac.in</t>
  </si>
  <si>
    <t>, gourab/0000-0003-0944-9747</t>
  </si>
  <si>
    <t>e2034</t>
  </si>
  <si>
    <t>10.1002/pa.2034</t>
  </si>
  <si>
    <t>MG3OL</t>
  </si>
  <si>
    <t>WOS:000496996400001</t>
  </si>
  <si>
    <t>Lee, N; Stücklin, SB; Rodriguez, PL; Faris, ME; Mukaka, I</t>
  </si>
  <si>
    <t>Lee, Nanci; Beeler Stuecklin, Sabrina; Lopez Rodriguez, Patricia; El Alaoui Faris, Meryem; Mukaka, Ida</t>
  </si>
  <si>
    <t>Financial education for HIV-vulnerable youth, orphans, and vulnerable children: A systematic review of outcome evidence</t>
  </si>
  <si>
    <t>MIDDLE-INCOME COUNTRIES; ECONOMIC EMPOWERMENT; SEXUAL RISK; MICROFINANCE INTERVENTION; SAVINGS ACCOUNTS; YOUNG-PEOPLE; POOR; ADOLESCENTS; LITERACY; HIV/AIDS</t>
  </si>
  <si>
    <t>ProblemAccording to Joint United Nations Programme on HIV/AIDS (UNAIDS) and the World Health Organization, HIV is the leading cause of youth mortality in Africa, and the second cause of death among young people worldwide. Global commitments to reverse the HIV epidemic will only be achieved if strategies prioritize children and youth. Relevant evidence reviews found mixed evidence that HIV prevention may be addressed through economic strengthening activities such as financial education for youth. There was some evidence related to the potential for plural interventions that include both financial and sexual, reproductive health education. However, there is limited quality evidence that focused on HIV vulnerable youth in low- and middle-income countries (LMICs). AimsThis systematic review assessed the scope and strength of evidence for financial education and plural interventions aimed at reducing HIV vulnerability for youth, orphans and vulnerable children (OVC) in LMICs. MethodsStandard methodological procedures expected of systematic reviews were used. Six scientific and 24 grey literature sites were searched for relevant studies in English, French, Spanish and Arabic published between 1990 and 2016. Experimental and quasi-experimental research methods were considered where data was gathered at baseline and at least 6 months after the end of the intervention. Mixed-methods studies were considered provided they demonstrated validity in terms of randomization, appropriate sampling and controls, and minimization of bias errors and attrition. Evidence was then analysed and mapped to show types of financial and plural interventions by outcome type, direction and strength of evidence through qualitative assessments by the team. In addition, meta-analysis of odds ratios was conducted to validate the strength of evidence. This analysis illustrated the relative effect or weight of interventions on HIV-related outcomes based on confidence levels and sample sizes. ResultsOf 5,216 records, 16 moderate to higher quality studies representing 10 interventions were identified, mostly focusing on HIV-vulnerable girls in Sub-Saharan Africa. More than half of the interventions were plural and included access to finance and counselling or supports to improve confidence, negotiating ability and social conditions. Most studies used an experimental design. Only 11 of the 16 studies had comparable enough measures to be validated with meta-analysis of odds ratios. FindingsThe strongest evidence showed plural education interventions with self-efficacy supports, with and without savings to have positive effects on HIV-related outcomes. These outcomes included improved knowledge, attitudes and reduced sexual risk-taking behaviour. Evidence also showed improved self-efficacy from plural interventions, the changes in confidence, negotiating ability and social conditions that enable people to act on knowledge. Self-efficacy seems important as both a set of conditions to support reduced vulnerabilities and a way to measure them in terms of outcomes. While positive effects were also observed related to increased savings and improved attitudes toward saving, generally interventions showed mixed effects on financial and economic outcomes. ConclusionsThis systematic review supports emerging evidence that plural interventions are associated with positive health and economic outcomes for vulnerable youth and children in LMIC. Even so, as a body of evidence, it is not clear which components are effective at producing favourable outcomes. Therefore, asset theories linking financial education and asset building with favourable outcomes for vulnerable youth are not as clear as may be commonly assumed. Quality evidence is needed in more settings separating out economic, health and self-efficacy components to better understand pathways and effects on outcomes. Segmentation in quantitative studies will enhance our understanding of asset, capability and self-efficacy theories for greater impact. Mixed methods and qualitative studies will be important complements to enhance our understanding of contextual conditions and how to build assets and self-efficacy in HIV vulnerable youth and OVC.</t>
  </si>
  <si>
    <t>[Lee, Nanci; Beeler Stuecklin, Sabrina; El Alaoui Faris, Meryem] Sisters Ink, 5516 Falkland St, Halifax, NS B3K 1A3, Canada; [Lopez Rodriguez, Patricia] Univ Iberoamer, Mexico City, DF, Mexico; [Mukaka, Ida] Stephen Lewis Fdn, Toronto, ON, Canada</t>
  </si>
  <si>
    <t>Lee, N (corresponding author), Sisters Ink, 5516 Falkland St, Halifax, NS B3K 1A3, Canada.</t>
  </si>
  <si>
    <t>FHI 360; United States Agency for International Development (USAID)</t>
  </si>
  <si>
    <t>FHI 360; United States Agency for International Development (USAID)(United States Agency for International Development (USAID)CGIARNorwegian Agency for Development Cooperation - NORAD)</t>
  </si>
  <si>
    <t>This work was supported by FHI 360 with funding from the United States Agency for International Development (USAID).</t>
  </si>
  <si>
    <t>10.1002/cl2.1071</t>
  </si>
  <si>
    <t>RB7MI</t>
  </si>
  <si>
    <t>WOS:000632291900006</t>
  </si>
  <si>
    <t>Sparks, BA; Bradley, GL; Jennings, GR; Johnston, NR</t>
  </si>
  <si>
    <t>Sparks, Beverley A.; Bradley, Graham L.; Jennings, Gayle R.; Johnston, Nicole R.</t>
  </si>
  <si>
    <t>Cooling off and backing out: Understanding consumer decisions to rescind a product purchase</t>
  </si>
  <si>
    <t>Rescind; Buyer regret; Timeshare; Cooling-off period; Emotions; Consumer protection</t>
  </si>
  <si>
    <t>OFF LAWS; REGRET; ANTECEDENTS; CONSEQUENCES; MODEL</t>
  </si>
  <si>
    <t>Consumers sometimes have the right to exit a sales contract during what is known as a cooling-off period. Sales process research generally does not address cases when consumers withdraw from sales contracts during this period. Since securing product sales involves substantial marketing and sales costs, a need exists to better understand not only consumer rescission decisions and their legal context but also the managerial implications of the cooling-off period. This exploratory qualitative study examines purchase rescinding and develops a conceptual model using timeshare as the context. Results suggest that rescission relates to a mismatch between product features and personal circumstances, post-purchase concerns about product value, reassessment of financial capability, reflections on sales presentations, and cautionary influences of reference groups. Crown Copyright (C) 2012 Published by Elsevier Inc. All rights reserved.</t>
  </si>
  <si>
    <t>[Sparks, Beverley A.; Bradley, Graham L.; Jennings, Gayle R.; Johnston, Nicole R.] Griffith Univ, Nathan, Qld 4111, Australia</t>
  </si>
  <si>
    <t>Sparks, BA (corresponding author), Griffith Univ, Tourism Sport &amp; Serv Innovat Res Ctr, Gold Coast Campus, Nathan, Qld 4111, Australia.</t>
  </si>
  <si>
    <t>b.sparks@griffith.edu.au; g.bradley@griffith.edu.au; g.jennings@griffith.edu.au; n.johnston@griffith.edu.au</t>
  </si>
  <si>
    <t>10.1016/j.jbusres.2012.06.003</t>
  </si>
  <si>
    <t>257CR</t>
  </si>
  <si>
    <t>WOS:000327361700032</t>
  </si>
  <si>
    <t>Klapper, LF; Parker, SC</t>
  </si>
  <si>
    <t>Klapper, Leora F.; Parker, Simon C.</t>
  </si>
  <si>
    <t>Gender and the Business Environment for New Firm Creation</t>
  </si>
  <si>
    <t>SELF-EMPLOYMENT; WOMEN; PERFORMANCE; CREDIT; GROWTH; RISK; SIZE; DISCRIMINATION; MICROFINANCE; SURVIVAL</t>
  </si>
  <si>
    <t>The authors summarize the extant literature on the relationship between gender and entrepreneurship. They note significant quantitative gender differences in business entry, with male-owned firms heavily prevailing over firms owned by women in many parts of the world. They find that enterprises owned by men on the one hand and women on the other are generally concentrated in different sectors, women entrepreneurs being better represented in labor intensive sectors such as trade and services rather than capital intensive manufacturing industries. They also observe certain gender differentials in business survival and growth patterns. Yet an analysis of a large body of literature does not suggest that, in general, the so called gender gap in entrepreneurship can be explained by explicit discrimination in laws or regulations. Rather, differences in quantitative and qualitative indicators of business entry and performance can in part be explained by a number of business environment factors that disproportionately affect a woman's decision to operate a business in the formal sector. For example the concentration of women in low capital intensive industries-which require less funding and at the same time have a lower potential for growth and development-might also be driven by barriers against women regarding access to finance. Furthermore, women may have relatively less physical and reputational collateral than men, which limits their access to finance. Overall the literature suggests that improvements in the business environment can help promote high-growth female entrepreneurship. JEL codes: L26, J16, H11, O16, O17, P43</t>
  </si>
  <si>
    <t>Parker, Simon/C-8180-2011</t>
  </si>
  <si>
    <t>Parker, Simon/0000-0001-7642-2857</t>
  </si>
  <si>
    <t>10.1093/wbro/lkp032</t>
  </si>
  <si>
    <t>804FS</t>
  </si>
  <si>
    <t>WOS:000293640300005</t>
  </si>
  <si>
    <t>Wellalage, NH; Locke, S</t>
  </si>
  <si>
    <t>Wellalage, Nirosha Hewa; Locke, Stuart</t>
  </si>
  <si>
    <t>Remittance and financial inclusion in refugee migrants: inverse probability of treatment weighting using the propensity score</t>
  </si>
  <si>
    <t>Financial inclusion; remittance; refugees; propensity score analysis; inverse probability of treatment weighting</t>
  </si>
  <si>
    <t>BRAIN-DRAIN; MIGRATION; INEQUALITY; INCOME; PERFORMANCE; POVERTY</t>
  </si>
  <si>
    <t>This paper investigates the impact on remittances on financial inclusion of refugee migrants. While financial inclusion is gaining traction in the humanitarian and development literature, the linkage with the potential to improve the wellbeing of refugees, who are part of an upward spiral in numbers, has not been tackled. We examine World Bank survey data of 1041 Syrian refugees, using the inverse probability of treatment weighting propensity score analysis (IPTW). The method minimises the influence of outliers and addresses unobservable and missing data biases, which can plague survey based data. We observe that common indicators of financial inclusion when applied to refugees, given their limited access to formal financial services, may introduce a bias as the informal financial sector and excluded formal financial sector services do contribute to inclusiveness. We adopt a broader protocol for our data, measuring financial inclusion through six metrics stemming from G20 proposals. Overall, there is an opportunity to deepen financial inclusion for refugees who receive or send remittances. The possibility of expanding the financial inclusion options, and for this to percolate through to greater social inclusion, proffers practical commercial steps and policy enabling actions.</t>
  </si>
  <si>
    <t>[Wellalage, Nirosha Hewa; Locke, Stuart] Univ Waikato, Sch Accounting Finance &amp; Econ, Waikato Management Sch, Gate 1 Knighton Rd,Private Bag 3105, Hamilton 3240, New Zealand</t>
  </si>
  <si>
    <t>Wellalage, NH (corresponding author), Univ Waikato, Sch Accounting Finance &amp; Econ, Waikato Management Sch, Gate 1 Knighton Rd,Private Bag 3105, Hamilton 3240, New Zealand.</t>
  </si>
  <si>
    <t>nirosha@waikato.ac.nz</t>
  </si>
  <si>
    <t>Locke, Stuart/C-3727-2015; Wellalage, Nirosha/H-7776-2014</t>
  </si>
  <si>
    <t>Wellalage, Nirosha/0000-0002-3316-3813</t>
  </si>
  <si>
    <t>10.1080/00036846.2019.1646876</t>
  </si>
  <si>
    <t>KE9RE</t>
  </si>
  <si>
    <t>WOS:000481279300001</t>
  </si>
  <si>
    <t>Sinha, S; Ghosh, K</t>
  </si>
  <si>
    <t>Sinha, Sweta; Ghosh, Koustab</t>
  </si>
  <si>
    <t>Organizational sustainability and performance improvement in microfinance institutions (MFIs): managerial insights of what, why and how</t>
  </si>
  <si>
    <t>Microfinance; Sustainability; Performance assessment; Balance scorecard; Organization performance</t>
  </si>
  <si>
    <t>FINANCIAL INCLUSION; OUTREACH</t>
  </si>
  <si>
    <t>Purpose The special importance of microfinance institutions (MFIs) in the context of emerging economies is well acknowledged. The success of MFIs is country, culture and context-specific. This study aims to capture the organizational sustainability viewpoint of MFIs through the experiences and insights of the managers engaged in running MFIs in an emerging market. Design/methodology/approach The study follows a qualitative approach and collects primary data through insightful interactions with the senior managers of various Indian MFIs, followed by thematic analysis to identify the factors impacting the sustainability of MFIs. It is supplemented by an extensive systematic literature review to enrich the findings. The identified factors are then analyzed through the lens of a balanced scorecard (BSC) approach to developing a framework in assessing the performance of MFIs operating in similar to this study's context. Findings The authors observe that the majority of the studies on MFI sustainability are financial outcome centric. This study adds value by exploring a holistic and organization-centric approach drawing support from stakeholder theory, which emphasizes that the shareholders, employees and customers are equally important for the sustainability of the MFIs. Research limitations/implications While the identified sustainability factors would help the practitioners focus upon the factors of improvement, the BSC framework would facilitate the conduct of performance review and taking related decisions thereon for the sustainability of MFIs. Originality/value To the best of the authors' knowledge, this study is the first of its kind to attempt to assess the MFI organizations striving for sustainability through the lens of BSC framework.</t>
  </si>
  <si>
    <t>[Sinha, Sweta; Ghosh, Koustab] Indian Inst Management, Area OB &amp; HRM, Rohtak, Haryana, India</t>
  </si>
  <si>
    <t>Indian Institute of Management (IIM System); Indian Institute of Management Rohtak</t>
  </si>
  <si>
    <t>Sinha, S (corresponding author), Indian Inst Management, Area OB &amp; HRM, Rohtak, Haryana, India.</t>
  </si>
  <si>
    <t>sweta0115@gmail.com; koustab.g@gmail.com</t>
  </si>
  <si>
    <t>Sinha, Sweta/HJB-2858-2022</t>
  </si>
  <si>
    <t>10.1108/SRJ-11-2019-0379</t>
  </si>
  <si>
    <t>ZO4XH</t>
  </si>
  <si>
    <t>WOS:000616125500001</t>
  </si>
  <si>
    <t>Murshed, M; Ahmed, R; Al-Tal, RM; Kumpamool, C; Vetchagool, W; Avarado, R</t>
  </si>
  <si>
    <t>Murshed, Muntasir; Ahmed, Rizwan; Al-Tal, Raad Mahmoud; Kumpamool, Chamaiporn; Vetchagool, Witchulada; Avarado, Rafael</t>
  </si>
  <si>
    <t>Determinants of financial inclusion in South Asia: The moderating and mediating roles of internal conflict settlement</t>
  </si>
  <si>
    <t>Financial inclusion; Internal conflict; Sustainable Development Goals; Political instability; South Asia</t>
  </si>
  <si>
    <t>ENERGY USE; REMITTANCES; POOR; INSTABILITY; QUALITY; BANKING; SAVINGS; PANELS</t>
  </si>
  <si>
    <t>Financial inclusion is recognized as a key enabler of the 2030 Sustainable Development Goals agenda of the United Nations. Hence, this study investigates the impacts of internal conflicts, economic growth, information and communications technology, institutional quality, and remittance inflows on financial inclusion in selected South Asian countries. Notably, both the independent and moderating/mediating effects of internal conflict settlement on financial in-clusion are explored for the countries of concern. Overall, the results from the econometric analysis reveal that internal conflict resolution, higher mobile subscriptions, and lower levels of corruption improve financial inclusivity while higher economic growth inhibits financial inclu-sion in South Asia. Further, resolving internal conflicts is found to indirectly boost financial in-clusion by moderating the economic growth-financial inclusion nexus and mediating the remittance inflows-financial inclusion relationship. In line with these key findings, several financial inclusion-related policies are recommended to help promote financial inclusivity across South Asia.</t>
  </si>
  <si>
    <t>[Murshed, Muntasir] North South Univ, Sch Business &amp; Econ, Dept Econ, Dhaka 1229, Bangladesh; [Murshed, Muntasir] Daffodil Int Univ, Dept Journalism Media &amp; Commun, Dhaka, Bangladesh; [Ahmed, Rizwan] Univ Kent, Kent Business Sch, Dept Accounting &amp; Finance, Canterbury, England; [Al-Tal, Raad Mahmoud] Univ Jordan, Sch Business, Dept Econ, Amman, Jordan; [Kumpamool, Chamaiporn; Vetchagool, Witchulada] Khon Kaen Univ, Fac Business Adm &amp; Accountancy, Khon Kaen, Thailand; [Avarado, Rafael] Univ Espiritu Santo, Esai Business Sch, Samborondon 091650, Ecuador</t>
  </si>
  <si>
    <t>North South University (NSU); Daffodil International University; University of Kent; University of Jordan; Khon Kaen University; Universidad de Especialidades Espiritu Santo</t>
  </si>
  <si>
    <t>Murshed, M (corresponding author), North South Univ, Sch Business &amp; Econ, Dept Econ, Dhaka 1229, Bangladesh.;Ahmed, R (corresponding author), Univ Kent, Kent Business Sch, Dept Accounting &amp; Finance, Canterbury, England.</t>
  </si>
  <si>
    <t>muntasir.murshed@northsouth.edu; r.ahmed@kent.ac.uk; r.tal@ju.edu.jo; chamaiporn@kku.ac.th; witchulada@kku.ac.th; rafaalvaradolopez@gmail.com</t>
  </si>
  <si>
    <t>; Murshed, Muntasir/J-9025-2018; vetchagool, witchulada/PDX-1354-2025; Alvarado, Rafael/AAL-4488-2020</t>
  </si>
  <si>
    <t>Vetchagool, Witchulada/0000-0002-1523-5844; Murshed, Muntasir/0000-0001-9872-8742;</t>
  </si>
  <si>
    <t>10.1016/j.ribaf.2023.101880</t>
  </si>
  <si>
    <t>8Q0CU</t>
  </si>
  <si>
    <t>WOS:000926883200001</t>
  </si>
  <si>
    <t>Mozes, HA</t>
  </si>
  <si>
    <t>Mozes, Haim A.</t>
  </si>
  <si>
    <t>A Structure for Direct Lending to Smaller Businesses</t>
  </si>
  <si>
    <t>JOURNAL OF INVESTING</t>
  </si>
  <si>
    <t>Direct lending has become a popular investment strategy, driven by the withdrawal of traditional bank lenders from the business of making risky loans. On the surface, it would appearthat direct lending opportunities are attractive forsmaller businesses, which tend to be underbanked and to have fewer financing offers from nonbank lenders. However, there are a number of difficulties in lending to small businesses. This article provides a set of principles that addresses common difficulties in lending to smaller businesses.</t>
  </si>
  <si>
    <t>[Mozes, Haim A.] Fordham Univ, Gabelli Sch Business, Accounting, Bronx, NY 10458 USA; [Mozes, Haim A.] Spring Mt Capital, Quantitat Res, New York, NY 10022 USA</t>
  </si>
  <si>
    <t>Mozes, HA (corresponding author), Fordham Univ, Gabelli Sch Business, Accounting, Bronx, NY 10458 USA.;Mozes, HA (corresponding author), Spring Mt Capital, Quantitat Res, New York, NY 10022 USA.</t>
  </si>
  <si>
    <t>hm@smcinvest.com</t>
  </si>
  <si>
    <t>PAGEANT MEDIA LTD</t>
  </si>
  <si>
    <t>ONE LONDON WALL, LONDON, ENGLAND</t>
  </si>
  <si>
    <t>1068-0896</t>
  </si>
  <si>
    <t>2168-8613</t>
  </si>
  <si>
    <t>J INVEST</t>
  </si>
  <si>
    <t>J. Invest.</t>
  </si>
  <si>
    <t>9VA7H</t>
  </si>
  <si>
    <t>WOS:001615699200003</t>
  </si>
  <si>
    <t>Sabherwal, R; Sharma, D; Trivedi, N; Schaub, E</t>
  </si>
  <si>
    <t>Sabherwal, Rashi; Sharma, Devesh; Trivedi, Neeraj; Schaub, Emily</t>
  </si>
  <si>
    <t>Using direct benefit transfers to transfer benefits to women: a perspective from India</t>
  </si>
  <si>
    <t>Labour and livelihoods ? poverty reduction; microfinance; Technology; South Asia</t>
  </si>
  <si>
    <t>Enabling women to have control over their entitled incomes from direct benefit transfers (DBTs) can strengthen their bargaining power and transform their banking activity, mobility, and other key outcomes. However, ensuring that women are able to effectively access these benefit transfers in an enabling environment where DBTs can lead to transformative impacts requires recognising the economic, normative, and social barriers that women face in accessing and controlling their accounts. It also requires an understanding of the incentives of financial services providers and their constraints in adapting to and addressing these barriers. This article addresses these and offers recommendations for policymakers and practitioners as they seek to improve women's financial inclusion and fully harness the potential of benefit transfers in empowering women economically and socially.</t>
  </si>
  <si>
    <t>[Sabherwal, Rashi] IFMR, EPoD India, Chennai, Tamil Nadu, India; [Sabherwal, Rashi] Jameel Poverty Act Lab J Pal Energy &amp; Environm Po, Cambridge, MA USA; [Sharma, Devesh] Bill &amp; Melinda Gates Fdn Digital Publ Financial M, Country Finance, Seattle, WA USA; [Trivedi, Neeraj] IFMR, Evidence Policy Design EPoD India, Cambridge, MA USA; [Schaub, Emily] Ctr Dev Learning Agenda, Women &amp; Girls, Washington, DC 20036 USA; [Schaub, Emily] BA Rudolph Fdn, Washington, DC 20009 USA</t>
  </si>
  <si>
    <t>Schaub, E (corresponding author), Ctr Dev Learning Agenda, Women &amp; Girls, Washington, DC 20036 USA.;Schaub, E (corresponding author), BA Rudolph Fdn, Washington, DC 20009 USA.</t>
  </si>
  <si>
    <t>eschaub@icrw.org</t>
  </si>
  <si>
    <t>Bill and Melinda Gates Foundation</t>
  </si>
  <si>
    <t>This work was supported by Bill and Melinda Gates Foundation.</t>
  </si>
  <si>
    <t>10.1080/09614524.2019.1653264</t>
  </si>
  <si>
    <t>OCT 2019</t>
  </si>
  <si>
    <t>WOS:000490688900001</t>
  </si>
  <si>
    <t>Chikweche, T; Lappeman, J; Egan, P</t>
  </si>
  <si>
    <t>Chikweche, Tendai; Lappeman, James; Egan, Paul</t>
  </si>
  <si>
    <t>Marketing financial services in Africa: exploring the heterogeneous middle-class consumer across nine countries</t>
  </si>
  <si>
    <t>Middle class; Sub-Saharan Africa; Financial realities; Financial services; Financial inclusion</t>
  </si>
  <si>
    <t>MOBILE MONEY; INCLUSION; ADOPTION; BLACK; TRUST; WORLD; RISE</t>
  </si>
  <si>
    <t>Our paper investigates how the heterogeneous structure of the middle class in sub-Saharan Africa influences its consumption of financial services, identifying drivers for their selection of these services. Implications for marketing practice are outlined. This research is an across-country city-based exploratory study in ten cities where structured questionnaires were used in interviews to obtain information from respondents over a period of 2 years. Our findings identify the importance of the financial realities of the three middle-class groups of the Accomplished, Comfortable and Vulnerable on their consumption of financial services and answer the question of what drives demand for these services. The three groups have varied spending and saving habits, perceptions of financial services and financial aspirations. We identify six key drivers for selecting services, namely availability, accessibility, affordability, status, security and trust. Technology is a key mediating variable of the marketing mix considerations. Marketing practice implications indicated a need for marketers to recognise the importance of the heterogeneity of the middle class and its influence on segmentation strategies. Opportunities for new approaches to new product development and marketing communication strategies that leverage the heterogeneity of the middle class are outlined. Marketers should also consider the varied influence of the drivers for the choice of financial services among the three groups. Our findings reinforce the need and potential that exist for financial services providers to improve the financial inclusion of previously marginalised consumers.</t>
  </si>
  <si>
    <t>[Chikweche, Tendai] Western Sydney Univ, Business Sch, 169 Macquarie St &amp; 100 George St, Parramatta, NSW 2150, Australia; [Lappeman, James; Egan, Paul] Univ Cape Town, UCT Liberty Inst Strateg Mkt, Sch Management Studies, Room 5-01,PD Hahn Bldg,28 Chem Rd,Upper Campus, Rondebosch, South Africa</t>
  </si>
  <si>
    <t>Western Sydney University; University of Cape Town</t>
  </si>
  <si>
    <t>Chikweche, T (corresponding author), Western Sydney Univ, Business Sch, 169 Macquarie St &amp; 100 George St, Parramatta, NSW 2150, Australia.</t>
  </si>
  <si>
    <t>t.chikweche@westernsydney.edu.au; j.lappeman@uct.ac.za; paul.egan@uct.ac.za</t>
  </si>
  <si>
    <t>Lappeman, James/R-9377-2019</t>
  </si>
  <si>
    <t>Lappeman, James/0000-0001-8187-9165</t>
  </si>
  <si>
    <t>CAUL</t>
  </si>
  <si>
    <t>Open Access funding enabled and organized by CAUL and its Member Institutions.</t>
  </si>
  <si>
    <t>10.1057/s41264-022-00179-4</t>
  </si>
  <si>
    <t>IM1J4</t>
  </si>
  <si>
    <t>WOS:000854820700001</t>
  </si>
  <si>
    <t>Gbongli, K; Xu, YA; Amedjonekou, KM</t>
  </si>
  <si>
    <t>Gbongli, Komlan; Xu, Yongan; Amedjonekou, Komi Mawugbe</t>
  </si>
  <si>
    <t>Extended Technology Acceptance Model to Predict Mobile-Based Money Acceptance and Sustainability: A Multi-Analytical Structural Equation Modeling and Neural Network Approach</t>
  </si>
  <si>
    <t>mobile-based money service; adoption; sustainability; technology acceptance model (TAM); structural equation modeling (SEM); artificial neural networks (ANN)</t>
  </si>
  <si>
    <t>USER ACCEPTANCE; SELF-EFFICACY; INFORMATION-TECHNOLOGY; PERSONAL INNOVATIVENESS; BEHAVIORAL INTENTION; FINANCIAL INCLUSION; CONSUMER ACCEPTANCE; SCALE DEVELOPMENT; PERCEIVED EASE; PLS-SEM</t>
  </si>
  <si>
    <t>This research is a pioneering study into the adoption of mobile-based money services for financial inclusion and sustainability in developing countries like Togo. Owing to their differences from more usual mobile-based banking and payment services, such technology is being aggressively promoted by providers of network telecommunication companies. However, the factors influencing its sustainable acceptance remain largely unknown. This paper extends the original Technology Acceptance Model (TAM), by integrating self-efficacy (SEMM), technology anxiety (TAMM), and personal innovativeness (PIMM). The research model is assessed with survey data of 539 actual and prospective mobile money users employing structural equation modeling-artificial neural networks (SEM-ANN) approach. A feed-forward-back-propagation (FFBP) multi-layer perceptron (MLP) ANN with significant predictors obtained from SEM as the input units and the root mean square of errors (RMSE) indicated that the ANN method achieves high prediction accuracy. The results present conclusive evidence that perceived ease-of-use (PEMM) is the most significant factor affecting consumers' attitudes to mobile-based money. While perceived usefulness (PUMM) and PIMM affect adoption decisions, their impact is much lower. Consumer attitudes and intentions were found to have a significant relationship with TAM. SEMM and TAMM; however, they showed mixed results. These findings will be useful to retain prevailing users and attract new ones.</t>
  </si>
  <si>
    <t>[Gbongli, Komlan] Univ Miskolc, Inst Finance &amp; Accounting, Fac Econ, H-3515 Miskolc, Hungary; [Xu, Yongan] Southwestern Univ Finance &amp; Econ, Sch Int Business, 55 Guanghuacun St, Chengdu 610074, Sichuan, Peoples R China; [Amedjonekou, Komi Mawugbe] York St John Univ, Sch Business, York Y031 7EX, N Yorkshire, England</t>
  </si>
  <si>
    <t>University of Miskolc; Southwestern University of Finance &amp; Economics - China</t>
  </si>
  <si>
    <t>Gbongli, K (corresponding author), Univ Miskolc, Inst Finance &amp; Accounting, Fac Econ, H-3515 Miskolc, Hungary.</t>
  </si>
  <si>
    <t>pzkgbong@uni-miskolc.hu</t>
  </si>
  <si>
    <t>Komlan, Gbongli/AAY-7887-2020</t>
  </si>
  <si>
    <t>10.3390/su11133639</t>
  </si>
  <si>
    <t>IL1IB</t>
  </si>
  <si>
    <t>WOS:000477051900138</t>
  </si>
  <si>
    <t>Bai, ZF; Han, SL; Xu, MY</t>
  </si>
  <si>
    <t>Bai, Zefeng; Han, Sulei; Xu, Mingyan</t>
  </si>
  <si>
    <t>When financial volatility meets healthcare: how crypto investments result in forgoing medical care</t>
  </si>
  <si>
    <t>Cryptocurrencies; Financial difficulties; Medical treatments; Cryptocurrency risk; Forgoing medical care</t>
  </si>
  <si>
    <t>JOB LOSS; BITCOIN; PRICE; ECONOMICS; ACCESS; IMPACT</t>
  </si>
  <si>
    <t>PurposeSince its inception in 2008, cryptocurrency has become one of the most popular investment derivatives in the financial marketplace. While financial losses from investments are common, the extent to which such losses impact on essential aspects of life, such as access to medical treatments, requires further investigation. Therefore, in the present study, we examine whether cryptocurrency investments are associated with a higher likelihood of experiencing financial difficulties that hinder access to medical treatments.Design/methodology/approachTo examine whether cryptocurrency investments could result in forgoing medical care, we conducted a logistic regression analysis on the restricted data from the 2021 National Financial Capability Study (NFCS). Additionally, we employed the propensity score matching (PSM) approach and Lewbel's instrumental variable (IV) regression analysis to reduce potential endogeneity concerns and ensure the robustness of our findings.FindingsWe find that the odds of skipping doctor visits and skipping prescriptions for cryptocurrency investors are 2.239 times and 2.024 times, respectively, the odds for non-investors, even after controlling for respondents' COVID-19 exposure and job loss. Our results remain consistent after accounting for insurance coverage and other sociodemographic factors, such as financial literacy and investment knowledge.Originality/valueThe present study is the first to explore the link between cryptocurrency investments and forgoing essential medical care, highlighting the often-overlooked health-related consequences of engaging in high-risk financial investments. Unlike prior research focused on cryptocurrencies' extreme volatility and financial consequences, our findings reveal how these investments may hinder access to necessary medical treatments, which underscores the importance of financial literacy in navigating investment risks and health well-being.</t>
  </si>
  <si>
    <t>[Bai, Zefeng; Xu, Mingyan] Univ Tampa, Informat &amp; Technol Management Dept, Tampa, FL 33606 USA; [Han, Sulei] Univ Tampa, Finance Dept, Tampa, FL USA</t>
  </si>
  <si>
    <t>University of Tampa; University of Tampa</t>
  </si>
  <si>
    <t>zbai@wlu.edu; shan@ut.edu; mxu@ut.edu</t>
  </si>
  <si>
    <t>Han, Sulei/KQU-3258-2024; Bai, Zefeng/AAM-3777-2021</t>
  </si>
  <si>
    <t>Xu, Mingyan/0009-0007-6003-5490</t>
  </si>
  <si>
    <t>We would like to thank the FINRA Foundation for providing the data used in the present study.</t>
  </si>
  <si>
    <t>10.1108/IJBM-11-2024-0671</t>
  </si>
  <si>
    <t>WOS:001505612600001</t>
  </si>
  <si>
    <t>Who Uses Alternative Financial Services? A Latent Class Analysis of Consumer Financial Knowledge and Behavior</t>
  </si>
  <si>
    <t>financial education; Alternative financial services; financial knowledge; financial capability</t>
  </si>
  <si>
    <t>We examine the heterogeneity of alternative financial services (AFS) use by constructing an empirically rigorous typology of financial knowledge and behaviors. Using the 2012 National Financial Capability Study, we conducted latent class analysis of financial knowledge and behaviors to identify latent classes of AFS users (N = 25,509). The proportion of the distal outcome of AFS was investigated among latent classes. The latent classes in the best fitting model were regressed on demographic variables and selected covariates using multinomial logistic regression. Results indicate that five meaningful subgroups were found. Over half of the U.S. population struggles to establish and maintain savings and position themselves for future financial security and mobility (i.e., financially precarious (25.9%), financially striving (20.5%), and financially at-risk (18.4%) classes). The financially thriving class (27.7%) has the healthiest financial behaviors and the least probability of using AFS. The financially stable (7.4%) and financially at-risk (18.4%) classes have the highest probability of using AFS. Widespread use of AFS suggests a general consumer demand for the products and services. Future research is needed to inform policy and practice efforts to shape the formal financial system to meet the long-term financial needs of the majority of consumers.</t>
  </si>
  <si>
    <t>[Birkenmaier, Julie] St Louis Univ, Sch Social Work, Coll Publ Hlth &amp; Social Justice, 3550 Lindell Blvd, St Louis, MO 63103 USA; [Fu, Qiang] St Louis Univ, Sch Publ Hlth, Coll Publ Hlth &amp; Social Justice, St Louis, MO 63103 USA</t>
  </si>
  <si>
    <t>Birkenjm@slu.edu</t>
  </si>
  <si>
    <t>Birkenmaier, Julie/F-2597-2010; Fu, Qiang/AAF-1757-2019</t>
  </si>
  <si>
    <t>Birkenmaier, Julie/0000-0002-3426-1669; Fu, Qiang/0000-0002-4012-330X</t>
  </si>
  <si>
    <t>4 PARK SQUARE, MILTON PARK, ABINGDON OX14 4RN, OXFORDSHIRE, ENGLAND</t>
  </si>
  <si>
    <t>10.1080/01488376.2016.1147519</t>
  </si>
  <si>
    <t>DI9WQ</t>
  </si>
  <si>
    <t>WOS:000373853800011</t>
  </si>
  <si>
    <t>Timu, AG; Shee, A; Ward, PS; You, LZ</t>
  </si>
  <si>
    <t>Timu, Anne G.; Shee, Apurba; Ward, Patrick S.; You, Liangzhi</t>
  </si>
  <si>
    <t>Evaluating the Gendered Credit Constraints and Uptake of an Insurance-Linked Credit Product Among Smallholder Farmers in Kenya</t>
  </si>
  <si>
    <t>Financial inclusion; gender; agricultural credit; insurance linked credit</t>
  </si>
  <si>
    <t>FEMALE-HEADED HOUSEHOLDS; WOMENS EMPOWERMENT; INDEX INSURANCE; RISK; ADOPTION; POVERTY; MARKETS; MICROFINANCE; UNCERTAINTY; INFORMATION</t>
  </si>
  <si>
    <t>Using data from a multi-arm experiment among maize and bean smallholder farmers in Kenya, we evaluate the gender differences in credit rationing, and whether an insurance-bundled credit product, known as risk-contingent credit (RCC) could enhance credit access for both men and women. Using 3 years of household survey data, we find that female-headed households are significantly more risk-rationed (or demand-side rationed) than men. Post-intervention, we find that the impacts of RCC on credit uptake decisions are significantly larger than those of conventional credit. We also find that RCC impacts do not vary across the different gender categories.</t>
  </si>
  <si>
    <t>[Timu, Anne G.; You, Liangzhi] Int Food Policy Res Inst, Foresight &amp; Policy Modeling Unit, Washington, DC 20005 USA; [Shee, Apurba] Univ Greenwich, Nat Resources Inst, Chatham, Kent, England; [Ward, Patrick S.] Univ Florida, Food &amp; Resource Econ Dept, Gainesville, FL USA</t>
  </si>
  <si>
    <t>CGIAR; International Food Policy Research Institute (IFPRI); University of Greenwich; State University System of Florida; University of Florida</t>
  </si>
  <si>
    <t>Timu, AG (corresponding author), Int Food Policy Res Inst, Foresight &amp; Policy Modeling Unit, Washington, DC 20005 USA.</t>
  </si>
  <si>
    <t>a.timu@cgiar.org</t>
  </si>
  <si>
    <t>Ward, Patrick/JDW-3649-2023</t>
  </si>
  <si>
    <t>German Federal Ministry for Economic Cooperation and Development (BMZ) through the Deutsche Gesellschaft fur Internationale Zusammenarbeit (GIZ) Fund for International Agricultural Research (FIA) [81260864]; CGIAR Initiative on Climate Resilience (ClimBeR); CGIAR Trust Fund</t>
  </si>
  <si>
    <t>German Federal Ministry for Economic Cooperation and Development (BMZ) through the Deutsche Gesellschaft fur Internationale Zusammenarbeit (GIZ) Fund for International Agricultural Research (FIA); CGIAR Initiative on Climate Resilience (ClimBeR); CGIAR Trust Fund(CGIAR)</t>
  </si>
  <si>
    <t>This work received financial support from the German Federal Ministry for Economic Cooperation and Development (BMZ) commissioned and administered through the Deutsche Gesellschaft fur Internationale Zusammenarbeit (GIZ) Fund for International Agricultural Research (FIA), grant number: 81260864, with additional support from the CGIAR Initiative on Climate Resilience (ClimBeR). We would like to thank all funders who supported this research through their contributions to the CGIAR Trust Fund: https://www.cgiar.org/funders/. The funders had no role in study design, data collection and analysis, decision to publish, or preparation of the manuscript.</t>
  </si>
  <si>
    <t>10.1080/00220388.2024.2404573</t>
  </si>
  <si>
    <t>X3M9W</t>
  </si>
  <si>
    <t>WOS:001320254800001</t>
  </si>
  <si>
    <t>Panait, MC; Apostu, SA; Gigauri, I; Confetto, MG; Palazzo, M</t>
  </si>
  <si>
    <t>Panait, Mirela Clementina; Apostu, Simona Andreea; Gigauri, Iza; Confetto, Maria Giovanna; Palazzo, Maria</t>
  </si>
  <si>
    <t>Defeating the Dark Sides of FinTech: A Regression-Based Analysis of Digitalization's Role in Fostering Consumers' Financial Inclusion in Central and Eastern Europe</t>
  </si>
  <si>
    <t>innovation; FinTech; financial inclusion; digitalization; Central and Eastern European countries</t>
  </si>
  <si>
    <t>INTERNET USAGE; DETERMINANTS; ACCEPTANCE; BUSINESS; BANKING; GENDER</t>
  </si>
  <si>
    <t>Financial technologies metamorphose economies with customer-focused innovation. In this way, financial inclusion is fostered and economic growth is increased. However, risks, trust issues, and ethical concerns stem from the faster advancement of digital technologies and expanding financial innovation. Thus, this paper aims to understand the risks and barriers associated with FinTech and consumer adoption, focussing on the impact of digitalization on financial products/services' acceptance. The research investigates the impact of digitalization on financial services and the recognition of the role played in the global economy by FinTech. For this reason, the regression analysis was used to explore the influence and correlation of various variables on FinTech in Central and Eastern European (CEE) countries, such as Internet usage, online shopping, paying bills via the Internet, and making and receiving digital payments. The results show differences between three clusters of CEEs in terms of FinTech adoption. While several past studies have explored the advantages of FinTech, few studies have investigated the risks associated with its adoption, trust, and barriers to its usage in different country contexts. The present paper fills the gap by analysing the data on Internet usage, online shopping, paying bills via Internet, and sending or receiving digital payments in CEE countries. The study recommends that FinTech companies share information online not only to present their offerings to users, but also to promote financial education through clear and straightforward communication about the features of their services. This approach can indirectly benefit society by contributing to financial development, inclusion, social stability, and, consequently, sustainable development.</t>
  </si>
  <si>
    <t>[Panait, Mirela Clementina] Petr Gas Univ Ploiesti, Fac Econ Sci, Ploiesti 100680, Romania; [Panait, Mirela Clementina; Apostu, Simona Andreea] Romanian Acad, Inst Natl Econ, Bucharest 010071, Romania; [Apostu, Simona Andreea] Bucharest Univ Econ Studies, Dept Stat &amp; Econometr, Bucharest 010552, Romania; [Gigauri, Iza] Univ Georgia, Sch Business &amp; Adm Studies, Dept Business Adm, Tbilisi 0171, Georgia; [Confetto, Maria Giovanna] Univ Salerno, Dept Polit &amp; Commun Sci, I-84081 Salerno, Italy; [Palazzo, Maria] Univ Mercatorum, Fac Law &amp; Econ, I-00186 Rome, Italy</t>
  </si>
  <si>
    <t>Petroleum-Gas University of Ploiesti; Romanian Academy; Bucharest University of Economic Studies; University of Salerno; Universita Telematica Mercatorum</t>
  </si>
  <si>
    <t>Panait, MC (corresponding author), Petr Gas Univ Ploiesti, Fac Econ Sci, Ploiesti 100680, Romania.;Panait, MC (corresponding author), Romanian Acad, Inst Natl Econ, Bucharest 010071, Romania.</t>
  </si>
  <si>
    <t>mirela.matei@upg-ploiesti.ro; simona.apostu@csie.ase.ro; i.gigauri@sangu.edu.ge; mconfetto@unisa.it; maria.palazzo@unimercatorum.it</t>
  </si>
  <si>
    <t>Apostu, Simona Aneea/B-8099-2019; PALAZZO, MARIA/L-9678-2019; Panait, Mirela/K-3300-2019; Gigauri, Iza/AEQ-2881-2022; CONFETTO, Maria Giovanna/AIA-7498-2022</t>
  </si>
  <si>
    <t>Apostu, Simona Aneea/0000-0003-1727-0114; PALAZZO, MARIA/0000-0002-8710-9054; Panait, Mirela/0000-0002-5158-753X; Gigauri, Iza/0000-0001-6394-6416; CONFETTO, Maria Giovanna/0000-0002-9254-3605</t>
  </si>
  <si>
    <t>10.3390/risks12110178</t>
  </si>
  <si>
    <t>N7L0N</t>
  </si>
  <si>
    <t>WOS:001366095300001</t>
  </si>
  <si>
    <t>Yue, XG; Cao, Y; Duarte, N; Shao, XF; Manta, O</t>
  </si>
  <si>
    <t>Yue, Xiao-Guang; Cao, Yong; Duarte, Nelson; Shao, Xue-Feng; Manta, Otilia</t>
  </si>
  <si>
    <t>Social and Financial Inclusion through Nonbanking Institutions: A Model for Rural Romania</t>
  </si>
  <si>
    <t>community finances; fiscal flexibility; individualized financial arrangements; sustainable financial services</t>
  </si>
  <si>
    <t>The challenges of financial systems have immediate or medium-term social effects. The financial industry is constantly searching for measures to reduce these challenges, especially for those with little or no access to financial services. While current communication technologies make services more accessible through digital mobile platforms, there are still difficulties in establishing viable customer arrangements. In addition to the increased investment in financial technologies, nonbanking financial institutions have now expanded to offer more flexible services tailored to individual circumstances, especially those in isolated rural areas. This research outlines the network model of nonbanking financial institutions in Romania, as well as a microfinance model, based on the financial analysis of four national indicators of nonbanking financial institutions. Data used are presented in absolute values, from the annual numerical series for the reference period 2007-2017. The new initiatives and features incorporated in this Romanian model should be applicable elsewhere and will actively contribute to the expansion and sustainability of financial services, with a positive inclusive impact on society.</t>
  </si>
  <si>
    <t>[Yue, Xiao-Guang] Rajamangala Univ Technol Rattanakosin, Rattanakosin Int Coll Creat Entrepreneurship, Nakon Patom 73170, Thailand; [Yue, Xiao-Guang] European Univ Cyprus, Sch Sci, CY-1516 Nicosia, Cyprus; [Cao, Yong] Southwest Forestry Univ, Res Inst Big Data &amp; Artificial Intelligence, Kunming 650224, Yunnan, Peoples R China; [Duarte, Nelson] Porto Polytech, Sch Management &amp; Technol, CIICESI, P-4610156 Felgueiras, Portugal; [Shao, Xue-Feng] La Trobe Univ, Business Sch, Sydney Campus, Sydney, NSW 2000, Australia; [Manta, Otilia] Romanian Acad, Ctr Financial &amp; Monetary Res Victor Slavescu, Bucharest 050711, Romania; [Manta, Otilia] Romanian Amer Univ, Bucharest 012101, Romania</t>
  </si>
  <si>
    <t>Rajamangala University of Technology Rattanakosin; European University Cyprus; Southwest Forestry University - China; Instituto Politecnico do Porto; La Trobe University; Romanian Academy</t>
  </si>
  <si>
    <t>Manta, O (corresponding author), Romanian Acad, Ctr Financial &amp; Monetary Res Victor Slavescu, Bucharest 050711, Romania.;Manta, O (corresponding author), Romanian Amer Univ, Bucharest 012101, Romania.</t>
  </si>
  <si>
    <t>xgyue@foxmail.com; xgyue@whut.edu.cn; nduarte@estg.ipp.pt; x.shao@latrobe.edu.au; otilia.manta@rgic.ro</t>
  </si>
  <si>
    <t>Shao, Xuefeng/NDS-1624-2025; Duarte, Nelson/AAQ-3047-2020; Yue, XiaoGuang/AAC-7781-2019; manta, otilia/O-1718-2016</t>
  </si>
  <si>
    <t>Shao, Xuefeng/0000-0002-4267-9600; Duarte, Nelson/0000-0002-4156-7922; Yue, XiaoGuang/0000-0002-3004-6961; manta, otilia/0000-0002-9411-7925</t>
  </si>
  <si>
    <t>10.3390/jrfm12040166</t>
  </si>
  <si>
    <t>KA3VH</t>
  </si>
  <si>
    <t>WOS:000505725900009</t>
  </si>
  <si>
    <t>Huang, JQ</t>
  </si>
  <si>
    <t>Huang, Julia Qermezi</t>
  </si>
  <si>
    <t>The ambiguous figures of social enterprise: Gendered flexibility and relational work among the iAgents of Bangladesh</t>
  </si>
  <si>
    <t>social enterprise; financial inclusion; gender and development; relational work; ambiguity; flexibility; Bangladesh</t>
  </si>
  <si>
    <t>MICROFINANCE; BOTTOM; AGENCY</t>
  </si>
  <si>
    <t>Trained by social enterprises as objects and instruments of development, Bangladesh's female Information Agents adopt the gendered flexibilities implied by new entrepreneurial livelihoods. Switching among multiple roles, these entrepreneurs defy social expectations and appear as ambiguous figures. Social enterprise thus incorporates the morally perilous results of gendered flexibility and the contradictions between emergent ethical discourses and their business logics. Market-driven enterprise becomes an inescapable feature of development and produces the social as a site of capital accumulation and organizational expansion for the development elite. It also offloads the risks of manipulating social relations onto the poor entrepreneurs of poverty capitalism, who often cannot translate between market-based moral repertoires and local community notions of sociality and ethical personhood.</t>
  </si>
  <si>
    <t>[Huang, Julia Qermezi] Univ Edinburgh, Edinburgh, Midlothian, Scotland</t>
  </si>
  <si>
    <t>Huang, JQ (corresponding author), Univ Edinburgh, Social Anthropol, Chrystal Macmillan Bldg 15a George Sq, Edinburgh EH8 9LD, Midlothian, Scotland.</t>
  </si>
  <si>
    <t>juli.huang@ed.ac.uk</t>
  </si>
  <si>
    <t>London School of Economics and Political Science; Netherlands Organisation for Scientific Research [W 08.370.013]</t>
  </si>
  <si>
    <t>London School of Economics and Political Science; Netherlands Organisation for Scientific Research(Netherlands Organization for Scientific Research (NWO))</t>
  </si>
  <si>
    <t>The research for this article was funded by a PhD scholarship from the London School of Economics and Political Science (2011-14) and a grant from the Netherlands Organisation for Scientific Research (2014-16, Multipliers for Employment Creation: The Case of the IT Industry, project number W 08.370.013). I am grateful for comments on versions of this article from Laura Bear, Lois Beck, Niko Besnier, Jamie Cross, Geert De Neve, Katy Gardner, five anonymous reviewers, Pablo Morales and the AE editorial team, and the participants in the LSE Research Seminar on Anthropological Theory.</t>
  </si>
  <si>
    <t>10.1111/amet.12560</t>
  </si>
  <si>
    <t>FM6EK</t>
  </si>
  <si>
    <t>WOS:000415142200003</t>
  </si>
  <si>
    <t>Rusydiana, AS; Sukmana, R; Laila, N; Riani, R</t>
  </si>
  <si>
    <t>Rusydiana, Aam Slamet; Sukmana, Raditya; Laila, Nisful; Riani, Ririn</t>
  </si>
  <si>
    <t>WAQF DEVELOPMENT MODELS FOR SUSTAINABLE DEVELOPMENT GOALS: AN ANALYTIC NETWORK PROCESS APPROACH</t>
  </si>
  <si>
    <t>- Analytic network process (ANP); Maqasid al-Shari'ah; Microfinance; Sustainable Development Goals (SDGs); Waqf</t>
  </si>
  <si>
    <t>CASH-WAQF; ISLAMIC FINANCE; FUND</t>
  </si>
  <si>
    <t>Purpose - This study aims to propose an alternative waqf model aligned with the maqasid al-Shari'ah (goals of Islamic law) that can contribute to achieving the Sustainable Development Goals (SDGs). The model seeks to address the gap in current waqf practices and provide a sustainable framework for fulfilling both social and religious obligations. Design/Methodology/Approach - The research employs the Analytic Network Process (ANP) methodology, utilising expert and practitioner opinions to design and evaluate alternative waqf models. This approach ensures that the decision-making process is grounded in practical insights and aligns with Islamic principles. Findings - The results indicate that, among the SDGs' criteria, the social pillar holds the highest priority. From the perspective of maqasid al-Shari'ah, the preservation of religion (din) is the most important factor in ensuring the fulfillment of religious obligations. Consequently, the study identifies the synthesis of waqf and microfinance as the most viable alternative waqf model to support both the SDGs and Islamic objectives. Originality/Value - This study offers a novel integration of the waqf concept with maqasid al-Shari'ah and the SDGs, addressing the practical gap between Islamic endowment practices and modern sustainability goals. It provides an innovative approach by combining waqf with microfinance as a viable alternative model, which has not been extensively explored in previous research. Research Limitations - This study is limited by the scope of expert opinions and the geographical context of the research, which may influence the generalisability of the findings. Further research could explore the application of this model in diverse regions and contexts to validate its effectiveness. Practical Implications - The proposed waqf model provides a strategic framework for policymakers, waqf institutions, and financial practitioners to implement waqf in a way that contributes to both social welfare and religious preservation. This model can be applied in designing waqf-based microfinance programmes, potentially improving financial inclusion and economic development in Muslim-majority regions.</t>
  </si>
  <si>
    <t>[Rusydiana, Aam Slamet] Sakarya Univ, Fac Polit Sci, Dept Islamic Econ &amp; Finance, Serdivan, Turkiye; [Rusydiana, Aam Slamet; Sukmana, Raditya; Laila, Nisful] Airlangga Univ, Fac Econ &amp; Business, Dept Islamic Econ, Surabaya, Indonesia; [Riani, Ririn] Tazkia Univ, Dept Islamic Econ &amp; Business Management, Bogor, Indonesia; [Riani, Ririn] SMART Consulting Indonesia, Bogor, Indonesia</t>
  </si>
  <si>
    <t>Sakarya University; Airlangga University</t>
  </si>
  <si>
    <t>Laila, N (corresponding author), Airlangga Univ, Fac Econ &amp; Business, Dept Islamic Econ, Surabaya, Indonesia.</t>
  </si>
  <si>
    <t>nisful.laila@feb.unair.ac.id</t>
  </si>
  <si>
    <t>Riani, Ririn/NHQ-6861-2025; Sukmana, Raditya/AER-6387-2022; Rusydiana, Aam/AAC-7303-2019; Laila, Nisful/AFU-3631-2022</t>
  </si>
  <si>
    <t>Rusydiana, Aam/0000-0002-0624-7042;</t>
  </si>
  <si>
    <t>10.55188/ijifsd.v17i1.929</t>
  </si>
  <si>
    <t>1XT0V</t>
  </si>
  <si>
    <t>WOS:001476155500004</t>
  </si>
  <si>
    <t>Chung, S; Kim, K; Lee, CH; Oh, W</t>
  </si>
  <si>
    <t>Chung, Sunghun; Kim, Keongtae; Lee, Chul Ho; Oh, Wonseok</t>
  </si>
  <si>
    <t>Interdependence between online peer-to-peer lending and cryptocurrency markets and its effects on financial inclusion</t>
  </si>
  <si>
    <t>PRODUCTION AND OPERATIONS MANAGEMENT</t>
  </si>
  <si>
    <t>crowdfunding; cryptocurrency; financial inclusion; FinTech; P2P lending; platforms</t>
  </si>
  <si>
    <t>STOCK RETURNS; INFORMATION; FINTECH; DISCRIMINATION; OPERATIONS; DISRUPTION; IMPACT</t>
  </si>
  <si>
    <t>Online peer-to-peer (P2P) lending has emerged as an innovative financial technology (FinTech) platform that renders financial services that are potentially more inclusive and affordable than those offered by traditional financial institutions. A similar purpose is served by cryptocurrency markets, where transaction costs are reduced and financial accessibility is improved based on disruptive technologies such as blockchain and distributed ledgers. Despite these developments, however, in the operations management literature limited attention has been devoted to the contribution of online P2P lending to the promotion of financial inclusion (i.e., the availability and usage of financial services for all groups of people) and its dynamic interplay with cryptocurrency markets. The rise of cryptocurrency markets affects the composition and activity of borrowers and investors in P2P lending markets and hence the capacity of the latter to support financial inclusion, leading to an operations management challenge in online P2P lending. We examine how cryptocurrency markets influence P2P lending markets' democratization of access to financial services, particularly P2P borrowing. To investigate these effects in depth, we develop a simple theoretical model to derive testable propositions, which are then empirically validated on the basis of unique data sets. We find that the growth in cryptocurrency markets is associated with increased loan requests and larger loan amounts in P2P markets, especially from borrowers who maintain good credit ratings, possess technical knowledge about cryptocurrencies, and intend to borrow for investment purposes. Our results suggest that cryptocurrency markets bring economic gains to the P2P lending market, at least in the short term. Nonetheless, the transfer of funds from P2P lending to cryptocurrency markets, particularly by highly creditworthy and tech-savvy investors, may provoke increased inequality in access to P2P lending markets. By scrutinizing the interdependence between two representative FinTech markets we uncover important operations management implications for theory and practice regarding the healthy growth and effective governance of crowdfunding platforms and the corresponding sustainability of their role in upholding financial inclusion.</t>
  </si>
  <si>
    <t>[Chung, Sunghun] George Washington Univ, Sch Business, Washington, DC USA; [Kim, Keongtae] Chinese Univ Hong Kong, CUHK Business Sch, Sha Tin, Hong Kong, Peoples R China; [Lee, Chul Ho] Korea Adv Inst Sci &amp; Technol, Coll Business, Daejeon, South Korea; [Oh, Wonseok] Korea Adv Inst Sci &amp; Technol, Coll Business, Seoul, South Korea</t>
  </si>
  <si>
    <t>George Washington University; Chinese University of Hong Kong; Korea Advanced Institute of Science &amp; Technology (KAIST); Korea Advanced Institute of Science &amp; Technology (KAIST)</t>
  </si>
  <si>
    <t>Lee, CH (corresponding author), Korea Adv Inst Sci &amp; Technol, Coll Business, Daejeon, South Korea.</t>
  </si>
  <si>
    <t>irontigerlee@kaist.ac.kr</t>
  </si>
  <si>
    <t>Lee, Chul/C-4529-2016; Kim, Keongtae/NGR-8888-2025</t>
  </si>
  <si>
    <t>Kim, Keongtae/0000-0002-7548-3700</t>
  </si>
  <si>
    <t>1059-1478</t>
  </si>
  <si>
    <t>1937-5956</t>
  </si>
  <si>
    <t>PROD OPER MANAG</t>
  </si>
  <si>
    <t>Prod. Oper. Manag.</t>
  </si>
  <si>
    <t>10.1111/poms.13950</t>
  </si>
  <si>
    <t>Engineering, Manufacturing; Operations Research &amp; Management Science</t>
  </si>
  <si>
    <t>I9UJ4</t>
  </si>
  <si>
    <t>WOS:000929029600001</t>
  </si>
  <si>
    <t>Oben, RJ; Özdamli, F</t>
  </si>
  <si>
    <t>Oben, Remy Jonkam; Ozdamli, Fezile</t>
  </si>
  <si>
    <t>Decentralized Finance (DeFi): Benefits, Risks, and Risk- Mitigation Strategies</t>
  </si>
  <si>
    <t>Decentralized finance; DeFi; benefits; risks; PRISMA</t>
  </si>
  <si>
    <t>BLOCKCHAIN; CHALLENGES</t>
  </si>
  <si>
    <t>The 2008-2009 global financial crisis resulted in a loss of trust in traditional financial systems and the need to decentralize and democratize finance. This coincided with the birth of blockchain technology, marked by creating the pioneer cryptocurrency, bitcoin (BTC), in 2009. As blockchain technology has gained prominence, decentralized finance (DeFi) has emerged, transforming the financial landscape and offering financial services without the need for traditional financial intermediaries. While the disruption of traditional finance has opened up new opportunities, it has also introduced significant risks to the financial sector. In this study, we follow the PRISMA approach (systematic literature review) to identify several DeFi benefits and challenges, as discussed in the existing literature. Based on the Scopus database, we critically scrutinized 64 published articles to report that although DeFi promotes financial inclusion and enhances financial transparency and accountability, the ecosystem also faces security issues, regulatory ambiguities, and price volatility. By providing a balance between the benefits and risks associated with DeFi, this study will help investors and other stakeholders make informed decisions and will serve as a valuable resource for formulating strategies to better regulate the DeFi ecosystem.</t>
  </si>
  <si>
    <t>[Oben, Remy Jonkam] Near East Univ, Dept Business Adm, TR-99040 Nicosia, North Cyprus, Turkiye; [Ozdamli, Fezile] Near East Univ, Dept Management Informat Syst, Nicosia, North Cyprus, Turkiye</t>
  </si>
  <si>
    <t>Near East University; Near East University</t>
  </si>
  <si>
    <t>Oben, RJ (corresponding author), Near East Univ, Dept Business Adm, TR-99040 Nicosia, North Cyprus, Turkiye.</t>
  </si>
  <si>
    <t>remyjonkamoben@gmail.com; fezile.ozdamli@neu.edu.tr</t>
  </si>
  <si>
    <t>Ozdamli, Fezile/AAH-1826-2020; Oben, Remy Jonkam/NMJ-6503-2025</t>
  </si>
  <si>
    <t>Oben, Remy Jonkam/0000-0002-8837-3340</t>
  </si>
  <si>
    <t>10.26650/ibr.2024.53.1426335</t>
  </si>
  <si>
    <t>T9A3R</t>
  </si>
  <si>
    <t>WOS:001407842500007</t>
  </si>
  <si>
    <t>Bazar, JEL; Torres, OVD; Alfaro-Calderón, GG</t>
  </si>
  <si>
    <t>Lamadrid Bazar, Jorge E.; De la Torre Torres, Oscar, V; Alfaro-Calderon, Gerardo G.</t>
  </si>
  <si>
    <t>Financial Education: Origin, analysis and evolution of scientific contributions using bibliometric techniques in the Web of Science</t>
  </si>
  <si>
    <t>INQUIETUD EMPRESARIAL</t>
  </si>
  <si>
    <t>financial education; financial inclusion; bibliometric analysis; financing</t>
  </si>
  <si>
    <t>The development of new information technologies, as well as the profile of the new generations, have encouraged financial institutions to seek greater inclusion of their products and services in a large part of the world's population. Due to the above, there is an increase in the interest of having a society with a greater financial culture that allows it to make better decisions in its particular economy. The growing interest in the field of financial education is also observed in the scientific community. The present work focuses on the search for the scientific literature related to financial education between the years 1990-2018. Bibliometric techniques and the Web of Science scientific database are used as a source of information. The objective is to analyze the information found, and visualize the evolution of the scientific contributions made to this concept, the number of publications, the citation structure, the most influential journals, the authors, universities and countries with the greatest activity on this subject, from In the same way, with the above we will be able to establish the level of scientific contributions that have been made by developing countries on this issue, which is so important for every society by virtue of the benefit of learning to manage their personal economies. The initial results show a total of 2134 articles, it is observed that the highest production goes from 2016 to 2018. The Economic of Education Review magazine has the highest number of publications and citations. The Institution with the most research is the National Bureau of Economic Research and finally the United States of America stands out for its important activity in the area. From the emergence of new variables in financial structures, education on this topic will continue to present new routes to be explored by the scientific community at the service of society.</t>
  </si>
  <si>
    <t>[Lamadrid Bazar, Jorge E.; De la Torre Torres, Oscar, V; Alfaro-Calderon, Gerardo G.] Univ Michoacana, Fac Contabilidad &amp; Ciencias Adm, Santiago Tapia 403, Morelia, Michoacan, Mexico</t>
  </si>
  <si>
    <t>Universidad Michoacana de San Nicolas de Hidalgo</t>
  </si>
  <si>
    <t>Alfaro-Calderón, GG (corresponding author), Univ Michoacana, Fac Contabilidad &amp; Ciencias Adm, Santiago Tapia 403, Morelia, Michoacan, Mexico.</t>
  </si>
  <si>
    <t>enrilam@live.com; oscar.delatorre.torres@gmail.mx; ggalfaroc@gmail.com</t>
  </si>
  <si>
    <t>; De la Torre Torres, Oscar/C-2768-2012</t>
  </si>
  <si>
    <t>Alfaro Calderón, Gerardo Gabriel/0000-0002-8719-9934; lamaid, jorge enrique/0000-0002-9317-6501;</t>
  </si>
  <si>
    <t>0121-1048</t>
  </si>
  <si>
    <t>2422-3220</t>
  </si>
  <si>
    <t>INQUIET EMPRESARIAL</t>
  </si>
  <si>
    <t>Inquiet. Empresarial</t>
  </si>
  <si>
    <t>10.19053/01211048.11475</t>
  </si>
  <si>
    <t>YD5ZM</t>
  </si>
  <si>
    <t>WOS:000740520200003</t>
  </si>
  <si>
    <t>Ma, WL; Vatsa, P; Zheng, HY; Donkor, E; Owusu, V</t>
  </si>
  <si>
    <t>Ma, Wanglin; Vatsa, Puneet; Zheng, Hongyun; Donkor, Emmanuel; Owusu, Victor</t>
  </si>
  <si>
    <t>Does Adoption of Information and Communication Technology Reduce Objective and Subjective Well-Being Inequality? Evidence from China</t>
  </si>
  <si>
    <t>ICT adoption; Objective well-being; Subjective well-being; Inequality; RIF estimation; China</t>
  </si>
  <si>
    <t>INCOME INEQUALITY; ECONOMIC-GROWTH; FINANCIAL ACCESS; MOBILE MONEY; ICT; IMPACT; REGRESSION; HAPPINESS; COMMERCE; FARMERS</t>
  </si>
  <si>
    <t>The adoption of information and communication technology (ICT), such as the Internet, smartphones, and tablets, has increased markedly. The present study examines how this adoption affects objective and subjective well-being inequality, using the 2018 China Family Panel Studies data. We employ the Gini coefficient to measure objective well-being inequality indicators (income inequality and consumption inequality) and the variance to measure subjective well-being inequality indicators (happiness inequality and life-satisfaction inequality). The two-stage residual inclusion approach is utilized to address the endogeneity of ICT adoption. The results show that ICT adoption significantly lowers income and consumption inequality. The findings for subjective well-being are mixed: ICT adoption reduces happiness inequality, whereas it does not influence life-satisfaction inequality. Furthermore, income inequality does not influence subjective well-being; however, consumption inequality is positively associated with happiness inequality.</t>
  </si>
  <si>
    <t>[Ma, Wanglin; Vatsa, Puneet] Lincoln Univ, Fac Agribusiness &amp; Commerce, Dept Global Value Chains &amp; Trade, Christchurch, New Zealand; [Zheng, Hongyun] Huazhong Agr Univ, Coll Econ &amp; Management, Wuhan, Peoples R China; [Donkor, Emmanuel] Humboldt Univ, Albrecht Daniel Thaer Inst, Agrifood Chain Management Grp, Berlin, Germany; [Owusu, Victor] Kwame Nkrumah Univ Sci &amp; Technol KNUST, Dept Agr Econ Agribusiness &amp; Extens, Kumasi, Ghana</t>
  </si>
  <si>
    <t>Lincoln University - New Zealand; Huazhong Agricultural University; Humboldt University of Berlin; Kwame Nkrumah University Science &amp; Technology</t>
  </si>
  <si>
    <t>Zheng, HY (corresponding author), Huazhong Agr Univ, Coll Econ &amp; Management, Wuhan, Peoples R China.</t>
  </si>
  <si>
    <t>Wanglin.Ma@lincoln.ac.nz; Puneet.Vatsa@lincoln.ac.nz; Hongyun.Zheng@mail.hzau.edu.cn; edonkor.knust@gmail.com; vowusu.agric@knust.edu.gh</t>
  </si>
  <si>
    <t>Zheng, Hongyun/AAV-6952-2020; Ma, Wanglin/M-7744-2019; Donkor, Emmanuel/H-3745-2014; Owusu, Victor/GQA-8523-2022; Vatsa, Puneet/G-6893-2019</t>
  </si>
  <si>
    <t>Zheng, Hongyun/0000-0002-8205-6563; Ma, Wanglin/0000-0001-7847-8459; Donkor, Emmanuel/0000-0001-9279-1484; Vatsa, Puneet/0000-0001-9239-4446</t>
  </si>
  <si>
    <t>Fundamental Research Funds for the Central Universities [2023JGLW02, 2662022JGQD006]</t>
  </si>
  <si>
    <t>AcknowledgementsHongyun Zheng gratefully acknowledges the financial support from the Fundamental Research Funds for the Central Universities (2023JGLW02; 2662022JGQD006).</t>
  </si>
  <si>
    <t>10.1007/s11205-023-03154-1</t>
  </si>
  <si>
    <t>XC1C9</t>
  </si>
  <si>
    <t>WOS:001006389900001</t>
  </si>
  <si>
    <t>Chen, HQ; Yuan, YL</t>
  </si>
  <si>
    <t>Chen, Haiqiang; Yuan, Yuling</t>
  </si>
  <si>
    <t>Does digital finance help reduce self-rationing of small and medium-sized enterprises? Evidence from China</t>
  </si>
  <si>
    <t>ECONOMIC AND POLITICAL STUDIES-EPS</t>
  </si>
  <si>
    <t>Digital finance; discouraged borrowers; financial constraints; bank credits</t>
  </si>
  <si>
    <t>CREDIT EVIDENCE</t>
  </si>
  <si>
    <t>Due to high rejection rates and the costly and time-consuming application procedures, small and medium-sized firms may be discouraged from applying for a bank loan, thus resulting in the so-called self-rationing behaviour. Using the World Bank Enterprise Survey Data collected from 2,700 privately owned firms in China during 2011-2013, we document that there exist a significant number of small and medium-sized enterprises (SMEs) which have good performance and financing needs, but are discouraged from applying for a bank loan. We theoretically and empirically show that digital finance development can alleviate the self-rationing behaviour of SMEs. The mechanism analysis shows that, from the supply side, digital finance development enhances the probability of loan approval and the proportion of private firms' working capital financed by banks, and reduces the obstacle to access bank loans; while from the demand side, the development of digital finance improves financial inclusion and the financial literacy of firms. Our findings suggest that digital finance development improves loan efficiency and helps SMEs better access bank credits.</t>
  </si>
  <si>
    <t>[Chen, Haiqiang; Yuan, Yuling] Xiamen Univ, Wang Yanan Inst Studies Econ, Xiamen, Peoples R China; [Chen, Haiqiang] Xiamen Univ, Sch Econ, Xiamen, Peoples R China; [Chen, Haiqiang] Xiamen Univ, Lab Digital Finance, Xiamen, Peoples R China</t>
  </si>
  <si>
    <t>Xiamen University; Xiamen University; Xiamen University</t>
  </si>
  <si>
    <t>Chen, HQ (corresponding author), Xiamen Univ, Wang Yanan Inst Studies Econ, Xiamen, Peoples R China.;Chen, HQ (corresponding author), Xiamen Univ, Sch Econ, Xiamen, Peoples R China.;Chen, HQ (corresponding author), Xiamen Univ, Lab Digital Finance, Xiamen, Peoples R China.</t>
  </si>
  <si>
    <t>hc335@xmu.edu.cn</t>
  </si>
  <si>
    <t>Chen, Haiqiang/IUO-2547-2023</t>
  </si>
  <si>
    <t>2095-4816</t>
  </si>
  <si>
    <t>2470-4024</t>
  </si>
  <si>
    <t>ECON POLIT STUD-EPS</t>
  </si>
  <si>
    <t>Econ. Polit. Stud.-EPS</t>
  </si>
  <si>
    <t>10.1080/20954816.2023.2292373</t>
  </si>
  <si>
    <t>O7O8M</t>
  </si>
  <si>
    <t>WOS:001149462400001</t>
  </si>
  <si>
    <t>Bisht, SS; Mishra, V</t>
  </si>
  <si>
    <t>Bisht, Shailendra Singh; Mishra, Vishal</t>
  </si>
  <si>
    <t>ICT-driven financial inclusion initiatives for urban poor in a developing economy: implications for public policy</t>
  </si>
  <si>
    <t>Inclusive growth; ICT4D; transformative services; service design; financial inclusion</t>
  </si>
  <si>
    <t>QUALITY-OF-LIFE; PROPENSITY SCORE; CAPABILITY APPROACH; DESIGNING SERVICES; MOBILE BANKING; INFORMATION; IMPACT</t>
  </si>
  <si>
    <t>A key agenda of policy-makers in both the developing and the developed worlds is to have an inclusive growth. Financial services have been recognised as one of the fundamental services that have the potential to achieve this objective and help move towards a more just and equitable society. This paper attempts to assess the impact of three information and communication technology-driven initiatives in the field of financial services by differentiating them on the basis of service design. This study goes beyond the stated objective of these services and uses Sen's capability perspective to study their impact across three non-economic outcome variables viz. literacy, service-specific well-being and empowerment. The data for the study are collected from the urban poor across different locations in a large metropolitan city in South India where the three different services are being offered. The study follows a quasi-experimental design (field study) and ensures matching of the treatment and control groups through propensity score matching. The matched data are analysed using an independent sample t-test. The result of the analysis shows that service design plays a key role in increasing service literacy, improving service-specific well-being and empowering end users. The study suggests that the true challenge for providers (government and partner agencies) of these services is in designing a service that ensures a balance of structure and flexibility without constraining the choice of end users through innovative service blueprints.</t>
  </si>
  <si>
    <t>[Bisht, Shailendra Singh; Mishra, Vishal] IBS, Hyderabad, Andhra Pradesh, India</t>
  </si>
  <si>
    <t>Mishra, V (corresponding author), IBS, Hyderabad, Andhra Pradesh, India.</t>
  </si>
  <si>
    <t>Mishra, Vishal/KIG-5438-2024; Bisht, Shailena/U-8057-2017</t>
  </si>
  <si>
    <t>Bisht, Shailena/0000-0001-7571-1470</t>
  </si>
  <si>
    <t>10.1080/0144929X.2016.1183711</t>
  </si>
  <si>
    <t>DU6NS</t>
  </si>
  <si>
    <t>WOS:000382332500005</t>
  </si>
  <si>
    <t>Kassouri, Y; Kacou, KYT</t>
  </si>
  <si>
    <t>Kassouri, Yacouba; Kacou, Kacou Yves Thierry</t>
  </si>
  <si>
    <t>Does the structure of credit markets affect agricultural development in West African countries?</t>
  </si>
  <si>
    <t>Credit structure; Agricultural development; Financial inclusion; Agricultural credits; Credit constraints</t>
  </si>
  <si>
    <t>FINANCIAL DEVELOPMENT; TECHNOLOGY ADOPTION; PRODUCTIVITY; ACCESS; IMPACT; MICROCREDIT; EFFICIENCY; GROWTH</t>
  </si>
  <si>
    <t>Growing evidence suggests that credit constraint or the inability of rural farmers to access financial instruments remains a binding constraint to enhanced productivity in sub-Saharan Africa. We complement this evidence by exploring the contribution of credits to agricultural development with a particular emphasis on the structure of the credit market, captured by agricultural credits, credit to households and firms engaged in agricultural production, and domestic credit to the private sector. Employing advanced panel data estimation techniques to account for endogeneity and cross-sectional dependence in a panel of West African countries, we find evidence supporting the supply leading and demand following hypotheses. We argue that targeted policy reforms that increase agricultural credits and credit to firms engaged in agricultural activities might be more effective in increasing agricultural productivity. (c) 2021 Economic Society of Australia, Queensland. Published by Elsevier B.V. All rights reserved.</t>
  </si>
  <si>
    <t>[Kassouri, Yacouba] Nisantasi Univ, Fac Econ Adm &amp; Social Sci, Dept Econ, Istanbul, Turkey; [Kacou, Kacou Yves Thierry] Univ Ulsan, Dept Econ, Daehak-ro 93, Ulsan 44610, South Korea; [Kassouri, Yacouba] Nisantasi Univ, Dept Econ &amp; Finance, Istanbul, Turkey</t>
  </si>
  <si>
    <t>Istanbul Nisantasi University; University of Ulsan; Istanbul Nisantasi University</t>
  </si>
  <si>
    <t>Kassouri, Y (corresponding author), Nisantasi Univ, Dept Econ &amp; Finance, Istanbul, Turkey.</t>
  </si>
  <si>
    <t>yahacoubk@gmail.com</t>
  </si>
  <si>
    <t>KASSOURI, YACOUBA/AAH-4827-2020</t>
  </si>
  <si>
    <t>KASSOURI, YACOUBA/0000-0002-5423-8263</t>
  </si>
  <si>
    <t>10.1016/j.eap.2021.12.015</t>
  </si>
  <si>
    <t>0W0PG</t>
  </si>
  <si>
    <t>WOS:000788739700007</t>
  </si>
  <si>
    <t>Wellfren, AC; Jalil, RA; Lajuni, N; Jamil, IAA</t>
  </si>
  <si>
    <t>Wellfren, Avnner Chardles; Jalil, Roslaini Abdul; Lajuni, Nelson; Jamil, Izaan Azyan Abdul</t>
  </si>
  <si>
    <t>Financial inclusion and financial well-being among youth: a systematic scoping review</t>
  </si>
  <si>
    <t>INTERNATIONAL JOURNAL OF HAPPINESS AND DEVELOPMENT</t>
  </si>
  <si>
    <t>financial inclusion; financial well-being; financial wellness; happiness; young people; review; systematic scoping review</t>
  </si>
  <si>
    <t>SELF-EFFICACY; SOCIALIZATION; LITERACY</t>
  </si>
  <si>
    <t>This research aimed to comprehensively explore the relationship between financial inclusion and financial well-being among youth, focusing on financial inclusion. Employing a systematic scoping review methodology, this study examined a broad spectrum of scholarly works to identify existing knowledge gaps and provide insightful recommendations for future research. The research findings suggested that financial inclusion exhibited an inconsistent direct effect on financial well-being; however, it played a notable role as a supplementary factor. It is imperative to acknowledge that the effective utilisation of financial inclusion necessitated the cultivation of appropriate skills, attitudes, and behaviours to fully harness its potential advantages in enhancing financial well-being. These results serve as a foundational reference for future research, offering insights into the current state of the topic. Lastly, the study aimed to raise awareness within communities and government agencies about the importance of enhancing the social well-being and happiness of young people.</t>
  </si>
  <si>
    <t>[Wellfren, Avnner Chardles; Jalil, Roslaini Abdul] Univ Malaysia Sabah UMS, Ctr Postgrad Studies, Kota Kinabalu 88400, Sabah, Malaysia; [Lajuni, Nelson; Jamil, Izaan Azyan Abdul] Univ Malaysia Sabah UMS, Fac Business Econ &amp; Accountancy, Kota Kinabalu 88400, Sabah, Malaysia</t>
  </si>
  <si>
    <t>Wellfren, AC (corresponding author), Univ Malaysia Sabah UMS, Ctr Postgrad Studies, Kota Kinabalu 88400, Sabah, Malaysia.</t>
  </si>
  <si>
    <t>avnnercw@gmail.com; rosse234@gmail.com; nelsonl@ums.edu.my; izaan@ums.edu.my</t>
  </si>
  <si>
    <t>2049-2790</t>
  </si>
  <si>
    <t>2049-2804</t>
  </si>
  <si>
    <t>INT J HAPPINESS DEV</t>
  </si>
  <si>
    <t>Int. J. Happiness Dev.</t>
  </si>
  <si>
    <t>10.1504/IJHD.2025.147939</t>
  </si>
  <si>
    <t>6AN0P</t>
  </si>
  <si>
    <t>WOS:001548735200001</t>
  </si>
  <si>
    <t>Soetan, TO; Mogaji, E; Nguyen, NP</t>
  </si>
  <si>
    <t>Soetan, Taiwo O.; Mogaji, Emmanuel; Nguyen, Nguyen Phong</t>
  </si>
  <si>
    <t>Financial services experience and consumption in Nigeria</t>
  </si>
  <si>
    <t>Qualitative research; Customer experience; Financial services; Service delivery; Servicescape</t>
  </si>
  <si>
    <t>CUSTOMER DELIGHT; IMPACT; FOUNDATIONS; KNOWLEDGE; ACCESS; AGENDA; NEED</t>
  </si>
  <si>
    <t>Purpose To understand the financial services experience and consumption in Nigeria from the perspectives of both the customers and managers. This study aims to explore this under-researched area and contribute towards a transformative financial service in the country. Design/methodology/approach Semi-structured interviews with 26 bank customers and seven top bank executives. Findings A conceptual framework, which has emerged from the analysis of the results, revealed three overarching factors that shape these experiences from the perspective of both consumers and managers - service maintenance, service technology and service dynamics. Practical implications For sustainable service maintenance, bank executives need to increase the overall level of transparency in their operations, particularly regarding bank charges, to ensure that customers are not subjected to hidden and unnecessary charges. The use of technology in service provision and delivery should play a prominent role. Managers should also provide innovative and user-friendly technology, communicating with customers and raising awareness of the benefits. Customers who are reluctant to adopt the technology should be educated and reassured. Recognising the service dynamics, managers should improve customer services and relationships, effectively manage the mobile money agent relationship and market new and relevant products to their target audience. Social implications The understanding of the financial services experience and consumption of citizens and residents in the demonstrate how the appropriate programmes and policies that enhance financial inclusion could be introduced and implemented in the country. It enables financial service managers to improve their services to their customers and policymakers to develop timely, relevant and appropriate policies to address and/or bridge the identified gaps in financial inclusion. The understanding of the financial services experience and consumption of citizens and residents in the demonstrate how the appropriate programmes and policies that enhance financial inclusion could be introduced and implemented in the country. Originality/value Through the sampling, this paper reiterates the need for consumer engagement and collaborative customer-provider relationships in redesigning financial services. This aligns with the transformative research agenda, which aims to increase access to financial services, decrease disparity and ensure consumers' financial well-being.</t>
  </si>
  <si>
    <t>[Soetan, Taiwo O.] Red River Coll, Sch Business &amp; Appl Arts, Winnipeg, MB, Canada; [Mogaji, Emmanuel] Univ Greenwich, Dept Mkt Events &amp; Tourism, London, England; [Mogaji, Emmanuel] Univ Econ Ho Chi Minh City, Ho Chi Minh City, Vietnam; [Nguyen, Nguyen Phong] Univ Econ Ho Chi Minh City, Sch Accounting, Ho Chi Minh City, Vietnam</t>
  </si>
  <si>
    <t>Soetan, TO (corresponding author), Red River Coll, Sch Business &amp; Appl Arts, Winnipeg, MB, Canada.</t>
  </si>
  <si>
    <t>tsoetan@rrc.ca; e.o.mogaji@greenwich.ac.uk; nguyenphongnguyen@ueh.edu.vn</t>
  </si>
  <si>
    <t>Phong Nguyen, Nguyen/Y-9028-2019; Mogaji, Emmanuel/B-8900-2014; Soetan, Taiwo O/HMV-3285-2023</t>
  </si>
  <si>
    <t>Phong Nguyen, Nguyen/0000-0002-9724-8939; Mogaji, Emmanuel/0000-0003-0544-4842; Soetan, Taiwo O/0000-0002-4270-8213</t>
  </si>
  <si>
    <t>10.1108/JSM-07-2020-0280</t>
  </si>
  <si>
    <t>WZ7YX</t>
  </si>
  <si>
    <t>WOS:000672685000001</t>
  </si>
  <si>
    <t>Maulana, F; Arundina, T; Azizon, A; Listiana, L; Amin, H</t>
  </si>
  <si>
    <t>Maulana, Fadly; Arundina, Tika; Azizon, A.; Listiana, Lisa; Amin, Hanudin</t>
  </si>
  <si>
    <t>The role of financial well-being and ethical finance adoption: evidence from Indonesia's Islamic banking sector</t>
  </si>
  <si>
    <t>Financial well-being; Ethical finance; Islamic banks; PLS-SEM</t>
  </si>
  <si>
    <t>RELIGIOSITY; INTENTION; BEHAVIOR; DETERMINANTS; CAPABILITY; LITERACY; ATTITUDE; MONEY</t>
  </si>
  <si>
    <t>PurposeThis study aims to examine financial behavior, well-being and ethical finance adoption, specifically within the context of Islamic banks in Indonesia.Design/methodology/approachData collection through questionnaires was carried out online with 662 respondents. The data were processed using the partial least square structural equation modeling (PLS-SEM).FindingsThis study shows that there is a significant positive effect of financial well-being on the intention to adopt ethical finance. In addition, this study underscores the significance of subjective financial knowledge and locus of control, revealing their substantive and positive impact on financial well-being through the conduit of financial behavior. Moreover, this study also found the role played by both extrinsic and intrinsic religiosity, alongside financial literacy, in influencing the underlying psychological dimensions of financial well-being.Research limitations/implicationsThe results obtained confine to variables examined and the scope of investigation. Further studies should address these issues accordingly to extend the findings.Practical implicationsThe result indicates the Islamic banks need to consider the price competitiveness while maintain the quality to reach more potential customers. Islamic banks as ethical financial institutions need to skillfully identify and cater to markets that share the ethical values embodied in their services.Social implicationsThis study underscores the social implications of improving financial well-being, literacy and religiosity in driving the adoption of ethical finance products like Islamic banking. Enhancing financial literacy and fostering positive financial behaviors empower individuals, particularly in emerging economies like Indonesia, to access ethical financial solutions, supporting financial inclusion and poverty reduction. By aligning financial products with ethical and cultural values, Islamic banks can address socioeconomic inequality, promote justice and fairness and contribute to sustainable economic growth, fostering a more equitable and inclusive financial system.Originality/valueThis study takes a more comprehensive approach to the financial well-being psychological model by incorporating additional factors such as religiosity and Islamic financial literacy into the assessment of financial well-being and extends its impact on ethical finance product adoption. This study also enriches the literature regarding the factors affecting ethical finance adoption such as Islamic banks.</t>
  </si>
  <si>
    <t>[Maulana, Fadly; Arundina, Tika] Univ Indonesia, Fac Econ &amp; Business, Depok, Indonesia; [Azizon, A.] Univ Birmingham, Dept Econ, Birmingham, England; [Amin, Hanudin] Univ Malaysia Sabah, Labuan Fac Int Finance, Labuan, Malaysia</t>
  </si>
  <si>
    <t>University of Indonesia; University of Birmingham</t>
  </si>
  <si>
    <t>Arundina, T (corresponding author), Univ Indonesia, Fac Econ &amp; Business, Depok, Indonesia.</t>
  </si>
  <si>
    <t>fadly.maulana@ui.ac.ic; tikarundina@gmail.com; azizonomics@gmail.com; lisa.listi06@ui.ac.id; hanudin@ums.edu.my</t>
  </si>
  <si>
    <t>Universitas Indonesia [NKB-314/UN2.RST/HKP.05.00/2023]</t>
  </si>
  <si>
    <t>Universitas Indonesia(Ministry of Research and Technology of the Republic of Indonesia (RISTEK))</t>
  </si>
  <si>
    <t>The authors would like to acknowledge the financial support provided by Universitas Indonesia under Research Grant No. NKB-314/UN2.RST/HKP.05.00/2023.</t>
  </si>
  <si>
    <t>2026 JAN 9</t>
  </si>
  <si>
    <t>10.1108/IJOES-12-2024-0415</t>
  </si>
  <si>
    <t>AR6NW</t>
  </si>
  <si>
    <t>WOS:001655124000001</t>
  </si>
  <si>
    <t>Zainal, N; Bakri, MH; Sanusi, ZM; Razak, NA; Roslan, S; Harjito, DA</t>
  </si>
  <si>
    <t>Zainal, Nurazilah; Bakri, Mohammed Hariri; Sanusi, Zuraidah Mohd; Razak, Norshuhaida Abdul; Roslan, Sarah; Harjito, D. Agus</t>
  </si>
  <si>
    <t>Financial Efficiency of Microfinance Institutions in the Event of Pre and Post Financial Crisis</t>
  </si>
  <si>
    <t>Financial Efficiency; Economic Crisis; Firm Characteristics; Economic determinants; Data Envelopment Analysis; Panel Regression</t>
  </si>
  <si>
    <t>PERFORMANCE; OUTREACH; SCALE; SUPERVISION; OWNERSHIP; IMPACT</t>
  </si>
  <si>
    <t>The 2008 financial crisis hits economic growth particularly in banking sector. The impacts also not spared to Microfinance Institutions' (MFIs) since MFIs nowadays become integral part in financial system. This paper aims to evaluate financial efficiency of the MFIs in the period of pre and post-financial crisis in first objective. Next, to examine impact of firm characteristics and economic determinants on financial efficiency within the similar period. Total of 166 MFIs from ASEAN 4 countries were selected which include Vietnam, Cambodia, Indonesia, and the Philippines between pre-crisis years, 2000-2007 and post-crisis years, 2010-2017. Using Data Envelopment Analysis, first stage analysis estimates level of financial efficiency of MFIs. In second stage, application of Multivariate Panel Regression Analysis evaluates the effects of firm characteristics and economic determinants on financial efficiency level of the MFIs. Result on first stage revealed the post-crisis efficiency score higher than the pre-crisis efficiency score and this implies financial crisis does not financially affected the MFIs hence appear to be sustainable in the long-run. The findings in the next stage reveal firm characteristics and economic determinants mostly found insignificant for post-crisis period while significant in the pre-crisis. The insignificant outcomes prove the crisis has resulted some variables being unable to explain variation in financial efficiency of the MRs. Generally, the microfinance industry will be benefited from this study as an input for any concurrent crisis in the future. This is vital since the MFIs is the only financial institutions that provide financial access to the poor.</t>
  </si>
  <si>
    <t>[Zainal, Nurazilah; Roslan, Sarah] Univ Teknol MARA, Fac Business &amp; Management, Negeri Sembilan Branch, Seremban, Malaysia; [Bakri, Mohammed Hariri] Univ Teknikal Malaysia, Fac Technol Management &amp; Technopreneurship, Durian Tunggal, Malaysia; [Sanusi, Zuraidah Mohd] Univ Teknol MARA, Shah Alam Branch, Accounting Res Inst HICOE, Shah Alam, Malaysia; [Sanusi, Zuraidah Mohd] Univ Teknol MARA, Shah Alam Branch, Fac Accountancy, Shah Alam, Malaysia; [Razak, Norshuhaida Abdul] Kolej Univ Poly Tech MARA, Fac Business Accountancy &amp; Social Sci, Kuala Lumpur, Malaysia; [Harjito, D. Agus] Univ Islam Indonesia, Fac Business &amp; Econ, Yogyakarta, Indonesia</t>
  </si>
  <si>
    <t>University Teknikal Malaysia Melaka; Universiti Teknologi MARA; Universiti Teknologi MARA; Universitas Islam Indonesia</t>
  </si>
  <si>
    <t>Bakri, MH (corresponding author), Univ Teknikal Malaysia, Fac Technol Management &amp; Technopreneurship, Durian Tunggal, Malaysia.</t>
  </si>
  <si>
    <t>hariri@utem.edu.my</t>
  </si>
  <si>
    <t>Mohd-Sanusi, Zuraidah/ABG-7681-2021; zainal, nurazilah/HGC-2409-2022; BAKRI, MOHAMMED HARIRI/B-3627-2019</t>
  </si>
  <si>
    <t>BAKRI, MOHAMMED HARIRI/0000-0001-8997-0545</t>
  </si>
  <si>
    <t>Kolej Universiti Poly-Tech MARA [100-TNCPI/GOV 16/6/2 (014/2021)]; Universiti Teknologi MARA, Negeri Sembilan Branch [600-TNCPI 5/3/DDN (05) (006/2020)]; Universiti Teknikal Malaysia Melaka</t>
  </si>
  <si>
    <t>Kolej Universiti Poly-Tech MARA; Universiti Teknologi MARA, Negeri Sembilan Branch; Universiti Teknikal Malaysia Melaka</t>
  </si>
  <si>
    <t>We would like to thank the editors and the anonymous referees of the journal for their constructive comments and suggestions, which have significantly helped to improve the paper. Furthermore, special thanks to: 1) Geran Penyelidikan Dalaman KUPTM, Project Code: 100-TNCPI/GOV 16/6/2 (014/2021) sponsored by Kolej Universiti Poly-Tech MARA; 2) Universiti Teknologi MARA, Malaysia; and 3) International Research Seed Fund, Project Code: 600-TNCPI 5/3/DDN (05) (006/2020) sponsored by Universiti Teknologi MARA, Negeri Sembilan Branch as organisations that funded our research. Thanks to Universiti Teknikal Malaysia Melaka for the support. The usual caveats apply.</t>
  </si>
  <si>
    <t>2668-4861</t>
  </si>
  <si>
    <t>10.47750/QAS/23.187.23</t>
  </si>
  <si>
    <t>0M5HR</t>
  </si>
  <si>
    <t>WOS:000782185300023</t>
  </si>
  <si>
    <t>Musa, H; Ahmad, NHB; Nor, AM</t>
  </si>
  <si>
    <t>Musa, Haruna; Ahmad, Nor Hayati Binti; Nor, Alias Mat</t>
  </si>
  <si>
    <t>Expanding financial inclusion participation in Muslim-dominated communities through Islamic finance products (IFP) adoption</t>
  </si>
  <si>
    <t>Financial inclusion; Participation behaviour; Islamic finance products (IFPs) adoption; Theory of planned behaviour</t>
  </si>
  <si>
    <t>BEHAVIOR; INTENTIONS; MODELS</t>
  </si>
  <si>
    <t>PurposeThis study aims to expand the theory of planned behaviour (TPB) to understand determinants of financial inclusion participation behaviour through the mediating effect of Islamic finance product (IFP) adoption.Design/methodology/approachA quantitative research design was deployed using primary data from a survey conducted within the Muslim-dominated regions in Nigeria, which was analysed using partial least squares structural equation modelling.FindingsIt was found that the original TPB variables, attitude, subjective norms, perceived behavioural control (PBC) and behavioural intention have strong positive influences on financial inclusion participation behaviour, however, among the new variables, government support and IFPs adoption directly influence, while awareness and access to banking and digital channels were not. Furthermore, IFPs adoption significantly mediates the relationship between attitude, behavioural intention, government support and access to banking and digital channels and financial inclusion participation, but it failed to mediate that of subjective norms, PBC and awareness.Research limitations/implicationsThese findings imply the need to establish more Islamic financial institutions or conventional banks to introduce IFPs in Muslim-dominated regions in Nigeria, as such products are desirable in expanding financial inclusion. While such is being pursued, policymaking bodies responsible for financial inclusion should design appropriate programmes to create awareness of IFPs for expanding financial inclusion.Originality/valueTo the best of the authors' knowledge, this study could be the first to expand the TPB by integrating IFP adoption as a mediator within the context of financial inclusion participation as well as the incorporation of awareness, government support and access to banking and digital channels as additional variables.</t>
  </si>
  <si>
    <t>[Musa, Haruna] Guarantee Trust Bank, Northeast Div, Abuja, Nigeria; [Ahmad, Nor Hayati Binti; Nor, Alias Mat] Univ Utara Malaysia, Islamic Business Sch, Sintok, Malaysia</t>
  </si>
  <si>
    <t>Musa, H (corresponding author), Guarantee Trust Bank, Northeast Div, Abuja, Nigeria.</t>
  </si>
  <si>
    <t>hamusa.hm@hotmail.com</t>
  </si>
  <si>
    <t>10.1108/JIABR-09-2023-0308</t>
  </si>
  <si>
    <t>9WP8Z</t>
  </si>
  <si>
    <t>WOS:001160455100001</t>
  </si>
  <si>
    <t>Pham, TTT; Duy, TB; Chu, TT; Nguyen, T</t>
  </si>
  <si>
    <t>Pham, Thi Thu Tra; Duy, Tung Bui; Chu, Tuan Thanh; Nguyen, Trinh</t>
  </si>
  <si>
    <t>Financial inclusion, entrepreneurial activity and the moderating role of human capital: new cross-country evidence</t>
  </si>
  <si>
    <t>Formal education; Financial inclusion; Human capital; Entrepreneurship; GEM data; G20; J24; M13; O16; O50</t>
  </si>
  <si>
    <t>GROWTH; RISK; OVERCONFIDENCE; FAILURE; IMPACT; MATTER</t>
  </si>
  <si>
    <t>PurposeThis study aims to reexamine the moderating role of human capital on the effect of extended financial inclusion (FI) for entrepreneurship, using data from the Global Entrepreneurship Monitor for a sample of 42 countries from 2006 to 2017.Design/methodology/approachThis study distinguished between actual and perceived human capital. Actual human capital was measured through formal education while perceived human capital was captured by self-perceived capabilities for business start-ups. The moderating role of human capital was captured by the interaction terms between FI and human capital to investigate how the effects of FI on entrepreneurship vary with levels of human capital. The estimation used the panel-corrected standard error estimators and the two-step system generalized method of moments estimators.FindingsHigher levels of formal education decrease the positive effect of extended FI on entrepreneurial activities. Individuals with high levels of self-capability do not leverage FI for entrepreneurial activities as much as those with lower levels of perceived capability. The results are robust to different estimation methods and different forms of actual human capital.Research limitations/implicationsBoth financial and human capital matter for new business formation worldwide. The findings suggest that FI policies must account for the decreasing effect in response to high levels of human capital. Future research should explore different measures of entrepreneurial performance, various types of entrepreneurship and entrepreneurship across gender groups to gain deeper insights into strategies for promoting entrepreneurship.Practical implicationsEducation strategies should focus on specific types of education, such as entrepreneurship education with financial literacy, rather than traditional academic curriculum, to foster entrepreneurship knowledge, skills and creativity. Likewise, entrepreneurship support schemes should aim to nurture and share appropriate levels of self-efficacy, avoiding excessively high self-efficacy, which is deleterious to the benefits of FI for entrepreneurial activities.Originality/valueThis study offers novel evidence of the decreasing effects of FI on entrepreneurial activities in response to increased actual and perceived human capital.</t>
  </si>
  <si>
    <t>[Pham, Thi Thu Tra; Duy, Tung Bui; Chu, Tuan Thanh; Nguyen, Trinh] RMIT Univ Vietnam, Business Sch, Ho Chi Minh City, Vietnam</t>
  </si>
  <si>
    <t>Pham, TTT (corresponding author), RMIT Univ Vietnam, Business Sch, Ho Chi Minh City, Vietnam.</t>
  </si>
  <si>
    <t>tra.pham@rmit.edu.vn; tung.buiduy@rmit.edu.vn; tuan.chu2@rmit.edu.vn; trinh.nguyenchau@rmit.edu.vn</t>
  </si>
  <si>
    <t>Chu, Tuan_Thanh/KHU-6682-2024</t>
  </si>
  <si>
    <t>Chu, Tuan_Thanh/0000-0003-0354-6079</t>
  </si>
  <si>
    <t>10.1108/JEEE-09-2024-0415</t>
  </si>
  <si>
    <t>U3P0U</t>
  </si>
  <si>
    <t>WOS:001410943400001</t>
  </si>
  <si>
    <t>Voptia, EBK; Stukalina, J</t>
  </si>
  <si>
    <t>Davidaviciene, V; Skvarciany, V; Jureviciene, D; Matuzeviciute-Balciuniene, K; Lapinskaite, I; Meidute-Kavaliauskiene, I; Maciulyte-Sniukiene, A; Korsakiene, R; Skackauskiene, I; Tamosiuniene, R; Bubliene, R</t>
  </si>
  <si>
    <t>Voptia, Etian Boress Kemgou; Stukalina, Julia</t>
  </si>
  <si>
    <t>IMPACT OF DIGITAL FINANCE ON ECONOMIC GROWTH</t>
  </si>
  <si>
    <t>14TH INTERNATIONAL SCIENTIFIC CONFERENCE BUSINESS AND MANAGEMENT 2024</t>
  </si>
  <si>
    <t>Business and Management-Spausdinta</t>
  </si>
  <si>
    <t>14th International Scientific Conference Business and Management</t>
  </si>
  <si>
    <t>MAY 16-17, 2024</t>
  </si>
  <si>
    <t>Vilnius, LITHUANIA</t>
  </si>
  <si>
    <t>Vilnius Gediminas Technical University</t>
  </si>
  <si>
    <t>digital finance; economic growth; financial development; information and communication technologies.</t>
  </si>
  <si>
    <t>The advent of information and communication technologies (ICT) and the resulting innovations have considerably deepened the financial sector, thanks in particular to mobile money technology which promotes financial inclusion. Digital finance has enabled populations traditionally excluded from the financial sector to have access to financial services. According to the existing literature on the link between economic growth and digital finance, it is likely to be a source of economic growth. Countries therefore have an interest in advocating for policies aimed at developing digital finance, while considering the risks that arise from this finance. Digital finance has the potential to compensate for the shortcomings of traditional financial services through innovative financial products. The main objective of the article is to evaluate the effects of digital finance on economic growth. In this article, the authors also demonstrate how the literature has addressed the impact of ICT in relation to traditional finance. The data source is the World Bank's Global Fintech database. Linear regression method is used to analyse the data.</t>
  </si>
  <si>
    <t>[Voptia, Etian Boress Kemgou; Stukalina, Julia] Inst Transport &amp; Telecommun, Fac Transport &amp; Management, 1 Lomonosova St, LV-1019 Riga, Latvia</t>
  </si>
  <si>
    <t>Stukalina, J (corresponding author), Inst Transport &amp; Telecommun, Fac Transport &amp; Management, 1 Lomonosova St, LV-1019 Riga, Latvia.</t>
  </si>
  <si>
    <t>stukalina.j@tsi.lv</t>
  </si>
  <si>
    <t>VILNIUS GEDIMINAS TECHNICAL UNIV PRESS, TECHNIKA</t>
  </si>
  <si>
    <t>VILNIUS-40</t>
  </si>
  <si>
    <t>SAULETEKIO A1. 11, VILNIUS-40, LT-10233, LITHUANIA</t>
  </si>
  <si>
    <t>2029-4441</t>
  </si>
  <si>
    <t>978-609-476-363-2</t>
  </si>
  <si>
    <t>BUS MANAG</t>
  </si>
  <si>
    <t>10.3846/bm.2024.1163</t>
  </si>
  <si>
    <t>BZ6XK</t>
  </si>
  <si>
    <t>WOS:001609996600014</t>
  </si>
  <si>
    <t>Dübel, HJ</t>
  </si>
  <si>
    <t>Duebel, Hans-Joachim</t>
  </si>
  <si>
    <t>Regulation and Access to Finance</t>
  </si>
  <si>
    <t>Notwithstanding the financial crisis, housing finance remains a booming industry globally with strong growth potential in developing economies. Especially in the subset of countries dubbed 'emerging markets', the sector's risk environment and available risk management options have changed dramatically in the past two decades reflected by low inflation, the development of funding markets, deregulation, the IT and communications development, and the globalisation of financial services. However, elevated global house price risk and mortgage loan defaults that already materialise in some of the new markets are the price to be paid for fast growth, while access to housing finance for low-income households still remains at a nascent stage. Financial regulation and state intervention must be designed to support a consistent strategy for access to housing finance. This should include greater institutional diversification and specialisation; product innovation; effective mobilisation of collateral; appropriate client information, consumer protection and financial education; as well as adequate borrower screening and monitoring. With a few exceptions, commercial banks in developing economies are traditionally reluctant to enter lending to low-income customers, reflecting high transaction cost, perceived low creditworthiness of low income borrowers and inadequate product and underwriting imposed by regulatory barriers, and lack of competition associated with subsidies for a few incumbents, and cartel-style market structures. Lending institutions suited to low-income housing finance need cash flow based lending models and with it a fine-tuning of regulations reflecting different charters and risk profiles. Regulatory limitations or biases in mortgage lending often make housing unaffordable to low-income groups. Classic examples include requirements for very long-term fixed-rate lending and prohibition of inflation-indexed lending instruments. Tight usury ceilings and foreclosure protection show the trade-off between consumer protection and access to formal finance for low-income groups. An appropriate approach is to improve consumer protection from the perspective of often risky informal sector practice, rather than aligning standards to those of developed markets for a small almost non-existent formal sector, which is normally out of reach for the poor. The emphasis of real estate collateral as an instrument for expanding housing finance to low-income households should be de-emphasised. Rather, real estate collateral should be part of a broader underwriting concept utilising consumer credit risk assessments supported by IT and know your customer relationship management. Many collateral-focused mortgage regulations that historically served their purpose in Europe or North America have proved questionable in the context of the ongoing financial crisis. Collateral-focused mortgage lending is particularly ill-suited for newly emerging mortgage markets, which are characterised highly cyclical property markets. Regulation in developing economies should diversify from bricks and mortar regulation towards improving tools effectively assessing personal borrower solvency. This is consistent with a renewed focus on relationship approaches including microfinanace or neighbourhood banking, which provide invaluable data mines about low-income household behaviour and risk exposure that gradually improve these models. Two messages are important in framing public support strategies for low-income housing finanace: first, policymakers should avoid replicating top-down approaches from the developed world, such as public-private partnership approaches as done in Mexico or Thailand, and help bottom-up lenders rooted in communities or regions to access relevant broader market data, risk management and risk transfer technology through appropriate apex or service institutions. Second, despite low political visibility, officials should not neglect badly needed investment in the mortgage market's infrastructure - they should promote a) markets by improving price and market intelligence; b) financial education for consumers; and c) access to justice systems, modern communication, and land registers and information to consumers. Such investments promise greater social returns for low-income housing than direct lending and regulatory interventions. This chapter is organise as follows: The first introductory section briefly describes the risk and infrastructure constraints of mortgage finance that have been addressed by many countries in the past. It gives a short historical overview of the booms and crises of Housing Finance Regulations since the 1980s. The second part of the chapter starts out by introducing the reader to the prerequisites for broad and sustainable access to housing finance, before dealing with three separate issues: First, the importance of institutional diversification and specialisation, or charter competition for access to housing finanace is discussed. Second, the appropriateness of mortgage-specific lending rules in defining loan instruments and the use of real estate collateral is presented. Third, consumer information and protection policies and their nexus with financial regulation are addressed. A concluding section discusses how the information opacity of low-income households can be addressed by laws and regulation.</t>
  </si>
  <si>
    <t>Finpolconsult De, Berlin, Germany</t>
  </si>
  <si>
    <t>Dübel, HJ (corresponding author), Finpolconsult De, Berlin, Germany.</t>
  </si>
  <si>
    <t>10.1007/978-3-540-77857-8_4</t>
  </si>
  <si>
    <t>WOS:000289826400004</t>
  </si>
  <si>
    <t>Hudon, M</t>
  </si>
  <si>
    <t>Hudon, Marek</t>
  </si>
  <si>
    <t>Should Access to Credit be a Right?</t>
  </si>
  <si>
    <t>credit; financial exclusion; human right; justice; microfinance; B0; O16; Q14</t>
  </si>
  <si>
    <t>Discussion on financial ethics increasingly includes the problem of exclusion of the poorer segments of society from the financial system and access to credit. This paper explores the ethical dimensions surrounding the concept of a human right to credit. If access to credit is directly instrumental to economic development, poverty reduction and the improved welfare of all citizens, then one can proclaim, as Nobel Prize Laureate M. Yunus has done, that it is a moral necessity to establish credit as a right. Arguments both supporting and opposing the concept of a right to credit are presented. While there may be general agreement that access to financial services may provide a pathway out of poverty, granting a universal right could induce perverse effects such as overindebtedness. Bearing in mind the ultimate goal of proponents of this right as well as the potential harmful consequences, this paper offers a new perspective on the question of access to credit based on a goal-right system.</t>
  </si>
  <si>
    <t>Univ Libre Bruxelles, Solvay Business Sch, B-1050 Brussels, Belgium</t>
  </si>
  <si>
    <t>Hudon, M (corresponding author), Univ Libre Bruxelles, Solvay Business Sch, 50 Ave Roosevelt CP 145-1, B-1050 Brussels, Belgium.</t>
  </si>
  <si>
    <t>mhudon@ulb.ac.be</t>
  </si>
  <si>
    <t>10.1007/s10551-008-9670-y</t>
  </si>
  <si>
    <t>376ME</t>
  </si>
  <si>
    <t>WOS:000261186900002</t>
  </si>
  <si>
    <t>Nasreen, S; Ishtiaq, F; Tiwari, AK</t>
  </si>
  <si>
    <t>Nasreen, Samia; Ishtiaq, Faryal; Tiwari, Aviral Kumar</t>
  </si>
  <si>
    <t>The role of ICT diffusion and institutional quality on financial inclusion in Asian region: empirical analysis using panel quantile regression</t>
  </si>
  <si>
    <t>Financial inclusion; ICT; Institutional quality; Panel quantile regression; Asia</t>
  </si>
  <si>
    <t>ECONOMIC-GROWTH; DETERMINANTS; SERVICES; GOVERNANCE; MONEY; NEXUS</t>
  </si>
  <si>
    <t>The diffusion of information and communication technology (ICT) has transformed the financial sector. Nowadays, ICT applications are widely used in the banking sector. Moreover, institutional quality contributes positively to the integrity of financial institutions. However, in the empirical literature, little evidence is provided about the role of ICT and institutional quality in increasing financial inclusion, especially in Asian countries. Therefore, the present research aims to fill this gap in the literature by examining the impact of ICT diffusion and institutional quality on financial inclusion in 22 Asian economies using annual data covering the period from 2004 to 2020. We have applied an innovative panel quantile regression model introduced by Powell (Quantile Treat Eff 1(28), 2016) for empirical analysis. The empirical findings show the significant effect of ICT diffusion and institutional quality on aggregated and disaggregated measures of financial inclusion, thus, confirming the importance of ICT diffusion and institutional quality in promoting financial inclusion as well as penetration, accessibility and usage of financial services in the Asian region. Furthermore, GDP per capita, urbanization and remittances are found to significantly determine financial inclusion in developing Asian countries. From the policy perspective, it is suggested that policies that enhance financial inclusion by promoting digital finance and strengthening the country's institutions should be formulated.</t>
  </si>
  <si>
    <t>[Nasreen, Samia] Lahore Coll Women Univ, Dept Econ, Lahore, Pakistan; [Ishtiaq, Faryal] Govt Punjab, Dept Educ, Lahore, Pakistan; [Tiwari, Aviral Kumar] Indian Inst Management Bodh Gaya, Bodh Gaya, India</t>
  </si>
  <si>
    <t>Indian Institute of Management (IIM System); Indian Institute of Management Bodh Gaya</t>
  </si>
  <si>
    <t>sami_lcu@yahoo.com; faryalik@gmail.com; aviral.eco@gmail.com</t>
  </si>
  <si>
    <t>Tiwari, Aviral Kumar/C-5556-2011; Nasreen, Samia/K-4205-2013</t>
  </si>
  <si>
    <t>Tiwari, Aviral Kumar/0000-0002-1822-9263;</t>
  </si>
  <si>
    <t>10.1007/s10660-023-09727-z</t>
  </si>
  <si>
    <t>3JD7S</t>
  </si>
  <si>
    <t>WOS:001026683300001</t>
  </si>
  <si>
    <t>Adeleye, I; Debrah, YA; Nachum, L</t>
  </si>
  <si>
    <t>Adeleye, Ifedapo; Debrah, Yaw A.; Nachum, Lilac</t>
  </si>
  <si>
    <t>Management of financial institutions in Africa: Emerging themes and future research agenda</t>
  </si>
  <si>
    <t>Pan-African Banks; Fintech and Frugal Innovations; indigenous African financial institutions; Mergers &amp; Acquisitions; financial institutions management</t>
  </si>
  <si>
    <t>CROSS-BORDER MERGERS; FRUGAL INNOVATION; BANKING; INTERNATIONALIZATION; ACQUISITIONS; REALITY; RISKS</t>
  </si>
  <si>
    <t>The rise of the financial services sector in Africa over the last decade or so has been phenomenal, marked by significant advances in mobile money, and growing financial inclusion and profitability. However, there are significant gaps in the academic literature on the sector, as most recent studies have focused on the more technical aspects of economics, banking and finance, with little attention paid to the management of financial institutions, and the strategic behavior of financial services players. This special issue attempts to fill these gaps. In this introductory paper, we provide an overview of three important trends or thematic areas that the papers in the special issue address: the decline of foreign banks in Africa; the rise of pan-African banks; and how frugal innovation and fintech are shaping the future of financial services in Africa. We also outline three avenues for future research: historical perspectives on financial services; indigenous financial institutions; and mergers, acquisitions and strategic alliances.</t>
  </si>
  <si>
    <t>[Adeleye, Ifedapo] Georgetown Univ, Human Resources Management Program, Washington, DC 20057 USA; [Debrah, Yaw A.] Swansea Univ, Sch Management, Swansea, W Glam, Wales; [Nachum, Lilac] CUNY, Baruch Coll, Zicklin Sch Business, New York, NY 10021 USA</t>
  </si>
  <si>
    <t>Georgetown University; Swansea University; City University of New York (CUNY) System; Baruch College (CUNY)</t>
  </si>
  <si>
    <t>Adeleye, I (corresponding author), Georgetown Univ, Human Resources Management Program, Washington, DC 20057 USA.</t>
  </si>
  <si>
    <t>Ifedapo.Adeleye@georgetown.edu</t>
  </si>
  <si>
    <t>nachum, lilac/K-9560-2019; Adeleye, Ifedapo/ABE-5263-2020</t>
  </si>
  <si>
    <t>nachum, lilac/0000-0003-1642-0838; Debrah, Yaw A/0000-0002-0831-5803; Adeleye, Ifedapo/0000-0002-2370-4911</t>
  </si>
  <si>
    <t>10.1080/23322373.2019.1657766</t>
  </si>
  <si>
    <t>WOS:000492778700001</t>
  </si>
  <si>
    <t>Cozarenco, A; Ongena, S</t>
  </si>
  <si>
    <t>Cozarenco, Anastasia; Ongena, Steven</t>
  </si>
  <si>
    <t>Social and Environmental Financial Services: Where Do We Stand?</t>
  </si>
  <si>
    <t>Social finance; Environmental finance; Sustainable finance; Climate change; Financial inclusion; Innovative financial products; G21; G23; L21; L31; O50; P36</t>
  </si>
  <si>
    <t>CONSTRAINTS; GROWTH; POOR</t>
  </si>
  <si>
    <t>This paper introduces the special issue of the Journal of Financial Services Research titled Social and Environmental Financial Services: Where do we Stand? which highlights recent advancements in social and environmental finance. We draw on five contributions that collectively expand our understanding of how targeted financial interventions, disclosure practices, and regulatory frameworks affect inclusion, firm performance, and sustainability. The social finance papers emphasize the importance of microfinance plus services, subsidized lending, and tax incentive programs in increasing access to financing and promoting development. The environmental finance papers examine how banks' environmental disclosures and the European Union Taxonomy affect credit allocation and pricing. By bridging the social and environmental dimensions, this introduction outlines the emerging challenges, regulatory shifts, and directions for further research to create more integrated and impact-oriented financial services.</t>
  </si>
  <si>
    <t>[Cozarenco, Anastasia] MBS Sch Business, Montpellier, France; [Ongena, Steven] Univ Zurich, Zurich, Switzerland; [Ongena, Steven] Swiss Finance Inst, Zurich, Switzerland; [Ongena, Steven] Katholieke Univ Leuven, Accounting Finance &amp; Insurance, B-3000 Leuven, Belgium; [Ongena, Steven] NTNU, NTNU Business Sch, Trondheim, Norway; [Ongena, Steven] CEPR, London EC1V 0DX, England</t>
  </si>
  <si>
    <t>University of Zurich; Swiss Finance Institute (SFI); KU Leuven; Norwegian University of Science &amp; Technology (NTNU); Centre for Economic Policy Research - UK</t>
  </si>
  <si>
    <t>Cozarenco, A (corresponding author), MBS Sch Business, Montpellier, France.</t>
  </si>
  <si>
    <t>a.cozarenco@mbs-education.com; steven.ongena@df.uzh.ch</t>
  </si>
  <si>
    <t>10.1007/s10693-025-00461-1</t>
  </si>
  <si>
    <t>AI5GK</t>
  </si>
  <si>
    <t>WOS:001648941000001</t>
  </si>
  <si>
    <t>Robins, D</t>
  </si>
  <si>
    <t>Robins, Daniel</t>
  </si>
  <si>
    <t>The medium is the message: The geographies of cryptocurrency remittances to Venezuela</t>
  </si>
  <si>
    <t>TRANSACTIONS OF THE INSTITUTE OF BRITISH GEOGRAPHERS</t>
  </si>
  <si>
    <t>cryptocurrencies; dollarisation; fintech; migration; remittances; Venezuela</t>
  </si>
  <si>
    <t>DIASPORA</t>
  </si>
  <si>
    <t>Cryptocurrency remittances overcome many regulatory and practical barriers, but there is little empirical research into this increasingly popular remittance medium. In response, this article explores cryptocurrency remittances from Latin America and the Caribbean into Venezuela. Cryptocurrencies as a remittance medium conveys important messages for advocates and critics. To appropriately critique cryptocurrencies, it is important to understand how they are used in the 'every day' rather than how their use may be characterised by ideologues. Rather than directly relying on 'trustless' and decentralised blockchain technology, 'really existing' cryptocurrency remittances are highly intermediated. Access to this medium is often hierarchical, stemming from knowledge barriers but also legal status (and by extension, economic status). The 'need' for trusted intermediaries prompts discussions around the relationship between 'trustless' blockchain technology and cryptocurrency remittances. This article shows that stablecoins (cryptocurrencies pegged to fiat currencies-usually the US dollar) are the most popular cryptocurrency remittance medium. Stablecoins challenge institutional attempts to geographically restrict currencies, yet also contribute to global processes of dollarisation. This is important to understanding how stablecoins simultaneously undermine spatial barriers to financial access yet may create new ones in the process.</t>
  </si>
  <si>
    <t>[Robins, Daniel] Univ Oxford, Latin Amer Ctr, Oxford Sch Global &amp; Area Studies, 12 Bevington Rd, Oxford OX2 6LH, England</t>
  </si>
  <si>
    <t>Robins, D (corresponding author), Univ Oxford, Latin Amer Ctr, Oxford Sch Global &amp; Area Studies, 12 Bevington Rd, Oxford OX2 6LH, England.</t>
  </si>
  <si>
    <t>daniel.robins@lac.ox.ac.uk</t>
  </si>
  <si>
    <t>Robins, Daniel/0000-0002-9468-4743</t>
  </si>
  <si>
    <t>Leverhulme Trust; [ECF-2022-542]</t>
  </si>
  <si>
    <t>Leverhulme Trust(Leverhulme Trust);</t>
  </si>
  <si>
    <t>Thanks to Matthew Hoye for his valuable feedback on an early draft of this article. Thanks to Florence Seemungal and Alyssa Brizan for their assistance in sourcing interviewees in Trinidad and Tobago. Funding provided by the Leverhulme Trust grant no. ECF-2022-542. Thanks to the anonymous reviewers for their valuable feedback.</t>
  </si>
  <si>
    <t>0020-2754</t>
  </si>
  <si>
    <t>1475-5661</t>
  </si>
  <si>
    <t>T I BRIT GEOGR</t>
  </si>
  <si>
    <t>Trans. Inst. Br. Geogr.</t>
  </si>
  <si>
    <t>10.1111/tran.12734</t>
  </si>
  <si>
    <t>7LM7A</t>
  </si>
  <si>
    <t>WOS:001365210500001</t>
  </si>
  <si>
    <t>Tzora, VA; Philippas, ND; Panos, GA</t>
  </si>
  <si>
    <t>Tzora, Vasiliki A.; Philippas, Nikolaos D.; Panos, Georgios A.</t>
  </si>
  <si>
    <t>The financial capability of 15-year-olds in Greece?</t>
  </si>
  <si>
    <t>Financial capability; Students; Greece; Local environment</t>
  </si>
  <si>
    <t>We conduct the first nationally representative measurement of the financial capability of 15-year-old students in Greece. We find discrepancies between the core, the islands, and the periphery of the country. Female students score lower in terms of all knowledge, behaviour, and attitudes. Students in experimental schools, the better performing ones, and those with more educated parents are more financially capable, reflecting the absence of a dedicated personal-finance curriculum. Awareness of household finances is positively related to financial capability. Local economic conditions matter, with students in regions affected more by the economic crisis of 2008-2016 exhibiting lower financial capability.(c) 2023 The Author(s). Published by Elsevier B.V. This is an open access article under the CC BY license (http://creativecommons.org/licenses/by/4.0/).</t>
  </si>
  <si>
    <t>[Tzora, Vasiliki A.; Philippas, Nikolaos D.] Univ Piraeus, Piraeus, Greece; [Panos, Georgios A.] Univ Glasgow, Glasgow, Scotland; [Tzora, Vasiliki A.; Philippas, Nikolaos D.; Panos, Georgios A.] Hellen Financial Literacy Inst, Athens, Greece</t>
  </si>
  <si>
    <t>University of Piraeus; University of Glasgow</t>
  </si>
  <si>
    <t>Panos, GA (corresponding author), Univ Glasgow, Glasgow, Scotland.;Panos, GA (corresponding author), Hellen Financial Literacy Inst, Athens, Greece.</t>
  </si>
  <si>
    <t>vtzora@unipi.gr; philipas@unipi.gr; Georgios.Panos@glasgow.ac.uk</t>
  </si>
  <si>
    <t>FILIPPAS, NIKOLAOS/AAQ-2175-2021</t>
  </si>
  <si>
    <t>Tzora, Vasiliki A/0000-0003-3010-9042</t>
  </si>
  <si>
    <t>PROFIT project (Promoting Financial Awareness and Stability); European Union's Horizon 2020 Framework Programme for Research and Innovation [687895]; H2020 - Industrial Leadership [687895] Funding Source: H2020 - Industrial Leadership</t>
  </si>
  <si>
    <t>PROFIT project (Promoting Financial Awareness and Stability); European Union's Horizon 2020 Framework Programme for Research and Innovation(Horizon 2020); H2020 - Industrial Leadership(European Union (EU)H2020 - Industrial Leadership)</t>
  </si>
  <si>
    <t>Panos acknowledges funding from the PROFIT project (Pro-moting Financial Awareness and Stability) . Project PROFIT has received funding from the European Union?s Horizon 2020 Frame-work Programme for Research and Innovation under grant agreement no. 687895.</t>
  </si>
  <si>
    <t>10.1016/j.econlet.2023.111044</t>
  </si>
  <si>
    <t>A4WP6</t>
  </si>
  <si>
    <t>WOS:000955147900001</t>
  </si>
  <si>
    <t>Lei, J; Bai, YY; Kong, DM</t>
  </si>
  <si>
    <t>Lei, Jie; Bai, Yiyi; Kong, Dongmin</t>
  </si>
  <si>
    <t>Bank competition and household informal credit</t>
  </si>
  <si>
    <t>Bank competition; Household credit; Informal credit</t>
  </si>
  <si>
    <t>FINANCIAL INCLUSION; ACCESS; CONSTRAINTS; MARKETS; SECTOR; FIRMS</t>
  </si>
  <si>
    <t>This study examines the relationship between bank competition and informal household credit. Using data from four rounds of the China Household Finance Survey (CHFS), we find that increased competition among banks significantly reduces households' use of informal credit. To establish causality, we create a quasi-natural experiment based on the relaxation policy for city commercial bank branch expansion and obtain consistent results. We further uncover two mechanisms through which bank competition affects informal credit use: reducing interest rates on formal loans and improving financial literacy among households. Moreover, the heterogeneous analysis shows that higher-income and asset-rich households, as well as those residing in urban areas, are more negatively affected by bank competition in terms of informal credit access, whereas its influence on informal credit in agricultural production and medical expenses for households is not statistically significant. Overall, the results imply that fostering moderate competition in the banking industry can diminish the reliance on informal credit markets and offer a more comprehensive understanding of the relationship between the banking sector and household credit.</t>
  </si>
  <si>
    <t>[Lei, Jie; Kong, Dongmin] Zhongnan Univ Econ &amp; Law, Sch Finance, Wuhan 430073, Peoples R China; [Bai, Yiyi] Univ Dist Columbia, Sch Business &amp; Publ Adm, Washington, DC 20008 USA; [Kong, Dongmin] Huazhong Univ Sci &amp; Technol, Sch Econ, Wuhan 430074, Peoples R China</t>
  </si>
  <si>
    <t>Zhongnan University of Economics &amp; Law; University of the District of Columbia; Huazhong University of Science &amp; Technology</t>
  </si>
  <si>
    <t>Lei, J (corresponding author), Zhongnan Univ Econ &amp; Law, Sch Finance, Wuhan 430073, Peoples R China.</t>
  </si>
  <si>
    <t>jielei@stu.zuel.edu.cn; yiyi.bai@udc.edu; kongdm@mail.hust.edu.cn</t>
  </si>
  <si>
    <t>Kong, Dongmin/AAT-2914-2021</t>
  </si>
  <si>
    <t>Our work was supported by the Innovation and Talent Base for Digital Technology and Finance (B21038) .</t>
  </si>
  <si>
    <t>10.1016/j.irfa.2024.103259</t>
  </si>
  <si>
    <t>QV5U1</t>
  </si>
  <si>
    <t>WOS:001223665400001</t>
  </si>
  <si>
    <t>Liu, Y; Li, YD; Zhu, YT; Pan, JA; Huang, QA</t>
  </si>
  <si>
    <t>Liu, Yun; Li, Yangda; Zhu, Yite; Pan, Jiana; Huang, Qingan (Angus)</t>
  </si>
  <si>
    <t>An empirical analysis on whether China's infrastructure lending is a debt trap for Africa</t>
  </si>
  <si>
    <t>China's infrastructure lending; debt trap theory; sovereign default risk</t>
  </si>
  <si>
    <t>FINANCIAL INCLUSION; MOBILE MONEY; DECISION-MAKING; FINTECH; ADOPTION; DETERMINANTS; ACCESS; MODEL</t>
  </si>
  <si>
    <t>Since the first interest-free loans in 1960, China's lending has played a significant role in African development. However, whether China's debt is raising the African countries' sovereign default risk ?This study uses the panel data of China's lending to Africa to conduct quantitative research to answer this question. While empirical evidence shows that generally in both scenarios (with and without lag effect), China's debt (represented by debt to GDP) is not relevant to African countries' sovereign default risk (represented by CRP) for the whole African continent, the debtor countries' region is also not relevant to the countries' sovereign default risk. This study reveals that the change in China's lending is not the only factor affecting the total debt. Sovereign default risk also depends on the GDP growth because if it grows faster than the debt, theoretically debt burden (and the default risk) may decrease rather than increase with debt.</t>
  </si>
  <si>
    <t>[Liu, Yun; Pan, Jiana] UCL, Bartlett Fac Built Environm, London, England; [Li, Yangda] Univ Glasgow, Adam Smith Business Sch, Glasgow City, Scotland; [Zhu, Yite] Tsinghua Univ, PCBFS, Beijing, Peoples R China; [Huang, Qingan (Angus)] Guangdong Univ Finance &amp; Econ, Int Business Sch, Guangzhou, Guangdong, Peoples R China; [Huang, Qingan (Angus)] Univ East London, Sch Business &amp; Law, London, England</t>
  </si>
  <si>
    <t>University of London; University College London; University of Glasgow; Tsinghua University; Guangdong University of Finance &amp; Economics; University of East London</t>
  </si>
  <si>
    <t>Huang, QA (corresponding author), Guangdong Univ Finance &amp; Econ, Int Business Sch, Guangzhou, Guangdong, Peoples R China.;Huang, QA (corresponding author), Univ East London, Sch Business &amp; Law, London, England.</t>
  </si>
  <si>
    <t>qingan.huang@outlook.com</t>
  </si>
  <si>
    <t>Zhu, Yite/0000-0002-7215-3060</t>
  </si>
  <si>
    <t>10.1080/14765284.2024.2311680</t>
  </si>
  <si>
    <t>WOS:001170493700001</t>
  </si>
  <si>
    <t>Tan, GKS</t>
  </si>
  <si>
    <t>Tan, Gordon Kuo Siong</t>
  </si>
  <si>
    <t>Robo-advisors and the financialization of lay investors</t>
  </si>
  <si>
    <t>Fintech; Robo-advisors; Financialization; Investing; Financial ecologies; Algorithms</t>
  </si>
  <si>
    <t>ARTIFICIAL-INTELLIGENCE; FINANCIALISATION; ECOLOGIES; GEOGRAPHIES; EXCLUSION; PROMISES; CREDIT</t>
  </si>
  <si>
    <t>The burgeoning financial technology scene in Singapore has seen the emergence of robo-advisors, which aim to disrupt traditional financial advisories by using algorithms to automate client advising and investment recommendations. Using an ecologies concept to explore how lay investors are articulated into global financial networks through robo advisors, this paper contributes to studies on the financialization of everyday life. It argues that investors are rendered passive by the disciplinary tools of algorithms, contemporary finance theories and elements of robo-advisor platforms that feed into these sociotechnological assemblages. The state's role in embedding citizen investors in these human-machine relationships is considered. The fragmented landscape of free, nonprofessional online financial advice and the opaque qualities of investing algorithms make investor subject formation incomplete and uncertain, especially when markets are highly volatile. This paper explores how both financial inclusion and exclusion operate simultaneously in robo-advisors and argues that robo-advisors may weaken efforts to promote financial literacy and education.</t>
  </si>
  <si>
    <t>[Tan, Gordon Kuo Siong] Singapore Univ Technol &amp; Design, Humanities &amp; Social Sci, 8 Somapah Rd,Bldg 1 Level 4, Singapore 487372, Singapore</t>
  </si>
  <si>
    <t>Singapore University of Technology &amp; Design</t>
  </si>
  <si>
    <t>Tan, GKS (corresponding author), Singapore Univ Technol &amp; Design, Humanities &amp; Social Sci, 8 Somapah Rd,Bldg 1 Level 4, Singapore 487372, Singapore.</t>
  </si>
  <si>
    <t>kuosiong_tan@sutd.edu.sg</t>
  </si>
  <si>
    <t>Tan, Gordon Kuo Siong/AAI-9826-2020</t>
  </si>
  <si>
    <t>Tan, Gordon Kuo Siong/0000-0002-7046-0278</t>
  </si>
  <si>
    <t>10.1016/j.geoforum.2020.09.004</t>
  </si>
  <si>
    <t>WOS:000592912200006</t>
  </si>
  <si>
    <t>Boterere, SG; Boraine, A</t>
  </si>
  <si>
    <t>Boterere, Shammah G.; Boraine, Andre</t>
  </si>
  <si>
    <t>MUCH ADO ABOUT NOTHING? THE HISTORICAL JOURNEY TOWARDS FINANCIAL INCLUSION FOR ZIMBABWE'S LOW-EARNING CONSUMERS</t>
  </si>
  <si>
    <t>advantage to creditors; debt relief measures; discharge of debts; financial literacy; Insolvency Act of Zimbabwe; insolvency law reform; No-Income-No Asset (NINA) debtors; pre-liquidation composition; rehabilitation</t>
  </si>
  <si>
    <t>An investigation into the debt relief measures available to consumer debtors in Zimbabwe reveals that the former and now repealed insolvency statutes did not cater for debtors with smaller estates such as No-Income-No Asset (NINA) debtors. Given the dire state of the Zimbabwean economy due to a multiplicity of economic and political reasons fuelled by other factors such as the COVID-19 pandemic, this category of Zimbabwean consumer debtors found themselves in a lifelong debt trap. However, in 2018, Zimbabwe introduced a new Insolvency Act that, among others, provides for a pre-liquidation composition procedure that could benefit those debtors who do not qualify for the liquidation of assets process. Against the backdrop of the historical development and the plight of indigent debtors, the authors consider the new measure and conclude that although being a step in the right direction, it may still provide too little protection for NINA debtors.</t>
  </si>
  <si>
    <t>[Boterere, Shammah G.] Univ Pretoria, Fac Law, Pretoria, South Africa; [Boraine, Andre] Univ Pretoria, Fac Law, Unit Business Rescue &amp; Insolvency Law, Pretoria, South Africa</t>
  </si>
  <si>
    <t>University of Pretoria; University of Pretoria</t>
  </si>
  <si>
    <t>Boterere, SG (corresponding author), Univ Pretoria, Fac Law, Pretoria, South Africa.</t>
  </si>
  <si>
    <t>Shammah.boterere@up.ac.za; Andre.boraine@up.ac.za</t>
  </si>
  <si>
    <t>Boterere, Shammah/0000-0002-1300-433X</t>
  </si>
  <si>
    <t>OF1U1</t>
  </si>
  <si>
    <t>WOS:001205767200008</t>
  </si>
  <si>
    <t>Bentancor, A</t>
  </si>
  <si>
    <t>Bentancor, Andrea</t>
  </si>
  <si>
    <t>Women's Entrepreneurship and Government Policy: Facilitating Access to Credit through a National Program in Chile</t>
  </si>
  <si>
    <t>women's entrepreneurship; entrepreneurship in Chile; small business; micro-finance</t>
  </si>
  <si>
    <t>GENDER ASSET GAP; FEMALE ENTREPRENEURSHIP; FINANCIAL LITERACY; BUSINESS; INEQUALITY; GROWTH; SIZE; RISK</t>
  </si>
  <si>
    <t>In this paper, I evaluate the impact of a multidimensional national program implemented in Chile during the second term of President Bachelet to facilitate female entrepreneurs' access to credit, reduce gender gaps in financial inclusion, and change patriarchal stereotypes. I construct a difference-in-difference estimate of the program. My findings indicate that the program has successfully met its principal aim: the loans granted to women have increased, reducing the gender gap in this dimension. In addition, evidence of heterogeneity by the economic sector has emerged. This evidence aligns with prior research that has emphasised that public policies should not be designed and implemented under the logic of one type of program fits all. The program analysed in this study is an example of a national public policy that has improved female entrepreneurs' access to funding, reduced gender gaps in a Latin American country, and potentially offered lessons to other Latin American and middle-income countries worldwide.</t>
  </si>
  <si>
    <t>[Bentancor, Andrea] Univ Talca, Fac Econ &amp; Negocios, Talca 3460000, Chile</t>
  </si>
  <si>
    <t>Universidad de Talca</t>
  </si>
  <si>
    <t>Bentancor, A (corresponding author), Univ Talca, Fac Econ &amp; Negocios, Talca 3460000, Chile.</t>
  </si>
  <si>
    <t>andrea.bentancor@utalca.cl</t>
  </si>
  <si>
    <t>Bentancor, Anea/HKP-2371-2023</t>
  </si>
  <si>
    <t>Bentancor, Anea/0000-0003-4734-2377</t>
  </si>
  <si>
    <t>10.3390/socsci11010014</t>
  </si>
  <si>
    <t>YN1YH</t>
  </si>
  <si>
    <t>WOS:000747060200001</t>
  </si>
  <si>
    <t>L'Esperance, M</t>
  </si>
  <si>
    <t>L'Esperance, Madelaine</t>
  </si>
  <si>
    <t>Does Responsibility for Financial Tasks Influence Credit Knowledge and Behavior?: Evidence from a Panel of US Couples</t>
  </si>
  <si>
    <t>Division of labor; Information acquisition; Personal finance</t>
  </si>
  <si>
    <t>LITERACY; MARRIAGE; IMPACT; MONEY</t>
  </si>
  <si>
    <t>Managing financial matters, an important household task, is often handled by one partner. The decisions executed by the household financial manager have important implications for household financial well-being. The division of responsibility contributes to the accumulation of financial knowledge and experiences that build financial capability. Using unique panel data from the Survey of Consumer Payment Choice, this study examines who couples choose to manage household finances and how the division of financial responsibility influences credit knowledge and behavior. We find that partners who earn more are more likely to be responsible for managing savings and investments as well as paying monthly bills controlling for individual- and household-level fixed characteristics, like ability. We also find that the partner who defers responsibility for savings and investing is less likely to know their credit rating. This finding holds when controlling for measured financial literacy. We do not find evidence that deferring financial responsibility is associated with estimated credit score nor credit card repayment behavior.</t>
  </si>
  <si>
    <t>[L'Esperance, Madelaine] Univ Alabama, Dept Consumer Sci, 316 Adams Hall, Tuscaloosa, AL 35487 USA</t>
  </si>
  <si>
    <t>University of Alabama System; University of Alabama Tuscaloosa</t>
  </si>
  <si>
    <t>L'Esperance, M (corresponding author), Univ Alabama, Dept Consumer Sci, 316 Adams Hall, Tuscaloosa, AL 35487 USA.</t>
  </si>
  <si>
    <t>mlesperance@ches.ua.edu</t>
  </si>
  <si>
    <t>10.1007/s10834-019-09641-3</t>
  </si>
  <si>
    <t>WOS:000532978200013</t>
  </si>
  <si>
    <t>Sawadogo, R; Sawadogo, PN; Kinda, RS</t>
  </si>
  <si>
    <t>Sawadogo, Relwende; Sawadogo, Pegdewende Nestor; Kinda, Romuald Somlanare</t>
  </si>
  <si>
    <t>Financial Inclusion, Globalization and Structural Transformation in Developing Countries: A Finite Mixture-of-Regressions Approach</t>
  </si>
  <si>
    <t>financial inclusion; globalization; industrialization; finite mixture regression; developing countries</t>
  </si>
  <si>
    <t>FOREIGN DIRECT-INVESTMENT; INDUSTRIALIZATION; GROWTH; REMITTANCES; MARKETS; AFRICA; UNEMPLOYMENT; INFORMATION; COMPETITION; ALLOCATION</t>
  </si>
  <si>
    <t>Industrialization plays a key role in job creation and economic development. We extend the abundant literature on the determinants of industrialization by exploring the potential effects of financial inclusion in 64 developing countries over the period 2000-2020. Using a finite mixture regression model, we find that our sample is best described by a model with three classes of countries. We then incorporate the potential presence of hidden heterogeneity and, we explain the class membership of countries based on globalization. We find that the impact of financial inclusion on industrialization differs across these three classes of countries. Specifically, financial inclusion is negatively associated with industrialization in the first class of countries where the level of industrialization is low, while it positively affects industrialization in relatively more industrialized countries (class 2 and class 3). We also show that better-integrated countries into the global economy are more likely to be in the class where financial inclusion promotes industrialization. Our results are robust to several robustness checks. Our findings suggest that developing countries could reap more benefits from financial inclusion by strengthening their integration into the global economy.</t>
  </si>
  <si>
    <t>[Sawadogo, Relwende] Univ Joseph Ki Zerbo, Ouagadougou, Burkina Faso; [Sawadogo, Pegdewende Nestor] Int Monetary Fund IMF, Washington, DC USA; [Kinda, Romuald Somlanare] Univ Thomas Sankara, Saaba, Burkina Faso</t>
  </si>
  <si>
    <t>Universite Joseph Ki-Zerbo; International Monetary Fund</t>
  </si>
  <si>
    <t>Sawadogo, R (corresponding author), Univ Joseph Ki Zerbo, Ouagadougou, Burkina Faso.</t>
  </si>
  <si>
    <t>relwende.sawadogo@ujkz.bf; PSawadogo@imf.org; skinda@univ-ouaga2.bf</t>
  </si>
  <si>
    <t>10.11130/jei.2024013</t>
  </si>
  <si>
    <t>TH9B9</t>
  </si>
  <si>
    <t>WOS:001240482300007</t>
  </si>
  <si>
    <t>Welfare Impacts of Mobile Banking Use in Rural Africa: Gender Disaggregated Evidence from Eight Sub-Saharan African Countries</t>
  </si>
  <si>
    <t>Gender; Welfare; Mobile Banking; West Africa</t>
  </si>
  <si>
    <t>FINANCIAL INCLUSION; HEALTH SHOCKS; AGRICULTURAL PRODUCTIVITY; MONEY; HOUSEHOLDS; BEHAVIOR; SAVINGS; ACCESS; EMPOWERMENT; POVERTY</t>
  </si>
  <si>
    <t>This paper examines the impact of the use of mobile banking services on household welfare and gender inequality in consumption. The empirical analysis is based on large original datasets from eight West African Economic and Monetary Union (WAEMU) countries (Benin, Burkina Faso, C &amp; ocirc;te d'Ivoire, Guinea-Bissau, Mali, Niger, Senegal and Togo) and employs two comprehensive identification strategies that help to address the endogenous bias associated with the decision to use mobile banking services. First, we document a persistent consumption gap between male- and female-headed households. Second, we find that households using mobile banking services significantly improve both food and non-food consumption per capita. We also find that the gender gap in welfare is significantly reduced for rural female-headed households using mobile banking services. Our findings highlight the need for policy and regulatory reforms that facilitate access to and use of digital finance, as well as the need for proactive, gender-sensitive digital finance policies. Cet article analyse l'impact de l'utilisation des services de banque mobile sur le bien-&amp; ecirc;tre des m &amp; eacute;nages et les in &amp; eacute;galit &amp; eacute;s de genre en mati &amp; egrave;re de consommation. L'analyse empirique repose sur de vastes ensembles de donn &amp; eacute;es originales provenant de huit pays de l'Union &amp; Eacute;conomique et Mon &amp; eacute;taire Ouest-Africaine (UEMOA) (B &amp; eacute;nin, Burkina Faso, C &amp; ocirc;te d'Ivoire, Guin &amp; eacute;e-Bissau, Mali, Niger, S &amp; eacute;n &amp; eacute;gal et Togo) et mobilise deux strat &amp; eacute;gies d'identification exhaustives permettant de corriger le biais endog &amp; egrave;ne li &amp; eacute; &amp; agrave; la d &amp; eacute;cision d'utiliser les services de banque mobile. Premi &amp; egrave;rement, nous mettons en &amp; eacute;vidence un &amp; eacute;cart persistant de consommation entre les m &amp; eacute;nages dirig &amp; eacute;s par des hommes et ceux dirig &amp; eacute;s par des femmes. Deuxi &amp; egrave;mement, nous constatons que les m &amp; eacute;nages utilisant les services de banque mobile am &amp; eacute;liorent significativement leur consommation alimentaire et non alimentaire par habitant. Nous observons &amp; eacute;galement que l'&amp; eacute;cart de bien-&amp; ecirc;tre entre les genres se r &amp; eacute;duit de mani &amp; egrave;re significative pour les m &amp; eacute;nages ruraux dirig &amp; eacute;s par des femmes ayant recours &amp; agrave; la banque mobile. Nos r &amp; eacute;sultats soulignent la n &amp; eacute;cessit &amp; eacute; de r &amp; eacute;formes politiques et r &amp; eacute;glementaires visant &amp; agrave; faciliter l'acc &amp; egrave;s et l'utilisation de la finance num &amp; eacute;rique, ainsi que l'importance de politiques proactives et sensibles au genre dans ce domaine. Este art &amp; iacute;culo analiza el impacto del uso de servicios de banca m &amp; oacute;vil en el bienestar de los hogares y la desigualdad de g &amp; eacute;nero en el consumo. El an &amp; aacute;lisis emp &amp; iacute;rico se basa en extensos conjuntos de datos originales de ocho pa &amp; iacute;ses de la Uni &amp; oacute;n Econ &amp; oacute;mica y Monetaria de &amp; Aacute;frica Occidental (UEMOA) (Ben &amp; iacute;n, Burkina Faso, Costa de Marfil, Guinea-Bis &amp; aacute;u, Mal &amp; iacute;, N &amp; iacute;ger, Senegal y Togo) y emplea dos estrategias de identificaci &amp; oacute;n exhaustivas que permiten abordar el sesgo end &amp; oacute;geno asociado a la decisi &amp; oacute;n de utilizar servicios de banca m &amp; oacute;vil. En primer lugar, se documenta una brecha persistente en el consumo entre los hogares encabezados por hombres y los encabezados por mujeres. En segundo lugar, se observa que los hogares que utilizan servicios de banca m &amp; oacute;vil mejoran significativamente tanto el consumo de alimentos como el de bienes no alimentarios per c &amp; aacute;pita. Asimismo, se constata que la brecha de g &amp; eacute;nero en el bienestar se reduce de manera significativa en los hogares rurales encabezados por mujeres que utilizan servicios de banca m &amp; oacute;vil. Nuestros resultados ponen de relieve la necesidad de reformas normativas y regulatorias que faciliten el acceso y uso de las finanzas digitales, as &amp; iacute; como la importancia de pol &amp; iacute;ticas proactivas y sensibles al g &amp; eacute;nero en materia de finanzas digitales.</t>
  </si>
  <si>
    <t>[Kouandou, Arouna] Univ Bretagne Sud, IAE, LEGO, F-56000 Vannes, France; [Legras, Sophie] INRAE, UMR CESAER, Dijon, France</t>
  </si>
  <si>
    <t>Universite Bourgogne Europe; INRAE; Institut Agro; Institut Agro Dijon</t>
  </si>
  <si>
    <t>Kouandou, A (corresponding author), Univ Bretagne Sud, IAE, LEGO, F-56000 Vannes, France.</t>
  </si>
  <si>
    <t>leluafrica@gmail.com; sophie.legras@inrae.fr</t>
  </si>
  <si>
    <t>Kouandou, Arouna/0000-0002-2566-5047</t>
  </si>
  <si>
    <t>10.1057/s41287-025-00707-7</t>
  </si>
  <si>
    <t>5TS2Q</t>
  </si>
  <si>
    <t>WOS:001532147400001</t>
  </si>
  <si>
    <t>Kumar, H; Taluja, A; Kumar, P</t>
  </si>
  <si>
    <t>Kumar, Harish; Taluja, Anuradha; Kumar, Parsanjeet</t>
  </si>
  <si>
    <t>A comprehensive analysis of LSTM techniques for predicting financial market</t>
  </si>
  <si>
    <t>Artificial intelligence; deep learning; algorithmic finance</t>
  </si>
  <si>
    <t>ARTIFICIAL-INTELLIGENCE</t>
  </si>
  <si>
    <t>The Financial Engineering has revolutionized the financial industry by integrating mathematics, finance, economics, statistics, and computational tools to solve complex problems like risk management and portfolio optimization. This interdisciplinary approach has given rise to AI in Finance, merging the quantitative techniques of financial engineering with AI's data-driven capabilities. In this survey, we explore concrete examples of their real-world impact. One such example involves a leading investment firm using machine learning algorithms to analyze market sentiments for informed trading decisions, resulting in significant returns. Additionally, AI-driven credit scoring models are expanding financial access by accurately assessing creditworthiness, especially for underserved populations. Natural language processing algorithms are also employed to parse financial news and social media data, providing investors with timely insights to navigate volatile markets effectively. These advancements highlight the transformative potential of financial engineering and AI in finance. By optimizing investment strategies and mitigating risks, they drive innovation and resilience in today's dynamic financial landscape. From algorithmic trading to credit risk assessment and market sentiment analysis, the fusion of these disciplines is reshaping traditional paradigms and shaping the future of finance.</t>
  </si>
  <si>
    <t>[Kumar, Harish] HRIT Univ, Dept Comp Sci, Ghaziabad, Uttar Pradesh, India; [Taluja, Anuradha] Ajay Kumar Garg Engn Coll, Dept Comp Sci, Ghaziabad, Uttar Pradesh, India; [Kumar, Parsanjeet] SDGI Global Univ, Dept Management, Ghaziabad, Uttar Pradesh, India</t>
  </si>
  <si>
    <t>Kumar, H (corresponding author), HRIT Univ, Dept Comp Sci, Ghaziabad, Uttar Pradesh, India.</t>
  </si>
  <si>
    <t>harishtaluja@gmail.com; anutaluja@gmail.com; drpkumar7800@gmail.com</t>
  </si>
  <si>
    <t>KUMAR, HARISH/NNM-0642-2025</t>
  </si>
  <si>
    <t>KUMAR, HARISH/0000-0003-3000-6772; , Anuradha/0000-0001-5478-8540</t>
  </si>
  <si>
    <t>10.1142/S2424786324420040</t>
  </si>
  <si>
    <t>WOS:001280354400004</t>
  </si>
  <si>
    <t>Cama, FR; Emara, N; Trabelsi, M</t>
  </si>
  <si>
    <t>Cama, Freddy Rojas; Emara, Noha; Trabelsi, Mohamed</t>
  </si>
  <si>
    <t>Financial inclusion and the informal sector</t>
  </si>
  <si>
    <t>Financial Inclusion; Informal Sector; Dynamic Panel GMM</t>
  </si>
  <si>
    <t>ECONOMIC-GROWTH; SHADOW ECONOMY; REMITTANCES; CORRUPTION</t>
  </si>
  <si>
    <t>This paper explores the relationship between the informal sector and financial inclusion for a sample of 186 countries across the period 2004-2018 by using various methods of estimations-ordinary least squares, instrumental variables, fixed effects, and general method of moments. The results show financial inclusion significantly reduces the size of the shadow economy throughout indicators of access and usage of financial services. The results are also robust when controlling by income level, these results strongly support the use of financial inclusion as an effective vehicle to lessen informality. Our policy recommendations are directed towards improving financial infrastructure and fostering inclusive financial environments to effectively decrease informality. Adopting dynamic, long-term strategies to sustain financial inclusiveness is key to achieving lasting reductions in the informal sector.</t>
  </si>
  <si>
    <t>[Cama, Freddy Rojas] Univ Peruana Ciencias Aplicadas, Econ Dept, Lima, Peru; [Emara, Noha] Rutgers State Univ, Econ Dept, Newark, NJ USA; [Trabelsi, Mohamed] Int Monetary Fund, Middle East Ctr Econ &amp; Finance, Salmiya, Kuwait</t>
  </si>
  <si>
    <t>Universidad Peruana de Ciencias Aplicadas (UPC); Rutgers University System; Rutgers University Newark; Rutgers University New Brunswick</t>
  </si>
  <si>
    <t>Cama, FR (corresponding author), Univ Peruana Ciencias Aplicadas, Econ Dept, Lima, Peru.</t>
  </si>
  <si>
    <t>pcenfroj@upc.edu.pe; nemara@camden.rutgers.edu; mtrabelsi@imf.org</t>
  </si>
  <si>
    <t>10.1016/j.ribaf.2024.102379</t>
  </si>
  <si>
    <t>SX6O9</t>
  </si>
  <si>
    <t>WOS:001237789900001</t>
  </si>
  <si>
    <t>Cara, A; Elia, B; Ferruzzi, G</t>
  </si>
  <si>
    <t>Schiuma, G</t>
  </si>
  <si>
    <t>Cara, Andrea; Elia, Beatrice; Ferruzzi, Gabriella</t>
  </si>
  <si>
    <t>Islamic Microfinance: New Approaches and Key Implications for Female Entrepreneurship</t>
  </si>
  <si>
    <t>15TH INTERNATIONAL FORUM ON KNOWLEDGE ASSET DYNAMICS (IFKAD 2020): KNOWLEDGE IN DIGITAL AGE</t>
  </si>
  <si>
    <t>15th International Forum on Knowledge Asset Dynamics (IFKAD) - Knowledge in Digital Age</t>
  </si>
  <si>
    <t>SEP 09-11, 2020</t>
  </si>
  <si>
    <t>Microfinance; Alternative Islamic finance; Female entrepreneurship; Emerging countries; Gender and Women's Empowerment Sustainable development</t>
  </si>
  <si>
    <t>In recent years, several routes have been entered to face the scarcity of financial market liquidity, with the aim of increase access to credit for individuals and micro and medium enterprises (MMEs). In this framework, the application of Islamic banking finance instruments has progressively assumed relevant dimensions, showing to be compatible with the needs of micro entrepreneurs. Moreover, the increasing concentration of wealth of Islamic market is leading western realities to look at the potential arising from collaboration between conventional and alternative markets to decrease inequalities within gender entrepreneurship. Within this context, globalization and digitalization have enlarged market opportunities to empower women financially. Authors examine the socio-economic status of women Shariah compliant financial products to investigate the impact that Islamic micro finance instruments could have to upward mobility of worldwide female entrepreneurship. The objective of this paper is thus to explore viable means for both middle east and western women to manage their wealth from an Islamic perspective. The applied methodology is grounded in academic publications and reports published by authoritative bodies, also relying on cross-sectional data. It is organized in different steps: first, a proper analysis of Islamic finance instruments is in-depth; then, the comparison between traditional and non-conventional financial instruments is shown; and the assessment of women Islamic-backed status is tackled; moreover, the proficiency of microfinance is analysed; finally, succeeding the finance models evaluation trough the application of a balance scorecard system, a SWOT Analysis is mentioned. The approach undertaken appears to be innovative in consideration that Islamic Microfinance is still considered a new market. Thus, a concerted action to expand existing knowledge on the possible advantages coming from the study and complementarity of different financial systems is needed. Indeed, the research represents a deepening in order to assess system potentials. In addition, the high feasibility of such application in different contextual realities would result important for the possible fulfilment of worldwide both Muslim and no-Muslim statused women needs and objectives. The attractiveness of the application is going to be crucial in order to tackle gender gap in financial inclusion. The possibility to overcome the restrictions related to inadequate collateral, insufficient legal status, high transaction costs and the sensitivity of entrepreneurs, proper of Islamic microfinance would possibly allow to overcome interest-based financing products thus permitting women and MMEs to contribute to the re-launch of economies and financial policies.</t>
  </si>
  <si>
    <t>[Cara, Andrea] Univ Bologna, Alma Mater Studiomm, Sch Arts Humanities &amp; Cultural Heritage, Dept Philosophy &amp; Commun Studies, Via Zamboni 38, I-40126 Bologna, BO, Italy; [Elia, Beatrice] Univ Roma Tre, Dept Mech &amp; Ind Engn, Via Vito Volterra 62, I-00146 Rome, RM, Italy; [Ferruzzi, Gabriella] Univ Naples Federico II, Dept Ind Engn, Piazzale Tecchio 80, I-80125 Naples, NA, Italy</t>
  </si>
  <si>
    <t>University of Bologna; Roma Tre University; University of Naples Federico II</t>
  </si>
  <si>
    <t>Elia, B (corresponding author), Univ Roma Tre, Dept Mech &amp; Ind Engn, Via Vito Volterra 62, I-00146 Rome, RM, Italy.</t>
  </si>
  <si>
    <t>Ferruzzi, Gabriella/IWM-5626-2023</t>
  </si>
  <si>
    <t>978-88-96687-13-0</t>
  </si>
  <si>
    <t>Business; Computer Science, Interdisciplinary Applications; Information Science &amp; Library Science; Management; Operations Research &amp; Management Science</t>
  </si>
  <si>
    <t>Business &amp; Economics; Computer Science; Information Science &amp; Library Science; Operations Research &amp; Management Science</t>
  </si>
  <si>
    <t>BS4CI</t>
  </si>
  <si>
    <t>WOS:000717224200021</t>
  </si>
  <si>
    <t>Gendered labour produces finance: Navigating profits and care as intermediaries of finance</t>
  </si>
  <si>
    <t>finance; labour; gender; intermediaries; affective labour; social reproduction</t>
  </si>
  <si>
    <t>FINANCIALIZATION; ECONOMY; MARKET; PERFORMATIVITY; SOCIOLOGY</t>
  </si>
  <si>
    <t>Financial actors often characterize finance as standardized and depersonalized. This narrative of standardized finance is commonly incorporated in critical finance scholarship which highlights the circulation of homogenous market devices in the production of depersonalized credit relations. However, such a narrative ends up obscuring the everyday practices and personalized labour that produce finance. My ethnographic research with microfinance branch staff in West Bengal shows that finance is produced by intermediaries' labour. Moreover, this labour is gendered as intermediaries extend affective labour and women workers in particular perform social reproductive labour to ensure that financial services can be rendered standardized. This adds to feminist scholarship by demonstrating how gendered labour is not only domestic but is performed in places of work and is directly capitalized to generate financial returns. Finance workers negotiate financial requirements for profit maximization with affective, personalized ties with clients to generate trust. Women workers doubly negotiate their professional roles and unpaid social reproductive work which is essential for standardizing financial services. As finance workers navigate gendered, moral and financial economies, their everyday labour challenges theoretical distinctions between finance and labour and, productive and non-productive forms of labour. This highlights how standardization of finance operates alongside gendered labour to expand financial reach to underbanked populations.</t>
  </si>
  <si>
    <t>[Kaushal, Tanushree] Geneva Grad Inst, Gender Ctr, Geneva, Switzerland</t>
  </si>
  <si>
    <t>Kaushal, T (corresponding author), Geneva Grad Inst, Gender Ctr, Geneva, Switzerland.</t>
  </si>
  <si>
    <t>Swiss National Science Foundation (Schweizerischer Nationalfonds) [207527]</t>
  </si>
  <si>
    <t>Swiss National Science Foundation (Schweizerischer Nationalfonds)(Swiss National Science Foundation (SNSF))</t>
  </si>
  <si>
    <t>This work was supported by the Swiss National Science Foundation (Schweizerischer Nationalfonds) [grant number 207527].</t>
  </si>
  <si>
    <t>10.1080/03085147.2025.2489881</t>
  </si>
  <si>
    <t>4OA7W</t>
  </si>
  <si>
    <t>WOS:001478082100001</t>
  </si>
  <si>
    <t>Purkayastha, D; Tripathy, T; Das, B</t>
  </si>
  <si>
    <t>Purkayastha, Debapratim; Tripathy, Trilochan; Das, Biswajit</t>
  </si>
  <si>
    <t>Understanding the ecosystem of microfinance institutions in India</t>
  </si>
  <si>
    <t>SOCIAL ENTERPRISE JOURNAL</t>
  </si>
  <si>
    <t>Microfinance; Ecosystem; Social finance</t>
  </si>
  <si>
    <t>PERFORMANCE; NETWORKS; STRATEGY</t>
  </si>
  <si>
    <t>Purpose This paper aims to build upon the various studies conducted on the ecosystem and expands the understanding of the ecosystem of microfinance institutions (MFIs) in India. The discussions in this essay entail a literature review that analyzes the discourse on the ecosystem of MFIs, and based on this an attempt has been made to conceptually design a model for the ecosystem of MFIs in India. Design/methodology/approach The authors design the Indian microfinance ecosystem model based on the actors in the broader financial ecosystem (Bloom and Dees, 2008; Ledgerwood and Gibson, 2013) and the capital infrastructure and the context-setting factors of the social entrepreneurship ecosystem (Dees et al., 2008) that best describes the Indian MFI scenarios. Findings The ecosystem of MFIs in India is found to be very complicated. The interactions among numerous actors - who are core product or service providers, facilitators, client, beneficiaries, resource providers, competitors, complementary organizations, regulators, opponents and influential bystanders. The authors also observed that the capital infrastructure and context-setting factors such as policy, politics, media, economic and social conditions are equally crucial for the MFIs to survive and flourish. Moreover, the ecosystem is also dynamic and could change with the environmental conditions and entry of new entrants into the ecosystem. Research limitations/implications - Understanding the ecosystem of MFIs from the strategic perspective would also be of interest to stakeholders such as donors, investors, banks, government and so on. For MFIs, knowing their place in the ecosystem is an essential step in determining their strategy. Practical implications - Understanding the elements of the ecosystem would help MFIs to assess whether they have achieved the minimum critical environmental conditions in the ecosystem for their business model to succeed. Social implications - Better understanding of the ecosystem will help create social benefits through better service delivery to the low-income population. Originality/value Expands the existing business ecosystem literature by extending it to the social policy, social entrepreneurship and more specifically to the microfinance sector. Fills a void in ecosystem literature by designing a comprehensive ecosystem model of MFIs in India. Understanding the ecosystem would help market system actors and facilitators to understand what they have to do to achieve their objectives of participating in the ecosystem. Knowing their place in the ecosystem is an essential step in determining what they should do and how they should do it. In addition to MFIs, it could have important implications for policymakers, particularly the government, that are trying to achieve financial inclusion.</t>
  </si>
  <si>
    <t>[Purkayastha, Debapratim] ICFAI Business Sch, Dept Mkt &amp; Strategy, Hyderabad, India; [Tripathy, Trilochan] XLRI Xavier Sch Management, Dept Finance, Jamshedpur, Bihar, India; [Das, Biswajit] KIIT Univ, Dept Mkt, Bhubaneswar, India</t>
  </si>
  <si>
    <t>The ICFAI Foundation for Higher Education (IFHE); ICFAI Business School (IBS); XLRI -Xavier School of Management; Kalinga Institute of Industrial Technology (KIIT)</t>
  </si>
  <si>
    <t>Purkayastha, D (corresponding author), ICFAI Business Sch, Dept Mkt &amp; Strategy, Hyderabad, India.</t>
  </si>
  <si>
    <t>debapratimp@gmail.com</t>
  </si>
  <si>
    <t>Das, Biswajit/0000-0002-0817-2929</t>
  </si>
  <si>
    <t>1750-8614</t>
  </si>
  <si>
    <t>1750-8533</t>
  </si>
  <si>
    <t>SOC ENTERP J</t>
  </si>
  <si>
    <t>Soc. Enterp. J.</t>
  </si>
  <si>
    <t>10.1108/SEJ-08-2019-0063</t>
  </si>
  <si>
    <t>NG9WL</t>
  </si>
  <si>
    <t>WOS:000516601800001</t>
  </si>
  <si>
    <t>Korankye, T; Pearson, B; Salehi, H</t>
  </si>
  <si>
    <t>Korankye, Thomas; Pearson, Blain; Salehi, Hossein</t>
  </si>
  <si>
    <t>The nexus between investor sophistication and annuity insurance ownership: evidence from FINRA's National Financial Capability Study</t>
  </si>
  <si>
    <t>Annuity; Financial literacy; Financial sophistication; Investor sophistication; Retirement planning</t>
  </si>
  <si>
    <t>LITERACY; EDUCATION; BEHAVIOR; PURCHASE; INCOME</t>
  </si>
  <si>
    <t>Purpose Although annuitization provides insurance against longevity risk that can benefit households, researchers have uncovered an annuitization puzzle, which suggests households are reluctant to annuitize their wealth. This study contributes to the discussions on the annuitization puzzle by examining investor sophistication and owning annuities in non-retirement accounts. Design/methodology/approach The study utilizes data from the 2018 U S National Financial Capability Study (NFCS). The empirical analyses are based on logistic regression estimates of annuity ownership on investor sophistication. Interpretations are based on odds ratios. Findings The findings indicate that investor sophistication contributes to the annuity puzzle. Investors with low objective and high subjective investment knowledge (overconfident investors) are more likely to own annuities compared to those with low objective and low subjective investment knowledge. However, investors with high objective and low subjective investment knowledge (under-confident investors) are less likely to choose annuity ownership compared to those with low objective and low subjective investment knowledge. The findings and ensuing discussion highlight the importance of annuitization when planning for retirement, with implications for financial service professionals. Research limitations/implications The measure of investor sophistication does not assess the difficulty level of each financial knowledge question. The questions used to construct the investor sophistication variable are based on general investment knowledge. In addition, the annuity ownership variable used in this study pertains to investments outside retirement accounts. Despite these limitations, the findings highlight the importance of annuitization when planning for retirement. Originality/value Unlike prior studies, the authors consider four mutually exclusive measures of investor sophistication constructed from measures of objective and subjective investment knowledge to understand the effect of investor sophistication on annuity ownership in the United States.</t>
  </si>
  <si>
    <t>[Korankye, Thomas] Univ Arizona, Personal &amp; Family Financial Planning Program, Tucson, AZ 85721 USA; [Pearson, Blain] Coastal Carolina Univ, E Craig Wall Sr Coll Business Adm, Conway, SC USA; [Salehi, Hossein] Calif Lutheran Univ, Sch Management, Thousand Oaks, CA USA</t>
  </si>
  <si>
    <t>University of Arizona; Coastal Carolina University; California Lutheran University</t>
  </si>
  <si>
    <t>Korankye, T (corresponding author), Univ Arizona, Personal &amp; Family Financial Planning Program, Tucson, AZ 85721 USA.</t>
  </si>
  <si>
    <t>korankye@arizona.edu</t>
  </si>
  <si>
    <t>; Pearson, Blain/E-5439-2018; Korankye, Thomas/AGV-5821-2022</t>
  </si>
  <si>
    <t>Salehi, Hossein/0000-0002-6878-0491; Pearson, Blain/0000-0001-8293-8331; Korankye, Thomas/0000-0001-6146-2725</t>
  </si>
  <si>
    <t>10.1108/MF-04-2022-0169</t>
  </si>
  <si>
    <t>WOS:000853891900001</t>
  </si>
  <si>
    <t>Qi, J; Chatterjee, S; Worthy, S; Herndon, K; Wojdynski, B</t>
  </si>
  <si>
    <t>Qi, Jia; Chatterjee, Swarn; Worthy, Sheri; Herndon, Keith; Wojdynski, Bartosz</t>
  </si>
  <si>
    <t>Using an extended post-acceptance framework to examine consumer adoption of fintech</t>
  </si>
  <si>
    <t>Fintech adoption; Financial capability; Technological proficiency; Perceived safety; Perceived usefulness</t>
  </si>
  <si>
    <t>FINANCIAL LITERACY; PERCEIVED SECURITY; USER ACCEPTANCE; E-COMMERCE; KNOWLEDGE; SATISFACTION; INNOVATION; VALIDITY; SERVICES; PRIVACY</t>
  </si>
  <si>
    <t>PurposeEmerging literature on fintech has shown that consumers have been slow to adopt fintech-based products and services. However, limited literature is available regarding the factors associated with consumers' adoption of these products and services. This study aims to investigate the factors that are associated with consumer adoption of fintech-based products and services.Design/methodology/approachData on the usage and perception of smartphone financial apps by US residents ages 18-70 was collected in the fall of 2020. Based on the Extended Post-Acceptance Model (EPAM) framework, Structural Equation Modeling and Confirmatory Factor Analysis were applied to inspect how financial capability, perceived security and perceived usefulness affect fintech adoption.FindingsFintech proficiency, investment risk tolerance and perceived safety are positively associated with the frequency of fintech application use upon adoption. Consumers are more likely to feel safer if they are more financially capable and technologically proficient. Consumers with higher risk tolerance tend to believe fintech apps are safe to use. Consumers with higher fintech proficiency are more likely to recognize the usefulness of fintech services.Originality/valueThe study introduces a revised EPAM framework with antecedent factors, fintech proficiency and risk tolerance to investigate the factors associated with consumer adoption of fintech-based products and services. The key findings of this study validate the EPAM in the American context. Additionally, this research is among the first to have confirmed the direct relationship between perceived security and fintech adoption. The results have practical implications for existing fintech companies, banks and financial institutions, policymakers and financial advisory practices considering adopting fintech-based services for their clients.</t>
  </si>
  <si>
    <t>[Qi, Jia; Chatterjee, Swarn; Worthy, Sheri; Herndon, Keith; Wojdynski, Bartosz] Univ Georgia, Athens, GA 30602 USA</t>
  </si>
  <si>
    <t>Chatterjee, S (corresponding author), Univ Georgia, Athens, GA 30602 USA.</t>
  </si>
  <si>
    <t>; Chatterjee, Swarn/D-7114-2016; Wojdynski, Bartosz/AAP-2963-2020</t>
  </si>
  <si>
    <t>Worthy, Sheri/0000-0001-7069-830X; Chatterjee, Swarn/0000-0003-4916-1369;</t>
  </si>
  <si>
    <t>10.1108/IJBM-10-2022-0448</t>
  </si>
  <si>
    <t>WOS:001137434100001</t>
  </si>
  <si>
    <t>Adeabah, D; Andoh, C</t>
  </si>
  <si>
    <t>Adeabah, David; Andoh, Charles</t>
  </si>
  <si>
    <t>Cost efficiency and welfare performance of banks: evidence from an emerging economy</t>
  </si>
  <si>
    <t>Cost efficiency; Bank; Welfare performance; Social cost; Financial consumer protection; Quantile regression; Ghana</t>
  </si>
  <si>
    <t>QUIET LIFE HYPOTHESIS; LOW-INCOME COUNTRIES; MARKET-POWER; COMPETITION EVIDENCE; X-EFFICIENCY; CORPORATE GOVERNANCE; FINANCIAL ACCESS; FOREIGN BANKS; VARIANCE TEST; PANEL-DATA</t>
  </si>
  <si>
    <t>Purpose The study examines the relationship between the consequential social cost of market power (i.e. welfare performance of banks) and cost efficiency using data covering the period 2009 to 2017 from the Ghanaian banking industry. Design/methodology/approach The study adopts the ordinary least squares (OLS), fixed effect (FE) panel regression and the quantile regression (QR) approaches to control for heterogeneity and provide increased room for policy relevance. The two-stage least squares instrumental variables (2SLS-IV) regression is used to ensure the robustness of the findings against the problem of possible reverse causality. Findings The results indicate a positive relationship between banks' welfare performance and cost efficiency, which suggests that greater cost efficiency hedges welfare losses. In other words, welfare gains and cost-efficient banks are not mutually exclusive. Also, the results show evidence that the sensitivity of welfare gain to cost efficiency depends on the knowledge of local market dynamics. Further, the findings from the QR estimation suggest that, but for welfare loss at low (Q.25) to the median (Q.50) quantiles, cost efficiency is a necessary and sufficient condition to hedge the welfare losses. Practical implications The results demonstrate that financial consumer protection cannot be achieved without cost efficiency in the presence of both foreign banks and high market knowledge. Therefore, our paper suggests an integrated cost efficiency policy approach that has the complementary effect of a robust information sharing mechanism and incentives to hedge against welfare losses in the banking sector of emerging economies. Moreover, if welfare gain is synonymous with cost-efficient banks, then the presence of a quiet life is typical of financial consumer protection. Originality/value This study provides insight into the importance of cost efficiency to the public policy of financial consumer protection in an era of foreign banks' dominance. From the review of prior literature, this paper is the first to apply the QR estimation technique to examine the effect of cost efficiency throughout the conditional distribution of bank welfare performance rather than just the conditional mean effect of cost efficiency.</t>
  </si>
  <si>
    <t>[Adeabah, David; Andoh, Charles] Univ Ghana, Dept Finance, Accra, Ghana</t>
  </si>
  <si>
    <t>Adeabah, D (corresponding author), Univ Ghana, Dept Finance, Accra, Ghana.</t>
  </si>
  <si>
    <t>kofiadeabah@gmail.com; candoh@ug.edu.gh</t>
  </si>
  <si>
    <t>Adeabah, David/K-8339-2017</t>
  </si>
  <si>
    <t>Adeabah, David/0000-0002-0666-724X</t>
  </si>
  <si>
    <t>10.1108/IJMF-06-2019-0212</t>
  </si>
  <si>
    <t>OG9TC</t>
  </si>
  <si>
    <t>WOS:000553199900001</t>
  </si>
  <si>
    <t>Karami, A; Igbokwe, C</t>
  </si>
  <si>
    <t>Karami, Amin; Igbokwe, Chukwuemeka</t>
  </si>
  <si>
    <t>The impact of big data characteristics on credit risk assessment</t>
  </si>
  <si>
    <t>INTERNATIONAL JOURNAL OF DATA SCIENCE AND ANALYTICS</t>
  </si>
  <si>
    <t>Big data; Credit risk assessment; Machine learning; Financial inclusion; Data-driven approaches; Alternative data; Real-time processing</t>
  </si>
  <si>
    <t>Credit risk assessment is critical for financial institutions' stability and profitability. Traditional methods struggle to assess borrowers with limited credit history or non-traditional income due to insufficient data and outdated models. Big data analytics, characterized by the 5Vs (Volume, Variety, Velocity, Veracity, and Value), offers a transformative solution. This study reviews 50 papers published between 2019 and 2025, demonstrating that leveraging large volumes of diverse data sources (Volume and Variety) with real-time processing (Velocity) and accurate data (Veracity) significantly enhances prediction and financial inclusion (Value). We found that big data reduces biases, refines risk profiles, and provides actionable insights, addressing the limitations of traditional models. The study also analyzes the interconnectedness of big data components, including data sources, infrastructure, and the 5Vs, emphasizing the challenges and opportunities. The paper concludes with recommendations for organizations of different sizes on implementing big data for credit risk assessment, highlighting a phased approach for adoption.</t>
  </si>
  <si>
    <t>[Karami, Amin; Igbokwe, Chukwuemeka] Univ East London UEL, Comp Sci &amp; Digital Technol, Univ Way, London E16 2RD, England</t>
  </si>
  <si>
    <t>Karami, A (corresponding author), Univ East London UEL, Comp Sci &amp; Digital Technol, Univ Way, London E16 2RD, England.</t>
  </si>
  <si>
    <t>a.karami@uel.ac.uk; chukwuemekaigbokwe80@gmail.com</t>
  </si>
  <si>
    <t>Karami, Amin/N-4507-2017</t>
  </si>
  <si>
    <t>2364-415X</t>
  </si>
  <si>
    <t>2364-4168</t>
  </si>
  <si>
    <t>INT J DATA SCI ANAL</t>
  </si>
  <si>
    <t>Int. J, Data Sci. Anal.</t>
  </si>
  <si>
    <t>10.1007/s41060-025-00753-8</t>
  </si>
  <si>
    <t>7UF2Y</t>
  </si>
  <si>
    <t>WOS:001447541400001</t>
  </si>
  <si>
    <t>Qamruzzaman, M; Wei, JG</t>
  </si>
  <si>
    <t>Qamruzzaman, Md; Wei, Jianguo</t>
  </si>
  <si>
    <t>Financial Innovation and Financial Inclusion Nexus in South Asian Countries: Evidence from Symmetric and Asymmetric Panel Investigation</t>
  </si>
  <si>
    <t>financial innovation; financial inclusion; symmetry; asymmetry; ganger-causality</t>
  </si>
  <si>
    <t>UNIT-ROOT TESTS; ECONOMIC-GROWTH; HETEROGENEOUS PANELS; MODEL; CAUSALITY; COINTEGRATION; SPECIFICATION; DETERMINANTS; REMITTANCES; CONSUMPTION</t>
  </si>
  <si>
    <t>This paper examines the nexus between financial inclusion and financial innovation while incorporating financial development and remittance inflows in the case of six South Asian countries-Bangladesh, India, Pakistan, Nepal, Bhutan, and Srilanka-by employing the panel autoregressive distributed lagged model under a linear and nonlinear framework using monthly data over the period 1990M1-2018M12. Further, a Granger-causality test with System GMM specification was performed for assessing directional causality. The study findings from Panel ARDL confirmed the positive association between financial innovation and financial inclusion, which was observed both in the long run and short-run. Considering the nonlinearity in the estimation, the standard Wald test confirms the existence of an asymmetric relationship both in the short-run and in long run horizon regarding causality test results. The study findings support the feedback hypothesis that the presence of bidirectional causality between the financial innovation and financial inclusion is both in the short-run and long run. Since the study findings established a critical relationship between financial innovation and financial inclusion, therefore effective policy guidelines are suggested so that the contribution from financial inclusion and financial innovation can assist in developing a vibrant financial sector.</t>
  </si>
  <si>
    <t>[Qamruzzaman, Md] United Int Univ, Sch Business &amp; Econ, Dhaka 1207, Bangladesh; [Wei, Jianguo] Wuhan Univ Technol, Sch Econ, Wuhan 430070, Hubei, Peoples R China</t>
  </si>
  <si>
    <t>United International University (UIU); Wuhan University of Technology</t>
  </si>
  <si>
    <t>Qamruzzaman, M (corresponding author), United Int Univ, Sch Business &amp; Econ, Dhaka 1207, Bangladesh.</t>
  </si>
  <si>
    <t>zaman_wut16@yahoo.com; weijg@whut.edu.cn</t>
  </si>
  <si>
    <t>, Qamruzzaman/G-1194-2017</t>
  </si>
  <si>
    <t>, Qamruzzaman/0000-0002-0854-2600</t>
  </si>
  <si>
    <t>10.3390/ijfs7040061</t>
  </si>
  <si>
    <t>KA1UA</t>
  </si>
  <si>
    <t>WOS:000505583100005</t>
  </si>
  <si>
    <t>García-Santillán, A; Escalera-Chávez, ME; Santana, JC</t>
  </si>
  <si>
    <t>Garcia-Santillan, Arturo; Escalera-Chavez, Milka Elena; Santana, Josefina C.</t>
  </si>
  <si>
    <t>Exploring resilience: a Bayesian study of psychological and financial factors across gender</t>
  </si>
  <si>
    <t>Psychological resilience; financial resilience; financial health; Bayesian analysis; gender; Finance; Adult Education and Lifelong Learning; Gender Studies-Soc Sci</t>
  </si>
  <si>
    <t>PSYCHOPATHOLOGY; COMPETENCE; CHILDREN; STRESS</t>
  </si>
  <si>
    <t>The study aims to demonstrate gender differences in financial health indicators, assessed through perceptions, lived experiences, and actions to deal with financial crises. The scale used is a composite instrument that includes the eight financial health indicators from BBVA and the Center for Financial Services Innovation (CFSI), together with a scale designed to measure lived experiences and actions to manage financial crises. The sample consisted of 951 participants, 394 (41.4%) men, 504 (53.0%) women, and 53 (5.6%) LGBTQ+. Bayesian analysis indicates that perceptions, lived experiences, and actions in managing economic crises do not differ significantly between genders. The study suggests no significant differences in financial resilience between men, women, and LGBTQ+ people. Actions to cope with economic crises also indicate that resilience does not vary significantly by gender. Despite the absence of gender differences in financial perceptions and experiences, it is inferred that participants possess an acceptable level of financial knowledge, which helps them manage unforeseen expenses and reduce dependence on loans. Financial education is a key factor in strengthening resilience and promoting financial inclusion, which is essential, especially in diverse socioeconomic contexts. The findings suggest that financial inclusion may improve household resilience, particularly in rural areas.</t>
  </si>
  <si>
    <t>[Garcia-Santillan, Arturo] Cristobal Colon Univ, UCC Business Sch, Tecnol Nacl Mexico, Sede ITSM, Veracruz, Mexico; [Escalera-Chavez, Milka Elena] Univ Autonoma San Luis Potosi, San Luis Potosi, Mexico; [Santana, Josefina C.] Univ Panamer, Zapopan, Jalisco, Mexico</t>
  </si>
  <si>
    <t>Universidad Autonoma de San Luis Potosi; Universidad Panamericana - Ciudad de Mexico; Universidad Panamericana - Guadalajara</t>
  </si>
  <si>
    <t>Santana, JC (corresponding author), Univ Panamer, Zapopan, Jalisco, Mexico.</t>
  </si>
  <si>
    <t>jsantana@up.edu.mx</t>
  </si>
  <si>
    <t>Chávez, MILKA/X-3533-2019; Santana, Josefina C/K-2277-2017; García-Santillán, Arturo/M-8719-2016</t>
  </si>
  <si>
    <t>Santana, Josefina C/0000-0001-7923-5088; García-Santillán, Arturo/0000-0001-7284-5959</t>
  </si>
  <si>
    <t>10.1080/23322039.2024.2431544</t>
  </si>
  <si>
    <t>N4X3X</t>
  </si>
  <si>
    <t>WOS:001364384200001</t>
  </si>
  <si>
    <t>Harvey, M; Robb, CA; Peterson, CL</t>
  </si>
  <si>
    <t>Harvey, Melody; Robb, Cliff A.; Peterson, Christopher L.</t>
  </si>
  <si>
    <t>Law and order? Associations between payday lending prohibition and alternative financial services use by degree of enforcement</t>
  </si>
  <si>
    <t>consumer finance; consumer protection; financial regulation; payday loans; public policy</t>
  </si>
  <si>
    <t>Sixteen jurisdictions in the United States prohibit payday lending through stringent usury laws or well-established nonprofitable 36% interest rate caps. Yet over one in 10 consumers residing in these jurisdictions borrowed payday loans in the past 5 years. This raises questions about actual policy implementation and enforcement. We employ data from the 2018 National Financial Capability Study to investigate if associations between payday lending prohibitions and payday borrowing differ by degree of enforcement. We find that nuances in degree of enforcement among restrictive states are not associated with payday borrowing likelihoods. However, these nuances appear when examining payday borrowing frequency, particularly when controlling for consumers' financial circumstances and when conditioning on alternative financial services consumers. We consistently note the highest borrowing behaviors for states sans regulation. Policymakers may consider strengthening enforcement in cases where the primary goal is preventing or reducing payday borrowing.</t>
  </si>
  <si>
    <t>[Harvey, Melody; Robb, Cliff A.] Univ Wisconsin Madison, Dept Consumer Sci, 1300 Linden Dr, Madison, WI 53706 USA; [Peterson, Christopher L.] Univ Utah, Coll Law, Salt Lake City, UT USA</t>
  </si>
  <si>
    <t>University of Wisconsin System; University of Wisconsin Madison; Utah System of Higher Education; University of Utah</t>
  </si>
  <si>
    <t>Robb, CA (corresponding author), Univ Wisconsin Madison, Dept Consumer Sci, 1300 Linden Dr, Madison, WI 53706 USA.</t>
  </si>
  <si>
    <t>carobb@wisc.edu</t>
  </si>
  <si>
    <t>Peterson, Christopher/0000-0003-4844-0649; Harvey, Melody/0000-0003-3984-0501; Robb, Clifford/0000-0002-6098-7578</t>
  </si>
  <si>
    <t>10.1111/joca.12583</t>
  </si>
  <si>
    <t>TY1W3</t>
  </si>
  <si>
    <t>WOS:001207693700001</t>
  </si>
  <si>
    <t>Zhang, YL; He, XB; Liu, JK</t>
  </si>
  <si>
    <t>Zhang, Yunliang; He, Xiaobin; Liu, Jiankun</t>
  </si>
  <si>
    <t>Migration experience and risky financial assets investments of county households: evidence from China</t>
  </si>
  <si>
    <t>JOURNAL OF CHINESE SOCIOLOGY</t>
  </si>
  <si>
    <t>Migration experience; Financial assets investment; Housing inequality; Financial concept; Social class</t>
  </si>
  <si>
    <t>STOCK-MARKET PARTICIPATION; PORTFOLIO CHOICE EVIDENCE; EDUCATION; LITERACY; PERCEPTION; GENDER; HEALTH; PERFORMANCE; INTEGRATION; INEQUALITY</t>
  </si>
  <si>
    <t>Enhancing the support for inclusive finance in county economies is crucial in achieving the strategic goal of building financial power. Drawing upon the theoretical lens of county-level inclusive financial accessibility, this study examines the effect of the migration experience (ME) of county socialites on their risky financial assets investment (FAI) and the underlying mechanisms. We utilize data sourced from the County Consumption Survey, a nationwide effort by the Department of Sociology of Tsinghua University and the 58 Tongzhen Research Group. Our findings reveal that the ME of county socialites significantly boosts their likelihood of engaging in financial markets. Furthermore, housing inequality factors, such as housing property rights and housing loans, play a moderating role in the impact of individual ME on their FAI. Additionally, the financial concept has a masking effect rather than a mediating effect on the path of the ME affecting FAI. Notably, the promotion effect of ME displays heterogeneity. Specifically, ME has a stronger positive effect on FAI among college-educated groups, members of the Communist Party of China (CPC), and urban hukou residents than on those who have not completed college education, non-CPC members and rural hukou households. In light of these findings, we propose policy recommendations to optimize the distribution of financial services, adjust the housing equality policy, and enhance inclusive financial literacy.</t>
  </si>
  <si>
    <t>[Zhang, Yunliang] Southwestern Univ Finance &amp; Econ, Res Inst Social Dev, Chengdu 611130, Peoples R China; [He, Xiaobin] Tsinghua Univ, Dept Sociol, Beijing 100084, Peoples R China; [Liu, Jiankun] Harbin Engn Univ, Dept Sociol, Harbin 150001, Peoples R China</t>
  </si>
  <si>
    <t>Southwestern University of Finance &amp; Economics - China; Tsinghua University; Harbin Engineering University</t>
  </si>
  <si>
    <t>He, XB (corresponding author), Tsinghua Univ, Dept Sociol, Beijing 100084, Peoples R China.</t>
  </si>
  <si>
    <t>xiaobinhe@tsinghua.edu.cn</t>
  </si>
  <si>
    <t>Yunliang, Zhang/IUO-1943-2023</t>
  </si>
  <si>
    <t>Yunliang, Zhang/0000-0002-2857-0203</t>
  </si>
  <si>
    <t>Project of the National Social Science Fund of China</t>
  </si>
  <si>
    <t>We appreciate the anonymous reviewers for their comments.</t>
  </si>
  <si>
    <t>2198-2635</t>
  </si>
  <si>
    <t>J CHINESE SOCIOL</t>
  </si>
  <si>
    <t>J. Chin. Sociol</t>
  </si>
  <si>
    <t>10.1186/s40711-024-00225-9</t>
  </si>
  <si>
    <t>L4W3T</t>
  </si>
  <si>
    <t>WOS:001350732600001</t>
  </si>
  <si>
    <t>Zang, DA; Paudel, KP; Liu, Y; Liu, D; He, YT</t>
  </si>
  <si>
    <t>Zang, DunGang; Paudel, Krishna P.; Liu, Yan; Liu, Dan; He, Yating</t>
  </si>
  <si>
    <t>Financial decision-making behaviors of Ethnic Tibetan Households based on mental accounting</t>
  </si>
  <si>
    <t>Mental accounting; Rural financing behaviors; Ethnic Tibetan households; Religious belief</t>
  </si>
  <si>
    <t>REPAYMENT PERFORMANCE; CREDIT PROGRAMS; MICROFINANCE; BANGLADESH; PREFERENCES; POVERTY</t>
  </si>
  <si>
    <t>Ethnic Tibetans (ETs) typically reside in the remote plateaus of China and possess strong cultural and spiritual values. Their financial decision-making is influenced by economic and physical factors, unique culture, social norms, and psychological motivators. We conducted an in-person survey of 480 randomly selected ET households across four provinces in rural China. The survey data was analyzed using three different econometric models-probit, ordered probit, and ranked ordered logit-to examine the choice of borrowing from formal or informal credit sources, the number of sources borrowed from, and repayment priority. Our findings indicate that mental accounting plays a significant role in the financial decision-making process of ET households. Additionally, we find that the informal credit source is strongly associated with the financial decisions of ET households. The majority of loans from formal financial institutions are used to meet daily needs, as opposed to purchasing productive inputs. Our results also suggest that strong social relationships and religious beliefs prevent households from defaulting, and that loans from formal financial sources receive repayment priority. China would benefit from promoting inclusive finance and encouraging the adoption of improved agricultural practices to support the prosperity of ET and other minority communities.</t>
  </si>
  <si>
    <t>[Zang, DunGang; Liu, Yan; Liu, Dan] Sichuan Agr Univ, 211 Huimin Rd, Chengdu 611130, Sichuan, Peoples R China; [Paudel, Krishna P.] USDA Econ Res Serv, Kansas City, MO USA; [He, Yating] Renmin Univ, Beijing, Peoples R China</t>
  </si>
  <si>
    <t>Sichuan Agricultural University; Renmin University of China</t>
  </si>
  <si>
    <t>Liu, Y (corresponding author), Sichuan Agr Univ, 211 Huimin Rd, Chengdu 611130, Sichuan, Peoples R China.</t>
  </si>
  <si>
    <t>Paudel, Krishna/AAE-6071-2021</t>
  </si>
  <si>
    <t>Paudel, Krishna/0000-0002-9780-5520</t>
  </si>
  <si>
    <t>The work has been financially supported by the Major Program of the National Social Science Foundation of China (No.18BMZ126).</t>
  </si>
  <si>
    <t>10.1186/s40854-023-00487-1</t>
  </si>
  <si>
    <t>F3SU2</t>
  </si>
  <si>
    <t>WOS:000981584300002</t>
  </si>
  <si>
    <t>Bhagat, A; Roderick, L</t>
  </si>
  <si>
    <t>Bhagat, Ali; Roderick, Leanne</t>
  </si>
  <si>
    <t>Banking on refugees: Racialized expropriation in the fintech era</t>
  </si>
  <si>
    <t>Fintech; refugees; migration; neoliberalism; race; Kenya</t>
  </si>
  <si>
    <t>Fintech and digital financial services involve the delivery of financial products and services through technology. Fintech companies are part of a financial lending infrastructure claiming to offer an alternative to 'big banks', and are often touted as digitally disruptive technology that is rapidly reshaping financial inclusion agendas and improving the lives of the poor. For many refugees living in camps and informal settlements in Kenya, fintech is often the only viable option for credit or microfinance aid. While refugees are often excluded from credit, the spread of fintech as a solution for direct peer-to-peer aid transfers from the Global North to refugees has resulted in the uneven distribution of credit access and livelihood support. Through fintech, private citizens and groups in the Global North are able to disrupt and subvert refugee assistance, deeming some worthy of aid while others face ongoing exclusion. While fintech remains a hopeful source of greater efficiency and empowerment, the direct transfer of aid money masks profit and corporate power by only extending assistance to those refugees who are appropriately entrepreneurial, that is to say those who will start small businesses and pay back their loans. This paper argues that processes of financial inclusion carried out by and through fintech are still distinguished largely by exclusion. In so doing, this paper highlights a theoretical position that refugee governance is embedded in racial forms of capital accumulation and expropriation.</t>
  </si>
  <si>
    <t>[Bhagat, Ali] Univ Manchester, Dept Polit, Manchester, Lancs, England; [Roderick, Leanne] Simon Fraser Univ, Urban Studies Dept, 8888 Univ Dr, Burnaby, BC V5A 1S6, Canada; [Roderick, Leanne] Simon Fraser Univ, Geog Dept, 8888 Univ Dr, Burnaby, BC V5A 1S6, Canada</t>
  </si>
  <si>
    <t>University of Manchester; Simon Fraser University; Simon Fraser University</t>
  </si>
  <si>
    <t>Roderick, L (corresponding author), Simon Fraser Univ, Urban Studies Dept, 8888 Univ Dr, Burnaby, BC V5A 1S6, Canada.;Roderick, L (corresponding author), Simon Fraser Univ, Geog Dept, 8888 Univ Dr, Burnaby, BC V5A 1S6, Canada.</t>
  </si>
  <si>
    <t>leanne_roderick@sfu.ca</t>
  </si>
  <si>
    <t>Bhagat, Ali/AGQ-4317-2022</t>
  </si>
  <si>
    <t>Bhagat, Ali/0000-0001-9329-1019</t>
  </si>
  <si>
    <t>W.C. Good Memorial Fellowship; IDRC International Doctoral Research Award</t>
  </si>
  <si>
    <t>W.C. Good Memorial Fellowship; IDRC International Doctoral Research Award(International Development Research Centre - IDRC)</t>
  </si>
  <si>
    <t>The author(s) disclosed receipt of the following financial support for the research, authorship and/or publication of this article: This research was partially completed through generous funding from the W.C. Good Memorial Fellowship and the IDRC International Doctoral Research Award.</t>
  </si>
  <si>
    <t>0308518X20904070</t>
  </si>
  <si>
    <t>10.1177/0308518X20904070</t>
  </si>
  <si>
    <t>NX6OZ</t>
  </si>
  <si>
    <t>WOS:000512249000001</t>
  </si>
  <si>
    <t>Sukhetska, K; Novak, I; Movchaniuk, A; Gomeniuk, M; Pitel, N</t>
  </si>
  <si>
    <t>Sukhetska, Kristina; Novak, Inna; Movchaniuk, Anastasiia; Gomeniuk, Maryna; Pitel, Nina</t>
  </si>
  <si>
    <t>BLOCKCHAIN TECHNOLOGIES AS A DRIVER OF TRANSFORMATION IN THE AGRICULTURAL SECTOR</t>
  </si>
  <si>
    <t>AGRICULTURAL AND RESOURCE ECONOMICS-INTERNATIONAL SCIENTIFIC E-JOURNAL</t>
  </si>
  <si>
    <t>blockchain technology; agricultural sector; innovation; transformation; logistics; management</t>
  </si>
  <si>
    <t>Purpose. The main objective of the study is to comprehensively examine the essential characteristics of blockchain technologies and their potential in the agricultural sector, in particular through an analysis and systematising of the prerequisites, areas of practical application and key challenges arising in the process of their implementation. Methodology / approach. To conduct a comprehensive analysis, a combination of general scientific and specialised methods was used, including analysis, synthesis, case studies and bibliometric mapping (VOSviewer). The RStudio software environment was used to process statistical data and create graphs. Results. The study emphasises the urgent need for innovative solutions to enhance transparency, efficiency, and resilience in agricultural operations. Key findings highlight the significant contribution of blockchain technologies to supply chain traceability, financial transactions, crop insurance, and data management. The decentralised nature of the technology ensures transparency and reduces fraud, thereby strengthening consumer trust and promoting sustainable agricultural practices. The analysis of global blockchain applications underscores its transformative impact across various sectors, particularly in agriculture. The study also identifies challenges such as high implementation costs and regulatory uncertainty, emphasising the need for a supportive environment. Originality / scientific novelty. The distinctive feature of this study is the combination of bibliometric analysis of scientific sources with empirical study of real blockchain initiatives, as well as the use of data processing tools in RStudio. This approach allowed us not only to identify key scientific trends but also to outline practical mechanisms for implementing blockchain technologies in the agricultural sector. The novelty lies in the comprehensive consideration of blockchain as a digital innovation capable of systematically responding to the structural challenges of the industry, including supply chain disruptions, limited financial inclusion, and low data transparency. Practical value/implications. The study provides specific recommendations for the practical use of blockchain technologies in agriculture. Based on comparative analysis of 10 countries and Ukrainian case studies (AgriChain, AgroGloryTime, AgroBon), the research highlights mechanisms for improving supply chain traceability, reducing logistics costs, and expanding access to financing through smart contracts. The findings may be applied by agribusiness managers to optimise logistics and quality control, by policymakers to design supportive digitalisation strategies, and by investors to assess innovation potential in the agricultural sector. Implementation of these recommendations will enhance transparency, strengthen resilience under crisis conditions, and create equal opportunities for both small and large agricultural producers.</t>
  </si>
  <si>
    <t>[Sukhetska, Kristina; Novak, Inna; Movchaniuk, Anastasiia; Gomeniuk, Maryna; Pitel, Nina] Uman Natl Univ, Uman, Ukraine</t>
  </si>
  <si>
    <t>Sukhetska, K (corresponding author), Uman Natl Univ, Uman, Ukraine.</t>
  </si>
  <si>
    <t>Pitel, Nina/I-3007-2018; Movchaniuk, Anastasiia/V-8625-2018</t>
  </si>
  <si>
    <t>INST EASTERN EUROPEAN RESEARCH &amp; CONSULTING</t>
  </si>
  <si>
    <t>KHARKIV</t>
  </si>
  <si>
    <t>EDUC CAMPUS KNAU, KHARKIV, UKRAINE</t>
  </si>
  <si>
    <t>2414-584X</t>
  </si>
  <si>
    <t>AGR RESOUR EC INT SC</t>
  </si>
  <si>
    <t>Agric. Resour. Econ.: Int. Sci. E-J</t>
  </si>
  <si>
    <t>10.51599/are.2025.11.03.06</t>
  </si>
  <si>
    <t>8VG8A</t>
  </si>
  <si>
    <t>WOS:001598169300001</t>
  </si>
  <si>
    <t>Kromidha, E</t>
  </si>
  <si>
    <t>Kromidha, Endrit</t>
  </si>
  <si>
    <t>Identity mediation strategies for digital inclusion in entrepreneurial finance</t>
  </si>
  <si>
    <t>Identity; Reputation; Access to finance; Digital platforms; Identity-based view; Social identity theory</t>
  </si>
  <si>
    <t>RESOURCE-BASED VIEW; SOCIAL IDENTITY; ORGANIZATIONAL IDENTITY; IDENTIFICATION; COMPASSION; REPUTATION; CONSTRUCTION; MICROFINANCE; OPPORTUNITY; INTERPLAY</t>
  </si>
  <si>
    <t>Digital platforms and innovations have greatly improved the mechanisms whereby the resources needed to start a business can be obtained; yet many at the base of the pyramid still have limited access to them because they remain disconnected. While digital platforms can help to connect the possessors of resources with the entrepreneurs who need them, the mediating processes that those who are not directly represented in such digital spaces need to undergo deserve further attention. This study builds on social identity theory and the identitybased view by considering identity as a relational and resource construct and discussing three identity mediation processes and strategies: connection-, familiarity-, and credibility-building. The evidence for this study was sourced from Rang De, India's first digital micro credit platform. Understanding the identity mediation whereby disconnected borrowers seeking finance can access resources provides important insights to the emerging field of digital social innovation for business and development.</t>
  </si>
  <si>
    <t>[Kromidha, Endrit] Univ Birmingham, Birmingham Business Sch, Birmingham B15 2TT, England</t>
  </si>
  <si>
    <t>University of Birmingham</t>
  </si>
  <si>
    <t>Kromidha, E (corresponding author), Univ Birmingham, Birmingham Business Sch, Birmingham B15 2TT, England.</t>
  </si>
  <si>
    <t>e.kromidha@bham.ac.uk</t>
  </si>
  <si>
    <t>Kromidha, Enit/AAJ-3567-2020</t>
  </si>
  <si>
    <t>10.1016/j.ijinfomgt.2023.102658</t>
  </si>
  <si>
    <t>Q7WY6</t>
  </si>
  <si>
    <t>WOS:001059603200001</t>
  </si>
  <si>
    <t>Jun, W; Ran, XQ</t>
  </si>
  <si>
    <t>Jun, Wang; Ran, Xin Qian</t>
  </si>
  <si>
    <t>Dynamics in digital finance and its impact on SME financing</t>
  </si>
  <si>
    <t>Digital transformed finance; Financing constraints; Multi-agent simulation; COVID-19</t>
  </si>
  <si>
    <t>SUPPLY NETWORKS; EVOLUTION; MARKETS</t>
  </si>
  <si>
    <t>Employing the Complex Adaptive System (CAS) framework, we analyzed the evolution of digitally transformed financial networks, underscoring the pivotal role of adaptation and learning among network participants. Government funds supporting banks and platforms in digital transformation prove more effective than direct subsidies to SMEs. Achieving sustainable development requires an optimal balance between investment and efficiency due to the impact of digitalization costs on constructing digital financial networks. The study advocates for a longterm microcredit financing mode tailored to SMEs, aiding them in maintaining financial stability. Additionally, intermediary nodes within the network, such as credit rating companies, can facilitate information sharing, thereby fostering the growth of digital financial networks. This heightened information sharing enhances the payoff for each subject and reduces financing constraints. Furthermore, the study establishes that digital financial networks can alleviate the repercussions of unforeseen events, such as the COVID-19 pandemic. Finally, empirical analysis of the Beijing University Inclusive Finance Index data and financial records of Chinese SMEs listed on the New Third Board from 2016 to 2018 confirms that digital finance can alleviate the financing constraints of SMEs. In summary, the progression of digital financial networks is intricate, necessitating a thorough comprehension of diverse factors. The government is encouraged to guide the enhancement of relevant systems and regulations, bolstering supervision, and facilitating the high-quality development of digital finance networks.</t>
  </si>
  <si>
    <t>[Jun, Wang; Ran, Xin Qian] Sichuan Univ, Business Sch, Chengdu, Sichuan, Peoples R China; [Jun, Wang] Sichuan Key Lab Technol Finance &amp; Math Finance, Chengdu, Peoples R China; [Jun, Wang] Sichuan Univ, Business Sch, Financial Secur Res Ctr, Chengdu, Peoples R China</t>
  </si>
  <si>
    <t>Sichuan University; Sichuan University</t>
  </si>
  <si>
    <t>Ran, XQ (corresponding author), Sichuan Univ, Business Sch, Chengdu, Sichuan, Peoples R China.</t>
  </si>
  <si>
    <t>1579647575@qq.com</t>
  </si>
  <si>
    <t>, Ran Xin Qian/0009-0003-3397-6691</t>
  </si>
  <si>
    <t>Sichuan Science and Technology Plan Project; Humanities and Social Sciences Research project of Ministry of Education of China</t>
  </si>
  <si>
    <t>The authors declare the following financial interests/personal relationships which may be considered as potential competing in- terests:Wang Jun reports financial support was provided by Sichuan Science and Technology Plan Project. Wang Jun reports financial support was provided by Humanities and Social Sciences Research project of Ministry of Education of China. If there are other authors, they declare that they have no known competing financial interests or personal relationships that could have appeared to influence the work reported in this paper.</t>
  </si>
  <si>
    <t>e30586</t>
  </si>
  <si>
    <t>10.1016/j.heliyon.2024.e30586</t>
  </si>
  <si>
    <t>TE0D1</t>
  </si>
  <si>
    <t>WOS:001239458600001</t>
  </si>
  <si>
    <t>Malik, S; Maheshwari, GC; Singh, A</t>
  </si>
  <si>
    <t>Malik, Shruti; Maheshwari, Girish Chandra; Singh, Archana</t>
  </si>
  <si>
    <t>Formal vs informal demand for credit by women in urban India: a comparative study in slums of Delhi and Mumbai</t>
  </si>
  <si>
    <t>Financial inclusion</t>
  </si>
  <si>
    <t>FINANCIAL INCLUSION; EMPOWERING WOMEN; RURAL CREDIT; MICROFINANCE; GENDER; SAVINGS; ACCESS; IMPACT; POOR; DEBT</t>
  </si>
  <si>
    <t>Purpose Over the period, the role of finance has emerged significant in the socio-economic development of the women. There are two major types of finances, i.e. formal and informal ones. Thus, the purpose of this paper is to investigate first the determinants of the demand for credit and then the demand for these credit sources by women especially in urban slums. Design/methodology/approach In this study, a primary survey was conducted with the help of a structured questionnaire in slums of two major urban cities in India, i.e. Delhi and Mumbai. In total, 450 individuals were interviewed in each city. Findings This paper presents a range of significant socio-economic factors affecting the demand for credit and source of credit by women borrower in Delhi and Mumbai. Despite, the greater emphasis by the government to increase the formal credit utilization, the informal credit is still preferred. Practical implications The outcomes of the study are expectedly useful to various policymakers and banks in encouraging women to opt more for the formal credit. The government can follow the research outcomes to scale up the programmes and schemes targeted for women empowerment in urban slums. Originality/value The study is unique of its kind in doing a comparative analysis in slums of two differently located urban cities with large slum population.</t>
  </si>
  <si>
    <t>[Malik, Shruti; Maheshwari, Girish Chandra; Singh, Archana] Delhi Technol Univ, Delhi Sch Management, Delhi, India</t>
  </si>
  <si>
    <t>Delhi Technological University</t>
  </si>
  <si>
    <t>Malik, S (corresponding author), Delhi Technol Univ, Delhi Sch Management, Delhi, India.</t>
  </si>
  <si>
    <t>shrutimalik.2050@gmail.com; gcmaheshwari2004@yahoo.com; sarchana03@yahoo.co.in</t>
  </si>
  <si>
    <t>MAR 5</t>
  </si>
  <si>
    <t>10.1108/GM-06-2019-0087</t>
  </si>
  <si>
    <t>QS7NK</t>
  </si>
  <si>
    <t>WOS:000568350500001</t>
  </si>
  <si>
    <t>Pal, M; Gupta, H</t>
  </si>
  <si>
    <t>Pal, Mukesh; Gupta, Hemant</t>
  </si>
  <si>
    <t>Sustainable women empowerment at the bottom of the pyramid through credit access</t>
  </si>
  <si>
    <t>Access to credit; Bottom of the pyramid; Financial inclusion; Gender; Logistic regression; Sustainability; Women empowerment</t>
  </si>
  <si>
    <t>FINANCIAL INCLUSION; PARTICIPATION; MICROFINANCE; GENDER; IMPACT</t>
  </si>
  <si>
    <t>Purpose The importance of gender in inclusive economic growth has been a growing area of research. Finance is seen as an efficacious instrument for social inclusion, and sustainable women empowerment (SWE). The lack of credit access often constrains women to scale up. The objective of this study is to examine the attributes influencing the decision of women to access the credit at the bottom of the pyramid (BoP) and the impact of this credit access on social, psychological and economic dimensions of SWE at the BoP in rural India. Design/methodology/approach The threshold theory of decision-making in the form of logistic regression (LR) is applied here to analyze the influence of four determinants, namely individual household level (IHLA), social attributes (SA), economic attributes (EA) and ownership of documents (OD) on women's credit access. Likewise, the same method is applied to study the relationship between credit access and three dimensions of SWE. Findings The results have revealed a statistically significant relationship between credit access and studied four attributes. Subsequently, a positive relationship has been observed between credit access and dimensions of SWE. Originality/value The present study broadly addresses the concern of accessing credit by women at BoP level, which helps the government and policymakers to promote enabling an environment for women entrepreneurship and comprehensive financial policies for the BoP.</t>
  </si>
  <si>
    <t>[Pal, Mukesh] Indukaka Ipcowala Inst Management, Fac Management Studies, Anand, Gujarat, India; [Gupta, Hemant] Alliance Univ, Alliance Sch Business, Bangalore, Karnataka, India</t>
  </si>
  <si>
    <t>Charotar University of Science &amp; Technology - Charusat; Alliance University</t>
  </si>
  <si>
    <t>Gupta, H (corresponding author), Alliance Univ, Alliance Sch Business, Bangalore, Karnataka, India.</t>
  </si>
  <si>
    <t>hemant.bpm13@gmail.com</t>
  </si>
  <si>
    <t>Gupta, Hemant/AAB-3690-2020</t>
  </si>
  <si>
    <t>Gupta, Hemant/0000-0001-9553-6446; Pal, Mukesh/0000-0003-3377-7978</t>
  </si>
  <si>
    <t>10.1108/EDI-02-2022-0028</t>
  </si>
  <si>
    <t>8Q0PN</t>
  </si>
  <si>
    <t>WOS:000849922800001</t>
  </si>
  <si>
    <t>Wan, SC; Lin, H; Gan, WS; Chen, JH; Yu, PS</t>
  </si>
  <si>
    <t>Wan, Shicheng; Lin, Hong; Gan, Wensheng; Chen, Jiahui; Yu, Philip S.</t>
  </si>
  <si>
    <t>Web3: The Next Internet Revolution</t>
  </si>
  <si>
    <t>IEEE INTERNET OF THINGS JOURNAL</t>
  </si>
  <si>
    <t>Blockchain; decentralization; Internet; overview; Web3</t>
  </si>
  <si>
    <t>Since the first appearance of the World Wide Web, individuals have increasingly relied on the Internet for cyber social activities. The second phase of the World Wide Web, known as Web 2.0, has extensively attracted worldwide people who participate in creating and enjoying the virtual realm. Today, the next Internet revolution, Web3, will open new opportunities for conventional social models. The decentralization property of Web3 is capable of breaking the monopoly of Internet corporations. Moreover, Web3 will lead to a paradigm shift from the Web functioning solely as a publishing medium to one that fosters intensive interaction and participation. This shift will profoundly influence the interactions between users and platforms, relationships within production networks, and global economic models. As a result, it is necessary that this article technically, practically, and more broadly take an overview of Web3. This article presents a comprehensive survey of Web3, focusing on current technologies, challenges, opportunities, and outlook. This article first introduces several key technologies underlying Web3. Then, some types of Web3 applications (e.g., blockchain) are illustrated in detail. Blockchain and smart contracts ensure decentralized organizations are less trusted and more truthful than centralized ones. Decentralized finance will be global, and open with financial inclusiveness for unbanked people. This article also discusses the relationship between the Metaverse and Web3, including the differences and similarities between Web 3.0 and Web3. Drawing inspiration from Maslow's hierarchy of needs theory, a novel hierarchy of needs theory within Web3 is proposed. Finally, several worthwhile future research directions of Web3 are discussed.</t>
  </si>
  <si>
    <t>[Wan, Shicheng] South China Univ Technol, Sch Business Adm, Guangzhou 510641, Peoples R China; [Lin, Hong; Gan, Wensheng] Jinan Univ, Coll Cyber Secur, Guangzhou 510632, Peoples R China; [Lin, Hong; Gan, Wensheng] Pazhou Lab, Guangzhou 510330, Peoples R China; [Chen, Jiahui] Guangdong Univ Technol, Dept Comp Sci, Guangzhou 510006, Peoples R China; [Yu, Philip S.] Univ Illinois, Dept Comp Sci, Chicago, IL 60607 USA</t>
  </si>
  <si>
    <t>South China University of Technology; Jinan University; Pazhou Lab; Guangdong University of Technology; University of Illinois System; University of Illinois Chicago; University of Illinois Chicago Hospital</t>
  </si>
  <si>
    <t>Gan, WS (corresponding author), Jinan Univ, Coll Cyber Secur, Guangzhou 510632, Peoples R China.</t>
  </si>
  <si>
    <t>wsgan001@gmail.com</t>
  </si>
  <si>
    <t>Yu, Philip/A-2815-2012; Gan, Wensheng/AAU-1707-2020</t>
  </si>
  <si>
    <t>Yu, Philip/0000-0002-3491-5968; Gan, Wensheng/0000-0002-5781-8116; CHEN, JIAHUI/0000-0001-7128-9778</t>
  </si>
  <si>
    <t>National Natural Science Foundation of China [62272196]; Natural Science Foundation of Guangdong Province [2022A1515011861]; Fundamental Research Funds for the Central Universities of Jinan University [21622416]; Young Scholar Program of Pazhou Lab [PZL2021KF0023]</t>
  </si>
  <si>
    <t>National Natural Science Foundation of China(National Natural Science Foundation of China (NSFC)); Natural Science Foundation of Guangdong Province(National Natural Science Foundation of Guangdong Province); Fundamental Research Funds for the Central Universities of Jinan University; Young Scholar Program of Pazhou Lab</t>
  </si>
  <si>
    <t>This work was supported in part by the National Natural Science Foundation of China under Grant 62272196; in part by the Natural Science Foundation of Guangdong Province under Grant 2022A1515011861; in part by the Fundamental Research Funds for the Central Universities of Jinan University under Grant 21622416; and in part by the Young Scholar Program of Pazhou Lab under Grant PZL2021KF0023.</t>
  </si>
  <si>
    <t>2327-4662</t>
  </si>
  <si>
    <t>IEEE INTERNET THINGS</t>
  </si>
  <si>
    <t>IEEE Internet Things J.</t>
  </si>
  <si>
    <t>10.1109/JIOT.2024.3432116</t>
  </si>
  <si>
    <t>K3H8I</t>
  </si>
  <si>
    <t>WOS:001342828900003</t>
  </si>
  <si>
    <t>Starfinger, M; Jenke, M; Kapp, G</t>
  </si>
  <si>
    <t>Starfinger, M.; Jenke, M.; Kapp, G.</t>
  </si>
  <si>
    <t>Banking' trees as loan collateral: financing approaches for small-scale forest producers in Thailand</t>
  </si>
  <si>
    <t>INTERNATIONAL FORESTRY REVIEW</t>
  </si>
  <si>
    <t>microfinance; tree collateral; Tectona grandis; access to finance; forest mortgage</t>
  </si>
  <si>
    <t>SMALLHOLDER TEAK; EMPIRICAL-ANALYSIS; ZHEJIANG; CREDIT</t>
  </si>
  <si>
    <t>Small-scale forest producers face financial challenges that limit their access to benefits. Using their existing natural assets such as trees as a security to access loans can bridge long gestation periods. In Thailand, such approaches are also referred to as tree collateral. The overall rollout is limited and marked by land tenure constraints as well as high perceived risks. Data acquisition relied on key informant interviews, a review of collateral registry data and related literature. Data analysis relied on loan scenarios contrasting tree collateral-based loans with conventional loans. The financial performance and practical suitability of the loan scenarios were assessed. The land and tree collateral mechanisms dominate the formal tree collateral cases despite obligatory land ownership collateralization. Local mechanisms like the two-step loan emerge as less costly and more context-sensitive options for financing in comparison to the other loan types. Recommendations include relying on prospective stand value with simplified valuation, buyback guarantees from sawmills and securitization through joint debtors.</t>
  </si>
  <si>
    <t>[Starfinger, M.; Kapp, G.] Tech Univ Dresden, Chair Trop &amp; Int Forestry, Inst Int Forestry &amp; Forest Prod, Fac Environm Sci, D-01062 Dresden, Germany; [Jenke, M.] Kasetsart Univ, Fac Forestry, Dept Silviculture, 50 Ngamwongwan Rd, Bangkok 10900, Thailand</t>
  </si>
  <si>
    <t>Technische Universitat Dresden; Kasetsart University</t>
  </si>
  <si>
    <t>Starfinger, M (corresponding author), Tech Univ Dresden, Chair Trop &amp; Int Forestry, Inst Int Forestry &amp; Forest Prod, Fac Environm Sci, D-01062 Dresden, Germany.</t>
  </si>
  <si>
    <t>marcelstarfinger@gmail.com</t>
  </si>
  <si>
    <t>FLOURISH project under the International Climate Initiative (IKI) [18_III_085]</t>
  </si>
  <si>
    <t>FLOURISH project under the International Climate Initiative (IKI)</t>
  </si>
  <si>
    <t>Special thanks go to Apichart Sritakae, Bernhard Mohns and Simon Benedikter for their continuous support. We would like to thank the reviewers for their constructive feedback. Specific local support was provided by Aor Pranchai and Sapit Diloksumpun. The authors greatly appreciate the efforts of the anonymous key informants as well as the various small-scale producers. Further thanks go to the Department of Business Development Thailand for providing detailed loan data. This work was supported through the FLOURISH project [18_III_085_Southeast Asia_A_FLR Partnerships] under the International Climate Initiative (IKI) . The funding entity was not involved in this research.</t>
  </si>
  <si>
    <t>COMMONWEALTH FORESTRY ASSOC</t>
  </si>
  <si>
    <t>CRAVEN ARRMS</t>
  </si>
  <si>
    <t>CRIB, DINCHOPE, CRAVEN ARRMS SY7 9JJ, SHROPSHIRE, ENGLAND</t>
  </si>
  <si>
    <t>1465-5489</t>
  </si>
  <si>
    <t>2053-7778</t>
  </si>
  <si>
    <t>INT FOREST REV</t>
  </si>
  <si>
    <t>Int. For. Rev.</t>
  </si>
  <si>
    <t>Forestry</t>
  </si>
  <si>
    <t>7US6Q</t>
  </si>
  <si>
    <t>WOS:001580121000007</t>
  </si>
  <si>
    <t>Kordela, D; Kicia, M</t>
  </si>
  <si>
    <t>Kordela, Dominika; Kicia, Mariusz</t>
  </si>
  <si>
    <t>Greenhorns or old stagers: Is equity crowdfunding in Poland inclusive?</t>
  </si>
  <si>
    <t>INTERNATIONAL ENTREPRENEURSHIP REVIEW</t>
  </si>
  <si>
    <t>entrepreneurship; equity crowdfunding; financial inclusion; crowdfunding campaign success; equity financing</t>
  </si>
  <si>
    <t>FINANCIAL INCLUSION; SUCCESS; ENTREPRENEURSHIP; MICROFINANCE; GEOGRAPHY</t>
  </si>
  <si>
    <t>Objective: The article aims to indicate whether equity crowdfunding (ECF) in Poland is inclusive and whether the attributes of inclusivity influence the campaign's success. Research Design &amp; Methods: The research covers all ECF campaigns in Poland from 2012-2022. The data collection includes details on equity offers, the companies' top management teams (TMT) structure, and crowdfunding campaign results. We implemented the ANOVA analysis to verify the hypotheses, and further, based on the data obtained, we built the regression models. Findings: Most of the surveyed entities are characterized by a lack of inclusive attributes. The dominant part of entities founded by ECF are companies located in Warsaw or the capitals of voivodships, managed by men aged between 31-59. Implications &amp; Recommendations: The results show that there is no reason to believe that issuers who are gender inclusive will be more successful in ECF. Moreover, there is no evidence to reject the claim that the inclusiveness of the issuer measured by the age of the CEO can affect the success of the issue. However, the location of the issuer can affect the success of an ECF offer. Contribution &amp; Value Added: Previous research on inclusivity has been conducted mainly in countries with high ethnic diversity. This research identifies the attributes of inclusiveness appropriate for ethnically homogeneous countries. Moreover, we conducted a comprehensive analysis of companies active in the ECF market in Poland.</t>
  </si>
  <si>
    <t>[Kordela, Dominika] Univ Szczecin, Inst Econ &amp; Finance, Mickiewicza 64, PL-70453 Szczecin, Poland; [Kicia, Mariusz] Univ Maria Curie Sklodowska, Inst Econ &amp; Finance, Dept Banking &amp; Financial Markets, Pl Marii Curie Sktodowskiej 5, PL-20031 Lublin, Poland</t>
  </si>
  <si>
    <t>University of Szczecin; Maria Curie-Sklodowska University</t>
  </si>
  <si>
    <t>Kordela, D (corresponding author), Univ Szczecin, Inst Econ &amp; Finance, Mickiewicza 64, PL-70453 Szczecin, Poland.</t>
  </si>
  <si>
    <t>dominika.kordela@usz.edu.pl; mariusz.kicia@mail.umcs.pl</t>
  </si>
  <si>
    <t>; Kordela, Dominika/AIB-1740-2022</t>
  </si>
  <si>
    <t>Kicia, Mariusz/0000-0002-0650-0204; Kordela, Dominika/0000-0002-4826-1352</t>
  </si>
  <si>
    <t>Krakow Univ Economics</t>
  </si>
  <si>
    <t>Krakow</t>
  </si>
  <si>
    <t>ul. Rakowicka 27, Krakow, POLAND</t>
  </si>
  <si>
    <t>2658-1841</t>
  </si>
  <si>
    <t>INT ENTREP REV</t>
  </si>
  <si>
    <t>Int. Entrep. Rev.</t>
  </si>
  <si>
    <t>10.15678/IER.2025.1103.07</t>
  </si>
  <si>
    <t>W1710</t>
  </si>
  <si>
    <t>WOS:001639333500007</t>
  </si>
  <si>
    <t>Bravo, P</t>
  </si>
  <si>
    <t>Bravo, Pedro</t>
  </si>
  <si>
    <t>WTO, Women ' s Empowerment and Financial Inclusion</t>
  </si>
  <si>
    <t>GLOBAL TRADE AND CUSTOMS JOURNAL</t>
  </si>
  <si>
    <t>Financial Inclusion; World Trade Organization; Women ' s Empowerment; Gender; Trade in Services; Financial Services; WTO Ministerial Conference; Committee on Trade in Financial Services; Remittances; Gender Equality</t>
  </si>
  <si>
    <t>Promoting financial inclusion for women is a goal supported by many multilateral organizations and policymakers globally, and the WTO is no exception. This article argues that financial inclusion is crucial to empower women economically and socially. It emphasizes historical barriers that women have faced in accessing financial services. In addition, it underlines the importance of incorporating women's financial inclusion into the World Trade Organization (WTO) and advocates for leveraging existing structures within the WTO, such as the Council for Trade in Services and the Committee on Trade in Financial Services, to advance this issue. The objective is to facilitate the exchange of experiences and best practices among Members in a structured manner, addressing the regulatory framework of financial institutions and learning from each other, rather than creating new rights or obligations or launching joint initiatives.</t>
  </si>
  <si>
    <t>[Bravo, Pedro] Permanent Mission Peru United Nations &amp; other Inte, Geneva, Switzerland</t>
  </si>
  <si>
    <t>Bravo, P (corresponding author), Permanent Mission Peru United Nations &amp; other Inte, Geneva, Switzerland.</t>
  </si>
  <si>
    <t>pbravo@onuperuginebra.ch</t>
  </si>
  <si>
    <t>KLUWER LAW INT</t>
  </si>
  <si>
    <t>ALPHEN AAN DEN RIJN</t>
  </si>
  <si>
    <t>ZUIDPOOLSINGEL 2, PO BOX 316, 2400 AH ALPHEN AAN DEN RIJN, NETHERLANDS</t>
  </si>
  <si>
    <t>1569-755X</t>
  </si>
  <si>
    <t>1875-6468</t>
  </si>
  <si>
    <t>GLOB TRADE CUST J</t>
  </si>
  <si>
    <t>Glob. Trade Cust. J.</t>
  </si>
  <si>
    <t>SU8V2</t>
  </si>
  <si>
    <t>WOS:001237060700003</t>
  </si>
  <si>
    <t>Liu, HY; Sinha, A; Destek, MA; Alharthi, M; Zafar, MW</t>
  </si>
  <si>
    <t>Liu, Haiying; Sinha, Avik; Destek, Mehmet Akif; Alharthi, Majed; Zafar, Muhammad Wasif</t>
  </si>
  <si>
    <t>Moving toward sustainable development of sub-Saharan African countries: Investigating the effect of financial inclusion on environmental quality</t>
  </si>
  <si>
    <t>carbon emissions; CS-ARDL; financial inclusion; natural resources; remittances</t>
  </si>
  <si>
    <t>ENERGY; CONSUMPTION; EMISSIONS; EDUCATION</t>
  </si>
  <si>
    <t>The purpose of this current study is to provide a new framework for assessing the impact of financial inclusion on environmental quality in Sub-Saharan Africa countries. To this end, the impact of economic growth, education, natural resource usage, and remittances on carbon emissions, as well as financial inclusion, is evaluated over the 2004-2020 period using second generation panel data methods, namely, CS-ARDL and the following findings are found. Firstly, financial inclusion leads to enhanced carbon emissions. Secondly, economic growth leads to an increase in carbon dioxide emissions. Thirdly, an improvement in education promotes the quality of the environment. Fourthly, the depletion of natural resources has a harmful effect on the environment. Fifthly, remittances result to an increase in carbon emissions. On the basis of these findings, policy recommendations are made to assist the aforementioned countries in achieving their sustainable development goals.</t>
  </si>
  <si>
    <t>[Liu, Haiying] Jilin Univ, Sch Business &amp; Management, Changchun, Peoples R China; [Liu, Haiying] Dalian Maritime Univ, Sch Maritime Econ &amp; Management, Dalian, Peoples R China; [Sinha, Avik] Goa Inst Management, Ctr Excellence Sustainable Dev, Sattari, India; [Sinha, Avik] Lebanese Amer Univ, Adnan Kassar Sch Business, Beirut, Lebanon; [Destek, Mehmet Akif] Gaziantep Univ, Dept Econ, Gaziantep, Turkey; [Alharthi, Majed] King Abdulaziz Univ, Coll Business, Finance Dept, Rabigh, Saudi Arabia; [Zafar, Muhammad Wasif] Riphah Int Univ, Riphah Sch Business &amp; Management, Lahore, Pakistan</t>
  </si>
  <si>
    <t>Jilin University; Dalian Maritime University; Goa Institute of Management; Lebanese American University; Gaziantep University; King Abdulaziz University</t>
  </si>
  <si>
    <t>Zafar, MW (corresponding author), Riphah Int Univ, Riphah Sch Business &amp; Management, Lahore, Pakistan.</t>
  </si>
  <si>
    <t>wasif.zafar6@yahoo.com</t>
  </si>
  <si>
    <t>zafar, Muhammad/AFW-2468-2022; Sinha, Avik/J-3905-2019; DESTEK, Mehmet Akif/AAG-4936-2020</t>
  </si>
  <si>
    <t>Sinha, Avik/0000-0001-7795-1259; Alharthi, Majed/0000-0003-3553-243X; DESTEK, Mehmet Akif/0000-0002-2514-9405</t>
  </si>
  <si>
    <t>National Social Science Foundation of China [20BGY102]</t>
  </si>
  <si>
    <t>This study was funded by the National Social Science Foundation of China (20BGY102).</t>
  </si>
  <si>
    <t>10.1002/sd.2367</t>
  </si>
  <si>
    <t>WOS:000832786500001</t>
  </si>
  <si>
    <t>Brennan, C; Coppack, M</t>
  </si>
  <si>
    <t>Brennan, Carol; Coppack, Martin</t>
  </si>
  <si>
    <t>Consumer empowerment: global context, UK strategies and vulnerable consumers</t>
  </si>
  <si>
    <t>Consumer education; consumer empowerment; financial capability; financial education; vulnerable consumers</t>
  </si>
  <si>
    <t>Globalization has created new consumer needs and wants, and resulted in consumer confusion regarding the increasing complexity of products and services. This has stimulated global interest in educating and empowering consumers. The UK government has made a very ambitious commitment to ensure that the framework for consumer empowerment and support is at the level of the best in the world by 2008. The government, many consumer organizations and regulators believe that empowered consumers are key to the success of competitive markets. Two national strategies to co-ordinate activities in the UK have been developed by the Office of Fair Trading (OFT) and the Financial Services Authority (FSA). The OFT consumer education strategy aims to deliver targeted, effective consumer education by increasing co-ordination and making the best use of available resources. The FSA is leading a financial capability strategy designed to deliver change to improve the UK's financial capability. Both strategies share a vision of educated and confident consumers making informed choices about the products and services they buy, and both aim to empower vulnerable consumers. Given the global interest and the development of national strategies, it is useful to consider what is meant by the term consumer empowerment. Is there a shared view of consumer empowerment internationally? Does the education of consumers result in empowered consumers? To what extent do the national strategies address the empowerment of vulnerable, disadvantaged, excluded or susceptible consumers? These questions will be addressed in this article which reviews the global context for the consumer education and empowerment agenda and considers key UK developments, with particular reference to the needs of vulnerable consumers. The study found that the language of consumer empowerment is gaining prominence in policy and strategy documents at the highest levels internationally in the Organisation of Economic Cooperation and Development and the European Community, and nationally in the UK.</t>
  </si>
  <si>
    <t>[Brennan, Carol] Queen Margaret Univ, Sch Business Enterprise &amp; Management, Edinburgh EH12 8TS, Midlothian, Scotland; [Coppack, Martin] Financial Serv Author, London, England</t>
  </si>
  <si>
    <t>Brennan, C (corresponding author), Queen Margaret Univ, Sch Business Enterprise &amp; Management, Edinburgh EH12 8TS, Midlothian, Scotland.</t>
  </si>
  <si>
    <t>cbrennan@qmu.ac.uk</t>
  </si>
  <si>
    <t>10.1111/j.1470-6431.2007.00640.x</t>
  </si>
  <si>
    <t>V18DM</t>
  </si>
  <si>
    <t>WOS:000207985500002</t>
  </si>
  <si>
    <t>Soliwoda, M</t>
  </si>
  <si>
    <t>Soliwoda, Michal</t>
  </si>
  <si>
    <t>Payment Habits of Rural Population in Poland: Barriers and Challenges for the Financial Services System</t>
  </si>
  <si>
    <t>PROBLEMY ZARZADZANIA-MANAGEMENT ISSUES</t>
  </si>
  <si>
    <t>payment habits; rural finance; financial exclusion; cashless payments; financial education</t>
  </si>
  <si>
    <t>Socio-demographic features differentiated significantly habits of users of financial services, thus allowing a partial segmentation. The aim of the study is to diagnose and identify barriers and challenges facing the system of financial services in Poland - in the context of the prevalence of non-cash payment services among the rural population. We put emphasis on the presentation of potential models for the development of cashless payments in the country. Consumers of financial services in rural areas are accustomed to the traditional methods of cash withdrawals. It is less popular to take cash from an ATM. The proportion of population using cards is lower than in urban areas. The quantity and value structure of payments in various outlets confirms the existence of the conservative attitude of devotion to cash equated with transaction security. Depending on the domination of regulation or institutional activity, distinguishing regulatory model and institutional model was deemed appropriate.</t>
  </si>
  <si>
    <t>[Soliwoda, Michal] Panstwowy Inst Badawczy, Inst Ekon Rolnictwa &amp; Gospodarki Zywnosciowej, Zaklad Finansow Rolnictwa, Warsaw, Poland</t>
  </si>
  <si>
    <t>Institute of Agricultural &amp; Food Economy</t>
  </si>
  <si>
    <t>Soliwoda, M (corresponding author), Panstwowy Inst Badawczy, Inst Ekon Rolnictwa &amp; Gospodarki Zywnosciowej, Ul Swietokrzyska 20, PL-00002 Warsaw, Poland.</t>
  </si>
  <si>
    <t>Michal.Soliwoda@ierigz.waw.pl</t>
  </si>
  <si>
    <t>UNIV WARSAW, FAC MANAGEMENT</t>
  </si>
  <si>
    <t>SZTURMOWA 1-3, WARSAW, 02-678, POLAND</t>
  </si>
  <si>
    <t>1644-9584</t>
  </si>
  <si>
    <t>2300-8792</t>
  </si>
  <si>
    <t>PROBL ZARZ</t>
  </si>
  <si>
    <t>Probl. Zarz.</t>
  </si>
  <si>
    <t>10.7172/1644-9584.54.6</t>
  </si>
  <si>
    <t>DP9TL</t>
  </si>
  <si>
    <t>WOS:000378840200006</t>
  </si>
  <si>
    <t>Singh, S</t>
  </si>
  <si>
    <t>Singh, Supriya</t>
  </si>
  <si>
    <t>Mobile Remittances: Design for Financial Inclusion</t>
  </si>
  <si>
    <t>mobile remittances; money management; money control; empowering women; privacy; financial inclusion</t>
  </si>
  <si>
    <t>This paper investigates the design requirements for international mobile remittances in the context of users' money management and control in the household and the family. Through scenarios that draw on remittance literature, the paper suggests five design principles for mobile remittances that could be a US$ 41 billion market while empowering women, varying patterns of money management and control in transnational families and aiding financial inclusion.</t>
  </si>
  <si>
    <t>RMIT Univ, Melbourne, Vic 3001, Australia</t>
  </si>
  <si>
    <t>Singh, S (corresponding author), RMIT Univ, GPO Box 2476V, Melbourne, Vic 3001, Australia.</t>
  </si>
  <si>
    <t>Supriya.singh@rmit.edu..au</t>
  </si>
  <si>
    <t>Singh, Supriya/KIE-4648-2024</t>
  </si>
  <si>
    <t>Singh, Supriya/0000-0003-3555-5447</t>
  </si>
  <si>
    <t>WOS:000269191600057</t>
  </si>
  <si>
    <t>Quadria, TH; Jahan, I</t>
  </si>
  <si>
    <t>Quadria, Taufiq Hasan; Jahan, Israt</t>
  </si>
  <si>
    <t>Enhancing Financial Knowledge Through High School Education: The Effect of Mandated Economics and Personal Finance Courses</t>
  </si>
  <si>
    <t>economics; financial knowledge; objective; personal finance; subjective</t>
  </si>
  <si>
    <t>LITERACY; CAPABILITY; CURRICULUM; IMPACT; INCOME</t>
  </si>
  <si>
    <t>This study examines the impact of state-mandated economics and personal finance education policies on individuals' financial knowledge, measured through subjective financial knowledge (SFK) and objective financial knowledge (OFK). Using data from the National Financial Capability Study (NFCS) and state-level policy records, we apply regression analysis and matching techniques to evaluate the effects of these mandates. The findings reveal that economic education standards significantly enhance OFK, particularly when implemented as district requirements, while personal finance education shows smaller yet positive effects. The results show that younger individuals, who are directly exposed to personal finance courses, benefit more with improvements in SFK and OFK. Despite limitations related to data periodicity and potential biases, the results support increasing high school financial education requirements to help people make better financial decisions.</t>
  </si>
  <si>
    <t>[Quadria, Taufiq Hasan] Univ Akron, Dept Finance, Akron, OH 44325 USA; [Jahan, Israt] Univ Wisconsin, Dept Econ, La Crosse, WI USA</t>
  </si>
  <si>
    <t>University System of Ohio; University of Akron; University of Wisconsin System</t>
  </si>
  <si>
    <t>Quadria, TH (corresponding author), Univ Akron, Dept Finance, Akron, OH 44325 USA.</t>
  </si>
  <si>
    <t>tquadria@uakron.edu</t>
  </si>
  <si>
    <t>Jahan, Israt/OVY-0696-2025; Quadria, Taufiq/JDW-2674-2023</t>
  </si>
  <si>
    <t>e70019</t>
  </si>
  <si>
    <t>10.1111/joca.70019</t>
  </si>
  <si>
    <t>7PN2U</t>
  </si>
  <si>
    <t>WOS:001576591200001</t>
  </si>
  <si>
    <t>Darwis, V; Rachmawati, RR; Muslim, C; Chanifah; Sembiring, A; Ilham, N; Mufidah, L; Suhartini, SH; Basuki, RS; Rina, Y; Suharyon; Nurdin, M; Dahya; Damanik, M; Dewi, DO</t>
  </si>
  <si>
    <t>Darwis, Valeriana; Rachmawati, Rika; Muslim, Chairul; Chanifah, Sri H.; Sembiring, Asma S.; Ilham, Nyak; Mufidah, Lyli; Suhartini, Sri; Basuki, Rofik O.; Rina, Yanti; Suharyon, Vu Quang; Nurdin, Maryam; Dahya; Damanik, Mario; Dewi, Dina</t>
  </si>
  <si>
    <t>Transformation of financial institutions grants from the government to inclusive financial institutions in Indonesia</t>
  </si>
  <si>
    <t>CREDIT; SUSTAINABILITY; ACCESS</t>
  </si>
  <si>
    <t>Low-income communities have limited capital and access to money or loans from formal financial institutions. To solve the problems, the government provides solutions, one of them is by forming a microfinance program, namely Rural Agribusiness Business Development (PUAP). PUAP program is one of the grant activities to farmer group association (Gapoktan) with a total capital assistance of IDR 100 million. The problem with the 52,186 Gapoktan units that participated in PUAP activities, only 7,703 units (15%) were transformed into Agribusiness Microfinance Institutions (LKMA). This paper differs from others as it briefly explains the PUAP/MFI's institutional transformation and the factors that affect its sustainability, which is so far still limited discussed. The paper aims to see what transformations Gapoktan becomes an inclusive LKMA and the level of sustainability of the LKMA. The research was conducted in Kendal Regency, Central Java- Indonesia, in 2022 on 5 LKMA. The process of transforming LKMA into an inclusive financial institution is analyzed descriptively. LKMA sustainability levels were analyzed using a multidimensional scaling (MDS) approach with the Rapfish application. So far, MDS with the Rapfish application is still very limited for microfinance analysis. MDS analysis is employed because it is relatively simple and effective for looking at sensitive attributes in improving sustainability and generating leverage attributes that can be used for policy-making. The result study shows that the transformation of PUAP into LKMA is driven by the ability to improve legality, financial governance and diversify the customer's business field. The five LKMAs have a sustainability status of 'sufficient' in running their business, with an index value of more than 50%. The study recommends 1) the Indonesian government could assist LKMA in improving its legality and 2) LKMA's management should get training by experts to improve its financial capability to manage the cost saving.</t>
  </si>
  <si>
    <t>[Darwis, Valeriana; Rachmawati, Rika; Muslim, Chairul; Chanifah, Sri H.; Sembiring, Asma S.; Ilham, Nyak; Mufidah, Lyli; Suhartini, Sri; Basuki, Rofik O.; Rina, Yanti; Suharyon, Vu Quang; Nurdin, Maryam; Dahya; Damanik, Mario; Dewi, Dina] Natl Res &amp; Innovat Agcy BRIN, Res Ctr Behav &amp; Circular Econ, Jakarta, Indonesia</t>
  </si>
  <si>
    <t>National Research &amp; Innovation Agency of Indonesia (BRIN)</t>
  </si>
  <si>
    <t>Mufidah, L (corresponding author), Natl Res &amp; Innovat Agcy BRIN, Res Ctr Behav &amp; Circular Econ, Jakarta, Indonesia.</t>
  </si>
  <si>
    <t>lyli.mufidah@gmail.com</t>
  </si>
  <si>
    <t>; Suhartini, Sri/AAC-3161-2021; Darwis, Valeriana/AGZ-7678-2022; mufidah, lyli/AFW-8415-2022</t>
  </si>
  <si>
    <t>rachmawati, rika reviza/0000-0002-9634-2173; dewi, dina/0000-0002-0874-3648; Damanik, Mario/0009-0002-1256-2994;</t>
  </si>
  <si>
    <t>JUN 23</t>
  </si>
  <si>
    <t>e0286482</t>
  </si>
  <si>
    <t>10.1371/journal.pone.0286482</t>
  </si>
  <si>
    <t>L5TV6</t>
  </si>
  <si>
    <t>WOS:001023897900138</t>
  </si>
  <si>
    <t>Anzoategui, D; Demirgüç-Kunt, A; Pería, MSM</t>
  </si>
  <si>
    <t>Anzoategui, Diego; Demirguec-Kunt, Asli; Peria, Maria Soledad Martinez</t>
  </si>
  <si>
    <t>Remittances and Financial Inclusion: Evidence from El Salvador</t>
  </si>
  <si>
    <t>remittances; financial inclusion</t>
  </si>
  <si>
    <t>INTERNATIONAL MIGRATION; RURAL CREDIT; MIGRANTS; POVERTY; INEQUALITY; NETWORKS; GENDER; CHOICE; SEX</t>
  </si>
  <si>
    <t>This paper investigates the impact of remittances on financial inclusion. Using household-level survey data for El Salvador, we examine whether remittances affect households' use of savings and credit instruments from formal financial institutions. We find that although remittances have a positive impact on financial inclusion by promoting the use of deposit accounts, they do not have a significant and robust effect on the demand for and use of credit from formal institutions. If anything, by relaxing credit constraints, remittances might reduce the need for external financing from financial institutions, while at the same time increasing the demand for savings instruments. (C) 2013 Elsevier Ltd. All rights reserved.</t>
  </si>
  <si>
    <t>[Anzoategui, Diego; Demirguec-Kunt, Asli; Peria, Maria Soledad Martinez] World Bank, Washington, DC 20433 USA</t>
  </si>
  <si>
    <t>Anzoategui, D (corresponding author), World Bank, 1818 H St NW, Washington, DC 20433 USA.</t>
  </si>
  <si>
    <t>10.1016/j.worlddev.2013.10.006</t>
  </si>
  <si>
    <t>276BU</t>
  </si>
  <si>
    <t>WOS:000328723900023</t>
  </si>
  <si>
    <t>Lim, H; Letkiewicz, JC</t>
  </si>
  <si>
    <t>Lim, H.; Letkiewicz, J. C.</t>
  </si>
  <si>
    <t>Consumer Experience of Mistreatment and Fraud in Financial Services: Implications from an Integrative Consumer Vulnerability Framework</t>
  </si>
  <si>
    <t>Compromised accounts; Consumer mistreatment; Consumer vulnerability; Disadvantaged consumer; Financial fraud; Financial services</t>
  </si>
  <si>
    <t>DISSATISFACTION; ACCESS</t>
  </si>
  <si>
    <t>This study utilizes the National Financial Well-Being Survey (NFWS) from the Consumer Financial Protection Bureau (CFPB) to investigate the profiles of American consumers who experience mistreatment or a type of fraud in financial services (compromised accounts). An integrative consumer vulnerability framework was used as the theoretical framework to examine how disadvantaged consumer characteristics and vulnerable consumer characteristics are associated with mistreatment and compromised accounts. Consumers in vulnerable states, due to low financial capability, cognitive decline, material hardships, financial shocks, and more exposure to various financial services, were more likely to report experiencing mistreatment and having their financial accounts compromised. Consumers from higher socio-economic status were more likely to have been victims of mistreatment and compromised accounts in financial services. These findings offer implications for consumer financial education and protection.</t>
  </si>
  <si>
    <t>[Lim, H.] Kansas State Univ, Dept Personal Financial Planning, 343P Justin Hall,1324 Lovers Lane, Manhattan, KS 66502 USA; [Letkiewicz, J. C.] York Univ, Sch Adm Studies, 4700 Keele St,204 Atkinson, Toronto, ON M3J 1P3, Canada</t>
  </si>
  <si>
    <t>Kansas State University; York University - Canada</t>
  </si>
  <si>
    <t>Lim, H (corresponding author), Kansas State Univ, Dept Personal Financial Planning, 343P Justin Hall,1324 Lovers Lane, Manhattan, KS 66502 USA.</t>
  </si>
  <si>
    <t>hlim@ksu.edu; jodilet@yorku.ca</t>
  </si>
  <si>
    <t>Letkiewicz, Jodi/0000-0001-7783-1871; Lim, HanNa/0000-0001-7081-2862</t>
  </si>
  <si>
    <t>10.1007/s10603-023-09535-w</t>
  </si>
  <si>
    <t>H7CU2</t>
  </si>
  <si>
    <t>WOS:000925498400001</t>
  </si>
  <si>
    <t>Tah, KA</t>
  </si>
  <si>
    <t>Tah, Kenneth A.</t>
  </si>
  <si>
    <t>Remittances and financial access: Evidence from Sub-Saharan Africa</t>
  </si>
  <si>
    <t>remittances; financial access; Arellano-Bond Dynamic Panel Estimation</t>
  </si>
  <si>
    <t>INEQUALITY; POVERTY; GROWTH</t>
  </si>
  <si>
    <t>This paper empirically investigates the effects of remittances on access to financial services in 26 Sub-Saharan African countries over the period 2004-2015. We find that remittances have a significantly positive impact on financial access in Sub-Saharan Africa. This finding remains true in least squares regressions and with Arellano-Bond Dynamic Panel Estimation that accounts for the endogenous relationship between remittances and financial access and that controls for any bias arising from the lagged dependent variables, as well as using an alternative measure of financial access.</t>
  </si>
  <si>
    <t>[Tah, Kenneth A.] Mercer Univ, Stetson Sch Business &amp; Econ, Macon, GA 31207 USA</t>
  </si>
  <si>
    <t>Mercer University</t>
  </si>
  <si>
    <t>Tah, KA (corresponding author), Mercer Univ, Stetson Sch Business &amp; Econ, Macon, GA 31207 USA.</t>
  </si>
  <si>
    <t>tah_ka@mercer.edu</t>
  </si>
  <si>
    <t>10.1080/23322039.2019.1570581</t>
  </si>
  <si>
    <t>HJ2LZ</t>
  </si>
  <si>
    <t>WOS:000457001900001</t>
  </si>
  <si>
    <t>Abokyi, E; Appiah-Konadu, P; Oteng-Abayie, EF; Tangato, KF</t>
  </si>
  <si>
    <t>Abokyi, Eric; Appiah-Konadu, Paul; Oteng-Abayie, Eric Fosu; Tangato, Kwabena Fio</t>
  </si>
  <si>
    <t>Consumption of clean and dirty cooking fuels in ghanaian households: The role of financial inclusion</t>
  </si>
  <si>
    <t>CLEANER AND RESPONSIBLE CONSUMPTION</t>
  </si>
  <si>
    <t>Clean cooking fuel; Financial inclusion; Instrumental variable; Ghanaian households</t>
  </si>
  <si>
    <t>REMITTANCES; IMPACT; EXPENDITURE; INVESTMENT</t>
  </si>
  <si>
    <t>Home cooking is considered an important activity which promotes healthier lives, sustenance, and binds families and people together. Despite the benefits of home cooking, it is the leading source of household air pollution and its associated health risks particularly for developing countries including Ghana. The role of financial inclusion in facilitating the achievement of the Sustainable Development Goals (SDGs) of the United Nations is explored in this study for clean cooking technologies (i.e., SDG 7). The proposed study is based on three datasets from the Ghana Statistical Service (GSS), comprising of Ghana Living Standard Survey (GLSS) round 6, round 7 and the pooled form. Using distance to the nearest financial institution as instrument, the study employed probit twostage least squares to investigate the heterogenous impacts of financial inclusion on household cooking fuels in Ghana. The findings show that financial inclusion increases the consumption of clean cooking fuel but reduces dirty fuels such as firewood, charcoal, kerosene etc. Female -headed households were found to be more impacted by financial inclusion over time than their male counterparts. The results also showed that financially included rural households reduced their consumption of dirty cooking fuels than their urban counterparts. These findings have important policy implications.</t>
  </si>
  <si>
    <t>[Abokyi, Eric; Tangato, Kwabena Fio] Univ Politecn Marche, Dept Econ, Ancona, Italy; [Appiah-Konadu, Paul] Univ Brescia, Dept Business &amp; Law, Brescia, Italy; [Oteng-Abayie, Eric Fosu] Kwame Nkrumah Univ Sci &amp; Technol, Dept Econ, Kumasi, Ghana; [Oteng-Abayie, Eric Fosu] Garden City Univ Coll, Dept Business Studies, Kumasi, Ghana</t>
  </si>
  <si>
    <t>Marche Polytechnic University; University of Brescia; Kwame Nkrumah University Science &amp; Technology</t>
  </si>
  <si>
    <t>Oteng-Abayie, EF (corresponding author), Kwame Nkrumah Univ Sci &amp; Technol, Dept Econ, Kumasi, Ghana.</t>
  </si>
  <si>
    <t>efoteng-abayie.socs@knust.edu.gh</t>
  </si>
  <si>
    <t>Appiah-Konadu, Paul/I-1113-2019; Tangato, Kwabena Fio/OEO-7672-2025; Abokyi, Eric/JCN-8623-2023; OTENG-ABAYIE, ERIC FOSU/J-9402-2019</t>
  </si>
  <si>
    <t>Tangato, Kwabena Fio/0009-0007-6493-2607; Abokyi, Eric/0000-0002-1149-2931; OTENG-ABAYIE, ERIC FOSU/0000-0002-4598-2066</t>
  </si>
  <si>
    <t>2666-7843</t>
  </si>
  <si>
    <t>CLEAN RESPONS CONSUM</t>
  </si>
  <si>
    <t>Clean Responsible Consum.</t>
  </si>
  <si>
    <t>10.1016/j.clrc.2024.100187</t>
  </si>
  <si>
    <t>PY9B7</t>
  </si>
  <si>
    <t>WOS:001217746100001</t>
  </si>
  <si>
    <t>Purnawan, E; Brunori, G; Prosperi, P</t>
  </si>
  <si>
    <t>Purnawan, Endar; Brunori, Gianluca; Prosperi, Paolo</t>
  </si>
  <si>
    <t>Financial Support Program for Small Farmers, and Its Impact on Local Food Security. Evidence from Indonesia</t>
  </si>
  <si>
    <t>HORTICULTURAE</t>
  </si>
  <si>
    <t>financial access; small family farms; food security; Indonesia</t>
  </si>
  <si>
    <t>AGRICULTURE; MICROFINANCE</t>
  </si>
  <si>
    <t>This paper addresses the implementation of the Kawasan Mandiri Pangan (KMP) program, a microfinance program for farmer groups, assessing whether the program affects farmers' decisions concerning production, marketing, and consumption or not, and its impacts on household food security along three dimensions: food availability, food access, and food utilization. Based on a qualitative and theory of change mixed-methods analysis, which uses interviews and focus group discussions (FGDs), this research sheds light on the program's success among two groups of farmers. Both groups experienced improved productivity and increased food availability, but only one group sustained the program. The results indicate that the program has not affected the commercialization of any particular crop, where the crop's best selling price, relationships, and commitments are factors that affect the farmers' marketing decisions. Other findings show how food access at the household level increased when the crop's selling price was reasonable, while food utilization was influenced predominantly by local wisdom. Taken together, the research findings highlight the importance of the capability of the management, the commitment of the members, and the supervision of the agricultural extension agents. There is a need for a locally owned enterprise to absorb agricultural products and maintain the selling price of crops, which is the primary driver of food accessibility and utilization at the household level.</t>
  </si>
  <si>
    <t>[Purnawan, Endar; Brunori, Gianluca] Univ Pisa, Dept Agr Food &amp; Environm, Pisa Agr Econ Grp PAGE, I-56124 Pisa, Italy; [Prosperi, Paolo] Univ Montpellier, Mediterranean Agron Inst Montpellier CIHEAM IAMM, Inst Agro, UMR Moisa,CIHEAM IAMM,CIRAD,INRAE,IRD, F-34093 Montpellier, France</t>
  </si>
  <si>
    <t>University of Pisa; Universite de Montpellier; CIHEAM; CIHEAM IAM Montpellier; Institut de Recherche pour le Developpement (IRD); INRAE; CIRAD; Institut Agro</t>
  </si>
  <si>
    <t>Purnawan, E (corresponding author), Univ Pisa, Dept Agr Food &amp; Environm, Pisa Agr Econ Grp PAGE, I-56124 Pisa, Italy.</t>
  </si>
  <si>
    <t>epurnawan2@gmail.com; gianluca.brunori@unipi.it; prosperi@iamm.fr</t>
  </si>
  <si>
    <t>brunori, Gianluca/E-1687-2014; Prosperi, Paolo/P-5811-2019</t>
  </si>
  <si>
    <t>brunori, Gianluca/0000-0003-2905-9738; Purnawan, Endar/0000-0001-9287-663X; Prosperi, Paolo/0000-0002-8494-0344</t>
  </si>
  <si>
    <t>Lembaga Pengelola Dana Pendidikan (LPDP), Ministry of Finance, Republic of Indonesia [201711221011886]</t>
  </si>
  <si>
    <t>This work was supported and funded by Lembaga Pengelola Dana Pendidikan (LPDP), Ministry of Finance, Republic of Indonesia. LPDP funding number: 201711221011886.</t>
  </si>
  <si>
    <t>2311-7524</t>
  </si>
  <si>
    <t>Horticulturae</t>
  </si>
  <si>
    <t>10.3390/horticulturae7120546</t>
  </si>
  <si>
    <t>Horticulture</t>
  </si>
  <si>
    <t>XY7JU</t>
  </si>
  <si>
    <t>WOS:000737144900001</t>
  </si>
  <si>
    <t>Lee, BL; Brierley, J</t>
  </si>
  <si>
    <t>Lee, Bill; Brierley, John</t>
  </si>
  <si>
    <t>Confluent trust, accountability, procedural justice, British credit unions and regulatory reform after the global financial crisis</t>
  </si>
  <si>
    <t>Trust; Accountability; Procedural justice; Financial exclusion; Microcredit; Credit unions</t>
  </si>
  <si>
    <t>ORGANIZATIONS; PARTICIPATION</t>
  </si>
  <si>
    <t>PurposeThe relationship between trust, accountability and procedural justice is studied via research into British credit unions (CUs) following regulatory reform to remedy problems exposed by the 2007-2008 global financial crisis.Design/methodology/approachInterviews at 13 case studies of different types and sizes of credit unions in Glasgow, Scotland, are examined using template analysis and abductive theorizing to understand the effects of disproportionate reforms on small credit unions.FindingsSmaller credit unions found three regulatory changes - namely dual regulators, increased minimum reserves and introduction of the Senior Managers and Certification Regime - excessive. Excessive change generated distrust in regulators. Regulators' insufficient attention to procedural justice contributed to this distrust.Originality/valueLinkage of multidimensional confluent trust to a multilevel system of accountability provides an original way of understanding how indiscriminate attempts at trust repair damage some elements of trust in formal regulatory systems. Recognition of the need for procedural justice to enable smaller credit unions to articulate their extant checks and potential exemption from formal regulations provides another valuable contribution. The explanation of the abductive logic employed is also original.</t>
  </si>
  <si>
    <t>[Lee, Bill; Brierley, John] Univ Sheffield, Management Sch, Sheffield, S Yorkshire, England</t>
  </si>
  <si>
    <t>Lee, BL (corresponding author), Univ Sheffield, Management Sch, Sheffield, S Yorkshire, England.</t>
  </si>
  <si>
    <t>w.j.lee@sheffield.ac.uk</t>
  </si>
  <si>
    <t>Lee, Bill/0000-0003-2656-4106</t>
  </si>
  <si>
    <t>1/2</t>
  </si>
  <si>
    <t>10.1108/IJSSP-08-2023-0181</t>
  </si>
  <si>
    <t>HT6C3</t>
  </si>
  <si>
    <t>WOS:001087738900001</t>
  </si>
  <si>
    <t>Mertzanis, C</t>
  </si>
  <si>
    <t>Mertzanis, Charilaos</t>
  </si>
  <si>
    <t>Ownership structure and access to finance in developing countries</t>
  </si>
  <si>
    <t>Financing constraints; investment models; ownership structure; developing countries</t>
  </si>
  <si>
    <t>CASH FLOW SENSITIVITIES; CAPITAL STRUCTURE; INVESTMENT; CREDIT; CONSTRAINTS; DETERMINANTS; CORRUPTION; LIQUIDITY; RELIGION</t>
  </si>
  <si>
    <t>Microsurvey data are used to explore the impact of ownership structure and other firm-specific characteristics on firms' access to finance in 136 developing countries. The analysis uses a consistent and large data set from the World Bank's Enterprise Surveys (ESs). The results show that ownership structure is a significant predictor of firms' access to finance but with qualifications. Specifically, private and foreign ownership are more robust predictors of firms financing constraints in developing countries, whilst government ownership and large owners appear significant in accordance with the controlling conditions and mostly in low-income countries. The predictive power and direction of firms' ownership structure is mitigated by both the specific characteristics of firms and the manner in which country-level factors affect the level of economic and financial activity in a country as well as the individual and social behaviour towards financial contracting.</t>
  </si>
  <si>
    <t>[Mertzanis, Charilaos] Amer Univ Cairo, Sch Business, AUC Ave,POB 74, New Cairo, Egypt</t>
  </si>
  <si>
    <t>Egyptian Knowledge Bank (EKB); American University Cairo</t>
  </si>
  <si>
    <t>Mertzanis, C (corresponding author), Amer Univ Cairo, Sch Business, AUC Ave,POB 74, New Cairo, Egypt.</t>
  </si>
  <si>
    <t>charilaos.mertzanis@aucegypt.edu</t>
  </si>
  <si>
    <t>; Mertzanis, Charilaos/OJV-5282-2025</t>
  </si>
  <si>
    <t>MERTZANIS, CHARILAOS/0000-0002-9028-5585;</t>
  </si>
  <si>
    <t>10.1080/00036846.2016.1257106</t>
  </si>
  <si>
    <t>ER5IB</t>
  </si>
  <si>
    <t>WOS:000398833900006</t>
  </si>
  <si>
    <t>Dissanayake, H; Popescu, C; Iddagoda, A</t>
  </si>
  <si>
    <t>Dissanayake, Hiranya; Popescu, Catalin; Iddagoda, Anuradha</t>
  </si>
  <si>
    <t>A Bibliometric Analysis of Financial Technology: Unveiling the Research Landscape</t>
  </si>
  <si>
    <t>FinTech; financial technology; blockchain; financial inclusion; innovation; digital payments</t>
  </si>
  <si>
    <t>FINTECH ECOSYSTEM; MANAGEMENT; INNOVATION; PRODUCT; ISSUES</t>
  </si>
  <si>
    <t>This study presents a comprehensive bibliometric analysis of research on financial technology (FinTech) as a methodology. The aim is to unveil the research landscape, trends, and influential factors within this rapidly evolving field. By examining publication records, citation patterns, and thematic maps, valuable insights into the intellectual structure and impact of FinTech research are provided. The analysis highlights the increasing research output and global interest in FinTech, identifies key contributors and knowledge hubs driving the field, and uncovers emerging research themes such as blockchain technology, digital payments, robo-advisors, peer-to-peer lending, and regulatory frameworks. This analysis serves as a roadmap for researchers, industry professionals, and policymakers, offering guidance for navigating the vast body of FinTech research, identifying research gaps, and fostering collaborations to drive innovation in the financial industry. Overall, this bibliometric analysis contributes to a better understanding of the current state of FinTech research and provides valuable insights for future research endeavors and decision-making in the field.</t>
  </si>
  <si>
    <t>[Dissanayake, Hiranya] Wayamba Univ Sri Lanka, Fac Business Studies &amp; Finance, Dept Accountancy, Kuliyapitiya 60200, Sri Lanka; [Popescu, Catalin] Petr Gas Univ Ploiesti, Dept Business Adm, Ploiesti 100680, Romania; [Iddagoda, Anuradha] Univ Sri Jayewardenepura, Fac Appl Sci, Dept Math, Management Sci Unit, Nugegoda 10250, Sri Lanka</t>
  </si>
  <si>
    <t>Wayamba University of Sri Lanka; Petroleum-Gas University of Ploiesti; University Sri Jayewardenepura</t>
  </si>
  <si>
    <t>Popescu, C (corresponding author), Petr Gas Univ Ploiesti, Dept Business Adm, Ploiesti 100680, Romania.;Iddagoda, A (corresponding author), Univ Sri Jayewardenepura, Fac Appl Sci, Dept Math, Management Sci Unit, Nugegoda 10250, Sri Lanka.</t>
  </si>
  <si>
    <t>hiranya@wyb.ac.lk; cpopescu@upg-ploiesti.ro; anuradhaiddagoda@sjp.ac.lk</t>
  </si>
  <si>
    <t>Popescu, Catalin/D-8177-2012; Dissanayake, Hiranya/ABO-5614-2022</t>
  </si>
  <si>
    <t>10.3390/fintech2030030</t>
  </si>
  <si>
    <t>7JR0A</t>
  </si>
  <si>
    <t>WOS:001572617200001</t>
  </si>
  <si>
    <t>Harvey, CR; Rabetti, D</t>
  </si>
  <si>
    <t>Harvey, Campbell R.; Rabetti, Daniel</t>
  </si>
  <si>
    <t>International business and decentralized finance</t>
  </si>
  <si>
    <t>JOURNAL OF INTERNATIONAL BUSINESS STUDIES</t>
  </si>
  <si>
    <t>International business; DeFi; Fintech; Smart contracts; Blockchain; Financial innovation; Regulation</t>
  </si>
  <si>
    <t>FOREIGN; OWNERSHIP; FUTURE; CHOICE; FIRMS</t>
  </si>
  <si>
    <t>Over the last decade, the green shoots of a new economic order have emerged as decentralized technologies challenge traditional financial systems. Decentralized finance (DeFi) holds the potential to transform international business (IB) by offering accessible financial services across borders, disrupting traditional intermediaries, and promoting financial inclusion. While traditional fintech has challenged banks, DeFi operates outside legacy systems, leveraging blockchain technology and smart contracting to introduce a new range of products and services that provide first-movers with an upper hand to both expand their business across the globe as well realize cost savings on existing business. Despite offering advantages like efficiency, transparency, and security, DeFi faces regulatory uncertainties and scalability, adoption, and stability concerns. Our study explores how DeFi can seamlessly integrate into the IB space while addressing these challenges. In addition to offering insights for investors, multinational firms, and regulators, we also lay the groundwork for future IB research in the fintech domain. As the DeFi innovation unfolds, understanding and harnessing its potential can empower stakeholders to engage responsibly and effectively in this transformative landscape.</t>
  </si>
  <si>
    <t>[Harvey, Campbell R.] Duke Univ, Fuqua Sch Business, 100 Fuqua Dr, Durham, NC 27708 USA; [Harvey, Campbell R.] NBER, 100 Fuqua Dr, Durham, NC 27708 USA; [Rabetti, Daniel] Natl Univ Singapore NUS, Business Sch, 15 Kent Ridge Dr, Singapore 119245, Singapore</t>
  </si>
  <si>
    <t>Duke University; Duke University; National Bureau of Economic Research; National University of Singapore</t>
  </si>
  <si>
    <t>Rabetti, D (corresponding author), Natl Univ Singapore NUS, Business Sch, 15 Kent Ridge Dr, Singapore 119245, Singapore.</t>
  </si>
  <si>
    <t>cam.harvey@duke.edu; rabetti@nus.edu.sg</t>
  </si>
  <si>
    <t>Harvey, Campbell/ABI-4900-2020; Rabetti, Daniel/KHX-3572-2024</t>
  </si>
  <si>
    <t>Harvey, Campbell/0000-0002-2397-652X;</t>
  </si>
  <si>
    <t>0047-2506</t>
  </si>
  <si>
    <t>1478-6990</t>
  </si>
  <si>
    <t>J INT BUS STUD</t>
  </si>
  <si>
    <t>J. Int. Bus. Stud.</t>
  </si>
  <si>
    <t>10.1057/s41267-024-00705-7</t>
  </si>
  <si>
    <t>C6U9R</t>
  </si>
  <si>
    <t>WOS:001223471600001</t>
  </si>
  <si>
    <t>Karlan, D; Osman, A; Shammout, N</t>
  </si>
  <si>
    <t>Karlan, Dean; Osman, Adam; Shammout, Nour</t>
  </si>
  <si>
    <t>Increasing Financial Inclusion in the Muslim World: Evidence from an Islamic Finance Marketing Experiment</t>
  </si>
  <si>
    <t>Islamic finance; microcredit; religion; credit elasticity; marketing</t>
  </si>
  <si>
    <t>RELIGION; ENTREPRENEURSHIP; ECONOMICS; MATTER</t>
  </si>
  <si>
    <t>Low utilization of household credit in developing countries may be partially due to religious considerations. In a randomized marketing experiment in Jordan, this paper estimates the effect of sharia-compliant loan features on demand for credit. To comply with Islamic law, the sharia-compliant product uses a bank fee rather than an interest payment structure, while keeping the rest of the product features very similar. Sharia-compliance increased the application rate for loans from 18 percent to 22 percent, an increase in demand that is equivalent to a 10 percent decrease in interest rates. This study also randomly varied the price of the sharia-compliant loan and finds that less religious individuals are twice as elastic with respect to price as the more religious. By comparing reasons for refusal across treatment groups, this paper estimates that survey measures that try to assess the importance of religious objections to conventional credit overestimate the importance of this type of objection by a third.</t>
  </si>
  <si>
    <t>[Karlan, Dean] Northwestern Univ, Econ &amp; Finance, Kellogg Sch Management, Evanston, IL 60208 USA; [Karlan, Dean] IPA, New Haven, CT USA; [Karlan, Dean; Osman, Adam; Shammout, Nour] J PAL, New Haven, CT 06269 USA; [Karlan, Dean] NBER, Cambridge, MA 02138 USA; [Osman, Adam] Univ Illinois, Econ, Champaign, IL 61820 USA</t>
  </si>
  <si>
    <t>Northwestern University; National Bureau of Economic Research; University of Illinois System; University of Illinois Urbana-Champaign</t>
  </si>
  <si>
    <t>Osman, A (corresponding author), J PAL, New Haven, CT 06269 USA.;Osman, A (corresponding author), Univ Illinois, Econ, Champaign, IL 61820 USA.</t>
  </si>
  <si>
    <t>karlan@northwestern.edu; aosman@illinois.edu; nshammout@povertyactionlab.org</t>
  </si>
  <si>
    <t>Osman, Adam/0000-0003-0848-6183</t>
  </si>
  <si>
    <t>Consultative Group for Assistance to the Poor (CGAP); Kellogg School of Management, Northwestern University</t>
  </si>
  <si>
    <t>Consultative Group for Assistance to the Poor (CGAP); Kellogg School of Management, Northwestern University(Northwestern University)</t>
  </si>
  <si>
    <t>This work was supported by the Consultative Group for Assistance to the Poor (CGAP). Dean Karlan is a Professor of Economics and Finance, Kellogg School of Management, Northwestern University, IPA, J-PAL, and NBER; his email address is karlan@northwestern.edu; Adam Osman (corresponding author) is an Assistant Professor of Economics, University of Illinois at Urbana-Champaign, J-PAL; his email address is aosman@illinois.edu.Nour Shammout is a Senior Policy Manager, J-PAL; her email address is nshammout@povertyactionlab.org.This paper has been approved by the University of Illinois Human Subjects Committee, IRB15488. The authors thank Nouf Abushehab, Ziad Al Rifai, Miranda Beshara, Kareem Haggag, Kelsey Larson, Abdelrahman Nagy, Dana Shaat, Ala' Sahawneh, and Izzat Shamroukh, for their support throughout the implementation of the project. They also thank Alec MacMillen for research assistance, Mayada El-Zoghbi for her support in catalyzing this study, and the senior management and staff at Tamweelcom for their support and collaboration throughout this project. The authors would like to thank the editor, Eric Edmonds, and three anonymous referees for helpful comments, as well as Martin Kanz, Cynthia Kinan, David McKenzie, and Bilal Zia. The authors retained full intellectual freedom to report and interpret the results throughout the study. All errors and opinions are their own. A supplementary online appendix is available with this article at The World Bank Economic Review website.</t>
  </si>
  <si>
    <t>10.1093/wber/lhaa010</t>
  </si>
  <si>
    <t>UV3SX</t>
  </si>
  <si>
    <t>WOS:000699403800005</t>
  </si>
  <si>
    <t>Singhania, M; Chadha, G; Prasad, R</t>
  </si>
  <si>
    <t>Singhania, Monica; Chadha, Gurmani; Prasad, Renuka</t>
  </si>
  <si>
    <t>Sustainable finance research: Review and agenda</t>
  </si>
  <si>
    <t>sustainable finance; climate finance; green finance; scientometric; blockchain; artificial intelligence; SDGs</t>
  </si>
  <si>
    <t>SOCIAL IMPACT BONDS; BIBLIOMETRIC ANALYSIS; CLIMATE FINANCE; CARBON FINANCE; EMERGING TRENDS; GREEN BOND; COCITATION; ENERGY; ADAPTATION; MARKETS</t>
  </si>
  <si>
    <t>Amidst increased climatic disasters, persisting social evils, and governance concerns, sustainable finance and its new and innovative financial instruments have gained prominence across stakeholders globally. Green, social sustainability, sustainability-linked, and transition (collectively GSS+) debt have a market worth USD 3.9 trillion since 2007 (Climate Bonds Initiative, 2018). We provide a comprehensive review of the evolution and future research directions of the sustainable finance research field by analysing overall publication trends, subject categories, co-authorship networks, keywords, countries and institutions, journal co-citation, and cluster analysis. Findings include the emergent need for greater collaboration among authors globally. Future research directions include research questions for themes such as carbon emission trading, financial inclusion, reporting of proceeds related to sustainable finance to prevent greenwashing, the impact of climate change and climate finance on sustainable finance, mobilisation of sustainable finance through green bonds, and technological interactions between sustainable finance and blockchain and artificial intelligence. The study also provides implications for the stakeholders.</t>
  </si>
  <si>
    <t>[Singhania, Monica; Chadha, Gurmani; Prasad, Renuka] Univ Delhi, Fac Management Studies FMS, New Delhi, India</t>
  </si>
  <si>
    <t>Prasad, R (corresponding author), Univ Delhi, Fac Management Studies FMS, New Delhi, India.</t>
  </si>
  <si>
    <t>renuka.phd20@fms.edu</t>
  </si>
  <si>
    <t>Prasad, Renuka/0000-0001-6263-9887; CHADHA, GURMANI/0000-0001-8593-0992</t>
  </si>
  <si>
    <t>10.1002/ijfe.2854</t>
  </si>
  <si>
    <t>J8C4L</t>
  </si>
  <si>
    <t>WOS:001035837400001</t>
  </si>
  <si>
    <t>Wang, S</t>
  </si>
  <si>
    <t>Wang, Song</t>
  </si>
  <si>
    <t>Risk preference, payday loans and other alternative financial services</t>
  </si>
  <si>
    <t>Risk preference; Payday loans; Alternative financial services</t>
  </si>
  <si>
    <t>WILL</t>
  </si>
  <si>
    <t>PurposeThe purpose of this paper is to examine how individual risk preference influences the borrowing of payday loans - a prevalent type of cash loan in the USA with exorbitantly high-interest rates. Additionally, this paper tests how risk preference determines other alternative financial services (AFS), including pawn shops, rent-to-own purchases, title loans, etc.Design/methodology/approachThe author applies Probit and Tobit regressions to test the relationship between individual risk preference and payday borrowing, based on the state-by-state survey data from National Financial Capability Study (NFCS) sponsored by Financial Industry Regulatory Authority (FINRA) Investor Education Foundation.FindingsIndividuals with higher risk tolerance are more likely to borrow payday loans and other AFS, after controlling for financial situation, financial literacy, overconfidence and demographic features.Originality/valueThis paper is the first to study risk preference as an explanation to the high cost and widely used payday loan services in the United States of America. This study provides evidence that these cash loans are determined by inherent human characteristics. The finding provides new insight for the policymakers and regulators in the consumer debt market.</t>
  </si>
  <si>
    <t>[Wang, Song] Angelo State Univ, Dept Accounting Econ &amp; Finance, San Angelo, TX 76909 USA</t>
  </si>
  <si>
    <t>Texas Tech University System; Angelo State University</t>
  </si>
  <si>
    <t>Wang, S (corresponding author), Angelo State Univ, Dept Accounting Econ &amp; Finance, San Angelo, TX 76909 USA.</t>
  </si>
  <si>
    <t>song.wang@angelo.edu</t>
  </si>
  <si>
    <t>Wang, Solomon/0000-0002-8173-4721</t>
  </si>
  <si>
    <t>The author acknowledges the Summer Research Grant from Saint Xavier University in 2021.; Saint Xavier University in 2021</t>
  </si>
  <si>
    <t>The author acknowledges the Summer Research Grant from Saint Xavier University in 2021.</t>
  </si>
  <si>
    <t>10.1108/RBF-04-2023-0099</t>
  </si>
  <si>
    <t>XA0Z3</t>
  </si>
  <si>
    <t>WOS:001102192400001</t>
  </si>
  <si>
    <t>Lashitew, AA; van Tulder, R; Muche, L</t>
  </si>
  <si>
    <t>Lashitew, Addisu A.; van Tulder, Rob; Muche, Lukas</t>
  </si>
  <si>
    <t>Social Value Creation in Institutional Voids: A Business Model Perspective</t>
  </si>
  <si>
    <t>base of the pyramid (BoP); business models; institutional voids; M-Pesa; social value</t>
  </si>
  <si>
    <t>EMERGING MARKETS; ENTREPRENEURSHIP; INNOVATION; BASE; COORDINATION; ARCHITECTURE; COSTS; FOCUS</t>
  </si>
  <si>
    <t>The literature on Base of the Pyramid (BoP) strategies emphasizes that creating social value requires collaborative, multi-stakeholder business approaches. However, there is limited understanding of how businesses can successfully coordinate such value creation processes in the developing economies that face significant institutional voids. This study adopts a business model perspective for analyzing social value creation processes that span organizational boundaries. We introduce a novel, theoretically grounded business model framework that helps conceptualize social value by locating the various loci of value creation, and the stakeholders that partake in creating and capturing this value. We subsequently analyze the mechanisms of social value creation in M-Pesa, a renowned boundary-spanning mobile money system that has advanced financial inclusion among tens of millions of users in Kenya. The results show that information and communications technology can help advance social value creation by reducing the cost of coordinating boundary-spanning business models that integrate diverse societal stakeholders. The results further point to uneven distributional outcomes in self-governing social value creation strategies where the focal firm plays a coordinating role.</t>
  </si>
  <si>
    <t>[Lashitew, Addisu A.] Brookings Inst, Global Econ &amp; Dev Program, Washington, DC 20036 USA; [van Tulder, Rob] Erasmus Univ, Int Business Soc Management, Rotterdam Sch Management RSM, Rotterdam, Netherlands; [Muche, Lukas] Erasmus Univ, Rotterdam Sch Management, Global Business &amp; Sustainabil, Rotterdam, Netherlands</t>
  </si>
  <si>
    <t>Brookings Institution; Erasmus University Rotterdam; Erasmus University Rotterdam - Excl Erasmus MC; Erasmus University Rotterdam - Excl Erasmus MC; Erasmus University Rotterdam</t>
  </si>
  <si>
    <t>van Tulder, R (corresponding author), Erasmus Univ, Rotterdam Sch Management, Burgemeester Oudlaan 50, NL-3062 Rotterdam, Netherlands.</t>
  </si>
  <si>
    <t>rtulder@rsm.nl</t>
  </si>
  <si>
    <t>Ministry of Foreign Affairs of The Netherlands through NWO-WOTRO [W 08.350.102]</t>
  </si>
  <si>
    <t>Ministry of Foreign Affairs of The Netherlands through NWO-WOTRO</t>
  </si>
  <si>
    <t>The author(s) disclosed receipt of the following financial support for the research, authorship, and/or publication of this article: This work was funded by the Ministry of Foreign Affairs of The Netherlands through NWO-WOTRO as part of the research agenda of the Knowledge Platform for Development Policies (Grant Number W 08.350.102).</t>
  </si>
  <si>
    <t>10.1177/0007650320982283</t>
  </si>
  <si>
    <t>6E9VZ</t>
  </si>
  <si>
    <t>WOS:000609718000001</t>
  </si>
  <si>
    <t>Rizwan, A; Mustafa, F</t>
  </si>
  <si>
    <t>Rizwan, Amina; Mustafa, Faisal</t>
  </si>
  <si>
    <t>Fintech Attaining Sustainable Development: An Investor Perspective of Crowdfunding Platforms in a Developing Country</t>
  </si>
  <si>
    <t>crowdfunding; fintech; sustainable development; trust; SEM; investor's intention</t>
  </si>
  <si>
    <t>PLANNED BEHAVIOR; TRUST; ECONOMIES; COMMERCE; LOYALTY; RISK</t>
  </si>
  <si>
    <t>Crowdfunding is a successful disruptive innovation of fintech that substitutes financial intermediaries and contributes toward financial inclusion and sustainable development. The present research aimed at exploring the underlying determinant factors that shape the investors' intentions to fund in a crowdfunding platform, a phenomenon still under-researched in the developing world. To bridge this void in the literature, we investigated how calculus and relational trust mediate the effects of perceived accreditation, blockchain technology, structural assurance, and third-party seal on the investors' intention using the SEM technique to analyze the data collected from 110 platform investors in Pakistan. Findings suggest that third-party seal and blockchain technology strongly influence the calculus trust. While the investors' intention to invest is mediated by calculus trust, the relational trust fails to show any mediation effect, suggesting that investors make investment decisions based on what makes sense to them cognitively instead of affectively. The research was concluded with implications for both theory and practice.</t>
  </si>
  <si>
    <t>[Rizwan, Amina; Mustafa, Faisal] Univ Cent Punjab, Fac Management Studies, Lahore 54000, Pakistan</t>
  </si>
  <si>
    <t>University of Central Punjab</t>
  </si>
  <si>
    <t>Rizwan, A (corresponding author), Univ Cent Punjab, Fac Management Studies, Lahore 54000, Pakistan.</t>
  </si>
  <si>
    <t>amina.rizwan@ucp.edu.pk; drfmmalik@gmail.com</t>
  </si>
  <si>
    <t>rizwan, amina/HTS-0670-2023</t>
  </si>
  <si>
    <t>10.3390/su14127114</t>
  </si>
  <si>
    <t>2L1XL</t>
  </si>
  <si>
    <t>WOS:000816814800001</t>
  </si>
  <si>
    <t>Gourrier, A</t>
  </si>
  <si>
    <t>Gourrier, Al G.</t>
  </si>
  <si>
    <t>Banking the Black Community: An Analysis of Banking Among Baltimore's Predominately Black Communities</t>
  </si>
  <si>
    <t>PUBLIC INTEGRITY</t>
  </si>
  <si>
    <t>banking deserts; Black banking; community development; financial inclusion; CRA</t>
  </si>
  <si>
    <t>OWNED BANKS; BOARD</t>
  </si>
  <si>
    <t>For decades, Baltimore has been negatively impacted by concentrated poverty, high levels of segregation, and crime. But the stereotypes of the city often identified as Charm City suffer from a distinct set of initiatives that produce Banking Deserts in the city's predominantly Black neighborhoods. Inadequate access to financial services leaves a community susceptive to predatory lending institutions which only create a cycle of unethical financial service practices. In addition to the lack of financial services, the absence of banking in Black communities restricts access to capital and the overall financial literacy of its residents. This research explores some of the root causes of the city's racial and social-economic divide through the lens of critical race theory (CRT), as well as analyzes where the city is today. The study looks at historical legislation that caused systematic failure and perpetuated decades of discriminatory practices and the Community Reinvestment Act (CRA) which was designed to address the access challenge in underserved communities. The decades of social inequities in Charm City, have left a social and economic divide in the city, requiring corrective action and aggressive systematic change.</t>
  </si>
  <si>
    <t>[Gourrier, Al G.] Univ Baltimore, Baltimore, MD 21201 USA</t>
  </si>
  <si>
    <t>University System of Maryland; University of Baltimore</t>
  </si>
  <si>
    <t>Gourrier, A (corresponding author), Univ Baltimore, Coll Publ Affairs, 1420 N Charles St, Baltimore, MD 21201 USA.</t>
  </si>
  <si>
    <t>agourrier@ubalt.edu</t>
  </si>
  <si>
    <t>1099-9922</t>
  </si>
  <si>
    <t>1558-0989</t>
  </si>
  <si>
    <t>PUBLIC INTEGR</t>
  </si>
  <si>
    <t>Public Integr.</t>
  </si>
  <si>
    <t>10.1080/10999922.2021.1932329</t>
  </si>
  <si>
    <t>WU7UM</t>
  </si>
  <si>
    <t>WOS:000716746400003</t>
  </si>
  <si>
    <t>Rajpal, S; Manglani, A</t>
  </si>
  <si>
    <t>Rajpal, Shubham; Manglani, Amit</t>
  </si>
  <si>
    <t>Drivers of FinTech adoption: insights from a global review of recent literature</t>
  </si>
  <si>
    <t>ACCOUNTING RESEARCH JOURNAL</t>
  </si>
  <si>
    <t>Fintech; Adoption; TAM; UTAUT; Systematic literature review</t>
  </si>
  <si>
    <t>USER ACCEPTANCE; TECHNOLOGY</t>
  </si>
  <si>
    <t>PurposeThe purpose of this study is to investigate and synthesise the key drivers influencing FinTech adoption globally, highlighting how FinTech has revolutionised the worldwide financial landscape by redefining service provision, business processes, and customer engagement.Design/methodology/approachThis research extracts studies from Scopus literature, spanning 2019-2023, to uncover and synthesise the drivers of FinTech adoption factors. Academic rigour was established by including only peer-reviewed journal articles, which were screened using rigorous inclusion criteria, allowing 16 articles to be included.FindingsThe results suggest that adoption is influenced by trust, perceived usefulness, ease-of-use, social influence, financial literacy, regulatory support and perceived risk among others. Predominant theoretical lenses included TAM and UTAUT.Originality/valueThe study also suggests that there are contrasting factors in developed and developing countries, where financial inclusion and government initiatives drives wallets adoption in the latter, while data security and consumer convenience does so with the former. By synthesising disparate evidence, the review provides a higher-order construct of FinTech adoption in different regions of the world addressing interests for scholars as well as policy and industry communities.</t>
  </si>
  <si>
    <t>[Rajpal, Shubham; Manglani, Amit] Guru Ghasidas Vishwavidyalaya, Dept Commerce, Bilaspur, India; [Rajpal, Shubham] ITM Univ, Sch Commerce Management &amp; Res, Raipur, India; [Manglani, Amit] Univ Allahabad, Dept Commerce &amp; Business Adm, Prayagraj, India</t>
  </si>
  <si>
    <t>Guru Ghasidas Vishwavidyalaya; ITM University Raipur; University of Allahabad</t>
  </si>
  <si>
    <t>Manglani, A (corresponding author), Guru Ghasidas Vishwavidyalaya, Dept Commerce, Bilaspur, India.;Manglani, A (corresponding author), Univ Allahabad, Dept Commerce &amp; Business Adm, Prayagraj, India.</t>
  </si>
  <si>
    <t>rajpalshubham32@gmail.com; amit.manglani@allduniv.ac.in</t>
  </si>
  <si>
    <t>1030-9616</t>
  </si>
  <si>
    <t>1839-5465</t>
  </si>
  <si>
    <t>ACCOUNT RES J</t>
  </si>
  <si>
    <t>Account. Res. J.</t>
  </si>
  <si>
    <t>2025 DEC 3</t>
  </si>
  <si>
    <t>10.1108/ARJ-11-2024-0375</t>
  </si>
  <si>
    <t>K3618</t>
  </si>
  <si>
    <t>WOS:001628478900001</t>
  </si>
  <si>
    <t>Rutecka-Gora, J; Pienkowska-Kamieniecka, S; Walczak, D</t>
  </si>
  <si>
    <t>Rutecka-Gora, Joanna; Pienkowska-Kamieniecka, Sylwia; Walczak, Damian</t>
  </si>
  <si>
    <t>Retirement attitudes in Poland and Southeast Europe</t>
  </si>
  <si>
    <t>Old Age; Pension System; Savings; Retirement Security; Retirement Planning; H55; G53; D14</t>
  </si>
  <si>
    <t>The paper aims to present the retirement attitudes of individuals in Poland and Southeastern European countries. In our study, we have shown that many factors influence retirement decisions. These decisions are influenced by the state-guaranteed pension level and the individual's perception of this security, and individual retirement savings. Socio-demographic characteristics such as age and gender also play a crucial role in shaping these decisions. Firstly, our study shows that age has a statistically significant effect on stated attitudes towards the state pension. For each additional year of life, the odds of respondents stating that they will cover their expenses in old age by drawing a state pension increase by 4,4% (Poland) and 1% (Southeastern Europe). Secondly, respondents identified the state as the primary source of retirement security. This trend is observed in both Poland and other European countries. The data used in the article comes from national surveys conducted using the updated 2018 OECD/INFE Toolkit for measuring financial literacy and financial inclusion. The analyses in this article cover Poland and seven Southeastern European countries that participated in the OECD/INFE survey (Bulgaria, Croatia, Georgia, North Macedonia, Moldova, Montenegro, and Romania).</t>
  </si>
  <si>
    <t>[Rutecka-Gora, Joanna] Warsaw Sch Econ, Warsaw, Poland; [Pienkowska-Kamieniecka, Sylwia] Univ Warmia &amp; Mazury, Olsztyn, Poland; [Walczak, Damian] Nicolaus Copernicus Univ, Torun, Poland</t>
  </si>
  <si>
    <t>Warsaw School of Economics; University of Warmia &amp; Mazury; Nicolaus Copernicus University</t>
  </si>
  <si>
    <t>jrutec@sgh.waw.pl; sylwia.pienkowska@uwm.edu.pl; dwalczak@umk.pl</t>
  </si>
  <si>
    <t>Rutecka-Góra, Joanna/HGE-5696-2022; Pieńkowska-Kamieniecka, Sylwia/L-3598-2017; Walczak, Damian/K-1331-2014</t>
  </si>
  <si>
    <t>10.2478/fiqf-2025-0030</t>
  </si>
  <si>
    <t>AJ8XU</t>
  </si>
  <si>
    <t>WOS:001649865000005</t>
  </si>
  <si>
    <t>Venkatraja, B</t>
  </si>
  <si>
    <t>Venkatraja, B.</t>
  </si>
  <si>
    <t>Are SHGs catalysts of inclusive sustainable rural development? Impact assessment of SKDRDP interventions in India</t>
  </si>
  <si>
    <t>INTERNATIONAL JOURNAL OF SUSTAINABLE DEVELOPMENT AND WORLD ECOLOGY</t>
  </si>
  <si>
    <t>SHGs; rural development; microfinance; inclusive growth; impact measurement</t>
  </si>
  <si>
    <t>SELF-HELP GROUPS; EMPOWERING WOMEN; PROGRAM; POVERTY</t>
  </si>
  <si>
    <t>The objective of this study is to analyse whether self-help groups (SHGs) play catalyst role in the inclusive and sustainable development of rural poor. This has been empirically examined in Indian scenario with a specific case of SHGs promoted by Shri Kshetra Dharmasthala Rural Development Project (SKDRDP), using secondary and primary data. A sample survey of 419 SKDRDP-promoted SHG members was conducted in Dakshina Kannada and Madikeri districts of Karnataka state in India. The data collected are analysed by adopting factor analysis technique. The results exhibit that SKDRDP-promoted SHGs contribute significantly to reforms in the society, enhance the capability of rural poor, and enable economic well-being and financial inclusion of the poor. Thus, SHG activities enable inclusive and sustainable rural development. The results have significant implications to the policymakers, non-government organisations, and local government organisations of underdeveloped economies.</t>
  </si>
  <si>
    <t>[Venkatraja, B.] SDMIMD, Dept Econ, Mysore, Karnataka, India</t>
  </si>
  <si>
    <t>Venkatraja, B (corresponding author), SDMIMD, Dept Econ, Mysore, Karnataka, India.</t>
  </si>
  <si>
    <t>venkatraja@sdmimd.ac.in</t>
  </si>
  <si>
    <t>b, venkatraja/0000-0002-1895-4609</t>
  </si>
  <si>
    <t>Shri Dharmasthala Manjunatheshwara Institute for Management Development</t>
  </si>
  <si>
    <t>This work was supported by the Shri Dharmasthala Manjunatheshwara Institute for Management Development.</t>
  </si>
  <si>
    <t>1350-4509</t>
  </si>
  <si>
    <t>1745-2627</t>
  </si>
  <si>
    <t>INT J SUST DEV WORLD</t>
  </si>
  <si>
    <t>Int. J. Sustain. Dev. World Ecol.</t>
  </si>
  <si>
    <t>10.1080/13504509.2019.1579766</t>
  </si>
  <si>
    <t>Green &amp; Sustainable Science &amp; Technology; Ecology</t>
  </si>
  <si>
    <t>HY0CU</t>
  </si>
  <si>
    <t>WOS:000467779000003</t>
  </si>
  <si>
    <t>Popkova, EG; Sergi, BS</t>
  </si>
  <si>
    <t>Popkova, Elena G.; Sergi, Bruno S.</t>
  </si>
  <si>
    <t>A Digital Economy to Develop Policy Related to Transport and Logistics. Predictive Lessons from Russia</t>
  </si>
  <si>
    <t>LAND USE POLICY</t>
  </si>
  <si>
    <t>Digitalization; Transport and logistics; Business; Industry 4.0; Digital technologies</t>
  </si>
  <si>
    <t>LAND-USE; INDUSTRY 4.0; NETWORKS; PERFORMANCE; MANAGEMENT; IMPACT</t>
  </si>
  <si>
    <t>This paper aims to explain how the digital economy might unfold new possibilities for optimizing the transport and logistics complex in Russia. This paper develops a new conceptual scenario model and a unique algorithm to show that investing in digital technologies is a critical move in Russia. Blockchain, Big Data, the Internet of Things, virtual reality, and artificial intelligence would be strengthened by ample access to finance, technology availability, government support, and consumers' preferences. Although this paper makes use of Russia's system data where the contribution of transport and logistics in the GDP growth could reach 15-20 % by 2020, our findings may have applicability beyond the Russian case and definitively matter in a broader context of Eastern Europe and Central Asia.</t>
  </si>
  <si>
    <t>[Popkova, Elena G.] Moscow State Inst Int Relat MGIMO, Moscow, Russia; [Sergi, Bruno S.] Harvard Univ, Cambridge, MA 02138 USA; [Sergi, Bruno S.] Univ Messina, Messina, Italy</t>
  </si>
  <si>
    <t>MGIMO University; Harvard University; University of Messina</t>
  </si>
  <si>
    <t>Popkova, EG (corresponding author), Moscow State Inst Int Relat MGIMO, Moscow, Russia.</t>
  </si>
  <si>
    <t>elenapopkova@yahoo.com; bsergi@fas.harvard.edu</t>
  </si>
  <si>
    <t>Popkova, Elena/C-8484-2014; Sergi, Bruno Sergio/AAT-7504-2020</t>
  </si>
  <si>
    <t>Sergi, Bruno Sergio/0000-0002-5050-5651</t>
  </si>
  <si>
    <t>0264-8377</t>
  </si>
  <si>
    <t>1873-5754</t>
  </si>
  <si>
    <t>Land Use Pol.</t>
  </si>
  <si>
    <t>10.1016/j.landusepol.2020.105083</t>
  </si>
  <si>
    <t>OY8JT</t>
  </si>
  <si>
    <t>WOS:000594488100007</t>
  </si>
  <si>
    <t>Köhn, S; Siré, N</t>
  </si>
  <si>
    <t>Kohn, Steffen; Sire, Nestor</t>
  </si>
  <si>
    <t>Virtual Pets, Real Precarity: Crypto Gaming as Speculative Labor in Inflation-Ridden Cuba</t>
  </si>
  <si>
    <t>blockchain; crypto games; cryptocurrencies; economic crisis; inflation; play-to-earn</t>
  </si>
  <si>
    <t>This article examines how Axie Infinity, a play-to-earn crypto game, became a precarious source of income for young Cubans amid an ongoing economic crisis. Against the backdrop of the COVID-19 pandemic, intensified US sanctions, and a destabilizing currency reform, Cuba has faced severe shortages, runaway inflation, and growing social unrest. In this context, Axie Infinity offered an unexpected digital lifeline: Players could earn income by battling and trading blockchain-based assets, gaining rare access to the global crypto economy. Yet participation required significant upfront investment and often depended on exploitative scholarship arrangements that reproduced existing racial, class, and gendered inequalities. Drawing on long-term ethnographic fieldwork in Havana and Matanzas, this study traces how Cuban players navigated complex onboarding processes, technical barriers, and informal exchange networks to transform in-game earnings into usable currency. It argues that play-to-earn games embed financial speculation into everyday life, blurring distinctions between work and play and between formal and informal economies. By combining insights from the anthropology of play and digital labor, the article theorizes serious play as a moralized and monetized practice-one that conceals precarity behind gamified interfaces and reward systems. In doing so, it complicates celebratory narratives about blockchain as a vehicle for financial inclusion and instead reveals how these platforms extend speculative capitalism into new and deeply unequal terrain.</t>
  </si>
  <si>
    <t>[Kohn, Steffen] Aarhus Univ, Dept Anthropol, Aarhus, Denmark</t>
  </si>
  <si>
    <t>Aarhus University</t>
  </si>
  <si>
    <t>Köhn, S (corresponding author), Aarhus Univ, Dept Anthropol, Aarhus, Denmark.</t>
  </si>
  <si>
    <t>steffenkoehn@cas.au.dk</t>
  </si>
  <si>
    <t>Danmarks Frie Forskningsfond [43158]</t>
  </si>
  <si>
    <t>Danmarks Frie Forskningsfond</t>
  </si>
  <si>
    <t>This work was supported by Danmarks Frie Forskningsfond, 43158.</t>
  </si>
  <si>
    <t>2025 DEC 17</t>
  </si>
  <si>
    <t>10.1002/sea2.70031</t>
  </si>
  <si>
    <t>X2721</t>
  </si>
  <si>
    <t>WOS:001640440600001</t>
  </si>
  <si>
    <t>Extending the Theory of Planned Behavior in financial inclusion participation model - evidence from an emerging economy</t>
  </si>
  <si>
    <t>Access to banking and digital channels; awareness; government support; financial inclusion participation behavior; theory of planned behavior; Aye Goodness, University of Agriculture, Benue, Nigeria; Banking; Statistics for Business; Finance &amp; Economics; Development Economics</t>
  </si>
  <si>
    <t>CONSUMPTION</t>
  </si>
  <si>
    <t>Recently, researchers have deployed the Theory of Planned Behavior (TPB) to examine factors influencing financial inclusion participation behaviour. However, more must be made to expand the theory by integrating sectoral and contextual variables. Hence, this study extends TPB by intergrating additional financial inclusion participation behavior determinants in Nigeria, an emerging economy. The study employed a quantitative research methodology with a positivist research design. The target population included 23 million adults aged 15 years and above in Northwest Nigeria. From this population, a sample of 500 adults was selected using a stratified simple random sampling technique. Data from the sample was collected through survey questionnaires and analyzed using Partial Least Squares Structural Equation Modeling (PLS-SEM). The findings revealed that all the original TPB variables, attitude, subjective norms, perceived behavioural control, and behavioural Intention, strongly influenced financial inclusion participation. It was also found that of the three new variables included, awareness and government support significantly influenced financial inclusion participation behaviour. In contrast, access to banking and digital channels was found to be insignificant. These findings imply that for better financial inclusion and participation, the government should play a proactive role in ensuring essential awareness about new banking products and services, especially those that align with the dominant religious beliefs of the Northwestern region, such as Shariah-compliant banking products and services. Additionally, policy support should be extended to enhance access to banking and digital channels for Nigeria's underserved communities.</t>
  </si>
  <si>
    <t>[Musa, Haruna; Ahmad, Nor Hayati Binti; Nor, Alias Mat] Univ Utara Malaysia, Islamic Business Sch, Sintok, Malaysia; [Musa, Haruna] Jaiz Bank Plc, Garki, Nigeria</t>
  </si>
  <si>
    <t>Musa, H (corresponding author), Univ Utara Malaysia, Islamic Business Sch, Sintok, Malaysia.</t>
  </si>
  <si>
    <t>Central Bank of Nigeria (CBN) Financial Inclusion Secretariat and Enhancing Financial Innovation and Access (EFInA), Lagos, Nigeria</t>
  </si>
  <si>
    <t>The researchers wish to acknowledge the support of the Central Bank of Nigeria (CBN) Financial Inclusion Secretariat and Enhancing Financial Innovation and Access (EFInA), Lagos, Nigeria, for providing the necessary statistics on Financial Inclusion in Nigeria. We would also like to thank the research assistants for their efforts and perseverance throughout the data collection process.</t>
  </si>
  <si>
    <t>10.1080/23322039.2024.2306536</t>
  </si>
  <si>
    <t>JQ8G0</t>
  </si>
  <si>
    <t>WOS:001174716100001</t>
  </si>
  <si>
    <t>Misra, H</t>
  </si>
  <si>
    <t>Teran, L; Meier, A</t>
  </si>
  <si>
    <t>Misra, Harekrishna</t>
  </si>
  <si>
    <t>Facilitating Financial Inclusion Through E-Governance: Case Based Study in Indian Scenario</t>
  </si>
  <si>
    <t>2017 FOURTH INTERNATIONAL CONFERENCE ON EDEMOCRACY &amp; EGOVERNMENT (ICEDEG)</t>
  </si>
  <si>
    <t>4th International Conference on eDemocracy and eGovernment (ICEDEG)</t>
  </si>
  <si>
    <t>APR 19-21, 2017</t>
  </si>
  <si>
    <t>Escuela Super Politecnica Litoral,Inst Altos Estudios Nacionales,Secretariat Higher Educ Sci Technol &amp; Innovat,Univ Las Americas,Univ Fuerzas Armadas,Univ Tecnica Ambato,Univ Fribourg,IEEE Comp Soc,IEEE Reg 9,Inst Elect &amp; Elect Engineers</t>
  </si>
  <si>
    <t>Financial Inclusion; E-Governance Services; Convergence; Sustainable Development Goals; Measurement Models; Business Correspondent; Inclusive Governance; Technology Acceptance</t>
  </si>
  <si>
    <t>with the mandates of Millennium development goals followed by sustainable development goals, the United Nations have argued in favour of eradicating poverty and achieving economic growth with equitable access to resources. Financial inclusion that aims at extending financial and related services to all citizens is considered an important contributor to development. It is argued that financial inclusion, as a strategy, would encourage citizens to enhance their activity portfolios and would encourage savings, empower women, facilitate remittance, boost production and consumption. E-Governance services are aimed at interventions with the primary purpose of enhancing citizen engagements on line, creating enabling conditions for interactions. Focus of E-Governance services is also on empowering citizens with the scope to reduce information asymmetry, transact on line; establish networks to augment their activities in production, consumption, income, expenditure, access to government services and participation in decision making etc. Therefore, it is important to explore the scope for E-Governance strategies to support financial inclusion services and provide synergy. In India there are considerable efforts to foster financial inclusion and E-Governance (NeGP V.2.0). This paper seeks to explore whether these two efforts have progressed for convergence and assess the present status through a proposed framework and case based study in Indian context.</t>
  </si>
  <si>
    <t>[Misra, Harekrishna] Inst Rural Management Anand, Dept IT &amp; Syst, Anand, Gujarat, India</t>
  </si>
  <si>
    <t>Misra, H (corresponding author), Inst Rural Management Anand, Dept IT &amp; Syst, Anand, Gujarat, India.</t>
  </si>
  <si>
    <t>hkmishra@irma.ac.in</t>
  </si>
  <si>
    <t>Misra, Harekrishna/0000-0002-3792-1474</t>
  </si>
  <si>
    <t>978-1-5090-4830-4</t>
  </si>
  <si>
    <t>Computer Science, Interdisciplinary Applications; Computer Science, Theory &amp; Methods; Political Science</t>
  </si>
  <si>
    <t>Computer Science; Government &amp; Law</t>
  </si>
  <si>
    <t>BM4XR</t>
  </si>
  <si>
    <t>WOS:000464415600038</t>
  </si>
  <si>
    <t>Rashid, S</t>
  </si>
  <si>
    <t>Rashid, Sungida</t>
  </si>
  <si>
    <t>Impact of COVID-19 Movement Restrictions on Mobile Financing Services (MFSs) in Bangladesh</t>
  </si>
  <si>
    <t>financial inclusion; mobile financing services (MFSs); ARDL; bound test; COVID-19; Bangladesh; C22; G20; G21; G28</t>
  </si>
  <si>
    <t>INTENTION; USAGE</t>
  </si>
  <si>
    <t>According to the National Financial Inclusion Strategy (NFIS), Bangladesh aims to achieve a 100% financial inclusion target by 2026 through mobile financing services (MFSs). However, despite several efforts, the financial inclusion score remained only 53% at the end of 2021, compared to 50% in 2017. A substantial proportion of this growth came through MFSs during the COVID-19 pandemic. This article investigates the short-run and long-run influence of COVID-19 movement restriction orders on MFSs. An autoregressive distributed lag model (ARDL) is applied to the monthly transaction data over the period of December 2016 to May 2022 of the three most popular MFSs. Movement restriction orders are associated with a significant increase in person-to-person transactions (P2P) and person-to-business transactions (P2B) in the long run, but the effect is positive and statistically insignificant for remittance transfer. Furthermore, using the volume of ATM transactions as a measure of financial inclusion, this study confirms the crucial role of movement restriction orders in intensifying the financial inclusion of Bangladesh through MFSs. The coefficients of error correction models (ECM) indicate that policymakers must act promptly to develop actionable strategies to maintain the short run momentum of the demand for MFSs to achieve the national target.</t>
  </si>
  <si>
    <t>[Rashid, Sungida] North South Univ, Sch Business &amp; Econ, Dept Management, Dhaka 1229, Bangladesh</t>
  </si>
  <si>
    <t>North South University (NSU)</t>
  </si>
  <si>
    <t>Rashid, S (corresponding author), North South Univ, Sch Business &amp; Econ, Dept Management, Dhaka 1229, Bangladesh.</t>
  </si>
  <si>
    <t>sungida.rashid@siu.edu</t>
  </si>
  <si>
    <t>DEC 21</t>
  </si>
  <si>
    <t>10.3390/fintech3010001</t>
  </si>
  <si>
    <t>7JR4W</t>
  </si>
  <si>
    <t>WOS:001572629800001</t>
  </si>
  <si>
    <t>Lavinas, L</t>
  </si>
  <si>
    <t>Lavinas, Lena</t>
  </si>
  <si>
    <t>The Collateralization of Social Policy under Financialized Capitalism</t>
  </si>
  <si>
    <t>WELFARE</t>
  </si>
  <si>
    <t>This article examines how financialized capitalism has radically subverted the role and logic of social policy, provoking a sea change in the realm of social welfare, particularly in the global South, and breaking with previous frameworks which were grounded in principles of redistribution. In the process, new blueprints have emerged which raise concerns: re-commodification has replaced de-commodification; and debt, through financial inclusion, now serves as an alternative to exclusion. Drawing on the Brazilian case, the author scrutinizes the social protection paradigm that tends to prevail in the developing world in the 21st century, based on microfinance, conditional cash transfers, basic pensions and social floors. The author's assumption is that we are witnessing the collateralization of social policy: credit and debt, along with new financial devices, are becoming the cornerstones of what used to be social protection systems, so as to respond to the needs of finance-dominated capitalism. As a result, economic insecurity is likely to increase, accentuating inequality trends and exacerbating vulnerability.</t>
  </si>
  <si>
    <t>[Lavinas, Lena] Univ Fed Rio de Janeiro, Inst Econ, Welf Econ, Rio De Janeiro, Brazil; Brazilian Natl Res Council CNPQ, Level 1, Rio De Janeiro, Brazil</t>
  </si>
  <si>
    <t>Universidade Federal do Rio de Janeiro</t>
  </si>
  <si>
    <t>Lavinas, L (corresponding author), Univ Fed Rio de Janeiro, Inst Econ, Welf Econ, Rio De Janeiro, Brazil.</t>
  </si>
  <si>
    <t>lenalavinas@gmail.com</t>
  </si>
  <si>
    <t>10.1111/dech.12370</t>
  </si>
  <si>
    <t>WOS:000427006500012</t>
  </si>
  <si>
    <t>Banna, H; Hassan, MK; Rashid, M</t>
  </si>
  <si>
    <t>Banna, Hasanul; Hassan, M. Kabir; Rashid, Mamunur</t>
  </si>
  <si>
    <t>Fintech-based financial inclusion and bank risk-taking: Evidence from OIC countries</t>
  </si>
  <si>
    <t>Banks' risk-taking; Z-score; Fintech; Financial inclusion; Financial stability</t>
  </si>
  <si>
    <t>ISLAMIC BANKS; STABILITY; COMPETITION; LIQUIDITY; CRISIS; TIME</t>
  </si>
  <si>
    <t>Financial inclusion has gone beyond the rhetoric surrounding social development and financial stability, but also expanding into pathos of arbitrage benefits made from cheap retail deposits by large banks and banks from technologically developed regions. This study investigates whether a higher degree of fintech-based financial inclusion (FFI) intensifies banks' risk-taking by analysing data from 534 banks from 24 OIC countries. The results indicate that higher degree of FFI controls bank's risk-taking behaviour. The nexus turns stronger in the post-industrial revolution 4.0 (IR4.0) era. Our results are robust across multiple proxies and estimation methods. We discuss how competition surrounding investing in fintech may expose the banks towards severe uncertainty.</t>
  </si>
  <si>
    <t>[Banna, Hasanul] Manchester Metropolitan Univ, Business Sch, Dept Accounting Finance &amp; Banking, Manchester M15 6BH, Lancs, England; [Banna, Hasanul] Univ Malaya UM, Ungku Aziz Ctr Dev Studies, Kuala Lumpur 50603, Malaysia; [Hassan, M. Kabir] Univ New Orleans, Dept Econ &amp; Finance, New Orleans, LA 70148 USA; [Rashid, Mamunur] Univ Brunei Darussalam, Sch Business &amp; Econ, Gadong, Brunei</t>
  </si>
  <si>
    <t>Manchester Metropolitan University; Universiti Malaya; University of Louisiana System; University of New Orleans; University Brunei Darussalam</t>
  </si>
  <si>
    <t>Hassan, MK (corresponding author), Univ New Orleans, Dept Econ &amp; Finance, New Orleans, LA 70148 USA.</t>
  </si>
  <si>
    <t>b.banna@mmu.ac.uk; mhassan@uno.edu; mamunur.rashid@ubd.edu.bn</t>
  </si>
  <si>
    <t>Rashid, Mamunur/E-4441-2012; Banna, Hasanul/F-7482-2011; Hassan, M Kabir/D-5053-2012</t>
  </si>
  <si>
    <t>Rashid, Mamunur/0000-0002-6688-5740; Banna, Hasanul/0000-0002-6902-8525; Hassan, M Kabir/0000-0001-6274-3545</t>
  </si>
  <si>
    <t>10.1016/j.intfin.2021.101447</t>
  </si>
  <si>
    <t>WN9GM</t>
  </si>
  <si>
    <t>WOS:000712073800007</t>
  </si>
  <si>
    <t>Salleh, MNM; Alwi, S; Rosnan, H; Wahab, NA</t>
  </si>
  <si>
    <t>Salleh, Masrina Nadia Mohd; Alwi, Shaliza; Rosnan, Herwina; Wahab, Norwazli Abdul</t>
  </si>
  <si>
    <t>Exploring the impact of FinTech on sustainable development in Malaysia: an interpretative phenomenological analysis</t>
  </si>
  <si>
    <t>FinTech; Entrepreneurship; Innovation; Financial inclusion; Sustainable development goals; Interpretative phenomenological analysis; O3; O2; O38; O39; Q01</t>
  </si>
  <si>
    <t>ENTREPRENEURIAL ATTITUDES</t>
  </si>
  <si>
    <t>This study explores the cognitive and motivational factors influencing the innovative behaviors of Malaysian FinTech entrepreneurs and their contributions to the Sustainable Development Goals (SDGs), particularly in financial inclusion and economic growth. Using Interpretative Phenomenological Analysis (IPA), it examines the lived experiences of five entrepreneurs through semi-structured interviews and thematic analysis. The findings highlight how cognitive and affective factors shape decision-making, resilience, and adaptability in a rapidly evolving industry. This research links FinTech entrepreneurship to SDG 8 (Decent Work and Economic Growth), SDG 9 (Industry, Innovation, and Infrastructure), and SDG 10 (Reduced Inequality), underscoring its role in financial accessibility and sustainable development. It fills a gap in the literature by examining internal cognitive factors that drive innovation. The insights provide policymakers, educators, and industry stakeholders with strategies to foster a supportive FinTech ecosystem. Future research should explore the interactions between technology, regulations, and entrepreneurship, as well as cultural and regional differences. Longitudinal studies could track evolving cognitive and motivational influences. Examining global trends such as AI, blockchain, digital currencies, and ESG integration may further illuminate sustainable growth opportunities in Malaysia's FinTech sector.</t>
  </si>
  <si>
    <t>[Salleh, Masrina Nadia Mohd] UKM, Fak Ekon Dan Pengurusan, Bangi 43600, Selangor, Malaysia; [Alwi, Shaliza; Rosnan, Herwina] Univ Teknol MARA, Arshad Ayub Grad Business Sch, Shah Alam 40450, Selangor, Malaysia; [Wahab, Norwazli Abdul] UMPSA, Fak Ind Management, Pekan 26600, Pahang, Malaysia</t>
  </si>
  <si>
    <t>Universiti Kebangsaan Malaysia; Universiti Teknologi MARA</t>
  </si>
  <si>
    <t>Alwi, S (corresponding author), Univ Teknol MARA, Arshad Ayub Grad Business Sch, Shah Alam 40450, Selangor, Malaysia.</t>
  </si>
  <si>
    <t>shalizaalwi@uitm.edu.my</t>
  </si>
  <si>
    <t>; Rosnan, Herwina/AAC-9991-2020; Alwi, Shaliza/GYD-3265-2022</t>
  </si>
  <si>
    <t>MOHD SALLEH, MASRINA NADIA/0000-0002-5204-0317;</t>
  </si>
  <si>
    <t>AAGBS UiTM grant</t>
  </si>
  <si>
    <t>This work was supported by AAGBS UiTM grant.</t>
  </si>
  <si>
    <t>10.1007/s43621-025-01205-w</t>
  </si>
  <si>
    <t>2HV6J</t>
  </si>
  <si>
    <t>WOS:001483009900003</t>
  </si>
  <si>
    <t>Adu, DT; Hartarska, V</t>
  </si>
  <si>
    <t>Adu, Derick T.; Hartarska, Valentina</t>
  </si>
  <si>
    <t>Does cellphone banking change lives? Fintech, and poverty in Kenya</t>
  </si>
  <si>
    <t>Fintech; Kenya; M-Shwari; Synthetic control; Poverty</t>
  </si>
  <si>
    <t>FINANCIAL INCLUSION; ECONOMIC-GROWTH; IMPACT; COSTS</t>
  </si>
  <si>
    <t>Fintech is transforming financial markets globally by expanding access to financial services, particularly for individuals with limited access to traditional banking. While some scholars remain skeptical about its potential, others liken its impact to that of the Industrial Revolution. However, there is limited empirical evidence establishing a causal relationship between Fintech and economic outcomes. This study estimates the causal impact of Fintech on poverty in Kenya using data from 2000 to 2017. Employing the synthetic control method alongside multiple robustness checks, we assess the introduction of M-Shwari-a mobile-based digital credit and savings platform developed by the Commercial Bank of Africa and Safaricom Plc and targeting poor clients excluded from the formal financial system. Our findings indicate that this innovation has significantly reduced poverty: the per capita poverty rate below US$1.90 and US$3.20 decreased by 10% and 4%, respectively. Additionally, using the national poverty rate as a robustness check, we find a sustained decline of approximately 4%, further supporting our main results. These findings provide robust evidence of Fintech's role in poverty alleviation.</t>
  </si>
  <si>
    <t>[Adu, Derick T.] Alcorn State Univ, Dept Agr, Lorman, MS 39096 USA; [Hartarska, Valentina] Auburn Univ, Dept Agr Econ &amp; Rural Sociol, Auburn, AL 36849 USA</t>
  </si>
  <si>
    <t>Alcorn State University; Auburn University System; Auburn University</t>
  </si>
  <si>
    <t>Adu, DT (corresponding author), Alcorn State Univ, Dept Agr, Lorman, MS 39096 USA.</t>
  </si>
  <si>
    <t>dtadu@alcorn.edu; hartarska@auburn.edu</t>
  </si>
  <si>
    <t>Adu, Derick/E-6674-2017</t>
  </si>
  <si>
    <t>10.1016/j.worlddev.2025.107136</t>
  </si>
  <si>
    <t>5QN4T</t>
  </si>
  <si>
    <t>WOS:001541941600001</t>
  </si>
  <si>
    <t>Doss, CR; Deere, CD; Oduro, AD; Swaminathan, H; Catanzarite, Z; Suchitra, JY</t>
  </si>
  <si>
    <t>Doss, Cheryl R.; Deere, Carmen Diana; Oduro, Abena D.; Swaminathan, Hema; Catanzarite, Zachary; Suchitra, J. Y.</t>
  </si>
  <si>
    <t>Gendered Paths to Asset Accumulation? Markets, Savings, and Credit in Developing Countries</t>
  </si>
  <si>
    <t>Asset markets; inheritance; Ecuador; Ghana; India</t>
  </si>
  <si>
    <t>PROPERTY-RIGHTS; MICROFINANCE; WOMEN; INHERITANCE; BANKING; AFRICA; WEALTH; IMPACT</t>
  </si>
  <si>
    <t>An extensive literature shows how property inheritance is biased against women in many developing countries, yet relatively little attention has been given to gender bias in other means of acquiring physical assets, such as the market. Using individual-level data from Ecuador, Ghana, and Karnataka, India, this study analyzes modes of acquisition and financing of housing, agricultural land, other real estate, and businesses. The findings show that women acquire fewer of their assets through the market than men, and that in asset markets, both men and women are more likely to use their own savings than to use credit. The study also analyzes current loans for asset acquisition and finds that, in general, women tend to be somewhat disadvantaged in securing formal bank loans. The results suggest that financial inclusion to promote more gender equal access to accumulation of assets should focus on both savings and credit, with priority to savings.</t>
  </si>
  <si>
    <t>[Doss, Cheryl R.] Int Dev Oxford, 3 Mansfield Rd, Oxford, England; [Deere, Carmen Diana] Univ Florida, Ctr Latin Amer Studies, POB 115530, Gainesville, FL 32605 USA; [Oduro, Abena D.] Univ Ghana, Dept Econ, POB LG57, Legon, Ghana; [Swaminathan, Hema; Suchitra, J. Y.] IIMB, Bannerghatta Rd, Bangalore 560076, Karnataka, India; [Catanzarite, Zachary] Johns Hopkins Sch Publ Hlth, Dept Hlth Behav &amp; Soc, 615 North Wolfe St, Baltimore, MD 21205 USA</t>
  </si>
  <si>
    <t>State University System of Florida; University of Florida; University of Ghana; Indian Institute of Management (IIM System); Indian Institute of Management Bangalore; Johns Hopkins University; Johns Hopkins Bloomberg School of Public Health</t>
  </si>
  <si>
    <t>Doss, CR (corresponding author), Int Dev Oxford, 3 Mansfield Rd, Oxford, England.</t>
  </si>
  <si>
    <t>cheryl.doss@qeh.ox.ac.uk; deere@ufl.edu; abena.oduro@gmail.com; h.swaminathan@gmail.com; zacharycatanzarite@hotmail.com; suchitrajy@gmail.com</t>
  </si>
  <si>
    <t>; Catanzarite, Zachary/OOM-2260-2025</t>
  </si>
  <si>
    <t>Doss, Cheryl/0000-0001-8292-3295;</t>
  </si>
  <si>
    <t>UN Women; Vanguard Charitable Endowment Program</t>
  </si>
  <si>
    <t>This work was supported by UN Women; Vanguard Charitable Endowment Program.</t>
  </si>
  <si>
    <t>10.1080/13545701.2019.1566753</t>
  </si>
  <si>
    <t>HP5MS</t>
  </si>
  <si>
    <t>WOS:000461721800002</t>
  </si>
  <si>
    <t>Danquah, M; Iddrisu, AM; Quartey, P; Ohemeng, W; Barimah, A</t>
  </si>
  <si>
    <t>Danquah, Michael; Iddrisu, Abdul Malik; Quartey, Peter; Ohemeng, Williams; Barimah, Alfred</t>
  </si>
  <si>
    <t>Rural financial intermediation and poverty reduction in Ghana: A micro-level analysis</t>
  </si>
  <si>
    <t>financial inclusion; Ghana; poverty reduction; rural financial intermediation; welfare</t>
  </si>
  <si>
    <t>The financial sector in rural areas, where most of the poor people in sub-Saharan Africa are found, has transformed massively in recent times, notably through the increased penetration of several types of rural financial intermediaries in addition to rural and community banks and microfinance institutions. Using recent household survey data, we ascertain the access of rural populations to various types of financial services, and the influence of rural financial intermediation on poverty reduction, in Ghana. By accounting for the potential endogeneity of access to financial services, we show that rural households with access to basic financial services are significantly more likely to be nonpoor than those without such access. To more sustainably tackle the goal highlighted in the sustainable development goals of eliminating global hunger or extreme poverty, the poor must be allowed to obtain meaningful access to financial services through the design of efficient pro-poor financial products.</t>
  </si>
  <si>
    <t>[Danquah, Michael] UNU WIDER, Helsinki, Finland; [Iddrisu, Abdul Malik] Inst Fiscal Studies IFS, Ctr Tax Anal Developing Countries TaxDev, 7 Ridgmt St, London WC1E 7AE, England; [Quartey, Peter] Univ Ghana, Inst Stat Social &amp; Econ Res ISSER, Legon, Ghana; [Ohemeng, Williams] Ghana Inst Management &amp; Publ Adm GIMPA, Sch Liberal Arts &amp; Social Sci SOLASS, Accra, Ghana; [Barimah, Alfred] Univ Ghana, Dept Econ, Legon, Ghana</t>
  </si>
  <si>
    <t>Iddrisu, AM (corresponding author), Inst Fiscal Studies IFS, Ctr Tax Anal Developing Countries TaxDev, 7 Ridgmt St, London WC1E 7AE, England.</t>
  </si>
  <si>
    <t>abdul.iddrisu@ifs.org.uk</t>
  </si>
  <si>
    <t>; Quartey, Peter/AAR-9777-2021; Ohemeng, Willia/JDN-0694-2023</t>
  </si>
  <si>
    <t>Idisu, Abdul Malik/0000-0002-3825-0609; Quartey, Peter/0000-0002-7347-7219; Ohemeng, Willia/0000-0001-8804-6940</t>
  </si>
  <si>
    <t>Office for Research, Innovation and Development (ORID), University of Ghana</t>
  </si>
  <si>
    <t>10.1002/pop4.324</t>
  </si>
  <si>
    <t>YO3HB</t>
  </si>
  <si>
    <t>WOS:000729912800001</t>
  </si>
  <si>
    <t>Manta, LF; Manta, AG; Ghertescu, C</t>
  </si>
  <si>
    <t>Manta, Liviu Florin; Manta, Alina Georgiana; Ghertescu, Claudia</t>
  </si>
  <si>
    <t>Decoding Digital Synergies: How Mechatronic Systems and Artificial Intelligence Shape Banking Performance Through Quantile-Driven Method of Moments</t>
  </si>
  <si>
    <t>APPLIED SCIENCES-BASEL</t>
  </si>
  <si>
    <t>banking automation; mechatronic systems; moments quantile regression</t>
  </si>
  <si>
    <t>ROBOTIC PROCESS AUTOMATION; MOBILE BANKING; ACCEPTANCE; REGRESSION; TESTS; HETEROSCEDASTICITY; COINTEGRATION; EXPERIENCE; CUSTOMERS; ADOPTION</t>
  </si>
  <si>
    <t>This study investigates the heterogeneous impact of bank automation on institutional performance, emphasizing the role of mechatronic systems like automated teller machines (ATMs) and artificial intelligence-based tools such as chatbots and robo-advisors. Using Method of Moments Quantile Regression (MMQR), the analysis examines how these technologies influence key performance indicators, including return on equity (ROE), in the European Union (EU) banking sector from 2017 to 2022. The MMQR method allows for the differentiation of the effects of automation technologies by distinguishing between hardware-based mechatronic systems and software-driven AI solutions, providing a nuanced perspective on the digital transformation within the banking sector. The results highlight the heterogeneous effects of economic, financial, and institutional factors on banking performance in the EU. They emphasize the need for differentiated policy interventions to reduce performance gaps between EU economies and ensure that banks across all member states can leverage financial and technological advancements to enhance profitability. The findings underline the importance of strategic interventions to address digitalization disparities, promote financial inclusion, and establish a regulatory framework that fosters transparency, cybersecurity, and equitable access to AI-driven financial services.</t>
  </si>
  <si>
    <t>[Manta, Liviu Florin] Univ Craiova, Fac Automat Comp &amp; Elect, Craiova 200585, Romania; [Manta, Alina Georgiana; Ghertescu, Claudia] Univ Craiova, Fac Econ &amp; Business Adm, Craiova 200585, Romania</t>
  </si>
  <si>
    <t>University of Craiova; University of Craiova</t>
  </si>
  <si>
    <t>Manta, AG (corresponding author), Univ Craiova, Fac Econ &amp; Business Adm, Craiova 200585, Romania.</t>
  </si>
  <si>
    <t>florin.manta@edu.ucv.ro; alina.manta@edu.ucv.ro; ghertescu.claudia.x6e@student.ucv.ro</t>
  </si>
  <si>
    <t>Manta, Liviu Florin/JOK-7947-2023; Manta, Alina Georgiana/AAV-3174-2021</t>
  </si>
  <si>
    <t>Manta, Liviu Florin/0000-0002-2230-4414; Manta, Alina Georgiana/0000-0002-3558-7310</t>
  </si>
  <si>
    <t>2076-3417</t>
  </si>
  <si>
    <t>APPL SCI-BASEL</t>
  </si>
  <si>
    <t>Appl. Sci.-Basel</t>
  </si>
  <si>
    <t>MAY 9</t>
  </si>
  <si>
    <t>10.3390/app15105282</t>
  </si>
  <si>
    <t>Chemistry, Multidisciplinary; Engineering, Multidisciplinary; Materials Science, Multidisciplinary; Physics, Applied</t>
  </si>
  <si>
    <t>Chemistry; Engineering; Materials Science; Physics</t>
  </si>
  <si>
    <t>3AS6I</t>
  </si>
  <si>
    <t>WOS:001495858400001</t>
  </si>
  <si>
    <t>Mariscal, J; Rentería, C</t>
  </si>
  <si>
    <t>GilGarcia, JR</t>
  </si>
  <si>
    <t>Mariscal, Judith; Renteria, Cesar</t>
  </si>
  <si>
    <t>Implementation of Information and Communications Technologies for Financial Inclusion in Programs to Alleviate Poverty in Brazil, Colombia and Mexico</t>
  </si>
  <si>
    <t>E-GOVERNMENT SUCCESS AROUND THE WORLD: CASES, EMPIRICAL STUDIES, AND PRACTICAL RECOMMENDATIONS</t>
  </si>
  <si>
    <t>Implementation of ICT in policies targeted to alleviate poverty, specifically in conditional transfer programs (CTP), offers two opportunities. On one side, it contributes to improve delivery efficiency to beneficiaries, diminishing transfer costs with better control over beneficiaries' registry. On the other side, ICT incorporation on CTP helps to reduce costs of receiving funds and, from a broader scope, it contributes to social and digital inclusion of poor; this is especially relevant with the emergence of mobile banking. Almost every country in Latin America employs CTP programs as a social policy. Approximately 100 million of people are beneficiaries of CTP in Latin America, which accounts for about half of the people living in poverty in the region. Hence, improving administration of this kind of policy implies for the Latin-American countries, not only savings based on efficiency, but the opportunity of broaden the benefits. The main objective of this chapter is to analyze innovative ICT implementation on CTP in three countries in the region: Bolsa Familia (Brazil), Oportunidades (Mexico) and Familias en Accion (Colombia). These three countries are implementing pilot programs that include ITC. These experiences may important insights for future successful implementation of ICT for CTP in other countries.</t>
  </si>
  <si>
    <t>[Mariscal, Judith; Renteria, Cesar] Ctr Invest &amp; Docencia Econ, Mexico City, DF, Mexico</t>
  </si>
  <si>
    <t>Renteria, Cesar/0000-0002-6125-5723</t>
  </si>
  <si>
    <t>978-1-4666-4174-7; 978-1-4666-4173-0</t>
  </si>
  <si>
    <t>10.4018/978-1-4666-4173-0.ch006</t>
  </si>
  <si>
    <t>10.4018/978-1-4666-4173-0</t>
  </si>
  <si>
    <t>Computer Science, Interdisciplinary Applications; Public Administration</t>
  </si>
  <si>
    <t>Book Citation Index – Social Sciences &amp; Humanities (BKCI-SSH); Book Citation Index – Science (BKCI-S)</t>
  </si>
  <si>
    <t>Computer Science; Public Administration</t>
  </si>
  <si>
    <t>BH2BS</t>
  </si>
  <si>
    <t>WOS:000398771300008</t>
  </si>
  <si>
    <t>Atal, MR; Mondliwa, P</t>
  </si>
  <si>
    <t>Atal, Maha Rafi; Mondliwa, Pamela</t>
  </si>
  <si>
    <t>Afrofuturist ambiguities: Inclusion and consolidation in South African digital finance</t>
  </si>
  <si>
    <t>BIG DATA &amp; SOCIETY</t>
  </si>
  <si>
    <t>South Africa; platform capitalism; digital platforms; development; FinTech; imaginaries</t>
  </si>
  <si>
    <t>MOBILE MONEY; TRANSFORMATION; REMITTANCES</t>
  </si>
  <si>
    <t>In recent years, two changes have begun to transform the South African banking sector. First, financial technology startups have emerged, offering payments and other services via bespoke mobile apps, powered by a combination of official access to bank application programming interfaces and unofficial screen scraping. Second, banks have expanded their mobile offerings through applications that connect to third-party messaging services from companies such as Facebook and Tencent. Proponents of these products emphasize their potential to facilitate financial access and to position South Africa at the forefront of digital innovation on the African continent. This article argues that this progressive Afrofuturist imaginary is belied by the political economy of app-based banking, which facilitates a two-way tension between inclusion and consolidation. While digital finance has increased the competitiveness of the financial sector, it has also incentivized a commercial focus on more affluent consumers. Meanwhile, efforts to widen access through partnerships with social media companies have consolidated the market power of both monopoly banks and digital platforms, and facilitated the extraction of data from South Africa to the Global North. These dynamics of stratification, consolidation and extraction limit the developmental impact of digital finance, and render it potentially exclusionary.</t>
  </si>
  <si>
    <t>[Atal, Maha Rafi] Univ Glasgow, Sch Social &amp; Polit Sci, 42 Bute Gardens, Glasgow G12 8RT, Scotland; [Atal, Maha Rafi] Univ Johannesburg, Ctr Competit Regulat &amp; Econ Dev, Johannesburg, South Africa; [Mondliwa, Pamela] Ind Dev Corp South Africa, Sandton, South Africa</t>
  </si>
  <si>
    <t>University of Glasgow; University of Johannesburg</t>
  </si>
  <si>
    <t>Atal, MR (corresponding author), Univ Glasgow, Sch Social &amp; Polit Sci, 42 Bute Gardens, Glasgow G12 8RT, Scotland.;Atal, MR (corresponding author), Univ Johannesburg, Ctr Competit Regulat &amp; Econ Dev, Johannesburg, South Africa.</t>
  </si>
  <si>
    <t>maharafi.atal@glasgow.ac.uk</t>
  </si>
  <si>
    <t>Atal, Maha Rafi/0000-0002-4136-4420</t>
  </si>
  <si>
    <t>Danish Council for Independent Research [6109-00158B]; Copenhagen Business School Digital Transformations Platform; Centre for Competition, Regulation and Economic Development at the University of Johannesburg</t>
  </si>
  <si>
    <t>Danish Council for Independent Research(Det Frie Forskningsrad (DFF)); Copenhagen Business School Digital Transformations Platform; Centre for Competition, Regulation and Economic Development at the University of Johannesburg</t>
  </si>
  <si>
    <t>The authors disclosed receipt of the following financial support for the research, authorship, and/or publication of this article: The authors thank the Danish Council for Independent Research funded project Commodifying Compassion (Grant No. 6109-00158B), the Copenhagen Business School Digital Transformations Platform, and the Centre for Competition, Regulation and Economic Development at the University of Johannesburg for their support of this research.</t>
  </si>
  <si>
    <t>2053-9517</t>
  </si>
  <si>
    <t>BIG DATA SOC</t>
  </si>
  <si>
    <t>Big Data Soc.</t>
  </si>
  <si>
    <t>10.1177/20539517251351321</t>
  </si>
  <si>
    <t>5QG4M</t>
  </si>
  <si>
    <t>WOS:001541758900001</t>
  </si>
  <si>
    <t>Belusic, N; Soric, K</t>
  </si>
  <si>
    <t>Redep, NB; Bubanic, M</t>
  </si>
  <si>
    <t>Belusic, Natali; Soric, Kristina</t>
  </si>
  <si>
    <t>Digitalization of Banking Processes and Adaptation for Elderly People</t>
  </si>
  <si>
    <t>CENTRAL EUROPEAN CONFERENCE ON INFORMATION AND INTELLIGENT SYSTEMS, CECIIS 2025</t>
  </si>
  <si>
    <t>Central European Conference on Information and Intelligent Systems</t>
  </si>
  <si>
    <t>36th Central European Conference on Information and Intelligent Systems-CECIIS-Annual</t>
  </si>
  <si>
    <t>SEP 17-19, 2025</t>
  </si>
  <si>
    <t>University of Zagreb, Varazdin, CROATIA</t>
  </si>
  <si>
    <t>University of Osijek,University of Rijeka,Oracle Corp</t>
  </si>
  <si>
    <t>digital banking; elderly users; digital literacy; banking support services; digital divide; mobile banking; customer education; inclusive banking</t>
  </si>
  <si>
    <t>Digital banking can be used as a convenient way to work with finances, but elderly users often face barriers due to limited digital literacy, cognitive challenges, and unfamiliarity with technology. This paper explores how elderly individuals in Croatia engage with digital banking and how banks address their needs. Primary research includes two surveys: one targeting elderly users and the second one focused on banking professionals. Results show that while banks are aware of the challenges elderly customers face, such as password management, fraud concerns, and app navigation, few provide tailored services or educational support. Most elderly respondents actively use digital banking for tasks like checking balances and making payments, but many still rely on family support and lack confidence. The findings also highlight a demand for clearer instructions, simplified interfaces, and better assistance. Secondary research reinforces the need for accessible design and targeted education. Global examples, such as Barclays' Digital Eagles and Bank of America's fraud education, show effective strategies for supporting elderly users. This study concludes that improving digital banking access for the elderly is essential for financial inclusion and customer retention. Banks must invest in user-friendly design, personalized education, and dedicated support to bridge the digital divide.</t>
  </si>
  <si>
    <t>[Belusic, Natali; Soric, Kristina] RIT Croatia, Business Dept, Damira Tomljanovica Gavrana 15, Zagreb 10000, Croatia</t>
  </si>
  <si>
    <t>Belusic, N (corresponding author), RIT Croatia, Business Dept, Damira Tomljanovica Gavrana 15, Zagreb 10000, Croatia.</t>
  </si>
  <si>
    <t>nb3751@rit.edu; kxscad12@rit.edu</t>
  </si>
  <si>
    <t>FAC ORGANIZATION AND INFORMATICS, UNIV ZAGREB</t>
  </si>
  <si>
    <t>PAVLINSKA 2, VARAZDIN, HR-42000, CROATIA</t>
  </si>
  <si>
    <t>1847-2001</t>
  </si>
  <si>
    <t>1848-2295</t>
  </si>
  <si>
    <t>CEN EUR CON INFO INT</t>
  </si>
  <si>
    <t>Computer Science, Artificial Intelligence; Computer Science, Interdisciplinary Applications; Computer Science, Software Engineering; Computer Science, Theory &amp; Methods</t>
  </si>
  <si>
    <t>BZ6XE</t>
  </si>
  <si>
    <t>WOS:001609884000032</t>
  </si>
  <si>
    <t>Hijriah, HY; Rusgianto, S; Kholidah, H; Herianingrum, S; Sahiq, ANM</t>
  </si>
  <si>
    <t>Hijriah, Hanifiyah Yuliatul; Rusgianto, Sulistya; Kholidah, Himmatul; Herianingrum, Sri; Sahiq, Aqilah Nadiah Md</t>
  </si>
  <si>
    <t>Critical development of Islamic financial technology ecosystem: lesson learned from financial technology literature</t>
  </si>
  <si>
    <t>Systematic literature review; Islamic financial institution; Islamic financial technology; Financial technology ecosystem</t>
  </si>
  <si>
    <t>FINTECH; BANKING; TRANSFORMATION; ALTERNATIVES; COOPERATION; TRUST</t>
  </si>
  <si>
    <t>PurposeThis study aims to draw lessons from the financial technology (FinTech) ecosystem literature through a systematic literature review.Design/methodology/approachThis study systematically studied a sample of 134 articles from the Scopus database to assess the pattern of research development within the scope of the FinTech ecosystem over the last 15 years (2008-2023).FindingsThe results obtained indicated that the current research focus leads to several aspects: digital technology and financial inclusion, FinTech and customer behavior, FinTech ecosystem, business model, as well as aspects of governance and regulation. In the effort to develop Islamic FinTech, some aspects that might be targeted include aspects of business development and the Islamic FinTech ecosystem in general, extending financial inclusion to governance and managerial implementation of Islamic FinTech itself.Research limitations/implicationsThis research has limitations because it did not focus on the study of more specialized sectors, such as insurance or microfinance institutions, in adopting FinTech, requiring the use of other specifications of institutions in addition to Islamic banking.Practical implicationsThis research has substantial theoretical implications in mapping the intellectual structure of Islamic FinTech research, which has been underexplored by previous researchers, as well as providing essential information about which sectors should be prioritized to encourage inclusiveness and overall performance of financial institutions.Originality/valueThis research explores more deeply with a comprehensive approach so that it becomes a pioneer in the study of FinTech ecosystem literature for the development of Islamic FinTech.</t>
  </si>
  <si>
    <t>[Hijriah, Hanifiyah Yuliatul; Kholidah, Himmatul] Univ Airlangga, Fac Vocat Studies, Dept Business, Surabaya, Indonesia; [Rusgianto, Sulistya; Herianingrum, Sri] Univ Airlangga, Fac Econ &amp; Business, Dept Islamics Econ, Surabaya, Indonesia; [Sahiq, Aqilah Nadiah Md] Univ Teknol MARA Cawangan Melaka, Fac Business &amp; Management, Melaka, Malaysia</t>
  </si>
  <si>
    <t>Kholidah, H (corresponding author), Univ Airlangga, Fac Vocat Studies, Dept Business, Surabaya, Indonesia.</t>
  </si>
  <si>
    <t>hanifiyah.y.hijriah@vokasi.unair.ac.id; sulistya@feb.unair.ac.id; himmatul.kholidah@vokasi.unair.ac.id; sri.herianingrum@feb.unair.ac.id; aqilahnadiah@uitm.edu.my</t>
  </si>
  <si>
    <t>rusgianto, sulistya/AAS-1690-2021; Md Sahiq, Aqilah Nadiah/AAZ-8756-2021; Yuliatul Hijriah, Hanifiyah/ACF-6737-2022; Herianingrum, Sri/AAD-1705-2021; Kholidah, Himmatul/NPJ-4584-2025</t>
  </si>
  <si>
    <t>Yuliatul Hijriah, Hanifiyah/0000-0001-5087-3502; Kholidah, Himmatul/0000-0001-5723-3292</t>
  </si>
  <si>
    <t>No potential conflict of interest was reported by the authors.</t>
  </si>
  <si>
    <t>2024 SEP 20</t>
  </si>
  <si>
    <t>10.1108/JIABR-03-2024-0114</t>
  </si>
  <si>
    <t>G2J2Q</t>
  </si>
  <si>
    <t>WOS:001314946700001</t>
  </si>
  <si>
    <t>Nguyen, TT</t>
  </si>
  <si>
    <t>Thu Thuy Nguyen</t>
  </si>
  <si>
    <t>The Impact of Access to Finance and Environmental Factors on Entrepreneurial Intention: The Mediator Role of Entrepreneurial Behavioural Control</t>
  </si>
  <si>
    <t>ENTREPRENEURIAL BUSINESS AND ECONOMICS REVIEW</t>
  </si>
  <si>
    <t>access to finance; entrepreneurial intention; perceived environment barriers; perceived behavioural control; university environment; SEM</t>
  </si>
  <si>
    <t>UNIVERSITY; STUDENTS; EDUCATION</t>
  </si>
  <si>
    <t>Objective: The objective of the article is to test the direct and indirect impact of environmental and individual determinants on entrepreneurial intention with perceived entrepreneurial behavioural control as a mediating variable. Research Design &amp; Methods: A cross-sectional quantitative research was conducted using structural equation modelling analysis with a sample consisting of 635 students in 11 universities in Vietnam. Findings: The results reveal that perceived environmental factors are significantly related to students' perceived entrepreneurial behavioural control so that entrepreneurial behavioural control becomes a mediator through which those environmental factors influence entrepreneurial intention. Access to finance is insufficient to influence entrepreneurial intention unless combined with entrepreneurial behavioural control. Implications &amp; Recommendations: The research findings have implications for policymakers in fostering graduates' entrepreneurship in emerging countries. Contribution &amp; Value Added: The survey provides evidence supporting the theoretical arguments that exogenous factors affect perceived entrepreneurial behavioural control and impact entrepreneurial intention through the individual's perceptions of behavioural control.</t>
  </si>
  <si>
    <t>Nguyen, TT (corresponding author), Natl Econ Univ, Dept Business Management, 207 Giai Phong, Hanoi, Vietnam.</t>
  </si>
  <si>
    <t>thuyntqtkd@neu.edu.vn</t>
  </si>
  <si>
    <t>Nguyen, Thuy Thu/0000-0002-3973-607X</t>
  </si>
  <si>
    <t>CRACOW UNIV ECONOMICS</t>
  </si>
  <si>
    <t>KRACOW</t>
  </si>
  <si>
    <t>UL RAKOWICKA 27, KRACOW, 31510, POLAND</t>
  </si>
  <si>
    <t>2353-883X</t>
  </si>
  <si>
    <t>2353-8821</t>
  </si>
  <si>
    <t>ENTREPR BUS ECON REV</t>
  </si>
  <si>
    <t>Entrepr. Bus. Econ. Rev.</t>
  </si>
  <si>
    <t>10.15678/EBER.2020.080207</t>
  </si>
  <si>
    <t>PI5YX</t>
  </si>
  <si>
    <t>WOS:000601167300007</t>
  </si>
  <si>
    <t>Hussain, S; Rasheed, A</t>
  </si>
  <si>
    <t>Hussain, Shahid; Rasheed, Abdul</t>
  </si>
  <si>
    <t>Financial inclusion based on financial technology and risky behaviour of micro-finance institutes: evidence from South Asian micro-finance banks</t>
  </si>
  <si>
    <t>FinTech; Financial inclusion; Risky behaviour; Micro-finance institutes; South Asia</t>
  </si>
  <si>
    <t>PurposeThe purpose of this paper financial technology (FinTech) revolutions are promptly remodelling the worldwide financial industry and facilitating financial inclusion initiatives with the aid of micro-finance institutions. Such hi-tech modifications are anticipated to sell the stableness of the financial system and lessen its predominant actors' risk-taking behaviour. However, there needs to be more practical proof to guide the effect of financial inclusion based on financial technology on the risky behaviour of South Asia micro-finance institutes. Design/methodology/approachTherefore, the authors industrialised a fresh index to calculate financial inclusion based on financial technology and empirically measure its position in decreasing the risk-taking approach of micro-finance institutes. The use of numerous robustness examinations endorsed the rationality of the authors' outcomes. FindingsZ-scoring or standard scoring outcomes of FinInc support the extant studies displaying its incredible connection with economic stability, which interprets as a terrible courting with risky behaviour of micro-finance institutes. Consequently, the authors highlighted the significance of the universality and openness of financial technology solutions in minimising risk of micro-finance institutes. Moreover, the authors concluded that financial technology is greater related to small-size micro-finance institutes. Originality/valueThis study currently focusing South Asia, which has not been explored before, and it is the first time to research financial inclusion with Fintech in this area.</t>
  </si>
  <si>
    <t>[Hussain, Shahid; Rasheed, Abdul] Khwaja Fareed Univ Engn &amp; Informat Technol, Dept Management Sci, Rahim Yar Khan, Pakistan</t>
  </si>
  <si>
    <t>Khwaja Fareed University of Engineering &amp; Information Technology, Pakistan</t>
  </si>
  <si>
    <t>Hussain, S (corresponding author), Khwaja Fareed Univ Engn &amp; Informat Technol, Dept Management Sci, Rahim Yar Khan, Pakistan.</t>
  </si>
  <si>
    <t>shahid.randhawa@live.com; abdul.rasheed@kfueit.edu.pk</t>
  </si>
  <si>
    <t>Rasheed, Dr Abdul/MTE-1486-2025; Hussain, Shahid/GPC-5280-2022</t>
  </si>
  <si>
    <t>Hussain, Shahid/0000-0003-3855-3244</t>
  </si>
  <si>
    <t>10.1108/DPRG-12-2022-0149</t>
  </si>
  <si>
    <t>M4TN9</t>
  </si>
  <si>
    <t>WOS:001006161700001</t>
  </si>
  <si>
    <t>Ishak, NS; Aliyu, S; Musthafa, MA</t>
  </si>
  <si>
    <t>Ishak, Nor Syahidah; Aliyu, Sirajo; Musthafa, Mohd Azam</t>
  </si>
  <si>
    <t>Does social capital, financial inclusion and risk behaviour influence trust in Takaful?</t>
  </si>
  <si>
    <t>Takaful; Risk-coping mechanism; Financial inclusion; Trust in Takaful; Social capital; Islamic insurance</t>
  </si>
  <si>
    <t>BANKS; SERVICES; SCHEMES; POLICY</t>
  </si>
  <si>
    <t>PurposeThis paper aims to examine the influence of demographics, social capital, financial inclusion and risk behaviour on trust in Takaful using a household survey of 526 respondents.Design/methodology/approachThe study adopts a quantitative approach using an ordered logit model to explore the relationship between demographics, social capital, financial inclusion and risk behaviour on trust in Takaful in Malaysia.FindingsThe findings show that gender, marital and income status and employment influence trust in Takaful. Similarly, social capital and financial inclusion positively influence trust in Takaful. At the same time, individuals have more confidence in Takaful when they use their funds rather than borrowing from friends, relatives or informal associations (such as ROSCA).Research limitations/implicationsThe findings have several implications for policymakers in strengthening the recent policy document on professionalism in insurance and Takaful agents in Malaysia. Meanwhile, other implications relating to Takaful operators and future studies have been identified.Originality/valueThe study provides new evidence on trust in Takaful related to social capital, risk behaviour, inclusiveness and demographic status in Malaysia.</t>
  </si>
  <si>
    <t>[Ishak, Nor Syahidah] Univ Utara Malaysia, Islamic Business Sch, Sintok, Malaysia; [Aliyu, Sirajo] Univ Utara Malaysia, Inst Shariah Governance &amp; Islamic Finance, Coll Business, Islamic Business Sch, Sintok, Malaysia; [Aliyu, Sirajo] Fed Polytech Bauchi, Dept Banking &amp; Finance, Bauchi, Nigeria; [Musthafa, Mohd Azam] Great Eastern Takaful Berhad, Shariah Dept, Kuala Lumpur, Malaysia</t>
  </si>
  <si>
    <t>Ishak, NS (corresponding author), Univ Utara Malaysia, Islamic Business Sch, Sintok, Malaysia.</t>
  </si>
  <si>
    <t>norsyahidah33@gmail.com; sirajoaliyu@yahoo.com; mohdazammus@gmail.com</t>
  </si>
  <si>
    <t>Aliyu, Sirajo/Q-1422-2015; Ishak, Nor Syahidah/ACY-8855-2022</t>
  </si>
  <si>
    <t>Aliyu, Sirajo/0000-0002-2090-3886;</t>
  </si>
  <si>
    <t>MAY 22</t>
  </si>
  <si>
    <t>10.1108/JIMA-04-2024-0162</t>
  </si>
  <si>
    <t>2UR9J</t>
  </si>
  <si>
    <t>WOS:001367673800001</t>
  </si>
  <si>
    <t>Kumar, J; Jilowa, AK</t>
  </si>
  <si>
    <t>Kumar, Jitendra; Jilowa, Abhishek Kumar</t>
  </si>
  <si>
    <t>Modeling of Virtual Currencies through AR(1) Process Considering Loss-Profit Regimes</t>
  </si>
  <si>
    <t>COMPUTATIONAL ECONOMICS</t>
  </si>
  <si>
    <t>Loss - profit regime; Virtual currency; Bitcoin; AR(1); Bayesian</t>
  </si>
  <si>
    <t>The economy is rapidly becoming more dependent on digital technology. The use of digital currency has the potential to transform the financial industry, broaden financial inclusion, and promote economic development. Blockchain technology enables digital currencies like Bitcoin and Ethereum to operate decentralizedly. Investors have begun to invest in cryptocurrencies as a result of their dissatisfaction or issues with traditional financial and economic systems. It is crucial to look at the daily loss and profit behaviour to analyse the currency performance for the investment. For this, a model is proposed where the parameters get changed for the traditional AR(1) model due to loss and profit behaviour. We employed the Bayesian techniques to estimate the profit and loss behaviour through AR(1) process. We employed this model to 12 major cryptocurrencies in the market. The simulation has been conducted to get more applicability of the proposed model.</t>
  </si>
  <si>
    <t>[Kumar, Jitendra; Jilowa, Abhishek Kumar] Cent Univ Rajasthan, Dept Stat, Kishangarh 305817, Rajasthan, India</t>
  </si>
  <si>
    <t>Central University of Rajasthan (CURAJ)</t>
  </si>
  <si>
    <t>Kumar, J (corresponding author), Cent Univ Rajasthan, Dept Stat, Kishangarh 305817, Rajasthan, India.</t>
  </si>
  <si>
    <t>vjitendrav@gmail.com; abhishekkumarjilowa@gmail.com</t>
  </si>
  <si>
    <t>Kumar, Jitena/0000-0003-4473-4148; JILOWA, ABHISHEK KUMAR/0009-0000-4668-7774</t>
  </si>
  <si>
    <t>0927-7099</t>
  </si>
  <si>
    <t>1572-9974</t>
  </si>
  <si>
    <t>COMPUT ECON</t>
  </si>
  <si>
    <t>Comput. Econ.</t>
  </si>
  <si>
    <t>2025 MAY 7</t>
  </si>
  <si>
    <t>10.1007/s10614-025-10982-5</t>
  </si>
  <si>
    <t>Economics; Management; Mathematics, Interdisciplinary Applications</t>
  </si>
  <si>
    <t>Business &amp; Economics; Mathematics</t>
  </si>
  <si>
    <t>2IL1R</t>
  </si>
  <si>
    <t>WOS:001483417600001</t>
  </si>
  <si>
    <t>Mafruhah, I; Istiqomah, N</t>
  </si>
  <si>
    <t>Mafruhah, Izza; Istiqomah, Nurul</t>
  </si>
  <si>
    <t>Migrant Workers Remittances in Fostering Country-of-origin Entrepreneurship and Financial Inclusion: Life Cycle-Permanent Income Hypothesis</t>
  </si>
  <si>
    <t>Life-Cycle/Permanent-Income Hypothesis; saving; remittance; migrant workers; financial inclusion; stakeholder analysis</t>
  </si>
  <si>
    <t>This study is to analyze the effects of migrant worker remittances on the pat-tern of families in consumption and investments in short-and long-terms by using Life-Cycle/Permanent-Income Hypothesis (LC-PIH). This was a mixed method by using Mactor and Eviews to analyze time-series-based economet-ric data. The results showed that training and marital status positively affect saving behavior of migrant workers. Mactor analysis highlighted that financial inclusion is indispensable in the economic development ofmigrant workers and their families in home countries. Financial management is positively re-lated to family economy and entrepreneurship as a form of long-term invest-ment in home countries. The findings emphasized empowerment agencies in home countries to strengthen financial inclusion and entrepreneurship pro-grams.</t>
  </si>
  <si>
    <t>[Mafruhah, Izza; Istiqomah, Nurul] Sebelas Maret Univ, Fac Econ &amp; Business, Surakarta, Indonesia</t>
  </si>
  <si>
    <t>Mafruhah, I (corresponding author), Sebelas Maret Univ, Fac Econ &amp; Business, Surakarta, Indonesia.</t>
  </si>
  <si>
    <t>izzamafruhah.uns@gmail.com; nurulistiqomah@staff.uns.ac.id</t>
  </si>
  <si>
    <t>10.14254/1800-5845/2024.20-4.6</t>
  </si>
  <si>
    <t>G9C9T</t>
  </si>
  <si>
    <t>WOS:001319545500006</t>
  </si>
  <si>
    <t>Tabash, MI; Ezekiel, O; Ahmed, A; Oladiran, A; Elsantil, Y; Lawal, AI</t>
  </si>
  <si>
    <t>Tabash, Mosab I.; Ezekiel, Oseni; Ahmed, Adel; Oladiran, Afolabi; Elsantil, Yasmeen; Lawal, Adedoyin Isola</t>
  </si>
  <si>
    <t>Examining the linkages among financial inclusion, economic growth, poverty, and inequality reduction in Africa</t>
  </si>
  <si>
    <t>Financial inclusion; Poverty; Inequality; Economic growth; Agricultural output; Africa</t>
  </si>
  <si>
    <t>LONG-RUN; JONESES; INCOME; REMITTANCES; MARKETS; ACCESS; ENERGY; DEBT</t>
  </si>
  <si>
    <t>The study examined the nexus between financial inclusion and economic growth, poverty, and inequality in Fragile and Post-Conflict African economies based on data sourced from 2004 to 2021. The study employed the system GMM and dynamic threshold model within the context of the Tunnel and Joneses effects to analyze the data generating set. The study noted that financial inclusivity enhances growth, and reduces poverty and inequality in the studied economies. The results of robustness tests reveal that our model is appropriate, this suggests the validity of the Tunnel effect in the studied economies. The threshold dynamic result suggests that the optimal influence of financial inclusion on economic growth, poverty, and inequality is at 42% for the studied economies. The study offered some policy implications.</t>
  </si>
  <si>
    <t>[Tabash, Mosab I.] Al Ain Univ, Coll Business, Al Ain, U Arab Emirates; [Ezekiel, Oseni] Univ Lagos, Dept Finance, Lagos, Nigeria; [Ahmed, Adel] Am Univ Dubai, Am Business Sch, Dubai, U Arab Emirates; [Oladiran, Afolabi] Bowen Univ, Dept Polit Sci &amp; Int Relat, Iwo, Nigeria; [Elsantil, Yasmeen] Tanta Univ, Fac Commerce, Dept Business Adm, Tanta, Egypt; [Lawal, Adedoyin Isola] Bowen Univ, Dept Econ, Iwo, Nigeria</t>
  </si>
  <si>
    <t>University of Lagos; Egyptian Knowledge Bank (EKB); Tanta University</t>
  </si>
  <si>
    <t>Lawal, AI (corresponding author), Bowen Univ, Dept Econ, Iwo, Nigeria.</t>
  </si>
  <si>
    <t>adedoyin.lawal@bowen.edu.ng</t>
  </si>
  <si>
    <t>Tabash, Mosab/P-8731-2018; Afolabi, Oladiran/LZF-2072-2025; Lawal, Adedoyin/W-4668-2019; Elsantil, Yasmeen/JMR-2827-2023</t>
  </si>
  <si>
    <t>Ahmed, Adel/0000-0003-3034-2821; Afolabi, Oladiran/0000-0002-1720-8495; Elsantil, Yasmeen/0000-0002-5385-3694</t>
  </si>
  <si>
    <t>e02096</t>
  </si>
  <si>
    <t>10.1016/j.sciaf.2024.e02096</t>
  </si>
  <si>
    <t>JS9X8</t>
  </si>
  <si>
    <t>WOS:001175281600001</t>
  </si>
  <si>
    <t>Legal and regulatory framework for mobile banking in Tanzania</t>
  </si>
  <si>
    <t>M-banking; BoT; MNOs; TCRA</t>
  </si>
  <si>
    <t>PurposeThis paper aims to assess the legal and regulatory framework for mobile banking (M-banking) in Tanzania. The technological development in information and communication technologies has converted a mobile phone from a simple communication device to a very complex instrument that allows people to perform various digital transactions and extra operations such as web browsing and email reading. Such tremendous developments have brought in place the regime of M-banking. The birth of M-banking has brought legal and institutional challenges that were not anticipated before. It has complicated the traditional role of the telecommunication regulator and financial regulator in the business and caused legal gaps that need to be bridged.Design/methodology/approachTo disclose the legal gaps and bridge them, the study used doctrinal legal method and comparative study to learn the experience of international legal instruments and policies and laws of other jurisdictions. This paper has evaluated the contribution of international legal instruments and legal frameworks of foreign jurisdictions such as Kenya and the Philippines.FindingsIt has been revealed that the prevailing laws regulating M-banking in Tanzania do not adequately address and bridge the existing legal gaps. There is a need to enact a specific law regulating M-banking and confer such powers to a specific institution to deal with regulatory issues.Originality/valueThis paper stresses the importance of enacting new laws that will offer room for financial inclusion in the digital economy and protect consumers against financial risk. It also intends to act as a catalyst and change agent in policy and legislative development in the M-banking industry. It would also bring special attention to addressing consumer rights, security and risky issues surrounding the M-banking industry. Although several other authors in Tanzania have written in this area, they have not clearly focused on disclosing the existing legal gaps resulting from the convergence of the financial and communication sectors. This paper is therefore trying to offer an extensive discussion on the legislative development in the M-banking industry in Tanzania.</t>
  </si>
  <si>
    <t>[Ally, Abdallah Mrindoko] Open Univ Tanzania, Dept Private Law, Dar Es Salaam, Tanzania</t>
  </si>
  <si>
    <t>Ally, AM (corresponding author), Open Univ Tanzania, Dept Private Law, Dar Es Salaam, Tanzania.</t>
  </si>
  <si>
    <t>10.1108/IJLMA-12-2022-0268</t>
  </si>
  <si>
    <t>EX8N9</t>
  </si>
  <si>
    <t>WOS:001128591800001</t>
  </si>
  <si>
    <t>Kurian, V; Sreedharan, S; Valenti, F</t>
  </si>
  <si>
    <t>Kurian, Vinith; Sreedharan, Shashank; Valenti, Fabrizio</t>
  </si>
  <si>
    <t>Calling the Shots: Determinants of Financial Decision-making and Behavior in Domestic Migrant Households in India</t>
  </si>
  <si>
    <t>Migration; household finance; financial decision-making; financial preferences; household decision-making; India</t>
  </si>
  <si>
    <t>This article explores financial decision-making and behavior in migrant households. Literature on migration and financial inclusion usually focuses on either migrant workers and their financial needs or remittance flows and their effects on development, leaving the subject of household decision-making significantly underresearched. Using primary data from two sample surveys, one with migrant workers and one with their household members, we employ descriptive analysis to study the financial decision-making processes and outcomes. Our sample is mostly composed of male Indian domestic migrants from Bihar, Jharkhand, and eastern Uttar Pradesh. Our analysis considers the following migrant typology dimensions: duration of migration cycle, skills, and destination. Key household characteristics explored in our study include household size, the number of financial contributors in the household, the presence of an older male and children below the age of 18, and overall household income. Our results show that household members compete for influence over financial decisions and power balances change significantly whether the migrant is at home or at destination. These dynamics play an important role in determining household financial preferences. This suggests that financial products and interventions targeting specific financial behavior (for instance, financial literacy programs) need to take these factors into account since different households and different migrant types make these choices differently.</t>
  </si>
  <si>
    <t>[Kurian, Vinith] Krea Univ, LEAD, IIT Madras Res Pk, Chennai 600113, Tamil Nadu, India; [Sreedharan, Shashank] NYU, New York, NY USA; [Valenti, Fabrizio] KSAR &amp; Associates Inc, Ottawa, ON, Canada</t>
  </si>
  <si>
    <t>KREA University; Leveraging Evidence for Access &amp; Development (LEAD); Indian Institute of Technology System (IIT System); Indian Institute of Technology (IIT) - Madras; New York University</t>
  </si>
  <si>
    <t>Kurian, V (corresponding author), Krea Univ, LEAD, IIT Madras Res Pk, Chennai 600113, Tamil Nadu, India.</t>
  </si>
  <si>
    <t>vinith.kurian@ifmr.ac.in</t>
  </si>
  <si>
    <t>Valenti, Fabrizio/0000-0003-2128-4244</t>
  </si>
  <si>
    <t>Dvara Research Foundation</t>
  </si>
  <si>
    <t>The research was funded by a grant from the Dvara Research Foundation.</t>
  </si>
  <si>
    <t>10.1177/09726527221082005</t>
  </si>
  <si>
    <t>3U9YY</t>
  </si>
  <si>
    <t>WOS:000776713100001</t>
  </si>
  <si>
    <t>The Opportunities and Challenges of Digitizing Government-to-Person Payments</t>
  </si>
  <si>
    <t>This paper reviews evidence on the benefits and challenges faced by governments migrating from cash to digital (electronic) government-to-person (G2P) payments. When supported by an appropriate consumer financial protection framework, digital payments enable confidential and convenient financial services, which can be especially important for women. By shifting government wages and social transfers into accounts, governments can lead by example. Digitizing G2P payments has the potential to dramatically reduce costs, increase efficiency and transparency, and help recipients build familiarity with digital payments. Digital wage and social transfer payments can also provide the onramp to financial inclusion and in many cases the first account that the recipient has in her own name and under her control. However, digitizing G2P payments is not without its challenges. Most importantly, digitization may require significant up-front investments in building an adequate physical payment infrastructure that is able to process such payments, as well as a financial identification system and a consumer protection and education framework to ensure that recipients have safe, reliable, and affordable access to the digital payment system.</t>
  </si>
  <si>
    <t>[Klapper, Leora; Singer, Dorothe] World Bank, Dev Res Grp, Finance &amp; Private Sect Team, 1818 H St NW, Washington, DC 20433 USA</t>
  </si>
  <si>
    <t>Klapper, L (corresponding author), World Bank, Dev Res Grp, Finance &amp; Private Sect Team, 1818 H St NW, Washington, DC 20433 USA.</t>
  </si>
  <si>
    <t>lklapper@worldbank.org</t>
  </si>
  <si>
    <t>10.1093/wbro/lkx003</t>
  </si>
  <si>
    <t>FG5GM</t>
  </si>
  <si>
    <t>WOS:000410334200004</t>
  </si>
  <si>
    <t>Sonehekpon, ES; Fiamohe, R</t>
  </si>
  <si>
    <t>Sonehekpon, Emile Segbegnon; Fiamohe, Rose</t>
  </si>
  <si>
    <t>Identifying farmers' preferences for types of credit and its market structure in rural Benin using the conjoint analysis approach</t>
  </si>
  <si>
    <t>Credits profiles; Heterogeneity in rural credit markets; Farmers' preference; Conjoint analysis; Benin</t>
  </si>
  <si>
    <t>ECONOMIC-GROWTH; CHOICE; MODELS</t>
  </si>
  <si>
    <t>Purpose - This study analyzes farmers' preferences for agricultural credit and its market structure in rural Benin using the conjoint analysis approach. Design/methodology/approach - The data used come from primary sources collected from 228 randomly selected farmers. The conjoint analysis approach was used to produce the results. The bias associated with the heteroscedasticity of the error terms was fixed using the weighted least squares estimation method. Agricultural credit markets were segmented using the Calinski algorithm. Findings - The study results reveal that farmers prefer a long-term agricultural credit with a low interest rate received via mobile banking. The interaction between a type of credit with collateral and a low interest rate is positively correlated with farmers' credit demand. The authors also found that agricultural credit markets are heterogeneous because of the heterogeneity in farmers' credit demand. This result has led to three different rural credit market segments identified in the selected study's sites. The market share simulation reveals a significant market share for the type of credit preferred by farmers in two segments. Research limitations/implications - The proven evidence from this study can guide the development of appropriate agricultural financial products that promote financial inclusion among farmers in rural Benin. More specifically, agricultural financial policies that promote digital long-term credit with low interest rate and appropriate guarantee mechanisms can promote financial inclusion among farmers and reduce the problem of asymmetric information in agricultural credit market. The study also calls for the promotion of differentiated policies across the three identified segments in order to positively impact the welfare of all farmers. Practical implications - The use of agricultural financial products that include digital long-term credit with low interest rate and appropriate guarantee mechanisms promote financial inclusion and reduce asymmetric information problems in agricultural credit markets in rural Benin. Social implications - The promotion of long-term digital and cheap credit improves farmers household's wellbeing in rural Benin. Originality/value - This study contributes to a better understanding of the structure of rural credit markets. It also reveals the most preferred characteristics of rural credit profiles by farmers. Besides, it validates the importance of the use of guarantee as an appropriate mechanism which minimizes the problem of asymmetric information between financial agents and farmers.</t>
  </si>
  <si>
    <t>[Sonehekpon, Emile Segbegnon] Ecole Natl Super Stat &amp; Econ Appl, Abidjan, Cote Ivoire; [Fiamohe, Rose] Univ Abomey Calavi, Fac Econ &amp; Management Sci, Abomey Calavi, Benin</t>
  </si>
  <si>
    <t>Ecole Nationale Superieure de Statistique et d'Economie Appliquee (ENSEA) d'Abidjan; University of Abomey Calavi</t>
  </si>
  <si>
    <t>Sonehekpon, ES (corresponding author), Ecole Natl Super Stat &amp; Econ Appl, Abidjan, Cote Ivoire.</t>
  </si>
  <si>
    <t>esonehekpon@ensea.edu.ci; e.fiamohe@gmail.com</t>
  </si>
  <si>
    <t>Fiamohe, Rose/AAE-1778-2020</t>
  </si>
  <si>
    <t>Fiamohe, Rose/0000-0002-1373-3604; Sonehekpon, Emile Sègbégnon/0000-0002-2192-6756</t>
  </si>
  <si>
    <t>10.1108/AFR-07-2022-0081</t>
  </si>
  <si>
    <t>9V4JE</t>
  </si>
  <si>
    <t>WOS:000893970600001</t>
  </si>
  <si>
    <t>Çera, G; Phan, QPT; Androniceanu, A; Çera, E</t>
  </si>
  <si>
    <t>Cera, Gentjan; Quyen Phu Thi Phan; Androniceanu, Armenia; Cera, Edmond</t>
  </si>
  <si>
    <t>FINANCIAL CAPABILITY AND TECHNOLOGY IMPLICATIONS FOR ONLINE SHOPPING</t>
  </si>
  <si>
    <t>Financial capability; logistic regression; online shopping; prior bank experience; smartphone; social media</t>
  </si>
  <si>
    <t>CUSTOMER EXPERIENCE; PERCEIVED RISK; SOCIAL MEDIA; BEHAVIOR; ACCEPTANCE; INTENTION; LITERACY; TRUST; SATISFACTION; COMMERCE</t>
  </si>
  <si>
    <t>To promote online shoppers' long-term interest, consumers need to have the knowledge and ability to avoid problems with financial issues. Financial capability helps to put consumers on the path to a sustainable financial future. However, previous studies only focused on financial capability in a financial context. To handle personal finance systematically and successfully in an online setting, this study extends an enhanced understanding of how financial capability on online consumer behaviour. Based on the data of 690 respondents collected by a face-to-face from eight main regions in Albania, this study employed principal components analysis and logistic regression in order to investigate the effect of consumers' financial capabilities and technology use on the decision to purchase online. The outcome of this study firstly identifies six dimensions of financial capabilities, namely, digital banking usage, financial service risk, financial advice, payment risk, risk tolerance, and financial attitude. Secondly, the finding revealed that individuals who use smartphones and administrate a social media account, are more likely to involve in purchasing through online channels. Moreover, the decision to purchase online is more prone for those individuals who manifest high levels in digital banking usage, financial advice, prior bank experience and technology usage, and low levels in attitude towards payment risk and attitude towards risk tolerance. This paper offers useful insights concerning the determinants of online purchasing by combining individuals' financial capability, technology and social media usage along with its demographic characteristics. In term of practical contribution, this study provides a useful model by incorporating for measuring and managing consumers' financial capability to enhance their involvement and to reduce their cognitive dissonance in the online shopping context. This study also contributes to the accumulated knowledge and encourages consumers to use digital banking and consult their financial issues when purchasing online.</t>
  </si>
  <si>
    <t>[Cera, Gentjan; Cera, Edmond] Tomas Bata Univ Zlin, Fac Management &amp; Econ, Zlin, Czech Republic; [Quyen Phu Thi Phan] Univ Danang, Univ Econ, Fac Mkt, Danang, Vietnam; [Androniceanu, Armenia] Bucharest Univ Econ Studies, Int Ctr Publ Management, Bucharest, Romania</t>
  </si>
  <si>
    <t>Tomas Bata University Zlin; University of Danang; Bucharest University of Economic Studies</t>
  </si>
  <si>
    <t>Çera, G (corresponding author), Tomas Bata Univ Zlin, Fac Management &amp; Econ, Zlin, Czech Republic.</t>
  </si>
  <si>
    <t>cera@utb.cz; phuguyen.due@gmail.com; socialsciences723@gmail.com; ecera@utb.cz</t>
  </si>
  <si>
    <t>Çera, Gentjan/IYS-3092-2023; Androniceanu, Armenia/AAC-4697-2020</t>
  </si>
  <si>
    <t>Çera, Gentjan/0000-0002-9324-181X; Phan, Quyen/0000-0002-4048-1369;</t>
  </si>
  <si>
    <t>10.15240/tul/001/2020-2-011</t>
  </si>
  <si>
    <t>LY4XI</t>
  </si>
  <si>
    <t>WOS:000540532600011</t>
  </si>
  <si>
    <t>Emara, N</t>
  </si>
  <si>
    <t>Emara, Noha</t>
  </si>
  <si>
    <t>Asymmetric and threshold effects of FinTech on poverty in SSA countries</t>
  </si>
  <si>
    <t>FinTech; Nonlinear; Mobile cellular; Fixed broadband; Internet; Extreme poverty; SSA; C23; G21; O43</t>
  </si>
  <si>
    <t>SUB-SAHARAN AFRICA; ECONOMIC-GROWTH; MOBILE MONEY; FINANCIAL INCLUSION; INEQUALITY; ICT; PERFORMANCE; COMPONENTS; ARBITRAGE; IMPACTS</t>
  </si>
  <si>
    <t>Purpose The purpose of this paper is to analyze the dynamic asymmetric relationship between financial technology (FinTech) adoption and poverty alleviation on annual data for the Sub-Saharan Africa (SSA) region over the period from 2004 to 2020. Design/methodology/approach This study adopted the general method of moments (GMM) method on annual data for 127 countries including 45 countries from the SSA region over the period from 2004 to 2020. Findings The study's findings show that improvement in FinTech may initially decrease the rate of extreme poverty, leading to a decrease in total poverty as a percent of the population. While there is an initial decrease in the rate of extreme poverty with improvements of FinTech, once the FinTech index reaches its threshold level of 37.18 points, further improvement in FinTech tends to decrease as penetration increases, giving rise to an decrease in the rate of poverty alleviation. Research limitations/implications Policymakers should design more aggressive and comprehensive policies directed at recouping the maximum gains of FinTech adoption, with a reasonable threshold target. Practical implications Policymakers in the SSA region must be aware of a FinTech threshold level of 37.18 points. To ensure the highest reduction in extreme poverty, policymakers must keep investing in FinTech to reach this threshold level. Social implications FinTech improvement leads to poverty alleviation. Policymakers in the SSA region can fully recoup the benefits of FinTech by achieving a pre-set threshold level. Originality/value This paper addresses that gap in the literature by studying the impact of FinTech, instead of the traditional financial inclusion measures, on poverty in the 45 countries in the SSA region, exploring the potential dynamic asymmetry of this poverty-FinTech link, and testing the presence and statistical significance of the threshold level of FinTech.</t>
  </si>
  <si>
    <t>[Emara, Noha] Rutgers State Univ, Camden, NJ 08102 USA</t>
  </si>
  <si>
    <t>Rutgers University System; Rutgers University New Brunswick; Rutgers University Camden</t>
  </si>
  <si>
    <t>Emara, N (corresponding author), Rutgers State Univ, Camden, NJ 08102 USA.</t>
  </si>
  <si>
    <t>, Noha/0000-0002-7981-8256</t>
  </si>
  <si>
    <t>10.1108/JES-03-2022-0158</t>
  </si>
  <si>
    <t>L9DE0</t>
  </si>
  <si>
    <t>WOS:000838285900001</t>
  </si>
  <si>
    <t>Gora, K; Dhingra, B; Yadav, M</t>
  </si>
  <si>
    <t>Gora, Kapil; Dhingra, Barkha; Yadav, Mahender</t>
  </si>
  <si>
    <t>A bibliometric study on the role of micro-finance services in micro, small and medium enterprises</t>
  </si>
  <si>
    <t>Micro-finance; Micro-credit; MSMEs; Bibliometric analysis; Content analysis</t>
  </si>
  <si>
    <t>MICROFINANCE EVIDENCE; POVERTY REDUCTION; ENTREPRENEURSHIP; MICROENTERPRISES; GOVERNANCE; CREDIT; WOMEN</t>
  </si>
  <si>
    <t>Purpose - Micro-finance has a significant role in the better performance of micro, small and medium enterprises (MSMEs). This study aims to provide a comprehensive picture of the existing literature on the role of micro-finance and its approaches in MSMEs. Design/methodology/approach - This work performs a bibliometric analysis using a data set of 631 articles collected from the Scopus database. The Bibliometrix R package and Vosviewer are used to conduct performance analysis and scientific mapping. Performance analysis shows the publication trend, key authors, journals and top influential articles. Science mapping through a bibliographic coupling network of documents is prepared to discover the intellectual structure of the field.Findings - This review has identified the four major themes: access to finance and schemes, women empowerment and poverty alleviation, the performance of micro-finance institutions and recent development in micro-financial institutions. With the help of these research themes, the paper also highlights future research agendas.Originality/value - This paper enriches the understanding of the role of micro-finance services in performance of entrepreneurship with the bibliometric review of top contributors.</t>
  </si>
  <si>
    <t>[Gora, Kapil; Dhingra, Barkha; Yadav, Mahender] Maharshi Dayanand Univ, Dept Commerce, Rohtak, India</t>
  </si>
  <si>
    <t>Dhingra, B (corresponding author), Maharshi Dayanand Univ, Dept Commerce, Rohtak, India.</t>
  </si>
  <si>
    <t>kapil.rs.comm@mdurohtak.ac.in; dhingrabarkha1611@gmail.com; mahender46@gmail.com</t>
  </si>
  <si>
    <t>Dhingra, Barkha/IWM-0155-2023; Yadav, Mahender/IWV-1304-2023</t>
  </si>
  <si>
    <t>Dhingra, Barkha/0000-0002-6459-4261;</t>
  </si>
  <si>
    <t>10.1108/CR-11-2022-0174</t>
  </si>
  <si>
    <t>SP5D1</t>
  </si>
  <si>
    <t>WOS:001021394600001</t>
  </si>
  <si>
    <t>Koranteng, B; You, KF</t>
  </si>
  <si>
    <t>Koranteng, Barbara; You, Kefei</t>
  </si>
  <si>
    <t>Does P2P lending promote the traditional bank-based financial inclusion? Spatial evidence from 34 developing economies</t>
  </si>
  <si>
    <t>P2P lending; Financial Inclusion; FinTech; Spatial analysis; Developing countries</t>
  </si>
  <si>
    <t>INTERNATIONAL MIGRATION; REMITTANCES; POVERTY; GROWTH; INFORMATION; INVESTMENT; EDUCATION; MODELS; IMPACT; TRADE</t>
  </si>
  <si>
    <t>Whilst prior literature often suggests that P2P lending address the credit needs of borrowers unserved and underserved by the formal banking sector, this paper contends that the significance of P2P lending extends beyond merely bridging the credit gap created by banks. By empowering the borrowers (often marginalised entities) with knowledge, skills, confidence and necessary documentations, P2P lending plays a transformative role, facilitating these borrowers towards their eventual acceptance and integration into the traditional banking system. We then formally investigate the impact of P2P lending on the traditional bank-based financial inclusion for a group of 34 developing countries during 2013-2020, considering spatial dependence amongst these nations. We find that, first, there is positive cross-country spatial dependence in the traditional financial inclusion, substantiating the use of spatial analysis. Second, utilising the Spatial Durbin Model which is found to be the most suitable specification, we find that P2P lending enhances the traditional financial inclusion, both domestically and in neighbouring economies. Third, the above holds when the largest P2P lender amongst developing nations (i.e., China) and/or the impact of the Covid pandemic (i.e., year 2020) is excluded. Fourth, removing the Covid-19 effect strengthens the positive influence of P2P lending on traditional financial inclusion, signifying the importance of economic stability and connectivity in fostering this relationship. Finally, the robustness of these findings is confirmed with an alternative weight matrix.</t>
  </si>
  <si>
    <t>[Koranteng, Barbara; You, Kefei] Univ Greenwich, Greenwich, England</t>
  </si>
  <si>
    <t>University of Greenwich</t>
  </si>
  <si>
    <t>You, KF (corresponding author), Univ Greenwich, Old Royal Naval Coll, Pk Row, London SE10 9LS, England.</t>
  </si>
  <si>
    <t>K.You@greenwich.ac.uk</t>
  </si>
  <si>
    <t>You, Kefei/0000-0001-7253-5838</t>
  </si>
  <si>
    <t>10.1016/j.ribaf.2025.102947</t>
  </si>
  <si>
    <t>2WQ1R</t>
  </si>
  <si>
    <t>WOS:001493075100004</t>
  </si>
  <si>
    <t>Maldonado, LY; Songok, JJ; Snelgrove, JW; Ochieng, CB; Chelagat, S; Ikemeri, JE; Okwanyi, MA; Cole, DC; Ruhl, LJ; Christoffersen-Deb, A</t>
  </si>
  <si>
    <t>Maldonado, Lauren Y.; Songok, Julia J.; Snelgrove, John W.; Ochieng, Christian B.; Chelagat, Sheilah; Ikemeri, Justus E.; Okwanyi, Monica A.; Cole, Donald C.; Ruhl, Laura J.; Christoffersen-Deb, Astrid</t>
  </si>
  <si>
    <t>Promoting positive maternal, newborn, and child health behaviors through a group-based health education and microfinance program: a prospective matched cohort study in western Kenya</t>
  </si>
  <si>
    <t>BMC PREGNANCY AND CHILDBIRTH</t>
  </si>
  <si>
    <t>Pregnancy; Community health volunteer; Maternal health; Newborn or infant health; Peer support; Health education; Microfinance; Financial inclusion; Low- and middle-income country (LMIC); Kenya</t>
  </si>
  <si>
    <t>PARTICIPATORY WOMENS GROUPS; MORTALITY; BIRTH; OUTCOMES</t>
  </si>
  <si>
    <t>BackgroundChamas for Change (Chamas) is a group-based health education and microfinance program for pregnant and postpartum women that aims to address inequities contributing to high rates of maternal and infant mortality in rural western Kenya. In this prospective matched cohort study, we evaluated the association between Chamas participation and facility-based delivery. We additionally explored the effect of participation on promoting other positive maternal, newborn and child health (MNCH) behaviors.MethodsWe prospectively compared outcomes between a cohort of Chamas participants and controls matched for age, parity, and prenatal care location. Between October-December 2012, government-sponsored community health volunteers (CHV) recruited pregnant women attending their first antenatal care (ANC) visits at rural health facilities in Busia County to participate in Chamas. Women enrolled in Chamas agreed to attend group-based health education and microfinance sessions for one year; controls received the standard of care. We used descriptive analyses, multivariable logistic regression models, and random effect models to compare outcomes across cohorts 12months following enrollment, with alpha set to 0.05.ResultsCompared to controls (n=115), a significantly higher proportion of Chamas participants (n=211) delivered in a health facility (84.4% vs. 50.4%, p&lt;0.001), attended at least four ANC visits (64.0% vs. 37.4%, p&lt;0.001), exclusively breastfed to six months (82.0% vs. 47.0%, p&lt;0.001), and received a CHV home visit within 48h postpartum (75.8% vs. 38.3%, p&lt;0.001). In multivariable models, Chamas participants were over five times as likely as controls to deliver in a health facility (OR 5.49, 95% CI 3.12-9.64, p&lt;0.001). Though not significant, Chamas participants experienced a lower proportion of stillbirths (0.9% vs. 5.2%), miscarriages (5.2% vs. 7.8%), infant deaths (2.8% vs. 3.4%), and maternal deaths (0.9% vs. 1.7%) compared to controls.ConclusionsChamas participation was associated with increased odds of facility-based delivery compared to the standard of care in rural western Kenya. Larger proportions of program participants also practiced other positive MNCH behaviors. Our findings demonstrate Chamas' potential to achieve population-level MNCH benefits; however, a larger study is needed to validate this observed effect.Trial registrationClinicalTrials.gov, NCT03188250 (retrospectively registered 31 May 2017).</t>
  </si>
  <si>
    <t>[Maldonado, Lauren Y.; Songok, Julia J.; Chelagat, Sheilah; Ikemeri, Justus E.; Ruhl, Laura J.; Christoffersen-Deb, Astrid] Acad Model Providing Access Healthcare AMPATH, POB 4606, Eldoret 30100, Kenya; [Maldonado, Lauren Y.] Massachusetts Gen Hosp, Dept Pediat, Dept Med, Boston, MA 02114 USA; [Songok, Julia J.; Ruhl, Laura J.; Christoffersen-Deb, Astrid] Moi Univ, Coll Hlth Sci, Sch Med, Eldoret, Kenya; [Snelgrove, John W.] Univ Toronto, Mt Sinai Hosp, Dept Obstet &amp; Gynaecol, Div Maternal Fetal Med, Toronto, ON, Canada; [Ochieng, Christian B.] LVCT Hlth, Nairobi, Kenya; [Okwanyi, Monica A.] Kenya Red Cross, Bomet, Kenya; [Cole, Donald C.] Univ Toronto, Dalla Lana Sch Publ Hlth, Toronto, ON, Canada; [Ruhl, Laura J.] Indiana Univ, Dept Med, Indianapolis, IN USA; [Christoffersen-Deb, Astrid] Univ British Columbia, Dept Obstet &amp; Gynaecol, Vancouver, BC, Canada</t>
  </si>
  <si>
    <t>Harvard University; Harvard University Medical Affiliates; Massachusetts General Hospital; Moi University; University of Toronto; Sinai Health System Toronto; Lunenfeld Tanenbaum Research Institute; University of Toronto; Indiana University System; Indiana University Indianapolis; University of British Columbia</t>
  </si>
  <si>
    <t>Maldonado, LY (corresponding author), Acad Model Providing Access Healthcare AMPATH, POB 4606, Eldoret 30100, Kenya.;Maldonado, LY (corresponding author), Massachusetts Gen Hosp, Dept Pediat, Dept Med, Boston, MA 02114 USA.</t>
  </si>
  <si>
    <t>lymaldon@gmail.com</t>
  </si>
  <si>
    <t>; Maldonado, Lauren/KHY-6673-2024</t>
  </si>
  <si>
    <t>Snelgrove, John W/0000-0002-7128-8916;</t>
  </si>
  <si>
    <t>Saving Lives at Birth [0033-03-01-01-01]; USAID PEPFAR [623-A-00-08-00003-00]</t>
  </si>
  <si>
    <t>Saving Lives at Birth(United States Agency for International Development (USAID)Bill &amp; Melinda Gates Foundation); USAID PEPFAR(United States Agency for International Development (USAID)United States Department of Health &amp; Human ServicesCenters for Disease Control &amp; Prevention - USA)</t>
  </si>
  <si>
    <t>We thank Saving Lives at Birth (Grant No. #0033-03-01-01-01) and USAID PEPFAR (Grant No. 623-A-00-08-00003-00 for their generous support of this work. These funding bodies had no role in the design of the study or in the collection, analysis, interpretation of data, or writing of this manuscript.</t>
  </si>
  <si>
    <t>1471-2393</t>
  </si>
  <si>
    <t>BMC PREGNANCY CHILDB</t>
  </si>
  <si>
    <t>BMC Pregnancy Childbirth</t>
  </si>
  <si>
    <t>MAY 12</t>
  </si>
  <si>
    <t>10.1186/s12884-020-02978-w</t>
  </si>
  <si>
    <t>Obstetrics &amp; Gynecology</t>
  </si>
  <si>
    <t>LR6KQ</t>
  </si>
  <si>
    <t>WOS:000535802000002</t>
  </si>
  <si>
    <t>Donaldson, O; Duggan, EW</t>
  </si>
  <si>
    <t>Lee, I</t>
  </si>
  <si>
    <t>Donaldson, Opal; Duggan, Evan W.</t>
  </si>
  <si>
    <t>Assessing Mobile Value-Added Preference Structures: The Case of a Developing Country</t>
  </si>
  <si>
    <t>STRATEGY, ADOPTION, AND COMPETITIVE ADVANTAGE OF MOBILE SERVICES IN THE GLOBAL ECONOMY</t>
  </si>
  <si>
    <t>Globally, the telecommunications industry is transitioning from a business model that relied heavily on voice communication as the primary source of income to one in which data services provide the largest share of revenues. This trend is evident in Europe, the United States, India, and several other countries. However, while data services have been introduced widely, not all countries have experienced the same level of success. In this chapter, we posit that the differences in economic benefit are directly related to the cultural uniqueness of each mobile market and recommend a consumer-centric approach as a potential solution to successful market uptake. Cultural uniqueness is evident in the consumption of high levels of multimedia content in South Korea which is not enjoyed in other economies despite the push by telecommunication providers. It is also evident in the success of mobile banking for the unbanked poor in parts of Africa but western societies have not exploited its potential. In this research, we used Anckar and D'Incau's (2002) analytical framework to assess consumer value-added preference structures by exploring the market preferences of a developing country which exhibits the characteristics of a telecommunication market that is saturated and poised for data services integration. The findings suggest that all value-added characteristics evaluated had a positive impact on consumer desirability for a mobile application. Most importantly, the findings highlighted that the inclusion of value-added features within a mobile application is not enough but optimizing the desired combination for a user group may be critical.</t>
  </si>
  <si>
    <t>[Donaldson, Opal] Univ Technol Jamaica, Kingston, Jamaica; [Duggan, Evan W.] Univ West Indies, Mona Sch Business, Kingston, Jamaica; [Duggan, Evan W.] Univ West Indies, MIS, Kingston, Jamaica</t>
  </si>
  <si>
    <t>University of Technology - Jamaica; University West Indies Mona Jamaica; University West Indies Mona Jamaica</t>
  </si>
  <si>
    <t>Donaldson, O (corresponding author), Univ Technol Jamaica, Kingston, Jamaica.</t>
  </si>
  <si>
    <t>978-1-4666-1940-1; 978-1-4666-1939-5</t>
  </si>
  <si>
    <t>10.4018/978-1-4666-1939-5.ch019</t>
  </si>
  <si>
    <t>10.4018/978-1-4666-1939-5</t>
  </si>
  <si>
    <t>Business; Communication</t>
  </si>
  <si>
    <t>Business &amp; Economics; Communication</t>
  </si>
  <si>
    <t>BJ1QU</t>
  </si>
  <si>
    <t>WOS:000417973700020</t>
  </si>
  <si>
    <t>Wu, W; Hon-Wei, L; Yang, SY; Muda, I; Xu, ZY</t>
  </si>
  <si>
    <t>Wu, Wen; Hon-Wei, Leow; Yang, Siyao; Muda, Iskandar; Xu, Zhaoyi</t>
  </si>
  <si>
    <t>Nexus between financial inclusion, workers' remittances, and unemployment rate in Asian economies</t>
  </si>
  <si>
    <t>IMPACTS</t>
  </si>
  <si>
    <t>Unemployment is one of the biggest macroeconomic issues, and economists and policymakers have provided various options to tackle this menace. Financial inclusion and remittances are an important part of any economy and help increase the level of employment. However, despite extensive research, several gaps and issues in understanding the intricate relationship between financial inclusion, workers' remittances, and the unemployment rate in Asian economies persist. This paper seeks to bridge these gaps and address the issues by examining the relationship between financial inclusion, workers' remittances, and the unemployment rate in Asian economies using rigorous econometric methodologies, such as two-stage least squares (2SLS) and generalized method of moments (GMM) methods. The findings of 2SLS and GMM demonstrate that ATM, remittances, internet users, GDP, and financial globalization adversely influence the unemployment levels in Asia, Central Asia, East Asia, Southeast Asia, West &amp; Middle East Asia, and South Asia in 2SLS and GMM models. However, the influence of inflation on the unemployment level is favourable in some regions. Therefore, it is important to give priority to policies that encourage financial inclusion, such as increasing underprivileged populations' access to banking services, credit, and insurance. Moreover, reducing transaction costs, streamlining money transfers, and promoting formal remittance channels can boost remittances.</t>
  </si>
  <si>
    <t>[Wu, Wen] Chengdu Jincheng Coll, Sch Finance, Chengdu 610097, Sichuan, Peoples R China; [Hon-Wei, Leow] Asia Pacific Univ Technol &amp; Innovat, Kuala Lumpur, Malaysia; [Yang, Siyao] China Secur Regulatory Commiss, China Inst Finance &amp; Capital Markets, Beijing 100032, Peoples R China; [Muda, Iskandar] Univ Sumatera Utara, Medan, Indonesia; [Xu, Zhaoyi] Tsinghua Univ, Sch Econ &amp; Management, Beijing 100084, Peoples R China</t>
  </si>
  <si>
    <t>Chengdu Jincheng College; Asia Pacific University of Technology &amp; Innovation; University of North Sumatra; Tsinghua University</t>
  </si>
  <si>
    <t>Xu, ZY (corresponding author), Tsinghua Univ, Sch Econ &amp; Management, Beijing 100084, Peoples R China.</t>
  </si>
  <si>
    <t>xuzy@sem.tsinghua.edu.cn</t>
  </si>
  <si>
    <t>wen, wu/LDF-3495-2024</t>
  </si>
  <si>
    <t>This research was supported by the Foundation of Tsinghua university (Grant No. 2022TSG08102). [2022TSG08102]; Foundation of Tsinghua university</t>
  </si>
  <si>
    <t>This research was supported by the Foundation of Tsinghua university (Grant No. 2022TSG08102).(Tsinghua University); Foundation of Tsinghua university(Tsinghua University)</t>
  </si>
  <si>
    <t>This research was supported by the Foundation of Tsinghua university (Grant No. 2022TSG08102).</t>
  </si>
  <si>
    <t>10.1057/s41599-023-02133-8</t>
  </si>
  <si>
    <t>X3OX5</t>
  </si>
  <si>
    <t>WOS:001097592500010</t>
  </si>
  <si>
    <t>Participatory ambiguity and the emergence of the global financial inclusion agenda</t>
  </si>
  <si>
    <t>financial inclusion; ambiguity; global finance; norm emergence; transnational coalitions; global governance</t>
  </si>
  <si>
    <t>INTERNATIONAL NORMS; IDEAS; POWER; EXCLUSION; POLITICS; REGIME; LABOR; MONEY</t>
  </si>
  <si>
    <t>In the context of post-crisis global economic governance, the global financial inclusion agenda is widely supported by international organizations, states, and civil society organizations. Some scholars attribute the rise of this agenda to the logic of neoliberalism and power of global financial actors, yet these accounts often obscure the role of ambiguity in facilitating broad support. In scholarship on coalition politics, ambiguity is often attributed to the strategic behaviour and framing techniques of central actors (e.g. entrepreneurs). In this article, I develop the novel framework of participatory ambiguity to explain the origins of the financial inclusion agenda and theorize the co-production of ambiguity among members of the supporting coalition. By tracing the development of the agenda, I identify the origins of its ambiguity in the efforts of disparate actors to shape the purposes and direction of the agenda in favourable ways across development, economic, and security domains. This article thus offers a more complete explanation of the origins of financial inclusion at the global level. It also provides an original theoretical perspective on the construction of ideas, agency, ambiguity, and global coalitions that can be used to better explain the development of other global policy agendas.</t>
  </si>
  <si>
    <t>[Girard, Tyler] Univ Western Ontario, Dept Polit Sci, London, ON, Canada</t>
  </si>
  <si>
    <t>Girard, T (corresponding author), Univ Western Ontario, Dept Polit Sci, London, ON, Canada.</t>
  </si>
  <si>
    <t>Girard, Tyler/AGV-2122-2022</t>
  </si>
  <si>
    <t>Girard, Tyler/0000-0001-8568-8868</t>
  </si>
  <si>
    <t>This study was funded by Social Sciences and Humanities Research Council of Canada.</t>
  </si>
  <si>
    <t>10.1080/09692290.2021.1936593</t>
  </si>
  <si>
    <t>5C1IA</t>
  </si>
  <si>
    <t>WOS:000671470800001</t>
  </si>
  <si>
    <t>Grinstein-Weiss, M; Spader, J; Yeo, YH; Taylor, A; Freeze, EB</t>
  </si>
  <si>
    <t>Grinstein-Weiss, Michal; Spader, Jonathan; Yeo, Yeong Hun; Taylor, Andrea; Freeze, Elizabeth Books</t>
  </si>
  <si>
    <t>Parental transfer of financial knowledge and later credit outcomes among low- and moderate-income homeowners</t>
  </si>
  <si>
    <t>Credit scores; Credit card debt; Savings; Parental teaching; Financial skills; Asset building; Low-income homeowners; Financial education</t>
  </si>
  <si>
    <t>ACCOUNTS; CHILDREN; PROGRAM; CARD</t>
  </si>
  <si>
    <t>It is well established that acquiring financial skills during childhood is linked with better savings in adulthood. Little is known, however, about the relationship between parental teaching of money management early in life and children's financial outcomes in adulthood. This is particularly true for low- and moderate-income (LMI) households. Using data from Community Advantage Program survey data for 2,389 LMI homeowners, we find that adults who report receiving high levels of money-management teaching in childhood from their parents are associated with higher credit scores and lower credit card debt in adulthood. We also find that the level of parental financial teaching influences the relationship between children's later educational attainment and credit scores. These findings suggest implications for initiatives promoting financial capability for parents and children. (C) 2010 Published by Elsevier Ltd.</t>
  </si>
  <si>
    <t>[Grinstein-Weiss, Michal; Yeo, Yeong Hun; Taylor, Andrea; Freeze, Elizabeth Books] Univ N Carolina, Sch Social Work, Chapel Hill, NC 27599 USA; [Grinstein-Weiss, Michal] Univ N Carolina, Ctr Community Capital, Chapel Hill, NC 27599 USA; [Spader, Jonathan] ABT Associates Inc, Bethesda, MD USA</t>
  </si>
  <si>
    <t>University of North Carolina; University of North Carolina Chapel Hill; University of North Carolina; University of North Carolina Chapel Hill; ABT Associates</t>
  </si>
  <si>
    <t>Grinstein-Weiss, M (corresponding author), Univ N Carolina, Sch Social Work, 325 Pittsboro St,CB 3550, Chapel Hill, NC 27599 USA.</t>
  </si>
  <si>
    <t>michalgw@email.unc.edu</t>
  </si>
  <si>
    <t>10.1016/j.childyouth.2010.08.015</t>
  </si>
  <si>
    <t>715DF</t>
  </si>
  <si>
    <t>WOS:000286859900010</t>
  </si>
  <si>
    <t>Kuada, J</t>
  </si>
  <si>
    <t>Kuada, John</t>
  </si>
  <si>
    <t>Changing role of finance in rural small enterprise growth in Ghana</t>
  </si>
  <si>
    <t>Small enterprises; Firm growth; Financial inclusion; Africa; Ghana; Entrepreneurship; Rural communities; Small business finance</t>
  </si>
  <si>
    <t>ENTREPRENEURSHIP; AFRICA; PERFORMANCE; MICROCREDIT; PEOPLE; ACCESS</t>
  </si>
  <si>
    <t>Purpose This study aims to build on the emerging understanding that small enterprise growth results from a confluence of different factors. This study seeks to provide additional insights into the nature of these factors and how they influence the growth process of small businesses in rural communities in Ghana. Design/methodology/approach This study undertook a qualitative investigation of 28 small enterprises in three Ghanaian rural districts. Interviews were conducted with owners of the businesses. Findings The results indicate that growth-enabling conditions such as entrepreneurial ambition, market demand and infrastructure combine with finance to define small enterprise growth trajectories in rural Ghana. However, finance may not always be the major factor driving the growth. Originality/value Most past studies about small enterprise growth in Africa have concentrated on firms in urban communities and see finance gap as the most serious constraint to growth. This study joins the few recent studies about rural enterprise growth in Ghana, showing that the growth of these businesses depends on an interplay of a variety of factors.</t>
  </si>
  <si>
    <t>[Kuada, John] African Business Educ &amp; Res, Aalborg, Denmark</t>
  </si>
  <si>
    <t>Kuada, J (corresponding author), African Business Educ &amp; Res, Aalborg, Denmark.</t>
  </si>
  <si>
    <t>kuada@stofanet.dk</t>
  </si>
  <si>
    <t>10.1108/JEEE-07-2021-0269</t>
  </si>
  <si>
    <t>Y6RF0</t>
  </si>
  <si>
    <t>WOS:000800728400001</t>
  </si>
  <si>
    <t>Walker, S</t>
  </si>
  <si>
    <t>Walker, Sarah</t>
  </si>
  <si>
    <t>Historical legacies in savings: Evidence from Romania</t>
  </si>
  <si>
    <t>JOURNAL OF COMPARATIVE ECONOMICS</t>
  </si>
  <si>
    <t>Savings; Historical persistence; Spatial discontinuity; Culture and institutions; Risk and time preferences; Financial development; Lab in the field experiments</t>
  </si>
  <si>
    <t>CULTURAL TRANSMISSION; TIME-PREFERENCES; TRUST; RISK; ECONOMICS; ORIGINS; POOR</t>
  </si>
  <si>
    <t>This study explores channels of savings persistence using a spatial regression discontinuity across an imperial border in present-day Romania. With data obtained from a lab in the field experiment and household survey, the findings suggest that imperial history influences savings behaviors today. I find no evidence that economic preferences for risk and time differ across the border, nor that these preferences are culturally transmitted. Rather, imperial history is strongly correlated with current financial access and asset choice, which affect savings accumulation. To confirm the robustness of these findings, I conduct falsification tests that arbitrarily move the border and also rule out several alternative mechanisms, including trust in financial institutions, financial literacy, and migration. I establish the external validity of the field experiment using nationally-representative data, which also suggests that savings legacies have important welfare consequences for the ability to mitigate household shocks. These findings highlight the role of history in under-saving, as well as the reinforcing nature of culture and institutions in shaping contemporary economic outcomes.</t>
  </si>
  <si>
    <t>[Walker, Sarah] Univ New South Wales, Sch Econ, UNSW Business Sch, Sydney, NSW 2052, Australia</t>
  </si>
  <si>
    <t>Walker, S (corresponding author), Univ New South Wales, Sch Econ, UNSW Business Sch, Sydney, NSW 2052, Australia.</t>
  </si>
  <si>
    <t>s.walker@unsw.edu.au</t>
  </si>
  <si>
    <t>Walker, Sarah/0000-0002-8956-0359</t>
  </si>
  <si>
    <t>NASA Land Use and Land Cover Change program [NNX11AE93G, NNX12AG74G]; NASA [NNX11AE93G, NNX12AG74G, 76738, 146250] Funding Source: Federal RePORTER</t>
  </si>
  <si>
    <t>NASA Land Use and Land Cover Change program(National Aeronautics &amp; Space Administration (NASA)); NASA(National Aeronautics &amp; Space Administration (NASA))</t>
  </si>
  <si>
    <t>Previous drafts of this paper were entitled, Does the Future Have an Ancient Heart? Imperial Evidence on the Origins of Savings, and Exploring the Channels of Long-Run Persistence in Savings: Evidence from Romania. I thank an anonymous referee, as well as Jennifer AlixGarcia, Laura Schechter, Jeffrey Williamson, Volker Radeloff, Daniel Phaneuf, Pauline Grosjean, Jonathan Robinson, and Isabella Dobrescu for detailed comments on this manuscript. Participants at the ACES Session on Cultural and Institutional Persistence at the 2019 ASSA meetings, 2015 Midwest Development Economics Conference, 2014 North Eastern Universities Development Consortium (NEUDC), the University of Wisconsin, University of New South Wales, the Melbourne Institute, University of North Carolina at Chapel Hill, American University, Seton Hall University, University of North Carolina at Asheville, and Grinnell College provided helpful discussion. I am grateful for generous funding from the NASA Land Use and Land Cover Change program under grants NNX11AE93G and NNX12AG74G, as well as to Larisa Andrei, Simina Mazureac, and Adrian Bilius for excellent field research assistance.</t>
  </si>
  <si>
    <t>0147-5967</t>
  </si>
  <si>
    <t>1095-7227</t>
  </si>
  <si>
    <t>J COMP ECON</t>
  </si>
  <si>
    <t>J. Comp. Econ.</t>
  </si>
  <si>
    <t>10.1016/j.jce.2019.11.003</t>
  </si>
  <si>
    <t>LG1TT</t>
  </si>
  <si>
    <t>WOS:000527892800005</t>
  </si>
  <si>
    <t>Salisbury, LC; Nenkov, GY; Blanchard, SJ; Hill, RP; Brown, AL; Martin, KD</t>
  </si>
  <si>
    <t>Salisbury, Linda Court; Nenkov, Gergana Y.; Blanchard, Simon J.; Hill, Ronald Paul; Brown, Alexander L.; Martin, Kelly D.</t>
  </si>
  <si>
    <t>Beyond Income: Dynamic Consumer Financial Vulnerability</t>
  </si>
  <si>
    <t>JOURNAL OF MARKETING</t>
  </si>
  <si>
    <t>consumer financial vulnerability; dynamic life cycle consumption; financial decision making; financial exclusion; marketing; marketing ethics; transformative consumer research</t>
  </si>
  <si>
    <t>CONSUMPTION; HEALTH; MODEL; CONSEQUENCES; LITERACY; POVERTY; EQUITY; IMPACT; CREDIT; RETURN</t>
  </si>
  <si>
    <t>This research challenges the entrenched belief that financial vulnerability affects only low-income consumers. Instead, most consumers across the socioeconomic spectrum experience varying degrees of financial vulnerability at different points during their lives, whether sporadically or chronically; vulnerability is dynamic and heterogeneous. The authors propose a novel, theory-driven definition of consumer financial vulnerability (CFV) as the risk of incurring future harm, given the consumer's current access to various financial resources. A new conceptual framework decouples vulnerability from harm to distinguish the state of CFV, its determinants (access to various interdependent financial resources), and the constructs it foreshadows (multiple interconnected forms of realized harm). Five research propositions follow: (1) financial resource volatility plays a vital role in CFV, (2) recovering from harm requires more financial resources than preventing harm, (3) a multiperiod lens is needed to assess CFV accurately, (4) greater financial resource access can increase CFV, and (5) generalized financial literacy is not a panacea for mitigating CFV. The propositions and their implications for marketing strategy, public policy, and consumer well-being offer a rich research agenda. The authors propose a measure of CFV-the probability that financial resources are insufficient to meet or exceed a harm threshold-for future empirical investigations.</t>
  </si>
  <si>
    <t>[Salisbury, Linda Court; Nenkov, Gergana Y.] Boston Coll, Chestnut Hill, MA 02467 USA; [Blanchard, Simon J.] Georgetown Univ, Washington, DC USA; [Hill, Ronald Paul] Amer Univ, Washington, DC USA; [Brown, Alexander L.] Texas A&amp;M Univ, College Stn, TX USA; [Martin, Kelly D.] Colorado State Univ, Ft Collins, CO USA</t>
  </si>
  <si>
    <t>Boston College; Georgetown University; American University; Texas A&amp;M University System; Texas A&amp;M University College Station; Colorado State University System; Colorado State University Fort Collins</t>
  </si>
  <si>
    <t>Salisbury, LC (corresponding author), Boston Coll, Chestnut Hill, MA 02467 USA.</t>
  </si>
  <si>
    <t>salisbli@bc.edu; gergana.nenkov@bc.edu; sjb247@georgetown.edu; ronhill@american.edu; alexbrown@tamu.edu; kelly.martin@colostate.edu</t>
  </si>
  <si>
    <t>; Hill, Ronald/GOK-1216-2022; Martin, Kelly/AAB-2929-2019</t>
  </si>
  <si>
    <t>Brown, Alex/0000-0002-5582-5304; Nenkov, Gergana/0000-0003-4580-5972;</t>
  </si>
  <si>
    <t>0022-2429</t>
  </si>
  <si>
    <t>1547-7185</t>
  </si>
  <si>
    <t>J MARKETING</t>
  </si>
  <si>
    <t>J. Mark.</t>
  </si>
  <si>
    <t>10.1177/00222429221150910</t>
  </si>
  <si>
    <t>N8ID5</t>
  </si>
  <si>
    <t>WOS:000974269200001</t>
  </si>
  <si>
    <t>Zhang, LF; Chao, XR; Qian, Q; Jing, FY</t>
  </si>
  <si>
    <t>Zhang, Lifeng; Chao, Xiangrui; Qian, Qian; Jing, Fuying</t>
  </si>
  <si>
    <t>Credit evaluation solutions for social groups with poor services in financial inclusion: A technical forecasting method</t>
  </si>
  <si>
    <t>Credit evaluation; Sparse credit information; Slack constrained matrix factorisation; Financial inclusion</t>
  </si>
  <si>
    <t>NONNEGATIVE MATRIX FACTORIZATION; GROUP DECISION-MAKING; AHP; FRAMEWORK</t>
  </si>
  <si>
    <t>Financial inclusion aims to provide financial services at an affordable cost to low-income groups in need. However, the lack of effective credit evaluation information for such groups has hindered the innovative development of financial inclusion in the banking industry. This study proposes a slack constrained matrix factorisation model to supplement missing credit information. The method fills in missing data with known data in groups of similar credit behaviours. We empirically analyse the performance of this method in a supplemented credit information matrix and a sparse credit information matrix. We use actual credit data of farmers and herdsmen in extremely poor areas and small, medium and micro enterprises in National Equities Exchange and Quotations, China. This study concludes that the proposed credit evaluation methods based on sparse credit information can effectively improve the performance of traditional credit classification algorithms.</t>
  </si>
  <si>
    <t>[Zhang, Lifeng] Chengdu Univ, Sch Tourism &amp; Culture Ind, Chengdu 610106, Peoples R China; [Chao, Xiangrui] Sichuan Univ, Business Sch, Chengdu 610065, Peoples R China; [Qian, Qian] Sichuan Normal Univ, Sch Business, Chengdu 610101, Peoples R China; [Jing, Fuying] Chongqing Technol &amp; Business Univ, Natl Res Base Intelligent Mfg Serv, Chongqing 400067, Peoples R China</t>
  </si>
  <si>
    <t>Chengdu University; Sichuan University; Sichuan Normal University; Chongqing Technology &amp; Business University</t>
  </si>
  <si>
    <t>Chao, XR (corresponding author), Sichuan Univ, Business Sch, Chengdu 610065, Peoples R China.</t>
  </si>
  <si>
    <t>chaoxr@scu.edu.cn</t>
  </si>
  <si>
    <t>National Natural Science Foundation of China [71874023, 72101172, 72002020]; National Natural Science Foundation of China</t>
  </si>
  <si>
    <t>National Natural Science Foundation of China(National Natural Science Foundation of China (NSFC)); National Natural Science Foundation of China(National Natural Science Foundation of China (NSFC))</t>
  </si>
  <si>
    <t>Thanks to the People's Bank of China, Haixi Mongolian and TibetanAutonomous Area central sub-branch and the People's Bank of China, Yushu Tibetan Autonomous Area central sub-branch for the credit data provided to our research. This research has been partially supported by grants from the National Natural Science Foundation of China (#71874023, #72101172 and #72002020) .</t>
  </si>
  <si>
    <t>10.1016/j.techfore.2022.121902</t>
  </si>
  <si>
    <t>3Q3PX</t>
  </si>
  <si>
    <t>WOS:000838147600015</t>
  </si>
  <si>
    <t>Le, TD; Nguyen, N; Nguyen, Q</t>
  </si>
  <si>
    <t>Le, Thanh Dat; Nguyen, Nguyen; Nguyen, Quynh</t>
  </si>
  <si>
    <t>Technology and happiness: the association between online budget planner and financial satisfaction</t>
  </si>
  <si>
    <t>Online budget planners; Financial satisfaction; Financial behaviors; Financial self-efficacy; Fintech; Household finance; Disadvantaged households</t>
  </si>
  <si>
    <t>CAPABILITY</t>
  </si>
  <si>
    <t>Purpose - This study examines the impact of online budget planning platforms (e.g. Goodbudget, Mint) on households' financial satisfaction. Furthermore, the authors identify the channels and the cross-sectional heterogeneity of this impact based on households' income, financial literacy and minority groups. Design/methodology/approach - This study utilizes data from the National Financial Capability Study (NFCS) for 2018 and 2021, which encompasses over 50,000 households. The authors apply logit and ordered logit regression techniques to examine the research questions and use propensity score matching and entropy balancing to address potential sample selection bias. Findings - The authors find a substantial correlation between the adoption of financial budgeting tools and a notable improvement in households' financial satisfaction, driven by the promotion of healthy financial behaviors and enhanced financial self-efficacy. The empirical findings underscore that the positive effects of online budget planners are more pronounced among low-income, financially illiterate and Black households. Originality/value - This study is the first to examine the impact of online budget planners on household financial satisfaction. It contributes to the literature by offering valuable insights into how these tools influence financial satisfaction within households.</t>
  </si>
  <si>
    <t>[Le, Thanh Dat] Univ Northern Colorado, Monfort Coll Business, Dept Finance, Greeley, CO USA; [Nguyen, Nguyen] Minnesota State Univ Mankato, Dept Finance, Mankato, MN 56001 USA; [Nguyen, Quynh] Flinders Univ S Australia, Coll Business Govt &amp; Law, Adelaide, Australia</t>
  </si>
  <si>
    <t>University of Northern Colorado; Minnesota State Colleges &amp; Universities; Minnesota State University Mankato; Flinders University</t>
  </si>
  <si>
    <t>Nguyen, N (corresponding author), Minnesota State Univ Mankato, Dept Finance, Mankato, MN 56001 USA.</t>
  </si>
  <si>
    <t>dat.le@unco.edu; nguyen.nguyen.2@mnsu.edu; quinn.nguyen@flinders.edu.au</t>
  </si>
  <si>
    <t>; Nguyen, Quynh/MFJ-6284-2025</t>
  </si>
  <si>
    <t>Le, Thanh Dat/0000-0002-8444-3399; Nguyen, Nguyen/0000-0002-6509-6723; Nguyen, Quynh/0000-0002-6683-9306</t>
  </si>
  <si>
    <t>FINRA Foundation National Financial Capability Study</t>
  </si>
  <si>
    <t>We thank the FINRA Foundation National Financial Capability Study (NFCS) for providing us with the NFCS data.</t>
  </si>
  <si>
    <t>10.1108/RBF-04-2024-0106</t>
  </si>
  <si>
    <t>WOS:001356775100001</t>
  </si>
  <si>
    <t>Jordaan, A; Engelbrecht, LK</t>
  </si>
  <si>
    <t>Jordaan, Adriaan; Engelbrecht, Lambert K.</t>
  </si>
  <si>
    <t>IN THE TRENCHES: A FINANCIAL SOCIAL WORK PRACTICE PERSPECTIVE ON THE PERSISTENT LEGACY OF POVERTY IN THE SOCIAL DEVELOPMENT CONTEXT OF SOUTH AFRICA</t>
  </si>
  <si>
    <t>SOCIAL WORK-MAATSKAPLIKE WERK</t>
  </si>
  <si>
    <t>financial capability; financial literacy; financial social work; practice perspective; poverty; social development; unemployment</t>
  </si>
  <si>
    <t>CAPABILITY; IMPACT; FRAMEWORK; LITERACY; DEBT</t>
  </si>
  <si>
    <t>Widespread socio-economic challenges such as high levels of poverty and unemployment continue to plague South Africa. Owing to the nature of social work service delivery, social workers often serve the most vulnerable populations. However, it seems that social workers remain metaphorically in the trenches in the war on poverty, meaning that tangible evidence on the progress of poverty alleviation due to the direct involvement of social workers is meagre in social development. This article argues for the integration of a financial social work practice perspective into South African social work service delivery as a potential means of facilitating more efficient social development. The article is conceptual in nature and draws on the principles of theoretical adaptation. It posits social developmental theory as the dominant theoretical paradigm, and financial social work as the practice perspective. Analysis will highlight the current gaps in social developmental practice, and the appropriateness of financial social work to address it. The discussion aims to activate scholarly discourse on financial social work in South Africa and beyond, and to firmly position this practice perspective within sustainable social development.</t>
  </si>
  <si>
    <t>[Jordaan, Adriaan; Engelbrecht, Lambert K.] Stellenbosch Univ, Dept Social Work, Stellenbosch, South Africa</t>
  </si>
  <si>
    <t>Jordaan, A (corresponding author), Stellenbosch Univ, Dept Social Work, Stellenbosch, South Africa.</t>
  </si>
  <si>
    <t>adriaanj13@gmail.com; lke@sun.ac.za</t>
  </si>
  <si>
    <t>Jordaan, Adriaan/OIR-4748-2025</t>
  </si>
  <si>
    <t>UNIV STELLENBOSCH, DEPT SOCIAL WORK</t>
  </si>
  <si>
    <t>STELLENBOSCH</t>
  </si>
  <si>
    <t>PO BOX 223, STELLENBOSCH, 7599, SOUTH AFRICA</t>
  </si>
  <si>
    <t>0037-8054</t>
  </si>
  <si>
    <t>2312-7198</t>
  </si>
  <si>
    <t>SOC WORK-MAATSK WERK</t>
  </si>
  <si>
    <t>Soc. Work-Maatsk. Werk</t>
  </si>
  <si>
    <t>10.15270/60-3-1351</t>
  </si>
  <si>
    <t>G1I0Q</t>
  </si>
  <si>
    <t>WOS:001314231300011</t>
  </si>
  <si>
    <t>Datta, K</t>
  </si>
  <si>
    <t>Migrants and their Money: Surviving Financial Exclusion in London</t>
  </si>
  <si>
    <t>MIGRANTS AND THEIR MONEY: SURVIVING FINANCIAL EXCLUSION IN LONDON</t>
  </si>
  <si>
    <t>MIGRATION-DEVELOPMENT NEXUS; INTERNATIONAL MIGRATION; SOCIAL NETWORKS; GLOBAL CITIES; IMMIGRANT INCORPORATION; POLITICAL-ECONOMY; INFORMAL ECONOMY; CREDIT UNIONS; NEW-LABOR; REMITTANCES</t>
  </si>
  <si>
    <t>POLICY PRESS</t>
  </si>
  <si>
    <t>UNIV BRISTOL, 4TH FLOOR, BEACON HOUSE, QUEENS ROAD, BRISTOL, BS8 1QU, ENGLAND</t>
  </si>
  <si>
    <t>978-1-84742-843-1</t>
  </si>
  <si>
    <t>10.1332/policypress/9781847428431.001.0001</t>
  </si>
  <si>
    <t>BA0SV</t>
  </si>
  <si>
    <t>WOS:000332206800009</t>
  </si>
  <si>
    <t>Financial Access for Migrants and Intermediation of Remittances in South Africa</t>
  </si>
  <si>
    <t>INTERNATIONAL MIGRATION</t>
  </si>
  <si>
    <t>In this paper, I examine the state of access to financial services by migrants in South Africa and the intermediation of remittances using a case study of Zimbabwean migrants. I observe that migrants generally use informal channels to intermediate remittances. While this phenomenon can technically be attributed to immigration laws and the financial regulatory environment, there are other factors at play, such as cultural inertia. I observe financial access for migrants to be positively related to migrant legal status, income level, savings level and education level. Furthermore, I note that financial access is not correlated with the choice of the mode of remittance transfer. The majority of migrants with financial access still prefer to utilize informal transfer mechanisms. Policy interventions that have the effect of improving financial access include the formalization of the legal status of migrants, improving their wage levels and access to education, and expanding savings programmes to migrants.</t>
  </si>
  <si>
    <t>Univ S Africa, ZA-0001 Pretoria, South Africa</t>
  </si>
  <si>
    <t>Makina, D (corresponding author), Univ S Africa, ZA-0001 Pretoria, South Africa.</t>
  </si>
  <si>
    <t>Makina, Daniel/0000-0003-2930-2187</t>
  </si>
  <si>
    <t>0020-7985</t>
  </si>
  <si>
    <t>INT MIGR</t>
  </si>
  <si>
    <t>Int. Migr.</t>
  </si>
  <si>
    <t>e133</t>
  </si>
  <si>
    <t>e147</t>
  </si>
  <si>
    <t>10.1111/j.1468-2435.2012.00748.x</t>
  </si>
  <si>
    <t>180JL</t>
  </si>
  <si>
    <t>WOS:000321589900009</t>
  </si>
  <si>
    <t>Panakaje, N; Parvin, SMR; Bhagwath, AA; Siddiq, A; Irfana, S; Yatheen, A</t>
  </si>
  <si>
    <t>Panakaje, Niyaz; Parvin, S. M. Riha; Bhagwath, Arun A.; Siddiq, Abbokar; Irfana, Shakira; Yatheen, A.</t>
  </si>
  <si>
    <t>Measuring socio-economic development of rural households: scale development</t>
  </si>
  <si>
    <t>Socio-Economic development; Education; Social; Political; Economic; Employment; Financial Development</t>
  </si>
  <si>
    <t>INDICATORS; INDEX; URBAN</t>
  </si>
  <si>
    <t>Calibrating socio-economic development is indispensable for evaluating a country's progress and identifying areas for improvement. This study aims to establish a measuring scale for evaluating the various socio-economic development indicators of rural households. The methodology involved critical examination of existing literature and in-depth interviews with subject experts and respondents to identify different constructs and measurement scales. The indicators of socio-economic development included social, economic, political, physical assets, health, employment, education, and financial aspects. The indicators' content, convergent, discriminant, construct validity, EFA, and CFA were examined. Some constructs required additional items, which were obtained through in-depth interviews. Despite the range of indicators and measurement tools available such as HDI, MPI, and others, still there is a need for a comprehensive set and overall picture of the SED scale. The developed measurement scale is felicitous to assess the socio-economic development of rural communities in longitudinal studies and to quantify the impact of various independent factors such as rural development programs, financial literacy, financial inclusion, community services, and CSR activities on the SED of rural population. This scale may help government surveys evaluate the state of rural areas now and execute the necessary policy changes for long-term prosperity and regional growth.</t>
  </si>
  <si>
    <t>[Panakaje, Niyaz; Parvin, S. M. Riha; Irfana, Shakira] Yenepoya Deemed Univ, Yenepoya Inst Arts Sci Commerce &amp; Management YIASC, Yenepoya Res Ctr Finance &amp; Entrepreneurship Dev YE, Mangalore, India; [Parvin, S. M. Riha] Srinivas Univ, Inst Management &amp; Commerce, Mangaluru, India; [Bhagwath, Arun A.] Yenepoya Inst Arts Sci Commerce &amp; Management, Mangalore 575002, India; [Bhagwath, Arun A.] Dean Yenepoya Deemed Univ, Mangalore, India; [Siddiq, Abbokar] Univ Coll, Dept Commerce, Mangalore, India; [Yatheen, A.] Shree Gokarnanatheshwara Coll, Dept Commerce, Mangalore, India</t>
  </si>
  <si>
    <t>Yenepoya (Deemed to be University); Yenepoya Institute of Arts Science Commerce &amp; Management; Yenepoya (Deemed to be University); Yenepoya Institute of Arts Science Commerce &amp; Management</t>
  </si>
  <si>
    <t>Panakaje, N (corresponding author), Yenepoya Deemed Univ, Yenepoya Inst Arts Sci Commerce &amp; Management YIASC, Yenepoya Res Ctr Finance &amp; Entrepreneurship Dev YE, Mangalore, India.</t>
  </si>
  <si>
    <t>niyaz0191@gmail.com</t>
  </si>
  <si>
    <t>; Bhagwath, Arun/X-7604-2019; PARVIN, S M RIHA/KDO-6027-2024; Panakaje, Niyaz/ADD-0717-2022</t>
  </si>
  <si>
    <t>Siddiq, Abbokar/0000-0001-7199-7133; PARVIN, S M RIHA/0000-0003-4030-6445; Panakaje, Niyaz/0000-0003-4568-1658</t>
  </si>
  <si>
    <t>10.1080/23311886.2025.2473766</t>
  </si>
  <si>
    <t>0GB9A</t>
  </si>
  <si>
    <t>WOS:001446532500001</t>
  </si>
  <si>
    <t>Moving past the rhetoric: Policy considerations that can make Sino-African relations to improve Africa's climate change resilience and the attainment of the sustainable development goals</t>
  </si>
  <si>
    <t>ADVANCES IN CLIMATE CHANGE RESEARCH</t>
  </si>
  <si>
    <t>Climate risk management; Financial inclusion; Food security; Forum on China-Africa Cooperation (FOCAC); Microfinance; Youth unemployment</t>
  </si>
  <si>
    <t>DEVELOPING-COUNTRIES; FINANCE; CHINA; ENERGY; AGRICULTURE; COMMUNITIES; ADAPTATION; INVESTMENT; GROWTH; AID</t>
  </si>
  <si>
    <t>Climate change is a threat to the attainment of the Sustainable Development Goals (SDGs) in sub-Saharan Africa as its impacts can lead to increased incidences of poverty and inequality which can subsequently lead to a 12% decline in the Human Development Index (HDI) for sub-Saharan Africa. Emerging countries such as China have the potential to support Africa to achieve the SDGs by pioneering South-South Climate Finance (SSCF) modalities. In order to increase knowledge on climate informed development and the role of China in global climate governance, the paper examined various research articles, case studies, policy briefs and project reports. Sino-African aid, investments and trade were noted as essential in mitigating Africa's climate change vulnerabilities which induce poverty traps and inequality. Some African countries were noted to have a comparative advantage in environmental standards over China but lacked the initiative to use this comparative advantage to enhance the Forum on China-Africa Cooperation (FOCAC) and assist China to have a sustainable growth trajectory. The paper concludes that SSCF modalities can enhance climate risk management in Africa if they focus on improving financial inclusion and improving climate finance flows towards climate change adaptation activities in Africa. Additionally, to increase the effectiveness and impact of Chinese climate finance support to Africa, African policymakers should not allow political and market forces to decide how climate related support from China should be allocated as decisions based on political and market forces could potentially promote an inequitable distribution of funds and ignore the most vulnerable countries and regions.</t>
  </si>
  <si>
    <t>[Chirambo, Dumisani] Brandenburg Univ Technol Cottbus Senftenberg, Dept Civil &amp; Publ Law References Law Europe &amp; Env, D-03046 Cottbus, Germany</t>
  </si>
  <si>
    <t>Chirambo, D (corresponding author), Brandenburg Univ Technol Cottbus Senftenberg, Dept Civil &amp; Publ Law References Law Europe &amp; Env, D-03046 Cottbus, Germany.</t>
  </si>
  <si>
    <t>chiradum@tu-cottbus.de</t>
  </si>
  <si>
    <t>Environment, Brandenburg University of Technology Cottbus-Senftenberg</t>
  </si>
  <si>
    <t>The author acknowledges the support of Prof. Dr. Eike Albrecht and fellow colleagues at the Department of Civil and Public Law with references to Law of Europe and the Environment, Brandenburg University of Technology Cottbus-Senftenberg.</t>
  </si>
  <si>
    <t>1674-9278</t>
  </si>
  <si>
    <t>ADV CLIM CHANG RES</t>
  </si>
  <si>
    <t>Adv. Clim. Chang. Res.</t>
  </si>
  <si>
    <t>10.1016/j.accre.2016.11.002</t>
  </si>
  <si>
    <t>FK1WC</t>
  </si>
  <si>
    <t>WOS:000413273300009</t>
  </si>
  <si>
    <t>Liu, JL; Li, L; Lu, D; E, MH</t>
  </si>
  <si>
    <t>Liu, Jialin; Li, Lin; Lu, Dong; E, Meihe</t>
  </si>
  <si>
    <t>FinTech and consumption resilience to uncertainty shocks: Evidence from digital wealth management in China</t>
  </si>
  <si>
    <t>FinTech; Consumption resilience; Digital wealth management; Borrowing; COVID-19</t>
  </si>
  <si>
    <t>CARD DEBT PUZZLE; LIQUIDITY CONSTRAINTS; FINANCIAL LITERACY; SELF-CONTROL; CREDIT; CYCLE; RISK; PREFERENCES; DEMAND</t>
  </si>
  <si>
    <t>Developing countries are taking advantage of FinTech tools to provide more people with convenient access to financial market investment through digital wealth management. Using COVID-19 as an uncertainty shock, we examine whether and how digital wealth management affects the resilience of consumption to shocks based on a unique micro dataset provided by Alipay, a leading Big Tech platform in China. We find that digital wealth management mitigates the response of consumption to uncertainty shocks: residents who participate in digital wealth management, especially in risky asset investments, experience a lower reduction in consumption. The mitigation effect works through two channels: those who allocate a larger proportion of risky assets in their portfolio (portfolio choice channel) and obtain a higher realized return (changes in asset prices channel) exhibit greater consumption resilience to negative shocks. Importantly, digital wealth management helps improve financial inclusion, with a more pronounced mitigation effect among residents with lower-level wealth, living in less developed areas, and those with lower-level conventional finance accessibility. We also find that digital wealth management substitutes for conventional bank credit but serves as a complement to FinTech credit in smoothing consumption during uncertainty shocks.</t>
  </si>
  <si>
    <t>[Liu, Jialin] Beijing Univ Chem Technol, Sch Econ &amp; Management, Changping Campus 29,Nanjian Rd, Beijing 102202, Peoples R China; [Li, Lin] Zhejiang Univ, Sch Econ, Hangzhou, Peoples R China; [Lu, Dong; E, Meihe] Renmin Univ China, Sch Finance, Beijing, Peoples R China</t>
  </si>
  <si>
    <t>Beijing University of Chemical Technology; Zhejiang University; Renmin University of China</t>
  </si>
  <si>
    <t>Lu, D (corresponding author), Renmin Univ China, Sch Finance, Beijing, Peoples R China.</t>
  </si>
  <si>
    <t>liujialin@buct.edu.cn; lin.li@zju.edu.cn; donglu@ruc.edu.cn; emeihe@ruc.edu</t>
  </si>
  <si>
    <t>Liu, Jialin/KOX-5122-2024</t>
  </si>
  <si>
    <t>National Social Science Fund of China [25CJL047]; Fundamental Research Funds for the Central Universities; Research Funds of Renmin University of China; Big Data and Responsible Artificial Intelligence for National Governance, Renmin University of China [25XNQZ20]; Digital Economy Open Research Platform</t>
  </si>
  <si>
    <t>National Social Science Fund of China; Fundamental Research Funds for the Central Universities(Fundamental Research Funds for the Central Universities); Research Funds of Renmin University of China; Big Data and Responsible Artificial Intelligence for National Governance, Renmin University of China; Digital Economy Open Research Platform</t>
  </si>
  <si>
    <t>Jialin Liu gratefully acknowledges the financial support by the National Social Science Fund of China under Grant Number 25CJL047. Meihe E gratefully acknowledges the financial support by the Fundamental Research Funds for the Central Universities, and the Research Funds of Renmin University of China; Big Data and Responsible Artificial Intelligence for National Governance, Renmin University of China under Grant Number 25XNQZ20. We thank Wenlong Bian, Qiang Gong, Claire Yurong Hong, Jiayin Hu, Yiping Huang, Zhuo Huang, Yang Ji, Jun Pan, and conference and seminar participants at the 21st Chinese Finance Annual 2024, the 10th FinTech International Conference &amp; 8th Shanghai-London-Edinburgh FinTech Conference 2024, South China University of Technology, Shanghai University of Finance and Economics for their helpful discussions and comments. We acknowledge and appreciate the support from the Digital Economy Open Research Platform (http:// www.deor.org.cn) . All data is sampled, desensitized, and stored in the Ant Open Research Laboratory in an Ant Group Environment, which is only remotely accessible for empirical analysis.</t>
  </si>
  <si>
    <t>10.1016/j.chieco.2025.102580</t>
  </si>
  <si>
    <t>9YE9P</t>
  </si>
  <si>
    <t>WOS:001617852600003</t>
  </si>
  <si>
    <t>Yartey, FNA; Birzescu, AN</t>
  </si>
  <si>
    <t>Yartey, Franklin Nii Amankwah; Birzescu, Anca Nicoleta</t>
  </si>
  <si>
    <t>Surveillance of the poor in a socio-financial enclosure: a critical analysis of Zidisha.org</t>
  </si>
  <si>
    <t>Labour and livelihoods - Microfinance; Economics; Gender and diversity</t>
  </si>
  <si>
    <t>MICROFINANCE; ASSEMBLAGE; KIVA.ORG</t>
  </si>
  <si>
    <t>This article provides a critical analysis in examining narratives on Zidisha.org, a microlending site that facilitates loans to the poor, building on media scholar Mark Andrejevic's conception of the digital enclosure and the critical anthropology of development scholar Anke Schwittay's theorisation of financial inclusion. Online microlending sites like Zidisha have wide-reaching implications for policy and development initiatives. The study's findings suggest that perceptible signs of the contemporary neo-liberal effort to assemble ordinary people through Web 2.0 communication technologies to participate in the socio-financial enclosure are riddled with issues of control and surveillance, coupled with a paradoxical meaning of the financial inclusion concept. Cet article propose une analyse critique de l'examen de fils narratifs sur Zidisha.org, un site de micro-prets qui propose des prets aux personnes pauvres, en se basant sur la conception de l'expert en medias Mark Andrejevic de l'&lt;&lt; enceinte numerique &gt;&gt; (digital enclosure) et sur l'anthropologie critique de la theorisation de l'inclusion financiere de l'experte en developpement Anke Schwittay. Les sites de micro-prets en ligne comme Zidisha ont des implications d'envergure pour les initiatives de politiques generales et de developpement. Les conclusions de l'etude suggerent que les signes perceptibles de l'effort neoliberal contemporain visant a rapprocher des personnes ordinaires grace aux technologies de communication du Web 2.0 afin qu'elles participent a l'enceinte socio-financiere comportent une multitude de problemes de controle et de surveillance, en plus d'une signification paradoxale du concept d'inclusion financiere. Apoyandose en el concepto de recinto digital del academico en el ambito de los medios Mark Andrejevic, asi como en la antropologia critica y en la teoria de inclusion financiera del investigador en desarrollo Anke Schwittay, el presente articulo realiza un analisis critico a partir de la revision de distintas narrativas en torno a Zidisha.org, un sitio web orientado a facilitar microprestamos a personas de bajos recursos. Los sitios ciberneticos como Zidisha, dirigidos a suministrar microprestamos, generan amplias repercusiones en las iniciativas de politicas publicas y de desarrollo. Los resultados obtenidos por el estudio sugieren que las senales provenientes del actual esfuerzo neoliberal encaminado a reunir a personas comunes y corrientes a traves de tecnologias de comunicacion Web 2.0 con el fin de que participen en un recinto sociofinanciero, estan repletas de elementos de control y vigilancia, a la vez que predomina una acepcion paradojica del concepto de inclusion financiera.</t>
  </si>
  <si>
    <t>[Yartey, Franklin Nii Amankwah] Univ Dubuque, Commun, Dubuque, IA 52001 USA</t>
  </si>
  <si>
    <t>Yartey, FNA (corresponding author), Univ Dubuque, Commun, Dubuque, IA 52001 USA.</t>
  </si>
  <si>
    <t>fyartey@dbq.edu</t>
  </si>
  <si>
    <t>Yartey, Franklin/HZJ-1913-2023</t>
  </si>
  <si>
    <t>Yartey, Franklin/0000-0001-8944-457X</t>
  </si>
  <si>
    <t>10.1080/09614524.2015.1082535</t>
  </si>
  <si>
    <t>CS8MG</t>
  </si>
  <si>
    <t>WOS:000362341200006</t>
  </si>
  <si>
    <t>Sethi, SK; Goyari, P</t>
  </si>
  <si>
    <t>Sethi, Susanta Kumar; Goyari, Phanindra</t>
  </si>
  <si>
    <t>Impact of Formal Financial Services on Per Capita Income in India: Evidence from Regression and Causality Approach</t>
  </si>
  <si>
    <t>Economic growth; financial inclusion; financial services; per capita income</t>
  </si>
  <si>
    <t>CREDIT MARKET; INFORMATION; GROWTH; SECTOR</t>
  </si>
  <si>
    <t>The main purpose of this paper was to examine the impact of formal financial services on per capita income in India from 2004 to 2018. The study used a regression approach to find the impact of formal financial services on per capita income. The TodaYamamoto Granger causality test was used to find the direction of causality between formal financial services and per capita income. The empirical findings of this study confirmed that formal financial services had a positive and statistically significant impact on per capita income. These results suggested that India can increase per capita income by improving the coverage of formal financial services. Further, the causality test confirmed that a unidirectional causal relationship was found running from formal financial services (such as the number of ATMs per 1000 km, deposit accounts with commercial banks, and outstanding deposits2 with commercial banks) to per capita GDP. Formal financial services are one of the main drivers of per capita income. Policymakers must emphasize financial sector reforms and create awareness about financial services and financial literacy to increase per capita income in the long run, especially in developing countries.</t>
  </si>
  <si>
    <t>[Sethi, Susanta Kumar] Rajendra Univ, Dept Econ, Balangir 767002, Odisha, India; [Goyari, Phanindra] Univ Hyderabad, Sch Econ, Hyderabad 500046, Telangana, India</t>
  </si>
  <si>
    <t>Sethi, SK (corresponding author), Rajendra Univ, Dept Econ, Balangir 767002, Odisha, India.</t>
  </si>
  <si>
    <t>10.35716/IJED/20256</t>
  </si>
  <si>
    <t>8M6XP</t>
  </si>
  <si>
    <t>WOS:000924605300009</t>
  </si>
  <si>
    <t>Chen, BZ; Xiao, JL</t>
  </si>
  <si>
    <t>Chen, Baozhen; Xiao, Jialin</t>
  </si>
  <si>
    <t>Digital payments enhance both formal and informal credit access for rural households: evidence from China</t>
  </si>
  <si>
    <t>digital payments; rural credit access; formal credit; informal credit; credit exclusion; unconfident borrowers</t>
  </si>
  <si>
    <t>While digital finance is recognized for enhancing financial inclusion, its micro-level mechanisms-particularly through digital payments-remain underexplored. This study demonstrates how adopting digital payments significantly enhances Chinese farmers' ability to obtain credit from both sources. Analyzing data from 7,522 households across diverse regions (2017-2019, 2021-2023) using robust methods to address endogeneity and selection bias, we find that digital payment adoption significantly increases farmers' credit access overall. The findings indicate that digital payments alleviate conditional and price exclusion in formal credit markets, improve farmers' credit knowledge, and reduce the psychological barriers of credit-constrained borrowers. Furthermore, digital payment adoption enhances informal credit capacity, providing farmers with more funding options. The digital payments enhanced farmers' satisfaction with accessing credit, exerting a positive influence on both credit intended for agricultural production and credit intended for non-agricultural purposes. The results suggest that digital payment adoption not only enhances formal credit access but also strengthens informal credit networks, offering farmers greater flexibility in meeting their financial needs. Policymakers should prioritize the development of digital financial infrastructure and promote financial literacy to maximize the benefits of digital finance for rural households.</t>
  </si>
  <si>
    <t>[Chen, Baozhen] Beijing Union Univ, Sch Management, Beijing, Peoples R China; [Xiao, Jialin] China Agr Univ, Coll Econ &amp; Management, Beijing, Peoples R China</t>
  </si>
  <si>
    <t>Beijing Union University; China Agricultural University</t>
  </si>
  <si>
    <t>Chen, BZ (corresponding author), Beijing Union Univ, Sch Management, Beijing, Peoples R China.</t>
  </si>
  <si>
    <t>gltbaozhen@buu.edu.cn</t>
  </si>
  <si>
    <t>chen, baozhen/GZA-4439-2022</t>
  </si>
  <si>
    <t>R&amp;D Program of Beijing Municipal Education Commission (Research project: Path and Policy Research on Relative Poverty Alleviation of Residents in Beijing-Tianjin-Hebei Region Empowered by Digital Finance) [SM202311417005]; Beijing Federation of Social Sciences, Beijing Philosophy and Social Sciences Planning Office (Beijing Social Science Fund Youth Project) [24JJC015]; Beijing Union University (Educational Reform Project: Teaching Reform and Practice of Financial Markets Courses Empowered by AI) [JJ2025Y036]</t>
  </si>
  <si>
    <t>R&amp;D Program of Beijing Municipal Education Commission (Research project: Path and Policy Research on Relative Poverty Alleviation of Residents in Beijing-Tianjin-Hebei Region Empowered by Digital Finance); Beijing Federation of Social Sciences, Beijing Philosophy and Social Sciences Planning Office (Beijing Social Science Fund Youth Project); Beijing Union University (Educational Reform Project: Teaching Reform and Practice of Financial Markets Courses Empowered by AI)</t>
  </si>
  <si>
    <t>The author(s) declare that financial support was received for the research and/or publication of this article. This work was supported by the R&amp;D Program of Beijing Municipal Education Commission (Research project: Path and Policy Research on Relative Poverty Alleviation of Residents in Beijing-Tianjin-Hebei Region Empowered by Digital Finance; grant no. SM202311417005), Beijing Federation of Social Sciences, Beijing Philosophy and Social Sciences Planning Office (Beijing Social Science Fund Youth Project: Research on the Mechanism for Cultivating Endogenous Motivation among Low-Income Farming Households in Beijing through the Participation of Industrial Revitalisation Leaders in Rural Governance; grant no. 24JJC015), Beijing Union University (Educational Reform Project: Teaching Reform and Practice of Financial Markets Courses Empowered by AI; grant no. JJ2025Y036).</t>
  </si>
  <si>
    <t>10.3389/fsufs.2025.1676462</t>
  </si>
  <si>
    <t>9MR3H</t>
  </si>
  <si>
    <t>WOS:001610009300001</t>
  </si>
  <si>
    <t>Vulnerable Populations and Individual Social Responsibility in Prosocial Crowdfunding: Does the Framing Matter for Female and Rural Entrepreneurs?</t>
  </si>
  <si>
    <t>Prosocial crowdfunding; Social responsibility; Framing theory; Vulnerable entrepreneur; Female entrepreneur; Rural entrepreneur</t>
  </si>
  <si>
    <t>INFORMATION SEARCH; UNITED-STATES; MICROFINANCE; DETERMINANTS; INVESTMENT; POVERTY; CREDIT; MONEY; REDUCTION; IDENTITY</t>
  </si>
  <si>
    <t>Prosocial crowdfunding was originally conceived as a financial mechanism to assist vulnerable unbanked populations, typically excluded from formal financial markets. It subsequently grew into a billion-dollar scheme (Kiva 2020a, ) in the multi-billion-dollar crowdfunding industry. However, recent evidence claims prosocial crowdfunding may be shifting away from its goal to support the poor and underserved. Drawing on a composite social responsibility and framing theory framework, we examine the role that vulnerability plays in successfully raising funds in a prosocial crowdfunding context. We conduct multilevel logistic regressions on a sample of microloans allocated to 105,727 ventures in 64 countries. Our results indicate that applying for funds through a field partner which caters to vulnerable populations may in fact have a negative effect on the entrepreneur's request to be fully funded. Notwithstanding, framing the entrepreneur as being female or rural as key characteristics of individual vulnerability increases the project's likelihood to be fully funded. This conflict offers noteworthy theoretical and practical implications for ethics in prosocial crowdfunding, an understudied field of research.</t>
  </si>
  <si>
    <t>[Figueroa-Armijos, Maria] EDHEC Business Sch, 24 Ave Gustave Delory, F-59057 Roubaix, France; [Berns, John P.] Univ Mississippi, Sch Business Adm, 253 Holman, University, MS 38677 USA</t>
  </si>
  <si>
    <t>Figueroa-Armijos, M (corresponding author), EDHEC Business Sch, 24 Ave Gustave Delory, F-59057 Roubaix, France.</t>
  </si>
  <si>
    <t>Figueroa-Armijos, Maria/0000-0001-7060-908X</t>
  </si>
  <si>
    <t>10.1007/s10551-020-04712-0</t>
  </si>
  <si>
    <t>0S3BK</t>
  </si>
  <si>
    <t>WOS:000605873300005</t>
  </si>
  <si>
    <t>Cangombe, EL; Almeida, LG; Tavares, FO</t>
  </si>
  <si>
    <t>Cangombe, Eurico Lionjanga; Almeida, Luis Gomes; Tavares, Fernando Oliveira</t>
  </si>
  <si>
    <t>Determinants of Banking Profitability in Angola: A Panel Data Analysis with Dynamic GMM Estimation</t>
  </si>
  <si>
    <t>bank profitability; Angolan banking sector; panel data analysis; financial performance; banking sector economics; emerging markets</t>
  </si>
  <si>
    <t>GENERALIZED-METHOD; RISK-MANAGEMENT; EFFICIENCY; ENDOGENEITY; PERFORMANCE; BIAS</t>
  </si>
  <si>
    <t>This study aims to analyze the determinants of bank profitability in Angola by employing panel data econometric models, specifically, the Generalized Method of Moments (GMM), to assess the impact of internal and external factors on the financial indicators ROE, ROA, and NIM for the period 2016 to 2023. The results reveal that credit risk, operational efficiency, and liquidity are critical determinants of banking performance. Effective credit risk management and cost optimization are essential for the sector's stability. Banking concentration presents mixed effects, enhancing net interest income while potentially undermining efficiency. Economic growth supports profitability, whereas inflation exerts a negative influence. The COVID-19 pandemic worsened asset quality, increased credit risk, and led to a rise in non-performing loans and provisions. Reforms implemented by the National Bank of Angola have contributed to strengthening the banking system's resilience through restructuring and regulatory improvements. The rise of digitalization and fintech presents opportunities to enhance financial inclusion and efficiency, although their success relies on advancing financial literacy. This study contributes to the literature by providing updated empirical evidence on the factors influencing bank profitability within an emerging economy's distinctive institutional and economic context.</t>
  </si>
  <si>
    <t>[Cangombe, Eurico Lionjanga] Univ Vigo, Fac Econ &amp; Business, Vigo 36310, Spain; [Almeida, Luis Gomes] Aveiro Univ, Higher Inst Accounting &amp; Adm Aveiro, GOVCOPP Res Unit Governance Competitiveness &amp; Publ, P-3810193 Aveiro, Portugal; [Almeida, Luis Gomes] Univ Vigo, RGEAF Grp Res, ECOBAS, Vigo 36310, Spain; [Tavares, Fernando Oliveira] Univ Portucalense, Dept Econ &amp; Management, REMIT Res Econ Management &amp; Informat Technol, P-4200072 Porto, Portugal; [Tavares, Fernando Oliveira] Inst Super Miguel Torga, Largo Cruz de Celas 1, P-3000132 Coimbra, Portugal</t>
  </si>
  <si>
    <t>Universidade de Vigo; Universidade de Aveiro; Universidade de Vigo; Universidade Portucalense Infante D. Henrique; Universidade de Coimbra</t>
  </si>
  <si>
    <t>Almeida, LG (corresponding author), Aveiro Univ, Higher Inst Accounting &amp; Adm Aveiro, GOVCOPP Res Unit Governance Competitiveness &amp; Publ, P-3810193 Aveiro, Portugal.;Almeida, LG (corresponding author), Univ Vigo, RGEAF Grp Res, ECOBAS, Vigo 36310, Spain.</t>
  </si>
  <si>
    <t>euricolionjanga.cangombe@uvigo.gal; gomesalmeida@ua.pt; ftavares@upt.pt</t>
  </si>
  <si>
    <t>Gomes de Almeida, Luís António/GLV-0748-2022; Tavares, Fernando/GRX-5739-2022</t>
  </si>
  <si>
    <t>Gomes de Almeida, Luís António/0000-0003-2086-559X; Tavares, Fernando/0000-0002-9672-8770; CANGOMBE, EURICO LIONJANGA/0009-0002-3904-8362</t>
  </si>
  <si>
    <t>10.3390/risks13070123</t>
  </si>
  <si>
    <t>5HE2F</t>
  </si>
  <si>
    <t>WOS:001535589500001</t>
  </si>
  <si>
    <t>Justin, MAE; Cherian, N; Mathew, V</t>
  </si>
  <si>
    <t>Justin, M. A. Ebina; Cherian, Nebu; Mathew, Vineetha</t>
  </si>
  <si>
    <t>A 30 Year bibliometric analysis on the role of women self-help groups in achieving well-being and sustainable development goals</t>
  </si>
  <si>
    <t>RURAL CREDIT PROGRAMS; FINANCIAL INCLUSION; COLLECTIVE ACTION; EMPOWERING WOMEN; SOCIAL NETWORKS; MICRO-FINANCE; MICROFINANCE; GENDER; IMPACT; ENTREPRENEURSHIP</t>
  </si>
  <si>
    <t>In the last 30 years, Self-Help Groups (SHGs) have emerged as a powerful tool in the promotion of the well-being of women and sustainable development. This article conducts a systematic bibliometric review of 387 peer-reviewed articles between 1994 and 2024 to track trends, influential contributions, and thematic evolutions in SHG research. With reference to the Scopus database, utilising Bibliometrics and TCCM (Theory-Context-Characteristics-Methodology) frameworks, the paper presents a map of the intellectual structure and conceptual patterns of the literature. Results reveal SHGs' influence on various dimensions of well-being such as economic empowerment, social cohesion, access to health services, leadership, and psychosocial resilience. Research on SHG has increasingly been associated with the Sustainable Development Goals (SDGs), specifically SDG 1 (No Poverty); SDG 3 (Good Health and Well-being); SDG 5 (Gender Equality); SDG 8 (Decent Work and Economic Growth), and SDG 11 (Sustainable Cities and Communities). Four major themes emerged from this study:' financial inclusion and empowerment', 'maternal and child health', 'social support and good health, and gendered leadership and collective agency'. The structured TCCM analysis of 91 high-quality ABDC-listed articles was performed to obtain qualitative insights into the SHG-SDG-development nexus. The results uncover a theoretical fragmentation, geographic concentration of research, insufficient methodological diversity, and under-explored themes such as digital inclusion and multi-dimensional development impacts. This review highlights the potential of SHGs as a bottom-up approach to achieving the SDGs, gender-inclusive development, and the increased agency of women in sustainable and context-specific ways.</t>
  </si>
  <si>
    <t>[Justin, M. A. Ebina; Cherian, Nebu] Rajagiri Coll Social Sci Autonomous, Dept Commerce, Kochi, India; [Mathew, Vineetha] Univ Kerala, Thiruvananthapuram, India</t>
  </si>
  <si>
    <t>Rajagiri College of Social Sciences; University of Kerala</t>
  </si>
  <si>
    <t>Justin, MAE (corresponding author), Rajagiri Coll Social Sci Autonomous, Dept Commerce, Kochi, India.</t>
  </si>
  <si>
    <t>ebina@rajagiri.edu; nebu@rajagiri.edu; vineetha88@gmail.com</t>
  </si>
  <si>
    <t>Rajagiri College of Social Sciences</t>
  </si>
  <si>
    <t>This research was supported by Rajagiri College of Social Sciences (Autonomous), including coverage of Article Processing Charges. The authors gratefully acknowledge the institution's financial and academic support.</t>
  </si>
  <si>
    <t>10.1007/s43621-025-01942-y</t>
  </si>
  <si>
    <t>9GJ2F</t>
  </si>
  <si>
    <t>WOS:001605704900004</t>
  </si>
  <si>
    <t>Nery, DP</t>
  </si>
  <si>
    <t>Nery, Diogo Palheta</t>
  </si>
  <si>
    <t>EXPLAINING THE SUCCESS OF A MULTINATIONAL COMPANY'S INNOVATION IN THE BASE OF THE PYRAMID: M-PESA IN KENYA</t>
  </si>
  <si>
    <t>market entry; mobile money; financial inclusion; Eastern Africa</t>
  </si>
  <si>
    <t>BOTTOM; POOR</t>
  </si>
  <si>
    <t>In the beginning of the twenty-first century, C. K. Prahalad launched a new business proposition named as  Base of the Pyramid (BOP). In such type of business, Multinational Companies (MNCs) look for new opportunities of profits helping to meet the poor's unmet needs in developing countries. However, MNCs significant involvement in BOP business has been losing momentum due to the challenges MNCs have been faced in developing BOP businesses. This study intended to recall Prahalad's original BOP proposal explaining the success of a BOP innovation developed by an MNC in Kenya: M-PESA, a mobile money service. About 70% of Kenya's adult population has M-PESA accounts and M-PESA's monthly transactions account for 30% of Kenyan GDP. How did a multinational company develop the successful BOP innovation M-PESA in Kenya? Our study intends to explain how the British multinational Vodafone employed successful Base of the Pyramid principles of innovation in Kenyan M-PESA. Indeed, there is a gap of studies about the Prahalad's principles of innovation for developing BOP products. Therefore, this research analyzed Prahalad's BOP proposal, including his twelve principles of innovation to develop BOP products, by comparing such proposal with Karnani's framework for fighting poverty. Karnani is regarded as the main critic against the Prahalad's BOP proposal. Most of Prahalad's BOP principles of innovation were identified in M-PESA in Kenya (eleven out of the twelve principles). However, Karnani's framework explained better the factors that influenced successful BOP innovation in Kenyan M-PESA than Prahalad's proposal. Furthermore, this study pointed out two key points that explained the success of M-PESA innovation in Kenya that they were not included neither in Prahalad's nor in Karnani's proposals: social intrapreneurship made by MNCs employees, and supportive role of government in developing BOP businesses. Therefore, such topics deserve more attention from the BOP literature in order to advance this field.</t>
  </si>
  <si>
    <t>[Nery, Diogo Palheta] Univ Sao Paulo, Inst Fed Sao Paulo, Sao Paulo, Brazil</t>
  </si>
  <si>
    <t>Instituto Federal de Sao Paulo (IFSP); Universidade de Sao Paulo</t>
  </si>
  <si>
    <t>Nery, DP (corresponding author), Univ Sao Paulo, Inst Fed Sao Paulo, Sao Paulo, Brazil.</t>
  </si>
  <si>
    <t>diogo.pns@gmail.com</t>
  </si>
  <si>
    <t>Palheta Nery, Diogo/0000-0003-0274-2799</t>
  </si>
  <si>
    <t>10.14807/ijmp.v12i2.1311</t>
  </si>
  <si>
    <t>RI9BC</t>
  </si>
  <si>
    <t>WOS:000637199400008</t>
  </si>
  <si>
    <t>Fulford, SL</t>
  </si>
  <si>
    <t>Fulford, Scott L.</t>
  </si>
  <si>
    <t>The effects of financial development in the short and long run: Theory and evidence from India</t>
  </si>
  <si>
    <t>Credit; Consumption; Poverty; Buffer-stock savings; India</t>
  </si>
  <si>
    <t>LIQUIDITY CONSTRAINTS; CONSUMPTION; GROWTH; CREDIT; RISK; MICROFINANCE; INSURANCE; POVERTY; ACCUMULATION; HOUSEHOLDS</t>
  </si>
  <si>
    <t>Although many view financial access as a means of reducing poverty or increasing growth, empirical studies have produced contradictory results. One problem is that most studies cover only a short time frame and do not consider dynamic effects. I show that introducing credit in a general model of intertemporal consumption creates a boom in consumption and reduces poverty initially, but eventually reduces mean consumption because credit substitutes for precautionary wealth. Using new consistent consumption data that cover a much longer time period than most studies, my empirical findings show that increased access to bank branches in rural India increased consumption initially and reduced poverty, but consumption later fell and poverty rose. The long-term effect is still positive, however, suggesting that credit may have a beneficial role beyond consumption smoothing. (C) 2013 Elsevier B.V. All rights reserved.</t>
  </si>
  <si>
    <t>Boston Coll, Dept Econ, Chestnut Hill, MA 02467 USA</t>
  </si>
  <si>
    <t>Boston College</t>
  </si>
  <si>
    <t>Fulford, SL (corresponding author), Boston Coll, Dept Econ, 140 Commonwealth Ave, Chestnut Hill, MA 02467 USA.</t>
  </si>
  <si>
    <t>scott.fulford@bc.edu</t>
  </si>
  <si>
    <t>10.1016/j.jdeveco.2013.04.005</t>
  </si>
  <si>
    <t>209XY</t>
  </si>
  <si>
    <t>WOS:000323795100004</t>
  </si>
  <si>
    <t>Tamborini, CR; Purcell, P</t>
  </si>
  <si>
    <t>Tamborini, Christopher R.; Purcell, Patrick</t>
  </si>
  <si>
    <t>Women's Household Preparation for Retirement at Young and Mid-Adulthood: Differences by Children and Marital Status</t>
  </si>
  <si>
    <t>Household retirement savings; Women; Children; Marriage; Life course; Family economics</t>
  </si>
  <si>
    <t>FINANCIAL LITERACY; NONMARITAL CHILDBEARING; ASSET ACCUMULATION; GENDER-DIFFERENCES; UNION HISTORY; MARRIAGE; LIFE; SECURITY; DECISIONS; SAVINGS</t>
  </si>
  <si>
    <t>There are increasing concerns about whether Americans are saving enough for retirement. Recent research has called for improved understanding of the relationship between family structure and economic preparation for retirement at earlier stages of the life course. Using multiple years of the Federal Reserve Board's Survey of Consumer Finances, we examined how number of children and marital status were associated with women's household retirement savings at young and mid-adulthood. Several household-level indicators of retirement preparation were considered: desire to save for retirement, retirement account ownership, eligibility to participate in a defined-contribution plan, participation in defined-contribution plans, and retirement account wealth. Results from regression analyses revealed variation in women's household financial preparation for retirement at young and mid-adulthood by family context. Additional children were negatively associated with several measures of retirement preparation among single-female households but not for couple households. Overall, we found that low economic preparation for retirement is an additional economic disadvantage facing single mothers at young and mid-adulthood, with potentially long-term implications for their financial security. The results shed light on linkages between family structure and women's economic status.</t>
  </si>
  <si>
    <t>[Tamborini, Christopher R.; Purcell, Patrick] US Social Secur Adm, Off Retirement Policy, 500 E St, Washington, DC 20254 USA</t>
  </si>
  <si>
    <t>Tamborini, CR (corresponding author), US Social Secur Adm, Off Retirement Policy, 500 E St, Washington, DC 20254 USA.</t>
  </si>
  <si>
    <t>Chris.Tamborini@ssa.gov; Patrick.Purcell@ssa.gov</t>
  </si>
  <si>
    <t>Tamborini, Christopher/0000-0002-8198-3509</t>
  </si>
  <si>
    <t>10.1007/s10834-015-9449-0</t>
  </si>
  <si>
    <t>DX2NS</t>
  </si>
  <si>
    <t>WOS:000384207800008</t>
  </si>
  <si>
    <t>Li, F; Du, XW; Li, HM; Huang, X; Fei, XX</t>
  </si>
  <si>
    <t>Li, Feng; Du, Xuewan; Li, Huimin; Huang, Xin; Fei, Xiaoxia</t>
  </si>
  <si>
    <t>Study on household investment decision of household photovoltaic project promotion -- based on inclusive finance perspective</t>
  </si>
  <si>
    <t>Household photovoltaic; Inclusive finance; Investment decision; Evolutionary game; Regret theory; System dynamic</t>
  </si>
  <si>
    <t>RENEWABLE ENERGY GROWTH; REGRET THEORY; GENERATION; POLICY; CONTRIBUTE; RESOURCES; DYNAMICS; CHOICE; GAMES</t>
  </si>
  <si>
    <t>Considering the lack of research on households' investment decisions in promoting photovoltaic projects in existing studies, this study constructs a four-party evolutionary game model based on local governments, financing institutions, photovoltaic enterprises and households from the perspective of inclusive finance. In addition, according to the influence of irrational psychological factors on the decision-making outcome of each interested party in decision-making, this study innovatively introduces regret theory to improve the evolutionary game model. Then, each subject' evolutionary stabilization strategies and system equilibrium points are analysed explicitly using the perceived benefit function and the replicated dynamic differential equation. Finally, combined with the system dynamics method, the theoretical derivation results are verified by parameter assignment, and the sensitivity of each subject to multiple influencing factors is explored. The results show that: (1) under the current market condition, the system is stabilized in the strategy combination of Case I (subsidy, conventional finance, non-promotion, loan to build), but the ideal state can be achieved through the refinement and adjustment of policies. And there is a mutual influence between the subjects. (2) The regret-elation perception psychology of each subject has a non-negligible influence on their decision-making behaviour. The combination of strategies in Case I is a conservative decision by the subjects. (3) A variety of factors influences the behavioural decisions of each subject, and the amount of rent that photovoltaic enterprises can provide is a crucial factor affecting households' investment decisions. (4) Local governments incentives and penalties play a key incentive role in promoting the active participation of financing institutions and photovoltaic enterprises in the promotion endeavour. This study provides practical guidance and policy insights for promoting the diffuse use of renewable energy and the promotion of household photovoltaic projects while enriching the applied research by combining regret theory and evolutionary game theory.</t>
  </si>
  <si>
    <t>[Li, Feng; Du, Xuewan; Li, Huimin] North China Univ Water Resources &amp; Elect Power, Sch Water Conservancy, Zhengzhou 450046, Henan, Peoples R China; [Huang, Xin] Hohai Univ, Coll Agr Sci &amp; Engn, Nanjing 210024, Jiangsu, Peoples R China; [Fei, Xiaoxia] Henan Water &amp; Power Engn Consulting Co Ltd, Zhengzhou 450016, Henan, Peoples R China</t>
  </si>
  <si>
    <t>North China University of Water Resources &amp; Electric Power; Hohai University</t>
  </si>
  <si>
    <t>Li, HM (corresponding author), North China Univ Water Resources &amp; Elect Power, Sch Water Conservancy, Zhengzhou 450046, Henan, Peoples R China.</t>
  </si>
  <si>
    <t>lihuimin3646@163.com</t>
  </si>
  <si>
    <t>Li, Huimin/GWB-9650-2022; Huang, Xin/JZT-7385-2024</t>
  </si>
  <si>
    <t>Huang, Xin/0000-0003-0216-4052</t>
  </si>
  <si>
    <t>10.1016/j.jclepro.2024.144185</t>
  </si>
  <si>
    <t>M7W2Q</t>
  </si>
  <si>
    <t>WOS:001359593900001</t>
  </si>
  <si>
    <t>Khan, AA; Hidthir, MHB; Mansur, M; Ahmad, Z</t>
  </si>
  <si>
    <t>Khan, Ahsan Aslam; Hidthir, Mohammad Helmi Bin; Mansur, Mustazar; Ahmad, Zaki</t>
  </si>
  <si>
    <t>Role of financial inclusion in enhancing the effect of remittance on economic growth in developing countries</t>
  </si>
  <si>
    <t>Remittances; economic growth; financial inclusion; human capital; sustainable development; panel data; Economics; Finance; Monetary Economics; Macroeconomics; G23; E44; F43; G18</t>
  </si>
  <si>
    <t>This study examines the role of financial inclusiveness in explaining the relationship between remittances and economic growth in developing countries. Using panel data for 79 countries from 2011 to 2021, the study employed Random Effects (RE), Fixed Effects (FE), and Generalized Method of Moments (GMM) to estimate how remittances influence Gross domestic product (GDP). The results show that remittances have a positive impact on economic development and that this effect is amplified in countries with higher levels of financial inclusion. Additionally, models that incorporate financial inclusion and human capital (HC) reveal not only their ability to amplify the positive effect of remittances on GDP but also how important they are when it comes to helping long-term economic growth. The results of the GMM analysis controlling endogeneity also seem universally consistent with this evidence. The research also states that developing countries should focus on deeper financial inclusion and HC investment to fully exploit the economic potential of remittances. The policy implication of this result would be to fully leverage remittances for economic growth. This study contributes to the literature by providing empirical evidence for the necessity of mapping financial system integration and HC development with remittance flows to enhance sustainable growth.</t>
  </si>
  <si>
    <t>[Khan, Ahsan Aslam; Hidthir, Mohammad Helmi Bin; Ahmad, Zaki] Univ Utara Malaysia, Sch Econ Finance &amp; Banking, Sintok, Kedah, Malaysia; [Mansur, Mustazar] Natl Univ Malaysia, Fac Econ &amp; Management, Selangor, Malaysia</t>
  </si>
  <si>
    <t>Universiti Utara Malaysia; Universiti Kebangsaan Malaysia</t>
  </si>
  <si>
    <t>Ahmad, Zaki/ACC-9247-2022; Khan, Ahsan Aslam/OAJ-6795-2025</t>
  </si>
  <si>
    <t>Ahmad, Zaki/0000-0003-1346-5379; Khan, Ahsan Aslam/0009-0008-1290-4353</t>
  </si>
  <si>
    <t>10.1080/23322039.2025.2476093</t>
  </si>
  <si>
    <t>0BD4R</t>
  </si>
  <si>
    <t>WOS:001443182400001</t>
  </si>
  <si>
    <t>Tian, G</t>
  </si>
  <si>
    <t>Tian, Geng</t>
  </si>
  <si>
    <t>Influence of Digital Finance on Household Leverage Ratio from the Perspective of Consumption Effect and Income Effect</t>
  </si>
  <si>
    <t>leverage ratio; digital finance; over-consumption; income</t>
  </si>
  <si>
    <t>Household leverage ratio is an important factor affecting family stability. Digital finance has changed the means of payment and consumption frequency, but the relationship between digital finance and household leverage ratio is still unclear. The existence of household debt is defined as the existence of leverage. The higher the household debt, the greater the household leverage. Based on the matching data of the China Household Finance Survey (CHFS) 2019 and the China Digital Inclusive Finance Index, this paper studies the impact of digital finance on household leverage ratio and explores its mechanism theoretically and empirically. This research finds that digital finance can significantly promote the household leverage ratio and this conclusion is still valid after instrumental variable method and robustness test. The mechanism analysis shows that digital finance can promote household over-consumption and further expand household leverage ratio. Digital finance can also reduce household leverage ratio by increasing household income. The heterogeneity analysis suggests that the role of digital finance in expanding leverage ratio is stronger for urban areas and households with low educational level. For households with higher assets, digital finance helps to reduce leverage ratio. Therefore, the government should guide residents to consume rationally and give full play to the entrepreneurship-facilitating and income-increasing effect of digital finance. Meanwhile, the residents themselves should speed up the cultivation of digital financial literacy, which is of vital significance for lowering household leverage ratio and systemic financial risks. China's development level of digital finance ranks among the top in the world. Studying the role of digital finance in China is helpful to provide experience reference for countries around the world.</t>
  </si>
  <si>
    <t>[Tian, Geng] Wuhan Univ, Econ &amp; Management Sch, Wuhan 430072, Peoples R China</t>
  </si>
  <si>
    <t>Tian, G (corresponding author), Wuhan Univ, Econ &amp; Management Sch, Wuhan 430072, Peoples R China.</t>
  </si>
  <si>
    <t>tiangeng@whu.edu.cn</t>
  </si>
  <si>
    <t>10.3390/su142316271</t>
  </si>
  <si>
    <t>6X2VI</t>
  </si>
  <si>
    <t>WOS:000896276600001</t>
  </si>
  <si>
    <t>Muse, MA</t>
  </si>
  <si>
    <t>Muse, Mohamed Abdiaziz</t>
  </si>
  <si>
    <t>Remittances and Financial Inclusion: Contested Geographies of Marketisation in Senegal and Ghana</t>
  </si>
  <si>
    <t>[Muse, Mohamed Abdiaziz] Leiden Univ, Leiden, Netherlands</t>
  </si>
  <si>
    <t>Leiden University - Excl LUMC; Leiden University</t>
  </si>
  <si>
    <t>Muse, MA (corresponding author), Leiden Univ, Leiden, Netherlands.</t>
  </si>
  <si>
    <t>musegeelle@yahoo.com</t>
  </si>
  <si>
    <t>Muse, Mohamed Abdiaziz/0000-0003-4974-0168</t>
  </si>
  <si>
    <t>10.1080/00220388.2024.2439684</t>
  </si>
  <si>
    <t>P7H4P</t>
  </si>
  <si>
    <t>WOS:001379571300001</t>
  </si>
  <si>
    <t>Magashi, C; Sam, A; Agbinya, J; Mbelwa, J</t>
  </si>
  <si>
    <t>Magashi, Cosmas; Sam, Anael; Agbinya, John; Mbelwa, Jimmy</t>
  </si>
  <si>
    <t>Indicative Factors for SACCOs Failure in Tanzania</t>
  </si>
  <si>
    <t>-SACCOs failure; financial factors; non-financial factors</t>
  </si>
  <si>
    <t>SACCOs are viewed as a feasible opportunity toward financial inclusion in an economy where most of the citizens are poor, as they are very essential for the socio-economic development of members, the community, and the world at large. However, SACCOs sometimes do not realize the expected socio-economic potential, especially when they fail. This study aimed to comprehensively assess financial and non-financial factors, at institutional and personal levels, that contribute to the failure of SACCOS in Tanzania. The data were collected using a questionnaire on 5,000 members of SACCOs, obtained using stratified random sampling. Data collected were analyzed using descriptive statistics and binary logistic regression. The findings showed that both financial and non-financial factors, at personal and institutional levels, had a statistically significant and positive relationship with the failure of SACCOs. Therefore, the performance of SACCOs and other Microfinance Financial Institutions (MFIs) should be addressed from a comprehensive view of both financial and non-financial factors, at personal or institutional levels. In other words, the failure of MFIs should be addressed from a holistic point of view.</t>
  </si>
  <si>
    <t>[Magashi, Cosmas; Sam, Anael] Nelson Mandela African Inst Sci &amp; Technol NM AIST, Dept Informat Technol Syst Dev &amp; Management ITSDM, Bagamoyo, Tanzania; [Agbinya, John] Melbourne Inst Technol MIT, Sch Informat Technol &amp; Engn, Melbourne, Australia; [Mbelwa, Jimmy] Univ Dar Es Salaam UDSM, Dept Comp Sci &amp; Engn, Dar Es Salaam, Tanzania</t>
  </si>
  <si>
    <t>Magashi, C (corresponding author), Nelson Mandela African Inst Sci &amp; Technol NM AIST, Dept Informat Technol Syst Dev &amp; Management ITSDM, Bagamoyo, Tanzania.</t>
  </si>
  <si>
    <t>magashi80@yahoo.com; anael.sam@nm-aist.ac.tz; jagbinya@mit.edu.au; jimmymbelwa@gmail.com</t>
  </si>
  <si>
    <t>Mbelwa, Jimmy/0000-0002-2263-3218; Agbinya, Johnson/0009-0008-4569-7856</t>
  </si>
  <si>
    <t>10.48084/etasr.5989</t>
  </si>
  <si>
    <t>P3QY3</t>
  </si>
  <si>
    <t>WOS:001049834500020</t>
  </si>
  <si>
    <t>Annaful, VT; Annan, RA</t>
  </si>
  <si>
    <t>Annaful, Veronica Tawiah; Annan, Reginald Adjetey</t>
  </si>
  <si>
    <t>Advancing equitable livelihoods of people involved in Ghana's food systems: a scoping review of evidence</t>
  </si>
  <si>
    <t>food systems; livelihoods; equity; sustainability; resilience; access</t>
  </si>
  <si>
    <t>SMALLHOLDER FARMERS; CREDIT</t>
  </si>
  <si>
    <t>Ghana's food system plays a critical role in sustaining livelihoods, particularly for smallholder farmers, women, and youth. Yet, these groups remain disproportionately affected by poverty, insecure land rights, weak market integration, and limited access to finance and public services. This scoping review synthesizes evidence from 72 empirical studies to examine the barriers and enablers of equitable livelihoods within Ghana's agri-food system. Studies were sourced from academic databases covering diverse agroecological zones and value chains including cocoa, rice, sweet potato, cashew, and fisheries. Most studies employed cross-sectional designs and focused on smallholder systems. The review identified five major thematic constraints: insecure land tenure, unequal access to credit and extension services, low resilience to climate and economic shocks, weak market linkages, and persistent gender disparities. These challenges are further compounded by low digital and financial literacy, infrastructural deficits, and exclusionary norms that marginalize women and youth. Despite these barriers, several promising interventions emerged. Gender-transformative approaches, digital financial tools, adult education, and membership in farmer-based organizations were shown to improve access to productive resources, income generation, and adaptive capacity. Findings reveal that equity in Ghana's food system cannot be achieved through isolated efforts. Integrated, context-sensitive policies that are grounded in intersectional evidence and local realities are needed to restructure institutions, enhance access to opportunity, and build resilience.</t>
  </si>
  <si>
    <t>[Annaful, Veronica Tawiah; Annan, Reginald Adjetey] Kwame Nkrumah Univ Sci &amp; Technol, Coll Sci, Dept Biochem &amp; Biotechnol, Kumasi, Ghana</t>
  </si>
  <si>
    <t>Annaful, VT (corresponding author), Kwame Nkrumah Univ Sci &amp; Technol, Coll Sci, Dept Biochem &amp; Biotechnol, Kumasi, Ghana.</t>
  </si>
  <si>
    <t>veronicaaannaful406@gmail.com</t>
  </si>
  <si>
    <t>10.3389/fsufs.2025.1723213</t>
  </si>
  <si>
    <t>AK4TW</t>
  </si>
  <si>
    <t>WOS:001650260400001</t>
  </si>
  <si>
    <t>Okello, GCB; Munene, JC; Ntayi, JM; Malinga, CA</t>
  </si>
  <si>
    <t>Okello, George Candiya Bongomin; Munene, John C.; Ntayi, Joseph Mpeera; Malinga, Charles Akol</t>
  </si>
  <si>
    <t>Financial intermediation and financial inclusion of the poor: Testing the moderating role of institutional pillars in rural Uganda</t>
  </si>
  <si>
    <t>Institutional pillars; Financial intermediaries; Poor households; Rural Uganda; Regulative pillar; Rule of the game</t>
  </si>
  <si>
    <t>ACCESS; SERVICES; BARRIERS; BANKING</t>
  </si>
  <si>
    <t>Purpose Drawing from the fact that institutions act as incentives and disincentives to human behaviour in financial markets, the purpose of this study is to examine the moderating role of institutional pillars in the relationship between financial intermediation and financial inclusion of the poor in rural Uganda. Design/methodology/approach The study has used cross-sectional research design and data have been collected from the poor residing in rural Uganda. Statistical package for social sciences has been used to analyse the data. Descriptive statistics, correlations and regression analyses have been generated. Besides, ModGraph excel programme has been adopted to graphically explain the moderating role of institutional pillars in the relationship between financial intermediation and financial inclusion of the poor in rural Uganda. Findings The results reveal that institutional pillars of regulative (formal rules), normative (informal norms) and cultural cognitive (cognition) significantly moderate the relationship between financial intermediation and financial inclusion of the poor. Furthermore, the results also indicate that financial intermediation and institutional pillars have significant effects on financial inclusion of the poor in rural Uganda. Research limitations/implications The study focuses on only cross-sectional design, thus, leaving out longitudinal study. Future research using longitudinal data that explore behaviours of the poor over time could be useful. In addition, only quantitative data has been used to measure variables under study and use of qualitative data has been ignored. Thus, further studies using qualitative data are feasible. Practical implications Policymakers and advocates of financial inclusion in a developing country such as Uganda should adopt institutional pillars (regulative, normative and cultural-cognitive) in promoting financial intermediation in rural areas. The institutional pillars working in combination set the rule of the game or humanly devise constraints that guide economic exchange by promoting and limiting certain actions of actors in underdeveloped financial market as stipulated by North (1990) and Scott (1995). Originality/value To the best of the authors' knowledge, this is the first attempt to examine the moderating role of institutional pillars under the theory of institutions in the relationship between financial intermediation and financial inclusion of the poor in a developing country setting. Indeed, institutions guide contract enforceability and information sharing in human interaction to lower the transaction costs in the financial markets. This is missing in literature and theory of financial intermediation in promoting financial inclusion, especially in rural Uganda.</t>
  </si>
  <si>
    <t>[Okello, George Candiya Bongomin; Munene, John C.] Makerere Univ, Business Sch, FGSR, Kampala, Uganda; [Ntayi, Joseph Mpeera] Makerere Univ, Business Sch, Management Sci, Kampala, Uganda; [Malinga, Charles Akol] Makerere Univ, Business Sch, Finance, Kampala, Uganda</t>
  </si>
  <si>
    <t>Okello, GCB (corresponding author), Makerere Univ, Business Sch, FGSR, Kampala, Uganda.</t>
  </si>
  <si>
    <t>10.1108/IJOES-07-2017-0101</t>
  </si>
  <si>
    <t>GI3UZ</t>
  </si>
  <si>
    <t>WOS:000434298400001</t>
  </si>
  <si>
    <t>Goel, M; Ravishankar, N</t>
  </si>
  <si>
    <t>Goel, Mridula; Ravishankar, Nidhi</t>
  </si>
  <si>
    <t>Impact of Public Policy and Legislation on Autonomy and Empowerment of Women in India</t>
  </si>
  <si>
    <t>GENDER ISSUES</t>
  </si>
  <si>
    <t>MATERNAL HEALTH; LAND RIGHTS; LITERACY; GENDER; CARE; EMPLOYMENT; OWNERSHIP; EDUCATION; PROMOTE; ACCESS</t>
  </si>
  <si>
    <t>Women-centrist policies in India have led to gendered outcomes in education, financial inclusion, and governance. The data also suggests that incidence of domestic violence has reduced. Nevertheless the status of women's autonomy is sometimes threatened in the very family setting that affects all aspects of their lives. The freedom to express and participate equally in household activities and decisions is what matters most to women. The present paper seeks to evaluate such intrinsic gains in women's autonomy. Regression modelling is used to study the relationship between measures of autonomy, empowerment, and various socio-economic indicators and public policies. To examine the role of key legislative enactments, Amendment to the Hindu Inheritance Act (2005) and Protection of Women from Domestic Violence Act (2005), dummy variables were introduced in the regression. The data used for the statistical analyses is sourced from National Family Health Surveys, Ministry of Health and Family Welfare, Government of India. The results show that while literacy always supports women's participation in household decisions, language and culture are important to understand the regional differences in impact of gender interventions. The Amendment to the Hindu Inheritance Act (2005), has a consistent positive influence on all measures of women autonomy, as it redefines property rights in favour of the large numbers of Hindu women. Microcredit loans to women have a significant negative impact on women's participation within the household. Socio-cultural traditions appear to interact adversely with this financial inclusion measure, especially as it puts woman in position of relative power within the household. This is especially true for the more conservative states in the north of India. The findings in this paper are original and have significant implications for public policy making.</t>
  </si>
  <si>
    <t>[Goel, Mridula; Ravishankar, Nidhi] BITS Pilani, Dept Econ, Goa Campus, Zuarinagar, Goa, India</t>
  </si>
  <si>
    <t>Goel, M (corresponding author), BITS Pilani, Dept Econ, Goa Campus, Zuarinagar, Goa, India.</t>
  </si>
  <si>
    <t>mridula@goa.bits-pilani.ac.in</t>
  </si>
  <si>
    <t>1098-092X</t>
  </si>
  <si>
    <t>1936-4717</t>
  </si>
  <si>
    <t>GEND ISSUES</t>
  </si>
  <si>
    <t>Gend. Issues</t>
  </si>
  <si>
    <t>10.1007/s12147-021-09282-7</t>
  </si>
  <si>
    <t>0J2QF</t>
  </si>
  <si>
    <t>WOS:000652959700001</t>
  </si>
  <si>
    <t>Zeng, YY; Li, YK</t>
  </si>
  <si>
    <t>Zeng, Yingying; Li, Yuekang</t>
  </si>
  <si>
    <t>Understanding the use of digital finance among older internet users in urban China: Evidence from an online convenience sample</t>
  </si>
  <si>
    <t>EDUCATIONAL GERONTOLOGY</t>
  </si>
  <si>
    <t>TECHNOLOGY ACCEPTANCE MODEL; MOBILE BANKING; ADULTS USE; ADOPTION; INFORMATION; UTAUT</t>
  </si>
  <si>
    <t>Inclusive digital financial services should welcome older populations and make them beneficiaries of the digital and financial revolution. To understand older adults' experience of using digital financial tools, we conducted an online survey of 268 older internet users aged 60 or above from urban areas of 14 Chinese provinces after China's nationwide COVID-19 lockdown in 2021. Our results revealed that older internet surfers were active in digital financial activities and engaged most with activities that were highly compatible with their lifestyles. Active users significantly differed from inactive users in sociodemographics, confirming that a digital divide related to social stratification exists among older internet users. Digital finance active users were also distinguished from inactive users' attitudes and perceptions toward digital finance. Logistic regression results indicated that perceived usefulness, access to proper devices for digital finance, risk perceptions, and perceived exclusion if not using technology were associated with their adoption of these advanced tools. Older adults reported the perceived inconvenience of in-person financial services during the lockdown. They also expressed a willingness to participate in relevant training if provided. The findings of this study could help aging-related practitioners to understand older adults' engagement in digital finance and guide policy and project design in the area of financial inclusion of the aging population.</t>
  </si>
  <si>
    <t>[Zeng, Yingying; Li, Yuekang] Washington Univ, Brown Sch Social Work, St Louis, MO 63130 USA</t>
  </si>
  <si>
    <t>Washington University (WUSTL)</t>
  </si>
  <si>
    <t>Li, YK (corresponding author), Washington Univ, Brown Sch, St Louis, MO 63130 USA.</t>
  </si>
  <si>
    <t>yuekang.li@wustl.edu</t>
  </si>
  <si>
    <t>0360-1277</t>
  </si>
  <si>
    <t>1521-0472</t>
  </si>
  <si>
    <t>EDUC GERONTOL</t>
  </si>
  <si>
    <t>Educ. Gerontol.</t>
  </si>
  <si>
    <t>10.1080/03601277.2022.2126341</t>
  </si>
  <si>
    <t>Education &amp; Educational Research; Gerontology</t>
  </si>
  <si>
    <t>Education &amp; Educational Research; Geriatrics &amp; Gerontology</t>
  </si>
  <si>
    <t>H9HP2</t>
  </si>
  <si>
    <t>WOS:000860047600001</t>
  </si>
  <si>
    <t>Adnan, M; Alagh, R; Negi, JS; Thapliyal, AB</t>
  </si>
  <si>
    <t>Adnan, Mohd; Alagh, Rashi; Negi, Jaidev Singh; Thapliyal, Anand Ballabh</t>
  </si>
  <si>
    <t>Financial inclusion for inclusive growth: adoption of unified payment interface in hilly rural areas of Uttarakhand</t>
  </si>
  <si>
    <t>digital banking; financial inclusion; hilly region; rural area; technology acceptance model; TAM; UPI adoption</t>
  </si>
  <si>
    <t>ECONOMIC-GROWTH; USER ACCEPTANCE; LINKAGE; INDIA; APPS</t>
  </si>
  <si>
    <t>Financial inclusion is a crucial enabler for inclusive economic growth and poverty alleviation. Accessibility and utilisation of formal financial services are integral to financial inclusion. That is why providing affordable access and easy to use financial services is at the forefront of policy initiatives of the Indian Government. This study focuses on factors affecting the adoption of the unified payment interface (UPI) in hilly rural areas of Uttarakhand. This research paper analysed the factors contributing to the adoption of UPI in Uttarakhand's mountainous terrain, and the technology acceptance model is utilised as the conceptual model. A structured questionnaire is distributed among the respondents residing in the districts of Dehradun, Tehri, and Rishikesh through offline and online modes. The study results show a significant impact of both the perceived usefulness of UPI and the perceived ease of using UPI on the behavioural intention to adopt UPI-based applications.</t>
  </si>
  <si>
    <t>[Adnan, Mohd; Alagh, Rashi; Negi, Jaidev Singh; Thapliyal, Anand Ballabh] HNB Garhwal Univ, SRT Campus, Srinagar, Uttarakhand, India</t>
  </si>
  <si>
    <t>Hemwati Nandan Bahuguna Garhwal University</t>
  </si>
  <si>
    <t>Adnan, M (corresponding author), HNB Garhwal Univ, SRT Campus, Srinagar, Uttarakhand, India.</t>
  </si>
  <si>
    <t>adnan786.2008@gmail.com; rashialagh123@gmail.com; jdsnegisrt@gmail.com; thapliyalab@gmail.com</t>
  </si>
  <si>
    <t>ADNAN, MOHD/KWU-7659-2024</t>
  </si>
  <si>
    <t>ADNAN, MOHD/0000-0002-6716-3416</t>
  </si>
  <si>
    <t>10.1504/IJICBM.2024.140339</t>
  </si>
  <si>
    <t>E6N7A</t>
  </si>
  <si>
    <t>WOS:001304158100004</t>
  </si>
  <si>
    <t>Sarker, D; Khan, MA</t>
  </si>
  <si>
    <t>Sarker, Debashis; Khan, M. Adil</t>
  </si>
  <si>
    <t>Microfinance and economic and social empowerment of people with disabilities: Lessons from Bangladesh</t>
  </si>
  <si>
    <t>Bangladesh; empowerment; financial inclusion; intersectionality; microfinance; people with disabilities; poverty</t>
  </si>
  <si>
    <t>VIOLENCE; FINANCE; DISCRIMINATION; PARTICIPATION; EXPERIENCES; SERVICES; GENDER</t>
  </si>
  <si>
    <t>MotivationPeople with disabilities are among the most disadvantaged and dispossessed people on earth, especially in the global South, where they have limited or no access to basic amenities of life and income-earning opportunities. Moreover, in developing societies where poverty is widespread and disability is often regarded as a liability and, at times, stigmatized, people with disabilities often live in starkly inadequate conditions. This article is based on doctoral research which, among other things, investigated the pilot experiment by non-governmental organizations (NGOs) in Bangladesh. This developing, tradition-bound country is looking to share theoretical understanding of aspects that contribute to dispossessions and the quagmire of deprivations into which people with disabilities are trapped, and alongside this present the potential or otherwise of microfinance in economic and social empowerment of people with disabilities who are economically active.MotivationPeople with disabilities are among the most disadvantaged and dispossessed people on earth, especially in the global South, where they have limited or no access to basic amenities of life and income-earning opportunities. Moreover, in developing societies where poverty is widespread and disability is often regarded as a liability and, at times, stigmatized, people with disabilities often live in starkly inadequate conditions. This article is based on doctoral research which, among other things, investigated the pilot experiment by non-governmental organizations (NGOs) in Bangladesh. This developing, tradition-bound country is looking to share theoretical understanding of aspects that contribute to dispossessions and the quagmire of deprivations into which people with disabilities are trapped, and alongside this present the potential or otherwise of microfinance in economic and social empowerment of people with disabilities who are economically active.PurposeThe article, which is based on qualitative research and depicts in an objective manner the lived experiences of people with disabilities in a developing country setting, offers useful lessons in social and economic empowerment of people with disabilities in such societies.Methods and ApproachUnderpinned by the theory of intersectionality, this research used an innovative and customized qualitative case study method that is crucial in reaching out, interacting with, and gathering information and articulating issues that are relevant for policy development.FindingsThere are two important findings. First, that reaching out to and gathering information from and articulating the lived experiences and empowerment imperatives of people with disabilities, as well as the innovation and customization of existing tools and techniques of qualitative research, are key; and second, while microfinance did help a few people with disabilities who are in poverty and have been deemed economically active, the empowerment of people with disabilities requires a more holistic approach.Policy ImplicationsThe findings of this research indicate the importance of qualitative research to understand the lived experiences of people with disabilities in their own environment and formulate policies and initiate programmes that address the needs of people with disabilities in a practical and empowering manner, especially in the global South.</t>
  </si>
  <si>
    <t>[Sarker, Debashis; Khan, M. Adil] Univ Queensland, Sch Social Sci, Brisbane, Qld, Australia; [Sarker, Debashis] Univ Sydney, Business Sch, Sydney, Australia; [Sarker, Debashis] Torrens Univ Australia, Sydney Campus, Sydney, Australia</t>
  </si>
  <si>
    <t>University of Queensland; University of Sydney; Torrens University Australia</t>
  </si>
  <si>
    <t>Australian Government Research Training Programme; University of Queensland, Australia</t>
  </si>
  <si>
    <t>Australian Government Research Training Programme(Australian Government); University of Queensland, Australia(University of Queensland)</t>
  </si>
  <si>
    <t>This research is funded by the Australian Government Research Training Programme. The first author received this scholarship as part of his PhD research at The University of Queensland, Australia. Open access publishing facilitated by The University of Queensland, as part of the Wiley - The University of Queensland agreement via the Council of Australian University Librarians.</t>
  </si>
  <si>
    <t>10.1111/dpr.12799</t>
  </si>
  <si>
    <t>M5T6Q</t>
  </si>
  <si>
    <t>WOS:001271300000001</t>
  </si>
  <si>
    <t>Determinants of financial inclusion in sub-Saharan Africa and OECD countries</t>
  </si>
  <si>
    <t>Corporate social responsibility (CSR); Financial inclusion; Organization for economic cooperation and; development (OECD); Sub-saharan africa (SSA); System generalized methods of moments; (SGMM)</t>
  </si>
  <si>
    <t>INSTITUTIONAL QUALITY; SECTOR DEVELOPMENT; PANEL-DATA; ACCESS; REMITTANCES; GOVERNANCE; STABILITY; LITERACY; SERVICES; TESTS</t>
  </si>
  <si>
    <t>Using a dynamic panel data analysis, we explore the factors that influence financial inclusion in sub-Saharan Africa (SSA) and other regions, using member countries of the Organization for Economic Cooperation and Development (OECD) as a benchmark. We employ a system generalized methods of moments estimator and assess 31 SSA and 38 OECD countries from 2000 to 2021. We show that the literacy rate, trade openness, political stability, bank efficiency, income, and remittances are key factors with various impacts across regions. We further show that various dimensions of a financial system (access, usage, and quality) are impacted by different indicators and to varying extent. We account for events during the period, such as the global financial crisis and COVID-19 outbreak. We highlight the importance of quality literacy policies and a more efficient financial system in promoting financial inclusion. We recommend improving trade regulatory frameworks that promote trade openness through stronger institutions.</t>
  </si>
  <si>
    <t>; Kocenda, Evzen/R-9674-2017</t>
  </si>
  <si>
    <t>Eshun, Samuel Fiifi/0000-0002-7161-8962; Kocenda, Evzen/0000-0003-4110-1169</t>
  </si>
  <si>
    <t>Grantova Agentura Ceske Republiky [23-07983 S]</t>
  </si>
  <si>
    <t>This work was supported by the Grantova Agentura Ceske Republiky [Grant number: 23-07983 S] .</t>
  </si>
  <si>
    <t>10.1016/j.bir.2024.11.004</t>
  </si>
  <si>
    <t>W9Q9U</t>
  </si>
  <si>
    <t>WOS:001421837900001</t>
  </si>
  <si>
    <t>Abokyi, E</t>
  </si>
  <si>
    <t>Abokyi, Eric</t>
  </si>
  <si>
    <t>Effects of remittances on financial inclusion gender gap in developing countries</t>
  </si>
  <si>
    <t>RESEARCH IN ECONOMICS</t>
  </si>
  <si>
    <t>Remittances; Financial inclusion gender gap; Instrumental variable; Developing countries</t>
  </si>
  <si>
    <t>INTERNATIONAL MIGRATION; MIGRANTS; POVERTY</t>
  </si>
  <si>
    <t>Remittances have a wide range of benefits to households and the economy at large. Evidence show that women are the major recipients of remittances in developing countries, consequently this may have the potential of reducing the gender gap in economic outcomes. This study examines the impact of remittances on gender gap in financial inclusion in developing countries. The dataset for the study was built from multiple sources. Based on data availability, the study covers 102 developing countries for three years, namely 2011, 2014 and 2017. The study employs fixed effects instrumental variable technique using the economic conditions of the top five remittance sending countries (proxied by their GDP per capita and employment rate) as instruments. For robustness purpose different measurements of remittances are used in the analysis. Though the study does not provide evidence that remittances impact the overall inequality in access to financial services, the results show that remittances significantly reduce the gender gap in financial inclusion in developing countries. Based on these findings, the study makes appropriate policy recommendations.</t>
  </si>
  <si>
    <t>[Abokyi, Eric] Univ Politecn Marche, Dept Econ &amp; Social Sci, Ancona, Italy</t>
  </si>
  <si>
    <t>e.abokyi@pm.univpm.it</t>
  </si>
  <si>
    <t>Abokyi, Eric/JCN-8623-2023</t>
  </si>
  <si>
    <t>Abokyi, Eric/0000-0002-1149-2931</t>
  </si>
  <si>
    <t>1090-9443</t>
  </si>
  <si>
    <t>1090-9451</t>
  </si>
  <si>
    <t>RES ECON</t>
  </si>
  <si>
    <t>Res. Econ.</t>
  </si>
  <si>
    <t>10.1016/j.rie.2022.11.002</t>
  </si>
  <si>
    <t>6Y2YR</t>
  </si>
  <si>
    <t>WOS:000896966100001</t>
  </si>
  <si>
    <t>Tade, O; Adeniyi, O</t>
  </si>
  <si>
    <t>Tade, Oludayo; Adeniyi, Oluwatosin</t>
  </si>
  <si>
    <t>I Prefer to Remain Old School and be Safe: Fear of Fraud and Governance of Risk in Nigeria's Cashless Ecosystem</t>
  </si>
  <si>
    <t>SALUS JOURNAL</t>
  </si>
  <si>
    <t>Electronic Fraud Prevalence; Risk Governance; Cashless Economy; Deposit Money Banks</t>
  </si>
  <si>
    <t>This article provides insight into the prevalence of fraud in Nigeria's financial cashless ecosystem and how trust is being built in the system to check the growing menace. It is motivated by two overarching questions: Does fear of fraud constitute an impediment to financial inclusion? How does the existence or otherwise of risk governance mechanisms mediate the nexus between electronic fraud and financial inclusion? Using qualitative methods to probe participants in southwestern Nigeria on these issues, the findings show how fear of fraud, indirect experiences of fraud, and fraud governance shape adoption and behaviour in the Nigerian banking system.</t>
  </si>
  <si>
    <t>[Tade, Oludayo] Univ Ibadan, Nigerias Premier Univ, Crime Deviance &amp; Social Problems, Ibadan, Nigeria; [Tade, Oludayo] Univ Calif Irvine, Inst Money Technol &amp; Financial Inclus IMTFI, Irvine, CA 92697 USA; [Adeniyi, Oluwatosin] Univ Ibadan, Dept Econ, Ibadan, Nigeria</t>
  </si>
  <si>
    <t>University of Ibadan; University of California System; University of California Irvine; University of Ibadan</t>
  </si>
  <si>
    <t>Tade, O (corresponding author), Univ Ibadan, Nigerias Premier Univ, Crime Deviance &amp; Social Problems, Ibadan, Nigeria.;Tade, O (corresponding author), Univ Calif Irvine, Inst Money Technol &amp; Financial Inclus IMTFI, Irvine, CA 92697 USA.</t>
  </si>
  <si>
    <t>Adeniyi, Oluwatosin/R-8231-2019</t>
  </si>
  <si>
    <t>CHARLES STURT UNIV</t>
  </si>
  <si>
    <t>WAGGA WAGGA</t>
  </si>
  <si>
    <t>LOCKED BAG 588, WAGGA WAGGA, 2678, AUSTRALIA</t>
  </si>
  <si>
    <t>2202-5677</t>
  </si>
  <si>
    <t>SALUS J</t>
  </si>
  <si>
    <t>Salus J.</t>
  </si>
  <si>
    <t>AI4H1</t>
  </si>
  <si>
    <t>WOS:001117818800006</t>
  </si>
  <si>
    <t>Kong, R; Peng, YL; Meng, N; Fu, H; Zhou, L; Zhang, YH; Turvey, CG</t>
  </si>
  <si>
    <t>Kong, Rong; Peng, Yanling; Meng, Nan; Fu, Hong; Zhou, Li; Zhang, Yuehua; Turvey, Calum Greig</t>
  </si>
  <si>
    <t>Heterogeneous choice in the demand for agriculture credit in China: results from an in-the-field choice experiment</t>
  </si>
  <si>
    <t>China; Rural finance; Agricultural credit; Discrete choice experiment; WTP; Demand-side</t>
  </si>
  <si>
    <t>RURAL CREDIT; FINANCIAL INCLUSION; REFORM; CONSTRAINTS; HOUSEHOLDS; ECONOMICS; FRIENDS; MODELS</t>
  </si>
  <si>
    <t>Purpose In this study, the authors examined demand-side credit in rural China with the aims of understanding attribute preferences and the willingness of farmers to pay for credit. Design/methodology/approach The authors implemented an in-the-field discrete choice experiment (DCE) using a D-optimal block (6 x 9 x 3) design applied to 420 farm households across five Chinese provinces (Shandong, Sichuan, Shaanxi, Jiangsu and Henan) in the summer and fall of 2018. The DCE included six attributes including the interest rate, term of loan, type of loan, type of repayment, type of institution and mobile banking services. Findings Conditional and mixed logit results indicated a downward sloping credit demand curve with variable elasticity across regions. Provincial willingness-to-pay (WTP) indicators suggested that farmers were willing to pay a premium for long-term ( 0.03-0.687%) and low collateral credit loans ( 0.79-2.93%). Also, four of five provinces indicated a preference for loan amortization rather than lump-sum payment. Interestingly, in comparison to the Agricultural Bank of China (ABC), only farmers in Shandong, Sichuan and Shaanxi indicated a preference for rural credit cooperatives (RCCs)/banks and the Postal Savings Bank of China (PSBC). Another quite surprising result was bank services, in our case, access to mobile banking did not appear to induce WTP for agricultural credit. While conditional and mixed logit regression coefficients were similar (and therefore robust), the authors found that there was substantial heterogeneity across attribute preferences on term of loan, type of loan and amortization. Preferences for type of lender and mobile banking were generally homogenous. This result alone suggested that lenders should consider offering a suite of credit products with different attributes in order to maximize the potential pool of borrowers. While there were some differences across provinces, farmers appeared to be indifferent to lenders, and it did not appear that offering banking services such as mobile banking had any bearing on credit decisions. Research limitations/implications This paper presents a first step in using in-the-field choice experiments to better understand rural finance in China. Although the sample size satisfies conventional levels of significance and rank conditions, the authors caution against attributing results to China as a whole. Different provinces have different institutional structures and agricultural growing conditions and economies and these effects may differentially affect WTP for credit. Although by all indications farmers were aware of credit, not all farmers, in fact a minority, actually borrowed from a financial institution. This is not unusual in China, but for these farmers, the DCE was posed as hypothetical. Likewise, the study's design was based on a generic credit product typical of rural China, and the authors caution against making inferences about other products with different attributes and risk structures. Social implications This study is motivated by the rapidly changing dynamic in China's agricultural economy. With specific reference to new laws and regulations about the transfer of land use rights (LURs), China's agricultural economy is undergoing significant and rapid change which will require better understanding by policy makers, lenders and practitioners of the changing credit needs of farmers, including the new and emerging class of commercial farmers. Originality/value To the best of the authors' knowledge, the authors believe that the result provided in this paper present the first use of in-the-field DCE and are the first to be reported in either the English or Chinese literature on rural credit product design.</t>
  </si>
  <si>
    <t>[Kong, Rong] Northwest Agr &amp; Forestry Univ, Yangling, Shaanxi, Peoples R China; [Peng, Yanling] Sichuan Agr Univ, Inst Reg Econ &amp; Finance, Chengdu, Peoples R China; [Meng, Nan; Turvey, Calum Greig] Cornell Univ, Dyson Sch Appl Econ &amp; Management, SC Johnson Coll Business, Ithaca, NY USA; [Fu, Hong] Shandong Univ Finance &amp; Econ, Jinan, Peoples R China; [Zhou, Li] Nanjing Agr Univ, Nanjing, Peoples R China; [Zhang, Yuehua] Zhejiang Univ, Ctr Social Welf &amp; Publ Governance, Hangzhou, Peoples R China; [Zhang, Yuehua] Zhejiang Univ, Sch Publ Affairs, Hangzhou, Peoples R China</t>
  </si>
  <si>
    <t>Northwest A&amp;F University - China; Sichuan Agricultural University; Cornell University; Shandong University of Finance &amp; Economics; Nanjing Agricultural University; Zhejiang University; Zhejiang University</t>
  </si>
  <si>
    <t>Peng, YL (corresponding author), Sichuan Agr Univ, Inst Reg Econ &amp; Finance, Chengdu, Peoples R China.</t>
  </si>
  <si>
    <t>jxyanling@163.com</t>
  </si>
  <si>
    <t>ZHOU, LI/OUJ-1227-2025</t>
  </si>
  <si>
    <t>project 111, Central University of Finance and Economics, Beijing PRC; National Natural Science Foundation of China [71773094, 71903141]; Humanities and Social Sciences of Education Ministry [18YJC790125]; China Postdoctoral Science Foundation [2019M653834XB]</t>
  </si>
  <si>
    <t>project 111, Central University of Finance and Economics, Beijing PRC; National Natural Science Foundation of China(National Natural Science Foundation of China (NSFC)); Humanities and Social Sciences of Education Ministry; China Postdoctoral Science Foundation(China Postdoctoral Science Foundation)</t>
  </si>
  <si>
    <t>This studywas completed under project 111 funding, Central University of Finance and Economics, Beijing PRC with advisors and principal investigators Ming Zhou and Ken Seng-Tan. Rong Kong is a professor, NorthwestAgriculture and Forestry University, Yangling, Shaanxi. Yanling Peng is an assistant professor at Sichuan Agricultural University, Chengdu; Nan Meng is a former graduate student, Dyson School of Applied Economics and Management, Cornell University; Hong Fu is an associate professor, Shandong University of Finance and Economics, Jinan; Li Zhou is a professor, Nanjing Agricultural University; Yuehua Zhang is a professor at Zhejiang University; Calum Turvey is W.I. Myers Professor of agricultural finance, the Dyson School of Applied Economics and Management, Cornell University, Ithaca NY. This work was drawn from Nan Meng's MS graduate thesis, the Dyson School of Applied Economics and Management, Cornell University, which was supported by the W.I. Myers Endowment Fund. Additional support was provided by the National Natural Science Foundation of China (no.71773094; 71903141), Humanities and Social Sciences of Education Ministry (18YJC790125) and China Postdoctoral Science Foundation (2019M653834XB). Address comments to Calum Turvey cgt6@cornell.edu</t>
  </si>
  <si>
    <t>10.1108/CAER-06-2020-0151</t>
  </si>
  <si>
    <t>SN6JG</t>
  </si>
  <si>
    <t>WOS:000586771900001</t>
  </si>
  <si>
    <t>Tepe, G; Geyikci, UB; Sancak, FM</t>
  </si>
  <si>
    <t>Tepe, Gencay; Geyikci, Umut Burak; Sancak, Fatih Mehmet</t>
  </si>
  <si>
    <t>FinTech Companies: A Bibliometric Analysis</t>
  </si>
  <si>
    <t>FinTech; financial technology; blockchain; financial information systems</t>
  </si>
  <si>
    <t>BLOCKCHAIN; ECOSYSTEM</t>
  </si>
  <si>
    <t>The financial-technology industry has recently attracted the attention of many sectors. The financial-technology industry designs new and unusual technological financial services in many areas. It combines technology with finance and provides an alternative to the traditional financial system. In the scope of this study, 636 publications were obtained from Scopus. Various tools, such as Microsoft Excel for frequency analysis, and VOSviewer for data visualization, were used. The open-source codes used for bibliometric analysis through the R Studio program were developed by the authors and used for citation-metrics analysis. The main aim of this study was to find out the most influential studies and authors and to reveal the distributions and impacts of publications in the FinTech area between 2015 and 2021 from the Scopus database. The results indicate that the most influential journal is Sustainability Switzerland, and the most cited author is Gomber et al. Additionally, Rabbani has the most publications, while China has emerged as the most productive country. On the other hand, this study found that FinTech research clustered in four areas. These areas are computer science, business management, economics, and social sciences. This FinTech study examines financial services, financial access, and financial technology, where FinTech is at the center. It also focuses on cryptocurrency, bitcoin, and smart contracts where the blockchain is at the center. The results reveal a systematic map of existing studies. Further, the study plays a guiding role in future research.</t>
  </si>
  <si>
    <t>[Tepe, Gencay; Geyikci, Umut Burak] Manisa Celal Bayar Univ, Fac Business, TR-45140 Manisa, Turkey; [Sancak, Fatih Mehmet] Dikkan Grp, TR-35730 Izmir, Turkey</t>
  </si>
  <si>
    <t>Celal Bayar University</t>
  </si>
  <si>
    <t>Tepe, G (corresponding author), Manisa Celal Bayar Univ, Fac Business, TR-45140 Manisa, Turkey.</t>
  </si>
  <si>
    <t>gencay.tepe@cbu.edu.tr; umutburak.geyikci@cbu.edu.tr; fatih.sancak@dikkan.com</t>
  </si>
  <si>
    <t>Tepe, Gencay/AAD-8364-2022</t>
  </si>
  <si>
    <t>GEYIKCI, UMUT BURAK/0000-0002-4285-2151</t>
  </si>
  <si>
    <t>10.3390/ijfs10010002</t>
  </si>
  <si>
    <t>0C4SW</t>
  </si>
  <si>
    <t>WOS:000775306000001</t>
  </si>
  <si>
    <t>Aduba, JJ</t>
  </si>
  <si>
    <t>Aduba, Joseph Junior</t>
  </si>
  <si>
    <t>On the determinants, gains and challenges of electronic banking adoption in Nigeria</t>
  </si>
  <si>
    <t>Cashless policy; Digital devices; Electronic banking adoption; Financial inclusion; Mobile penetration; C83; D83; G21</t>
  </si>
  <si>
    <t>Purpose The purpose of this study is to examine the gains, challenges and determinants of electronic banking adoption in Nigeria. Design/methodology/approach This paper applied the generalized structural equation modelling (GSEM) to a large sample of respondents surveyed from five of the six geopolitical zones of Nigeria to model the determinants of electronic banking. In addition to many other advantages, GSEM can be used as a likelihood function. As a result, this paper proposes GSEM as the most appropriate tool for modelling the socioeconomic determinant of electronic banking adoption. Findings About three-quarter of respondents adopted at least a form of electronic banking. However, only a tenth of users used e-banking for purchase of goods or services, implying low electronic payment adoption. The low adoption of electronic payment was due to poor digital security infrastructure which made users vulnerable to widespread electronic frauds. The findings also show that the adoption of e-banking platforms or services was characterized by users' socioeconomic status. For example, the odds of adopting internet/mobile banking decreases with older users but increase with higher educational attainment and income, whereas the odds of adopting e-banking platforms such as short message service (SMS) and point of sale (POS) banking increases with older users and informally employed users respectively. Practical implications For a sustainable cashless economy and financial inclusion in Nigeria, policy consolidation that provides safe e-banking services is necessary. Also, e-banking service providers should deliver specific contents and services that match the physical and economic characteristics of users. Originality/value Generalized structural equation modelling (GSEM) is a robust likelihood function method that combines the power of structural equation modelling with the generalized linear model. The application of GSEM to predict the likelihood of adopting a banking technology or Service has not been explored in electronic banking literature. Also, as a fast-growing economy with a heterogeneous population, Nigeria presents an interesting context to study the determinants of electronic banking.</t>
  </si>
  <si>
    <t>[Aduba, Joseph Junior] Ritsumeikan Univ, Grad Sch Econ, Kusatsu, Japan</t>
  </si>
  <si>
    <t>Aduba, JJ (corresponding author), Ritsumeikan Univ, Grad Sch Econ, Kusatsu, Japan.</t>
  </si>
  <si>
    <t>Japan Society for the Promotion of Science [19J10715]; Grants-in-Aid for Scientific Research [19J10715] Funding Source: KAKEN</t>
  </si>
  <si>
    <t>Japan Society for the Promotion of Science(Ministry of Education, Culture, Sports, Science and Technology, Japan (MEXT)Japan Society for the Promotion of ScienceInstituto Politecnico Nacional - Mexico); Grants-in-Aid for Scientific Research(Ministry of Education, Culture, Sports, Science and Technology, Japan (MEXT)Japan Society for the Promotion of ScienceGrants-in-Aid for Scientific Research (KAKENHI))</t>
  </si>
  <si>
    <t>This research was supported by the Japan Society for the Promotion of Science, Grant No. 19J10715. The authors acknowledge the contributions of enumerators used for the survey work.</t>
  </si>
  <si>
    <t>10.1108/IJSE-07-2020-0452</t>
  </si>
  <si>
    <t>WOS:000635458000001</t>
  </si>
  <si>
    <t>Effah, E; Gyamfi, S; Diawuo, FA; Asuamah, EY</t>
  </si>
  <si>
    <t>Effah, Emmanuel; Gyamfi, Samuel; Diawuo, Felix Amankwah; Asuamah, Emmanuel Yeboah</t>
  </si>
  <si>
    <t>Socio-economic factors influencing the adoption of solar home systems: the case study of Ghana</t>
  </si>
  <si>
    <t>Renewable energy; Sustainable development; Socioeconomic factors; Rural development; Rural communities; Home-based businesses; Solar home systems</t>
  </si>
  <si>
    <t>RURAL ELECTRIFICATION; RENEWABLE ENERGY; SOCIAL ACCEPTANCE</t>
  </si>
  <si>
    <t>This study examines the socio-economic factors influencing the adoption and utilisation of Solar Home Systems (SHSs) in remote communities of Ghana. Using a mixed-methods approach, the research incorporates household surveys of SHS users and non-users, along with in-depth interviews with key stakeholders in the SHS industry. The findings reveal that access to finance, education level, and awareness of SHS benefits are key determinants of adoption. Additionally, the availability of government subsidies and microfinance institutions significantly enhances SHS uptake. Despite the advantages of SHSs, the study finds that they are not a primary driver for establishing Home-Based Businesses in rural communities. However, they have contributed to a 3.81 % increase in household savings and improved the operational conditions of existing businesses. Moreover, 41.59 % of respondents reported enhanced nighttime security, while 28 % noted an extension in study hours for children due to improved lighting. The study concludes that targeted policy interventions addressing financial accessibility, community engagement, and infrastructure support are essential for maximising the socioeconomic benefits of SHSs. Expanding SHS adoption in developing countries can significantly improve energy access, quality of life, and rural economic resilience.</t>
  </si>
  <si>
    <t>[Effah, Emmanuel; Gyamfi, Samuel; Diawuo, Felix Amankwah; Asuamah, Emmanuel Yeboah] Univ Energy &amp; Nat Resources UENR, Reg Ctr Energy &amp; Environm Sustainabil RCEES, POB 214, Sunyani, Ghana; [Effah, Emmanuel; Gyamfi, Samuel; Diawuo, Felix Amankwah; Asuamah, Emmanuel Yeboah] Univ Energy &amp; Nat Resources UENR, Sch Energy, Dept Renewable Energy Engn, POB 214, Sunyani, Ghana</t>
  </si>
  <si>
    <t>Asuamah, EY (corresponding author), Univ Energy &amp; Nat Resources UENR, Reg Ctr Energy &amp; Environm Sustainabil RCEES, POB 214, Sunyani, Ghana.</t>
  </si>
  <si>
    <t>asuamahyeboahemmanuel@gmail.com</t>
  </si>
  <si>
    <t>Asuamah, Emmanuel Yeboah/ABC-9087-2021; Diawuo, Felix Amankwah/I-5597-2015; Gyamfi, Samuel/AAE-6456-2021</t>
  </si>
  <si>
    <t>Asuamah, Emmanuel Yeboah/0000-0002-2446-5107; Diawuo, Felix Amankwah/0000-0001-7868-5511; Gyamfi, Samuel/0000-0002-6631-8236</t>
  </si>
  <si>
    <t>We wish to express our sincere gratitude to RCEES and the World Bank for their financial support, which was instrumental in the successful completion of this work</t>
  </si>
  <si>
    <t>e02727</t>
  </si>
  <si>
    <t>10.1016/j.sciaf.2025.e02727</t>
  </si>
  <si>
    <t>3UJ3S</t>
  </si>
  <si>
    <t>WOS:001509226700001</t>
  </si>
  <si>
    <t>Urban, B; Ratsimanetrimanana, F</t>
  </si>
  <si>
    <t>Urban, Boris; Ratsimanetrimanana, Fenosoa</t>
  </si>
  <si>
    <t>Access to finance and entrepreneurial intention An empirical study of Madagascan rural areas</t>
  </si>
  <si>
    <t>Entrepreneurial intentions; Theory of planned behaviour; Access to finance; Madagascar</t>
  </si>
  <si>
    <t>PLANNED BEHAVIOR; UNIVERSITY-STUDENTS; DETERMINANTS; RESOURCES; COMMUNITY; EDUCATION; IMPACT</t>
  </si>
  <si>
    <t>Purpose Appreciating the need to foster entrepreneurship in Madagascan rural areas and acknowledging that many unanswered questions remain regards testing the theory of planned behaviour (TPB), the study aims to apply and extend the TPB model by investigating the moderating effect of access to finance (A2F) on entrepreneurial intentions (EI). Design Based on survey data (n = 1,456) collected across several regions in Madagascar, hypotheses are statically tested using regression analyses. Findings A significant moderating effect is revealed on the TPB-EI relationship in terms of attitude towards behaviour and perceived behavioural control. Moreover, levels of education and gender differences also influence this relationship. Research limitations/implications - Policy directives for the Madagascan Government and other private institutions include fostering support systems for those who intend to enter into entrepreneurship. On a practical level, Malagasy policymakers and decision makers at financial institutions need to pay particular attention to the TPB antecedents. Originality The paper makes a contribution to the literature by providing empirical evidence on the moderating role of A2F on the TPB-EI link, while also explaining how individual-level variables influence this relationship in an under-researched developing country context - Madagascar.</t>
  </si>
  <si>
    <t>[Urban, Boris; Ratsimanetrimanana, Fenosoa] Univ Witwatersrand, Johannesburg, South Africa</t>
  </si>
  <si>
    <t>Urban, B (corresponding author), Univ Witwatersrand, Johannesburg, South Africa.</t>
  </si>
  <si>
    <t>boris.urban@wits.ac.za</t>
  </si>
  <si>
    <t>Urban, Boris/Q-1768-2019</t>
  </si>
  <si>
    <t>Urban, Boris/0000-0002-6212-0169</t>
  </si>
  <si>
    <t>10.1108/JEC-12-2018-0106</t>
  </si>
  <si>
    <t>IS3NL</t>
  </si>
  <si>
    <t>WOS:000482060000003</t>
  </si>
  <si>
    <t>Werake, SK; Dharmadasa, CS</t>
  </si>
  <si>
    <t>Werake, Senani Kumarihami; Dharmadasa, Champika Sriyani</t>
  </si>
  <si>
    <t>Link Between Customer Perception and Financial Inclusion: An Empirical Analysis with Reference to Urban Low-income Households in Sri Lanka</t>
  </si>
  <si>
    <t>Financial inclusion; customer perception; partial least square structural equation model (PLS-SEM); urban low-income households</t>
  </si>
  <si>
    <t>DETERMINANTS; EXPECTATIONS; PERFORMANCE; VARIABLES; BEHAVIOR; QUALITY; PRICE</t>
  </si>
  <si>
    <t>The aim of this article is to examine the link between customers' perceptions and financial inclusion of low-income families in urban Sri Lanka. This article conceptualized financial inclusion under six supply-side variables, namely, outreach, penetration, availability, accessibility, technology and trust, and the conceptual framework is designed based on the theory of planned behaviour. Individuals' attitudes towards the existing condition of financial inclusion representations considers as perception and was measured using a Likert scale. Primary data were collected through a sample survey utilizing a semi-structured questionnaire, which consists of 64 questions. The sample covers 383 low-income households in the Colombo and Kolonnawa divisional secretariat in Sri Lanka. The survey will be conducted in July and August 2022. Data were analyzed using a partial least square structural equation model. The results have revealed that the link between customers' perception and accessibility, availability, penetration and trust is positive and significant. Among the significant variables, the link between customer perception and accessibility is strong while the second and third influencing variables were trust and availability, and the last was penetration. Findings emphasize the importance for the government to raise awareness of financial products, advocating for policies that promote financial knowledge and visual promotions in urban areas so that potential customers can adopt the required financial products and services.</t>
  </si>
  <si>
    <t>[Werake, Senani Kumarihami; Dharmadasa, Champika Sriyani] Univ Kelaniya, Dept Econ, Kelaniya 11600, Sri Lanka</t>
  </si>
  <si>
    <t>University Kelaniya</t>
  </si>
  <si>
    <t>Dharmadasa, CS (corresponding author), Univ Kelaniya, Dept Econ, Kelaniya 11600, Sri Lanka.</t>
  </si>
  <si>
    <t>champikas@kln.ac.lk</t>
  </si>
  <si>
    <t>Dharmadasa, Champika/0000-0002-7525-1053</t>
  </si>
  <si>
    <t>10.1177/09763996241265491</t>
  </si>
  <si>
    <t>H9L9W</t>
  </si>
  <si>
    <t>WOS:001326588000001</t>
  </si>
  <si>
    <t>Avouba, FGN; Akougbe, AIS; Ondze, CLLN</t>
  </si>
  <si>
    <t>Ndombi Avouba, Fabrice-Gilles; Akougbe, A. IBN-Said; Ondze, Christel le Ines Leticia Ndombi</t>
  </si>
  <si>
    <t>Non-linearity between financial inclusion and economic growth in sub-saharan Africa: What implications for the West African Economic and Monetary Union (WAEMU)?</t>
  </si>
  <si>
    <t>financial inclusion; economic growth; PCSE; UEMOA</t>
  </si>
  <si>
    <t>QUALITY; MARKETS</t>
  </si>
  <si>
    <t>In a context where many African populations are excluded from the traditional banking system, financial inclusion appears to be a determining factor in enabling agents in need of financing, notably producers and consumers, to have easy access to financial services in order to contribute to the multiple efforts of economic and social progress of nations. However, to date, the literature remains silent on the optimal level of financial inclusion that can boost growth. Consequently, this paper aims to verify whether there is a non-linear relationship between economic growth and financial inclusion in the WAEMU zone. Econometric applications based on the PCSE (panel-corrected standard error) model on a panel of eight countries for the period 2014-2018 reveal a U-shaped relationship between the extended banking rate and economic growth. Economic growth shows two different behaviours depending on whether one is on the side of one or the other of the regimes inherent to the inflection point. In view of these results, we suggest that the public authorities: i) intensify campaigns to open accounts in local languages, ii) promote the development of online sales applications for goods and services, iii) pursue the dematerialisation of financial operations within public administrations. Finally, this paper paves the way for future research on the microeconomic component and a similar treatment of the subject, but taking into account the occurrence of the Covid pandemic19.</t>
  </si>
  <si>
    <t>[Ndombi Avouba, Fabrice-Gilles; Ondze, Christel le Ines Leticia Ndombi] Marien Ngouabi Univ, Fac Econ Sci, Lab Econ &amp; Social Res Studies LARES, Brazzaville, Rep Congo; [Ndombi Avouba, Fabrice-Gilles; Ondze, Christel le Ines Leticia Ndombi] Marien Ngouabi Univ, Brazzaville, Rep Congo; [Akougbe, A. IBN-Said] Univ Abomey Calavi, Fac Econ &amp; Management, OMC CIDI Chair Cotonou, Godomey, Benin; [Akougbe, A. IBN-Said] Univ Abomey Calavi, Godomey, Benin</t>
  </si>
  <si>
    <t>Avouba, FGN (corresponding author), Marien Ngouabi Univ, Fac Econ Sci, Lab Econ &amp; Social Res Studies LARES, Brazzaville, Rep Congo.;Avouba, FGN (corresponding author), Marien Ngouabi Univ, Brazzaville, Rep Congo.</t>
  </si>
  <si>
    <t>ndombigilles@yahoo.ca</t>
  </si>
  <si>
    <t>NDOMBI AVOUBA, Fabrice-Gilles/0000-0002-7241-2245</t>
  </si>
  <si>
    <t>10.1080/23322039.2022.2158630</t>
  </si>
  <si>
    <t>7J6AZ</t>
  </si>
  <si>
    <t>WOS:000904665300001</t>
  </si>
  <si>
    <t>Kou, MT; Yang, YQ; Chen, KH</t>
  </si>
  <si>
    <t>Kou, Mingting; Yang, Yuanqi; Chen, Kaihua</t>
  </si>
  <si>
    <t>Financial technology research: Past and future trajectories</t>
  </si>
  <si>
    <t>Financial technology; Research trajectories; Intellectual communities; Review and prospect</t>
  </si>
  <si>
    <t>BLOCKCHAIN TECHNOLOGY; ONLINE BANKING; CONSUMER ACCEPTANCE; RESEARCH-FRONT; BITCOIN; FINTECH; CHALLENGES; MARKET; UNCERTAINTY; INVESTMENT</t>
  </si>
  <si>
    <t>Financial technology (fintech) research is a critical, dynamic and rapidly developing field, making it essential to systematically review and prospect the fintech field to advance its development. Using a combination of data-driven techniques from main path analysis and bibliographic coupling analysis, this study maps and analyses the growth laws, main research trajectories, and intellectual communities of the fintech domain in current research. The results show that the fintech field has gone through three phases, namely, 'emergence' (1977-2008), 'fermentation' (2009-2017), and 'take off' (2018-2022). The bibliographic coupling analysis suggests that the whole fintech research domain can be classified into four research streams: online banking and payment technology, lending and capital-raising online platforms, automated and algorithmic trading, and blockchains and cryptocurrencies. After conducting a retrospective analysis of prior studies and scanning over future-oriented challenges and demands, this study speculates and proposes four important topics that require urgent attention, namely efficient applications of blockchain technology in the financial sector, new business patterns of banking and other industries under fintech integration, the impact of fintech on financial inclusion, and the risk control and supervision of fintech.</t>
  </si>
  <si>
    <t>[Kou, Mingting; Yang, Yuanqi] Univ Sci &amp; Technol Beijing, Sch Econ &amp; Management, Beijing 100083, Peoples R China; [Chen, Kaihua] Univ Chinese Acad Sci, Sch Publ Policy &amp; Management, Beijing 100049, Peoples R China</t>
  </si>
  <si>
    <t>University of Science &amp; Technology Beijing; Chinese Academy of Sciences; University of Chinese Academy of Sciences, CAS</t>
  </si>
  <si>
    <t>Yang, YQ (corresponding author), Univ Sci &amp; Technol Beijing, Sch Econ &amp; Management, Beijing 100083, Peoples R China.</t>
  </si>
  <si>
    <t>yangyqustb@163.com</t>
  </si>
  <si>
    <t>National Natural Science Foundation of China [72274012, 71874179]; Humanities and Social Sciences of Ministry of Education Planning Fund [22YJA630037]</t>
  </si>
  <si>
    <t>National Natural Science Foundation of China(National Natural Science Foundation of China (NSFC)); Humanities and Social Sciences of Ministry of Education Planning Fund</t>
  </si>
  <si>
    <t>This work was supported by National Natural Science Foundation of China [Grant Number: 72274012; 71874179] , Humanities and Social Sciences of Ministry of Education Planning Fund [Grant Number: 22YJA630037] .</t>
  </si>
  <si>
    <t>10.1016/j.iref.2024.03.032</t>
  </si>
  <si>
    <t>QG4Q1</t>
  </si>
  <si>
    <t>WOS:001219717000001</t>
  </si>
  <si>
    <t>Weng, D; Xia, QH</t>
  </si>
  <si>
    <t>Weng, Dong; Xia, Qionghua</t>
  </si>
  <si>
    <t>Nexus between financial inclusion and natural resource management: How human development affects the sustainability practices</t>
  </si>
  <si>
    <t>GEOLOGICAL JOURNAL</t>
  </si>
  <si>
    <t>environmentally friendly; financial inclusion; macroeconomic stability; natural resources; South Asia</t>
  </si>
  <si>
    <t>There is increasing apprehension surrounding the sustainable governance of natural resources in South Asian nations, where the economy's progress is significantly dependent on these resources. Financial inclusion is a vital determinant in promoting sustainable practices as it pertains to the accessibility and utilization of financial services by all population sectors. Moreover, the field of human development, which encompasses various indicators, including education, healthcare, and living standards, exerts a substantial influence on the formation of societal behaviour and attitudes towards the conservation of resources. This research investigates the correlation between financial inclusion, natural resource management, and human development in South Asian nations from 2008 to 2020. Panel data modelling is used in this study to examine the relationship between the abovementioned variables and evaluate human development's influence on sustainability practices. This study utilizes panel data analysis to examine the complex association between financial inclusion and natural resource management. This study examines the relationship between different levels of human development and adopting sustainable practices within the region. Using the panel data framework facilitates the analysis of both idiosyncratic country-specific effects and shared patterns observed among the South Asian countries under consideration. The findings of this research offer valuable perspectives on the intricate relationship between financial inclusion, human development, and natural resource management. The results of this study make a valuable contribution to the current body of literature by emphasizing the importance of inclusive financial systems in fostering sustainable practices. Furthermore, these findings provide insight into the influence of human development on the formation of individuals' attitudes and behaviours about the conservation of resources. The implications of these findings are relevant for policymakers and stakeholders who aim to improve sustainability initiatives and promote inclusive economic development in South Asian nations.</t>
  </si>
  <si>
    <t>[Weng, Dong] Tourism Coll Zhejiang, Sch Business Adm, Hangzhou, Peoples R China; [Xia, Qionghua] Guangdong Univ Foreign Studies, Dept Phys Educ, Guangzhou, Peoples R China; [Xia, Qionghua] Guangdong Univ Foreign Studies, Dept Phys Educ, Guangzhou 510420, Peoples R China</t>
  </si>
  <si>
    <t>Guangdong University of Foreign Studies; Guangdong University of Foreign Studies</t>
  </si>
  <si>
    <t>Xia, QH (corresponding author), Guangdong Univ Foreign Studies, Dept Phys Educ, Guangzhou 510420, Peoples R China.</t>
  </si>
  <si>
    <t>xiaqonghuagdufs@163.com</t>
  </si>
  <si>
    <t>The authors thank all the reviewing team.</t>
  </si>
  <si>
    <t>0072-1050</t>
  </si>
  <si>
    <t>1099-1034</t>
  </si>
  <si>
    <t>GEOL J</t>
  </si>
  <si>
    <t>Geol. J.</t>
  </si>
  <si>
    <t>10.1002/gj.4862</t>
  </si>
  <si>
    <t>Geosciences, Multidisciplinary</t>
  </si>
  <si>
    <t>Geology</t>
  </si>
  <si>
    <t>EN6D9</t>
  </si>
  <si>
    <t>WOS:001065104000001</t>
  </si>
  <si>
    <t>Ngong, CA; Onyejiaku, CC; Kum, FV; Onwumere, JUJ</t>
  </si>
  <si>
    <t>Ngong, Chi Aloysius; Onyejiaku, Chinyere C.; Kum, Fuein Vera; Onwumere, Josaphat U. J.</t>
  </si>
  <si>
    <t>Remittances inflow and economic growth nexus: evidence from emerging African economies in a post-COVID-19 Era</t>
  </si>
  <si>
    <t>Remittances inflows; Emerging economies; Economic growth; ARDL; PMG</t>
  </si>
  <si>
    <t>FINANCIAL DEVELOPMENT; MODEL</t>
  </si>
  <si>
    <t>This paper studies the association of remittances inflow and economic growth in eleven African emerging economies from 1990 to 2022. Autoregressive distributed lag and cointegration techniques are applied to panel data from eleven countries. The study uses the mean group, pooled mean group, and dynamic fixed effects for robustness tests. The findings show that remittances significantly affect the gross domestic product growth rate negatively. Credit to the private sector negatively influences economic growth. Policymakers should prioritize a targeted response to the COVID-19 crisis by reducing the costs of access to vaccines and healthcare for the populace so that the received remittances will significantly impact the population's welfare. African governments should recognize the importance of remittance inflows and reduce remittance costs by reducing taxes on remittances so that more remittances are sent home to boost economic growth. Governments should increase the formalization of remittance inbound transfers to improve the conditions of accessibility to financial services in emerging economies, which reduces the unbanked population. The monetary authorities should establish remittance-based policies that promote the use of formal channels, ease the pressure on emerging countries' credit services, and improve foreign exchange rates, which would increase the amount of remittances received. Banks should create financial products and services that attract investments and growth for diaspora remittances in developing economies. This would promote financial inclusion and the effective use of credit by the private sector to boost economic growth.</t>
  </si>
  <si>
    <t>[Ngong, Chi Aloysius; Kum, Fuein Vera] Univ Bamenda, Dept Accounting, Bambili, Cameroon; [Onyejiaku, Chinyere C.] Univ Nigeria, Dept Management, Enugu Campus, Enugu, Nigeria; [Onwumere, Josaphat U. J.] Univ Nigeria, Dept Banking &amp; Finance, Enugu Campus, Enugu, Nigeria</t>
  </si>
  <si>
    <t>aloyzih@yahoo.com; chinyere.onyejiaku@unn.edu.ng; fueinvera@yahoo.com; josaphat.onwumere@unn.edu.ng</t>
  </si>
  <si>
    <t>10.1007/s40847-024-00323-x</t>
  </si>
  <si>
    <t>2VS9U</t>
  </si>
  <si>
    <t>WOS:001191010900001</t>
  </si>
  <si>
    <t>Özyilmaz, KR; Kongel, NB; Nalbant, AE; Özcan, A</t>
  </si>
  <si>
    <t>PerezSola, C; NavarroArribas, G; Biryukov, A; GarciaAlfaro, J</t>
  </si>
  <si>
    <t>Ozyilmaz, Kazim Rifat; Kongel, Nazmi Berhan; Nalbant, Ali Erhat; Ozcan, Ahmet</t>
  </si>
  <si>
    <t>A Multi-protocol Payment System to Facilitate Financial Inclusion</t>
  </si>
  <si>
    <t>DATA PRIVACY MANAGEMENT, CRYPTOCURRENCIES AND BLOCKCHAIN TECHNOLOGY</t>
  </si>
  <si>
    <t>24th European Symposium on Research in Computer Security (ESORICS)</t>
  </si>
  <si>
    <t>SEP 23-27, 2019</t>
  </si>
  <si>
    <t>Luxembourg, LUXEMBOURG</t>
  </si>
  <si>
    <t>Univ Autonoma Barcelona,Univ Oberta Catalunya, Internet Interdisciplinary Inst,UNESCO Chair Data Privacy,Telecom SudParis, Inst Mines Telecom,CNRS Samovar UMR 5157</t>
  </si>
  <si>
    <t>Bitcoin; Multisignature; UTXO aggregation; Fee reduction; Stellar; Stellar anchor; Stellar asset</t>
  </si>
  <si>
    <t>In 2017, there were already 250 million unbanked people with a smartphone and internet access out of a total 1,7 billion, while only in 2018, the volume of migrant remittance inflows for low-and middle-income countries was $529 billion. Due to financial crisis leading to devaluation and hyperinflation, 12 countries (other than the USA) with 40,5 million population already adopted the U.S. dollar as their native currency. Alternatively, Bitcoin usage soared among people in developing countries who are looking for dependable ways to store and transfer value. Bitcoin, with its estimated 25 million global users and ten thousand globally distributed nodes, is by far the most widely used, best understood and battle-tested cryptocurrency in the world to reach this financially excluded demographic. Our goal in this paper is to demonstrate a technical solution that utilizes Bitcoin by making it (a) instantly transferable in a user-friendly way, (b) with minimal (preferably zero) transaction fees and (c) without sacrificing users' security (i.e. by not controlling their private keys). In our design, instant transactions are enabled by using 2-of-2 multisignature wallet addresses (split between the user and the custodial) and transaction fees are minimized by aggregating unspent transaction outputs (UTXOs). On top of these two pure Bitcoin-based improvements, a fast and low-cost Bitcoin sending mechanism is proposed by creating a Bitcoin anchor on Stellar platform, effectively using Stellar as a Layer 2 solution. Lastly, mapping Bitcoin addresses to user-friendly identifiers (such as email addresses) has been evaluated to increase adoption. By combining these new techniques, we aim to overcome the limitations of Bitcoin and related solutions like off-chain (Lightning Networks) or federated side-chain (Blockstream Liquid) systems.</t>
  </si>
  <si>
    <t>[Ozyilmaz, Kazim Rifat] Bogazici Univ, TR-34342 Istanbul, Turkey; [Kongel, Nazmi Berhan; Nalbant, Ali Erhat; Ozcan, Ahmet] Arf Labs OU, EE-11412 Tallinn, Estonia</t>
  </si>
  <si>
    <t>Özyilmaz, KR (corresponding author), Bogazici Univ, TR-34342 Istanbul, Turkey.</t>
  </si>
  <si>
    <t>kazim@monolytic.com; berhan@arf.one; alierhat@arf.one; ahmet@arf.one</t>
  </si>
  <si>
    <t>Özyılmaz, Kazım Rıfat/AAG-9469-2019</t>
  </si>
  <si>
    <t>Özyılmaz, Kazım Rıfat/0000-0002-7650-9116</t>
  </si>
  <si>
    <t>978-3-030-31500-9; 978-3-030-31499-6</t>
  </si>
  <si>
    <t>10.1007/978-3-030-31500-9_21</t>
  </si>
  <si>
    <t>BP5UZ</t>
  </si>
  <si>
    <t>WOS:000558296200021</t>
  </si>
  <si>
    <t>Barkat, K; Mimouni, K; Alsamara, M; Mrabet, Z</t>
  </si>
  <si>
    <t>Barkat, Karim; Mimouni, Karim; Alsamara, Mouyad; Mrabet, Zouhair</t>
  </si>
  <si>
    <t>Achieving the sustainable development goals in developing countries: The role of remittances and the mediating effect of financial inclusion</t>
  </si>
  <si>
    <t>Remittances; Sustainable development goals; Financial inclusion; Panel data</t>
  </si>
  <si>
    <t>INTERNATIONAL MIGRATION; AGRICULTURAL PRODUCTIVITY; AFRICAN COUNTRIES; FOREIGN-AID; INEQUALITY; POVERTY; IMPACT; INCOME; GROWTH; FLOWS</t>
  </si>
  <si>
    <t>This study investigates the pivotal role of remittances in advancing Sustainable Development Goals (SDGs) within developing countries. While previous literature has acknowledged the potential of remittances in fostering growth, empirical analyses on their impact on SDGs remain scant. Utilizing data from 109 developing countries spanning 2000 to 2022 and employing system GMM and the Lewbel's (2012) estimator to tackle endogeneity issues, we unveil significant positive effects of remittances on SDGs. Additionally, we identify financial inclusion as a mediating factor enhancing remittances' impacts on SDGs. Moreover, we show that remittances, international aid, and government spending exhibit complementary roles in SDGs attainment.</t>
  </si>
  <si>
    <t>[Barkat, Karim; Mimouni, Karim; Alsamara, Mouyad; Mrabet, Zouhair] Qatar Univ, Coll Business &amp; Econ, Dept Finance &amp; Econ, POB 2713, Doha, Qatar</t>
  </si>
  <si>
    <t>Qatar University</t>
  </si>
  <si>
    <t>Barkat, K (corresponding author), Qatar Univ, Coll Business &amp; Econ, Dept Finance &amp; Econ, POB 2713, Doha, Qatar.</t>
  </si>
  <si>
    <t>kbarkat@qu.edu.qa; kmimouni@qu.edu.qa; malsamara@qu.edu.qa; Zouhair.mrabet@qu.edu.qa</t>
  </si>
  <si>
    <t>; Alsamara, Mouyad/M-9499-2019</t>
  </si>
  <si>
    <t>Barkat, Karim/0000-0003-4893-5801; Alsamara, Mouyad/0000-0002-3753-1361</t>
  </si>
  <si>
    <t>The authors declare that they have no known competing financial interests or personal relationships that could have appeared influence the work reported in this paper.</t>
  </si>
  <si>
    <t>10.1016/j.iref.2024.103460</t>
  </si>
  <si>
    <t>A9T9F</t>
  </si>
  <si>
    <t>WOS:001285901600001</t>
  </si>
  <si>
    <t>Kim, KT; Liu, Y; Lee, ST</t>
  </si>
  <si>
    <t>Kim, Kyoung Tae; Liu, Yi; Lee, Sunwoo Tessa</t>
  </si>
  <si>
    <t>Exploring diverse drivers: investment literacy and investment motivations</t>
  </si>
  <si>
    <t>Investment literacy; Investment motivation; Investment behavior; Risk tolerance</t>
  </si>
  <si>
    <t>FINANCIAL LITERACY; SELF-DETERMINATION</t>
  </si>
  <si>
    <t>Purpose - Motivation enhances productivity and satisfaction in achieving investment goals because goal-directed behavior regulates processes, helping investors attain their desired outcomes. This research aims to examine the associations between investment literacy, risk tolerance and the diverse motivations that drive individuals to invest. Design/methodology/approach - This study utilized the 2021 National Financial Capability Study (NFCS) and the 2021 Investor Survey datasets to investigate the relationship between investment literacy, risk tolerance and investment motivations. The study considers six motivational factors that encompass the spectrum of investor intent: short-term investment gain, long-term investment gain, entertainment and/or engagement, social interactions, social support, social responsibility, and the pursuit of investment. Findings - The findings from the 2021 NFCS and Investor Survey indicate that objective investment literacy was negatively associated with all investment motivations except for long-term horizon and learning investment. In contrast, subjective investment literacy showed positive associations with all motivations except for long-term horizon. Risk tolerance exhibited positive associations with all motivations to invest. Originality/value - This study is among the first to examine how both objective and subjective investment literacy, along with risk tolerance, relate to a broad range of investment motivations. Drawing on nationally representative data from American investors, it offers a novel perspective on the multifaceted reasons individuals choose to invest.</t>
  </si>
  <si>
    <t>[Kim, Kyoung Tae] Univ Alabama, Dept Consumer Sci, Tuscaloosa, AL USA; [Liu, Yi] St John Fisher Univ, Dept Accounting &amp; Finance, Rochester, NY USA; [Lee, Sunwoo Tessa] York Univ, Sch Adm Studies, Toronto, ON, Canada; [Lee, Sunwoo Tessa] Sungkyunkwan Univ, Dept Consumer Sci, Seoul, South Korea</t>
  </si>
  <si>
    <t>University of Alabama System; University of Alabama Tuscaloosa; Saint John Fisher University; York University - Canada; Sungkyunkwan University (SKKU)</t>
  </si>
  <si>
    <t>Lee, ST (corresponding author), York Univ, Sch Adm Studies, Toronto, ON, Canada.;Lee, ST (corresponding author), Sungkyunkwan Univ, Dept Consumer Sci, Seoul, South Korea.</t>
  </si>
  <si>
    <t>ktkim@ches.ua.edu; yliu@sjfc.edu; sunwoolee@skku.edu</t>
  </si>
  <si>
    <t>10.1108/IJBM-03-2025-0256</t>
  </si>
  <si>
    <t>7QV6I</t>
  </si>
  <si>
    <t>WOS:001577486100001</t>
  </si>
  <si>
    <t>Lee, ST; Kim, KT</t>
  </si>
  <si>
    <t>Lee, Sunwoo T.; Kim, Kyoung Tae</t>
  </si>
  <si>
    <t>A Decomposition Analysis of Racial/Ethnic Differences in Financial Knowledge and Overconfidence</t>
  </si>
  <si>
    <t>Race; ethnicity; Financial literacy; Financial knowledge; Overconfidence</t>
  </si>
  <si>
    <t>LITERACY; EDUCATION; BEHAVIOR</t>
  </si>
  <si>
    <t>Financial knowledge is often referred to as the key to improving one's financial decisions. Because of the evident racial/ethnic disparities in wealth, income, and financial wellbeing, it is important to understand the differences in the level of financial knowledge as well. This study examined whether there is a racial/ethnic gap and to understand what might account for potential differences with OLS regression and Blinder-Oaxaca decomposition analyses. The results from the 2018 National Financial Capability Study, with the analytic sample of 21,038 observations showed significant racial/ethnic gaps in objective and subjective financial knowledge, as well as overconfidence in financial knowledge. The level of overconfidence was greatest among Black respondents, followed by Hispanic, White, and Asian/Other. According to the decomposition analyses' results, individual characteristics explained the majority of the gap in Hispanic-White and Asian/Other-White overconfidence. Other key factors that helped explain the disparities in financial knowledge measures included sociodemographic variables, such as age, marital status, education, and occupation, and financial variables, such as income, homeownership, and financial hardship. With a deeper understanding of the factors related to racial/ethnic differences, policymakers and educators could improve their strategies to enhance financial knowledge and narrow the knowledge and wealth gap among racial/ethnic groups.</t>
  </si>
  <si>
    <t>[Lee, Sunwoo T.] York Univ, Sch Adm Studies, Atkinson Bldg,4700 Keele St, Toronto, ON M3J 1P3, Canada; [Kim, Kyoung Tae] Univ Alabama, Dept Consumer Sci, 316-C Adams Hall,Box 870158, Tuscaloosa, AL 35487 USA</t>
  </si>
  <si>
    <t>York University - Canada; University of Alabama System; University of Alabama Tuscaloosa</t>
  </si>
  <si>
    <t>sunwool@yorku.ca; ktkim@ches.ua.edu</t>
  </si>
  <si>
    <t>Kim, Kyoung Tae/0000-0002-0673-721X; Lee, Sunwoo/0000-0002-0887-5309</t>
  </si>
  <si>
    <t>10.1007/s10834-021-09795-z</t>
  </si>
  <si>
    <t>WOS:000690335000001</t>
  </si>
  <si>
    <t>Ngwenya, B; Pelser, T; Chivaura, T</t>
  </si>
  <si>
    <t>Ngwenya, Bongani; Pelser, Theuns; Chivaura, Talent</t>
  </si>
  <si>
    <t>Perceptions of post-multicurrency regime financial inclusion confidence challenges in Zimbabwe</t>
  </si>
  <si>
    <t>Aim: The study sought to assess the informal trader's perceptions of the post-multicurrency regime financial inclusion confidence challenges in Zimbabwe and also through further future studies explore the potential of explicating a framework for achieving optimal financial inclusion in an economy recovering from a recession through further future studies. Setting: A non-probability judgment sample of 1000 informal traders in the Avondale area of Harare was used in this study. Method: The study established four potential financial inclusion construct pillars: demand side factors, supply side factors, behavioural factors and individual factors; these were largely influenced by age, which can be investigated in further future grounded theory studies to develop a framework. Results: The results indicate that healing from the financial experiences of the hyperinflation era of 2008 still has not been achieved. The study suggests a need for Zimbabwe to restore human rights, political stability, and ensure compliance with the Financial Action Task Force regulations regarding money laundering and terror financing in order to boost external confidence in the financial system of the country. Conclusion: There is still a challenge of confidence in the country's financial system. The proposed framework is envisaged to minimise the negative impacts of the mistrust of formal financial service providers and boost confidence in the financial system. It is hoped that the findings will aid government to craft policies that will be perceived as supportive of the informal sector to achieve optimal financial inclusion. The study further suggests penetration of the rural areas through technological advances such as mobile networks.</t>
  </si>
  <si>
    <t>[Ngwenya, Bongani; Pelser, Theuns] Univ KwaZulu Natal, Grad Sch Business &amp; Leadership, Durban, South Africa; [Chivaura, Talent] Solusi Univ, Grad Sch Business Studies, Bulawayo, Zimbabwe</t>
  </si>
  <si>
    <t>Ngwenya, B (corresponding author), Univ KwaZulu Natal, Grad Sch Business &amp; Leadership, Durban, South Africa.</t>
  </si>
  <si>
    <t>ngwenyab@ukzn.ac.za</t>
  </si>
  <si>
    <t>Ngwenya, Bongani/AAB-4107-2021; Pelser, Theuns/O-5963-2019</t>
  </si>
  <si>
    <t>Ngwenya, Bongani/0000-0002-6852-1449; Pelser, Theuns/0000-0001-5935-0185</t>
  </si>
  <si>
    <t>TUKKIEWERF 1-11, PRETORIA, 0002, SOUTH AFRICA</t>
  </si>
  <si>
    <t>2222-3436</t>
  </si>
  <si>
    <t>a1837</t>
  </si>
  <si>
    <t>10.4102/sajems.v21i1.1837</t>
  </si>
  <si>
    <t>HQ8FT</t>
  </si>
  <si>
    <t>WOS:000462660300001</t>
  </si>
  <si>
    <t>Bai, ZF; Zheng, SX; Hu, JL</t>
  </si>
  <si>
    <t>Bai, Zefeng; Zheng, Shuxin; Hu, Jinglin</t>
  </si>
  <si>
    <t>Is Social Media the New Retirement Advisor? Assessing the Impact of Social Media Influence on Retirement Planning</t>
  </si>
  <si>
    <t>financial planning; financial well-being; market turbulence; retirement borrowing; retirement-related anxiety; social media reliance</t>
  </si>
  <si>
    <t>This study investigates the impact of social media adoption on individual retirement planning, as indicated by borrowing from retirement accounts. Utilizing the latest 2021 cohort of the National Financial Capability Study, we find that greater reliance on social media is associated with a significantly higher likelihood of retirement borrowing, which may lead to long-term financial instability. A follow-up causal analysis using the propensity score matching (PSM) and instrumental variable (IV) design confirms this positive relationship. Moreover, we find that job loss positively moderates the relationship between social media reliance and retirement borrowing. While the traditional framework of information asymmetry suggests that increased transparency and accessibility benefit individuals, our findings highlight the need to consider the complexity of information processing in the era of big data, which requires greater financial knowledge and literacy. Additionally, our results underscore the critical role of financial education in effectively processing the complex information available on social media, particularly during market stress.</t>
  </si>
  <si>
    <t>[Bai, Zefeng] Univ Tampa, Informat &amp; Technol Management Dept, Tampa, FL 33606 USA; [Zheng, Shuxin] Southwestern Univ Finance &amp; Econ, Chengdu, Sichuan, Peoples R China; [Hu, Jinglin] Univ Virginia, McIntire Sch Commerce, Charlottesville, VA USA</t>
  </si>
  <si>
    <t>University of Tampa; Southwestern University of Finance &amp; Economics - China; University of Virginia</t>
  </si>
  <si>
    <t>e70005</t>
  </si>
  <si>
    <t>10.1111/joca.70005</t>
  </si>
  <si>
    <t>Z5A8Z</t>
  </si>
  <si>
    <t>WOS:001439043500001</t>
  </si>
  <si>
    <t>Rejeb, A; Rejeb, K; Keogh, JG</t>
  </si>
  <si>
    <t>Rejeb, Abderahman; Rejeb, Karim; Keogh, John G.</t>
  </si>
  <si>
    <t>Cryptocurrencies in Modern Finance: A Literature Review</t>
  </si>
  <si>
    <t>cryptocurrencies; finance; efficiency; challenges; business</t>
  </si>
  <si>
    <t>BLOCKCHAIN TECHNOLOGY; SUPPLY CHAIN; BITCOIN; VOLATILITY; DIVERSIFICATION; IMPACT; ENERGY</t>
  </si>
  <si>
    <t>The focus on cryptocurrencies in the finance and banking sectors is gaining momentum. In this paper, we investigate the role of cryptocurrencies in modern finance. We apply a narrative literature review method to synthesize prior research and draw insights into the opportunities and challenges of leveraging cryptocurrencies. The results indicate that cryptocurrencies offer businesses and individuals lower transaction costs, higher efficiencies, increased security and privacy, meaningful diversification benefits, alternative financing solutions, and financial inclusion. Challenges exist related to the integration of cryptocurrencies in modern finance. These include the lack of regulatory standards, the risk of criminal activity, high energy and environmental costs, regulatory bans and usage restrictions, security and privacy concerns, and the high volatility of cryptocurrencies. The current review is useful for scholars and managers, including those seeking to have a more balanced understanding of these emerging financial instruments.</t>
  </si>
  <si>
    <t>[Rejeb, Abderahman] Szechenyi Istvan Univ, Doctoral Sch Reg Sci &amp; Business Adm, Gyor, Hungary; [Rejeb, Karim] Higher Inst Comp Sci El Manar, 2 Rue Abou Raihan El Bayrouni, Ariana 2080, Tunisia; [Keogh, John G.] Univ Reading, Henley Business Sch, Greenlands RG9 3AU, Henley On Thame, England</t>
  </si>
  <si>
    <t>University of Istvan Szechenyi; University of Reading</t>
  </si>
  <si>
    <t>Rejeb, K (corresponding author), Higher Inst Comp Sci El Manar, 2 Rue Abou Raihan El Bayrouni, Ariana 2080, Tunisia.</t>
  </si>
  <si>
    <t>abderrahmen.rejeb@gmail.com; karim.rejeb@etudiant-isi.utm.tn; john@shantalla.org</t>
  </si>
  <si>
    <t>Keogh, John/HNJ-3346-2023</t>
  </si>
  <si>
    <t>Keogh, John/0000-0002-7332-110X</t>
  </si>
  <si>
    <t>10.15408/etk.v20i1.16911</t>
  </si>
  <si>
    <t>QM3OL</t>
  </si>
  <si>
    <t>WOS:000621691400008</t>
  </si>
  <si>
    <t>Formal financial penetration and households' welfare in Pakistan</t>
  </si>
  <si>
    <t>Financial inclusion; remittances; household dynamics; principal component analysis</t>
  </si>
  <si>
    <t>The studies in recent era exhibit that the financial inclusion has become a scorching issue in playing its vital role while improving the lives of vulnerable and underprivileged households' well-being. But, the microdata impact of financial inclusion on household welfare is not being analyzed to substantial extent in Pakistan yet. Therefore, it is imperative to examine the effects of financial inclusiveness on the living standards of individuals to persuade them toward formal financial inclusion. Thus, the study attempts to explore the link between an expanded formal financial system and poverty alleviation through smooth consumption levels, providing access to credit and investment facilities to the individuals. For this purpose, the household level data of Household Integrated Economic Survey (HIES) for the time-period of 2013-2014 to evaluate the microlevel effect of formal financial inclusion, realizing solitarily for the remittance receiving households have been used. The well-being of households receiving formal financial inflows got highly affected by facilitating the remittance receivers through instant, reliable and frequent transfer of funds. Therefore, the main objective of the study is to investigate the effect of formal financial transfers on the socio-economic status of remittance receiving and nonreceiving individuals. The outcomes of the study suggest that the household welfare is greatly influenced by the formal financial inclusiveness along with other variables such as annual income, education level of the family, number of earning members, loans borrowed by the family, land and building ownership, and the head employed are found to be positively and significantly determining the household's welfare.</t>
  </si>
  <si>
    <t>mariamnaz927@gmail.com; faizanburney@aerc.edu.pk; amber_aerc@yahoo.com</t>
  </si>
  <si>
    <t>Fatima, Ambreen/P-5503-2019; Iftikhar, Syed/A-7975-2014</t>
  </si>
  <si>
    <t>10.1142/S2424786320500413</t>
  </si>
  <si>
    <t>WOS:000617169600006</t>
  </si>
  <si>
    <t>Theodos, B; Teles, D; Docter, B</t>
  </si>
  <si>
    <t>Theodos, Brett; Teles, Daniel; Docter, Benny</t>
  </si>
  <si>
    <t>Could Coaching Improve Consumer Credit Use Behavior? Evidence From a State Program</t>
  </si>
  <si>
    <t>consumer finance; credit; financial capability; financial coaching; financial well-being; personal finance</t>
  </si>
  <si>
    <t>FINANCIAL EDUCATION; MATCHING ESTIMATORS; IMPACT</t>
  </si>
  <si>
    <t>Financial coaching, a hands-on financial wellness approach, has emerged as a go-to strategy to help clients establish and reach their personal financial goals. We analyzed the borrowing and repayment behavior of 1,790 clients who received financial coaching through a program sponsored by the state of Delaware. Relative to a matched comparison group, financial coaching clients cure 0.24 more delinquent accounts, reduce credit card utilization by 5 percentage points, reduce the number of debts in collections by an additional 0.37 accounts, and have $422 less in credit card debt. Findings also show a 7 percentage point increase in the share of clients with a credit card and a 6 percentage point increase in the share of clients with a student loan. We do not see consistent differences in personal installment loans or mortgage holding. These estimates provide evidence that financial coaching can provide benefits for clients while being provided on a state-wide scale, illustrating the potential of public-private programs to provide services.</t>
  </si>
  <si>
    <t>[Theodos, Brett; Teles, Daniel] Urban Inst, Metropolitan Housing &amp; Communities Policy Ctr, Washington, DC 20024 USA; [Docter, Benny] Univ Michigan, Poverty Solut, Ann Arbor, MI USA</t>
  </si>
  <si>
    <t>Urban Institute; University of Michigan System; University of Michigan</t>
  </si>
  <si>
    <t>Theodos, B (corresponding author), Urban Inst, Metropolitan Housing &amp; Communities Policy Ctr, Washington, DC 20024 USA.</t>
  </si>
  <si>
    <t>BTheodos@urban.org; DTeles@urban.org; bennydoc@umich.edu</t>
  </si>
  <si>
    <t>Teles, Daniel/KYR-9207-2024</t>
  </si>
  <si>
    <t>Teles, Daniel/0000-0002-0485-1465</t>
  </si>
  <si>
    <t>Annie E. Casey Foundation; JPMorgan Chase Foundation; Kellogg Foundation</t>
  </si>
  <si>
    <t>Funding. The research presented in this article stems from a broader evaluation of $tand by Me that was funded by $tand by Me at United Way of Delaware with support from the Annie E. Casey Foundation, the JPMorgan Chase Foundation, and the Kellogg Foundation. We are grateful to them for funding this work. The authors received no specific grant or financial support for the authorship or publication of this article.</t>
  </si>
  <si>
    <t>10.1891/JFCP-2022-0022</t>
  </si>
  <si>
    <t>WOS:001105218800006</t>
  </si>
  <si>
    <t>Jha, Shweta; Dangwal, Ramesh Chandra</t>
  </si>
  <si>
    <t>Fintech services and financial inclusion: a systematic literature review of developing nations</t>
  </si>
  <si>
    <t>Financial technology; Access; Usages; Lower middle and upper middle income group nations; Economic growth; Development</t>
  </si>
  <si>
    <t>Purpose- This paper aims to conduct a systematic literature review on the fintech services and financial inclusion of the developing nations that particularly focuses on lower middle-income group nations (LMIGN) and upper middle-income group nations (UMIGN) to highlight the research areas that have not received attention and present opportunities for future research. Design/methodology/approach- This paper adopts a systematic approach to examine 65 research articles published from 2016 to 2021, adhering to the Preferred Reporting Items for Systematic Reviews and Meta-Analyses guidelines. Findings- The study identifies research gaps in two key themes: backward and outward linkages. In backward linkages, the literature on UMIGN should pay attention to the behavioural patterns associated with lending, investment and market provision-related fintech services. Further research is needed to understand the relationship between fintech services on the usage and quality dimension of financial inclusion in both LMIGN and UMIGN. For outward linkages, future research work should explore the role of fintech and financial inclusion in the development of LMIGN. This study provides valuable insights and guides future research directions by comprehensively mapping the existing studies. Research limitations/implications- This study does not use quantitative tools, such as meta and bibliometric analysis, to validate the findings. Originality/value- This research paper offers new perspectives that introduce a novel framework for analysing literature on fintech, financial inclusion and its impact on the overall development of UMIGN and LMIGN.</t>
  </si>
  <si>
    <t>[Jha, Shweta] Hemvati Nandan Bahuguna Garhwal Univ, Dept Commerce, Srinagar, India</t>
  </si>
  <si>
    <t>Jha, S (corresponding author), Hemvati Nandan Bahuguna Garhwal Univ, Dept Commerce, Srinagar, India.</t>
  </si>
  <si>
    <t>2024 APR 16</t>
  </si>
  <si>
    <t>10.1108/JSTPM-03-2023-0034</t>
  </si>
  <si>
    <t>NO9H5</t>
  </si>
  <si>
    <t>WOS:001201506100001</t>
  </si>
  <si>
    <t>Hassan, Adewale</t>
  </si>
  <si>
    <t>Mobile Financial Services and the Shadow Economy in Southern African Countries: Does Regulatory Quality Matter?</t>
  </si>
  <si>
    <t>mobile financial services; shadow economy; regulatory quality; financial inclusion; inclusive growth; mobile phones; financial institutions</t>
  </si>
  <si>
    <t>EMPIRICAL-EVIDENCE; ERROR-CORRECTION; INFORMAL SECTOR; GOVERNANCE; INCLUSION; SIZE</t>
  </si>
  <si>
    <t>This study investigated the impact of mobile financial services on the shadow economy in Southern Africa countries and explored how regulatory quality moderates this relationship. Utilising panel data from 1993 to 2022, this study employed dynamic common-correlated effect (DCCE) and dynamic seemingly unrelated regression (DSUR) methods to assess long-run effects. The findings reveal that increased mobile financial services adoption markedly diminishes the scale of the underground economy by enhancing transaction transparency and accessibility, thus drawing more participants into the formal economy. The results are consistent across DCCE and DSUR estimations. Additionally, improvements in regulatory quality further diminish the shadow economy by bolstering trust and compliance within the financial system, suggesting that well-crafted regulations enhance the effectiveness of mobile financial services. Economic and financial sector developments also contribute to a reduced shadow economy, indicating that broader economic growth and advanced financial systems facilitate formal sector participation. Conversely, larger public sector expenditures appear to expand the shadow economy enterprises, likely due to inefficient resource allocation and increased fiscal burdens that push economic activities underground. Policy recommendations include the need to expand mobile financial services infrastructure, enhance financial literacy, and optimise financial regulatory frameworks to balance oversight with innovation encouragement.</t>
  </si>
  <si>
    <t>[Hassan, Adewale] Univ Johannesburg, Coll Business &amp; Econ, Auckland Pk,Kingsway Campus,POB 524, ZA-2006 Johannesburg, South Africa</t>
  </si>
  <si>
    <t>Hassan, A (corresponding author), Univ Johannesburg, Coll Business &amp; Econ, Auckland Pk,Kingsway Campus,POB 524, ZA-2006 Johannesburg, South Africa.</t>
  </si>
  <si>
    <t>adewaleh@uj.ac.za</t>
  </si>
  <si>
    <t>10.3390/ijfs12040115</t>
  </si>
  <si>
    <t>Q4V8R</t>
  </si>
  <si>
    <t>WOS:001384685900001</t>
  </si>
  <si>
    <t>Uduji, JI; Okolo-Obasi, EN</t>
  </si>
  <si>
    <t>Uduji, Joseph Ikechukwu; Okolo-Obasi, Elda Nduka</t>
  </si>
  <si>
    <t>Analysis of rural women's access to financial services and corporate social responsibility in Nigeria's Niger delta region</t>
  </si>
  <si>
    <t>financial services; rural women; corporate social responsibility; multinational oil companies; Nigeria; sub-Saharan Africa</t>
  </si>
  <si>
    <t>DEVELOPING-COUNTRIES; STRATEGIES; CREDIT</t>
  </si>
  <si>
    <t>The purpose of this paper is to critically examine the corporate social responsibility (CSR) initiatives of multinational oil companies (MOCs) in Nigeria. Its special focus is to investigate the impact of the global memorandum of understanding (GMoU) on enhancing rural women's financial inclusion in the areas of access to credit, insurance, propensity of women to save and the widening of economic opportunities in the Niger Delta. A total of 800 rural women were sampled across the Niger Delta region of Nigeria. Results from the use of a combined propensity score matching and logit model indicate that the GMoU model has made significant impact on closing the gaps in financial services, thereby removing women's constraints on their efforts to enhance their financial literacy. The results also confirm that innovative delivery channels and social networks of the GMoUs have reduced some costs in the areas of access to credit, insurance, propensity to save and the widening of economic opportunities of rural women in the oil host communities. However, a further look at the rural women's participation in the CSR activities using SCOTDI shows that even though the involvement of the women is appreciable, it is insignificant when compared with their male counterparts.</t>
  </si>
  <si>
    <t>[Uduji, Joseph Ikechukwu] Univ Nigeria, Fac Business Adm, Dept Mkt, Enugu Campus, Nsukka, Nigeria; [Okolo-Obasi, Elda Nduka] Univ Nigeria, Inst Dev Studies, Enugu Campus, Nsukka, Nigeria</t>
  </si>
  <si>
    <t>joseph.uduji@unn.edu.ng</t>
  </si>
  <si>
    <t>; Okolo-obasi, Nduka Elda/HSE-7728-2023</t>
  </si>
  <si>
    <t>Uduji, Joseph Ikechukwu/0000-0002-2715-5411;</t>
  </si>
  <si>
    <t>10.1080/20421338.2023.2296673</t>
  </si>
  <si>
    <t>WOS:001147079000001</t>
  </si>
  <si>
    <t>Purwanti, TS; Huang, WC; Hartono, B; Putritamara, JA; Nugroho, E; Satria, AT; Putri, RD</t>
  </si>
  <si>
    <t>Purwanti, Tina Sri; Huang, Wen-Chi; Hartono, Budi; Putritamara, Jaisy Aghniarahim; Nugroho, Eko; Satria, Awang Tri; Putri, Rizky Dwi</t>
  </si>
  <si>
    <t>Exploring the link between saving behavior and subjective wellbeing in Indonesia: urban-rural and gender differential estimations</t>
  </si>
  <si>
    <t>IFLS; saving; subjective well-being; happiness; life satisfaction</t>
  </si>
  <si>
    <t>FINANCIAL LITERACY; LIFE SATISFACTION; HOUSEHOLD INCOME; MANAGEMENT; IMPACTS; MONEY</t>
  </si>
  <si>
    <t>This study explores the impact of saving decisions on subjective well-being (SWB) - measured by self-reported happiness and life satisfaction - among urban and rural residents in Indonesia, with particular attention to gender-based differences. Drawing on nationally representative data from the Indonesian Family Life Survey 5 (IFLS-5), the study employs the Inverse Probability Weighted Regression Adjustment (IPWRA) method to produce robust and unbiased estimates. The main finding indicates that saving decisions significantly enhance household-level SWB. Disaggregated analysis by urban-rural location and gender yields nuanced insights. Disaggregated analysis by urban-rural location and gender yields nuanced insights. In rural areas, saving has a stronger and statistically significant impact on SWB, whereas the effect is comparatively weaker in urban areas. Gender-based analysis reveals that saving decisions improve SWB for both men and women. However, the positive impact is more pronounced among male participants, indicating gender disparities in financial behavior outcomes. These findings suggest that saving enhances perceived well-being, especially for rural residents and male household heads. These findings suggest that saving enhances perceived well-being, especially for rural residents and male household heads. The study underscores the need for policies that promote saving behaviors and financial inclusion, while also calling for further research into gender-based differences in the relationship between financial decisions and well-being. IMPACT STATEMENTThis study investigates the impact of saving decisions on subjective well-being (SWB)in Indonesia, measured by happiness and life satisfaction. Using nationally representa-tive data and robust econometric methods, the findings show that saving significantlyenhances SWB, with stronger effects for rural households and male household heads.The analysis highlights that financial decisions produce uneven outcomes across gen-der and location, reflecting socio-economic and cultural differences. These resultsunderscore the importance of promoting saving behavior and financial inclusion whileaddressing gender disparities. The evidence offers timely insights for policymakers inIndonesia and other emerging economies.</t>
  </si>
  <si>
    <t>[Purwanti, Tina Sri; Hartono, Budi; Putritamara, Jaisy Aghniarahim; Nugroho, Eko; Satria, Awang Tri] Univ Brawijaya, Fac Anim Sci, Dept Livestock Socio Econ, Malang, Indonesia; [Huang, Wen-Chi] Natl Pingtung Univ Sci &amp; Technol, Dept Agribusiness Management, Pingtung, Taiwan; [Putri, Rizky Dwi] Univ Negeri Malang, Fac Econ &amp; Business, Dept Dev Econ, Malang, Indonesia</t>
  </si>
  <si>
    <t>Brawijaya University; National Pingtung University Science &amp; Technology; Universitas Negeri Malang</t>
  </si>
  <si>
    <t>Purwanti, TS (corresponding author), Univ Brawijaya, Fac Anim Sci, Dept Livestock Socio Econ, Malang, Indonesia.</t>
  </si>
  <si>
    <t>tinasripurwanti@ub.ac.id</t>
  </si>
  <si>
    <t>Purwanti, Tina Sri/HIR-8075-2022; Hartono, Budi/JOJ-8983-2023; Huang, Wen-Chi/B-4136-2014; Putri, Rizky/KII-8093-2024; Putritamara, Jaisy/JMQ-4368-2023</t>
  </si>
  <si>
    <t>Purwanti, Tina Sri/0000-0003-2670-2724;</t>
  </si>
  <si>
    <t>Tina Sri Purwanti</t>
  </si>
  <si>
    <t>We would like to express our heartfelt thanks to everyone who participated in this study. The collective efforts of all contributors were essential in bringing this study to completion. We are grateful for the contributors' roles in enhancing our knowledge of this area of study. Tina Sri Purwanti: Conceptualization, Methodology, Formal Analysis, Writing - Original Draft, Writing - review &amp; editing Wen-chi Huang: Investigation, Formal Analysis, Writing - Review &amp; Editing. Budi Hartono: Resources, Validation, Writing - Review &amp; Editing Jaisy Aghniarahim Putritamara: Data Curation, Visualization, Writing - Review &amp; Editing. Eko Nugroho: Software, Data Curation, Visualization. Awang Tri Satria: Project Administration, Funding Acquisition, Supervision. Rizky Dwi Putri: Investigation, Writing - Review &amp; Editing, Visualization. All authors have read and approved the final manuscript and agree to be accountable for all aspects of the work.</t>
  </si>
  <si>
    <t>10.1080/23322039.2025.2559058</t>
  </si>
  <si>
    <t>7MG8F</t>
  </si>
  <si>
    <t>WOS:001574385200001</t>
  </si>
  <si>
    <t>Bettinelli, C; Del Bosco, B; Castellani, D</t>
  </si>
  <si>
    <t>Bettinelli, Cristina; Del Bosco, Barbara; Castellani, Davide</t>
  </si>
  <si>
    <t>Shaping entrepreneurship in developing countries: the role of savings and credit groups</t>
  </si>
  <si>
    <t>ENTREPRENEURSHIP AND REGIONAL DEVELOPMENT</t>
  </si>
  <si>
    <t>Savings and Credit Groups (SCGs); entrepreneurship; developing countries; social embeddedness theory; start-up; education; wealth; financial inclusion</t>
  </si>
  <si>
    <t>LIQUIDITY CONSTRAINTS; FINANCIAL EDUCATION; HOUSEHOLD WEALTH; FIELD EXPERIMENT; SOCIAL-STRUCTURE; IMPACT; EMBEDDEDNESS; PERFORMANCE; NETWORKS; ORGANIZATIONS</t>
  </si>
  <si>
    <t>In this study, we analyse savings and credit groups (SCGs) to investigate whether belonging to these groups contributes favourably to entrepreneurship. SCGs are community-based groups that represent a form of informal finance in developing countries. For the analysis, we adopt the social embeddedness theory, and test our hypotheses on a unique sample of respondents to a survey in Kenya finding a positive relationship between SCGs and the creation of new ventures. The results show that the levels of education and wealth are positively associated with the likelihood of creating a new venture, but SCG membership negatively moderates these relationships. Thus, the benefits of SCG membership are larger for less-educated and less-wealthy individuals that can offset, at least in part, the disadvantages related to these low levels. Finally, to provide insights for future research and policy, we focus on the group characteristics associated with the likelihood of creating new ventures.</t>
  </si>
  <si>
    <t>[Bettinelli, Cristina; Castellani, Davide] Univ Bergamo, Dept Management, Bergamo, Italy; [Del Bosco, Barbara] Univ Milano Bicocca, Dept Business &amp; Law, Milan, Italy; [Bettinelli, Cristina] Univ Bergamo, Dept Management, Via Caniana 2, I-24127 Bergamo, Italy</t>
  </si>
  <si>
    <t>University of Bergamo; University of Milano-Bicocca; University of Bergamo</t>
  </si>
  <si>
    <t>Bettinelli, C (corresponding author), Univ Bergamo, Dept Management, Via Caniana 2, I-24127 Bergamo, Italy.</t>
  </si>
  <si>
    <t>cristina.bettinelli@unibg.it</t>
  </si>
  <si>
    <t>DEL BOSCO, BARBARA/0000-0003-3925-8693</t>
  </si>
  <si>
    <t>0898-5626</t>
  </si>
  <si>
    <t>1464-5114</t>
  </si>
  <si>
    <t>ENTREP REGION DEV</t>
  </si>
  <si>
    <t>Entrep. Reg. Dev.</t>
  </si>
  <si>
    <t>OCT 19</t>
  </si>
  <si>
    <t>9-10</t>
  </si>
  <si>
    <t>10.1080/08985626.2024.2331150</t>
  </si>
  <si>
    <t>Business; Development Studies</t>
  </si>
  <si>
    <t>J8P2Z</t>
  </si>
  <si>
    <t>WOS:001194317300001</t>
  </si>
  <si>
    <t>Watts, P; Hoskin, J; Upadhyay, R; Tapley, E; Kwiatkowska, G</t>
  </si>
  <si>
    <t>Watts, Paul; Hoskin, Janet; Upadhyay, Radhika; Tapley, Emma; Kwiatkowska, Gosia</t>
  </si>
  <si>
    <t>I Forgot My Numbers and the Machine Swallowed It Up: Adults With Learning Disabilities Share Their Perspectives on the Shift to a Cashless Society</t>
  </si>
  <si>
    <t>BRITISH JOURNAL OF LEARNING DISABILITIES</t>
  </si>
  <si>
    <t>inclusive education; independent living; learning (intellectual) disabilities; social interaction</t>
  </si>
  <si>
    <t>PEOPLE; PERSONALIZATION</t>
  </si>
  <si>
    <t>Introduction: This paper examines the experiences of people with learning disabilities in the United Kingdom as society transitions towards cashless transactions and services. It is a significant study because it highlights the need to understand their digital financial experiences. Methods: This study employed an inclusive, interpretivist approach, focusing on participatory methods. Reflexive thematic analysis was used to analyse data from focus groups including 40 people with learning disabilities across 3 day services. This original study included co-researchers - researchers with lived experience of learning disabilities who assisted in data collection and analysis. Results: Four key themes emerged: heterogeneity of preferences for cash versus digital payments; the urgent need for support and training in digital financial literacy; balancing safeguarding and fostering independence; and accessibility challenges in physical and online banking environments. Conclusions: The shift to a cashless society poses significant challenges for people with learning disabilities, requiring tailored support and training in digital finance. Financial institutions should be cognisant of these needs, suggesting that systemic changes are required for improved financial inclusion. The study highlights the importance of including people with learning disabilities in the design of digital financial tools and policies, to support their financial autonomy and independence.</t>
  </si>
  <si>
    <t>[Watts, Paul; Upadhyay, Radhika; Tapley, Emma] Univ East London, Sch Hlth Sport &amp; Biosci, London, England; [Watts, Paul; Hoskin, Janet; Kwiatkowska, Gosia] Univ East London, Rix Inclus Res, London, England; [Hoskin, Janet] Univ East London, Sch Educ &amp; Communities, London, England</t>
  </si>
  <si>
    <t>University of East London; University of East London; University of East London</t>
  </si>
  <si>
    <t>Watts, P (corresponding author), Univ East London, Sch Hlth Sport &amp; Biosci, London, England.;Watts, P (corresponding author), Univ East London, Rix Inclus Res, London, England.</t>
  </si>
  <si>
    <t>p.n.watts@uel.ac.uk</t>
  </si>
  <si>
    <t>; Watts, Paul/N-6930-2016; Hoskin, Janet/KII-6391-2024</t>
  </si>
  <si>
    <t>Kwiatkowska, Gosia M/0000-0002-5803-2561; Watts, Paul/0000-0003-1754-4031;</t>
  </si>
  <si>
    <t>The research team are very grateful for the contributions and cooperation from the research participants, co-researchers, and the staff at the day services that were the setting for this research. Funding for this research was provided by the UEL East Lond; UEL East London Impact Scholars Award (ELISA)</t>
  </si>
  <si>
    <t>The research team is very grateful for the contributions and cooperation of the research participants, co-researchers and the staff at the day services who were the setting for this research. Funding for this research was provided by the UEL East London Impact Scholars Award (ELISA).</t>
  </si>
  <si>
    <t>1354-4187</t>
  </si>
  <si>
    <t>1468-3156</t>
  </si>
  <si>
    <t>BRIT J LEARN DISABIL</t>
  </si>
  <si>
    <t>Brit. J. Learn. Disabil.</t>
  </si>
  <si>
    <t>10.1111/bld.12621</t>
  </si>
  <si>
    <t>5XD9A</t>
  </si>
  <si>
    <t>WOS:001316646000001</t>
  </si>
  <si>
    <t>The double-edged sword: how cryptocurrency investments could undermine the anxiety-reducing benefits of rainy-day savings in times of economic turbulence</t>
  </si>
  <si>
    <t>Crypto investments; Financial planning; Economic downturns; Financial stability; Rainy-day savings</t>
  </si>
  <si>
    <t>FINANCIAL EDUCATION; MARKETS</t>
  </si>
  <si>
    <t>PurposeRainy-day savings have been an effective measure for maintaining financial stability in times of emergency. Motivated by the rapid expansion of cryptocurrencies, the present study examines how crypto investments could moderate the beneficial outcomes of rainy-day savings for alleviating financial anxiety during the most recent economic turbulence caused by the COVID-19 pandemic.Design/methodology/approachThe present study carries out multivariate logistic regression with interaction effects on the most recent 2021 cohort data from the National Financial Capability Study (NFCS).FindingsWhile rainy-day savings relate to less financial anxiety, the effect varies depending on whether an individual has invested in cryptocurrencies. Specifically, this paper finds that crypto investors experience less relief in financial anxiety from rainy-day savings than non-crypto investors. Additionally, crypto investors are more susceptible to financial stressors like job loss and financial fragility, likely due to the financial loss from investing in cryptocurrencies.Practical implicationsThe findings highlight the necessity of implementing policies and regulations, such as the newly approved Markets in Crypto-Assets (MiCA) regulation, that could raise people's awareness of the high-risk nature of cryptocurrencies as well as offering targeted financial education for crypto investors, especially during times of market downturn.Originality/valueThis is the first attempt to study how crypto investments may weaken the benefits of rainy-day savings in reducing financial anxiety. The findings offer new insights into the beneficial outcomes of rainy-day savings for emergencies in light of individual crypto investment backgrounds. Additionally, findings from the present study also contain important implications given the rapid expansion of the cryptocurrency market as well as future economic turbulence.</t>
  </si>
  <si>
    <t>10.1108/RBF-06-2024-0179</t>
  </si>
  <si>
    <t>WOS:001369723700001</t>
  </si>
  <si>
    <t>Asongu, SA; Nnanna, J; Acha-Anyi, PN</t>
  </si>
  <si>
    <t>Asongu, Simplice A.; Nnanna, Joseph; Acha-Anyi, Paul N.</t>
  </si>
  <si>
    <t>Finance, inequality and inclusive education in Sub-Saharan Africa</t>
  </si>
  <si>
    <t>Africa; Finance; Gender; Inclusive development</t>
  </si>
  <si>
    <t>INCOME INEQUALITY; INFORMATION-TECHNOLOGY; KNOWLEDGE ECONOMY; MOBILE PHONES; ACCESS; GROWTH; DISABILITIES; DIFFUSION; ICT; INTERMEDIATION</t>
  </si>
  <si>
    <t>This research establishes inequality critical masses that should not be exceeded in order for financial access to promote gender parity inclusive education. The focus is on 42 countries in Sub-Saharan Africa and the data is for the period 2004-2014. The estimation approach is the Generalized Method of Moments. When remittances are involved in the conditioning information set: (i) the Palma ratio should not exceed 6.000 in order for financial access to promote gender parity inclusive primary and secondary educationand (ii) the Atkinson index should not exceed 0.695 in order for financial access to promote inclusive tertiary education. However, when the internet is involved in the conditioning information set, it is established that in order for financial access to promote inclusive primary and secondary education, the: (i) Gini coefficient should not exceed 0.571; (ii) Atkinson index should not be above 0.750 and (iii) Palma ratio should be maintained below 8.000. Irrespective of variable in the conditioning information set, what is apparent is that inequality decreases the incidence of financial access on inclusive education. Hence, a common policy measure is to reduce inequality in order to promote inclusive education using the financial access mechanism. Policy implications are discussed in the light of Sustainable Development Goals. (c) 2020 Economic Society of Australia, Queensland. Published by Elsevier B.V. All rights reserved.</t>
  </si>
  <si>
    <t>[Asongu, Simplice A.] Univ South Africa, Dept Econ, UNISA, POB 392, ZA-0003 Pretoria, South Africa; [Nnanna, Joseph] Dev Bank Nigeria, Clan Pl,Plot 1386A Tigris Crescent, Abuja, Nigeria; [Acha-Anyi, Paul N.] Walter Sisulu Univ, Dept Tourism Hospitality &amp; Sports Management, Coll St Campus, Buffalo City, Eastern Cape Pr, South Africa</t>
  </si>
  <si>
    <t>University of South Africa; Walter Sisulu University</t>
  </si>
  <si>
    <t>asongus@afridev.org; jnnanna@devbankng.com; pacha-anyi@wsu.ac.za</t>
  </si>
  <si>
    <t>10.1016/j.eap.2020.07.006</t>
  </si>
  <si>
    <t>NL1MV</t>
  </si>
  <si>
    <t>WOS:000567188900012</t>
  </si>
  <si>
    <t>Gulati, T; Singla, A; Saini, P</t>
  </si>
  <si>
    <t>Gulati, Tanvi; Singla, Anju; Saini, Poonam</t>
  </si>
  <si>
    <t>Sustainable digital finance and Finance 5.0: a systematic review and research agenda</t>
  </si>
  <si>
    <t>Sustainable digital finance; Finance 5.0; ESG; AI; Blockchain; DeFi; Digital currency</t>
  </si>
  <si>
    <t>Purpose - This review systematically examines the convergence of Sustainable Digital Finance and Finance 5.0, highlighting their role in advancing financial sustainability, inclusion, and technological innovation. Finance 5.0 represents a transition from profit-driven finance to a human-centric, ethical, and sustainabilityaligned financial ecosystem, where Artificial Intelligence (AI), blockchain, Decentralized Finance (DeFi), quantum computing, and RegTech enhance transparency, Environmental, Social, and Governance (ESG) compliance, and financial accessibility. Design/methodology/approach - A Systematic Literature Review (SLR) was conducted using the ADO-TCM framework, which organizes research findings into antecedents, decisions, outcomes, theories, contexts, and methodologies. A structured search strategy was conducted across peer-reviewed literature using Scopus and Web of Science databases (2015-2025). Findings - The findings indicate the role of Finance 5.0 in advancing sustainable financial ecosystems through AI-driven ESG analytics, blockchain-powered impact investing, and Digital currency-enabled financial inclusion. However, regulatory fragmentation, ethical AI concerns, and financial accessibility disparities remain significant challenges. The findings emphasize the need for standardized ESG metrics, ethical AI governance, and scalable financial policies to bridge sustainability gaps. Additionally, emerging technologies such as quantum computing, DeFi-driven climate finance, and AI ethics in financial decision-making require further exploration to enhance transparency, efficiency, and sustainability in digital financial ecosystems. Originality/value - This review presents a novel framework for technological enablers of Sustainable Digital Finance, integrating Finance 5.0 with emerging technologies using the ADO-TCM framework. It addresses gaps in quantum computing, ethical AI, and DeFi-driven climate finance, offering insights for policymakers, financial institutions, and academia in fostering resilient and sustainability-driven financial ecosystems.</t>
  </si>
  <si>
    <t>[Gulati, Tanvi; Singla, Anju] Deemed Univ, Ctr Management &amp; Humanities CMH, Punjab Engn Coll, Chandigarh, India; [Saini, Poonam] Deemed Univ, Punjab Engn Coll, Dept Comp Sci &amp; Engn, Chandigarh, India</t>
  </si>
  <si>
    <t>Punjab Engineering College (Deemed University); Punjab Engineering College (Deemed University)</t>
  </si>
  <si>
    <t>Gulati, T (corresponding author), Deemed Univ, Ctr Management &amp; Humanities CMH, Punjab Engn Coll, Chandigarh, India.</t>
  </si>
  <si>
    <t>tanvigulati.ubs@gmail.com; anjusingla@pec.edu.in; poonamsaini@pec.edu.in</t>
  </si>
  <si>
    <t>Gulati, Tanvi/0009-0004-6058-5722</t>
  </si>
  <si>
    <t>10.1108/SAJBS-03-2025-0131</t>
  </si>
  <si>
    <t>8FX4O</t>
  </si>
  <si>
    <t>WOS:001587715400001</t>
  </si>
  <si>
    <t>Hussain, S; Gupta, S; Bhardwaj, S</t>
  </si>
  <si>
    <t>Hussain, Shabir; Gupta, Sameer; Bhardwaj, Sunil</t>
  </si>
  <si>
    <t>Unraveling the dynamics of digital financial services adoption and digital divide: A systematic literature review and future research agenda</t>
  </si>
  <si>
    <t>Digital divide; digital financial services; digital payments; fintech; mobile financial services; systematic review</t>
  </si>
  <si>
    <t>INTERNET BANKING ADOPTION; MOBILE BANKING; COMMUNICATION TECHNOLOGY; MODERATING ROLE; ONLINE BANKING; INFORMATION; ACCEPTANCE; DETERMINANTS; INVESTMENT; CHALLENGES</t>
  </si>
  <si>
    <t>The rapid proliferation of digital financial services (DFSs) has the potential to promote financial inclusion (FI), as well as socioeconomic and human development. However, the digital divide (DD) poses a significant barrier to the equitable adoption and use of DFSs. This systematic literature review (SLR) aimed to comprehensively analyze the current state of research on DFS adoption in the context of DD. Employing the Scientific Procedures and Rationales for Systematic Literature Reviews (SPAR-4-SLR) protocol in combination with the theories, contexts, and methods (TCM) and antecedents, decisions, and outcomes (ADO) frameworks, this study identified prominent contributors, trends, key factors, and research gaps in the literature. The review revealed that personal, psychological, motivational, technological, socio-cultural, and socio-demographic factors influence DFS adoption across the three levels of DD: digital access, capability, and innovativeness divides. This study proposes a conceptual model integrating these factors and highlights the need for future research to develop standardized measurement scales, conduct multi-country studies, and investigate the impact of DFSs on various developmental outcomes. The findings provide valuable insights for policymakers, practitioners, and researchers in the field of information technology for development, emphasizing the importance of addressing DD to promote inclusive growth and socioeconomic progress of humans through DFSs.</t>
  </si>
  <si>
    <t>[Hussain, Shabir; Gupta, Sameer] Univ Jammu, Business Sch, Baba Saheb Ambedkar Rd, Jammu 180006, Jammu And Kashm, India; [Bhardwaj, Sunil] Univ Jammu, Business Sch, Bhaderwah, Jammu And Kashm, India</t>
  </si>
  <si>
    <t>University of Jammu; University of Jammu</t>
  </si>
  <si>
    <t>Hussain, S (corresponding author), Univ Jammu, Business Sch, Baba Saheb Ambedkar Rd, Jammu 180006, Jammu And Kashm, India.</t>
  </si>
  <si>
    <t>shabir.hussain@jammuuniversity.ac.in</t>
  </si>
  <si>
    <t>Hussain, Shabir/MVW-8593-2025</t>
  </si>
  <si>
    <t>Hussain, Shabir/0000-0003-4651-5416</t>
  </si>
  <si>
    <t>10.1080/1097198X.2025.2480970</t>
  </si>
  <si>
    <t>1UH3U</t>
  </si>
  <si>
    <t>WOS:001457245500001</t>
  </si>
  <si>
    <t>Mumtaz, MZ</t>
  </si>
  <si>
    <t>Mumtaz, Muhammad Zubair</t>
  </si>
  <si>
    <t>Financial inclusion, digital finance and agricultural participation</t>
  </si>
  <si>
    <t>Agriculture participation; Financial inclusion; Digital finance; Pakistan; Q12; Q14; G0</t>
  </si>
  <si>
    <t>INEQUALITY</t>
  </si>
  <si>
    <t>PurposeFinancial inclusion and digital finance go side by side and help enhance agricultural activities; however, the magnitude of digital financial services varies across countries. In line with this argument, this study aims to examine whether financial inclusion enhances agricultural participation and decompose the significance of the difference in determinants of agricultural participation between financially included - not financially included households and digital finance - no digital finance households.Design/methodology/approachThis study uses Pakistan's household integrated economic survey 2018/19 to test hypotheses. The logit model is used to examine the effect of financial inclusion on agriculture participation. Moreover, this study employs a nonlinear Fairlie Oaxaca Blinder technique to investigate the difference in determinants of agricultural participation.FindingsThis study reports that financial inclusion positively influences agricultural participation, meaning households may have access to financial services and participate in agricultural activities. The results suggest that the likelihood of participating in agriculture in households with mobiles and smartphones is higher. Moreover, household size, income, age, gender, education, urban, remittances from abroad, fertilizer, pesticides, wheat, cotton, sugarcane, fruits and vegetables are the significant determinants of agricultural participation. To distinguish the financially included - not financially included households' gap, this study employs a nonlinear Fairlie Oaxaca Blinder decomposition and finds that differences in fertilizer explain the substantial gap in agricultural participation. Likewise, this study tests the digital finance - no digital finance gap and finds that the difference in fertilizer is a significant contributor, describing a considerable gap in agricultural participation.Research limitations/implicationsEmpirically identified that various factors cause agricultural participation including financial inclusion and digital finance. Regarding the research limitation, this study only considers a developing country to analyze the findings. However, for future research, scholars may consider some other countries to compare the results and identify their differences.Practical implicationsThe accessibility of fertilizer can reduce the agricultural participation gap. However, increased income level, education and cotton and sugar production can also overcome the differences in agriculture participation between digital finance and no digital finance households.Originality/valueThis is the first study to decompose the difference in determinants of agricultural participation between financially and not financially included households.</t>
  </si>
  <si>
    <t>[Mumtaz, Muhammad Zubair] Univ Bahrain, Coll Business Adm, Sakhair, Bahrain; [Mumtaz, Muhammad Zubair] Natl Univ Sci &amp; Technol, Sch Social Sci &amp; Humanities, Islamabad, Pakistan</t>
  </si>
  <si>
    <t>University of Bahrain; National University of Sciences &amp; Technology - Pakistan</t>
  </si>
  <si>
    <t>Mumtaz, MZ (corresponding author), Univ Bahrain, Coll Business Adm, Sakhair, Bahrain.;Mumtaz, MZ (corresponding author), Natl Univ Sci &amp; Technol, Sch Social Sci &amp; Humanities, Islamabad, Pakistan.</t>
  </si>
  <si>
    <t>zubairmumtaz76@gmail.com</t>
  </si>
  <si>
    <t>Mumtaz, Muhammad Zubair/AAA-8292-2020</t>
  </si>
  <si>
    <t>Mumtaz, Muhammad Zubair/0000-0003-0319-2282</t>
  </si>
  <si>
    <t>2/3</t>
  </si>
  <si>
    <t>10.1108/AFR-10-2023-0132</t>
  </si>
  <si>
    <t>D0X3Q</t>
  </si>
  <si>
    <t>WOS:001206290800001</t>
  </si>
  <si>
    <t>Maia, SC; de Benedicto, GC; do Prado, JW; Robb, DA; Bispo, OND; de Brito, MJ</t>
  </si>
  <si>
    <t>Maia, Saulo Cardoso; de Benedicto, Gideon Carvalho; do Prado, Jose Willer; Robb, David Alastair; de Almeida Bispo, Oscar Neto; de Brito, Mozar Jose</t>
  </si>
  <si>
    <t>Mapping the literature on credit unions: a bibliometric investigation grounded in Scopus and Web of Science</t>
  </si>
  <si>
    <t>SCIENTOMETRICS</t>
  </si>
  <si>
    <t>Credit union; Bibliometrics; Intellectual base; Research directions; Financial inclusion</t>
  </si>
  <si>
    <t>NEW-YORK-CITY; FINANCIAL COOPERATIVES; SOCIAL PERFORMANCE; DECISION-MAKING; EFFICIENCY; GROWTH; LEGITIMACY; CRISIS; IMPACT; SCALE</t>
  </si>
  <si>
    <t>Credit unions play a relevant role in providing microcredit and other financial services. Because such financial cooperative organizations have drawn the attention of a significant and growing academic literature, a bibliometric study becomes essential. This study comprehensively analyzes the literature on credit unions using the leading indices for bibliometric examination: Elsevier's Scopus and Clarivate Analytics' Web of Science databases. Our searches reveal a high level of complementarity between the databases concerning the subject. Their combined use has enabled us to extensively trace the evolution of studies on the subject regarding volume and impact. We identify the major countries, journals, authors, articles, intellectual basis and topics. Further, using CiteSpace, we have mapped the networks of co-authorship, co-citations, and co-keywords in credit union research. The findings allow us to conclude that economics and business finance are the principal areas of credit union research although articles in sociology and history were also observed. Finally, by investigating contemporary co-keywords clusters and future research directions, we identify four main avenues of research: economic performance, corporate governance, accounting and disclosure and, credit union to bank comparisons regarding customer relationships and technology.</t>
  </si>
  <si>
    <t>[Maia, Saulo Cardoso; de Benedicto, Gideon Carvalho; do Prado, Jose Willer; de Almeida Bispo, Oscar Neto; de Brito, Mozar Jose] UFLA Univ Fed Lavras, Programa Posgrad Adm, Caixa Postal 3037, BR-37200000 Lavras, MG, Brazil; [Robb, David Alastair] Univ Queensland, UQ Business Sch, Room 313,Colin Clark Bldg,St Lucia Campus, Brisbane, Qld, Australia</t>
  </si>
  <si>
    <t>Universidade Federal de Lavras; University of Queensland</t>
  </si>
  <si>
    <t>Maia, SC (corresponding author), UFLA Univ Fed Lavras, Programa Posgrad Adm, Caixa Postal 3037, BR-37200000 Lavras, MG, Brazil.</t>
  </si>
  <si>
    <t>saulocm@ufsj.edu.br</t>
  </si>
  <si>
    <t>Prado, José Willer do/G-1404-2017; Cardoso Maia, Saulo/M-6528-2017</t>
  </si>
  <si>
    <t>Prado, José Willer do/0000-0003-3926-2406; Cardoso Maia, Saulo/0000-0001-6117-4037</t>
  </si>
  <si>
    <t>Coordenacao de Aperfeicoamento de Pessoal de Nivel Superior-Brasil (CAPES) [001]</t>
  </si>
  <si>
    <t>Coordenacao de Aperfeicoamento de Pessoal de Nivel Superior-Brasil (CAPES)(Coordenacao de Aperfeicoamento de Pessoal de Nivel Superior (CAPES))</t>
  </si>
  <si>
    <t>This study was financed in part by the Coordenacao de Aperfeicoamento de Pessoal de Nivel Superior-Brasil (CAPES)-Finance Code 001.</t>
  </si>
  <si>
    <t>0138-9130</t>
  </si>
  <si>
    <t>1588-2861</t>
  </si>
  <si>
    <t>Scientometrics</t>
  </si>
  <si>
    <t>10.1007/s11192-019-03165-1</t>
  </si>
  <si>
    <t>Computer Science, Interdisciplinary Applications; Information Science &amp; Library Science</t>
  </si>
  <si>
    <t>IR4WE</t>
  </si>
  <si>
    <t>WOS:000481434200001</t>
  </si>
  <si>
    <t>Singh, VK; Prasad, R</t>
  </si>
  <si>
    <t>Singh, Vinay Kumar; Prasad, Rohit</t>
  </si>
  <si>
    <t>Diffusion of Banking Products in Financial Inclusion Linked Savings Accounts: A Case Study Based on Pradhan Mantri Jan Dhan Yojana in India</t>
  </si>
  <si>
    <t>Financial inclusion; peer effects; diffusion of innovations; Bass model; Pradhan Mantri Jan Dhan Yojana (PMJDY); network effects</t>
  </si>
  <si>
    <t>SOCIAL CONTAGION; MODEL; NETWORKS</t>
  </si>
  <si>
    <t>The slow rate of adoption of savings and transaction accounts opened under financial inclusion programmes is a challenge for policymakers across the globe. We use the experience of a large-scale financial inclusion programme in India-Pradhan Mantri Jan Dhan Yojana (PMJDY)-to model the adoption of simple banking products, namely deposit, withdrawal, fund transfer and ATM usage. Based on account-level transaction data, we create a dataset to capture the adoption of each product over time. We use this data to estimate three growth models: Bass, Gompertz and logistic. The Bass model which is based on diffusion of innovations theory is found to be the best fit across products. The role of social influence in the diffusion of the four products studied is found to be much lower when compared to other products in subsistence marketplaces. Social network effect is comparatively stronger in the adoption of fund transfer and ATM. We discuss the mechanisms underlying this phenomenon and contend that information transfer by word of mouth and network effects are the most probable reasons for the observed adoption behaviour.</t>
  </si>
  <si>
    <t>[Singh, Vinay Kumar; Prasad, Rohit] Management Dev Inst Gurgaon, Gurugram 122001, Haryana, India</t>
  </si>
  <si>
    <t>Singh, VK (corresponding author), Management Dev Inst Gurgaon, Gurugram 122001, Haryana, India.</t>
  </si>
  <si>
    <t>efpm14vinay_s@mdi.ac.in</t>
  </si>
  <si>
    <t>Singh, Vinay Kumar/ABD-4751-2021</t>
  </si>
  <si>
    <t>10.1177/09721509211006866</t>
  </si>
  <si>
    <t>D3R0F</t>
  </si>
  <si>
    <t>WOS:000644982300001</t>
  </si>
  <si>
    <t>Barnabé, AY; Paul, N; Chrysost, B</t>
  </si>
  <si>
    <t>Barnabe, Abba Yadou; Paul, Ningaye; Chrysost, Bangake</t>
  </si>
  <si>
    <t>Do remittances spur financial inclusion in Africa? a multi-dimensional approach</t>
  </si>
  <si>
    <t>The objective of this paper is to examine the effect of migrant remittances on financial inclusion in Africa using a multi-dimensional approach. Our sample consists of 21 countries over a period from 2004 to 2018. We adopted a Pooled Mean Group (PMG) to capture the short- and long-term dynamics of the impact of migrant remittances on financial inclusion. From this work, the following results have emerged. (i) Migrant remittances have a positive long-term effect on financial inclusion. (ii) Migrant remittances have a positive long-term effect on access to financial services. Specifically, the remittances have a negative effect in the short term and a positive effect in the long term on the number of banking branches. (iii) the remittances have a negative long-term effect on the use of financial services. More specifically, the remittances increase the number of depositaries with financial institutions in the long term but has a negative effect on the number of borrowings. These results are robust using a GMM system. Several implications flow from these results. To better benefit from remittances, it would be appropriate for financial institutions to offer ranges of products that are adapted to the recipient households in the use of financial services.</t>
  </si>
  <si>
    <t>[Barnabe, Abba Yadou; Paul, Ningaye] Univ Dschang, Dschang, Cameroon; [Chrysost, Bangake] Univ Artois, Arras, France</t>
  </si>
  <si>
    <t>Universite de Dschang; Universite d'Artois</t>
  </si>
  <si>
    <t>Barnabé, AY (corresponding author), Univ Dschang, Dschang, Cameroon.</t>
  </si>
  <si>
    <t>abbayadou@gmail.com; paningaye@yahoo.fr; chrysost.bangake@univ-artois.fr</t>
  </si>
  <si>
    <t>WOS:000696954400013</t>
  </si>
  <si>
    <t>Schuster, CE</t>
  </si>
  <si>
    <t>Schuster, Caroline E.</t>
  </si>
  <si>
    <t>'Risky Data' for Inclusive Microinsurance Infrastructures</t>
  </si>
  <si>
    <t>INDEX INSURANCE; PARAGUAYAN; MICROFINANCE; DEMOGRAPHICS; RESILIENCE; INSIGHTS; KINSHIP; LIMITS</t>
  </si>
  <si>
    <t>The recent enthusiasm for 'big data' (Data for Development, D4D) highlights the increasing interpenetration of public social policy and data from private technology firms. This article examines the process in reverse, whereby public information systems become the basis for increasing financial intermediation. Drawing on ethnographic research on Paraguayan microinsurance programmes, this article describes the broader mandate of 'financial inclusion' embedded in the suite of banking services that support the state's conditional cash transfer welfare initiative, Tekopora. The article analyses the process by which inclusive insurance infrastructures are built and maintained as an opportunity to critique the political economy of data production that supports financialization. The concept of 'risky data' describes not only the way that the social lives and relations of the poor are quantified and converted into financial knowledge, but also the way that the urgent new mandate to produce such data further exposes public policy and state institutions to new risks to their legitimacy. The Paraguayan case exemplifies the key mechanism of 'risky data' for inclusive infrastructures: the extraction of financial value and speculative profits from state-led investment in a public resource, which amplifies the risks of both service denial and data surveillance.</t>
  </si>
  <si>
    <t>[Schuster, Caroline E.] Australian Natl Univ, Sch Archaeol &amp; Anthropol, Canberra, ACT, Australia</t>
  </si>
  <si>
    <t>Schuster, CE (corresponding author), Australian Natl Univ, Sch Archaeol &amp; Anthropol, Canberra, ACT, Australia.</t>
  </si>
  <si>
    <t>caroline.schuster@anu.edu.au</t>
  </si>
  <si>
    <t>Schuster, Caroline/0000-0003-4229-2921</t>
  </si>
  <si>
    <t>Australian Research Council Discovery Early Career Researcher Award [DE170101406]; Australian Research Council [DE170101406] Funding Source: Australian Research Council</t>
  </si>
  <si>
    <t>Australian Research Council Discovery Early Career Researcher Award(Australian Research Council); Australian Research Council(Australian Research Council)</t>
  </si>
  <si>
    <t>This research was funded by the Australian Research Council Discovery Early Career Researcher Award grant number DE170101406. I would like to thank the research team in Paraguay consisting of Lic. Betania Ayala and Ing. Analia Melo. I received generous feedback on this material from the London School of Economics Financialization seminar series hosted by Kate Meagher and the Department of Anthropology seminar series at the Chinese University of Hong Kong. I would also like to thank Sverre Molland for his review of an early draft, and the editorial board of Development and Change for their very helpful suggestions.</t>
  </si>
  <si>
    <t>10.1111/dech.12663</t>
  </si>
  <si>
    <t>WOS:000661591300001</t>
  </si>
  <si>
    <t>dos Santos, AO; da Silva, RCR</t>
  </si>
  <si>
    <t>dos Santos, A. O.; da Silva, R. C. R.</t>
  </si>
  <si>
    <t>AGROFORESTRY SYSTEMS IN THE CITY OF PARAGOMINAS, PARA</t>
  </si>
  <si>
    <t>HOLOS</t>
  </si>
  <si>
    <t>Rural Communities; Family Farming; Diagnosis</t>
  </si>
  <si>
    <t>This work aimed to identify and analyze the agroforestry systems in Paragominas, generating information to support public actions for the implementation of new SAF's arrangements in that municipality. It was carried out through field research with data collection and application of a semi-structured questionnaire, with questions involving socioeconomic, land tenure, land use and occupation, production and commercialization, public policies and phytosanitary control. 21 communities were identified with agroforestry systems. 18% of areas with SAF's in the municipality were measured, mostly small properties. As for land tenure regularization, only 24% are owners against 37% of squatters. Regarding phytosanitary control, 45% say they have used some type of chemical product, especially herbicides. 58% have only incomplete elementary education, while 2% have higher education. 67% participate in some social organization. Regarding family income, 75% survive on up to a minimum wage. 34 priority crops were identified in the SAF's, with emphasis on acai, cupuacu, pineapple, melon, sugar cane, watermelon, Brazil nuts, mahogany, andiroba and ipe. 48% of participants do some kind of processing, with an emphasis on 66% flour and 26% fruit pulp. As for the destination of the products, 33% are sold in the local community and 31% go to open markets in the city. The most pointed problems in the commercialization were lack of fixed buyer, 35% and bad roads 24%. Regarding access to finance, 29% had access, of which 56% to Pronaf A, 12.5% to FNO and 12.5% to microcredit.</t>
  </si>
  <si>
    <t>[dos Santos, A. O.; da Silva, R. C. R.] Inst Fed Educ Ciencia &amp; Tecnol Para, Belem, Para, Brazil</t>
  </si>
  <si>
    <t>Instituto Federal do Para</t>
  </si>
  <si>
    <t>dos Santos, AO (corresponding author), Inst Fed Educ Ciencia &amp; Tecnol Para, Belem, Para, Brazil.</t>
  </si>
  <si>
    <t>abimaelufra@gmail.com</t>
  </si>
  <si>
    <t>Oliveira dos Santos, Abimael/0000-0001-5906-0567; CARDOSO ROIGUES DA SILVA, ROSANA/0000-0003-3497-4164</t>
  </si>
  <si>
    <t>CENTRO FEDERAL EDUCACAO TECNOLOGICA RIO GRANDE NORTE</t>
  </si>
  <si>
    <t>RIO GRANDE DO NORTE</t>
  </si>
  <si>
    <t>AVE SEN SALGADO FILHO, 1559, TIRO, NATAL, RIO GRANDE DO NORTE, 59015-000, BRAZIL</t>
  </si>
  <si>
    <t>1518-1634</t>
  </si>
  <si>
    <t>1807-1600</t>
  </si>
  <si>
    <t>Holos</t>
  </si>
  <si>
    <t>e9548</t>
  </si>
  <si>
    <t>10.15628/holos.2020.9548</t>
  </si>
  <si>
    <t>MH5VO</t>
  </si>
  <si>
    <t>WOS:000546796700002</t>
  </si>
  <si>
    <t>Isaeva, M</t>
  </si>
  <si>
    <t>Isaeva, Masuda</t>
  </si>
  <si>
    <t>Remittances and financial inclusion: micro-level empirical evidence from Uzbekistan</t>
  </si>
  <si>
    <t>4TH INTERDISCIPLINARY CONFERENCE ON ELECTRICS AND COMPUTER, INTCEC 2024</t>
  </si>
  <si>
    <t>4th IEEE Interdisciplinary Conference on Electrics and Computer (INTCEC)</t>
  </si>
  <si>
    <t>JUN 11-13, 2024</t>
  </si>
  <si>
    <t>Lewis Univ, Chicago, IL</t>
  </si>
  <si>
    <t>IEEE,Gazi Univ,ECER</t>
  </si>
  <si>
    <t>Lewis Univ</t>
  </si>
  <si>
    <t>CATBoost; RandomForest; remittances; saving; SHAP values; SMOTE-NC; unbalanced data; Uzbekistan; XGBoost</t>
  </si>
  <si>
    <t>Remittances influence the adoption of financial services by recipients who are mostly poor and financially excluded. Extensive evidence in literature suggests the positive impact of remittances on financial inclusion. However, these studies may provide biased results because most studies do not provide information under which conditions recipients adopt other financial products or services. This limits the applicability of their findings to policymakers who want to harness the full potential of remittances to promote financial inclusion and financial development. The purpose of this study is to examine the factors shaping the saving behavior of remittance recipients. Uzbekistan provides the best context for our study as it is one of the largest remittance-receiving countries with a significantly underdeveloped financial sector. Our analysis shows that gender, age, amount and duration of remittances have a significant impact on the likelihood of accepting bank deposits.</t>
  </si>
  <si>
    <t>[Isaeva, Masuda] JSC Asalutbank, Dept Retail Business, Tashkent, Uzbekistan</t>
  </si>
  <si>
    <t>Isaeva, M (corresponding author), JSC Asalutbank, Dept Retail Business, Tashkent, Uzbekistan.</t>
  </si>
  <si>
    <t>masudaisaeva@gmail.com</t>
  </si>
  <si>
    <t>979-8-3503-4946-7; 979-8-3503-4945-0</t>
  </si>
  <si>
    <t>10.1109/INTCEC61833.2024.10602866</t>
  </si>
  <si>
    <t>BX4NH</t>
  </si>
  <si>
    <t>WOS:001292764700010</t>
  </si>
  <si>
    <t>Saydaliyev, HB; Chin, L; Oskenbayev, Y</t>
  </si>
  <si>
    <t>Saydaliyev, Hayot Berk; Chin, Lee; Oskenbayev, Yessengali</t>
  </si>
  <si>
    <t>The nexus of remittances, institutional quality, and financial inclusion</t>
  </si>
  <si>
    <t>Remittance; financial inclusion; dynamic panel data method</t>
  </si>
  <si>
    <t>CAUSE ECONOMIC-GROWTH; MIGRANTS REMITTANCES; LATIN-AMERICA; INEQUALITY; SERVICES; ACCESS; IMPACT; TIME</t>
  </si>
  <si>
    <t>The present article adopted the dynamic panel data method to investigate the effect of the inflow of remittances on financial inclusion (FI), particularly focusing on high remittance-receiving developing countries between 2011 and 2018. The current research found that remittances that foster FI are associated with better institutional quality. The evidence revealed that the effect of remittances on FI is conditional upon individuals' perception of the institutions. Positive coefficient on the interaction terms indicates that the impact of remittances on FI can be enhanced in the recipient countries, if the public trusts the financial institutions. Hence, the overall results of the current research suggest that the impact of remittances on FI is conditional on institutions. On a final note, the policy implications of these findings are thoroughly evaluated at the end of this article.</t>
  </si>
  <si>
    <t>[Saydaliyev, Hayot Berk; Oskenbayev, Yessengali] Suleyman Demirel Univ, Business Sch, Alma Ata, Kazakhstan; [Saydaliyev, Hayot Berk] Univ Putra Malaysia, Sch Grad Studies, Upm Serdang, Malaysia; [Chin, Lee] Univ Putra Malaysia, Sch Business &amp; Econ, Upm Serdang, Malaysia</t>
  </si>
  <si>
    <t>Suleyman Demirel University - Kazakhstan; Universiti Putra Malaysia; Universiti Putra Malaysia</t>
  </si>
  <si>
    <t>Chin, L (corresponding author), Univ Putra Malaysia, Sch Business &amp; Econ, Upm Serdang, Malaysia.</t>
  </si>
  <si>
    <t>leechin@upm.edu.my</t>
  </si>
  <si>
    <t>Chin, Lee/AAR-5222-2020; Saydaliev, Hayot Berk/AAG-8199-2021</t>
  </si>
  <si>
    <t>Chin, Lee/0000-0002-8651-2204; Saydaliev, Hayot Berk/0000-0002-4231-2366</t>
  </si>
  <si>
    <t>Ministry of Higher Education Malaysia [FRGS/1/2015/SS08/UPM/02/10]; Universiti Putra Malaysia [GP/2018/9632300]</t>
  </si>
  <si>
    <t>Ministry of Higher Education Malaysia(Ministry of Education, Malaysia); Universiti Putra Malaysia(Universiti Putra Malaysia)</t>
  </si>
  <si>
    <t>This work was supported by the Ministry of Higher Education Malaysia under the Fundamental Research Grant Scheme No. FRGS/1/2015/SS08/UPM/02/10; and Universiti Putra Malaysia under Grant number GP/2018/9632300.</t>
  </si>
  <si>
    <t>10.1080/1331677X.2020.1774795</t>
  </si>
  <si>
    <t>ND8IG</t>
  </si>
  <si>
    <t>WOS:000562145800001</t>
  </si>
  <si>
    <t>Paudel, LN</t>
  </si>
  <si>
    <t>Paudel, Lekh Nath</t>
  </si>
  <si>
    <t>Remittances and the reconfiguration of rural finance in Nepal (1900-1960)</t>
  </si>
  <si>
    <t>Remittances; debt; financialisation; colonial legacies; rural finance</t>
  </si>
  <si>
    <t>DEBT; LABOR; MIGRATION; MICROCREDIT; MIGRANTS; SPACE</t>
  </si>
  <si>
    <t>Remittances have been a crucial component in the lives of Nepali people since the beginning of the 20th century. Despite their importance, remittances only gained the attention of scholars and policymakers towards the end of the century. More recently, remittances have become linked to the global financial inclusion agenda in what has been termed the 'financialisation of remittances'. This article proposes a temporal and spatial shift to explore the historical antecedents of the financialisation of remittances (1900-1960) and beyond the Global North to focus on the context of rural Nepal. I investigate the role of remittances in the reconfiguration of rural finance and social hierarchies. I propose the concept of 'debt-reign' as a political formation that allows to analyse the links between statecraft technologies, debt and caste relations, and remittances. Drawing on document analysis, expert interviews and a focus group discussion, the article shows the transformative power of remittances to bring about: the (re)negotiation of debt relations; an emancipation from debt relations; and the reconfiguration of social hierarchies. Together, these dynamics contribute to a reconfiguration of social power, challenging the domination of certain castes and rural elites and re-stratifying financial and social hierarchies. The analysis also highlights the colonial legacies of remittances that prepared the ground to introduce formal financial infrastructure in rural areas which is fundamental to contemporary financialisation.</t>
  </si>
  <si>
    <t>[Paudel, Lekh Nath] Univ Lausanne, Fac Social &amp; Polit Sci, Lausanne, Switzerland</t>
  </si>
  <si>
    <t>University of Lausanne</t>
  </si>
  <si>
    <t>Paudel, LN (corresponding author), Univ Lausanne, Fac Social &amp; Polit Sci, Lausanne, Switzerland.</t>
  </si>
  <si>
    <t>Lekhnath.paudel@unil.ch</t>
  </si>
  <si>
    <t>Paudel, Lekh Nath/0000-0002-3610-0850</t>
  </si>
  <si>
    <t>Swiss National Science Foundation [10001A_172945]; Swiss National Science Foundation (SNF) [10001A_172945] Funding Source: Swiss National Science Foundation (SNF)</t>
  </si>
  <si>
    <t>Swiss National Science Foundation(Swiss National Science Foundation (SNSF)); Swiss National Science Foundation (SNF)(Swiss National Science Foundation (SNSF))</t>
  </si>
  <si>
    <t>The author disclosed receipt of the following financial support for the research, authorship, and/or publication of this article: This work was supported by the Swiss National Science Foundation (grant no. 10001A_172945).</t>
  </si>
  <si>
    <t>0308518X221092777</t>
  </si>
  <si>
    <t>10.1177/0308518X221092777</t>
  </si>
  <si>
    <t>0Z1GI</t>
  </si>
  <si>
    <t>WOS:000782462500001</t>
  </si>
  <si>
    <t>Tumbe, C</t>
  </si>
  <si>
    <t>Tumbe, Chinmay</t>
  </si>
  <si>
    <t>Towards financial inclusion: The post office of India as a financial institution, 1880-2010</t>
  </si>
  <si>
    <t>INDIAN ECONOMIC AND SOCIAL HISTORY REVIEW</t>
  </si>
  <si>
    <t>Post Office; financial inclusion; small savings; migration; remittances; banks</t>
  </si>
  <si>
    <t>REMITTANCES; MIGRATION</t>
  </si>
  <si>
    <t>The Post Office of India has evolved tremendously from an institution of communication' to an important financial' institution of the early twenty-first century. This article traces the evolution of two key mass financial services offered by the Post Office over the past 130 yearsmoney orders that have primarily served as a mechanism for internal and international migrants' remittances and the small savings system that has mobilised deposits from millions of rural and urban citizens. It assesses the contribution of the Post Office in enhancing financial inclusion' in the twentieth century and argues that the financial history of modern India remains incomplete without integrating the Post Officecurrently the largest bank in India in terms of network, accounts and personal depositsas a key institutional actor in the narrative.</t>
  </si>
  <si>
    <t>[Tumbe, Chinmay] Tata Inst Social Sci, Hyderabad, Andhra Pradesh, India</t>
  </si>
  <si>
    <t>Tumbe, C (corresponding author), Tata Inst Social Sci, Hyderabad, Andhra Pradesh, India.</t>
  </si>
  <si>
    <t>0019-4646</t>
  </si>
  <si>
    <t>0973-0893</t>
  </si>
  <si>
    <t>INDIAN ECON SOC HIST</t>
  </si>
  <si>
    <t>Indian Econ. Soc. Hist. Rev.</t>
  </si>
  <si>
    <t>10.1177/0019464615603889</t>
  </si>
  <si>
    <t>CY1UY</t>
  </si>
  <si>
    <t>WOS:000366194600001</t>
  </si>
  <si>
    <t>Sibindi, AB</t>
  </si>
  <si>
    <t>Sibindi, Athenia Bongani</t>
  </si>
  <si>
    <t>Information and Communication Technology Adoption and Life Insurance Market Development: Evidence from Sub-Saharan Africa</t>
  </si>
  <si>
    <t>life insurance; life insurance market development; ICT adoption; Fourth Industrial Revolution; sub-Saharan Africa; insurtech</t>
  </si>
  <si>
    <t>PROMOTE ECONOMIC-GROWTH; EMPIRICAL-EVIDENCE; SPECIFICATION; FINANCE; DEMAND; PANEL; ICT</t>
  </si>
  <si>
    <t>As part of the Fourth Industrial Revolution (4IR), blockchain, fintech (financial technology), and insurtech (insurance technology) are some innovations that have been rolled out in the financial landscape and have captured the imaginations of policymakers and scholars alike. The African continent lags in embracing technology and is still grappling with financial access and enhancing financial inclusion. As such, it is bewildering whether African insurance markets are at a stage where they can leverage the possibilities offered by the 4IR. Against this backdrop, the aim of the study was to investigate whether information communication technology (ICT) adoption influences the development of African life insurance markets. We utilised a sample of 31 sub-Saharan African countries for the period 2005-2020. Panel data techniques were employed, and the pooled ordinary least squares, fixed effects, and random effect estimators were used to test the relationship between life insurance density and the measures for ICT adoption (proxied by fixed telephones, internet use, mobile cellular telephones, and broadband) as well as financial freedom being the control variable. We found that the life insurance market development variable was positively related to three of the four ICT adoption variables, namely, fixed telephone, mobile cellular telephone, and broadband. Further, the life insurance market development variable is positively related to the financial freedom variable. These findings suggest that ICT adoption fosters the development of the life insurance market in Africa. The findings also lend credence to the view that the degrees of financial freedom of insurance companies (who are unencumbered by regulations) have a bearing on the levels of insurance sales and, hence, promote life insurance access in Africa. The policy imperatives that flow from this study are that African governments must ensure that they (1) institute ICT adoption-friendly policies and (2) regulate the life insurance sector optimally, in order to foster the development of their life insurance sectors.</t>
  </si>
  <si>
    <t>[Sibindi, Athenia Bongani] Univ South Africa UNISA, Dept Finance Risk Management &amp; Banking, POB 392, ZA-0003 Pretoria, South Africa</t>
  </si>
  <si>
    <t>10.3390/jrfm15120568</t>
  </si>
  <si>
    <t>7E1KF</t>
  </si>
  <si>
    <t>WOS:000900935500001</t>
  </si>
  <si>
    <t>Simiyu, NN; Kumar, SS; Kivuyo, RB</t>
  </si>
  <si>
    <t>Simiyu, Naomy Nasambu; Kumar, Santhosh S.; Kivuyo, Regina Babu</t>
  </si>
  <si>
    <t>Exploring the influence of financial self-efficacy and facilitating conditions on intentions and actual borrowing in buy now, pay later services</t>
  </si>
  <si>
    <t>Buy now pay later apps; BNPL credit services; Consumable loans; BNPL-based credit services; Financial services; Financial decision</t>
  </si>
  <si>
    <t>MOBILE BANKING; UNIFIED THEORY; INFORMATION-TECHNOLOGY; PERCEIVED USEFULNESS; USER ACCEPTANCE; USAGE; UTAUT; MODEL; EASE; RISK</t>
  </si>
  <si>
    <t>PurposeThis study examines the influence of financial self-efficacy (FSE) and facilitating conditions (FC), along with other variables, on the use of the Buy Now, Pay Later (BNPL) credit services. The focus is on understanding how these factors, including perceived usefulness (PU) and social influence (SI), influence borrower intentions (BI) and actual borrowing usage (USE) within the BNPL domain.Design/methodology/approachA quantitative research approach was employed, using purposive sampling to gather data from 388 valid participants across India. The data were collected through an online survey, and the analysis was performed using Smart PLS 4 and SPSS Hayes PROCESS Macro.FindingsThe results reveal significant relationships between PU, SI, FC, and FSE on BI in the context of BNPL credit services. FSE has a significant positive influence on BI and partially mediates the relationship between FC and BI. On the other hand, FC had the least impact on BI, but it significantly influences FSE and slightly moderates the relationship between BI and USE. In addition, slight variations in these relationships were observed across different age and gender groups.Originality/valueThis study advances BNPL research by identifying a nonlinear threshold effect of FC on usage, challenging the assumption of a linear FC to actual behaviour relationship. It introduces FSE as a mediator between FC and BI emphasizing the importance of confidence in financial decision-making. In addition, this study redefines BNPL as a short-term credit service rather than merely a payment tool, highlighting its financial inclusion and regulatory implications.</t>
  </si>
  <si>
    <t>[Simiyu, Naomy Nasambu; Kumar, Santhosh S.; Kivuyo, Regina Babu] Cochin Univ Sci &amp; Technol, Sch Management Studies, Kochi, India</t>
  </si>
  <si>
    <t>Cochin University Science &amp; Technology</t>
  </si>
  <si>
    <t>Simiyu, NN (corresponding author), Cochin Univ Sci &amp; Technol, Sch Management Studies, Kochi, India.</t>
  </si>
  <si>
    <t>naomysimiyu@gmail.com; drsan@cusat.ac.in; reginaickivuyo@gmail.com</t>
  </si>
  <si>
    <t>, S Santhosh Kumar/0000-0001-6108-4744; SIMIYU, NAOMY NASAMBU/0000-0002-6366-7844; Kivuyo, Regina Babu/0000-0001-9713-6411</t>
  </si>
  <si>
    <t>10.1108/IJBM-09-2024-0527</t>
  </si>
  <si>
    <t>2JU0G</t>
  </si>
  <si>
    <t>WOS:001484329600001</t>
  </si>
  <si>
    <t>Ito, D; Takata, Y; Mori, K; Furukawa, R; Kumagai, H; Kamizono, M</t>
  </si>
  <si>
    <t>Ito, Daiki; Takata, Yuta; Mori, Keika; Furukawa, Ryoya; Kumagai, Hiroshi; Kamizono, Masaki</t>
  </si>
  <si>
    <t>Account Discovery: Identifying Web3 SNS Accounts at Risk of De-anonymization</t>
  </si>
  <si>
    <t>39TH ANNUAL ACM SYMPOSIUM ON APPLIED COMPUTING, SAC 2024</t>
  </si>
  <si>
    <t>39th Annual ACM Symposium on Applied Computing (SAC)</t>
  </si>
  <si>
    <t>APR 08-12, 2024</t>
  </si>
  <si>
    <t>Univ Salamanca, Avila, SPAIN</t>
  </si>
  <si>
    <t>Assoc Comp Machinery,ACM Special Interest Grp Appl Comp</t>
  </si>
  <si>
    <t>Univ Salamanca</t>
  </si>
  <si>
    <t>Web Privacy; Social Networking Service; Web3; Crypto-asset</t>
  </si>
  <si>
    <t>Web services that use a blockchain and crypto-assets (Web3 services) improve user privacy by anonymous logins using wallet addresses. However, since many users list their account identities (IDs) on social networking service (SNS) profile pages and reuse their account IDs for self-branding and curation purposes, which increases the risk of de-anonymization on Web3 services by linking these accounts. If such high-risk SNS accounts hold large amounts of crypto-assets, they are subject to account hijacking and spoofing attacks for financial gain. In this study, we proposed a method to discover highly relevant SNS accounts from a seed account on Web2 and Web3 SNSs and estimate their account ownership. We applied our method to 480 seed accounts of 9 different SNSs and discovered 1,233 new accounts. We found that SNSs with multiple URL input forms on their profile setting pages linked more accounts and revealed that 207 out of 253 (81.8%) users reused their IDs across different SNSs. We identified 26 accounts linked to personal and crypto-asset information that are at risk of de-anonymization. Our user study using crowdsourcing services showed that as many as 232 (40.8%) out of 568 respondents do not understand the traceability of blockchain transaction histories. We examined the security and privacy risks caused by account listing and ID reuse, and made recommendations for service providers and users based on our findings.</t>
  </si>
  <si>
    <t>[Ito, Daiki; Takata, Yuta; Mori, Keika; Furukawa, Ryoya; Kumagai, Hiroshi; Kamizono, Masaki] Deloitte Tohmatsu Cyber LLC, Tokyo, Japan</t>
  </si>
  <si>
    <t>Deloitte Touche Tohmatsu Limited</t>
  </si>
  <si>
    <t>Ito, D (corresponding author), Deloitte Tohmatsu Cyber LLC, Tokyo, Japan.</t>
  </si>
  <si>
    <t>daiki.ito@tohmatsu.co.jp; yuta.takata@tohmatsu.co.jp; keika.mori@tohmatsu.co.jp; ryoya.furukawa@tohmatsu.co.jp; hiroshi.kumagai@tohmatsu.co.jp; masaki.kamizono@tohmatsu.co.jp</t>
  </si>
  <si>
    <t>Furukawa, Ryoya/0000-0003-2517-8561; Takata, Yuta/0009-0008-2773-0659; 伊藤, 大貴/0009-0006-4196-879X</t>
  </si>
  <si>
    <t>979-8-4007-0243-3</t>
  </si>
  <si>
    <t>10.1145/3605098.3635895</t>
  </si>
  <si>
    <t>Computer Science, Interdisciplinary Applications; Computer Science, Software Engineering; Computer Science, Theory &amp; Methods</t>
  </si>
  <si>
    <t>BX0OH</t>
  </si>
  <si>
    <t>WOS:001236958200038</t>
  </si>
  <si>
    <t>Kar, S</t>
  </si>
  <si>
    <t>Kar, Sohini</t>
  </si>
  <si>
    <t>Securitizing Women: Gender, Precaution, and Risk in Indian Finance</t>
  </si>
  <si>
    <t>MICROFINANCE; EMPOWERMENT; POLITICS; STRUGGLE; CREDIT; POLICY</t>
  </si>
  <si>
    <t>In 2013, the government of India announced the creation of the Bharatiya Mahila Bank (BMB), or the Indian Women's Bank, offering financial services largely to women. The bank was a financialized response to the 2012 New Delhi rape case that mobilized mass protests against sexual violence and harassment in public spaces. Curtailing economic instability in the wake of the protests, the BMB became a means of securitizing women's bodies through financial means. While the BMB was premised on an idea of precautious empowerment through financial inclusion, India offers a challenge to the almost global dominance of men in the upper echelons of finance. With around 40 percent of financial assets controlled by women-headed banks, Indian women have challenged the naturalization of men in finance. Their rise has been supported by a history of social banking and unionization of bank workers. Examining these two cases laterally, this article argues that both narratives of women in finance in India hinge on the notion of precaution. I argue that banking for women and women bankers stabilize the economic order under financialization rather than challenging the conservatism of patriarchal capitalism and the gendered production of public space.</t>
  </si>
  <si>
    <t>[Kar, Sohini] London Sch Econ, Dept Int Dev, London, England</t>
  </si>
  <si>
    <t>Kar, S (corresponding author), London Sch Econ, Dept Int Dev, London, England.</t>
  </si>
  <si>
    <t>Kar, Sohini/0000-0002-9029-5214</t>
  </si>
  <si>
    <t>10.1086/693537</t>
  </si>
  <si>
    <t>FM7IC</t>
  </si>
  <si>
    <t>WOS:000415247800003</t>
  </si>
  <si>
    <t>Qamruzzaman, M.</t>
  </si>
  <si>
    <t>RETRACTION: Does financial innovation foster financial inclusion in Arab world? examining the nexus between financial innovation, FDI, remittances, trade openness, and gross capital formation</t>
  </si>
  <si>
    <t>Retraction</t>
  </si>
  <si>
    <t>OCT 23</t>
  </si>
  <si>
    <t>e0334772</t>
  </si>
  <si>
    <t>10.1371/journal.pone.0334772</t>
  </si>
  <si>
    <t>8YK3H</t>
  </si>
  <si>
    <t>WOS:001600295000045</t>
  </si>
  <si>
    <t>Financial access, governance and insurance sector development in sub-Saharan Africa</t>
  </si>
  <si>
    <t>Finance; Insurance; Sub-Saharan Africa; Governance; I28; I30; G20; O16; O55</t>
  </si>
  <si>
    <t>PANEL-DATA MODELS; HEALTH-INSURANCE; INSTITUTIONAL QUALITY; INFORMATION; MARKET; DETERMINANTS; REMITTANCES; INEQUALITY; EFFICIENCY; ESTIMATOR</t>
  </si>
  <si>
    <t>Purpose This study investigates the role of financial access in moderating the effect of governance on insurance consumption in 42 sub-Saharan African countries using data for the period 2004-2014. Design/methodology/approach Two life insurance indicators are used, notably: life insurance and non-life insurance. Six governance measurements are also used, namely: political stability, 'voice and accountability', government effectiveness, regulation quality, corruption-control and the rule of law. The empirical evidence is based on the Generalised Method of Moments (GMM) and Least Squares Dummy Variable Corrected (LSDVC) estimators. Findings Estimations from the LSDVC are not significant while the following main findings are established from the GMM. First, financial access promotes life insurance through channels of political stability, 'voice and accountability', government effectiveness, the rule of law and corruption-control. Second, financial access also stimulates non-life insurance via governance mechanisms of political stability, 'voice and accountability', government effectiveness, regulation quality, the rule of law and corruption-control. Originality/value This research complements the sparse literature on insurance promotion in Africa by engaging the hitherto unexplored role of financial access through governance channels.</t>
  </si>
  <si>
    <t>Odhiambo, Nicholas M/0000-0003-4988-0259;</t>
  </si>
  <si>
    <t>10.1108/JES-01-2019-0025</t>
  </si>
  <si>
    <t>MW1VF</t>
  </si>
  <si>
    <t>WOS:000515986200001</t>
  </si>
  <si>
    <t>Jafar, A; Ibrahim, H; Malik, R</t>
  </si>
  <si>
    <t>Jafar, Ahmad; Ibrahim, Hafsa; Malik, Rizwan</t>
  </si>
  <si>
    <t>Waqf: from classical charitable system to modern financial tool</t>
  </si>
  <si>
    <t>Waqf; Islamic finance; Financial inclusion; Sustainability; Digital transformation; Social justice</t>
  </si>
  <si>
    <t>ISLAMIC LAW; BEHAVIORAL INTENTION; CASH WAQF; GOVERNANCE; MALAYSIA; IMPACT; INSTITUTIONS; TECHNOLOGY; FAMILY; VALUES</t>
  </si>
  <si>
    <t>Purpose - This study aims to explore Waqf's conceptual transformation and modern applications, particularly in financial inclusion, social justice and sustainability within Islamic finance. Design/methodology/approach - Using a systematic review methodology, 910 unique articles were assessed for eligibility, focusing on peer-reviewed English articles. Key themes were identified, including conceptual evolution, digital transformation, legal governance and geopolitical influences, highlighting Waqf's integration with FinTech and digital innovations. Findings - This study finds that Waqf has evolved from a classical charitable entity into a contemporary socio-economic tool. Innovations in legal frameworks and digital transformations, such as blockchain and Cash Waqf-Linked Sukuk, have enhanced transparency, operational efficiency, and financial inclusivity. Waqf now supports sustainable goals, such as poverty alleviation and community development. Research limitations/implications - This review focuses on English-language journal articles, potentially omitting regional studies in other languages. The scope is limited to research from 2000 onward, which may overlook earlier foundational works in Waqf development. Practical implications - The findings suggest that regulatory reforms, digital tools and international collaborations can expand Waqf's role in addressing global challenges. Emphasizing sectors like renewable energy and sustainable agriculture could enhance Waqf's impact on economic resilience and social welfare. Originality/value - This study provides a comprehensive overview of Waqf's modern evolution, synthesizing research trends and offering insights into its role within contemporary Islamic finance. It serves as a resource for scholars and policymakers interested in Waqf's potential to address current socio-economic issues.</t>
  </si>
  <si>
    <t>[Jafar, Ahmad; Ibrahim, Hafsa] Minhaj Univ Lahore, Sch Islamic Econ Banking &amp; Finance, Lahore, Pakistan; [Malik, Rizwan] Bahrain Inst Banking &amp; Finance, Islamic Finance Ctr, Manama, Bahrain</t>
  </si>
  <si>
    <t>Minhaj University</t>
  </si>
  <si>
    <t>Jafar, A (corresponding author), Minhaj Univ Lahore, Sch Islamic Econ Banking &amp; Finance, Lahore, Pakistan.</t>
  </si>
  <si>
    <t>ahmadjafar6565@gmail.com; hfsaibrahim160@gmail.com; rizwanmalic@gmail.com</t>
  </si>
  <si>
    <t>Jafar, Ahmad/AGS-2787-2022</t>
  </si>
  <si>
    <t>Jafar, Ahmad/0000-0003-1895-5617</t>
  </si>
  <si>
    <t>10.1108/IJOES-10-2024-0354</t>
  </si>
  <si>
    <t>2GC1T</t>
  </si>
  <si>
    <t>WOS:001481824700001</t>
  </si>
  <si>
    <t>Jeremías, LDM; Peña, AIP</t>
  </si>
  <si>
    <t>Martillo Jeremias, Luis Daniel; Polo Pena, Ana Isabel</t>
  </si>
  <si>
    <t>Exploring the antecedents of retail banks' reputation in low-bankarization markets: brand equity, value co-creation and brand experience</t>
  </si>
  <si>
    <t>Value co-creation; Reputation; Brand equity; Brand experience; Unbanked population</t>
  </si>
  <si>
    <t>FINANCIAL SERVICES; CORPORATE REPUTATION; DOMINANT LOGIC; INDUSTRY; DESIGN</t>
  </si>
  <si>
    <t>Purpose The present study aims to propose and validate a model to measure certain variables that may contribute to increasing the bankarization rate (uptake of retail banking services) among developing-economy populations characterized by poor financial literacy and low income levels. Design/methodology/approach A quantitative empirical study is carried out in the retail banking sector of a country with low-bankarization rates. Using a self-administered questionnaire distributed online, structural equation modeling is applied to analyze the relationships between value co-creation, brand experience, brand equity and reputation. Findings The results show that brand equity is an antecedent of reputation that values co-creation, and brand experience positively influences brand equity and that values co-creation that positively influences brand experience. Social implications The bankarization rate of a developing country is generally taken as an indicator of the socioeconomic wellbeing of its population. Where there is a low-bankarization rate, this renders it more difficult for financial institutions to build their reputation to attract new customers and retain existing ones. Strategies are, therefore, proposed to improve the reputation of financial institutions in such settings and, thus, contribute to increasing the bankarization rate. Originality/value The findings of this study provide an original perspective that offers a deeper understanding of the mechanisms that enable banks operating in low-bankarization markets to enhance their reputation through strategies based on customer-company interaction and branding (with the variables of brand equity, brand experience and value co-creation).</t>
  </si>
  <si>
    <t>[Martillo Jeremias, Luis Daniel; Polo Pena, Ana Isabel] Univ Granada, Mkt &amp; Market Res, Granada, Spain; [Martillo Jeremias, Luis Daniel] Banco Bolivariano, Guayaquil, Ecuador</t>
  </si>
  <si>
    <t>Peña, AIP (corresponding author), Univ Granada, Mkt &amp; Market Res, Granada, Spain.</t>
  </si>
  <si>
    <t>apolo@ugr.es</t>
  </si>
  <si>
    <t>Polo Peña, Ana Isabel/AAB-2506-2019</t>
  </si>
  <si>
    <t>Polo Peña, Ana Isabel/0000-0002-8479-0673</t>
  </si>
  <si>
    <t>10.1108/IJBM-10-2020-0519</t>
  </si>
  <si>
    <t>WOS:000688352700001</t>
  </si>
  <si>
    <t>Civelek, M; Kljucnikov, A; Kristofík, P; Rozsa, Z</t>
  </si>
  <si>
    <t>Civelek, Mehmet; Kljucnikov, Aleksandr; Kristofik, Peter; Rozsa, Zoltan</t>
  </si>
  <si>
    <t>BARRIERS IN FINANCING MICROENTERPRISES FROM THE PERSPECTIVE OF CZECH AND SLOVAK MICROENTREPRENEURS</t>
  </si>
  <si>
    <t>JOURNAL OF BUSINESS ECONOMICS AND MANAGEMENT</t>
  </si>
  <si>
    <t>microenterprises; SMEs; bank financing; microfinancing; Slovakia; Czech Republic; financial constraints</t>
  </si>
  <si>
    <t>BANK MARKET POWER; FIRM CHARACTERISTICS; CREDIT; PERFORMANCE; SMES; DETERMINANTS; MICROFINANCE; GROWTH; MICRO; CONSTRAINTS</t>
  </si>
  <si>
    <t>This paper compares how Czech and Slovak microentrepreneurs perceive the volume and ease of access to finance that they face. Having an adequate number of sources of finance and easier access to them can help improve both enterprise and country performance. Chi-square and Z score tests for population proportions were used to test hypotheses. 740 microenterprises from Czech Republic and 287 microenterprises from Slovakia were included for the analyses that were performed by this study. The results show that Czech microentrepreneurs feel they have more sources of finance and have easier access to them than their Slovak counterparts. These differences may in part be linked to other factors such as the experience and age of microentrepreneurs and micro-firms, amount of business loans and microfinancing organizations, credit interest rates and credit rejection rates, the relative degree of economic freedom, the volume of government guarantees, relative GDP levels, the quality of business environment and ease of doing business. Additionally, The Moran's I spatial autocorrelation index was performed to evaluate influence of location on the perception of Czech and Slovak microenterprises that were located in different regions of both countries. The paper also discusses the results' policy implications for governments and financial institutions.</t>
  </si>
  <si>
    <t>[Civelek, Mehmet] Tomas Bata Univ Zlin, Fac Management &amp; Econ, Mostni 5139, Zlin 76001, Czech Republic; [Kljucnikov, Aleksandr] Pan European Univ, Fac Econ &amp; Business, Tematinska 10, Bratislava 85105, Slovakia; [Kristofik, Peter] Univ Matej Bel Banska Bystrica, Fac Econ, Tajovskeho 10, Banska Bystrica 97590, Slovakia; [Rozsa, Zoltan] Alexander Dubcek Univ Trencin, Fac Social &amp; Econ Relat, Studentska 1638-3, Trencin 91150, Slovakia</t>
  </si>
  <si>
    <t>Tomas Bata University Zlin; Pan-European University; Matej Bel University; Alexander Dubcek University Trencin</t>
  </si>
  <si>
    <t>Civelek, M (corresponding author), Tomas Bata Univ Zlin, Fac Management &amp; Econ, Mostni 5139, Zlin 76001, Czech Republic.</t>
  </si>
  <si>
    <t>civelek@fame.utb.cz</t>
  </si>
  <si>
    <t>Ključnikov, Aleksan/K-6273-2018; Kristofik, Peter/Y-6968-2019; Rozsa, Zoltan/E-1043-2013</t>
  </si>
  <si>
    <t>Ključnikov, Aleksan/0000-0003-0350-2658; Kristofik, Peter/0000-0002-7612-0418; Civelek, Mehmet/0000-0002-1247-5308; Rozsa, Zoltan/0000-0002-5748-5702</t>
  </si>
  <si>
    <t>Internal Grant Agency of Univerzita Tomase Bati ve Zline [IGA/FaME/2019/002]</t>
  </si>
  <si>
    <t>Internal Grant Agency of Univerzita Tomase Bati ve Zline</t>
  </si>
  <si>
    <t>This work was supported by the Internal Grant Agency of Univerzita Tomase Bati ve Zline, Project No. IGA/FaME/2019/002, The role of institutional environment in fostering entrepreneurship.</t>
  </si>
  <si>
    <t>1611-1699</t>
  </si>
  <si>
    <t>2029-4433</t>
  </si>
  <si>
    <t>J BUS ECON MANAG</t>
  </si>
  <si>
    <t>J. Bus. Econ. Manag.</t>
  </si>
  <si>
    <t>10.3846/jbem.2019.8114</t>
  </si>
  <si>
    <t>HS1IE</t>
  </si>
  <si>
    <t>WOS:000463614700003</t>
  </si>
  <si>
    <t>Du, Q; Wu, N; Zhang, FY; Lei, YT; Saeed, A</t>
  </si>
  <si>
    <t>Du, Qiang; Wu, Na; Zhang, Fengyi; Lei, Yuting; Saeed, Asif</t>
  </si>
  <si>
    <t>Impact of financial inclusion and human capital on environmental quality: evidence from emerging economies</t>
  </si>
  <si>
    <t>Financial inclusion; Human capital; Environmental quality; Natural resources; Income</t>
  </si>
  <si>
    <t>ENERGY-CONSUMPTION; CO2 EMISSIONS; QUANTILE REGRESSION; RESOURCE CURSE; GROWTH; FDI; SYSTEMS; SOUTH; NEXUS</t>
  </si>
  <si>
    <t>Emerging nations have recorded significant economic development over the last few decades, which has increased natural resources extraction and consumption. On account of rising development, the financial sectors of these nations are continuously expanding their services and products. These countries are also experiencing increasing environmental deterioration which requires raising the level of environmental awareness and seeking different mitigation options. Against this backdrop, this research studies the role of financial inclusion and human capital in the environmental quality of emerging nations. To do so, the panel data from 2004 to 2019 is collected and second-generation econometric methodologies are utilized to analyze the data. Controlling remittances, economic growth, and natural resources, the study revealed cointegration among variables. The results of the panel quantile regression indicated that financial inclusion improves the environmental quality of emerging countries as it is negatively connected with CO2. However, human capital in these nations adds to environmental deterioration. Likewise, natural resources and economic growth raise CO2, and therefore, reduce environmental quality. Apart from this, remittances are playing a critical role in reducing CO2. After this, the research utilized the Cup-FM and Cup-BC methods and noticed a similar association among variables. Lastly, policy implications of these findings are discussed.</t>
  </si>
  <si>
    <t>[Du, Qiang] Sanda Univ, Business Sch, Shanghai, Peoples R China; [Wu, Na] Guangzhou Panyu Polytech, Finance &amp; Econ, Guangzhou, Peoples R China; [Zhang, Fengyi] Xiangtan Univ, Commercial Sch, Xiangtan, Peoples R China; [Lei, Yuting] Xian Int Studies Univ, Business Sch, Xian, Peoples R China; [Saeed, Asif] Natl Univ Comp &amp; Emerging Sci, FSM, Lahore, Pakistan</t>
  </si>
  <si>
    <t>Sanda University; Guangzhou Polytechnic University; Xiangtan University; Xi'an International Studies University</t>
  </si>
  <si>
    <t>Wu, N (corresponding author), Guangzhou Panyu Polytech, Finance &amp; Econ, Guangzhou, Peoples R China.</t>
  </si>
  <si>
    <t>qdu@sandau.edu.cn; 25502006@qq.com; 1249177302@qq.com; 1412567586@qq.com; asif.saeed@outlook.com</t>
  </si>
  <si>
    <t>Saeed, Asif/ACI-0667-2022</t>
  </si>
  <si>
    <t>Saeed, Asif/0000-0002-6003-7871</t>
  </si>
  <si>
    <t>10.1007/s11356-021-17945-x</t>
  </si>
  <si>
    <t>1A1DH</t>
  </si>
  <si>
    <t>WOS:000742328900003</t>
  </si>
  <si>
    <t>Gafoor, A; Amilan, S</t>
  </si>
  <si>
    <t>Gafoor, Abdul; Amilan, S.</t>
  </si>
  <si>
    <t>Fintech adoption and financial well-being of persons with disabilities: the mediating role of financial access, financial knowledge and financial behaviour</t>
  </si>
  <si>
    <t>Financial behaviour; Financial well-being; Persons with disabilities (PWDs); Fintech; Financial knowledge; Financial access; PLS-SEM</t>
  </si>
  <si>
    <t>LITERACY; POVERTY</t>
  </si>
  <si>
    <t>PurposeThe prime purpose of the study is to analyse the effect of fintech adoption on the financial well-being of persons with disabilities (PWDs), considering the intervening role of financial behaviour, financial access and financial knowledge.Design/methodology/approachA self-administered survey schedule collected primary data on fintech adoption and financial well-being among 205 PWD, through snowball sampling from January to May 2023. Researchers used exploratory factor analysis to identify reliable factors and PLS-SEM for testing mediation and research hypotheses.FindingsThe study's outcome found that fintech adoption does not directly impact the financial well-being of PWDs. Instead, the impact on financial well-being is explained by mediating factors like financial access, financial knowledge and financial behaviour. Financial access is the most significant among these mediating factors.Research limitations/implicationsThe study demonstrates the significance of mediating factors in comprehending the influence of fintech adoption on financial well-being. These results underpin existing literature on determinants of financial well-being.Practical implicationsFindings evidenced that developing disabled-friendly fintech tools can enhance financial access, reduce inequality and improve the financial well-being of PWDs, which would be helpful for public policymakers.Originality/valueThere has been no comprehensive study conducted on this topic, particularly among PWDs. In the current study, an effort is being made to examine the relative effects of fintech adoption on financial well-being directly and indirectly through mediating variables.Peer reviewThe peer review history for this article is available at: https://publons.com/publon/10.1108/IJSE-08-2023-0596</t>
  </si>
  <si>
    <t>[Gafoor, Abdul; Amilan, S.] Pondicherry Univ, Dept Commerce, Karaikal Campus, Karaikal, India</t>
  </si>
  <si>
    <t>Gafoor, A (corresponding author), Pondicherry Univ, Dept Commerce, Karaikal Campus, Karaikal, India.</t>
  </si>
  <si>
    <t>gafooribm1996@gmail.com</t>
  </si>
  <si>
    <t>S, Amilan/JNS-5606-2023; GAFOOR, ABDUL/KAM-7321-2024</t>
  </si>
  <si>
    <t>S, Amilan/0000-0001-7609-2886; GAFOOR, ABDUL/0009-0005-0432-0276</t>
  </si>
  <si>
    <t>University Grants Commission</t>
  </si>
  <si>
    <t>University Grants Commission(University Grants Commission, India)</t>
  </si>
  <si>
    <t>We extend our gratitude to the Editor-in-Chief of the journal, the anonymous reviewers for their valuable feedback, and the University Grants Commission for providing financial assistance in the form of a junior research fellowship.</t>
  </si>
  <si>
    <t>10.1108/IJSE-08-2023-0596</t>
  </si>
  <si>
    <t>H2X1Y</t>
  </si>
  <si>
    <t>WOS:001180540600001</t>
  </si>
  <si>
    <t>Saif-Alyousfi, AYH; Alshammari, TR</t>
  </si>
  <si>
    <t>Saif-Alyousfi, Abdulazeez Y. H.; Alshammari, Turki Rashed</t>
  </si>
  <si>
    <t>The Effects of COVID-19 on Agricultural Financing in Sub-Saharan Africa: A Cross-Country Analysis</t>
  </si>
  <si>
    <t>RESEARCH ON WORLD AGRICULTURAL ECONOMY</t>
  </si>
  <si>
    <t>COVID-19; Agricultural Financing; Sub-Saharan Africa; Digital Financial Services; Smallholder and Women Farmers; Economic Diversification; Sustainable Financing; Policy Intervention</t>
  </si>
  <si>
    <t>This study examines the impact of the COVID-19 pandemic on agricultural financing in Sub-Saharan Africa be- tween 2019 and 2023, focusing on the long-term implications for the sector's resilience and recovery. Using pooled ordinary least squares (OLS), two-stage least squares (2SLS) and generalized method of moments (GMM), the anal- ysis reveals that the pandemic significantly disrupted agricultural financing, with smallholder farmers and women farmers facing the greatest challenges in accessing financial resources. The study emphasizes the pivotal role of digital financial services, such as mobile money platforms, in mitigating these effects, particularly in regions with underdeveloped traditional financial systems. Furthermore, the research highlights the importance of government policy responses, economic diversification, and sustainable financing models in fostering recovery. Regions with stronger financial infrastructures and diversified economies demonstrated greater resilience, while less diversified areas struggled to maintain agricultural financing. The study advocates for targeted policy interventions to improve financial inclusion and support the agricultural sector's recovery. It also calls for the expansion of digital financial ecosystems, the development of inclusive financial products, and the integration of sustainable financing models to enhance the sector's long-term resilience. These findings provide critical insights for policymakers, financial insti- tutions, and development organizations seeking to strengthen agricultural financing and ensure a more sustainable future for the sector in Sub-Saharan Africa.</t>
  </si>
  <si>
    <t>[Saif-Alyousfi, Abdulazeez Y. H.; Alshammari, Turki Rashed] Univ Hafr Al Batin, Coll Business Adm, Dept Business Adm, Financial Management Program, Hafar al Batin 39524, Saudi Arabia</t>
  </si>
  <si>
    <t>Hafr Albatin University</t>
  </si>
  <si>
    <t>Saif-Alyousfi, AYH (corresponding author), Univ Hafr Al Batin, Coll Business Adm, Dept Business Adm, Financial Management Program, Hafar al Batin 39524, Saudi Arabia.</t>
  </si>
  <si>
    <t>abdulazeezalyousfi@uhb.edu.sa</t>
  </si>
  <si>
    <t>; Saif-Alyousfi, Abdulazeez/AAO-6507-2020; Alshammari, Turki/IAQ-1961-2023</t>
  </si>
  <si>
    <t>Alshammari, Turki/0000-0002-8609-4997;</t>
  </si>
  <si>
    <t>Nan Yang Acad Sciences - NASS</t>
  </si>
  <si>
    <t>Singapore</t>
  </si>
  <si>
    <t>12 Eu Tong Sen Street, #07-169, Singapore, SINGAPORE</t>
  </si>
  <si>
    <t>2737-4777</t>
  </si>
  <si>
    <t>2737-4785</t>
  </si>
  <si>
    <t>RES WORLD AGR ECON</t>
  </si>
  <si>
    <t>Res. World Agric. Econ.</t>
  </si>
  <si>
    <t>10.36956/rwae.v6i2.1812</t>
  </si>
  <si>
    <t>2AR4P</t>
  </si>
  <si>
    <t>WOS:001478147600016</t>
  </si>
  <si>
    <t>Woldie, A; Nzekwu, JC; Thomas, BC</t>
  </si>
  <si>
    <t>Ndubisi, NO; Nwankwo, S</t>
  </si>
  <si>
    <t>Woldie, Atsede; Nzekwu, John C.; Thomas, Brychan C.</t>
  </si>
  <si>
    <t>Access to Micro Enterprise Financing in Nigeria</t>
  </si>
  <si>
    <t>ENTERPRISE DEVELOPMENT IN SMES AND ENTREPRENEURIAL FIRMS: DYNAMIC PROCESSES</t>
  </si>
  <si>
    <t>FIRMS</t>
  </si>
  <si>
    <t>This study outlines a preliminary survey into access to finance, as experienced by micro enterprises (MEs) in Nigeria. It also aims to gain insight into the financing behaviour of ME enterprise owner/managers in Nigeria and factors that constrain access and create a lack of co-operation between firms and banks.</t>
  </si>
  <si>
    <t>[Woldie, Atsede; Nzekwu, John C.; Thomas, Brychan C.] Univ Glamorgan, Pontypridd CF37 1DL, M Glam, Wales</t>
  </si>
  <si>
    <t>University of South Wales</t>
  </si>
  <si>
    <t>Woldie, A (corresponding author), Univ Glamorgan, Pontypridd CF37 1DL, M Glam, Wales.</t>
  </si>
  <si>
    <t>978-1-4666-2953-0; 978-1-4666-2952-3</t>
  </si>
  <si>
    <t>10.4018/978-1-4666-2952-3.ch017</t>
  </si>
  <si>
    <t>10.4018/978-1-4666-2952-3</t>
  </si>
  <si>
    <t>BGP23</t>
  </si>
  <si>
    <t>WOS:000323704000017</t>
  </si>
  <si>
    <t>Cumming, D; Johan, S; Reardon, R</t>
  </si>
  <si>
    <t>Cumming, Douglas; Johan, Sofia; Reardon, Robert</t>
  </si>
  <si>
    <t>Global fintech trends and their impact on international business: a review</t>
  </si>
  <si>
    <t>MULTINATIONAL BUSINESS REVIEW</t>
  </si>
  <si>
    <t>Fintech; Digital finance; Financial inclusion; International business; Internet banking; Mobile money; Crowdfunding; P2P</t>
  </si>
  <si>
    <t>LENDING PLATFORMS; DISCRIMINATION; INNOVATION; BANKING</t>
  </si>
  <si>
    <t>PurposeThis paper aims to provide an in-depth examination of the emergent state of financial technology (fintech), particularly emphasizing capital-raising innovations and their implications for international business. Design/methodology/approachUsing the highly influential articles published in fintech, the authors identify the advantages and disadvantages of each significant fintech in the credit, deposit and capital-raising services sector. The authors assess the adoption of these services and the international firm-level implications of their use. FindingsThis study highlights fintech's role in fostering entrepreneurial internationalization, with a particular focus on the impact of crowdfunding, peer-to-peer lending and online banking. A thorough analysis of Google Scholar citations uncovers research gaps and unveils emerging trends bridging international business and fintech. Furthermore, the examination of regulatory efforts presents evidence of a robust positive relationship between global e-commerce legislation and fintech adoption, demonstrating the interconnected nature of these elements in the world of international business. Research limitations/implicationsFintech research in international business has only taken off in the last five years. Innovations and regulatory developments are continuously evolving. Originality/valueThis study emphasizes the significance of fintech in international business research, addressing its implications on regulatory environments, entrepreneurial internationalization and multinational corporations' global strategies. By investigating the synergies and applications of various fintech types, the research provides valuable insights for scholars and practitioners, contributing to the advancement of knowledge in the field of international finance.</t>
  </si>
  <si>
    <t>[Cumming, Douglas; Johan, Sofia; Reardon, Robert] Florida Atlantic Univ, Coll Business, Boca Raton, FL 33431 USA</t>
  </si>
  <si>
    <t>State University System of Florida; Florida Atlantic University</t>
  </si>
  <si>
    <t>cummingd@fau.edu; sjohan@fau.edu; rreardon2020@fau.edu</t>
  </si>
  <si>
    <t>Reardon, Robert/GLU-2540-2022; Cumming, Douglas/GYD-3400-2022; Johan, Sofia/GYD-4711-2022</t>
  </si>
  <si>
    <t>Cumming, Douglas/0000-0003-4366-6112;</t>
  </si>
  <si>
    <t>1525-383X</t>
  </si>
  <si>
    <t>2054-1686</t>
  </si>
  <si>
    <t>MULTINATL BUS REV</t>
  </si>
  <si>
    <t>Multinatl. Bus. Rev.</t>
  </si>
  <si>
    <t>10.1108/MBR-05-2023-0077</t>
  </si>
  <si>
    <t>N4NZ0</t>
  </si>
  <si>
    <t>WOS:001030863300001</t>
  </si>
  <si>
    <t>Lucic, A; Uzelac, M; Previsic, A</t>
  </si>
  <si>
    <t>Lucic, Andrea; Uzelac, Marija; Previsic, Andrea</t>
  </si>
  <si>
    <t>The power of materialism among young adults: exploring the effects of values on impulsiveness and responsible financial behavior</t>
  </si>
  <si>
    <t>YOUNG CONSUMERS</t>
  </si>
  <si>
    <t>Young adults; Materialism; Impulsiveness; Financial behavior; Responsible financial behavior</t>
  </si>
  <si>
    <t>CONSPICUOUS CONSUMPTION; MANAGEMENT BEHAVIOR; MODERATING ROLE; PLS-SEM; LIFE; KNOWLEDGE; SATISFACTION; PERSONALITY; TENDENCIES; SCALES</t>
  </si>
  <si>
    <t>Purpose The purpose of this paper is to investigate the effects of values of materialism on cognitive and affective impulsiveness and responsible financial behavior among young adults. Design/methodology/approach A large-scale study (n = 483) was conducted on a sample of young adults 18 to 25 years of age in Croatia. Findings The research found that materialism has no direct effect on responsible financial behaviour (RFB), however, cognitive impulsiveness fully mediates the relationship of all three there three elements of materialism, centrality, success and happiness and RFB. Affective impulsiveness has no effect on the relationship. Furthermore, only materialism as centrality strongly and positively influences cognitive and affective impulsiveness. Practical implications Presented conclusions could be used by policymakers as guidelines for developing educational plans and curriculum to build financial capability and consumer protection among young adults and could be helpful for brand management activities targeting young people purchase decisions. Originality/value This paper's ultimate purpose is to uncover the mechanism and the power of materialism on impulsiveness and responsible financial behavior. The paper's originality is established by the focus on the investigation of materialism as an antecedent factor of impulsiveness and by questioning the nature of the relationship between materialism and responsible financial behavior through the mediating effect of impulsiveness.</t>
  </si>
  <si>
    <t>[Lucic, Andrea; Uzelac, Marija] Univ Zagreb, Fac Econ &amp; Business, Dept Mkt, Split, Croatia; [Previsic, Andrea] Pipi Beverages, Dept Mkt, Split, Croatia</t>
  </si>
  <si>
    <t>Lucic, A (corresponding author), Univ Zagreb, Fac Econ &amp; Business, Dept Mkt, Split, Croatia.</t>
  </si>
  <si>
    <t>Ježovit, Marija/0000-0003-2349-9185; Lučić, Anea/0000-0002-3391-2503</t>
  </si>
  <si>
    <t>This paper is based on research undertaken in the frame of the Project of the Croatian Science Foundation - UIP-2019-04-3580 EfFICAcY - Empowering financial capability of young consumers through education and behavioural intervention.</t>
  </si>
  <si>
    <t>1758-7212</t>
  </si>
  <si>
    <t>1747-3616</t>
  </si>
  <si>
    <t>YOUNG CONSUM</t>
  </si>
  <si>
    <t>Young Consum.</t>
  </si>
  <si>
    <t>JUL 7</t>
  </si>
  <si>
    <t>10.1108/YC-09-2020-1213</t>
  </si>
  <si>
    <t>TL1FL</t>
  </si>
  <si>
    <t>WOS:000637846000001</t>
  </si>
  <si>
    <t>Leveraging machine learning for predictive insights in robo-advisory adoption: a marketing analytics approach</t>
  </si>
  <si>
    <t>JOURNAL OF MARKETING ANALYTICS</t>
  </si>
  <si>
    <t>Predictive modeling; Logistic regression; Tree-based model; Machine learning; Model evaluation; Robo-advisory; C20; C21; D90; G41</t>
  </si>
  <si>
    <t>LOGISTIC-REGRESSION; CLASSIFICATION; TECHNOLOGY; SERVICE; ACCURACY; ADVISERS; UTAUT; TREES</t>
  </si>
  <si>
    <t>The rise of machine learning has gradually reshaped the service industry. In recent decades, the emergence of many new financial technologies (Fintech), such as robo-advisors, has garnered significant attention from both academic researchers and industry practitioners. Motivated by the rapid growth of assets under management by robo-advisors and the increasing popularity of machine learning in different domains, the present study provides an example of using four machine learning techniques: Logistic regression, classification tree, random forest, and boosting to help identify potential users of robo-advisors. Data were extracted from the National Financial Capability Study 2015 (NFCS2015). Different model evaluation measurements have shown that the logistic regression model offers more prediction accuracy with a selected probability threshold compared to other models studied in this paper. Moreover, while both logistic regression and tree-based models reveal that age is a significant predictor for robo-advisory adoption, we believe that this result needs to be interpreted with care. Interestingly, we find that the influence of financial knowledge on robo-advisory adoption is only significant within people between 18 and 34, indicating a heterogeneous effect of financial knowledge based on age. Our finding underscores the importance of considering the varying effect of financial literacy when promoting robo-advisory adoption in retail markets.</t>
  </si>
  <si>
    <t>2050-3318</t>
  </si>
  <si>
    <t>2050-3326</t>
  </si>
  <si>
    <t>J MARK ANAL</t>
  </si>
  <si>
    <t>J. Market. Anal.</t>
  </si>
  <si>
    <t>2024 NOV 21</t>
  </si>
  <si>
    <t>10.1057/s41270-024-00364-5</t>
  </si>
  <si>
    <t>M7T9U</t>
  </si>
  <si>
    <t>WOS:001359534500001</t>
  </si>
  <si>
    <t>Piehlmaier, DM</t>
  </si>
  <si>
    <t>Piehlmaier, Dominik M.</t>
  </si>
  <si>
    <t>Overconfidence and the adoption of robo-advice: why overconfident investors drive the expansion of automated financial advice</t>
  </si>
  <si>
    <t>Overconfidence; Robo-advice; Divergence of opinions; Diffusion of innovation</t>
  </si>
  <si>
    <t>ITEM RESPONSE THEORY; ARTIFICIAL-INTELLIGENCE; ACCEPTANCE; DIVERGENCE; INVESTMENT; KNOWLEDGE; LITERACY; ADVISERS; RETURNS; CEOS</t>
  </si>
  <si>
    <t>Adaptive online platforms, powered by artificial intelligence, commonly referred to as robo-advice, steadily increase their market share. Yet these comparably new financial services are critically understudied. Little is known about why some investors adopt robo-advice for something as essential as asset allocation. The current paper tries to close this gap by shedding light on the causal effect of investor overconfidence on the propensity of using robo-advice. The study proposes a theoretical framework that combines the divergence of opinion hypothesis with consumer behavior insights and information technology diffusion research. The framework is empirically tested on the Investor Sample of the 2015 National Financial Capability Study, a subsample of 2000 US investors. The results from a series of generalized linear, structural, and semiparametric models show that in a pre-chasm market, overconfident investors have a significantly higher propensity of adopting robo-advice. While higher financial literacy seems to decrease robo-advice uptake, unjustified confidence in one's knowledge causally increases it. Willingness to take financial risk cannot account for the significantly increased adoption of robo-advice among overconfident investors. The findings help managers to better position robo-advice by offering behavioral insights into their user base. In addition, the results outline a managerial tool to take demand-side actions to increase the likelihood of an end-user innovation crossing the chasm.</t>
  </si>
  <si>
    <t>[Piehlmaier, Dominik M.] Univ Sussex, Business Sch, Brighton, E Sussex, England</t>
  </si>
  <si>
    <t>Piehlmaier, DM (corresponding author), Univ Sussex, Business Sch, Brighton, E Sussex, England.</t>
  </si>
  <si>
    <t>D.M.Piehlmaier@sussex.ac.uk</t>
  </si>
  <si>
    <t>Piehlmaier, Dominik/0000-0003-0229-7007</t>
  </si>
  <si>
    <t>10.1186/s40854-021-00324-3</t>
  </si>
  <si>
    <t>YV7JT</t>
  </si>
  <si>
    <t>WOS:000752903500001</t>
  </si>
  <si>
    <t>Kumar, S; Verma, A</t>
  </si>
  <si>
    <t>Kumar, Sandeep; Verma, Amandeep</t>
  </si>
  <si>
    <t>Evaluating the Financial Performance of Payment Banks in India Since COVID-19 Pandemic: Using the GMM and Dynamic OLS Approach</t>
  </si>
  <si>
    <t>Payments banks; financial services; GMM; COVID-19; ROA; profitability</t>
  </si>
  <si>
    <t>PANEL COINTEGRATION; CUSTOMER ADOPTION; PROFITABILITY; DETERMINANTS; TECHNOLOGY; EXCLUSION; FINTECH; TESTS</t>
  </si>
  <si>
    <t>During the COVID-19 lockdown, Indian migrant population face heightened vulnerability. Payment banks (PBs) were established to boost financial inclusion, catering to migrant labour, small businesses and low-income households with savings accounts and digital services. The study empirically evaluates the performance of six PBs, namely Airtel Payments Bank, India Post Payments Bank, Fino Payments Bank, National Securities Depository Limited Payments Bank, Jio Payments Bank and Paytm Payments Bank, encompassing annual panel data spanning from 2019 to 2022, and analysing financial metrics such as return on assets (ROA), profit margin, liquidity, banking business, leverage and efficiency to determine their impact on economic activities. Using the generalized method of moments and dynamic ordinary least squares, it is observed that all explanatory variables yielded a positive outcome, emphasizing the importance of PBs for those factors determining the profitability of bank operations. Payment banks have registered negative ROA and high operating expenses, although Airtel, Fino and Paytm Payments Banks exhibit profitable businesses among six. It is recognized that PBs play a crucial role in promoting financial services, promoting digital transactions and assisting India to achieve larger economic development objectives. The study recommended PBs to prioritize technological collaboration, efficient operations, financial literacy and regular monitoring of financial health, and encouraged payment banks to lend to micro-businesses within MSMEs for economic growth.</t>
  </si>
  <si>
    <t>[Kumar, Sandeep; Verma, Amandeep] Cent Univ Haryana, Mahendargarh, Haryana, India</t>
  </si>
  <si>
    <t>Central University of Haryana</t>
  </si>
  <si>
    <t>Verma, A (corresponding author), Cent Univ Haryana, Dept Econ, Mahendergarh 123031, Haryana, India.</t>
  </si>
  <si>
    <t>dramandeep@cuh.ac.in</t>
  </si>
  <si>
    <t>Verma, Amandeep/0000-0003-4380-6883</t>
  </si>
  <si>
    <t>10.1177/09763996251324616</t>
  </si>
  <si>
    <t>0SC1V</t>
  </si>
  <si>
    <t>WOS:001454689900001</t>
  </si>
  <si>
    <t>Budiyanto, A; Lubis, I; Pamungkas, IB; Maulana, AE</t>
  </si>
  <si>
    <t>Budiyanto, Arief; Lubis, Iman; Pamungkas, Ibrahim Bali; Maulana, Asep Erlan</t>
  </si>
  <si>
    <t>TECHNOLOGY ACCEPTANCE MODEL, TRUST, AND FINANCIAL BEHAVIOR IN SHAPING CONSUMER WELL-BEING: INSIGHTS FROM FINTECH ADOPTION IN URBAN INDONESIA</t>
  </si>
  <si>
    <t>consumer well-being; fintech adoption; digital financial services; trust; TAM; financial inclusion</t>
  </si>
  <si>
    <t>Consumer well-being reflects subjective physical, emotional, and psychological satisfaction derived from services. This study investigates how the Technology Acceptance Model (TAM), trust, and intention to use fintech services influence consumer well-being in urban Indonesia, with financial behavior as a moderating variable. The research surveyed 390 active fintech users in the Jabodetabek metropolitan area in Indonesia, which includes Jakarta, Bogor, Depok Tangerang, and Bekasi selected due to their high engagement with digital financial services, with the survey being conducted over a three-month period from May to July 2024. The findings reveal that TAM and trust significantly influence consumers' intention to use fintech services, which mediates their impact on consumer well-being. Notably, intention to use has the strongest direct effect on well-being (path coefficient = 0.548, p &lt; 0.001). However, financial behavior does not significantly moderate the relationship between intention to use and wellbeing (p = 0.441). These results highlight the pivotal role of trust and ease of access in enhancing consumer satisfaction. From a practical perspective, the findings suggest that fintech providers and policymakers should focus on financial literacy to mitigate risks associated with unregulated fintech use. This study extends theoretical insights into the intersection of technology acceptance and consumer behavior, emphasizing the importance of user-centered approaches. Future research should explore these dynamics in rural contexts to compare community-specific impacts.</t>
  </si>
  <si>
    <t>[Budiyanto, Arief; Lubis, Iman; Pamungkas, Ibrahim Bali] Pamulang Univ, Fac Econ &amp; Business, Dept Management, South Tangerang, Indonesia; [Maulana, Asep Erlan] Pamulang Univ, Fac Comp Sci, Informat Engn Study Program, South Tangerang, Indonesia</t>
  </si>
  <si>
    <t>Budiyanto, A (corresponding author), Pamulang Univ, Fac Econ &amp; Business, Dept Management, South Tangerang, Indonesia.</t>
  </si>
  <si>
    <t>, Arief Budiyanto/0009-0006-4214-9753; Maulana, Asep Erlan/0000-0003-3290-9334; Lubis, Iman/0000-0002-6883-8681</t>
  </si>
  <si>
    <t>Directorate of Research, Technology and Community Service (DRTPM) of the Indonesian Ministry of Education and Culture [0667/E5/AL.04/2024]</t>
  </si>
  <si>
    <t>Directorate of Research, Technology and Community Service (DRTPM) of the Indonesian Ministry of Education and Culture</t>
  </si>
  <si>
    <t>This research was funded by Directorate of Research, Technology and Community Service (DRTPM) of the Indonesian Ministry of Education and Culture in 2024 with the National Competitive Basic Research Grant scheme with contract 0667/E5/AL.04/2024.</t>
  </si>
  <si>
    <t>10.21511/im.21(2).2025.16</t>
  </si>
  <si>
    <t>4UK5F</t>
  </si>
  <si>
    <t>WOS:001526916100006</t>
  </si>
  <si>
    <t>Temperini, J; Corsi, M</t>
  </si>
  <si>
    <t>Temperini, Jacopo; Corsi, Marcella</t>
  </si>
  <si>
    <t>Democratizing money? The role of cryptocurrencies</t>
  </si>
  <si>
    <t>PSL QUARTERLY REVIEW</t>
  </si>
  <si>
    <t>Money; cryptocurrency; democratization</t>
  </si>
  <si>
    <t>DEMOCRACY; FINANCE</t>
  </si>
  <si>
    <t>The article proposes a critical perspective on the potential impact of the growing cryptocurrency ecosystem on the process of democratizing money. After examining the various interpretations of the term democratization, we focus on one interpretation: that of financial inclusion. We propose a categorization of currently available cryptocurrencies, distinguishing four macro-categories: Bitcoin; altcoins, which include all alternative and/or complementary cryptocurrencies to bitcoin; stablecoins, which are digital coins whose value is pegged to a fiat currency; and central bank digital currencies (CBDCs). We provide a description of the economic characteristics of each category and analyse how and whether these instruments can contribute to financial inclusion. While each category appears to be capable of contributing to the democratization of money, CBDCs are the only ones that can truly pursue the goal of financial inclusion. Therefore, we argue that it is not money as such that needs to be democratized, but rather the role that central banks play in the economic system.</t>
  </si>
  <si>
    <t>[Temperini, Jacopo; Corsi, Marcella] Sapienza Univ Rome, Rome, Italy</t>
  </si>
  <si>
    <t>Temperini, J (corresponding author), Sapienza Univ Rome, Rome, Italy.</t>
  </si>
  <si>
    <t>jacopo.temperini@uniroma1.it; marcella.corsi@uniroma1.it</t>
  </si>
  <si>
    <t>ASSOC PAOLO SYLOS LABINI</t>
  </si>
  <si>
    <t>ASSOC PAOLO SYLOS LABINI, ROME, 00000, ITALY</t>
  </si>
  <si>
    <t>2037-3635</t>
  </si>
  <si>
    <t>2037-3643</t>
  </si>
  <si>
    <t>PSL Q REV</t>
  </si>
  <si>
    <t>PSL Q. Rev.</t>
  </si>
  <si>
    <t>10.13133/2037-3643/17967</t>
  </si>
  <si>
    <t>H5FJ9</t>
  </si>
  <si>
    <t>WOS:000996216800003</t>
  </si>
  <si>
    <t>Kumar, V; Simran</t>
  </si>
  <si>
    <t>Kumar, Virender; Simran</t>
  </si>
  <si>
    <t>How financial development shapes globalization's impact on income inequality in Asia?</t>
  </si>
  <si>
    <t>Income inequality; Trade globalization; Technological globalization; Financial globalization; Financial development</t>
  </si>
  <si>
    <t>DEVELOPING-COUNTRIES; WAGE INEQUALITY; ECONOMIC-GROWTH; TRADE; INTEGRATION; TECHNOLOGY; OPENNESS</t>
  </si>
  <si>
    <t>Globalization in the form of increased trade, technological advancements, and capital flows has spurred economic growth and lifted millions out of poverty across Asia, but these advantages have not been equally distributed, leading to income inequality. While previous research has highlighted globalization's role in income inequality, little attention has been given to the moderating role of financial development. As Asian economies become more integrated into the global system, understanding how financial development mediates effects of globalization on income disparity has become crucial for policymakers, researchers, and practitioners. This study empirically investigates how financial development shapes the impact of globalization (trade, technological, and financial) on income inequality in Asian countries. Using a fixed effect panel data model with data for 22 Asian countries, we show that while all three modes of globalization-trade, technological and financial-aggravate the income gap, the influence of these types of globalization on income inequality is reduced when financial development takes place. In particular, the study finds that if a country is financially developed, the net effect of all types of globalization on income inequality is negative, meaning that in a financially developed country, globalization may actually help reduce income inequality. In response to these findings, we suggest policy recommendations, including increasing access to banking services and promoting financial literacy for financial inclusion, prioritizing sectors with high job creation potential, and providing reskilling support for globalization.</t>
  </si>
  <si>
    <t>[Kumar, Virender; Simran] Delhi Technol Univ, Delhi, India</t>
  </si>
  <si>
    <t>Kumar, V (corresponding author), Delhi Technol Univ, Delhi, India.</t>
  </si>
  <si>
    <t>virender0202@gmail.com</t>
  </si>
  <si>
    <t>10.1016/j.eap.2025.04.021</t>
  </si>
  <si>
    <t>2FZ1N</t>
  </si>
  <si>
    <t>WOS:001481746100001</t>
  </si>
  <si>
    <t>Bayliss, K; Fine, B; Robertson, M</t>
  </si>
  <si>
    <t>Bayliss, Kate; Fine, Ben; Robertson, Mary</t>
  </si>
  <si>
    <t>Introduction to special issue on the material cultures of financialisation</t>
  </si>
  <si>
    <t>Financialisation; material culture; systems of provision</t>
  </si>
  <si>
    <t>POLITICAL-ECONOMY; FINANCIALIZATION; FINANCE; CRISIS; LIMITS; POWER; AGE</t>
  </si>
  <si>
    <t>This paper offers a wide-ranging introduction to the symposium on the material culture of financialisation. It begins by addressing the nature of financialisation itself, drawing on a tight definition in order to distinguish the phenomenon of financialisation from its effects and from the looser associations prevalent within much of the literature such as the presence of credit or even simply (more extensive) monetary relations. In order to locate financialisation within economic and social reproduction, of which material culture is a part, close attention is paid to the distinctive forms of financialisation arising from commodification, commodity form and commodity calculation. The differences in the extent to which, and how, these prevail are addressed through the system of provision approach and its framing of material culture through its use of 10 distinctive attributes of such cultures, known as the 10Cs (Constructed, Construed, Conforming, Commodified, Contextual, Contradictory, Closed, Contested, Collective and Chaotic). The analysis is then illustrated by reference to the papers that follow in this volume which demonstrate the diverse ways in which shifting cultures have served to embed financialisation in our daily lives. The first is on the material culture of financialisation itself and this is followed by a number of case studies that include the promotion of financial literacy and financial inclusion, well-being, the media and finally two sector examples are provided on housing and water.</t>
  </si>
  <si>
    <t>[Bayliss, Kate; Fine, Ben] Univ London, Sch Oriental &amp; African Studies, Dept Econ, London, England; [Robertson, Mary] Univ Greenwich, PSIRU, London, England</t>
  </si>
  <si>
    <t>University of London; University of London School Oriental &amp; African Studies (SOAS); University of Greenwich</t>
  </si>
  <si>
    <t>Bayliss, K (corresponding author), Univ London, Sch Oriental &amp; African Studies, Dept Econ, London, England.</t>
  </si>
  <si>
    <t>bf@soas.ac.uk</t>
  </si>
  <si>
    <t>Bayliss, Kate/AAR-3329-2021</t>
  </si>
  <si>
    <t>Bayliss, Kate/0000-0001-9018-5085</t>
  </si>
  <si>
    <t>project Financialization Economy Society and Sustainable Development (FESSUD) - European Union [266800]; National Health and Medical Research Council (NHMRC) [266800] Funding Source: National Health and Medical Research Council (NHMRC)</t>
  </si>
  <si>
    <t>project Financialization Economy Society and Sustainable Development (FESSUD) - European Union; National Health and Medical Research Council (NHMRC)(National Health &amp; Medical Research Council (NHMRC) of Australia)</t>
  </si>
  <si>
    <t>Research for this paper was supported by the project Financialization Economy Society and Sustainable Development (FESSUD), which is funded by the European Union under Framework Programme 7 [contract number 266800].</t>
  </si>
  <si>
    <t>10.1080/13563467.2017.1259304</t>
  </si>
  <si>
    <t>WOS:000402863400001</t>
  </si>
  <si>
    <t>Shi, Z; Qamruzzaman, M</t>
  </si>
  <si>
    <t>Shi, Zheng; Qamruzzaman, Md.</t>
  </si>
  <si>
    <t>Re-Visiting the Role of Education on Poverty Through the Channel of Financial Inclusion: Evidence From Lower-Income and Lower-Middle-Income Countries</t>
  </si>
  <si>
    <t>education; financial inclusion; poverty; GMM; system-GMM JEL classification; I32; G23</t>
  </si>
  <si>
    <t>FOREIGN DIRECT-INVESTMENT; PANEL-DATA; UNIT-ROOT; ECONOMIC-GROWTH; REDUCTION; TESTS; IMPACT; ALLEVIATION; REMITTANCES; INEQUALITY</t>
  </si>
  <si>
    <t>For attaining sustainable economic development in the lower and lower-middle-income nations, the role of poverty reduction has been critically addressed along with the economic determents that manage poverty level which has accelerated the economic progress by ensuring the higher performance of other macrovariables including FDI inflows, financial development, trade openness, and human capital accumulation. The purpose of this study was to evaluate the role of education and financial inclusion in poverty reduction in lower and lower-middle-income countries for the period 1995-2018, with a panel of 68 nations. The study applied several econometrical tools, including a cross-sectional dependency test (CDS), panel unit root test, panel cointegration test, generalized methods of moment (GMM), and system-GMM. The CDS results confirmed the sharing of typical dynamics in research units. The test of stationarity detected variables was integrated after the first difference. A panel cointegration test documented the long-run association between education, financial inclusion, and poverty. The study documented that government investment in education positively assists poverty reduction, implying a negative association between them. Furthermore, the inclusion of the population into the formal financial system expedited the poverty reduction process that has access to formal financial benefits allowing earning opportunities and higher purchasing power, eventually supporting an increased standard of living. Directional causality tests revealed feedback hypothesis holds in explaining the nexus between education, financial inclusion, and poverty, i.e., [ED &lt;--&gt; Poverty; FI &lt;--&gt; Poverty]. For policy reform and restructuring, it is essential to pay considerable attention to development in education and access to the formal financial system because progress in education and finance has positive spillover effects on the aggregated economy.</t>
  </si>
  <si>
    <t>[Shi, Zheng] Baoding Univ, Inst Geog &amp; Tourism, Baoding, Peoples R China; [Qamruzzaman, Md.] United Int Univ, Sch Business &amp; Econ, Dhaka, Bangladesh</t>
  </si>
  <si>
    <t>Baoding University; United International University (UIU)</t>
  </si>
  <si>
    <t>Qamruzzaman/G-1194-2017; Shi, Z/AEY-8238-2022</t>
  </si>
  <si>
    <t>Institutions for Advanced Research (IAR) [IAR/2021/PUB/009]</t>
  </si>
  <si>
    <t>Institutions for Advanced Research (IAR)</t>
  </si>
  <si>
    <t>The study has received financial support from the Institutions for Advanced Research (IAR) under project financing-IAR/2021/PUB/009.</t>
  </si>
  <si>
    <t>MAY 23</t>
  </si>
  <si>
    <t>10.3389/fenvs.2022.873652</t>
  </si>
  <si>
    <t>1W5TT</t>
  </si>
  <si>
    <t>WOS:000806836700001</t>
  </si>
  <si>
    <t>Jorgensen, BL; Foster, D; Jensen, JF; Vieira, E</t>
  </si>
  <si>
    <t>Jorgensen, Bryce L.; Foster, Diane; Jensen, Jakob F.; Vieira, Elisabete</t>
  </si>
  <si>
    <t>Financial Attitudes and Responsible Spending Behavior of Emerging Adults: Does Geographic Location Matter?</t>
  </si>
  <si>
    <t>Financial attitudes; Responsible spending behavior; Financial socialization; Emerging adults; Geographic location</t>
  </si>
  <si>
    <t>CONSUMER SOCIALIZATION; MONEY ATTITUDES; LITERACY; EXTENSION; KNOWLEDGE; STUDENTS; CULTURE; POWER</t>
  </si>
  <si>
    <t>The current study examined the role of geographic location on financial achievement attitudes, financial power attitudes, and responsible spending behaviors of emerging adults from a family financial socialization model perspective. Using data from the Emerging Adult Financial Capability Study (EAFCS), the sample consisted of emerging adult college students (N = 2847) from three unique regions in the United States as well as students from Portugal. Hierarchical linear regression and ANOVA models were used to examine the patterns of similarities and differences among regions according to the family financial socialization model. Results suggest that financial achievement attitudes, financial power attitudes, and responsible spending behaviors differ across locations. Results also revealed that greater financial achievement attitudes and power attitudes were associated with fewer responsible spending behaviors. Results did not indicate that geographic location moderated the link between financial achievement attitudes or power attitudes and spending behaviors. The results suggest that financial education be adapted and conducted in a way that targets particular financial attitudes specific to each distinct region.</t>
  </si>
  <si>
    <t>[Jorgensen, Bryce L.] New Mexico State Univ, Extens Family &amp; Consumer Sci Dept, Las Cruces, NM 88003 USA; [Jorgensen, Bryce L.] Virginia Tech, Human Dev &amp; Family Studies Dept, Blacksburg, VA 24061 USA; [Foster, Diane; Jensen, Jakob F.] East Carolina Univ, Human Dev &amp; Family Sci Dept, Greenville, NC USA; [Foster, Diane] Univ N Carolina, Dept Psychol, Chapel Hill, NC USA; [Jensen, Jakob F.] Auburn Univ, Human Dev &amp; Family Sci Dept, Auburn, AL 36849 USA; [Vieira, Elisabete] Univ Aveiro, GOVCOPP Unit Res, ISCA, Aveiro, Portugal; [Vieira, Elisabete] ISCTE Inst Univ Lisboa, Lisbon, Portugal</t>
  </si>
  <si>
    <t>New Mexico State University; Virginia Polytechnic Institute &amp; State University; University of North Carolina; East Carolina University; University of North Carolina; University of North Carolina Chapel Hill; Auburn University System; Auburn University; Universidade de Aveiro; Instituto Universitario de Lisboa</t>
  </si>
  <si>
    <t>Jorgensen, BL (corresponding author), New Mexico State Univ, Extens Family &amp; Consumer Sci Dept, Las Cruces, NM 88003 USA.;Jorgensen, BL (corresponding author), Virginia Tech, Human Dev &amp; Family Studies Dept, Blacksburg, VA 24061 USA.</t>
  </si>
  <si>
    <t>brycej@nmsu.edu</t>
  </si>
  <si>
    <t>Vieira, Elisabete/AAC-2059-2020</t>
  </si>
  <si>
    <t>Vieira, Elisabete/0000-0003-3593-368X; Jensen, Jakob/0000-0003-0809-6943</t>
  </si>
  <si>
    <t>10.1007/s10834-016-9512-5</t>
  </si>
  <si>
    <t>EK9WS</t>
  </si>
  <si>
    <t>WOS:000394275200006</t>
  </si>
  <si>
    <t>Information Search, Financial Advice Use, and Consumer Financial Behavior</t>
  </si>
  <si>
    <t>financial advice use; financial behavior; financial information search; saving and credit-using behavior; structural equation modeling</t>
  </si>
  <si>
    <t>KNOWLEDGE; LITERACY; IMPACT; FIT</t>
  </si>
  <si>
    <t>This study develops a conceptual framework to investigate the relationship between households' information search behavior and financial management outcomes. Consumers' information search behavior is examined from both internal and external perspectives. The internal information sources include human capital and psychological and attitudinal factors, whereas the external information sources comprise financial professionals from different financial service areas. Financial management behaviors examined in this study consist of consumers' savings and credit-using behavior. This study uses the 2012 National Financial Capability Study and structural equation modeling methodology. The results suggest that (a) both internal and external information sources used by consumers are significantly associated with savings and credit-using behavior, and (b) seeking external financial advice from professionals mediates the relationship between consumers' internal sources and financial management outcomes. The findings of this study provide practical implications for financial professionals when counseling and communicating with clients and challenge policymakers to develop pathways that can enhance the quality and accessibility of internal and external information sources for clients, including customized financial education programs and affordable professional financial services.</t>
  </si>
  <si>
    <t>[Fan, Lu] Univ Missouri, Dept Personal Financial Planning, 239 Stanley Hall, Columbia, MO 65211 USA</t>
  </si>
  <si>
    <t>10.1891/JFCP-18-00086</t>
  </si>
  <si>
    <t>WOS:000659298600002</t>
  </si>
  <si>
    <t>Huang, J; Sherraden, M; Johnson, L; Birkenmaier, J; Loke, V; Hageman, S</t>
  </si>
  <si>
    <t>Huang, Jin; Sherraden, Margaret; Johnson, Lissa; Birkenmaier, Julie; Loke, Vernon; Hageman, Sally</t>
  </si>
  <si>
    <t>Preparing Social Work Faculty to Teach Financial Capability: Where We Stand</t>
  </si>
  <si>
    <t>JOURNAL OF SOCIAL WORK EDUCATION</t>
  </si>
  <si>
    <t>This article presents findings from a national online survey of social work faculty (N = 1,039) that examines financial and economic content in the current curriculum, gaps in coverage, and strategies for improving social workers' academic preparation to work with populations living in extremely financially vulnerable circumstances. We sent the survey to all full- and part-time social work faculty listed on social work degree program websites. We find that nearly all respondents (92%) perceive financial and economic content as useful for their students. However, just more than half (54%) teach it. Faculty with some financial education, and who perceive it to be useful, are more likely to include financial content in the curriculum. Social work faculty are most likely to teach about financial-related public policies and programs, and least likely to teach about financial products and services, and financial management and practice. This article discusses implications for social work research and education, including the importance of rigorous research to understand the gap between coverage and perceived usefulness of financial and economic content. It concludes with suggestions for including more financial and economic content in the curriculum.</t>
  </si>
  <si>
    <t>[Huang, Jin; Johnson, Lissa] St Louis Univ, Social Work, St Louis, MO 63103 USA; [Huang, Jin; Birkenmaier, Julie] Washington Univ, Brown Sch, St Louis, MO 63110 USA; [Sherraden, Margaret] Univ Missouri, St Louis, MO 63121 USA; [Johnson, Lissa] Washington Univ, Ctr Social Dev, St Louis, MO 63110 USA; [Johnson, Lissa] Washington Univ, Financial Capabil &amp; Asset Bldg Initiat, St Louis, MO 63110 USA; [Johnson, Lissa] Washington Univ, Brown Sch, St Louis, MO 63110 USA; [Loke, Vernon] Eastern Washington Univ, Social Work, Cheney, WA 99004 USA; [Loke, Vernon] Eastern Washington Univ, Cheney, WA 99004 USA; [Hageman, Sally] Idaho State Univ, Social Work &amp; Criminol Dept, Social Work Sociol, Pocatello, ID 83209 USA</t>
  </si>
  <si>
    <t>Saint Louis University; Washington University (WUSTL); University of Missouri System; University of Missouri Saint Louis; Washington University (WUSTL); Washington University (WUSTL); Washington University (WUSTL); Eastern Washington University; Eastern Washington University; Idaho State University</t>
  </si>
  <si>
    <t>Sherraden, M (corresponding author), Washington Univ, Ctr Social Dev, One Brookings Dr,Campus Box 1196, St Louis, MO 63130 USA.</t>
  </si>
  <si>
    <t>msherraden@wustl.edu</t>
  </si>
  <si>
    <t>Birkenmaier, Julie/F-2597-2010; Loke, Vernon/LLM-4755-2024; Hageman, Sally/AAA-7666-2021</t>
  </si>
  <si>
    <t>National Endowment for Financial Education</t>
  </si>
  <si>
    <t>This work was supported by the National Endowment for Financial Education.</t>
  </si>
  <si>
    <t>1043-7797</t>
  </si>
  <si>
    <t>2163-5811</t>
  </si>
  <si>
    <t>J SOC WORK EDUC</t>
  </si>
  <si>
    <t>J. Soc. Work Educ.</t>
  </si>
  <si>
    <t>10.1080/10437797.2020.1714524</t>
  </si>
  <si>
    <t>Education &amp; Educational Research; Social Work</t>
  </si>
  <si>
    <t>WN9FQ</t>
  </si>
  <si>
    <t>WOS:000514890500001</t>
  </si>
  <si>
    <t>Yang, SG; Ma, WB; Zhu, SZ; Shu, A; Zhou, Y</t>
  </si>
  <si>
    <t>Yang, Shenggang; Ma, Wenbo; Zhu, Sangzhi; Shu, Ao; Zhou, Yue</t>
  </si>
  <si>
    <t>Data bias, algorithmic discrimination and the fairness issues of individual credit accessibility</t>
  </si>
  <si>
    <t>Data bias; Algorithmic discrimination; Individual credit accessibility; Machine learning</t>
  </si>
  <si>
    <t>PurposeThis study examines the impact of data bias and algorithmic discrimination on individual credit accessibility in China's financial system. It aims to align financial inclusion and equity goals with statistical fairness conditions by constructing fairness metrics from multiple dimensions. The paper evaluates the fairness of commonly used credit evaluation models and proposes a novel approach to eliminate data bias in historical datasets.Design/methodology/approachWe model credit evaluation using Logistic Regression, Random Forest, and XGBoost algorithms, focusing on education level and work experience as sensitive attributes. To mitigate data bias in historical datasets, we employ the Metropolis-Hastings (M-H) algorithm for data preprocessing.Findings(1) Machine learning models like Random Forest and XGBoost outperform traditional methods in addressing unfairness arising from multiple sensitive attributes. (2) Sensitive attributes, while excluded from credit scoring models, may indirectly influence outcomes through other indicators. Limiting the gap in credit accessibility between the general population and protected groups is essential for fairness of opportunity. (3) Data bias significantly affects credit ratings, increasing the false positive rate for certain demographic subgroups and reducing their credit accessibility.Practical implicationsThe study provides a micro-level examination of individual credit accessibility and fairness in China. It analyzes the fairness of credit evaluation models used by Chinese financial institutions across different population groups and proposes an M-H algorithm-based method to eliminate data bias in historical datasets.Originality/valueThis paper enhances research on fairness in individual credit accessibility in China by introducing three fairness metrics for evaluating credit evaluation models. It offers a micro-level perspective for scholars studying related issues.</t>
  </si>
  <si>
    <t>[Yang, Shenggang; Shu, Ao; Zhou, Yue] Hunan Univ, Business Sch, Changsha, Peoples R China; [Yang, Shenggang; Ma, Wenbo; Zhu, Sangzhi; Shu, Ao; Zhou, Yue] Hunan Univ, Financial Dev &amp; Credit Management Res Ctr, Changsha, Peoples R China; [Ma, Wenbo] Hunan Univ, Sch Finance &amp; Stat, Changsha, Peoples R China; [Zhu, Sangzhi] Hunan Univ Finance &amp; Econ, Sch Finance, Changsha, Peoples R China</t>
  </si>
  <si>
    <t>Hunan University; Hunan University; Hunan University; Hunan University of Finance &amp; Economics</t>
  </si>
  <si>
    <t>Zhou, Y (corresponding author), Hunan Univ, Business Sch, Changsha, Peoples R China.</t>
  </si>
  <si>
    <t>sgyang@hnu.edu.cn; marvin@hnu.edu.cn; 42150235@qq.com; aoshu@hnu.edu.cn; aaronzhouyue@hnu.edu.cn</t>
  </si>
  <si>
    <t>Shu, Ao/HSG-8457-2023</t>
  </si>
  <si>
    <t>Shu, Ao/0000-0003-2298-8462</t>
  </si>
  <si>
    <t>National Social Science Fund of China [24ZD095]; National Natural Science Foundation of China [72403084, 72403081]</t>
  </si>
  <si>
    <t>National Social Science Fund of China; National Natural Science Foundation of China(National Natural Science Foundation of China (NSFC))</t>
  </si>
  <si>
    <t>Funding: This work was supported by the National Social Science Fund of China (grant no. 24&amp;ZD095) and the National Natural Science Foundation of China (grant numbers 72403084, 72403081).</t>
  </si>
  <si>
    <t>10.1108/JAL-11-2024-0322</t>
  </si>
  <si>
    <t>4JS7O</t>
  </si>
  <si>
    <t>WOS:001519659400001</t>
  </si>
  <si>
    <t>Mishra, A; Gouda, A; Pradhan, A; Singh, J</t>
  </si>
  <si>
    <t>Mishra, Ayush; Gouda, Asutosh; Pradhan, Abhishek; Singh, Jagannath</t>
  </si>
  <si>
    <t>Credit Card Eligibility Prediction Using ML</t>
  </si>
  <si>
    <t>2024 27TH INTERNATIONAL SYMPOSIUM ON WIRELESS PERSONAL MULTIMEDIA COMMUNICATIONS, WPMC</t>
  </si>
  <si>
    <t>International Symposium on Wireless Personal Multimedia Communications</t>
  </si>
  <si>
    <t>27th International Symposium on Wireless Personal Multimedia Communications</t>
  </si>
  <si>
    <t>NOV 17-20, 2024</t>
  </si>
  <si>
    <t>Noida, INDIA</t>
  </si>
  <si>
    <t>Sharda University,Institute of Electrical and Electronics Engineers Inc</t>
  </si>
  <si>
    <t>Machine Learning; Fraud Detection; CART; SVM; BayesNet; Credit Card; Detection Model; K Neighbours</t>
  </si>
  <si>
    <t>In the finance sector, particularly in developing countries with high fraud rates, struggle to approve Credit card applications accurately while reducing fraud risk. This research explores how Machine learning helps to overcome this problem. The goal of this research is to reduce potential future credit risk that could help the bank's financial health and credit performance by applying machine learning (ML) techniques to anticipate a customer's eligibility for a credit card. A creditcard is a line of credit extended to a consumer by banks and finance organizations worldwide. The banks and financial institutions are exposed to credit risk via the credit facility. Repayments are not guaranteed, and the loan frequently becomes non-performing. Before extending a loan facility, banks evaluate applicant's creditworthiness and eligibility in an effort to reduce credit risk. Since credit worthiness is largely determined by traditional credit scoring techniques, it is not always reliable. Wego with traditional models like Logistic regression and decision trees by comparatively analyzing their effectiveness in predicting credit card approvals. The classifiers that are available here are SGD, Logistic Regression, SVC, Gaussian NB and K Neighbours. These models analyze past data to identify patterns indicative of fraudulent activity, significantly improving credit card approval process security. This combined approach goes beyond just boosting accuracy. It paves the way for a more inclusive and secure financial landscape in developing economies. By combining traditional ML techniques with specialized fraud detection models, this study provides a strong foundation for a responsible and effective credit card approval process that fosters financial inclusion while combating fraudulent activities.</t>
  </si>
  <si>
    <t>[Mishra, Ayush; Gouda, Asutosh; Pradhan, Abhishek; Singh, Jagannath] KIIT Deemed Be Univ, Sch Comp Engn, Bhubaneswar, India</t>
  </si>
  <si>
    <t>Singh, J (corresponding author), KIIT Deemed Be Univ, Sch Comp Engn, Bhubaneswar, India.</t>
  </si>
  <si>
    <t>jagannath.singhfcs@kiit.ac.in</t>
  </si>
  <si>
    <t>1347-6890</t>
  </si>
  <si>
    <t>979-8-3503-9231-9; 979-8-3503-5613-7</t>
  </si>
  <si>
    <t>INT SYMP WIREL</t>
  </si>
  <si>
    <t>10.1109/WPMC63271.2024.10863671</t>
  </si>
  <si>
    <t>Computer Science, Hardware &amp; Architecture; Computer Science, Information Systems; Engineering, Electrical &amp; Electronic; Telecommunications</t>
  </si>
  <si>
    <t>BY6ZS</t>
  </si>
  <si>
    <t>WOS:001488384100046</t>
  </si>
  <si>
    <t>Stephens, B; Al-Bahrani, A</t>
  </si>
  <si>
    <t>Stephens, Brooklyn; Al-Bahrani, Abdullah</t>
  </si>
  <si>
    <t>Money Worries: Examining Demographic Difference in Financial Anxiety</t>
  </si>
  <si>
    <t>demographics disparities; financial anxiety; financial behavior; financial capabilities; financial well-being; financial worry</t>
  </si>
  <si>
    <t>STRESS; ASSOCIATIONS; EDUCATION; IMPACT; INCOME</t>
  </si>
  <si>
    <t>We identify key demographic groups that suffer the most from financial anxiety. Identifying demographic groups that suffer the most from financial anxiety will aid in finding policy avenues to improve financial outcomes. With data from the 2018 National Financial Capability Study and Ordinary Least Square regressions, we find that females and those individuals with some college are the most financially anxious. In addition, the separated or divorced worry more than the married, those with children worry more than the childless, and White non-Hispanics worry more than other racial/ethnic groups. Analyses of gender subsamples show that black non-Hispanic males worry more than White non-Hispanic males, while the result of the female subsample is the opposite. The findings of this study have major policy implications, and more research is needed to determine how to best measure financial anxiety and solutions to reduce financial anxiety. Financial counseling and planning professionals can target groups that are most financially anxious. We recommend that financial education include a curriculum to educate and prepare individuals for financial anxiety and its implication on financial outcomes.</t>
  </si>
  <si>
    <t>[Stephens, Brooklyn] Northern Kentucky Univ, Highland Hts, KY USA; [Al-Bahrani, Abdullah] Northern Kentucky Univ, Haile Coll Business, Highland Hts, KY 41099 USA</t>
  </si>
  <si>
    <t>Northern Kentucky University; Northern Kentucky University</t>
  </si>
  <si>
    <t>Al-Bahrani, A (corresponding author), Northern Kentucky Univ, Haile Coll Business, Highland Hts, KY 41099 USA.</t>
  </si>
  <si>
    <t>Albahrania1@nku.edu</t>
  </si>
  <si>
    <t>10.1891/JFCP-2022-0015</t>
  </si>
  <si>
    <t>WOS:001105218800008</t>
  </si>
  <si>
    <t>Bialowolski, P; Weziak-Bialowolska, D; Cwynar, A</t>
  </si>
  <si>
    <t>Bialowolski, Piotr; Weziak-Bialowolska, Dorota; Cwynar, Andrzej</t>
  </si>
  <si>
    <t>Reassessing the Role of Financial Knowledge and Confidence for Financial Outcomes Across Income Groups in the EU</t>
  </si>
  <si>
    <t>KYKLOS</t>
  </si>
  <si>
    <t>financial behavior; financial confidence; financial inclusion; financial knowledge; financial outcomes; income</t>
  </si>
  <si>
    <t>SUBJECTIVE KNOWLEDGE; HOUSEHOLD FINANCES; DEBT LITERACY; EDUCATION; BEHAVIOR; WEALTH; IMPACT; TRUST; THINK</t>
  </si>
  <si>
    <t>This research utilizes Flash Eurobarometer data (N = 26,139) collected in 2023 from 27 EU nations to examine the link between financial knowledge, financial confidence, income, and financial outcomes. The findings reaffirm positive correlations between these factors and the examined financial outcomes. Notably, financial confidence often shows a stronger association with the likelihood of achieving financial outcomes than objective financial knowledge, particularly in areas such as long-term financial goal setting, retirement planning, and confidence in financial advisors. The study also highlights that the likelihood of achieving financial outcomes is rarely more linked with financial knowledge or financial confidence among high-income individuals than among low-income ones. These findings underscore the possibly critical role of income in achieving positive financial outcomes and suggest that improving financial well-being may require a multifaceted approach. A combination of financial education, income-support policies, and initiatives to build financial confidence may represent an effective policy mix for improving overall financial well-being across diverse income groups.</t>
  </si>
  <si>
    <t>[Bialowolski, Piotr; Weziak-Bialowolska, Dorota] Akad Leona Kozminskiego, Warsaw, Poland; [Cwynar, Andrzej] Wyzsza Szkola Ekon &amp; Innowacji Lublinie, Lublin, Poland</t>
  </si>
  <si>
    <t>Kozminski University</t>
  </si>
  <si>
    <t>Bialowolski, P (corresponding author), Akad Leona Kozminskiego, Warsaw, Poland.</t>
  </si>
  <si>
    <t>pbialowolski@kozminski.edu.pl</t>
  </si>
  <si>
    <t>Białowolski, Piotr/AAI-8393-2020; Weziak-Bialowolska, Dorota/AAF-7827-2020; Cwynar, Andrzej/AAD-5409-2019</t>
  </si>
  <si>
    <t>Białowolski, Piotr/0000-0003-4102-0107;</t>
  </si>
  <si>
    <t>0023-5962</t>
  </si>
  <si>
    <t>1467-6435</t>
  </si>
  <si>
    <t>Kyklos</t>
  </si>
  <si>
    <t>10.1111/kykl.12477</t>
  </si>
  <si>
    <t>8SM2W</t>
  </si>
  <si>
    <t>WOS:001506195700001</t>
  </si>
  <si>
    <t>Vassallo, JP; Prabhu, JC; Banerjee, S; Voola, R</t>
  </si>
  <si>
    <t>Vassallo, Jarrod P.; Prabhu, Jaideep C.; Banerjee, Sourindra; Voola, Ranjit</t>
  </si>
  <si>
    <t>The Role of Hybrid Organizations in Scaling Social Innovations in Bottom-of-the-Pyramid Markets: Insights from Microfinance in India</t>
  </si>
  <si>
    <t>JOURNAL OF PRODUCT INNOVATION MANAGEMENT</t>
  </si>
  <si>
    <t>ETHNIC DIVERSITY; PERFORMANCE; ENTERPRISE; IMPACT; CREDIT; FORMS; CONSEQUENCES; ANTECEDENTS; EMERGENCE</t>
  </si>
  <si>
    <t>While social innovations that solve financial exclusion have gained increasing attention as a means of helping the poor in developing markets, little research has empirically investigated the types of organizations that drive these innovations to achieve scale. Hybrids, a type of organization that exist in between traditional organizational forms, are said to have rapidly gained prevalence, especially in bottom-of-the-pyramid markets. Some scholars claim that hybrids are largely responsible for the spread of established social innovations, yet hybrids do not constitute a homogenous group; instead each hybrid form exists on a spectrum between pure for-profit and not-for-profit organizational forms. It is important that empirical research investigates the role that various hybrid forms play in scaling established social innovations, especially under various bottom-of-the-pyramid market conditions. To this end, using two market-level outcome measures of scale achieved (prevalence and usage), the authors pursue two research objectives: to study (1) the extent to which, alternative hybrid forms (not-for-profit, quasi-profit, and for-profit hybrids) drive social innovation; and (2) the relative propensity of these hybrid forms to drive social innovation under varying bottom-of-the-pyramid market conditions, specifically varying levels of development and social diversity. By theorizing how different organizational forms act given their degree of hybridity, the authors develop and test six hypotheses using data sets on microfinance organizations in India. Accordingly, they find that (1) compared with not-for-profit and for-profit hybrids, quasi-profit hybrids have a propensity to become more prevalent and achieve greater usage in bottom-of-the-pyramid markets overall. Yet, within the spectrum of hybrid forms, (2) not-for-profit hybrids are more likely to become more prevalent and achieve greater usage in markets with lower development levels, whereas (3) for-profit hybrids are more likely to become more prevalent and achieve greater usage in markets with lower social diversity when compared with other hybrid forms.</t>
  </si>
  <si>
    <t>[Vassallo, Jarrod P.] Univ Sydney, Sch Business, Social Entrepreneurship, Sydney, NSW, Australia; [Prabhu, Jaideep C.] Univ Cambridge, Mkt, Cambridge, England; [Prabhu, Jaideep C.] Univ Cambridge, Indian Business &amp; Enterprise, Cambridge, England; [Prabhu, Jaideep C.] Univ Cambridge, Judge Business Sch, Ctr India &amp; Global Business, Cambridge, England; [Banerjee, Sourindra] Univ Leeds, Sch Business, Mkt, Leeds, W Yorkshire, England; [Voola, Ranjit] Univ Sydney, Sch Business, Mkt, Sydney, NSW, Australia</t>
  </si>
  <si>
    <t>University of Sydney; University of Cambridge; University of Cambridge; University of Cambridge; University of Leeds; University of Sydney</t>
  </si>
  <si>
    <t>Vassallo, JP (corresponding author), Univ Sydney, Sch Business, Sydney, NSW, Australia.</t>
  </si>
  <si>
    <t>jarrod.vassallo@sydney.edu.au</t>
  </si>
  <si>
    <t>Vassallo, Jarrod/AAW-2627-2021; Voola, Ranjit/IWD-8800-2023; Banerjee, Sourina/IYS-3053-2023</t>
  </si>
  <si>
    <t>Vassallo, Jarrod/0000-0002-3096-0227; Voola, Ranjit/0000-0002-7016-5228; Banerjee, Sourina/0000-0001-5171-2612</t>
  </si>
  <si>
    <t>0737-6782</t>
  </si>
  <si>
    <t>1540-5885</t>
  </si>
  <si>
    <t>J PROD INNOVAT MANAG</t>
  </si>
  <si>
    <t>J. Prod. Innov. Manage.</t>
  </si>
  <si>
    <t>10.1111/jpim.12504</t>
  </si>
  <si>
    <t>JC0NF</t>
  </si>
  <si>
    <t>WOS:000484312400001</t>
  </si>
  <si>
    <t>Afram, GG</t>
  </si>
  <si>
    <t>Afram, Gabi G.</t>
  </si>
  <si>
    <t>International Remittance Flows to India: Importance, Trends, Costs, and Link to Financial Access</t>
  </si>
  <si>
    <t>REMITTANCE MARKET IN INDIA: OPPORTUNITIES, CHALLENGES, AND POLICY OPTIONS</t>
  </si>
  <si>
    <t>978-0-8213-8934-8; 978-0-8213-8972-0</t>
  </si>
  <si>
    <t>10.1596/978-0-8213-8972-0</t>
  </si>
  <si>
    <t>BGO29</t>
  </si>
  <si>
    <t>WOS:000323618800004</t>
  </si>
  <si>
    <t>Hammerschlag, Z; Bick, G; Luiz, JM</t>
  </si>
  <si>
    <t>Hammerschlag, Zara; Bick, Geoff; Luiz, John Manuel</t>
  </si>
  <si>
    <t>The internationalization of African fintech firms: marketing strategies for successful intra-Africa expansion</t>
  </si>
  <si>
    <t>INTERNATIONAL MARKETING REVIEW</t>
  </si>
  <si>
    <t>Marketing strategy; Africa; Internationalization; Emerging markets; Fintech firms</t>
  </si>
  <si>
    <t>EMERGING MARKETS; MOBILE BANKING; FLEXIBILITY; PERFORMANCE; OPPORTUNITIES; ACCEPTANCE; INVESTMENT; CHALLENGES; DYNAMICS; ECONOMY</t>
  </si>
  <si>
    <t>Purpose The purpose of this study is to explore how African fintech firms adapt their marketing strategies for successful market expansion into new African countries. Design/methodology/approach This exploratory study is qualitative in nature and utilizes semi-structured interviews at 14 African fintech firms. Findings The study reveals that, during intra-Africa expansion, firms adapt their marketing strategies by working with local people, prioritizing customer education, creating personal relationships with customers, adapting their communication strategies and pricing strategies and using social media. The strategies that have been most effective involve including the community in the marketing process, prioritizing relationships, segmenting customers geographically, educating customers about products, using local distribution partners and having a flexible approach to strategy adaptation. Practical implications It has been argued that technological innovation in Africa in areas such as financial services is a critical driver of its future development, because of the opportunity it presents to promote financial inclusion. Through an increase in venture capital investment on the continent, technological innovations in financial services have grown exponentially, and this study contributes to the understanding of the marketing strategies employed to gain market traction. Originality/value This study proposes that African fintech firms adopt a bottom-up, value proposition-driven marketing strategy to successfully navigate the environment. The proposed framework provides a lens through which to understand the components of successful strategy adaptation in Africa, against the backdrop of the unique market challenges inherent in this emerging market continent.</t>
  </si>
  <si>
    <t>[Hammerschlag, Zara; Bick, Geoff; Luiz, John Manuel] Univ Cape Town, Grad Sch Business, Cape Town, South Africa; [Luiz, John Manuel] Univ Sussex, Business Sch, Falmer, England</t>
  </si>
  <si>
    <t>University of Cape Town; University of Sussex</t>
  </si>
  <si>
    <t>Luiz, JM (corresponding author), Univ Cape Town, Grad Sch Business, Cape Town, South Africa.</t>
  </si>
  <si>
    <t>johnluiz@hotmail.com</t>
  </si>
  <si>
    <t>Bick, Geoffrey/AAB-1698-2020; Luiz, John/AAU-9761-2020</t>
  </si>
  <si>
    <t>Bick, Geoffrey/0000-0002-1677-2561; Luiz, John/0000-0003-3806-4424</t>
  </si>
  <si>
    <t>0265-1335</t>
  </si>
  <si>
    <t>1758-6763</t>
  </si>
  <si>
    <t>INT MARKET REV</t>
  </si>
  <si>
    <t>Int. Market. Rev.</t>
  </si>
  <si>
    <t>10.1108/IMR-05-2019-0130</t>
  </si>
  <si>
    <t>LP1TA</t>
  </si>
  <si>
    <t>WOS:000528232400001</t>
  </si>
  <si>
    <t>Alabdulrazag, BA; Alshogeathri, MA</t>
  </si>
  <si>
    <t>Alabdulrazag, Bashier A.; Alshogeathri, Mofleh A.</t>
  </si>
  <si>
    <t>A nonlinear autoregressive distributed lag approach to remittances and access to financial inclusion in Jordan</t>
  </si>
  <si>
    <t>remittances; financial Inclusion; Jordan; cointegration; NARDL; normality; stationary; linearity</t>
  </si>
  <si>
    <t>COINTEGRATION; COUNTRIES</t>
  </si>
  <si>
    <t>Background: Financial inclusion and its relationship with remittances has been widely an area of investigation among researchers. Aim: The study investigates the asymmetric effects of remittance inflows on financial inclusion (FI) in Jordan. Setting: Annual time series data (1990-2022) constitute 33 observations. Method: This study uses the nonlinear autoregressive distributed lag (NARDL) model. Results: The empirical evidence showed a long -run equilibrium relationship among the model's variables. Furthermore, the standard Wald test provides evidence of the asymmetric long -run and short -run effects of remittance inflows on FI and, hence, the nonlinear relationship. Conclusion: The Jordanian government should promote efforts to simulate the inflow of remittances to the country. This study uncovered the vital relationship between FI and remittance inflows and its important role in enhancing financial sector development. Contirbution: This study contributes to the existing literature on the remittances-FI nexus. First, it uncovered the vital and important relationship between FI and remittance inflows, and its crucial role in enhancing financial sector development. Second, unlike previous studies that used linear ARDL or traditional estimation methods, it applied the NARDL approach to test for the existence of a nonlinear relationship between the model's variables. Third, it suggests that policymakers in Jordan government should put effort into stimulating the inflow of remittances to promote FI and, hence, economic growth and development.</t>
  </si>
  <si>
    <t>[Alabdulrazag, Bashier A.; Alshogeathri, Mofleh A.] King Saud Univ, Coll Business Adm, Dept Econ, Riyadh, Saudi Arabia; [Alabdulrazag, Bashier A.] Mutah Univ, Dept Econ, Al Karak, Jordan</t>
  </si>
  <si>
    <t>King Saud University; Mutah University</t>
  </si>
  <si>
    <t>Alabdulrazag, BA (corresponding author), King Saud Univ, Coll Business Adm, Dept Econ, Riyadh, Saudi Arabia.;Alabdulrazag, BA (corresponding author), Mutah Univ, Dept Econ, Al Karak, Jordan.</t>
  </si>
  <si>
    <t>basheerf@yahoo.com</t>
  </si>
  <si>
    <t>Alshogeathri, Mofleh/ACU-4691-2022; Alabdulrazag, bashier/HGB-3538-2022</t>
  </si>
  <si>
    <t>a5133</t>
  </si>
  <si>
    <t>10.4102/sajems.v27i1.5133</t>
  </si>
  <si>
    <t>HD8C9</t>
  </si>
  <si>
    <t>WOS:001157638000001</t>
  </si>
  <si>
    <t>Moro-Visconti, R; Rambaud, SC; Pascual, JL</t>
  </si>
  <si>
    <t>Moro-Visconti, Roberto; Cruz Rambaud, Salvador; Lopez Pascual, Joaquin</t>
  </si>
  <si>
    <t>Sustainability in FinTechs: An Explanation through Business Model Scalability and Market Valuation</t>
  </si>
  <si>
    <t>financial innovation; value chains; scalability; digital platforms; financial ecosystem; discounted cash flows; market value; Sustainable Development Goals</t>
  </si>
  <si>
    <t>TAXONOMY; FUTURE</t>
  </si>
  <si>
    <t>Framework: Financial Technology (FinTech) is an industry composed of diversified firms that combine financial services with innovative technologies. The research question and main goal are attempting to answer whether they are more similar to traditional banks or trendy technological firms deploying their innovativeness to favor financial inclusion and sustainability. Justification: Evaluators may wonder if FinTechs follow the typical evaluation patterns of bank/financial intermediaries or those of technological firms. Preliminary empirical evidence shows that the latter interpretation is the one consistent with the stock-market mood. Objective: This study goes beyond the extant literature, analyzing the differences between FinTechs and traditional banks in market valuation, and showing the potential for digital interaction and cross-pollination of complementary business models. Methodology: The differences will be empirically analyzed with the stock market valuation and the multipliers associated with these firms. Results: The main contribution of this paper is that the appraisal approaches of FinTechs follow those of technological startups, having a revenue model much more scalable than that of a typical bank. FinTechs may so provide a solution for sustainable finance with microfinance and crowdfunding among others. FinTechs and traditional banks may eventually converge towards a common market exploiting co-opetition strategies.</t>
  </si>
  <si>
    <t>[Moro-Visconti, Roberto] Univ Cattolica Sacro Cuore, Dept Econ &amp; Business Management Sci, I-20123 Milan, Italy; [Cruz Rambaud, Salvador] Univ Almeria, Dept Econ &amp; Empresa, Almeria 04120, Spain; [Lopez Pascual, Joaquin] Univ Rey Juan Carlos, Dept Econ Empresa, Vicalvaro 28032, Spain</t>
  </si>
  <si>
    <t>Catholic University of the Sacred Heart; Universidad de Almeria; Universidad Rey Juan Carlos</t>
  </si>
  <si>
    <t>Moro-Visconti, R (corresponding author), Univ Cattolica Sacro Cuore, Dept Econ &amp; Business Management Sci, I-20123 Milan, Italy.</t>
  </si>
  <si>
    <t>roberto.moro@unicatt.it; scruz@ual.es; joaquin.lopez@urjc.es</t>
  </si>
  <si>
    <t>; Visconti, Roberto/AAH-5997-2019; , Joaquín López Pascual/Q-4225-2018</t>
  </si>
  <si>
    <t>Cruz Rambaud, Salvador/0000-0002-1318-1221; , Joaquín López Pascual/0000-0002-6236-9853</t>
  </si>
  <si>
    <t>Universita Cattolica del Sacro Cuore, Milan, Italy; Spanish Ministry of Economy and Competitiveness [DER2016-76053R]</t>
  </si>
  <si>
    <t>Universita Cattolica del Sacro Cuore, Milan, Italy; Spanish Ministry of Economy and Competitiveness(Spanish Government)</t>
  </si>
  <si>
    <t>This research has been equally funded by a research grant from the Universita Cattolica del Sacro Cuore, Milan, Italy, and the Spanish Ministry of Economy and Competitiveness (grant number DER2016-76053R).</t>
  </si>
  <si>
    <t>10.3390/su122410316</t>
  </si>
  <si>
    <t>PL6HR</t>
  </si>
  <si>
    <t>WOS:000603221000001</t>
  </si>
  <si>
    <t>Kumar, K; Prakash, A</t>
  </si>
  <si>
    <t>Kumar, Kishore; Prakash, Ajai</t>
  </si>
  <si>
    <t>Developing a framework for assessing sustainable banking performance of the Indian banking sector</t>
  </si>
  <si>
    <t>Sustainable development; Sustainability reporting; Sustainable banking; Nonfinancial performance; Responsible banking; Sustainable banking performance framework</t>
  </si>
  <si>
    <t>CORPORATE SOCIAL-RESPONSIBILITY; FINANCIAL INCLUSION; PUBLIC-SECTOR; ISO 26000; CSR; MANAGEMENT; DISCLOSURES; CRITERIA; IMPACT; LINE</t>
  </si>
  <si>
    <t>Purpose Sustainable development has now been recognised as the pivot around which development activities should revolve. Banking is an important component in the same and adoption of sustainable banking practices by various banking institutions is a strong driver to achieve sustainable development. The purpose of this paper is to study the level of adoption of sustainable banking tools and the extent to which banking institutions practice the same in India. In addition, the banking institutions have been ranked and categorised on basis of their sustainable banking performance. Design/methodology/approach The proposed framework focuses on the environmental and social conduct of the banks, who address the issues of sustainability in Indian banking sector. As there is a difference in the economic standards of developed and developing countries, the review of literature helps to figure out the gap in specific frameworks for assessing sustainable banking practices in developing countries. Previous researchers have made an attempt to develop a general framework for assessing the sustainable banking efforts of the banking sector. These studies fall short of indicators on the social dimension of sustainability specifically in the context of less developed countries like India, the social dimensions are is equally a major thrust area along with environmental indicators. Content analysis technique has been used to evaluate sustainable banking performance of the banks and Mann-Whitney U test used to determine the differences in sustainable banking performance of the banks in India. Findings In Indian banking sector, the adoption of the international sustainability code of conduct is still in its nascent stage. The research indicates that sustainability issues which are of the highest priority for the banks are directly related to their business operations such as financial inclusion, financial literacy and energy efficiency, and banks are more focussed on addressing social dimension of sustainability in banking rather than important dimensions of sustainable banking, namely, environmental management, development of green products and services and sustainability reporting. Originality/value This is one of the first studies evaluating the sustainable banking performance of the Indian banking sector.</t>
  </si>
  <si>
    <t>[Kumar, Kishore; Prakash, Ajai] Univ Lucknow, Dept Business Adm, Lucknow, Uttar Pradesh, India</t>
  </si>
  <si>
    <t>Lucknow University</t>
  </si>
  <si>
    <t>Kumar, K (corresponding author), Univ Lucknow, Dept Business Adm, Lucknow, Uttar Pradesh, India.</t>
  </si>
  <si>
    <t>akishore001@gmail.com</t>
  </si>
  <si>
    <t>Prakash, Ajai/P-5954-2018; Kumar, Kishore/AAF-1992-2019</t>
  </si>
  <si>
    <t>Prakash, Ajai/0000-0002-7690-4538; Kumar, Kishore/0000-0001-5655-4457</t>
  </si>
  <si>
    <t>10.1108/SRJ-07-2018-0162</t>
  </si>
  <si>
    <t>IO2WZ</t>
  </si>
  <si>
    <t>WOS:000479243800007</t>
  </si>
  <si>
    <t>Abay, KA; Koru, B; Abate, GT; Berhane, G</t>
  </si>
  <si>
    <t>Abay, Kibrom A.; Koru, Bethelhem; Abate, Gashaw Tadesse; Berhane, Guush</t>
  </si>
  <si>
    <t>HOW SHOULD RURAL FINANCIAL COOPERATIVES BE BEST ORGANIZED? EVIDENCE FROM ETHIOPIA</t>
  </si>
  <si>
    <t>Rural financial cooperatives; size; compositional heterogeneity; wealth diversity; social cohesion</t>
  </si>
  <si>
    <t>GROUP LOAN REPAYMENT; AGRICULTURAL COOPERATIVES; CREDIT COOPERATIVES; EMPIRICAL-EVIDENCE; INFORMATION; BEHAVIOR; IMPACT; DIVERSITY</t>
  </si>
  <si>
    <t>What is the optimal size and composition of Rural Financial Cooperatives (RFCs)? With this broad question in mind, we characterize alternative formation of RFCs and their implications in improving rural households' access to financial services, including savings, credit and insurance services. We find that some features of RFCs have varying implications for delivering various financial services (savings, credit and insurance). We find that the size of RFCs exhibits nonlinear relationship with the various financial services RFCs provide. We also show that compositional heterogeneity among members (including diversity in wealth) is associated with higher access to credit services, while this has little implication on households' savings behavior. Similarly, social cohesion among members is strongly associated with higher access to financial services. These empirical descriptions suggest that the optimal size and composition of RFCs may vary across the domains of financial services they are designed to facilitate. These pieces of evidence provide some suggestive insights on how to ensure financial inclusion among smallholders, a pressing agenda and priority of policy makers in developing countries, including Ethiopia. The results also provide some insights into rural microfinance operations which are striving to satisfy members' demand for financial services.</t>
  </si>
  <si>
    <t>[Abay, Kibrom A.] Univ Copenhagen, Copenhagen, Denmark; [Koru, Bethelhem; Abate, Gashaw Tadesse; Berhane, Guush] Int Food Policy Res Inst, Addis Ababa, Ethiopia</t>
  </si>
  <si>
    <t>University of Copenhagen; CGIAR; International Food Policy Research Institute (IFPRI)</t>
  </si>
  <si>
    <t>Abate, GT (corresponding author), Int Food Policy Res Inst, Addis Ababa, Ethiopia.</t>
  </si>
  <si>
    <t>g.abate@cgiar.org</t>
  </si>
  <si>
    <t>Berhane, Guush/MGW-2213-2025</t>
  </si>
  <si>
    <t>10.1111/apce.12212</t>
  </si>
  <si>
    <t>HK0TD</t>
  </si>
  <si>
    <t>WOS:000457613600008</t>
  </si>
  <si>
    <t>Wambua, A; Wamuyu, PK</t>
  </si>
  <si>
    <t>Cunningham, M; Cunningham, P</t>
  </si>
  <si>
    <t>Wambua, Anthony; Wamuyu, Patrick Kanyi</t>
  </si>
  <si>
    <t>Role of Mobile Applications in Mitigating Challenges Faced by Informal Saving Groups</t>
  </si>
  <si>
    <t>2020 IST-AFRICA CONFERENCE (IST-AFRICA)</t>
  </si>
  <si>
    <t>MAY 18-22, 2020</t>
  </si>
  <si>
    <t>IST Africa,Int Informat Management Corp Ltd</t>
  </si>
  <si>
    <t>Mobile Apps; Informal Saving Groups; Technology Adoption in Informal Saving Groups</t>
  </si>
  <si>
    <t>Existing literature shows that even though governments in developing countries have continued in their efforts with reforms and other actions to expand financial access and inclusion among citizens, a segment of the population remains excluded. This comprises of low income and middle-class people who end up relying on informal saving groups for their financial needs. Despite their prevalence and importance, the informal saving groups such as Rotating Saving and Credit Associations (ROSCAs) and Accumulating Savings and Credit Association (ASCAs) continue to face a myriad of challenges with many of them collapsing. The aim of this study is to explore the usage of mobile apps to overcome the challenges faced by the ROSCAs and ASCAs. Agile software methodology was used to develop a robust mobile application for use by informal saving groups. Adoption of mobile apps technologies is important to the informal financial sector and the formal financial sector that is linked to these informal saving groups such as banks and microfinance institutions. The study reveals that the use of mobile apps was a plausible solution to the challenges experienced by the members of the informal savings groups while handling monetary transactions.</t>
  </si>
  <si>
    <t>[Wambua, Anthony] Daystar Univ, POB 44400, Nairobi 00100, Kenya; [Wamuyu, Patrick Kanyi] US Int Univ Africa, Nairobi 00800, Kenya</t>
  </si>
  <si>
    <t>Daystar University; United States International University Africa</t>
  </si>
  <si>
    <t>Wambua, A (corresponding author), Daystar Univ, POB 44400, Nairobi 00100, Kenya.</t>
  </si>
  <si>
    <t>cantosauric@gmail.com; kanyiwamuyu@yahoo.com</t>
  </si>
  <si>
    <t>Wamuyu, Patrick/T-1513-2019; Wambua, Anthony/GLQ-9947-2022</t>
  </si>
  <si>
    <t>Wambua, Anthony/0000-0001-5110-9071</t>
  </si>
  <si>
    <t>978-1-905824-65-6</t>
  </si>
  <si>
    <t>BQ7WL</t>
  </si>
  <si>
    <t>WOS:000618861200058</t>
  </si>
  <si>
    <t>Yang, TE; Martinez, RG</t>
  </si>
  <si>
    <t>Yang, Taoer; Martinez, Rolando Gonzales</t>
  </si>
  <si>
    <t>Nanotheoretical returns and Stochastic Modeling in Nanofinance: Economic Implications for Informal, Unregulated Markets</t>
  </si>
  <si>
    <t>Nanofinance; Stochastic differential equations; G23; G21; G28; C6</t>
  </si>
  <si>
    <t>SAVINGS; ROSCAS; GROWTH; DETERMINANTS</t>
  </si>
  <si>
    <t>This study introduces a novel mathematical framework for returns on savings in nanofinance (NF). NF is an informal, unregulated financial mechanism established by impoverished populations lacking access to conventional microfinance services. We present a hierarchical stochastic differential equation (SDE) model, grounded in a drift-diffusion processes, to elucidate the multi-tiered structure of NF systems. To validate the proposed SDE framework, the parameters of the SDE model were calibrated through orthogonal and non-orthogonal minimizations of the Kullback-Leibler divergence against empirical returns. Computational analyses show that the calibrated SDE model approximates observed return dynamics in NF, thereby providing a quantitative foundation to inform the formulation of economic policies aimed at enhancing financial inclusion for extremely poor populations across developed and developing economies. The contribution of our work lies in its rigorous characterization of previously unmodeled hierarchical mechanisms underlying profit generation in NF. By synthesizing exogenous and endogenous factors driving return dynamics-from macroeconomic fluctuations to intra-group behavioral interactions-our model advances the economic understanding of NF sustainability. This structural insight is critical for ensuring the sustained operation of NF systems, which serve as vital platforms for poverty alleviation initiatives and inclusive financial intermediation among globally vulnerable demographics.</t>
  </si>
  <si>
    <t>[Yang, Taoer] Xiamen Univ, Xiamen, Peoples R China; [Martinez, Rolando Gonzales] Univ Groningen, Landleven 1, NL-9747 AD Groningen, Netherlands</t>
  </si>
  <si>
    <t>Xiamen University; University of Groningen</t>
  </si>
  <si>
    <t>Martinez, RG (corresponding author), Univ Groningen, Landleven 1, NL-9747 AD Groningen, Netherlands.</t>
  </si>
  <si>
    <t>r.m.gonzales.martinez@rug.nl</t>
  </si>
  <si>
    <t>Bayesian Institute for Research and Development</t>
  </si>
  <si>
    <t>The study was partially funded by the Bayesian Institute for Research and Development.</t>
  </si>
  <si>
    <t>10.1007/s10614-025-11167-w</t>
  </si>
  <si>
    <t>9RJ4X</t>
  </si>
  <si>
    <t>WOS:001613210100001</t>
  </si>
  <si>
    <t>Martínez, MDV; Martín-Cervantes, PA; Rodríguez, SP</t>
  </si>
  <si>
    <t>Valls Martinez, Maria del Carmen; Antonio Martin-Cervantes, Pedro; Pena Rodriguez, Sandra</t>
  </si>
  <si>
    <t>Ethical Banking and Poverty Alleviation Banking: The Two Sides of the Same Solidary Coin</t>
  </si>
  <si>
    <t>ethical banking; poverty alleviation banking; microcredits; global alliance for banking on values; poverty eradication</t>
  </si>
  <si>
    <t>MICROFINANCE; INCLUSION</t>
  </si>
  <si>
    <t>(1) Background: The growing number of banking entities linked to the field of banking since the 1980s requires a preliminary classification of this sector in order to identify the main stylized facts of this wide conglomerate of institutions oriented to financial sustainability as well as the establishment of an effective differentiation that can objectively distinguish the different types of institutions operating in this subfield of finance. The objective of this research is to obtain a frame of reference by determining the main defining characteristics of these entities and their differentiating elements, by verifying, on an analytical basis, the ways in which they provide a social service in the pursuit of financial inclusion. (2) Methods: A double methodological perspective is used jointly: Factor Analysis and Cluster Analysis. (3) Results: It was possible to delimit two significant groups: Ethical Banks per se and Poverty Alleviation Banks, defining their main differences and analogies. (4) The taxonomy conducted revealed that Ethical Banks per se are primarily established in developed countries, while Poverty Alleviation Banks focus their actions on developing nations. Based on this classification, we establish a series of practical policies that support the future deployment of sustainable banking.</t>
  </si>
  <si>
    <t>[Valls Martinez, Maria del Carmen; Antonio Martin-Cervantes, Pedro; Pena Rodriguez, Sandra] Univ Almeria, Mediterranean Res Ctr Econ &amp; Sustainable Dev CIME, Dept Econ &amp; Business, Carretera Sacramento S-N, Almeria 04120, Spain</t>
  </si>
  <si>
    <t>Universidad de Almeria</t>
  </si>
  <si>
    <t>Martín-Cervantes, PA (corresponding author), Univ Almeria, Mediterranean Res Ctr Econ &amp; Sustainable Dev CIME, Dept Econ &amp; Business, Carretera Sacramento S-N, Almeria 04120, Spain.</t>
  </si>
  <si>
    <t>mcvalls@ual.es; pmc552@ual.es; spr680@inlumine.ual.es</t>
  </si>
  <si>
    <t>Valls Martínez, María del Carmen/H-6761-2015; Martin Cervantes, Peo Antonio/AAN-2388-2020</t>
  </si>
  <si>
    <t>Valls Martínez, María del Carmen/0000-0002-9250-717X; Martin Cervantes, Peo Antonio/0000-0002-8375-1613</t>
  </si>
  <si>
    <t>10.3390/su132111977</t>
  </si>
  <si>
    <t>WX3MJ</t>
  </si>
  <si>
    <t>WOS:000718503900001</t>
  </si>
  <si>
    <t>Jalal-Eddeen, S</t>
  </si>
  <si>
    <t>Jalal-Eddeen, Shuaib</t>
  </si>
  <si>
    <t>Algorithmic governance or extortion? Everyday experiences of fintech for loans in Nigeria</t>
  </si>
  <si>
    <t>Financialisation; financial inclusion; fintech; algorithmic governance; debt; Nigeria</t>
  </si>
  <si>
    <t>FINANCIAL INCLUSION; DEBT; CITIZENSHIP; EXCLUSION; RAMALLAH; CREDIT</t>
  </si>
  <si>
    <t>This paper aims to understand the everyday experiences of financialised inclusion amongst fintech users in Nigeria. Concerns about the use of fintech to drive financial inclusion in the global south have led social scientific scholars to argue that it extends processes of financialisation by employing opaque algorithms to extract the behavioural data of users in order to inundate them with unsecured credit and monetise their data through resale. The consequences of these practices are not fully understood across various contexts. Using a variety of ethnographic methods, this paper examines patterns of fintech adoption and usage in Jimeta, Nigeria. It demonstrates that while fintech allows people to sort out their personal issues amidst precarity, it is also entangled in algorithmic governance issues that facilitate algorithmic extortion to the detriment of user populations. Ultimately, the paper argues that fintech, contrary to claims about its potential to unlock prosperity, is one that opens up novel possibilities for profit making and accumulation, albeit with severe consequences on user populations.</t>
  </si>
  <si>
    <t>[Jalal-Eddeen, Shuaib] Univ London, Inst Global Prosper, London, England</t>
  </si>
  <si>
    <t>University of London</t>
  </si>
  <si>
    <t>Jalal-Eddeen, S (corresponding author), Univ London, Inst Global Prosper, London, England.</t>
  </si>
  <si>
    <t>shuaib.jalal-eddeen.19@ucl.ac.uk</t>
  </si>
  <si>
    <t>Jalal-Eddeen, Shuaib/0009-0005-7921-4558</t>
  </si>
  <si>
    <t>10.1080/13563467.2024.2418081</t>
  </si>
  <si>
    <t>0NK7L</t>
  </si>
  <si>
    <t>WOS:001340811300001</t>
  </si>
  <si>
    <t>Gancarczyk, M; Lasak, P; Gancarczyk, J</t>
  </si>
  <si>
    <t>Gancarczyk, Marta; Lasak, Piotr; Gancarczyk, Jacek</t>
  </si>
  <si>
    <t>The fintech transformation of banking: Governance dynamics and socio-economic outcomes in spatial contexts</t>
  </si>
  <si>
    <t>banking sector; fintech; governance; global production networks; global value chains</t>
  </si>
  <si>
    <t>INFORMATION TECHNOLOGIES; NETWORKS; SERVICES; INDUSTRY; FINANCE; GROWTH</t>
  </si>
  <si>
    <t>Objective: The objective of the article is to identify and systemize the governance dynamics and related socio-economic consequences of the fintech transformation in banking, while acknowledging spatial contexts.Research Design &amp; Methods: The research framework comprised Global Production Networks (GPN), Global Value Chain (GVC), and co-evolutionary approaches to guide a systematic literature review in the Scopus, Web of Science, and Taylor &amp; Francis databases for 2016-2021. The final sample comprised 76 sources that became the basis for selective coding and the synthesis of the results.Findings: Fintech impacted banking governance by creating a dual and interrelated system of global financial networks and a 'mosaic' of territorial financial ecologies and ecosystems, where incumbent banks held anim-portant but not exclusive position. The fintech-enhanced governance transformations had both positive socio-economic effects (improved efficiency, expanded range of services, and inclusion of unbanked or under-served customers) and negative effects (over-indebtedness, surveillance, and exclusion of some customers). Wider so-cio-economic consequences refered to sustainable development and changes in economic and social behaviour. Implications &amp; Recommendations: A research framework and agenda for future studies related to the dy-namics of fintech-driven governance in banking have been elaborated. The article derives the immediate and wider economic and social consequences of fintech-driven transformations. The results can also be applied in public policies oriented towards sustainable socio-economic development.Contribution &amp; Value Added: The study provides theoretical and policy-relevant contributions. Firstly, it broadens the research on the transformation of banking governance in the spatial context. Secondly, it contributes theoretically by proposing a research framework of GVC and GPN governance augmented by a co-evolutionary perspective. Thirdly, the article informs policy that seeks financial inclusion for cohesive and sustainable development.</t>
  </si>
  <si>
    <t>[Gancarczyk, Marta; Lasak, Piotr] Jagiellonian Univ, Inst Econ Finance &amp; Management, Krakow, Poland; [Gancarczyk, Jacek] Jagiellonian Univ, Inst Entrepreneurship, Krakow, Poland; [Gancarczyk, Marta; Lasak, Piotr; Gancarczyk, Jacek] Jagiellonian Univ, Fac Management &amp; Social Commun, Ul Lojasiewicza 4, PL-30348 Krakow, Poland</t>
  </si>
  <si>
    <t>Jagiellonian University; Jagiellonian University; Jagiellonian University</t>
  </si>
  <si>
    <t>Gancarczyk, M; Lasak, P; Gancarczyk, J (corresponding author), Jagiellonian Univ, Fac Management &amp; Social Commun, Ul Lojasiewicza 4, PL-30348 Krakow, Poland.</t>
  </si>
  <si>
    <t>marta.gancarczyk@uj.edu.pl; piotr.lasak@uj.edu.pl; jacek.gancarczyk@uj.edu.pl</t>
  </si>
  <si>
    <t>Gancarczyk, Jacek/GLS-7887-2022</t>
  </si>
  <si>
    <t>Gancarczyk, Jacek/0000-0002-5636-1062; Łasak, Piotr/0000-0002-3726-3862; Gancarczyk, Marta/0000-0003-2078-9320</t>
  </si>
  <si>
    <t>10.15678/EBER.2022.100309</t>
  </si>
  <si>
    <t>5U7NL</t>
  </si>
  <si>
    <t>WOS:000876729800009</t>
  </si>
  <si>
    <t>Kairiza, T; Kembo, G; Magadzire, V; Pallegedara, A</t>
  </si>
  <si>
    <t>Kairiza, Terrence; Kembo, George; Magadzire, Vengesai; Pallegedara, Asankha</t>
  </si>
  <si>
    <t>Gender attributes of the impact of informal savings and loans associations on food security in rural Zimbabwe</t>
  </si>
  <si>
    <t>JOURNAL OF AGRIBUSINESS IN DEVELOPING AND EMERGING ECONOMIES</t>
  </si>
  <si>
    <t>Africa; Rural areas; Gender differences; Food security; Informal savings associations</t>
  </si>
  <si>
    <t>HOUSEHOLD DECISION-MAKING; SUB-SAHARAN AFRICA; FINANCIAL INCLUSION; MOBILE MONEY; POOR; CONSUMPTION; ACCESS; MARKET; WOMEN; PARTICIPATION</t>
  </si>
  <si>
    <t>Purpose In the absence of well-developed financial markets, Informal Savings and Loans Associations (ISLAs) provide rural households with an alternative consumption coping mechanisms when confronted by transitory and seasonal food insecurity. The purpose of this study is to investigate the household food consumption coping strategies and gendered importance of ISLAs in improving household food security in rural Zimbabwe. Design/methodology/approach This study uses household panel data on rural livelihoods from the 2019 and 2020 household surveys conducted by the Zimbabwe Vulnerability Assessment Committee (ZimVAC). Employing propensity score matching approach to cater for the self-selection bias associated with household ISLA membership, the study estimates average treatment effect of household ISLA membership on food security and gendered importance of the propensity of the household to engage in consumption coping strategies. Findings Results shows that the ISLA membership increases household food security and reduces the household propensity to apply non-ISLA consumption coping mechanisms. Female-headed households with ISLA members are more able to increase food security as well as reduce reliance on non-ISLA consumption coping mechanisms than their male counterparts with ISLA members. Research limitations/implications Use of household dietary diversity score and food consumption score as two proxies to measure household food security. Originality/value This study contributes to the literature on food consumption coping strategies in Sub-Saharan Africa using recent household panel data.</t>
  </si>
  <si>
    <t>[Kairiza, Terrence] Bindura Univ Sci Educ, Dept Econ, Bindura, Zimbabwe; [Kembo, George] Food &amp; Nutr Council Zimbabwe, Harare, Zimbabwe; [Magadzire, Vengesai] RGM Sch Intelligence, Harare, Zimbabwe; [Pallegedara, Asankha] Wayamba Univ Sri Lanka, Dept Ind Management, Kuliyapitiya, Sri Lanka</t>
  </si>
  <si>
    <t>Wayamba University of Sri Lanka</t>
  </si>
  <si>
    <t>Pallegedara, A (corresponding author), Wayamba Univ Sri Lanka, Dept Ind Management, Kuliyapitiya, Sri Lanka.</t>
  </si>
  <si>
    <t>asankap@wyb.ac.lk</t>
  </si>
  <si>
    <t>Pallegedara, Asankha/AAJ-9612-2020</t>
  </si>
  <si>
    <t>Kairiza, Terrence/0000-0002-6432-187X</t>
  </si>
  <si>
    <t>2044-0839</t>
  </si>
  <si>
    <t>2044-0847</t>
  </si>
  <si>
    <t>J AGRIBUS DEV EMERG</t>
  </si>
  <si>
    <t>J. Agribus. Dev. Emerg. Econ.</t>
  </si>
  <si>
    <t>10.1108/JADEE-05-2021-0104</t>
  </si>
  <si>
    <t>D4DT7</t>
  </si>
  <si>
    <t>WOS:000724834900001</t>
  </si>
  <si>
    <t>Antwi, J; Naanwaab, CB</t>
  </si>
  <si>
    <t>Antwi, Johnson; Naanwaab, Cephas B.</t>
  </si>
  <si>
    <t>Generational Differences, Risk Tolerance, and Ownership of Financial Securities: Evidence from the United States</t>
  </si>
  <si>
    <t>financial securities; financial investment; generational differences; risk tolerance</t>
  </si>
  <si>
    <t>This paper examines the relationship between generational differences, risk tolerance, and attitudes towards financial investments in a nationally representative sample from the United States of America. The sample consists of pooled cross-sectional data of three waves (2012-2018) and 80,000 observations from the National Financial Capability Study (NFCS). Using a probit model (with and without sample selection), all of the predictor variables are estimated to have statistically significant effects on the ownership of financial securities, with the expected sign effects. There is clearly a generational cohort effect, whereby Baby Boomers are on average more likely to own financial investments than Millennials, controlling for other factors such as incomes, education, and financial literacy. Generation Xers are statistically less likely to have investments in financial securities compared to Millennials. In general, Baby Boomers are more risk-averse and Generation Xers are more risk-loving than Millennials, accounting for education and income levels. The paper reveals a conundrum in which Baby Boomers (Gen Xers), although more (less) risk-averse, are more (less) likely to own financial securities. We control for reverse causality (endogeneity) in the relationship between risk tolerance and the ownership of securities, using the bivariate probit model. The level of financial knowledge of respondents correlates highly with asset ownership: individuals with high and medium levels of financial knowledge are more likely to own financial assets than those with low levels of financial knowledge. To address the limitations of the current findings with regard to generational attitudes towards financial investments, further research is recommended.</t>
  </si>
  <si>
    <t>[Antwi, Johnson] Texas Tech Univ, Sch Financial Planning, Lubbock, TX 79409 USA; [Naanwaab, Cephas B.] North Carolina A&amp;T State Univ, Dept Econ, Greensboro, NC 27411 USA</t>
  </si>
  <si>
    <t>Texas Tech University System; Texas Tech University; University of North Carolina; North Carolina A&amp;T State University</t>
  </si>
  <si>
    <t>Antwi, J (corresponding author), Texas Tech Univ, Sch Financial Planning, Lubbock, TX 79409 USA.</t>
  </si>
  <si>
    <t>johnson.antwi@ttu.edu; cbnaanwa@ncat.edu</t>
  </si>
  <si>
    <t>Naanwaab, Cephas/MEP-1237-2025</t>
  </si>
  <si>
    <t>Naanwaab, Cephas/0000-0001-8574-8349</t>
  </si>
  <si>
    <t>10.3390/ijfs10020035</t>
  </si>
  <si>
    <t>2K2FB</t>
  </si>
  <si>
    <t>WOS:000816157300001</t>
  </si>
  <si>
    <t>Trinh, KA</t>
  </si>
  <si>
    <t>Trinh, Khoa A.</t>
  </si>
  <si>
    <t>Big Five Personality Traits, Poverty, and Environmental Shocks in Shaping Farmers' Risk and Time Preferences: Experimental Evidence from Vietnam</t>
  </si>
  <si>
    <t>Big Five personality traits; multidimensional poverty; natural disaster; risk preferences; time preferences; D81; Q12; O12; G51</t>
  </si>
  <si>
    <t>DISCOUNT RATES; CREDIT MARKETS; AVERSION; PERCEPTIONS; PERFORMANCE; ATTITUDES; SAVINGS; TRUST; STORM; POOR</t>
  </si>
  <si>
    <t>This study investigates factors influencing risk and time preferences through experiments with 575 farmers in Vietnam's Mekong Delta, controlling for time effects and selection bias. Using a hyperbolic time-discounting model with fixed and variable cost components and instrumental variable estimation, we find that income poverty - but not multidimensional poverty (MP) - is significantly associated with greater patience. Patience also increases with openness to experience, while conscientiousness and credit access are linked to greater impatience. Credit access may promote short-term decision-making by increasing liquidity, debt pressure, and immediate consumption incentives. Risk preferences, assessed through incentivized and nonincentivized Eckel-Grossman tasks, are not significantly linked to poverty, but are positively associated with credit access, emotional stability, openness, ethnicity, and exposure to natural disasters. Borrowing status strongly correlates with risk tolerance, suggesting that financial access supports calculated risk-taking, whereas MP is negatively related to such behavior. Natural disasters appear to foster adaptive risk-taking through repeated exposure to shocks. Overall, farmers' economic decisions are more influenced by environmental shocks, personality traits, and credit access than by poverty alone. Policymakers should integrate financial and behavioral strategies - expanding credit, designing adaptive financial tools, and implementing financial literacy programs - to strengthen economic resilience and risk management.</t>
  </si>
  <si>
    <t>[Trinh, Khoa A.] FPT Univ, Business Management Dept, Greenwich Vietnam, Da Nang Campus,658 Ngo Quyen St, Da Nang, Vietnam</t>
  </si>
  <si>
    <t>FPT University</t>
  </si>
  <si>
    <t>Trinh, KA (corresponding author), FPT Univ, Business Management Dept, Greenwich Vietnam, Da Nang Campus,658 Ngo Quyen St, Da Nang, Vietnam.</t>
  </si>
  <si>
    <t>khoata24@fe.edu.vn</t>
  </si>
  <si>
    <t>Manaaki New Zealand Ph.D. Scholarship; Department of Economics, University of Otago, New Zealand</t>
  </si>
  <si>
    <t>This study is part of a project that was financially supported by the Manaaki New Zealand Ph.D. Scholarship (no reference number) and the Ph.D. Research Bursary from the Department of Economics, University of Otago, New Zealand (no reference number).</t>
  </si>
  <si>
    <t>10.1515/econ-2025-0172</t>
  </si>
  <si>
    <t>8UL2H</t>
  </si>
  <si>
    <t>WOS:001597605700001</t>
  </si>
  <si>
    <t>Gudeta, ZG; Teshome, G; Kenea, DA; Kumera, L; Abraham, Y; Tekeste, A; Mengesha, G</t>
  </si>
  <si>
    <t>Gudeta, Zerihun Girma; Teshome, Girma; Amente Kenea, Daniel; Kumera, Lalise; Abraham, Yohanes; Tekeste, Alemayehu; Mengesha, Gezehagn</t>
  </si>
  <si>
    <t>The role of social norms in shaping trust and economic behavior in the Ethiopian financial institutions</t>
  </si>
  <si>
    <t>INSURANCE; ORIGINS</t>
  </si>
  <si>
    <t>This study examines how social norms (SNs) influence trust in financial institutions and shape economic behavior in Ethiopia, where informal institutions such as Equb and Edir coexist with modern banking and insurance systems. This research addresses two key questions: (1) How do social norms affect economic behaviors, such as saving, investment, and institutional trust? (2) What lessons can formal financial institutions learn from the traditional economic structures? Using a mixed-methods approach, this study draws on World Values Survey (WVS) Wave 7 data (n = 1230) and 98 key informant interviews from seven Ethiopian cities. Quantitative data were analyzed using descriptive statistics, chi-square tests, and thematic coding of qualitative interviews. Findings indicate that 78.5% of respondents are confirmatory, meaning they adhere closely to prevailing social norms, while 21.5% are non-confirmatory, demonstrating a greater willingness to deviate from societal expectations. While economic satisfaction did not significantly differ between groups (p = 0.812), confirmatory individuals exhibited lower trust in the government (64.5%) and major banks (69.2%) than non-confirmatory individuals (72.6% and 76.5%, respectively; p = 0.015, p = 0.04). Additionally, qualitative insights reveal that confirmatory individuals hold stronger reservations toward wealth accumulation and savings, which may have implications for financial decision making. To improve financial inclusion and institutional trust, policymakers should integrate trust-building mechanisms from informal institutions, increase financial literacy, and develop more flexible banking services. Recognizing the effectiveness of Equb and Edir, formal financial institutions should adopt community-driven approaches to enhance their accessibility, reliability, and participation.</t>
  </si>
  <si>
    <t>[Gudeta, Zerihun Girma; Teshome, Girma; Amente Kenea, Daniel; Kumera, Lalise; Abraham, Yohanes; Tekeste, Alemayehu] Policy Study Inst, Addis Ababa, Ethiopia; [Mengesha, Gezehagn] Haramaya Univ, Coll Hlth &amp; Med, Harar, Ethiopia</t>
  </si>
  <si>
    <t>Haramaya University</t>
  </si>
  <si>
    <t>Gudeta, ZG (corresponding author), Policy Study Inst, Addis Ababa, Ethiopia.</t>
  </si>
  <si>
    <t>zergirma@gmail.com</t>
  </si>
  <si>
    <t>Amente Kenea, Daniel/0000-0003-1960-7585</t>
  </si>
  <si>
    <t>Policy Study Institute; Policy Study Institute of Ethiopia</t>
  </si>
  <si>
    <t>We would like to acknowledge the Policy Study Institute of Ethiopia for funding this study.</t>
  </si>
  <si>
    <t>SEP 24</t>
  </si>
  <si>
    <t>10.1057/s41599-025-05299-5</t>
  </si>
  <si>
    <t>7VD2W</t>
  </si>
  <si>
    <t>WOS:001580397200009</t>
  </si>
  <si>
    <t>Unlocking Financial Well-Being for People With Disabilities: The Importance of Financial Knowledge and Socialization Within the Family Context</t>
  </si>
  <si>
    <t>disabilities; financial well-being; financial capability; financial knowledge; family financial socialization</t>
  </si>
  <si>
    <t>Improving the financial well-being of people with disabilities is a pressing concern, given the documented lower levels of financial well-being among this population compared to the general population. Limited research, however, offers effective strategies for improving their financial well-being. This study investigates how financial knowledge and family financial socialization can be combined to enhance the financial well-being of people with disabilities. Using data from the 2016 National Financial Well-Being Survey, we employ multivariate analyses and propensity score matching techniques to test the robustness of our results and ensure our population comprised a nationally representative sample of people with disabilities. Our findings show that people with disabilities experience lower levels of financial well-being compared to those without disabilities. Furthermore, we find that self-assessed financial knowledge and financial socialization within the family context are positively associated with the financial well-being of people with disabilities. These findings have important implications for researchers and financial service professionals who work with people with disabilities. This study emphasizes the importance of tailoring financial education to the specific needs of people with disabilities and prioritizing financial education and financial socialization within the family context as critical mechanisms for enhancing their financial well-being. Improving the financial well-being of people with disabilities is a pressing concern, given the documented lower levels of financial well-being among this population compared to the general population. Using data from the 2016 National Financial Well-Being Survey, we employ multivariate analyses and propensity score matching techniques. Our analysis shows that people with disabilities experience lower levels of financial well-being compared to those without disabilities. While we acknowledge that systemic barriers faced by people with disabilities, such as the Medicaid infrastructure and wage-related laws, extend beyond individual impairments and play a significant role in employment prospects, we find a positive association between self-assessed financial knowledge and financial socialization within the family context and the financial well-being of people with disabilities. These findings are important for researchers and people who help with money matters for people with disabilities. They show that we should provide financial education that suits the needs of people with disabilities and also encourage families to discuss money matters with them. These steps can improve their financial well-being.</t>
  </si>
  <si>
    <t>[Kim, Kyoung Tae] Univ Alabama, Tuscaloosa, AL USA; [Lee, Jonghee] Inha Univ, Inchon, South Korea; [Lee, Jonghee] Inha Univ, Dept Consumer Sci, 100 Inha Ro, Incheon 22212, South Korea</t>
  </si>
  <si>
    <t>University of Alabama System; University of Alabama Tuscaloosa; Inha University; Inha University</t>
  </si>
  <si>
    <t>Lee, J (corresponding author), Inha Univ, Dept Consumer Sci, 100 Inha Ro, Incheon 22212, South Korea.</t>
  </si>
  <si>
    <t>jongheelee@inha.ac.kr</t>
  </si>
  <si>
    <t>Lee, Jonghee/0000-0002-0235-2689</t>
  </si>
  <si>
    <t>10.1177/21582440241253564</t>
  </si>
  <si>
    <t>RV1F5</t>
  </si>
  <si>
    <t>WOS:001230337000001</t>
  </si>
  <si>
    <t>Chen, Q; Tsai, SB; Zhai, YM; Chu, CC; Zhou, J; Li, GD; Zheng, YX; Wang, JT; Chang, LC; Hsu, CF</t>
  </si>
  <si>
    <t>Chen, Quan; Tsai, Sang-Bing; Zhai, Yuming; Chu, Chien-Chi; Zhou, Jie; Li, Guodong; Zheng, Yuxiang; Wang, Jiangtao; Chang, Li-Chung; Hsu, Chao-Feng</t>
  </si>
  <si>
    <t>An Empirical Research on Bank Client Credit Assessments</t>
  </si>
  <si>
    <t>credit assessment; decision making; bank client; finance; sustainability</t>
  </si>
  <si>
    <t>DECISION-MAKING; PERFORMANCE; MODEL</t>
  </si>
  <si>
    <t>Individual microcredit loans involve large quantities and small amounts and necessitate rapid approval, therefore making simple and fast application approvals rather critical. Creditors must evaluate clients' credit status and default risk within the shortest time when determining whether to approve or decline their applications, preventing overdue responses that negatively impact bank profits and management practices, and could trigger domestic financial crises. This study investigates client credit quality criteria, focusing on the expert opinions of bank managers. The decision-making trial and evaluation laboratory method is adopted to enable a comparison and analysis of the similarities and differences in how banks evaluate their clients' character, ability, financial capability, and collateral. Based on causality and correlations among the criteria, we also identify the core problems and key improvement criteria in the evaluation system. Through survey results of professional managers from Taiwanese banks, this study uses the DEMATEL method to compare the differences in bank evaluation methods based on the four dimensions of clients' character, ability, pockets, and collateral, as well as the corresponding 14 criteria. In order to improve the reliability and usefulness in bank client credit risk assessment, the assessment dimensions and indicators of bank client credit risk assessment are first discussed; second, the causal relationship and degree of mutual influence between different dimensions and criteria are researched and assessed; in the end, the paper discusses how to improve the function and the benefits of bank client credit risk assessment.</t>
  </si>
  <si>
    <t>[Chen, Quan; Tsai, Sang-Bing; Wang, Jiangtao; Chang, Li-Chung; Hsu, Chao-Feng] Univ Elect Sci &amp; Technol China, Zhongshan Inst, Zhongshan 528400, Peoples R China; [Tsai, Sang-Bing; Li, Guodong] Civil Aviat Univ China, Econ &amp; Management Coll, Tianjin 300300, Peoples R China; [Zhai, Yuming] Shanghai Inst Technol, Sch Econ &amp; Management, Shanghai 201418, Peoples R China; [Chu, Chien-Chi] Shantou Univ, Business Sch, Dept Finance, Shantou 515063, Peoples R China; [Chu, Chien-Chi] Shantou Univ, Res Inst Guangdong Taiwan Business Cooperat, Shantou 515063, Peoples R China; [Zhou, Jie] Nankai Univ, Coll Tourism &amp; Serv Management, Tianjin 300071, Peoples R China; [Zheng, Yuxiang] Shanghai Maritime Univ, Sch Econ &amp; Management, Shanghai 201306, Peoples R China</t>
  </si>
  <si>
    <t>University of Electronic Science &amp; Technology of China; Civil Aviation University of China; Shanghai Institute of Technology; Shantou University; Shantou University; Nankai University; Shanghai Maritime University</t>
  </si>
  <si>
    <t>Tsai, SB (corresponding author), Univ Elect Sci &amp; Technol China, Zhongshan Inst, Zhongshan 528400, Peoples R China.;Tsai, SB (corresponding author), Civil Aviat Univ China, Econ &amp; Management Coll, Tianjin 300300, Peoples R China.;Zhai, YM (corresponding author), Shanghai Inst Technol, Sch Econ &amp; Management, Shanghai 201418, Peoples R China.;Chu, CC (corresponding author), Shantou Univ, Business Sch, Dept Finance, Shantou 515063, Peoples R China.;Chu, CC (corresponding author), Shantou Univ, Res Inst Guangdong Taiwan Business Cooperat, Shantou 515063, Peoples R China.</t>
  </si>
  <si>
    <t>zschenquan@gmail.com; sangbing@hotmail.com; yumingzhai@126.com; jqzhu@stu.edu.cn; zhoujie_1980@126.com; gdli@cauc.edu.cn; yxzheng@shmtu.edu.cn; jiangtao-w@foxmail.com; m13686147477@163.com; visonhsu8989@126.com</t>
  </si>
  <si>
    <t>Zheng, Yuxiang/OZD-7694-2025; Tsai, Sang-Bing/C-2978-2014; Chang, Li-Chung/I-8750-2014; Zhai, Yuming/ACH-2970-2022</t>
  </si>
  <si>
    <t>Chien-Chi, Chu/0000-0003-2028-4795; Tsai, Sang-Bing/0000-0001-6988-5829; Chen, Quan/0000-0001-8523-1067;</t>
  </si>
  <si>
    <t>National Social Science Foundation of China [15BGL019]; Shanghai Social Science Foundation [2014BGL004]; Zhongshan City Science and Technology Bureau Project [2017B1015]; Provincial Nature Science Foundation of Guangdong [2015A030310271, 2015A030313679, 416N07]; UESTC-ZSC [415YKQ10, 417NYP01, 416YCQ09, JC201704]; Institute of Guangdong; Taiwan of Shantou University</t>
  </si>
  <si>
    <t>National Social Science Foundation of China(National Office of Philosophy and Social Sciences); Shanghai Social Science Foundation; Zhongshan City Science and Technology Bureau Project; Provincial Nature Science Foundation of Guangdong(National Natural Science Foundation of Guangdong Province); UESTC-ZSC; Institute of Guangdong; Taiwan of Shantou University</t>
  </si>
  <si>
    <t>This research was supported by the National Social Science Foundation of China (Grant Number: 15BGL019), Shanghai Social Science Foundation (Grant Number: 2014BGL004); Zhongshan City Science and Technology Bureau Project (No. 2017B1015); Provincial Nature Science Foundation of Guangdong (Nos. 2015A030310271 and 2015A030313679 and 416N07); UESTC-ZSC No. (415YKQ10, 417NYP01, 416YCQ09, JC201704) and The Institute of Guangdong and Taiwan of Shantou University for their financial support.</t>
  </si>
  <si>
    <t>10.3390/su10051406</t>
  </si>
  <si>
    <t>WOS:000435587100102</t>
  </si>
  <si>
    <t>Chen, ZB; Zurlo, KA</t>
  </si>
  <si>
    <t>Chen, Zibei; Zurlo, Karen A.</t>
  </si>
  <si>
    <t>The Role of Secured and Unsecured Debt in Retirement Planning</t>
  </si>
  <si>
    <t>Retirement security; Unsecured debt; Secured debt; Pre-retirees</t>
  </si>
  <si>
    <t>MENTAL-HEALTH; OLDER; CONSUMER</t>
  </si>
  <si>
    <t>Nearly 40 percent of Americans approaching retirement felt heavily indebted. Understanding the role of secured and unsecured debt in retirement planning becomes an urgent concern for researchers and policymakers alike. Using data from the 2015 National Financial Capability Study (NFCS), the current study identified secured debt (mortgage and auto loan) and unsecured debt (medical debt and credit card debt) among a national sample of pre-retirees aged 51-61 years. Logit regression models were estimated to examine and compare each debt's relationship retirement planning among pre-retirees. We found a relatively large portion of the pre-retiree sample approached retirement in debt, and having debt was negatively associated with retirement planning. We also found that secured debt does not seem to facilitate retirement planning, and unsecured debt had a strong negative association with retirement planning. Our findings highlight differential impact that debt from different sources can have on retirement security, calling for closer examination on the role of debt in retirement security across income groups and those without retirement plans. Findings of this study yield policy implications on access to retirement accounts and financial education provision towards financial health and solvency of older Americans.</t>
  </si>
  <si>
    <t>[Chen, Zibei] Univ Southern Mississippi, Sch Social Work, 118 Coll Dr 5114, Hattiesburg, MS 39406 USA; [Zurlo, Karen A.] Rutgers State Univ, Sch Social Work, New Brunswick, NJ USA</t>
  </si>
  <si>
    <t>University of Southern Mississippi; Rutgers University System; Rutgers University New Brunswick</t>
  </si>
  <si>
    <t>Chen, ZB (corresponding author), Univ Southern Mississippi, Sch Social Work, 118 Coll Dr 5114, Hattiesburg, MS 39406 USA.</t>
  </si>
  <si>
    <t>Zibei.Chen@usm.edu; kzurlo@ssw.rutgers.edu</t>
  </si>
  <si>
    <t>10.1007/s10834-022-09828-1</t>
  </si>
  <si>
    <t>WOS:000761972300001</t>
  </si>
  <si>
    <t>Salman, M; Sarker, MR; Rahman, MA; McKenzie, AM; Sarkar, MAR</t>
  </si>
  <si>
    <t>Salman, Md.; Sarker, Mou Rani; Rahman, Md. Asifur; McKenzie, Andrew M.; Sarkar, Md Abdur Rouf</t>
  </si>
  <si>
    <t>Breaking the Regional Barriers: Identifying Determinants of Antenatal Care Access in Bangladesh for Improved Maternal Health Policy</t>
  </si>
  <si>
    <t>antenatal care; Bangladesh; endogeneity; machine learning; maternal health; regional disparities</t>
  </si>
  <si>
    <t>POISSON REGRESSION; BELIEF MODEL; WOMEN; SATISFACTION; SWEDEN; IMPACT; LEVEL</t>
  </si>
  <si>
    <t>Inadequate utilization of antenatal care (ANC) services remains a major contributor to maternal and child morbidity globally, posing barriers to achieving Sustainable Development Goal 3.1 in developing countries such as Bangladesh. Despite notable national progress, regional disparities continue to constrain timely ANC access for pregnant women. This study identifies the region-specific determinants of ANC access using advanced econometric modeling. A nonparametric copula control function approach is applied to correct for endogeneity in Poisson regression, with robustness validated through machine learning techniques. Using nationally representative data from the 2022 Bangladesh Demographic and Health Survey, findings show that only 41% of pregnant women achieved the recommended &gt;= 4 visits, with the highest coverage in Dhaka and the lowest in Khulna. Determinants varied across divisions: higher education, household wealth, family-planning knowledge, financial inclusion, prior caesarean delivery, decision-making autonomy, and media exposure significantly increased ANC use, while higher birth order, more young children, large household size, agricultural employment, and rural residence reduced utilization. Unique contextual findings, such as the positive role of women's land ownership in Sylhet and the potential of ICT-based counseling in remote regions, underscore the need for region-specific interventions. Policy recommendations include re-targeting health budgets to underserved regions, reforming inheritance and land-distribution laws, expanding mobile banking and community insurance, and scaling digital health counseling platforms. The study highlights that achieving universal ANC coverage requires empowerment-driven, evidence-based, and cross-sectoral strategies integrating social, financial, and infrastructural dimensions into the regional maternal health planning framework.</t>
  </si>
  <si>
    <t>[Salman, Md.; Sarkar, Md Abdur Rouf] Bangladesh Rice Res Inst, Agr Econ Div, Gazipur, Bangladesh; [Sarker, Mou Rani] Int Rice Res Inst, Sustainable Impact Rice Based Syst, Dhaka, Bangladesh; [Rahman, Md. Asifur] Tennessee State Univ, Coll Agr, Dept Agr Business &amp; Educ, Nashville, TN USA; [McKenzie, Andrew M.] Univ Arkansas, Dept Agr Econ &amp; Agribusiness, Fayetteville, AR USA; [Sarkar, Md Abdur Rouf] Zhongnan Univ Econ &amp; Law, Sch Econ, Wuhan, Peoples R China</t>
  </si>
  <si>
    <t>Bangladesh Rice Research Institute (BRRI); Tennessee State University; University of Arkansas System; University of Arkansas Fayetteville; Zhongnan University of Economics &amp; Law</t>
  </si>
  <si>
    <t>Sarkar, MAR (corresponding author), Bangladesh Rice Res Inst, Agr Econ Div, Gazipur, Bangladesh.;Sarkar, MAR (corresponding author), Zhongnan Univ Econ &amp; Law, Sch Econ, Wuhan, Peoples R China.</t>
  </si>
  <si>
    <t>mdrouf_bau@yahoo.com</t>
  </si>
  <si>
    <t>McKenzie, Andrew/JFA-2437-2023; Rahman, Md. Asifur/KWU-4485-2024; Sarkar, Md Abdur Rouf/C-3769-2014; Sarker, Mou/HPD-5000-2023</t>
  </si>
  <si>
    <t>Bangladesh Demographic and Health Survey (BDHS); National Institute of Population Research and Training (NIPORT)</t>
  </si>
  <si>
    <t>The authors would like to acknowledge the Bangladesh Demographic and Health Survey (BDHS) and the National Institute of Population Research and Training (NIPORT) for providing the data collected in 2022.</t>
  </si>
  <si>
    <t>2025 NOV 28</t>
  </si>
  <si>
    <t>10.1002/sd.70493</t>
  </si>
  <si>
    <t>I1474</t>
  </si>
  <si>
    <t>WOS:001626256900001</t>
  </si>
  <si>
    <t>Feitó-Madrigal, D; Portal-Boza, M</t>
  </si>
  <si>
    <t>Feito-Madrigal, Duniesky; Portal-Boza, Malena</t>
  </si>
  <si>
    <t>Financial socialization and well-being: the mediating role of psychological factors in Mexican adultsm</t>
  </si>
  <si>
    <t>Financial socialization; financial well-being; psychological factors; structural equations; mediation</t>
  </si>
  <si>
    <t>YOUNG-ADULTS; LITERACY; PLS</t>
  </si>
  <si>
    <t>this study explores the direct impact of financial socialization on financial well-being and also evaluates the mediating effect of financial trust, degree of control, and optimism as psychological factors, drawing on theories of family financial socialization, social learning, and beha-vioral finance. Using structural equation modeling for an adult sample, the results indicate that financial socialization has a positive, but weak, direct effect on financial well-being. However, this effect is intensified when psychological factors, particularly financial trust, intervene. The analysis revealed complementary partial mediation, suggesting that, overall, indirect effects outweigh the direct effect. These findings emphasize the importance of individual beliefs, perceptions, and attitudes in strengthening the relationship between formative experiences in childhood and financial well-being in adulthood. In the Mexican context, characterized by high levels of informality and limited access to formal financial services, the results highlight the importance of consolidating homes as spaces for economic education. It is recommended that financial education strategies simultaneously integrate socio-emotional skills and practical financial management tools to optimize the use of public resources and amplify the social impact of regional financial inclusion and well-being policies.</t>
  </si>
  <si>
    <t>[Feito-Madrigal, Duniesky; Portal-Boza, Malena] Univ Autonoma Baja Calif, Mexicali, Mexico</t>
  </si>
  <si>
    <t>Feitó-Madrigal, D (corresponding author), Univ Autonoma Baja Calif, Mexicali, Mexico.</t>
  </si>
  <si>
    <t>duniesky.feito.madrigal@uabc.edu.mx; mportal@uabc.edu.mx</t>
  </si>
  <si>
    <t>FEITÓ MAIGAL, DUNIESKY/0000-0001-7225-2598</t>
  </si>
  <si>
    <t>10.17163/ret.n30.2025.10</t>
  </si>
  <si>
    <t>8LH3M</t>
  </si>
  <si>
    <t>WOS:001591374000010</t>
  </si>
  <si>
    <t>Albort-Morant, G; Irimia-Diéguez, A; Yasin, M; Liebana-Cabanillas, F</t>
  </si>
  <si>
    <t>Albort-Morant, Gema; Irimia-Dieguez, Ana; Yasin, Mahmoud; Liebana-Cabanillas, Francisco</t>
  </si>
  <si>
    <t>Social influence or religiosity? New factors determining the adoption of Paytech services in Islamic countries</t>
  </si>
  <si>
    <t>Islamic fintech; Paytech services; Extended TAM; TAM-SIR; Religiosity; Social influence</t>
  </si>
  <si>
    <t>BANKING EMPIRICAL-EVIDENCE; USER ACCEPTANCE; MOBILE BANKING; PLS-SEM; TECHNOLOGY; INTERNET; BEHAVIOR; INTENTION; MODEL</t>
  </si>
  <si>
    <t>PurposeThis study aims to identify the factors that may account for the intention to use Paytech services within an Islamic context. The authors propose an expanded version of the Technology Acceptance Model (TAM), which includes religiosity (R) and social influence (SI), to develop a causal-predictive analysis.Design/methodology/approachThe research model and hypotheses were assessed using partial least square-structured equation modeling on data collected from 531 potential Paytech users.FindingsThe results reveal that religiosity has a more significant direct effect on the intention to use Paytech services than on actual use, while social influence has a more significant direct effect on use than on the intention to use Paytech services.Research limitations/implicationsCultural differences within the Middle East and North Africa region could influence the acceptance and usage of the new Paytech services.Practical implicationsThe valuable insights gained from this study can help Fintech managers, financial institutions and developers of new financial services design effective strategies to encourage user adoption of Paytech services. Companies could prioritize implementing word-of-mouth marketing initiatives to encourage early adopters to recommend the service.Social implicationsThe Paytech services would enable access to financial services for the entire Muslim population regardless of their location, gender or age, thereby fostering financial inclusion.Originality/valueTo the best of the authors' knowledge, this study is the first to explore the intention to use Paytech services in two Islamic countries: Saudi Arabia and Palestine. From a theoretical perspective, this work contributes to the academic literature by analyzing the mediating effects of two external variables, religiosity and social influence.</t>
  </si>
  <si>
    <t>[Albort-Morant, Gema; Irimia-Dieguez, Ana] Univ Seville, Fac Econ &amp; Business Sci, Dept Financial Econ &amp; Operat Management, Seville, Spain; [Yasin, Mahmoud] Arab Amer Univ, Dept Mkt, Ramallah, Palestine; [Liebana-Cabanillas, Francisco] Univ Granada, Dept Mkt &amp; Market Res, Granada, Spain; [Liebana-Cabanillas, Francisco] Univ Granada, Andalusian Inst Res &amp; Innovat Tourism, Granada, Spain; [Liebana-Cabanillas, Francisco] Univ Malaga, Andalusian Inst Res &amp; Innovat Tourism, Malaga, Spain; [Liebana-Cabanillas, Francisco] Univ Seville, Andalusian Inst Res &amp; Innovat Tourism, Seville, Spain</t>
  </si>
  <si>
    <t>University of Sevilla; Arab American University; University of Granada; University of Granada; Universidad de Malaga; University of Sevilla</t>
  </si>
  <si>
    <t>Albort-Morant, G (corresponding author), Univ Seville, Fac Econ &amp; Business Sci, Dept Financial Econ &amp; Operat Management, Seville, Spain.</t>
  </si>
  <si>
    <t>galbort@us.es; anairimia@us.es; mahmoud.yasin@aauj.edu; franlieb@ugr.es</t>
  </si>
  <si>
    <t>Irimia-Diéguez, Ana/M-5836-2013; yasin, mahmoud/HJZ-1586-2023; Morant, Gema/AAE-9413-2019</t>
  </si>
  <si>
    <t>yasin, mahmoud/0000-0001-8795-8251;</t>
  </si>
  <si>
    <t>FEB 14</t>
  </si>
  <si>
    <t>10.1108/IMEFM-01-2024-0011</t>
  </si>
  <si>
    <t>W4G9N</t>
  </si>
  <si>
    <t>WOS:001393300800001</t>
  </si>
  <si>
    <t>Shah, SQA; Waris, U; Ahmed, S; Agyekum, EB; Hussien, AG; Kamal, M; Rehman, M; Kamel, S</t>
  </si>
  <si>
    <t>Shah, Syed Qasim Ali; Waris, Umra; Ahmed, Sheraz; Agyekum, Ephraim Bonah; Hussien, Abdelazim G.; Kamal, Mustafa; ur Rehman, Masood; Kamel, Salah</t>
  </si>
  <si>
    <t>What is the role of remittance and education for environmental pollution?-Analyzing in the presence of financial inclusion and natural resource extraction</t>
  </si>
  <si>
    <t>Sustainability development; G-11 countries; NPARDL; Environmental quality</t>
  </si>
  <si>
    <t>KUZNETS CURVE HYPOTHESIS; ENERGY-CONSUMPTION; CO2 EMISSIONS; RENEWABLE ENERGY; ECONOMIC-GROWTH; EMPIRICAL-EVIDENCE; CARBON EMISSIONS; SUSTAINABILITY; INCOME; TRADE</t>
  </si>
  <si>
    <t>This study assessed the impact of gross domestic product (GDP), education, natural resources, remittances, and financial inclusion on carbon emissions in G-11 countries from 1990 to 2021. Based on the negative impact of pollution and the need for sustainable development, this study examined factors affecting CO2 emissions in G-11 countries using non-linear panel ARDL model. The study found that a positive GDP shock increases CO2 emissions in the short and long term, while a negative shock decreases emissions in the short term and increases emissions in the long term. Education was found to increase CO2 emissions in the long term but decrease them in the short term, emphasizing the need for education on combating emissions. Natural resources were also found to increase emissions in the long term, highlighting the need for government-defined institutions to minimize extraction effects and enforce transparency and accountability. Positive changes in personal remittances and financial inclusion were found to increase emissions in both the short and long term, suggesting the need for policies that encourage renewable energy sources and energy efficiency improvement. The study concludes that policymakers should prioritize efficient resource allocation, promote renewable energy usage, and enhance environmental awareness to achieve sustainable development goals in G-11 countries. The possible applications of this study include the use of the models to investigate the asymmetric effects on CO2 emissions. This model can be applied in future studies to examine the relationship between GDP, education, natural resources, personal remittances, financial inclusion, and CO2 emissions in other countries.</t>
  </si>
  <si>
    <t>[Shah, Syed Qasim Ali] Riphah Int Univ Islamabad, Dept Riphah Sch Business &amp; Management RSBM, Lahore, Pakistan; [Waris, Umra; Ahmed, Sheraz] Univ Management &amp; Technol, Dept Econ &amp; Quantitat Methods, HSM, Lahore, Pakistan; [Agyekum, Ephraim Bonah] Ural Fed Univ Named First President Russia Boris, Dept Nucl &amp; Renewable Energy, 19 Mira St, Ekaterinburg 620002, Russia; [Hussien, Abdelazim G.] Linkoping Univ, Dept Comp &amp; Informat Sci, Linkoping, Sweden; [Hussien, Abdelazim G.] Fayoum Univ, Fac Sci, Al Fayyum, Egypt; [Hussien, Abdelazim G.] Middle East Univ, MEU Res Unit, Amman, Jordan; [Kamal, Mustafa] Saudi Elect Univ, Coll Sci &amp; Theoret Studies, Dept Basic Sci, Dammam 32256, Saudi Arabia; [ur Rehman, Masood] Saudi Elect Univ, Coll Comp &amp; Informat, Dept Informat Technol, Dammam 32256, Saudi Arabia; [Kamel, Salah] Aswan Univ, Fac Engn, Elect Engn Dept, Aswan 81542, Egypt</t>
  </si>
  <si>
    <t>University of Management &amp; Technology (UMT); Ural Federal University; Linkoping University; Egyptian Knowledge Bank (EKB); Fayoum University; Middle East University; Saudi Electronic University; Saudi Electronic University; Egyptian Knowledge Bank (EKB); Aswan University</t>
  </si>
  <si>
    <t>Hussien, AG (corresponding author), Linkoping Univ, Dept Comp &amp; Informat Sci, Linkoping, Sweden.</t>
  </si>
  <si>
    <t>umrawaris@gmail.com; abdelazim.hussien@liu.se</t>
  </si>
  <si>
    <t>Kamal, Mustafa/AAX-4895-2021; Agyekum, Ephraim Bonah/AAS-8919-2020; Kamel, Salah/C-8567-2019; Waris, Umra/JQI-0841-2023; Hussien, Abdelazim/AAC-5121-2019</t>
  </si>
  <si>
    <t>Agyekum, Ephraim Bonah/0000-0002-6947-4349; Kamel, Salah/0000-0001-9505-5386; Waris, Umra/0000-0002-6604-1791; Hussien, Abdelazim/0000-0001-5394-0678</t>
  </si>
  <si>
    <t>e17133</t>
  </si>
  <si>
    <t>10.1016/j.heliyon.2023.e17133</t>
  </si>
  <si>
    <t>O4LI5</t>
  </si>
  <si>
    <t>WOS:001043542100001</t>
  </si>
  <si>
    <t>Chiboora, TH; Chacha, L; Byagutangaza, T; Gueye, A</t>
  </si>
  <si>
    <t>Chiboora, Trevor Henry; Chacha, Lenah; Byagutangaza, Theoneste; Gueye, Assane</t>
  </si>
  <si>
    <t>Evaluating Mobile Banking Application Security Posture Using the OWASP's MASVS Framework</t>
  </si>
  <si>
    <t>PROCEEDINGS OF THE ACM SIGCAS/SIGCHI CONFERENCE ON COMPUTING AND SUSTAINABLE SOCIETIES 2023,COMPASS 2023</t>
  </si>
  <si>
    <t>ACM SIGCAS/SIGCHI Conference on Computing and Sustainable Societies (COMPASS)</t>
  </si>
  <si>
    <t>AUG 16-19, 2023</t>
  </si>
  <si>
    <t>ACM SIGCAS,ACM SIGCHI,Data Sci Africa,Natl Sci Fdn,Mozilla Fdn,Sunbird AI,Independent Inst Educ,Vars Coll,ACM SIGCAS,SIGCHI Dev Funds</t>
  </si>
  <si>
    <t>VAPT; Financial Inclusion; Android Applications; OWASP MASVS v2.0</t>
  </si>
  <si>
    <t>In the context of financial gain, hackers are motivated to exploit vulnerabilities that could result in financial or data loss. Therefore, it is crucial for financial applications to undergo thorough testing to identify and address such vulnerabilities. Regrettably, many financial institutions neglect proper testing procedures and sometimes even fail to establish a suitable security release baseline. This report presents an analysis of 18 mobile applications, each belonging to a different financial institution in Africa. The selection of these applications was carefully executed, considering institutions of varying sizes, to enable a comparative assessment of security practices across different organizational scales. The assessment was conducted by evaluating the sampled applications against the Mobile Application Security Verification Standard v2.0. This is a set of checklists and guidelines by the Open Web Application Security Project (OWASP) used as a baseline for mobile application security. Due to the extensive nature of the project, the testing scope was limited to the application itself, as experienced by the end user. This included examining the application's interaction with the back-end server and observing its behavior on the user's mobile device. It is important to note that this report does not provide a comprehensive analysis, as it excludes the assessment of the server-side API and testing of business logic that requires elevated privileges within the application. Furthermore, a survey was conducted to gain insights into why developers may neglect baseline security thereby introducing potential vulnerabilities in mobile applications. The findings of this survey are also included in a short summary at the end of this document.</t>
  </si>
  <si>
    <t>[Chiboora, Trevor Henry; Chacha, Lenah; Byagutangaza, Theoneste; Gueye, Assane] Cylab Africa Upanzi Network, Kigali, Rwanda</t>
  </si>
  <si>
    <t>Chiboora, TH (corresponding author), Cylab Africa Upanzi Network, Kigali, Rwanda.</t>
  </si>
  <si>
    <t>tchiboor@andrew.cmu.edu; lchacha@andrew.cmu.edu; tbyaguta@andrew.cmu.edu; assaneg@andrew.cmu.edu</t>
  </si>
  <si>
    <t>Chacha, Lenah/0009-0009-3480-5468; Byagutangaza, Theoneste/0009-0002-4410-8454; Gueye, Assane/0000-0001-6469-4716; Chiboora, Trevor Henry/0009-0009-4066-5481</t>
  </si>
  <si>
    <t>979-8-4007-0149-8</t>
  </si>
  <si>
    <t>10.1145/3588001.3609367</t>
  </si>
  <si>
    <t>Computer Science, Interdisciplinary Applications; Green &amp; Sustainable Science &amp; Technology; Social Sciences, Interdisciplinary</t>
  </si>
  <si>
    <t>Computer Science; Science &amp; Technology - Other Topics; Social Sciences - Other Topics</t>
  </si>
  <si>
    <t>BW4GY</t>
  </si>
  <si>
    <t>WOS:001147880400011</t>
  </si>
  <si>
    <t>Mental accounting and behavioural hierarchy: Understanding consumer budgeting behaviour</t>
  </si>
  <si>
    <t>Budgeting is an important step in consumer finance. Budgeting behaviour is considered a desirable financial behaviour to indicate consumer financial capability. However, systematic research on budgeting behaviour with a large scale national sample is limited. The purpose of this study was to address this research gap and examine characteristics of budgeting behaviour from the perspective of a behavioural hierarchy, which is related to mental accounting. The assumption holds that consumer financial behaviours may be performed in a hierarchical manner along with an increase in economic resources. Using data from the 2015 National Financial Capability Study, evidence suggests that budgeting behaviour is at the lower end of the behavioural hierarchy. This finding has implications for consumer financial professionals.</t>
  </si>
  <si>
    <t>10.1111/ijcs.12445</t>
  </si>
  <si>
    <t>GM5TL</t>
  </si>
  <si>
    <t>WOS:000438204600008</t>
  </si>
  <si>
    <t>Alamsyah, A; Farid, I</t>
  </si>
  <si>
    <t>Alamsyah, Andry; Farid, Ivan</t>
  </si>
  <si>
    <t>Unraveling the crypto market: A journey into decentralized finance transaction network</t>
  </si>
  <si>
    <t>Network analysis; Decentralized finance; Blockchain technology; Network science; Token economy</t>
  </si>
  <si>
    <t>The explosive growth of decentralized finance (DeFi) has revolutionized the accessibility and functionality of financial services. To gain valuable insights into this evolving ecosystem, analyzing transaction data using network analysis methodology proves to be highly effective. Network analysis allows us to uncover intricate relationships, patterns, and communities within the DeFi market by examining participant transactions. We model nodes group representing actors or wallet addresses, and edges represent transactions between wallet addresses. This study focuses on three prominent DeFi token-based Ethereum protocols: DAI, UNI, and WBTC. We analyzed 5,802,742 transaction data spanning from January 2022 to January 2023 of those three tokens. Using network topology metrics, we uncover market size, average transaction of each wallet address, market density, and reachability (diameter). We also detect the presence of transaction clusters and grouping quality using the modularity metric. At last, we employ centrality calculation to identify the most important wallet address and their role in the market. We gain insight by comparing those three tokens and reveal valuable insight into patterns and relationships, network dynamics, decentralized nature, and the presence of intermediaries in the token economy market. Our objective is to uncover hidden dynamics and trace asset flows, which can provide valuable information to market participants, regulators, and innovators seeking to optimize the DeFi infrastructure, ensure stability, and mitigate risks. Leveraging the power of network analysis offers the potential to shape the future of DeFi by enhancing efficiency, security, and accessibility, thereby fostering financial inclusion and empowering individuals and businesses globally.</t>
  </si>
  <si>
    <t>[Alamsyah, Andry; Farid, Ivan] Telkom Univ, Sch Econ &amp; Business, Bandung, Indonesia</t>
  </si>
  <si>
    <t>andrya@telkomuniversity.ac.id</t>
  </si>
  <si>
    <t>10.1016/j.digbus.2024.100074</t>
  </si>
  <si>
    <t>E4M2B</t>
  </si>
  <si>
    <t>WOS:001302753900001</t>
  </si>
  <si>
    <t>Ibrahim, PA</t>
  </si>
  <si>
    <t>Ibrahim, P. A.</t>
  </si>
  <si>
    <t>Entrepreneurial intention of return emigrants: role of migration experiences and access of finance</t>
  </si>
  <si>
    <t>entrepreneurial intention; migration experiences; finance; theory of planned behaviour; TPB; structural equation model; SEM</t>
  </si>
  <si>
    <t>SELF-SELECTION; BRAIN-DRAIN; MIGRANTS; DETERMINANTS; EFFICACY; GROWTH; FIT</t>
  </si>
  <si>
    <t>Despite the reintegration of migrants in their home country as an emerging socio-economic issue, this study explores the determinants of the entrepreneurial intention of return migrants and argues that entrepreneurship is an effective tool to reintegrate the returnees without harming the socio-economic balance of the economy. The study applied a modified version of the theory of planned behaviour (TPB) with migration experience and access to finance to examine the entrepreneurial intention of returnees. Required data was sourced from 217 returnees of India who have started their enterprises for the permanent settlement and analysed with a structural equation model (SEM). The study found that migration experience and access to finance are significant predictors of entrepreneurial behaviour of returnees along with the factors of TPB; however, the personal attitude to entrepreneurship was not a determinant in the proposed model. The study highlights the promotion of entrepreneurship among returnees has multifaceted effects on the socio-economic growth of the home country.</t>
  </si>
  <si>
    <t>[Ibrahim, P. A.] Aligarh Muslim Univ, Dept Commerce, Aligarh, India</t>
  </si>
  <si>
    <t>Ibrahim, PA (corresponding author), Aligarh Muslim Univ, Dept Commerce, Aligarh, India.</t>
  </si>
  <si>
    <t>ibrahimkuzhikkattil@gmail.com</t>
  </si>
  <si>
    <t>10.1504/GBER.2024.138798</t>
  </si>
  <si>
    <t>6EY3F</t>
  </si>
  <si>
    <t>WOS:001551743800006</t>
  </si>
  <si>
    <t>Hoong, CW; Qureshi, ZH; Sajilan, S; Al Halbusi, H</t>
  </si>
  <si>
    <t>Hoong, Chan Wai; Qureshi, Zuhaib Hassan; Sajilan, Sulaiman; Al Halbusi, Hussam</t>
  </si>
  <si>
    <t>A Study on the Factors Influencing Social Entrepreneurial Intention Among Undergraduates</t>
  </si>
  <si>
    <t>2019 13TH INTERNATIONAL CONFERENCE ON MATHEMATICS, ACTUARIAL SCIENCE, COMPUTER SCIENCE AND STATISTICS (MACS-13)</t>
  </si>
  <si>
    <t>13th International Conference on Mathematics, Actuarial Science, Computer Science and Statistics (MACS)</t>
  </si>
  <si>
    <t>DEC 14-15, 2019</t>
  </si>
  <si>
    <t>Karachi, PAKISTAN</t>
  </si>
  <si>
    <t>Univ Kuala Lumpur,Univ Sindh,Sunway Univ,eTSS Managements,IEEE,IEEE Karachi Sect,HEC,Inst Business Management,NQ</t>
  </si>
  <si>
    <t>Social Entrepreneur; Social Entrepreneurship; Social Entrepreneurial Intention; Social Capital; Opportunity Recognition; Access to Finance</t>
  </si>
  <si>
    <t>RECOGNITION; VARIANCE; VALIDITY</t>
  </si>
  <si>
    <t>This paper provides an insight on factors affecting the social entrepreneurial intention among undergraduates in Malaysia. Specifically, this paper emphasizes on external factors in influencing the Malaysian undergraduates' intention on becoming a social entrepreneur. The Theory of Planned Behaviour (TPB) was used as an underpinning theory to support the proposed conceptual model. Quantitative research method was used in this study. The sample consisted of 600 respondents, which comprises of undergraduates of Malaysian private universities. Likert scale questionnaire were distributed to the respondents to complete. The collected data were analysed using SPSS software and Partial Least Squares Structural Equation Modelling (PLS-SEM). Based on the research findings within this paper, some of the external factors greatly affect an undergraduate's intention on becoming a social entrepreneur in the future. The stated external factors are opportunity recognition and access to finance. However, the other factor, social capital, was found that it did not influence an undergraduate's intention to become a social entrepreneur.</t>
  </si>
  <si>
    <t>[Hoong, Chan Wai] Sunway Univ, Business Sch, Subang Jaya, Malaysia; [Qureshi, Zuhaib Hassan; Sajilan, Sulaiman] Univ Kuala Lumpur, Business Sch, Level 8,74 Jalan Raja Muda Abdul Aziz, Kuala Lumpur 50300, Wilayah Perseku, Malaysia; [Al Halbusi, Hussam] Univ Malaya, Dept Business Strategy &amp; Policy, Fac Business &amp; Accountancy, Kuala Lumpur, Malaysia</t>
  </si>
  <si>
    <t>Sunway University; University of Kuala Lumpur; Universiti Malaya</t>
  </si>
  <si>
    <t>Hoong, CW (corresponding author), Sunway Univ, Business Sch, Subang Jaya, Malaysia.</t>
  </si>
  <si>
    <t>Whoongchan96@gmail.com; zhqureshi3@gmail.com; drsulaiman@unikl.edu.my; Hussam.mba@gmail.com</t>
  </si>
  <si>
    <t>Al Halbusi, Hussam/L-4572-2017</t>
  </si>
  <si>
    <t>978-1-7281-4956-1</t>
  </si>
  <si>
    <t>10.1109/macs48846.2019.9024818</t>
  </si>
  <si>
    <t>Computer Science, Theory &amp; Methods; Mathematics; Statistics &amp; Probability</t>
  </si>
  <si>
    <t>Computer Science; Mathematics</t>
  </si>
  <si>
    <t>BP5QS</t>
  </si>
  <si>
    <t>WOS:000557908800056</t>
  </si>
  <si>
    <t>Durham, J; Rickart, K</t>
  </si>
  <si>
    <t>Durham, Jo; Rickart, Keith</t>
  </si>
  <si>
    <t>Using Rasch Measurement to Evaluate a Perceived Improvement in Access to Financial Asset Scale in Rural Lao PDR</t>
  </si>
  <si>
    <t>livelihoods; measurement; Rasch; Lao PDR; access to assets; subjective; measures</t>
  </si>
  <si>
    <t>HOUSEHOLD FOOD INSECURITY; EXPENDITURE DATA; MINE ACTION; POVERTY; MODEL; LIVELIHOODS; VALIDATION; COUNTRIES; FRAMEWORK; IMPACT</t>
  </si>
  <si>
    <t>This paper describes the process of evaluating a self-reported perceived improvement in access to finance asset scale. The scale was administered as one component of a livelihood asset scale as part of an evaluation of a humanitarian mine action programme which removed explosive remnants of war from rural communities in Lao PDR. Previous research into developing such scales has mainly used factor analytic techniques. Using an example of a perceived improvement in access to finance assets scale, we demonstrate the use of Rasch measurement as a means to validate the psychometric properties of asset scales. The paper illustrates the diagnostic tools and information provided by Rasch measurement, highlighting its benefits as an alternative to factor analytic techniques where rating scales are used. In addition, the paper provides an example of how subjective, experiential understandings of access to assets can complement more objective measures.</t>
  </si>
  <si>
    <t>[Durham, Jo] Univ Queensland, Sch Publ Hlth, Herston Rd, Brisbane, Qld, Australia; [Rickart, Keith] Communicable Dis Branch, Dept Hlth, Level 3,Butterfield St, Brisbane, Qld, Australia</t>
  </si>
  <si>
    <t>University of Queensland; Queensland Health</t>
  </si>
  <si>
    <t>Durham, J (corresponding author), Univ Queensland, Sch Publ Hlth, Herston Rd, Brisbane, Qld, Australia.</t>
  </si>
  <si>
    <t>durhamjo@yahoo.com; krickart@hotmail.com</t>
  </si>
  <si>
    <t>Durham, Jo/A-1977-2014</t>
  </si>
  <si>
    <t>Durham, Jo/0000-0003-0544-9424</t>
  </si>
  <si>
    <t>National Regulatory Authority of the Lao PDR</t>
  </si>
  <si>
    <t>We would like to thank the participants in this study and the National Regulatory Authority of the Lao PDR for their support. We would also like to thank Dr Angela Fielding and Dr Richard Parsons for reading earlier versions of this paper.</t>
  </si>
  <si>
    <t>10.1057/s41287-016-0071-2</t>
  </si>
  <si>
    <t>FN1PE</t>
  </si>
  <si>
    <t>WOS:000415762900007</t>
  </si>
  <si>
    <t>Kunz, R; Ramírez, B</t>
  </si>
  <si>
    <t>Kunz, Rahel; Ramirez, Brenda</t>
  </si>
  <si>
    <t>'Cambiando el chip': The gendered constellation of subjectivities of the financialisation of remittances in Mexico</t>
  </si>
  <si>
    <t>Remittances; financialisation; Mexico; gender; financial subject</t>
  </si>
  <si>
    <t>MIGRANTS; ACCESS; FINANCIALIZATION; MICROCREDIT; IDENTITIES; INCLUSION; EQUALITY; CRITIQUE; CRISIS; SPACES</t>
  </si>
  <si>
    <t>In the wake of the global financial crisis and a context of stagnating development aid, the international community now promotes linking remittances to finance as a development strategy, in what has been termed the 'financialisation of remittances' (FOR). This article analyses the ways in which the financialisation of remittance manifests in Mexico in gendered ways, and what this tells us about financialisation and financial subjectivation processes beyond the global North. We find that the financialisation of remittance represents a shift from earlier remittance-based development models whereby remittances become linked to financial inclusion and social welfare agendas and the focus is broadened beyond migrant income to diaspora wealth. Focusing on the governing arrangements of the financialisation of remittance, we propose the concept of 'constellation of subjectivities' in order to analyse the interrelated and interacting programmatic subjectivities through which the financialisation of remittance manifests in Mexico. Combining this conceptualisation with interdisciplinary feminist insights on financialisation, we analyse the various intersecting social dynamics that weave through such constellations. The analysis - based on document, interview and observation material - finds that the financialisation of remittance in Mexico creates and governs a gendered constellation of financial subjectivities with three dimensions: migrant men, remittance-receiving women and the constitutive outside of the non-transnational family. While most studies tend to focus on transnational families, we demonstrate that non-transnational families are an integral part of the financialisation of remittance. Our analysis destabilises the notion of the universal financial subject and highlights the importance of broadening our analysis of financialisation to constitutive outsides that often fall off the radar.</t>
  </si>
  <si>
    <t>[Kunz, Rahel] Univ Lausanne, Inst Etud Polit, Lausanne, Switzerland</t>
  </si>
  <si>
    <t>Kunz, R (corresponding author), Univ Lausanne, Inst Etud Polit IEP, GEO-4797, CH-1015 Lausanne, Switzerland.</t>
  </si>
  <si>
    <t>rahel.kunz@unil.ch</t>
  </si>
  <si>
    <t>Kunz, Rahel/0000-0001-9275-9900</t>
  </si>
  <si>
    <t>Schweizerischer Nationalfonds zur Forderung derWissenschaftlichen Forschung [10001A_172945]; Swiss National Science Foundation (SNF) [10001A_172945] Funding Source: Swiss National Science Foundation (SNF)</t>
  </si>
  <si>
    <t>Schweizerischer Nationalfonds zur Forderung derWissenschaftlichen Forschung(Swiss National Science Foundation (SNSF)); Swiss National Science Foundation (SNF)(Swiss National Science Foundation (SNSF))</t>
  </si>
  <si>
    <t>The authors disclosed receipt of the following financial support for the research, authorship and/or publication of this article: This work was supported by the Schweizerischer Nationalfonds zur Forderung derWissenschaftlichen Forschung (grant number 10001A_172945).</t>
  </si>
  <si>
    <t>0308518X211006110</t>
  </si>
  <si>
    <t>10.1177/0308518X211006110</t>
  </si>
  <si>
    <t>WOS:000646013300001</t>
  </si>
  <si>
    <t>Mirkamol, S; Mansur, E</t>
  </si>
  <si>
    <t>Koucheryavy, Y; Aziz, A</t>
  </si>
  <si>
    <t>Mirkamol, Shokirov; Mansur, Eshov</t>
  </si>
  <si>
    <t>The Role of Cryptocurrencies in the Development of Countries and the Fight Against Financial Problems</t>
  </si>
  <si>
    <t>INTERNET OF THINGS, SMART SPACES, AND NEXT GENERATION NETWORKS AND SYSTEMS, PT I, NEW2AN 2023, RUSMART 2023</t>
  </si>
  <si>
    <t>23rd International Conference on Next Generation Wired/Wireless Networks and Systems (NEW2AN) / 16th Conference on Internet of Things and Smart Spaces (RuSMART)</t>
  </si>
  <si>
    <t>DEC 21-22, 2023</t>
  </si>
  <si>
    <t>American Univ Emirates, Dubai, U ARAB EMIRATES</t>
  </si>
  <si>
    <t>IEEE,IEEE Commun Soc,Tampere Univ,Tashkent State Univ Econ</t>
  </si>
  <si>
    <t>American Univ Emirates</t>
  </si>
  <si>
    <t>Cryptocurrencies; digital currencies; blockchain technology; decetralization; financial revolution; digital assets; cryptocurrency market; cryptocurrency exchanges; tokenization; security; financial inclusion; payment solutions; innovation in finance</t>
  </si>
  <si>
    <t>The article examines the role of cryptocurrencies in the development of countries and their potential in the fight against financial problems. The author analyzes the current financial situation in many countries where there are serious economic problems, such as high inflation, devaluation of national currencies and restrictions on international financial transactions. The article discusses examples of countries where the use of cryptocurrency has helped mitigate financial problems. Particular attention is paid to the advantages of cryptocurrency, such as decentralization, transparency and low fees for transfers. The author also examines the risks associated with using cryptocurrency, such as volatility and the possibility of illegal transactions. The article concludes that cryptocurrencies have the potential to become a powerful tool for developing countries and combating financial problems. However, to successfully realize this potential, it is necessary to regulate and support from the state, as well as educate the population in the basics of using cryptocurrencies.</t>
  </si>
  <si>
    <t>[Mirkamol, Shokirov; Mansur, Eshov] Tashkent State Univ Econ, Tashkent, Uzbekistan</t>
  </si>
  <si>
    <t>Tashkent State University of Economics</t>
  </si>
  <si>
    <t>Mirkamol, S (corresponding author), Tashkent State Univ Econ, Tashkent, Uzbekistan.</t>
  </si>
  <si>
    <t>m.shokirov@tsue.uz</t>
  </si>
  <si>
    <t>978-3-031-60993-0; 978-3-031-60994-7</t>
  </si>
  <si>
    <t>10.1007/978-3-031-60994-7_18</t>
  </si>
  <si>
    <t>Computer Science, Hardware &amp; Architecture; Computer Science, Interdisciplinary Applications; Computer Science, Theory &amp; Methods; Telecommunications</t>
  </si>
  <si>
    <t>BX4DC</t>
  </si>
  <si>
    <t>WOS:001288423600018</t>
  </si>
  <si>
    <t>Bostedt, G; Mukoya, L; Muricho, D; Nyberg, G</t>
  </si>
  <si>
    <t>Bostedt, Goran; Mukoya, Lonah; Muricho, Deborah; Nyberg, Gert</t>
  </si>
  <si>
    <t>Saving and borrowing behaviour among agropastoralists in West Pokot County, Kenya</t>
  </si>
  <si>
    <t>credit access; Kenya; pastoralism; saving; West Pokot</t>
  </si>
  <si>
    <t>ENCLOSURES; RANGELANDS; LIVESTOCK; LAIKIPIA; POOR</t>
  </si>
  <si>
    <t>Financial inclusion is an important development impetus, where knowledge of saving and borrowing behaviour provides valuable insights. This study focuses on access to and use of financial services among agropastoralists in rural Kenya, using survey-based household data from 2007 and 2017. Surveys show that households with savings increased from about 57% to 71%-coinciding with increased access to financial training and growing use of informal group-based savings organizations. Share of households that had access to credit also increased during this period, from about 26% to 54%. Support to group-based savings organizations can stimulate financial inclusion among agropastoralists.</t>
  </si>
  <si>
    <t>[Bostedt, Goran] Swedish Univ Agr Sci, Dept Forest Econ, Umea, Sweden; [Bostedt, Goran] Umea Univ, Umea Sch Business &amp; Econ USBE, Umea, Sweden; [Bostedt, Goran] Lulea Univ Technol, Dept Business Adm Technol &amp; Social Sci, Lulea, Sweden; [Mukoya, Lonah] Vi Agroforestry, Vi Agroforestry Kenya, Kitale, Kenya; [Muricho, Deborah] Univ Nairobi, Dept Agr Econ, Nairobi, Kenya; [Nyberg, Gert] Swedish Univ Agr Sci, Dept Forest Ecol &amp; Management, Umea, Sweden</t>
  </si>
  <si>
    <t>Swedish University of Agricultural Sciences; Umea University; Lulea University of Technology; University of Nairobi; Swedish University of Agricultural Sciences</t>
  </si>
  <si>
    <t>Bostedt, G (corresponding author), Swedish Univ Agr Sci, Dept Forest Econ, Umea, Sweden.</t>
  </si>
  <si>
    <t>goran.bostedt@slu.se</t>
  </si>
  <si>
    <t>; MURICHO, DEBORAH/AAF-2757-2021</t>
  </si>
  <si>
    <t>Nyberg, Gert/0000-0003-1979-8772; Bostedt, Göran/0000-0002-6540-743X;</t>
  </si>
  <si>
    <t>Swedish Research Council (Vetenskapsradet), through the project 'Escaping the pastoralist paradox in the face of climate change'; Triple L research network</t>
  </si>
  <si>
    <t>Swedish Research Council (Vetenskapsradet), through the project 'Escaping the pastoralist paradox in the face of climate change'(Swedish Research Council); Triple L research network</t>
  </si>
  <si>
    <t>We are grateful for comments from an anonymous reviewer, as well as to Vi Agroforestry Kenya, for making the data from the 2007 and 2017 surveys in West Pokot available. We would also like to thank Isabel Joy Awino Ochieng and Vera Karmeback for entering the data in Excel format, Mikael Egberth for help with the map and Bonnie Veaner Parks for proofreading the manuscript. We gratefully acknowledge funding from the Swedish Research Council (Vetenskapsradet), through the project 'Escaping the pastoralist paradox in the face of climate change' and support from the Triple L research network.</t>
  </si>
  <si>
    <t>10.1002/jid.3560</t>
  </si>
  <si>
    <t>UA5FK</t>
  </si>
  <si>
    <t>WOS:000657135000001</t>
  </si>
  <si>
    <t>Watkins, TA; Nguyen, K; Ali, H; Gummakonda, R; Pelman, J; Taracena, B</t>
  </si>
  <si>
    <t>Watkins, Todd A.; Nguyen, Khue; Ali, Hamza; Gummakonda, Rishikesh; Pelman, Jacques; Taracena, Brianna</t>
  </si>
  <si>
    <t>The impact of access to financial services on mitigating COVID-19 mortality globally</t>
  </si>
  <si>
    <t>PLOS GLOBAL PUBLIC HEALTH</t>
  </si>
  <si>
    <t>MULTIPLE IMPUTATION; HEALTH; MICROFINANCE</t>
  </si>
  <si>
    <t>The COVID-19 pandemic has disproportionately affected different social and demographic groups, deepening the negative health implications of social and economic inequalities and highlighting the importance of social determinants of health. Despite a deep literature on pandemic-related disparities, specifically regarding social determinants and health outcomes, the influence of the accessibility of financial services on health outcomes during COVID-19 remains largely unexplored. Modeling (pre-omicron) COVID-19 mortality across 142 nations, we assess the impact of national-level usage and access to formal financial services. Two financial access indexes constructed through principal component analysis capture (1) usage of and access to formal financial tools and (2) reliance on alternative and informal financial tools. On average, nations with higher pre-pandemic use of and access to formal financial services had substantially lower population mortality risk from COVID-19, controlling for key population health, demographic, and socioeconomic covariates. The scale of effect is similar in magnitude-but opposite in direction-to major risk factors identified in previous literature, such as lung cancer, hypertension, and income inequality. Findings suggest that financial services deserve greater attention both in the public health literature related to COVID-19 and more broadly in policy discussions about fostering better public health overall.</t>
  </si>
  <si>
    <t>[Watkins, Todd A.; Nguyen, Khue] Lehigh Univ, Martindale Ctr Study Private Enterprise, Dept Econ, Bethlehem, PA 18015 USA; [Watkins, Todd A.; Nguyen, Khue; Ali, Hamza; Gummakonda, Rishikesh; Pelman, Jacques; Taracena, Brianna] Lehigh Univ, Data Impact Fellows, Bethlehem, PA 18015 USA</t>
  </si>
  <si>
    <t>Lehigh University; Lehigh University</t>
  </si>
  <si>
    <t>Watkins, TA (corresponding author), Lehigh Univ, Martindale Ctr Study Private Enterprise, Dept Econ, Bethlehem, PA 18015 USA.;Watkins, TA (corresponding author), Lehigh Univ, Data Impact Fellows, Bethlehem, PA 18015 USA.</t>
  </si>
  <si>
    <t>taw4@lehigh.eduable</t>
  </si>
  <si>
    <t>Nguyen, Khue/0000-0002-3816-732X; Watkins, Todd A/0000-0001-8264-0420; Pelman, Jacques/0000-0002-4078-639X</t>
  </si>
  <si>
    <t>2767-3375</t>
  </si>
  <si>
    <t>PLOS GLOB PUBL HLTH</t>
  </si>
  <si>
    <t>PLOS Glob. Public Health</t>
  </si>
  <si>
    <t>e0001137</t>
  </si>
  <si>
    <t>10.1371/journal.pgph.0001137</t>
  </si>
  <si>
    <t>W3M6H</t>
  </si>
  <si>
    <t>WOS:001417663100001</t>
  </si>
  <si>
    <t>Al-Anezi, F</t>
  </si>
  <si>
    <t>Al-Anezi, Fahad</t>
  </si>
  <si>
    <t>Interlinking FinTech and eHealth: a qualitative study</t>
  </si>
  <si>
    <t>FinTech; eHealth; Saudi Arabia; interlink; benefits; healthcare; digital payments</t>
  </si>
  <si>
    <t>Introduction This study investigates the integration of financial technology (FinTech) and electronic health (eHealth) to explore the opportunities, challenges, and implications arising from their interlinkage in Saudi Arabia.Methods Utilizing qualitative semi-structured interviews with 26 participants-including physicians, patients, technical and administrative managers, and FinTech consultants-the research adopts an inductive approach to understand diverse perspectives.Results Key findings reveal significant benefits such as improved efficiency in administrative processes, enhanced access to healthcare services, increased financial inclusion, better decision-making, improved patient experience, and the promotion of innovation and sustainability. However, barriers including regulatory challenges, data privacy and security concerns, interoperability issues, the digital divide, resistance to change, and cost implications were also identified.Conclusion Overall, the integration of FinTech and eHealth holds substantial promise for advancing healthcare delivery in Saudi Arabia. Future implications include the expansion of telehealth services, an increase in startups, the integration of wearable health devices, blockchain-based systems, evolving regulatory frameworks, and heightened collaborations. Addressing the identified challenges is crucial for realizing the full potential of this integration.</t>
  </si>
  <si>
    <t>[Al-Anezi, Fahad] Imam Abdulrahman Bin Faisal Univ, Dept Management Informat Syst, Dammam, Saudi Arabia</t>
  </si>
  <si>
    <t>Imam Abdulrahman Bin Faisal University</t>
  </si>
  <si>
    <t>Al-Anezi, F (corresponding author), Imam Abdulrahman Bin Faisal Univ, Dept Management Informat Syst, Dammam, Saudi Arabia.</t>
  </si>
  <si>
    <t>fmoalanezi@iau.edu.sa</t>
  </si>
  <si>
    <t>10.3389/fpubh.2024.1398136</t>
  </si>
  <si>
    <t>C6Q9L</t>
  </si>
  <si>
    <t>WOS:001290610800001</t>
  </si>
  <si>
    <t>Okolo, CC; Omorogbee, FE; Alufohai, GE</t>
  </si>
  <si>
    <t>Okolo, Christiana C.; Omorogbee, Friday E.; Alufohai, Grace E.</t>
  </si>
  <si>
    <t>Income Generation from Shea Butter Production by Women in North Central States of Nigeria.</t>
  </si>
  <si>
    <t>The study assessed women involvement in shea butter production in the shea growing areas of the north central states of Nigeria by specifically examining their socio-economic characteristics, ascertaining their income generation and their level of control over the resources used. Data were collected from 193 respondents from Niger and Nasarawa States of Nigeria using questionnaire and interview schedule method and analyzed using percentages and t-test statistics. Results revealed that most respondents had between 1-5 years' experience in shea butter production, were married, illiterate, young (30-39 years), with family size of 5-7 persons and did not belong to any farm association. They had significant control over resources such as mortar, pestles, and bags, and threads used in shea butter production since most of these were purchased by them. Their major finance source was personal savings (69.1%). Respondents principally carried out direct marketing or sales (99.5%). The average output (shea butter) was 3,691kg per annum. Average income of all respondents was about N795,772 but about N43,031.0 individually. T -test results revealed that respondents' average output in Nassarawa State (2582.47kg) was significantly (t=2.00; pi0.05) lower than that in Niger (4811.75kg) State. Niger State respondents earned significantly (t=3.56; p=0.05) higher income (N47,861.86) than Nassarawa State respondents (N38, 958.33). The study recommended that the women groups should be should be linked to microfinance institutions to increase their access to finance, trained on shea butter production process in order to improve their competence.</t>
  </si>
  <si>
    <t>[Okolo, Christiana C.] Nigerian Inst Oil Palm Res, PMB 1030, Benin, Nigeria; [Omorogbee, Friday E.; Alufohai, Grace E.] Univ Benin, Benin, Nigeria</t>
  </si>
  <si>
    <t>University of Benin</t>
  </si>
  <si>
    <t>Okolo, CC (corresponding author), Nigerian Inst Oil Palm Res, PMB 1030, Benin, Nigeria.</t>
  </si>
  <si>
    <t>chiokolo01@yahoo.com; fridayomoregbee@yahoo.com; ax4grace@yahoo.com</t>
  </si>
  <si>
    <t>10.4314/jae.v20i1.3</t>
  </si>
  <si>
    <t>DR3GN</t>
  </si>
  <si>
    <t>WOS:000379790700003</t>
  </si>
  <si>
    <t>Mawardi, I; Risyad, MH</t>
  </si>
  <si>
    <t>Mawardi, Imron; Risyad, Mohammad Haidar</t>
  </si>
  <si>
    <t>Investigating the role of education, technology and Islamic finance in addressing economic inequality</t>
  </si>
  <si>
    <t>Islamic finance; Education; Inequality; SDGs; Information and internet services</t>
  </si>
  <si>
    <t>INCOME INEQUALITY; EMPIRICAL-EVIDENCE; GROWTH; COUNTRIES; BANKING; WEALTH; MICROFINANCE; GOVERNANCE; INCLUSION; ACCESS</t>
  </si>
  <si>
    <t>PurposeThis study aims to examine the integration of technology, human capital and Islamic finance performance as a determinant factor in promoting equality.Design/methodology/approachThis study uses a quantitative approach through dynamic panel analysis and uses country-level data from Muslim economies. Islamic finance is assessed using the Islamic finance index, human capital is measured by health and schooling, while technology is evaluated through internet accessibility.FindingsThis study finds that internet accessibility, health, education and Islamic finance significantly influence inequality. Despite these four variables exhibiting a more robust effect on promoting economic equality in the long term, the impact of Islamic finance on inequality is varied.Research limitations/implicationsEnhancing human capital and access to technology and improving Islamic finance development are crucial factors in enhancing economic equality in Muslim economies.Practical implicationsThis study investigation could promote ethical governance initiatives, support social sustainability, advance financial inclusion, increase awareness of Islamic finance and even demonstrate a fundamental framework for the achievement of sustainable development in future analyses.Originality/valueThis study offers unique insights that could enrich academic discourse and guide policies toward the integration of reducing inequality in Muslim economies. Especially, the investigation of the interplay between human capital, technology and Islamic finance in promoting equality within Muslim economies.</t>
  </si>
  <si>
    <t>[Mawardi, Imron] Univ Airlangga, Fac Econ &amp; Business, Ctr Innovat Islamic Investment &amp; Capital Market, Surabaya, Indonesia; [Risyad, Mohammad Haidar] Univ Airlangga, Fac Econ &amp; Business, Surabaya, Indonesia</t>
  </si>
  <si>
    <t>Mawardi, I (corresponding author), Univ Airlangga, Fac Econ &amp; Business, Ctr Innovat Islamic Investment &amp; Capital Market, Surabaya, Indonesia.</t>
  </si>
  <si>
    <t>ronmawardi@feb.unair.ac.id; risyad.haidar123@gmail.com</t>
  </si>
  <si>
    <t>10.1108/JIABR-09-2024-0374</t>
  </si>
  <si>
    <t>8FZ9T</t>
  </si>
  <si>
    <t>WOS:001587781100001</t>
  </si>
  <si>
    <t>Narayanamurthy, G; Jayanth, RSS; Moser, R; Schaefers, T; Nagendra, NP</t>
  </si>
  <si>
    <t>Narayanamurthy, Gopalakrishnan; Jayanth, R. Sai Shiva; Moser, Roger; Schaefers, Tobias; Nagendra, Narayan Prasad</t>
  </si>
  <si>
    <t>Data-driven digital transformation for uncertainty reduction - Application of satellite imagery analytics in institutional crop credit management</t>
  </si>
  <si>
    <t>INTERNATIONAL JOURNAL OF PRODUCTION ECONOMICS</t>
  </si>
  <si>
    <t>Data-driven digital transformation; Uncertainty; Social innovation; Big data analytics; Institutional crop credit; Satellite imagery; Developing nations</t>
  </si>
  <si>
    <t>AGRICULTURAL CREDIT; BIG DATA; INNOVATION; TECHNOLOGIES; MICROFINANCE; POVERTY; INDIA; RISK; HOUSEHOLDS; ALLIANCE</t>
  </si>
  <si>
    <t>Agriculture financing in developing countries is dominated by informal lending. One challenge in the expansion of institutional (formal) credit is the lack of reliable data on the historical performance of farmers. Due to the absence of data, financial institutions face uncertainties that obstruct the decision-making process, leading to sub-optimal credit disbursal. Based on the theoretical lens of uncertainty reduction, this study focuses on achieving two key research objectives: identifying uncertainties in institutional crop credit management processes and examining how a data-driven digital transformation for social innovation based on satellite imagery analytics could alleviate these hindrances. We longitudinally study a satellite imagery analytics firm and complement the case data with stakeholder interviews. The results capture state space, option, and ethical uncertainties institutional lenders face in expanding crop credit and explain how data-driven digital transformation can reduce these uncertainties. Adopting such a data-driven digital transformation promises to make different stakeholder groups interact and collaborate to achieve the common objective of financial inclusion of small-scale economic actors. Further, we show that satellite imagery in crop credit management can significantly reduce the uncertainties caused by the lack of independent data sources.</t>
  </si>
  <si>
    <t>[Narayanamurthy, Gopalakrishnan] Univ Liverpool, Management Sch, Liverpool, England; [Jayanth, R. Sai Shiva] Indian Inst Management Visakhapatnam, Visakhapatnam, Andhra Pradesh, India; [Moser, Roger] Macquarie Univ, Macquarie Business Sch, Sydney, Australia; [Schaefers, Tobias] Copenhagen Business Sch, Frederiksberg, Denmark; [Schaefers, Tobias] Hsch Bielefeld Univ Appl Sci &amp; Arts, Bielefeld Sch Business, Bielefeld, Germany; [Nagendra, Narayan Prasad] SatSearch, Noordwijk, Netherlands; [Moser, Roger] Univ St Gallen, St Gallen, Switzerland</t>
  </si>
  <si>
    <t>University of Liverpool; Indian Institute of Management (IIM System); Indian Institute of Management Visakhapatnam; Macquarie University; Copenhagen Business School; University of St Gallen</t>
  </si>
  <si>
    <t>Narayanamurthy, G (corresponding author), Univ Liverpool, Management Sch, Liverpool, England.</t>
  </si>
  <si>
    <t>g.narayanamurthy@liverpool.ac.uk</t>
  </si>
  <si>
    <t>; Moser, Roger/F-4636-2014; Schaefers, Tobias/K-9157-2019; Sai Shiva Jayanth, Reddy/AAU-6203-2021</t>
  </si>
  <si>
    <t>Nagena, Narayan Prasad/0000-0002-5827-4843; Moser, Roger/0000-0003-3848-4496; Sai Shiva Jayanth, Reddy/0000-0002-9895-3891</t>
  </si>
  <si>
    <t>Round 7 of the Official Development Assistance (ODA) Research Seed Fund; Research engagement scheme of Centre for Entrepreneurship at the Management School, University of Liverpool, UK; University of Liverpool</t>
  </si>
  <si>
    <t>This research was partially supported by Round 7 of the Official Development Assistance (ODA) Research Seed Fund, and 2019 Research engagement scheme of Centre for Entrepreneurship at the Management School, University of Liverpool, UK. We sincerely thank the University of Liverpool for the funding support and enablement. We express our gratitude to the employees of the case organisation for providing us with access to the firm and supporting us in the field study. Finally, we thank the editors and anonymous reviewers for their helpful suggestions that substantially improved the paper.</t>
  </si>
  <si>
    <t>0925-5273</t>
  </si>
  <si>
    <t>1873-7579</t>
  </si>
  <si>
    <t>INT J PROD ECON</t>
  </si>
  <si>
    <t>Int. J. Prod. Econ.</t>
  </si>
  <si>
    <t>10.1016/j.ijpe.2024.109498</t>
  </si>
  <si>
    <t>R8F3D</t>
  </si>
  <si>
    <t>WOS:001393733700001</t>
  </si>
  <si>
    <t>Issaeva, A; Onaltayev, D; Assanova, A; Oralbayeva, Z; Kurbanova, K</t>
  </si>
  <si>
    <t>Issaeva, Ainur; Onaltayev, Darkhan; Assanova, Altynay; Oralbayeva, Zhanar; Kurbanova, Karlygash</t>
  </si>
  <si>
    <t>Technological transformation of the economy: challenges and prospects for the financial sector in Kazakhstan</t>
  </si>
  <si>
    <t>Financial Technology; Digital Transformation; Kazakhstan; Banking; Regulatory Technology; Financial Inclusion; Central Asian Finance</t>
  </si>
  <si>
    <t>This research investigates the technological transformation of Kazakhstan's financial sector, examining implementation patterns, regulatory frameworks, and economic outcomes. The study addresses critical knowledge gaps regarding digitalization impacts across different financial subsectors, implementation barriers, and institution-specific adoption strategies within Kazakhstan's unique regulatory and market environment during 2021-2023. The research examines relationships between technological implementation intensity and institutional performance while identifying distinctive transformation patterns. The study employed mixed-methods research combining quantitative analysis of financial performance metrics from 27 Kazakhstani financial institutions (representing 83.7% of sector assets) with qualitative assessments from 45 senior executive interviews. Research instruments included a Digital Transformation Index measuring implementation across 37 distinct indicators in four domains (customer interface, operational systems, analytics capabilities, regulatory compliance). The findings reveal Kazakhstan's financial sector has achieved 57.4% of estimated digitalization potential with significant institutional variation. Payment providers demonstrate the highest implementation levels, while microfinance institutions show the lowest ones. Digital payment adoption increased 186% since 2020, with stark urban-rural disparities (72.3% vs. 31.7%). Institutions in the highest implementation quartile demonstrate 70.8% better profitability metrics and 30.5% improved operational efficiency compared to lowest-implementing counterparts. Implementation challenges include talent scarcity, data quality issues, and integration complexity.</t>
  </si>
  <si>
    <t>[Issaeva, Ainur] Abai Kazakh Natl Pedag Univ, 13 Dostyk Ave, Alma Ata 050010, Kazakhstan; [Onaltayev, Darkhan; Assanova, Altynay; Oralbayeva, Zhanar; Kurbanova, Karlygash] Al Farabi Kazakh Natl Univ, 71 Al Farabi Ave, Alma Ata 050040, Kazakhstan</t>
  </si>
  <si>
    <t>Abai Kazakh National Pedagogical University; Al-Farabi Kazakh National University</t>
  </si>
  <si>
    <t>Issaeva, A (corresponding author), Abai Kazakh Natl Pedag Univ, 13 Dostyk Ave, Alma Ata 050010, Kazakhstan.</t>
  </si>
  <si>
    <t>Issaeva_ainur@mail.ru; darkhano@inbox.ru; altin_assan@bk.ru; oralbaeva.zhanar@mail.ru; kurbanova-pismo@bk.ru</t>
  </si>
  <si>
    <t>Kurbanova, Karlygash/ACM-3961-2022</t>
  </si>
  <si>
    <t>Kurbanova, Karlygash/0000-0003-3380-0488</t>
  </si>
  <si>
    <t>AUG 27</t>
  </si>
  <si>
    <t>7-8</t>
  </si>
  <si>
    <t>10.21003/ea.V210-05</t>
  </si>
  <si>
    <t>3XD6W</t>
  </si>
  <si>
    <t>WOS:001511120300005</t>
  </si>
  <si>
    <t>Jaiswal, S; Satyanisth, A</t>
  </si>
  <si>
    <t>Jaiswal, Shweta; Satyanisth, Aviral</t>
  </si>
  <si>
    <t>Mapping the Intellectual Landscape of Fintech Innovations for Sustainable Development: A Bibliometric Analysis</t>
  </si>
  <si>
    <t>bibliometric analysis; environment social governance; fintech innovation; sustainable development</t>
  </si>
  <si>
    <t>FINANCIAL TECHNOLOGIES; GREEN FINTECH; INCLUSION; ACCESS; ESG</t>
  </si>
  <si>
    <t>This study utilises the Scopus databases to conduct a bibliometric and network analysis, offering novel insights into the progression of research in the field of sustainable development. This study conducts a comprehensive bibliometric analysis of 472 papers published between 2017 and 2025 from the Scopus database, utilising performance metrics, co-authorship networks, keyword co-occurrence, and thematic clustering; the analysis identifies significant research trends, influential authors, institutions, and countries that are advancing this interdisciplinary field. The findings reveal a growing scholarly focus on fintech-driven solutions such as digital payments, blockchain, and alternative financing and their capacity to advance environmental sustainability, financial inclusion, and economic resilience. The bibliometric mapping further identifies four prominent thematic clusters: (1) fintech innovation for sustainability; (2) ESG integration and sustainability; (3) digital transformation and financial behaviour; (4) Policy regulation and institutional support for sustainable fintech. Based on these insights, the study suggests that future research should investigate the causal pathways that link fintech tools to specific sustainability indicators, with a special emphasis on developing economies. Policymakers and industry stakeholders are advised to focus on creating regulatory frameworks and making technological investments that strengthen the role of fintech in achieving sustainable development goals over the long term.</t>
  </si>
  <si>
    <t>[Jaiswal, Shweta] Univ Allahabad, CMP Degree Coll, Dept Commerce, Allahabad, India; [Satyanisth, Aviral] Motilal Nehru Natl Inst Technol Allahabad, Dept Management, Allahabad, India</t>
  </si>
  <si>
    <t>University of Allahabad; Chaudhary Mahadeo Prasad Degree College; National Institute of Technology (NIT System); Motilal Nehru National Institute of Technology</t>
  </si>
  <si>
    <t>Jaiswal, S (corresponding author), Univ Allahabad, CMP Degree Coll, Dept Commerce, Allahabad, India.</t>
  </si>
  <si>
    <t>shwetajaiswal452@gmail.com</t>
  </si>
  <si>
    <t>2025 DEC 29</t>
  </si>
  <si>
    <t>10.1002/sd.70611</t>
  </si>
  <si>
    <t>AK3BY</t>
  </si>
  <si>
    <t>WOS:001650146200001</t>
  </si>
  <si>
    <t>Kshetri, N; Voas, J</t>
  </si>
  <si>
    <t>Kshetri, Nir; Voas, Jeffrey</t>
  </si>
  <si>
    <t>Stablecoins and Financial Inclusion in Africa: Emerging Use Cases and Global Implications</t>
  </si>
  <si>
    <t>This article explores Africa's stablecoin adoption amid financial and regulatory challenges. It highlights the tension between dominant dollar-backed coins and local alternatives in the fight for monetary sovereignty.</t>
  </si>
  <si>
    <t>[Kshetri, Nir] Univ North Carolina Greensboro, Bryan Sch Business &amp; Econ, Management, Greensboro, NC 27412 USA</t>
  </si>
  <si>
    <t>Kshetri, N (corresponding author), Univ North Carolina Greensboro, Bryan Sch Business &amp; Econ, Management, Greensboro, NC 27412 USA.</t>
  </si>
  <si>
    <t>nbkshetr@uncg.edu; j.voas@ieee.org</t>
  </si>
  <si>
    <t>10.1109/MC.2025.3599598</t>
  </si>
  <si>
    <t>9HA5B</t>
  </si>
  <si>
    <t>WOS:001606159600012</t>
  </si>
  <si>
    <t>Probowulan, D; Ardianto, A</t>
  </si>
  <si>
    <t>Probowulan, Diyah; Ardianto, Ardianto</t>
  </si>
  <si>
    <t>Internet financial reporting disclosure index of e-commerce businesses on social media</t>
  </si>
  <si>
    <t>INTELLIGENT SYSTEMS IN ACCOUNTING FINANCE &amp; MANAGEMENT</t>
  </si>
  <si>
    <t>decent work and economic growth; disclosure index; financial access; internet financial reporting; social media</t>
  </si>
  <si>
    <t>DETERMINANTS; RELIABILITY; BLOCKCHAIN; COMPANIES; VALIDITY; DESIGN; B2B</t>
  </si>
  <si>
    <t>The study measured the Internet Financial Reporting (IFR) disclosure index and compared the results across three continents of the global e-commerce business. In addition, it documents various social media platforms used by e-commerce. We use content analysis with a scoring matrix based on content, timeliness, technology, and support used in websites and a one-way ANOVA. The findings identified an average IFR e-commerce disclosure index of 0.735, which is of good quality as it approaches the value of 1. There is no difference in index IFR between the three continental zones overall, but slightly different from non-e-commerce companies. The results also prove that websites and blog media still dominate the use of social media, while other social media platforms have not provided financial information. Researchers in accounting have not conducted research topics on social media, so there are still limited references and narrow analytical content. This research will interest the e-commerce business industry and compile their financial reporting through the website to improve the quality of their IFR and financial access. Since the e-commerce business is an internet-based company growing significantly, it can use other social media to reveal its reporting as decent work and economic growth. This subject is relatively innovative because none of the IFR disclosure index studies focuses on e-commerce businesses on social media. It fills the research gap related to the characteristics of e-commerce businesses, where almost all activities are internet-based.</t>
  </si>
  <si>
    <t>[Probowulan, Diyah; Ardianto, Ardianto] Airlangga Univ, Dept Accounting, Surabaya, East Java, Indonesia; [Probowulan, Diyah] Univ Muhammadiyah Jember, Dept Accounting, Jember, East Java, Indonesia</t>
  </si>
  <si>
    <t>Airlangga University; Universitas Muhammadiyah Jember</t>
  </si>
  <si>
    <t>Ardianto, A (corresponding author), Airlangga Univ, Dept Accounting, Surabaya, East Java, Indonesia.</t>
  </si>
  <si>
    <t>ardianto@feb.unair.ac.id</t>
  </si>
  <si>
    <t>Ardianto, Ardianto/KHZ-4458-2024; , Ardianto/KHZ-4458-2024</t>
  </si>
  <si>
    <t>Probowulan, Diyah/0000-0002-3741-0797; , Ardianto/0000-0001-9621-0042</t>
  </si>
  <si>
    <t>1550-1949</t>
  </si>
  <si>
    <t>2160-0074</t>
  </si>
  <si>
    <t>INTELL SYST ACCOUNT</t>
  </si>
  <si>
    <t>Intell. Syst. Account. Financ. Manag.</t>
  </si>
  <si>
    <t>e1550</t>
  </si>
  <si>
    <t>10.1002/isaf.1550</t>
  </si>
  <si>
    <t>WG6Q2</t>
  </si>
  <si>
    <t>WOS:001253760100002</t>
  </si>
  <si>
    <t>Ofori, D; Appiah-Nimo, C</t>
  </si>
  <si>
    <t>Ofori, Daniel; Appiah-Nimo, Christina</t>
  </si>
  <si>
    <t>Determinants of online shopping among tertiary students in Ghana: An extended technology acceptance model</t>
  </si>
  <si>
    <t>online shopping; purchase intentions; students; technology acceptance model</t>
  </si>
  <si>
    <t>USER ACCEPTANCE; PURCHASE INTENTIONS; PERCEIVED EASE; MOBILE; PERCEPTIONS; EXTENSION; BARRIERS; COMMERCE; BEHAVIOR; ADOPTION</t>
  </si>
  <si>
    <t>The increasing penetration rate of the internet and technology in the world is quickly promoting online shopping. This has been fueled by growing innovations in the telecommunication and financial sector in an attempt to depeen financial inclusion. Innovations such as mobile money payments systems by mobile telephony companies have contributed to the continuous growth in online shopping amidst and the new generation of consumers who desire richer experiences. This study sought to identify the determinants of online shopping behaviour among tertiary students through the lens of the Technology Acceptance Model (TAM). The study proposed a revised TAM that integrated perceived cost and perceived risk to investigate what determined students online shopping intention and actual use. The survey involved a sample of 580 undergraduate students. The statistical technique used was Structural Equation Modelling-Partial Least Squares (SEM-PLS). The results showed that effect of ease of use on usefulness was very significant as same has been predicted by the Technology Acceptance Model. Among the independent variables, perceived cost (PC) was found to be the most significant factor affecting actual use (AU) of online shopping among students, nonetheless, perceived cost (PC) had no significant effect on purchase intention (PI). Perceived risk (PR) had no significant effect on actual use (AU) however, had a significant effect on purchase intention (PI). The study recommends online sellers to make online shopping efficient and less costive with assured safety and security of transactions as well as the product itself. A set of shopping platform could even be created specifically to give discounts and other offers to students. It also recommends future studies to employ additional determining factors such as the type of product/service, convenience and personal/demographic and geographic factors as influential to students' online purchasing behaviour.</t>
  </si>
  <si>
    <t>[Ofori, Daniel] Univ Cape Coast, Dept Mkt &amp; Supply Chain, Cape Coast, Ghana; [Appiah-Nimo, Christina] Tomas Bata Univ Zlin, Fac Management &amp; Econ, Dept Management &amp; Mkt, Zlin, Czech Republic</t>
  </si>
  <si>
    <t>University of Cape Coast; Tomas Bata University Zlin</t>
  </si>
  <si>
    <t>Ofori, D (corresponding author), Univ Cape Coast, Dept Mkt &amp; Supply Chain, Cape Coast, Ghana.</t>
  </si>
  <si>
    <t>dofori@ucc.edu.gh; appiah_nimo@utb.cz</t>
  </si>
  <si>
    <t>; Ofori, Daniel/AAF-8982-2020</t>
  </si>
  <si>
    <t>Appiah-Nimo, Christina/0000-0001-5597-3553; Ofori, Daniel/0000-0002-7546-6716</t>
  </si>
  <si>
    <t>10.1080/23311975.2019.1644715</t>
  </si>
  <si>
    <t>IM5PX</t>
  </si>
  <si>
    <t>WOS:000478046900001</t>
  </si>
  <si>
    <t>Kituyi, GM; Abaho, E; Aguma, D; Nkambwe, I; Beronda, J</t>
  </si>
  <si>
    <t>Kituyi, Geoffrey Mayoka; Abaho, Ernest; Aguma, Dennis; Nkambwe, Ismael; Beronda, James</t>
  </si>
  <si>
    <t>Improving access to communication services by the unserved and underserved communities in Uganda through information and communication technologies</t>
  </si>
  <si>
    <t>UNIVERSAL ACCESS IN THE INFORMATION SOCIETY</t>
  </si>
  <si>
    <t>Communication services; Underserved communities; Unserved communities; Information communication technology; Digital inclusion</t>
  </si>
  <si>
    <t>This study sought to identify the key constraints faced by communication services unserved and underserved communities, the current interventions in supporting the unserved and underserved communities and sectors to access communication services, and the potential solutions for narrowing the digital divide. Data was collected from 44 companies randomly selected from a total of 53 companies that participated in the e-Booster 2023 Uganda programme. A questionnaire was designed and digitized via Google forms to support easy and real-time data collection. Data were analysed using descriptive statistics including percentages, means and frequencies. Analysed data were presented using graphs and tables for easy understanding and interpretation. The major challenges faced by underserved and underserved communities in Uganda were identified as poor infrastructure, limited access to electricity, high cost of digital devices and internet connectivity, high illiteracy rates, lack of awareness, regulatory barriers, language barriers, insecurity, and gender disparities. On the other hand, the main interventions by the Ugandan government were extension of network coverage to remote areas, promotion of digital literacy programs, reduction of taxation on communication devices and services, creation of regulatory frameworks that encourage investment in underserved regions, setting up community tele-centers, promotion of digital literacy programs, promotion of affordability initiatives, and promotion of local content. Proposed solutions for improved access were identified as the need to expand broadband infrastructure, bolstering the Universal Service Fund, promoting Public-Private Partnerships, establishing community networks, implementing mobile connectivity solutions, advancing digital literacy programs, ensuring digital affordability, encouraging local content creation, providing incentives for telecommunications companies, supporting startups with government initiatives, facilitating mobile money services and financial inclusion, investing in rural electrification, and fostering community engagement and awareness campaigns.</t>
  </si>
  <si>
    <t>[Kituyi, Geoffrey Mayoka] Makerere Univ, Business Sch, Dept Comp Sci &amp; Engn, POB 1337, Kampala, Uganda; [Abaho, Ernest; Nkambwe, Ismael] Makerere Univ, Dept Entrepreneurship, Business Sch, Kampala, Uganda; [Aguma, Dennis] Birmingham City Univ, Birmingham, England; [Beronda, James] Uganda Commun Commiss, Kampala, Uganda</t>
  </si>
  <si>
    <t>Makerere University; Makerere University; Birmingham City University</t>
  </si>
  <si>
    <t>Kituyi, GM (corresponding author), Makerere Univ, Business Sch, Dept Comp Sci &amp; Engn, POB 1337, Kampala, Uganda.</t>
  </si>
  <si>
    <t>kimayoka@gmail.com; ernestabaho@gmail.com; dennis.aguma@gmail.com; nkahismael@gmail.com; jberonda@ucc.co.ug</t>
  </si>
  <si>
    <t>ABAHO, ERNEST/GQZ-7924-2022; Aguma, Dennis/NTR-5525-2025</t>
  </si>
  <si>
    <t>Kituyi, Geoffrey Mayoka/0000-0002-7528-2175; Aguma, Dennis/0009-0006-2914-6494</t>
  </si>
  <si>
    <t>Uganda Communications Commission; Uganda Communication Commission; Principal of Makerere University Business School</t>
  </si>
  <si>
    <t>We acknowledge Eng. Irene Kagwa, The Acting Executive Director and Hon. Nyombi Thembo, The Director of UCSAF, and the entire Management of the Uganda Communication Commission for funding the e-Booster Uganda 2023 project which gave birth to this study. We also acknowledge Prof. Moses Muhwezi, the Principal of Makerere University Business School for supporting this project.</t>
  </si>
  <si>
    <t>1615-5289</t>
  </si>
  <si>
    <t>1615-5297</t>
  </si>
  <si>
    <t>UNIVERSAL ACCESS INF</t>
  </si>
  <si>
    <t>Univers. Access Inf. Soc.</t>
  </si>
  <si>
    <t>s10209-024-01153-8</t>
  </si>
  <si>
    <t>10.1007/s10209-024-01153-8</t>
  </si>
  <si>
    <t>3WK3G</t>
  </si>
  <si>
    <t>WOS:001315027100001</t>
  </si>
  <si>
    <t>Makholwa, C; Budree, A; Kabanda, S</t>
  </si>
  <si>
    <t>Makholwa, Clement; Budree, Adheesh; Kabanda, Salah</t>
  </si>
  <si>
    <t>Mobile financial services for bottom of pyramid users: Reality or pipe dream?</t>
  </si>
  <si>
    <t>Mobile financial services; Bottom of the pyramid; Emerging economies; Financial inclusion; Macro, medium and small enterprises (SMMEs)</t>
  </si>
  <si>
    <t>UNIFIED THEORY; INFORMATION-TECHNOLOGY; CONSUMER ACCEPTANCE; BANKING ADOPTION; USAGE INTENTION; PERCEIVED RISK; TRUST; DETERMINANTS; MOTIVATION; SELECTION</t>
  </si>
  <si>
    <t>Mobile financial services (MFSs) are perceived to be a potential solution in addressing emerging economies' challenges. Through MFS, benefits associated with economic financial inclusion and economic growth and opportunities could be realised. Yet, not all emerging economies fully experience these benefits, especially in sub-Saharan Africa and more specifically the bottom of the pyramid (BoP) group of individuals who are characterised as the world's poorest consumers, living primarily in the informal sector. This study sought to examine the factors contributing to the BoP group's behavioural intention to adopt MFS in South Africa. The study was positivist in nature, using survey-based questionnaires to garner information from BoP users on MFS adoption. Data were tested for validity and analysed by using structured equation modelling to assess the hypotheses. The findings show that habit, performance expectancy and uncertainty avoidance are strong predictors of behavioural intent. These findings can have significant implications on how MFS service providers operate in the South African context and can be used by government to drive technology as a basis for financial inclusion.</t>
  </si>
  <si>
    <t>[Makholwa, Clement; Budree, Adheesh; Kabanda, Salah] Univ Cape Town, Fac Commerce, Dept Informat Syst, Cape Town, South Africa</t>
  </si>
  <si>
    <t>Kabanda, S (corresponding author), Univ Cape Town, Fac Commerce, Dept Informat Syst, Cape Town, South Africa.</t>
  </si>
  <si>
    <t>salah.kabanda@uct.ac.za</t>
  </si>
  <si>
    <t>Kabanda, Salah/ABC-2777-2022; Budree, Adheesh/AAF-6984-2019</t>
  </si>
  <si>
    <t>Kabanda, Salah/0000-0002-0490-8417; Makholwa, Clement/0000-0001-7301-9149;</t>
  </si>
  <si>
    <t>a809</t>
  </si>
  <si>
    <t>10.4102/td.v16i1.809</t>
  </si>
  <si>
    <t>PK3EN</t>
  </si>
  <si>
    <t>WOS:000602332900001</t>
  </si>
  <si>
    <t>Actual adoption of Fintech services among micro-entrepreneurs of urban slum area of Uttarakhand</t>
  </si>
  <si>
    <t>Fintech; Technological adoption; Entrepreneur and innovation; Hilly area; Urban poor</t>
  </si>
  <si>
    <t>TECHNOLOGY ACCEPTANCE MODEL; FINANCIAL INCLUSION; INFORMATION-TECHNOLOGY; CONSUMER ACCEPTANCE; MEDIUM ENTERPRISES; MOBILE MONEY; PLS-SEM; DETERMINANTS; DECISION; BANKING</t>
  </si>
  <si>
    <t>PurposeThis paper aims to examine the level of awareness and determinants of the actual adoption of fintech services. This paper further focuses on how usages of different kind of fintech services fulfills the business needs of the micro-entrepreneurs of urban slum dwellers of Uttarakhand.Design/methodology/approachThe research investigated the predictive significance of actual adoption of fintech services using the unified theory of acceptance and use of technology (UTAUT) and prospect theory framework. Data was collected from 80 micro-entrepreneurs of urban slum areas of Uttarakhand, using an adapted semi-structured questionnaire. For analysis of data partial least square structural equal modeling has been used.FindingsThis paper finds that different fintech services have different levels of awareness whereas payment, regulation and market provision-related fintech services have high awareness. The main drivers for adopting fintech are services trust (ST) and behavioral intention (BI). BI significantly influences fintech adoption, while ST positively impacts BI, actual usage and facilitating conditions; perceived risk, however, negatively affects ST. The widely used fintech services are payment-based fintech (unified payments interface), followed by regulatory fintech (Khatabook app). Fintech effectively serves the business needs of micro-entrepreneurs in the urban slums of Uttarakhand with innovative product solutions.Research limitations/implicationsThe findings of this study are valuable for various fintech providers. These results can serve as a roadmap to strengthen fintech services in the broader population, including niche market segments.Originality/valueThis study uniquely contributes to the literature that addresses the issues of entrepreneurs of the lower strata of society through the use of fintech services.</t>
  </si>
  <si>
    <t>[Jha, Shweta; Dangwal, Ramesh Chandra] Hemvati Nandan Bahuguna Garhwal Univ, Dept Commerce, Srinagar, India</t>
  </si>
  <si>
    <t>shwetajha2711@gmail.com; rameshdangwal@hotmail.com</t>
  </si>
  <si>
    <t>2025 FEB 26</t>
  </si>
  <si>
    <t>10.1108/JSTPM-08-2023-0144</t>
  </si>
  <si>
    <t>Y4J9K</t>
  </si>
  <si>
    <t>WOS:001431817800001</t>
  </si>
  <si>
    <t>Prodan, S; Dabija, DC; Marincean, L</t>
  </si>
  <si>
    <t>Prodan, Silvana; Dabija, Dan-Cristian; Marincean, Leonardo</t>
  </si>
  <si>
    <t>Exploring Consumer Sentiment on Central Bank Digital Currencies: A Twitter Analysis from 2021 to 2023</t>
  </si>
  <si>
    <t>17th Edition of the International Conference on Business Excellence (ICBE)</t>
  </si>
  <si>
    <t>MAR 23-25, 2023</t>
  </si>
  <si>
    <t>ROMANIA</t>
  </si>
  <si>
    <t>Consumer sentiment; Digital currencies; Central bank; Twitter analysis; Cryptocurrencies; Financial technology (FinTech)</t>
  </si>
  <si>
    <t>Between the worldwide digital currencies one can also pinpoint those of central banks being a part of the move towards a cashless society. Several worldwide central banks are already planning to issue them, while others are conducting studies on them. Literature of the topic is heavily increasing, including understanding central bank digital currencies (CBDCs), their risks, and central banks' future position towards them. This paper analyzes Twitter data tagged with the cbdc hashtag and posted between January 2021 and January 2023, with the aim of highlighting the change regarding citizens' perceptions towards central banks' digital currencies. The authors extracted 124,946 positive, negative and neutral tweets from Twitter which they further analyzed by using a Python script, in the end highlighting different views on the potential benefits and drawbacks of CBDCs. The results show a growing debate and discussion around the use of CBDCs, with citizens expressing concerns about their potential consequences on civil liberties and financial control, while others highlight the benefits of CBDCs such as financial inclusion and tackling money laundering and terrorism. The paper enriches literature related to the study of consumer sentiment towards digital currencies, highlighting the significance of social media platforms for sharing opinions on emerging financial technologies. Central banks can use social media tools to shift citizens' sentiments and perspectives, including on topics such as CBDCs, by publishing explainers, replying to comments on relevant topics, and increasing posts' numbers, as they analyze whether and how CBDCs will be implemented. Research on consumer sentiment on this topic is useful as it can help central banks in adapting their strategies accordingly so that they can better achieve their objectives.</t>
  </si>
  <si>
    <t>[Prodan, Silvana; Dabija, Dan-Cristian; Marincean, Leonardo] Babes Bolyai Univ, Cluj Napoca, Romania</t>
  </si>
  <si>
    <t>Prodan, S (corresponding author), Babes Bolyai Univ, Cluj Napoca, Romania.</t>
  </si>
  <si>
    <t>silvana.prodan@econ.ubbcluj.ro; dan.dabija@ubbcluj.ro; leonardo.marincean@ubbcluj.ro</t>
  </si>
  <si>
    <t>Dabija, Dan-Cristian/I-8101-2012</t>
  </si>
  <si>
    <t>Dabija, Dan-Cristian/0000-0002-8265-175X; Prodan, Silvana/0000-0001-6735-7504; Marincean, Leonardo/0009-0008-8670-3191</t>
  </si>
  <si>
    <t>10.2478/picbe-2023-0098</t>
  </si>
  <si>
    <t>M4FK9</t>
  </si>
  <si>
    <t>WOS:001029771300024</t>
  </si>
  <si>
    <t>Chen, ZB; Birkenmaier, J; Garand, J</t>
  </si>
  <si>
    <t>Chen, Zibei; Birkenmaier, Julie; Garand, James</t>
  </si>
  <si>
    <t>Examining the Validity of Financial Knowledge Measures in a Context of Racialized Financial Market</t>
  </si>
  <si>
    <t>RACE AND SOCIAL PROBLEMS</t>
  </si>
  <si>
    <t>Financial knowledge; Financial literacy; Race; Financial experience; Racialized financial market</t>
  </si>
  <si>
    <t>DONT KNOW; LITERACY; EDUCATION; SERVICES; RELATE</t>
  </si>
  <si>
    <t>Research shows that U.S. racial minority groups have lower levels of financial knowledge than whites, yet an explanation for the knowledge gap remains elusive. Financial knowledge measures are generally constructed by summing respondents' correct answers on a series of factual items and collapsing incorrect answers and don't know (DK) responses into a single category. However, studies demonstrate that DK responses and incorrect answers have different antecedents and may not reflect absence of knowledge in the same way, and racial minorities are more likely to choose DK responses. In addition, questions on commonly used knowledge tests ignore the underlying racialization of the current financial market regarding financial experience, which shapes financial knowledge. This study investigates the roles of financial experience and DK response in shaping the racial difference in financial knowledge. Based on multinomial logit models of data from the 2018 National Financial Capability Study, we find that racial minorities were more likely to provide both DK and incorrect responses than whites across financial knowledge questions. Ownership of a savings account, a home, and investment products is negatively associated with giving DK and incorrect responses. Findings suggest that the financial knowledge of racial minorities can be substantially higher than previous studies suggest. Levels of financial knowledge assessed by current measures are shaped by financial experiences that racial minorities are less likely to have. Findings imply that the content validity of financial knowledge measures is problematic, and financial knowledge based on these measures likely yields less return for racial minorities than whites.</t>
  </si>
  <si>
    <t>[Chen, Zibei] Univ Tennessee, Coll Social Work, 1618 Cumberland Ave, Knoxville, TN 37996 USA; [Birkenmaier, Julie] St Louis Univ, Sch Social Work, 3550 Lindell Blvd,Tegeler Hall 313, St Louis, MO 63103 USA; [Garand, James] Louisiana State Univ, Dept Polit Sci, 212 Stubbs Hall, Baton Rouge, LA 70803 USA</t>
  </si>
  <si>
    <t>University of Tennessee System; University of Tennessee Knoxville; Saint Louis University; Louisiana State University System; Louisiana State University</t>
  </si>
  <si>
    <t>Chen, ZB (corresponding author), Univ Tennessee, Coll Social Work, 1618 Cumberland Ave, Knoxville, TN 37996 USA.</t>
  </si>
  <si>
    <t>zchen75@utk.edu; Julie.Birkenmaier@slu.edu; pogara@lsu.edu</t>
  </si>
  <si>
    <t>1867-1748</t>
  </si>
  <si>
    <t>1867-1756</t>
  </si>
  <si>
    <t>RACE SOC PROBL</t>
  </si>
  <si>
    <t>Race Soc. Probl.</t>
  </si>
  <si>
    <t>10.1007/s12552-023-09398-3</t>
  </si>
  <si>
    <t>Ethnic Studies; Social Sciences, Interdisciplinary; Sociology</t>
  </si>
  <si>
    <t>Ethnic Studies; Social Sciences - Other Topics; Sociology</t>
  </si>
  <si>
    <t>HZ1G5</t>
  </si>
  <si>
    <t>WOS:001086792800001</t>
  </si>
  <si>
    <t>Khyareh, MM</t>
  </si>
  <si>
    <t>Khyareh, Mohsen Mohammadi</t>
  </si>
  <si>
    <t>Impact of the Digital Economy on Income Inequality: Evidence from Developing Economies</t>
  </si>
  <si>
    <t>Digital Economy; Income Inequality; Developing Economies; Nonlinear Dynamics; Entrepreneurship; Policy Design</t>
  </si>
  <si>
    <t>This study examines the nonlinear relationship between digital economy development and income inequality across 40 developing economies from 2010 to 2022, employing a dual-model econometric framework. Combining a baseline fixed-effects panel regression with a partially linear functional-coefficient model, the analysis reveals that the digital economy reduces income inequality, but its marginal effects are contingent on economic development thresholds. The results demonstrate a U-shaped relationship, where the inequality-mitigating impact of digitalisation is strongest at intermediate economic development levels, reducing the Gini coefficient by 0.31 units per unit increase in the Digital Economy Index. Below this threshold, infrastructural and literacy gaps constrain equitable access to digital benefits, while above it, diminishing returns emerge due to labour market precarity and saturation effects. Mechanism analyses identified three critical pathways: digital entrepreneurship, financial inclusion, and labour market shifts. Platforms like Jumia and MercadoLibre lower entry barriers for informal workers, increasing rural incomes by12%-40%, while mobile money adoption (e.g., M-Pesa) boosts rural savings rates by 22%, narrowing urban-rural gaps. However, gig economy expansion though creating millions of jobs, often perpetuates wage instability, with 54% of platform workers in India earning below the minimum wage. Policy implications emphasise context-specific strategies: low-REL economies must prioritise digital infrastructure and literacy (e.g., India's Digital India), while high-REL economies should strengthen social safety nets (e.g., Brazil's MEI program) to formalise gig workers. Entrepreneurship ecosystems targeting marginalised groups, such as Nigeria'sAndela, further amplify equity gains by bridging skill and capital gaps.</t>
  </si>
  <si>
    <t>[Khyareh, Mohsen Mohammadi] Gonbad Kavous Univ, Dept Econ, Gonbad Kavous, Iran</t>
  </si>
  <si>
    <t>Khyareh, MM (corresponding author), Gonbad Kavous Univ, Dept Econ, Gonbad Kavous, Iran.</t>
  </si>
  <si>
    <t>m.mohamadi@gmail.com</t>
  </si>
  <si>
    <t>Mohammadi Khyareh, Mohsen/AAY-5359-2021</t>
  </si>
  <si>
    <t>10.26650/JEPR1633492</t>
  </si>
  <si>
    <t>6GO3G</t>
  </si>
  <si>
    <t>WOS:001552842400005</t>
  </si>
  <si>
    <t>Chatterjee, S; Fan, L</t>
  </si>
  <si>
    <t>Chatterjee, Swarn; Fan, Lu</t>
  </si>
  <si>
    <t>Surviving in financial advice deserts: limited access to financial advice and retirement planning behavior</t>
  </si>
  <si>
    <t>Financial advice; Financial planning; Retirement saving; Retirement planning; D14; G5; R12</t>
  </si>
  <si>
    <t>SHORT-TERM; LITERACY; DETERMINANTS; INEQUALITY; GEOGRAPHY; BANK</t>
  </si>
  <si>
    <t>Purpose This study introduces the concept of financial advice deserts (FADs), including financial advice received from personal financial advisors (PFAs) and Certified Financial Planners (TM) (CFP professionals) and investigates the association between living in these FAD states and the retirement planning activities of individuals. Design/methodology/approach This study uses merged data gathered from multiple sources including (1) available state-level information on CFP professionals from the CFP board website, (2) state-level information on PFAs from the US Bureau of Labor Statistics and (3) individual levels of retirement planning behavior and other personal characteristics from the 2018 FINRA National Financial Capability Study. Using web data extraction tools and logistic regression analyses, this study examines the association between a series of individual retirement planning activities and living in the FAD states. Findings The study found that living in the FAD states was negatively associated with both having retirement accounts and contributing regularly to retirement accounts. Overall, the findings of this study underscore the need for providing greater access to financial advice and improving financial literacy among financially marginalized populations who are residing in FAD states in the United States of America. Originality/value This study makes unique contributions to the literature by raising the issue of geographic inequality in terms of access to financial advice and introducing the innovative notion of FADs. The findings provide fresh insights into the understanding of retirement planning and preparedness from the perspective of state-level inequality of financial advice through PFAs and CFP professionals, thereby expanding the previous knowledge that emphasizes only individual- and household-level differences. Significant implications for public policies and practitioners are also discussed.</t>
  </si>
  <si>
    <t>[Chatterjee, Swarn; Fan, Lu] Univ Georgia, Financial Planning, Athens, GA 30602 USA</t>
  </si>
  <si>
    <t>Chatterjee, S (corresponding author), Univ Georgia, Financial Planning, Athens, GA 30602 USA.</t>
  </si>
  <si>
    <t>10.1108/IJBM-01-2022-0022</t>
  </si>
  <si>
    <t>WOS:000865924200001</t>
  </si>
  <si>
    <t>Hegde, A; Bhowmik, B; Bennehalli, S; Vakkund, S</t>
  </si>
  <si>
    <t>Hegde, Anusha; Bhowmik, Biswajit; Bennehalli, Shashank; Vakkund, Sharan</t>
  </si>
  <si>
    <t>Louvain community-based label assignment for reject inference in peer-to-peer lending</t>
  </si>
  <si>
    <t>Financial technology; Reject inference; Outlier detection; Network similarity; Louvain community</t>
  </si>
  <si>
    <t>OUTLIER DETECTION; MODEL</t>
  </si>
  <si>
    <t>The digital transformation in the Financial Technology (FinTech) sector has significantly altered traditional banking and lending practices, giving rise to innovative models like peer-to-peer (P2P) lending. P2P lending platforms directly connect lenders and borrowers online, bypassing conventional financial intermediaries and democratizing access to finance. However, this innovation introduces new complexities in the risk assessment process, necessitating advanced analytical methods. This research presents Accept-Reject-Net framework, a three-step modeling approach designed to capture and evaluate the complex relationships of loans within the accept and reject dataset, a crucial aspect of P2P lending. Initially, the datasets are separated using two outlier detection methods that efficiently manage extensive datasets by distinguishing inliers (data points adhering to a specific pattern) from outliers (data points deviating from the anticipated pattern). We then generate four distinct merged datasets by applying two different ratios of accept and reject data. In the second stage, borrowers are systematically represented as nodes, with their Euclidean distances as edges, allowing us to extract graph features that effectively capture the structural attributes and similarities of the loans. These graph features are used to classify entries in the Reject dataset as either default or non-default. Two distinct approaches are introduced Louvain mode and Louvain threshold to facilitate label assignment within detected communities. The threshold is validated across multiple levels to assess its effectiveness in refining label assignment. In the third phase, these features are inputs for training five machine learning models, further enhanced with additional labeled data. To ensure the reliability and robustness of our findings, confidence intervals and permutation tests are used to assess the performance differences between different partitions. The 7:1 ratio of accept:reject with the threshold method of Louvain community detection for assigning labels to the rejected dataset improves the metrics, making the model much more effective for reject inference. This comprehensive approach addresses the biases inherent in traditional credit scoring models and enhances the predictive accuracy and fairness of loan evaluations.</t>
  </si>
  <si>
    <t>[Hegde, Anusha; Bhowmik, Biswajit; Bennehalli, Shashank; Vakkund, Sharan] Natl Inst Technol Karnataka, Dept Comp Sci &amp; Engn, Surathkal, India</t>
  </si>
  <si>
    <t>Hegde, A (corresponding author), Natl Inst Technol Karnataka, Dept Comp Sci &amp; Engn, Surathkal, India.</t>
  </si>
  <si>
    <t>anushahegde.227cs001@nitk.edu.in; brb@nitk.edu.in; jbs.191cs248@nitk.edu.in; sharansvakkund.201cs256@nitk.edu.in</t>
  </si>
  <si>
    <t>10.1007/s41060-025-00719-w</t>
  </si>
  <si>
    <t>WOS:001409406400001</t>
  </si>
  <si>
    <t>Rana, M; Islam, H; Al Mamun, MA; Redwanuzzaman, M</t>
  </si>
  <si>
    <t>Rana, Masud; Islam, Hasibul; Al Mamun, Md. Abdullah; Redwanuzzaman, Md.</t>
  </si>
  <si>
    <t>FinTech's impact on grocery retail in Bangladesh: a TAM approach</t>
  </si>
  <si>
    <t>OPSEARCH</t>
  </si>
  <si>
    <t>FinTech adoption; Technology Acceptance Model (TAM); Structural equation modeling (SEM); Grocery businesses; C83; L21; L25; O33</t>
  </si>
  <si>
    <t>Despite the rapid digital transformation, only a fraction of small businesses in Bangladesh actively utilize digital financial services, limiting their growth potential. This study investigates the key factors influencing the adoption of Financial Technology (FinTech) among grocery businesses in Bangladesh, using the Technology Acceptance Model (TAM) to assess the roles of perceived usefulness, perceived ease of use, and attitudes toward digital financial tools. A quantitative research approach was employed, collecting data from 396 grocery businesses in Bangladesh through structured questionnaires. Structural equation modeling (SEM) was applied using STATA and the SmartPLS package to validate the measurement model and test hypothesized relationships. The results reveal that both perceived usefulness and ease of use significantly shape attitudes toward digital financial adoption, which in turn strongly influences adoption intent. Furthermore, attitudes mediate the impact of perceived usefulness and ease of use on adoption intentions, underscoring the role of cognitive perceptions in shaping digital transformation in the grocery sector. The study focuses exclusively on grocery businesses in Bangladesh, which may limit its applicability to other industries or regions. Future research could extend the model by incorporating additional factors such as social influence and regulatory support across different business sectors. The findings offer actionable recommendations for policymakers and business leaders, emphasizing the need for financial literacy programs, improved digital infrastructure, financial incentives, and stronger public-private collaboration to accelerate digital payment adoption in the grocery sector. This study contributes to the existing literature by applying the TAM framework to the unique context of small-scale grocery businesses in a developing economy. It provides a nuanced understanding of how perceived value and usability influence digital financial adoption, offering strategic insights for enhancing financial inclusion in Bangladesh.</t>
  </si>
  <si>
    <t>[Rana, Masud; Al Mamun, Md. Abdullah; Redwanuzzaman, Md.] Pabna Univ Sci &amp; Technol, Dept Business Adm, Pabna, Bangladesh; [Islam, Hasibul] Varendra Univ, Dept Business Adm, Rajshahi, Bangladesh</t>
  </si>
  <si>
    <t>Rana, M (corresponding author), Pabna Univ Sci &amp; Technol, Dept Business Adm, Pabna, Bangladesh.</t>
  </si>
  <si>
    <t>masud@pust.ac.bd; hasibulislamshanto143@gmail.com; mamun@pust.ac.bd; redwan@pust.ac.bd</t>
  </si>
  <si>
    <t>Al Mamun, Md Abdullah/AID-8872-2022; Islam, Hasibul/AEM-4091-2022</t>
  </si>
  <si>
    <t>Rana, Masud/0009-0009-2983-095X;</t>
  </si>
  <si>
    <t>0030-3887</t>
  </si>
  <si>
    <t>0975-0320</t>
  </si>
  <si>
    <t>Opsearch</t>
  </si>
  <si>
    <t>2025 MAY 24</t>
  </si>
  <si>
    <t>10.1007/s12597-025-00955-5</t>
  </si>
  <si>
    <t>2XK5T</t>
  </si>
  <si>
    <t>WOS:001493606600001</t>
  </si>
  <si>
    <t>Anand, B</t>
  </si>
  <si>
    <t>Sener, S; Saridogan, E; Staub, S</t>
  </si>
  <si>
    <t>Anand, Binod</t>
  </si>
  <si>
    <t>Reverse Globalization by Internationalization of SME's: Opportunities and Challenges Ahead</t>
  </si>
  <si>
    <t>WORLD CONFERENCE ON TECHNOLOGY, INNOVATION AND ENTREPRENEURSHIP</t>
  </si>
  <si>
    <t>World Conference on Technology, Innovation and Entrepreneurship</t>
  </si>
  <si>
    <t>MAY 28-30, 2015</t>
  </si>
  <si>
    <t>Reverse Globalisation; Policy; Innovation; Sustainability; Social good; Macrolevel</t>
  </si>
  <si>
    <t>Small and medium-sized enterprises (SMEs) are powerhouse of growth, jobs and backbone to the nursery of entrepreneurship globally. These are universally acknowledged as major contributors to GDP and even larger contributors to exports and employment and play a crucial role in the Socio-economic profile of nations. In developing countries, more than 90 per cent of all firms outside the agricultural sector are SME's and micro enterprises, generating a significant portion of GDP. This paper would dwell upon the opportunities and challenges for SME's internationalization, their Policy framework, Finance and Market access along with Socio-Cultural Norms with special perspective to Agrobased and Biotech led SME's. Among major problem identified are absence of adequate and timely banking finance, limited capital, access to international market and knowledge management. SME's play a critical role in the economic and social development of emerging markets and their role needs to be strengthened further in view of their contribution towards fostering equitable growth and employment generation. It is imperative to enhance SME's competitiveness, which requires the creation of enabling legal, regulatory and administrative environment, access to finance and capable institutional structures and most importantly, human capital. In order to transform SME's as an agent of reverse Globalisation, Innovation in processes and Policy is imperative. SME's must embrace global changes in cultural norms so that they can survive and find a place for themselves in the global competitive environment. The most important change needed is in the attitude of the stake holders and the mindset of the institutions which are engaged in the task of small enterprise development. Efforts should be made to take full advantage of opportunities made available by globalization. This is possible only through enhancing efficiency and taking financial literacy on mission model (C) 2015 The Authors. Published by Elsevier Ltd.</t>
  </si>
  <si>
    <t>[Anand, Binod] Assoc Biotech Led Entreprises Agr Focus, New Delhi, India</t>
  </si>
  <si>
    <t>Anand, B (corresponding author), Assoc Biotech Led Entreprises Agr Focus, New Delhi, India.</t>
  </si>
  <si>
    <t>binod@ableindia.org.in</t>
  </si>
  <si>
    <t>10.1016/j.sbspro.2015.06.359</t>
  </si>
  <si>
    <t>BF2YI</t>
  </si>
  <si>
    <t>WOS:000380509900119</t>
  </si>
  <si>
    <t>Ambarkhane, D; Singh, AS; Venkataramani, B; Marak, Z</t>
  </si>
  <si>
    <t>Ambarkhane, Dilip; Singh, Ardhendu Shekhar; Venkataramani, Bhama; Marak, Zericho</t>
  </si>
  <si>
    <t>Overcoming barriers to financial inclusion: empirical evidence from India</t>
  </si>
  <si>
    <t>Barriers; Financial inclusion; India; PMJDY; Principal component analysis; C-13; D-02; G-21</t>
  </si>
  <si>
    <t>POVERTY REDUCTION; REMITTANCES; CAUSALITY; HETEROSKEDASTICITY; DETERMINANTS; SERVICES; GROWTH; ACCESS; NEXUS</t>
  </si>
  <si>
    <t>Purpose This paper attempts to measure the state-wise impact of Prime Minister's Jan Dhan Yojana (PMJDY) in 30 states and 6 union territories of India for the years 2016, 2017 and 2018; and tries to develop a state-wise plan for geographical expansion of outlets optimizing the overall impact of the scheme. Design/methodology/approach The state-wise impact factor is calculated using demographic penetration of the scheme in rural areas, demographic penetration of the scheme in urban areas, percentage of accounts with Rupay cards and average balance in these accounts. The impact factor is postulated to be a linear function of literacy, per capita GDP, demographic and geographic penetration of banks and the number of poor people. The weights for the sub-parameters are derived through principal component analysis. A generalized linear model with heteroscedasticity and autocorrelation consistency method for estimation of the equation with robust standard errors is used. Findings It is found that the scheme has been more effective in the states with higher levels of illiteracy which is contrary to the findings of existing studies where illiteracy is identified as a barrier to financial inclusion. A state-wise plan for geographical expansion of outlets is proposed with a view to optimizing the overall impact of the scheme, along with suggestions for improvement. Research limitations/implications The data for ATMs and bank mitras are available for some of the years, for some states and hence missing data were estimated using extrapolation or on an average basis. Furthermore, the panel data are available for three years making the period of panel small. These aspects might have affected the efficacy of our estimates. Originality/value The paper evaluates the newly launched ambitious program PMJDY by the Government of India (GoI), it will have far reaching impact on financial inclusion.</t>
  </si>
  <si>
    <t>[Ambarkhane, Dilip; Singh, Ardhendu Shekhar; Marak, Zericho] Symbiosis Int Deemed Univ, Symbiosis Sch Banking &amp; Finance, Pune, Maharashtra, India; [Venkataramani, Bhama] Symbiosis Int Deemed Univ, Pune, Maharashtra, India</t>
  </si>
  <si>
    <t>Symbiosis International University; Symbiosis School of Banking &amp; Finance (SSBF); Symbiosis International University</t>
  </si>
  <si>
    <t>Ambarkhane, D (corresponding author), Symbiosis Int Deemed Univ, Symbiosis Sch Banking &amp; Finance, Pune, Maharashtra, India.</t>
  </si>
  <si>
    <t>dilipambarkhane@gmail.com</t>
  </si>
  <si>
    <t>; R Marak, Zericho/AAQ-8077-2020; Singh, Ardhendu Shekhar/U-2189-2017; Venkataramani, Bhama/AFX-8742-2022</t>
  </si>
  <si>
    <t>Ambarkhane, Dilip/0000-0001-7274-0268; R Marak, Zericho/0000-0002-1478-6011; Singh, Ardhendu Shekhar/0000-0003-3195-9954; Venkataramani, Bhama/0000-0002-0693-060X</t>
  </si>
  <si>
    <t>10.1108/IJSE-04-2020-0254</t>
  </si>
  <si>
    <t>3O7WF</t>
  </si>
  <si>
    <t>WOS:000782620500001</t>
  </si>
  <si>
    <t>Damasa, AD</t>
  </si>
  <si>
    <t>Damasa, Abdissa Demise</t>
  </si>
  <si>
    <t>Financial sector development in East Africa: Determinants, trend, and regional progress</t>
  </si>
  <si>
    <t>Determinants; Dynamic heterogeneous; East Africa; Financial sector development; Regional progress; Trends</t>
  </si>
  <si>
    <t>TESTING SLOPE HOMOGENEITY; ECONOMIC-GROWTH; COINTEGRATION; REGRESSION; COSTS</t>
  </si>
  <si>
    <t>This study examines the determinants, trends, and regional progress of financial sector development in seven East African countries from 1990 to 2023. Grounded in financial development theory, a composite index of financial development (FSDI) is constructed using Principal Component Analysis (PCA) to capture multidimensional aspects of financial access, depth, efficiency, stability, and liberalization. The study employs dynamic heterogeneous panel estimators, including mean group, pooled mean group, dynamic fixed effect, fully modified ordinary least square, canonical co-integration regression, feasible generalized least square, along with augmented mean group and common correlate effect mean group estimators to analyze both short-run and long-run relationships with economic and institutional factors. Results reveal significant disparities, with Kenya recording the highest index (0.72) and Sudan the lowest (0.22); followed by Burundi (0.66), while Rwanda, Ethiopia, Uganda, and Tanzania exhibit moderate development (0.49-0.30). In the long run, financial development is positively influenced by government consumption, bank deposits, gross domestic savings, corruption control, and remittances, whereas high lending interest rates constrain growth. In the short run, economic growth and bank deposits remain key contributors. Methodologically, the study contributes by integrating PCA-based index construction with dynamic heterogeneous panel estimation, providing robust insights into country-specific and regional dynamics. Policy recommendations include promoting domestic savings and investment, strengthening governance and anticorruption measures, improving formal financial inclusion, managing interest rates prudently, and harnessing remittance flows to foster a more inclusive, resilient, and sustainable financial sector across East Africa.</t>
  </si>
  <si>
    <t>[Damasa, Abdissa Demise] Jimma Univ, Coll Business &amp; Econ, Jimma, Ethiopia</t>
  </si>
  <si>
    <t>Damasa, AD (corresponding author), Jimma Univ, Coll Business &amp; Econ, Jimma, Ethiopia.</t>
  </si>
  <si>
    <t>abdissa.demise@ambou.edu.et</t>
  </si>
  <si>
    <t>10.1016/j.ribaf.2025.103251</t>
  </si>
  <si>
    <t>W7841</t>
  </si>
  <si>
    <t>WOS:001639949800001</t>
  </si>
  <si>
    <t>Jeaven, H; Wapnick, R; Carswell, MBJ</t>
  </si>
  <si>
    <t>Jeaven, H.; Wapnick, R.; Carswell, M. B. J.</t>
  </si>
  <si>
    <t>The impact of giving and receiving remittances on life insurance purchases</t>
  </si>
  <si>
    <t>SOUTH AFRICAN ACTUARIAL JOURNAL</t>
  </si>
  <si>
    <t>Remittances given; remittances received; life insurance purchase behaviour</t>
  </si>
  <si>
    <t>RACIAL-DIFFERENCES; DEMAND; DETERMINANTS; MIGRATION; RISK; AGE</t>
  </si>
  <si>
    <t>Remittance arrangements, or inter-household transfers in cash or kind, have been identified as an influential factor in funeral insurance purchase decisions of South African households. On the one hand, remittances can alter income and higher levels of income are associated with more insurance purchases. On the other hand, remittances can act as an informal insurance arrangement reducing formal insurance purchases. It was found using data from the fifth wave of the National Income Dynamics Study that remittances did not have a strong effect on life insurance purchases generally although for young, low-income, unbanked African and other households, receiving remittances may have discouraged life insurance purchases.</t>
  </si>
  <si>
    <t>[Carswell, M. B. J.] Univ Witwatersrand, Sch Stat &amp; Actuarial Sci, Johannesburg, South Africa</t>
  </si>
  <si>
    <t>Carswell, MBJ (corresponding author), Univ Witwatersrand, Sch Stat &amp; Actuarial Sci, Johannesburg, South Africa.</t>
  </si>
  <si>
    <t>megan.carswell@wits.ac.za</t>
  </si>
  <si>
    <t>Carswell, Megan/GYQ-8636-2022</t>
  </si>
  <si>
    <t>ACTUARIAL SOC SOUTH AFRICA-ASSA</t>
  </si>
  <si>
    <t>PO BOX 4464, CAPE TOWN, 8000, SOUTH AFRICA</t>
  </si>
  <si>
    <t>1680-2179</t>
  </si>
  <si>
    <t>S AFR ACTUAR J</t>
  </si>
  <si>
    <t>S. Afr. Actuar. J.</t>
  </si>
  <si>
    <t>10.4314/saaj.v21i1.2</t>
  </si>
  <si>
    <t>XS6UT</t>
  </si>
  <si>
    <t>WOS:000733042000002</t>
  </si>
  <si>
    <t>Harir, N; Mkaddem, ZB</t>
  </si>
  <si>
    <t>Harir, Nabil; Bel Mkaddem, Zakariae</t>
  </si>
  <si>
    <t>The impact of decentralized finance development on banks deposits variability: PVAR approach</t>
  </si>
  <si>
    <t>Decentralized finance; DeFi; Total value locked; Bank deposit; Blockchain; Cryptocurrency</t>
  </si>
  <si>
    <t>UNIT-ROOT TESTS; PANEL-DATA; COINTEGRATION; POWER</t>
  </si>
  <si>
    <t>PurposeThis study aims to investigate the potential impact of total value locked (TVL) fluctuation in decentralized finance (DeFi) on banks deposits for a sample of 21 countries, including the Eurozone members and the USA, over the period from July 2018 to October 2023.Design/methodology/approachPanel vector autoregression model has been used to analyze the existence of a relationship between TVL and banks deposits. In the second stage, the impulse response function has been exercised to find out the response of banks deposits among each nation.FindingsEmpirical findings exhibit that while increases in TVL have a significant negative long-run association with banks deposits in a global perspective, the effect is weak, suggesting modest disruption to traditional banking services to date. However, the impact varies between short and long-run effects at the country level. Six nations exhibit substantial negative long-run effects, whereas eight countries experience only temporary decreases in deposits following TVL upticks that rebound over time, reflecting the lack of trust in DeFi services and the engagement in speculative instead of long-term activities.Research limitations/implicationsThis study provides general insights into DeFi's impact on banking performance and deposit stability. However, it likely has limitations in scope and time frame. Future research could explore long-term effects, specific DeFi protocols and cross-country comparisons.Practical implicationsThis study's findings provide key insights for policymakers, central banks and bank managers on the impact of DeFi growth on banking performance and deposit stability. The results highlight the need for adaptive regulatory frameworks and investment strategies to address the emerging DeFi ecosystem. At the country level, the observed variations suggest the importance of tailored policy approaches. These insights are crucial for developing effective regulations and strategies in the evolving financial landscape.Social implicationsDeFi growth may alter financial access and inclusion, raising concerns about consumer protection and literacy. It could shift power dynamics in finance, potentially reducing traditional intermediaries' influence while creating new forms of inequality. Balancing innovation with social responsibility is crucial for equitable distribution of benefits.Originality/valueAlthough numerous studies have been conducted on the effects of cryptocurrencies on bank deposits and stock performance across various regions, they have largely overlooked the DeFi and its role in influencing deposits as a new competitor to traditional banks services. This study aims to address this gap by examining the influence of TVL developments on banks deposits, and to what extent it can be served as an alternative to banking services.</t>
  </si>
  <si>
    <t>[Harir, Nabil; Bel Mkaddem, Zakariae] Chouaib Doukkali Univ, Natl Sch Commerce &amp; Management, Lab Studies &amp; Res Econ &amp; Management Sci, El Jadida, Morocco</t>
  </si>
  <si>
    <t>Chouaib Doukkali University of El Jadida</t>
  </si>
  <si>
    <t>Harir, N (corresponding author), Chouaib Doukkali Univ, Natl Sch Commerce &amp; Management, Lab Studies &amp; Res Econ &amp; Management Sci, El Jadida, Morocco.</t>
  </si>
  <si>
    <t>harir.nabil@ucd.ac.ma; belmkaddem.z@ucd.ac.ma</t>
  </si>
  <si>
    <t>BEL MKADDEM, zakariae/KDN-9569-2024</t>
  </si>
  <si>
    <t>BEL MKADDEM, zakariae/0009-0006-2211-8749; HARIR, NABIL/0009-0008-8104-4836</t>
  </si>
  <si>
    <t>10.1108/JFRC-11-2024-0224</t>
  </si>
  <si>
    <t>0RB0C</t>
  </si>
  <si>
    <t>WOS:001378698500001</t>
  </si>
  <si>
    <t>Celig, T; Ockenga, TA; Schoder, D</t>
  </si>
  <si>
    <t>Celig, Tom; Ockenga, Tim Alvaro; Schoder, Detlef</t>
  </si>
  <si>
    <t>Distributional equality in Ethereum? On-chain analysis of Ether supply distribution and supply dynamics</t>
  </si>
  <si>
    <t>WEALTH; LAW; INEQUALITY</t>
  </si>
  <si>
    <t>Blockchain-based emerging technologies such as decentralized finance (DeFi), cryptocurrencies, tokens, and smart contracts have introduced innovative frameworks for resource allocation and economic interactions. Ethereum, as the major technical network foundation of DeFi and tokenized assets, is becoming increasingly pivotal in facilitating an extension and alternative to traditional finance for many stakeholders, including those who are unbanked. Moreover, the recent transition of Ethereum from a proof-of-work (PoW) mechanism to a proof-of-stake (PoS) consensus mechanism and the Shanghai upgrade may significantly impact Ether (ETH) distribution. However, the status quo and dynamics of wealth distribution, especially after these changes in governance structure, remain unclear. By utilizing a rich dataset spanning the entire Ethereum history from July 2015 to December 2024, we analyze the balances across address groups of different sizes and the role of key economic activities and infrastructure components within Ethereum, such as exchanges, DeFi platforms, and staking. To provide detailed insights into ETH's distributional equality, our approach combines descriptive, longitudinal, and causal inference analyses; a complete enumeration of more than 98 million unique wallet addresses; and novel on-chain analysis. Our findings show a substantial concentration of ETH within a small fraction of addresses, with approximately 0.3% of wallets holding nearly 95% of the total supply, despite the majority of wallets holding less than 0.1% ETH. However, the ETH distribution broadly resembles wealth distributions in traditional economies, with a log-normal body and Pareto-like tails. We assert that previous studies have overstated the concentration of ETH. Additionally, our dynamic analysis reveals a nuanced trend toward less concentration over time, driven by market cycles, increasing staking participation, and reinvestment in DeFi. These results challenge the notion of pervasive centralization. This study contributes to a deeper understanding of the current ETH distribution and its evolution over time. Therefore, this work provides an objective, data-driven basis for the ongoing discussion on wealth (in)equality in blockchain-based ecosystems, particularly in DeFi.</t>
  </si>
  <si>
    <t>[Celig, Tom; Ockenga, Tim Alvaro; Schoder, Detlef] Univ Cologne, Cologne Inst Informat Syst, Pohligstr 1, D-50969 Cologne, Germany</t>
  </si>
  <si>
    <t>Celig, T; Ockenga, TA; Schoder, D (corresponding author), Univ Cologne, Cologne Inst Informat Syst, Pohligstr 1, D-50969 Cologne, Germany.</t>
  </si>
  <si>
    <t>celig@wim.uni-koeln.de; ockenga@wim.uni-koeln.de; schoder@wim.uni-koeln.de</t>
  </si>
  <si>
    <t>Schoder, Detlef/KSM-9083-2024; Ockenga, Tim/MIU-5643-2025</t>
  </si>
  <si>
    <t>Celig, Tom/0000-0002-5639-0445; Ockenga, Tim/0009-0007-2754-2247</t>
  </si>
  <si>
    <t>10.1057/s41599-025-04728-9</t>
  </si>
  <si>
    <t>0KV0E</t>
  </si>
  <si>
    <t>WOS:001449748900001</t>
  </si>
  <si>
    <t>Zhou, L; Zhang, YQ; Dai, GC; Zhang, S</t>
  </si>
  <si>
    <t>Zhou, Li; Zhang, Yaoqi; Dai, Guangcui; Zhang, Shen</t>
  </si>
  <si>
    <t>Access to Microloans for Households with Forest Property Collateral in China</t>
  </si>
  <si>
    <t>SMALL-SCALE FORESTRY</t>
  </si>
  <si>
    <t>Poverty alleviation; Forest management; Livelihood; Economic reform; Financial access</t>
  </si>
  <si>
    <t>CREDIT; MICROFINANCE; POVERTY</t>
  </si>
  <si>
    <t>About 100 million rural households in China have obtained forest property certification, which could serve as collateral to help households obtain microloans intended for forest management and investment. However, it is still difficult for households to receive these loans using forests as collateral. The strong demand for loans from the Rural Credit Cooperative cannot be met. This paper attempts to understand microloan access behavior using 241 respondents in three typical Chinese counties. It argues that the loan is determined by both the demand from the household as well as the supply from banks. Logistic regression models are used to investigate what might affect accessibility to households' microloans. Household characteristics like age, education, income, forest characteristics as well as the regional variation of loans are used as explanatory variables. Age, education and income as well as the perception of the bank services are found statistically significant. Other findings include that only half of the respondents who received loans supposed for forest management but use for other purposes. Most importantly, it is found that joint-loan arrangement is more suitable for small-scale households and direct-loan and guaranteed-loans are better match larger property size. A simplified loan-process and discount points would lower transaction costs and improve rural households' accessibility to microloan using of forest property collateral.</t>
  </si>
  <si>
    <t>[Zhou, Li] Beijing Forestry Univ, Coll Econ &amp; Management, Beijing 100083, Peoples R China; [Zhang, Yaoqi] Auburn Univ, Sch Forestry &amp; Wildlife Sci, Auburn, AL 36849 USA; [Dai, Guangcui; Zhang, Shen] State Forestry Adm China, Res Ctr Econ Dev, Beijing 100714, Peoples R China</t>
  </si>
  <si>
    <t>Beijing Forestry University; Auburn University System; Auburn University</t>
  </si>
  <si>
    <t>Zhang, YQ (corresponding author), Auburn Univ, Sch Forestry &amp; Wildlife Sci, Auburn, AL 36849 USA.</t>
  </si>
  <si>
    <t>Zhangy3@auburn.edu</t>
  </si>
  <si>
    <t>Program of Humanities and Social Sciences of Youth Fund of MOE (Ministry of Education in China) [11YJCZH258]; Fundamental Research Funds for the Central Universities [RW2011-36]; McIntire-Stennis Program of USDA-NIFA [ALAZ00053]</t>
  </si>
  <si>
    <t>Program of Humanities and Social Sciences of Youth Fund of MOE (Ministry of Education in China); Fundamental Research Funds for the Central Universities(Fundamental Research Funds for the Central UniversitiesPrince of Songkla UniversityInstituto Politecnico Nacional - Mexico); McIntire-Stennis Program of USDA-NIFA</t>
  </si>
  <si>
    <t>The study was financially supported by Program of Humanities and Social Sciences of Youth Fund of MOE (Ministry of Education in China) (Title: Studies of Rural Policy-favored Petty Loan Forest Property Mortgage Model/Grant # 11YJCZH258), the Fundamental Research Funds for the Central Universities (# RW2011-36). One of the authors has been financially supported by the McIntire-Stennis Program (#ALAZ00053) of USDA-NIFA. Some data was provided from Research Center of Economic Development, State Forestry Administration of China. Language editing by Elina Y. Zhang of Bowdoin College is appreciated.</t>
  </si>
  <si>
    <t>1873-7617</t>
  </si>
  <si>
    <t>1873-7854</t>
  </si>
  <si>
    <t>SMALL-SCALE FOR</t>
  </si>
  <si>
    <t>Small-Scale For.</t>
  </si>
  <si>
    <t>10.1007/s11842-016-9323-4</t>
  </si>
  <si>
    <t>DS9IN</t>
  </si>
  <si>
    <t>WOS:000381096400002</t>
  </si>
  <si>
    <t>Ozturk, O</t>
  </si>
  <si>
    <t>Ozturk, Ozcan</t>
  </si>
  <si>
    <t>The Impact of AI on International Trade: Opportunities and Challenges</t>
  </si>
  <si>
    <t>artificial intelligence; AI; international trade; AI Case Studies; AI-driven logistics; trade operations optimization</t>
  </si>
  <si>
    <t>This study aims to explore the transformative potential of Artificial Intelligence (AI) in international trade, focusing on its key roles in optimizing trade operations, enhancing trade finance, and expanding market access. In trade optimization, AI leverages advanced machine learning and predictive analytics to enhance demand forecasting, route optimization, and customs procedures, leading to more efficient logistics and inventory management. In trade finance, AI can automate document processing and risk assessment, increasing access to finance and enhancing transactional transparency, particularly through integration with blockchain technology. In terms of market access, AI-driven analytics can identify consumer trends and competitive dynamics, enabling personalized marketing and overcoming linguistic and cultural barriers. Due to the lack of quantitative data, this study employed qualitative research methods, specifically a multiple-case-study approach. The case studies of leading companies such as Alibaba, DHL, and Maersk showcase how they leverage AI to optimize their trade operations, improve customer service, and achieve greater efficiency. These real-world examples demonstrate AI's practical applications and significant benefits in the global trade landscape. However, the adoption of AI in international trade is not without challenges. These include issues around data quality, ethical concerns, technological complexity, and public perception. Policy recommendations highlight the need for a robust data infrastructure, establishing ethical AI guidelines, and fostering international cooperation to align data protection regulations.</t>
  </si>
  <si>
    <t>[Ozturk, Ozcan] Hamad Bin Khalifa Univ, Coll Publ Policy, POB 34110, Doha, Qatar</t>
  </si>
  <si>
    <t>Ozturk, O (corresponding author), Hamad Bin Khalifa Univ, Coll Publ Policy, POB 34110, Doha, Qatar.</t>
  </si>
  <si>
    <t>oozturk@hbku.edu.qa</t>
  </si>
  <si>
    <t>Ozturk, Ozcan/AGS-6653-2022</t>
  </si>
  <si>
    <t>10.3390/economies12110298</t>
  </si>
  <si>
    <t>N4U9W</t>
  </si>
  <si>
    <t>WOS:001364321200001</t>
  </si>
  <si>
    <t>Henshaw, A</t>
  </si>
  <si>
    <t>Henshaw, Alexis</t>
  </si>
  <si>
    <t>Women, Consider Crypto: Gender in the Virtual Economy of Decentralized Finance</t>
  </si>
  <si>
    <t>POLITICS &amp; GENDER</t>
  </si>
  <si>
    <t>gender; women; political economy; cryptocurrency; decentralized finance</t>
  </si>
  <si>
    <t>AUTHORITARIANISM; INFRASTRUCTURES</t>
  </si>
  <si>
    <t>Decentralized finance, including cryptocurrency and other blockchain-based applications, promises participants benefits such as financial freedom, security, privacy, and wealth accumulation. More recently, it has also offered the promise of participation, lowering financial barriers, and empowerment-especially to women, the poor, and those residing in the Global South. I argue that the rise of decentralized finance as an alternative development platform is explicitly gendered and calls for feminist analysis. I discuss how cryptocurrency-based approaches to development rest on foundations that are gendered, interacting with hierarchies of race/ethnicity and class. I also explore how they are part of a lineage of neoliberalism, leveraging neoliberal beliefs about entrepreneurialism, financial inclusion, and gender roles. The discussion further introduces the concept of neolibertarianism as an extension of neoliberal logics that advocates for bypassing states entirely in favor of private actors. The current analysis compares this new model of decentralized finance to similarly problematic development trends and assesses how it has-as of yet-failed to deliver on the promises of participation, lowering financial barriers, and empowerment. This analysis concludes with a call to action for feminist and critical scholars, encouraging further work on the topic.</t>
  </si>
  <si>
    <t>[Henshaw, Alexis] Troy Univ, Troy, AL 36082 USA</t>
  </si>
  <si>
    <t>Troy University System; Troy University</t>
  </si>
  <si>
    <t>Henshaw, A (corresponding author), Troy Univ, Troy, AL 36082 USA.</t>
  </si>
  <si>
    <t>ahenshaw@troy.edu</t>
  </si>
  <si>
    <t>Henshaw, Alexis/0000-0002-9355-3194</t>
  </si>
  <si>
    <t>1743-923X</t>
  </si>
  <si>
    <t>1743-9248</t>
  </si>
  <si>
    <t>POLIT GENDER</t>
  </si>
  <si>
    <t>Polit. Gend.</t>
  </si>
  <si>
    <t>PII S1743923X22000253</t>
  </si>
  <si>
    <t>10.1017/S1743923X22000253</t>
  </si>
  <si>
    <t>Political Science; Women's Studies</t>
  </si>
  <si>
    <t>Government &amp; Law; Women's Studies</t>
  </si>
  <si>
    <t>J4VV2</t>
  </si>
  <si>
    <t>WOS:000847581700001</t>
  </si>
  <si>
    <t>Hoang, DP</t>
  </si>
  <si>
    <t>Hoang, Dung Phuong</t>
  </si>
  <si>
    <t>Customer experience of video teller machine service: drivers and behavioural outcomes</t>
  </si>
  <si>
    <t>Video teller machine; SmartBank; Service quality; Loyalty; Customer experience</t>
  </si>
  <si>
    <t>MULTIPLE-ITEM SCALE; INTERNET BANKING; RELATIONSHIP QUALITY; MOBILE BANKING; RETAIL BANKING; MEDIATING ROLE; DETERMINANTS; EMOTIONS; IMPACT; SATISFACTION</t>
  </si>
  <si>
    <t>PurposeWe respond to the existing gaps regarding the drivers and outcomes of customer experience quality in the context of bank marketing by examining the interrelationships between distinct dimensions of VTM service quality, customer experience quality and customer loyalty.Design/methodology/approachThis research follows the Stimulus-Organism-Response theory to examine the antecedents and behavioural outcomes of customer experience quality during their journeys with video teller machine (VTM) services in the banking industry (also known as LiveBank or SmartBank). First, we conducted in-depth interviews with 34 bank customers to develop distinct measurement scales for customer experience quality and VTM service quality. A structural equation model linking six dimensions of VTM service quality, including tangibles, interaction quality, empathy, reliability, user's friendliness and efficiency with the affective-sensory and intellectual values of customer experience quality and customer loyalty to VTM service is tested using data obtained from 405 individual customers.FindingsThe findings reveal that tangibles, interaction quality, reliability, user-friendliness and efficiency contribute to customer experience quality, which, in turn, drives customers' intention to use VTM again. This research provides crucial theoretical background and practical implications to accelerate the penetration of VTM among bank customers and hence, foster financial inclusion among societies.Originality/valueThis paper presents the first research that empirically employs the value-based approach to measure customer experience quality in the banking service industry and examine its linkages to service quality and customer loyalty. Moreover, given the emergence of VTM, this is also among the pioneering studies which validate measurement scales for VTM service quality. This could be either reused or revisited for further research about VTM. Overall, our study contributes to the literature about customer retention in the banking service industry from not only the customers' backwards-looking evaluations of service performance (i.e. service quality) but also their forward-looking evaluations (i.e. their own experience).</t>
  </si>
  <si>
    <t>[Hoang, Dung Phuong] Natl Econ Univ, Fac Mkt, Hanoi, Vietnam</t>
  </si>
  <si>
    <t>National Economics University - Vietnam</t>
  </si>
  <si>
    <t>Hoang, DP (corresponding author), Natl Econ Univ, Fac Mkt, Hanoi, Vietnam.</t>
  </si>
  <si>
    <t>dungph@neu.edu.vn</t>
  </si>
  <si>
    <t>Dung, Hoang/0000-0002-0284-6953</t>
  </si>
  <si>
    <t>10.1108/IJBM-09-2023-0528</t>
  </si>
  <si>
    <t>WOS:001238042800001</t>
  </si>
  <si>
    <t>Serwaah, P; Shneor, R</t>
  </si>
  <si>
    <t>Serwaah, Priscilla; Shneor, Rotem</t>
  </si>
  <si>
    <t>Women and entrepreneurial finance: a systematic review</t>
  </si>
  <si>
    <t>Systematic literature review; entrepreneurship; entrepreneurial finance; gender; women; investment; access to finance</t>
  </si>
  <si>
    <t>GENDER-DIFFERENCES; DECISION-MAKING; STEREOTYPE CONTENT; OWNED BUSINESSES; SIGNALING THEORY; CREDIT EVIDENCE; EQUAL ACCESS; DISCRIMINATION; GAP; MATTER</t>
  </si>
  <si>
    <t>The intersection of gender and entrepreneurship has received growing attention in recent years from academics, practitioners, and policy makers. The current paper reviews research on what influences women's demand for- and supply of entrepreneurial finance, while suggesting a conceptual approach untangling contradictory findings in earlier studies. This is achieved through a systematic literature review of 113 carefully selected papers, published between 1989 and 2019. Specifically, the review includes 77 studies dedicated to female access to finance, 32 studies on female investment behaviour, and 4 studies addressing both. We find that inconsistent findings can be traced to a combination of wide theoretical plurality in one-half of the studies and an absence of theoretical anchoring in the other half, calling for conceptual integration of existing theories with feminist critiques. Accordingly, we propose integrative conceptual frameworks highlighting the roles of explicit and symbolic factors impacting women's access to- and investment of- financial resources. This approach led us to suggest that refocusing research on symbolic and intangible factors may help uncover new associations, otherwise obscured in earlier research. Furthermore, the inclusion of interaction terms with gender-related variables may also help untangle existing inconsistencies.</t>
  </si>
  <si>
    <t>[Serwaah, Priscilla; Shneor, Rotem] Univ Agder, Sch Business &amp; Law, Kristiansand, Norway</t>
  </si>
  <si>
    <t>Shneor, R (corresponding author), Univ Agder, Sch Business &amp; Law, Kristiansand, Norway.</t>
  </si>
  <si>
    <t>rotem.shneor@uia.no</t>
  </si>
  <si>
    <t>Shneor, Rotem/C-3544-2011</t>
  </si>
  <si>
    <t>Shneor, Rotem/0000-0001-9053-568X</t>
  </si>
  <si>
    <t>10.1080/13691066.2021.2010507</t>
  </si>
  <si>
    <t>YE0VQ</t>
  </si>
  <si>
    <t>WOS:000729734300001</t>
  </si>
  <si>
    <t>Kalaj, EH</t>
  </si>
  <si>
    <t>Sklias, P; Polychronidou, P; Karasavvoglou, A; Pistikou, V; Apostolopoulos, N</t>
  </si>
  <si>
    <t>Kalaj, Ermira H.</t>
  </si>
  <si>
    <t>Investigating Financial Challenges Facing Enterprises: Evidence from Albania</t>
  </si>
  <si>
    <t>BUSINESS DEVELOPMENT AND ECONOMIC GOVERNANCE IN SOUTHEASTERN EUROPE</t>
  </si>
  <si>
    <t>13th International Conference on the Economies of the Balkan and Eastern European Countries (EBEEC)</t>
  </si>
  <si>
    <t>MAY 14-16, 2021</t>
  </si>
  <si>
    <t>Pafos, CYPRUS</t>
  </si>
  <si>
    <t>Neapolis Univ Pafos,Int Hellen Univ, Dept Econ &amp; Accounting</t>
  </si>
  <si>
    <t>Financial access; Firm behaviour; Ordered probit</t>
  </si>
  <si>
    <t>GROWTH; CONSTRAINTS; FIRMS</t>
  </si>
  <si>
    <t>This paper focuses on the analyses of financial obstacles facing small and medium enterprises in Albania. Using data from 2019 Enterprise Surveys (ES) we try to give answers to questions related to financial patterns that characterise Albanian enterprises. The survey was a shared project of the European Bank for Reconstruction and Development (EBRD), the European Investment Bank (EIB), and the World Bank Group (WBG), the data are collected in Albania between January and May 2019. The objective of the survey is to better understand firms experience in the private sector. Collected data are based on firms' experiences and perception of the environment in which they operate. The data are stratified in three levels for Albania: industry, enterprise size, and region. The stratification according to the industry was completed as follows: Manufacturing-combining all the relevant activities, Retail, and Other Services. Moreover, 2019 Albanian ES was based on the following size stratification: small (5-19 employees), medium (20-99 employees), and large (100 or more employees). Regional stratification was done across three regions: Northern Albania comprising Diber, Durres, Kukes, Lezhe, Shkoder, Central Albania comprising Tirana and Elbasan, and Southern Albania comprising Berat, Fier, Gjirokaster, Korce, and Vlore. To analyse financial obstacles and factors affecting on them we estimate the Ordered Probit model where the dependent variable corresponds to the survey question: How much of an obstacle: access to finance?. Whilst the vector of independent variables is composed by enterprise characteristics such as firm size, ownership structure, legal status, region, etc. Moreover, dummy variables are used to capture firm's technological capability, and gender ownership. Empirical results show that financial obstacles tend to be more significant for smaller enterprises, operating not in the central area of the country, and female ownership means more challenges in the financial markets. Additionally, lack of financial challenges has a steadily constructive impact on the productivity of SME-s.</t>
  </si>
  <si>
    <t>[Kalaj, Ermira H.] Univ Shkodra Luigj Gurakuqi, Shkoder, Albania</t>
  </si>
  <si>
    <t>University of Shkoder Luigj Gurakuqi</t>
  </si>
  <si>
    <t>Kalaj, EH (corresponding author), Univ Shkodra Luigj Gurakuqi, Shkoder, Albania.</t>
  </si>
  <si>
    <t>ermira.kalaj@unishk.edu.al</t>
  </si>
  <si>
    <t>Kalaj, Ermira H/AAD-4208-2022</t>
  </si>
  <si>
    <t>Kalaj, Ermira H/0000-0003-4692-6055</t>
  </si>
  <si>
    <t>978-3-031-05351-1; 978-3-031-05350-4</t>
  </si>
  <si>
    <t>10.1007/978-3-031-05351-1_14</t>
  </si>
  <si>
    <t>BT9XG</t>
  </si>
  <si>
    <t>WOS:000865799400014</t>
  </si>
  <si>
    <t>Cornish, K; Mugova, A</t>
  </si>
  <si>
    <t>Cornish, Keith; Mugova, Alex</t>
  </si>
  <si>
    <t>Briefing: The Ugandan CrossRoads Construction Guarantee Fund: key achievements and impacts</t>
  </si>
  <si>
    <t>PROCEEDINGS OF THE INSTITUTION OF CIVIL ENGINEERS-MANAGEMENT PROCUREMENT AND LAW</t>
  </si>
  <si>
    <t>developing countries; economics &amp; finance; sustainability</t>
  </si>
  <si>
    <t>Limited access to finance can often be a significant barrier to the growth of small- and medium-sized enterprises (SMEs) in the road sector in developing countries. Financial institutions are often reluctant to lend to domestic road contractors or do so at high interest rates accompanied by onerous collateral obligations. This retards the development and growth of a competitive roads industry, which in turn reduces the overall economic growth. The Ugandan CrossRoads Construction Guarantee Fund (CGF) was established to improve access to finance (bid bonds, performance bonds and advance payment guarantees) by small- and medium-sized local road contractors. The CGF was able to build confidence and trust among the key players in the road sector in Uganda. After running for a mere 4 years, the financial market was completely transformed to a point where commercial banks now provide bonds and guarantees to contactors within 24 h of application, provided that all the required information is availed in the application. A number of key lessons have come out of the Ugandan CrossRoads CGF experience, which should help inform the design and implementation of similar interventions, particularly in developing countries. One of the most important lessons is that a relatively low-cost development intervention can lead to long-term, sustainable, positive behavioural change in the market.</t>
  </si>
  <si>
    <t>[Cornish, Keith] UN Inst Econ Dev &amp; Planning, Dakar, Senegal</t>
  </si>
  <si>
    <t>Cornish, K (corresponding author), UN Inst Econ Dev &amp; Planning, Dakar, Senegal.</t>
  </si>
  <si>
    <t>kgcornish@hotmail.com</t>
  </si>
  <si>
    <t>ICE PUBLISHING</t>
  </si>
  <si>
    <t>WESTMINISTER</t>
  </si>
  <si>
    <t>INST CIVIL ENGINEERS, 1 GREAT GEORGE ST, WESTMINISTER SW 1P 3AA, ENGLAND</t>
  </si>
  <si>
    <t>1751-4304</t>
  </si>
  <si>
    <t>1751-4312</t>
  </si>
  <si>
    <t>PROC INST CIV ENG-MA</t>
  </si>
  <si>
    <t>Proc. Inst. Civ. Eng.-Manag. Procure. Law</t>
  </si>
  <si>
    <t>10.1680/jmapl.20.00030</t>
  </si>
  <si>
    <t>UC1XX</t>
  </si>
  <si>
    <t>WOS:000686328400003</t>
  </si>
  <si>
    <t>Financial Resilience in China: Conceptual Framework, Risk and Protective Factors, and Empirical Evidence</t>
  </si>
  <si>
    <t>Financial resilience; Well-being; Literacy; Inclusion; Adversity; Development</t>
  </si>
  <si>
    <t>CAPABILITY; VULNERABILITY; TRANSITION; MIGRATION; CONTEXT; SCALE</t>
  </si>
  <si>
    <t>As economic downturns and social uncertainties arise domestically and globally, the capability to cope with financial emergencies and adversities, known as financial resilience, becomes increasingly crucial. It needs particular attention when those developmental risks impact individuals and families at the micro level. However, existing studies mainly explored financial resilience at a macro level, using simple indicators, and in developed countries. These prevent us from understanding and improving people's financial well-being and its predictors both theoretically and practically. This study aims to fill these research gaps in conceptualization, measurement, and context for the first time. It builds upon relevant theories on resilience, financial well-being, intersectionality, and China's context to develop and examine a financial resilience conceptual framework. The framework comprises four components: current asset, financial access, financial literacy, and social capital. It also includes four levels ranging from financially vulnerable to low, moderate, and high financially resilient. Using data from the China Family Panel Studies, this study provided an overview of family financial resilience in mainland China. One-fifth of the sampled 3710 families were financially vulnerable or low resilient. Fifteen demographic and socioeconomic determinants, except for region and sex, were significantly associated with financial resilience. The study further identified four combined scenarios featuring benchmarks, cumulative risk factors, and protective factors. These findings have implications for targeted policies and services on financial resilience enhancement, poverty alleviation, and sustainable development in countries with developmental risks. It inspires new perspectives for finance and family studies and suggests specific directions for financial well-being research.</t>
  </si>
  <si>
    <t>[Liu, Zewei; Chen, Ji-Kang] Chinese Univ Hong Kong, Dept Social Work, Hong Kong, Peoples R China</t>
  </si>
  <si>
    <t>Liu, ZW (corresponding author), Chinese Univ Hong Kong, Dept Social Work, Hong Kong, Peoples R China.</t>
  </si>
  <si>
    <t>10.1007/s10834-023-09943-7</t>
  </si>
  <si>
    <t>M1K7Q</t>
  </si>
  <si>
    <t>WOS:001129534200001</t>
  </si>
  <si>
    <t>Baklouti, N</t>
  </si>
  <si>
    <t>Baklouti, Nizar</t>
  </si>
  <si>
    <t>Credit, risk and transparency: how FinTech transforms corporate ESG performance in China</t>
  </si>
  <si>
    <t>FinTech; ESG; Credit allocation; Risk-taking; Earnings management; G20; G30; M14</t>
  </si>
  <si>
    <t>PurposeThis research investigates how FinTech influences the ESG (Environmental, Social, Governance) performance of Chinese listed firms through three mechanisms: credit allocation efficiency, corporate risk-taking capacity and earnings management transparency.Design/methodology/approachUsing panel data from 22,345 firm-year observations from Shanghai and Shenzhen A-share markets (2011-2020), we employ fixed-effects regressions, instrumental variable estimation and robustness checks, including propensity score matching (PSM). Data are sourced from CSMAR, WIND and Huazheng ESG ratings, using the Peking University Digital Inclusive Finance Index to measure FinTech.FindingsFinTech significantly enhances corporate ESG performance through improved credit availability, greater risk-taking capacity for sustainable projects, and reduced earnings management. The effect is stronger for non-state-owned SMEs and firms in less developed financial regions, where FinTech addresses traditional finance gaps.Practical implicationsDue to stronger effects in less developed regions, regulators should establish Green FinTech Sandboxes to foster innovative ESG-focused products. Companies-especially SMEs-should partner with platforms using alternative data (e.g. supply chain scores) to fund sustainability projects. Investors can leverage FinTech adoption to gauge ESG commitment and transparency.Originality/valueThis study examines how FinTech enhances ESG performance through three key mechanisms: improved credit access, enhanced risk-taking capacity and increased transparency. Using resource-based view and agency theory, we demonstrate that FinTech functions as a strategic resource that reduces information asymmetries and agency costs, particularly in emerging markets.</t>
  </si>
  <si>
    <t>[Baklouti, Nizar] Univ Sfax, Fac Econ &amp; Management Sfax, Sfax, Tunisia</t>
  </si>
  <si>
    <t>Baklouti, N (corresponding author), Univ Sfax, Fac Econ &amp; Management Sfax, Sfax, Tunisia.</t>
  </si>
  <si>
    <t>baklouti.nizar@gmail.com</t>
  </si>
  <si>
    <t>10.1108/JES-03-2025-0213</t>
  </si>
  <si>
    <t>Z2112</t>
  </si>
  <si>
    <t>WOS:001642384200001</t>
  </si>
  <si>
    <t>Martinez, MJ</t>
  </si>
  <si>
    <t>Martinez, Miranda J.</t>
  </si>
  <si>
    <t>Financial Coaching and the Nudge: Examining Local Spaces of Market Agencement</t>
  </si>
  <si>
    <t>financial capability; financial coaching; neoliberalism; behavioural social policy; community development</t>
  </si>
  <si>
    <t>BEHAVIORAL ECONOMICS; GEOGRAPHIES; PUBLICS</t>
  </si>
  <si>
    <t>Financial coaching is intensive, long-term counselling intended to foster financial capability, defined as a state of heightened self-efficacy and knowledge that facilitates the exercise of financial agency. Coaching is a behaviourist technology intended to intervene in the cognition and affect of subjects, and that relates to neoliberal imperatives to fashion disciplined market-oriented subjects. However, it can also be understood as a contested element of envisioned financial agencements used by local organisations to shield vulnerable financial consumers from financial predation. Analysis of policy documents and interviews is used to capture the meanings attached to financial coaching by local actors, and to offer a more textured, affectively complex description of the dilemmas of inclusion confronting financial consumers who experience the terrain of everyday consumer finance as predatory.</t>
  </si>
  <si>
    <t>[Martinez, Miranda J.] Ohio State Univ, Dept Comparat Studies, Columbus, OH 43210 USA</t>
  </si>
  <si>
    <t>Martinez, MJ (corresponding author), Ohio State Univ, Dept Comparat Studies, Columbus, OH 43210 USA.</t>
  </si>
  <si>
    <t>martinez.475@osu.edu</t>
  </si>
  <si>
    <t>Martinez, Miranda/KLZ-1124-2024</t>
  </si>
  <si>
    <t>10.1111/anti.12571</t>
  </si>
  <si>
    <t>JC1XR</t>
  </si>
  <si>
    <t>WOS:000486834900001</t>
  </si>
  <si>
    <t>Arslan, A; Buchanan, BG; Kamara, S; Al Nabulsi, N</t>
  </si>
  <si>
    <t>Arslan, Ahmad; Buchanan, Bonnie G.; Kamara, Samppa; Al Nabulsi, Nasib</t>
  </si>
  <si>
    <t>Fintech, base of the pyramid entrepreneurs and social value creation</t>
  </si>
  <si>
    <t>Base of pyramid (BOP); Fintech; Sierra Leone; Social value; Entrepreneurship; G29; L31; M13; M16; O32; O33; O35</t>
  </si>
  <si>
    <t>BANKING ADOPTION; MOBILE MONEY; INNOVATION; SERVICES; TRANSFORMATION; ECOSYSTEM; PAYMENTS; INDUSTRY; AFRICA; BOTTOM</t>
  </si>
  <si>
    <t>Purpose Fintech is having a profound impact in Sub-Saharan Africa (SSA) because it offers more financial inclusion. In this paper, the authors examine the interrelationship of Fintech, base of the pyramid (BOP) entrepreneurs and social value creation, particularly in the SSA context. Design/methodology/approach The current paper uses a qualitative research design with open-ended, in-depth interviews as the main data sources. The authors interviewed respondents from the Sierra Leone Fintech Association and four BOP entrepreneurs operating in different sectors. Findings The authors find that Fintech services, specifically mobile money, play a significant role in reducing uncertainty surrounding business operations. FinTech also offers growth possibilities for BOP entrepreneurs and creates social value by providing transactional security, convenience and reducing physical cash robberies. At the same time, Fintech contributes to social value by enhancing BOP entrepreneurs as well as consumers' skills development. Research limitations/implications This study highlights the importance of context-specific theorization when analyzing the interlinkage between BOP entrepreneurship, social value creation and Fintech. For example, the possibility of safety from a street robbery may not appear to be part of social value creation by a technological development like Fintech. However, in a country like Sierra Leone, which has experienced both a civil war and Ebola outbreak, insecurity has been one of the biggest concerns expressed by BOP inhabitants. Hence, scholars need to incorporate contextual elements of risk, uncertainty and volatility while theorizing on Fintech's application in BOP contexts. Practical implications A key managerial implication relates to micro-firm entrepreneurs and information specific benefits. Fintech offers entrepreneurs the possibility to be in regular contact with customers and evaluate their purchasing patterns as well as emergent needs. Fintech offers BOP entrepreneurs a possibility to further develop their technological skills as learning to use such apps can be used as a basis for further skills development. From a policy perspective, our study highlights the importance of regulating Fintech charges so that the affordability is increased, which is expected to result in significantly more BOP entrepreneurs using these services. Social implications The authors find that at the same time, Fintech contributes to social value by enhancing skills development of BOP consumers who interact with case firms. Originality/value This paper is one of the first studies that specifically focuses on BOP entrepreneurship and social value creation by Fintech services in an SSA context. It is also one of the few studies that incorporates views from both entrepreneurs and the country's Fintech association, rather than focusing solely on either entrepreneurs or Fintech firms. Finally, there is a specific focus on BOP entrepreneurs engaging in micro-entrepreneurship.</t>
  </si>
  <si>
    <t>[Arslan, Ahmad] Oulun Yliopisto, Dept Mkt Management &amp; IB, Oulu, Finland; [Buchanan, Bonnie G.] Univ Surrey, Surrey Business Sch, Dept Finance &amp; Accounting, Guildford, Surrey, England; [Kamara, Samppa] Univ Oulu, Fac Econ &amp; Business Adm, Dept Int Business &amp; Mkt, Oulu, Finland; [Al Nabulsi, Nasib] Hanken Sch Econ, Vaasa Campus, Vaasa, Finland</t>
  </si>
  <si>
    <t>University of Surrey; University of Oulu; Hanken School of Economics</t>
  </si>
  <si>
    <t>Buchanan, BG (corresponding author), Univ Surrey, Surrey Business Sch, Dept Finance &amp; Accounting, Guildford, Surrey, England.</t>
  </si>
  <si>
    <t>b.buchanan@surrey.ac.uk</t>
  </si>
  <si>
    <t>Arslan, Ahmad/Y-9384-2019; Kamara, Samppa/AAS-6547-2021</t>
  </si>
  <si>
    <t>Kamara, Samppa/0000-0002-6696-0544</t>
  </si>
  <si>
    <t>10.1108/JSBED-10-2020-0370</t>
  </si>
  <si>
    <t>1J2VC</t>
  </si>
  <si>
    <t>WOS:000708450200001</t>
  </si>
  <si>
    <t>Osei-Gyebi, S</t>
  </si>
  <si>
    <t>Osei-Gyebi, Samuel</t>
  </si>
  <si>
    <t>Credit Access and Poverty in Ghana: Does the Source of Credit Matter?</t>
  </si>
  <si>
    <t>Credit access; endogeneity; Ghana; instrumental variables; poverty</t>
  </si>
  <si>
    <t>ACCESSIBILITY; IMPACT</t>
  </si>
  <si>
    <t>Poverty remains a concern for policymakers across the globe because a considerable number of individuals are still poor and unable to make a decent living for themselves. Among the efforts to combat poverty is to enhance the income of individuals by improving access to credit. Extant studies have investigated the nexus of poverty and credit access, but the majority of them tend to focus on microcredit without considering the broader theme of credit. Moreover, most of the studies ignored the potential endogeneity inherent in credit access. Again, studies that focused on Ghana are concentrated on some specific areas, districts, or municipalities of the country which does not reflect the country-wide effect of credit access on poverty. To bridge these study gaps, we analyzed the impact of accessing credit on poverty using more representative data within an instrumental variable (IV) framework that is robust to endogeneity. Besides, we extend the discussion by showing how the poverty impact of accessing credit from formal sources differs from informal ones. Using data from the 2016/2017 round of the Ghana Living Standards Survey (GLSS), we found that accessing credit generally deepens the poverty status of Ghanaians. However, the specific impacts of credit sources indicate that accessing credit from formal sources is more effective in reducing the propensity to be poor in Ghana. Additional findings show that age, income, and location of the individual have significant impacts on their ability to access credit to better their lives. It follows that efforts by the government to improve financial inclusion to roll in more people will increase credit access from formal financial institutions and help reduce poverty in Ghana.</t>
  </si>
  <si>
    <t>[Osei-Gyebi, Samuel] Univ Ibadan, Dept Econ, Ibadan, Oyo, Nigeria</t>
  </si>
  <si>
    <t>University of Ibadan</t>
  </si>
  <si>
    <t>kwakuoseigyebi@gmail.com</t>
  </si>
  <si>
    <t>10.1080/10875549.2024.2393113</t>
  </si>
  <si>
    <t>D3K8V</t>
  </si>
  <si>
    <t>WOS:001295217400001</t>
  </si>
  <si>
    <t>Kacou, KYT; Kassouri, Y; Alola, AA; Altuntas, M</t>
  </si>
  <si>
    <t>Kacou, Kacou Yves Thierry; Kassouri, Yacouba; Alola, Andrew Adewale; Altuntas, Mehmet</t>
  </si>
  <si>
    <t>Examining the sustainable development approach of migrants' remittances and financial development in sub-Saharan African countries</t>
  </si>
  <si>
    <t>financial access; financial depth; financial efficiency; remittances; sub-Saharan Africa; sustainable development</t>
  </si>
  <si>
    <t>PANEL-DATA</t>
  </si>
  <si>
    <t>In achieving a desirable sustainable economic growth in developing countries, the role of financial development and international migrant remittances cannot be underplayed. This study attempts to investigate the dynamic interactions between the migrant remittances and the financial sector development from a multidimensional perspective in 22 sub-Sahara African countries using a panel vector autoregression model over the period 2004-2017. Specifically, the study focuses on the multidimensions of financial development including financial depth, financial access, and financial efficiency in financial institutions (FI) and their relationship with the remittances. The findings suggest that: First, the migrant's remittances are detrimental for the overall FI while the FI are found to positively influence the remittances inflows. Second, the relationship between the remittances and the FI varies with the dimensions of FI. There is a positive dynamic interaction between the remittances, the financial efficiency, and financial access, except for the financial depth. The analysis in this investigation offers relevant policy directives especially on the role of remittances in building stable FI of the sub-Saharan African economies and other developing states.</t>
  </si>
  <si>
    <t>[Kacou, Kacou Yves Thierry] Univ Ulsan, Dept Econ, Ulsan, South Korea; [Kassouri, Yacouba; Altuntas, Mehmet] Nisantasi Univ, Dept Econ, Istanbul, Turkey; [Kassouri, Yacouba] German Ctr Integrat Biodivers Res iDiv, Halle, Germany; [Alola, Andrew Adewale] Univ Vaasa, Sch Accounting &amp; Finance, Dept Econ, Vaasa 65200, Finland; [Alola, Andrew Adewale] Istanbul Gelisim Univ, Dept Econ &amp; Finance, Istanbul, Turkey; [Alola, Andrew Adewale] South Ural State Univ, Dept Econ &amp; Finance, Chelyabinsk, Russia</t>
  </si>
  <si>
    <t>University of Ulsan; Istanbul Nisantasi University; German Research Foundation (DFG); German Centre for Integrative Biodiversity Research (iDiv); University of Vaasa; Istanbul Gelisim University; South Ural State University</t>
  </si>
  <si>
    <t>Alola, AA (corresponding author), Univ Vaasa, Sch Accounting &amp; Finance, Dept Econ, Vaasa 65200, Finland.</t>
  </si>
  <si>
    <t>aadewale@gelisim.edu.tr</t>
  </si>
  <si>
    <t>Altuntas, Mehmet/AFS-0272-2022; KASSOURI, YACOUBA/AAH-4827-2020; alola, anew/M-8665-2019</t>
  </si>
  <si>
    <t>KASSOURI, YACOUBA/0000-0002-5423-8263; alola, anew/0000-0001-5355-3707</t>
  </si>
  <si>
    <t>10.1002/sd.2273</t>
  </si>
  <si>
    <t>5E2AP</t>
  </si>
  <si>
    <t>WOS:000725330600001</t>
  </si>
  <si>
    <t>McHugh, S; Ranyard, R; Lewis, A</t>
  </si>
  <si>
    <t>McHugh, Sandie; Ranyard, Rob; Lewis, Alan</t>
  </si>
  <si>
    <t>Understanding and knowledge of credit cost and duration: Effects on credit judgements and decisions</t>
  </si>
  <si>
    <t>Consumer credit; Decision making; Annual percentage rate; Total cost; Mental accounting; Decision heuristics</t>
  </si>
  <si>
    <t>Financial capability requires understanding measures of consumer credit cost and using them appropriately in credit judgements and decisions. In three studies, UK adults' under-standing and use of credit cost and duration information were investigated from a bounded rationality perspective. Study 1, part of a representative survey of UK adults (N = 1000), found that when presented with annual percentage rate (APR) participants significantly overestimated the total cost (TC) of a 12-month loan. In Study 2, loan duration and APR were varied in an independent groups experiment (N = 242). Bank customers' TC estimates were sensitive to both loan duration and APR but TC was again substantially overestimated. Study 3 was an independent groups experiment investigating the effect of APR and TC information on credit decisions (N = 241). APR often influenced decisions between loans varying in duration and monthly repayment, but this effect was moderated by TC information. It was concluded that: (1) people generally misunderstand the relation between APR and TC: and (2) although APR information can have a large effect on credit decisions, its effect is either attenuated or amplified by TC information. The findings are interpreted in terms of a 'take the best APR' heuristic and a dual mental account model of instalment credit. Recommendations for improving credit information provision and financial education are offered. (C) 2011 Elsevier B.V. All rights reserved.</t>
  </si>
  <si>
    <t>[McHugh, Sandie; Ranyard, Rob] Univ Bolton, Sch Hlth &amp; Social Sci, Bolton BL3 5AB, England; [Lewis, Alan] Univ Bath, Dept Psychol, Bath BA2 7AY, Avon, England</t>
  </si>
  <si>
    <t>University of Greater Manchester; University of Bath</t>
  </si>
  <si>
    <t>Ranyard, R (corresponding author), Univ Bolton, Sch Hlth &amp; Social Sci, Deane Rd, Bolton BL3 5AB, England.</t>
  </si>
  <si>
    <t>r.ranyard@bolton.ac.uk</t>
  </si>
  <si>
    <t>10.1016/j.joep.2011.02.005</t>
  </si>
  <si>
    <t>815LA</t>
  </si>
  <si>
    <t>WOS:000294525900007</t>
  </si>
  <si>
    <t>Iqbal, S; Ullah, S; Rizwan, A; Nazeer, N; Rasheed, M; Siddiqi, AFI</t>
  </si>
  <si>
    <t>Iqbal, Salman; Ullah, Sami; Rizwan, Amina; Nazeer, Naima; Rasheed, Mamoona; Siddiqi, Ahmed Faisal Imtiaz</t>
  </si>
  <si>
    <t>The impact of organizational culture on knowledge sharing and absorptive capacity: a study of the microfinance institutions in Pakistan</t>
  </si>
  <si>
    <t>Organizational capability; Organizational culture; Knowledge management; Employee relations; Human capital</t>
  </si>
  <si>
    <t>COMMUNITIES; INNOVATION; QUALITY; SYSTEMS; FIRMS; VIEW; SEM</t>
  </si>
  <si>
    <t>PurposeMicrofinance institutions (MFI) must adapt to rapidly changing market conditions, including stringent regulations and diverse customer demands, necessitating a high absorptive capacity. This research elucidates how organizational culture promotes knowledge sharing, thereby enhancing an organization's ability to absorb and utilize new knowledge, with particular attention to the moderating role of MFI size.Design/methodology/approachData were collected from 450 randomly selected employees of MFIs in Pakistan. Hypotheses were tested using structural equation modeling in WarpPLS 8.0.FindingsThe findings show that knowledge sharing mediates the relationship between organizational culture and absorptive capacity. The impact is more pronounced in larger MFIs, while smaller MFIs exhibit greater agility in adapting to new knowledge.Practical implicationsMFIs, particularly in dynamic markets like Pakistan, should enhance their absorptive capacity by fostering an organizational culture that promotes knowledge sharing. While larger MFIs benefit from structured knowledge-sharing practices, they should address potential bureaucratic impediments to maintain agility.Social implicationsBy improving absorptive capacity, MFIs can better innovate and tailor their services to underserved communities, contributing to financial inclusion and poverty alleviation in Pakistan. This research provides insights for policymakers and practitioners on fostering sustainable development through strategic organizational practices in MFIs.Originality/valueThe findings offer a practical framework linking theoretical concepts from the resource-based and knowledge-based views to real-world applications, particularly in developing economies. It emphasizes the crucial role of organizational culture in enabling MFIs to adapt and thrive in challenging environments.</t>
  </si>
  <si>
    <t>[Iqbal, Salman; Ullah, Sami; Rizwan, Amina; Nazeer, Naima; Rasheed, Mamoona; Siddiqi, Ahmed Faisal Imtiaz] Univ Cent Punjab, Fac Management Sci, Lahore, Pakistan</t>
  </si>
  <si>
    <t>Ullah, S (corresponding author), Univ Cent Punjab, Fac Management Sci, Lahore, Pakistan.</t>
  </si>
  <si>
    <t>salman.iqbal@ucp.edu.pk; dr.samiullah@ucp.edu.pk; amina.rizwan@ucp.edu.pk; honeyofbusiness2010@gmail.com; monarasheed19@gmail.com; dr.ahmedsiddiqi@ucp.edu.pk</t>
  </si>
  <si>
    <t>Siddiqi, Ahmed/GQQ-6152-2022; Ullah, Sami/GPX-0689-2022; Rasheed, Mamoona/B-9259-2018; rizwan, amina/HTS-0670-2023</t>
  </si>
  <si>
    <t>Siddiqi, Ahmed/0000-0001-8546-1209; Ullah, Sami/0000-0002-1898-8374; iqbal, salman/0000-0001-6595-9288;</t>
  </si>
  <si>
    <t>10.1108/SAJBS-01-2024-0038</t>
  </si>
  <si>
    <t>U0J3V</t>
  </si>
  <si>
    <t>WOS:001319639400001</t>
  </si>
  <si>
    <t>Roger, C; El Omari, H</t>
  </si>
  <si>
    <t>ElHibaoui, A; Essaaidi, M; Zaz, Y</t>
  </si>
  <si>
    <t>Roger, Christen; El Omari, Hamid</t>
  </si>
  <si>
    <t>Solar-E-Cycles, Empowering People Project 2014-2019</t>
  </si>
  <si>
    <t>PROCEEDINGS OF 2019 7TH INTERNATIONAL RENEWABLE AND SUSTAINABLE ENERGY CONFERENCE (IRSEC)</t>
  </si>
  <si>
    <t>International Renewable and Sustainable Energy Conference IRSEC</t>
  </si>
  <si>
    <t>7th International Renewable and Sustainable Energy Conference (IRSEC)</t>
  </si>
  <si>
    <t>NOV 27-30, 2019</t>
  </si>
  <si>
    <t>Agadir, MOROCCO</t>
  </si>
  <si>
    <t>Minist Energy Mines &amp;Environm,Minist Ind Commerce &amp; Green &amp; Digital Econ,Mediterranean Space Technol &amp; Innovat,Inst Elect &amp; Elect Engineers,Int Solar Energy Soc</t>
  </si>
  <si>
    <t>component; e-mobility; electric vehicles; Pay-as-you-go; Paygo; on-board systems; MPPT; GPS; GSM; Mobile money; Vehicle-in-a-box; Renewable Energy; Off-grid; Rural Development; Solar Power; PV; Batteries; E-bike; LEV; Green House Gaz; Power Generation; Economic Development; Access To Finance; Health; Water Borne Disease; Hygiene</t>
  </si>
  <si>
    <t>Globally, access to reliable and clean transportation vehicles is a growing concern. Using off-the-shelf components, researchers in Morocco and Kenya have developed a solar-powered tricycle called the Solar-E-Cycle. The tricycle has the potential to support the demand for mobility and electric power of the growing African population. A fully solar powered vehicle/generator for commuting and light cargo transportation as a source of electricity in the home is technically feasible and would respond to real user needs, impact the lives of many of people living in off-grid communities in Africa. Incorporating renewable energy powered transportation methods could be a significant contribution to avoiding CO2 emissions in the future. The prototypes for this product have proven that a solar vehicle could easily be a practical transportation device with a daily range of 50 km per day and cost about 1000$ with an 18 month payback in a paygo business model However, a test drive across 600 km identified valuable avenues for improvements, such as improved component selection and durable frame design that are needed for this product to be usable on a commercialized scale. Vehicles such as the one discussed in this paper could provide additional benefits such as power generation and provide infrastructure support for health, education, water and communication. In addition, a concept of a large-scale viable business, distribution and rapid deployment model is taking shape using proven pay-as-you-go approach that has generated 8 million customers within 5 years in the similar Solar Home System market in East Africa, expected to reach $12bn by 2030. The Solar E-Cycle is an innovation with the caliber of an iPhone, UBER or AirBnB. Surprisingly, it has not yet attracted Venture capitalists.</t>
  </si>
  <si>
    <t>[Roger, Christen; El Omari, Hamid] Univ Hassan Ist, FST Settat, Lab Energies Renouvelables, Settat, Morocco</t>
  </si>
  <si>
    <t>Roger, C (corresponding author), Univ Hassan Ist, FST Settat, Lab Energies Renouvelables, Settat, Morocco.</t>
  </si>
  <si>
    <t>solarelectriccycles@gmail.com; elomari.hamid@gmail.com</t>
  </si>
  <si>
    <t>2380-7385</t>
  </si>
  <si>
    <t>2380-7393</t>
  </si>
  <si>
    <t>978-1-7281-5152-6</t>
  </si>
  <si>
    <t>INT RENEW SUST ENERG</t>
  </si>
  <si>
    <t>Green &amp; Sustainable Science &amp; Technology; Energy &amp; Fuels; Engineering, Electrical &amp; Electronic</t>
  </si>
  <si>
    <t>Science &amp; Technology - Other Topics; Energy &amp; Fuels; Engineering</t>
  </si>
  <si>
    <t>BP7EC</t>
  </si>
  <si>
    <t>WOS:000561704100105</t>
  </si>
  <si>
    <t>Fregolente, MV; Carvalho, MM</t>
  </si>
  <si>
    <t>Voros Fregolente, Mariana; Carvalho, Marly M.</t>
  </si>
  <si>
    <t>Exploring BoP Generations through Business Model Innovation Lens: A Review and Framing</t>
  </si>
  <si>
    <t>base of pyramid; bottom of pyramid; BoP; business model</t>
  </si>
  <si>
    <t>SUPPLY CHAIN MANAGEMENT; SUSTAINABLE DEVELOPMENT; VALUE CREATION; SOCIAL ENTREPRENEURSHIP; FINANCIAL INCLUSION; POVERTY-ALLEVIATION; EMPIRICAL-ANALYSIS; FRUGAL INNOVATION; PYRAMID MARKETS; MOBILE MONEY</t>
  </si>
  <si>
    <t>The evolution of base/bottom of the pyramid (BoP) literature from BoP 1.0 to 3.0 prompted the need for fresh theoretical perspectives to address complex and persistent social issues. This article investigates BoP through the lens of business model innovation, using a literature review along with bibliometric, network, and content analyses, to map the intellectual and conceptual structure and understand the key variables relating to BoP business models. The research encompasses 161 articles extracted from the Web of Science and Scopus databases. Documents were screened manually and with the assistance of VOS Viewer 1.6.18, Biblioshiny 4.0, IBM SPSS 20, UCINET6, and NVivo12, using abductive and deductive coding techniques. The findings reveal a prevailing focus on the exploratory phase among the articles, with a predominant utilization of qualitative research methods, particularly centered on case studies. Interviews and public data sources constitute the primary sources for supporting empirical evidence. Notably, the majority of these cases pertain to emerging economies situated across Asia, Africa, and Latin America, with India emerging as the most frequently cited country in the literature. Sectors, such as energy, healthcare, agrifood, finance, and telecommunications are studied, emphasizing themes of innovation, entrepreneurship, and corporate social responsibility (CSR). Emerging themes include social entrepreneurship, frugal innovation, and inclusive business models. The research panorama encompasses a categorization of BoP enterprises based on their origin (top-down or bottom-up), their typology (commercial, assistance, or collaboration), and their interactions with BoP communities (either as customers or entrepreneurs). From an innovation standpoint, certain concepts emerged, notably frugal innovation and bricolage, accompanied by the incorporation of ecosystem theory and sustainability perspectives. The research also outlines a BoP business model framework, providing insights into key components favored by entrepreneurs in this realm.</t>
  </si>
  <si>
    <t>[Voros Fregolente, Mariana; Carvalho, Marly M.] Univ Sao Paulo, Prod Engn Polytech Sch, Ave Prof Luciano Gualberto 1380, BR-05508010 Sao Paulo, SP, Brazil</t>
  </si>
  <si>
    <t>Universidade de Sao Paulo</t>
  </si>
  <si>
    <t>Fregolente, MV (corresponding author), Univ Sao Paulo, Prod Engn Polytech Sch, Ave Prof Luciano Gualberto 1380, BR-05508010 Sao Paulo, SP, Brazil.</t>
  </si>
  <si>
    <t>mariana.fregolente@usp.br; marlymc@usp.br</t>
  </si>
  <si>
    <t>Voros Fregolente, Mariana/IQT-4746-2023; Monteiro de Carvalho, Marly/D-8297-2012</t>
  </si>
  <si>
    <t>Voros Fregolente, Mariana/0000-0003-3313-8068; Monteiro de Carvalho, Marly/0000-0003-0119-5316</t>
  </si>
  <si>
    <t>FAPESP, Thematic Project [2020/16011-5]</t>
  </si>
  <si>
    <t>FAPESP, Thematic Project(Fundacao de Amparo a Pesquisa do Estado de Sao Paulo (FAPESP))</t>
  </si>
  <si>
    <t>Acknowledgments to FAPESP, Thematic Project No. 2020/16011-5.</t>
  </si>
  <si>
    <t>10.3390/su151712817</t>
  </si>
  <si>
    <t>FH3G8</t>
  </si>
  <si>
    <t>WOS:001144826600001</t>
  </si>
  <si>
    <t>Rosengren, LM; Kaseva, J; Sell, M; Raymond, CM</t>
  </si>
  <si>
    <t>Rosengren, Linda M.; Kaseva, Janne; Sell, Mila; Raymond, Christopher M.</t>
  </si>
  <si>
    <t>Assessing leverage points for strengthening adaptive capacity in a Global South food system: A psychometric approach</t>
  </si>
  <si>
    <t>CLIMATE RISK MANAGEMENT</t>
  </si>
  <si>
    <t>Adaptive capacity; Determinants; Leverage points; Structural equation modelling; Climate change adaptation; Kenya</t>
  </si>
  <si>
    <t>CLIMATE-CHANGE; DECISION-MAKING; GENDER EQUALITY; ADAPTATION; FARMERS; VULNERABILITY; DETERMINANTS; EMPOWERMENT; PERSPECTIVE; RESILIENCE</t>
  </si>
  <si>
    <t>Despite the burgeoning literature on adaptive capacity, there is a lack of psychometric approaches for assessing the determinants of adaptive capacity, particularly in food systems in the Global South. The study addressed this knowledge gap by investigating four determinants, previously identified as leverage points, for strengthening adaptive capacity: access to finance, access to and use of information and knowledge, social learning, and gender equality. Drawing on a survey (n = 1,271) of food system actors in Kisumu County, Kenya, we conducted a confirmatory factor analysis, which yielded factors of moderate-high internal validity and reliability. We then used structural equation modelling to examine the causal effect of food system actors' attitudes and beliefs towards the four leverage points with regards to their perceived adaptive capacity. Two factors, access to finance and social learning, were significant positive predictors of adaptive capacity. A third leverage point factor, gender equality, contributed to the respondents' perceived adaptive capacity through the mediating factor of assets. The results reveal entry points for strategic adaptation planning and raise complexities related to gender norms and values. We discuss the implications of these findings for adaptive capacity and transformative adaptation theory in food systems in the Global South.</t>
  </si>
  <si>
    <t>[Rosengren, Linda M.; Kaseva, Janne; Sell, Mila] Nat Resources Inst Finland Luke, Latokartanonkaari 9, Helsinki 00790, Finland; [Rosengren, Linda M.] Univ Helsinki, Fac Agr &amp; Forestry, Dept Agr Sci, Latokartanonkaari 5,POB 27, Helsinki 00014, Finland; [Raymond, Christopher M.] Univ Helsinki, Helsinki Inst Sustainabil Sci HELSUS, Yliopistonkatu 3, Helsinki 00014, Finland; [Raymond, Christopher M.] Univ Helsinki, Fac Biol &amp; Environm Sci, Ecosyst &amp; Environm Res Programme, Viikinkaari 1, Helsinki 00014, Finland; [Raymond, Christopher M.] Univ Helsinki, Fac Agr &amp; Forestry, Dept Econ &amp; Management, Latokartanonkaari 7, Helsinki 00014, Finland</t>
  </si>
  <si>
    <t>Natural Resources Institute Finland (Luke); University of Helsinki; University of Helsinki; University of Helsinki; University of Helsinki</t>
  </si>
  <si>
    <t>Rosengren, LM (corresponding author), Nat Resources Inst Finland Luke, Latokartanonkaari 9, Helsinki 00790, Finland.;Rosengren, LM (corresponding author), Univ Helsinki, Fac Agr &amp; Forestry, Dept Agr Sci, Latokartanonkaari 5,POB 27, Helsinki 00014, Finland.</t>
  </si>
  <si>
    <t>linda.rosengren@luke.fi</t>
  </si>
  <si>
    <t>Raymond, Christopher/ABP-6324-2022; Kaseva, Janne/GLT-5462-2022</t>
  </si>
  <si>
    <t>Raymond, Christopher/0000-0002-7165-885X; Kaseva, Janne/0000-0002-8167-5434; Rosengren, Linda/0000-0002-8365-8726</t>
  </si>
  <si>
    <t>European Union through the Horizon project Improving nutrition in Africa [862740]</t>
  </si>
  <si>
    <t>European Union through the Horizon project Improving nutrition in Africa</t>
  </si>
  <si>
    <t>The work was funded by the European Union through the Horizon project Improving nutrition in Africa by strengthening the diversity, sustainability, resilience and connectivity of food systems. Grant agreement number 862740.</t>
  </si>
  <si>
    <t>2212-0963</t>
  </si>
  <si>
    <t>CLIM RISK MANAG</t>
  </si>
  <si>
    <t>CLIM. RISK MANAG.</t>
  </si>
  <si>
    <t>10.1016/j.crm.2024.100592</t>
  </si>
  <si>
    <t>Environmental Sciences; Environmental Studies; Meteorology &amp; Atmospheric Sciences</t>
  </si>
  <si>
    <t>OJ3A2</t>
  </si>
  <si>
    <t>WOS:001206851600001</t>
  </si>
  <si>
    <t>Das, AR; Chakraborty, A; Goyal, N; Roy, P</t>
  </si>
  <si>
    <t>Das, Abhijit Ranjan; Chakraborty, Abhijit; Goyal, Nisha; Roy, Priyanka</t>
  </si>
  <si>
    <t>Financial Technology in Transition: Trends, Development, and Ways Forward</t>
  </si>
  <si>
    <t>Bibliometric Analysis; FinTech; SPAR-4-SLR; Sustainability; Sustainable Development Goals; Systematic Literature Review</t>
  </si>
  <si>
    <t>SUPPLY CHAIN FINANCE; ARTIFICIAL-INTELLIGENCE; FINTECH ECOSYSTEM; INVESTMENT; CHINA; ENTREPRENEURSHIP; BLOCKCHAIN; EFFICIENCY; IMPROVE</t>
  </si>
  <si>
    <t>FinTech has emerged as a transformative force, reshaping the financial landscape. Given the dearth of comprehensive summaries of FinTech research, this systematic literature review (SLR) is complemented by a bibliometric review that presents quantitative and qualitative insights into the existing knowledge in this domain. In this literature review, the study applied the Scientific Procedures and Rationales for Systematic Literature Review (SPAR-4-SLR) methodology. After using the inclusion and exclusion criteria, the study considered 1016 published articles from the Scopus database from 2000 to 2024. To identify the most influential research articles in FinTech, the study used citation network, co-citation network, and trend analysis. Applying bibliometric analysis, the study identified the most prolific journals, authors, countries, and themes in FinTech research. Additionally, content analysis was conducted on 187 highly cited articles and eight distinct clusters were identfied. In the content analysis, emerging themes were identified, including FinTech and its relation to achieving the United Nations Sustainable Development Goals (SDGs), financial inclusion, and sustainability. The study provides valuable insights for academics, policymakers, and regulators to gain a thorough understanding of the FinTech landscape and identify areas for further investigation.</t>
  </si>
  <si>
    <t>[Das, Abhijit Ranjan; Chakraborty, Abhijit; Goyal, Nisha; Roy, Priyanka] Dayananda Sagar Univ, Sch Commerce &amp; Management Studies, Bengaluru, India</t>
  </si>
  <si>
    <t>Das, AR (corresponding author), Dayananda Sagar Univ, Sch Commerce &amp; Management Studies, Bengaluru, India.</t>
  </si>
  <si>
    <t>abhijit.das@dsu.edu.in</t>
  </si>
  <si>
    <t>Das, Abhijit/NRX-8287-2025; Goyal, Nisha/GSF-4681-2022</t>
  </si>
  <si>
    <t>2025 OCT 27</t>
  </si>
  <si>
    <t>10.1111/joes.70029</t>
  </si>
  <si>
    <t>9CG7F</t>
  </si>
  <si>
    <t>WOS:001602914900001</t>
  </si>
  <si>
    <t>Turner, G</t>
  </si>
  <si>
    <t>Turner, Ginger</t>
  </si>
  <si>
    <t>Financial geography and access as determinants of exports</t>
  </si>
  <si>
    <t>CAMBRIDGE JOURNAL OF REGIONS ECONOMY AND SOCIETY</t>
  </si>
  <si>
    <t>financial access; spatial finance; financial constraints; banking; export selection</t>
  </si>
  <si>
    <t>INTERNATIONAL-TRADE; CAPITAL-MARKETS; FIRMS</t>
  </si>
  <si>
    <t>Although the link between financial development and trade is well documented, the international trade literature has typically defined a country's 'financial development' in macroeconomic terms, rather than considering within-country channels. This paper shows that the impact of finance on exports depends not only on the extent to which the sector relies on external finance but also on the financial channels available. With a data set of 27 sectors from over 120 countries, I find that financial access and efficiency variables-particularly the geographic penetration of bank branches and the business loan application processes-significantly impact exports. Results also suggest remittances may not substitute for formal financial sector development.</t>
  </si>
  <si>
    <t>Univ Oxford St Johns Coll, Dept Econ, Oxford OX1 3JP, England</t>
  </si>
  <si>
    <t>Turner, G (corresponding author), Univ Oxford St Johns Coll, Dept Econ, Oxford OX1 3JP, England.</t>
  </si>
  <si>
    <t>ginger.turner@gmail.com</t>
  </si>
  <si>
    <t>1752-1378</t>
  </si>
  <si>
    <t>CAMB J REG ECON SOC</t>
  </si>
  <si>
    <t>Camb. J. Regions Econ. Soc.</t>
  </si>
  <si>
    <t>10.1093/cjres/rsr007</t>
  </si>
  <si>
    <t>Development Studies; Economics; Geography</t>
  </si>
  <si>
    <t>Development Studies; Business &amp; Economics; Geography</t>
  </si>
  <si>
    <t>806XY</t>
  </si>
  <si>
    <t>WOS:000293852300009</t>
  </si>
  <si>
    <t>Raju, R; Madhuri, G</t>
  </si>
  <si>
    <t>Raju, Roshan; Madhuri, Gita</t>
  </si>
  <si>
    <t>Vodafone and Idea Merger: A Shareholder's Dilemma</t>
  </si>
  <si>
    <t>Shareholder; financial performance; ratio analysis; Vodafone and Idea merger</t>
  </si>
  <si>
    <t>In the month of May 2019, Ms Priya Vaidehi who works as a chartered accountant in a small firm in the city of Pune was pondering about her personal investment. While surfing on social media on the sunny hot afternoon of 2 May 2019, she came across the news of the biggest merger deal in the Indian telecom sector. The news was about how Britain's Vodafone Group merged its Indian subsidiary with Idea Cellular, to create the country's largest telecom firm. They mentioned how the combined entity will accelerate the pan-India expansion of wireless broadband services and also expand financial inclusion through mobile money services. Since the merger, the network has an outreach of 92 per cent of population of India. Ms Vaidehi planning for her future investments narrowed down her investment search to do a deeper analysis of the merger of two telecom giants Vodafone and Idea. The Indian telecommunication market has a subscriber base of 1.20 billion and is rapidly growing. The country's wireless subscriptions has witnessed compound annual growth rate (CAGR) of 19.62 per cent to reach 1,183.41 million in the year 2018. Over the past few years, from the announcement of merger to the declaration of completion of merger, she has noticed that there has been volatility in the share price of Idea Cellular. Though the subscriber base of Vodafone, Idea's is around 400 million, and sales had gone up 53.5 per cent in the third quarter of FY 2018-2019, but the share price had been plunging to an average fall of 14 per cent. She was in deep thought whether she should invest in buying the shares of Vodafone Idea? Will her instinct help her or the knowledge of financial markets aid in taking the right decision?</t>
  </si>
  <si>
    <t>[Raju, Roshan; Madhuri, Gita] Kirloskar Inst Adv Management Studies, 56-357 Near Tata Foundry Maval, Pune 410506, Maharashtra, India</t>
  </si>
  <si>
    <t>Raju, R (corresponding author), Kirloskar Inst Adv Management Studies, 56-357 Near Tata Foundry Maval, Pune 410506, Maharashtra, India.</t>
  </si>
  <si>
    <t>roshenraju@ymail.com</t>
  </si>
  <si>
    <t>Raju, Roshan/AAU-6561-2021</t>
  </si>
  <si>
    <t>Raju, Roshan/0000-0002-2636-6196</t>
  </si>
  <si>
    <t>10.1177/0972150920934256</t>
  </si>
  <si>
    <t>IB0B2</t>
  </si>
  <si>
    <t>WOS:000563045900001</t>
  </si>
  <si>
    <t>Evans, JD; Jones, T</t>
  </si>
  <si>
    <t>Evans, Jocelyn D.; Jones, Timothy</t>
  </si>
  <si>
    <t>The Ethical Implications of Cryptocurrency ATMs: A Call for Stronger Regulation and Legislative Action</t>
  </si>
  <si>
    <t>Cryptocurrency ATM technology; Market ethics; Social contract theory</t>
  </si>
  <si>
    <t>SOCIAL-RESPONSIBILITY; FAIRNESS; MARKETS; BITCOIN</t>
  </si>
  <si>
    <t>This study examines the ethical and empirical dimensions of cryptocurrency (crypto) ATM deployment, focusing on fairness in market exchanges and obligations rooted in social contract theory. While crypto ATMs are often marketed as tools for financial inclusion, they have come under growing scrutiny for leveraging information asymmetries, opaque pricing, and predatory fee structures-practices that disproportionately affect marginalized communities. Using data from the Kansas City metropolitan area, we investigate where crypto ATM operators are most likely to place their machines and whether these placements reflect legal but ethically questionable forms of market segmentation. In this context, operator privilege refers to the ability of vendors to impose unfavorable terms and pricing structures on certain consumer groups at the point of sale. Our empirical findings challenge prevailing narratives that crypto ATMs primarily target low-income or Black neighborhoods. Instead, we find a disproportionate number of machines in Asian and Hispanic American communities where Black residents are prominent. This geographic clustering raises significant ethical concerns about procedural unfairness, as these communities often face limited financial alternatives, language Barriers, and reduced access to consumer protection. To illustrate the real-world impact, we include a reference transaction showing that the deadweight costs of a one-way crypto ATM trade can exceed 30%-far higher than previously reported. These excessive costs, combined with poor transparency and high rates of fraud, suggest that crypto ATMs may worsen financial outcomes rather than promote inclusion. The findings call for urgent regulatory reform to promote a more equitable and transparent digital financial system.</t>
  </si>
  <si>
    <t>[Evans, Jocelyn D.] Univ Missouri Kansas City, Bloch Sch Management, 5110 Cherry St, Kansas City, MO 64110 USA; [Jones, Timothy] Xavier Univ, Williams Coll Business, Sch Business, 3800 Victory Pkwy, Cincinnati, OH 45207 USA</t>
  </si>
  <si>
    <t>University of Missouri System; University of Missouri Kansas City; University System of Ohio; Xavier University</t>
  </si>
  <si>
    <t>Evans, JD (corresponding author), Univ Missouri Kansas City, Bloch Sch Management, 5110 Cherry St, Kansas City, MO 64110 USA.</t>
  </si>
  <si>
    <t>Jocelyn.evans@umkc.edu; jonest28@xavier.edu</t>
  </si>
  <si>
    <t>Evans, Jocelyn/0000-0002-9538-5841</t>
  </si>
  <si>
    <t>2025 SEP 12</t>
  </si>
  <si>
    <t>10.1007/s10551-025-06126-2</t>
  </si>
  <si>
    <t>7GB0L</t>
  </si>
  <si>
    <t>WOS:001570165000001</t>
  </si>
  <si>
    <t>Dvorák, M; Royny, P; Grebennikova, V; Faminskaya, M</t>
  </si>
  <si>
    <t>Dvorak, Marek; Royny, Patrik; Grebennikova, Veronika; Faminskaya, Marina</t>
  </si>
  <si>
    <t>Economic impacts of Covid-19 on the labor market and human capital</t>
  </si>
  <si>
    <t>TERRA ECONOMICUS</t>
  </si>
  <si>
    <t>labor market; COVID-19; human capital; economic impact; pandemic; personnel security</t>
  </si>
  <si>
    <t>FINANCIAL LITERACY; WOMEN; HOME</t>
  </si>
  <si>
    <t>This paper tackles the economic impacts of COVID-19 pandemic on the labor markets and human capital. Specifically, it looks into the issues the pandemic brought upon the human resources and personnel during coronavirus lockdowns. Our results identify that in spite of all the adverse effects of the pandemic such as the excessive burden on the healthcare system, great economic losses and disruptions on the labor market (such as the loss of human capital and widening gaps in gender inequality) due to the lockdowns in many countries intended to slow down the spread of the infection with the purpose of flattening the curve representing the numbers of the COVID-19 patients, the current situation had many positive economic effects. For instance, we find that the recent pandemic helped to increase the financial inclusion and enabled broader access to financial system. In addition, during the past few months, digitalization and the use of information technology deepened and progressed in both large and small enterprises as well as in the higher education institutions. Moreover, COVID-19 pandemic helped to develop the awareness about the climate change among many people by demonstrating how the decrease in economic activity can have a profound effect on cutting CO2 emissions. Furthermore, we find that COVID-19 pandemic contributed to optimizing work load and cutting unnecessary work in many large and small business companies and public institutions. It is likely that most of them will continue with this optimization and digitalization of work after the pandemic is over. Last but not least, we note the enhanced family life and interpersonal relations that would without any doubt contribute to the quality of human capital and the level of happiness. Our results might be useful for public officials and labor market specialists who would want to grasp the consequences of the COVID-19 pandemic and to find ways how to smoothen its impacts.</t>
  </si>
  <si>
    <t>[Dvorak, Marek] Czech Univ Life Sci Prague, Prague, Czech Republic; [Royny, Patrik] Slovak Univ Agr, Nitra, Slovakia; [Grebennikova, Veronika] Kuban State Univ, Krasnodar, Russia; [Faminskaya, Marina] Russian State Social Univ, Moscow, Russia</t>
  </si>
  <si>
    <t>Czech University of Life Sciences Prague; Slovak University of Agriculture Nitra; Kuban State University; Russian State Social University (RSSU)</t>
  </si>
  <si>
    <t>Dvorák, M (corresponding author), Czech Univ Life Sci Prague, Prague, Czech Republic.</t>
  </si>
  <si>
    <t>dvorakmarek@pef.czu.cz; patrik.rovny@uniag.sk; vmgrebennikova@mail.ru; faminskaya@mail.ru</t>
  </si>
  <si>
    <t>Grebennikova, Veronika/AAO-5272-2020; Rovný, Patrik/HSF-3432-2023; Faminskaya, Marina/M-7955-2014; Dvořák, Marek/H-4582-2018</t>
  </si>
  <si>
    <t>Grebennikova, Veronika/0000-0003-0705-7985; Rovný, Patrik/0000-0001-9515-240X; Dvořák, Marek/0000-0003-3731-2633</t>
  </si>
  <si>
    <t>Russian Foundation for Basic Research (RFBR); Krasnodar Territory of the Russian Federation [19-413-230017]</t>
  </si>
  <si>
    <t>Russian Foundation for Basic Research (RFBR)(Russian Foundation for Basic Research (RFBR)); Krasnodar Territory of the Russian Federation</t>
  </si>
  <si>
    <t>The study was funded by the Russian Foundation for Basic Research (RFBR) and the Krasnodar Territory of the Russian Federation, project No. 19-413-230017.</t>
  </si>
  <si>
    <t>SOUTHERN FEDERAL UNIV</t>
  </si>
  <si>
    <t>ROSTOV-ON-DON</t>
  </si>
  <si>
    <t>OF 211, GORGOKO ST, 88, ROSTOV-ON-DON, 344002, RUSSIA</t>
  </si>
  <si>
    <t>2073-6606</t>
  </si>
  <si>
    <t>TERRA ECON</t>
  </si>
  <si>
    <t>Terra Econ.</t>
  </si>
  <si>
    <t>10.18522/2073-6606-2020-18-4-78-96</t>
  </si>
  <si>
    <t>PM2VN</t>
  </si>
  <si>
    <t>WOS:000603663700005</t>
  </si>
  <si>
    <t>Sandhu, N; Hussain, J; Matlay, H</t>
  </si>
  <si>
    <t>Sandhu, Navjot; Hussain, Javed; Matlay, Harry</t>
  </si>
  <si>
    <t>Can entrepreneurship education and training assist women entrepreneurs to make agritourism a success story in India?</t>
  </si>
  <si>
    <t>Agritourism; Women entrepreneurs; Finance; Entrepreneurship and training; India</t>
  </si>
  <si>
    <t>FINANCIAL LITERACY; QUALITATIVE RIGOR; BARRIERS; BUSINESSES; ACCESS; IMPACT</t>
  </si>
  <si>
    <t>PurposeThe paper aims to explore the role of entrepreneurship education and training amongst women entrepreneurs to promote the agritourism sector of the Indian economy.Design/methodology/approachWe used mixed methods to examine the linkages between traditional farming, agritourism and the role of entrepreneurial education to innovate and exploit strategic opportunities. The qualitative and quantitative data were collected using the questionnaire survey and in-depth face-to-face semi-structured interviews. The research involved a matched sample of 10 registered farmers (from the Punjab Heritage Tourism Promotion Board) and 200 unregistered male and female farmers selected randomly from the Indian State of Punjab. Semi-structured interviews were transcribed and quantitative responses were analysed using descriptive statistical methods to examine the linkages between the entrepreneurial education and training (EET) and its impact on women-owned agritourist businesses.FindingsAccess to EET has a significant impact on the management, efficiency and use of farming land. EET has positively impacted agritourism and attracted the urbanised population to experience rural culture, supports women's enterprises and enhances their socio-economic positioning. Therefore, EET enables farmers, especially women, to sustain themselves through increased income, enhanced farming practices and develop innovative agritourism enterprises. Moreover, this study underscores the importance of EET for the growth and success of agriculture in general and agritourist firms amongst rural farming communities in India.Practical implicationsEET has the potential to promote agritourism to supplement women's income using innovative approaches and improve the flow of quality information to enhance access to external finance. The implications are that policymakers should provide targeted EET for male and female entrepreneurs is essential to promote agritourism in India and other developing economies.Originality/valueWhilst most farming-based studies have focused on access to finance and issues related to the agricultural sector in India, this research makes an original contribution towards female participation in the agritourism sector. The nuanced, synthetical analysis of women's agritourism provides a new insight into the sector and the impact of EET to empower women entrepreneurs.</t>
  </si>
  <si>
    <t>[Sandhu, Navjot] Birmingham City Univ, Grad Sch Management, Agri Entrepreneurial Finance, Birmingham, England; [Hussain, Javed] Birmingham City Univ, Business Sch, Birmingham, England; [Matlay, Harry] Global Independent Res, Coventry, England</t>
  </si>
  <si>
    <t>Birmingham City University; Birmingham City University</t>
  </si>
  <si>
    <t>Sandhu, N (corresponding author), Birmingham City Univ, Grad Sch Management, Agri Entrepreneurial Finance, Birmingham, England.</t>
  </si>
  <si>
    <t>Navjot.Sandhu@bcu.ac.uk; Javed.Hussain@bcu.ac.uk; harrymatlay@btinternet.com</t>
  </si>
  <si>
    <t>sandhu, navjot/0000-0001-8620-006X</t>
  </si>
  <si>
    <t>2025 JUN 10</t>
  </si>
  <si>
    <t>10.1108/JSBED-10-2024-0501</t>
  </si>
  <si>
    <t>3MT0S</t>
  </si>
  <si>
    <t>WOS:001504041000001</t>
  </si>
  <si>
    <t>Manta, AG; Badareu, G; Florea, IA; Staicu, AL; Lepadat, CVM</t>
  </si>
  <si>
    <t>Manta, Alina Georgiana; Badareu, Gabriela; Florea, Inocentiu Alexandru; Staicu, Anamaria Liliana; Lepadat, Catalin Valentin Mihai</t>
  </si>
  <si>
    <t>How Much Financial Development Accentuates Income Inequality in Central and Eastern European Countries?</t>
  </si>
  <si>
    <t>Gini coefficient; financial development; quantile regression; income inequality</t>
  </si>
  <si>
    <t>GROWTH; INSTITUTIONS; TRANSITION; QUALITY; TESTS</t>
  </si>
  <si>
    <t>Financial development is often associated with significant economic growth, but studies have shown that a high level of financial development can be the cause of deepening income inequality in many countries. The main objective of the proposed study is to identify to what extent financial development influences income inequality in Central and Eastern European Countries (CEEC). Thus, for the model specification we used as dependent variable the Gini coefficient and as independent variable the financial development index. The sample period for the analysis was from 2004 to 2019, restricted by the lack of data on the Gini coefficient in CEECs. Data on the financial development index were collected from International Monetary Fund, and data on the Gini coefficient were extracted from the World Bank's Poverty and Inequality Platform. The study unravels several contributions. First of all, the use of quantile regression allowed for the examination of the effects of financial development across the entire distribution of income inequality. Second of all, the use of a comprehensive financial development index offered a more robust and comprehensive measure of financial development compared to single indicators. Taking into account that the Gini coefficient must be close to zero, this result was a positive one with, in essence, financial development reducing income inequality in CEECs. Thirdly, the specific focus on CEECs fills a gap in the literature. Finally, the findings of this study have important policy implications. The obtained results indicate a negative causal relationship between financial development and income inequality, emphasizing the fact that the relationship between these two components cannot be generalized for all regions. These might include measures to promote financial inclusion, improve financial literacy, and enhance the stability and efficiency of financial systems. Supporting financial development in CEECs and similar transition economies can be an effective strategy for tackling income inequality.</t>
  </si>
  <si>
    <t>[Manta, Alina Georgiana; Badareu, Gabriela; Florea, Inocentiu Alexandru; Staicu, Anamaria Liliana; Lepadat, Catalin Valentin Mihai] Univ Craiova, Fac Econ &amp; Business Adm, Alexandru Ioan Cuza St, Craiova 200585, Dolj Cty, Romania</t>
  </si>
  <si>
    <t>University of Craiova</t>
  </si>
  <si>
    <t>Manta, AG (corresponding author), Univ Craiova, Fac Econ &amp; Business Adm, Alexandru Ioan Cuza St, Craiova 200585, Dolj Cty, Romania.</t>
  </si>
  <si>
    <t>alina.manta@edu.ucv.ro; gg.badareu@mail.ru; florea_lucian_i@yahoo.com; staiculiliana85@yaho.com; lapadat.catalin@gmail.com</t>
  </si>
  <si>
    <t>Manta, Alina Georgiana/AAV-3174-2021</t>
  </si>
  <si>
    <t>Manta, Alina Georgiana/0000-0002-3558-7310; Badareu, Gabriela/0009-0008-7413-8121</t>
  </si>
  <si>
    <t>10.3390/su151813942</t>
  </si>
  <si>
    <t>S9HX5</t>
  </si>
  <si>
    <t>WOS:001074214800001</t>
  </si>
  <si>
    <t>Riaz, U; Halari, A; Al Mahameed, M; Bernardi, C</t>
  </si>
  <si>
    <t>Riaz, Umair; Halari, Anwar; Al Mahameed, Muhammad; Bernardi, Cristiana</t>
  </si>
  <si>
    <t>Islamic banking, social justice and symbolic capital - insights from the UK</t>
  </si>
  <si>
    <t>Islamic banking; Symbolic capital; Social justice; Financial inclusion; UK Muslims</t>
  </si>
  <si>
    <t>FINANCE; PERCEPTIONS; PERFORMANCE; CHALLENGES; BOURDIEU; NOTION</t>
  </si>
  <si>
    <t>PurposeThis study investigates whether Islamic banks in the UK fulfil their broader function of promoting social justice and equality, a notion that scholars and Muslims believe they should be prioritised over profit-making.Design/methodology/approachAdopting a sociocultural lens, we employ Bourdieu's concepts of social class and symbolic capital to examine the social dynamics of Muslims, their interactions with Islamic banks, and the extent to which these institutions promote social equality (or perpetuate social inequality) through their products and services. We conducted twenty-eight semi-structured interviews with UK Muslim participants to examine how Islamic banks in the UK reinforce social class divides within the Muslim community through their operations and products.FindingsThe analysis highlights concerns about social stratification. While participants expected Islamic banks to offer affordable products that promote fairness and equality, this study suggests that, despite focussing on providing interest-free products, Islamic banks fail to fulfil their broader goal of promoting social equality through their products and services. Instead, these institutions primarily cater to individuals with higher symbolic capital, thereby perpetuating the social class divide.Research limitations/implicationsWe recommend practical actions to help mitigate the social and symbolic capital inequalities perpetuated by the current operations of Islamic banks. These actions include ensuring that Islamic banking products and services are accessible to a broader range of Muslims and non-Muslims, regardless of their social and symbolic capital, as well as providing enhanced education and support to improve financial literacy and promote the benefits of Islamic finance.Originality/valueThis study contributes new insights by applying Bourdieu's theory of symbolic capital to the context of Islamic banking in the UK. It offers a unique and critical perspective on how Islamic banks influence social dynamics and contribute to inequalities within the Muslim community in the UK.</t>
  </si>
  <si>
    <t>[Riaz, Umair; Halari, Anwar; Bernardi, Cristiana] Open Univ, Business Sch, Dept Accounting &amp; Finance, Milton Keynes, England; [Al Mahameed, Muhammad] Univ Sharjah, Coll Business Adm, Sharjah, U Arab Emirates; [Bernardi, Cristiana] Univ Telematica San Raffaele Roma, Rome, Italy</t>
  </si>
  <si>
    <t>Open University - UK; University of Sharjah</t>
  </si>
  <si>
    <t>Riaz, U (corresponding author), Open Univ, Business Sch, Dept Accounting &amp; Finance, Milton Keynes, England.</t>
  </si>
  <si>
    <t>umair.riaz@open.ac.uk; anwar.halari@open.ac.uk; malmahameed@sharjah.ac.ae; cristiana.bernardi@open.ac.uk</t>
  </si>
  <si>
    <t>BERNARDI, CRISTIANA/ADL-4829-2022; Riaz, Umair/AAL-6446-2021; Al Mahameed, Muhammad/Y-6237-2018</t>
  </si>
  <si>
    <t>BERNARDI, CRISTIANA/0000-0003-3094-8129; Riaz, Umair/0000-0003-1057-9514; Al Mahameed, Muhammad/0000-0001-8664-2669; Halari, Anwar/0000-0001-8535-6724</t>
  </si>
  <si>
    <t>SEP 12</t>
  </si>
  <si>
    <t>10.1108/AAAJ-03-2024-6930</t>
  </si>
  <si>
    <t>9NJ2H</t>
  </si>
  <si>
    <t>WOS:001501520800001</t>
  </si>
  <si>
    <t>Wu, G; Peng, QL</t>
  </si>
  <si>
    <t>Wu, Guo; Peng, Qinglin</t>
  </si>
  <si>
    <t>Bridging the Digital Divide: Unraveling the Determinants of FinTech Adoption in Rural Communities</t>
  </si>
  <si>
    <t>FinTech adoption; perceived usefulness; perceived ease of use; innovation awareness; financial awareness; rural residents; SEM</t>
  </si>
  <si>
    <t>TECHNOLOGY ACCEPTANCE MODEL; PERCEIVED EASE; INFORMATION-TECHNOLOGY; USER ACCEPTANCE; SAMPLE-SIZE; DIFFUSION; AWARENESS; AVERSION; ORIGINS</t>
  </si>
  <si>
    <t>Bridging the digital divide between urban and rural communities is critical for expanding financial inclusion. The purpose of this study is to understand the key factors driving the adoption of financial technology (FinTech) applications among rural residents. A conceptual framework is built on the basis of the technology acceptance model, along with the incorporation of innovation awareness and financial awareness. The relationships between factors are empirically validated using a structural equation modeling approach based on survey data from a sample of 386 respondents in rural communities. The results indicate that perceived usefulness, perceived ease of use, innovation awareness, and financial awareness can positively and significantly affect the intention to adopt FinTech applications. In addition, perceived usefulness mediates the relationship between perceived ease of use and behavioral intention. Practical implications for promoting FinTech adoption in rural areas are discussed. We investigate the key factors driving the adoption of financial technology (FinTech) applications among rural residents. The findings reveal that: (1) The extended TAM model is suitable for studying FinTech adoption in a rural context. (2) Perceived usefulness, perceived ease of use, innovation awareness, and financial awareness positively and significantly affect the intention to adopt FinTech applications. (3) Perceived usefulness mediates the relationship between perceived ease of use and behavioral intention. We suggest that policymakers can offer education and training programs to improve financial literacy and financial awareness, promoting the use of FinTech products. FinTech products should be simple to use and navigate for rural residents who might not be as tech-savvy. It is important to foster a culture of innovation in rural areas by providing incentives for entrepreneurship and innovation.</t>
  </si>
  <si>
    <t>[Wu, Guo; Peng, Qinglin] Sanda Univ, Shanghai, Peoples R China; [Wu, Guo] Sanda Univ, Shengxiang Business Sch, 2727 Jinhai Rd, Shanghai 201209, Peoples R China</t>
  </si>
  <si>
    <t>Sanda University; Sanda University</t>
  </si>
  <si>
    <t>Wu, G (corresponding author), Sanda Univ, Shengxiang Business Sch, 2727 Jinhai Rd, Shanghai 201209, Peoples R China.</t>
  </si>
  <si>
    <t>guo.wu@sandau.edu.cn</t>
  </si>
  <si>
    <t>Wu, Guo/GQH-5421-2022</t>
  </si>
  <si>
    <t>Wu, Guo/0000-0001-5863-571X</t>
  </si>
  <si>
    <t>Sanda University Research Fund [2021ZD03, 2022YB18]</t>
  </si>
  <si>
    <t>Sanda University Research Fund</t>
  </si>
  <si>
    <t>The author(s) disclosed receipt of the following financial support for the research, authorship, and/or publication of this article: The research work is supported by the Sanda University Research Fund (Nos. 2021ZD03 and 2022YB18).</t>
  </si>
  <si>
    <t>10.1177/21582440241227770</t>
  </si>
  <si>
    <t>GR3I2</t>
  </si>
  <si>
    <t>WOS:001154354500001</t>
  </si>
  <si>
    <t>Andrievskaya, I; Semenova, M</t>
  </si>
  <si>
    <t>Andrievskaya, Irina; Semenova, Maria</t>
  </si>
  <si>
    <t>Does biological endowment matter for demand for financial services? Evidence from 2D:4D ratio in the Russian household survey</t>
  </si>
  <si>
    <t>Prenatal testosterone; 2D:4D ratio; Financial inclusion; Deposit; Loan; Insurance; RLMS; Russia</t>
  </si>
  <si>
    <t>4TH DIGIT LENGTH; PRENATAL TESTOSTERONE; 2D/4D; 2ND; INFORMATION; PREVENTION; INSURANCE; PROMOTION; SELECTION; AVERSION</t>
  </si>
  <si>
    <t>There are many studies revealing factors which influence the demand for financial services. However genetic features, determining the individual's overall postnatal behaviour, have not been studied within this context. This paper extends the previous literature by studying to what extent individual biological endowment, proxied by prenatal testosterone (PT, measured by the 2D:4D ratio), can determine personal demand for bank services and insurance. We use the data from the Russian Longitudinal Monitoring Survey (RLMS) of 2011-2012. Our findings confirm the existence of the link between inherent biological variation and financial inclusion: PT affects the use of bank cards, intention to borrow from a bank, having a bank deposit and the consumption of insurance products. (C) 2016 Elsevier Ltd. All rights reserved.</t>
  </si>
  <si>
    <t>[Semenova, Maria] Natl Res Univ, Higher Sch Econ, Ctr Inst Studies, Moscow, Russia; Natl Res Univ, Higher Sch Econ, Dept Finance, Moscow, Russia</t>
  </si>
  <si>
    <t>Semenova, M (corresponding author), Natl Res Univ, Higher Sch Econ, Ctr Inst Studies, Moscow, Russia.</t>
  </si>
  <si>
    <t>irina.k.andrievskaia@gmail.com; msemenova@hse.ru</t>
  </si>
  <si>
    <t>Semenova, Maria/G-5294-2015</t>
  </si>
  <si>
    <t>Semenova, Maria/0000-0002-1360-583X</t>
  </si>
  <si>
    <t>Government of the Russian Federation for the implementation of the Global Competitiveness Program; Government of the Russian Federation within 5-100 Program Roadmap of the National Research University Higher School of Economics</t>
  </si>
  <si>
    <t>Government of the Russian Federation for the implementation of the Global Competitiveness Program; Government of the Russian Federation within 5-100 Program Roadmap of the National Research University Higher School of Economics(Ministry of Education and Science, Russian FederationProject 5-100, Ministry of Education and Science, Russian Federation)</t>
  </si>
  <si>
    <t>The paper was prepared within the framework of the Basic Research Program at the National Research University Higher School of Economics (HSE) and supported within the framework of a subsidy granted to the HSE by the Government of the Russian Federation for the implementation of the Global Competitiveness Program.The financial support from the Government of the Russian Federation within the framework of the implementation of the 5-100 Program Roadmap of the National Research University Higher School of Economics is acknowledged.</t>
  </si>
  <si>
    <t>10.1016/j.paid.2016.07.019</t>
  </si>
  <si>
    <t>EA2DG</t>
  </si>
  <si>
    <t>WOS:000386402400026</t>
  </si>
  <si>
    <t>Massil, JK; Tadadjeu, S; Yogo, UT</t>
  </si>
  <si>
    <t>Massil, Joseph Keneck; Tadadjeu, Sosson; Yogo, Urbain Thierry</t>
  </si>
  <si>
    <t>Uncertainty and household consumption in developing countries</t>
  </si>
  <si>
    <t>STRUCTURAL CHANGE AND ECONOMIC DYNAMICS</t>
  </si>
  <si>
    <t>Economic uncertainty; Household consumption; Foreign aid; Remittances; Social protection</t>
  </si>
  <si>
    <t>ECONOMIC-POLICY UNCERTAINTY; FINANCIAL ACCESS; PANEL-DATA; INCOME; UNEMPLOYMENT; INEQUALITY; GMM</t>
  </si>
  <si>
    <t>This study analyses the effect of global economic uncertainty on household consumption growth in a sample of 87 developing countries over the period 2000-2019. Using the two-step system generalized method of moments, we show that an increase in economic uncertainty is, on average, associated with lower household consumption. This result is robust to the use of an alternative measure of uncertainty, outliers' exclusion, an alternative estimations approach, and use of an alternative data structure. However, the results show that the effect of uncertainty appears to be driven by sub-Saharan Africa and Latin America. Similarly, countries that have received debt relief under the Heavily Indebted Poor Countries initiative are more vulnerable to the effect of uncertainty on private consumption. This study also finds that remittances, foreign aid, and social protection moderate the adverse effect of economic uncertainty on household consumption. These results highlight the need to implement tax breaks to facilitate remittances from sending to receiving countries to support household consumption during uncertainty shocks and to identify reliable partners to enable aid in recipient countries to reach private and public consumers.</t>
  </si>
  <si>
    <t>[Massil, Joseph Keneck] Univ Yaounde II, CEREG, Soa, Cameroon; [Massil, Joseph Keneck] Univ Versailles, CEMOTEV, Versailles, France; [Tadadjeu, Sosson; Yogo, Urbain Thierry] World Bank, Nouakchott, Mauritania; [Tadadjeu, Sosson] Univ Ebolowa, Fac Econ &amp; Management, Ebolowa, Cameroon</t>
  </si>
  <si>
    <t>Universite Paris Saclay</t>
  </si>
  <si>
    <t>Tadadjeu, S (corresponding author), World Bank, Nouakchott, Mauritania.;Tadadjeu, S (corresponding author), Univ Ebolowa, Fac Econ &amp; Management, Ebolowa, Cameroon.</t>
  </si>
  <si>
    <t>stadadjeunguemo@worldbank.org</t>
  </si>
  <si>
    <t>Tadadjeu, sosson/0000-0002-5451-0001</t>
  </si>
  <si>
    <t>would also like to thank the organizers of the African Economic Con-ference 2024 for their comments.</t>
  </si>
  <si>
    <t>0954-349X</t>
  </si>
  <si>
    <t>1873-6017</t>
  </si>
  <si>
    <t>STRUCT CHANGE ECON D</t>
  </si>
  <si>
    <t>Struct. Change and Econ. Dyn.</t>
  </si>
  <si>
    <t>10.1016/j.strueco.2024.12.017</t>
  </si>
  <si>
    <t>T0S7H</t>
  </si>
  <si>
    <t>WOS:001402219000001</t>
  </si>
  <si>
    <t>Paxton, J; Young, L</t>
  </si>
  <si>
    <t>Paxton, Julia; Young, Lauren</t>
  </si>
  <si>
    <t>Liquidity Profiles of Poor Mexican Households</t>
  </si>
  <si>
    <t>Latin America; Mexico; liquidity; household finance; precautionary savings</t>
  </si>
  <si>
    <t>LIFE-CYCLE; SAVINGS; CONSUMPTION; INCOME</t>
  </si>
  <si>
    <t>Buffer stock savings theories predict that more vulnerable households build up liquid savings in order to cope with income variability. Using data from 1801 marginalized Mexican households, this paper examines how household liquidity levels vary by income level and use of banking. The paper finds strong evidence of buffer stock savings in poor and vulnerable households. It also shows that membership in a financial cooperative is a determinant of higher household liquidity levels. Financial instruments are used more to confront idiosyncratic shocks than systemic shocks. Idiosyncratic shocks and remittances are important determinants of liquidity levels in unbanked households. (C) 2010 Elsevier Ltd. All rights reserved.</t>
  </si>
  <si>
    <t>[Paxton, Julia] Ohio Univ, Athens, OH 45701 USA</t>
  </si>
  <si>
    <t>University System of Ohio; Ohio University</t>
  </si>
  <si>
    <t>Paxton, J (corresponding author), Ohio Univ, Athens, OH 45701 USA.</t>
  </si>
  <si>
    <t>Young, Lauren/AAR-4540-2020</t>
  </si>
  <si>
    <t>10.1016/j.worlddev.2010.08.017</t>
  </si>
  <si>
    <t>738KG</t>
  </si>
  <si>
    <t>WOS:000288638100011</t>
  </si>
  <si>
    <t>Vasantha, NR; Liew, CY; Kijkasiwat, P</t>
  </si>
  <si>
    <t>Vasantha, Naveenan Ramaian; Liew, Chee Yoong; Kijkasiwat, Ploypailin</t>
  </si>
  <si>
    <t>Exploring financial inclusion in MENA countries: an entropy weight approach</t>
  </si>
  <si>
    <t>Financial inclusion; Entropy weight approach; MENA countries; Islamic countries</t>
  </si>
  <si>
    <t>ISLAMIC BANKING; ACCESS; IMPACT; GROWTH</t>
  </si>
  <si>
    <t>PurposeResearch on financial inclusion (FI) in Islamic countries has evolved and gained prominence. This study aims to construct an extensive multidimensional FI index to ascertain the level of inclusion and trends in the Middle East/North Africa (MENA) countries. Additionally, this study examines the potential role of Islamic finance in improving access to financial services. Design/methodology/approachData for the study were collected from databases covering MENA countries for the period 2010-2020. An inclusion index has been constructed using the entropy method. FindingsKey findings indicate that the overall FI has improved in Islamic countries. However, it should be noted that all MENA countries fall within the low or medium levels of the inclusion index. It was observed that insurance access and penetration savings were poor in the Islamic MENA countries. Social implicationsThe authors recommend that policymakers focus on insurance access and saving behaviour in their respective countries. Based upon these observations, policymakers should promote the economic benefits of Islamic finance, which will help improve FI and economic development in Islamic countries. This study emphasises the necessity of policy framework reform to provide Islamic financial services to the poorest in society at low or no cost for better economic benefits. Originality/valueMost studies tend to overlook important indicators such as insurance, savings and credit penetration while calculating the index. These indicators add value to the existing literature. The majority of prior studies used United Nation Development Programme methodology or principal component analysis for Inclusion Index measurements. The adoption of the entropy weighting method is the novelty of this study.</t>
  </si>
  <si>
    <t>[Vasantha, Naveenan Ramaian] Symbiosis Int Deemed Univ, Symbiosis Inst Business Management SIBM, Bangalore, India; [Liew, Chee Yoong] UCSI Univ, Fac Business &amp; Management, Dept Accounting &amp; Finance, Kuala Lumpur, Malaysia; [Kijkasiwat, Ploypailin] Khon Kaen Univ, Fac Business Adm &amp; Accountancy, Khon Kaen, Thailand</t>
  </si>
  <si>
    <t>Symbiosis International University; UCSI University; Khon Kaen University</t>
  </si>
  <si>
    <t>Kijkasiwat, P (corresponding author), Khon Kaen Univ, Fac Business Adm &amp; Accountancy, Khon Kaen, Thailand.</t>
  </si>
  <si>
    <t>naveenan.08mba@gmail.com; cheeyoong1@gmail.com; Ploypailin@kku.ac.th</t>
  </si>
  <si>
    <t>Liew, Chee Yoong/A-7066-2016</t>
  </si>
  <si>
    <t>Liew, Chee Yoong/0000-0002-7740-0219</t>
  </si>
  <si>
    <t>OCT 30</t>
  </si>
  <si>
    <t>10.1108/IMEFM-11-2022-0451</t>
  </si>
  <si>
    <t>CA8B8</t>
  </si>
  <si>
    <t>WOS:001048807400001</t>
  </si>
  <si>
    <t>Belozyorov, SA; Sokolovska, O</t>
  </si>
  <si>
    <t>Belozyorov, Sergey A.; Sokolovska, Olena</t>
  </si>
  <si>
    <t>Economic Sanctions against Russia: Assessing the Policies to Overcome their Impact</t>
  </si>
  <si>
    <t>economic sanctions; Russia; pivot to the East; commodity trade; foreign direct investment; economic growth; digital transformation; financial inclusion; wealth inequality; comparative analysis</t>
  </si>
  <si>
    <t>Starting from 2014 the European Union countries, the United States of America and some other states imposed economic sanctions against Russia, resulting in diversification of trade ties away from western partners (pivot to the East strategy). The mixed findings of recent sanctions literature related to their effectiveness and measures to overcome the negative consequences, has necessitated the examination of these issues for the case of anti-Russian economic sanctions. We use various macroeconomic data along with indicators of digital development and financial inclusion. The methodology comprises a combination of graphical, comparative, and correlation analysis. The analysis of external sector data shows that economic sanctions had substantial negative impact on trade and foreign direct investment with main senders. At the same time, the pivot to the East after 2014 has not been implemented yet as much as expected. To overcome negative impact of sanctions and to promote economic growth, the current diversification of ties should be accompanied by other measures, centred on digital development, digital financial technologies, and financial inclusion. We assess linkages between digital development and wealth inequality and we found that in most countries with moderate wealth inequality, including Russia, the digital transformation could bring more benefits in terms of economic growth, than in countries with lower wealth inequality. The overall study allowed us to examine digital policy implications to overcome the negative effects of sanctions in Russia. The obtained results will contribute to addressing the problem of optimisation of Russia's behaviour as a target country that is the subject of future research.</t>
  </si>
  <si>
    <t>[Belozyorov, Sergey A.; Sokolovska, Olena] St Petersburg State Univ, Dept Risk Management &amp; Insurance, Lab Asian Econ Studies, 7-9 Univ Skaya Emb, St Petersburg 199034, Russia</t>
  </si>
  <si>
    <t>Saint Petersburg State University</t>
  </si>
  <si>
    <t>Belozyorov, SA (corresponding author), St Petersburg State Univ, Dept Risk Management &amp; Insurance, Lab Asian Econ Studies, 7-9 Univ Skaya Emb, St Petersburg 199034, Russia.</t>
  </si>
  <si>
    <t>s.belozerov@spbu.ru; e.sokolovskaya@spbu.ru</t>
  </si>
  <si>
    <t>Belozerov, Sergei/M-3601-2015; Olena, Sokolovska/H-2270-2014</t>
  </si>
  <si>
    <t>Olena, Sokolovska/0000-0002-4259-3786</t>
  </si>
  <si>
    <t>Russian Foundation for Basic Research; Chinese Academy of Social Sciences [19-51-93009]</t>
  </si>
  <si>
    <t>Russian Foundation for Basic Research(Russian Foundation for Basic Research (RFBR)); Chinese Academy of Social Sciences</t>
  </si>
  <si>
    <t>The article has been prepared with the support of the Russian Foundation for Basic Research and the Chinese Academy of Social Sciences, the research project No. 19-51-93009 The trade policy of Russia and China in the context of the transformation of the international trading system.</t>
  </si>
  <si>
    <t>10.17059/ekon.reg.2020-4-8</t>
  </si>
  <si>
    <t>PN7IT</t>
  </si>
  <si>
    <t>WOS:000604649400008</t>
  </si>
  <si>
    <t>LeBaron, AB; Hill, EJ; Rosa, CM; Marks, LD</t>
  </si>
  <si>
    <t>LeBaron, Ashley B.; Hill, E. Jeffrey; Rosa, Christina M.; Marks, Loren D.</t>
  </si>
  <si>
    <t>Whats and Hows of Family Financial Socialization: Retrospective Reports of Emerging Adults, Parents, and Grandparents</t>
  </si>
  <si>
    <t>financial socialization; family finance; parenting; emerging adults; qualitative; family life education</t>
  </si>
  <si>
    <t>LITERACY; ORIENTATION; EDUCATION; BEHAVIOR</t>
  </si>
  <si>
    <t>ObjectiveTo qualitatively explore the whats and hows of financial socialization in families, as reported by emerging adults and their parents and grandparents. BackgroundPrevious research has examined the positive impact of financial socialization in families as well as the negative consequences of a lack of sufficient financial education. However, there is a need to explore the breadth of parent-child financial socialization methods and topics. MethodA convenience sample of 90 emerging adults (18-30years of age), 17 of their parents, and eight of their grandparents (N=115) were interviewed at three diverse universities regarding what and how their parents taught them about money. Parents and grandparents were also interviewed regarding what and how they taught their children about money. ResultsThematic content coding revealed three core how themes (modeling, discussion, and experiential learning) and four core what themes (financial planning, work ethic, money management, and sharing). The themes coded most often were discussion and money management. ConclusionThe findings provide a starting point for gaining insight about how and what parents teach children about money but leave many questions unanswered that future research will need to address to build efficient and effective evidence-based approaches for parental financial socialization in future generations. ImplicationsFamily life educators and others can use our findings to better understand how financial socialization occurs in families as a necessary step in ultimately improving financial socialization and increasing the financial capability and independence of emerging adults.</t>
  </si>
  <si>
    <t>[LeBaron, Ashley B.] Univ Arizona, 650 N Pk Ave,McClelland Pk Room 401, Tucson, AZ 85721 USA; [Hill, E. Jeffrey; Rosa, Christina M.; Marks, Loren D.] Brigham Young Univ, Provo, UT 84602 USA</t>
  </si>
  <si>
    <t>University of Arizona; Brigham Young University</t>
  </si>
  <si>
    <t>LeBaron, AB (corresponding author), Univ Arizona, 650 N Pk Ave,McClelland Pk Room 401, Tucson, AZ 85721 USA.</t>
  </si>
  <si>
    <t>10.1111/fare.12335</t>
  </si>
  <si>
    <t>GV6XR</t>
  </si>
  <si>
    <t>WOS:000446263800004</t>
  </si>
  <si>
    <t>Starfinger, M</t>
  </si>
  <si>
    <t>Starfinger, Marcel</t>
  </si>
  <si>
    <t>Financing smallholder tree planting: Tree collateral &amp; Thai 'Tree Banks'-Collateral 2.0?</t>
  </si>
  <si>
    <t>Tree mortgaging; mortgaging Microfinance; Asset collateral; Business security; Access to finance; Process tracing</t>
  </si>
  <si>
    <t>FOREST ENTERPRISES; BARRIERS; RISK</t>
  </si>
  <si>
    <t>Smallholder foresters are amongst the key stakeholders for sustainable development and productive land use. In Thailand they face various challenges including insufficient tenure, burdensome commercialization, and limited access to markets. Similarly, forestry specific financial services are often unavailable. Key obstacles include cash flow constraints attributed to the long gestation periods and a lack of conventional collateral to obtain loans. As a response to the lack of sustainable financing mechanisms for forest smallholders, tree collateral and Tree Banks emerged in Thailand. This paper depicts the evolution of the innovative Thai tree collateral approaches and conceptualizes their intricacies. Tree collateral refers to the use of trees as a business security for loans. Thailand's innovative national Tree Bank systems provide the context for this case study. Based on expert interviews (n = 39) and subsequent secondary literature review as well as process tracing, the article explores potentials and shortcomings of the tree collateral approaches in Thailand. There are significant conceptual and ideological differences between the two Tree Bank institutions, namely the Tree Bank BAAC (Bank of Agriculture and Agricultural Cooperatives) and Tree Bank CSO (Civil Society Organization). These differences focus on the need to include private land together with trees as collateral. In addition, core constraints remain for tree collateral such as limited tenure and valuation procedures and high gearing ratios. The discussion of risks reveals mainly socio-economic and financial risks for smallholders and financing institutions. Standardization procedures and mitigation strategies including micro-insurances are indispensable. The process tracing revealed causal mechanisms that lead to tree collateral, including aggregation amongst smallholders as well as specific enabling policy reforms. Tree collateral represents an innovative and promising tool but is not the 'silver bullet' that magically solves the financial challenges of smallholders. Rather it is niche-specific and requires a series of broader prerequisites for successful and low-risk implementation especially in the context of smallholder forestry.</t>
  </si>
  <si>
    <t>[Starfinger, Marcel] Tech Univ Dresden, Fac Environm Sci, Inst Int Forestry &amp; Forest Prod, Chair Trop &amp; Int Forestry, D-01062 Dresden, Germany</t>
  </si>
  <si>
    <t>Technische Universitat Dresden</t>
  </si>
  <si>
    <t>Starfinger, M (corresponding author), Tech Univ Dresden, Fac Environm Sci, Inst Int Forestry &amp; Forest Prod, Chair Trop &amp; Int Forestry, D-01062 Dresden, Germany.</t>
  </si>
  <si>
    <t>marcel.starfinger@tu-dresden.de</t>
  </si>
  <si>
    <t>Special thanks go to Gerald Kapp, Simon Benedikter and Chanoksuda Pongsawang for their continuous support. I would like to thank the two anonymous reviewers for their constructive feedback. Specific local support was provided by Michael Jenke, Aor Pranchai, Sapit Diloksumpun, David Ganz, Trang Hoang, Warangkana Rattanarat, Duck Phutthida, Ronnakorn Triraganon, and Bernhard Mohns. The author greatly appreciates the efforts of the anonymous experts. Further thanks go to the GADM mapping initiative. This work was supported through the FLOURISH project [18_III_085_Southeast Asia_A_FLR Partnerships] under the International Climate Initiative (IKI). The funding entity was not involved in this research.</t>
  </si>
  <si>
    <t>10.1016/j.landusepol.2021.105765</t>
  </si>
  <si>
    <t>XH7WE</t>
  </si>
  <si>
    <t>WOS:000725639300001</t>
  </si>
  <si>
    <t>Carrera-Silva, K; Ulcuango, OMR; Abdo-Peralta, P; Salazar, AGC; Erazo, CAS; Avalos, DH</t>
  </si>
  <si>
    <t>Carrera-Silva, Katherin; Rodriguez Ulcuango, Olga Maritza; Abdo-Peralta, Paula; Castelo Salazar, Angel Gerardo; Samaniego Erazo, Carmen Amelia; Haro Avalos, Diego</t>
  </si>
  <si>
    <t>Beyond the Financial Horizon: A Critical Review of Social Responsibility in Latin American Credit Unions</t>
  </si>
  <si>
    <t>corporate social responsibility; financial system; sustainable finance; financial cooperatives; cooperative principles and values; social economy</t>
  </si>
  <si>
    <t>SUSTAINABLE DEVELOPMENT; CORPORATE GOVERNANCE; EMPIRICAL-EVIDENCE; ECONOMIC-GROWTH; COOPERATIVES; PERFORMANCE; INCLUSION; FRAMEWORK; BANKS; MICROFINANCE</t>
  </si>
  <si>
    <t>Credit unions in Latin America play an important role in the financial system, making a significant contribution to the achievement of the Sustainable Development Goals (SDGs) through their focus on financial inclusion, sustainability, and economic resilience. Assessing the social responsibility of these cooperatives ensures ethical, sustainable operations that benefit the population. Unlike traditional financial institutions, cooperatives are based on principles focused on mutual benefit, democratic participation, and responsibility toward their members and the community. This critical literature review, conducted through scientific databases, synthesizes findings on social responsibility in credit unions. The financial system is relevant for global economic stability and growth, comprising institutions like credit unions that facilitate capital flow. It operates through financial instruments, intermediaries, and markets, ensuring efficient resource allocation and risk management. Effective financial management involves planning, organizing, directing, and controlling resources to achieve stability and growth, integrating social responsibility. Credit unions in Latin America highlight cooperative principles, emphasizing member service, community development, and sustainable practices over profit maximization, thereby fostering economic inclusion and ethical business practices. In conclusion, credit unions provide affordable financial services while promoting values of solidarity and equity. However, as entities directly linked to communities, it is essential for them to monitor their actions in terms of social responsibility. This is important to measure and ensure their impact on society and its context. Finally, future research should focus on balancing economic viability with social responsibility, exploring innovative models, governance frameworks, and technological impacts.</t>
  </si>
  <si>
    <t>[Carrera-Silva, Katherin; Rodriguez Ulcuango, Olga Maritza; Samaniego Erazo, Carmen Amelia; Haro Avalos, Diego] Escuela Super Politecn Chimborazo ESPOCH, Fac Business Adm, Km 1 1-2, EC-060155 Riobamba, Ecuador</t>
  </si>
  <si>
    <t>Carrera-Silva, K (corresponding author), Escuela Super Politecn Chimborazo ESPOCH, Fac Business Adm, Km 1 1-2, EC-060155 Riobamba, Ecuador.</t>
  </si>
  <si>
    <t>katherin.carrera@espoch.edu.ec; olrodriguez@espoch.edu.ec; paulitag_abdo@hotmail.com; angelcastelo270181@gmail.com; carmen.samaniego@espoch.edu.ec; diego.haro@espoch.edu.ec</t>
  </si>
  <si>
    <t>Rodríguez-Ulcuango, Olga Maritza/0000-0002-0689-8961; Castelo Salazar, Angel Gerardo/0000-0003-3859-6105; Haro, Diego/0000-0002-6018-1267; ABDO PERALTA, PAULA ALEJANA/0000-0002-9383-9168</t>
  </si>
  <si>
    <t>Escuela Superior Politecnica de Chimborazo through the DDI-ESPOCH [IDIPI-312]</t>
  </si>
  <si>
    <t>Escuela Superior Politecnica de Chimborazo through the DDI-ESPOCH</t>
  </si>
  <si>
    <t>This work was supported by the Project IDIPI-312-Fortalecimiento de la Gestion de la Union Provincial de Cooperativas de Ahorro y Credito de Chimborazo-UPROCACH, a traves del Modelo de Gestion Integral y Plan de Marketing Digital que permita innovar, desarrollar un software financiero y pagina web para mejorar el crecimiento organico de las cooperativas en territorio de su influencia funded by the Escuela Superior Politecnica de Chimborazo through the DDI-ESPOCH.</t>
  </si>
  <si>
    <t>10.3390/su16187908</t>
  </si>
  <si>
    <t>H5E0T</t>
  </si>
  <si>
    <t>WOS:001323659900001</t>
  </si>
  <si>
    <t>Kitole, FA; Mkuna, E; Sesabo, JK</t>
  </si>
  <si>
    <t>Kitole, Felician Andrew; Mkuna, Eliaza; Sesabo, Jeniffer Kasanda</t>
  </si>
  <si>
    <t>Digitalization and agricultural transformation in developing countries: Empirical evidence from Tanzania agriculture sector</t>
  </si>
  <si>
    <t>SMART AGRICULTURAL TECHNOLOGY</t>
  </si>
  <si>
    <t>Digitalization; Agricultural transformation; Precision agriculture; Smart farming; Food security; ICT services; Artificial intelligence</t>
  </si>
  <si>
    <t>MOBILE PHONES; INFORMATION; ADOPTION; GIS</t>
  </si>
  <si>
    <t>Agribusiness can potentially increase value for agriculture and the entire value chain, but it is hard to achieve these goals without digitalising the sector. The transformation reforms modern technology and digital infrastructure adoption to facilitate growth and inclusivity. These conditions make the agricultural digitization transformation more appealing. Therefore, using a survey of 400 smallholder farmers in four regions of Rukwa, Ruvuma, Morogoro and Tabora, this study examines the interplay between digitalization and agriculture transformation in Tanzania by focusing on the determinants and effects of digitalization on smallholder farmers' welfare. The study used the double hurdle model to estimate the determinants and extent of digitalization adoption; the Two-stage least square (2SLS) and the Control function approach (CFA) to estimate its effects on smallholder farmers' welfare. The findings revealed that access to credit (0.17428, p &lt; 0.01), extension services (0.52884, p &lt; 0.01), education and government support (0.10922, p &lt; 0.05) are key determinants for agricultural digitalization. Moreover, digitalization was found to influence smallholder farmers' welfare significantly. The benefits of digitalization across smallholder farmers in all regions were observed in enhancing extension services (76.50 %), pest management (71.25 %), and accessibility of the market information (72.25 %), enhance an access to financial services (74.75 %). In sum, to promote digital technology adoption among smallholder farmers, policymakers in Tanzania and developing nations should prioritize financial inclusion through tailored microfinance programs, educational initiatives must integrate digital literacy, enhance extension services, subsidized technology access, and encouraging public-private partnerships to create incentives for sustainable agricultural development.</t>
  </si>
  <si>
    <t>[Kitole, Felician Andrew; Mkuna, Eliaza; Sesabo, Jeniffer Kasanda] Mzumbe Univ, Dept Econ, POB 5, Mzumbe, Tanzania</t>
  </si>
  <si>
    <t>Kitole, FA (corresponding author), Mzumbe Univ, Dept Econ, POB 5, Mzumbe, Tanzania.</t>
  </si>
  <si>
    <t>felicianandrew@gmail.com</t>
  </si>
  <si>
    <t>Kitole, Felician Anew/CAH-6763-2022; Sesabo, Jennifer/ADC-1665-2022</t>
  </si>
  <si>
    <t>Kitole, Felician Anew/0000-0002-3596-5350; Mkuna, Eliaza/0000-0001-7682-0740; Sesabo, Jennifer/0000-0002-8518-9011</t>
  </si>
  <si>
    <t>2772-3755</t>
  </si>
  <si>
    <t>SMART AGR TECHNOL</t>
  </si>
  <si>
    <t>Smart Agric. Technol.</t>
  </si>
  <si>
    <t>10.1016/j.atech.2023.100379</t>
  </si>
  <si>
    <t>Agricultural Engineering; Agriculture, Multidisciplinary; Agronomy</t>
  </si>
  <si>
    <t>DU0Z3</t>
  </si>
  <si>
    <t>WOS:001134487200001</t>
  </si>
  <si>
    <t>Cicchiello, AF; Kazemikhasragh, A; Monferra, S</t>
  </si>
  <si>
    <t>Cicchiello, Antonella Francesca; Kazemikhasragh, Amirreza; Monferra, Stefano</t>
  </si>
  <si>
    <t>In women, we trust! Exploring the sea change in investors' perceptions in equity crowdfunding</t>
  </si>
  <si>
    <t>Latin America; Equity crowdfunding; Female entrepreneurship; Entrepreneurial finance; Gender disparity; Signalling theory</t>
  </si>
  <si>
    <t>GENDER STEREOTYPES; SIGNALING THEORY; CROWD; SUCCESS; ENTREPRENEURSHIP; ACCESS; CREDIT; MICROFINANCE; INVESTMENTS; BUSINESSES</t>
  </si>
  <si>
    <t>Purpose Women's entrepreneurial activity can significantly impact economic and social development globally, particularly in developing countries. The significant challenges entrepreneurial women face draw the attention of researchers and policymakers. This paper aims to analyse the impact of gender disparity on the likelihood of obtaining equity financing through crowdfunding. The equity crowdfunding industry was selected because it is a non-traditional financial market where gender bias may act differently for women. Design/methodology/approach To investigate the relationship between gender and equity financing through crowdfunding, this paper applies ordinary least squares regression. The analysis is based on a unique data set of 492 equity crowdfunding campaigns launched between 2013 and 2017 on all existing platforms in Brazil, Chile and Mexico. Findings The analysis reveals that the involvement of at least one woman on the board of firms seeking equity financing increases campaign success rates in terms of the investors' average pledge, the target amount reached at the end of the campaign and the percentage raised at the end of the campaign exceeding the initial fundraising goal. Altogether, this suggests that equity crowdfunding campaigns should be based on gender equality in the firms' boards. The research finds evidence that there is no gender disparity in the likelihood of a campaign being financed by a greater number of investors. Practical implications These findings have implications for Latin American female entrepreneurs when selecting funding sources and policymakers when defining political actions to remove the barriers at the root of this historic inequality in female entrepreneurs' access to finance. Originality/value To the best of the authors' knowledge, this document analyses the gender disparity in the Latin American equity crowdfunding market, shedding light on women's access to crowdfunding financing for the first time.</t>
  </si>
  <si>
    <t>[Cicchiello, Antonella Francesca; Monferra, Stefano] Univ Cattolica Sacro Cuore, Fac Econ &amp; Law, Piacenza, Italy; [Kazemikhasragh, Amirreza] Univ Nacl Autonoma Mexico, Univ Program Studies Asia &amp; Africa PUEAA, Mexico City, DF, Mexico</t>
  </si>
  <si>
    <t>Cicchiello, AF (corresponding author), Univ Cattolica Sacro Cuore, Fac Econ &amp; Law, Piacenza, Italy.</t>
  </si>
  <si>
    <t>OCT 6</t>
  </si>
  <si>
    <t>10.1108/GM-10-2020-0309</t>
  </si>
  <si>
    <t>WC0HI</t>
  </si>
  <si>
    <t>WOS:000670406200001</t>
  </si>
  <si>
    <t>Korzeniowska, AM; Huterska, A</t>
  </si>
  <si>
    <t>Korzeniowska, Anna M.; Huterska, Agnieszka</t>
  </si>
  <si>
    <t>Saving Inclusion in The European Union Countries - Trends and Differences</t>
  </si>
  <si>
    <t>Savings' Rate; Household Savings; Saving Inclusion</t>
  </si>
  <si>
    <t>Motivation: Savings play an important role in economic development. Voluntary savings of households are the most crucial not only for economic development, but also for financial security. However, since 2010, a declining trend in the rate of household savings in the European Union has been observed, which, in the long run, may negatively impact the economy of the region. The research by the World Bank (FINDEX) and other institutions treats the European Union countries as a homogeneous group demonstrating a high level of that phenomenon. Financial inclusion in the EU, in those publications research, constitutes a reference point aimed to show what values may and should be pursued by less developed countries. Yet, even in such a homogeneous group as the EU countries, there is a diversity at the level of making use of financial services, including the gathering of savings. Aim: The aim of the article is to determine whether the EU countries are a homogeneous group in terms of saving inclusion, and if not, what differences are between them. Research methods: To analyse the trends in shaping the values of financial assets per capita in the European Union in the years 2008-2018, Hodrick-Prescott filter was used. Verification of similarities between countries was conducted using taxonomic analysis using applying the following methods: (k-means) and Ward's Hierarchical Cluster Analysis. Results: The conducted analyses indicated that in the savings' structure of the EU by sectors, the largest share is held by the private sector, comprised of non-financial companies' sector and the households' sector, as well as non-profit institutions operating for their benefit. Due to a strong declining trend of the savings' rate in the European Union, there are actions taken to increase the rate of saving inclusion in particular countries. The studies have enabled to divide the member states into two groups, according to the level of saving inclusion, into the rich countries of the old EU, and the poorer, mainly postcommunist ones. Taking into account various historical experience in terms of gathering assets, preserving their actual value and the necessity for the citizens to ensure their financial security, it is important to take educational actions in terms of the significance of savings for the inhabitants of those countries.</t>
  </si>
  <si>
    <t>[Korzeniowska, Anna M.] Maria Curie Sklodowska Univ Lublin, Lublin, Poland; [Huterska, Agnieszka] Nicolaus Copernicus Univ Torun, Torun, Poland</t>
  </si>
  <si>
    <t>Maria Curie-Sklodowska University; Nicolaus Copernicus University</t>
  </si>
  <si>
    <t>Korzeniowska, AM (corresponding author), Maria Curie Sklodowska Univ Lublin, Lublin, Poland.</t>
  </si>
  <si>
    <t>anna.korzeniowska@umcs.pl; huterska@umk.pl</t>
  </si>
  <si>
    <t>Huterska, Agnieszka/AAC-9799-2021; Korzeniowska, Anna/C-7087-2013</t>
  </si>
  <si>
    <t>WOS:000661489800047</t>
  </si>
  <si>
    <t>Urquía-Grande, E; Cano-Montero, EI; Pérez-Estébanez, R; Chamizo-González, J</t>
  </si>
  <si>
    <t>Urquia-Grande, Elena; Cano-Montero, Elisa I.; Perez-Estebanez, Raquel; Chamizo-Gonzalez, Julian</t>
  </si>
  <si>
    <t>Agriculture, nutrition and economics through training: A virtuous cycle in rural Ethiopia</t>
  </si>
  <si>
    <t>Agriculture; Economics; Nutrition; Training; Sustainable development; Village empowerment</t>
  </si>
  <si>
    <t>SUB-SAHARAN AFRICA; FARMERS PERCEPTIONS; PANEL-DATA; GROWTH; MANAGEMENT; POVERTY; MICROFINANCE; CONSERVATION; ADOPTION; IMPACT</t>
  </si>
  <si>
    <t>The Sustainable Development Goals links together agriculture and education for developing countries towards sustainability. In line with these goals this research has done a grass-root experience in a rural area of a sub-Saharan country where a small NPO has been working for more than 20 years. Six villages have been chosen where the NPO already had built wells and child nutritional centres. Regularly, the NPO builds and donates the well for the farmers and starts a training program in both agriculture and nutrition on how to create small farms, cultivate several different vegetables. The main objective of this research is twofold; firstly, to identify the farmers' training preferences. Secondly, to analyze the factors that determine agriculture, accounting or nutrition training courses priorities in small local areas in rural Ethiopia. This research work will follow the exploratory research and grass-root case study methodology. The researchers have gone to the NPO's area with a cooperation project in agriculture, nutrition and accounting training and have surveyed the farmers with quantitative and qualitative surveys. The results will be analysed through multivariant statistics. Farmers' have described their antecedents, their objectives together with all the projects they are currently managing and their need for training in the three areas: agriculture, nutrition and accounting. Among the factors that determine their priorities were socio-demographic variables, types of crops, farmers' financial inclusion, current and non-current assets and their use of income. Also, the reasons for the differences among the villages are reviewed.</t>
  </si>
  <si>
    <t>[Urquia-Grande, Elena; Perez-Estebanez, Raquel] Univ Complutense Madrid, Madrid, Spain; [Cano-Montero, Elisa I.] Univ Castilla La Mancha, Ciudad Real, Spain; [Chamizo-Gonzalez, Julian] Univ Autonoma Madrid, Madrid, Spain</t>
  </si>
  <si>
    <t>Complutense University of Madrid; Universidad de Castilla-La Mancha; Autonomous University of Madrid</t>
  </si>
  <si>
    <t>Pérez-Estébanez, R (corresponding author), Univ Complutense Madrid, Madrid, Spain.</t>
  </si>
  <si>
    <t>eurquiag@ccee.ucm.es; elisaisabel.cano@uclm.es; raperez@ucm.es; julian.chamizo@uam.es</t>
  </si>
  <si>
    <t>Urquía-Grande, Elena/AAK-3465-2021; Pérez Estébanez, Raquel/ABB-6636-2021; Cano Montero, EI/E-5378-2018; Chamizo-Gonzalez, Julian/HSF-8365-2023</t>
  </si>
  <si>
    <t>Urquía-Grande, Elena/0000-0003-4724-7185; Pérez Estébanez, Raquel/0000-0002-8203-5594; Cano Montero, EI/0000-0002-1870-3869; Chamizo-Gonzalez, Julian/0000-0001-7833-7859</t>
  </si>
  <si>
    <t>UCLM project</t>
  </si>
  <si>
    <t>We would like to thank the Missionary Community St. Paul Apostle (MCSPA) and in special to Lourdes Larruy and Luz Maria Mejia for their kindness in organizing the project whom without their help we would never have achieved neither the project nor the research. We would also like to thank the UCLM project finance. Finally we would like to thank the translators who accompanied us and translated the course to Amaric: Debelo, Taffese and Facil.</t>
  </si>
  <si>
    <t>10.1016/j.landusepol.2018.09.005</t>
  </si>
  <si>
    <t>HF6WK</t>
  </si>
  <si>
    <t>WOS:000454378800063</t>
  </si>
  <si>
    <t>French, D; McKillop, D; Stewart, E</t>
  </si>
  <si>
    <t>French, Declan; McKillop, Donal; Stewart, Elaine</t>
  </si>
  <si>
    <t>The effectiveness of smartphone apps in improving financial capability</t>
  </si>
  <si>
    <t>Digital literacy; smartphone apps; financially capable behaviours; randomised control trial; credit unions</t>
  </si>
  <si>
    <t>PHYSICAL-ACTIVITY; LITERACY; BEHAVIOR; DEBT</t>
  </si>
  <si>
    <t>This study is the first to assess whether smartphone apps can be utilised to improve financially capable behaviours. In this study four smartphone apps, packaged together under the title 'Money Matters', were provided to working-age members (16-65 years) of the largest credit union in Northern Ireland (Derry Credit Union). The smartphone apps consisted of a loan interest comparison app, an expenditure comparison app, a cash calendar app, and a debt management app. The assessment methodology used was a Randomised Control Trial (RCT) with the U.K. Financial Capability Outcome Frameworks used to set the context for the assessment. For those receiving the apps (the treatment group) statistically significant improvements were found in a number of measures designed to gauge 'financial knowledge, understanding and basic skills' and 'attitudes and motivations'. These improvements translated into better financially capable behaviours; those receiving the apps were more likely to keep track of their income and expenditure and proved to be more resilient when faced with a financial shock.</t>
  </si>
  <si>
    <t>[French, Declan; McKillop, Donal; Stewart, Elaine] Queens Univ Belfast, Queens Management Sch, Belfast, Antrim, North Ireland</t>
  </si>
  <si>
    <t>Queens University Belfast</t>
  </si>
  <si>
    <t>McKillop, D (corresponding author), Queens Univ Belfast, Queens Management Sch, Belfast, Antrim, North Ireland.</t>
  </si>
  <si>
    <t>dg.mckillop@qub.ac.uk</t>
  </si>
  <si>
    <t>Stewart, Elaine/0000-0001-6303-891X; French, Declan/0000-0001-9360-9429</t>
  </si>
  <si>
    <t>Economic and Social Research Council; Money Advice Service (What Works Fund); Economic and Social Research Council [ES/M005984/1] Funding Source: researchfish; ESRC [ES/M005984/1] Funding Source: UKRI</t>
  </si>
  <si>
    <t>Economic and Social Research Council(UK Research &amp; Innovation (UKRI)Economic &amp; Social Research Council (ESRC)); Money Advice Service (What Works Fund); Economic and Social Research Council(UK Research &amp; Innovation (UKRI)Economic &amp; Social Research Council (ESRC)); ESRC(UK Research &amp; Innovation (UKRI)Economic &amp; Social Research Council (ESRC))</t>
  </si>
  <si>
    <t>This work was supported by Economic and Social Research Council [Development of web-based tools to enhance the financial capability of credit union members]; Money Advice Service (What Works Fund) [Financial Capability Tools: Assessment Framework].</t>
  </si>
  <si>
    <t>10.1080/1351847X.2019.1639526</t>
  </si>
  <si>
    <t>WOS:000476428900001</t>
  </si>
  <si>
    <t>Pienaah, CKA; Luginaah, I</t>
  </si>
  <si>
    <t>Pienaah, Cornelius K. A.; Luginaah, Isaac</t>
  </si>
  <si>
    <t>The Impact of Village Savings and Loan Associations as a Financial and Climate Resilience Strategy for Mitigating Food Insecurity in Northern Ghana</t>
  </si>
  <si>
    <t>VSLAs; climate resilience; financial resilience; food insecurity; sustainable livelihoods framework; smallholder farmers; semi-arid environment; Ghana</t>
  </si>
  <si>
    <t>In semi-arid Northern Ghana, smallholder farmers face food insecurity and financial risk due to climate change. In response, the Village Savings and Loan Association (VSLA) model, a community-led microfinance model, has emerged as a promising finance and climate resilience strategy. VSLAs offer savings, loans, and other financial services to help smallholder farmers cope with climate risks. In northern Ghana, where formal financial banking is limited, VSLAs serve as vital financial resources for smallholder farmers. Nevertheless, it remains to be seen how VSLAs can bridge financial inclusion and climate resilience strategies to address food insecurity. From a sustainable livelihoods framework (SLF) perspective, we utilized data from a cross-sectional survey of 517 smallholder farmers in northern Ghana's Upper West Region to investigate how VSLAs relate to food insecurity. Results from an ordered logistic regression show that households with membership in a VSLA were less likely to experience severe food insecurity (OR = 0.437, p &lt; 0.01). In addition, households that reported good resilience, owned land, had higher wealth, were female-headed, and made financial decisions jointly were less likely to experience severe food insecurity. Also, spending time accessing the market increases the risk of severe food insecurity. Despite the challenges of the VSLA model, these findings highlight VSLAs' potential to mitigate food insecurity and serve as a financially resilient and climate-resilient strategy in resource-poor contexts like the UWR and similar areas in Sub-Saharan Africa. VSLAs could contribute to achieving SDG2, zero hunger, and SDG13, climate action. However, policy interventions are necessary to support and scale VSLAs as a sustainable development and food security strategy in vulnerable regions.</t>
  </si>
  <si>
    <t>[Pienaah, Cornelius K. A.; Luginaah, Isaac] Univ Western Ontario, Dept Geog &amp; Environm, 1151 Richmond St, London, ON N6A 3K7, Canada</t>
  </si>
  <si>
    <t>Pienaah, CKA; Luginaah, I (corresponding author), Univ Western Ontario, Dept Geog &amp; Environm, 1151 Richmond St, London, ON N6A 3K7, Canada.</t>
  </si>
  <si>
    <t>cpienaah@uwo.ca; iluginaa@uwo.ca</t>
  </si>
  <si>
    <t>Luginaah, Isaac/0000-0001-7858-3048; K A Pienaah, Cornelius/0000-0003-4528-3086</t>
  </si>
  <si>
    <t>10.3390/risks12040058</t>
  </si>
  <si>
    <t>PA6G8</t>
  </si>
  <si>
    <t>WOS:001211392800001</t>
  </si>
  <si>
    <t>Weng, FL; Liu, X; Huo, XX</t>
  </si>
  <si>
    <t>Weng, Feilong; Liu, Xuan; Huo, Xuexi</t>
  </si>
  <si>
    <t>Impact of Internet Use on Farmers' Organic Fertilizer Investment: A New Perspective of Access to Credit</t>
  </si>
  <si>
    <t>internet use; organic fertilizer investment; access to credit; apple growers</t>
  </si>
  <si>
    <t>FINANCIAL ACCESS; MOBILE MONEY; RICE FARMERS; ADOPTION; ICT; BEHAVIOR; INFORMATION; PERCEPTION; HOUSEHOLDS; PROMOTE</t>
  </si>
  <si>
    <t>Encouraging farmers to increase the use of organic fertilizer will be conducive to promoting the green transformation of farmers' production and realize sustainable agricultural development. As a long-term investment, the accuracy of farmers' access to organic fertilizer information and the supporting role of credit are important factors that affect their organic fertilizer application decisions. However, the existence of information asymmetry in the organic fertilizer market and the credit constraints in the financial market, which restricts the enthusiasm of farmers to apply organic fertilizer. In recent years, the rapid development of the Internet in China's rural areas has effectively alleviated the degree of information asymmetry in rural areas, and improved farmers' access to credit, which provides a new opportunity for farmers to increase the application rate of organic fertilizer. This study takes 1030 apple growers in the main apple production areas of China as the research object, and employs Tobit model, IV-Tobit model and mediation effect model to explore the impact of internet use on farmers' organic fertilizer investment. The results show that internet use can promote farmers' organic fertilizer investment. After addressing the endogeneity issue and the robustness test, the conclusion is still robust. Heterogeneity analysis shows that internet use has a more significant impact on organic fertilizer investment in the older generation and the large-scale group of farmers. The mechanism analysis shows that internet use affects farmers' organic fertilizer investment through improving access to credit. Therefore, it is necessary to continuously improve the construction of rural digital infrastructure, accelerate the development of the Internet in rural areas, and actively guide financial resources to agriculture, so as to effectively promote the green transformation of agricultural production.</t>
  </si>
  <si>
    <t>[Weng, Feilong; Liu, Xuan; Huo, Xuexi] Northwest A&amp;F Univ, Coll Econ &amp; Management, Xianyang 712100, Peoples R China</t>
  </si>
  <si>
    <t>Northwest A&amp;F University - China</t>
  </si>
  <si>
    <t>Huo, XX (corresponding author), Northwest A&amp;F Univ, Coll Econ &amp; Management, Xianyang 712100, Peoples R China.</t>
  </si>
  <si>
    <t>xuexihuo@nwsuaf.edu.cn</t>
  </si>
  <si>
    <t>Huo, Xuexi/GPG-3739-2022</t>
  </si>
  <si>
    <t>10.3390/agriculture13010219</t>
  </si>
  <si>
    <t>7X7QS</t>
  </si>
  <si>
    <t>WOS:000914392800001</t>
  </si>
  <si>
    <t>Roy, JK; Vasa, L</t>
  </si>
  <si>
    <t>Roy, Jewel Kumar; Vasa, Laszlo</t>
  </si>
  <si>
    <t>Financial technology and environmental, social and governance in sustainable finance: a bibliometric and thematic content analysis</t>
  </si>
  <si>
    <t>Artificial intelligence; Bibliometric analysis; Environmental, social, and governance (ESG); Financial technology (Fintech); Sustainability; Sustainable finance; Thematic content analysis; G23; G32; O33</t>
  </si>
  <si>
    <t>The integration of Environmental, Social, and Governance (ESG) principles with Financial Technology (Fintech) has emerged as a pivotal mechanism for advancing sustainable finance. This study investigates the interplay between ESG and Fintech through bibliometric and thematic content analysis to uncover key research trends, thematic clusters, and existing knowledge gaps in this dynamic field. The research problem focuses on how FinTech innovations can support ESG-driven initiatives such as corporate social responsibility (CSR), financial inclusion, and sustainable development while addressing challenges like performance metrics and governance issues. By mapping the research landscape, the study identifies significant contributions from scholars, notably in China and the USA, and explores prominent themes, including the role of Fintech in ESG disclosures, corporate governance, and sustainability. Emerging technologies like AI and blockchain are also highlighted for their impact on ESG reporting. The findings reveal exponential academic interest in this domain but underscore critical industrial challenges, such as the absence of standardized ESG metrics and the limited application of Fintech in addressing sustainability issues. The study concludes by offering future research directions aimed at bridging these gaps and emphasizing the transformative potential of Fintech in driving sustainability across the financial sector.</t>
  </si>
  <si>
    <t>[Roy, Jewel Kumar] Szechenyi Istvan Univ, Doctoral Sch Reg &amp; Business Adm Sci, H-9026 Gyor, Hungary; [Roy, Jewel Kumar] Jatiya Kabi Kazi Nazrul Islam Univ, Fac Business Adm, Dept Finance &amp; Banking, Trishal 2224, Mymensingh, Bangladesh; [Vasa, Laszlo] Szechenyi Istvan Univ, Fac Econ, Egyet Ter 1, Gyor, Hungary</t>
  </si>
  <si>
    <t>University of Istvan Szechenyi; University of Istvan Szechenyi</t>
  </si>
  <si>
    <t>Roy, JK (corresponding author), Szechenyi Istvan Univ, Doctoral Sch Reg &amp; Business Adm Sci, H-9026 Gyor, Hungary.;Roy, JK (corresponding author), Jatiya Kabi Kazi Nazrul Islam Univ, Fac Business Adm, Dept Finance &amp; Banking, Trishal 2224, Mymensingh, Bangladesh.</t>
  </si>
  <si>
    <t>roy.jewel.kumar@sze.hu; vasa.laszlo@sze.hu</t>
  </si>
  <si>
    <t>Kumar Roy, Jewel/ABC-8010-2022; Vasa, Laszlo/V-4749-2018</t>
  </si>
  <si>
    <t>Kumar Roy, Jewel/0000-0002-9881-5915; Vasa, Laszlo/0000-0002-3805-0244</t>
  </si>
  <si>
    <t>Szechenyi Istvan University (SZE)</t>
  </si>
  <si>
    <t>Open access funding provided by Szechenyi Istvan University (SZE).</t>
  </si>
  <si>
    <t>10.1007/s43621-025-00934-2</t>
  </si>
  <si>
    <t>Y8O0U</t>
  </si>
  <si>
    <t>WOS:001434634600001</t>
  </si>
  <si>
    <t>Gupta, S; Pattillo, CA; Wagh, S</t>
  </si>
  <si>
    <t>Gupta, Sanjeev; Pattillo, Catherine A.; Wagh, Smita</t>
  </si>
  <si>
    <t>Effect of Remittances on Poverty and Financial Development in Sub-Saharan Africa</t>
  </si>
  <si>
    <t>remittances; poverty; financial development; Africa</t>
  </si>
  <si>
    <t>INTERNATIONAL MIGRATION; DEVELOPING-COUNTRIES; INCOME-DISTRIBUTION; PRODUCTIVITY; INEQUALITY; GROWTH</t>
  </si>
  <si>
    <t>This paper assesses the effect of the steadily growing remittance flows to sub-Saharan Africa. Though the region receives only a small portion of the total recorded remittances to developing countries, and the volume of aid flows to sub-Saharan Africa swamps remittances, this paper finds that remittances. Which are a stable, private transfer, have a direct poverty-mitigating effect, and promote financial development. These findings hold even after factoring in the reverse causality between remittances, poverty, and financial development. The paper posits that formalizing such flows can serve its an effective access point for unbanked individuals. and households. Published by Elsevier Ltd.</t>
  </si>
  <si>
    <t>[Gupta, Sanjeev; Pattillo, Catherine A.; Wagh, Smita] Int Monetary Fund, Washington, DC 20431 USA</t>
  </si>
  <si>
    <t>Gupta, S (corresponding author), Int Monetary Fund, Washington, DC 20431 USA.</t>
  </si>
  <si>
    <t>10.1016/j.worlddev.2008.05.007</t>
  </si>
  <si>
    <t>391ZT</t>
  </si>
  <si>
    <t>WOS:000262273400009</t>
  </si>
  <si>
    <t>Brandl, B; Dieterich, L</t>
  </si>
  <si>
    <t>Brandl, Barbara; Dieterich, Lilith</t>
  </si>
  <si>
    <t>The exclusive nature of global payments infrastructures: the significance of major banks and the role of tech-driven companies</t>
  </si>
  <si>
    <t>Financial infrastructure; blockchain; sociology of money; banks; financial inclusion; FinTech</t>
  </si>
  <si>
    <t>MONEY; COMPETITION; INNOVATION; ACCESS; MONIES</t>
  </si>
  <si>
    <t>Despite the narrative of a globalized economy, there is no effectively working global payment system. Although there is an infrastructure that allows the transmission of data about global payments, the movement of actual money is executed indirectly, making it an incalculable endeavor. The reason is that money is not simply data, but a complex bundle of rights closely tied to the nation state. In the absence of infrastructure that reliably links payments with guarantees of the nation state, intermediaries that facilitate global payments are forced to create trust in a different way. This is only possible by occupying a highly centralized and therefore powerful position. In this article, we investigate which actors were historically able to hold such a position and how these actors are challenged by digitalization. We suggest that there are three models of payment infrastructure provision. Bank-based systems were dominant until the 1980s, but in the following decades, a second model emerged: the provision of financial infrastructure by global companies. Since the early 2000s, we see a third model: the entrance of tech-driven companies in the payment sector. We conclude that digital technologies will not necessarily solve the problems, but might in fact exacerbate them.</t>
  </si>
  <si>
    <t>[Brandl, Barbara; Dieterich, Lilith] Goethe Univ, Dept Social Sci, Frankfurt, Germany</t>
  </si>
  <si>
    <t>Brandl, B (corresponding author), Goethe Univ, Dept Social Sci, Frankfurt, Germany.</t>
  </si>
  <si>
    <t>brandl@soz.uni-frankfurt.de</t>
  </si>
  <si>
    <t>Brandl, Barbara/0000-0001-5478-2819</t>
  </si>
  <si>
    <t>10.1080/09692290.2021.2016470</t>
  </si>
  <si>
    <t>D3WO0</t>
  </si>
  <si>
    <t>WOS:000734956700001</t>
  </si>
  <si>
    <t>Fan, JY; Wang, K; Xu, ML</t>
  </si>
  <si>
    <t>Fan, Jiaying; Wang, Kai; Xu, Meiling</t>
  </si>
  <si>
    <t>Does digital finance development affect corporate cash holdings? Evidence from China</t>
  </si>
  <si>
    <t>Digital finance; corporate cash holdings; financial constraints; debt cost; G11; G30; G32</t>
  </si>
  <si>
    <t>FINTECH; TRANSFORMATION</t>
  </si>
  <si>
    <t>This paper examines how the level of development of digital finance affects corporate cash holdings. By utilising the Digital Finance Inclusive Finance Index compiled by the Internet Finance Research Center of Peking University and data from China's listed companies, this paper finds that the development level of digital finance where a company is located is negatively correlated with corporate cash holdings. Furthermore, the negative effect of digital finance is more pronounced for non-state-owned enterprises and companies in the early stages of their life cycles. Additional tests show that digital finance can reduce a corporation's financial constraints and debt costs, and the coverage breadth and usage depth of digital finance have also significantly reduced the level of cash holdings for enterprises. Our findings provide insights for understanding the role of digital finance in firm behaviour in emerging economies.</t>
  </si>
  <si>
    <t>[Fan, Jiaying] East China Univ Polit Sci &amp; Law, Business Sch, Shanghai, Peoples R China; [Wang, Kai] Capital Univ Econ &amp; Business, Coll Business Adm, Beijing, Peoples R China; [Xu, Meiling] Shanghai Int Studies Univ, Sch Business &amp; Management, Shanghai, Peoples R China</t>
  </si>
  <si>
    <t>East China University Political Science &amp; Law; Capital University of Economics &amp; Business; Shanghai International Studies University</t>
  </si>
  <si>
    <t>Wang, K (corresponding author), Capital Univ Econ &amp; Business, Coll Business Adm, Beijing 100070, Peoples R China.</t>
  </si>
  <si>
    <t>wangkai@cueb.edu.cn</t>
  </si>
  <si>
    <t>Fan, jiaying/KHC-6462-2024</t>
  </si>
  <si>
    <t>Xu, Meiling/0009-0005-5715-8479</t>
  </si>
  <si>
    <t>Program of National Natural Science Foundation of China [71972134]; Project of Cultivation for Young Top-notch Talents of Beijing Municipal Institutions [BPHR202203163]; Academic Innovation Team of Capital University of Economics and Business [XSCXTD202404]</t>
  </si>
  <si>
    <t>Program of National Natural Science Foundation of China(National Natural Science Foundation of China (NSFC)); Project of Cultivation for Young Top-notch Talents of Beijing Municipal Institutions; Academic Innovation Team of Capital University of Economics and Business</t>
  </si>
  <si>
    <t>This research was funded by the Program of National Natural Science Foundation of China (Grant Numbers: 71972134), the Project of Cultivation for Young Top-notch Talents of Beijing Municipal Institutions (Grant Number: BPHR202203163), and Academic Innovation Team of Capital University of Economics and Business (Grant Number: XSCXTD202404).</t>
  </si>
  <si>
    <t>10.1080/09537325.2024.2389137</t>
  </si>
  <si>
    <t>C2082</t>
  </si>
  <si>
    <t>WOS:001289465700001</t>
  </si>
  <si>
    <t>Soria-Quijaite, J; Ramos-Sandoval, R; Abal, RL; Ramirez, CC</t>
  </si>
  <si>
    <t>Soria-Quijaite, Juan; Ramos-Sandoval, Rosmery; Abal, Rodrigo Loayza; Ramirez, Ciro Candiotti</t>
  </si>
  <si>
    <t>Improving Financial Inclusion Using Fuzzy Logic Models to Assess Credit Risk Profiles: A Case Study of Family Farmers in Peru</t>
  </si>
  <si>
    <t>INTERNATIONAL JOURNAL OF FUZZY LOGIC AND INTELLIGENT SYSTEMS</t>
  </si>
  <si>
    <t>Fuzzy logic; Inference rules; Credit risk; Payment behavior; Peruvian farmers</t>
  </si>
  <si>
    <t>GUIDELINES; SYSTEMS</t>
  </si>
  <si>
    <t>Fuzzy logic represents a systematic approach that may prove beneficial in the exploration of financial behavior and credit risk profiles, with the potential to enhance financial inclusion. In this study, fuzzy logic is employed to ascertain the payment behavior indicators of family farmers in Peru. A total of 64 fuzzy rules were validated using the Mamdani method and a fuzzy inference engine was subsequently developed. Consequently, the accuracy of the payment behavior profile of the surveyed farmers was evaluated using a model constructed and assessed with the assistance of a psychometric instrument, which was employed to determine variables such as effective financial decision-making, self-control, and attitude towards money. The payment behavior profile of farmers was considered the dependent variable. The results are used to validate the accuracy of the model and the performance of its architecture and design using the Mamdani method, proposed fuzzy rules, and membership functions used in the fuzzy sets.</t>
  </si>
  <si>
    <t>[Soria-Quijaite, Juan; Abal, Rodrigo Loayza; Ramirez, Ciro Candiotti] Univ Tecnol Peru, Dept Syst Engn, Lima, Peru; [Ramos-Sandoval, Rosmery] Univ Tecnol Peru, Dept Business Adm, Lima, Peru</t>
  </si>
  <si>
    <t>Universidad Tecnologica del Peru; Universidad Tecnologica del Peru</t>
  </si>
  <si>
    <t>Ramos-Sandoval, R (corresponding author), Univ Tecnol Peru, Dept Business Adm, Lima, Peru.</t>
  </si>
  <si>
    <t>rramoss@utp.edu.pe</t>
  </si>
  <si>
    <t>Sandoval, Rosmery/P-7703-2019; SORIA QUIJAITE, JUAN JESUS/AAP-4832-2020</t>
  </si>
  <si>
    <t>Universidad Tecnologica del Peru [P-2023-LIM-01]</t>
  </si>
  <si>
    <t>Universidad Tecnologica del Peru</t>
  </si>
  <si>
    <t>This study was supported by an Universidad Tecnologica del Peru (Grant No. P-2023-LIM-01) .</t>
  </si>
  <si>
    <t>KOREAN INST INTELLIGENT SYSTEMS</t>
  </si>
  <si>
    <t>RM 603, KOREA SCIENCE &amp; TECHNOLOGY CENTER, 22, TEHERAN-RO 7-GIL, GANGNAM-GU, SEOUL, 135-703, SOUTH KOREA</t>
  </si>
  <si>
    <t>1598-2645</t>
  </si>
  <si>
    <t>2093-744X</t>
  </si>
  <si>
    <t>INT J FUZZY LOG INTE</t>
  </si>
  <si>
    <t>Int. J. Fuzzy Log. Intell. Syst.</t>
  </si>
  <si>
    <t>10.5391/IJFIS.2025.25.2.221</t>
  </si>
  <si>
    <t>4JC5T</t>
  </si>
  <si>
    <t>WOS:001519235800009</t>
  </si>
  <si>
    <t>Oyelami, LO; Adebiyi, SO; Adekunle, BS</t>
  </si>
  <si>
    <t>Oyelami, Lukman O.; Adebiyi, Sulaimon O.; Adekunle, Babatunde S.</t>
  </si>
  <si>
    <t>Electronic payment adoption and consumers' spending growth: empirical evidence from Nigeria</t>
  </si>
  <si>
    <t>E-payment; Adoption; Growth; ARDL; Survey; Consumer spending; Nigeria</t>
  </si>
  <si>
    <t>The study investigates the determinants of electronic payment adoption and the role of electronic payment on consumers' purchase decisions as well as its effects on consumers' spending growth in Nigeria. To achieve this, both primary and secondary data were deployed. The primary data were collected through a cross-sectional survey of banks' customers who have experienced the e-payment modes in Lagos state, Nigeria. The questionnaire was designed in line with Likert scale and validated. Fifty copies of the questionnaire were piloted. The copies retrieved were subjected to Cronbach alpha test of reliability. All the six variables were found to be reliable ranging between 0.725 and 0.828 Cronbach alpha values, which are within the acceptable limit. The sample size for this study, as determined through Cochran formulae is 384. In like manner, the instrument of data collection was administered on 420 respondents by using the multistage sampling technique to sample respondents across five divisions (locations) of Lagos. The data retrieved were analysed using descriptive (frequency and percentage) and inferential statistics (Pearson correlation, hierarchical regression analysis and analysis of variance). The results revealed that there is a positive significant relationship between electronic payment systems determinants (convenience, security and safety, trust, social influence) and e-payment adoption in Nigeria. These variables accounted for more than half ((3)/(5)) of what influences consumers' adoption of e-payment mode of transaction in Nigeria. The results from the estimations show that factors such as educational attainment, financial inclusion, income level, internet service availability and other financial infrastructures such as point-of-sale machines and mobile banking services are critical determinants of e-payment adoption in Nigeria. The results also indicate that electronic payment influences consumers' purchase decisions and thus increasing consumers' spending growth in Nigeria. The policy implication advanced by this study is that the Nigerian government can leverage on electronic payment to increase consumers' spending and thus improve aggregate demand which will consequently stimulate investment and economic growth in the country.</t>
  </si>
  <si>
    <t>[Oyelami, Lukman O.; Adekunle, Babatunde S.] Univ Lagos, Distance Learning Inst, Econ Unit, Lagos, Nigeria; [Adebiyi, Sulaimon O.] Univ Lagos, Fac Management Sci, Business Adm Dept, Lagos, Nigeria</t>
  </si>
  <si>
    <t>University of Lagos; University of Lagos</t>
  </si>
  <si>
    <t>Oyelami, LO (corresponding author), Univ Lagos, Distance Learning Inst, Econ Unit, Lagos, Nigeria.</t>
  </si>
  <si>
    <t>loyelami@unilag.edu.ng</t>
  </si>
  <si>
    <t>Oyelami, Lukman/T-2740-2019; Adebiyi, Sulaimon/AAQ-5770-2020</t>
  </si>
  <si>
    <t>Adebiyi, Sulaimon/0009-0001-0546-0060</t>
  </si>
  <si>
    <t>10.1186/s43093-020-00022-z</t>
  </si>
  <si>
    <t>KW6GL</t>
  </si>
  <si>
    <t>WOS:000521263200001</t>
  </si>
  <si>
    <t>Bhadra, S; Singh, KN</t>
  </si>
  <si>
    <t>Bhadra, Shubhasree; Singh, Kamakhya Narain</t>
  </si>
  <si>
    <t>Ponzi scheme like investment schemes in India - causes, impact and solution</t>
  </si>
  <si>
    <t>Financial inclusion; Financial education; Ponzi schemes; Collective investment schemes; Investor education and protection; Unregulated deposit schemes</t>
  </si>
  <si>
    <t>SELF-CONTROL; CRIME</t>
  </si>
  <si>
    <t>PurposeNews items like A whopping 2 lakh gullible investors were cheated horizontal ellipsis horizontal ellipsis . amply illustrate the extent of problems and hardships caused by financial frauds related to Ponzi schemes, collective investment schemes (CIS), unregulated deposit schemes, etc. In India, over the years, many Ponzi and unregulated investment schemes have taken place, causing huge economic and financial loss to Indian economy. This paper aims to examine why investment such schemes like Ponzi schemes and CIS become popular, how such schemes got operated in different periods and what could be done to safeguard the interests of investors. Design/methodology/approachThe analysis is done based on secondary data and research work of various researchers, organisation and institutions, which are available in the public domain. FindingsThis paper has tried to analyse various characteristics of such fraudulent schemes, like their modus operandi, promotional activity, background of promoters and legal process involved in recouping financial loss of millions of investors. This paper also examines the demand-side factors that are responsible for popularity of those schemes in India. Noting the regulatory changes and other initiative taken by regulatory authorities to control the supply of unregulated investment schemes, this paper indicates potential actions, which could be undertaken to make people aware about the risks and issues related with such fraudulent schemes. Originality/valueThis paper gives an overview about various aspects of unregulated investment schemes, which have duped numerous people at different point of time. To the best of the authors' knowledge, this research work is original and has not been published in any other journal.</t>
  </si>
  <si>
    <t>[Bhadra, Shubhasree] St Xaviers Univ, Fac Commerce &amp; Management, Kolkata, India; [Singh, Kamakhya Narain] RaDev Grp, Delhi, India</t>
  </si>
  <si>
    <t>Bhadra, S (corresponding author), St Xaviers Univ, Fac Commerce &amp; Management, Kolkata, India.</t>
  </si>
  <si>
    <t>shubhasreebdg@gmail.com; knr.singh@yahoo.co.uk</t>
  </si>
  <si>
    <t>10.1108/JMLC-02-2023-0040</t>
  </si>
  <si>
    <t>FL6S5</t>
  </si>
  <si>
    <t>WOS:000999651200001</t>
  </si>
  <si>
    <t>Schilling, L; Seuring, S</t>
  </si>
  <si>
    <t>Schilling, Lara; Seuring, Stefan</t>
  </si>
  <si>
    <t>The Role of Information and Communication Technology in Managing Supply Chains in Base-of-the-Pyramid Markets</t>
  </si>
  <si>
    <t>Information and communication technology; Business; Costs; Faces; Supply chains; Regulation; Productivity; Base of the pyramid; information and commu-nication technology (ICT); supply chain management (SCM); transaction costs (TC)</t>
  </si>
  <si>
    <t>MANAGEMENT; COST; BOTTOM; OPPORTUNITIES; OPERATIONS; IMPACT; MICROFINANCE; BUSINESS</t>
  </si>
  <si>
    <t>The rapid development of information and communication technology (ICT) has created opportunities for supply chain performance improvements to address challenges in base-of-the-pyramid (BoP) contexts. The article aims to analyze how ICTs that provide information, financial access, and transaction applications serve as enablers for transaction cost (TC) reductions and supply chain management (SCM) improvements in the agricultural sector. The objectives of the article are reached by deducting explanations from a framework of existing TC and SCM theories while analyzing six exemplary case studies in Sub-Saharan Africa and South Asia. ICT enables the BoP market to improve its SCM activities. Three different ICT models can be identified: Some ICTs impact 1) information flows only, while others influence 2) financial flows or 3) material flows. TC reductions in the form of screening and selection, measurement, communication, negotiation, and coordination costs serve as explanations and theoretical foundations for these models. Future empirical research should evaluate the application of ICTs in more detail and validate the proposed framework with the help of other methods. The current study will help BoP actors, such as farmers or agricultural dealers, capture more value and reduce poverty through TC reductions and improved SCM. The findings are also applicable to other small businesses considering their industrial contexts. The main contribution of the article is that it brings together theoretical arguments from TC theory, SCM, and practical ICT developments in BoP markets. The framework provides a foundation for developing more in-depth empirical research.</t>
  </si>
  <si>
    <t>[Schilling, Lara; Seuring, Stefan] Univ Kassel, Supply Chain Management, D-34117 Kassel, Germany</t>
  </si>
  <si>
    <t>Universitat Kassel</t>
  </si>
  <si>
    <t>Seuring, S (corresponding author), Univ Kassel, Supply Chain Management, D-34117 Kassel, Germany.</t>
  </si>
  <si>
    <t>lara.schilling@uni-kassel.de; seuring@uni-kassel.de</t>
  </si>
  <si>
    <t>Seuring, Stefan/G-6087-2015; Schilling, Lara/IWE-0840-2023</t>
  </si>
  <si>
    <t>Seuring, Stefan/0000-0003-4204-9948; Schilling, Lara/0000-0002-2527-365X</t>
  </si>
  <si>
    <t>Deutscher Akademischer Austauschdienst, German Academic Exchange Service, Exploring focal firm's performance features in BoP SC management -taking the case of Pakistan [57459038, 57567483]</t>
  </si>
  <si>
    <t>Deutscher Akademischer Austauschdienst, German Academic Exchange Service, Exploring focal firm's performance features in BoP SC management -taking the case of Pakistan(Deutscher Akademischer Austausch Dienst (DAAD))</t>
  </si>
  <si>
    <t>This work was supported by the Deutscher Akademischer Austauschdienst, German Academic Exchange Service, Exploring focal firm's performance features in BoP SC management -taking the case of Pakistan under Grant 57459038 and Grant 57567483. Review of this manuscript was arranged by Department Editor C. Bai.</t>
  </si>
  <si>
    <t>10.1109/TEM.2022.3156527</t>
  </si>
  <si>
    <t>8Y7IH</t>
  </si>
  <si>
    <t>WOS:000773235600001</t>
  </si>
  <si>
    <t>Petratos, P; Baugus, B</t>
  </si>
  <si>
    <t>Petratos, Pythagoras; Baugus, Brian</t>
  </si>
  <si>
    <t>Free Banking Stablecoins</t>
  </si>
  <si>
    <t>monetary policy; central banks; free banking; decentralised finance; stablecoin; cryptocurrency financial innovation; financial engineering; E50; E51; E52; E42; E31; G21; G23</t>
  </si>
  <si>
    <t>DEPOSIT INSURANCE; TRANSPARENCY; INSTABILITY; PROTOCOL; RESERVES; LESSONS; BANKERS; CRISES</t>
  </si>
  <si>
    <t>Monetary policy and central banks faced significant challenges in recent decades, like the Great Recession and the 2008-2009 financial crisis, and the Global Inflation Surge of 2021-2022. The introduction of blockchain technology triggered major financial innovations. Nevertheless, the adoption of digital currencies and stablecoins in particular has been limited and does not have wide and everyday use, like national currencies. To understand non-national currency usage better, we examine free banking in Scotland and the U.S., and specifically note issuance. Lessons from these periods suggest the importance of reserves and coordination mechanisms. Based on these free banking cases, we propose that banks and corporations should have the freedom to issue their own stablecoins. More specifically, we examine the freedom for regulated banks to issue their own stablecoins in a competitive environment, learning from historical precedents how to manage such a system. Free banking stablecoins could provide significant benefits, especially in countries with unstable monetary systems, like emerging economies. Such benefits can range from better monetary policy, inflation targeting, and stability, to a broader range of innovative financial markets and services that can contribute towards entrepreneurship, investments, and economic development. Citizens, entrepreneurs, and domestic and foreign investors can gain from these benefits. At the same time, the banking sector and financial institutions can maintain an important role and further expand and develop by offering innovative financial services in an evolving and challenging environment due to financial technology and disintermediation. Finally, governments and central banks could also benefit from increased financial inclusion, higher economic growth and development, but also from more competition and financial stability, and from financial innovation and technology services.</t>
  </si>
  <si>
    <t>[Petratos, Pythagoras] Univ Westminster, Westminster Business Sch, Marylebone Rd 35, London NW1 5LS, England; [Baugus, Brian] Regent Univ, Dept Business Leadership &amp; Management, 1000 Univ Dr, Virginia Beach, VA 23464 USA</t>
  </si>
  <si>
    <t>University of Westminster; Regent University</t>
  </si>
  <si>
    <t>Petratos, P (corresponding author), Univ Westminster, Westminster Business Sch, Marylebone Rd 35, London NW1 5LS, England.</t>
  </si>
  <si>
    <t>p.petratos@westminster.ac.uk</t>
  </si>
  <si>
    <t>10.3390/economies13110317</t>
  </si>
  <si>
    <t>F5694</t>
  </si>
  <si>
    <t>WOS:001623672900001</t>
  </si>
  <si>
    <t>Kunz, R; Maisenbacher, J; Paudel, LN</t>
  </si>
  <si>
    <t>Kunz, Rahel; Maisenbacher, Julia; Paudel, Lekh Nath</t>
  </si>
  <si>
    <t>The financialization of remittances: governing through emotions</t>
  </si>
  <si>
    <t>financialization; financial inclusion; emotions; dispositif; remittances; critical political economy; subversion</t>
  </si>
  <si>
    <t>MARRIAGE MIGRATION; DIASPORA OPTION; GOVERNMENTALITY; EVERYDAY; LOVE; POLITICS; FINANCE; SPACES</t>
  </si>
  <si>
    <t>In the context of the global financial crisis, remittances have become linked to the global financial inclusion agenda in a phenomenon called the 'financialization of remittances' (FOR). This article conceptualizes the FOR as adispositifto analyze how heterogeneous ways of linking remittances to finance form an ensemble that governs things and people and legitimizes particular policy interventions. We combine the concept of thedispositifwith insights from the literature on emotions to analyze how the FOR governs through an emotional regime to constitute particular objects and subjects-such as the 'remittance market' and the 'remittance family'. Through this emotional regime, the FOR establishes particular narratives regarding migration, remittances, and transnational families to embed remittances in the global financial architecture; and normalizes practices of turning transnational families into financial customers and entrepreneurs, and entrenching financial logics into their lives. Yet, emotions are also mobilized to subvert and resist the FOR and its emotional regime. More broadly, our analysis suggests that analyzing emotional governance is crucial to better understand financialization processes and expose their (fragile) nature and limits.</t>
  </si>
  <si>
    <t>[Kunz, Rahel; Maisenbacher, Julia; Paudel, Lekh Nath] Univ Lausanne, Inst Etud Polit IEP, Lausanne, Switzerland</t>
  </si>
  <si>
    <t>Kunz, R (corresponding author), Inst Etud Polit IEP, Quartier UNIL Mouline, Batiment Geopolis 4797, CH-1015 Lausanne, Switzerland.</t>
  </si>
  <si>
    <t>Rahel.Kunz@unil.ch</t>
  </si>
  <si>
    <t>10.1080/09692290.2020.1785923</t>
  </si>
  <si>
    <t>WO7JP</t>
  </si>
  <si>
    <t>WOS:000547527800001</t>
  </si>
  <si>
    <t>Ivashchenko, A; Polishchuk, Y; Britchenko, I</t>
  </si>
  <si>
    <t>Ivashchenko, Alla; Polishchuk, Yevheniia; Britchenko, Igor</t>
  </si>
  <si>
    <t>Implementation of ICO European best practices by SMEs</t>
  </si>
  <si>
    <t>ICO; Cryptocurrency; Token; Blockchain; Investment; Funding; Risk; Volatility; Regulation</t>
  </si>
  <si>
    <t>The article deals with a new financial tool of attracting capital, known as Initial Coin Offering (ICO). In conditions of reduced banking lending and difficult access to finance for SMEs, ICO is viewed to be one of the possible ways to access capital. It considers the main advantages and disadvantages of ICO performance, including its typical features, challenges and regulatory approaches to tax regulation, cybersecurity. The authors of the article determine stages of the ICO mechanism, identifying potential risks and ways to mitigate them, focusing primarily on the need to control and regulate ICO projects. The authors identify the main types of ICO funding, including hybrid and pure funding. The research contains an analysis of ICO trends and their duration for the period of 2013-2017. The capital raised through ICO performance over the period of 2013-2017 is analysed, and determination of the exponential trend line showing the level of its approximation is determined. The study covers the territorial distribution of ICO, in which the top positions regarding the amount of capital raised by ICO are attributed to the USA and EU member states. The existence of ICO regulation in European countries, such as Switzerland and UK, was defined positive in terms of further development of the relevant regulation in the financial market. The article considers the best ICO practices in EU member states. To mitigate risks relating to ICO performance and to increase the level of investment, it would be reasonable to create regulatory rules in every country where cases of ICO performance are reported, based on the practice of the mentioned European countries. The authors give recommendations regarding ICO regulation in Ukraine, taking into consideration the relevant European experience.</t>
  </si>
  <si>
    <t>[Ivashchenko, Alla; Polishchuk, Yevheniia] Kyiv Natl Econ Univ, 54-1 Peremohy Ave, UA-03680 Kiev, Ukraine; [Britchenko, Igor] State Higher Vocat Sch Mem Prof Stanislaw Tarnows, 50 Sienkiewicza Str, PL-39400 Tarnobrzeg, Poland</t>
  </si>
  <si>
    <t>Ivashchenko, A (corresponding author), Kyiv Natl Econ Univ, 54-1 Peremohy Ave, UA-03680 Kiev, Ukraine.</t>
  </si>
  <si>
    <t>alla.ivashchenko@kneu.edu.ua; yivga_83@ukr.net; ibritchenko@gmail.com</t>
  </si>
  <si>
    <t>Polishchuk, Yevheniia/J-5444-2018; Britchenko, Igor/H-9866-2018; Ivashchenko, Alla/J-1444-2018</t>
  </si>
  <si>
    <t>Polishchuk, Yevheniia/0000-0002-6133-910X; Britchenko, Igor/0000-0002-9196-8740; Ivashchenko, Alla/0000-0002-4599-7137</t>
  </si>
  <si>
    <t>JUL 19</t>
  </si>
  <si>
    <t>10.21003/ea.V169-13</t>
  </si>
  <si>
    <t>GQ9OZ</t>
  </si>
  <si>
    <t>WOS:000442111200013</t>
  </si>
  <si>
    <t>Kljucnikov, A; Civelek, M; Kupec, V; Badie, NB</t>
  </si>
  <si>
    <t>Kljucnikov, Aleksandr; Civelek, Mehmet; Kupec, Vaclav; Badie, Natalie Bruder</t>
  </si>
  <si>
    <t>Breaking down entrepreneurial barriers: exploring the nexus of entrepreneurial behavior, innovation, and bank credit access through the lens of the theory of planned behavior</t>
  </si>
  <si>
    <t>Innovation Performance; Entrepreneurship; Bank Credit; Financial Management; Theory of Planned Behaviour; Access to Finance</t>
  </si>
  <si>
    <t>FIRM PERFORMANCE; MEDIATING ROLE; SERVICE INNOVATION; EMPIRICAL-EVIDENCE; FAMILY FIRMS; BUSINESS; KNOWLEDGE; SMES; FINANCE; INTENTIONS</t>
  </si>
  <si>
    <t>Access to finance is a primary concern for enterprises, serving as a critical component of tangible resources within the Resource-based View (RBV) framework and driving entrepreneurial activities globally. Bank credit stands as the preferred source of debt financing for enterprises, yet information asymmetry between lenders and borrowers poses significant credit obstacles. To address these challenges, we leverage the Theory of Planned Behavior (TPB), contending that entrepreneurs' personal attitudes, perceived behavioral control, and subjective norms influence bank credit access. Additionally, we argue that innovation performance, an intangible resource within RBV, facilitates credit access by enhancing firms' quality and creditworthiness from lenders' perspectives. This paper aims to examine the relationships between TPB constructs, bank credit access, and innovation performance, as well as the mediating role of innovation performance, through an analysis of 1367 enterprises across diverse European countries. Our findings reveal that innovation performance fully and inconsistently mediates the relationships between personal attitude-credit access and subjective norm-credit access, as the direct impacts of personal attitude and subjective norm on bank finance are found to be insignificant and negative, respectively. These results underscore the pivotal role of innovation performance in linking entrepreneurial behaviors to credit access, contributing to the uniqueness of this research within the entrepreneurship literature. Moreover, our study emphasizes the need for training initiatives that foster innovative and entrepreneurial attitudes among firm executives, thereby facilitating easier credit access. As highlighted by our cross-cultural analyses, these implications extend beyond national borders, offering valuable insights for enhancing credit accessibility across diverse contexts.</t>
  </si>
  <si>
    <t>[Kljucnikov, Aleksandr; Civelek, Mehmet] Pan European Univ, European Ctr Business Res, Prague, Czech Republic; [Kljucnikov, Aleksandr] Pan European Univ, Fac Econ &amp; Entrepreneurship, Bratislava, Slovakia; [Kupec, Vaclav; Badie, Natalie Bruder] Prague Univ Econ &amp; Business, Fac Business Adm, Prague, Czech Republic</t>
  </si>
  <si>
    <t>Pan-European University; Prague University of Economics &amp; Business</t>
  </si>
  <si>
    <t>Civelek, M (corresponding author), Pan European Univ, European Ctr Business Res, Prague, Czech Republic.</t>
  </si>
  <si>
    <t>mehmet.civelek@peuni.cz</t>
  </si>
  <si>
    <t>Ključnikov, Aleksan/K-6273-2018; Kupec, Vaclav/GLS-2579-2022</t>
  </si>
  <si>
    <t>Ključnikov, Aleksan/0000-0003-0350-2658; Bruder Badie, Natalie/0000-0002-7326-9188; Civelek, Mehmet/0000-0002-1247-5308;</t>
  </si>
  <si>
    <t>Agentra na Podporu Vskumu a Vvoja [09I03-03-V04-00004]; EU through the Recovery and Resilience Plan for Slovakia [APVV-23-0562]; Slovak Research and Development Agency</t>
  </si>
  <si>
    <t>Agentra na Podporu Vskumu a Vvoja; EU through the Recovery and Resilience Plan for Slovakia; Slovak Research and Development Agency(Slovak Research and Development AgencyInstituto Politecnico Nacional - Mexico)</t>
  </si>
  <si>
    <t>This work was supported by the EU through the Recovery and Resilience Plan for Slovakia under project 09I03-03-V04-00004. This work was supported by the Slovak Research and Development Agency under the Contract no. APVV-22-0524. This work was also supported by the Slovak Research and Development Agency under the Contract no. APVV-23-0562.</t>
  </si>
  <si>
    <t>10.1007/s11365-024-01025-w</t>
  </si>
  <si>
    <t>L2E0U</t>
  </si>
  <si>
    <t>WOS:001348891000001</t>
  </si>
  <si>
    <t>Emerging trends in Fintech and Islamic finance: acomprehensive review</t>
  </si>
  <si>
    <t>Financial technology; Islamic finance; Sharia compliance; Financial inclusion; Cryptocurrency</t>
  </si>
  <si>
    <t>TRANSFORMATION; BANKING</t>
  </si>
  <si>
    <t>PurposeThis study aims to analyse the growing domain of Islamic Fintech through a methodical review of literature, to demarcate its present scope and identify prospective avenues for further investigation.Design/methodology/approachFollowing preferred reporting items for systematic review and meta-analysis guidelines, the authors meticulously analysed 17 pivotal sources, illuminating the Islamic Fintech landscape's inherent operational, regulatory and market challenges.FindingsThe findings outline five thematic clusters derived from existing literature: cryptocurrency adoption, financial inclusion, consumer behaviour and compliance, technology innovation and crisis management. This review underscores a prevalent emphasis on regulatory and Shariah compliance issues, highlighting the need for more research on innovation.Research limitations/implicationsDespite the thorough approach taken, the study's findings are inevitably influenced by the relative novelty of Islamic Fintech and the limited literature available. Nonetheless, this research is expected to contribute substantially to the field's theoretical foundations.Practical implicationsIn terms of practical implications, this research offers insights to practitioners and policymakers in Islamic finance, illuminating uncharted territories ripe for future development.Originality/valueThe paper's original value lies in the proposed conceptual model derived from the literature, paving the way for future academic discourse and research in Islamic Fintech.</t>
  </si>
  <si>
    <t>[Jegerson, Devid; Mertzanis, Charilaos] Abu Dhabi Univ, Abu Dhabi, U Arab Emirates; [Khan, Mehmood] Univ Sharjah, Sharjah, U Arab Emirates</t>
  </si>
  <si>
    <t>Abu Dhabi University; University of Sharjah</t>
  </si>
  <si>
    <t>Jegerson, D (corresponding author), Abu Dhabi Univ, Abu Dhabi, U Arab Emirates.</t>
  </si>
  <si>
    <t>djegerson@gmail.com; charilaos.mertzanis@adu.ac.ae; Mehmood.Khan@sharjah.ac.ae</t>
  </si>
  <si>
    <t>10.1108/JIMA-07-2023-0218</t>
  </si>
  <si>
    <t>9XO3X</t>
  </si>
  <si>
    <t>WOS:001617418900001</t>
  </si>
  <si>
    <t>Akim, A; Ayivodji, F; Kouton, J</t>
  </si>
  <si>
    <t>Akim, Al-Mouksit; Ayivodji, Firmin; Kouton, Jeffrey</t>
  </si>
  <si>
    <t>Food security and the COVID-19 employment shock in Nigeria: Any ex-ante mitigating effects of past remittances?</t>
  </si>
  <si>
    <t>COVID-19; Remittances; Employment shock; Food insecurity; Insurance; Africa</t>
  </si>
  <si>
    <t>FINANCIAL INCLUSION; DIFFERENCE; INSURANCE</t>
  </si>
  <si>
    <t>This paper examines the role of past remittances in mitigating the adverse effects of COVID-19 employment shocks on food security in Nigeria. We formally define the mitigating effects parameter as the difference in the shock impact between households that received remittances and those that did not. Leveraging pre-and post-COVID-19 surveys, we employ a triple-difference strategy to estimate the mitigating effects parameter. Our results suggest that past remittances can alleviate the negative consequences of COVID-19 employment shocks, particularly in the short term. Indeed, the mitigation effect is limited to the early stages of the pandemic, as the negative effects of the shock persist over time. Additionally, we find that the impact of remittances on mitigating the shock varies based on the origin of remittances, recipients' area of residence, and poverty status. Furthermore, our study highlights the importance of the capital channel in explaining the mitigating role of past remittances. Our findings demonstrate that formal financial inclusion, capital ownership such as livestock, and rental earnings amplify the impact of remittances in mitigating the negative consequences of COVID-19 employment shocks on food security.</t>
  </si>
  <si>
    <t>[Akim, Al-Mouksit] Mohammed VI Polytech Univ UM6P, AIRESS, FGSES, Ben Guerir, Morocco; [Akim, Al-Mouksit] Univ Paris 09, IRD, CNRS, DIAL,UMR 260,LEDa, Paris, France; [Ayivodji, Firmin] Univ Montreal, Montreal, PQ, Canada; [Kouton, Jeffrey] Ecole Natl Super Stat &amp; Econ Appliquee, Abidjan, Cote Ivoire</t>
  </si>
  <si>
    <t>Mohammed VI Polytechnic University; Institut de Recherche pour le Developpement (IRD); Universite PSL; Universite Paris-Dauphine; Centre National de la Recherche Scientifique (CNRS); Laboratoire dEconomie de Dauphine LEDa; Universite de Montreal; Ecole Nationale Superieure de Statistique et d'Economie Appliquee (ENSEA) d'Abidjan</t>
  </si>
  <si>
    <t>Akim, A (corresponding author), Mohammed VI Polytech Univ UM6P, AIRESS, FGSES, Ben Guerir, Morocco.</t>
  </si>
  <si>
    <t>akim.almouksit@um6p.ma; firmin.ayivodji@umontreal.ca; jeffrey.kouton@ensea.edu.ci</t>
  </si>
  <si>
    <t>Kouton, Jeffrey/AAZ-7996-2020; Akim, Al-mouksit/CAF-0587-2022</t>
  </si>
  <si>
    <t>Kouton, Jeffrey/0000-0002-3676-5166; Akim, Al-mouksit/0000-0003-3255-0448</t>
  </si>
  <si>
    <t>10.1016/j.foodpol.2023.102574</t>
  </si>
  <si>
    <t>EI3H7</t>
  </si>
  <si>
    <t>WOS:001138250200001</t>
  </si>
  <si>
    <t>Pramani, R; Iyer, SV</t>
  </si>
  <si>
    <t>Pramani, Rahul; Iyer, S. Veena</t>
  </si>
  <si>
    <t>Adoption of payments banks: a grounded theory approach</t>
  </si>
  <si>
    <t>Payments bank; Financial inclusion; Financial services; Customer adoption; Bottom-of-the-pyramid (BOP) adoption; Innovation</t>
  </si>
  <si>
    <t>SERVICE DELIVERY; CUSTOMER ADOPTION; TECHNOLOGY; BEHAVIOR; FINTECH; MODEL</t>
  </si>
  <si>
    <t>Payments banks came into existence in India in 2015 when the Reserve Bank of India awarded licenses to eleven applicants to set up these banks specifically to further financial inclusion by providing small savings accounts and facilitating payments and remittances to the financially excluded population. As of March 2020, only six of these were operative and not very successful, both from the profitability and customer growth perspectives. This article seeks to understand the reason for payments banks not taking off as envisaged. Attributing this primarily to low adoption of payments banks by the financially excluded customer segments, this study uses a grounded theory approach based on data collected from interviews of target customer groups and of managers at some payments banks. The primary factors contributing to low adoption by the customer segments studied here, namely migrant labor and small vendors, have been identified as lack of awareness, lack of trust and lack of perceived need for their products/services. These factors arise due to inconsistencies between the business model design and the nature of the target audience. The article further discusses managerial and policy implications of these conclusions.</t>
  </si>
  <si>
    <t>[Pramani, Rahul; Iyer, S. Veena] Management Dev Inst Gurgaon, Gurugram, Haryana, India</t>
  </si>
  <si>
    <t>Iyer, SV (corresponding author), Management Dev Inst Gurgaon, Gurugram, Haryana, India.</t>
  </si>
  <si>
    <t>s.veena@mdi.ac.in</t>
  </si>
  <si>
    <t>Pramani, Rahul/0000-0003-4007-9254; Iyer, S Veena/0000-0002-2008-5000</t>
  </si>
  <si>
    <t>10.1057/s41264-021-00133-w</t>
  </si>
  <si>
    <t>WOS:000742270400001</t>
  </si>
  <si>
    <t>Habash, N; Tuffaha, M; Jum'a, L</t>
  </si>
  <si>
    <t>Habash, Nojoud; Tuffaha, Mohand; Jum'a, Luay</t>
  </si>
  <si>
    <t>Determinants of FinTech service utilization and access factors: case of Palestine</t>
  </si>
  <si>
    <t>FinTech; Palestine; Emerging economy; GLM regression; TPB theory</t>
  </si>
  <si>
    <t>PLANNED BEHAVIOR; PAYMENT SERVICES; ADOPTION</t>
  </si>
  <si>
    <t>PurposeThis study addresses the challenges of accessibility to financial technology (FinTech) services in emerging markets, focusing on Palestine as a case study. The purpose of this study is to examine the determinants influencing access to and usage of FinTech services in this context, amidst the unprecedented disruptions faced by the conventional financial system due to decentralization and the removal of physical barriers in the dynamic landscape of FinTech.Design/methodology/approachTo investigate the determinants shaping FinTech access and usage, the study uses a robust multinomial generalized linear model regression analysis. The analysis is based on a nationally representative secondary survey dataset on financial inclusion from the year 2022. The study uses the theory of planned behavior (TPB) to dissect the factors influencing FinTech usage, adding a distinctive layer to existing literature, particularly within the specific context of a developing country like Palestine.FindingsThe study reveals significant insights into the challenges of financial inclusion in Palestine. Economic conditions and individual income levels emerge as formidable obstacles impacting both the accessibility and utilization of FinTech services. These factors intertwine with motivational and attitudinal behaviors among the surveyed population. A noteworthy finding is the nuanced revelation that individual motivation plays a more potent role than attitude in steering the decision-making process surrounding FinTech adoption. The findings contribute to a deeper understanding of FinTech dynamics in emerging markets.Research limitations/implicationsThe paper not only contributes valuable insights to academic discourse but also formulates pragmatic policy recommendations tailored for both policymakers and FinTech service providers. While providing valuable insights, this study is not without limitations. The study focuses on Palestine, and the extent to which findings can be extrapolated to other emerging markets requires careful consideration. Furthermore, the research acknowledges the complexity of individual motivations, and the TPB may not capture all relevant psychological factors influencing FinTech adoption. These limitations should be taken into account when interpreting the results in the field of FinTech in emerging markets.Practical implicationsThe paper not only contributes valuable insights to academic discourse but also formulates pragmatic policy recommendations tailored for both policymakers and FinTech service providers, mainly in creating and/or improving an enabling environment for FinTech-based microfinance services, such as alternative financing products tailored to specific underserved segments that cannot afford the costs of traditional financial services.Originality/valueThis research introduces original contributions to the existing literature by applying the TPB to dissect the determinants of FinTech usage within the specific context of a developing country, Palestine. The study goes beyond conventional analyses by exploring the intricate interplay between economic conditions, individual income levels, motivational factors and attitudinal behaviors in shaping FinTech access and usage. This innovative approach adds a distinctive layer to current research on FinTech dynamics in emerging markets.</t>
  </si>
  <si>
    <t>[Habash, Nojoud; Tuffaha, Mohand] Birzeit Univ, Coll Business &amp; Econ, Business Adm &amp; Mkt Dept, Birzeit, Palestine; [Jum'a, Luay] German Jordanian Univ GJU, Business Sch BS, Amman, Jordan</t>
  </si>
  <si>
    <t>Habash, N (corresponding author), Birzeit Univ, Coll Business &amp; Econ, Business Adm &amp; Mkt Dept, Birzeit, Palestine.</t>
  </si>
  <si>
    <t>nshabash@birzeit.edu; mtuffaha@birzeit.edu; Luay.juma@gju.edu.jo</t>
  </si>
  <si>
    <t>Tuffaha, Mohand/HJH-3238-2023; Jum'a, Luay/AAT-1838-2021; Habash, Nojoud/C-5834-2018</t>
  </si>
  <si>
    <t>Tuffaha, Mohand/0000-0003-4055-1731;</t>
  </si>
  <si>
    <t>2025 MAY 22</t>
  </si>
  <si>
    <t>10.1108/JSTPM-02-2024-0057</t>
  </si>
  <si>
    <t>2TR8T</t>
  </si>
  <si>
    <t>WOS:001491074000001</t>
  </si>
  <si>
    <t>Sirikanchanarak, D; Liu, JX; Sriboonchitta, S</t>
  </si>
  <si>
    <t>Sirikanchanarak, Duangthip; Liu, Jianxu; Sriboonchitta, Songsak</t>
  </si>
  <si>
    <t>Measurement and Comparison of Rice Production Efficiency in Thailand and India: An Efficient Frontier Approach</t>
  </si>
  <si>
    <t>THAI JOURNAL OF MATHEMATICS</t>
  </si>
  <si>
    <t>entropy; support point; prior information; technical efficiency</t>
  </si>
  <si>
    <t>MAXIMUM-ENTROPY APPROACH</t>
  </si>
  <si>
    <t>The main objective of this research is to measure production frontiers and technical efficiencies of a whole rice production in Thailand and India which are two of the major exporters in the global rice market. In addition, we attempt to investigate the development of technical efficiencies of rice productions in both countries between 2002 to 2014. Due to the limitation of the available time-series, an efficient frontier model (EFM) has been chosen because it is more efficient than the traditional stochastic frontier model (TSFM) in the case of small size of data both theoretically and practically. The results show that the EFM gives us better performances than the TSFM. Almost all inputs have positive relations with rice outputs as we expected. The considered factors of seed and pesticide have negative effects on Thailand and India's rice outputs. Concerning the technical efficiency development, the experiment reveals that the technical efficiencies in utilizing resources of Thailand and India are in high level. Furthermore, the technical efficient score of India increased from 0.87 in 2002 to 0.98 in 2014 whereas that of Thailand decreased from 0.96 to 0.94 during the same period. Therefore, we conclude that India had more developments in technical efficiencies than Thailand. In a conclusion, we have policy recommendations of (1) increase more research on the usage of the inputs and the vocational trainings than those on the production scale in order to enhance the efficiencies in the production of rice, (2) provide the farmers on the financial access along with the financial education, and (3) implement zoning on the country-wide agricultures.</t>
  </si>
  <si>
    <t>[Sirikanchanarak, Duangthip; Liu, Jianxu; Sriboonchitta, Songsak] Chiang Mai Univ, Fac Econ, Chiang Mai 50200, Thailand</t>
  </si>
  <si>
    <t>Liu, JX (corresponding author), Chiang Mai Univ, Fac Econ, Chiang Mai 50200, Thailand.</t>
  </si>
  <si>
    <t>doungtis@gmail.com; liujianxu1984@163.com; songsakecon@gmail.com</t>
  </si>
  <si>
    <t>Liu, Jianxu/ABI-1983-2020</t>
  </si>
  <si>
    <t>, JIANXU/0000-0002-2128-6015; Sirikanchanarak, Duangthip/0000-0002-5916-4208</t>
  </si>
  <si>
    <t>Puey Ungphakorn Centre of Excellence in Econometrics, Faculty of Economics, Chiang Mai University; Bank of Thailand</t>
  </si>
  <si>
    <t>The financial supports for this research has been provided by the Puey Ungphakorn Centre of Excellence in Econometrics, Faculty of Economics, Chiang Mai University. The first author is grateful to the full scholarship from the Bank of Thailand and to Mr. Tanarat Rattanadamrongaksorn for his assistances</t>
  </si>
  <si>
    <t>CHIANG MAI UNIV, FAC SCIENCE</t>
  </si>
  <si>
    <t>CHIANG MAI</t>
  </si>
  <si>
    <t>239 HUAY KAEW RD, T SUTHEP, CHIANG MAI, 50200, THAILAND</t>
  </si>
  <si>
    <t>1686-0209</t>
  </si>
  <si>
    <t>THAI J MATH</t>
  </si>
  <si>
    <t>Thai J. Math.</t>
  </si>
  <si>
    <t>FS9JJ</t>
  </si>
  <si>
    <t>WOS:000422733900020</t>
  </si>
  <si>
    <t>Ölkers, T; Musshoff, O</t>
  </si>
  <si>
    <t>Oelkers, Tim; Musshoff, Oliver</t>
  </si>
  <si>
    <t>Exploring the role of interest rates, macroeconomic environment, agricultural cycle, and gender on loan demand in the agricultural sector: Evidence from Mali</t>
  </si>
  <si>
    <t>agricultural credit; agricultural cycle; agricultural finance; gender; interest rate elasticity; loan demand; Mali</t>
  </si>
  <si>
    <t>RURAL CREDIT MARKETS; SEASONAL MIGRATION; MODEL SELECTION; MONETARY-POLICY; FARM CREDIT; MICROFINANCE; ELASTICITIES; CONSTRAINTS; MAIZE; RISK</t>
  </si>
  <si>
    <t>Formal credit plays an important role for the development of the agriculture sector in developing countries because many farmers are characterized as liquidity constrained. Access to credit can increase farmers' purchasing power for inputs and agricultural technology, thus raising the overall productivity. Farmers in Mali are particularly vulnerable to shocks, such as heavy precipitation events. Access to liquidity to increase the resilience of the agricultural sector is essential. Therefore, higher financing volumes are required, which make the analysis of loan demand in agriculture of interest. The purpose of this paper is to empirically investigate the role of the interest rate, the macroeconomic environment, the agricultural cycle and the gender of the farmer on the loan demand in the agricultural sector from a country in the Sahel. Unique and comprehensive loan data at the farm level, provided by a commercial Malian bank, is used for this analysis. The analysis covers the period from 2010 to 2020. Two different estimation strategies are combined. First, an ordinary least square regression is applied with the granted loan amount as the dependent variable. Second, the machine learning technique, least absolute shrinkage and selection operator, is applied to select the most relevant features to be used as explanatory variables in the estimation. The results reveal that the interest rate, the gross value added, the farmer's gender as well as the agricultural cycle have statistically significant effects on the granted loan demand in agriculture. These results are of interest to policymakers, who deal with financial inclusion as well as market failures, and agricultural financial institutions who could incorporate such information in the design of future loan products to stimulate farmers' loan demand, especially for female farmers. [EconLit Citations: G20, G21, O13, O16, Q14, Q18].</t>
  </si>
  <si>
    <t>[Oelkers, Tim; Musshoff, Oliver] Univ Gottingen, Dept Agr Econ &amp; Rural Dev, Gottingen, Germany; [Oelkers, Tim] Univ Gottingen, Dept Agr Econ &amp; Rural Dev, MZG Blauer Turm, Pl Gottinger Sieben 5, D-37073 Gottingen, Germany</t>
  </si>
  <si>
    <t>University of Gottingen; University of Gottingen</t>
  </si>
  <si>
    <t>Ölkers, T (corresponding author), Univ Gottingen, Dept Agr Econ &amp; Rural Dev, MZG Blauer Turm, Pl Gottinger Sieben 5, D-37073 Gottingen, Germany.</t>
  </si>
  <si>
    <t>tim.oelkers@uni-goettingen.de</t>
  </si>
  <si>
    <t>Musshoff, Oliver/AAZ-1868-2021</t>
  </si>
  <si>
    <t>Musshoff, Oliver/0000-0002-3746-623X; Ölkers, Tim/0000-0002-8399-3962</t>
  </si>
  <si>
    <t>We would like to thank Dienda Citasyari Putri Hendrawan, Shuang Liu, Luise Meissner, Eike Nordmeyer, Annkathrin Wahbi and Ron Weber from the University of Gottingen as well as two anonymous reviewers for their valuable comments. Open Access funding enabled and organized by Projekt DEAL.</t>
  </si>
  <si>
    <t>10.1002/agr.21891</t>
  </si>
  <si>
    <t>NB0Z3</t>
  </si>
  <si>
    <t>WOS:001138389800001</t>
  </si>
  <si>
    <t>Hariyani, D; Hariyani, P; Mishra, S</t>
  </si>
  <si>
    <t>Hariyani, Dharmendra; Hariyani, Poonam; Mishra, Sanjeev</t>
  </si>
  <si>
    <t>Digital technologies for the Sustainable Development Goals</t>
  </si>
  <si>
    <t>Sustainable Development Goals (SDGs); Digital technologies (DTs); Challenges and barriers; Governments; Organizations; Community; And individuals-driven SDGs strategies</t>
  </si>
  <si>
    <t>BIG DATA ANALYTICS; SMART CITIES; HEALTH-CARE; ARTIFICIAL-INTELLIGENCE; SOCIOTECHNICAL SYSTEMS; INTEGRATED ASSESSMENT; FINANCIAL INCLUSION; CIRCULAR ECONOMY; ACCEPTANCE MODEL; 5G TECHNOLOGIES</t>
  </si>
  <si>
    <t>Digital technologies (DTs) play a crucial role in advancing the United Nations' Sustainable Development Goals (SDGs). It provides innovative solutions to global challenges like poverty alleviation, equitable healthcare, climate action, and responsible consumption. This study is motivated by the growing significance of DTs in addressing sustainability challenges and their critical contribution to achieving the SDGs while identifying barriers to their adoption. Using a systematic review, this review examines the contributions of various DTs, i.e., AI, IoT, blockchain, cloud computing, big data analytics, remote sensing, and GIS in addressing SDGs. The review methodology includes the keywords search in the title, abstract, and keywords Digital Technologies and Sustainable Development on the Scopus database. A total of 473 peer-reviewed articles are included in the study. The findings highlight the transformative role of DTs in enhancing resource optimization, decision-making, and service delivery and achieving various SDGs. AI facilitates automation and predictive analytics, supporting healthcare (SDG 3) and climate action (SDG 13). Blockchain enhances transparency, security, and ethical governance (SDG 16). IoT enables real-time monitoring for smart cities (SDG 11) and energy efficiency (SDG 7). Big data analytics strengthens supply chains, agricultural productivity (SDG 2), and disaster management (SDG 13). Cloud computing fosters collaboration and scalability (SDG 9, SDG 17), while 5G networks improve connectivity and infrastructure development. Remote sensing and GIS provide essential insights for environmental monitoring (SDG 14, SDG 15) and disaster response. Despite these benefits, several challenges hinder DT adoption, including the digital divide, high costs, data privacy concerns, and skill shortages. To overcome these barriers, the study emphasizes policy measures such as (i) increased government investments in digital infrastructure, (ii) strategic public-private partnerships, and (iii) capacity-building initiatives for organizations, communities, and individuals. Ensuring equitable access, ethical digital practices, and environmental sustainability is crucial to fully leveraging DTs for SDGs achievement. This comprehensive analysis provides valuable insights for policymakers, industry leaders, businesses, organizations, researchers, communities, and individuals for leveraging and developing inclusive sustainable digital transformation strategies that accelerate progress toward the SDGs.</t>
  </si>
  <si>
    <t>[Hariyani, Dharmendra] Swami Keshvanand Inst Technol Management &amp; Gramoth, Dept Mech Engn, Jaipur, Rajasthan, India; [Hariyani, Poonam] JECRC Univ, Dept Chem, Jaipur, Rajasthan, India; [Mishra, Sanjeev] Rajasthan Tech Univ, Univ Dept Teaching, Dept Mech Engn, Kota, Rajasthan, India</t>
  </si>
  <si>
    <t>Rajasthan Technical University</t>
  </si>
  <si>
    <t>Hariyani, D (corresponding author), Swami Keshvanand Inst Technol Management &amp; Gramoth, Dept Mech Engn, Jaipur, Rajasthan, India.</t>
  </si>
  <si>
    <t>dhariyani12002@gmail.com</t>
  </si>
  <si>
    <t>Hariyani, Dr. Poonam/KJL-8941-2024; Hariyani, Dharmendra/JXN-8312-2024</t>
  </si>
  <si>
    <t>10.1016/j.grets.2025.100202</t>
  </si>
  <si>
    <t>7OQ6G</t>
  </si>
  <si>
    <t>WOS:001575998400001</t>
  </si>
  <si>
    <t>Ellili, NOD</t>
  </si>
  <si>
    <t>Ellili, Nejla Ould Daoud</t>
  </si>
  <si>
    <t>Is there any association between FinTech and sustainability? Evidence from bibliometric review and content analysis</t>
  </si>
  <si>
    <t>Bibliometric analysis; FinTech; Sustainability; VOSviewer; CiteSpace; Content analysis</t>
  </si>
  <si>
    <t>FINANCIAL INCLUSION; BANKING; TECHNOLOGY</t>
  </si>
  <si>
    <t>This study highlights the latest trends in the literature on the relationship between FinTech and sustainability by applying a bibliometric review of documents published in the Scopus database. Bibliometric analysis is a quantitative method that allows researchers to highlight core foundations and recent trends in a specific research field. This analysis was based on trend, evolution, bibliometrics, mapping, and qualitative content analyses. Based on a bibliometric review of 59 papers retrieved from the Scopus database, this study explores the most frequent keywords; the most influential authors, organizations, and countries; the most cited papers; the most co-cited reference papers; and sources. Evolution analysis was conducted using CiteSpace; bibliometric and mapping analyses were performed using VOSviewer; and content analysis was performed using WordStat. The results identified three major clusters: sustainability performance, blockchain technology, and digital transformation. Additionally, the results reveal that the analysis of the association between FinTech and sustainability has experienced increasingly important growth in 2021, reflecting the importance of financial technologies and innovations in business. The findings of this study have implications for Fintech and sustainability research and highlight the importance of Fintech in the development and execution of sustainability strategies and practices, as well as the most relevant research methods. This study provides an overview of how the literature on the association between FinTech and sustainability has developed, as well as a summary of the most influential authors along with countries, organizations, and journal sources. This study offers an opportunity for future research in this field.</t>
  </si>
  <si>
    <t>[Ellili, Nejla Ould Daoud] Abu Dhabi Univ, Coll Business, POB 59911, Abu Dhabi, U Arab Emirates</t>
  </si>
  <si>
    <t>Ellili, NOD (corresponding author), Abu Dhabi Univ, Coll Business, POB 59911, Abu Dhabi, U Arab Emirates.</t>
  </si>
  <si>
    <t>nejla.ellili@adu.ac.ae</t>
  </si>
  <si>
    <t>10.1057/s41264-022-00200-w</t>
  </si>
  <si>
    <t>AJ1R6</t>
  </si>
  <si>
    <t>WOS:000901851600001</t>
  </si>
  <si>
    <t>Abbas, SK; Szabó, Z; Ko, AD</t>
  </si>
  <si>
    <t>Abbas, Sayyed Khawar; Szabo, Zoltan; Ko, Andrea</t>
  </si>
  <si>
    <t>Robo-Advisors in Fintech-Challenges and Solutions</t>
  </si>
  <si>
    <t>Robo-advisors; Trust; Data Security; Data Privacy; Grounded Theory; SRT</t>
  </si>
  <si>
    <t>The banking sector has experienced substantial transformations as a result of the proliferation of financial technology, commonly known as FinTech. The introduction of these breakthroughs has caused a transition from conventional banking to digital services, bringing forth a range of developments like AI platforms, Blockchain technology, virtual currencies, Robo-advisors, and chatbots. Despite the speedy and easy services offered by FinTech, there are still difficulties regarding trust, security, and data privacy, particularly in nations such as Pakistan. This study explores the integration of Robo-advisors within Pakistan's FinTech sector, focusing on the challenges of trust, security, and data privacy. Chatbots, playing a crucial role in the banking and telecom industries, encounter challenges such as customer skepticism and the potential for cybersecurity threats. Using Grounded Theory and Social Representation Theory (SRT), the study comprehensively examines how chatbots and Robo-advisors in the Pakistani FinTech industry address these challenges. The findings indicate that establishing trust, guaranteeing data security, and enhancing user experience are of utmost importance. Transparent communication, robust security measures, and user-centric design have been identified as critical for building trust and driving adoption. Collaboration with financial professionals, continuous innovation, and user education emerge as crucial answers. The study highlights the significance of transparency and adherence to regulations, while proposing future research avenues to investigate the psychological aspects influencing the adoption of FinTech and the effects of developing technologies. These insights contribute to the growing discourse on FinTech innovation and its potential to enhance financial inclusion in developing economies.</t>
  </si>
  <si>
    <t>[Abbas, Sayyed Khawar] Corvinus Univ Budapest, Doctoral Sch Econ Business &amp; Informat, Fovam Ter 8, H-1093 Budapest, Hungary; [Szabo, Zoltan; Ko, Andrea] Corvinus Univ Budapest, Inst Data Analyt &amp; Informat Syst, Dept Informat Syst, Fovam Ter 8, H-1093 Budapest, Hungary</t>
  </si>
  <si>
    <t>Corvinus University Budapest; Corvinus University Budapest</t>
  </si>
  <si>
    <t>Abbas, SK (corresponding author), Corvinus Univ Budapest, Doctoral Sch Econ Business &amp; Informat, Fovam Ter 8, H-1093 Budapest, Hungary.</t>
  </si>
  <si>
    <t>sayyedkhawar.abbas@uni-corvinus.hu; zoltan.szabo@uni-corvinus.hu; andrea.ko@uni-corvinus.hu</t>
  </si>
  <si>
    <t>Abbas, Dr. Sayyed Khawar/V-4089-2017</t>
  </si>
  <si>
    <t>4NR1C</t>
  </si>
  <si>
    <t>WOS:001522335300004</t>
  </si>
  <si>
    <t>Peach, ND; Yuan, HW</t>
  </si>
  <si>
    <t>Peach, Nathan D.; Yuan, Haowen</t>
  </si>
  <si>
    <t>Assessing the Financial Knowledge, Behaviours, and Attitudes of Undergraduates</t>
  </si>
  <si>
    <t>E-JOURNAL OF BUSINESS EDUCATION &amp; SCHOLARSHIP OF TEACHING</t>
  </si>
  <si>
    <t>Financial knowledge; financial behaviour; financial attitudes; financial capability</t>
  </si>
  <si>
    <t>In this study the relationship between undergraduates' financial knowledge, behaviours, and attitudes are explored. These three dimensions of financial capability are considered in order to identify ways in which they influence one another. Data are collected via a survey administered at a small, private university in the United States. Financial knowledge is evaluated with five questions related to basic financial concepts. The financial behaviours considered are following a formal budget and paying off one's credit card balance every month. Individual's attitudes towards risk and self-reported financial stress are the financial attitudes queried. The results suggest that a higher level of knowledge, in and of itself, does not lead to prudent financial behaviour. Additionally, knowledge does not influence self-reported financial stress but believing one has strong mathematical abilities lowers stress levels. Overconfidence, in the form of an inaccurate appraisal of one's knowledge, lowers the probability an individual pays off their credit card each month. Significant group differences (gender, race, and college major) in financial behaviours and attitudes are found. Group differences, and the idiosyncratic relationship between knowledge, behaviour, and attitudes suggests that financial educational initiatives will be more effective if they target specific financial behaviours in a way that recognizes the uniqueness of those enrolled in the program rather than through one-size-fits-all approaches.</t>
  </si>
  <si>
    <t>[Peach, Nathan D.; Yuan, Haowen] George Fox Univ, Coll Business, Newberg, OR 97132 USA</t>
  </si>
  <si>
    <t>George Fox University</t>
  </si>
  <si>
    <t>Peach, ND (corresponding author), George Fox Univ, Coll Business, Newberg, OR 97132 USA.</t>
  </si>
  <si>
    <t>npeach@georgefox.edu; hyuan@georgefox.edu</t>
  </si>
  <si>
    <t>AUSTRALIAN BUSINESS EDUCATION RESEARCH ASSOC</t>
  </si>
  <si>
    <t>MAPLETON</t>
  </si>
  <si>
    <t>AUSTRALIAN BUSINESS EDUCATION RESEARCH ASSOC, MAPLETON, 00000, AUSTRALIA</t>
  </si>
  <si>
    <t>1835-9132</t>
  </si>
  <si>
    <t>E-J BUS EDUC SCHOLAR</t>
  </si>
  <si>
    <t>E-J. Bus. Educ. Scholarsh. Teach.</t>
  </si>
  <si>
    <t>FR7ZJ</t>
  </si>
  <si>
    <t>WOS:000419292400004</t>
  </si>
  <si>
    <t>Xue, YJ; Yan, JL; Mohsin, M; Mehak, A</t>
  </si>
  <si>
    <t>Xue, Yongjie; Yan, Jinling; Mohsin, Muhammad; Mehak, Ana</t>
  </si>
  <si>
    <t>Supply chain risks in agri-food systems: a comprehensive review of economic vulnerabilities and mitigation approaches</t>
  </si>
  <si>
    <t>agri-food supply chain; food system resilience; SDGs; risk mitigation; food security</t>
  </si>
  <si>
    <t>PERSPECTIVES; GOVERNANCE; MANAGEMENT; FRAMEWORK; IMPACTS</t>
  </si>
  <si>
    <t>The global agri-food system (AFS) is increasingly vulnerable to a complex web of economic, environmental, and geopolitical disruptions. This review paper critically examines the economic vulnerabilities embedded within agri-food supply chain (AFSC), focusing particularly on smallholder farmers, export-oriented economies, and the broader risks associated with globalization. Drawing on recent crises such as the COVID-19 pandemic and the Russia-Ukraine conflict, the paper explores how systemic shocks disrupt production, distribution, and consumption, leading to increased food insecurity, especially in the Global South. Key issues include limited financial access, infrastructural deficits, digital exclusion, and food price volatility. The paper highlights a range of mitigation strategies, including policy reform, digital technology adoption (e.g., blockchain, internet of things), local food system strengthening, financial risk transfer instruments, and collaborative capacity building. Through global case studies and critical analysis, the paper identifies persistent research gaps-particularly regarding informal food systems and the contextual adaptability of technological innovations. It calls for interdisciplinary approaches and multi-stakeholder cooperation to foster resilient, inclusive, and sustainable AFSs capable of withstanding future shocks. Moreover, this paper advances key Sustainable Development Goals by protecting smallholder livelihoods (SDG 1 and 2), promoting digital agriculture and infrastructure (SDG 9), improving supply chain transparency (SDG 12), and addressing climate risks with adaptive strategies (SDG 13). It lays a foundation for resilient and sustainable AFSs through policy and innovation.</t>
  </si>
  <si>
    <t>[Xue, Yongjie] Shandong Womens Univ, Sch Econ, Jinan, Peoples R China; [Yan, Jinling] Shandong Normal Univ, Sch Publ Adm, Jinan, Peoples R China; [Yan, Jinling] Hebei Agr Univ, Coll Econ &amp; Management, Baoding, Peoples R China; [Mohsin, Muhammad; Mehak, Ana] Jiujiang Univ, Coll Econ, Jiujiang, Peoples R China</t>
  </si>
  <si>
    <t>Shandong Womens University; Shandong Normal University; Hebei Agricultural University; Jiujiang University</t>
  </si>
  <si>
    <t>Yan, JL (corresponding author), Shandong Normal Univ, Sch Publ Adm, Jinan, Peoples R China.;Yan, JL (corresponding author), Hebei Agr Univ, Coll Econ &amp; Management, Baoding, Peoples R China.</t>
  </si>
  <si>
    <t>yanjinlingchina@sina.com</t>
  </si>
  <si>
    <t>xue, yongjie/LQJ-4631-2024</t>
  </si>
  <si>
    <t>Humanities and Social Sciences Research Project of the Ministry of Education [24YJC630261]; Science Research Project of the Hebei Education Department [BJS2023052]; Social Science Development Research Project of Hebei Province [2023 (20230302013)]; Social Science Planning Program in Shandong Province [24CGLJ36, JNSX2023078]</t>
  </si>
  <si>
    <t>Humanities and Social Sciences Research Project of the Ministry of Education; Science Research Project of the Hebei Education Department; Social Science Development Research Project of Hebei Province; Social Science Planning Program in Shandong Province</t>
  </si>
  <si>
    <t>The author(s) declare that financial support was received for the research and/or publication of this article. This research was funded by the Humanities and Social Sciences Research Project of the Ministry of Education (24YJC630261); the Science Research Project of the Hebei Education Department (BJS2023052); the Social Science Development Research Project of Hebei Province 2023 (20230302013); the Social Science Planning Program in Shandong Province (24CGLJ36); and the International Collaborative Science and Innovation Finance (Jinan) Innovation Laboratory (JNSX2023078).</t>
  </si>
  <si>
    <t>10.3389/fsufs.2025.1649834</t>
  </si>
  <si>
    <t>K1844</t>
  </si>
  <si>
    <t>WOS:001628299400001</t>
  </si>
  <si>
    <t>Srouji, J</t>
  </si>
  <si>
    <t>Srouji, Jeremy</t>
  </si>
  <si>
    <t>Digital Payments, the Cashless Economy, and Financial Inclusion in the United Arab Emirates: Why Is Everyone Still Transacting in Cash?</t>
  </si>
  <si>
    <t>digital payments; cashless economy; financial inclusion; complementary currencies; inequality; non-cash transactions; Gulf Cooperation Council; oil economies; remittances</t>
  </si>
  <si>
    <t>Since the oil price downturn of 2015, the United Arab Emirates and fellow Gulf Cooperation Council countries have worked hard to expand digital payments in the interest of improved tax and revenue collection, transparency, and security. Yet despite a deep transformation and diversification of their payment eco-systems and the formalization of plans to become cashless economies modelled on South Korea and Sweden, cash continues to dominate payments in both countries. While industry players typically attribute the prevalence of cash in the region to questions of infrastructure readiness, transaction costs, and cyber-security, this paper finds that plans to expand digital payments at the expense of cash may not be well-adapted to countries with high levels of socio-economic inequality. It proposes a link between socio-economic inequality and use of cash in emerging economies, and concludes that it may be better to not view the relationship between cash and digital payments in binary zero-sum terms, until there is a better understanding of the socio-economic, technological, and policy context in which countries like South Korea and Sweden have managed to reduce their reliance on cash in favor of a diversified digital payments eco-system.</t>
  </si>
  <si>
    <t>[Srouji, Jeremy] Erasmus Univ, Int Inst Social Studies ISS, NL-2518 AX The Hague, Netherlands; [Srouji, Jeremy] Univ Cote Azur, GREDEG, CNRS, F-06560 Valbonne, France</t>
  </si>
  <si>
    <t>Erasmus University Rotterdam; Erasmus University Rotterdam - Excl Erasmus MC; Universite Cote d'Azur; Centre National de la Recherche Scientifique (CNRS)</t>
  </si>
  <si>
    <t>Srouji, J (corresponding author), Erasmus Univ, Int Inst Social Studies ISS, NL-2518 AX The Hague, Netherlands.;Srouji, J (corresponding author), Univ Cote Azur, GREDEG, CNRS, F-06560 Valbonne, France.</t>
  </si>
  <si>
    <t>jeremy.srouji@univ-cotedazur.fr</t>
  </si>
  <si>
    <t>Development Economics Research Group at International Institute of Social Studies (ISS) of Erasmus University Rotterdam; Monneta</t>
  </si>
  <si>
    <t>Publication of this paper was financially supported by Monneta (monneta.org), a German non-for-profit organization, and the Development Economics Research Group at the International Institute of Social Studies (ISS) of Erasmus University Rotterdam (www.iss.nl).The author wishes to thank Georgina Gomez at the ISS for her virtual seminar on money plurality held in May 2020, which led to the idea for this paper.</t>
  </si>
  <si>
    <t>10.3390/jrfm13110260</t>
  </si>
  <si>
    <t>OW8XU</t>
  </si>
  <si>
    <t>WOS:000593163400001</t>
  </si>
  <si>
    <t>Uche, E; Ngepah, N</t>
  </si>
  <si>
    <t>Uche, Emmanuel; Ngepah, Nicholas</t>
  </si>
  <si>
    <t>Income Redistributive Propensities of Self-Employment, ICT and Remittances: Panel Quantile Regression with Nonadditive Fixed Effects Perspective</t>
  </si>
  <si>
    <t>JOURNAL OF INTERNATIONAL COMMERCE ECONOMICS AND POLICY</t>
  </si>
  <si>
    <t>Inequality; self-employment; ICT; remittances; financial inclusion; quantile regression with nonadditive fixed effects</t>
  </si>
  <si>
    <t>MOBILE PHONE PENETRATION; INTERNATIONAL REMITTANCES; ECONOMIC-GROWTH; INEQUALITY; ENTREPRENEURSHIP; IMPACT; MIGRATION; POVERTY; INFLOWS</t>
  </si>
  <si>
    <t>This study provides updated modalities for ensuring equitable income distributions in developing countries. This was achieved through the lens of self-employment, information and communication technologies (ICT), and remittances. To circumvent the dark spots in prior studies, this study harnesses annual panel series for 52 African countries. The study engaged both the system generalized method of moments (sGMM) and the panel quantile regression with nonadditive fixed effects (QRPD) techniques to elicit updated insights. Meanwhile, three metrics of income inequality, the Gini coefficient, the Atkinson index, and the Palma ratio, were explored for robust insights. A key discovery from both panel computations is the self-exacerbating inclinations of income disparities in the continent. Furthermore, it was discovered that both self-employment and ICT are significant income equalization factors. However, their influence is most effective at the upper quantiles of inequality. The influence of remittance inflows is predominantly unfavorable for equitable income distribution. Both financial inclusion and government effectiveness provided varying inequality-reducing effects. Notably, their influence is more formidable at the upper quantiles. Human capital development provides some noticeable income equalization effects, particularly at the lower quantiles. Policy insights for minifying income inequality in the continent are highlighted herein.</t>
  </si>
  <si>
    <t>[Uche, Emmanuel; Ngepah, Nicholas] Univ Johannesburg, Sch Econ, Coll Business &amp; Econ, Johannesburg, South Africa</t>
  </si>
  <si>
    <t>Uche, E (corresponding author), Univ Johannesburg, Sch Econ, Coll Business &amp; Econ, Johannesburg, South Africa.</t>
  </si>
  <si>
    <t>euche@uj.ac.za; nngepah@uj.ac.za</t>
  </si>
  <si>
    <t>Uche, Emmanuel/ADA-5857-2022</t>
  </si>
  <si>
    <t>Uche, Emmanuel/0000-0003-1596-8658; Ngepah, Nicholas/0000-0002-1947-0008</t>
  </si>
  <si>
    <t>1793-9933</t>
  </si>
  <si>
    <t>1793-9941</t>
  </si>
  <si>
    <t>J INT COMMERCE E POL</t>
  </si>
  <si>
    <t>J. Int. Commerce Econ. Pol.</t>
  </si>
  <si>
    <t>10.1142/S1793993323500266</t>
  </si>
  <si>
    <t>AU1L3</t>
  </si>
  <si>
    <t>WOS:001101303400002</t>
  </si>
  <si>
    <t>Ahmad, M; Wu, Q; Abbass, Y</t>
  </si>
  <si>
    <t>Ahmad, Maqsood; Wu, Qiang; Abbass, Yasar</t>
  </si>
  <si>
    <t>Probing the impact of recognition-based heuristic biases on investment decision-making and performance</t>
  </si>
  <si>
    <t>Name fluency; Alphabetical order; Names memorability fundamental and technical anomalies; Investment decision-making; Investment performance</t>
  </si>
  <si>
    <t>MARKET EQUILIBRIUM; FINANCIAL LITERACY; BEHAVIORAL BIASES; HOME BIAS; STOCK; INFORMATION; OVERCONFIDENCE; MODEL; DIVERSIFICATION; PREFERENCE</t>
  </si>
  <si>
    <t>Purpose This study aims to explore and clarify the mechanism by which recognition-based heuristic biases influence the investment decision-making and performance of individual investors, with the mediating role of fundamental and technical anomalies. Design/methodology/approach The deductive approach was used, as the research is based on behavioral finance's theoretical framework. A questionnaire and cross-sectional design were employed for data collection from the sample of 323 individual investors trading on the Pakistan Stock Exchange (PSX). Hypotheses were tested through the structural equation modeling (SEM) technique. Findings The article provides further insights into the relationship between recognition-based heuristic-driven biases and investment management activities. The results suggest that recognition-based heuristic-driven biases have a markedly positive influence on investment decision-making and negatively influence the investment performance of individual investors. The results also suggest that fundamental and technical anomalies mediate the relationships between the recognition-based heuristic-driven biases on the one hand and investment management activities on the other. Practical implications The results of the study suggested that investment management activities that rely on recognition-based heuristics would not result in better returns to investors. The article encourages investors to base decisions on investors' financial capability and experience levels and to avoid relying on recognition-based heuristics when making decisions related to investment management activities. The results provides awareness and understanding of recognition-based heuristic-driven biases in investment management activities, which could be very useful for decision-makers and professionals in financial institutions, such as portfolio managers and traders in commercial banks, investment banks and mutual funds. This paper helps investors to select better investment tools and avoid repeating the expensive errors that occur due to recognition-based heuristic-driven biases. Originality/value The current study is the first to focus on links recognition-based heuristic-driven biases, fundamental and technical anomalies, investment decision-making and performance of individual investors. This article enhanced the understanding of the role that recognition-based heuristic-driven biases plays in investment management. More importantly, the study went some way toward enhancing understanding of behavioral aspects and the aspects' influence on investment decision-making and performance in an emerging market.</t>
  </si>
  <si>
    <t>[Ahmad, Maqsood; Wu, Qiang] Hong Kong Polytech Univ, Fac Business, Sch Accounting &amp; Finance, Kowloon, Hong Kong, Peoples R China; [Abbass, Yasar] Int Islamic Univ, Fac Management Sci, Dept Business Adm, Islamabad, Pakistan</t>
  </si>
  <si>
    <t>Hong Kong Polytechnic University; International Islamic University, Pakistan</t>
  </si>
  <si>
    <t>Ahmad, M (corresponding author), Hong Kong Polytech Univ, Fac Business, Sch Accounting &amp; Finance, Kowloon, Hong Kong, Peoples R China.</t>
  </si>
  <si>
    <t>maqsood.rehamani@gmail.com</t>
  </si>
  <si>
    <t>Ahmad, Maqsood/W-8812-2019; Wu, Qiang/NDT-1518-2025</t>
  </si>
  <si>
    <t>Ahmad, Maqsood/0000-0002-1427-1237;</t>
  </si>
  <si>
    <t>10.1108/K-01-2022-0112</t>
  </si>
  <si>
    <t>WOS:000803254000001</t>
  </si>
  <si>
    <t>Al-Okaily, M; Al-Qudah, AA; Alkhwaldi, AF; Alkhatib, AW; Al-Okaily, A; Abu-Salih, B</t>
  </si>
  <si>
    <t>Al-Okaily, Manaf; Al-Qudah, Anas Ali; Alkhwaldi, Abeer F.; Alkhatib, Ayman Wael; Al-Okaily, Aws; Abu-Salih, Bilal</t>
  </si>
  <si>
    <t>Exploring FinTech trends in Jordan: insights from the post-COVID-19 era</t>
  </si>
  <si>
    <t>Financial technology; FinTech growth; Innovative technologies; COVID-19 pandemic; Information technology; Technology acceptance</t>
  </si>
  <si>
    <t>PERCEPTION ATTITUDE FRAMEWORK; USER ACCEPTANCE; MOBILE BANKING; INFORMATION-TECHNOLOGY; ADOPTION; TRUST; INTENTION; MOTIVATION; SERVICES; RESISTANCE</t>
  </si>
  <si>
    <t>PurposeThis study aims to investigate how the COVID-19 pandemic has impacted the growth of FinTech within the Jordanian context. Specifically, it examines the antecedent factors influencing users' intentions to adopt and use FinTech services during this unprecedented period.Design/methodology/approachA quantitative research method approach with partial least squares-structural equation modelling was used to test the research proposed model.FindingsThe results of the structural path revealed that the drivers of behavioural intentions to use FinTech services are perceived usefulness, perceived self-efficacy, perceived vulnerability, subjective norms, perceived severity, perceived certainty and resistance to use and these factors explain 79.5% of the variance of behavioural intention.Research limitations/implicationsThis study identifies key factors for FinTech acceptance in Jordan, offering actionable insights for policymakers and service providers. Building user trust in service and technology (security, effectiveness and transparency) is crucial, alongside leveraging social influence (testimonials, endorsements) and boosting awareness/knowledge through campaigns and educational initiatives. This study identifies key factors for FinTech acceptance in Jordan, offering actionable insights for policymakers and service providers. Building user trust in service and technology (security, effectiveness and transparency) is crucial, alongside leveraging social influence (testimonials, endorsements) and boosting awareness/knowledge through campaigns and educational initiatives. This study's generalizability is limited by its sample, drawn from three Jordanian regions and dominated by potential users. Comparing actual and potential user perceptions, alongside including users from diverse contexts (e.g. other developing countries), could address this. In addition, using qualitative methods alongside the quantitative approach and exploring indirect relationships (mediating/moderating) would provide richer insights into FinTech acceptance in Jordan.Originality/valueWhile prior research has explored FinTech adoption, including studies conducted in Jordan, this study makes several key contributions. Firstly, it specifically examines FinTech trends within the post-COVID-19 era in Jordan, a period marked by accelerated digital transformation and evolving user behaviours. Secondly, it extends existing models of FinTech adoption by incorporating perceived self-efficacy, perceived vulnerability, subjective norms, perceived privacy, perceived severity, perceived value, perceived certainty and resistance to use, in addition to the established factors of perceived usefulness and ease of use. This expanded model provides a more holistic understanding of the drivers and barriers to FinTech adoption in this context. Finally, this research provides empirical evidence from the Jordanian market, offering valuable insights for financial institutions and policymakers seeking to promote FinTech adoption and financial inclusion in a developing economy undergoing rapid digital change. This focus on the post-pandemic Jordanian context, combined with the extended theoretical model, offers a novel contribution to the literature.</t>
  </si>
  <si>
    <t>[Al-Okaily, Manaf; Al-Okaily, Aws] Jadara Univ, Sch Business, Irbid, Jordan; [Al-Qudah, Anas Ali] Liwa Coll, Fac Business, Abu Dhabi, U Arab Emirates; [Alkhwaldi, Abeer F.] Mutah Univ, Coll Business, Dept Business Intelligence &amp; Technol, Al Karak, Jordan; [Alkhatib, Ayman Wael] Middle East Univ, Fac Business, Amman, Jordan; [Abu-Salih, Bilal] Univ Jordan, King Abdullah II Sch Informat Technol, Amman, Jordan</t>
  </si>
  <si>
    <t>Mutah University; Middle East University; University of Jordan</t>
  </si>
  <si>
    <t>aowsmaloqaily@gmail.com; anas.alqudah@lc.ac.ae; abeerkh@mutah.edu.jo; invaymanwk55@gmail.com; aowsmaloqaily@gmail.com; b.abusalih@ju.edu.jo</t>
  </si>
  <si>
    <t>Al-Qudah, Anas/AAE-8019-2021; Alkhwaldi, Abeer/ONJ-1709-2025; Al-Okaily, Manaf/ABI-8322-2020; Alkhatib, Ayman wael/AAT-2264-2021; Abu-Salih, Bilal/Q-4020-2016; Al-Okaily, Aws/ABE-6244-2021</t>
  </si>
  <si>
    <t>Alkhatib, Ayman wael/0000-0002-8700-4738;</t>
  </si>
  <si>
    <t>Mutah University, Middle East University</t>
  </si>
  <si>
    <t>The author would like to thank the editor and anonymous reviewers of the Foresight Journal for taking the necessary time and effort to review the manuscript. The author sincerely appreciates all your valuable comments and suggestions, which helped to improve the quality of this manuscript. Also, many thanks are due to Jadara University, Liwa College, Mutah University, Middle East University, and the University of Jordan for their invaluable support and encouragement throughout the completion of this study.</t>
  </si>
  <si>
    <t>10.1108/FS-09-2022-0097</t>
  </si>
  <si>
    <t>WOS:001441298900001</t>
  </si>
  <si>
    <t>San Miguel, B; del Alamo, JM; Yelmo, JC</t>
  </si>
  <si>
    <t>Benatallah, B; Bestavros, A; Catania, B; Haller, A; Manolopoulos, Y; Vakali, A; Zhang, Y</t>
  </si>
  <si>
    <t>San Miguel, Beatriz; del Alamo, Jose M.; Yelmo, Juan C.</t>
  </si>
  <si>
    <t>Creating and Modelling Personal Socio-Economic Networks in On-Line Banking</t>
  </si>
  <si>
    <t>WEB INFORMATION SYSTEMS ENGINEERING - WISE 2014 WORKSHOPS</t>
  </si>
  <si>
    <t>15th International Conference on Web Information Systems Engineering (WISE)</t>
  </si>
  <si>
    <t>OCT 12-14, 2014</t>
  </si>
  <si>
    <t>Thessaloniki, GREECE</t>
  </si>
  <si>
    <t>Social networks; On-line banking; User modelling; Ontology</t>
  </si>
  <si>
    <t>The banking industry is observing how new competitors threaten its millennial business model by targeting unbanked people, offering new financial services to their customer base, and even enabling new channels for existing services and customers. The knowledge on users, their behaviour, and expectations become a key asset in this new context. Well aware of this situation, the Center for Open Middleware, a joint technology center created by Santander Bank and Universidad Politecnica de Madrid, has launched a set of initiatives to allow the experimental analysis and management of socio-economic information. PosdataP2P service is one of them, which seeks to model the economic ties between the holders of university smart cards, leveraging on the social networks the holders are subscribed to. In this paper we describe the design principles guiding the development of the system, its architecture and some implementation details.</t>
  </si>
  <si>
    <t>[San Miguel, Beatriz; del Alamo, Jose M.; Yelmo, Juan C.] Univ Politecn Madrid, COM, Madrid 28223, Spain</t>
  </si>
  <si>
    <t>San Miguel, B (corresponding author), Univ Politecn Madrid, COM, Campus Montegancedo, Madrid 28223, Spain.</t>
  </si>
  <si>
    <t>beatriz.sanmiguel@centeropenmiddleware.com; jose.delalamo@centeropenmiddleware.com; juancarlos.yelmo@centeropenmiddleware.com</t>
  </si>
  <si>
    <t>Del Alamo, Jose M/A-4121-2009; YELMO GARCIA, JUAN CARLOS/A-4094-2009; Yelmo, Juan C/A-4094-2009</t>
  </si>
  <si>
    <t>Del Alamo, Jose M/0000-0002-6513-0303; YELMO GARCIA, JUAN CARLOS/0000-0001-7491-0961; Yelmo, Juan C/0000-0003-2308-2945</t>
  </si>
  <si>
    <t>978-3-319-20370-6; 978-3-319-20369-0</t>
  </si>
  <si>
    <t>10.1007/978-3-319-20370-6_13</t>
  </si>
  <si>
    <t>BD8BP</t>
  </si>
  <si>
    <t>WOS:000363774800013</t>
  </si>
  <si>
    <t>Olsen, E; Loibl, C; Hanna, SD; Hanks, A</t>
  </si>
  <si>
    <t>Olsen, Eric; Loibl, Cazilia; Hanna, Sherman D.; Hanks, Andrew</t>
  </si>
  <si>
    <t>Differences in housing wealth between US military service personnel and the Civilian population-Exploring the role of financial stress</t>
  </si>
  <si>
    <t>WORLD-WAR-II; SUICIDE RISK; VETERANS</t>
  </si>
  <si>
    <t>The study investigates whether frequent job-based relocations, which are typical for military service personnel, are correlated with households' ability to accumulate housing wealth. Specifically, we investigate whether differences in homeownership rates and home equity values exist for two cohorts of military personnel, the older Korea/Vietnam and the younger post-Vietnam cohorts of servicemembers. The study accounts for individual financial stress and expectations about the economy, and controls for a rich set of demographic and socio-economic factors. Data sources are the 2022 Survey of Consumer Finances and the 2021 National Financial Capability Study. Results show that the two cohorts of military households do not differ from civilian households with regard to the home ownership rate. Greater individual financial stress on one hand and more positive economic expectations on the other hand emerge as two opposing, but stress-related factors linked to lower homeownership rates. The Post-Vietnam military personnel cohort is associated with lower home equity values compared to civilian households, but no difference was found between the Korea/Vietnam cohort and civilian households. From a policy perspective, our findings indicate that housing-focused efforts in the military, such as targeted loan products, relocation allowances, financial education and counseling programs, appear to help military households cope with the demands of military career paths and the transition to post-active life. When limiting the sample to homeowners, the data indicate lower housing wealth accumulation among the younger, Post-Vietnam era military households, compared to civilian households. As frequent military moves may prevent these households from building housing wealth while in the service, this group has had less time to accumulate housing wealth, documenting the role of housing tenure length for wealth accumulation for this unique population group.</t>
  </si>
  <si>
    <t>[Olsen, Eric; Loibl, Cazilia; Hanna, Sherman D.; Hanks, Andrew] Ohio State Univ, Dept Human Sci, Columbus, OH 43210 USA</t>
  </si>
  <si>
    <t>Loibl, C (corresponding author), Ohio State Univ, Dept Human Sci, Columbus, OH 43210 USA.</t>
  </si>
  <si>
    <t>loibl.3@osu.edu</t>
  </si>
  <si>
    <t>Hanks, Andrew/B-7807-2015</t>
  </si>
  <si>
    <t>Air Force Institute of Technology</t>
  </si>
  <si>
    <t>The first author would like to thank the Air Force Institute of Technology for generous financial support.</t>
  </si>
  <si>
    <t>e0331374</t>
  </si>
  <si>
    <t>10.1371/journal.pone.0331374</t>
  </si>
  <si>
    <t>7TU0Z</t>
  </si>
  <si>
    <t>WOS:001579481500013</t>
  </si>
  <si>
    <t>Nyakabawu, S</t>
  </si>
  <si>
    <t>Nyakabawu, Shingirai</t>
  </si>
  <si>
    <t>Legal Aliens: Experiencing Civic Marginalisation in Entrepreneurship in South Africa</t>
  </si>
  <si>
    <t>FRONTIERS IN HUMAN DYNAMICS</t>
  </si>
  <si>
    <t>marginalisation; legal alienation; temporary residence permit; xenophobia; citizenship</t>
  </si>
  <si>
    <t>TRANSNATIONAL ENTREPRENEURSHIP; CITIZENSHIP; IMMIGRANTS; MIGRANTS; RIGHTS; STATE</t>
  </si>
  <si>
    <t>This study focuses on the challenges faced by Zimbabwean migrant entrepreneurs in South Africa involved in agro-processing, transport, logistics, information technology, transport, education, accounting, and remittances among others. These challenges stem from the limits that temporary residence permits. These include delays in the adjudication of residence permits renewals which threaten the viability of migrant-owned businesses, access to finance, conditions of the temporary protected statuses of Zimbabwean permits xenophobia, and their experience with affirmative action laws. Based on data gathered through interviews in Cape Town, this study concludes that migrant entrepreneurs remain in positions of vulnerability and contribute disproportionately to the economy of South Africa because of the limitation of residence visas.</t>
  </si>
  <si>
    <t>[Nyakabawu, Shingirai] Univ Western Cape, Fac Arts, Bellville, South Africa</t>
  </si>
  <si>
    <t>Nyakabawu, S (corresponding author), Univ Western Cape, Fac Arts, Bellville, South Africa.</t>
  </si>
  <si>
    <t>snyakabawu34@gmail.com</t>
  </si>
  <si>
    <t>Nyakabawu, Shingirai/0000-0001-8703-4454</t>
  </si>
  <si>
    <t>I recognize the financial support from Andrew Mellon Foundation through the Centre for Humanities Research (CHR) for funding my doctoral studies.; Andrew Mellon Foundation through the Centre for Humanities Research (CHR)</t>
  </si>
  <si>
    <t>The researcher acknowledges the Centre for Humanities Research (CHR) of the University of the Western Cape (UWC) for the fellowship award for doctoral studies. All credit for this article is attributed to the CHR at UWC.r I recognize the financial support from Andrew Mellon Foundation through the Centre for Humanities Research (CHR) for funding my doctoral studies.</t>
  </si>
  <si>
    <t>2673-2726</t>
  </si>
  <si>
    <t>FRONT HUM DYNAM</t>
  </si>
  <si>
    <t>Front. Hum. Dyn.</t>
  </si>
  <si>
    <t>10.3389/fhumd.2022.860406</t>
  </si>
  <si>
    <t>Demography; Social Issues</t>
  </si>
  <si>
    <t>W5EA4</t>
  </si>
  <si>
    <t>WOS:001091844200001</t>
  </si>
  <si>
    <t>Claessens, S</t>
  </si>
  <si>
    <t>Claessens, Stijn</t>
  </si>
  <si>
    <t>Nonbank Financial Intermediation: Stock Take of Research, Policy, and Data</t>
  </si>
  <si>
    <t>nonbank financial intermediation; nonbank financial institutions; financial; stability; vulnerabilities; procyclicality; interconnections; liquidity risks; policy actions; international standards; data gaps</t>
  </si>
  <si>
    <t>INVESTMENT FUNDS; MONETARY-POLICY; RISK; FRAGILITY; CRISIS; TECHNOLOGY; LEVERAGE; BANKING; CYCLES</t>
  </si>
  <si>
    <t>This article reviews research and policy work on nonbank financial intermediation (NBFI), taking a financial stability perspective. It first documents the growth in NBFI, reviews its possible drivers, and documents recent instability episodes. NBFI now often surpasses traditional bank financing, and research on it has increased, including research on its financial stability characteristics. Given NBFI's many forms and dimensions, the article focuses on its market-based forms. Taking a cross-country perspective, it reviews the benefits of NBFI, in terms of access to finance and economic impact, and its risks, specifically those related to interconnections, interactions between liquidity and leverage, and procyclicality. It describes policy steps-underway and possible-to reduce these risks, highlights outstanding issues, and suggests further analytical work. It also considers the current state of available data and the means to address remaining gaps.</t>
  </si>
  <si>
    <t>[Claessens, Stijn] Yale Sch Management, New Haven, CT 06511 USA; [Claessens, Stijn] Ctr Econ Policy Res, London, England</t>
  </si>
  <si>
    <t>Yale University; Centre for Economic Policy Research - UK</t>
  </si>
  <si>
    <t>Claessens, S (corresponding author), Yale Sch Management, New Haven, CT 06511 USA.;Claessens, S (corresponding author), Ctr Econ Policy Res, London, England.</t>
  </si>
  <si>
    <t>stijn.claessens@yale.edu</t>
  </si>
  <si>
    <t>10.1146/annurev-financial-082123-105416</t>
  </si>
  <si>
    <t>WOS:001349328500012</t>
  </si>
  <si>
    <t>Ofori, IK; Gbolonyo, EY; Dossou, TAM; Nkrumah, RK</t>
  </si>
  <si>
    <t>Ofori, Isaac K.; Gbolonyo, Emmanuel Y.; Dossou, Toyo Amegnonna M.; Nkrumah, Richard K.</t>
  </si>
  <si>
    <t>Remittances and income inequality in Africa: Financial development thresholds for economic policy</t>
  </si>
  <si>
    <t>Africa; Financial development; Financial sector efficiency; Income inequality; Remittances</t>
  </si>
  <si>
    <t>MIGRANT REMITTANCES; GROWTH; MIGRATION; TRADE; PANEL; FDI; PRODUCTIVITY; UNEMPLOYMENT; EDUCATION; INFLOWS</t>
  </si>
  <si>
    <t>This study employs macrodata on 42 African countries to examine whether remittances and financial development (including its sub-components of access, depth and efficiency) contribute to the equalisation of incomes across the continent. Robust evidence based on the dynamic GMM estimator shows that: (i) remittances heighten income inequality in Africa, (ii) Africa's financial system is not potent enough for propelling remittances towards the equalisation of incomes, and (iii) vis-a`-vis financial access and depth, inefficiencies characterising Africa's financial institutions is the main reason remittances contribute to the widening of the income disparity gap. Nonetheless, the optimism which we provide by way of threshold analysis shows that channelling resources into the development of Africa's financial sector could yield shared income distribution dividends. In particular, efforts should be made to achieve a minimum threshold of 23.05 (index) for financial access, and 3.02 (index) for that of financial institutions efficiency if Africa's financial sector is to repackage remittances towards the equalisation of incomes. A few policy recommendations are provided in the end.</t>
  </si>
  <si>
    <t>[Ofori, Isaac K.] Univ Insubria, Dept Econ, Via Monte Generoso 71, I-21100 Varese, Italy; [Gbolonyo, Emmanuel Y.] Univ Cape Town, Sch Econ, ZA-7701 Cape Town, South Africa; Southwestern Univ Finance &amp; Econ, Sch Econ, 555 Liutai Ave, Chengdu 611130, Sichuan, Peoples R China; [Nkrumah, Richard K.] Univ Cape Coast, Sch Econ, Cape Coast, Ghana; [Ofori, Isaac K.] York Univ, Harriet Tubman Inst, Keele Campus, Toronto, ON, Canada</t>
  </si>
  <si>
    <t>University of Insubria; University of Cape Town; Southwestern University of Finance &amp; Economics - China; University of Cape Coast; York University - Canada</t>
  </si>
  <si>
    <t>Ofori, IK (corresponding author), Univ Insubria, Dept Econ, Via Monte Generoso 71, I-21100 Varese, Italy.</t>
  </si>
  <si>
    <t>ikofori@outlook.com; emmanuelgbolonyo@gmail.com; dossoumarcel863@yahoo.fr; juderichards2020@gmail.com</t>
  </si>
  <si>
    <t>Nkrumah, Richard/ABG-6843-2021; Ofori, Isaac K/J-9653-2019; Gbolonyo, Emmanuel/AHE-2360-2022</t>
  </si>
  <si>
    <t>Ofori, Isaac K/0000-0002-0591-1271; Gbolonyo, Emmanuel/0000-0003-0088-0282</t>
  </si>
  <si>
    <t>10.1016/j.resglo.2022.100084</t>
  </si>
  <si>
    <t>T8K0A</t>
  </si>
  <si>
    <t>WOS:001407413700010</t>
  </si>
  <si>
    <t>Hasanah, N; Takidah, E; Purwana, D</t>
  </si>
  <si>
    <t>Hasanah, Nuramalia; Takidah, Erika; Purwana, Dedi</t>
  </si>
  <si>
    <t>Enhancing MSME Financial Access through System Usage: The Impact of User Decisions, Information Technology, and Information Quality</t>
  </si>
  <si>
    <t>TEM JOURNAL-TECHNOLOGY EDUCATION MANAGEMENT INFORMATICS</t>
  </si>
  <si>
    <t>MSMEs; information quality; information technology; end-user decisions; use behaviour; access to financing</t>
  </si>
  <si>
    <t>This study explores the impact of end-user decisions, information quality, and information technology on the system usage behavior (Use Behavior) of micro, small, and medium enterprises (MSMEs) in Indonesia and its subsequent effect on access to financing. Using a quantitative research approach, data were collected from 300 MSMEs in the Jakarta, Bogor, The research utilized partial least squares structural equation modeling (PLS-SEM) to analyze relationships among the variables. Results show that end-user decisions, information quality, and information technology significantly influence use behavior, which in turn positively affects MSMEs' access to financing, with a path coefficient of 0.682. This indicates that MSMEs that adopt and regularly use accounting systems generate transparent and accurate financial reports, improving the chances of obtaining credit from financial institutions. The study highlights the importance of technology adoption in enhancing financial management practices, which ultimately leads to better financial accessibility for MSMEs. It also emphasizes the need for future research to include additional variables, such as managerial support and regulatory frameworks, for a more comprehensive understanding of system usage and financial access.</t>
  </si>
  <si>
    <t>[Hasanah, Nuramalia; Takidah, Erika; Purwana, Dedi] Univ Negeri Jakarta, East Jakarta, Indonesia</t>
  </si>
  <si>
    <t>Universitas Negeri Jakarta</t>
  </si>
  <si>
    <t>Hasanah, N (corresponding author), Univ Negeri Jakarta, East Jakarta, Indonesia.</t>
  </si>
  <si>
    <t>nuramalia@unj.ac.id</t>
  </si>
  <si>
    <t>Takidah, Erika/AAH-6591-2021; Purwana, Dedi/J-3314-2019; hasanah, Nuramalia/J-2956-2018</t>
  </si>
  <si>
    <t>Ministry of Eduction, Culture, Research, Technology and Higher Education under fundamental research scheme through Universitas Negeri Jakarta</t>
  </si>
  <si>
    <t>Financial support of this research was funded by the Ministry of Eduction, Culture, Research, Technology and Higher Education under fundamental research scheme through Universitas Negeri Jakarta with Nuramalia as its Grant Receiver.</t>
  </si>
  <si>
    <t>UIKTEN - ASSOC INFORMATION COMMUNICATION TECHNOLOGY EDUCATION &amp; SCIENCE</t>
  </si>
  <si>
    <t>NOVI PAZAR</t>
  </si>
  <si>
    <t>HILMA ROZAJCA 15, NOVI PAZAR, 36300, SERBIA</t>
  </si>
  <si>
    <t>2217-8309</t>
  </si>
  <si>
    <t>2217-8333</t>
  </si>
  <si>
    <t>TEM J</t>
  </si>
  <si>
    <t>TEM J.</t>
  </si>
  <si>
    <t>10.18421/TEM144-41</t>
  </si>
  <si>
    <t>K3881</t>
  </si>
  <si>
    <t>WOS:001628505800037</t>
  </si>
  <si>
    <t>Dizaji, SF</t>
  </si>
  <si>
    <t>Dizaji, Sajjad F.</t>
  </si>
  <si>
    <t>The impact of negative oil shocks on military spending and democracy in the oil states of the greater Middle East: Implications for the oil sanctions</t>
  </si>
  <si>
    <t>JOURNAL OF PEACE RESEARCH</t>
  </si>
  <si>
    <t>Democracy; greater Middle East; military expenditures; oil shocks; rentier state; sanctions</t>
  </si>
  <si>
    <t>ECONOMIC SANCTIONS; NATURAL-RESOURCES; POLITICAL REGIMES; EXPENDITURES; INSTITUTIONS; WEALTH; DEBT; AUTHORITARIANISM; REMITTANCES; SURVIVAL</t>
  </si>
  <si>
    <t>This study examines how negative oil shocks affect military expenditures and the quality of democracy in the oil rentier states of the greater Middle East using annual data from 1990 to 2018, inclusive. The theoretical analysis suggests that a reduction in oil revenues decreases the government spending on patronages and public goods and may challenge the political power of the incumbent leader. The results of the impulse response functions based on the estimated panel vector autoregressive models indicate that the responses of the military burden and non-military expenditures (as a percentage of GDP) to negative oil shocks become negative and statistically significant after three to four years. Reductions in the financial capability of a rentier government and spending on patronages improve the political environment and quality of democracy. However, this political improvement takes some time to develop as the government may resist the reduction in its expenditures during the initial phase of oil shocks. The policy implication of these results is informative for organizations and policymakers interested in the security and political impact of oil sanctions. Restrictions on oil exports decrease the military spending of the oil rentier states and improve their democracy indices in the long run, although the short-run impacts can be negative. These results are not sensitive to different proxies for oil abundance, alternative data on military expenditures, different indicators of democracy, and different groups of oil-dependent countries.</t>
  </si>
  <si>
    <t>[Dizaji, Sajjad F.] Tarbiat Modares Univ, Dept Econ Dev &amp; Planning, Tehran, Iran</t>
  </si>
  <si>
    <t>Tarbiat Modares University</t>
  </si>
  <si>
    <t>Dizaji, SF (corresponding author), Tarbiat Modares Univ, Dept Econ Dev &amp; Planning, Tehran, Iran.</t>
  </si>
  <si>
    <t>s_dizaji@modares.ac.ir</t>
  </si>
  <si>
    <t>Faraji Dizaji, Sajjad/0000-0001-8413-4580</t>
  </si>
  <si>
    <t>0022-3433</t>
  </si>
  <si>
    <t>1460-3578</t>
  </si>
  <si>
    <t>J PEACE RES</t>
  </si>
  <si>
    <t>J. Peace Res.</t>
  </si>
  <si>
    <t>10.1177/00223433221116654</t>
  </si>
  <si>
    <t>MM0O0</t>
  </si>
  <si>
    <t>WOS:000902127400001</t>
  </si>
  <si>
    <t>Villalba, R; Venus, TE; Sauer, J</t>
  </si>
  <si>
    <t>Villalba, Roberto; Venus, Terese E.; Sauer, Johannes</t>
  </si>
  <si>
    <t>The ecosystem approach to agricultural value chain finance: A framework for rural credit</t>
  </si>
  <si>
    <t>Value chain finance; Supply chain; Rural finance; Grounded Theory; Social capital</t>
  </si>
  <si>
    <t>INSTITUTIONS; MARKETS; LESSONS; WELFARE; POLICY</t>
  </si>
  <si>
    <t>In developing countries, smallholder farmers often lack long-lasting sources of credit. While traditional banking, microfinance, and cooperatives have addressed some financing gaps, Agricultural Value Chain Finance (AVCF) has attracted attention as it allows value chain actors to leverage social capital and satisfy their funding needs. To identify the driving factors for the development of AVCF, we analyze the role of non-farmer actors including banks, development organizations, agribusinesses, and academia using in-depth expert interviews. Following a Grounded Theory approach, we propose the Ecosystem Approach as a framework for establishing long-lasting AVCF schemes in developing countries based on three critical solutions: building financial platforms for value chain transaction records, implementing bundled ser-vices for the value chain, and evolving from a value chain to a value web approach. Our findings introduce six propositions that shed light on key factors for the development and longevity of financing schemes: i) the AVCF Ecosystem, ii) how AVCF schemes emerge, iii) social capital and value chain interactions, iv) cul-ture and value chain characteristics, v) market risk, vi) transaction costs reduction. We find that AVCF can use social and trade capital to reduce transaction costs and mitigate risks related to quality, prices, and markets. In AVCF ecosystems, there are financial products for interlinked agricultural value chains with a balanced focus on all chain actors, no lock-in relationships between the lenders and the borrowers, and multiple benefits for participants. As the evolution towards an Ecosystem Approach offers a promising outlook for agricultural credit, future research should explore how policymakers and development agen-cies can support these schemes and how they can be used to increase financial access and equity in rural communities. (c) 2022 Published by Elsevier Ltd.</t>
  </si>
  <si>
    <t>[Villalba, Roberto; Venus, Terese E.; Sauer, Johannes] Tech Univ Munich, Chair Agr Prod &amp; Resource Econ, Munich, Germany; [Villalba, Roberto] Alte Akad 14, D-85354 Freising Weihenstephan, Germany</t>
  </si>
  <si>
    <t>Technical University of Munich</t>
  </si>
  <si>
    <t>Villalba, R (corresponding author), Alte Akad 14, D-85354 Freising Weihenstephan, Germany.</t>
  </si>
  <si>
    <t>roberto.villalba@tum.de</t>
  </si>
  <si>
    <t>; Villalba, Roberto/KXQ-8890-2024</t>
  </si>
  <si>
    <t>Venus, Terese/0000-0003-0729-2416; Villalba, Roberto/0000-0002-8676-1761</t>
  </si>
  <si>
    <t>project Value Chain Finance for Climate Smart Agriculture(VCFCSA) - German Federal Ministry of Research and Education within the Bioeconomy International initiative [FKZ: 031B0844]</t>
  </si>
  <si>
    <t>project Value Chain Finance for Climate Smart Agriculture(VCFCSA) - German Federal Ministry of Research and Education within the Bioeconomy International initiative</t>
  </si>
  <si>
    <t>We are very grateful to all the interviewees for sharing their knowledge and experience on Agricultural Value Chain Finance in different regions. We are equally grateful for the financial support from the project Value Chain Finance for Climate Smart Agriculture(VCFCSA) which is funded by the German Federal Ministry of Research and Education within the Bioeconomy International initiative (FKZ: 031B0844).</t>
  </si>
  <si>
    <t>10.1016/j.worlddev.2022.106177</t>
  </si>
  <si>
    <t>8C9HO</t>
  </si>
  <si>
    <t>WOS:000917911700001</t>
  </si>
  <si>
    <t>de Goede, M</t>
  </si>
  <si>
    <t>Hawala discourses and the war on terrorist finance</t>
  </si>
  <si>
    <t>REMITTANCES</t>
  </si>
  <si>
    <t>In this paper I argue that the informal hawala money-transfer networks, which were made to take much of the blame for terrorist financing in the wake of the September 11 attacks, are not, underground' banking systems but are connected to Western banking in a myriad of ways. I argue that negative stereotyping of hawala in press and policy discourses has implicitly constructed Western banking as the normal and legitimate space of international finance and has deflected calls for regulation of Western investment banking. I discuss how hawala is connected to the financial exclusion of migrant workers in the West. In the war on terrorist finance, discourses of hawala have led to the underestimation of the complexity of cutting off terrorist funding, while criminalising remittance networks.</t>
  </si>
  <si>
    <t>Newcastle Univ, Sch Geography Polit &amp; Sociol, Newcastle Upon Tyne NE1 7RU, Tyne &amp; Wear, England</t>
  </si>
  <si>
    <t>de Goede, M (corresponding author), Univ Amsterdam, Fac Humanities, Herengracht 182, NL-1016 BR Amsterdam, Netherlands.</t>
  </si>
  <si>
    <t>de Goede, Marieke/0000-0001-5726-1795</t>
  </si>
  <si>
    <t>1472-3433</t>
  </si>
  <si>
    <t>10.1068/d310t</t>
  </si>
  <si>
    <t>743KG</t>
  </si>
  <si>
    <t>WOS:000186570500002</t>
  </si>
  <si>
    <t>Vadlamannati, KC; de Soysa, I</t>
  </si>
  <si>
    <t>Vadlamannati, Krishna Chaitanya; de Soysa, Indra</t>
  </si>
  <si>
    <t>Oil price volatility and political unrest: Prudence and protest in producer and consumer societies, 1980-2013</t>
  </si>
  <si>
    <t>Oil wealth; Oil price; Dutch disease; Forex reserves; Political unrest</t>
  </si>
  <si>
    <t>NATURAL-RESOURCES; CIVIL CONFLICT; SHOCKS; WORLD; DEPENDENCE; GRIEVANCE; DEMOCRACY; GROWTH; WEALTH; CRISES</t>
  </si>
  <si>
    <t>Revenue from oil makes countries susceptible to the resource curse since rulers have ready access to finance for buying off opposition rather than reform. We explore this issue by examining whether oil price volatility affects anti-government unrest. We argue that in oil-producing countries, low price years generate anti-government protest conditional on a state's access to foreign exchange reserves. The prudent management of oil revenue during boom years can allow some oil-rich states to manage political dissent while others fail. Contrarily, in oil-importing countries, high oil price years increase anti-government dissent, but again, conditional on access to foreign exchange reserves, which allow governments to ease the pain of austerity. Using panel data covering 165 countries between 1980 and 2013 (34 years), we find clear evidence in support of these propositions. Oil-producer countries that are able to resist political Dutch disease and save for rainy days are more capable of weathering low-price years. Similarly, oil import-dependent states face higher dissent during high oil price years, but conditional on access to foreign reserves. These results are in line with others that show that some oil producers avoid civil war through heavy public spending. Oil-rich countries should manage oil revenues in ways that allow them to survive the low price years, perhaps by avoiding both economic and political Dutch disease, which will only lead to inevitable regime challenge. The results are robust to alternative data, measurement, sample size, and estimation methods.</t>
  </si>
  <si>
    <t>[Vadlamannati, Krishna Chaitanya] Univ Coll Dublin UCD, Sch Polit &amp; Int Relat SPIRe, Dublin, Ireland; [de Soysa, Indra] Norwegian Univ Sci &amp; Technol NTNU, Dept Sociol &amp; Polit Sci ISS, Trondheim, Norway</t>
  </si>
  <si>
    <t>University College Dublin; Norwegian University of Science &amp; Technology (NTNU)</t>
  </si>
  <si>
    <t>Vadlamannati, KC (corresponding author), Univ Coll Dublin UCD, Sch Polit &amp; Int Relat SPIRe, Dublin, Ireland.</t>
  </si>
  <si>
    <t>krishna.vadlamannati@ucd.ie; indra.de.soysa@svt.ntnu.no</t>
  </si>
  <si>
    <t>de Soysa, Indra/D-6635-2015</t>
  </si>
  <si>
    <t>Vadlamannati, Krishna Chaitanya/0000-0001-5999-1126</t>
  </si>
  <si>
    <t>10.1016/j.enpol.2020.111719</t>
  </si>
  <si>
    <t>OC8ZD</t>
  </si>
  <si>
    <t>WOS:000579443800017</t>
  </si>
  <si>
    <t>Chiu, J; Kahn, CM; Koeppl, T</t>
  </si>
  <si>
    <t>Chiu, Jonathan; Kahn, Charles M.; Koeppl, Thorsten, V</t>
  </si>
  <si>
    <t>Grasping decentralized finance through the lens of economic theory</t>
  </si>
  <si>
    <t>CANADIAN JOURNAL OF ECONOMICS-REVUE CANADIENNE D ECONOMIQUE</t>
  </si>
  <si>
    <t>In this viewpoint article, we provide an analysis of the value proposition of decentralized finance (DeFi) and its limitations using a simple stylized model of collateralized lending. DeFi uses a decentralized ledger to run smart contracts that automatically enforce the terms of a lending contract and safeguard the collateral. DeFi can lower the costs associated with intermediated lending and improve financial inclusion. Limitations are the volatility of crypto collateral and stablecoins used for settlement, the possible incompleteness of smart contracts and the lack of a reliable oracle. A proper infrastructure reducing such limitations could improve the value of DeFi.</t>
  </si>
  <si>
    <t>[Chiu, Jonathan] Bank Canada, Ottawa, ON, Canada; [Kahn, Charles M.] Univ Illinois, Chicago, IL 60680 USA; [Koeppl, Thorsten, V] Queens Univ, Kingston, ON, Canada</t>
  </si>
  <si>
    <t>Bank of Canada; University of Illinois System; University of Illinois Chicago; University of Illinois Chicago Hospital; Queens University - Canada</t>
  </si>
  <si>
    <t>Koeppl, T (corresponding author), Queens Univ, Kingston, ON, Canada.</t>
  </si>
  <si>
    <t>SSHRC Insight Grant [435-2022-0028]</t>
  </si>
  <si>
    <t>SSHRC Insight Grant(Social Sciences &amp; Humanities Research Council of Canada (SSHRC))</t>
  </si>
  <si>
    <t>The views expressed in this paper are not necessarily the views of the Bank of Canada. We thank the editors for detailed comments that have helped us to improve the paper. Thorsten V. Koeppl acknowledges support from SSHRC Insight Grant 435-2022-0028. The authors declare that they have no relevant or material financial interests that relate to the research described in this paper.</t>
  </si>
  <si>
    <t>0008-4085</t>
  </si>
  <si>
    <t>1540-5982</t>
  </si>
  <si>
    <t>CAN J ECON</t>
  </si>
  <si>
    <t>Can. J. Econ.-Rev. Can. Econ.</t>
  </si>
  <si>
    <t>10.1111/caje.12627</t>
  </si>
  <si>
    <t>6F7VL</t>
  </si>
  <si>
    <t>WOS:000879318900001</t>
  </si>
  <si>
    <t>Raifu, IA; Kumeka, TT; Aminu, A</t>
  </si>
  <si>
    <t>Raifu, Isiaka Akande; Kumeka, Terver Theophilus; Aminu, Alarudeen</t>
  </si>
  <si>
    <t>Financial Development and Unemployment in MENA: Evidence from Heterogeneous Panel Causality and Quantile via Moment Regression</t>
  </si>
  <si>
    <t>Financial development; Unemployment; MMQR; Heterogeneous causality; MENA</t>
  </si>
  <si>
    <t>SUPPLY CHAIN; BLOCKCHAIN TECHNOLOGY; INFORMATION ASYMMETRY; FIRM PERFORMANCE; COST; MANAGEMENT; DISTRESS; OWNERSHIP; IMPACT; ROLES</t>
  </si>
  <si>
    <t>The high rate of unemployment is one of the socio-economic problems bedevilling the MENA region. Theoretical and empirical arguments remain divided regarding financial development's role in addressing unemployment. In light of this, this study investigates the effect of financial development on different components of unemployment (total (adult and youth) and gender (male and female)) in MENA. To capture financial development, we used the IMF composite financial development index. For robustness, we also computed an index of financial development from different measures of financial development made available by the World Bank. These measures of financial development include financial depth, financial efficiency, financial stability and financial access. By the panel quantile via the method of moment (Machado &amp; Silva, 2019), our results show that financial development has a significant negative effect on unemployment across the quantiles, but the impact reduces as we move from the lower quantiles to the higher quantiles. Also, using heterogeneous panel causality (Dumitrescu and Hurlin (2012)), our findings are further highlighted as follows: First, in most cases, there is a unidirectional causality between financial development and unemployment, especially total and male unemployment for youths and adults. The direction of causality runs from financial development to unemployment. Therefore, given that financial development lessens the rate of unemployment, our policy implication is that relevant authorities or policymakers need to implement sound financial development initiatives to reduce the levels of unemployment.</t>
  </si>
  <si>
    <t>[Raifu, Isiaka Akande; Aminu, Alarudeen] Univ Ibadan, Fac Econ &amp; Management Sci, Dept Econ, Ibadan, Oyo, Nigeria; [Kumeka, Terver Theophilus] Dominican Univ, Fac Humanities, Dept Econ, Management &amp; Social Sci, Ibadan, Oyo, Nigeria</t>
  </si>
  <si>
    <t>Kumeka, TT (corresponding author), Dominican Univ, Fac Humanities, Dept Econ, Management &amp; Social Sci, Ibadan, Oyo, Nigeria.</t>
  </si>
  <si>
    <t>terverkumeka@yahoo.com</t>
  </si>
  <si>
    <t>; Kumeka, Terver/ACT-6705-2022; Raifu, Isiaka/JMQ-8604-2023</t>
  </si>
  <si>
    <t>Raifu, Isiaka/0000-0001-9677-8906; Kumeka, Terver/0000-0002-5149-5299;</t>
  </si>
  <si>
    <t>10.1007/s13132-023-01260-6</t>
  </si>
  <si>
    <t>WOS:000957525900003</t>
  </si>
  <si>
    <t>Malki, B</t>
  </si>
  <si>
    <t>Malki, Bryan</t>
  </si>
  <si>
    <t>Responding to financing uncertainty in complex settings: the case of immigrant entrepreneurs from the Arab world in Sweden</t>
  </si>
  <si>
    <t>Immigrant entrepreneurship; financing uncertainty; financing decision-making; complex settings; financial ambidexterity; entrepreneurial finance</t>
  </si>
  <si>
    <t>ENTERPRISE; ENCLAVE; ACCESS; IMPACT; CREDIT</t>
  </si>
  <si>
    <t>This paper investigates the financing decisions of immigrant entrepreneurs (IEs) in complex settings in host countries, where uncertainties surrounding access to finance persist. While previous studies have acknowledged the presence of financing barriers, they have not sufficiently explained how IEs manage to sustain their entrepreneurial activities. To address this gap, this study presents a dynamic analysis of the financing decision-making process of IEs based on qualitative data gathered from 30 interviews with IEs from the Arab world residing and operating in Sweden. Findings reveal a three-phase decision-making process influenced by situational and dispositional factors. Additionally, the study captures distinct patterns of financing choices made by IEs when confronting uncertainty in complex settings. Specifically, it captures a behavioural aspect of being financially 'ambidextrous' or 'non-ambidextrous' across multiple contexts.</t>
  </si>
  <si>
    <t>[Malki, Bryan] Jonkoping Univ, Ctr Family Entrepreneurship &amp; Ownership CeFEO, Jonkoping Int Business Sch, Jonkoping, Sweden; [Malki, Bryan] Jonkoping Univ, Ctr Family Entrepreneurship &amp; Ownership CeFEO, Jonkoping Int Business Sch, Gjuterigatan 5, S-55111 Jonkoping, Sweden</t>
  </si>
  <si>
    <t>Jonkoping University; Jonkoping University</t>
  </si>
  <si>
    <t>Malki, B (corresponding author), Jonkoping Univ, Ctr Family Entrepreneurship &amp; Ownership CeFEO, Jonkoping Int Business Sch, Gjuterigatan 5, S-55111 Jonkoping, Sweden.</t>
  </si>
  <si>
    <t>bryan.malki@ju.se</t>
  </si>
  <si>
    <t>Malki, Bryan/AAJ-5340-2021</t>
  </si>
  <si>
    <t>Henry and Sylvia Toft Foundation</t>
  </si>
  <si>
    <t>This work is funded by: Henry and Sylvia Toft Foundation</t>
  </si>
  <si>
    <t>10.1080/08985626.2023.2298985</t>
  </si>
  <si>
    <t>HL3L9</t>
  </si>
  <si>
    <t>WOS:001131621300001</t>
  </si>
  <si>
    <t>Fromentin, V</t>
  </si>
  <si>
    <t>Fromentin, Vincent</t>
  </si>
  <si>
    <t>Remittances and financial development in Latin America and the Caribbean countries: A dynamic approach</t>
  </si>
  <si>
    <t>UNIT-ROOT TESTS; PANEL-DATA; ECONOMIC-GROWTH; DETERMINANTS; CAUSALITY; IMPACT</t>
  </si>
  <si>
    <t>Despite the importance of remittances in total international flows, the conclusion of the studies on the relationship between remittances and financial development, is still not completely unanimous, particularly in Latin America and the Caribbean. However, financial development matters for growth and poverty alleviation and financial inclusion have many beneficial effects for households. We examine the relationship between remittances and financial sector development with several dynamic panel data methods. We find a positive, significant, and robust bidirectional link between remittances and financial development for the panel of 32 countries.</t>
  </si>
  <si>
    <t>[Fromentin, Vincent] Univ Lorraine, Nancy, France</t>
  </si>
  <si>
    <t>Universite de Lorraine</t>
  </si>
  <si>
    <t>Fromentin, V (corresponding author), Univ Lorraine, Ctr Europeen Rech Econ Financiere &amp; Gest Entrepri, Nancy, France.</t>
  </si>
  <si>
    <t>vfromentin@gmail.com</t>
  </si>
  <si>
    <t>FROMENTIN, Vincent/0000-0003-4103-5341</t>
  </si>
  <si>
    <t>10.1111/rode.12368</t>
  </si>
  <si>
    <t>GD7KL</t>
  </si>
  <si>
    <t>WOS:000430690700017</t>
  </si>
  <si>
    <t>Shi, JZ; Firmansyah, EA; Wang, Y; Xu, WB</t>
  </si>
  <si>
    <t>Shi, Jianzheng; Firmansyah, Egi Arvian; Wang, Yue; Xu, Weibiao</t>
  </si>
  <si>
    <t>Technological innovation and regulatory harmonization in Islamic finance: a systematic review and machine learning analysis (2000-2023)</t>
  </si>
  <si>
    <t>Islamic finance; Systematic review; Shariah-compliant finance; Sukuk; Islamic banking</t>
  </si>
  <si>
    <t>CONVENTIONAL BANKS; ECONOMIC-GROWTH; RISK; EFFICIENCY; GCC; PERFORMANCE; COUNTRIES; CRISIS</t>
  </si>
  <si>
    <t>PurposeTo synthesize Islamic finance scholarship (2000-2023) and examine how technological innovation interacts with regulatory harmonization, mapping dominant themes, regional trajectories and future research priorities.Design/methodology/approachA preferred reporting items for systematic reviews and meta-analyses-guided systematic review identified 616 records and retained 95 studies after quality screening. The authors applied latent dirichlet allocation topic modeling (k = 5; coherence-optimized) and triangulated with bibliometrics (co-citation, author networks, keyword co-occurrence; interrater kappa approximate to 0.85). Qualitative triangulation included ten expert interviews and five institutional case studies to validate and interpret quantitative patterns.FindingsFive interlinked themes structure the field: (1) Shariah-compliant products, (2) risk and governance, (3) Sukuk/green Sukuk, (4) regulation and standardization and (5) fintech/digital Shariah/social finance. The literature evolves across four stages - foundation, expansion, regulatory consolidation and innovation/integration - culminating in digitalization and environmental, social and governance (ESG) convergence. Regional analysis highlights Malaysia's innovation-led regime, Gulf Cooperation Council's conservative yet modernizing architectures and Indonesia's scale potential with literacy and inclusion gaps. Persistent challenges include cross-jurisdictional standardization, risk modeling for PLS contracts and rigorous impact measurement for ESG-aligned instruments.Research limitations/implicationsThe sample is limited to peer-reviewed literature (2000-2023) with English-language emphasis; database coverage and methodological heterogeneity may bias topic prevalence. Future work should widen non-English sources, replicate with alternative models (e.g. BERTopic) and couple macroreviews with microdata on product performance and inclusion outcomes.Practical implicationsGuidance for regulators on mutual recognition and Shariah governance harmonization; for institutions on embedding digital Shariah controls, cybersecurity and AI assurance; and for issuers on robust KPI/impact frameworks for green Sukuk.Social implicationsDigital Islamic finance can advance financial inclusion and sustainable development goals if paired with credible impact verification, consumer protection and equitable data-use practices.Originality/valueCombines a systematic review with machine-learning topic discovery, bibliometric validation and qualitative evidence to deliver an integrated map of Islamic finance's evolution, a conceptual ecosystem framework and a concrete agenda linking fintech, governance and sustainability.</t>
  </si>
  <si>
    <t>[Shi, Jianzheng; Wang, Yue; Xu, Weibiao] Singapore Univ Social Sci, Business Sch, Singapore, Singapore; [Firmansyah, Egi Arvian] Univ Padjadjaran, Dept Management &amp; Business, Sumedang, Indonesia</t>
  </si>
  <si>
    <t>Singapore University of Social Sciences (SUSS); Universitas Padjadjaran</t>
  </si>
  <si>
    <t>Shi, JZ (corresponding author), Singapore Univ Social Sci, Business Sch, Singapore, Singapore.</t>
  </si>
  <si>
    <t>jzshi001@suss.edu.sg; egi.firmansyah@unpad.ac.id; weibiaoxu@suss.edu.sg</t>
  </si>
  <si>
    <t>SHI, JIANZHENG/KHW-3983-2024; FIRMANSYAH, EGI/A-2131-2015</t>
  </si>
  <si>
    <t>2025 SEP 22</t>
  </si>
  <si>
    <t>10.1108/JIABR-01-2025-0026</t>
  </si>
  <si>
    <t>7MD8M</t>
  </si>
  <si>
    <t>WOS:001574307900001</t>
  </si>
  <si>
    <t>Yusoff, SSBM; Oseni, UA; Ali, ERAE; Rapi, MZH</t>
  </si>
  <si>
    <t>Mohd Yusoff, Syarah Syahira Binti; Oseni, Umar A.; Engku Ali, Engku Rabiah Adawiah; Rapi, Muh Zul Hazmi</t>
  </si>
  <si>
    <t>Customers' legal awareness and legal understanding on the contract of adhesion for Islamic home financing in Malaysia</t>
  </si>
  <si>
    <t>Shariah compliance; Islamic contract law; Legal documentation; Contract of adhesion; Consumer protection; Islamic home financing; G21; G28; K12</t>
  </si>
  <si>
    <t>ISSUES</t>
  </si>
  <si>
    <t>PurposeThe legal documentation for Islamic home financing is considered a contract of adhesion, as it is pre-prepared by Islamic banks, leaving customers with a take-it-or-leave-it choice. Hence, this study aims to examine the level of customers' legal awareness and understanding of specific clauses in the contract of adhesion used for Islamic home financing in Malaysia.Design/methodology/approachThis study adopts a quantitative, descriptive correlational survey design to investigate customers' understanding and awareness of the legal documentation for Islamic home financing. Self-administered questionnaires were distributed to 384 Islamic bank customers in Malaysia and were analysed using SPSS to obtain the results.FindingsThe findings indicate that the level of legal awareness and legal understanding of the customers towards the standard form contract is satisfactory. The majority of the customers agreed that they have an average understanding of the legal documentation, but have inadequate legal awareness of the contract of adhesion. This finding is not in line with the theory of contract of adhesion that suggests that the standard form contract compels the customers to make a bounded rationality, even when the contract is hard to understand and hard to read.Research limitations/implicationsThis current study is limited to Malaysia and does not extend to Islamic banking products in other jurisdictions. However, this study could be a stepping-stone that provides a foundation for further research into customers' rights and legal awareness in other regions.Practical implicationsThe findings in this paper could guide policymakers, such as Bank Negara Malaysia, in implementing the Financial Sector Blueprint 2022-2026, which emphasizes financial inclusion, digitalization and ethical governance. In particular, efforts to standardize Islamic home financing documentation should align with the Shariah Governance Framework, ensuring documents are transparent, accessible and supportive of customer protection goals.Originality/valueThis paper is one of the earliest empirical legal studies to examine the need for standardisation of legal documentation used in Islamic home financing in Malaysia. It offers a practical solution for policymakers and future researchers to enhance current legal practices further.</t>
  </si>
  <si>
    <t>[Mohd Yusoff, Syarah Syahira Binti; Engku Ali, Engku Rabiah Adawiah] Int Islamic Univ Malaysia, IIUM Inst Islamic Banking &amp; Finance, Kuala Lumpur, Malaysia; [Rapi, Muh Zul Hazmi] Univ Brunei Darussalam, UBD Sch Business &amp; Econ, Gadong, Brunei</t>
  </si>
  <si>
    <t>International Islamic University Malaysia; University Brunei Darussalam</t>
  </si>
  <si>
    <t>Rapi, MZH (corresponding author), Univ Brunei Darussalam, UBD Sch Business &amp; Econ, Gadong, Brunei.</t>
  </si>
  <si>
    <t>syarahyusoff@iium.edu.my; umaroseni@gmail.com; rabiah@iium.edu.my; hazmyrapi.my@gmail.com</t>
  </si>
  <si>
    <t>Oseni, Umar/F-9121-2011</t>
  </si>
  <si>
    <t>10.1108/JIABR-02-2025-0072</t>
  </si>
  <si>
    <t>9WJ9H</t>
  </si>
  <si>
    <t>WOS:001616621700001</t>
  </si>
  <si>
    <t>Niankara, I; Hassan, HI; Traoret, RI; Islam, AM</t>
  </si>
  <si>
    <t>Niankara, Ibrahim; Hassan, Hassan Ismail; Traoret, Rachidatou I.; Islam, Abu Reza Mohammad</t>
  </si>
  <si>
    <t>Consumer Savings and Digital Remittance in Open Banking: Insights From Bibliometric and Geospatial Econometric Analysis</t>
  </si>
  <si>
    <t>HUMAN BEHAVIOR AND EMERGING TECHNOLOGIES</t>
  </si>
  <si>
    <t>C55; F30; F42; G20; G28; O33; bibliometric analysis; digital remittance; financial inclusion; formal saving; geospatial econometrics; open banking</t>
  </si>
  <si>
    <t>Open banking (OB) refers to financial institutions opening their data and services to external parties via application programming interfaces (APIs), a practice that has been increasingly adopted globally since its 2018 regulatory inception in the United Kingdom. Despite its growth, there is still a lack of academic studies examining its impact on consumer financial behaviors on a global scale. This study addresses this gap by exploring OB's influence on consumers' formal saving and digital remittance behaviors worldwide. Using a mixed methods design, we combine bibliometric analysis and geospatial econometric modeling on Scopus OB bibliographic data and consumer financial preferences data from 2021 to 2022 across 139 countries. While the bibliometric results highlight the need for more international collaborations in OB research that reflect the ongoing collaborations in its implementation around the world, the econometric findings reveal significantly positive benefits for consumers globally, increasing the likelihood of formal saving and digital remittance. Specifically, consumers in countries with Revised Payment Services Directive (PSD2)-regulated initiatives, market-driven initiatives, and other non-PSD2 initiatives show higher marginal utilities (MUs) from digital remittance (39.1%-56.7%) compared to those in countries without OB initiatives. Additionally, consumers in PSD2 and market-driven countries exhibit higher MUs from formal saving by 61.8% and 37%, respectively, compared to those without OB initiatives. Overall, in addition to the implications for global open innovation, the paper provides reasonable evidence, supporting OB implementation to achieve several Sustainable Development Goals (SDGs) and the associated benefits to consumers' worldwide.</t>
  </si>
  <si>
    <t>[Niankara, Ibrahim] Al Ain Univ AAU, Coll Business, Abu Dhabi, U Arab Emirates; [Hassan, Hassan Ismail] Univ Canada West UCW, Dept Finance &amp; Banking, Vancouver, BC, Canada; [Traoret, Rachidatou I.] United Arab Emirates Univ UAEU, Dept Stat &amp; Business Analyt, Al Ain, U Arab Emirates; [Islam, Abu Reza Mohammad] BRAC Univ, BRAC Business Sch, Dhaka, Bangladesh</t>
  </si>
  <si>
    <t>Bangladesh Rural Advancement Committee BRAC; BRAC University</t>
  </si>
  <si>
    <t>Niankara, I (corresponding author), Al Ain Univ AAU, Coll Business, Abu Dhabi, U Arab Emirates.</t>
  </si>
  <si>
    <t>; niankara, ibrahim/KGL-5592-2024</t>
  </si>
  <si>
    <t>Traoret, Rachidatou Ingrid/0009-0000-2886-2786; niankara, ibrahim/0000-0001-7049-0859</t>
  </si>
  <si>
    <t>2578-1863</t>
  </si>
  <si>
    <t>HUM BEHAV EMERG TECH</t>
  </si>
  <si>
    <t>Hum. Behav. Emerg. Tech.</t>
  </si>
  <si>
    <t>10.1155/hbe2/9352257</t>
  </si>
  <si>
    <t>T0Y8D</t>
  </si>
  <si>
    <t>WOS:001402377300001</t>
  </si>
  <si>
    <t>Wahbi, A; Musshoff, O</t>
  </si>
  <si>
    <t>Wahbi, Annkathrin; Musshoff, Oliver</t>
  </si>
  <si>
    <t>Unlocking rural resilience: Exploring innovative digital saving solutions for farming households in Mali</t>
  </si>
  <si>
    <t>JOURNAL OF AGRICULTURAL ECONOMICS</t>
  </si>
  <si>
    <t>behavioral economics; discrete choice experiment; financial planning; household finance; Mali; saving</t>
  </si>
  <si>
    <t>DISCRETE-CHOICE EXPERIMENTS; WILLINGNESS-TO-PAY; FINANCIAL INCLUSION; HEALTH; MODELS; POOR; PREFERENCE; AFRICA</t>
  </si>
  <si>
    <t>Financial savings at the household level are vital for poverty alleviation, yet they face social, psychological and institutional obstacles. Over recent years, mobile phones have proven effective in enhancing financial inclusion. However, when individuals decide how to save, their preferences remain unclear. This study investigates the preferences of 421 Malian smallholder farmers for a hypothetical mobile savings application using a discrete choice experiment. Apart from standard savings account features such as transaction charges, interest amount and minimum deposit requirements, it assesses preferences for two innovative features designed to address deviations from rational decision-making. The first feature allows multiple users to pool their savings, utilising social dynamics and peer pressure to encourage responsible savings behaviour and enhance commitment. The second feature offers users the ability to manage their finances more effectively by dividing them into purpose-specific sub-accounts. The findings reveal a strong overall preference for saving via the application rather than keeping cash on hand. As anticipated, farmers favour lower costs and deposits and higher interest amounts. Generally, individual saving is preferred over group saving, and the option to compartmentalise is valued, albeit not statistically significantly so. However, the analysis of underlying heterogeneity reveals substantial differences in respondents' preferences for these commitment-enhancing features. These findings underscore the need for customised approaches that align with farmers' unique preferences and constraints. Such approaches can inform the development of bespoke mobile savings solutions for farming households, thereby boosting their resilience and financial well-being.</t>
  </si>
  <si>
    <t>[Wahbi, Annkathrin; Musshoff, Oliver] Georg August Univ Gottingen, Dept Agr Econ &amp; Rural Dev, Pl Gottinger Sieben 5, D-37073 Gottingen, Germany</t>
  </si>
  <si>
    <t>Wahbi, A (corresponding author), Georg August Univ Gottingen, Dept Agr Econ &amp; Rural Dev, Pl Gottinger Sieben 5, D-37073 Gottingen, Germany.</t>
  </si>
  <si>
    <t>Wahbi, Annkathrin/0000-0002-5479-0672;</t>
  </si>
  <si>
    <t>German Federal Ministry for Economic Cooperation and Development (BMZ)</t>
  </si>
  <si>
    <t>This work was supported by the German Federal Ministry for Economic Cooperation and Development (BMZ).</t>
  </si>
  <si>
    <t>0021-857X</t>
  </si>
  <si>
    <t>1477-9552</t>
  </si>
  <si>
    <t>J AGR ECON</t>
  </si>
  <si>
    <t>J. Agric. Econ.</t>
  </si>
  <si>
    <t>10.1111/1477-9552.12609</t>
  </si>
  <si>
    <t>C3J1C</t>
  </si>
  <si>
    <t>WOS:001248798900001</t>
  </si>
  <si>
    <t>Rowan, NJ</t>
  </si>
  <si>
    <t>Rowan, Neil J.</t>
  </si>
  <si>
    <t>The role of digital technologies in supporting and improving fishery and aquaculture across the supply chain - Quo Vadis?</t>
  </si>
  <si>
    <t>AQUACULTURE AND FISHERIES</t>
  </si>
  <si>
    <t>Digital transformation; Sustainability; End-to-end monitoring; Food processing; Disruptive innovation</t>
  </si>
  <si>
    <t>Fish constitute important high protein products to meet the demands of an increasing global population. However, the continued depletion of wild fish stocks is leading to increased strain on the aquaculture sector in terms of sustaining the supply of fish and seafood to global markets. Despite the fact that aquaculture is more diversified than other agriculture sectors, there are significant pressures on the industry to continue innovating in order to enable sustainability including increased fish production, improved appropriate selection of species, disease mitigation, reduced wastage, preventing environmental pollution and generating more employment globally. This viewpoint article addresses how digital transformation can help support and meet expansion needs of the fisheries/aquaculture industries that includes exploiting and harnessing ICT, IoT, Cloud-edge computing, AI, machine learning, immersive technologies and blockchain. Digital technologies are bringing significant operational benefits for global food chain, improving efficiencies and productivity, reducing waste, contami-nation and food fraud. The focus on digital technologies has recently evolved to Industry 5.0 where AI and robotics are coupled with the human mind in order to advance human-centric solutions. This viewpoint describes the role of Quadruple helix Hub (academic-industry-government and society) in delivering a convergent holistic approach to meeting the diversity of fishery industry needs by connecting and placing fisheries centrally in a defined ecosystem of stakeholders. This includes specialist training, testing technologies, providing access to finance and fostering disruption through aquaculture accelerator initiatives such as that provided by Hatch Blue. Connecting digital Innovation Hubs trans-regionally, nationally and internationally will also help mitigate against significant risks for the fisheries and aquaculture industry including climate change, global pandemics and conflicts that can jeopardize fish and seafood production and supply chains. There is also a commensurate need to avail of digital technologies in order to increase awareness of key industry issues across the value chain, such as through social marketing. Thus, addressing key challenges by way of the global digital transformation of fishery and aquaculture industry will meet several sustainable development goals of the United Nations catered around the application of disruptive technology.</t>
  </si>
  <si>
    <t>[Rowan, Neil J.] Technol Univ Shannon Midlands Midwest TUS, Biosci Res Inst, Athlone N37 HD68, Ireland; [Rowan, Neil J.] TUS, Empower Eco TM Innovat Hub, Athlone N37 HD68, Ireland; [Rowan, Neil J.] NUI, CURAM Res Ctr, Galway H91 TK33, Ireland</t>
  </si>
  <si>
    <t>Rowan, NJ (corresponding author), Technol Univ Shannon Midlands Midwest TUS, Biosci Res Inst, Athlone N37 HD68, Ireland.</t>
  </si>
  <si>
    <t>neil.rowan@tus.ie</t>
  </si>
  <si>
    <t>Rowan, Neil J/OUI-9529-2025</t>
  </si>
  <si>
    <t>Rowan, Neil J/0000-0003-1228-3733</t>
  </si>
  <si>
    <t>Interreg Atlantic Area Neptunus [EAPA_576/2018]; MSCA RISE (ICHTHYS ) [872217]; Regional University Network European University ( RUN-EU Project); Bord Iascaigh Mhara [2019 BIM-KGS-008]</t>
  </si>
  <si>
    <t>Interreg Atlantic Area Neptunus; MSCA RISE (ICHTHYS ); Regional University Network European University ( RUN-EU Project); Bord Iascaigh Mhara</t>
  </si>
  <si>
    <t>The author would like to thank Interreg Atlantic Area Neptunus (Project EAPA_576/2018) , MSCA RISE (ICHTHYS Project Number 872217) ; Regional University Network European University (RUN-EU Project) , and Bord Iascaigh Mhara (Project 2019 BIM-KGS-008) for funding support.</t>
  </si>
  <si>
    <t>2096-1758</t>
  </si>
  <si>
    <t>2468-550X</t>
  </si>
  <si>
    <t>AQUACULT FISH</t>
  </si>
  <si>
    <t>Aquacult. Fish.</t>
  </si>
  <si>
    <t>10.1016/j.aaf.2022.06.003</t>
  </si>
  <si>
    <t>Fisheries; Marine &amp; Freshwater Biology</t>
  </si>
  <si>
    <t>9C6CV</t>
  </si>
  <si>
    <t>WOS:000935503800001</t>
  </si>
  <si>
    <t>Rofik, M; Boulanouar, Z; Yuli, SBC; Wardani, DTK</t>
  </si>
  <si>
    <t>Rofik, Mochamad; Boulanouar, Zakaria; Yuli, Sri Budi Cantika; Wardani, Dyah Titis Kusuma</t>
  </si>
  <si>
    <t>Revisiting the impact of Islamic finance on economic growth: a decomposition analysis using Indonesia as a testing ground</t>
  </si>
  <si>
    <t>Islamic banking; Sharia financing; Share of sharia financing; Economic growth; Decomposition</t>
  </si>
  <si>
    <t>CONVENTIONAL BANKS; UNEMPLOYMENT; EFFICIENCY; INFLATION; MODEL</t>
  </si>
  <si>
    <t>PurposeThis study aims to examine the impact of Sharia-compliant (SC) finance on economic growth by decomposing it into working capital, investment and household finance. The goal is to understand not only the general impact of Islamic financing but also how its various components contribute to economic development.Design/methodology/approachUsing annual data from 33 provinces in Indonesia from 2010 to 2021, the authors use the fixed effects model, accounting for cross-sectional heterogeneity. The study explores the competitive dynamics between Islamic and conventional banking, focusing on how Sharia financing market share affects economic growth. Robustness checks ensure the reliability of the findings.FindingsThe results show that total Islamic financing and its components (working capital, investment and household finance) positively impact economic growth. However, a higher market share of Sharia financing can constrain growth, suggesting an underdeveloped market for SC products. This finding emphasizes the need for a balanced development of both Islamic and conventional financial sectors to support sustainable economic growth.Research limitations/implicationsFuture research could extend the time frame or investigate other emerging markets to confirm these results. Further studies could also explore how different types of Sharia financing affect specific sectors, such as agriculture or manufacturing, to offer more targeted insights for policymakers and investors.Practical implicationsPolicymakers could use the insights from this study to create incentives for Islamic financial institutions to develop tailored products for critical sectors, such as microfinance for smallholder farmers or investment financing for sustainable agriculture. These initiatives would enhance access to finance, stimulate local economies and align with Indonesia's development goals.Social implicationsUnderstanding the role of Sharia financing in growth can help devise strategies that promote ethical investment and reduce poverty. The findings highlight the potential of SC finance to contribute to social welfare and economic equity.Originality/valueThis study provides a unique analysis of how different forms of SC finance affect economic development, filling a gap in the literature. It offers valuable insights for academics, policymakers and practitioners in the field of Islamic finance, emphasizing the nuanced relationship between financial structure and economic growth.Contribution to impactThis study contributes to the literature by analyzing the decomposition of Sharia financing into specific categories and their distinct impacts on growth. It suggests that existing models need to account for market development and competitive dynamics when evaluating the role of Islamic finance in economic development.</t>
  </si>
  <si>
    <t>[Rofik, Mochamad; Yuli, Sri Budi Cantika] Univ Muhammadiyah Malang, Dept Econ, Malang, Indonesia; [Boulanouar, Zakaria] United Arab Emirates Univ, Coll Business &amp; Econ, Dept Econ &amp; Finance, Al Ain, U Arab Emirates; [Wardani, Dyah Titis Kusuma] Univ Muhammadiyah Yogyakarta, Dept Econ, Bantul, Indonesia</t>
  </si>
  <si>
    <t>Universitas Muhammadiyah Malang; United Arab Emirates University; Universitas Muhammadiyah Yogyakarta</t>
  </si>
  <si>
    <t>Boulanouar, Z (corresponding author), United Arab Emirates Univ, Coll Business &amp; Econ, Dept Econ &amp; Finance, Al Ain, U Arab Emirates.</t>
  </si>
  <si>
    <t>mochamadrofik@umm.ac.id; zboulanouar@uaeu.ac.ae; cantika@umm.ac.id; dyah.wardani@umy.ac.id</t>
  </si>
  <si>
    <t>Boulanouar, Zakaria/HLH-2970-2023; Yuli, Sri/AAD-8618-2021; Rofik, Mochamad/ABC-6191-2021</t>
  </si>
  <si>
    <t>Boulanouar, Zakaria/0000-0001-6302-3857; Wardani, Dyah Titis Kusuma/0000-0002-4979-4740;</t>
  </si>
  <si>
    <t>Office of the Associate Provost for Research at UAE University [G00004378, 12B040]</t>
  </si>
  <si>
    <t>Office of the Associate Provost for Research at UAE University</t>
  </si>
  <si>
    <t>The author is grateful to the Office of the Associate Provost for Research at UAE University for the start-up grant, code G00004378, Fund 12B040.</t>
  </si>
  <si>
    <t>10.1108/IMEFM-06-2024-0288</t>
  </si>
  <si>
    <t>3QR2N</t>
  </si>
  <si>
    <t>WOS:001413977900001</t>
  </si>
  <si>
    <t>Ogunmokun, OC; Mafimisebi, O; Obembe, D</t>
  </si>
  <si>
    <t>Ogunmokun, Olapeju Comfort; Mafimisebi, Oluwasoye; Obembe, Demola</t>
  </si>
  <si>
    <t>Bank lending behaviour and small enterprise debt financing</t>
  </si>
  <si>
    <t>Risk perception; Small enterprises; Prospect theory; Debt finance; Bank lending behaviour</t>
  </si>
  <si>
    <t>CREDIT RISK-TAKING; PROSPECT-THEORY; DECISION-MAKING; SMES; DETERMINANTS; FIRMS; CONSOLIDATION; GROWTH; ACCESS</t>
  </si>
  <si>
    <t>Purpose The reason for concern is the rapid decline in loans to small enterprises which is critical to their performance, compared to large businesses following the periods of banking reformations in Nigeria. Thus, the purpose of this paper is to investigate the influence of risk perception on bank lending behaviour to small enterprises. It also investigates the impact of government intervention, consolidation and recapitalization on the relationship between risk perception and bank lending behaviour to small enterprise. Design/methodology/approach This study empirically analysed (ordinary least square) secondary data obtained from the Central Bank of Nigeria Statistical Bulletins, Annual Statement of Accounts covering the period 1992-2020. Findings The results show that the absence of government interventions and the presence of banking reformations have statistically negative significant effect on bank lending to small enterprises. The findings challenge the argument that generally assumes risk aversion of banks towards small enterprise lending because of small enterprise's inability to prove their credit worthiness and consequently constraining access to finance to the sector. Instead, the results and analysis from this study found theoretical support for the variation of bank behaviour in lending to small enterprises depending on the status of wealth of the financial system. Practical implications A key lesson from this study for government concerned about promoting performance of the small enterprise sector is that regulating and enforcing lending requirements on access to debt financing of the sector is necessary if constraints in access debt finance is to be eliminated. Second, while strategies such as bank consolidation, recapitalization may help strengthen and make financially robust the banking system; it places the banks in a gain position where losses looms to them than gain. Originality/value This study challenges the argument that generally assumes risk aversion of banks towards small enterprise lending as a result of inability to prove their credit worthiness and consequently constraining access to finance to the sector. Instead, the results and analysis from this study reveal a variation in lending to small enterprises and suggests that the position of the bank in relation to a reference point influences how risk is perceived by the bank and thus impacts on their risk decision-making behaviour.</t>
  </si>
  <si>
    <t>[Ogunmokun, Olapeju Comfort; Mafimisebi, Oluwasoye; Obembe, Demola] De Montfort Univ, Sch Leadership Management &amp; Mkt, Leicester Castle Business Sch, Leicester, Leics, England</t>
  </si>
  <si>
    <t>Ogunmokun, OC (corresponding author), De Montfort Univ, Sch Leadership Management &amp; Mkt, Leicester Castle Business Sch, Leicester, Leics, England.</t>
  </si>
  <si>
    <t>olapeju.ogunmokun@dmu.ac.uk</t>
  </si>
  <si>
    <t>Obembe, Demola/JTU-0417-2023; Mafimisebi, Oluwasoye/AAF-3983-2021; Ogunmokun, Olapeju Comfort/ISU-1210-2023</t>
  </si>
  <si>
    <t>Ogunmokun, Olapeju Comfort/0000-0002-9058-1982</t>
  </si>
  <si>
    <t>10.1108/JEEE-02-2022-0043</t>
  </si>
  <si>
    <t>NI7M8</t>
  </si>
  <si>
    <t>WOS:000874655000001</t>
  </si>
  <si>
    <t>Huang, XB; Liu, XL; Görg, H</t>
  </si>
  <si>
    <t>Huang, Xiaobing; Liu, Xiaolian; Goerg, Holger</t>
  </si>
  <si>
    <t>Heterogeneous firms, financial constraints and export behaviour: A firm-level investigation for China</t>
  </si>
  <si>
    <t>China; exports; financial constraints; heterogeneous firms</t>
  </si>
  <si>
    <t>CREDIT CONSTRAINTS; TRADE; PRODUCTIVITY; GROWTH; INVESTMENT; MODELS; ENTRY; FLOWS</t>
  </si>
  <si>
    <t>We study the impact of access to finance on exports using Chinese firm-level data. We distinguish two modes of external finance, namely bank loans and issuing stocks to shareholders. We not only consider the impact either of these has individually on export behaviour, but also their interaction. We build the two external sources, as well as internal finance, into a heterogeneous firm-type model, which allows us to investigate the relationship between financial constraints and firms' exports. We examine the model's predictions empirically using a comprehensive longitudinal firm-level data set from China. Our empirical results are consistent with the theoretical predictions. Firms who have more interest expenditure or can issue stocks to their shareholders have higher propensity to export and export more. Moreover, the more financial options a firm has, the better a firm performs in terms of export volume and export propensity.</t>
  </si>
  <si>
    <t>[Huang, Xiaobing; Liu, Xiaolian] Gannan Normal Univ, Ganzhou, Peoples R China; [Goerg, Holger] Kiel Inst World Econ, Kiel, Germany</t>
  </si>
  <si>
    <t>Gannan Normal University; Leibniz Association; Institut fur Weltwirtschaft an der Universitat Kiel (IFW)</t>
  </si>
  <si>
    <t>Huang, XB (corresponding author), Gannan Normal Univ, Ganzhou, Peoples R China.</t>
  </si>
  <si>
    <t>National Natural Science Foundation of China [71663003]</t>
  </si>
  <si>
    <t>This work is supported by National Natural Science Foundation of China (Grant No. 71663003).</t>
  </si>
  <si>
    <t>10.1111/twec.12540</t>
  </si>
  <si>
    <t>FM3UR</t>
  </si>
  <si>
    <t>WOS:000414935100001</t>
  </si>
  <si>
    <t>Boyd, L; McCann, F; McGeever, N; McIndoe-Calder, T</t>
  </si>
  <si>
    <t>Boyd, Laura; McCann, Fergal; McGeever, Niall; McIndoe-Calder, Tara</t>
  </si>
  <si>
    <t>Saving to Invest? Financial Intermediation in Ireland Since the GFC</t>
  </si>
  <si>
    <t>ECONOMIC AND SOCIAL REVIEW</t>
  </si>
  <si>
    <t>Financial intermediation is the process through which savings are channelled into investment. This article studies developments in both sides of this process in Ireland, beginning by studying the savings behaviour of Irish households and the allocation of this wealth across assets. We show that households with the most financial resources are more likely to save and at higher rates, leading them to accumulate larger stocks of assets, which have benefitted most from asset price gains in recent years. We then study the usage of external finance for investment in Ireland, focussing on indigenous businesses. We find that despite their low investment rates in aggregate, a lack of access to finance is rarely a barrier to growth cited by indigenous Irish firms. We finish the paper by discussing the mechanisms that exist to connect household wealth to productive investment in the case of a small and highly-globalised economy such as Ireland, drawing out a range of policy conclusions.</t>
  </si>
  <si>
    <t>[Boyd, Laura; McCann, Fergal; McGeever, Niall; McIndoe-Calder, Tara] Cent Bank Ireland, Dublin, Ireland</t>
  </si>
  <si>
    <t>European Central Bank; Central Bank of Ireland</t>
  </si>
  <si>
    <t>McIndoe-Calder, T (corresponding author), Cent Bank Ireland, Dublin, Ireland.</t>
  </si>
  <si>
    <t>tara.mcindoecalder@centralbank.ie</t>
  </si>
  <si>
    <t>ECONOMIC &amp; SOCIAL STUDIES</t>
  </si>
  <si>
    <t>DUBLIN 2</t>
  </si>
  <si>
    <t>C/O ESRI, WHITAKER SQ, SIR JOHN ROGERSON'S QUAY, DUBLIN 2, 00000, IRELAND</t>
  </si>
  <si>
    <t>0012-9984</t>
  </si>
  <si>
    <t>ECON SOC REV</t>
  </si>
  <si>
    <t>Econ. Soc. Rev.</t>
  </si>
  <si>
    <t>1AU8J</t>
  </si>
  <si>
    <t>WOS:001460608600006</t>
  </si>
  <si>
    <t>Gligoric, M; Jankovic, I</t>
  </si>
  <si>
    <t>Vrankic, I; Tomic, D</t>
  </si>
  <si>
    <t>Gligoric, Mirjana; Jankovic, Irena</t>
  </si>
  <si>
    <t>THE IMPACT OF REMITTANCES ON ECONOMIC GROWTH AND ACCESS TO FINANCE</t>
  </si>
  <si>
    <t>Economic and Social Development: 13th International Scientific Conference on Economic and Social Development</t>
  </si>
  <si>
    <t>13th International Scientific Conference on Economic and Social Development (ESD)</t>
  </si>
  <si>
    <t>APR 14-16, 2016</t>
  </si>
  <si>
    <t>Varazdin Dev &amp; Entrepreneurship Agcy,Univ N</t>
  </si>
  <si>
    <t>Economic Growth; Financial Development; Remittances</t>
  </si>
  <si>
    <t>In Western Balkan countries, personal remittances make a substantial part of foreign capital inflow. Even though remittances represent an important source of income for households and individuals, reducing poverty and increasing consumption and welfare, there is a great potential of directing these funds in order to achieve long-run benefits regarding economic growth and development. Economic policies should be implemented to create better conditions for higher investment of remittances into production and human capital accumulation, which can yield greater benefits from both micro and macroeconomic perspective. Recipient country financial development may often be negatively affected by remittances, since they help reduction of existing financial constraint and are mostly directly oriented to consumption. In order for the positive link between remittances and financial development to emerge, development of new remittance-linked financial products is advisable. They would help remittance directing into official transmitting channels and increase remittance receivers' access to other banking products, health insurance and education.</t>
  </si>
  <si>
    <t>[Gligoric, Mirjana; Jankovic, Irena] Univ Belgrade, Fac Econ, Belgrade 11001, Serbia</t>
  </si>
  <si>
    <t>Gligoric, M (corresponding author), Univ Belgrade, Fac Econ, Belgrade 11001, Serbia.</t>
  </si>
  <si>
    <t>gligoric@ekof.bg.ac.rs; irenaj@ekof.bg.ac.rs</t>
  </si>
  <si>
    <t>Jankovic, Irena/K-3979-2019; Gligoric, Mirjana/NJS-4465-2025</t>
  </si>
  <si>
    <t>BG5DU</t>
  </si>
  <si>
    <t>WOS:000389417100010</t>
  </si>
  <si>
    <t>Davis, K; Maddock, R; Foo, M</t>
  </si>
  <si>
    <t>Davis, Kevin; Maddock, Rodney; Foo, Martin</t>
  </si>
  <si>
    <t>Catching up with Indonesia's fintech industry</t>
  </si>
  <si>
    <t>The innovative use of technology in finance is posing challenges to many traditional businessmodels. At the same time it is challenging regulators. The key issue they face is how to balance the desire to encourage new businesses so as to intensify competition and provide better customer services in the sector, while protecting the system and consumers from excessively risky behaviour and potential disruption. For Indonesia the opportunity is very large given the uneven availability of finance and low levels of financial inclusion. This paper explores the new Indonesian regulation of platform lending in the light of standard regulatory problems, international experience with regulating the sector, and the particular needs of Indonesian development. We find it is close to best-practice regulation.</t>
  </si>
  <si>
    <t>[Davis, Kevin] Univ Melbourne, Australian Ctr Financial Studies, Melbourne, Vic, Australia; [Maddock, Rodney; Foo, Martin] Monash Univ, Australian Ctr Financial Studies, Melbourne, Vic, Australia</t>
  </si>
  <si>
    <t>University of Melbourne; Monash University</t>
  </si>
  <si>
    <t>Maddock, R (corresponding author), Monash Univ, Australian Ctr Financial Studies, Melbourne, Vic, Australia.</t>
  </si>
  <si>
    <t>rodney.maddock@monash.edu</t>
  </si>
  <si>
    <t>Otoritas Jasa Keuangan; Indonesian Financial Services Authority; Australia-Indonesia Partnership for Economic Governance</t>
  </si>
  <si>
    <t>Kevin Davis is a Professor of Finance at the University of Melbourne and Research Director of the Australian Centre for Financial Studies. He was a member of Australia's recent Financial System Inquiry. Rodney Maddock is a Professor of Finance at Monash University and researcher at the Australian Centre for Financial Studies. He was previously head of group strategy at the Comonwealth Bank of Australia. Email: rodney.maddock@monash.edu. Martin Foo is a Research Officer at the Australian Centre for Financial Studies and previously worked in the Australian Treasury. This work was undertaken with generous research support from Otoritas Jasa Keuangan, the Indonesian Financial Services Authority, and with financial assistance provided through the Australia-Indonesia Partnership for Economic Governance.</t>
  </si>
  <si>
    <t>LAW FINANC MATER REV</t>
  </si>
  <si>
    <t>Law Financ. Mater. Rev.</t>
  </si>
  <si>
    <t>10.1080/17521440.2017.1336398</t>
  </si>
  <si>
    <t>FV5ZX</t>
  </si>
  <si>
    <t>WOS:000424662100005</t>
  </si>
  <si>
    <t>Burton, D</t>
  </si>
  <si>
    <t>Burton, Dawn</t>
  </si>
  <si>
    <t>The US Racial Wealth Gap and the Implications for Financial Inclusion and Wealth Management Policies</t>
  </si>
  <si>
    <t>This paper contributes to debates on economic inequality and ethnic and racial dimensions of social policy by focusing on the US racial wealth gap and assessing in what ways the private wealth management industry has contributed to this gap and reinforced white supremacy. The combined effects of the private wealth management industry reproducing whiteness and the industry being embedded in whiteness act as a barrier to developing a wider understanding of the savings and investment behaviour of people of colour. The paper addresses the role of public policy in closing the gap for investment advice, whether it should become a direct provider, or a facilitator to encourage the wider engagement of existing market participants.</t>
  </si>
  <si>
    <t>dawnburtonsurname@yahoo.co.uk</t>
  </si>
  <si>
    <t>10.1017/S0047279418000065</t>
  </si>
  <si>
    <t>GS2VM</t>
  </si>
  <si>
    <t>WOS:000443419500002</t>
  </si>
  <si>
    <t>Guo, C; Jiang, YL; Wu, YY</t>
  </si>
  <si>
    <t>Guo, Chong; Jiang, Yalin; Wu, Yingyu</t>
  </si>
  <si>
    <t>The dark side of digital finance: evidence from environmental information disclosure of Chinese listed companies</t>
  </si>
  <si>
    <t>SUSTAINABILITY ACCOUNTING MANAGEMENT AND POLICY JOURNAL</t>
  </si>
  <si>
    <t>Environmental information disclosure; Digital finance; Environmental performance; Low-income customers' demands</t>
  </si>
  <si>
    <t>CORPORATE GOVERNANCE; PERFORMANCE; OWNERSHIP; POWER; TOP</t>
  </si>
  <si>
    <t>PurposeThis study aims to explore the relationship between corporate environmental information disclosure and digital finance. Design/methodology/approachThe authors used Chinese listed enterprises as the sample. Data on digital finance are from the China Digital Inclusive Finance Index published by the Institute of Digital Finance of Peking University, and corporate environmental information disclosure is collected from the China Securities Market and Accounting Research database. Multivariate regression and Stata software were used for data analysis. FindingsThe findings suggest that digital finance significantly inhibits firms' environmental information disclosure. Digital finance increases firms' motivation to meet low-income customers' demands, which is achieved at the expense of environmental performance, leading to deteriorated environmental information disclosure. Furthermore, this inhibitory effect is exacerbated by managerial power but mitigated by institutional shareholdings and political connections. Practical implicationsThe findings have important implications for policymakers and managers when formulating relevant policies regarding the co-development of digital finance and corporate environmental information disclosure. Social implicationsEnvironmental information disclosure is a crucial element in CSR disclosure quality. Originality/valueThis study enriches the literature on the environmental influences of digital finance by examining the relationship between digital finance and corporate environmental information disclosure, a crucial way through which external stakeholders obtain information about corporate environmental behaviours.</t>
  </si>
  <si>
    <t>[Guo, Chong; Jiang, Yalin; Wu, Yingyu] Southeast Univ, Sch Econ &amp; Management, Nanjing, Peoples R China; [Jiang, Yalin] Nanjing Audit Univ, Sch Social Audit, Nanjing, Peoples R China</t>
  </si>
  <si>
    <t>Southeast University - China; Nanjing Audit University</t>
  </si>
  <si>
    <t>Jiang, YL (corresponding author), Southeast Univ, Sch Econ &amp; Management, Nanjing, Peoples R China.;Jiang, YL (corresponding author), Nanjing Audit Univ, Sch Social Audit, Nanjing, Peoples R China.</t>
  </si>
  <si>
    <t>guochong006626@163.com; jiangyalin89@163.com; wuyingyu@seu.edu.cn</t>
  </si>
  <si>
    <t>Wu, Yingyu/J-3723-2019; Jiang, Yalin/ITV-2565-2023</t>
  </si>
  <si>
    <t>2040-8021</t>
  </si>
  <si>
    <t>2040-803X</t>
  </si>
  <si>
    <t>SUSTAIN ACCOUNT MANA</t>
  </si>
  <si>
    <t>Sustain. Account. Manag. Policy J.</t>
  </si>
  <si>
    <t>APR 5</t>
  </si>
  <si>
    <t>10.1108/SAMPJ-05-2022-0263</t>
  </si>
  <si>
    <t>Business, Finance; Green &amp; Sustainable Science &amp; Technology; Environmental Studies; Management</t>
  </si>
  <si>
    <t>Business &amp; Economics; Science &amp; Technology - Other Topics; Environmental Sciences &amp; Ecology</t>
  </si>
  <si>
    <t>C9AK6</t>
  </si>
  <si>
    <t>WOS:000952119100001</t>
  </si>
  <si>
    <t>Dastidar, SG; Apergis, N</t>
  </si>
  <si>
    <t>Dastidar, Sayantan Ghosh; Apergis, Nicholas</t>
  </si>
  <si>
    <t>Do Remittances Promote Economic Growth? New Evidence from India</t>
  </si>
  <si>
    <t>ECONOMIC ISSUES</t>
  </si>
  <si>
    <t>Remittances; Economic growth; India; time series analysis</t>
  </si>
  <si>
    <t>FOREIGN DIRECT-INVESTMENT; FIXED INVESTMENT; INSTITUTIONS; OPENNESS; FDI; MIGRATION</t>
  </si>
  <si>
    <t>This study investigates the empirical relationship between remittances and economic growth in India, placing special attention on the non-linearity of this association. Previous studies on India have ignored the non-linear nature of the remittance-growth nexus. The study employs methods from the ARDL model framework to explore the non-linearity and establishes that remittances do not exhibit any growth effect in lower quantiles and up to 0.50, but the impact increases monotonically, getting more pronounced as the quantile increases. In other words, inward remittances must exceed a threshold to start affecting economic growth positively. It is argued that this behaviour of remittances is the consequence of a combination of several factors: patterns of utilisation (or, misutilisation) of the receipts, India's trade balance, a weak industrial sector, the lack of entrepreneurial opportunities, the lack of financial inclusion, and the exploitation of poor migrant workers.</t>
  </si>
  <si>
    <t>[Dastidar, Sayantan Ghosh] Univ Derby, Div Econ &amp; Finance, Kedleston Rd, Derby DE22 1GB, England; [Apergis, Nicholas] Univ Piraeus, Dept Banking &amp; Financial Management, Piraeus, Greece</t>
  </si>
  <si>
    <t>University of Derby; University of Piraeus</t>
  </si>
  <si>
    <t>Dastidar, SG (corresponding author), Univ Derby, Div Econ &amp; Finance, Kedleston Rd, Derby DE22 1GB, England.</t>
  </si>
  <si>
    <t>s.dastidar@derby.ac.uk; napergis@unipi.gr</t>
  </si>
  <si>
    <t>Ghosh Dastidar, Sayantan/0000-0002-3174-9335</t>
  </si>
  <si>
    <t>ECONOMIC ISSUES EDUCATION FUND</t>
  </si>
  <si>
    <t>C/O SANDRA ODELL, EXECUTIVE EDITOR, COLL BUSINESS, LAW &amp; SOCIAL SCIENCES, NOTTINGHAM TRE, NOTTINGHAM, NG1 4BU, ENGLAND</t>
  </si>
  <si>
    <t>1363-7029</t>
  </si>
  <si>
    <t>ECON ISS</t>
  </si>
  <si>
    <t>Econ. Iss.</t>
  </si>
  <si>
    <t>1W4BR</t>
  </si>
  <si>
    <t>WOS:000806720400002</t>
  </si>
  <si>
    <t>Dendir, S</t>
  </si>
  <si>
    <t>Dendir, Seife</t>
  </si>
  <si>
    <t>Saving out of Remittances: Evidence from Ethiopia and Kenya</t>
  </si>
  <si>
    <t>INTERNATIONAL MIGRATION; FIELD EXPERIMENT; EXCHANGE-RATE; MIGRANTS; IMPACT; INVESTMENT; POVERTY; FINANCE</t>
  </si>
  <si>
    <t>This article examines the saving behaviour of remittance recipients in Ethiopia and Kenya. The few existing estimates of savings from remittances, often obtained indirectly using expenditure analysis, vary widely. The analysis presented here relies on ordinal saving categories reported in response to a direct survey question. The results reveal that the savings rate is higher in Kenya than Ethiopia, in the raw data and the multivariate model, although in both countries it rises with receipt size. Interestingly, gender is a robust predictor of differential savings, albeit with a contrasting pattern: women save more than men in Ethiopia, while the reverse is true in Kenya. In other results, a pre-migration agreement about remittances has a strong positive effect on savings. Savings rates are also positively associated with financial inclusion in Ethiopia and formal channel flows in Kenya. Many of these results are confirmed by analysis of broader forms of saving/investment.</t>
  </si>
  <si>
    <t>[Dendir, Seife] Radford Univ, Radford, VA 24142 USA</t>
  </si>
  <si>
    <t>Radford University</t>
  </si>
  <si>
    <t>Dendir, S (corresponding author), Radford Univ, Radford, VA 24142 USA.</t>
  </si>
  <si>
    <t>1468-2435</t>
  </si>
  <si>
    <t>10.1111/imig.12343</t>
  </si>
  <si>
    <t>FB0CL</t>
  </si>
  <si>
    <t>WOS:000405812400011</t>
  </si>
  <si>
    <t>Kleve, S; Gallegos, D; Ashby, S; Palermo, C; McKechnie, R</t>
  </si>
  <si>
    <t>Kleve, Sue; Gallegos, Danielle; Ashby, Stephanie; Palermo, Claire; McKechnie, Rebecca</t>
  </si>
  <si>
    <t>Preliminary validation and piloting of a comprehensive measure of household food security in Australia</t>
  </si>
  <si>
    <t>PUBLIC HEALTH NUTRITION</t>
  </si>
  <si>
    <t>Food security; Food insecurity; Measurement; Scales; Validation</t>
  </si>
  <si>
    <t>INSECURITY; HEALTH; ADULTS; PARTICIPATION; CONSEQUENCES; CHILDREN; CANADA</t>
  </si>
  <si>
    <t>Objective: To investigate the psychometric properties, validity and reliability of a newly developed measure of food insecurity, the Household Food and Nutrition Security Survey (HFNSS), among an Australian population. Design: Cross-sectional study. Setting: Metropolitan areas of Melbourne, Australia, identified as very high, high or medium vulnerability in the 2008 Vulnerability Assessment for Mortgage, Petrol and Inflation Risks and Expenditure index. Subjects: A convenience sample of 134 adults (117 females and fifteen males, aged over 18 years). Results: Rasch modelling and factor analysis identified four items for exclusion. The remaining items yielded excellent reliability among the current sample and assessed three underlying components: the adult experience if food insecurity (component one), initial/periodic changes to children's food intakes (component two) and progressive/persistent decreases in children's food intakes (component three). Compared with the widely used US Department of Agriculture Food Security Survey Module, the HFNSS identified a significantly higher proportion of food insecurity; this is likely due to the HFNSS's identification of food insecurity due to reasons other than (and including) limited financial access. Conclusions: The HFNSS may be a valid and reliable tool for the assessment of food insecurity among the Australian population and provides a means of assessing multiple barriers to food security beyond poor financial access (which has been identified as a limitation of other existing tools). Future research should explore the validity and reliability of the tool among a more representative sample, as well as specifically among vulnerable population subgroups.</t>
  </si>
  <si>
    <t>[Kleve, Sue; Ashby, Stephanie; Palermo, Claire] Monash Univ, Sch Clin Sci, Fac Med Nursing &amp; Hlth Sci, Dept Nutr Dietet &amp; Food, Notting Hill, Vic, Australia; [Gallegos, Danielle; McKechnie, Rebecca] Queensland Univ Technol, Sch Exercise &amp; Nutr Sci, Victoria Pk Rd, Kelvin Grove, Qld 4059, Australia</t>
  </si>
  <si>
    <t>Monash University; Queensland University of Technology (QUT)</t>
  </si>
  <si>
    <t>Gallegos, D (corresponding author), Queensland Univ Technol, Sch Exercise &amp; Nutr Sci, Victoria Pk Rd, Kelvin Grove, Qld 4059, Australia.</t>
  </si>
  <si>
    <t>danielle.gallegos@qut.edu.au</t>
  </si>
  <si>
    <t>; Gallegos, Danielle/AAF-7677-2019</t>
  </si>
  <si>
    <t>McKechnie, Rebecca/0000-0002-1216-8973; Gallegos, Danielle/0000-0001-5901-1909; Kleve, Suzanne/0000-0003-1182-0357</t>
  </si>
  <si>
    <t>1368-9800</t>
  </si>
  <si>
    <t>1475-2727</t>
  </si>
  <si>
    <t>PUBLIC HEALTH NUTR</t>
  </si>
  <si>
    <t>Public Health Nutr.</t>
  </si>
  <si>
    <t>10.1017/S1368980017003007</t>
  </si>
  <si>
    <t>Public, Environmental &amp; Occupational Health; Nutrition &amp; Dietetics</t>
  </si>
  <si>
    <t>GM7QG</t>
  </si>
  <si>
    <t>WOS:000438386600009</t>
  </si>
  <si>
    <t>Virak, K; Bilan, Y</t>
  </si>
  <si>
    <t>Virak, Khiev; Bilan, Yuriy</t>
  </si>
  <si>
    <t>The role of formal and informal remittances as the determinants of formal and informal financial services</t>
  </si>
  <si>
    <t>EQUILIBRIUM-QUARTERLY JOURNAL OF ECONOMICS AND ECONOMIC POLICY</t>
  </si>
  <si>
    <t>formal financial services; informal financial services; remittance channels; financial inclusion</t>
  </si>
  <si>
    <t>INCLUSION; PANEL; MIGRATION; COUNTRIES; POVERTY; IMPACT</t>
  </si>
  <si>
    <t>Research background: The choice of financial services and remittances are important as they influence the livelihood of remittance recipients, who are mostly poor and financially excluded. In literature, extensive evidence suggests a positive impact of the size of remittances on access to financial inclusion and financial development of remittance-recipient countries. However, a concern of such studies is that they might provide a biased outcome as the available data of remittances tend to be formal, whereas informal remittances are difficult to observe. Hence, their evidence might not be applicable in developing countries where remittance transfer via informal channels is very popular.Purpose of the article: The main objective of this study is to examine the effect of the remittance channel (formal and informal) on the choice of formal, informal financial services of credit and savings of remittance recipients.Methods: As our dependent variable is a financial service which is a categorical variable (formal and informal), the paper will employ a multinomial logistic regression model to estimate the impact. The data employed in this analysis is from the Finscope survey conducted in Myanmar in 2013 and 2018. Myanmar is the best context for our study, as it is one of a big migrant-sending countries and a developing country whose financial sector is significantly underdeveloped.Findings &amp; value added: Our findings show that formal remittances promote the use of formal financial services such as credit and savings. However, there is no evidence regarding women recipients` informal channels and formal financial services. Our evidence also suggests there is a need for the government to encourage migrant workers to transform informal remittances into formal ones by removing the barriers of formal remittance channels to promote the use of formal credit and saving among remittance-recipients who are poor and financially excluded.</t>
  </si>
  <si>
    <t>[Virak, Khiev] Tomas Bata Univ Zlin, Zlin, Czech Republic; [Bilan, Yuriy] Vytautas Magnus Univ, Kaunas, Lithuania</t>
  </si>
  <si>
    <t>Tomas Bata University Zlin; Vytautas Magnus University</t>
  </si>
  <si>
    <t>Bilan, Y (corresponding author), Vytautas Magnus Univ, Kaunas, Lithuania.</t>
  </si>
  <si>
    <t>yuriy_bilan@yahoo.co.uk</t>
  </si>
  <si>
    <t>Bilan, Yuriy/ABC-6948-2021</t>
  </si>
  <si>
    <t>Bilan, Yuriy/0000-0003-0268-009X; Khiev, Virak/0000-0001-7292-5991</t>
  </si>
  <si>
    <t>Internal Grant Agency of Tomas Bata University in Zlin; [IGA/FaME/2021/005]</t>
  </si>
  <si>
    <t>Internal Grant Agency of Tomas Bata University in Zlin;</t>
  </si>
  <si>
    <t>Acknowledgement This article was supported by the Internal Grant Agency of Tomas Bata University in Zlin, Project No. IGA/FaME/2021/005.</t>
  </si>
  <si>
    <t>INST ECONOMIC RESEARCH-POLAND</t>
  </si>
  <si>
    <t>Ul Ks. Roberta Bilitewskiego, Nr 5, Lok 19, OLSZTYN, POLAND</t>
  </si>
  <si>
    <t>1689-765X</t>
  </si>
  <si>
    <t>2353-3293</t>
  </si>
  <si>
    <t>EQUILIBRIUM</t>
  </si>
  <si>
    <t>Equilibrium</t>
  </si>
  <si>
    <t>10.24136/eq.2022.025</t>
  </si>
  <si>
    <t>5I7GJ</t>
  </si>
  <si>
    <t>WOS:000868520300005</t>
  </si>
  <si>
    <t>Dolan, P; Elliott, A; Metcalfe, R; Vlaev, I</t>
  </si>
  <si>
    <t>Dolan, Paul; Elliott, Antony; Metcalfe, Robert; Vlaev, Ivo</t>
  </si>
  <si>
    <t>Influencing Financial Behavior: From Changing Minds to Changing Contexts</t>
  </si>
  <si>
    <t>Behavior change; Consumer behavior; Context effects; Choice architecture; Retail products</t>
  </si>
  <si>
    <t>PROSPECT-THEORY; CONSUMER RESPONSE; IDENTITY SALIENCE; DECISION-MAKING; SELF-CONTROL; ADVICE; ECONOMICS; CHOICE; INCOME; METAANALYSIS</t>
  </si>
  <si>
    <t>This article reviews interventions that are effective in changing behaviours inways that enhance financial capability. Traditionally, behavior change has been seen through the lens of changing minds: if we can change the way people think-their beliefs, attitudes, and goals-then we can change the way they behave. More recent developments in behavioral theory show that changing contexts can have a powerful effect on behavior: we can change behavior by sometimes quite subtle changes to the environment or context within which decisions are made. We focus largely on the influence of context and provide examples from current UK banks that have changed the choice architecture of their products.</t>
  </si>
  <si>
    <t>[Vlaev, Ivo] Univ London Imperial Coll Sci Technol &amp; Med, Ctr Hlth Policy, London, England; [Dolan, Paul] London Sch Econ, London, England; [Metcalfe, Robert] Univ Oxford, Oxford OX1 2JD, England</t>
  </si>
  <si>
    <t>Imperial College London; University of London; London School Economics &amp; Political Science; University of Oxford</t>
  </si>
  <si>
    <t>Vlaev, I (corresponding author), Univ London Imperial Coll Sci Technol &amp; Med, Ctr Hlth Policy, London, England.</t>
  </si>
  <si>
    <t>i.vlaev@imperial.ac.uk</t>
  </si>
  <si>
    <t>Elliott, Antony/0000-0003-0536-1721; Metcalfe, Robert/0000-0002-1244-8094</t>
  </si>
  <si>
    <t>10.1080/15427560.2012.680995</t>
  </si>
  <si>
    <t>953GA</t>
  </si>
  <si>
    <t>WOS:000304853700005</t>
  </si>
  <si>
    <t>Rajan, RG</t>
  </si>
  <si>
    <t>Rajan, Raghuram G.</t>
  </si>
  <si>
    <t>Has finance made the world riskier?</t>
  </si>
  <si>
    <t>EUROPEAN FINANCIAL MANAGEMENT</t>
  </si>
  <si>
    <t>Meeting of the European-Financial-Management-Association</t>
  </si>
  <si>
    <t>JUL 01, 2005</t>
  </si>
  <si>
    <t>Bocconi Univ, Milan, ITALY</t>
  </si>
  <si>
    <t>European Financial Management Assoc</t>
  </si>
  <si>
    <t>Bocconi Univ</t>
  </si>
  <si>
    <t>financial development; financial-sector-induced turmoil; risk and derivatives</t>
  </si>
  <si>
    <t>Developments in the financial sector have led to an expansion in its ability to spread risks. The increase in the risk bearing capacity of economies, as well as in actual risk taking, has led to a range of financial transactions that hitherto were not possible, and has created much greater access to finance for firms and households. On net, this has made the world much better off. Concurrently, however, we have also seen the emergence of a whole range of intermediaries, whose size and appetite for risk may expand over the cycle. Not only can these intermediaries accentuate real fluctuations, they can also leave themselves exposed to certain small probability risks that their own collective behaviour makes more likely. As a result, under some conditions, economies may be more exposed to financial-sector-induced turmoil than in the past. The paper discusses the implications for monetary policy and prudential supervision. In particular, it suggests market-friendly policies that would reduce the incentive of intermediary managers to take excessive risk.</t>
  </si>
  <si>
    <t>Int Monetary Fund, Washington, DC 20431 USA</t>
  </si>
  <si>
    <t>Rajan, RG (corresponding author), Int Monetary Fund, Washington, DC 20431 USA.</t>
  </si>
  <si>
    <t>RRajan@imf.org</t>
  </si>
  <si>
    <t>1354-7798</t>
  </si>
  <si>
    <t>1468-036X</t>
  </si>
  <si>
    <t>EUR FINANC MANAG</t>
  </si>
  <si>
    <t>Eur. Financ. Manag.</t>
  </si>
  <si>
    <t>10.1111/j.1468-036X.2006.00330.x</t>
  </si>
  <si>
    <t>076MX</t>
  </si>
  <si>
    <t>WOS:000239963500001</t>
  </si>
  <si>
    <t>Urban, B; Moetse, P</t>
  </si>
  <si>
    <t>Urban, Boris; Moetse, Phumzile</t>
  </si>
  <si>
    <t>Social capital in a digital age: a focus on bridging and bonding social capital of women entrepreneurs in South Africa</t>
  </si>
  <si>
    <t>women entrepreneurship; crowdfunding; social capital; bonding and bridging social capital; networking; South Africa</t>
  </si>
  <si>
    <t>FEMALE ENTREPRENEURSHIP; BUSINESS; GENDER; DETERMINANTS; DYNAMICS; CREATION; SUCCESS; ACCESS; MEN</t>
  </si>
  <si>
    <t>Despite increasing interest in women entrepreneurship, not many investigations explain the impact of new digital technologies on networking in African countries, where women face obstacles in terms of entrepreneurial networks, as well restricted access to finance. Consequently this article examines bridging and bonding social capital from a perspective of women entrepreneurship in terms of accessing financial capital from crowdfunding. The study takes place in South Africa, where data is collected via a survey from a sample of women entrepreneurs using crowdfunding platforms. Study measures are subject to psychometric testing and the hypotheses are tested using multiple regression analyses. Crowdfunding platforms were found to be positively and significantly related to both bonding and bridging social capital, but these factors were not significantly related to financial capital. The article represents a novel empirical investigation into associations between digital entrepreneurship, women entrepreneurship and social capital in an African market context.</t>
  </si>
  <si>
    <t>[Urban, Boris; Moetse, Phumzile] Univ Witwatersrand, Grad Sch Business Adm, 2 St Davids Pl,POB 98, ZA-2193 Johannesburg, South Africa; [Urban, Boris; Moetse, Phumzile] Univ Witwatersrand, Grad Sch Business Adm, 2 St Davids Pl,POB 98, ZA-2050 Johannesburg, South Africa</t>
  </si>
  <si>
    <t>University of Witwatersrand; University of Witwatersrand</t>
  </si>
  <si>
    <t>Urban, B (corresponding author), Univ Witwatersrand, Grad Sch Business Adm, 2 St Davids Pl,POB 98, ZA-2193 Johannesburg, South Africa.;Urban, B (corresponding author), Univ Witwatersrand, Grad Sch Business Adm, 2 St Davids Pl,POB 98, ZA-2050 Johannesburg, South Africa.</t>
  </si>
  <si>
    <t>boris.urban@wits.ac.za; phumzilemoetse@gmail.com</t>
  </si>
  <si>
    <t>urban, boris/Q-1768-2019</t>
  </si>
  <si>
    <t>10.1504/IJESB.2024.137757</t>
  </si>
  <si>
    <t>C5A7Z</t>
  </si>
  <si>
    <t>WOS:001289494500001</t>
  </si>
  <si>
    <t>Kinyanjui, MN</t>
  </si>
  <si>
    <t>Kinyanjui, Mary Nyambura</t>
  </si>
  <si>
    <t>Access to Livelihood Assets and Vulnerability to Lower Levels of Well-Being in Kakuma Refugee Camp, Kenya</t>
  </si>
  <si>
    <t>vulnerability; coping mechanisms; livelihood assets; multidimensional vulnerability index; well-being</t>
  </si>
  <si>
    <t>This paper investigates the role that access to livelihood assets plays in reducing vulnerability to lower levels of well-being, especially for camp-based refugees. We develop the multidimensional vulnerability index using the 2019 Kakuma socioeconomic survey to provide a comprehensive and holistic approach to measuring vulnerability. The fractional regression results suggest that the household head's age and education level determine the vulnerability of refugees to lower levels of well-being. In addition, access to finance and employment substantially reduces refugees' vulnerability. Although remittances from abroad are a prevalent source of finance among refugees, we find that remittances from abroad only lessen the prevalence of vulnerability by 1.1%. Therefore, we recommend camp refugees adopt more self-reliant ways of accessing sustainable finance. The multidimensional vulnerability index reveals a high level of food insecurity in camps caused by the influx of refugees over the years. We recommend the inclusion of refugees in farming and training on climate change to provide sustainable solutions around food security to them and the host community.</t>
  </si>
  <si>
    <t>[Kinyanjui, Mary Nyambura] African Econ Res Consortium, POB 62882-00200, Nairobi, Kenya</t>
  </si>
  <si>
    <t>Kinyanjui, MN (corresponding author), African Econ Res Consortium, POB 62882-00200, Nairobi, Kenya.</t>
  </si>
  <si>
    <t>nyamburamary444@gmail.com</t>
  </si>
  <si>
    <t>WORLD BANK GROUP; [RS23505]</t>
  </si>
  <si>
    <t>WORLD BANK GROUP;</t>
  </si>
  <si>
    <t>This research was funded by WORLD BANK GROUP under grant number RS23505.</t>
  </si>
  <si>
    <t>10.3390/economies13040103</t>
  </si>
  <si>
    <t>1VW3X</t>
  </si>
  <si>
    <t>WOS:001474889500001</t>
  </si>
  <si>
    <t>Offor, KO; Ngong, CA; Onyejiaku, CC; Enemuo, J; Ugbam, CO; Ibe, GI; Onwumere, JUJ</t>
  </si>
  <si>
    <t>Offor, Kenechukwu Onochie; Ngong, Chi Aloysius; Onyejiaku, Chinyere C.; Enemuo, Joy; Ugbam, Charles Ogechukwu; Ibe, Godwin Imo; Onwumere, Josaphat U. J.</t>
  </si>
  <si>
    <t>Remittances and emerging African economies' growth nexus in a post COVID-19 era</t>
  </si>
  <si>
    <t>autoregressive distributed lag; emerging economiesgrowthpost COVID-19remittances</t>
  </si>
  <si>
    <t>This article aims to study the relationship between remittances and economic growth in African emerging economies from 1990 to 2021. The study centers on the optimistic, pessimistic, and the dual-gap theories. The autoregressive distributed lag and cointegration techniques are applied. The findings indicate that remittances have a nonsignificantly negative effect on the gross domestic product growth rate. Domestic credit to the private sector and the inflation rate negatively influence economic growth. Policymakers should prioritize targeted response to the COVID-19 crisis by reducing the costs of access to vaccines and healthcare for the populace so that the received remittances should significantly improve the population's welfare positively. Governments should recognize remittance services and reduce remittance costs by reducing taxes on remittances. Governments should increase the formalization of remittance transfers to improve accessibility to financial services to decrease the unbanked population. The monetary authorities should establish remittance-based policies that promote the use of formal channels, ease the pressure on emerging countries' credit services, and improve foreign exchange rates. Banks should create financial products and services that attract investments and growth for the remittances of diasporas in developing economies.</t>
  </si>
  <si>
    <t>[Offor, Kenechukwu Onochie; Ngong, Chi Aloysius; Enemuo, Joy; Ibe, Godwin Imo; Onwumere, Josaphat U. J.] Univ Nigeria, Dept Banking &amp; Finance, Nsukka, Nigeria; [Onyejiaku, Chinyere C.; Ugbam, Charles Ogechukwu] Univ Nigeria, Dept Management, Nsukka, Nigeria; [Ngong, Chi Aloysius] Univ Bamenda, Dept Accounting, Bambili, Cameroon</t>
  </si>
  <si>
    <t>Ibe, Godwin/AAU-3861-2020</t>
  </si>
  <si>
    <t>10.1111/1477-8947.12319</t>
  </si>
  <si>
    <t>IB2V4</t>
  </si>
  <si>
    <t>WOS:001044881600001</t>
  </si>
  <si>
    <t>Jorgensen, BS; Martin, JF</t>
  </si>
  <si>
    <t>Jorgensen, Bradley S.; Martin, John F.</t>
  </si>
  <si>
    <t>Understanding farmer intentions to connect to a modernised delivery system in an Australian irrigation district: a reasoned action approach</t>
  </si>
  <si>
    <t>JOURNAL OF ENVIRONMENTAL PLANNING AND MANAGEMENT</t>
  </si>
  <si>
    <t>water resources; intentions; irrigation; behavioural approach; decision making</t>
  </si>
  <si>
    <t>MANAGEMENT; DECISIONS; MOTIVATIONS; ADOPTION; ATTITUDE; PLACE; SENSE</t>
  </si>
  <si>
    <t>Australian governments have sought to invest in irrigation infrastructure to improve the efficiency of water delivery to rural properties and improve water supply and on-farm efficiency. A programme of rationalising irrigation infrastructure has attracted criticism and doubts about its likely success. Attitude theory in the form of the Reasoned Action Model was applied to understand the intentions of landowners to connect to a 'modernised' irrigation system. Attitudes towards connecting to the system, social norms and perceptions of control over the behaviour provided an explanation of intentions to connect. Actual financial capability and other variables were important in discriminating a group of landowners who had already connected to the modernised system from farmers who had not.</t>
  </si>
  <si>
    <t>[Jorgensen, Bradley S.; Martin, John F.] La Trobe Univ, Ctr Sustainable Reg Communities, Bendigo 3550, Australia</t>
  </si>
  <si>
    <t>Jorgensen, BS (corresponding author), La Trobe Univ, Ctr Sustainable Reg Communities, POB 199, Bendigo 3550, Australia.</t>
  </si>
  <si>
    <t>b.jorgensen@latrobe.edu.au</t>
  </si>
  <si>
    <t>; Jorgensen, Bradley Scott/ABE-1555-2021</t>
  </si>
  <si>
    <t>Martin, John/0000-0003-2725-6981; Jorgensen, Bradley Scott/0000-0002-9858-4168</t>
  </si>
  <si>
    <t>0964-0568</t>
  </si>
  <si>
    <t>1360-0559</t>
  </si>
  <si>
    <t>J ENVIRON PLANN MAN</t>
  </si>
  <si>
    <t>J. Environ. Plan. Manag.</t>
  </si>
  <si>
    <t>10.1080/09640568.2013.864620</t>
  </si>
  <si>
    <t>AZ9BH</t>
  </si>
  <si>
    <t>WOS:000348505700008</t>
  </si>
  <si>
    <t>Atiase, VY; Mahmood, S; Wang, Y; Botchie, D</t>
  </si>
  <si>
    <t>Atiase, Victor Yawo; Mahmood, Samia; Wang, Yong; Botchie, David</t>
  </si>
  <si>
    <t>Developing entrepreneurship in Africa: investigating critical resource challenges</t>
  </si>
  <si>
    <t>Governance; Credit; Entrepreneurship; Electricity; Quantitative approach; Contract enforcement</t>
  </si>
  <si>
    <t>ACCESS; CREDIT; MICROFINANCE; INSTITUTIONS; ELECTRICITY; DETERMINANTS; ENFORCEMENT; COUNTRIES</t>
  </si>
  <si>
    <t>Purpose By drawing upon institutional theory, the purpose of this paper is to investigate the role of four critical resources (credit, electricity, contract enforcement and political governance) in explaining the quality of entrepreneurship and the depth of the supporting entrepreneurship ecosystem in Africa. Design/methodology/approach A quantitative approach based on ordinary least squares regression analysis was used. Three data sources were employed. First, the Global Entrepreneurship Index (GEI) of 35 African countries was used to measure the quality of entrepreneurship and the depth of the entrepreneurial ecosystem in Africa which represents the dependent variable. Second, the World Bank's data on access to credit, electricity and contract enforcement in Africa were also employed as explanatory variables. Third, the Ibrahim Index of African Governance was used as an explanatory variable. Finally, country-specific data on four control variables (GDP, foreign direct investment, population and education) were gathered and analysed. Findings To support entrepreneurship development, Africa needs broad financial inclusion and state institutions that are more effective at enforcing contracts. Access to credit was non-significant and therefore did not contribute to the dependent variable (entrepreneurship quality and depth of entrepreneurial support in Africa). Access to electricity and political governance were statistically significant and correlated positively with the dependent variables. Finally, contract enforcement was partially significant and contributed to the dependent variable. Research limitations/implications A lack of GEI data for all 54 African countries limited this study to only 35 African countries: 31 in sub-Saharan Africa and 4 in North Africa. Therefore, the generalisability of this study's findings to the whole of Africa might be limited. Second, this study depended on indexes for this study. Therefore, any inconsistencies in the index aggregation if any could not be authenticated. This study has practical implications for the development of entrepreneurship in Africa. Public and private institutions for credit delivery, contract enforcement and the provision of utility services such as electricity are crucial for entrepreneurship development. Originality/value The institutional void is a challenge for Africa. This study highlights the weak, corrupt nature of African institutions that supposedly support MSME growth. Effective entrepreneurship development in Africa depends on the presence of a supportive institutional infrastructure. This study engages institutional theory to explain the role of institutional factors such as state institutions, financial institutions, utility providers and markets in entrepreneurship development in Africa.</t>
  </si>
  <si>
    <t>[Atiase, Victor Yawo] Univ Wolverhampton, Business Sch, Wolverhampton, W Midlands, England; [Mahmood, Samia; Wang, Yong] Univ Wolverhampton, Business Sch, Dept Finance Accounting Syst &amp; Econ, Wolverhampton, W Midlands, England; [Botchie, David] Bournemouth Univ, Business Sch, Dept Econ, Bournemouth, Dorset, England</t>
  </si>
  <si>
    <t>University of Wolverhampton; University of Wolverhampton; Bournemouth University</t>
  </si>
  <si>
    <t>Atiase, VY (corresponding author), Univ Wolverhampton, Business Sch, Wolverhampton, W Midlands, England.</t>
  </si>
  <si>
    <t>V.Y.Atiase@wlv.ac.uk</t>
  </si>
  <si>
    <t>10.1108/JSBED-03-2017-0084</t>
  </si>
  <si>
    <t>GP4TE</t>
  </si>
  <si>
    <t>WOS:000440862200007</t>
  </si>
  <si>
    <t>Wu, XL; Munthali, GNC; Dzimbiri, MNW; Aakash, AR; Rizwan, M; Shi, Y; Daru, GR; Sheferaw, WE</t>
  </si>
  <si>
    <t>Wu, Xue-Lian; Munthali, George N. Chidimbah; Dzimbiri, Mastano N. Woleson; Aakash, Abdur Rahman; Rizwan, Muhammad; Shi, Yu; Daru, Gama Rivas; Sheferaw, Wegayehu Enbeyle</t>
  </si>
  <si>
    <t>Quality of Life and Community Wellbeing of Members Associated With Village Savings and Loans Associations as a Model of Sharing Economy in the Least Developing Countries: A Case of Mzuzu City in Northern Malawi, Southern Africa</t>
  </si>
  <si>
    <t>quality of life (QOL); village savings and loans associations (VSLAs); living standards; rural economic growth; wellbeing and happiness; sub-Saharan African countries</t>
  </si>
  <si>
    <t>IMPACT; MICROFINANCE; INEQUALITY; PEOPLE; GAS</t>
  </si>
  <si>
    <t>This study was aimed at examining the impacts of the Sharing economy on the individual and community Quality of Life (QOL) and wellbeing by looking at their associated influencing factors using Village Savings and Loans Associations as a model of sharing economy in Malawi. An online community-based cross-sectional study design was conducted from November 2020 through January 2021. In the survey, 402 Village Savings and Loans Associations (VSLAs) members from the Mzuzu City area participated, recruited using snowball and respondent-driven sampling techniques. The sample size was computed using a single population proportion using the Yamane formula. Descriptive statistics and ordinal logistic regression model techniques were also employed. Additionally, we used the Chi-Square test, two-way ANOVA, and Ordinal regression model to determine statistical associations between socioeconomic data and QOL and wellbeing variables with a 5% level of significance. On the aspect of community wellbeing, the findings of our study indicated that income (levels and disposal) provided members with options to live a better QOL and wellbeing within the community by either facilitating payment for better education, eating healthier foods, acquiring assets, etc. Further, the absence of discrimination provided a platform for voice, inclusion, and social trust, enhancing freedom of expression. We also found that education facilitated better earnings and knowledge of public health-related issues. As for the contribution to the sharing economy, our study has emphasized the role played by trust in enhancing sharing economy. We recommend and encourage people to join these VSLAs so as to improve their QOL and wellbeing. However, there is a need to replicate the study on a larger scale to validate our study findings for effective policy formulation and implementation geared to improving the overall quality of people's lives. Based on these findings, we further recommend that authorities reinstate programs like National Strategy for Financial Inclusion 2016-2020 and Savings and Loan Groups Best Practice Guidelines (SLG BPGs) 2016-2017 that could further enhance the future of VSLAs, which are vital for QOL and community wellbeing of the people in developing countries like Malawi.</t>
  </si>
  <si>
    <t>[Wu, Xue-Lian; Munthali, George N. Chidimbah; Rizwan, Muhammad; Shi, Yu; Daru, Gama Rivas] Yangtze Univ, Sch Econ &amp; Management, Jingzhou, Peoples R China; [Munthali, George N. Chidimbah] Mzuzu Univ, Finance Dept, Mzuzu, Malawi; [Dzimbiri, Mastano N. Woleson] Miami Univ, Coll Educ Hlth &amp; Soc, Oxford, OH USA; [Aakash, Abdur Rahman] Khulna Univ, Stat Discipline Sci Engn &amp; Technol SET Sch, Khulna, Bangladesh; [Sheferaw, Wegayehu Enbeyle] Mizan Tepi Univ, Dept Stat, Tepi, Ethiopia</t>
  </si>
  <si>
    <t>Yangtze University; University System of Ohio; Miami University; Khulna University</t>
  </si>
  <si>
    <t>Munthali, GNC (corresponding author), Yangtze Univ, Sch Econ &amp; Management, Jingzhou, Peoples R China.;Munthali, GNC (corresponding author), Mzuzu Univ, Finance Dept, Mzuzu, Malawi.</t>
  </si>
  <si>
    <t>ndazionaacca@yahoo.com</t>
  </si>
  <si>
    <t>Munthali, George NC/AAN-6460-2020; Dzimbiri, Mastano/ADW-4280-2022; Rizwan, Muhammad/AAJ-2566-2020; Munthali, George/AAN-6460-2020</t>
  </si>
  <si>
    <t>Munthali, George NC/0000-0002-1513-7312; Sheferaw, Wegayehu/0000-0002-0788-6137;</t>
  </si>
  <si>
    <t>FEB 28</t>
  </si>
  <si>
    <t>10.3389/fpsyg.2022.764959</t>
  </si>
  <si>
    <t>ZZ0XA</t>
  </si>
  <si>
    <t>WOS:000772998600001</t>
  </si>
  <si>
    <t>Shokri-Ghasabeh, M; Chileshe, N</t>
  </si>
  <si>
    <t>Shokri-Ghasabeh, Morteza; Chileshe, Nicholas</t>
  </si>
  <si>
    <t>Critical factors influencing the bid/no bid decision in the Australian construction industry</t>
  </si>
  <si>
    <t>Australia; Construction industry; Survey; Bidding decision; Bid/no bid criteria; Construction contractors</t>
  </si>
  <si>
    <t>CRITICAL SUCCESS FACTORS; BIDDING STRATEGY; KEY FACTORS; MANAGEMENT; CONTRACTORS; CONCEPTUALIZATION; FRAMEWORK; CHINA</t>
  </si>
  <si>
    <t>Purpose - The purpose of this study is to investigate and rank the critical factors influencing the bid/no bid criteria and their importance in the Australian construction industry. Design/methodology/approach - The research study has been undertaken by conducting an extensive literature review on bid/no bid decision-making criteria. As a result, the researchers identified 26 most common bid/no bid decision- making criteria that are accordingly grouped into five distinct categories, namely, project, market,contractor, client and contract. The literature review was followed by a national survey that was designed and utilised by the researchers to collect data for this purpose. The survey was sent to potential 450 Australian construction companies in various locations and responses were received from 81 Australian construction companies. Response data were subjected to descriptive and inferential statistics. Kruskal Wallis one-way analysis of variance (ANOVA) was applied to detect significant differences between the mean score grouped according to the organisation size (contract value). Findings - The descriptive and empirical analysis demonstrated a disparity of ranking of the 26 bid/no bid criteria factors among the groups; however no statistically significant differences among the 26 bid/no criteria factors despite the absolute differences in the rankings and mean scores in the following four factors: (1) bidding condition, (2) strength/weaknesses, (3) contract payment terms and (4) number of competitors/bidders. Based on the overall sample, the highly ranked four factors were client financial capability, project risk, project future benefits and profitability and number of competitors/bidders. The following were the least ranked: contractors' financial situation, project duration and contractors' material availability. Client financial capability and project risk were jointly ranked as the most important by large, whereas client financial capability was also rated highly for smaller Australian construction contractors (ACCs). The medium ACCs had project risk as highly ranked. Research limitations - The majority of the participants were small construction contractors in Australia. The reason is that the researchers were not aware of the contractors' size prior to inviting them for participation in the research study. Second, the findings may not generalise to other industries or to organisations operating in other countries. Practical implications - The identified bid/no bid criteria increase the awareness of existing decision- making practices and play a critical role in the future decisions of the construction companies, where decision makers need to evaluate the next opportunities encountered. Furthermore, knowledge and possession of these identified bid/no bid criteria would enable contractors to select a project with a higher probability of success in the future, which will accordingly result in long-term financial benefits and higher performance. Finally, the awareness of these factors could contribute to changing the contractor's behaviours when bidding in a competitive environment or market conditions. Originality/value - The study contributes to the body of knowledge on tendering and bidding practices among contractors in Australia, an area previously under explored. Second, this study provides some insights on the factors influencing the bid/no bid decisions among the ACCs.</t>
  </si>
  <si>
    <t>[Shokri-Ghasabeh, Morteza] SA Hlth, Adelaide, SA, Australia; [Chileshe, Nicholas] Univ South Australia, Barbara Hardy Inst, Sch Nat &amp; Built Environm, Adelaide, SA, Australia</t>
  </si>
  <si>
    <t>SA Health Australia; Adelaide University; University of South Australia</t>
  </si>
  <si>
    <t>Chileshe, N (corresponding author), Univ South Australia, Barbara Hardy Inst, Sch Nat &amp; Built Environm, Adelaide, SA, Australia.</t>
  </si>
  <si>
    <t>Nicholas.Chileshe@unisa.edu.au</t>
  </si>
  <si>
    <t>Chileshe, Nicholas/F-5482-2010</t>
  </si>
  <si>
    <t>Chileshe, Nicholas/0000-0002-1981-7518</t>
  </si>
  <si>
    <t>10.1108/CI-04-2015-0021</t>
  </si>
  <si>
    <t>FK2ZD</t>
  </si>
  <si>
    <t>WOS:000413351900002</t>
  </si>
  <si>
    <t>Ashton, J; Gregoriou, A</t>
  </si>
  <si>
    <t>Ashton, John; Gregoriou, Andros</t>
  </si>
  <si>
    <t>Mapping the slippery slope: the growth of predatory financial services markets across the UK</t>
  </si>
  <si>
    <t>Financial exclusion; financial ecology; alternative financial services provider; bank branch closure</t>
  </si>
  <si>
    <t>COUNT DATA; BANKING; EXCLUSION; POISSON; LANDSCAPES; LOCATIONS; GEOGRAPHY; OVERDISPERSION; INSTITUTIONS; INCLUSION</t>
  </si>
  <si>
    <t>This study examines two-tier financial services markets. These markets are characterised by new alternative financial services providers (AFSPs) entering local financial services markets after bank branch closure and undertaking high levels of financial misconduct. We examine this description of local financial services markets using the regulatory status and location of the UK population of AFSPs between 2002 and 2015. We report significantly higher numbers of AFSPs undertake financial misconduct in areas of high bank branch closure, with the most severe offending occurring within urban and deprived areas. AFSPs operating in these areas are not just new entrants but they also include new and established firms. We propose that the current scope of regulation applied to assess bank branch closures in the UK is too narrow. By only considering the effect of bank branch closure on the access to cash, current UK regulation overlooks multiple outcomes arising from bank branch closure, not least the behaviour of AFSPs examined in this work.</t>
  </si>
  <si>
    <t>[Ashton, John] Univ York, Sch Business &amp; Soc, York, England; [Gregoriou, Andros] Liverpool John Moores Univ, Liverpool Business Sch, Liverpool, England</t>
  </si>
  <si>
    <t>University of York - UK; University of Liverpool; Liverpool John Moores University</t>
  </si>
  <si>
    <t>Gregoriou, A (corresponding author), Liverpool John Moores Univ, Liverpool Business Sch, Liverpool, England.</t>
  </si>
  <si>
    <t>a.gregoriou@ljmu.ac.uk</t>
  </si>
  <si>
    <t>Gregoriou, Anos/0000-0002-7221-0598</t>
  </si>
  <si>
    <t>10.1080/1351847X.2024.2446718</t>
  </si>
  <si>
    <t>5QA9E</t>
  </si>
  <si>
    <t>WOS:001391862600001</t>
  </si>
  <si>
    <t>Fares, OH; Aversa, J; Lee, SH</t>
  </si>
  <si>
    <t>Fares, Omar H.; Aversa, Joseph; Lee, Seung Hwan (Mark)</t>
  </si>
  <si>
    <t>The digital divide: psychographic segmentation in the Canadian banking context</t>
  </si>
  <si>
    <t>Cluster analysis; Psychographic segmentation; Digital banking; Digital divide; Digital inclusion; Digital exclusion</t>
  </si>
  <si>
    <t>FINANCIAL EXCLUSION; MOBILE PHONES; ADOPTION; MATERIALISM; ATTITUDES; BEHAVIOR; PRIVACY</t>
  </si>
  <si>
    <t>In this research, the authors conduct a psychographic segmentation analysis within the Canadian banking context to identify segments at risk of marginalization during the digital banking transition. Utilizing a survey, the authors reveal three distinct consumer groups-visionaries, skeptics, and conservatives-each defined by unique psychographic traits influencing their digital banking engagement. Our findings provide actionable insights for bank marketers, enabling them to develop targeted strategies that address these vulnerable segments' specific needs, promoting inclusivity and enhancing customer loyalty. By shifting the focus from solely demographic and socioeconomic factors to psychographic attributes, this study offers a deeper understanding of the barriers consumers face in adopting digital banking solutions. This research enriches the marketing analytics literature by emphasizing the crucial role of psychographic segmentation in understanding consumer behaviour, particularly within the digital banking landscape. It assists marketers in navigating evolving market dynamics, adapting to changing conditions, and responding effectively to new competitors, ensuring that no consumer is left behind in the digital transformation of banking services in Canada.</t>
  </si>
  <si>
    <t>[Fares, Omar H.; Aversa, Joseph; Lee, Seung Hwan (Mark)] Toronto Metropolitan Univ, Ted Rogers Sch Management, 350 Victoria St, Toronto, ON M5B 2K3, Canada</t>
  </si>
  <si>
    <t>Toronto Metropolitan University</t>
  </si>
  <si>
    <t>Fares, OH (corresponding author), Toronto Metropolitan Univ, Ted Rogers Sch Management, 350 Victoria St, Toronto, ON M5B 2K3, Canada.</t>
  </si>
  <si>
    <t>Omar.fares@torontomu.ca; javersa@torontomu.ca; lee.mark@torontomu.ca</t>
  </si>
  <si>
    <t>Fares, Omar/ABK-1281-2022</t>
  </si>
  <si>
    <t>Fares, Omar/0000-0003-0950-0661</t>
  </si>
  <si>
    <t>2024 JUN 4</t>
  </si>
  <si>
    <t>10.1057/s41270-024-00330-1</t>
  </si>
  <si>
    <t>TD2G0</t>
  </si>
  <si>
    <t>WOS:001239250900003</t>
  </si>
  <si>
    <t>Jatmiko, W; Iqbal, A; Ebrahim, MS</t>
  </si>
  <si>
    <t>Jatmiko, Wahyu; Iqbal, Abdullah; Ebrahim, M. Shahid</t>
  </si>
  <si>
    <t>On the Ethicality of Islamic Banks' Business Model</t>
  </si>
  <si>
    <t>BRITISH JOURNAL OF MANAGEMENT</t>
  </si>
  <si>
    <t>MARKETS; FINANCE; ETHICS; PERCEPTIONS; GOVERNANCE; DEFENSE; VIRTUE; PRICE; RISK</t>
  </si>
  <si>
    <t>This paper scrutinizes the ethicality of Islamic banks' (IBs') business model by employing the 'objectives of Islamic law' (Maqasid al-Shari'ah). This necessitates developing an ethical framework to construe two primary injunctions of Islamic finance, namely riba and gharar. The former embodies financial decoupling (aggravating risk-shifting) and unjust price gouging (provoking economic stagnation and financial exclusion), while the latter involves asymmetric information and excessive risk-taking behaviour (exacerbating financial fragility and thus systemic risk). We empirically and theoretically illustrate that these unethical issues are still prevalent in the IBs' modes of financing, despite the Shari'ah-compliant endorsement of religious scholars (i.e. Shari'ah supervisory boards). This affirms that ethicality is merely an impression management exercise of IBs instead of their true business identity. The way forward is to conceptualize IBs' modes of financing beyond just Shari'ah compliance by scrutinizing their ethical impact on society at large. This would require updating centuries-old Islamic rulings (Fatawa) on financial transactions and consulting finance academics and practitioners.</t>
  </si>
  <si>
    <t>[Jatmiko, Wahyu] Univ Indonesia, Fac Econ &amp; Business, Jawa Barat 16424, Indonesia; [Iqbal, Abdullah] Univ Kent, Kent Business Sch, Canterbury CT2 7FS, England; [Ebrahim, M. Shahid] Univ Durham, Durham Univ Business Sch, Durham DH1 3LE, England</t>
  </si>
  <si>
    <t>University of Indonesia; University of Kent; Durham University</t>
  </si>
  <si>
    <t>Iqbal, A (corresponding author), Univ Kent, Kent Business Sch, Canterbury CT2 7FS, England.</t>
  </si>
  <si>
    <t>a.iqbal@kent.ac.uk</t>
  </si>
  <si>
    <t>Iqbal, Abdullah/HSG-3427-2023; Jatmiko, Wahyu/ISV-0996-2023</t>
  </si>
  <si>
    <t>Iqbal, Abdullah/0000-0002-3013-1007; Jatmiko, Wahyu/0000-0002-4626-3258</t>
  </si>
  <si>
    <t>1045-3172</t>
  </si>
  <si>
    <t>1467-8551</t>
  </si>
  <si>
    <t>BRIT J MANAGE</t>
  </si>
  <si>
    <t>BRIT. J. MANAGE.</t>
  </si>
  <si>
    <t>10.1111/1467-8551.12703</t>
  </si>
  <si>
    <t>FL9V0</t>
  </si>
  <si>
    <t>WOS:000919249900001</t>
  </si>
  <si>
    <t>Li, HW; Zhang, XH; Ma, FY; Osabohien, R</t>
  </si>
  <si>
    <t>Li, Hewei; Zhang, Xuehui; Ma, Fengyi; Osabohien, Romanus</t>
  </si>
  <si>
    <t>Out-of-pocket medical expenditures, remittances and health outcomes in China</t>
  </si>
  <si>
    <t>Healthcare management; healthcare services; financial barriers; remittances; health outcomes</t>
  </si>
  <si>
    <t>PROPENSITY SCORE; ECONOMIC-GROWTH; REFORM; WOMEN</t>
  </si>
  <si>
    <t>This study examines the relationship between out-of-pocket medical expenditures, remittances and health outcomes in China using Ordinary Least Squares (OLS) and Propensity Score Matching (PSM) methods. The analysis is based on data from the Global Financial Inclusion database by the World Bank (2021), encompassing a sample of 3,446 individuals. The results indicate that out of-pocket expenditure has a negative impact on health outcomes, while remittance shows a positive association across all age groups, including reproductive and non-reproductive populations. These findings suggest that high out-of-pocket medical costs may hinder access to healthcare services and lead to poorer health outcomes. Conversely, remittance plays a beneficial role in improving health outcomes, highlighting the potential of financial support to positively impact the well-being of individuals.</t>
  </si>
  <si>
    <t>[Li, Hewei] Guilin Med Univ, Sci &amp; Technol Dept, Guilin 541004, Peoples R China; [Zhang, Xuehui] Guilin Univ Aerosp Technol, Sch Elect Informat &amp; Automati, Guilin 541004, Peoples R China; [Ma, Fengyi] Guilin Med Univ, Dept Foreign Languages, Guilin 541199, Peoples R China; [Osabohien, Romanus] Univ Tenaga Nas, Inst Energy Policy &amp; Res IEPRe, Kajang, Malaysia; [Osabohien, Romanus] DEPECOS Inst &amp; Dev Res Ctr DIaDeRC, Ota, Nigeria</t>
  </si>
  <si>
    <t>Guilin Medical University; Guilin University of Aerospace Technology; Guilin Medical University; Universiti Tenaga Nasional</t>
  </si>
  <si>
    <t>Ma, FY (corresponding author), Guilin Med Univ, Dept Foreign Languages, Guilin 541199, Peoples R China.;Osabohien, R (corresponding author), Univ Tenaga Nas, Inst Energy Policy &amp; Res IEPRe, Kajang, Malaysia.;Osabohien, R (corresponding author), DEPECOS Inst &amp; Dev Res Ctr DIaDeRC, Ota, Nigeria.</t>
  </si>
  <si>
    <t>fengyima@163.com; romik247@gmail.com</t>
  </si>
  <si>
    <t>Osabohien, Romanus/R-2284-2019</t>
  </si>
  <si>
    <t>Guangxi University Young and Middle-aged Teachers'Research Basic Ability Enhancement Project [2024KY0790]</t>
  </si>
  <si>
    <t>Guangxi University Young and Middle-aged Teachers'Research Basic Ability Enhancement Project</t>
  </si>
  <si>
    <t>This work was sponsored in part by 2024 Guangxi University Young and Middle-aged Teachers'Research Basic Ability Enhancement Project (Project Number: 2024KY0790).</t>
  </si>
  <si>
    <t>10.29063/ajrh2024/v28i8.12</t>
  </si>
  <si>
    <t>WOS:001306482600012</t>
  </si>
  <si>
    <t>Maknickiene, N; Lapkovskaja, J</t>
  </si>
  <si>
    <t>Maknickiene, Nijole; Lapkovskaja, Joana</t>
  </si>
  <si>
    <t>An exploratory review of the fintech influence field</t>
  </si>
  <si>
    <t>fintech regulation; financial stability; sustainable growth; business ecosystem; human behaviour; impact channels</t>
  </si>
  <si>
    <t>IMPACT; SERVICES; FINANCE; PERSPECTIVE; TECHNOLOGY; EFFICIENCY; COVID-19; ADOPTION; SYSTEMS</t>
  </si>
  <si>
    <t>Fintech as a three-dimensional phenomenon reflects the rapidly changing technological, financial and business environment. The bibliometric analysis of scientific articles allowed us to identify the main themes and create a map of the field of fintech influences. Systematization of scientific articles revealed the influence of economic development and socio-demographic inequality on fintech development. Government regulatory policies can accelerate the digitisation of financial services and financial inclusion and help the fintech sector face geopolitical challenges. Fintech's impact was divided into three areas: financial stability and sustainable development, the business ecosystem and human behaviour. The research we summarised allowed us to identify the mechanisms through which fintech influences various fields. A complex approach to the influence of fintech enables us to understand the phenomenon and make better decisions.</t>
  </si>
  <si>
    <t>[Maknickiene, Nijole; Lapkovskaja, Joana] Vilnius Gediminas Tech Univ, Dept Financial Engn, LT-10223 Vilnius, Lithuania</t>
  </si>
  <si>
    <t>Maknickiene, N (corresponding author), Vilnius Gediminas Tech Univ, Dept Financial Engn, LT-10223 Vilnius, Lithuania.</t>
  </si>
  <si>
    <t>nijole.maknickiene@vilniustech.lt</t>
  </si>
  <si>
    <t>Maknickiene, NIjole/AAQ-9121-2021</t>
  </si>
  <si>
    <t>Maknickiene, NIjole/0000-0003-2785-5183; Lapkovskaja, Joana/0009-0003-2115-9360</t>
  </si>
  <si>
    <t>10.24294/jipd.v8i4.3410</t>
  </si>
  <si>
    <t>OT1U5</t>
  </si>
  <si>
    <t>WOS:001209446700032</t>
  </si>
  <si>
    <t>Balasubramaniam, V; Sane, R; Sharma, S</t>
  </si>
  <si>
    <t>Balasubramaniam, Vimal; Sane, Renuka; Sharma, Srishti</t>
  </si>
  <si>
    <t>Whose financial grievances go unobserved?☆</t>
  </si>
  <si>
    <t>Consumer finance; Complaints; Grievance redress; Measurement</t>
  </si>
  <si>
    <t>Financial inclusion around the world is developing rapidly and reaching 76% of the world's population. However, the gap between access to formal financial products and the long-term use of them remains. We present the results of a first representative telephone survey in India, which explores a major friction that creates this gap: Redressing consumer complaints. Consumer complaints behaviour is product-invariant. Conditional on a grievance, vulnerable consumer groups such as the poor and low-educated are significantly less likely to complain owing to lack of procedural knowledge and belief that resolution is unlikely. They go unobserved in the official data. At the minimum, policy steps to address this friction will require a large-scale overhaul of the current grievance redress framework to be consumer-focused and stop assuming consumers have the education, means and faith to resolve their complaints.</t>
  </si>
  <si>
    <t>[Balasubramaniam, Vimal] Natl Inst Publ Finance &amp; Policy, New Delhi, India; [Sharma, Srishti] Queen Mary Univ London &amp; CEPR, London, England; [Balasubramaniam, Vimal; Sane, Renuka; Sharma, Srishti] Boston Univ, Boston, MA USA; [Sane, Renuka] Natl Inst Publ Finance &amp; Policy, Special Inst Area, 18-2 Satsang Vihar Marg, New Delhi 100067, India</t>
  </si>
  <si>
    <t>National Institute of Public Finance &amp; Policy (NIPFP); Boston University; National Institute of Public Finance &amp; Policy (NIPFP)</t>
  </si>
  <si>
    <t>Sane, R (corresponding author), Natl Inst Publ Finance &amp; Policy, Special Inst Area, 18-2 Satsang Vihar Marg, New Delhi 100067, India.</t>
  </si>
  <si>
    <t>v.balasubramaniam@qmul.ac.uk; renuka.sane@nipfp.org.in; stsharma@bu.edu</t>
  </si>
  <si>
    <t>Sharma, Srishti/0000-0003-1751-0819</t>
  </si>
  <si>
    <t>The research is funded by the Bill and Melinda Gates Foundation.</t>
  </si>
  <si>
    <t>10.1016/j.asieco.2023.101655</t>
  </si>
  <si>
    <t>X0SS1</t>
  </si>
  <si>
    <t>WOS:001095641700001</t>
  </si>
  <si>
    <t>Parkes, G; Hart, M; Rudd, J; Liu, R</t>
  </si>
  <si>
    <t>Parkes, Geoff; Hart, Mark; Rudd, John; Liu, Rebecca</t>
  </si>
  <si>
    <t>The role of behavioural competences in predicting entrepreneurial funding resource orchestration</t>
  </si>
  <si>
    <t>access to finance; analytic induction; behaviour; clusters; competencies; entrepreneur; longitudinal; mixed methodology; personality; pragmatic realism</t>
  </si>
  <si>
    <t>PERFORMANCE; GROWTH; PERSONALITY; MOTIVATION; CRITERIA; TRAITS</t>
  </si>
  <si>
    <t>This study examines how a psychometric testing tool can be used to explain, predict and measure behavioural competences and how entrepreneurs fund the firm. Reference is made to studies of personality traits. More recent studies have called for research into behaviour and competences and specifically in the finance context of orchestration of resources.The authors take a pragmatic realism perspective using a mixed method study to explore the reality of the entrepreneur. Cluster analysis is used to identify the relationship between behavioural competences and funding outcomes.Applying Big 5 Theory of Personality and the Great 8 Competences indicates how behaviour impacts outcomes as entrepreneurs seek to access finance. The identification of three distinct groups in this longitudinal study means belonging to one of these groups predicts likely behaviour when searching for finance.A strong behavioural characteristic which emerged, validated through interviews and psychometric testing, was an orientation towards engagement and working with other organisations. In a funding context, this manifested itself in using networks, seeking advice and sharing equity. These co-operative, collaborative characteristics are different to the classic image of the entrepreneur as a risk-taker or extrovert.The study identifies entrepreneurs who are both successful and unsuccessful in finance applications and compares behavioural competency profiles, thus overcoming the limitations of many studies that are biased towards successful enterprises.</t>
  </si>
  <si>
    <t>[Parkes, Geoff; Hart, Mark; Rudd, John; Liu, Rebecca] Aston Univ, Mkt &amp; Strategy, Birmingham, W Midlands, England</t>
  </si>
  <si>
    <t>Parkes, G (corresponding author), Aston Univ, Mkt &amp; Strategy, Birmingham, W Midlands, England.</t>
  </si>
  <si>
    <t>parkesgs@aston.ac.uk; mark.hart@aston.ac.uk; John.Rudd@wbs.ac.uk; gordon.liu@open.ac.uk</t>
  </si>
  <si>
    <t>; Liu, Rebecca/AGH-4448-2022</t>
  </si>
  <si>
    <t>Hart, Mark/0000-0002-0402-4128; Parkes, Geoff/0000-0003-2126-6740; Liu, Rebecca/0000-0002-5048-5961</t>
  </si>
  <si>
    <t>10.1080/23311975.2018.1512833</t>
  </si>
  <si>
    <t>GU1CF</t>
  </si>
  <si>
    <t>WOS:000444991900001</t>
  </si>
  <si>
    <t>Havens, Z; Latulipe, C</t>
  </si>
  <si>
    <t>Havens, Zach; Latulipe, Celine</t>
  </si>
  <si>
    <t>Proxy Accounts and Behavioural Nudges: Investigating Support for Older Adults and their Financial Delegates</t>
  </si>
  <si>
    <t>PROCEEDINGS OF THE 50TH GRAPHICS INTERFACE CONFERENCE, GI 2024</t>
  </si>
  <si>
    <t>50th Graphics Interface conference (GI)</t>
  </si>
  <si>
    <t>JUN 03-06, 2024</t>
  </si>
  <si>
    <t>Dalhousie Univ, Halifax, CANADA</t>
  </si>
  <si>
    <t>Dalhousie Univ</t>
  </si>
  <si>
    <t>HCI; Design; Online Banking; Older Adults; Informal Caregiving; Aging; Behavioural Nudges; Proxy Accounts</t>
  </si>
  <si>
    <t>ELDER ABUSE</t>
  </si>
  <si>
    <t>Older adults sometimes delegate banking tasks to trusted close others (family or friends). Increasingly those tasks are completed online, with older adults sharing passwords or account ownership to give delegates account access, which introduces privacy, security and financial misconduct risks. We propose that proxy accounts can support financial delegation while preserving older adults' agency and that behavioral nudges can help delegates maintain financial propriety while performing banking tasks. We developed a high-fidelity proxy account prototype that uses behavioural nudges, and present findings from a think-aloud interaction study (n=21). We present results from the first empirical study of proxy accounts in the delegated banking context. Our results show: 1) positive responses to the fiduciary controls provided by proxy accounts, 2) that some nudges may have the potential to encourage propriety, and 3) that both mechanisms improve the delegate's experience of banking on behalf of an older adult, while legitimizing their role as delegate.</t>
  </si>
  <si>
    <t>[Havens, Zach; Latulipe, Celine] Univ Manitoba, Winnipeg, MB, Canada</t>
  </si>
  <si>
    <t>Havens, Z (corresponding author), Univ Manitoba, Winnipeg, MB, Canada.</t>
  </si>
  <si>
    <t>zach.havens@umanitoba.ca; celine.latulipe@umanitoba.ca</t>
  </si>
  <si>
    <t>; Latulipe, Celine/NUQ-2283-2025</t>
  </si>
  <si>
    <t>Havens, Zach/0009-0008-8734-1604;</t>
  </si>
  <si>
    <t>NSERC Discovery grant</t>
  </si>
  <si>
    <t>NSERC Discovery grant(Natural Sciences and Engineering Research Council of Canada (NSERC))</t>
  </si>
  <si>
    <t>This research was funded through an NSERC Discovery grant. We would like to thank members of the University of Manitoba HCI Lab for their support and feedback throughout the project, as well as Dr. Laura Funk for her guidance on exploring and analyzing narratives within the domain of informal caregiving. Finally, we would like to thank our participants for their willingness to share their stories and feedback with us.</t>
  </si>
  <si>
    <t>979-8-4007-1828-1</t>
  </si>
  <si>
    <t>10.1145/3670947.3670962</t>
  </si>
  <si>
    <t>Computer Science, Artificial Intelligence; Computer Science, Cybernetics; Computer Science, Theory &amp; Methods</t>
  </si>
  <si>
    <t>BX7RR</t>
  </si>
  <si>
    <t>WOS:001325256200014</t>
  </si>
  <si>
    <t>Kollenda, P</t>
  </si>
  <si>
    <t>Kollenda, Philipp</t>
  </si>
  <si>
    <t>Financial returns or social impact? What motivates impact investors' lending to firms in low-income countries *</t>
  </si>
  <si>
    <t>Access to finance; Crowdfunding; Impact investment; Investor behaviour; Sustainable investment; Peer-to-peer lending</t>
  </si>
  <si>
    <t>INCENTIVES; PREFERENCES; MONEY</t>
  </si>
  <si>
    <t>I analyze 70,0 0 0 transactions by retail impact investors on a peer-to-peer lending platform that inter-mediates loans to firms in low-income countries. Loans pay interest to investors and publicize indicators of expected social impact. Financial returns significantly influence investors' decisions: a one percentage point increase in the interest rate increases funding speed seven-fold, investment probability two-fold and transaction size by 122 Euro. Expected social impact influences investors' perception but has no in-fluence (for female empowerment, employees and beneficiaries) or limited influence (for turnover) on investors' funding decisions. When all available loans pay the same interest rates, female borrowers -but not firms with many employees or beneficiaries -are more likely to be chosen, suggesting that variation in financial returns can crowd out salient dimensions of social impact. The study implies that peer-to-peer lending platforms should function as gatekeepers of social impact and cannot outsource the evaluation of social impact to retail impact investors.(c) 2021 The Author. Published by Elsevier B.V. This is an open access article under the CC BY license ( http://creativecommons.org/licenses/by/4.0/ )</t>
  </si>
  <si>
    <t>[Kollenda, Philipp] Vrije Univ Amsterdam, Sch Business &amp; Econ, De Boelelaan 1105, NL-1081 HV Amsterdam, Netherlands</t>
  </si>
  <si>
    <t>Vrije Universiteit Amsterdam</t>
  </si>
  <si>
    <t>Kollenda, P (corresponding author), Vrije Univ Amsterdam, Sch Business &amp; Econ, De Boelelaan 1105, NL-1081 HV Amsterdam, Netherlands.</t>
  </si>
  <si>
    <t>p.kollenda@vu.nl</t>
  </si>
  <si>
    <t>Kollenda, P/0000-0002-4514-6260</t>
  </si>
  <si>
    <t>10.1016/j.jbankfin.2021.106224</t>
  </si>
  <si>
    <t>0V5DA</t>
  </si>
  <si>
    <t>WOS:000788362500012</t>
  </si>
  <si>
    <t>Bergset, L</t>
  </si>
  <si>
    <t>Bergset, Linda</t>
  </si>
  <si>
    <t>The Rationality and Irrationality of Financing Green Start-Ups</t>
  </si>
  <si>
    <t>green; environmental; sustainable; entrepreneurship; start-up; entrepreneurial finance; behavioural/behavioral finance; rationality; venture capital; business angels</t>
  </si>
  <si>
    <t>Green start-ups contribute towards a transition to a more sustainable economy by developing sustainable and environmentally friendly innovation and bringing it to the market. Due to specific product/service characteristics, entrepreneurial motivation and company strategies that might differ from that of other start-ups, these companies might struggle even more than usual with access to finance in the early stages. This conceptual paper seeks to explain these challenges through the theoretical lenses of entrepreneurial finance and behavioural finance. While entrepreneurial finance theory contributes to a partial understanding of green start-up finance, behavioural finance is able to solve a remaining explanatory deficit produced by entrepreneurial finance theory. Although some behavioural finance theorists are suggesting that the current understanding of economic rationality underlying behavioural finance research is inadequate, most scholars have not yet challenged these assumptions, which constrict a comprehensive and realistic description of the reality of entrepreneurial finance in green start-ups. The aim of the paper is thus, first, to explore the specifics of entrepreneurial finance in green start-ups and, second, to demonstrate the need for a more up-to-date conception of rationality in behavioural finance theory in order to enable realistic empirical research in this field.</t>
  </si>
  <si>
    <t>[Bergset, Linda] Carl von Ossietzky Univ Oldenburg, Inst Business Adm &amp; Business Educ, Dept Business Adm Econ &amp; Law, Ammerlander Heerstr 114-118, DE-26129 Oldenburg, Germany</t>
  </si>
  <si>
    <t>Carl von Ossietzky Universitat Oldenburg</t>
  </si>
  <si>
    <t>Bergset, L (corresponding author), Carl von Ossietzky Univ Oldenburg, Inst Business Adm &amp; Business Educ, Dept Business Adm Econ &amp; Law, Ammerlander Heerstr 114-118, DE-26129 Oldenburg, Germany.</t>
  </si>
  <si>
    <t>bergset@borderstep.de</t>
  </si>
  <si>
    <t>MDPI AG</t>
  </si>
  <si>
    <t>10.3390/admsci5040260</t>
  </si>
  <si>
    <t>VB8DK</t>
  </si>
  <si>
    <t>WOS:000418115500005</t>
  </si>
  <si>
    <t>Naudé, W; Gries, T; Wood, E; Meintjies, A</t>
  </si>
  <si>
    <t>Naude, Wim; Gries, Thomas; Wood, Eric; Meintjies, Aloe</t>
  </si>
  <si>
    <t>Regional determinants of entrepreneurial start-ups in a developing country</t>
  </si>
  <si>
    <t>start-ups; semi-endogenous growth; regional development; South Africa; Global Entrepreneurship Monitor</t>
  </si>
  <si>
    <t>FIRM FORMATION; ECONOMIC-GROWTH; PERFORMANCE; INEQUALITY; MONITOR; CHOICE; MODEL</t>
  </si>
  <si>
    <t>In this paper we use data from a developing country, South Africa, to empirically identify the determinants of start-up rates across different sub-national regions and in particular to investigate the role of access to finance on a regional (sub-national) level on start-ups. We find that the most important determinants of start-up rates across South Africa's magisterial districts are profit rates, educational levels, agglomeration as measured by the economic size of a district, and access to formal bank finance. Profits have by far the strongest effect on start-up rates. This, together with the insignificance of unemployment for start-ups, may imply that start-ups in South Africa are mainly opportunity-driven, as opposed to being necessity driven. It is also found that access to formal bank finance matter for regional start-up rates, which is not typical for a developing country and that market-size (agglomerations) is negatively associated with start-up rates in South Africa-an unexpected finding which may imply the existence of 'congesting' factors such as increased competition, tougher barriers to entry, monopolistic behaviour, and a greater difficulty to be innovative and novel.</t>
  </si>
  <si>
    <t>[Naude, Wim] United Nat Univ, World Inst Dev Econm Res, FI-00160 Helsinki, Finland; [Naude, Wim] NW Univ, Potchefstroom, South Africa; [Gries, Thomas] Univ Gesamthsch Paderborn, D-4790 Paderborn, Germany; [Wood, Eric] Univ Cape Town, Grad Sch Business, ZA-7700 Rondebosch, South Africa; [Meintjies, Aloe] NW Univ, Potchefstroom, South Africa</t>
  </si>
  <si>
    <t>North West University - South Africa; University of Paderborn; University of Cape Town; North West University - South Africa</t>
  </si>
  <si>
    <t>Naudé, W (corresponding author), United Nat Univ, World Inst Dev Econm Res, FI-00160 Helsinki, Finland.</t>
  </si>
  <si>
    <t>Wim@wider.unu.edu</t>
  </si>
  <si>
    <t>Naudé, Wim/E-3812-2017</t>
  </si>
  <si>
    <t>Naudé, Wim/0000-0003-2496-6945</t>
  </si>
  <si>
    <t>10.1080/08985620701631498</t>
  </si>
  <si>
    <t>252PF</t>
  </si>
  <si>
    <t>WOS:000252457700001</t>
  </si>
  <si>
    <t>De Arcangelis, G; Joxhe, M</t>
  </si>
  <si>
    <t>De Arcangelis, Giuseppe; Joxhe, Majlinda</t>
  </si>
  <si>
    <t>How do migrants save? Evidence from the British Household Panel Survey on temporary and permanent migrants versus natives</t>
  </si>
  <si>
    <t>IZA JOURNAL OF MIGRATION</t>
  </si>
  <si>
    <t>Temporary migration; Savings; Remittances; Blinder-Oaxaca decomposition</t>
  </si>
  <si>
    <t>This paper investigates the saving behavior of migrants in the UK across different dimensions, i.e., comparing temporary versus permanent migrants and migrants versus natives. Established theoretical predictions show that migrants save more when they plan to stay in the destination only temporarily as target savers. Our empirical evidence takes into account the contemporaneous choice of savings and remittances. Moreover, when comparing the saving profiles of both natives and migrants, we uncover the weight of observable socio-economic characteristics other than income and wealth. We use the British Household Panel Survey for the period 1991-2008. The estimation results confirm that temporary migrants have a propensity to save 26 per cent higher than permanent migrants in UK. We also introduce an index of financial capability adjusted for income as an explanatory variable and, when employing the Blinder-Oaxaca decomposition for the Tobit model of saving choice, migrants are more affected by observable social-economic characteristics than natives.</t>
  </si>
  <si>
    <t>[De Arcangelis, Giuseppe] Sapienza Univ Rome, Dept Social Sci &amp; Econ, Polit Sci Bldg CU002 Room 103bis,Ple Aldo Moro,5, I-00185 Rome, Italy; [Joxhe, Majlinda] Univ Luxemburg, CREA, Campus Limpertsberg, L-1511 Luxembourg, Luxembourg</t>
  </si>
  <si>
    <t>Sapienza University Rome; University of Luxembourg</t>
  </si>
  <si>
    <t>De Arcangelis, G (corresponding author), Sapienza Univ Rome, Dept Social Sci &amp; Econ, Polit Sci Bldg CU002 Room 103bis,Ple Aldo Moro,5, I-00185 Rome, Italy.</t>
  </si>
  <si>
    <t>giuseppe.dearcangelis@uniroma1.it</t>
  </si>
  <si>
    <t>; Joxhe, Majlinda/AAC-1496-2021</t>
  </si>
  <si>
    <t>De Arcangelis, Giuseppe/0000-0002-2518-8535; Joxhe, Majlinda/0000-0001-6911-5461</t>
  </si>
  <si>
    <t>2193-9039</t>
  </si>
  <si>
    <t>IZA J MIGR</t>
  </si>
  <si>
    <t>IZA J. MIGR.</t>
  </si>
  <si>
    <t>10.1186/s40176-015-0034-y</t>
  </si>
  <si>
    <t>V26LH</t>
  </si>
  <si>
    <t>WOS:000215293200011</t>
  </si>
  <si>
    <t>Yang, Z; Ren, RR; Liu, HY; Zhang, H</t>
  </si>
  <si>
    <t>Yang, Zan; Ren, Rongrong; Liu, Hongyu; Zhang, Huan</t>
  </si>
  <si>
    <t>Land leasing and local government behaviour in China: Evidence from Beijing</t>
  </si>
  <si>
    <t>URBAN STUDIES</t>
  </si>
  <si>
    <t>Beijing; land lease; listing auction; local government behaviour; tender auction</t>
  </si>
  <si>
    <t>POLICY REFORM; AUCTIONS; PRICES; MARKET; CENTRALITY; OWNERSHIP; VALUES; CBD</t>
  </si>
  <si>
    <t>Since 2004, two auction mechanisms - listing auctions and tender auctions - have played a dominant role in land lease arrangements for real estate development in Beijing. Listing auctions in land markets are similar to general English auctions, where bidders offer the highest price to win. However, in tender auctions, winners are determined by the bidding price and the bidder's financial capability and reputation. Based on granted land parcels from 2006 to 2012 in Beijing, this paper attempts to examine the price differences between the two auctions and the role of land auction in urban development and price stabilisation. We find that land policy in Beijing, which aims to stabilise land prices and to provide low-price residences, has been integrated with urban development planning in terms of spatial and density pattern. Land leasing in Beijing is not only a land policy but also a part of the strategy framework of local development.</t>
  </si>
  <si>
    <t>[Yang, Zan; Ren, Rongrong; Liu, Hongyu; Zhang, Huan] Tsinghua Univ, Beijing 10084, Peoples R China</t>
  </si>
  <si>
    <t>Tsinghua University</t>
  </si>
  <si>
    <t>Yang, Z (corresponding author), Tsinghua Univ, Dept Construct Management, Tsinghua Hang Lung Ctr Real Estate Studies, Beijing 10084, Peoples R China.</t>
  </si>
  <si>
    <t>zanyang@tsinghua.edu.cn</t>
  </si>
  <si>
    <t>Yang, Zan/G-7619-2015</t>
  </si>
  <si>
    <t>Yang, Zan/0000-0001-5365-5690; Liu, Hongyu/0000-0003-0493-2449</t>
  </si>
  <si>
    <t>0042-0980</t>
  </si>
  <si>
    <t>1360-063X</t>
  </si>
  <si>
    <t>URBAN STUD</t>
  </si>
  <si>
    <t>Urban Stud.</t>
  </si>
  <si>
    <t>10.1177/0042098014529342</t>
  </si>
  <si>
    <t>Environmental Studies; Urban Studies</t>
  </si>
  <si>
    <t>Environmental Sciences &amp; Ecology; Urban Studies</t>
  </si>
  <si>
    <t>CB2JG</t>
  </si>
  <si>
    <t>WOS:000349452700002</t>
  </si>
  <si>
    <t>Lawlor, A</t>
  </si>
  <si>
    <t>Lawlor, Andrea</t>
  </si>
  <si>
    <t>Getting Citizens to Save: Media Influence on Incentive-Based Policies</t>
  </si>
  <si>
    <t>CONSTRUCTION; RATIONALITY; SENTIMENT; FINANCE; ETHICS; NEWS</t>
  </si>
  <si>
    <t>Governments often introduce financial incentives to citizens in order to encourage 'personally responsible' behaviour. Examples of these types of incentives include tax-deferral or tax-free incentives around retirement savings. These types of incentives are shown to matter to investment strategies in the aggregate, but we still lack a full explanation as to how individuals respond to these types of incentives, and what role media play in advertising these incentives. This paper illustrates the potentially vital role thatmedia play in enhancing contributions to one incentive-based policy, the Registered Retirement Savings Plan (RRSP) in Canada (2000-2013), using aggregate contribution data, media data, as well as individual-level survey data from the Canadian Financial Capability Survey. Results show that media advertising of the programme influences contribution outcomes and, while media may not outweigh lifecycle effects such as proximity to retirement, it is nonetheless an essential - and overlooked - motivator for contributions to late-life savings.</t>
  </si>
  <si>
    <t>[Lawlor, Andrea] Western Univ, Kings Univ Coll, Dept Polit Sci, 266 Epworth Ave, London, ON, Canada</t>
  </si>
  <si>
    <t>Lawlor, A (corresponding author), Western Univ, Kings Univ Coll, Dept Polit Sci, 266 Epworth Ave, London, ON, Canada.</t>
  </si>
  <si>
    <t>andrea.lawlor@uwo.ca</t>
  </si>
  <si>
    <t>Lawlor, Andrea/NHP-2094-2025</t>
  </si>
  <si>
    <t>10.1017/S0047279415000641</t>
  </si>
  <si>
    <t>DF8XO</t>
  </si>
  <si>
    <t>WOS:000371644100002</t>
  </si>
  <si>
    <t>Cheng, ACS; Fung, MK; Hu, KP; Cheng, LTW</t>
  </si>
  <si>
    <t>Cheng, Arnold C. S.; Fung, Michael K.; Hu, Keri Peicong; Cheng, Louis T. W.</t>
  </si>
  <si>
    <t>Interest rate deregulation and banks' off-balance-sheet activities: a Hong Kong perspective</t>
  </si>
  <si>
    <t>interest rate deregulation; off-balance-sheet activities; Hong Kong banks</t>
  </si>
  <si>
    <t>CAPITAL REQUIREMENTS; FINANCIAL INNOVATION; DEPOSIT INSURANCE; MARKET; RISK; IMPACT; COMPETITION; DIFFUSION; EVOLUTION; CRISES</t>
  </si>
  <si>
    <t>Through the interest rate deregulation and banks' off-balance-sheet activities (OBSAs) in Hong Kong, this study investigates the debate over the impact of banking deregulation on banks' risk-taking behaviour. On the one hand, the Arrow effect implies that increased competition caused by the interest rate deregulation motivates Hong Kong banks to speed up their development of OBSAs as an additional but riskier income source. On the other hand, the Schumpeterian effect implies that the deregulation may reduce the banks' financial capability in developing new products and thus downscale their OBSA adoption. Our findings show that, while the negative scale effect is statistically insignificant, the interest rate deregulation has a positive and significant impact on the adoption rate for all OBSA categories. We therefore conclude that the interest rate deregulation unambiguously leads to riskier bank behaviour in terms of higher OBSA adoption.</t>
  </si>
  <si>
    <t>[Cheng, Arnold C. S.; Fung, Michael K.; Cheng, Louis T. W.] Hong Kong Polytech Univ, Hong Kong, Hong Kong, Peoples R China; [Hu, Keri Peicong] Univ Calif San Diego, San Diego, CA 92103 USA</t>
  </si>
  <si>
    <t>Hong Kong Polytechnic University; University of California System; University of California San Diego</t>
  </si>
  <si>
    <t>Cheng, ACS (corresponding author), Hong Kong Polytech Univ, Hong Kong, Hong Kong, Peoples R China.</t>
  </si>
  <si>
    <t>afacheng@polyu.edu.hk</t>
  </si>
  <si>
    <t>; Cheng, Louis/A-3968-2015</t>
  </si>
  <si>
    <t>Cheng, Arnold C S/0000-0001-7773-2785; Fung, Michael King-Fai/0000-0003-1469-320X;</t>
  </si>
  <si>
    <t>Hong Kong Research Grants Council [PolyU 5917/13H]</t>
  </si>
  <si>
    <t>Hong Kong Research Grants Council(Hong Kong Research Grants Council)</t>
  </si>
  <si>
    <t>The work described in this article was supported by a grant from the Hong Kong Research Grants Council [project # PolyU 5917/13H].</t>
  </si>
  <si>
    <t>10.1080/00036846.2015.1042144</t>
  </si>
  <si>
    <t>CN7XB</t>
  </si>
  <si>
    <t>WOS:000358647200006</t>
  </si>
  <si>
    <t>Coulibaly, A; Yogo, UT</t>
  </si>
  <si>
    <t>Coulibaly, Aissata; Yogo, Urbain Thierry</t>
  </si>
  <si>
    <t>The path to shared prosperity: Leveraging financial services outreach to create decent jobs in developing countries</t>
  </si>
  <si>
    <t>Decent job; Working poverty; Financial outreach; Bank penetration; Remittances; Private credit; Trickle-down hypothesis; Developing countries</t>
  </si>
  <si>
    <t>BANK MARKET POWER; POVERTY REDUCTION; ECONOMIC-GROWTH; ACCESS; CREDIT; CONSTRAINTS; REMITTANCES; INEQUALITY; PANEL; POOR</t>
  </si>
  <si>
    <t>Understanding the channels through which financial inclusion affects poverty reduction remains a key policy issue in development debates. Considering that labour is the main asset of the poor, this paper investigates the effect of financial outreach on the number of workers living below the poverty line. It also analyses whether this effect may occur through increasing investment, remittances, private credit and the number of rich workers who can provide employment opportunities to the poorest. The study finds that improving financial outreach through additional bank branches reduces the number of poor workers, especially in developing countries hit by macroeconomic instability. In addition, this effect occurs mainly through credit expansion, while other channels substitute financial outreach in countries with a low level of financial development.</t>
  </si>
  <si>
    <t>[Coulibaly, Aissata] Univ Clermont Auvergne, CERDI, Clermont Ferrand, France; [Yogo, Urbain Thierry] Univ Yaounde 2, CEREG, Lome, Togo; [Yogo, Urbain Thierry] World Bank Grp, Lome, Togo</t>
  </si>
  <si>
    <t>Universite Clermont Auvergne (UCA)</t>
  </si>
  <si>
    <t>Coulibaly, A (corresponding author), Univ Clermont Auvergne, CERDI, Clermont Ferrand, France.</t>
  </si>
  <si>
    <t>aissata.coulibaly@uca.fr; yogout@gmail.com</t>
  </si>
  <si>
    <t>French National Research Agency (ANR) [ANR-10-LABX-14-01]</t>
  </si>
  <si>
    <t>French National Research Agency (ANR)(Agence Nationale de la Recherche (ANR)Norwegian Agency for Development Cooperation - NORAD)</t>
  </si>
  <si>
    <t>We sincerely thank two anonymous referees and Editor Sushanta Mallick for their constructive comments. We are also grateful to Samuel Guerineau, Armand Fouejieu, Andrew Dabalen and the participants of the CSAE Conference in Oxford in 2017. This work was supported by the LABEX IDGMthorn (ANR-10-LABX-14-01) within the program Investissements d'Avenir operated by the French National Research Agency (ANR).</t>
  </si>
  <si>
    <t>10.1016/j.econmod.2019.07.013</t>
  </si>
  <si>
    <t>LD5ZP</t>
  </si>
  <si>
    <t>WOS:000526109200010</t>
  </si>
  <si>
    <t>Rogers, C; Clarke, C</t>
  </si>
  <si>
    <t>Rogers, Chris; Clarke, Chris</t>
  </si>
  <si>
    <t>Mainstreaming social finance: The regulation of the peer-to-peer lending marketplace in the United Kingdom</t>
  </si>
  <si>
    <t>BRITISH JOURNAL OF POLITICS &amp; INTERNATIONAL RELATIONS</t>
  </si>
  <si>
    <t>Peer-to-Peer lending; regulatory capture; socially useful finance; marketplace lending; financial innovation</t>
  </si>
  <si>
    <t>The article provides one of the first political economy accounts of the regulation of peer-to-peer (P2P) lending in the United Kingdom, drawing on interviews with platforms representing the vast majority of the market at the beginning of the regulatory process. The article links the regulation of P2P lending with debates about regulatory capture. It challenges conventional understandings of its consequences by showing how the regulation of P2P lending displays characteristics of regulatory capture but appears to have realised several aspects of regulators' visions for a 'socially useful finance', rather than facilitating the kind of rent-seeking behaviour that has been identified in the case of other areas of finance. P2P lending is found to represent one of the latest forms of consumer and small business finance that works towards so-called 'financial inclusion', with ambiguous social outcomes that necessitate further critical investigation.</t>
  </si>
  <si>
    <t>[Rogers, Chris; Clarke, Chris] Univ Warwick, Polit &amp; Int Studies, Gibbet Hill Rd, Coventry CV4 7AL, W Midlands, England</t>
  </si>
  <si>
    <t>Rogers, C (corresponding author), Univ Warwick, Polit &amp; Int Studies, Gibbet Hill Rd, Coventry CV4 7AL, W Midlands, England.</t>
  </si>
  <si>
    <t>c.j.rogers@warwick.ac.uk</t>
  </si>
  <si>
    <t>Rogers, Chris/G-5551-2010</t>
  </si>
  <si>
    <t>Leverhulme Trust [ECF 2011-003, ECF 2014-241]</t>
  </si>
  <si>
    <t>Leverhulme Trust(Leverhulme Trust)</t>
  </si>
  <si>
    <t>This work was supported by the Leverhulme Trust Early Career Fellowships (ECF 2011-003 for Chris Rogers and ECF 2014-241 for Chris Clarke).</t>
  </si>
  <si>
    <t>1369-1481</t>
  </si>
  <si>
    <t>1467-856X</t>
  </si>
  <si>
    <t>BRIT J POLIT INT REL</t>
  </si>
  <si>
    <t>Br. J. Polit. Int. Relat.</t>
  </si>
  <si>
    <t>10.1177/1369148116651357</t>
  </si>
  <si>
    <t>EB1QA</t>
  </si>
  <si>
    <t>WOS:000387127700010</t>
  </si>
  <si>
    <t>Periola, O; Salami, MF</t>
  </si>
  <si>
    <t>Periola, Ololade; Salami, Monsurat Foluke</t>
  </si>
  <si>
    <t>Remittance outflow, financial development and macroeconomic indicators: evidence from the UK</t>
  </si>
  <si>
    <t>Remittance outflows; Financial development; Economic growth; United Kingdom (UK)</t>
  </si>
  <si>
    <t>ECONOMIC-GROWTH; WORKERS REMITTANCES; DUTCH DISEASE; MIGRATION</t>
  </si>
  <si>
    <t>Remittances have become a significant component of international capital flows, with millions of migrants sending billions of dollars back to their home countries annually. However, the way these outflows affect macroeconomic variables has not received sufficient attention in the literature, especially in the context of varying levels of financial development. Using time series data from 1987 to 2022 for the United Kingdom, this study examines the macroeconomic effects of remittance outflows and financial development. Our baseline estimation using the Autoregressive Distributed Lag model reveals heterogeneous impacts, as remittance outflows adversely affect economic growth but improve exchange rates. We find remittances do not have a significant effect on inflation or bank rates. The moderating effect of financial development analysis reveals a similar outcome. Our results suggest governments should consider stimulus policies that support investment in productive sectors to improve macroeconomic indicators and facilitate financial inclusion to enhance the adoption of growth strategies that promote remittances.</t>
  </si>
  <si>
    <t>[Periola, Ololade] Sheffield Hallam Univ, Dept Finance Banking &amp; Business Syst, Sheffield S1 1WB, England; [Salami, Monsurat Foluke] Univ Arkansas, Pulaski Tech Coll, Dept Math, North Little Rock, AR 72118 USA</t>
  </si>
  <si>
    <t>Sheffield Hallam University; University of Arkansas System; University of Arkansas Fayetteville</t>
  </si>
  <si>
    <t>Periola, O (corresponding author), Sheffield Hallam Univ, Dept Finance Banking &amp; Business Syst, Sheffield S1 1WB, England.</t>
  </si>
  <si>
    <t>ololade.periola@gmail.com</t>
  </si>
  <si>
    <t>Periola, Ololade/0000-0002-2805-5674; Salami, Monsurat/0009-0008-7028-6717</t>
  </si>
  <si>
    <t>10.1186/s43093-024-00373-x</t>
  </si>
  <si>
    <t>YZ6A4</t>
  </si>
  <si>
    <t>WOS:001272336800001</t>
  </si>
  <si>
    <t>Librado-Gonzalez, M; Osorio-Novela, G; Ramirez-Angulo, N</t>
  </si>
  <si>
    <t>Librado-Gonzalez, Moises; Osorio-Novela, German; Ramirez-Angulo, Natanael</t>
  </si>
  <si>
    <t>Remittances and Multidimensional Poverty in Mexico: A Comparative Analysis of Income Sources</t>
  </si>
  <si>
    <t>multidimensional poverty; remittances; wage income; social spending</t>
  </si>
  <si>
    <t>REDUCE POVERTY; PANEL-DATA; MIGRATION; CASH</t>
  </si>
  <si>
    <t>This study aims to analyze the effect of remittances on multidimensional poverty in Mexico by comparing them with other sources of household income, such as labor income and social spending from transfers, subsidies, and allocations. Furthermore, economic growth dynamism is incorporated as a control variable. A micro-panel with cross-sectional and temporal fixed effects covering the 32 federative entities from 2010 to 2024 is used for this purpose. The results reveal that, although remittances have a moderate alleviating effect on poverty, it is greater than the impact of social spending by state governments. In contrast, labor income is identified as the main factor in reducing multidimensional poverty. These findings underscore the importance of promoting the utilization of remittance flows through financial inclusion strategies to strengthen their contribution to sustained household well-being and consolidate them as a structural instrument against the persistent challenges of multidimensional poverty in Mexico.</t>
  </si>
  <si>
    <t>[Librado-Gonzalez, Moises; Osorio-Novela, German; Ramirez-Angulo, Natanael] Autonomous Univ Baja California, Sch Econ &amp; Int Relat, Tijuana 22390, Mexico</t>
  </si>
  <si>
    <t>Librado-Gonzalez, M (corresponding author), Autonomous Univ Baja California, Sch Econ &amp; Int Relat, Tijuana 22390, Mexico.</t>
  </si>
  <si>
    <t>moises.librado@uabc.edu.mx; german.osorio@uabc.edu.mx; natanael@uabc.edu.mx</t>
  </si>
  <si>
    <t>Autonomous University of Baja California</t>
  </si>
  <si>
    <t>This research was funded by Autonomous University of Baja California.</t>
  </si>
  <si>
    <t>10.3390/economies13120360</t>
  </si>
  <si>
    <t>AE6WK</t>
  </si>
  <si>
    <t>WOS:001646346200001</t>
  </si>
  <si>
    <t>Contesting the financialisation of remittances: Repertoires of reluctance, refusal and dissent in Ghana and Senegal</t>
  </si>
  <si>
    <t>Everyday financialisation; financial inclusion; remittances; informal finance; relational value</t>
  </si>
  <si>
    <t>FINANCE; FINANCIALIZATION; MONEY; GEOGRAPHIES; EXCHANGE; MARKETS; LIFE</t>
  </si>
  <si>
    <t>This article engages with a global migration-development agenda that aims to harness the development potential of remittances by incorporating remittance flows and households into global finance. Drawing upon 10 months of fieldwork research with remittance recipients in Ghana and Senegal, this paper shows that any attempts to financialise and channel remittances away from so-called 'informal' financial circuits face differentiated forms of contestation, namely reluctance, refusal, and dissent. To explain how and why variegated financial practices and subjectivities - that differ from the neoliberal self-disciplined subject - emerge and endure, the paper draws together analyses on everyday financialisation with discussions on the central role of 'informal' finance and the concept of relational value in processes of social reproduction and strategies of future-making. In doing so, it contributes to a growing body of work that aims to decentre research on everyday financialisation beyond Anglo-American economies, and the Global North more generally.</t>
  </si>
  <si>
    <t>[Guermond, Vincent] Royal Holloway Univ London, Egham TW20 0EX, Surrey, England</t>
  </si>
  <si>
    <t>Guermond, V (corresponding author), Royal Holloway Univ London, Egham TW20 0EX, Surrey, England.</t>
  </si>
  <si>
    <t>This work was supported by the Queen Mary University of London Principal's Postgraduate Research Studentship and by the generous funding of the Gilchrist Educational Trust.</t>
  </si>
  <si>
    <t>0308518X20976141</t>
  </si>
  <si>
    <t>10.1177/0308518X20976141</t>
  </si>
  <si>
    <t>WOS:000631242600001</t>
  </si>
  <si>
    <t>Vlcek, W</t>
  </si>
  <si>
    <t>Vlcek, William</t>
  </si>
  <si>
    <t>Securitizing Money to Counter Terrorist Finance: Some Unintended Consequences for Developing Economies</t>
  </si>
  <si>
    <t>INTERNATIONAL STUDIES PERSPECTIVES</t>
  </si>
  <si>
    <t>terrorist finance; securitization; development</t>
  </si>
  <si>
    <t>PROVISIONAL IRA; GREEN CARD; WAR</t>
  </si>
  <si>
    <t>With its roots in the war on drugs and the criminalization of money laundering, the global initiative to combat the financing of terrorism (CFT) provides one strategy for preventing and preempting terrorist attacks. In public pronouncements, terrorist finance was named the lifeblood and oxygen for terrorism itself, thus displaying an analogy suggesting that its mere removal could bring an end to terrorism. Following the theoretical perspective of the Copenhagen School of security studies, this paper argues that national and international measures against terrorist finance constitute the securitization of money. By situating money as the essential component to an existential threat, it was possible to justify extraordinary measures to monitor financial transactions. These measures produced unintended consequences prompting resistance and an evolution of procedures to reduce those consequences. This paper considers two affected areas (migrant remittances and financial inclusion) and points to the potential use of financial surveillance against grand corruption.</t>
  </si>
  <si>
    <t>Univ St Andrews, St Andrews KY16 9AJ, Fife, Scotland</t>
  </si>
  <si>
    <t>University of St Andrews</t>
  </si>
  <si>
    <t>Vlcek, W (corresponding author), Univ St Andrews, St Andrews KY16 9AJ, Fife, Scotland.</t>
  </si>
  <si>
    <t>Vlcek, William/0000-0001-8647-5258</t>
  </si>
  <si>
    <t>1528-3577</t>
  </si>
  <si>
    <t>1528-3585</t>
  </si>
  <si>
    <t>INT STUD PERSPECT</t>
  </si>
  <si>
    <t>Int. Stud. Perspect.</t>
  </si>
  <si>
    <t>10.1111/insp.12068</t>
  </si>
  <si>
    <t>CV5WS</t>
  </si>
  <si>
    <t>WOS:000364342700003</t>
  </si>
  <si>
    <t>Farooq, M; Zaheer, S</t>
  </si>
  <si>
    <t>Farooq, Moazzam; Zaheer, Sajjad</t>
  </si>
  <si>
    <t>ARE ISLAMIC BANKS MORE RESILIENT DURING FINANCIAL PANICS?</t>
  </si>
  <si>
    <t>PACIFIC ECONOMIC REVIEW</t>
  </si>
  <si>
    <t>MONETARY-POLICY</t>
  </si>
  <si>
    <t>Islamic banking is one of the fastest growing segments of the financial sector in developing countries. Rapid growth of this segment is accompanied with claims about its relative resilience to financial crises as compared to conventional banking. However, little empirical evidence is available to support such claims. Using data from Pakistan, where Islamic and conventional banks co-exist, we compare the behaviour of Islamic and conventional banks during a financial panic. Our results show that Islamic bank branches are less prone to deposit withdrawals during financial panics, both unconditionally and after controlling for bank characteristics. The Islamic branches of banks that have both Islamic and conventional operations tend to attract (rather than lose) deposits during panics, which suggests a role for religious branding. We also find that Islamic bank branches grant more loans during financial panics and that their lending decisions are less sensitive to changes in deposits. Our findings suggest that greater financial inclusion of faith-based groups may enhance the stability of the banking system.</t>
  </si>
  <si>
    <t>[Farooq, Moazzam] Cent Bank Oman, Muttrah, Oman; [Zaheer, Sajjad] State Bank Pakistan, Karachi, Pakistan; [Zaheer, Sajjad] Iqra Univ, Karachi, Pakistan</t>
  </si>
  <si>
    <t>Iqra University</t>
  </si>
  <si>
    <t>Zaheer, S (corresponding author), State Bank Pakistan, II Chundriagar Rd, Karachi, Pakistan.</t>
  </si>
  <si>
    <t>sajjad.zaheer@sbp.org.pk</t>
  </si>
  <si>
    <t>UK's DFID</t>
  </si>
  <si>
    <t>Address for correspondence: State Bank of Pakistan, I. I. Chundriagar Road, Karachi, Pakistan. E-mail: sajjad.zaheer@sbp.org.pk. We are thankful to two anonymous referees, to Andrew Berg, Mario Catalan, Galina Hale, Camelia Minoiu, Chris Papageorgiou and Catherine Pattillo, and to participants at the International Monetary Fund-Department for International Development (IMF-DFID) conference on 'Macroeconomic Challenges Facing Low-Income Countries: New Perspectives'. All remaining errors are our own. We are most grateful to the State Bank of Pakistan for providing the data used in this paper. This paper is part of a research project on macroeconomic policy in low-income countries supported by the UK's DFID. The paper was presented at the Conference on 'Macroeconomic Challenges Facing Low-Income Countries: New Perspectives' (Washington, DC, 30-31 January 2014). The views expressed herein are those of the authors and should not be attributed to the IMF, its Executive Board or its management, or DFID, the State Bank of Pakistan and its subsidiaries, or the Central Bank of Oman.</t>
  </si>
  <si>
    <t>1361-374X</t>
  </si>
  <si>
    <t>1468-0106</t>
  </si>
  <si>
    <t>PAC ECON REV</t>
  </si>
  <si>
    <t>Pac. Econ. Rev.</t>
  </si>
  <si>
    <t>10.1111/1468-0106.12096</t>
  </si>
  <si>
    <t>CC2VL</t>
  </si>
  <si>
    <t>WOS:000350202700006</t>
  </si>
  <si>
    <t>Kashyap, S; Agarwal, B; Pushp, A; Rastogi, S</t>
  </si>
  <si>
    <t>Kashyap, Samiksha; Agarwal, Bhakti; Pushp, Aman; Rastogi, Shailesh</t>
  </si>
  <si>
    <t>Does Indian banks' FinTech investment affect their liquidity and efficiency? Using competition functions as a moderator</t>
  </si>
  <si>
    <t>FinTech; Liquidity; LCR; NSFR; Panel data; G210; G280; M210; M480</t>
  </si>
  <si>
    <t>PurposeFinTech technologies are distinct because they are used to develop and provide traditional financial services. This study aims to investigate how FinTech advances affect Indian banks' efficiency and liquidity. In addition to analyzing its role in promoting financial inclusion, reducing risks and generating competitive advantages in the banking industry, it looks into how FinTech adoption improves efficiency, strengthens liquidity and works under the competition inside the Indian banking industry.Design/methodology/approachIn this study, 23 Indian banks serve as cross-sectional units, and the time dimension spans 15 years, from 2010 to 2024. Panel data analysis was also used to examine the findings.FindingsAccording to this study, Indian banks' short-term liquidity (liquidity coverage ratio [LCR]) and FinTech investment (information, communication and technology [ICT]) are positively correlated. Interestingly, ICT does not affect long-term liquidity (net stable funding ratio [NSFR]). ICT also increases bank efficiency. On the other hand, li (decrease in competition) modifies these linkages, impacting efficiency and liquidity. Because they put efficiency ahead of pricing rivalry, banks become more efficient and invest more in ICT when there is less competition. However, a moderating effect of li has been shown on the association of LCR and ICT and on the association of ICT and NSFR, which indicates that an increase in li results in a decrease in short-term liquidity and ICT investment by banks and also increases in li results in a reduction of the long-term liquidity (NSFR) and ICT investment by banks.Research limitations/implicationsThis study is constrained by its emphasis on FinTech investment rather than examining more general FinTech innovations and their particular effects on Indian banks, including blockchain or artificial intelligence.Practical implicationsFinTech investment integration improves efficiency and liquidity in Indian banking, but these advantages can be lessened if competition declines. Banks need to make strategic investments in FinTech to keep their competitive edge. Creating a competitive atmosphere should motivate banks to use FinTech to enhance their efficiency and liquidity management and encourage long-term expansion in the financial industry.Originality/valueThis study provides fresh perspectives on the strategic role of FinTech in banking by examining how FinTech investment affects Indian banks' efficiency and liquidity in a unique way while taking competition into account as a moderator.</t>
  </si>
  <si>
    <t>[Kashyap, Samiksha; Agarwal, Bhakti; Pushp, Aman; Rastogi, Shailesh] Symbiosis Inst Business Management Nagpur, Symbiosis Int, Pune, India</t>
  </si>
  <si>
    <t>Agarwal, B (corresponding author), Symbiosis Inst Business Management Nagpur, Symbiosis Int, Pune, India.</t>
  </si>
  <si>
    <t>samiksha16kashyap@gmail.com; agarwal.bhakti96@gmail.com; amanpushp4@gmail.com; krishnasgdas@gmail.com</t>
  </si>
  <si>
    <t>Rastogi, Dr. Shailesh/AAU-1920-2020; AGARWAL, BHAKTI/GXN-1164-2022; Pushp, Aman/JOK-2687-2023</t>
  </si>
  <si>
    <t>2025 SEP 2</t>
  </si>
  <si>
    <t>10.1108/JFEP-03-2025-0117</t>
  </si>
  <si>
    <t>6WE7N</t>
  </si>
  <si>
    <t>WOS:001563475900001</t>
  </si>
  <si>
    <t>Kotkowski, R; Polasik, M</t>
  </si>
  <si>
    <t>Kotkowski, Radoslaw; Polasik, Michal</t>
  </si>
  <si>
    <t>COVID-19 pandemic increases the divide between cash and cashless payment users in Europe</t>
  </si>
  <si>
    <t>COVID-19 pandemic; Cash; Cashless payments; Change in payment behaviour</t>
  </si>
  <si>
    <t>This paper investigates how the COVID-19 pandemic has changed an important aspect of everyday life, viz. how people make payments. The empirical study is based on a survey of over 5000 respondents from 22 European countries. It shows that consumers who had been making cashless payments prior to the outbreak of the pandemic have been even more likely to do so since it broke out. On the other hand, the consumers who had mostly been paying in cash have often continued to do so. The divide between those who pay in cash and those who do not, therefore, seems to have widened during the pandemic. It may suggest financial inclusion issues. Additionally, we found that the probability of more frequent cashless payments as a result of the pandemic differs considerably between countries and therefore indicate the role of country-specific factors. (C) 2021 The Authors. Published by Elsevier B.V.</t>
  </si>
  <si>
    <t>[Kotkowski, Radoslaw] Narodowy Bank Polski, Warsaw, Poland; [Polasik, Michal] Nicolaus Copernicus Univ Torun, Torun, Poland</t>
  </si>
  <si>
    <t>Narodowy Bank Polski; Nicolaus Copernicus University</t>
  </si>
  <si>
    <t>Kotkowski, R (corresponding author), Narodowy Bank Polski, Warsaw, Poland.;Polasik, M (corresponding author), Nicolaus Copernicus Univ Torun, Torun, Poland.</t>
  </si>
  <si>
    <t>radoslaw.kotkowski@nbp.pl; michal.polasik@umk.pl</t>
  </si>
  <si>
    <t>Kotkowski, Radosław/H-8215-2016; Polasik, Michal/H-8956-2016</t>
  </si>
  <si>
    <t>Kotkowski, Radosław/0000-0003-4995-5935; Polasik, Michal/0000-0002-7790-4839</t>
  </si>
  <si>
    <t>10.1016/j.econlet.2021.110139</t>
  </si>
  <si>
    <t>XD9CU</t>
  </si>
  <si>
    <t>WOS:000722998700002</t>
  </si>
  <si>
    <t>Hajr, L; Katamoura, S; Mirza, A</t>
  </si>
  <si>
    <t>Hajr, Layla; Katamoura, Suzan; Mirza, Abdulrahman</t>
  </si>
  <si>
    <t>Bitcoin Cryptocurrency and Electronic Commerce in Saudi Arabia</t>
  </si>
  <si>
    <t>cryptocurrency; Bitcoin; e-commerce; e-business; Saudi Arabia; online transactions; security; digitalization</t>
  </si>
  <si>
    <t>STRUCTURAL EQUATION MODELS; UNOBSERVABLE VARIABLES</t>
  </si>
  <si>
    <t>Bitcoin, a well-known cryptocurrency, has attracted much attention worldwide and is becoming more widely used. This study develops a hypothesis to investigate and test the impact of Bitcoin on E-Commerce use in Saudi Arabia using a survey research approach. Analyzing factors such as Bitcoin awareness and usage among Saudi Arabian consumers can increase online transactions, increase payment efficiency, a larger degree of financial inclusion, and a higher level of trust and security. The online-based survey was used to collect responses, and descriptive-analytical and standard results. Assessment criteria approaches were implemented to interpret the results. Responses were collected from individuals and employees of various companies working in different occupations in Saudi Arabia. In addition, statistical tools SPSS and SmartPLS were used to test the study's hypotheses. The findings indicated a rapid growth in e-commerce transactions and some knowledge of Bitcoin. Also, it shows a positive correlation between digital currencies (Bitcoin) and e-commerce in Saudi Arabia. The study's conclusions are expected to be valuable for those involved in Saudi Arabia's e-commerce sector, helping them to decide how to adopt and use Bitcoin in their digital business strategy. The study also opens the way for future investigations into topics including Saudi Arabia's regulations for Bitcoin, consumer attitudes toward Bitcoin, and the potential of blockchain technology for enhancing the nation's e-commerce processes. Bitcoin and Electronic Commerce in Saudi ArabiaThis paper aims to analyze cryptocurrency and e-commerce development in Saudi Arabia and find if there is any correlation between the development of e-commerce and cryptocurrency Bitcoin usage in Saudi Arabia. The analysis used a questionnaire as a research method and a descriptive-analytical approach to analyze the results. The data sample comprises individuals and employees from different companies and businesses in Saudi Arabia. Statistical tools (SPSS) and SmartPLS are then used for data interpretation. According to our knowledge, this was the first survey covering this topic in this country. Thus, it will highlight the situation and offer recommendations for improving the development further. The findings suggested a positive relationship between digital currencies (Bitcoin) and electronic commerce in Saudi Arabia, satisfying the researchers' hypothesis.</t>
  </si>
  <si>
    <t>[Hajr, Layla] King Saud Univ, MIS Dept, Riyadh, Saudi Arabia; [Katamoura, Suzan; Mirza, Abdulrahman] King Saud Univ, IS Dept, Riyadh, Saudi Arabia; [Katamoura, Suzan] King Saud Univ, IS Dept, Imam Rd, Riyadh 13245, Saudi Arabia</t>
  </si>
  <si>
    <t>King Saud University; King Saud University; King Saud University</t>
  </si>
  <si>
    <t>Katamoura, S (corresponding author), King Saud Univ, IS Dept, Imam Rd, Riyadh 13245, Saudi Arabia.</t>
  </si>
  <si>
    <t>katamoura@hotmail.com</t>
  </si>
  <si>
    <t>; Hajr, Laila/HGE-8914-2022</t>
  </si>
  <si>
    <t>Katamoura, Suzan/0000-0003-4758-2143;</t>
  </si>
  <si>
    <t>Deanship of scientific research (DSR) in King Saud University</t>
  </si>
  <si>
    <t>The author(s) disclosed receipt of the following financial support for the research, authorship, and/or publication of this article: All authors are subject to research fund and support from Deanship of scientific research (DSR) in King Saud University under the initiative Graduate Students Research Support (GSR).</t>
  </si>
  <si>
    <t>10.1177/21582440231218513</t>
  </si>
  <si>
    <t>DJ7Y3</t>
  </si>
  <si>
    <t>WOS:001131746400001</t>
  </si>
  <si>
    <t>Hoque, MZ; Chowdhury, NJ; Hossain, A; Tabassum, T</t>
  </si>
  <si>
    <t>Hoque, Mohammed Ziaul; Chowdhury, Nazneen Jahan; Hossain, Al Amin; Tabassum, Tanjim</t>
  </si>
  <si>
    <t>Social and facilitating influences in fintech user intention and the fintech gender gap</t>
  </si>
  <si>
    <t>Fintech; Gender gap; User intention; Image; Perceived behavioural control; Compatibility</t>
  </si>
  <si>
    <t>BLINDER-OAXACA DECOMPOSITION; INFORMATION-TECHNOLOGY; ACCEPTANCE; MODEL; ADOPTION</t>
  </si>
  <si>
    <t>Given the advances in technology, Fintech is an invaluable tool which allows unbanked people to access financial services when social, cultural, economic and technological factors affect their user intentions (UI). Despite the great importance of the role of social and facilitating influences in the adoption of Fintech services, little research has been conducted on how and what influences affect Fintech user intention (FUI) and whether there is a gender gap in FUI. Therefore, this study aims to help formulate effective Fintech policies and close the gender gap by investigating the role of social and facilitating influences and sociodemographic variables in FUI. The study sample comprised 237 participants, and the data were collected through interviews with the use of a structured questionnaire in Chattogram, Bangladesh. The collected data were analysed employing exploratory factor analysis and an ordered logistic regression model. The study also examined the Fintech gender gap by applying the Blinder Oaxaca decomposition model. The results reveal that image, compatibility and the experiences of Fintech use are the positive and significant predictors of FUI, with the perceived social norm for adopting Fintech being non-informative for users. There is a significant interaction between user compatibility and experience of use in relation to Fintech. Interestingly, perceived behavioural control negatively influenced females to adopt Fintech. Furthermore, the study found a gender gap in FUI. The findings have managerial implications.</t>
  </si>
  <si>
    <t>[Hoque, Mohammed Ziaul; Hossain, Al Amin] Univ Chittagong, Fac Business Adm, Dept Finance, Chittagong, Bangladesh; [Chowdhury, Nazneen Jahan] Int Islamic Univ, Dept Business Adm, Chittagong, Bangladesh; [Hoque, Mohammed Ziaul; Tabassum, Tanjim] Univ Chittagong, Chittagong Univ Ctr Business Adm, Chittagong, Bangladesh</t>
  </si>
  <si>
    <t>University of Chittagong; International Islamic University Chittagong (IIUC); University of Chittagong</t>
  </si>
  <si>
    <t>Hoque, MZ (corresponding author), Univ Chittagong, Fac Business Adm, Dept Finance, Chittagong, Bangladesh.;Hoque, MZ (corresponding author), Univ Chittagong, Chittagong Univ Ctr Business Adm, Chittagong, Bangladesh.</t>
  </si>
  <si>
    <t>mzhoque@cu.ac.bd; nazneenjahan@iiuc.ac.bd; alamincufinance@gmail.com; tanjimtabassum.aqc@gmail.com</t>
  </si>
  <si>
    <t>Hoque, Mohammed Ziaul/B-8827-2018</t>
  </si>
  <si>
    <t>Hoque, Mohammed Ziaul/0000-0002-7414-3683</t>
  </si>
  <si>
    <t>e23457</t>
  </si>
  <si>
    <t>10.1016/j.heliyon.2023.e23457</t>
  </si>
  <si>
    <t>EL9P2</t>
  </si>
  <si>
    <t>WOS:001139202600001</t>
  </si>
  <si>
    <t>Income Levels, Governance and Inclusive Human Development in Sub-Saharan Africa</t>
  </si>
  <si>
    <t>Inclusive development; Income levels; Governance; Africa</t>
  </si>
  <si>
    <t>MIDDLE-CLASS; INSTITUTIONAL QUALITY; FINANCIAL ACCESS; PANEL-DATA; GROWTH; POLICY; GLOBALIZATION; INFORMATION; REMITTANCES; INEQUALITY</t>
  </si>
  <si>
    <t>This study examines how income-driven governance affects inclusive human development in Sub-Saharan Africa with data for the period 2000-2012. The empirical evidence is based on the Generalised Method of Moments (GMM) and Tobit regressions. Nine bundled and unbundled concepts of governance are used: political (voice &amp; accountability and political stability/no violence), economic (government effectiveness and regulation quality) and institutional (corruption-control and the rule of law) governances. The main finding is that 'middle income'-driven governance has a higher effect on inclusive human development than 'low income'-driven governance. Policy implications are discussed in the light of: (i) the contemporary relevance of findings; (ii) the pivotal role of a higher income level in the post-2015 sustainable development agenda; and (iii) inconsistent strands in the literature and in foreign aid policies.</t>
  </si>
  <si>
    <t>10.1007/s11482-019-09755-8</t>
  </si>
  <si>
    <t>QG4BL</t>
  </si>
  <si>
    <t>WOS:000617532700004</t>
  </si>
  <si>
    <t>Mbewana, V; Kaseeram, I</t>
  </si>
  <si>
    <t>Mbewana, Vusi; Kaseeram, Irrshad</t>
  </si>
  <si>
    <t>The effect of income diversification on household food security status among small-scale rural farmers in the Alfred Nzo District Municipality, South Africa</t>
  </si>
  <si>
    <t>COGENT FOOD &amp; AGRICULTURE</t>
  </si>
  <si>
    <t>Alfred Nzo; income diversification; small-scale farmers; food security; livelihoods</t>
  </si>
  <si>
    <t>The study investigated the determinants of household income diversification and its effect on food security status among small-scale rural farmers in the Alfred Nzo District Municipality (ANDM). A cross-sectional descriptive research design was adopted in the study. A systematic random sampling method and structured questionnaire were utilized to collect data from 268 small-scale farmers in the ANDM. The data collection started from the first week of August to 30 September 2022. Stata version 14.0 was employed to analyse the factors influencing household income diversification, using a Tobit regression model. The gender of the household head, access to extension services, access to credit, access to social security grants, access to remittances, household head employment status, and household size were found to be the key determinants of household income diversification in the study area. The effect of household income diversification on food security was examined using the Multinational Logit regression model. The study found that the household income diversification reduces the likelihood of mild, moderate, and severe food insecurity. These findings indicate that households that diversified their sources of income had higher chances of being food secure. Workshops and access to finance are critical interventions to strengthen household resilience and food security.</t>
  </si>
  <si>
    <t>[Mbewana, Vusi; Kaseeram, Irrshad] Univ Zululand, Fac Commerce Adm &amp; Law, Dept Econ, Kwa Dlangezwa, South Africa</t>
  </si>
  <si>
    <t>Mbewana, V (corresponding author), Univ Zululand, Fac Commerce Adm &amp; Law, Dept Econ, Kwa Dlangezwa, South Africa.</t>
  </si>
  <si>
    <t>MbewanaV@unizulu.ac.za</t>
  </si>
  <si>
    <t>2331-1932</t>
  </si>
  <si>
    <t>COGENT FOOD AGR</t>
  </si>
  <si>
    <t>Cogent Food Agr.</t>
  </si>
  <si>
    <t>10.1080/23311932.2025.2568753</t>
  </si>
  <si>
    <t>8JR3D</t>
  </si>
  <si>
    <t>WOS:001590275600001</t>
  </si>
  <si>
    <t>Badulescu, D; Simut, R</t>
  </si>
  <si>
    <t>Loster, T; Pavelka, T</t>
  </si>
  <si>
    <t>Badulescu, Daniel; Simut, Ramona</t>
  </si>
  <si>
    <t>BANKS' AVAILABILITY VERSUS SMES' EXPECTANCIES IN BUSINESS FINANCING. AN ANALYSIS ON CREDIT RENEWAL</t>
  </si>
  <si>
    <t>9TH INTERNATIONAL DAYS OF STATISTICS AND ECONOMICS</t>
  </si>
  <si>
    <t>The 9th International Days of Statistics and Economics</t>
  </si>
  <si>
    <t>SEP 10-12, 2015</t>
  </si>
  <si>
    <t>Ceska S Sporitelna,VSE,ESC Rennes Sch Business,PHF Ekonomicka Univ Bratislave</t>
  </si>
  <si>
    <t>SMEs; lending relationship; banks' behaviour; credit renewal</t>
  </si>
  <si>
    <t>LENDING RELATIONSHIPS</t>
  </si>
  <si>
    <t>The limited access of SMEs to adequate funding is an important issue both in practice and in literature, mainly due to demand-side and supply-side constraints. In order to address this issue for the case of Romania, we undertook an extensive, quantitative survey-based research among Romanian banks' representatives. In this paper we used a multiple linear regression and the method of ordinary least squares to find out that most effective variables determining banks' availability to grant loans or to renew/extend credit lines at maturity (for existing customers) are prompt repayments and the length of the banking relationship. On the other side, the trust in managers/owners of the companies and the collateral exert a moderate influence, while variables bank size and the nature and origin of the capital (i.e. national vs. foreign capital, state-owned vs. private capital) have little influence. Compared with the results of a similar research question from our previous research (2012), but addressed to SMEs (i.e. the demand side), we found partial similarity between banks' availability on one side and on other side, SMEs expectancies concerning the access to finance. Our findings, which are in line with other similar researches, enable us to formulate critical assertions on the banks' role in SMEs financing.</t>
  </si>
  <si>
    <t>[Badulescu, Daniel; Simut, Ramona] Univ Oradea, 1 Univ Str, Oradea, Romania</t>
  </si>
  <si>
    <t>University of Oradea</t>
  </si>
  <si>
    <t>Badulescu, D (corresponding author), Univ Oradea, 1 Univ Str, Oradea, Romania.</t>
  </si>
  <si>
    <t>dbadulescu@uoradea.ro; simut.ramona@yahoo.com</t>
  </si>
  <si>
    <t>Simut, Ramona/AAN-4689-2020; Badulescu, Daniel/O-4877-2017</t>
  </si>
  <si>
    <t>MELANDRIUM</t>
  </si>
  <si>
    <t>SLANY</t>
  </si>
  <si>
    <t>FUGNEROVA 691, SLANY, 27401, CZECH REPUBLIC</t>
  </si>
  <si>
    <t>978-80-87990-06-3</t>
  </si>
  <si>
    <t>BF3DN</t>
  </si>
  <si>
    <t>WOS:000380530000008</t>
  </si>
  <si>
    <t>Li, Z; Wang, P</t>
  </si>
  <si>
    <t>Li, Zhe; Wang, Ping</t>
  </si>
  <si>
    <t>Cross-border mergers and acquisitions and corporate social responsibility: Evidence from Chinese listed firms</t>
  </si>
  <si>
    <t>China; corporate social responsibility; cross-border M&amp;As; environmental performance and sustainability; internationalisation strategy; reputation building; social preference</t>
  </si>
  <si>
    <t>PERFORMANCE; CSR; ISOMORPHISM; DISCLOSURE; PROTECTION; OWNERSHIP; IMPACT; BOARD; COST; MNES</t>
  </si>
  <si>
    <t>This study examines the impact of cross-border mergers and acquisitions (M&amp;As) on acquirers' corporate social responsibility (CSR). Based on a sample of Chinese listed firms, we find that firms with cross-border M&amp;A activities experience an improvement in subsequent CSR performance. Specifically, the CSR rating is approximately 8.24% higher in firms with cross-border M&amp;As than in those without such activities. We also find that this positive influence is more pronounced in firms with low initial CSR ratings than in those with high initial CSR ratings at the time when a cross-border M&amp;A deal is completed. Additional analyses reveal that this positive effect is mainly driven by the target firms from countries with high social preference relative to China and that the enhancement in CSR driven by cross-border M&amp;As translates into higher operating performance and easier access to finance. Overall, our findings demonstrate that cross-border M&amp;As can serve as a critical channel for acquirers from a country with low institutional quality to build a better reputation through environmentally friendly behaviour and socially responsible engagement, and therefore gain capital market benefits.</t>
  </si>
  <si>
    <t>[Li, Zhe] Queen Mary Univ London, Sch Business &amp; Management, Dept Accounting &amp; Financial Management, Mile End Rd, London E1 4NS, England; [Wang, Ping] Univ Birmingham, Birmingham Business Sch, Dept Finance, Birmingham, W Midlands, England</t>
  </si>
  <si>
    <t>University of London; Queen Mary University London; University of Birmingham</t>
  </si>
  <si>
    <t>Li, Z (corresponding author), Queen Mary Univ London, Sch Business &amp; Management, Dept Accounting &amp; Financial Management, Mile End Rd, London E1 4NS, England.</t>
  </si>
  <si>
    <t>zhe.li1@qmul.ac.uk</t>
  </si>
  <si>
    <t>Li, Zhe/AAO-8880-2021</t>
  </si>
  <si>
    <t>Li, Zhe/0000-0003-1442-4499</t>
  </si>
  <si>
    <t>1468-5957</t>
  </si>
  <si>
    <t>10.1111/jbfa.12617</t>
  </si>
  <si>
    <t>8T1JT</t>
  </si>
  <si>
    <t>WOS:000806212000001</t>
  </si>
  <si>
    <t>Agbenyo, W; Jiang, YS; Wang, JY; Ntim-Amo, G; Dunya, R; Frempong, LN</t>
  </si>
  <si>
    <t>Agbenyo, Wonder; Jiang, Yuansheng; Wang, Jingyi; Ntim-Amo, Gideon; Dunya, Rahman; Frempong, Lady Nadia</t>
  </si>
  <si>
    <t>Does weather index-based insurance adoption influence Cocoa Output? An endogenous swicth regression approach</t>
  </si>
  <si>
    <t>Endogenous switch regression; cocoa output; weather index-insurance; average treatment effect; extended linear regression; Ghana</t>
  </si>
  <si>
    <t>WILLINGNESS-TO-PAY; CROP INSURANCE; RISK; CHALLENGES; WELFARE; INCOME</t>
  </si>
  <si>
    <t>Agriculture is the most weather-dependent and risky sector where it is unpredictable when a season will be profitable during harvest. Droughts and floods may increase the risk of weather-related catastrophes in agriculture. Weather index Insurance has been widely recommended for decades to control weather risk. 600 Ashanti cocoa producers were surveyed to see how weather index insurance adoption affects cocoa output in Ghana. The endogenous switching regression (ESR) technique coupled with probit models were employed in this study. Cocoa bean production was 30.8 percent whiles only 15.8% of cocoa farmers knew about weather index insurance. The average annual farm income, off-farm, and remittances were 7.40, 7.26, and 6.61, respectively. Weather index insurance adoption and cocoa output were positively influenced by cocoa farm age, gender, education, awareness, and access to finance. We found that weather index insurance negatively influences cocoa output in Ghana due to inadequate information on insurance among farmers, lack of education, lack of awareness, and access to credit. Our findings will help Ghana Agricultural Insurance Pool and the government improve accessibility, affordability, and awareness for cocoa growers in the region and beyond. The findings will add to weather index insurance literature and improve agriculture risk.</t>
  </si>
  <si>
    <t>[Agbenyo, Wonder; Jiang, Yuansheng; Wang, Jingyi] Sichuan Agr Univ, Coll Econ, Chengdu, Peoples R China; [Ntim-Amo, Gideon] Ohio Univ, Dept Econ, Athens, OH USA; [Dunya, Rahman; Frempong, Lady Nadia] Sichuan Agr Univ, Coll Management, Chengdu, Peoples R China; [Jiang, Yuansheng] Sichuan Agr Univ, 211, Huimin Rd, Chengdu City 611130, Peoples R China</t>
  </si>
  <si>
    <t>Sichuan Agricultural University; University System of Ohio; Ohio University; Sichuan Agricultural University; Sichuan Agricultural University</t>
  </si>
  <si>
    <t>Jiang, YS (corresponding author), Sichuan Agr Univ, 211, Huimin Rd, Chengdu City 611130, Peoples R China.</t>
  </si>
  <si>
    <t>Dunya, Rahman/N-7222-2017; Agbenyo, Wonder/AAX-7729-2020; Ntim-Amo, Gideon/NMV-1497-2025</t>
  </si>
  <si>
    <t>Ntim-Amo, Gideon/0000-0001-5316-2976</t>
  </si>
  <si>
    <t>10.1080/17565529.2023.2179868</t>
  </si>
  <si>
    <t>CT8R8</t>
  </si>
  <si>
    <t>WOS:000937633300001</t>
  </si>
  <si>
    <t>Munnukka, J; Uusitalo, O; Koivisto, VJ</t>
  </si>
  <si>
    <t>Munnukka, Juha; Uusitalo, Outi; Koivisto, Veera-Juulia</t>
  </si>
  <si>
    <t>The consequences of perceived risk and objective knowledge for consumers' investment behavior</t>
  </si>
  <si>
    <t>Perceived risk; Objective knowledge; Investing experience; Financial services; Behavioral intentions</t>
  </si>
  <si>
    <t>PRODUCT CLASS KNOWLEDGE; FINANCIAL CAPABILITY; DECISION-MAKING; ATTITUDE; PERCEPTIONS; MODEL; SERVICES; INFORMATION; INTENTIONS; EXPERIENCE</t>
  </si>
  <si>
    <t>Knowledge and risks have a focal role in consumer behavior. However, studies on consumers' perceive risks in decision situations and the influence of objective knowledge and experience on risk perceptions, consumers' attitudes and behavioral intentions are scarce. This paper introduces and tests a novel conceptual model that shows how consumers' objective financial knowledge and investing experience affect their future investment intentions mediated by perceived risks, and attitudes toward investing. The data were analyzed using structural equation modeling. The proposed model fits the data and accounts for attitudes and intentions to investing. This study advances knowledge by directly measuring the behaviorrelated objective knowledge and experience. We also suggest new insights into the risk concept by showing that consumers perceive five types of risk in investing context and objective financial knowledge and investment experience has varying effects on different risks types, attitudes and intentions. The results also show significant gender differences.</t>
  </si>
  <si>
    <t>[Munnukka, Juha; Uusitalo, Outi; Koivisto, Veera-Juulia] Univ Jyvaskyla, Jyvaskyla Univ Sch Business &amp; Econ, POB 35, Jyvaskyla 40014, Finland</t>
  </si>
  <si>
    <t>Munnukka, J (corresponding author), Univ Jyvaskyla, Jyvaskyla Univ Sch Business &amp; Econ, POB 35, Jyvaskyla 40014, Finland.</t>
  </si>
  <si>
    <t>juha.munnukka@jyu.fi; outi.uusitalo@jyu.fi; veerajuulia.koivisto@gmail.fi</t>
  </si>
  <si>
    <t>Munnukka, Juha/AAS-8158-2021</t>
  </si>
  <si>
    <t>Munnukka, Juha/0000-0002-2960-2350; Uusitalo, Outi/0000-0002-9676-7569</t>
  </si>
  <si>
    <t>10.1057/s41264-017-0033-6</t>
  </si>
  <si>
    <t>FP1WJ</t>
  </si>
  <si>
    <t>WOS:000417405200003</t>
  </si>
  <si>
    <t>Le, MTH</t>
  </si>
  <si>
    <t>Le, Minh T. H.</t>
  </si>
  <si>
    <t>Psychological drivers of e-impulsive buying: investigating the mediating role of loneliness coping strategies in fintech adoption contexts</t>
  </si>
  <si>
    <t>ELECTRONIC GOVERNMENT- AN INTERNATIONAL JOURNAL</t>
  </si>
  <si>
    <t>fintech adoption; COVID-19 lockdown; loneliness; e-reviews; user satisfaction; impulsive buying</t>
  </si>
  <si>
    <t>CONSUMERS; SATISFACTION; BEHAVIOR; SCALE; TRANSFORMATION; TECHNOLOGY; ACCEPTANCE; ATTRIBUTES; PREFERENCE; REVIEWS</t>
  </si>
  <si>
    <t>This study explores the factors influencing the adoption of fintech during and after the COVID-19 pandemic, alongside the impact of loneliness on fintech usage. Government-imposed lockdowns, aimed at controlling the virus spread, created a unique opportunity to enhance fintech services to address reduced social interaction. Improved fintech solutions, emphasising convenience and user-friendliness, allowed individuals to purchase essential and entertainment products, potentially alleviating loneliness. Data from 220 online surveys revealed that lockdown measures, positive e-reviews, and user satisfaction significantly boost the intention to adopt fintech. Additionally, fintech services facilitated a favourable shopping environment under lockdown conditions. The study also identifies loneliness as a mediator between shopping enjoyment and impulsive buying behaviour. These findings, analysed using SmartPLS and structural equation modelling (SEM), underscore the dual role of fintech in addressing both transactional needs and emotional well-being during crises. The insights can guide stakeholders in enhancing financial inclusion, resilience, and user engagement in post-pandemic scenarios.</t>
  </si>
  <si>
    <t>[Le, Minh T. H.] Univ Econ Ho Chi Minh City, Ho Chi Minh City, Vietnam</t>
  </si>
  <si>
    <t>Le, MTH (corresponding author), Univ Econ Ho Chi Minh City, Ho Chi Minh City, Vietnam.</t>
  </si>
  <si>
    <t>minhlth@ueh.edu.vn</t>
  </si>
  <si>
    <t>Le, Minh/ABN-8579-2022</t>
  </si>
  <si>
    <t>University of Economics Ho Chi Minh City (UEH), Vietnam</t>
  </si>
  <si>
    <t>This research is funded by University of Economics Ho Chi Minh City (UEH), Vietnam</t>
  </si>
  <si>
    <t>1740-7494</t>
  </si>
  <si>
    <t>1740-7508</t>
  </si>
  <si>
    <t>ELECTRON GOV-INT J</t>
  </si>
  <si>
    <t>Electron. Gov.-Int. J.</t>
  </si>
  <si>
    <t>10.1504/EG.2025.148262</t>
  </si>
  <si>
    <t>Information Science &amp; Library Science; Public Administration; Social Sciences, Interdisciplinary</t>
  </si>
  <si>
    <t>Information Science &amp; Library Science; Public Administration; Social Sciences - Other Topics</t>
  </si>
  <si>
    <t>6ZE2D</t>
  </si>
  <si>
    <t>WOS:001565502300002</t>
  </si>
  <si>
    <t>Akbar, RF; Sukoco, BM; Nadia, FND</t>
  </si>
  <si>
    <t>Akbar, Rasyidi Faiz; Sukoco, Badri Munir; Nadia, Fiona Niska Dinda</t>
  </si>
  <si>
    <t>Borrower switching behaviour on a P2P lending platform: a study of switching path analysis technique</t>
  </si>
  <si>
    <t>Online P2P lending; financial services; borrower switching; micro finance; financial inclusion; Business, Management and Accounting; Finance; Economics</t>
  </si>
  <si>
    <t>PEER; INFORMATION; MIGRATION; COMPANY; LENDERS; FINTECH; QUALITY; TRUST</t>
  </si>
  <si>
    <t>Despite borrower disloyalty being a concern, path decisions must still be analysed. Using the switching path analysis technique, this study analysed the triggers, determinants, and consequences of borrower switching. A non-probability sampling method was employed for this analysis. Specifically, snowball sampling was used to collect data because of limited access to Indonesian peer-to-peer lending (P2P) borrowers in borrower lending groups. Snowball sampling was used to recruit more P2P lending borrowers in Indonesia. The sampling method included 31 participants. The findings revealed the following: (1) triggers (situational, influential, and reactional); (2) switching determinants (push, pull, and swayer); and (3) consequences of switching (ir-path or re-path). This study contributes to the service literature by providing a sequential process lens to address how borrowers switch or stop with one P2P lending provider. The findings provide practitioners with data that will allow them to learn how borrowers switch and prevent them from switching.</t>
  </si>
  <si>
    <t>[Akbar, Rasyidi Faiz] Univ Airlangga, Dept Management, Surabaya, Indonesia; [Sukoco, Badri Munir] Univ Airlangga, Postgrad Sch, Dept Management, Surabaya, Indonesia; [Nadia, Fiona Niska Dinda] Airlangga Univ, Postgrad Sch, Human Resource Dev Program, Surabaya, Indonesia</t>
  </si>
  <si>
    <t>Sukoco, BM (corresponding author), Airlangga Univ, Dept Management, Airlangga Rd 4-6, Surabaya, Indonesia.</t>
  </si>
  <si>
    <t>badri@feb.unair.ac.id</t>
  </si>
  <si>
    <t>Nadia, Fiona Niska Dinda/ABA-6991-2022; Akbar, Rasyidi Faiz/HMD-1297-2023; Sukoco, Bai Munir/AAD-8880-2019</t>
  </si>
  <si>
    <t>Nadia, Fiona Niska Dinda/0000-0002-3900-6747; Akbar, Rasyidi Faiz/0000-0003-0479-5368; Sukoco, Bai Munir/0000-0002-0416-1480</t>
  </si>
  <si>
    <t>Universitas Airlangga, Indonesia</t>
  </si>
  <si>
    <t>This research is funded by Universitas Airlangga, Indonesia (ID).</t>
  </si>
  <si>
    <t>10.1080/23311975.2024.2422562</t>
  </si>
  <si>
    <t>L2Q6H</t>
  </si>
  <si>
    <t>WOS:001349220800001</t>
  </si>
  <si>
    <t>Abedifar, P; Ebrahim, SM; Molyneux, P; Tarazi, A</t>
  </si>
  <si>
    <t>Abedifar, Pejman; Ebrahim, Shahid M.; Molyneux, Philip; Tarazi, Amine</t>
  </si>
  <si>
    <t>ISLAMIC BANKING AND FINANCE: RECENT EMPIRICAL LITERATURE AND DIRECTIONS FOR FUTURE RESEARCH</t>
  </si>
  <si>
    <t>G21; G23</t>
  </si>
  <si>
    <t>PRODUCTIVITY CHANGE; CONVENTIONAL BANKS; PERFORMANCE; EFFICIENCY; RISK; IMPACT; DEBT</t>
  </si>
  <si>
    <t>This paper examines the recent empirical literature in Islamic banking and finance, highlights the main findings and provides a guide for future research. Early studies focus on the efficiency, production technology and general performance features of Islamic versus conventional banks, whereas more recent work looks at profit-sharing and loss-bearing behaviour, competition, risks as well as other dimensions such as small business lending and financial inclusion. Apart from key exceptions, the empirical literature suggests no major differences between Islamic and conventional banks in terms of their efficiency, competition and risk features (although small Islamic banks are found to be less risky than their conventional counterparts). There is some evidence that Islamic finance aids inclusion and financial sector development. Results from the empirical finance literature, dominated by studies that focus on the risk/return features of mutual funds, finds that Islamic funds perform as well, if not better, than conventional funds - there is little evidence that they perform worse than standard industry benchmarks.</t>
  </si>
  <si>
    <t>[Abedifar, Pejman] Univ St Andrews, Sch Management, St Andrews KY16 9AJ, Fife, Scotland; [Ebrahim, Shahid M.] Univ Durham, Sch Business, Durham Business Sch, Durham DH1 3HP, England; [Molyneux, Philip] Bangor Univ, Bangor Business Sch, Bangor, Gwynedd, Wales; [Tarazi, Amine] Univ Limoges, LAPE, F-87065 Limoges, France</t>
  </si>
  <si>
    <t>University of St Andrews; Durham University; Bangor University; Universite de Limoges</t>
  </si>
  <si>
    <t>Molyneux, P (corresponding author), Bangor Univ, Bangor Business Sch, Bangor, Gwynedd, Wales.</t>
  </si>
  <si>
    <t>p.molyneux@bangor.ac.uk</t>
  </si>
  <si>
    <t>Abedifar, Pejman/ISB-5606-2023; Tarazi, Amine/GQP-4387-2022</t>
  </si>
  <si>
    <t>Abedifar, Pejman/0000-0002-7648-7201; Molyneux, Philip/0000-0001-6210-7418; Tarazi, Amine/0000-0001-8385-2994</t>
  </si>
  <si>
    <t>10.1111/joes.12113</t>
  </si>
  <si>
    <t>CP4NI</t>
  </si>
  <si>
    <t>WOS:000359858600004</t>
  </si>
  <si>
    <t>Zennati, O; Nechba, ZB; Chtouki, Z</t>
  </si>
  <si>
    <t>Zennati, Oussama; Nechba, Zineb Bennis; Chtouki, Zakaria</t>
  </si>
  <si>
    <t>Asymmetric impact of migrants' remittances on real effective exchange rate in Morocco</t>
  </si>
  <si>
    <t>Real effective exchange rate; Remittances; ARDL; NARDL; Dutch disease; Asymmetry; Morocco</t>
  </si>
  <si>
    <t>DUTCH DISEASE; WORKERS REMITTANCES; DEVELOPING-COUNTRIES; RATE REGIMES; TIME-SERIES; VOLATILITY; INEQUALITY; MIGRATION; POVERTY; GROWTH</t>
  </si>
  <si>
    <t>Earlier studies analysing the impact of remittances affect the exchange rate were based on a symmetric approach, assuming that this impact is symmetrically. This paper examines the asymmetric impact of remittances on real effective exchange rate (REER) in Morocco. Our results show that, in both the long and short term, remittances have a negative impact on REER, which reject dutch disease hypothesis in the Moroccan context. The results further demonstrate a long-term asymmetric effect of remittances on REER. In light of these findings, it is recommended that Moroccan authorities should implement policies to pool and reallocate Moroccan migrants' savings towards productive investment, thereby reinforcing financial inclusion and providing tailored financial services to families left behind in receipt of these remittances. (c) 2024 The Author(s). Published by Elsevier Inc. on behalf of The Society for Policy Modeling. This is an open access article under the CC BY license (http://creativecommons.org/licenses/by/4.0/).</t>
  </si>
  <si>
    <t>[Zennati, Oussama] Univ Pau &amp; Pays Adour, E2S UPPA, TREE, CNRS, Anglet, France; [Nechba, Zineb Bennis] Sidi Mohamed Ben Abdellah Univ, Fac Legal Econ &amp; Social Sci Fez, Ermot Lab, Fes, Morocco; [Chtouki, Zakaria] Univ Mohammed 5, Fac Legal Econ &amp; Social Sci Souissi, Rabat, Morocco</t>
  </si>
  <si>
    <t>Universite de Pau et des Pays de l'Adour; Centre National de la Recherche Scientifique (CNRS); Sidi Mohamed Ben Abdellah University of Fez; Mohammed V University in Rabat</t>
  </si>
  <si>
    <t>Zennati, O (corresponding author), Univ Pau &amp; Pays Adour, E2S UPPA, TREE, CNRS, Anglet, France.</t>
  </si>
  <si>
    <t>zennati, oussama/PFR-5182-2026; CHTOUKI, Zakaria/ISU-7304-2023</t>
  </si>
  <si>
    <t>Zennati, Oussama/0000-0003-4296-4708; CHTOUKI, Zakaria/0009-0001-4582-2732</t>
  </si>
  <si>
    <t>10.1016/j.jpolmod.2025.01.006</t>
  </si>
  <si>
    <t>3WP0J</t>
  </si>
  <si>
    <t>WOS:001510735800007</t>
  </si>
  <si>
    <t>The role of remittances in clean energy adoption: New household level insights from West Africa</t>
  </si>
  <si>
    <t>LPG cooking technology; Rural west Africa; Remittances; Non-farm entrepreneurship; Financial inclusion</t>
  </si>
  <si>
    <t>IMPACT; MODEL</t>
  </si>
  <si>
    <t>Alleviating energy poverty is one of the United Nations' Sustainable Development Goals (SDG7). In the context of sub-Saharan Africa, where most households continue to rely on traditional fuels such as wood, charcoal, dung, crop residues, and coal, for their primary cooking needs, this goal is of great importance. This study examines the cooking energy consumption patterns of recipients of foreign and domestic remittances in West Africa. Econometrically, we use large data sets and comprehensive identification strategies. We find that remittance-receiving households are more likely to use LPG cooking technology. However, this positive effect is only significant for rural households. An examination of the potential mechanisms through which remittances operate suggests that rural remittance-receiving households are more likely to be financially included and more likely to engage in non-farm activities. In terms of public policy, our findings suggest that remittances should be taken into account when designing policies to promote the transition to clean energy in rural areas.</t>
  </si>
  <si>
    <t>[Kouandou, Arouna] LEGO, IAE Bretagne Sud, F-56000 Vannes, France</t>
  </si>
  <si>
    <t>Kouandou, A (corresponding author), LEGO, IAE Bretagne Sud, F-56000 Vannes, France.</t>
  </si>
  <si>
    <t>10.1016/j.enpol.2025.114613</t>
  </si>
  <si>
    <t>0UC3N</t>
  </si>
  <si>
    <t>WOS:001456053600001</t>
  </si>
  <si>
    <t>Uddin, MB</t>
  </si>
  <si>
    <t>Uddin, Md Bakhtiar</t>
  </si>
  <si>
    <t>Foreign Remittances and the Easing of Credit Constraints: Evidence from Rural Bangladesh</t>
  </si>
  <si>
    <t>CRITICAL ASIAN STUDIES</t>
  </si>
  <si>
    <t>remittances; credit constraints; rural finance; financial inclusion; Bangladesh</t>
  </si>
  <si>
    <t>GROWTH; HOUSEHOLDS</t>
  </si>
  <si>
    <t>This study examines the role of foreign remittances in easing credit constraints among rural households in Bangladesh. Based on a mixed-methods case study of four migration-prevalent villages, the research combined primary survey data from 221 migrant households with fifty-two qualitative interviews. These materials were triangulated with nationally representative Bangladesh Integrated Household Survey (BIHS) data where possible. Findings show that remittances relax liquidity constraints, enhance household creditworthiness, enable asset accumulation for collateral, reduce dependence on high-interest informal loans, and facilitate productive investments in land, housing, livestock, education, and small businesses. While remittances often serve as a substitute for inaccessible formal credit and costly informal borrowing, they also complement institutional finance by enhancing borrowers' repayment capacity. Households in the study that channeled remittances into agricultural activities experienced greater development gains. This study offers micro-level evidence that contributes to the remittance-finance literature. It also highlights policy measures such as remittance-backed loan products and reducing migration costs as ways to leverage remittances for more inclusive rural financial development.</t>
  </si>
  <si>
    <t>[Uddin, Md Bakhtiar] Jatiya Kabi Kazi Nazrul Islam Univ, Dept Econ, Mymensingh, Bangladesh; [Uddin, Md Bakhtiar] UNSW, Sch Social Sci, Sydney, Australia</t>
  </si>
  <si>
    <t>Uddin, MB (corresponding author), Jatiya Kabi Kazi Nazrul Islam Univ, Dept Econ, Mymensingh, Bangladesh.</t>
  </si>
  <si>
    <t>bakhtiareco@gmail.com</t>
  </si>
  <si>
    <t>Faculty of Arts and Social Sciences, University of New South Wales, Sydney, Australia [HC200518]</t>
  </si>
  <si>
    <t>Faculty of Arts and Social Sciences, University of New South Wales, Sydney, Australia</t>
  </si>
  <si>
    <t>This research was supported by funding from the Faculty of Arts and Social Sciences, University of New South Wales, Sydney, Australia. The study received ethical approval from the Human Research Ethics Advisory (HREA) Panel B: Arts, Humanities &amp; Law at the University of New South Wales (Approval No. HC200518).</t>
  </si>
  <si>
    <t>1467-2715</t>
  </si>
  <si>
    <t>1472-6033</t>
  </si>
  <si>
    <t>CRIT ASIAN STUD</t>
  </si>
  <si>
    <t>Crit. Asian Stud</t>
  </si>
  <si>
    <t>10.1080/14672715.2025.2610836</t>
  </si>
  <si>
    <t>AT5XF</t>
  </si>
  <si>
    <t>WOS:001656447100001</t>
  </si>
  <si>
    <t>Zehra, F; Khan, FS; Mazhar, SS</t>
  </si>
  <si>
    <t>Zehra, Farheen; Khan, Farhina Sardar; Mazhar, Syed Shahid</t>
  </si>
  <si>
    <t>Scanning the surging Indian digital payment gateways through peer-to-peer (P2P) applications and challenges : A literature review</t>
  </si>
  <si>
    <t>JOURNAL OF STATISTICS AND MANAGEMENT SYSTEMS</t>
  </si>
  <si>
    <t>Surging; Indian; Digital payment gateways; Peer-to-peer (P2P) applications; Systematic literature review (SLR); Analysis</t>
  </si>
  <si>
    <t>CONSUMER ACCEPTANCE; ONLINE; TRUST</t>
  </si>
  <si>
    <t>Introduction: Digital payment gateways have witnessed remarkable growth in India, primarily driven by the widespread adoption of peer-to-peer (P2P) applications. As this trend continues to reshape the financial landscape, it becomes crucial to conduct a systematic literature review (SLR) to analyze the surging Indian digital payment gateways through P2P applications. Need of the study: The need for this study arises from the rapid expansion of digital payment gateways and their implications for various stakeholders, including businesses, consumers, and the economy as a whole. Understanding the underlying factors contributing to this growth, the impact on the Indian economy, the challenges faced, and the future developments in this domain is essential for researchers, practitioners, and policymakers. Purpose/aim of the study: The primary aim of this SLR is to comprehensively examine the existing body of research and provide insights into the factors driving the surge of P2P payment gateways in India. By employing a systematic approach, the review seeks to identify key themes, patterns, and trends in literature. Methodology: The methodology for this SLR involves conducting a thorough search and selection of relevant studies from academic databases, peer-reviewed journals, and conference proceedings. The selected studies will be critically analyzed, and the findings will be synthesized to present a comprehensive overview of the topic. Findings: The findings of this SLR are expected to shed light on the key factors that have contributed to the growth of P2P payment gateways in India. Moreover, the review will explore the impact of these gateways on the Indian economy, including their effects on traditional banking and financial services, their role in boosting e-commerce and digital transactions, and their contribution to employment opportunities and financial inclusion. Implication and future scope: The implications of the findings will be discussed, and recommendations for policymakers, practitioners, and researchers will be provided. Additionally, the review will identify research gaps and potential future directions, including the adoption of blockchain technology, integration with emerging technologies, cross-border P2P payments, enhanced security measures, and the impact of COVID-19 on digital payment gateways. Novelty: The novelty of this SLR lies in its comprehensive analysis of the surging Indian digital payment gateways through P2P applications. By synthesizing the existing literature, this review aims to provide a valuable resource for understanding the evolving landscape of digital payments in India.</t>
  </si>
  <si>
    <t>[Zehra, Farheen; Khan, Farhina Sardar; Mazhar, Syed Shahid] Integral Univ, Dept Commerce &amp; Business Management, Lucknow, Uttar Pradesh, India</t>
  </si>
  <si>
    <t>Integral University</t>
  </si>
  <si>
    <t>Khan, FS (corresponding author), Integral Univ, Dept Commerce &amp; Business Management, Lucknow, Uttar Pradesh, India.</t>
  </si>
  <si>
    <t>frhnzhra@student.iul.ac.in; farhina.skhan05@gmail.com; shahid.dphil@gmail.com</t>
  </si>
  <si>
    <t>KHAN, FARHINA/HJA-7405-2022; mazhar, shahid/AAK-4126-2021</t>
  </si>
  <si>
    <t>0972-0510</t>
  </si>
  <si>
    <t>2169-0014</t>
  </si>
  <si>
    <t>J STAT MANAG SYST</t>
  </si>
  <si>
    <t>J. Stat. Manag. Syst.</t>
  </si>
  <si>
    <t>10.47974/JSMS-1198</t>
  </si>
  <si>
    <t>GH5A5</t>
  </si>
  <si>
    <t>WOS:001151778800008</t>
  </si>
  <si>
    <t>Abakpa, A; Dvoulety, O</t>
  </si>
  <si>
    <t>Abakpa, Augustine; Dvoulety, Ondrej</t>
  </si>
  <si>
    <t>Relationship between entrepreneurship and economic growth in Nigeria</t>
  </si>
  <si>
    <t>Private sector credit; Entrepreneurship; Entrepreneurial activity; SMEs; Gross domestic product per capita growth; ARDL; Nigeria</t>
  </si>
  <si>
    <t>IMPACT; PRODUCTIVITY; INSTITUTIONS; INNOVATION; BUSINESS; POLICY; SCALE; LEVEL</t>
  </si>
  <si>
    <t>The study focused on exploring the nexus between entrepreneurial activity and economic growth in Nigeria, an underexplored area in the African body of knowledge. Data spanning 41 years (1981-2021) from the World Bank and the Central Bank of Nigeria were utilised. An Autoregressive Distributed Lag (ARDL) model was employed to analyse the relationship between private sector credit (PSC) as a proxy for entrepreneurial activity and gross domestic product per capita growth (GDPPC). Findings from the bounds cointegration test indicated a long-term association, revealing a significant negative relationship between entrepreneurial activity and economic growth. The study was subjected to various diagnostic tests, supporting the robustness of the estimation and its divergence from issues related to the Classical Linear Regression Model (CLRM). The study reveals that a lack of access to finance, high corruption, institutional inefficiency, and heavy taxes imposed by rent seekers lead to resources being channelled into an unproductive path, resulting in weaker growth potential. This study recommends that the Nigerian government establish impartial ombudspersons across its 36 States to mediate disputes between government officials and entrepreneurs, ensuring zero tolerance for corruptive behaviour. A mandatory digital monitoring system and legal protection for entrepreneurs should be established and decentralised by the Federal, State, and Local governments, with clear and transparent access to credit facilities being closely monitored.</t>
  </si>
  <si>
    <t>[Abakpa, Augustine; Dvoulety, Ondrej] Prague Univ Econ &amp; Business, Fac Business Adm, Dept Entrepreneurship, W Churchill Sq 4, Prague 3, Czech Republic</t>
  </si>
  <si>
    <t>Dvoulety, O (corresponding author), Prague Univ Econ &amp; Business, Fac Business Adm, Dept Entrepreneurship, W Churchill Sq 4, Prague 3, Czech Republic.</t>
  </si>
  <si>
    <t>abaa04@vse.cz; ondrej.dvoulety@vse.cz</t>
  </si>
  <si>
    <t>Dvouletý, Ondřej/F-5845-2018</t>
  </si>
  <si>
    <t>Internal Grant Agency of Faculty of Business Administration, Prague University of Economics and Business [IG304075]</t>
  </si>
  <si>
    <t>Internal Grant Agency of Faculty of Business Administration, Prague University of Economics and Business</t>
  </si>
  <si>
    <t>This work was supported by the Internal Grant Agency of the Faculty of Business Administration, Prague University of Economics and Business, under no.: IG304075.</t>
  </si>
  <si>
    <t>10.1007/s40497-025-00485-w</t>
  </si>
  <si>
    <t>AN7OJ</t>
  </si>
  <si>
    <t>WOS:001652480000001</t>
  </si>
  <si>
    <t>Wale, ZE; Unity, C; Nolwazi, H</t>
  </si>
  <si>
    <t>Wale, Zegeye Edilegnaw; Unity, Chipfupa; Nolwazi, Hadebe</t>
  </si>
  <si>
    <t>Towards identifying enablers and inhibitors to on-farm entrepreneurship: evidence from smallholders in KwaZulu-Natal, South Africa</t>
  </si>
  <si>
    <t>Smallholder farming; On-farm entrepreneurship; Social grant; Access to credit; Psychological capital</t>
  </si>
  <si>
    <t>NONFARM ENTREPRENEURSHIP; VENTURE CREATION; ACCESS; PARTICIPATION; DIMENSIONS; PSYCHOLOGY; MANAGEMENT; RESOURCES; NETWORKS; PEOPLE</t>
  </si>
  <si>
    <t>Enabling on-farm entrepreneurship is an important step to enhance the contribution of smallholder agriculture to rural employment and poverty reduction in South Africa. Using attributes derived from positive psychological capital as proxies for entrepreneurship and data collected from 458 smallholders in and around irrigation schemes in KwaZulu-Natal, the study empirically examines factors affecting smallholder engagement in entrepreneurship activities. Findings show that access to extension and information from scheme committees, being a male farmer, having more earned income, membership to a cooperative and access to markets have a positive effect on farmers' entrepreneurial behaviour. Factors inhibiting entrepreneurship in the context of smallholder farming include land tenure insecurity, access to land without the necessary complementary resources, consumption credit and staying far away from irrigation schemes. The study recommends addressing gender bias regarding access to resources and information. Promoting interactive learning through networking will also result in positive entrepreneurial behaviour. There is also a need for the provision of demand-driven extension services, facilitation of market linkages and enhancing access to finance for would-be entrepreneurs. Access to credit should be directly linked to agricultural production through input vouchers and value chain financing. Addressing land tenure issues along with access to other complementary resources, inputs and services will also enhance on-farm entrepreneurship in the smallholder agriculture sector.</t>
  </si>
  <si>
    <t>[Wale, Zegeye Edilegnaw; Nolwazi, Hadebe] Univ KwaZulu Natal, Sch Agr Earth &amp; Environm Sci, Private Bag X01, ZA-3209 Pietermaritzburg, South Africa; [Unity, Chipfupa] Univ South Africa, Sch Agr &amp; Life Sci, Dept Agr &amp; Anim Hlth, ZA-1709 Roodepoort, Gauteng, South Africa</t>
  </si>
  <si>
    <t>University of Kwazulu Natal; University of South Africa</t>
  </si>
  <si>
    <t>Unity, C (corresponding author), Univ South Africa, Sch Agr &amp; Life Sci, Dept Agr &amp; Anim Hlth, ZA-1709 Roodepoort, Gauteng, South Africa.</t>
  </si>
  <si>
    <t>uchipfupa@gmail.com</t>
  </si>
  <si>
    <t>Chipfupa, Unity/ABD-9878-2020</t>
  </si>
  <si>
    <t>Chipfupa, Unity/0000-0001-9759-9301</t>
  </si>
  <si>
    <t>Water Research Commission of South Africa [K5/2278/4]</t>
  </si>
  <si>
    <t>Water Research Commission of South Africa</t>
  </si>
  <si>
    <t>This work was supported by the Water Research Commission of South Africa [Grant number: K5/2278/4, 2015-2017].</t>
  </si>
  <si>
    <t>e05660</t>
  </si>
  <si>
    <t>10.1016/j.heliyon.2020.e05660</t>
  </si>
  <si>
    <t>QH1NV</t>
  </si>
  <si>
    <t>WOS:000618044100025</t>
  </si>
  <si>
    <t>Castaño-Martínez, MS; Méndez-Picazo, MT; Galindo-Martín, MA</t>
  </si>
  <si>
    <t>Castano-Martinez, Maria-Soledad; Mendez-Picazo, Maria-Teresa; Galindo-Martin, Miguel-Angel</t>
  </si>
  <si>
    <t>Policies to promote entrepreneurial activity and economic performance</t>
  </si>
  <si>
    <t>MANAGEMENT DECISION</t>
  </si>
  <si>
    <t>Performance; Innovation; R&amp;D; Policy; Entrepreneurship</t>
  </si>
  <si>
    <t>INNOVATION; KNOWLEDGE; GROWTH; BUSINESS; IMPACT</t>
  </si>
  <si>
    <t>Purpose - The purpose of this paper is to analyse the effects of some political measures on entrepreneurship to promote economic growth and employment, specifically, R&amp;D policies, training, elimination of administrative barriers, access to finance support and promotion of entrepreneurial culture. Design/methodology/approach - Seven hypotheses are tested developing a latent variables model with data from 13 European countries (Austria, Belgium, Denmark, Finland, France, Germany, Ireland, Italy, the Netherlands, Portugal, Spain, Sweden and UK) in 2012, using partial least squares estimation method. Findings - Greater expenditure on R&amp;D by governments and universities, public investment in education and measures to stimulate entrepreneurial culture have a positive effect on entrepreneurship. Furthermore, countries with complex legal systems which regulate the start-up of an economic activity and where access to credit is complicated, present lower levels of entrepreneurship. Societies with a greater number of innovative entrepreneurs present higher levels of entrepreneurial activity and economic performance. Finally, human capital and entrepreneurial activity positively affect economic performance in the case of the European countries studied in the sample. Practical implications - The results obtained in the paper would facilitate the design of measures to stimulate to entrepreneurs and improve economic performance. Originality/value - Several factors, qualitative and quantitative, have been considered in the analysis that they have not traditionally included in the analysis of the entrepreneurship behaviour taking into account the role played by the policy makers measures to improve such behaviour.</t>
  </si>
  <si>
    <t>[Castano-Martinez, Maria-Soledad] Univ Castilla La Mancha, Dept Appl Econ, Albacete, Spain; [Mendez-Picazo, Maria-Teresa] Univ Complutense Madrid, Dept Finance &amp; Accounting, Madrid, Spain; [Galindo-Martin, Miguel-Angel] Univ Castilla La Mancha, Dept Appl Econ, E-13071 Ciudad Real, Spain</t>
  </si>
  <si>
    <t>Universidad de Castilla-La Mancha; Complutense University of Madrid; Universidad de Castilla-La Mancha</t>
  </si>
  <si>
    <t>Méndez-Picazo, MT (corresponding author), Univ Complutense Madrid, Dept Finance &amp; Accounting, Madrid, Spain.</t>
  </si>
  <si>
    <t>mtmendezpi@gmail.com</t>
  </si>
  <si>
    <t>Mendez Picazo, Maria Teresa/C-7884-2014; Castaño-Martínez, Maria-Soledad/H-2305-2015; Galindo-Martín, Miguel-Angel/AAX-5986-2020</t>
  </si>
  <si>
    <t>Mendez Picazo, Maria Teresa/0000-0002-3045-0980; Castaño-Martínez, Maria-Soledad/0000-0001-8258-2187; Galindo-Martín, Miguel-Angel/0000-0001-9605-0245</t>
  </si>
  <si>
    <t>0025-1747</t>
  </si>
  <si>
    <t>1758-6070</t>
  </si>
  <si>
    <t>MANAGE DECIS</t>
  </si>
  <si>
    <t>Manag. Decis.</t>
  </si>
  <si>
    <t>10.1108/MD-06-2014-0393</t>
  </si>
  <si>
    <t>CY8FU</t>
  </si>
  <si>
    <t>WOS:000366645000009</t>
  </si>
  <si>
    <t>Ayanwale, A; Kehinde, AD</t>
  </si>
  <si>
    <t>Ayanwale, Adeolu; Kehinde, Ayodeji D.</t>
  </si>
  <si>
    <t>Determinants of use of digital innovation and its impact on land acquisition and food security among farming households in Nigeria</t>
  </si>
  <si>
    <t>Digital innovation; Land acquisition; Food security; Farming households; Nigeria</t>
  </si>
  <si>
    <t>OSUN-STATE; ADOPTION; FARMERS; INFORMATION; POVERTY; MODELS; CREDIT; RISK</t>
  </si>
  <si>
    <t>This study explores the interplay between digital innovation, land acquisition, and food security among farming households in Nigeria-a nexus that has received limited empirical attention. Drawing on data from the General Household Survey (GHS-Panel) by the National Bureau of Statistics under the LSMS framework, the analysis includes 5,051 farming households. A combination of analytical techniques-descriptive statistics, Double Hurdle model, Probit regression, Endogenous Switching Probit regression, and the Household Dietary Diversity Score (HDDS)-was used to investigate these relationships. Findings show that the average household head was 50 years old with seven years of education; most households were male-headed (80 %) and averaged five members. Despite high mobile phone ownership (94.56 %), digital exclusion persists, as 61.56 % of households lacked internet access, and 78.23 % did not hold legally registered land. Only 3 % had access to formal credit, and over half cultivated less than one hectare of land. The average HDDS was 9, with 53 % of households deemed food secure. Regression results revealed that digital innovation adoption was significantly influenced by age, education, asset value, household size, and access to finance. Moreover, digital innovation, gender, remittance income, and education significantly improved land access and food security, highlighting the need for targeted digital inclusion policies in rural Nigeria.</t>
  </si>
  <si>
    <t>[Ayanwale, Adeolu; Kehinde, Ayodeji D.] Obafemi Awolowo Univ, Dept Agr Econ, Ife, Nigeria; [Kehinde, Ayodeji D.] Univ Free State, Disaster Management Training &amp; Educ Ctr Africa, Bloemfontein, South Africa</t>
  </si>
  <si>
    <t>Obafemi Awolowo University; University of the Free State</t>
  </si>
  <si>
    <t>Kehinde, AD (corresponding author), Obafemi Awolowo Univ, Dept Agr Econ, Ife, Nigeria.</t>
  </si>
  <si>
    <t>kehindeayodeji8@gmail.com</t>
  </si>
  <si>
    <t>10.1016/j.wdp.2025.100702</t>
  </si>
  <si>
    <t>4WF3T</t>
  </si>
  <si>
    <t>WOS:001528140900001</t>
  </si>
  <si>
    <t>Moon, HE; Choi, SW; Ha, YH</t>
  </si>
  <si>
    <t>Moon, Hong Eun; Choi, Si Won; Ha, Yoon Hee</t>
  </si>
  <si>
    <t>Prioritizing factors for the sustainable growth of Vietnam's solar photovoltaic power market</t>
  </si>
  <si>
    <t>Analytic hierarchy process (AHP) analysis; climate change; feed-in-tariff (FiT); foreign direct investment (FDI); renewable energy industry; solar PV market</t>
  </si>
  <si>
    <t>FOREIGN DIRECT-INVESTMENT; RENEWABLE ENERGY ALTERNATIVES; MULTICRITERIA DECISION-MAKING; OIL PRICE; DETERMINANTS; POLICY; SELECTION; BARRIERS; COUNTRIES; PANEL</t>
  </si>
  <si>
    <t>This study investigates the factors that affect the investment environment of the renewable energy industry in emerging countries, and quantifies them to derive relative priorities, drawing on the Vietnamese solar market as a critical case. Vietnam's solar photovoltaic (PV) market was exposed to various adverse policy situations during 2017-2019. The priorities of the determinant factors were derived using analytic hierarchy process analysis, based on a survey of 20 energy experts. The priority of the factors in Level 1 include, in descending order, policies, legal framework, profitability, ease of access to finance, infrastructure, and external factors. The top five of the 29 important factors in Level 2 are level of policy implementation, policy consistency (predictability), feed-in-tariff price, incentives and subsidies for foreign (direct) investment in solar PV, fruitage remittance, and transmission/distribution lines. We demonstrate that the active establishment and implementation of policies is crucial for the development of the renewable energy market. The improvement of the grid infrastructure and measures for system integration should be supported in accordance with solar power deployment. Therefore, actively engaging the interests of various stakeholders comprehensively and in a balanced manner during policymaking can be decisive in supporting stable market growth, facilitated by partnerships between local developers and international investors.</t>
  </si>
  <si>
    <t>[Moon, Hong Eun; Choi, Si Won; Ha, Yoon Hee] Korea Univ, Grad Sch Energy &amp; Environm, Seoul, South Korea; [Ha, Yoon Hee] Korea Univ, Grad Sch Energy &amp; Environm, 145 Anam Ro, Seoul 02841, South Korea</t>
  </si>
  <si>
    <t>Korea University; Korea University</t>
  </si>
  <si>
    <t>Ha, YH (corresponding author), Korea Univ, Grad Sch Energy &amp; Environm, 145 Anam Ro, Seoul 02841, South Korea.</t>
  </si>
  <si>
    <t>helloyunie@korea.ac.kr</t>
  </si>
  <si>
    <t>Ha, Yoonhee/AAK-5984-2020</t>
  </si>
  <si>
    <t>Ha, Yoonhee/0000-0002-8448-2865</t>
  </si>
  <si>
    <t>KU-KIST Graduate School Project, KU-KIST Graduate School of Energy and Environment, Green School, Korea University</t>
  </si>
  <si>
    <t>Acknowledgements This work was supported by the KU-KIST Graduate School Project, KU-KIST Graduate School of Energy and Environment, Green School, Korea University.</t>
  </si>
  <si>
    <t>10.1177/0958305X221146944</t>
  </si>
  <si>
    <t>TB9M0</t>
  </si>
  <si>
    <t>WOS:000906064500001</t>
  </si>
  <si>
    <t>Liedong, TA; Aghanya, DE; Saeed, A</t>
  </si>
  <si>
    <t>Liedong, Tahiru Azaaviele; Aghanya, Daniel E.; Saeed, Abubakr</t>
  </si>
  <si>
    <t>Managerial regulatory engagement, access to bank finance and the moderating role of institutional religiosity: a cross-country study</t>
  </si>
  <si>
    <t>Corporate political activity; Access to finance; Religiosity; Resource dependency theory; Institutional theory; Sub-Saharan Africa</t>
  </si>
  <si>
    <t>CORPORATE POLITICAL STRATEGIES; FIRM PERFORMANCE; GOVERNMENT OWNERSHIP; RESOURCE DEPENDENCE; GAMBLING ATTITUDES; FOREIGN FIRMS; CONNECTIONS; RISK; DIRECTORS; IMPACT</t>
  </si>
  <si>
    <t>PurposeDespite politicians sometimes playing an active agentic role in firms' resource dependency and in the outcomes of corporate political activity (CPA), there is limited research on the supply-side dynamics of political markets and the contingent role of normative institutions. This study aims to examine the relationship between managerial regulatory engagement (MRE) - a type of CPA - and access to bank finance, and how this relationship is moderated by country-level religiosity and religion policy regime.Design/methodology/approachUsing data from over 37,000 firms in 43 sub-Saharan African countries and drawing on resource dependency and institutional theories, the authors deploy robust and sophisticated statistical analyses to test their hypotheses.FindingsThis study finds that MRE has a positive impact on access to bank finance. This effect is stronger in countries with more formal religion restriction where morality does not inhibit politicians' discriminatory behaviour. However, this effect is weakened in countries where high levels of religiosity and more formal religion support curtail amoral rent provision.Originality/valueThese findings shed light on how firms' use of CPA to manage resource dependency is affected by the influence of institutional religiosity on the agency of politicians. This study offers important theoretical contributions to the literature and generate useful implications for managers and policymakers.</t>
  </si>
  <si>
    <t>[Liedong, Tahiru Azaaviele] Univ Bath, Sch Management, Bath, England; [Aghanya, Daniel E.] Coventry Univ, Sch Econ Finance &amp; Accounting, Coventry, England; [Saeed, Abubakr] COMSATS Univ Islamabad, Dept Business Adm, Islamabad Campus, Islamabad, Pakistan</t>
  </si>
  <si>
    <t>University of Bath; Coventry University; COMSATS University Islamabad (CUI)</t>
  </si>
  <si>
    <t>Liedong, TA (corresponding author), Univ Bath, Sch Management, Bath, England.</t>
  </si>
  <si>
    <t>T.A.Liedong@bath.ac.uk; ad2485@coventry.ac.uk; Abubakr.saeed@comsats.edu.pk</t>
  </si>
  <si>
    <t>; Saeed, Abubakr/M-3023-2016</t>
  </si>
  <si>
    <t>Aghanya, Daniel Efe/0000-0003-4698-5055;</t>
  </si>
  <si>
    <t>10.1108/MBR-10-2024-0188</t>
  </si>
  <si>
    <t>L1514</t>
  </si>
  <si>
    <t>WOS:001431935000001</t>
  </si>
  <si>
    <t>Kpognon, KD</t>
  </si>
  <si>
    <t>Kpognon, Koffi D.</t>
  </si>
  <si>
    <t>Effect of Natural Resources on the Size of Informal Economy in sub-Saharan Africa: An Empirical Investigation</t>
  </si>
  <si>
    <t>Natural Resources; Informal Economy; Institutions; sub-Saharan Africa</t>
  </si>
  <si>
    <t>FINANCIAL ACCESS; CURSE; GROWTH; INSTITUTIONS; DEPENDENCE; ABUNDANCE; TRANSMISSION; ACCUMULATION; REMITTANCES; EDUCATION</t>
  </si>
  <si>
    <t>Despite the extensive literature on the resource curse, little is known about the empirical relationship between natural resource abundance and the size of the informal economy. Theoretical predictions suggest that natural resource abundance contributes to the growth of the informal economy because the investments and expendi-tures associated with natural resource revenues limit opportunities in the formal sector, thereby channeling more labor and firms into the informal sector. This theory is empirically tested using data from 44 sub-Saharan Africa countries over the period 1991-2015. The main results reveal a positive and significant relationship that natural resource abundance favors the growth of the informal sector in SSA. These results are robust to several tests. Furthermore, the positive relationship between natural resource abundance and the size of the informal economy becomes negative when good and strong institutions are in place.</t>
  </si>
  <si>
    <t>[Kpognon, Koffi D.] African Dev Bank, African Nat Resources Management &amp; Investment Ctr, Abidjan 01, Cote Ivoire</t>
  </si>
  <si>
    <t>Kpognon, KD (corresponding author), African Dev Bank, African Nat Resources Management &amp; Investment Ctr, Abidjan 01, Cote Ivoire.</t>
  </si>
  <si>
    <t>k.kpognon@afdb.org</t>
  </si>
  <si>
    <t>Kpognon, Koffi Délali/AFP-5655-2022</t>
  </si>
  <si>
    <t>Kpognon, Koffi Délali/0000-0002-2156-5620</t>
  </si>
  <si>
    <t>10.1016/j.strueco.2022.08.005</t>
  </si>
  <si>
    <t>4M3US</t>
  </si>
  <si>
    <t>WOS:000853251200001</t>
  </si>
  <si>
    <t>Delfino, AN</t>
  </si>
  <si>
    <t>Delfino, Ariel Nabus</t>
  </si>
  <si>
    <t>Analysing the value chain of skipjack tuna (Katsuwonus pelamis) in Partido District, Camarines Sur, Philippines</t>
  </si>
  <si>
    <t>INTERNATIONAL JOURNAL OF VALUE CHAIN MANAGEMENT</t>
  </si>
  <si>
    <t>cost and return analysis; Lagonoy Gulf; skipjack tuna; tuna industry; value chain analysis</t>
  </si>
  <si>
    <t>Skipjack tuna is a widely acceptable raw material in the canning industry. There are various written studies on tuna supply and value chain management, but literature focusing primarily on the skipjack tuna industry is limited, particularly in the Philippines. This paper attempts to fill that gap by analysing the value chain of skipjack tuna in Partido District, Camarines Sur. Eleven existing chains in the skipjack tuna industry and the dynamic relationship among players were studied, all of whom earn a reasonable profit in both the peak and lean seasons. This study also identified challenges to the tuna industry in Partido District such as the strict implementation of Republic Acts 10654 and 8550, the seasonality of skipjack tuna in the Lagonoy Gulf, weather-related profit losses, limited financial access or capital for business operation, lack of processing equipment or advanced technology, debtors or partial remittances, and the existing health crisis.</t>
  </si>
  <si>
    <t>[Delfino, Ariel Nabus] Partido State Univ, Coll Business &amp; Management, Goa, Camarines Sur, Philippines</t>
  </si>
  <si>
    <t>Delfino, AN (corresponding author), Partido State Univ, Coll Business &amp; Management, Goa, Camarines Sur, Philippines.</t>
  </si>
  <si>
    <t>ariel.delfino@parsu.edu.ph</t>
  </si>
  <si>
    <t>Delfino, Ariel/AAA-3981-2020</t>
  </si>
  <si>
    <t>Delfino, Ariel/0000-0003-1483-6856</t>
  </si>
  <si>
    <t>1741-5357</t>
  </si>
  <si>
    <t>1741-5365</t>
  </si>
  <si>
    <t>INT J VALUE CHAIN MA</t>
  </si>
  <si>
    <t>Int. J. Chain Manag.</t>
  </si>
  <si>
    <t>10.1504/IJVCM.2023.129271</t>
  </si>
  <si>
    <t>9N9MJ</t>
  </si>
  <si>
    <t>WOS:000943231800005</t>
  </si>
  <si>
    <t>Bithi, FY; Roni, FA; Ahmed, JU; Alamgir, MS; Jannat, A; Shahriar, SM; Islam, MM</t>
  </si>
  <si>
    <t>Bithi, Farhana Yasmin; Roni, Fahmida Akthar; Ahmed, Jasim Uddin; Alamgir, Md. Shah; Jannat, Arifa; Shahriar, S. M.; Islam, Md. Monirul</t>
  </si>
  <si>
    <t>Determinants of Household Adaptation to Climate Vulnerability in Wetland Areas of Bangladesh: An Empirical Estimation</t>
  </si>
  <si>
    <t>CLIMATE RESILIENCE AND SUSTAINABILITY</t>
  </si>
  <si>
    <t>adaptation strategies; climate vulnerability; livelihood vulnerability index &amp; LVI-Intergovernmental Panel on Climate Change framework; Logistic regression; wetland community</t>
  </si>
  <si>
    <t>PROBIT</t>
  </si>
  <si>
    <t>This study examines the vulnerability of farming households to climate change and the determinants of their adaptation decisions in the wetland areas of Bangladesh. Primary data from 120 households were analysed using descriptive statistics, the livelihood vulnerability index (LVI), the LVI based on the Intergovernmental Panel on Climate Change (LVI-IPCC) framework and a Binary Logistic regression model. The overall LVI score (0.53) and the LVI-IPCC score (0.18) indicate moderate vulnerability, driven mainly by livelihood dependence on natural resources, climate variability and health-related challenges. The Binary Logistic regression results show that family size, access to alternative income sources, perceptions of climate change and access to loans significantly influence households' adaptation behaviour. The findings underscore the need for policies that strengthen education and skills, expand financial access and promote climate-resilient livelihoods and infrastructure to enhance the adaptive capacity of wetland farming communities in Bangladesh.</t>
  </si>
  <si>
    <t>[Bithi, Farhana Yasmin; Roni, Fahmida Akthar; Ahmed, Jasim Uddin] Sylhet Agr Univ, Dept Agr Econ &amp; Policy, Sylhet, Bangladesh; [Alamgir, Md. Shah] Sylhet Agr Univ, Dept Agr Finance &amp; Banking, Sylhet, Bangladesh; [Jannat, Arifa] Bangladesh Agr Univ, Inst Agribusiness &amp; Dev Studies, Mymensingh, Bangladesh; [Shahriar, S. M.] Bangladesh Agr Univ, Dept Agribusiness &amp; Mkt, Mymensingh, Bangladesh; [Islam, Md. Monirul] Bangladesh Agr Univ, Dept Agr Econ, Mymensingh, Bangladesh; [Islam, Md. Monirul] CSIRO Agr &amp; Food, Waite Precinct, Adelaide, SA, Australia</t>
  </si>
  <si>
    <t>Sylhet Agricultural University; Sylhet Agricultural University; Bangladesh Agricultural University (BAU); Bangladesh Agricultural University (BAU); Bangladesh Agricultural University (BAU); Commonwealth Scientific &amp; Industrial Research Organisation (CSIRO); CSIRO Agriculture &amp; Food</t>
  </si>
  <si>
    <t>Jannat, A (corresponding author), Bangladesh Agr Univ, Inst Agribusiness &amp; Dev Studies, Mymensingh, Bangladesh.;Islam, MM (corresponding author), Bangladesh Agr Univ, Dept Agr Econ, Mymensingh, Bangladesh.;Islam, MM (corresponding author), CSIRO Agr &amp; Food, Waite Precinct, Adelaide, SA, Australia.</t>
  </si>
  <si>
    <t>arifa.zannat@bau.edu.bd; monir96@bau.edu.bd</t>
  </si>
  <si>
    <t>2692-4587</t>
  </si>
  <si>
    <t>CLIM RESIL SUSTAIN</t>
  </si>
  <si>
    <t>Clim. Resil. Sustain.</t>
  </si>
  <si>
    <t>e70028</t>
  </si>
  <si>
    <t>10.1002/cli2.70028</t>
  </si>
  <si>
    <t>AR2RH</t>
  </si>
  <si>
    <t>WOS:001654860700001</t>
  </si>
  <si>
    <t>Wu, HL; Liu, CY; Hsu, WH</t>
  </si>
  <si>
    <t>Wu, Hsiu-Lan; Liu, Chang-Yung; Hsu, Wen-Hsin</t>
  </si>
  <si>
    <t>An integrative model of customers' perceptions of health care services in Taiwan</t>
  </si>
  <si>
    <t>SERVICE INDUSTRIES JOURNAL</t>
  </si>
  <si>
    <t>service quality; patient satisfaction; perceived value; behavioural intentions</t>
  </si>
  <si>
    <t>CONSUMER PERCEPTIONS; PATIENT SATISFACTION; QUALITY PERCEPTIONS; EXPECTATIONS; INTENTIONS</t>
  </si>
  <si>
    <t>As the health care service gets more competitive, health care practitioners and academic researchers are increasingly interested in exploring how patients perceive the quality and value of their care before building up their satisfaction levels and generating behavioural intentions. Drawing some theories from marketing and health care service literature, this study tries to propose an integrative model of customers' perceptions of health care services based on the established relationship among four key constructs (service quality, perceived value, satisfaction, and behavioural intentions). Structural equation modelling is then used to validate the model. As Taiwan's universal health insurance offers every citizen equal financial access to all health care providers, Taiwan offers a good opportunity to study how the patients' perception model is structured. The findings reveal both perceived quality and value as antecedent variables in this model illustrating direct and indirect paths from perceived quality and value to patient satisfaction and behavioural intentions.</t>
  </si>
  <si>
    <t>[Liu, Chang-Yung] I Shou Univ, Dept Business Adm, Kaohsiung, Taiwan; [Hsu, Wen-Hsin] Natl Taiwan Univ, Dept Accounting, Taipei 10764, Taiwan</t>
  </si>
  <si>
    <t>I Shou University; National Taiwan University</t>
  </si>
  <si>
    <t>sharen6133@gmail.com</t>
  </si>
  <si>
    <t>0264-2069</t>
  </si>
  <si>
    <t>1743-9507</t>
  </si>
  <si>
    <t>SERV IND J</t>
  </si>
  <si>
    <t>Serv. Ind. J.</t>
  </si>
  <si>
    <t>PII 795444265</t>
  </si>
  <si>
    <t>10.1080/02642060802230130</t>
  </si>
  <si>
    <t>379SG</t>
  </si>
  <si>
    <t>WOS:000261415900008</t>
  </si>
  <si>
    <t>Ngo, FT; Ream, F</t>
  </si>
  <si>
    <t>Ngo, Fawn T.; Ream, Fyscillia</t>
  </si>
  <si>
    <t>Exploring the prevalence and correlates of identity theft-related preventive measures among U.S. adolescents</t>
  </si>
  <si>
    <t>GLOBAL CRIME</t>
  </si>
  <si>
    <t>Identity theft; Identity Theft Supplement (ITS) Survey; preventive behaviours; adolescents; financial access</t>
  </si>
  <si>
    <t>Adolescents represent an emerging population at risk of identity theft, yet little is known about their engagement in preventive behaviours. Using data from a nationally representative sample of U.S. adolescents who participated in the National Crime Victimization Survey - Identity Theft Supplement (NCVS-ITS), this study examined the prevalence of six identity theft-related preventive behaviours and assessed the influence of demographic and contextual factors on the likelihood of engaging in these practices. Descriptive findings revealed low overall adoption of preventive behaviours, even among adolescents with financial accounts. Logistic regression analyses indicated that having a checking/savings account and, to a lesser extent, owning a credit card were the most consistent and significant predictors of engagement in preventive behaviours. Age and household income also emerged as significant predictors in several models, while race, gender, and ethnicity were largely nonsignificant. The implications of the findings are discussed.</t>
  </si>
  <si>
    <t>[Ngo, Fawn T.] Univ S Florida, Dept Criminol, 4202 E Fowler Ave, Tampa, FL 33620 USA; [Ream, Fyscillia] Univ Montreal, Montreal, PQ, Canada</t>
  </si>
  <si>
    <t>State University System of Florida; University of South Florida; Universite de Montreal</t>
  </si>
  <si>
    <t>Ngo, FT (corresponding author), Univ S Florida, Dept Criminol, 4202 E Fowler Ave, Tampa, FL 33620 USA.</t>
  </si>
  <si>
    <t>fawnngo@usf.edu</t>
  </si>
  <si>
    <t>Ngo, Fawn/AAC-7183-2021</t>
  </si>
  <si>
    <t>1744-0572</t>
  </si>
  <si>
    <t>1744-0580</t>
  </si>
  <si>
    <t>GLOB CRIME</t>
  </si>
  <si>
    <t>Glob. Crime</t>
  </si>
  <si>
    <t>10.1080/17440572.2025.2579992</t>
  </si>
  <si>
    <t>9GH0F</t>
  </si>
  <si>
    <t>WOS:001605646600001</t>
  </si>
  <si>
    <t>Juraqulova, ZH; Henry, EB</t>
  </si>
  <si>
    <t>Juraqulova, Zarrina H.; Henry, Ellison B.</t>
  </si>
  <si>
    <t>Women's bargaining power and contraception use in post-Soviet Tajikistan</t>
  </si>
  <si>
    <t>CENTRAL ASIAN SURVEY</t>
  </si>
  <si>
    <t>Tajikistan; decision-making power; contraception; family planning; fertility</t>
  </si>
  <si>
    <t>HEALTH-CARE UTILIZATION; DECISION-MAKING POWER; REPRODUCTIVE HEALTH; EMPIRICAL-EVIDENCE; EMPOWERMENT; AUTONOMY; DETERMINANTS; PREFERENCE; SERVICES; PROMOTE</t>
  </si>
  <si>
    <t>This article aims to examine the relationship between women's household bargaining power and their adoption of modern contraception in post-Soviet Tajikistan using the 2012 Demographic and Health Survey. The study uses direct measures of bargaining weights: a woman's ability to make decisions about her own health care; visits to her family or relatives; and contraceptive use. An additional measure defining a woman's financial capability to receive medical treatment for herself is added in the analysis to understand its correlation to women's contraceptive-use behaviour. The probability of using contraception is 187 percentage points higher for a woman who has both control over her own health care and financial means to get medical help than a woman who does not have these choices. Having a say in the decision to control births increases the probability of using contraception by 98 percentage points. Our findings reveal that certain aspects of a woman's household decision-making and financial freedom are relevant to explain her contraceptive-use behaviour.</t>
  </si>
  <si>
    <t>[Juraqulova, Zarrina H.] Denison Univ, Dept Econ, Granville, OH 43023 USA; [Henry, Ellison B.] Univ N Carolina, Gillings Sch Global Publ Hlth, Dept Maternal &amp; Child Hlth, Chapel Hill, NC 27515 USA</t>
  </si>
  <si>
    <t>University System of Ohio; Denison University; University of North Carolina; University of North Carolina Chapel Hill</t>
  </si>
  <si>
    <t>Juraqulova, ZH (corresponding author), Denison Univ, Dept Econ, Granville, OH 43023 USA.</t>
  </si>
  <si>
    <t>juraqulovaz@denison.edu</t>
  </si>
  <si>
    <t>0263-4937</t>
  </si>
  <si>
    <t>1465-3354</t>
  </si>
  <si>
    <t>CENT ASIAN SURV</t>
  </si>
  <si>
    <t>Cent. Asian Surv.</t>
  </si>
  <si>
    <t>10.1080/02634937.2020.1806202</t>
  </si>
  <si>
    <t>OP4JV</t>
  </si>
  <si>
    <t>WOS:000568313600001</t>
  </si>
  <si>
    <t>Oudinet, J</t>
  </si>
  <si>
    <t>Oudinet, Joel</t>
  </si>
  <si>
    <t>Introduction - The impact of migration on inclusive development</t>
  </si>
  <si>
    <t>Effects of migration; Inequality and poverty; Remittances; Social remittances; Return of migrants; Diaspora resources</t>
  </si>
  <si>
    <t>INTERNATIONAL MIGRATION; DEVELOPING-COUNTRIES; SOCIAL NETWORKS; REMITTANCES; IMMIGRATION; INEQUALITY; POVERTY; EMPLOYMENT; MIGRANTS; WORKERS</t>
  </si>
  <si>
    <t>The increase in international migration as a result of globalization supports the growth of the countries of origin. Development will be more or less inclusive depending on the characteristics of countries, those of migrants and their diaspora, and also government policies. A literature review of recent studies emphasizes the importance of migrant remittances for reducing poverty and developing financial inclusion in countries of origin despite still high transfer fees. Increasingly skilled migration can develop international trade, foreign direct investment, with the help of diasporas, and increase productivity through skills transfer. Migration also has a significant impact on the development of host countries. Immigrants often have jobs in segmented labor markets that are com-plementary jobs to those of natives and they contribute to the growth of host countries. Skilled migrants can also stimulate innovation. This is the reason why host countries must conduct more open immigration and integration policies. This special issue on mi-gration and inclusive development gathers a series of contributions which aim to bring some additional answers to these questions.</t>
  </si>
  <si>
    <t>[Oudinet, Joel] Univ Sorbonne Paris Nord, CEPN CNRS UMR 7234, Inst Convergences Migrat, Paris, France</t>
  </si>
  <si>
    <t>Oudinet, J (corresponding author), Univ Sorbonne Paris Nord, CEPN CNRS UMR 7234, Inst Convergences Migrat, Paris, France.</t>
  </si>
  <si>
    <t>joel.oudinet@univ-paris13.fr</t>
  </si>
  <si>
    <t>WOS:000728237300001</t>
  </si>
  <si>
    <t>Imam, T; McInnes, A; Colombage, S; Grose, R</t>
  </si>
  <si>
    <t>Imam, Tasadduq; McInnes, Angelique; Colombage, Sisira; Grose, Robert</t>
  </si>
  <si>
    <t>Opportunities and Barriers for FinTech in SAARC and ASEAN Countries</t>
  </si>
  <si>
    <t>FinTech; SAARC; ASEAN; technology adoption</t>
  </si>
  <si>
    <t>ASIA; INTEGRATION; TECHNOLOGY; INSURTECH; DYNAMICS; ADOPTION; CREATION; FUTURE; HEALTH</t>
  </si>
  <si>
    <t>This article assesses the opportunities and challenges for different categories of FinTechs in the SAARC and ASEAN regions. We consider the global financial inclusion data released by the World Bank and map the responses to gain insights into the opportunities and challenges for FinTechs in the respective regions. We develop a new index, termed the FinTech Opportunity Index (FOI), to conceptualise the opportunities and barriers based on individual savings, borrowings, purchasing behaviour, and payment preferences. We note that FinTech services have potential opportunities for expansion in the ASEAN regions but less so in the SAARC regions. The need for different types of FinTech services varies between regions. Services such as crowdfunding, neobanks, and InsurTech have potential in the ASEAN regions, especially with the positive attitude towards entrepreneurship and asset investments. In the SAARC regions, InsurTechs linked to health care has potential along with LendTechs and neobanks. We further note that males, and the young are more likely adopters of FinTechs in both regions. The analysis suggests the need for innovative promotions and education to motivate the more sceptical, especially women and the elderly population, to adopt FinTech services.</t>
  </si>
  <si>
    <t>[Imam, Tasadduq; Grose, Robert] CQUni, Sch Business &amp; Law, v Melbourne Campus, Melbourne, Vic 3000, Australia; [McInnes, Angelique] CQUni, Sch Business &amp; Law, Brisbane Campus, Brisbane, Qld 4000, Australia; [Colombage, Sisira] Federat Univ, Federat Business Sch, Berwick, Vic 3806, Australia</t>
  </si>
  <si>
    <t>Central Queensland University; Central Queensland University; Federation University Australia</t>
  </si>
  <si>
    <t>Colombage, S (corresponding author), Federat Univ, Federat Business Sch, Berwick, Vic 3806, Australia.</t>
  </si>
  <si>
    <t>t.imam@cqu.edu.au; a.mcinnes@cqu.edu.au; sisira.colombage@federation.edu.au; r.grose@cqu.edu.au</t>
  </si>
  <si>
    <t>McInnes, Angelique/AFC-3642-2022; Colombage, Sisira/ABP-9104-2022; Imam, Tasadduq/O-2016-2013</t>
  </si>
  <si>
    <t>McInnes, Angelique/0000-0001-5526-7501; Colombage, Sisira/0000-0002-2439-3182; Imam, Tasadduq/0000-0002-8864-4155</t>
  </si>
  <si>
    <t>Accounting and Finance Association of Australia and New Zealand (AFAANZ)</t>
  </si>
  <si>
    <t>The authors would like to acknowledge the support from the Accounting and Finance Association of Australia and New Zealand (AFAANZ).</t>
  </si>
  <si>
    <t>10.3390/jrfm15020077</t>
  </si>
  <si>
    <t>0H0SZ</t>
  </si>
  <si>
    <t>WOS:000778451600001</t>
  </si>
  <si>
    <t>Ajefu, Joseph B.; Ogebe, Joseph O.</t>
  </si>
  <si>
    <t>The effects of international remittances on expenditure patterns of the left-behind households in Sub-Saharan Africa</t>
  </si>
  <si>
    <t>expenditure; households; international remittances; Sub-Saharan Africa</t>
  </si>
  <si>
    <t>MIGRANT REMITTANCES; FINANCIAL INCLUSION; CHILD LABOR; BRAIN-DRAIN; MIGRATION; INVESTMENT; INEQUALITY; INSURANCE; POVERTY; IMPACT</t>
  </si>
  <si>
    <t>This article explores the effects of international remittances on the expenditure patterns of households in Sub-Saharan Africa (SSA). This article focuses on five countries in SSA, which are some of the destinations that account for the highest receipt of international remittances. We analyze both aggregate and distributional effects of international remittances on expenditure patterns of households. To investigate the distributional effect of international remittances, we adopt the instrumental variable quantile (IV-quantile) regression framework that allows us to simultaneously address the endogeneity of international remittances and possible heterogeneity in the impact of international remittances on households' expenditure patterns. We instrument for international remittances by using the economic conditions in migrants' countries as an instrument for international remittances. Our results show that the receipt of international remittances increases expenditures on food, durables, education, and health. Using the IV-quantile regression, we find the effects of international remittances on household expenditure on food, durables, education, and health increase across the different expenditure quantiles.</t>
  </si>
  <si>
    <t>[Ajefu, Joseph B.] Northumbria Univ, Newcastle Business Sch, Newcastle Upon Tyne, Tyne &amp; Wear, England; [Ogebe, Joseph O.] Univ Ibadan, Dept Econ, Fac Social Sci, Ibadan, Nigeria</t>
  </si>
  <si>
    <t>Northumbria University; Newcastle University - UK; University of Ibadan</t>
  </si>
  <si>
    <t>Ajefu, JB (corresponding author), Northumbria Univ, Newcastle Business Sch, Newcastle Upon Tyne, Tyne &amp; Wear, England.</t>
  </si>
  <si>
    <t>10.1111/rode.12721</t>
  </si>
  <si>
    <t>QF1WR</t>
  </si>
  <si>
    <t>WOS:000566701600001</t>
  </si>
  <si>
    <t>Khan, F; Bartáková, GP; Almadhor, A; Qayyum, A; Abeer, K; Durrani, A</t>
  </si>
  <si>
    <t>Khan, Falak; Bartakova, Gabriela Pajtinkova; Almadhor, Ahmad; Qayyum, Amna; Abeer, Kainaat; Durrani, Aman</t>
  </si>
  <si>
    <t>Evaluating the capacity and limitations of generative AI in financial decision making</t>
  </si>
  <si>
    <t>COMPUTER STANDARDS &amp; INTERFACES</t>
  </si>
  <si>
    <t>Consumer Vulnerability; FBehavioural finance; Developing Countries; Consumer Behaviour; Generative AI; Sustainable Development Goals</t>
  </si>
  <si>
    <t>Financial services industry has experienced enormous changes, as a result innovations are constantly taking place to cater to new financial needs of individuals, globally. Though innovative and complex financial products present consumers with a variety of investment options, yet at the same time, this variety tends to complicate the decision-making process, when faced with too many options to choose from, especially ones that may be artificial intelligence based and too technologically advanced for consumers to understand, hence consumers find it challenging to reach a decision. The primary concept behind conducting this study is to analyse the phases at which consumers are more vulnerable in the developing countries by walking through their decision-making process of acquiring technologically advanced financial products. This qualitative study is based on 50 interviews and themes are formed using qualitive SQL software. The findings reveal that consumers are quite vulnerable due to the lack of; financial and digital literacy, bank cooperation, trust issues and regulative discrepancies. The study also makes recommendations for the practitioners and the policy makers for a better and sustainable financial inclusion.</t>
  </si>
  <si>
    <t>[Khan, Falak; Qayyum, Amna; Abeer, Kainaat; Durrani, Aman] FAST Natl Univ Comp &amp; Emerging Sci, Islamabad, Pakistan; [Bartakova, Gabriela Pajtinkova] Comenius Univ, Fac Management, Odbojarov 10, Bratislava 25, Slovakia; [Almadhor, Ahmad] Jouf Univ, Coll Comp &amp; Informat Sci, Dept Comp Engn &amp; Networks, Sakaka 72388, Saudi Arabia</t>
  </si>
  <si>
    <t>Comenius University Bratislava; Al Jouf University</t>
  </si>
  <si>
    <t>Khan, F (corresponding author), FAST Natl Univ Comp &amp; Emerging Sci, Islamabad, Pakistan.</t>
  </si>
  <si>
    <t>falak.khan@nu.edu.pk; gabriela.pajtinkova.bartakova@fm.uniba.sk; aaalmadhor@ju.edu.sa</t>
  </si>
  <si>
    <t>khan, Falak/AEQ-3882-2022; ALMADHOR, AHMAD/ABZ-1141-2022</t>
  </si>
  <si>
    <t>khan, Falak/0000-0003-4341-1072; ALMADHOR, AHMAD/0000-0002-8665-1669</t>
  </si>
  <si>
    <t>0920-5489</t>
  </si>
  <si>
    <t>1872-7018</t>
  </si>
  <si>
    <t>COMPUT STAND INTER</t>
  </si>
  <si>
    <t>Comput. Stand. Interfaces</t>
  </si>
  <si>
    <t>10.1016/j.csi.2024.103965</t>
  </si>
  <si>
    <t>R6V2O</t>
  </si>
  <si>
    <t>WOS:001392796200001</t>
  </si>
  <si>
    <t>Adeabah, D; Asongu, S; Andoh, C</t>
  </si>
  <si>
    <t>Adeabah, David; Asongu, Simplice; Andoh, Charles</t>
  </si>
  <si>
    <t>Remittances, ICT and pension income coverage: The international evidence</t>
  </si>
  <si>
    <t>Pension income coverage; Remittances; Mobile subscription; Internet penetration; ICT</t>
  </si>
  <si>
    <t>FINANCIAL INCLUSION; SAVINGS; ACCESS; POVERTY; PARTICIPATION; INSTITUTIONS; INEQUALITY; INVESTMENT; HOUSEHOLD; LITERACY</t>
  </si>
  <si>
    <t>This study examines the impact of remittances and information and communication technology (ICT) on pension at the country level. Our empirical evidence, based on data from 96 countries, indicate a significant non-linearity between remittances, ICT and pension income coverage. First, we find a convex relation between remittances and pension income coverage, indicating that increases in remittance, initially decreases pension income coverage, but as remittance increases beyond a certain point, so too does pension income coverage. This inflection point, where the effect of remittances turns from negative to positive, is estimated to be around 3.09% of GDP. Second, we document a concave relationship between ICT (i.e. mobile subscription and internet penetration) and pension income coverage. An increase in ICT results in increased pension income coverage. However, when ICT reaches a certain point, any further increase is associated with lower pension income coverage. The estimated optimal point is found to be around 140.14 subscriptions (per 100 people) for mobile phone and 27.93 (per 100 people) for internet penetration, respectively. Other implications are discussed.</t>
  </si>
  <si>
    <t>[Adeabah, David; Andoh, Charles] Univ Ghana, Dept Finance, Legon, Ghana; [Asongu, Simplice] Univ South Africa, Dept Econ, ZA-0003 Pretoria, South Africa</t>
  </si>
  <si>
    <t>University of Ghana; University of South Africa</t>
  </si>
  <si>
    <t>Asongu, S (corresponding author), Univ South Africa, Dept Econ, ZA-0003 Pretoria, South Africa.</t>
  </si>
  <si>
    <t>kofiadeabah@gmail.com; asongusimplice@yahoo.com; chandoh@ug.edu.gh</t>
  </si>
  <si>
    <t>Adeabah, David/K-8339-2017; Simplice, Asongu/K-3436-2014</t>
  </si>
  <si>
    <t>Adeabah, David/0000-0002-0666-724X; Simplice, Asongu/0000-0001-5227-5135</t>
  </si>
  <si>
    <t>10.1016/j.techfore.2021.121148</t>
  </si>
  <si>
    <t>US8ZR</t>
  </si>
  <si>
    <t>WOS:000697715600021</t>
  </si>
  <si>
    <t>Smyth, A</t>
  </si>
  <si>
    <t>Smyth, Araby</t>
  </si>
  <si>
    <t>Challenging the financialization of remittances agenda through Indigenous women's practices in Oaxaca</t>
  </si>
  <si>
    <t>Remittances; gender; Indigenous; financialization; feminist economic geography</t>
  </si>
  <si>
    <t>Remittances, money sent by migrants to their communities of origin, are increasingly being linked to global financial inclusion in what is being called the financialization of remittances. This is the most recent attempt to divert remittances from non-productive money to savings and investments that can be mobilized for economic development. The literature that accompanies this strategy focuses on the responsibility of individuals to use remittances productively and invest wisely, and there is often an implied - and gendered - social component: if women link remittances to financial services, they will become empowered and lift themselves out of poverty. Based on ethnographic research in an Indigenous village in Oaxaca, Mexico, this paper offers empirics on the effects of remittance flows in women's everyday lives. Feminist scholars have long critiqued the universalism and abstractness of global development agendas, particularly those that preclude gender, and emanate from the Global North. Joining these critical voices and mobilizing postcolonial and feminist scholarship, this paper challenges the individualist logics and dichotomies underpinning the financialization of remittances agenda: that remittance spending is either productive or not and that women are empowered or not through linking remittances to finance.</t>
  </si>
  <si>
    <t>[Smyth, Araby] Univ Kentucky, Lexington, KY 40506 USA</t>
  </si>
  <si>
    <t>Smyth, A (corresponding author), Univ Kentucky, Dept Geog, Patterson Off Tower, Lexington, KY 40506 USA.</t>
  </si>
  <si>
    <t>arabysmyth@uky.edu</t>
  </si>
  <si>
    <t>Smyth, Araby/0000-0002-9488-6871</t>
  </si>
  <si>
    <t>National Science Foundation Geography and Spatial Sciences Program Doctoral Dissertation Research Improvement Award [1833226]; Society of Woman Geographers Evelyn L. Pruitt National Fellowship for Dissertation Research; International Chapter of the P.E.O.; Division Of Behavioral and Cognitive Sci; Direct For Social, Behav &amp; Economic Scie [1833226] Funding Source: National Science Foundation</t>
  </si>
  <si>
    <t>National Science Foundation Geography and Spatial Sciences Program Doctoral Dissertation Research Improvement Award; Society of Woman Geographers Evelyn L. Pruitt National Fellowship for Dissertation Research; International Chapter of the P.E.O.; Division Of Behavioral and Cognitive Sci; Direct For Social, Behav &amp; Economic Scie(National Science Foundation (NSF)NSF - Directorate for Social, Behavioral &amp; Economic Sciences (SBE))</t>
  </si>
  <si>
    <t>The author(s) disclosed receipt of the following financial support for the research, authorship, and/or publication of this article: This research was funded by a National Science Foundation Geography and Spatial Sciences Program Doctoral Dissertation Research Improvement Award (#1833226), a Society of Woman Geographers Evelyn L. Pruitt National Fellowship for Dissertation Research, and a Scholar Award given by the International Chapter of the P.E.O.</t>
  </si>
  <si>
    <t>0308518X20977186</t>
  </si>
  <si>
    <t>10.1177/0308518X20977186</t>
  </si>
  <si>
    <t>WOS:000631212500001</t>
  </si>
  <si>
    <t>Lafuente, J; De-Juan-Vigaray, MD; Labajo, V</t>
  </si>
  <si>
    <t>Lafuente, Jose; De-Juan-Vigaray, Maria D.; Labajo, Victoria</t>
  </si>
  <si>
    <t>Defining bank branch trade areas for optimal distribution networks in mergers and acquisitions</t>
  </si>
  <si>
    <t>Banking; Mergers and acquisitions; Bank branch; GIS</t>
  </si>
  <si>
    <t>RETAIL; FRAGMENTATION; CONSUMERS; MARKET</t>
  </si>
  <si>
    <t>PurposeThis study introduces a methodology that combines geographic information technologies and consumer behaviour principles to define, delineate and quantify the trade area (TA) of a bank branch within the context of mergers and acquisitions (M&amp;A). The goal is to design an optimal distribution network tailored to the needs of financial institutions involved in M&amp;A activities.Design/methodology/approachThe paper presents a procedure for TA delimitation, grounded in a theoretical model supported by marketing and consumer behaviour theories, focusing on proximity, purchase frequency and product type.FindingsAddressing a gap in the literature, this study highlights TA delineation as a key element in marketing strategy, exploring its role in establishing optimal distribution networks, particularly for financial institutions engaged in M&amp;A.Research limitations/implicationsFor simplicity, the study focuses on a single bank branch, rather than a broader dataset.Practical implicationsThe proposed methodology enables more accurate delineation of TAs in M&amp;A processes, mitigating the negative effects often overlooked by banks during mergers and acquisitions.Social implicationsThis approach helps reduce the risk of financial exclusion for vulnerable clients, promoting social and economic equity and fostering a fairer, more cohesive society.Originality/valueThis study is innovative in integrating geographic information science (GIS) metrics into location science, proposing fragmentation analysis to quantify the spatial structure and configuration of TAs. This approach departs from traditional practices, as these specific metrics have not been collectively applied in previous research.</t>
  </si>
  <si>
    <t>[Lafuente, Jose; Labajo, Victoria] Univ Pontificia Comillas, Fac Ciencias Econ &amp; Empresariales, Madrid, Spain; [De-Juan-Vigaray, Maria D.] Univ Alicante, Fac Econ &amp; Business Sci, Alicante, Spain</t>
  </si>
  <si>
    <t>Comillas Pontifical University; Universitat d'Alacant</t>
  </si>
  <si>
    <t>Lafuente, J (corresponding author), Univ Pontificia Comillas, Fac Ciencias Econ &amp; Empresariales, Madrid, Spain.</t>
  </si>
  <si>
    <t>jlafuente@movistar.es; mayo@ua.es; labajo@icade.comillas.edu</t>
  </si>
  <si>
    <t>De-Juan-Vigaray, Maria/N-2568-2013; Labajo, Victoria/IQV-6077-2023</t>
  </si>
  <si>
    <t>Labajo, Victoria/0000-0002-9398-7320; Lafuente, Jose/0000-0002-8552-086X</t>
  </si>
  <si>
    <t>10.1108/MF-06-2024-0447</t>
  </si>
  <si>
    <t>WOS:001395889400001</t>
  </si>
  <si>
    <t>Bennani-Taylor, S; Meer, N</t>
  </si>
  <si>
    <t>Bennani-Taylor, Sophie; Meer, Nasar</t>
  </si>
  <si>
    <t>Processing payments, enacting alterity: financial technology in the everyday lives of asylum seekers</t>
  </si>
  <si>
    <t>Digital welfare; asylum; migration; alterity; digital borders</t>
  </si>
  <si>
    <t>MIGRATION; OTHERNESS; EXCLUSION</t>
  </si>
  <si>
    <t>This article examines how the Asylum Support Enablement (ASPEN) card - a prepayment card provided to UK asylum seekers - enacts their alterity in ways that problematise the techno-optimist narrative of digital technologies as promoters of financial inclusion. Drawing on analysis of 53 documents alongside 21 interviews with asylum seekers, refugees, advocacy organisations and technology providers, the article proceeds in four steps. First, we trace the migration of Prepaid Financial Services' (PFS) prepayment technology from the humanitarian context of UNHCR's Cash Assistance Programme in Greece to its adoption in UK state practices, considering what this means for the mobility of policy norms inscribed in digital technologies. Second, building on the concept of 'alterity processing', we examine how the UK Home Office discursively co-constructs asylum seekers as 'deviant subjects' and its bureaucratic entities as indispensable. Third, we analyse how this co-construction is used to justify asylum seekers' exclusion from mainstream banking, rendering them dependent on the ASPEN card. Finally, we elucidate how the card's surveillance, encoded rules, and induced precarity govern asylum seekers' behaviours. We thus demonstrate how financial technologies - as deployed across humanitarian and statist welfare contexts - engender new lines of marginalisation and forms of social control.</t>
  </si>
  <si>
    <t>[Bennani-Taylor, Sophie] Univ Oxford, Oxford, England; [Meer, Nasar] Univ Glasgow, Sch Social &amp; Polit Sci, Scotland, England</t>
  </si>
  <si>
    <t>University of Oxford; University of Glasgow</t>
  </si>
  <si>
    <t>Bennani-Taylor, S (corresponding author), Univ Oxford, Oxford, England.</t>
  </si>
  <si>
    <t>sophie.bennani-taylor@oii.ox.ac.uk</t>
  </si>
  <si>
    <t>Bennani-Taylor, Sophie/0000-0001-5812-9104</t>
  </si>
  <si>
    <t>10.1080/1369183X.2024.2312249</t>
  </si>
  <si>
    <t>WOS:001174859800001</t>
  </si>
  <si>
    <t>Bindu, S; Sridharan, P; Swain, RK; Das, CP</t>
  </si>
  <si>
    <t>Bindu, Suman; Sridharan, P.; Swain, Rabindra Kumar; Das, Chandrika Prasad</t>
  </si>
  <si>
    <t>Causal Linkage between Remittances and Financial Development: Evidence from the BRICS (Brazil, Russia, India, China, and South Africa)</t>
  </si>
  <si>
    <t>Remittances; financial development; BRICS; fixed effect model; random effect model; Johansen cointegration approach; vector error correction model</t>
  </si>
  <si>
    <t>ECONOMIC-GROWTH; INTERNATIONAL MIGRATION; BRAIN-DRAIN; COUNTRIES; INVESTMENT; INFLATION; POVERTY; PANEL</t>
  </si>
  <si>
    <t>The steady flow of remittances due to financial integration has grabbed the attention of academicians and policy advisors. Despite the growing importance of remittances, the study on the relationship between remittances and financial development in Brazil, Russia, India, China, and South Africa remains unexplored. Thus, this paper analyses the effect of remittances on financial development. It also investigates the long-run and short-run relationship between remittances and financial development using annual data of Brazil, Russia, India, China, and South Africa from 1990 to 2019. Three different financial development indicators are used: domestic credit to the private sector as a percentage of GDP, bank deposit as a percentage of GDP, liquid liabilities as a percentage of GDP. The study employs the fixed and random effect model, Johansen Cointegration tests, vector error correction model, and Wald tests for analysis. The results suggest a positive effect of remittances on bank deposits. It indicates that a 1% increase in remittances leads to a 4.5% increase in bank deposits. The study also reveals the long-run relationship between remittances and bank deposits and the absence of a short-run relationship between remittances and financial development. The main implications of the study can be predicted as remittances allow the accumulation of savings in the long run and provide the platform for the unbanked recipients to utilize certain financial products and services. The absence of a short-run relationship indicates that remittances are utilized mainly for consumption in the short run. However, it can be recommended that BRICS economies should make every effort to increase the remittance inflows through reduced transaction costs and tax benefits in remittance-led investment or banks to bank deposits with competitive deposit rates for the diaspora.</t>
  </si>
  <si>
    <t>[Bindu, Suman] Pondicherry Univ, Dept Int Business, Pondicherry, India; [Sridharan, P.] Pondicherry Univ, Sch Management, Dept Int Business, Pondicherry, India; [Swain, Rabindra Kumar] Utkal Univ, PG Dept Commerce, Bhubaneswar, India; [Das, Chandrika Prasad] Khallikote Univ, Dept Econ &amp; Management, Berhampur 761008, India</t>
  </si>
  <si>
    <t>Pondicherry University; Pondicherry University; Utkal University</t>
  </si>
  <si>
    <t>Das, CP (corresponding author), Khallikote Univ, Dept Econ &amp; Management, Berhampur 761008, India.</t>
  </si>
  <si>
    <t>chandrika.das9@gmail.com</t>
  </si>
  <si>
    <t>, Sumanbindu/KBC-1789-2024; Das, Chanika Prasad/J-2392-2017</t>
  </si>
  <si>
    <t>, Sumanbindu/0000-0003-0763-1190; Das, Chanika Prasad/0000-0002-3077-3747</t>
  </si>
  <si>
    <t>10.1080/10669868.2021.1976348</t>
  </si>
  <si>
    <t>2O9GC</t>
  </si>
  <si>
    <t>WOS:000702627900001</t>
  </si>
  <si>
    <t>Grassa, R; El-Halaby, S; Khlif, H</t>
  </si>
  <si>
    <t>Grassa, Rihab; El-Halaby, Sherif; Khlif, Hichem</t>
  </si>
  <si>
    <t>The economic consequences of Shariah governance: a systematic literature review and research agenda</t>
  </si>
  <si>
    <t>Shariah governance; Islamic finance; Shariah board; Literature review</t>
  </si>
  <si>
    <t>CORPORATE GOVERNANCE; ISLAMIC BANKS; EARNINGS MANAGEMENT; PERFORMANCE; DISCLOSURE; RISK; GCC; SUPERVISION; INSTITUTIONS; MECHANISMS</t>
  </si>
  <si>
    <t>PurposeThe purpose of this study is to provide a comprehensive critical review of previous research on Shariah governance (SG) during the past three decades. This research addresses a critical research problem: the fragmentation of knowledge regarding how SG characteristics affect the multidimensional performance of Islamic financial institutions (IFIs) beyond conventional financial metrics. Despite the growing importance of IFIs in the global financial system, we still inadequately understand how SG practices influence operational efficiency, risk profiles, stakeholder trust and long-term sustainability. This limitation hinders the development of comprehensive SG frameworks that could enhance the resilience and ethical compliance of IFIs. In addition, this study offers insights into the phases of development of SG, identifies the critical gaps in the literature and recommends for future research.Design/methodology/approachIn this study, the authors use a systematic literature review approach for a sample of 110 studies from Scopus and Web of Science databases. Based on identified quality assessment criteria, they evaluated the sample of this study in terms of journals, methodology, theories, modelling, research outcomes and SGs features.FindingsUsing a systematic literature review approach for a sample of 110 studies from Scopus and Web of Science databases, this paper findings demonstrate that there is a growing interest to explore further SG aspects because of the rapid steady growth and the high performance of IFIs. Likewise, the review reveals that most of existing studies are quantitative and were carried out using archived data. In addition, the existing literature has primarily focused on the outcomes of SG. Overall, this paper shows that there are plenty avenues for future research. The findings identify a number of methodological problems and concerns and discuss the implications of these problems, while also providing recommendations for future research.Research limitations/implicationsThis paper makes significant contributions to both corporate finance literature and practical applications in several important ways. First, this study represents a pioneering comprehensive examination of all aspects of SG, filling a notable gap in existing literature. By using a systematic approach, the authors thoroughly evaluate relevant previous works on SG and provide evidence-based recommendations for future research directions, creating a foundation for scholarly advancement in this field. Second, through the synthesis and analysis of an extensive body of research, this study develops a nuanced understanding of the economic consequences of SG mechanisms. These insights offer substantial practical value by providing evidence-based guidance to practitioners and regulatory bodies in developing more effective policies and recommendations. Financial institutions can leverage these findings to design governance frameworks that enhance compliance while optimizing performance, while regulators can use this synthesis to revise the current policy framework and formulate more comprehensive and effective oversight mechanisms that address the unique challenges of IFIs.Practical implicationsThrough the systematic literature review of the economic consequences of SG, the authors demonstrate that the societal implications extend beyond the financial sector. The findings reveal how strong SG practices enhance public trust and financial inclusion, particularly among conservative Muslim communities. Improved governance mechanisms promote responsible financial practices, influencing policy development and enhancing financial literacy at the community level. These outcomes illustrate the practical impact of governance improvements on community well-being and social development.Originality/valueTo the best knowledge of the authors, this study contributes to the literature by being the first of its kind to discuss the development of SG literature. This study provides a comprehensive knowledge assessment of existent SG research and offers advice regarding improvements in research, policy and practice by identifying possible knowledge gaps. Accordingly, this study offers a consistent summary of the past and a roadmap for future research on SG.</t>
  </si>
  <si>
    <t>[Grassa, Rihab] Higher Coll Technol, Business Coll, Dubai, U Arab Emirates; [Grassa, Rihab] Univ Manouba, Inst Super Comptabil &amp; Adm Entreprises, Manouba, Tunisia; [El-Halaby, Sherif] October Univ Modern Sci &amp; Arts, Fac Management Sci, Giza, Egypt; [El-Halaby, Sherif] Brunel Univ London, Uxbridge, England; [Khlif, Hichem] Univ Sfax, Fac Econ, Dept Accounting &amp; Management Sfax, Sfax, Tunisia</t>
  </si>
  <si>
    <t>Higher Colleges of Technology - United Arab Emirates; Universite de la Manouba; Egyptian Knowledge Bank (EKB); Modern Sciences &amp; Arts University (MSA); Brunel University; Universite de Sfax</t>
  </si>
  <si>
    <t>Grassa, R (corresponding author), Higher Coll Technol, Business Coll, Dubai, U Arab Emirates.;Grassa, R (corresponding author), Univ Manouba, Inst Super Comptabil &amp; Adm Entreprises, Manouba, Tunisia.</t>
  </si>
  <si>
    <t>grassarihab@gmail.com; shielhalaby@msa.edu.eg; hichemkhlif@gmail.com</t>
  </si>
  <si>
    <t>grassa, rihab/AAA-7623-2019; El-Halaby, Sherif/AAH-7213-2021; Khlif, Hichem/T-2763-2019</t>
  </si>
  <si>
    <t>10.1108/JIMA-06-2024-0231</t>
  </si>
  <si>
    <t>D7521</t>
  </si>
  <si>
    <t>WOS:001485291600001</t>
  </si>
  <si>
    <t>Daovisan, H; Chamaratana, T</t>
  </si>
  <si>
    <t>Daovisan, Hanvedes; Chamaratana, Thanapauge</t>
  </si>
  <si>
    <t>Financing accumulation for start-up capital Insights from a qualitative case study of women entrepreneurs in Lao PDR</t>
  </si>
  <si>
    <t>JOURNAL OF FAMILY BUSINESS MANAGEMENT</t>
  </si>
  <si>
    <t>Family business; Women entrepreneurs; Lao PDR; Financing accumulation; Start-up capital</t>
  </si>
  <si>
    <t>FAMILY FIRMS; DECISION-MAKING; ECONOMIC-GROWTH; PERFORMANCE; GENDER; IMPACT; MICRO; KNOWLEDGE; BEHAVIOR; CONTEXT</t>
  </si>
  <si>
    <t>Purpose The purpose of this paper is to understand the sources of financing accumulation that women entrepreneurs of family businesses use for start-up capital in the garment sector of the Lao People's Democratic Republic (Lao PDR). Design/methodology/approach This study presents insights gleaned from a qualitative case study into the ways in which women in Lao PDR finance their family businesses in the start-up phase. The authors conducted 36 in-depth interviews - the study used this purposive sample in each of its five rounds of data collection. The data were collected between December 2018 and April 2019 and were analysed by conducting a content analysis assisted by the software programme ATLAS.ti. Findings The results, though highly case specific, show Lao women's ability to: accrue their experience, apply their knowledge, engage in self-employment, support their families and aspire to become entrepreneurs. The findings clearly illustrate that women are opportunity and necessity driven, can accumulate income, possess savings behaviour, can manage working capital, investment and accounting and have access to finance (loan and debt) and thus have the potential to become successful entrepreneurs. Originality/value By contextualizing women's entrepreneurial practices, the paper contributes to an understanding of the sources of financing accumulation used for start-up capital in Vientiane, Lao PDR. Theoretically, the paper extends the knowledge of women entrepreneurs seeking the optimal stock of finance which has the potential to drive family business success.</t>
  </si>
  <si>
    <t>[Daovisan, Hanvedes] Khon Kaen Univ, Fac Humanities &amp; Social Sci, Ctr Res Plural Mekong Reg, Khon Kaen, Thailand; [Chamaratana, Thanapauge] Khon Kaen Univ, Fac Humanities &amp; Social Sci, Dept Social Sci, Khon Kaen, Thailand</t>
  </si>
  <si>
    <t>Khon Kaen University; Khon Kaen University</t>
  </si>
  <si>
    <t>Chamaratana, T (corresponding author), Khon Kaen Univ, Fac Humanities &amp; Social Sci, Dept Social Sci, Khon Kaen, Thailand.</t>
  </si>
  <si>
    <t>vend@kkumail.com; thanacha@kku.ac.th</t>
  </si>
  <si>
    <t>Chamaratana, Thanapauge/AAA-1390-2020; Daovisan, Hanvedes/T-1599-2017</t>
  </si>
  <si>
    <t>Daovisan, Hanvedes/0000-0002-4758-7449</t>
  </si>
  <si>
    <t>Center for Research on Plurality in the Mekong Region (CERP), Faculty of Humanities and Social Sciences, Khon Kaen University, Thailand</t>
  </si>
  <si>
    <t>The authors acknowledge that the research underlying this paper was supported by Center for Research on Plurality in the Mekong Region (CERP), Faculty of Humanities and Social Sciences, Khon Kaen University, Thailand.</t>
  </si>
  <si>
    <t>2043-6238</t>
  </si>
  <si>
    <t>2043-6246</t>
  </si>
  <si>
    <t>J FAM BUS MANAG</t>
  </si>
  <si>
    <t>J. Fam. Bus. Manag.</t>
  </si>
  <si>
    <t>SEP 7</t>
  </si>
  <si>
    <t>10.1108/JFBM-06-2019-0044</t>
  </si>
  <si>
    <t>NA7FQ</t>
  </si>
  <si>
    <t>WOS:000559983100003</t>
  </si>
  <si>
    <t>Dace, E; Cascavilla, A; Bianchi, M; Chioatto, E; Zecca, E; Ladu, L; Yilan, G</t>
  </si>
  <si>
    <t>Dace, Elina; Cascavilla, Alessandro; Bianchi, Marco; Chioatto, Elisa; Zecca, Emy; Ladu, Luana; Yilan, Gulsah</t>
  </si>
  <si>
    <t>Barriers to transitioning to a circular bio-based economy: Findings from an industrial perspective</t>
  </si>
  <si>
    <t>SUSTAINABLE PRODUCTION AND CONSUMPTION</t>
  </si>
  <si>
    <t>Circular economy; Bioeconomy; Sustainable transition; STEEP methodology; Carbon-intensive industry; Transformation</t>
  </si>
  <si>
    <t>The transition from a linear fossil-based to a circular bio-based economy represents an opportunity and a suitable pathway for achieving several sustainable development goals. However, the transition is a complex process since it requires transformative policies, purposeful innovation, access to finance, risk-taking capacity as well as new and sustainable business models and markets. Accordingly, the first step in this transition process is the identification of barriers that are hampering the transition to a sustainable circular bio-based economy. With this motivation in mind, this study reviews grey literature to identify barriers focusing on four critical sectors facing major challenges within the current linear economy and requiring a sustainable transition most urgently: construction, chemicals, plastics, and textile sectors. Employing an adapted STEEP methodology (Social, Technological, Economical, Environmental, Political), a total of 193 different barriers have been identified and clustered under six categories: cultural, technical, economic, environmental, governance, and structural. Regardless of the sector, cultural and structural barriers are identified as the most prominent; the lack of incentives for consumer behaviour change and lack of stakeholder collaboration were the most cited barriers among the literature records. From a value chain perspective, most of the barriers are related to the material processing and product manufacturing stage. Finally, potential solutions, extracted from the grey literature, are proposed to fill the gaps and overcome the identified barriers. Many of the identified barriers are common across the four investigated sectors, indicating the solutions or measures can be applicable in a wider perspective to promote the transition in the right direction.</t>
  </si>
  <si>
    <t>[Dace, Elina; Cascavilla, Alessandro; Yilan, Gulsah] UnitelmaSapienza Univ Rome, Bioecon Transit Res Grp, I-00161 Rome, Italy; [Dace, Elina] Balt Studies Ctr, LV-1014 Riga, Latvia; [Bianchi, Marco] TECNALIA, Basque Res &amp; Technol Alliance BRTA, E-48160 Derio, Spain; [Chioatto, Elisa] Univ Ferrara, Dept Econ &amp; Management, I-44121 Ferrara, Italy; [Zecca, Emy] Univ Ferrara, Dept Chem Pharmaceut &amp; Agr Sci, I-44121 Ferrara, Italy; [Ladu, Luana] Bundesanstalt Mat Forsch &amp; Prufung BAM, D-12205 Berlin, Germany; [Ladu, Luana] Tech Univ Berlin TUB, D-10623 Berlin, Germany</t>
  </si>
  <si>
    <t>University of Ferrara; University of Ferrara; Federal Institute for Materials Research &amp; Testing</t>
  </si>
  <si>
    <t>Yilan, G (corresponding author), UnitelmaSapienza Univ Rome, Bioecon Transit Res Grp, I-00161 Rome, Italy.</t>
  </si>
  <si>
    <t>gulsah.yilan@unitelmasapienza.it</t>
  </si>
  <si>
    <t>Ladu, Luana/NQE-7084-2025; Bianchi, Marco/AAV-6444-2020; YILAN, GÜLSAH/IRZ-6756-2023; Dace, Elina/H-5824-2019</t>
  </si>
  <si>
    <t>Ladu, Luana/0000-0001-5983-0517; Zecca, Emy/0000-0001-5380-2654; YILAN, GÜLSAH/0000-0002-6392-8469;</t>
  </si>
  <si>
    <t>Horizon Europe Framework Programme (HORIZON) [101081823]; Horizon Europe - Pillar II [101081823] Funding Source: Horizon Europe - Pillar II</t>
  </si>
  <si>
    <t>Horizon Europe Framework Programme (HORIZON); Horizon Europe - Pillar II(European Union (EU)Horizon Europe - Pillar II)</t>
  </si>
  <si>
    <t>This work was supported by the Horizon Europe Framework Programme (HORIZON) [grant number 101081823] . This paper is based on research conducted within the SUSTRACK (Supporting the identification of policy priorities and recommendations for designing a sustainable track towards circular bio-based systems) project. Views and opinions expressed are however those of the authors only and do not necessarily reflect those of the European Union or European Research Executive Agency. Neither the European Union nor the granting authority can be held responsible for them.</t>
  </si>
  <si>
    <t>2352-5509</t>
  </si>
  <si>
    <t>SUSTAIN PROD CONSUMP</t>
  </si>
  <si>
    <t>Sustain. Prod. Consump.</t>
  </si>
  <si>
    <t>10.1016/j.spc.2024.05.029</t>
  </si>
  <si>
    <t>UT1L6</t>
  </si>
  <si>
    <t>WOS:001250216300001</t>
  </si>
  <si>
    <t>Zaleta, AK; Fortune, EE; Miller, MF; Yuen, EYN; McManus, S; Hurley, K; Golant, M; Goldberger, S; Shockney, LD; Buzaglo, JS</t>
  </si>
  <si>
    <t>Zaleta, Alexandra K.; Fortune, Erica E.; Miller, Melissa F.; Yuen, Eva Y. N.; McManus, Shauna; Hurley, Karen; Golant, Mitch; Goldberger, Sara; Shockney, Lillie D.; Buzaglo, Joanne S.</t>
  </si>
  <si>
    <t>Valued Outcomes in the Cancer Experience (VOICE)™: Development and validation of a multidimensional measure of perceived control</t>
  </si>
  <si>
    <t>PALLIATIVE &amp; SUPPORTIVE CARE</t>
  </si>
  <si>
    <t>Cancer experience; Patient outcomes; Patient perceptions; Patient preferences; Perceived control</t>
  </si>
  <si>
    <t>QUALITY-OF-LIFE; BREAST-CANCER; WOMEN; UNCERTAINTY; PERCEPTION; MORTALITY; APPRAISAL; CRITERIA; ILLNESS; IMPACT</t>
  </si>
  <si>
    <t>Objective. Enhancing cancer patients' sense of control can positively impact psychological well-being. We developed and assessed the psychometric properties of Valued Outcomes in the Cancer Experience (VOICE)(TM), a measure of patients' perceived control over key personal priorities within their cancer experience. Methods. VOICE construction and testing were completed in three phases with separate participant samples: (1) item generation and initial item pool testing (N= 459), (2) scale refinement (N= 623), and (3) confirmatory validation (N= 515). Results. A 21-item measure was developed that captures cancer patients' sense of control in seven key domains: (1) Purpose and Meaning, (2) Functional Capacity, (3) Longevity, (4) Quality Care, (5) Illness Knowledge, (6) Social Support, and (7) Financial Capability. VOICE demonstrated adequate internal consistency (full-scale alpha = 0.93; factor alpha = 0.67-0.89) and adequate to strong convergent and discriminatory validity. Significance of results. VOICE measures cancer patients' perceived control across a diverse range of personal priorities, creating a platform for elevating patient perspectives and identifying pathways to enhance patient well-being. VOICE is positioned to guide understanding of the patient experience and aid the development and evaluation of supportive care interventions to enhance well-being.</t>
  </si>
  <si>
    <t>[Zaleta, Alexandra K.; Fortune, Erica E.; Miller, Melissa F.; McManus, Shauna] Res &amp; Training Inst, Canc Support Community, Philadelphia, PA 19104 USA; [Yuen, Eva Y. N.] Deakin Univ, Ctr Qual &amp; Patient Safety Res, Inst Hlth Transformat, Burwood, Vic, Australia; [Yuen, Eva Y. N.] Monash Hlth, Monash Hlth Partnership, Ctr Qual &amp; Patient Safety Res, Clayton, Vic, Australia; [Yuen, Eva Y. N.] La Trobe Univ, Sch Psychol &amp; Publ Hlth, Bundoora, Vic, Australia; [Yuen, Eva Y. N.] Austin Hlth, Psychooncol Res Unit, Olivia Newton John Canc, Res &amp; Wellness Ctr, Heidelberg, Vic, Australia; [Hurley, Karen] Cleveland Clin, Ctr Adult Behav Hlth, Dept Psychiat &amp; Psychol, Neurol Inst, Cleveland, OH 44106 USA; [Golant, Mitch; Goldberger, Sara] Canc Support Community, Washington, DC USA; [Shockney, Lillie D.] Johns Hopkins Univ, Sch Med, Baltimore, MD USA; [Buzaglo, Joanne S.] ConcertAI, Boston, MA USA</t>
  </si>
  <si>
    <t>Deakin University; Monash Health; La Trobe University; Florey Institute of Neuroscience &amp; Mental Health; Howard Florey Institute Affiliates; Austin Research Institute; Cleveland Clinic Foundation; Johns Hopkins University</t>
  </si>
  <si>
    <t>Zaleta, AK (corresponding author), Res &amp; Training Inst, Canc Support Community, Philadelphia, PA 19104 USA.</t>
  </si>
  <si>
    <t>azaleta@cancersupportcommunity.org</t>
  </si>
  <si>
    <t>; Golant, Mitch/HJA-7629-2022</t>
  </si>
  <si>
    <t>Fortune, Erica/0000-0002-6748-8229; McManus, Shauna/0000-0001-8867-8024; Miller, Melissa/0000-0001-8288-2681; Shockney, Lillie/0000-0001-5625-3881; Yuen, Eva/0000-0002-7956-5797</t>
  </si>
  <si>
    <t>Pfizer Oncology; Genentech</t>
  </si>
  <si>
    <t>Pfizer Oncology; Genentech(Roche HoldingGenentech)</t>
  </si>
  <si>
    <t>Support for this work was provided by Pfizer Oncology and Genentech.</t>
  </si>
  <si>
    <t>1478-9515</t>
  </si>
  <si>
    <t>1478-9523</t>
  </si>
  <si>
    <t>PALLIAT SUPPORT CARE</t>
  </si>
  <si>
    <t>Palliat. Support Care</t>
  </si>
  <si>
    <t>10.1017/S1478951522000724</t>
  </si>
  <si>
    <t>CH6K8</t>
  </si>
  <si>
    <t>WOS:000876628200001</t>
  </si>
  <si>
    <t>Oh, S; Chung, G; Cho, K</t>
  </si>
  <si>
    <t>Oh, Sangseung; Chung, Gyongchan; Cho, Keuntae</t>
  </si>
  <si>
    <t>New Sustainable Fintech Business Models Created by Open Application Programming Interface Technology: A Case Study of Korea's Open Banking Application Programming Interface Platform</t>
  </si>
  <si>
    <t>open banking; open API; fintech; financial innovation; financial platform; payment infrastructure; business model innovation</t>
  </si>
  <si>
    <t>Fintech facilitates financial inclusion by introducing new sustainable and accessible business models in developing countries. Open banking API technology is used by various fintech businesses in both developing and developed countries, with varying effects on financial markets. It changes the financial market distribution structure by separating financial product manufacturing and distribution and intensifying competition between traditional financial institutions and fintech companies. Fintech companies innovate by using this tool to create new business models. In December 2019, Korea established a standardized open banking API platform, sharing an interbank payment network with fintech companies. It has since shown explosive growth, surpassing the trading volume of the UK, the country that introduced open banking APIs for the first time. This study analyzes new business models fintech companies created using this API technology. Based on existing literature, statistics from the platform operator (the Korea Financial Telecommunications and Clearings Institute), and investigations of 30 Korean fintech mobile applications, this study analyzes new fintech business models that provide financial services using this platform. These companies create sustainable business models by combining multiple APIs. Four representative business models (simple funds transfer, simple payment, cross-border remittance, and asset management) are analyzed to reveal how fintech companies create business models with open APIs.</t>
  </si>
  <si>
    <t>[Oh, Sangseung; Cho, Keuntae] Sungkyunkwan Univ, Grad Sch Management Technol, 2066 Seobu Ro, Suwon 16419, South Korea; [Chung, Gyongchan] Korea Financial Telecommun &amp; Clearings Inst, 432 Nonhyeon Ro, Seoul 06220, South Korea; [Cho, Keuntae] Sungkyunkwan Univ, Dept Syst Management Engn, 2066 Seobu Ro, Suwon 16419, South Korea</t>
  </si>
  <si>
    <t>Sungkyunkwan University (SKKU); Sungkyunkwan University (SKKU)</t>
  </si>
  <si>
    <t>Cho, K (corresponding author), Sungkyunkwan Univ, Grad Sch Management Technol, 2066 Seobu Ro, Suwon 16419, South Korea.;Cho, K (corresponding author), Sungkyunkwan Univ, Dept Syst Management Engn, 2066 Seobu Ro, Suwon 16419, South Korea.</t>
  </si>
  <si>
    <t>livero070@gmail.com; jung0465@gmail.com; ktcho@skku.edu</t>
  </si>
  <si>
    <t>chung, gyongchan/0009-0003-8128-5975; Oh, Sangseung/0009-0006-6890-346X</t>
  </si>
  <si>
    <t>10.3390/su16167187</t>
  </si>
  <si>
    <t>E7J4W</t>
  </si>
  <si>
    <t>WOS:001304730800001</t>
  </si>
  <si>
    <t>Ahmad, W; Sehgal, S</t>
  </si>
  <si>
    <t>Ahmad, Wasim; Sehgal, Sanjay</t>
  </si>
  <si>
    <t>Business Cycle and Financial Cycle Interdependence and the Rising Role of China in SAARC</t>
  </si>
  <si>
    <t>JOURNAL OF QUANTITATIVE ECONOMICS</t>
  </si>
  <si>
    <t>Business cycle; Financial cycle; Dynamic spillover; Financial crisis; C32; E32; E44; E51; F42</t>
  </si>
  <si>
    <t>In this paper, we examine the dynamic interdependence via growth spillovers between financial cycle represented by real bank credit growth and business cycle as real GDP growth using dynamic spillover index of Diebold and Yilmaz (Int J Forecast 28(1):57-66, 2012). Using quarterly data on five SAARC (the South Asian Association for Regional Cooperation) countries over the period 1975Q4-2013Q4, the study reports following empirical regularities: First, there is a limited interdependence between business and financial cycles within SAARC nations. The pattern of dependence is almost homogeneous. Second, the results of across SAARC indicate that the magnitude of dynamic relationship is not as high as studies have reported in the case of other economic interests groups. Third, to credit-growth spillover, India appears to be the primary driver of economic and financial integrations followed by Bangladesh and Pakistan. Fourth, the spillover analysis between SAARC countries and China reveals that the directional interdependence is relatively higher than the SAARC alone. Among macroeconomic indicators, we find that government debt to GDP, inflation and interest rate are the primary determinants of credit growth spillover. Among financial development indicators, the number of mobile subscribers and number of bank branches as financial inclusion variables appears as significant determinants of credit growth spillover than the portfolio equity assets and remittances.</t>
  </si>
  <si>
    <t>[Ahmad, Wasim] Indian Inst Technol Kanpur, Dept Humanities &amp; Social Sci HSS, Kanpur 208016, Uttar Pradesh, India; [Sehgal, Sanjay] Delhi Univ, Dept Financial Studies, New Delhi 110021, India</t>
  </si>
  <si>
    <t>Indian Institute of Technology System (IIT System); Indian Institute of Technology (IIT) - Kanpur; University of Delhi</t>
  </si>
  <si>
    <t>Ahmad, W (corresponding author), Indian Inst Technol Kanpur, Dept Humanities &amp; Social Sci HSS, Kanpur 208016, Uttar Pradesh, India.</t>
  </si>
  <si>
    <t>ahmadwasimdu@gmail.com; sanjayfin15@gmail.com</t>
  </si>
  <si>
    <t>Indian Council of Social Science Research (ICSSR) [G-03/2014-15/ICSSR/RPS]</t>
  </si>
  <si>
    <t>Indian Council of Social Science Research (ICSSR)</t>
  </si>
  <si>
    <t>We are thankful to the editor of the journal and two anonymous referees for their valuable comments and suggestions. We are also grateful to Prof. N.R. Bhanumurthy and Prof. P.K. Jain for their feedback on an earlier draft of this paper. We gratefully acknowledge the Indian Council of Social Science Research (ICSSR) for their generous financial support (Project# F.No. G-03/2014-15/ICSSR/RPS). All errors and omissions are solely ours.</t>
  </si>
  <si>
    <t>0971-1554</t>
  </si>
  <si>
    <t>2364-1045</t>
  </si>
  <si>
    <t>J QUANT ECON</t>
  </si>
  <si>
    <t>J. Quant. Econ.</t>
  </si>
  <si>
    <t>10.1007/s40953-017-0086-3</t>
  </si>
  <si>
    <t>VJ1JH</t>
  </si>
  <si>
    <t>WOS:000538597500002</t>
  </si>
  <si>
    <t>Lizcano-Prada, J; Mesías, FJ; Maestre-Matos, M</t>
  </si>
  <si>
    <t>Lizcano-Prada, Julieth; Mesias, Francisco J.; Maestre-Matos, Marcela</t>
  </si>
  <si>
    <t>The economic dimension of sustainability: Evaluation of the impact of sustainability standards on small banana producers in Colombia.</t>
  </si>
  <si>
    <t>ITEA-INFORMACION TECNICA ECONOMICA AGRARIA</t>
  </si>
  <si>
    <t>Economic sustainability; agribusiness; structural equations; agricultural cooperatives; productive resilience; market access</t>
  </si>
  <si>
    <t>COOPERATIVES</t>
  </si>
  <si>
    <t>Sustainability standards (SS) have emerged as a response to changes in sustainable consumer behaviour, affecting the production and distribution of agrifood products. This study evaluates how SS influence the economic dimension of sustainability among small banana producers in Colombia. The study is based on a survey of a representative sample of 99 small banana farmers associated with six cooperatives and using Structural Equation Modelling to examine how SS criteria contribute to the economic dimension of sustainability, using as a case study the banana agribusinesses of Magdalena (Colombia). The results reveal a strong and significant correlation between the SS criteria and the economic dimension of sustainability, with market conditions being the most influential factor in this context. Business alliances have a moderate effect, while local development does not show measurable impact. SS have the potential to improve market access, financial inclusion and smallholder resilience; however, their success depends on targeted interventions and strong partnerships within agrifood value chains. Findings from this paper can contribute to the development of strategies that improve smallholders' sustainability performance and promote their sustainable growth. Future research should adopt longitudinal approaches and explore the interconnected economic and environmental dimensions of sustainability to gain a more complete understanding of the impact of SSs in agriculture.</t>
  </si>
  <si>
    <t>[Lizcano-Prada, Julieth; Maestre-Matos, Marcela] Univ Magdalena, Fac Ciencias Empresariales &amp; Econ, Calle 29H3 n22-02, Santa Marta 470004, Colombia; [Mesias, Francisco J.] Univ Extremadura, Inst Univ Invest Recursos Agr INURA, Avda Adolfo Suarez s-n, Badajoz 06007, Spain</t>
  </si>
  <si>
    <t>Universidad del Magdalena; Universidad de Extremadura</t>
  </si>
  <si>
    <t>Mesías, FJ (corresponding author), Univ Extremadura, Inst Univ Invest Recursos Agr INURA, Avda Adolfo Suarez s-n, Badajoz 06007, Spain.</t>
  </si>
  <si>
    <t>fjmesias@unex.es</t>
  </si>
  <si>
    <t>Mesias, Francisco/L-6307-2017</t>
  </si>
  <si>
    <t>ASOCIACION INTERPROFESIONAL DESARROLLO AGARIO</t>
  </si>
  <si>
    <t>AVDA MONTANANA 930, APARTADO 727, ZARAGOZA, 50080, SPAIN</t>
  </si>
  <si>
    <t>1699-6887</t>
  </si>
  <si>
    <t>2386-3765</t>
  </si>
  <si>
    <t>ITEA-INF TEC ECON AG</t>
  </si>
  <si>
    <t>ITEA-Inf. Tec. Econ. Agrar.</t>
  </si>
  <si>
    <t>10.12706/itea.2025.015</t>
  </si>
  <si>
    <t>Agriculture, Dairy &amp; Animal Science; Agronomy</t>
  </si>
  <si>
    <t>T8871</t>
  </si>
  <si>
    <t>WOS:001633293700001</t>
  </si>
  <si>
    <t>Spelta, A; Raffinetti, E</t>
  </si>
  <si>
    <t>Spelta, Alessandro; Raffinetti, Emanuela</t>
  </si>
  <si>
    <t>Evaluating SAFE AI principles using Wasserstein distance: a comparative study of Machine Learning models</t>
  </si>
  <si>
    <t>STATISTICS</t>
  </si>
  <si>
    <t>Lorenz curves; Optimal Transport; Wasserstein distance; SAFE Artificial Intelligence</t>
  </si>
  <si>
    <t>Modern data-driven Artificial Intelligence (AI), powered by advanced Machine Learning (ML) models, is transforming financial technologies by enhancing financial inclusion, transparency and reducing transaction costs. However, the opaque nature of some complex ML models requires new statistical approaches to manage risks and ensure trustworthiness. In this paper, we present a novel method to evaluate the key principles of trustworthy AI - Sustainability (Robustness), Accuracy, Fairness, and Explainability (SAFE). While Babaei et al. [A Rank Graduation Box for SAFE AI. Expert Syst Appl. 259;2025:125239, 2025] introduced the Rank Graduation Box as a streamlined approach for assessing the principles of trustworthy AI, we extend this work by employing the Wasserstein distance. Our method offers a more nuanced and geometrically oriented comparison of ML models, particularly in contexts where shifts in economic or environmental conditions alter the prediction distributions. We apply this method to compare popular ML models, including Support Vector Machines, Ensemble Trees, K-Nearest Neighbours Linear and Logistic Regression. The proposal is validated using both simulated data and real-world data in the context of financial risk assessment. Our findings demonstrate that the Wasserstein distance offers nuanced and interpretable insights into model behaviour across the SAFE dimensions, making it a valuable tool for model selection and regulatory compliance in AI applications.</t>
  </si>
  <si>
    <t>[Spelta, Alessandro; Raffinetti, Emanuela] Univ Pavia, Dept Econ &amp; Management, Via San Felice al Monastero 5, I-27100 Pavia, Italy</t>
  </si>
  <si>
    <t>Raffinetti, E (corresponding author), Univ Pavia, Dept Econ &amp; Management, Via San Felice al Monastero 5, I-27100 Pavia, Italy.</t>
  </si>
  <si>
    <t>emanuela.raffinetti@unipv.it</t>
  </si>
  <si>
    <t>Raffinetti, Emanuela/MCJ-7704-2025</t>
  </si>
  <si>
    <t>Italian Ministry of University and Research (MUR) [20229CWYXC]; European Union - Next Generation EU</t>
  </si>
  <si>
    <t>Italian Ministry of University and Research (MUR)(Ministry of Education, Universities and Research (MIUR)); European Union - Next Generation EU</t>
  </si>
  <si>
    <t>This work has been partially supported by the Italian Ministry of University and Research (MUR) through the project 'A geo-localized data framework for managing climate risks and designing policies to support sustainable investments' (No. 20229CWYXC) within the PRIN 2022 programme, funded by the European Union - Next Generation EU.</t>
  </si>
  <si>
    <t>0233-1888</t>
  </si>
  <si>
    <t>1029-4910</t>
  </si>
  <si>
    <t>STATISTICS-ABINGDON</t>
  </si>
  <si>
    <t>Statistics</t>
  </si>
  <si>
    <t>10.1080/02331888.2024.2419420</t>
  </si>
  <si>
    <t>M5Q7K</t>
  </si>
  <si>
    <t>WOS:001341179100001</t>
  </si>
  <si>
    <t>Adow, AA</t>
  </si>
  <si>
    <t>Adow, Abdirahman Abdullahi</t>
  </si>
  <si>
    <t>Remittances and economic growth in East Africa</t>
  </si>
  <si>
    <t>Remittances; economic growth; East Africa; fixed effects; system GMM; Economics and Development; Political Economy; Development Policy</t>
  </si>
  <si>
    <t>PANEL-DATA; INVESTMENT</t>
  </si>
  <si>
    <t>In East African countries, remittance is a crucial source of external financing, frequently surpassing foreign direct investment and official development assistance. Despite its essential contribution to household welfare, the overall effect of remittances on economic growth has not been adequately examined within the region's distinct economic and institutional contexts. This paper used data from the World Development Indicators to examine the impact of remittances on GDP per capita growth across 15 East African countries from 2000 to 2022. Employing a fixed effects model and System Generalized Method of Moments (System GMM) to address unobserved heterogeneity and endogeneity, the findings indicate a significant positive association between remittances and economic growth. High inflation and rapid population growth, however, constrain the developmental impact of remittances. The findings indicate that financial depth enhances the effectiveness of remittances in promoting economic growth. The study indicates the need for specific policies aimed at optimizing the growth potential of remittances, which encompass enhancing financial inclusion, stabilizing inflation, and promoting investment-friendly environments. These initiatives may allow East African nations to utilize remittances more efficiently as a catalyst for sustainable economic growth. This research underscores the vital role of remittances in economic development and emphasizes the need for structural reforms to enhance their long-term impact and sustainability in East Africa.</t>
  </si>
  <si>
    <t>[Adow, Abdirahman Abdullahi] Somali Natl Univ, Dept Econ &amp; Management Sci, Mogadishu, Somalia</t>
  </si>
  <si>
    <t>Adow, AA (corresponding author), Somali Natl Univ, Dept Econ &amp; Management Sci, Mogadishu, Somalia.</t>
  </si>
  <si>
    <t>Adow@snu.edu.so</t>
  </si>
  <si>
    <t>Adow, Abdirahman/0009-0003-0023-3453</t>
  </si>
  <si>
    <t>10.1080/23322039.2025.2461604</t>
  </si>
  <si>
    <t>U3J9I</t>
  </si>
  <si>
    <t>WOS:001410807900001</t>
  </si>
  <si>
    <t>Schwarcz, Steven l.</t>
  </si>
  <si>
    <t>NEXT-GENERATION SECURITIZATION: NFTS, TOKENIZATION, AND THE MONETIZATION OF THINGS</t>
  </si>
  <si>
    <t>RISK; LAW</t>
  </si>
  <si>
    <t>For decades, businesses have used securitization to monetize assets by selling to investors interests in the assets' future value. Traditionally, securitization has monetized so-called financial assets, which generate cash flow to pay the investors. That payment source, coupled with the ability of investors to resell their interests, can create a highly liquid and attractive investment. Even so, securities laws generally restrict these investments to sophisticated and institutional investors. In recent years, securitization has spawned a new generation of transactions that monetize nonfinancial assets and other rights that do not ordinarily generate cash flow, such as art, collectible cars, access to basketball video highlights, prestigious real estate, and even fictitious real estate used in video games. Industry observers variously use the terms tokenization and nonfungible tokens, or NFTs, to refer to these non-cash-flow monetization transactions. Moody's and others believe that these transactions have transformative potential, including the prospect of creating greater financial inclusion. However, because non-cash-flow monetizations do not generate cash, investors in these transactions lack that source of payment. Selling the underlying nonfinancial assets could generate another payment source, but the relative uniqueness (and sometimes fictitious nature) of those assets can make them difficult to sell-and owners of those assets may contractually restrict their sale. For payment, investors therefore must rely primarily on the ability to resell their interests to other investors, hoping a viable resale market exists. The reality, though, is that the pricing in such a resale market is extremely volatile, and even the market's existence is unpredictable. Non-cash-flow monetization transactions thus create enormous liquidity risk for investors, who currently include both individuals and institutions. Although illiquidity is the central cause of bankruptcy, as well as a major systemic threat to the financial system, many investors ignore that risk. They are attracted, among other things, by the cachet of the underlying assets and by the hype associated with blockchain and other financial technology (FinTech) which often is used to evidence the ownership and facilitate the transfer of interests in these transactions. Investors also appear, mistakenly, to conflate the ease by which FinTech can facilitate the transfer of those interests with the existence of market demand to purchase such interests. Furthermore, because those interests are often referred to as tokens or coins, many investors fail to recognize that they are investing in securities. Worse, unsophisticated investors might not even understand the basics of what they are buying. This Article has two goals, one descriptive, the other normative. The descriptive goal is to help regulators, investors, and other market participants understand non-cash-flow monetization transactions, including their risks and benefits. The normative goal is to analyze how those transactions should be regulated to preserve their benefits and minimize their risks.</t>
  </si>
  <si>
    <t>[Schwarcz, Steven l.] Duke Univ, Sch Law, Law &amp; Business, Durham, NC 27708 USA; [Schwarcz, Steven l.] Ctr Int Governance Innovat CIGI, Waterloo, ON, Canada</t>
  </si>
  <si>
    <t>Duke University</t>
  </si>
  <si>
    <t>Schwarcz, SL (corresponding author), Duke Univ, Sch Law, Law &amp; Business, Durham, NC 27708 USA.;Schwarcz, SL (corresponding author), Ctr Int Governance Innovat CIGI, Waterloo, ON, Canada.</t>
  </si>
  <si>
    <t>X3CX1</t>
  </si>
  <si>
    <t>WOS:001097277100001</t>
  </si>
  <si>
    <t>Grassi, L</t>
  </si>
  <si>
    <t>Grassi, Laura</t>
  </si>
  <si>
    <t>In a world of Open Finance, are customers willing to share data? An analysis of the data-driven insurance business</t>
  </si>
  <si>
    <t>Insurtech; Data sharing; Insurance companies; Open Finance; FIDA regulation; Fintech; G22</t>
  </si>
  <si>
    <t>PRIVACY CONCERNS; TELEMATICS DATA; SELF-TRACKING; INFORMATION; DISCLOSURE; CALCULUS; SERVICE; PERSONALIZATION; PROTECTION; FRAMEWORK</t>
  </si>
  <si>
    <t>In the financial system, the customers' willingness to share their data is pivotal, because otherwise, banks and insurance companies are powerless to build on customer data. The key step now is to understand whether there is such willingness and what form it takes. In this study, we investigate how willing customers are to share various kinds of data (on physical health, home, driving style, travel, family, social networks) with their insurance company, in return for different rewards (customised products and services, reduced insurance claims risk and insurance premiums adjusted to personal habits and behaviour). Applying the privacy calculus framework to 1501 responses in a web-based survey, we found that rewards, especially when financial, such as insurance premium benefits, play a pivotal role in driving customer decisions about sharing data. Furthermore, customers associate the data they are asked to share with different levels of privacy, influencing their willingness to share. We also found that, when customers are asked to share various kinds of data in return for different rewards, their own personal innovativeness comes into play. Our findings suggest that, in the data-driven insurance business, different rewards offered in return for specific types of data could help companies minimise the data acquisition cost and maximise the data collected. In the era of open data, insurers can explore the many opportunities for segmentation, but new kinds of financial exclusion could emerge, resulting in potential biases and thus misinterpretations should analytics and artificial intelligence models be built upon these premises.</t>
  </si>
  <si>
    <t>[Grassi, Laura] Politecn Milan, Milan, Italy</t>
  </si>
  <si>
    <t>Polytechnic University of Milan</t>
  </si>
  <si>
    <t>Grassi, L (corresponding author), Politecn Milan, Milan, Italy.</t>
  </si>
  <si>
    <t>laura.grassi@polimi.it</t>
  </si>
  <si>
    <t>Grassi, Laura/ABK-2233-2022</t>
  </si>
  <si>
    <t>Politecnico di Milano; Italian Ministry of University and Research; European Union</t>
  </si>
  <si>
    <t>Politecnico di Milano; Italian Ministry of University and Research(Ministry of Education, Universities and Research (MIUR)); European Union(European Union (EU))</t>
  </si>
  <si>
    <t>The author extends heartfelt appreciation to the Editor and two anonymous reviewers for their valuable contributions. Special thanks go to the participants at the 43rd EBES Conference and to contributors to Politecnico di Milano's Fintech &amp; Insurtech Observatory. The author wants to express her gratitude for the positive and challenging environment brought by the HumanTech Project, financed by the Italian Ministry of University and Research for the 2023-2027 period as part of the ministerial initiative Departments of Excellence, and the MUSA PNRR project, financed by the European Union-NextGenerationEU.</t>
  </si>
  <si>
    <t>10.1007/s40821-024-00263-w</t>
  </si>
  <si>
    <t>H8S1G</t>
  </si>
  <si>
    <t>WOS:001186211100001</t>
  </si>
  <si>
    <t>Hui, ECM; Yu, KH</t>
  </si>
  <si>
    <t>Hui, Eddie Chi Man; Yu, Ka Hung</t>
  </si>
  <si>
    <t>Second homes in the Chinese Mainland under one country, two systems: A cross-border perspective</t>
  </si>
  <si>
    <t>HABITAT INTERNATIONAL</t>
  </si>
  <si>
    <t>Second homes; Mainland China; Hong Kong; Familiarity; Conflicts</t>
  </si>
  <si>
    <t>STATES-MEXICO BORDER; HONG-KONG; INTEGRATION; CITIES; POLICY; ERA</t>
  </si>
  <si>
    <t>This paper aims at exploring the cross-border second-home consumption behaviours of Hong Kong residents in Mainland China. Despite being more prevalent than similar behaviours in some European nations, this phenomenon is somewhat overlooked in other Hong Kong studies. Within the structure of contact versus conflict in the era of globalizations, our findings report that attachment to the Mainland, either through pre-existing connections or familiarity, provides the contact that leads middle-aged Hong Kong residents and frequent cross-border trippers to find second homes in the Mainland preferable. Added to the contact argument is the middle-income people's desire of having more spacious recreational and residential environment in escaping everyday urban life. On the other hand, without the same attachment, the fundamental differences stemmed from the two systems are conflicts strong enough that discourage younger generations from making the same decision. Another conflict lies in the public housing policies which restrain its residents from pursuing better living environment in the Mainland. Of course, the lack of financial capability (low income) does not help matters either. Yet, the findings give rise to implications with regard to the latent problems second homes could cause to permanent cross-border residence and potential changes in the dynamics of second homes subject to policy changes on real estate in the Mainland. (C) 2008 Elsevier Ltd. All rights reserved.</t>
  </si>
  <si>
    <t>[Hui, Eddie Chi Man; Yu, Ka Hung] Hong Kong Polytech Univ, Dept Bldg &amp; Real Estate, Kowloon, Hong Kong, Peoples R China</t>
  </si>
  <si>
    <t>Hong Kong Polytechnic University</t>
  </si>
  <si>
    <t>Hui, ECM (corresponding author), Hong Kong Polytech Univ, Dept Bldg &amp; Real Estate, Kowloon, Hong Kong, Peoples R China.</t>
  </si>
  <si>
    <t>bscmhui@inet.polyu.edu.hk</t>
  </si>
  <si>
    <t>Hui, Eddie Chi Man/L-2037-2016; Yu, Ka-hung/ABD-7623-2020</t>
  </si>
  <si>
    <t>Hui, Eddie Chi Man/0000-0002-6974-891X;</t>
  </si>
  <si>
    <t>0197-3975</t>
  </si>
  <si>
    <t>1873-5428</t>
  </si>
  <si>
    <t>HABITAT INT</t>
  </si>
  <si>
    <t>Habitat Int.</t>
  </si>
  <si>
    <t>10.1016/j.habitatint.2008.05.004</t>
  </si>
  <si>
    <t>Development Studies; Environmental Studies; Regional &amp; Urban Planning; Urban Studies</t>
  </si>
  <si>
    <t>Development Studies; Environmental Sciences &amp; Ecology; Public Administration; Urban Studies</t>
  </si>
  <si>
    <t>391BU</t>
  </si>
  <si>
    <t>WOS:000262208700013</t>
  </si>
  <si>
    <t>Li, LF; Kang, K; Namisango, F</t>
  </si>
  <si>
    <t>Li, Lifu; Kang, Kyeong; Namisango, Fatuma</t>
  </si>
  <si>
    <t>Online younger viewers' motivation to purchase virtual gifts: multi-group analysis of urban-rural backgrounds</t>
  </si>
  <si>
    <t>Younger Chinese viewer; Virtual gift-sending system; COM-B changing theory; Liberal-conservative thinking theory; Urban-rural backgrounds</t>
  </si>
  <si>
    <t>SCALE</t>
  </si>
  <si>
    <t>Purpose The paper focuses on online younger viewers' motivation to purchase virtual gifts on live-streaming platforms. To explore influencing factors, this study draws on the Capability-Opportunity-Motivation-Behaviour (COM-B) theory and liberal-conservative thinking theory to establish the research model. It analyses factors that influence the use of environmental opportunity, personal capability and personal thinking style units, which differ from traditional user behaviour research.Design/methodology/approach Through the variance-based structural equation modelling and partial least squares path modelling, three influencing factors positively affect online younger viewers' virtual gift-purchasing motivation: technical opportunity, financial capability and liberal thinking.Findings Considering the economic imbalance between urban and rural regions, this paper focuses on online younger viewers' regional differences and designs their urban-rural backgrounds as moderating factors. The multi-group analysis based on a non-parametric approach presents several significant points in the current study, such as younger viewers from rural areas paying more attention to technical opportunities and liberal thinking factors.Originality/value The study distinguishes the differences between urban and rural areas and explores online viewers' specific opinions on the virtual gift-sending system. The regional differences are caused by local technical development and economic background. The results can help live-streaming platform managers and related departments improve their techniques and functions, aiming to drive the development of the live-streaming industry.</t>
  </si>
  <si>
    <t>[Li, Lifu] City Univ Macau, Fac Business, Macau, Peoples R China; [Kang, Kyeong] Univ Technol Sydney, Sydney, Australia; [Namisango, Fatuma] Murdoch Univ, Perth, Australia</t>
  </si>
  <si>
    <t>City University of Macau; University of Technology Sydney; Murdoch University</t>
  </si>
  <si>
    <t>Li, LF (corresponding author), City Univ Macau, Fac Business, Macau, Peoples R China.</t>
  </si>
  <si>
    <t>Leaf.Lee@zohomail.com</t>
  </si>
  <si>
    <t>Li, Lifu/MSX-8261-2025; Namisango, Fatuma/AAR-1591-2020</t>
  </si>
  <si>
    <t>Li, Lifu/0000-0002-7345-9782; Namisango, Fatuma/0000-0003-2959-6488; Kang, Kyeong/0000-0003-4252-9802</t>
  </si>
  <si>
    <t>10.1108/AJIM-03-2024-0201</t>
  </si>
  <si>
    <t>AR0UZ</t>
  </si>
  <si>
    <t>WOS:001285451400001</t>
  </si>
  <si>
    <t>Hendratmi, A; Sukmaningrum, PS</t>
  </si>
  <si>
    <t>Hendratmi, A.; Sukmaningrum, P. S.</t>
  </si>
  <si>
    <t>ROLE OF GOVERNMENT SUPPORT AND INCUBATOR ORGANIZATION TO SUCCESS BEHAVIOUR OF WOMAN ENTREPRENEUR: INDONESIA WOMEN ENTREPRENEUR ASSOCIATION</t>
  </si>
  <si>
    <t>woman entrepreneur; government support; incubator organization; success behaviour; business motivation</t>
  </si>
  <si>
    <t>The purpose of this research is to analyze relation between role of government support and incubator organization to success behaviour of woman entrepreneur with motivation moderation, as an empirical research in Indonesian Woman Entrepreneur Association (IWAPI). There are factors that are considered to increase success behaviour of woman entrepreneur, including government support and incubator organization. The role of government will deal with policy initiatives in providing infrastructure and financial access for woman entrepreneur. Incubator organization as mediator that nurturing designed to accelerate the growth and success of entrepreneurial companies through an array of business support resources and services Government supports and business incubator moderated by business motivation in order to reach success behavior. The result shows that Relating to the research conducted about the external factors which affect boosting motivation woman entrepreneur, the result is that there is a relation between incubator organization and entrepreneurial motivation, and entrepreneurial motivation to success behaviour which is linearly related each other. While government support to motivation and success behaviour, and also incubator organization support to success behaviour of woman entrepreneur do not affect one another. The finding pointed government support less effective and still lack of coverage and socialization.</t>
  </si>
  <si>
    <t>[Hendratmi, A.; Sukmaningrum, P. S.] Univ Airlangga, Fac Econ &amp; Business, Surabaya, Indonesia</t>
  </si>
  <si>
    <t>Hendratmi, A (corresponding author), Univ Airlangga, Fac Econ &amp; Business, Surabaya, Indonesia.</t>
  </si>
  <si>
    <t>achsania.hendratmi@feb.unair.ac.id; puji.sucia@feb.unair.ac.id</t>
  </si>
  <si>
    <t>Henatmi, Achsania/ABQ-8904-2022</t>
  </si>
  <si>
    <t>Henatmi, Achsania/0000-0001-8060-1508</t>
  </si>
  <si>
    <t>10.17512/pjms.2018.17.1.09</t>
  </si>
  <si>
    <t>GL5ZU</t>
  </si>
  <si>
    <t>WOS:000437256100009</t>
  </si>
  <si>
    <t>Remittances, the diffusion of information and industrialisation in Africa</t>
  </si>
  <si>
    <t>CONTEMPORARY SOCIAL SCIENCE</t>
  </si>
  <si>
    <t>Remittances; industrialisation; ICT; Africa</t>
  </si>
  <si>
    <t>FOREIGN DIRECT-INVESTMENT; SUB-SAHARAN AFRICA; FINANCIAL ACCESS; INTERNATIONAL MIGRATION; MOBILE TELEPHONY; PANEL-DATA; PRODUCTIVITY; CORRUPTION; CHALLENGES; BUSINESS</t>
  </si>
  <si>
    <t>This study examines the role of information and communication technology (ICT) on remittances for industrialisation in a panel of 49 African countries for the period 1980-2014. The empirical evidence is based on three simultaneity-robust estimation techniques, namely: (i) Instrumental Fixed Effects (FE) in order to control for the unobserved heterogeneity; (ii) Generalised Method of Moments (GMM) to account for persistence in industrialisation; and (iii) Instrumental Quantile Regressions (QR) to control for initial levels of industrialisation. Our best estimators are from FE and QR estimations because the GMM regression outputs largely fail post-estimation diagnostic tests. The following findings are established: (i) There are positive marginal effects from the interaction between remittances and ICT in the FE regressions whereas there are negative marginal impacts from the interaction between remittances and ICT; (ii) Interactions between remittances and mobile phone penetration are positive in the bottom and 90th quantile whereas the interaction between internet penetration and remittances is positive in the bottom and top quantiles of the industrialisation distribution. Overall, the role of ICT in remittances for industrialisation is much more apparent when existing levels of industrialisation are accounted for.</t>
  </si>
  <si>
    <t>asongus@afridev.org</t>
  </si>
  <si>
    <t>2158-2041</t>
  </si>
  <si>
    <t>2158-205X</t>
  </si>
  <si>
    <t>CONTEMP SOC SCI</t>
  </si>
  <si>
    <t>Contemp. Soc. Sci.</t>
  </si>
  <si>
    <t>10.1080/21582041.2019.1618898</t>
  </si>
  <si>
    <t>KU2OW</t>
  </si>
  <si>
    <t>WOS:000519548800007</t>
  </si>
  <si>
    <t>Remittances, development and financialisation beyond the Global North</t>
  </si>
  <si>
    <t>Remittances; Financialisation; Development; North-South relations; Subjectivities; Contestation</t>
  </si>
  <si>
    <t>FINANCIALIZATION; INCLUSION; FINANCE; CRISIS; ASIA</t>
  </si>
  <si>
    <t>In the context of the global financial crisis and the crunch in development financing, remittances have become linked to the financial inclusion agenda in what has been termed as 'financialization of remittances' (FOR). This special issue brings together seven articles that analyze the socioculturally specific histories and the everyday manifestations of the FOR in the Caribbean, Central America, Colombia, Ghana, Mexico, Nepal and Senegal. The contributors engage in a transdisciplinary conversation, mobilizing insights from feminist, postcolonial, poststructural and political geography theories. They propose two majors shifts for financialisation analysis: towards an investigation beyond the global North and towards taking seriously failures, contradictions and contestations of financialisation processes. By doing so, the special issue contributes to financialization research in five major ways: to expose colonial legacies of remittances and their financialization; to challenge the supposedly neutral character of the FOR by revealing the caste, gendered and racialized power relations in financialization processes; to destabilizes the notion of the universal individual financial subject and show how multiple financial subjectivities are constituted in constellations; to document the complexities, ambiguities, contradictions and failures of financialization processes and the (everyday) contestations they face; and to show how remittances and their financialization are implicated in reconfiguring authorities, citizenship and social dynamics. The contributions propose relational understandings of financialization that conceptualize the co-constitution of economic, political and sociocultural dimensions of financialization across and beyond the North-South divide.</t>
  </si>
  <si>
    <t>[Kunz, Rahel; Maisenbacher, Julia; Paudel, Lekh Nath] Univ Lausanne, IEP, Fac Sci Sociales &amp; Polit, CH-1015 Lausanne, Switzerland</t>
  </si>
  <si>
    <t>Kunz, R (corresponding author), Univ Lausanne, IEP, Fac Sci Sociales &amp; Polit, CH-1015 Lausanne, Switzerland.</t>
  </si>
  <si>
    <t>The authors disclosed receipt of the following financial support for the research, authorship, and/or publication of this article: This work was supported by the Swiss National Science Foundation (grant number 10001A_172945).</t>
  </si>
  <si>
    <t>0308518X221088867</t>
  </si>
  <si>
    <t>10.1177/0308518X221088867</t>
  </si>
  <si>
    <t>WOS:000778553900001</t>
  </si>
  <si>
    <t>Kachepa, P; Mumtaz, MZ</t>
  </si>
  <si>
    <t>Kachepa, Paul; Mumtaz, Muhammad Zubair</t>
  </si>
  <si>
    <t>What factors influence household financial decisions in Malawi?</t>
  </si>
  <si>
    <t>Household finance; Financial inclusion; Urban-rural disparities; Malawi; G11; G21; D14</t>
  </si>
  <si>
    <t>PORTFOLIO CHOICE; CONSUMPTION</t>
  </si>
  <si>
    <t>PurposeThis study investigates the factors influencing household financial choices in Malawi. The authors also compare how household financial decisions differ in urban and rural areas.Design/methodology/approachThe authors utilize the logit model to examine the factors that influence household financial decisions using the Malawi Integrated Household Survey 2019-20, while Oaxaca-Blinder decomposition is used to estimate the variations in household financial decisions between urban and rural areas.FindingsThe authors find that the likelihood of saving increases with income, secondary and tertiary education, and age. The likelihood of saving also decreases with household size and remittances. Additionally, the authors report that marriage reduces the likelihood of loans, whereas sex, age, and income raise the likelihood of loans. According to this study's findings, income discrepancies between urban and rural samples account for most observed household financial variations. The authors also find that most of the observed variations in household financial decision-making between urban and rural households are reduced when income equality, participation in agriculture, university education, and household size are considered.Originality/valueUsing data from the Malawi Integrated Household Survey 2019-20, this research analyzes the components that affect household financial decisions. While most studies only look at one component of household finances, this study concurrently addresses debt and savings. The study also evaluates whether changes in the variables between urban and rural households impact those households' financing choices.</t>
  </si>
  <si>
    <t>[Kachepa, Paul; Mumtaz, Muhammad Zubair] Natl Univ Sci &amp; Technol, Sch Social Sci &amp; Humanities, Islamabad, Pakistan; [Mumtaz, Muhammad Zubair] Univ Bahrain, Coll Business Adm, Manama, Bahrain</t>
  </si>
  <si>
    <t>National University of Sciences &amp; Technology - Pakistan; University of Bahrain</t>
  </si>
  <si>
    <t>Mumtaz, MZ (corresponding author), Natl Univ Sci &amp; Technol, Sch Social Sci &amp; Humanities, Islamabad, Pakistan.;Mumtaz, MZ (corresponding author), Univ Bahrain, Coll Business Adm, Manama, Bahrain.</t>
  </si>
  <si>
    <t>paulkachepa@gmail.com; zubairmumtaz76@gmail.com</t>
  </si>
  <si>
    <t>10.1108/AJEMS-11-2022-0470</t>
  </si>
  <si>
    <t>Y0KK5</t>
  </si>
  <si>
    <t>WOS:001045205700001</t>
  </si>
  <si>
    <t>Onyiriuba, L; Okoro, EUO; Ibe, GI</t>
  </si>
  <si>
    <t>Onyiriuba, Leonard; Okoro, E. U. Okoro; Ibe, Godwin Imo</t>
  </si>
  <si>
    <t>Strategic government policies on agricultural financing in African emerging markets</t>
  </si>
  <si>
    <t>Agriculture; Policy; Government; Financing; Strategy; Emerging market</t>
  </si>
  <si>
    <t>SUSTAINABLE AGRICULTURE; CREDIT; DETERMINANTS; CHALLENGES; DECISIONS; ACCESS; RISKS</t>
  </si>
  <si>
    <t>Purpose The purpose of this study is to identify and review strategic government policies on agricultural financing in Egypt, Morocco, Nigeria and South Africa. Four factors dictated the choice of these countries. In the first place, the study is set in African emerging markets - and the four countries are the widely acknowledged emerging markets in Africa (Onyiriuba, 2015). Secondly, the spread of the countries, to a large extent, mirrors Africa in general - Egypt and Morocco are in North Africa; Nigeria is a West African country; and, of course, South Africa. Thirdly, other countries in Africa tend to look up to the four countries, apparently as the largest economies in their respective regions. Needless to say, Nigeria alternates with South Africa as the largest economy in Africa. In this capacity, the two countries influence - indeed, mirror - continental Africa's emerging economic progress. Fourthly, lessons from agricultural policy and financing experiences of the four countries will certainly be useful to the other African countries. The specific objective of this paper is to determine how the government seeks to address the financing issues attendant on the risk-laden nature of agriculture through policy interventions. With this end in view, the paper analyses the strategic goals, objectives and beneficiaries of the agriculture financing policies of the government, as well as the constraints on access to finance by the farmers and the policy response. Design/methodology/approach The study involves a review of empirical literature and government policies on agricultural financing in Egypt, Morocco, Nigeria and South Africa. The high risks in agriculture (Onyiriuba, 2015; Mordi, 1988), risk aversion behaviour of banks towards agricultural financing (Onyiriuba, 2015, 1990), and the reluctance of insurers to take on agricultural risks (World Bank, 2018; Federal Republic of Nigeria, 2016; Onyiriuba, 1990; Mordi, 1988) underpin this methodology. There are two other considerations: the needs to find out how government seeks to address the financing issues in agriculture through policy intervention, and to avoid unwieldy research, one that combines government and institutional policy perspectives on agriculture financing. Thus the study is not approached from the perspective of banks and other lending institutions; neither does it combine government and institutional policy perspectives. It rather focuses on government policy in order to properly situate implications of the findings. Findings The authorities seek to get rid of bottlenecks, ease participation and redress constraints on access to finance in agriculture through policy interventions as a means of sustainable economic growth. The findings are characteristic of emerging markets, rooted in the transitional challenge of opening economies, economic reforms and the March of progress. However, with agriculture and natural resources - rather than industrialisation - as the main stay of their economies, the African emerging markets face an uphill task in their development efforts. This is evident in the divergent and gloomy pictures in which the literature paints their agricultural economies. Practical implications Government should gear financing policies to boost output as a means of ensuring food security. It should address risk aversion tendencies among the lenders and feeble credit guarantee, subsidies and budgetary allocations to agriculture. This will ensure effective commitment of the lenders to agriculture and underpin agricultural insurance. However, it demands strengthening links in the chain of access to, and monitoring of, credit for agricultural production. A realistic policy response should target the rural economy - with youth, women and smallholder farmers as ultimate beneficiaries. These actions should be intensified as measures to boost farming and the rural economy. Originality/value Current literature fails to situate the empirical findings in emerging markets context, reflecting economies in transition. Besides, in its current state, the literature does not explicitly clarify that agriculture, like most other sectors in such economies, is bound to experience the observed financing constraints. Neither does it clearly reflect how and why the findings should be seen as fleeting realities of the March of progress in transitional economies. This study will help to fill the gap.</t>
  </si>
  <si>
    <t>[Onyiriuba, Leonard; Okoro, E. U. Okoro; Ibe, Godwin Imo] Univ Nigeria, Fac Business Adm, Dept Banking &amp; Finance, Enugu, Nigeria</t>
  </si>
  <si>
    <t>Ibe, GI (corresponding author), Univ Nigeria, Fac Business Adm, Dept Banking &amp; Finance, Enugu, Nigeria.</t>
  </si>
  <si>
    <t>leonardonyiriuba@yahoo.com; okoro.okoro@unn.edu.ng; imoibe4real@yahoo.co.in</t>
  </si>
  <si>
    <t>10.1108/AFR-01-2020-0013</t>
  </si>
  <si>
    <t>WOS:000529545800001</t>
  </si>
  <si>
    <t>Toxopeus, H; Polzin, F; Cai, WX; Huisman, R</t>
  </si>
  <si>
    <t>Toxopeus, Helen; Polzin, Friedemann; Cai, Wanxiang; Huisman, Ronald</t>
  </si>
  <si>
    <t>Investor types and campaign dynamics in investment crowdfunding: A herding and collective action perspective</t>
  </si>
  <si>
    <t>Herding; Information cascades; Collective action; Democratisation in finance; Typology; Crowdfunding investors</t>
  </si>
  <si>
    <t>CONDITIONAL COOPERATION; SOCIAL NETWORKS; PUBLIC-GOODS; BEHAVIOR; HETEROGENEITY; INFORMATION; INNOVATION; IMPACT; CROWD; GENDER</t>
  </si>
  <si>
    <t>Digitisation has transformed, diversified, and democratised the venture finance field with the rise of investment crowdfunding. Early venture finance markets are characterised by unattractive risk-return propositions and high information asymmetries. The inflow of new investors through crowdfunding has raised concerns regarding the quality of their investment decisions. Herding and information cascades have been at the core of the theoretical explanations of campaign dynamics in investment crowdfunding. However, this interpretation ignores the role of public-good-type externalities produced by early ventures. Based on the assumption that early ventures produce double externalities - knowledge spillovers and sustainable or social impact - we propose viewing (crowd) investor behaviour and campaign dynamics through a herding and a collective action lens. We discuss how herding and collective action can explain investment types, behaviour, and investment crowdfunding dynamics. To understand public-private funding dynamics, we first identified four investor types: idealists, change agents, gain seekers, and professionals. This was done by combining and exploiting multiple datasets of three innovative early ventures' crowdfunding campaigns. Using platform transaction data, we used these types to predict investors' behaviours and to describe campaign dynamics. Using herding and collective action theory, we describe three mechanisms that shape campaign dynamics between types of investors: rational herding, gatekeeping, and reciprocating. We argue that the combination of the two aforementioned theoretical lenses offers an advanced understanding of investment crowdfunding and provides guidance for platforms and regulators to navigate the tension between access to finance for ventures and investor protection. For regulators, our results suggest withdrawing from a 'one regulation protects all' approach and instead tailoring measures to different investor types in order to advance digital and democratised early venture finance, taking into account private and public returns on their investment.</t>
  </si>
  <si>
    <t>[Toxopeus, Helen; Polzin, Friedemann; Huisman, Ronald] Utrecht Univ Sch Econ USE, Kriekenpit Pl 21-22, NL-3584 EC Utrecht, Netherlands; [Toxopeus, Helen; Polzin, Friedemann] Sustainable Finance Lab SFL, Kriekenpit Pl 21-22, NL-3584 EC Utrecht, Netherlands; [Cai, Wanxiang] Cardiff Univ, Cardiff Business Sch, Cardiff CF10 3AT, Wales; [Cai, Wanxiang] Univ Bristol, Business Sch, 30-32 Tyndalls Pk Rd, Bristol BS8 1PY, England; [Huisman, Ronald] Erasmus Univ, Erasmus Sch Econ, Burgemeester Oudlaan 50, NL-3062 PA Rotterdam, Netherlands</t>
  </si>
  <si>
    <t>Utrecht University; Cardiff University; University of Bristol; Erasmus University Rotterdam - Excl Erasmus MC; Erasmus University Rotterdam</t>
  </si>
  <si>
    <t>Cai, WX (corresponding author), Univ Bristol, Business Sch, 30-32 Tyndalls Pk Rd, Bristol BS8 1PY, England.</t>
  </si>
  <si>
    <t>h.s.toxopeus@uu.nl; f.h.j.polzin@uu.nl; wanxiang.cai@bristol.ac.uk; r.huisman2@uu.nl</t>
  </si>
  <si>
    <t>Huisman, Ronald/CAF-5872-2022; Polzin, Friedemann/AAA-7566-2019</t>
  </si>
  <si>
    <t>Cai, Wanxiang/0000-0002-0285-1517;</t>
  </si>
  <si>
    <t>10.1016/j.respol.2025.105303</t>
  </si>
  <si>
    <t>6ZR7G</t>
  </si>
  <si>
    <t>WOS:001565855500001</t>
  </si>
  <si>
    <t>Aladag, ÖF</t>
  </si>
  <si>
    <t>Aladag, Omer Faruk</t>
  </si>
  <si>
    <t>International Strategies of Islamic Financial Institutions: Current Challenges and Future Trends</t>
  </si>
  <si>
    <t>KOCATEPE ISLAMI ILIMLER DERGISI</t>
  </si>
  <si>
    <t>Islamic Finance; Islamic Banks; Strategic Management; International Strategy; Strategic Alliances</t>
  </si>
  <si>
    <t>BANKING; PERFORMANCE; KNOWLEDGE</t>
  </si>
  <si>
    <t>In an era of growing pressures towards financial ethics, social responsibility and sustainable development, Islamic Financial Institutions (IFIs) have emerged as new actors on the global financial stage. With their unique characteristics, IFIs offer a different approach to finance. This study presents a comprehensive analysis of the international strategies adopted Islamic Financial Institutions (IFIs) in their pursuit of global expansion. The current global financial landscape presents unique challenges and opportunities for IFIs in their cross border operations. In this paper, the drivers, obstacles, and outcomes of IFIs' international strategies are evaluated. The IFIs' approaches to localization, standardization, partnerships, and technological innovations are examined. The article highlights how IFIs, guided Sharia principles, navigate the complexities of global finance while remaining loyal to Islamic ethical practices. The significance of IFIs' international strategies in facilitating financial inclusion, stability and economic development particularly in Muslim emerging economies also discussed. Subsequently, the factors that drive IFIs towards international expansion are explored. Increased demand for Sharia-compliant financial services, regulatory reforms, and the advantages of diversification in both product offerings and markets are among the important motivators of international expansion for IFIs. How these drivers require IFIs balance ethical considerations, regulatory compliance and financial performance highlighted in detail. The challenges and obstacles faced by IFIs in their internationalization phase are analyzed in-depth. Cross-cultural differences, regulatory complexities and the need to achieve Sharia compliance across different contexts come to the fore as important challenges. The study is centered around the variety of international strategies IFIs implement to navigate the global markets. It explains local adaptation strategies that customize products and services to meet the unique preferences of diverse markets. The article also delves into standardization strategies that necessitate common operational principles to achieve economies of scale and ensure Sharia compliance. Furthermore, the article investigates how IFIs enlist technological innovations to improve customer experiences and establish a strong international presence. In this regard, digital platforms, AI-driven solutions and blockchain technology are the main facilitators of IFIs in overcoming geographical barriers and providing user-friendly services. The role of strategic partnerships and alliances as a critical component of IFIs' international strategies is explored. Collaborations with local stakeholders enable expertise sharing, resource pooling and market penetration. The article concludes by discussing future trends and prospects for IFIs' international strategies. It pinpoints potential large-scale changes that will have considerable impact on how IFIs engage in international expansion. The article emphasizes that, amidst all these turbulent conditions, a commitment to Islamic business ethics and social responsibility principles will continue to guide IFIs' strategic decisions as the most important anchors. In summary, this article offers a comprehensive examination of the international strategies pursued by Islamic financial institutions. By delving into the drivers, obstacles, and outcomes of IFIs' global expansion efforts, it provides valuable insights for practitioners, researchers, and policymakers. The article underscores how IFIs, driven ethical considerations and guided by Sharia principles, can play a pivotal role in shaping the future of international finance while maintaining their commitment to social responsibility</t>
  </si>
  <si>
    <t>[Aladag, Omer Faruk] Inonu Univ, Fac Econ &amp; Adm Sci, Dept Int Trade &amp; Business, Malatya, Turkiye</t>
  </si>
  <si>
    <t>Inonu University</t>
  </si>
  <si>
    <t>Aladag, ÖF (corresponding author), Inonu Univ, Fac Econ &amp; Adm Sci, Dept Int Trade &amp; Business, Malatya, Turkiye.</t>
  </si>
  <si>
    <t>omer.aladag@inonu.edu.tr</t>
  </si>
  <si>
    <t>Aladağ, Ömer Faruk/U-9267-2018</t>
  </si>
  <si>
    <t>Aladağ, Ömer Faruk/0000-0002-5176-679X</t>
  </si>
  <si>
    <t>International Strategies of Islamic Financial Institutions: Current Challenges and... |214| International Strategies of Islamic Financial Institutions: Current Challenges and... |216|</t>
  </si>
  <si>
    <t>AFYON KOCATEPE UNIV</t>
  </si>
  <si>
    <t>GAZLIGOL YOLU</t>
  </si>
  <si>
    <t>AFYON KOCATEPE UNIV, GAZLIGOL YOLU, 03200, Turkiye</t>
  </si>
  <si>
    <t>2757-8399</t>
  </si>
  <si>
    <t>KOCATEPE ISLAM ILIM</t>
  </si>
  <si>
    <t>Kocatepe Islam. Ilim. Derg.</t>
  </si>
  <si>
    <t>10.52637/kiid.1352334</t>
  </si>
  <si>
    <t>A7H5C</t>
  </si>
  <si>
    <t>WOS:001284210700008</t>
  </si>
  <si>
    <t>Hargarter, A; Van Vuuren, G</t>
  </si>
  <si>
    <t>Hargarter, Antje; Van Vuuren, Gary</t>
  </si>
  <si>
    <t>Measuring conduct risk in South African banks</t>
  </si>
  <si>
    <t>South Africa; Banks; Conduct risk; Twin Peaks model</t>
  </si>
  <si>
    <t>Purpose - This paper aims to examine the problem of conduct-risk measurement for banks, using South Africa as an example of a developing market. Conduct risk is a new and complex phenomenon in global financial services and could negatively impact various stakeholders. There are concerns about new regulations and potential misconduct fines affecting profitability and sustainability for banks. While presenting a serious problem, especially in developing markets, with the added challenge of financial inclusion, conduct risk and its measurement have not been researched sufficiently. If the measurement problem could be solved, the management could be facilitated. Design/methodology/approach - Based on a literature review, existing surveys and new interviews, a best-practice proposal for measuring conduct risk was developed. The approach was exploratory and inductive and added primary insights. Findings - Measuring concepts like conduct is a global challenge. This aside, South African banking customers are concerned about fraud and safety and administrative service hassles, rather than conduct in the regulatory sense. Best-practice measurement must account for these findings by working with a scoring for behavioural, organisational/procedural and perception indicators and with suggestions for specific surveys. Research limitations/implications - Analysing the data measured and deciding what action should be taken if conduct risk is detected could be considered for additional research. Practical implications - South African banks are guided in measuring a difficult and unique concept at a time of regulatory change, stakeholder pressures and limited existing knowledge. Originality/value - The authors believe this is the first study on a critical and new challenge in banking risk measurement in a developing market.</t>
  </si>
  <si>
    <t>[Hargarter, Antje] North West Univ, Dept Risk Management, Potchefstroom, South Africa; [Hargarter, Antje] Milpk Educ, Sch Investment &amp; Banking, Johannesburg, South Africa; [Van Vuuren, Gary] North West Univ, Fac Econ &amp; Management Sci, Dept Risk Management, Potchefstroom, South Africa</t>
  </si>
  <si>
    <t>Hargarter, A (corresponding author), North West Univ, Dept Risk Management, Potchefstroom, South Africa.;Hargarter, A (corresponding author), Milpk Educ, Sch Investment &amp; Banking, Johannesburg, South Africa.</t>
  </si>
  <si>
    <t>antje.hargarter@milpark.ac.za</t>
  </si>
  <si>
    <t>van Vuuren, Gary/B-5453-2019</t>
  </si>
  <si>
    <t>Hargarter, Antje/0000-0003-0064-751X</t>
  </si>
  <si>
    <t>10.1108/QRFM-03-2018-0027</t>
  </si>
  <si>
    <t>JU0DS</t>
  </si>
  <si>
    <t>WOS:000501351100001</t>
  </si>
  <si>
    <t>Ghandour, MM; Fayad, NM; Kassem, J; Hamdar, B</t>
  </si>
  <si>
    <t>Ghandour, Malak Mohammad; Fayad, Nour Mohamad; Kassem, Jinan; Hamdar, Bassam</t>
  </si>
  <si>
    <t>The Role of Remittances in Shaping Income Inequality in Lebanon Before and After the Crisis: An Empirical Analysis Using Macroeconomic and Financial Perspectives</t>
  </si>
  <si>
    <t>remittances; income inequality; consumption; financial development; economic crisis; Lebanon; Johansen cointegration</t>
  </si>
  <si>
    <t>INTERNATIONAL MIGRATION; POVERTY; GROWTH</t>
  </si>
  <si>
    <t>This study investigates the impact of remittances on income inequality in Lebanon using annual time-series data for the years 2000-2023. Applying Johansen's cointegration test, with financial development (FD), GDP, and household consumption expenditure (HCE) as the control variables, the study examines the long-run and short-run relationship between remittances and inequality. The study also considers the moderating impacts of FD and HCE to account for their indirect role in the remittance-inequality relationship. Dynamic relations are also examined by using impulse response functions (IRFs) and Forecast Error Variance Decomposition (FEVD) analyses. The long-run model estimates validate that remittances and income inequality are significantly and negatively related, i.e., increased remittance receipts serve to reduce income inequality in Lebanon. Remittance effects, however, are statistically insignificant in the short run. Interestingly, the results reveal that financial development weakens the remittances' inequality-reducing effect, dampening their impact. Contrarily, a higher household consumption expenditure slightly strengthens the inequality-reducing effect of remittances. A comparison between the pre- and post-2019 periods reveals that the explanatory strength of remittances weakened during times of economic crisis, since the function of remittances was different during times of economic distress. Based on these findings, this study recommends that Lebanon not only promote financial development but also focus on financial inclusion, improve social safety nets, and provide inclusive economic growth to maximize remittance inflow benefits and efficiently reduce inequality.</t>
  </si>
  <si>
    <t>[Ghandour, Malak Mohammad; Fayad, Nour Mohamad; Hamdar, Bassam] Al Maaref Univ, Basic &amp; Appl Sci Res Ctr, POB 507800-25, Beirut, Lebanon; [Ghandour, Malak Mohammad] Lebanese Univ, Fac Econ &amp; Business Adm, POB 6573-14, Beirut, Lebanon; [Fayad, Nour Mohamad] Lebanese Int Univ, Fac Business Adm, Dept Econ, POB 1464-04, Beirut, Lebanon; [Kassem, Jinan] POB 11-5020, Beirut, Lebanon</t>
  </si>
  <si>
    <t>Lebanese University</t>
  </si>
  <si>
    <t>Ghandour, MM (corresponding author), Al Maaref Univ, Basic &amp; Appl Sci Res Ctr, POB 507800-25, Beirut, Lebanon.;Ghandour, MM (corresponding author), Lebanese Univ, Fac Econ &amp; Business Adm, POB 6573-14, Beirut, Lebanon.</t>
  </si>
  <si>
    <t>malak.ghandour@mu.edu.lb; nourfayad@hotmail.com; kassem.jinan_88@outlook.com; bassam.hamdar@mu.edu.lb</t>
  </si>
  <si>
    <t>; Ghandour, Malak/IXW-9526-2023</t>
  </si>
  <si>
    <t>Fayad, Nour/0000-0003-0637-4372; Ghandour, Malak/0009-0007-2062-0943; HAAR, BASSAM/0009-0004-9150-5094</t>
  </si>
  <si>
    <t>10.3390/su17146464</t>
  </si>
  <si>
    <t>5HS7H</t>
  </si>
  <si>
    <t>WOS:001535966700001</t>
  </si>
  <si>
    <t>Warnecke-Berger, H</t>
  </si>
  <si>
    <t>Warnecke-Berger, Hannes</t>
  </si>
  <si>
    <t>The financialization of remittances and the individualization of development: A new power geometry of global development</t>
  </si>
  <si>
    <t>Financialization; remittances; currency hierarchies; north-south relations; negotiated dependency</t>
  </si>
  <si>
    <t>EXCHANGE-RATE; MIGRANT REMITTANCES; DEVELOPING-COUNTRIES; MIGRATION; INVESTMENT; INCLUSION; SENSE; MONEY; REAL</t>
  </si>
  <si>
    <t>The article argues that the increasing financialization of remittances produces an enormous shift in the political economy of development and contributes to a new power geometry of development. Exploring this power geometry, the article focuses on three main issues: First, migrants intend to support their friends and families on an individual level as remittance senders, and together with the corresponding recipients they form a translocal moral economy. On a macro level, the value of these transactions is high when currency hierarchies remain strong. Financialization of remittances amplifies this micro-macro divergence inherent to remittance flows. Deepening the financial development impact of remittances then goes hand in hand with cementing global inequality. Second, economic and political elites in remittance-receiving societies who are able to organize direct and indirect access to remittances with the help of financial instruments and through financialization are able to emancipate from national political control. This indirectly contributes to fostering elite rule in remittance-receiving societies. Third and finally, development is no longer a national objective but has become the individual risk of migrants and their relatives and friends. Financialization of remittances therefore consolidates an individualized notion of development. This paper aims to go beyond the narrow economistic and problem-solving approach on which many studies on remittances and financial inclusion draw. It illustrates how financialization of remittances (re)shapes power relations both within the Global South and between the Global South and the Global North.</t>
  </si>
  <si>
    <t>[Warnecke-Berger, Hannes] Univ Kassel, Dept Int &amp; Intersocietal Relat, Nora Platiel Str 1, D-34127 Kassel, Germany</t>
  </si>
  <si>
    <t>Warnecke-Berger, H (corresponding author), Univ Kassel, Dept Int &amp; Intersocietal Relat, Nora Platiel Str 1, D-34127 Kassel, Germany.</t>
  </si>
  <si>
    <t>hwarneckeberger@uni-kassel.de</t>
  </si>
  <si>
    <t>Warnecke-Berger, Hannes/0000-0001-9177-0657</t>
  </si>
  <si>
    <t>Deutsche Forschungsgemeinschaft [266371360]</t>
  </si>
  <si>
    <t>The author(s) disclosed receipt of the following financial support for the research, authorship, and/or publication of this article: This work was supported by the Deutsche Forschungsgemeinschaft (grant no. 266371360).</t>
  </si>
  <si>
    <t>0308518X211038013</t>
  </si>
  <si>
    <t>10.1177/0308518X211038013</t>
  </si>
  <si>
    <t>WOS:000687356600001</t>
  </si>
  <si>
    <t>Jannat, S</t>
  </si>
  <si>
    <t>Jannat, Shabrina</t>
  </si>
  <si>
    <t>Crowdfunding dilemmas: understanding the roadblocks in Bangladesh's SME's financial landscape</t>
  </si>
  <si>
    <t>Bangladesh; SMEs; Financial technology; Blockchain in crowdfunding; Crowdfunding in Bangladesh; Crowdfunding in SMEs; Financing for women entrepreneurs; Transparency and security in crowdfunding</t>
  </si>
  <si>
    <t>Purpose - The purpose of this paper is to examine the complexities of crowdfunding for small and medium-sized enterprises (SMEs) in Bangladesh, with a focus on its global significance and unique characteristics in Muslim nations. By identifying key challenges such as the lack of a legislative framework, limited understanding of crowdfunding strategies and insufficient knowledge among entrepreneurs, this paper aims to provide recommendations for overcoming these obstacles. Through the analysis of open access articles published between 2015 and 2023, supplemented by occasional non-open access resources, this review seeks to contribute to the understanding of crowdfunding dynamics in emerging economies and inform policy and practice in this area. Design/methodology/approach - A comprehensive review of the obstacles facing crowdfunding in Bangladesh's SME sector was conducted using a diverse range of literature sources. These included 15 paid journal articles, 49 open-access journal articles, three conference papers, two websites and 11 book chapters. The selection of paid articles was based on criteria such as relevance to crowdfunding and fintech in emerging markets, recentness and influence. The review focused on literature published between 2015 and June 2024, encompassing key developments like the impact of the COVID-19 pandemic. Articles were sourced from platforms like Typeset.io, Google Scholar and ResearchGate, with themes categorized by cultural, social, regulatory, technological and economic factors. Findings - This review paper explores the complexities of crowdfunding in the context of SMEs in Bangladesh. It provides insights into its worldwide significance, unique characteristics in Muslim nations and the obstacles encountered in the financial environment of Bangladesh. Crowdfunding has become a prominent worldwide trend, revolutionizing traditional fundraising methods and providing a wide range of funding options for different projects. Nevertheless, the implementation of this technology in Bangladesh, despite its significant role in the worldwide economic sphere, is hindered by various obstacles. The assessment highlights the capacity of crowdfunding to tackle the financial obstacles encountered by SMEs in Bangladesh, which is a crucial sector for the economic progress of the country. The current crowdfunding platforms in Bangladesh, including Projekt.co, GoRiseMe, Fundsme and Oporajoy, encounter reliability problems, which impede the wider adoption of this innovative financial model, despite its tremendous potential. Multiple factors contribute to the lack of popularity of crowdfunding in Bangladesh. These factors comprise the absence of a legislative framework, a poor comprehension of various crowdfunding strategies and a general lack of knowledge among entrepreneurs. The research highlights various obstacles, including limited expertise, insufficient government backing, reputational risk, security weaknesses and the adverse characteristics of crowdfunding, as major hindrances. Moreover, this study investigates the factors that contribute to the lack of acceptance of crowdfunding among entrepreneurs and investors in Bangladesh. Challenges concerning the financial system, regulatory deficiencies and a deficit of confidence arise as crucial elements impeding the efficient exploitation of crowdsourcing. Cultural and behavioral factors, together with technical literacy, significantly influence crowdfunding intentions. To surmount these obstacles and fully use the possibilities of crowdfunding for economic advancement, the assessment puts out a number of suggestions. These factors encompass the requirement for a secure and reliable financial industry, strong development of policies, increased clarity and the incorporation of all individuals and groups. To enhance confidence, safeguard backers' interests and expedite the adoption of crowdfunding in Bangladesh, it is recommended to implement government intervention, regulatory reforms and integrate blockchain technology. For crowdfunding to thrive in Bangladesh and make a substantial contribution to economic progress, it is necessary for multiple stakeholders to make coordinated and determined efforts. To fully unlock the revolutionary power of crowdfunding in Bangladesh's SMEs financial landscape, it is crucial to address the regulatory loopholes, improve financial awareness and use innovative technology. Research limitations/implications - The reliance on open-access sources, influenced by budget constraints and the lack of institutional access, may introduce some bias. However, the inclusion of a few key paid articles, identified through Typeset.io and reviewed for their relevance, aimed to mitigate this limitation and provide a well-rounded analysis. Practical implications - The practical implications of this review paper are significant for improving crowdfunding adoption in Bangladesh's SME sector. By identifying cultural, social, regulatory, technological and economic barriers, this paper provides insights for policymakers to design better regulations that ensure security and transparency in crowdfunding. It can also guide crowdfunding platforms to address these challenges, making their models more accessible and reliable. Entrepreneurs and investors can benefit from a clearer understanding of crowdfunding as an alternative financing option. In addition, this paper offers a foundation for future research and the development of fintech solutions tailored to emerging markets. Social implications - The social implications of this review paper are crucial for fostering inclusive entrepreneurship in Bangladesh. By addressing the barriers to crowdfunding, particularly for women and marginalized groups, the findings can promote greater access to finance for underrepresented entrepreneurs. This could lead to increased economic participation and empowerment, helping bridge the financial gap for SMEs in underserved communities. In addition, enhancing crowdfunding adoption can drive innovation, encourage community-based projects and support social enterprises, contributing to overall socioeconomic development. The insights can inspire initiatives that make crowdfunding more inclusive, helping uplift disadvantaged groups in Bangladesh's entrepreneurial landscape. Originality/value - The originality/value of this review paper lies in its comprehensive analysis of the complexities of crowdfunding for SMEs in Bangladesh, particularly within the context of Muslim nations. By synthesizing existing literature and identifying key challenges such as the lack of a legislative framework, limited understanding of crowdfunding strategies and insufficient knowledge among entrepreneurs, this review offers valuable insights for policymakers, practitioners and researchers. The recommendations proposed, including secure financial practices, strong policies and government intervention, alongside regulatory reforms and blockchain integration, contribute to advancing knowledge and informing strategies to promote sustainable crowdfunding initiatives for SMEs in emerging economies.</t>
  </si>
  <si>
    <t>[Jannat, Shabrina] Chittagong Govt Womens Coll, Dept Econ, Minist Educ, Chattogram, Bangladesh</t>
  </si>
  <si>
    <t>Jannat, S (corresponding author), Chittagong Govt Womens Coll, Dept Econ, Minist Educ, Chattogram, Bangladesh.</t>
  </si>
  <si>
    <t>shabrinajannat@gmail.com</t>
  </si>
  <si>
    <t>10.1108/IJIS-03-2024-0066</t>
  </si>
  <si>
    <t>T0H0A</t>
  </si>
  <si>
    <t>WOS:001401909600001</t>
  </si>
  <si>
    <t>Karim, N; Tariq, M; Khan, MA</t>
  </si>
  <si>
    <t>Karim, Nayab; Tariq, Muhammad; Khan, Muhammad Azam</t>
  </si>
  <si>
    <t>Examining the Moderated-Mediation Role of the Financial Sector and Institutional Quality in the Relationship Between Remittances and Economic Growth in Developing Countries</t>
  </si>
  <si>
    <t>Remittances; Economic growth; Financial sector; Institutional quality; System GMM</t>
  </si>
  <si>
    <t>EMPIRICAL-EVIDENCE; MARKET DEVELOPMENT; LATIN-AMERICA; PANEL-DATA; POVERTY; IMPACT; NEXUS; GOVERNANCE; INVESTMENT; GMM</t>
  </si>
  <si>
    <t>The study examines the moderated-mediation effects of the financial sector and institutional quality in the relationship between remittances and economic growth for 68 developing economies during 2000 to 2018. For the estimation of the results, fixed-effects and two-step system GMM techniques are employed. The findings reveal that in the first stage of the moderated-mediation, remittances positively affect the financial sector and institutional quality further strengthening the relationship between both the variables. In the second stage, the financial sector acts as a mediator to enhance economic growth, and institutional quality complements the process that propels economic growth in the recipient economies. The study also extends to income-group-categorization; the upper-middle-income group has the highest moderation-mediation index, depicting that with a strong financial and institutional framework, the impact of remittances on economic growth is more pronounced. Furthermore, the effects of the moderator, institutional quality, are captured on both individual and collective levels in index form. The findings show that the most important indicators of institutional quality for bolstering the process are government effectiveness, rule of law, regulatory quality, and corruption control. These findings suggest that financial infrastructure needs to be improved to reduce transaction costs, enhance financial inclusion, and strengthening governance to build migrants' trust to direct remittances through formal channels for promoting the long-term growth and development.</t>
  </si>
  <si>
    <t>[Karim, Nayab; Tariq, Muhammad; Khan, Muhammad Azam] Abdul Wali Khan Univ Mardan, Dept Econ, Mardan, Pakistan</t>
  </si>
  <si>
    <t>Tariq, M (corresponding author), Abdul Wali Khan Univ Mardan, Dept Econ, Mardan, Pakistan.</t>
  </si>
  <si>
    <t>nayabkarim111@gmail.com; tariq_noor@awkum.edu.pk; drazam75@awkum.edu.pk</t>
  </si>
  <si>
    <t>Tariq, Muhammad/AGE-5512-2022; Azam Khan, Muhammad/D-3285-2019</t>
  </si>
  <si>
    <t>Azam Khan, Muhammad/0000-0001-7417-3981</t>
  </si>
  <si>
    <t>10.1007/s12134-024-01184-3</t>
  </si>
  <si>
    <t>2DJ0F</t>
  </si>
  <si>
    <t>WOS:001298751400001</t>
  </si>
  <si>
    <t>Banerjee, R; Kamanda, J; Bantilan, C; Singh, NP</t>
  </si>
  <si>
    <t>Banerjee, Rupsha; Kamanda, Josey; Bantilan, Cynthia; Singh, Naveen P.</t>
  </si>
  <si>
    <t>Exploring the relationship between local institutions in SAT India and adaptation to climate variability</t>
  </si>
  <si>
    <t>NATURAL HAZARDS</t>
  </si>
  <si>
    <t>Climate change; Perceptions; Institutions; Adaptation behaviour; Adaptation constraints</t>
  </si>
  <si>
    <t>STRATEGIES; RESOURCE</t>
  </si>
  <si>
    <t>This paper examines the relationship between local institutions and adaptation to climate variability in four semi-arid villages in India. Based on a qualitative survey, it draws attention to the constraints that farming households face, the role of institutions, and the implications for their capacities to adapt. Using an institutional framework, the study examines the role of local institutions in facilitating community adaptation to perceived climate variability. It was found that at the institutional and community level farmers rely on government schemes that provide social safety nets and the private sector such as moneylenders as sources of adaptation options regarding access to credit. Serious constraints emerged, however, in terms of adaptation to what may be a more challenging future. These constraints were further explored by means of grounded theory. The lack of collective feeling and action has hindered bargaining for better market prices and the development of alternate livelihood options. The need for better financial inclusion and access to more formal systems of finance is necessary to increase the overall adaptive capacity of households. During crisis situations or climatic shocks, the absence of these systems means the sale of household assets and resources especially among small and landless groups of farmers. Overall, rural households perceive that public, civic, and private institutions play a significant role in shielding them against the adverse effects of climate variability. The perceived importance of different institutions is, however, different across different categories of farmers, women, and labourers.</t>
  </si>
  <si>
    <t>[Banerjee, Rupsha; Kamanda, Josey; Bantilan, Cynthia; Singh, Naveen P.] Inst &amp; Policies Int Crops Res Inst Semiarid Trop, Res Programme Markets, Hyderabad, Andhra Pradesh, India</t>
  </si>
  <si>
    <t>Banerjee, R (corresponding author), Inst &amp; Policies Int Crops Res Inst Semiarid Trop, Res Programme Markets, Hyderabad, Andhra Pradesh, India.</t>
  </si>
  <si>
    <t>rupsha80@gmail.com</t>
  </si>
  <si>
    <t>Kamanda, Josey/0000-0001-5537-8922</t>
  </si>
  <si>
    <t>Asian Development Bank (ADB)</t>
  </si>
  <si>
    <t>We wish to thank the Asian Development Bank (ADB) for providing financial resources to support this study. We are grateful to Senior Scientific Officers VK Chopde and Mohan Rao Yelamarthi and Resident Field Investigators N Rama Krishna, Vishwambhar Duche, Anand B Dhumale, and K Ramana Reddy for their full-time assistance in the villages of Shirapur, Kanzara, Dokur and Aurepalle.</t>
  </si>
  <si>
    <t>0921-030X</t>
  </si>
  <si>
    <t>1573-0840</t>
  </si>
  <si>
    <t>NAT HAZARDS</t>
  </si>
  <si>
    <t>Nat. Hazards</t>
  </si>
  <si>
    <t>10.1007/s11069-012-0417-9</t>
  </si>
  <si>
    <t>063OD</t>
  </si>
  <si>
    <t>WOS:000313008500013</t>
  </si>
  <si>
    <t>Baftijari, AY; Kamberi, A; Memeti, A</t>
  </si>
  <si>
    <t>Baftijari, Aida Yzeiri; Kamberi, Artina; Memeti, Agon</t>
  </si>
  <si>
    <t>BREAKING THE RULE OF ELASTICITY: INELASTIC GOLD DEMAND IN LOW-INCOME AND EMERGING ECONOMIES. EVIDENCE FROM THE WESTERN BALKANS</t>
  </si>
  <si>
    <t>BALTIC JOURNAL OF ECONOMIC STUDIES</t>
  </si>
  <si>
    <t>gold demand; price elasticity; income elasticity; Western Balkans; behavioural economics; cultural factors; precious metals; panel data</t>
  </si>
  <si>
    <t>The present study investigates the persistent inelasticity of gold demand in financially constrained economies, focusing on the Western Balkans as an empirical case. The classical demand theory posits the premise that luxury goods should demonstrate relatively high elasticities with respect to both income and price. Contrary to the predictions made by theoretical models, the findings of this study indicate that demand for gold in the region remains significantly inelastic, a phenomenon that extends to lower-income countries as well, where gold constitutes a substantial component of household balance sheets. Utilising a panel dataset for Western Balkan economies over the period 2015-2024, a log-linear dynamic panel model of physical gold consumption was estimated. This model incorporates international gold prices, real income per capita, and proxies capturing cultural and behavioural determinants. The econometric strategy is predicated on the utilisation of fixed-effects estimation, complemented by the execution of robustness checks employing random-effects models, instrumental-variable techniques, and generalised method of moments (GMM) estimators. The results demonstrate that the price elasticity of gold demand is approximately-0.21 and the income elasticity is around 0.06. This confirms that gold consumption is only minimally sensitive to changes in price or income levels. Furthermore, both cultural perception indices and a behavioural factor index, constructed from survey responses and synthetic behavioural data, exert a statistically and economically significant positive effect on gold demand. These findings suggest that gold operates as a safe-haven asset, a store of value and a culturally significant symbolic good within the Western Balkans. The study makes a valuable contribution to literature on commodity demand, behavioural economics and household portfolio choice, as it shows that conventional elasticity predictions are inaccurate in situations where cultural norms, financial exclusion and heightened risk perceptions take precedence over purely price-based decision-making.</t>
  </si>
  <si>
    <t>[Baftijari, Aida Yzeiri; Kamberi, Artina; Memeti, Agon] Univ Tetova, Tetovo, North Macedonia</t>
  </si>
  <si>
    <t>University of Tetova</t>
  </si>
  <si>
    <t>Memeti, A (corresponding author), Univ Tetova, Tetovo, North Macedonia.</t>
  </si>
  <si>
    <t>aida.yzeiri@unite.edu.mk; artina.kamberi@unite.edu.mk; agon.memeti@unite.edu.mk</t>
  </si>
  <si>
    <t>Memeti, Agon/GLT-0808-2022</t>
  </si>
  <si>
    <t>Baltija Publishing</t>
  </si>
  <si>
    <t>Riga</t>
  </si>
  <si>
    <t>Valdeku str. 62-156, Riga, Latvia, Riga, LATVIA</t>
  </si>
  <si>
    <t>2256-0742</t>
  </si>
  <si>
    <t>2256-0963</t>
  </si>
  <si>
    <t>BALT J ECON STUD</t>
  </si>
  <si>
    <t>Balt. J. Econ. Stud.</t>
  </si>
  <si>
    <t>10.30525/2256-0742/2025-11-5-393-405</t>
  </si>
  <si>
    <t>AL3BB</t>
  </si>
  <si>
    <t>WOS:001650819900012</t>
  </si>
  <si>
    <t>Michael, A; Tashikalma, AK; Kolawole, AA; Akintunde, MO</t>
  </si>
  <si>
    <t>Michael, Amurtiya; Tashikalma, Abdu Karniliyus; Kolawole, Adewuyi Adekunle; Akintunde, Monisola Olukemi</t>
  </si>
  <si>
    <t>Rural Livelihood Improvement: An Assessment of Household strategies And Activities in Adamawa State, Nigeria</t>
  </si>
  <si>
    <t>rural livelihood; strategies; activities; Adamawa State; Nigeria</t>
  </si>
  <si>
    <t>INCOME DIVERSIFICATION; POVERTY; DETERMINANTS</t>
  </si>
  <si>
    <t>The livelihood of rural residents is paramount in the development of the Nigerian State. The broad objective of this study was to assess rural livelihoods in Adamawa State, Nigeria. In specific terms, the study described rural residents' socio-economic characteristics, identified their livelihood strategies and activities, examined factors affecting the undertaking of diverse livelihood activities, and also identified livelihood constraints in the study area. A multistage sampling technique was used to collect primary data from 480 selected household heads spread across 16 villages from the three agroecological zones of the State. Descriptive statistics and Ordinary Least Square (OLS) regression analysis were used in the data analysis. Findings of the study revealed that most of the respondents were male with a mean age of 46 years and were mostly (over 60%) educated. Married persons constituted the majority (about 90%), having an average household size of the respondents was seven persons. The main livelihood strategies in the area were diversification, intensification, and migration with agriculture-related activities being the most common. The study also revealed that the livelihood activities in the area were significantly affected by age (X-1), gender(X-2), marital status (X-3), household size (X-4), educational level (X-5), farm size (X-6), remittance (X-7), social group membership (X-8), and access to credit (X-9). The respondents' foremost livelihood constraints identified in the study were the lack of basic social amenities, poor political representation, insecurity challenges, lack of capital/financial exclusion, and adverse climatic conditions. Key among the recommendations of the study was the need for substantial investments in the provision of physical infrastructure in rural areas and also the provision of adequate security of lives and properties in conflict-affected areas.</t>
  </si>
  <si>
    <t>[Michael, Amurtiya; Tashikalma, Abdu Karniliyus] Modibbo Adama Univ Technol, Yola, Nigeria; [Kolawole, Adewuyi Adekunle] Fed Polytech, Mubi, Nigeria; [Akintunde, Monisola Olukemi] Taraba State Univ, Jalingo, Nigeria</t>
  </si>
  <si>
    <t>Michael, A (corresponding author), Modibbo Adama Univ Technol, Yola, Nigeria.</t>
  </si>
  <si>
    <t>michaelamurtiya@yahoo.com; karniliyusabdu@yahoo.com; kolbetsy@yahoo.com; akintunde.monisola@yahoo.com</t>
  </si>
  <si>
    <t>Amurtiya, Michael/AAU-2738-2020</t>
  </si>
  <si>
    <t>SV4GT</t>
  </si>
  <si>
    <t>WOS:000663779500001</t>
  </si>
  <si>
    <t>Pilloni, M; Abu Hamed, T; Joyce, S</t>
  </si>
  <si>
    <t>Pilloni, Martina; Abu Hamed, Tareq; Joyce, Sharon</t>
  </si>
  <si>
    <t>Assessing the success and failure of biogas units in Israel: Social niches, practices, and transitions among Bedouin villages</t>
  </si>
  <si>
    <t>Biogas technology; Renewable energy technology; Renewable energy diffusion; Sustainable innovation; Multi-level perspective (MLP) framework; Energy research</t>
  </si>
  <si>
    <t>RURAL ENERGY TECHNOLOGIES; RENEWABLE ENERGY; SOCIOTECHNICAL TRANSITIONS; MULTILEVEL PERSPECTIVE; INNOVATION SYSTEMS; SOLAR-ENERGY; DIFFUSION; BARRIERS; SUSTAINABILITY; SCIENCE</t>
  </si>
  <si>
    <t>The heuristic multi-level perspective framework (MLP) is applied here to explore the innovation process and determinants of adoption and diffusion of an individual project. Drawing on insights from this explanatory and integrative framework, we benefit from an in-depth examination into drivers and barriers to biogas technology. We retrospectively investigate a frame of the project Integrated Waste Recycling Systems for Agricultural and Environmental Safety Purposes in Rural Communities in Jordan and Israel. Precisely, our work focuses on the outcomes of the implementation of biogas units in three Bedouin villages in Southern Israel. The adoption and diffusion of technology incorporated learning processes and changing behaviours such as skill development, competencies, social practices and new social roles. Knowledge, and financial and policymaker support were critical drivers. Besides, the involvement of women and young community members was a crucial aspect of the adoption. By contrast, patriarchy and financial capability represented barriers. We commented on the creation of social niches, and we recognised niche management actions along with the project progression. The introduction of social niches concept represents an extension to the traditional MLP vocabulary throughout a new paradigm of meanings. The social niche plays the role of the agency that embodies individuals' level and bridges social practices to the regime. Moreover, we conclude that the biogas innovation process was the outcome of the coevolution of technological and social niches. Furthermore, we assert the importance of exploring the role of social niches and niche strategic management in the transition studies in poor contexts.</t>
  </si>
  <si>
    <t>[Pilloni, Martina] Newcastle Univ, Fac Sci Agr &amp; Engn, Newcastle Upon Tyne NE1 7RU, Tyne &amp; Wear, England; [Abu Hamed, Tareq] Arava Inst Environm Studies, IL-88840 Kibbutss Ketura, Dn Hevel Eilot, Israel; [Abu Hamed, Tareq] Tamar Reg Council, Dead Sea &amp; Arava Sci Ctr, Dead Sea mobile, Israel; [Joyce, Sharon] Newcastle Univ, Sch Engn, Merz Court NE1 7RU, England</t>
  </si>
  <si>
    <t>Newcastle University - UK; Newcastle University - UK</t>
  </si>
  <si>
    <t>Pilloni, M (corresponding author), Newcastle Univ, Fac Sci Agr &amp; Engn, Newcastle Upon Tyne NE1 7RU, Tyne &amp; Wear, England.</t>
  </si>
  <si>
    <t>martina.pilloni@gmail.com</t>
  </si>
  <si>
    <t>Pilloni, Martina/B-4020-2019</t>
  </si>
  <si>
    <t>Pilloni, Martina/0000-0001-7598-7290</t>
  </si>
  <si>
    <t>10.1016/j.erss.2019.101328</t>
  </si>
  <si>
    <t>KN5HN</t>
  </si>
  <si>
    <t>WOS:000514868000002</t>
  </si>
  <si>
    <t>Gyori, Z; Benedek, B</t>
  </si>
  <si>
    <t>Gyori, Zsuzsanna; Benedek, Borbala</t>
  </si>
  <si>
    <t>Stakeholders and opportunities of debt settlement as a values-based banking activity in Hungary</t>
  </si>
  <si>
    <t>Cooperation of stakeholders; Debt settlement; Debt trap; Financial awareness training and mentoring; Roma people; Values-based banking</t>
  </si>
  <si>
    <t>ISLAMIC FINANCE</t>
  </si>
  <si>
    <t>Purpose The purpose of this paper is to discuss the stakeholders of debt settlement programmes in general and some lessons learnt from the most significant debt settlement programmes of recent years in Hungary. The study also presents a planned debt settlement programme in Hungary. The paper explores and details behaviours and motivations of different stakeholders in debt settlement in general and also with reference to a specific case study. As for its main research question, the paper seeks to identify the preconditions of a successful debt settlement programme with specially emphasis on the poor. Design/methodology/approach Data from semi-structured in-depth expert interviews, documents and former research papers were collected for identifying previous Hungarian debt settlement programmes and potential lessons learnt. After a general discussion, based on primary and secondary sources, a case study is presented to obtain a more comprehensive understanding of opportunities and challenges of debt settlement. Findings Six preconditions of successful debt settlement targeting the poor are identified. In the case study, the existence and relevance of these preconditions are tested: the main finding is that they all are important for solving the situations, so a partial solution is not sufficient. In the scope of the case study, more precisely within the planned innovative banking solution, the motivations of the bank and the coordinator NGO are identified. On the part of the bank, motivations for solving social problems (both as far as business and moral issues are concerned) are relevant, while - as for the other party - the situation of the debtor is important to understand so that opportunities of cooperation can be identified. In addition, as other stakeholders also influence the potentials of the programme, their cooperative attitude is also needed. Research limitations/implications Limitations consist in generalisation: the study presents some cases from one single country and finally it focuses only on one specific case in one specific social and economic context in Hungary. Having recognized this risk, the author opted for basing research questions on theory, documented the process in detail, and also used triangulation through applying a multiple data collection (interview, content analysis, literature review) method. Practical implications Besides presenting an academic understanding of the phenomena, the goal of the study is to contextualize and interpret the case, to help the realization of currently frozen initiatives and to promote similar future ones. Social implications Indebtedness is a stressful situation affecting families, smaller communities and broader society as well. The planned cooperation of BAGazs and MagNet tries to help people excluded from the banking system. So that a deeper debt trap can be avoided, the goal of this programme is to purchase, partially discharge and reschedule pre-accumulated debts of carefully selected people who have regular income and are willing to undertake bearable repayment. The idea is very innovative with literally no good practice to follow. The research seeks to clarify the pitfalls and opportunities to help the realization of the project and similar future ones. Originality/value A certain form of values-based banking concerns the financial inclusion of the poor, e.g. debt settlement. Nevertheless, over-indebtedness and the settlement of existing debts as well as the relevance of such issues to the financial inclusion are not emphasized enough in the literature or in practice. Besides presenting an academic understanding of the phenomena, the goal of the study is to contextualize and interpret the case, to help the realization of currently frozen initiatives and to promote similar future ones.</t>
  </si>
  <si>
    <t>[Gyori, Zsuzsanna] Budapest Business Sch, Fac Finance &amp; Accountancy, Dept Management, Budapest, Hungary; [Benedek, Borbala] Menedek Assoc, Budapest, Hungary</t>
  </si>
  <si>
    <t>Gyori, Z (corresponding author), Budapest Business Sch, Fac Finance &amp; Accountancy, Dept Management, Budapest, Hungary.</t>
  </si>
  <si>
    <t>gyori.zsuzsanna@uni-bge.hu; boribeni@gmail.com</t>
  </si>
  <si>
    <t>Higher Education Institutional Excellence Program of the Ministry for Innovation and Technology [NKFIH-1163-10/2019]</t>
  </si>
  <si>
    <t>Higher Education Institutional Excellence Program of the Ministry for Innovation and Technology</t>
  </si>
  <si>
    <t>This research was supported by the Higher Education Institutional Excellence Program of the Ministry for Innovation and Technology in the framework of the Financial and Public Services research project (reference number: NKFIH-1163-10/2019) at Corvinus University of Budapest.</t>
  </si>
  <si>
    <t>10.1108/SRJ-04-2020-0134</t>
  </si>
  <si>
    <t>3V8TK</t>
  </si>
  <si>
    <t>WOS:000706234600001</t>
  </si>
  <si>
    <t>Colombi, R; Giordano, S</t>
  </si>
  <si>
    <t>Colombi, Roberto; Giordano, Sabrina</t>
  </si>
  <si>
    <t>Markov switching stereotype logit models for longitudinal ordinal data affected by unobserved heterogeneity in responding behavior</t>
  </si>
  <si>
    <t>ASTA-ADVANCES IN STATISTICAL ANALYSIS</t>
  </si>
  <si>
    <t>Latent variables; Response styles; Logit regression models; Hidden Markov models; Financial capability</t>
  </si>
  <si>
    <t>STYLES</t>
  </si>
  <si>
    <t>When asked to assess their opinion about attitudes or perceptions on Likert-scale, respondents often endorse the midpoint or extremes of the scale and agree or disagree regardless of the content. These responding behaviors are known in the psychometric literature as middle, extremes, aquiescence and disacquiescence response styles that generally introduce bias in the results. One of the key motivations behind our approach is to account for these attitudes and how they evolve over time. The novelty of our proposal, in the context of longitudinal ordered categorical data, is in considering simultaneously the temporal dynamics of the responses (observable ordinal variables) and unobservable answering behaviors, possibly influenced by response styles, through a Markov switching logit model with two latent components. One component accommodates serial dependence and respondent's unobserved heterogeneity, the other component determines the responding attitude (due to response styles or not). The dependence of the responses on covariates is modelled by a stereotype logit model with parameters varying according to the two latent components. The stereotype logit model is adopted because it is a flexible extension of the proportional odds logit model that retains the advantage of using a single parameter to describe a regressor effect. In the paper, a new interpretation of the parameters of the stereotype model is given by defining the allocation sets as intervals of values of the linear predictor that identify the most probable response. Unobserved heterogeneity, serial dependence and tendency to response style are modelled through our approach on longitudinal data, collected by the Bank of Italy.</t>
  </si>
  <si>
    <t>[Colombi, Roberto] Univ Bergamo, Dept Management Informat &amp; Prod Engn, Bergamo, Italy; [Giordano, Sabrina] Univ Calabria, Dept Econ Stat &amp; Finance Giovanni Anania, Via P Bucci,Cubo 0C, I-87036 Arcavacata Di Rende, Italy</t>
  </si>
  <si>
    <t>University of Bergamo; University of Calabria</t>
  </si>
  <si>
    <t>Giordano, S (corresponding author), Univ Calabria, Dept Econ Stat &amp; Finance Giovanni Anania, Via P Bucci,Cubo 0C, I-87036 Arcavacata Di Rende, Italy.</t>
  </si>
  <si>
    <t>roberto.colombi@unibg.it; sabrina.giordano@unical.it</t>
  </si>
  <si>
    <t>giordano, sabrina/0000-0002-3635-9440</t>
  </si>
  <si>
    <t>MUR, Italy [2022XRHT8R]; Mur PRIN 2022 [CA19130 'Fintech]; COST Action; COST (European Cooperation in Science and Technology)</t>
  </si>
  <si>
    <t>MUR, Italy(Ministry of Education, Universities and Research (MIUR)); Mur PRIN 2022(Ministry of Education, Universities and Research (MIUR)); COST Action(European Cooperation in Science and Technology (COST)); COST (European Cooperation in Science and Technology)(European Cooperation in Science and Technology (COST))</t>
  </si>
  <si>
    <t>We gratefully acknowledge the two Referees whose contributions significantly improved the initial version of the paper. The author Sabrina Giordano received partial financial support by Mur PRIN 2022, grant number 2022XRHT8R - The SMILE project (Statistical Modelling and Inference to Live the Environment) and by COST Action CA19130 'Fintech and Artificial Intelligence in Finance - Towards a transparent financial industry', funded by COST (European Cooperation in Science and Technology).</t>
  </si>
  <si>
    <t>1863-8171</t>
  </si>
  <si>
    <t>1863-818X</t>
  </si>
  <si>
    <t>ASTA-ADV STAT ANAL</t>
  </si>
  <si>
    <t>AStA-Adv. Stat. Anal.</t>
  </si>
  <si>
    <t>10.1007/s10182-024-00500-7</t>
  </si>
  <si>
    <t>Z0X3J</t>
  </si>
  <si>
    <t>WOS:001223455800001</t>
  </si>
  <si>
    <t>Beltrame, F; Grassetti, L; Bertinetti, GS; Sclip, A</t>
  </si>
  <si>
    <t>Beltrame, Federico; Grassetti, Luca; Bertinetti, Giorgio Stefano; Sclip, Alex</t>
  </si>
  <si>
    <t>Relationship lending, access to credit and entrepreneurial orientation as cornerstones of venture financing</t>
  </si>
  <si>
    <t>Access to credit; Entrepreneurial orientation; Relationship lending; SMEs</t>
  </si>
  <si>
    <t>MARKET ORIENTATION; BUSINESS PERFORMANCE; SOFT INFORMATION; MEDIATING ROLE; RISK-TAKING; INNOVATION; DIMENSIONS; SUCCESS; SMES; ENVIRONMENT</t>
  </si>
  <si>
    <t>Purpose This paper investigates the effect of entrepreneurial orientation (EO) on small- and medium-sized enterprises' (SMEs) access to credit. Starting with the idea that SMEs' strategy-making process, structures and behaviour can favour credit access, the authors also explore the moderating role of bank lending technologies in shaping this relationship. Design/methodology/approach This study relies on a unique survey of Austrian and Italian SMEs which contains detailed information on access to credit, EO dimensions, relationship lending and firm-level characteristics. The authors perform stepwise logistic regressions to assess whether EO interacts with SME's access to finance, and how relationship lending enhances this relationship. Findings Proactiveness, autonomy and competitive aggressiveness are important constructs for improving access to bank financing. Those dimensions became more important when a relationship bank is involved, suggesting a role for relationship lending in overcoming SMEs' opaqueness. In addition, relationship lending is crucial for innovative SMEs in overcoming credit denial rates. Research limitations/implications The small sample did not allow to analyse the effect of EO on discouraged borrowers. Furthermore, alternative measures of relationship lending (such as geographical proximity or the length of the relationship) and the share of credit granted by the relationship bank would have been interesting to further validate our results. Practical implications This study shows that EO dimensions and the type of lending technology are relevant for the financial success of SMEs. More precisely, the authors show that diversity within the banking system helps innovative, autonomous, proactive and competitive SMEs. These important pieces of soft information are injected into the final lending decision when a relationship bank is involved. The evidence suggests the need for SMEs to interact with local banks to fully exploit their EO posture. Originality/value To the authors' knowledge, this paper is the first attempt to analyse whether relationship lending can affect the EO-credit access relation.</t>
  </si>
  <si>
    <t>[Beltrame, Federico; Bertinetti, Giorgio Stefano] Ca Foscari Univ Venice, Dept Management, Venice, Italy; [Grassetti, Luca] Univ Udine, Dept Econ &amp; Stat, Udine, Italy; [Sclip, Alex] Univ Verona, Verona, Italy</t>
  </si>
  <si>
    <t>Universita Ca Foscari Venezia; University of Udine; University of Verona</t>
  </si>
  <si>
    <t>Beltrame, F (corresponding author), Ca Foscari Univ Venice, Dept Management, Venice, Italy.</t>
  </si>
  <si>
    <t>federico.beltrame@unive.it</t>
  </si>
  <si>
    <t>SCLIP, ALEX/0000-0001-7914-3554; BELTRAME, Federico/0000-0002-4673-9041; Grassetti, Luca/0000-0003-1997-8001; Bertinetti, Giorgio Stefano/0000-0001-7056-7000</t>
  </si>
  <si>
    <t>10.1108/JSBED-07-2021-0281</t>
  </si>
  <si>
    <t>X6OV7</t>
  </si>
  <si>
    <t>WOS:000771619700001</t>
  </si>
  <si>
    <t>El-Haddad, A</t>
  </si>
  <si>
    <t>El-Haddad, Amirah</t>
  </si>
  <si>
    <t>Political Patronage and Economic Opportunity: Vertical Integration in Egyptian Textiles and Clothing</t>
  </si>
  <si>
    <t>Vertical integration; Political economy; Access to power; Transaction costs; Textiles and clothing; Egypt</t>
  </si>
  <si>
    <t>FINANCIAL DEVELOPMENT; INCOMPLETE CONTRACTS; GARMENT INDUSTRY; MARKETS; GOVERNANCE; COSTS; DETERMINANTS; EMBEDDEDNESS; ENFORCEMENT; STRATEGIES</t>
  </si>
  <si>
    <t>Utilizing an original data set, this paper demonstrates how protectionist industrial policy during the period of hybrid liberalization has shaped the organizational structure of clothing firms in Egypt. It investigates determinants of vertical integration of clothing firms into fabric production. High-end market segments are a critical determinant of integration. Limited access to finance restricts the possibilities for many firms to undertake the investment required to integrate, whilst volatile and uncertain market conditions make firms more likely to rely on the market for their inputs. But there are nuances related to market segment. Producers of higher quality garments rely on imported textiles, so these producers do not integrate even if search and switch costs are high. But the opposite is true of producers relying on domestic suppliers. Foreign institutions are better able to ensure contract enforcement with respect to quality and timely delivery so that suppliers' opportunistic behaviour is deterred, reducing the necessity of clothing firms to integrate. This may not be the case with respect to domestic suppliers when domestic institutions do not guarantee the same level of enforcement. The adoption of the hybrid liberalization model meant that the transition to a market economy was not preceded by the creation of the necessary regulatory framework. This model resulted in inefficient upstream production and in an institutional setting conducive to agency problems. It also meant that business suffers excessive and inefficient bureaucracy. It is thus not possible for firms to achieve the first best outcome of arm's length relations based on frictionless market transactions. Given these structural constraints firms opt for the second best solution of make rather than buy, i.e. vertical integration. But only some firms are able to use the arbitrary and discretionary decision making system to their favour, negotiating government obstacles to successful business. Those linked to power, prospered, whilst the businesses of others foundered against the wall of patronage, bureaucracy and red tape.</t>
  </si>
  <si>
    <t>[El-Haddad, Amirah] German Inst Dev &amp; Sustainabil IDOS, Programme Transformat Econ &amp; Social Syst, Stabil &amp; Dev Middle East &amp; North Africa, Tulpenfeld 6, D-53113 Bonn, Germany; [El-Haddad, Amirah] Cairo Univ, Fac Econ &amp; Polit Sci, Giza, Egypt; [El-Haddad, Amirah] ERF, Cairo, Egypt</t>
  </si>
  <si>
    <t>El-Haddad, A (corresponding author), German Inst Dev &amp; Sustainabil IDOS, Programme Transformat Econ &amp; Social Syst, Stabil &amp; Dev Middle East &amp; North Africa, Tulpenfeld 6, D-53113 Bonn, Germany.;El-Haddad, A (corresponding author), Cairo Univ, Fac Econ &amp; Polit Sci, Giza, Egypt.;El-Haddad, A (corresponding author), ERF, Cairo, Egypt.</t>
  </si>
  <si>
    <t>Amirah.El-Haddad@idos-research.de</t>
  </si>
  <si>
    <t>El-Haddad, Amirah/0000-0001-5569-8766</t>
  </si>
  <si>
    <t>10.1057/s41287-023-00580-2</t>
  </si>
  <si>
    <t>WOS:000992764200001</t>
  </si>
  <si>
    <t>Elhajji, AA; Mihai-Yiannaki, S</t>
  </si>
  <si>
    <t>Elhajji, Ahmed Abdulhadi; Mihai-Yiannaki, Simona</t>
  </si>
  <si>
    <t>Strategic and regulatory challenges of mergers and acquisitions in the Libyan banking sector: a theoretical and practical approach</t>
  </si>
  <si>
    <t>INTERNATIONAL JOURNAL OF ORGANIZATIONAL ANALYSIS</t>
  </si>
  <si>
    <t>Efficiency; Mergers and acquisitions; Banking; Behavioural finance; Cultural integration; Hubris</t>
  </si>
  <si>
    <t>PurposeThis study aims to explore the gap between the theoretical advantages of mergers and acquisitions (M&amp;A) and their limited success in Libya's banking sector, examining how M&amp;A strategies perform within a politically unstable and heavily regulated environment.Design/methodology/approachThe study used a qualitative approach, conducting semi- structured interviews with 50 senior managers from Libyan banks. Thematic analysis with NVivo software examined five core hypotheses derived from (M&amp;A) theory.FindingsAlthough M&amp;A is expected to enhance financial performance and efficiency, in Libya it is hampered by outdated systems, high integration costs, regulatory ambiguity and political interference, while cultural misalignment, managerial overconfidence, behavioural biases, weak oversight and poor infrastructure obstruct post-merger benefits.Research limitations/implicationsBased on manager perceptions from a single country, this cross-sectional study lacks direct financial performance metrics. Future research should adopt longitudinal, quantitative and comparative approaches to link specific integration actions with financial and operational outcomes in fragile or transitional banking systems.Practical implicationsPrioritise core systems and compliance upgrades; pursue regulatory reform; leverage regional/fintech partnerships and selective cloud solutions to lower integration costs; invest in leadership and change-management capability.Social implicationsBetter integrated, well-regulated, technologically modern banks could widen financial inclusion, support reconstruction finance and reduce employment disruption through planned workforce transition and financial/digital literacy initiatives.Originality/valueThis study integrates M&amp;A, institutional and behavioural finance perspectives to explain outcomes in a state-controlled, post-conflict banking environment; it extends M&amp;A theory by showing how institutional fragmentation and political drivers shape results in transitional/fragile markets.</t>
  </si>
  <si>
    <t>[Elhajji, Ahmed Abdulhadi] European Univ Cyprus, Dept PhD Business Adm, Nicosia, Cyprus; [Mihai-Yiannaki, Simona] European Univ Cyprus, Dept Accounting Econ &amp; Finance, Nicosia, Cyprus</t>
  </si>
  <si>
    <t>European University Cyprus; European University Cyprus</t>
  </si>
  <si>
    <t>Elhajji, AA (corresponding author), European Univ Cyprus, Dept PhD Business Adm, Nicosia, Cyprus.</t>
  </si>
  <si>
    <t>ae192234@students.euc.ac.cy; S.Mihai@euc.ac.cy</t>
  </si>
  <si>
    <t>1934-8835</t>
  </si>
  <si>
    <t>1758-8561</t>
  </si>
  <si>
    <t>INT J ORGAN ANAL</t>
  </si>
  <si>
    <t>Int. J. Organ. Anal.</t>
  </si>
  <si>
    <t>10.1108/IJOA-11-2024-4968</t>
  </si>
  <si>
    <t>8FT4E</t>
  </si>
  <si>
    <t>WOS:001587610100001</t>
  </si>
  <si>
    <t>Olusuyi, AE; Akinbobola, TO; Okposin, S; Ola-David, O</t>
  </si>
  <si>
    <t>Olusuyi, Ajayi E.; Akinbobola, T. O.; Okposin, Samuel; Ola-David, Oluyomi</t>
  </si>
  <si>
    <t>Empirical Analysis of the Effect of Exchange Rate Volatility and Capital Inflows on Economic Growth in Nigeria (1970-2013)</t>
  </si>
  <si>
    <t>Exchange rate volatility; Capital inflows; Economic growth; Saving- Investment gap; General Method of Moment and Nigeria</t>
  </si>
  <si>
    <t>FOREIGN DIRECT-INVESTMENT; RATE VARIABILITY</t>
  </si>
  <si>
    <t>This study examines the effects of exchange rate volatility and capital inflows on the economic growth (GDP) in Nigeria between 1970 and 2013. The study used FDI and remittance which proved to be most vital components of Foreign Capital inflow to Nigeria currently as demonstrated by various literature to proxy capital inflow. The result of our Generalised Method of Moments (GMM) estimator shows that Foreign Direct Investment (FDI), Capital, Financial Development (FD) had significant positive effects on Gross Domestic Product (GDP) while Remittance, the lag value of Exchange Rate Volatility (EXRVt-i), Financial liberalisation (FL) and Labour force had significant negative effect on GDP. On the other hand, Exchange Rate volatility (EXRV) has positive but insignificant effect on GDP. This study therefore enjoined the present administration in Nigeria to provide enabling financial and infrastructural environment that will attract the inflow of FDI to agric sector, solid minerals and agro allied industry which the government intends to use as vocal points to diversify the economy from present dependence on failing oil revenue. Equally economic policy that will encourage more of the remittances inflow to Nigeria to productive investment rather than consumption which has no positive impact on economy should be enthreshed into Nigeria financial policy. Finally, more financial reforms that will not only improve financial inclusion especially at the rural sector but that will also remove totally the negative effect of EXRV on economic growth should be introduced into Nigerian financial system.</t>
  </si>
  <si>
    <t>[Olusuyi, Ajayi E.] Bells Univ Technol, Ota, Nigeria; [Olusuyi, Ajayi E.] Covenant Univ, Ota, Nigeria; [Akinbobola, T. O.] Obafemi Awolowo Univ, Dept Econ, Ife, Nigeria; [Okposin, Samuel] Covenant Univ, Dept Econ &amp; Dev Studies, Ota, Nigeria; [Ola-David, Oluyomi] Covenant Univ, Dept Econ &amp; Dev Studies, Ota, Nigeria</t>
  </si>
  <si>
    <t>Bells University of Technology, Ota; Covenant University; Obafemi Awolowo University; Covenant University; Covenant University</t>
  </si>
  <si>
    <t>Olusuyi, AE (corresponding author), Bells Univ Technol, Ota, Nigeria.;Olusuyi, AE (corresponding author), Covenant Univ, Ota, Nigeria.</t>
  </si>
  <si>
    <t>olusuyiajayi@yahoo.co.uk; tbobola@yahoo.com; samuel.okposin@cu.edu.ng; olu.oladavid@covenantuniversity.edu.ng</t>
  </si>
  <si>
    <t>Emmanuel Olusuyi, Ajayi/0000-0002-4456-4970</t>
  </si>
  <si>
    <t>WOS:000381172300089</t>
  </si>
  <si>
    <t>Afroze, D; Rista, FI</t>
  </si>
  <si>
    <t>Afroze, Dilruba; Rista, Faria Islam</t>
  </si>
  <si>
    <t>Mobile financial services (MFS) and digital inclusion - a study on customers' retention and perceptions</t>
  </si>
  <si>
    <t>Mobile financial service (MFS); Financial inclusion; Developing country; Dependency; Digital innovation; Security; Digital inclusion; G21; G32</t>
  </si>
  <si>
    <t>CONSUMER ADOPTION; BANKING; CHALLENGES; ACCEPTANCE</t>
  </si>
  <si>
    <t>Purpose Mobile financial service (MFS) is a fast-growing industry in the emerging markets of Asia, Africa and the Middle East. It provides benefits to economically marginalised people who are excluded by formal financial channels. While many people tend to use MFSs, several others do not. Therefore, the purpose of this study is to explore customer loyalty with a specific focus on understanding the user behaviour of MFSs in Bangladesh. Design/methodology/approach The authors conducted 12 in-depth personal interviews with various types of users from the urban area of Bangladesh to comprehend their perceptions about the use of MFS. Thematic analysis was used to analyse the interviews and understand the behavioural patterns of the respondents. Findings The authors found a gap between the registered users and active users of MFS and found some interesting factors leading to this phenomenon. These are dependency, lack of basic digital literacy, lack of perceived usefulness, lack of perceived ease of use, security concerns and transaction costs. The present study also suggested that if employers make it mandatory for employees to get their salaries through MFS, it will increase the number of active users. In addition, this study extensively focused on the behavioural patterns of women using MFS. Practical implications The study's key practical implication is that MFS providers investments towards adding new features result in improved relationships with users and retain them in the market. Originality/value Some of these factors have not been previously documented in the literature. For example, female dependency on their male counterparts while using MFS is an interesting issue that needs to be minimised, as suggested by the present research findings.</t>
  </si>
  <si>
    <t>[Afroze, Dilruba] Bangladesh Univ Professionals, Fac Business Studies, Dhaka, Bangladesh; [Rista, Faria Islam] North South Univ, Sch Business &amp; Econ, Dhaka, Bangladesh</t>
  </si>
  <si>
    <t>Afroze, D (corresponding author), Bangladesh Univ Professionals, Fac Business Studies, Dhaka, Bangladesh.</t>
  </si>
  <si>
    <t>dilruba.afroze@bup.edu.bd; faria.rista@northsouth.edu</t>
  </si>
  <si>
    <t>; rista, faria/KBA-2854-2024</t>
  </si>
  <si>
    <t>Afroze, Dilruba/0000-0002-6146-308X;</t>
  </si>
  <si>
    <t>10.1108/QRFM-06-2021-0095</t>
  </si>
  <si>
    <t>WOS:000776606900001</t>
  </si>
  <si>
    <t>Firdaush, S; Das, P</t>
  </si>
  <si>
    <t>Firdaush, Shama; Das, Pinaki</t>
  </si>
  <si>
    <t>Exploring the multidimensional aspects of women's disempowerment in India: a socio-economic perspective</t>
  </si>
  <si>
    <t>Women; Disempowerment; Multidimensional; Alkire-Foster; India</t>
  </si>
  <si>
    <t>EMPOWERMENT; AGENCY</t>
  </si>
  <si>
    <t>PurposeThis study assesses the status of women's empowerment in India through a multidimensional lens, analysing trends from 2005-2006 to 2019-2021 using data from the National Family Health Survey. It constructs a Multidimensional Women's Disempowerment Index (MWDI) covering three core dimensions (decision-making, physical mobility and awareness) and investigates the influence of socio-demographic and economic factors on women's empowerment.Design/methodology/approachEmploying Alkire-Foster methodology, the MWDI is developed using direct indicators of disempowerment. A quantitative analytical approach with Heckman Two-Step Estimation identifies determinants of multidimensional disempowerment among married women aged 15-49 years, emphasizing subgroups such as Scheduled Tribes (STs), Other Backward Castes (OBCs), Muslims, and rural women.FindingsDespite notable progress, 53.3% of married women in India remain multidimensionally disempowered, with restricted physical mobility being the predominant factor. Rural women, along with those belonging to STs, OBCs and the Muslim community, exhibit greater vulnerability. Education, employment, financial inclusion and mass media exposure enhance empowerment, whereas low self-esteem and spousal dominance hinder it.Social implicationsThe findings underscore the urgency of designing intersectional and group-specific empowerment initiatives. Policies must integrate social awareness campaigns, improve access to education and financial services and address patriarchal norms through behavioural interventions - ensuring that empowerment strategies are holistic, inclusive and sustainable for gender equity.Originality/valueThis research addresses the limited literature on longitudinal multidimensional assessments of women's empowerment in India. By introducing a robust MWDI it identifies persistent socio-economic disparities and provides evidence-based insights crucial for designing targeted policies.Peer reviewThe peer review history for this article is available at: https://publons.com/publon/10.1108/IJSE-12-2024-1088</t>
  </si>
  <si>
    <t>[Firdaush, Shama] Jogamaya Devi Coll, Dept Econ, Kolkata, India; [Das, Pinaki] Vidyasagar Univ, Dept Econ, Midnapore, India</t>
  </si>
  <si>
    <t>Das, P (corresponding author), Vidyasagar Univ, Dept Econ, Midnapore, India.</t>
  </si>
  <si>
    <t>shama.firdaush@gmail.com; pdasvu@mail.vidyasagar.ac.in</t>
  </si>
  <si>
    <t>; Das, Pinaki/AGS-2546-2022</t>
  </si>
  <si>
    <t>FIRDAUSH, SHAMA/0000-0001-7663-5182;</t>
  </si>
  <si>
    <t>10.1108/IJSE-12-2024-1088</t>
  </si>
  <si>
    <t>8FB4T</t>
  </si>
  <si>
    <t>WOS:001587141600001</t>
  </si>
  <si>
    <t>Polishchuk, Y; Tepliuk, M; Horbov, V; Ivashchenko, A; Tereshchenko, O; Lavreniuk, V</t>
  </si>
  <si>
    <t>Polishchuk, Yevheniia; Tepliuk, Mariia; Horbov, Vladyslav; Ivashchenko, Alla; Tereshchenko, Oleg; Lavreniuk, Vladyslav</t>
  </si>
  <si>
    <t>UKRAINIANS IN POLAND AND UKRAINE: IS THE WAR CRISIS ABLE TO CHANGE PATTERNS OF FINANCIAL BEHAVIOUR</t>
  </si>
  <si>
    <t>migration; refugees; internally displaced people; financial behaviour; personal finance; sustainable development; fintech</t>
  </si>
  <si>
    <t>The russian war against Ukraine caused a large wave of displaced people both inside and outside the country. According to UNHCR as of 2023, more than 1.6 million Ukrainian citizens applied for protection status in Poland and 4.9 million people received internally displaced status in Ukraine. This paper aims to analyse the data from a 2023 survey of internally displaced Ukrainians and those who are considered refugees to identify how their financial patterns have changed and what measures can be applied for adjustment to a new environment. The results show that there are no significant changes in patterns of financial behaviour, however, both groups demonstrate coping strategies: more than 50% in both groups shorten their financial horizon plans. Their expenditures are focused mostly on essential needs. In both countries, Ukrainians invest less because of the decrease in their income. As well, the majority in both groups do not invest at all. Bank deposits remain the most popular investment for Ukrainians (in Ukraine is more than 25%, and in Poland is more than 15%). The real estate objects in Ukraine are less attractive because of security as before 2022. At the same time, Ukrainians are searching for alternative ways of investment. Ukrainians demonstrate a high level of using different digital technologies for different purposes, including personal finance. The fintech solutions are recommended to facilitate better decision-making in personal finance and change the patterns of financial behaviour. Fintech can increase the financial inclusion of IDPs in Ukraine and migrants in Poland and direct money flows for investment for further their pension payments.</t>
  </si>
  <si>
    <t>[Polishchuk, Yevheniia] Kyiv Natl Econ Univ, Corporat Finance &amp; Controlling Dept, Kyiv, Ukraine; [Tepliuk, Mariia] Kyiv Natl Econ Univ, Dept Business Econ &amp; Entrepreneurship, Kyiv, Ukraine; [Horbov, Vladyslav] Kyiv Natl Econ Univ, Dept Sociol, Kyiv, Ukraine; [Ivashchenko, Alla; Tereshchenko, Oleg] Kyiv Natl Econ Univ, Dept Corporat Finance &amp; Controlling, Kyiv, Ukraine; [Lavreniuk, Vladyslav] Kyiv Natl Econ Univ, Dept Banking &amp; Insurance, Kyiv, Ukraine</t>
  </si>
  <si>
    <t>Ministry of Education &amp; Science of Ukraine; Kyiv National Economic University named after Vadym Hetman; Ministry of Education &amp; Science of Ukraine; Kyiv National Economic University named after Vadym Hetman; Ministry of Education &amp; Science of Ukraine; Kyiv National Economic University named after Vadym Hetman; Ministry of Education &amp; Science of Ukraine; Kyiv National Economic University named after Vadym Hetman; Ministry of Education &amp; Science of Ukraine; Kyiv National Economic University named after Vadym Hetman</t>
  </si>
  <si>
    <t>Tepliuk, M (corresponding author), Kyiv Natl Econ Univ, Dept Business Econ &amp; Entrepreneurship, Kyiv, Ukraine.</t>
  </si>
  <si>
    <t>maria_6.11@kneu.edu.ua</t>
  </si>
  <si>
    <t>; Lavreniuk, Vladyslav/AAC-3169-2020; Tepliuk, Mariia/K-4029-2018; Ivashchenko, Alla/J-1444-2018; Tereshchenko, Oleg/A-8170-2014; Polishchuk, Yevheniia/J-5444-2018</t>
  </si>
  <si>
    <t>Горбов, Владислав/0000-0003-4142-1146; Lavreniuk, Vladyslav/0000-0002-1069-0928; Tepliuk, Mariia/0000-0001-6823-336X; Ivashchenko, Alla/0000-0002-4599-7137; Polishchuk, Yevheniia/0000-0002-6133-910X</t>
  </si>
  <si>
    <t>Funding The level of the current financial state of Ukrainian respondents in Ukraine and Poland compared to February 2022 is shown in Figure 12.</t>
  </si>
  <si>
    <t>10.55643/fcaptp.4.57.2024.4414</t>
  </si>
  <si>
    <t>F4T6I</t>
  </si>
  <si>
    <t>WOS:001309762400032</t>
  </si>
  <si>
    <t>Jelisejevs, A</t>
  </si>
  <si>
    <t>Jelisejevs, Aleksejs</t>
  </si>
  <si>
    <t>De-banking v Good Faith: Doctrinal Assessment of Bank's Interests when Terminating Payment Account Without Customer's Consent in the View of EU and Latvian Law</t>
  </si>
  <si>
    <t>LIVERPOOL LAW REVIEW</t>
  </si>
  <si>
    <t>Good faith; Public interests; Payment account; Contract termination; De-risking; Human rights</t>
  </si>
  <si>
    <t>As an element of the author's suggested good faith-based approach, this paper continues his doctrinal research to assess the conflicting interests of counterparties when banks close accounts unilaterally. It now focuses on the banks' side and shows that while the bank's interest in refusing contractual relations with problem customers is to maintain its business profitability, society is interested in ensuring financial inclusion for these customers and preventing money laundering and terrorist financing. This interest includes the ability of a banking system to generate crime-combating intelligence. In this context, the legitimate public interest requires restricting this right of a bank by means to control its enjoyment which may be produced by tools of the good faith tenet being proportional, permissible and the least intrusive measure to strike a fair balance between general and private interests. These restrictions require a bank to seek to maintain account contractual relations with commercially less attractive customers if it can satisfy its obligations under the AML/CTF/sanction regulations. Besides, this examination evinces that such banks' behaviour is against the principle of pacta sunt servanda and could not be justified by banks' freedom to conduct business at their discretion. This analysis inherently applies to any national legal system transposing EU rules concerning this issue, but its ground refers to Latvia's legislation, legal doctrine, and case law. Since these are global trends, it is also useful in other jurisdictions adjusted for the relevant shades of each law frame.</t>
  </si>
  <si>
    <t>[Jelisejevs, Aleksejs] Turiba Univ, Riga, Latvia</t>
  </si>
  <si>
    <t>Jelisejevs, A (corresponding author), Turiba Univ, Riga, Latvia.</t>
  </si>
  <si>
    <t>aleksejs@jelisejevs.lv</t>
  </si>
  <si>
    <t>Jelisejevs, Aleksejs/ADS-9792-2022</t>
  </si>
  <si>
    <t>Jelisejevs, Aleksejs/0000-0002-7067-6618</t>
  </si>
  <si>
    <t>0144-932X</t>
  </si>
  <si>
    <t>1572-8625</t>
  </si>
  <si>
    <t>LIVERP LAW REV</t>
  </si>
  <si>
    <t>Liverp. Law Rev.</t>
  </si>
  <si>
    <t>10.1007/s10991-023-09324-y</t>
  </si>
  <si>
    <t>9W3BT</t>
  </si>
  <si>
    <t>WOS:000939597500001</t>
  </si>
  <si>
    <t>Shastri, S</t>
  </si>
  <si>
    <t>Shastri, Shruti</t>
  </si>
  <si>
    <t>The impact of infectious diseases on remittances inflows to India</t>
  </si>
  <si>
    <t>Remittances; Infectious diseases; Gravity model; Panel data; India</t>
  </si>
  <si>
    <t>INTERNATIONAL REMITTANCES; EXCHANGE-RATE; DETERMINANTS; INSURANCE</t>
  </si>
  <si>
    <t>The economic crisis triggered by the COVID-19 pandemic seems to be grimmer when observed from the migration perspective. Remittances play a vital role in economic development of India through promoting output growth, household spending on health and education, poverty alleviation, financial inclusion and entrepreneurship. Given the importance of remittances, it is important to analyse how the current pandemic will influence the remittances inflows to India. Towards this end, the study employs a gravity model approach to the determinants of remittances with special attention to the impact of infectious diseases in the host countries. The present study constructs a dataset on bilateral remittances from 99 destination countries and utilizes the data on prevalence of infectious diseases in the host countries during the period 2000-2018 to assess the impact of the latter on the inflows of remittances to India. The results of the study based on a variety of estimators tackling various econometric issues suggest a statistically significant negative impact of prevalence of infectious diseases in the host country on the inflows of remittances. The negative impact of infectious diseases on remittances suggest that while there are downside risks in the wake of current pandemic, the scenario does not seem to be that bleak as the remittances to India are countercyclical with respect to economic growth in the home country and largely decoupled from host country macroeconomic fundamentals. As the remittances act as shock absorbers during the time of low economic growth in the home country, India must further build up a conducive eco system to nurture these valuable foreign exchange in a well directed manner. (C) 2021 The Society for Policy Modeling. Published by Elsevier Inc. All rights reserved.</t>
  </si>
  <si>
    <t>[Shastri, Shruti] Banasthali Vidyapith, Dept Econ, Tonk 304022, Rajasthan, India</t>
  </si>
  <si>
    <t>Banasthali Vidyapith</t>
  </si>
  <si>
    <t>Shastri, S (corresponding author), Banasthali Vidyapith, Dept Econ, Tonk 304022, Rajasthan, India.</t>
  </si>
  <si>
    <t>shastrishruti5@gmail.com</t>
  </si>
  <si>
    <t>Shastri, Shruti/AAX-9795-2020</t>
  </si>
  <si>
    <t>10.1016/j.jpolmod.2021.08.001</t>
  </si>
  <si>
    <t>1N0NA</t>
  </si>
  <si>
    <t>WOS:000800359700005</t>
  </si>
  <si>
    <t>Lissner, K; Stevenson, A</t>
  </si>
  <si>
    <t>Lissner, Katherine; Stevenson, Annabel</t>
  </si>
  <si>
    <t>Sun Safety Policy Implementation in Australian Primary Schools</t>
  </si>
  <si>
    <t>AUSTRALASIAN JOURNAL OF DERMATOLOGY</t>
  </si>
  <si>
    <t>dermatology; health policy; population health; public health; ultraviolet light</t>
  </si>
  <si>
    <t>ULTRAVIOLET-RADIATION; PROTECTION POLICY; SUNSMART; EXPOSURE; MELANOMA</t>
  </si>
  <si>
    <t>Background/Objectives: Current SunSmart policy in Australia is implemented and reviewed by the Cancer Council using self-reported survey data. Methods: Researchers conducted an external assessment of the implementation of sun safety policies in Australian primary schools by conducting a national survey with questions constructed based on the SunSmart policy. Multivariable binary logistic regressions were performed to understand the relationships between the various sun-safety activities and school characteristics. Results: We hypothesised that schools with a higher ultraviolet (UV) exposure rating would perform better due to higher perceived risk. This was true for year-round uniform policy and presence of outdoor sails. Use of sunscreen in Australian schools remains inadequate. Students at more advantaged schools were 2.1 times more likely to use sunscreen, potentially demonstrating a relationship between financial access or awareness, providing an avenue for future funding decisions. Use of sun-protective eyewear remains insufficient, with only 11.1% of schools encouraging use, but Catholic school students are twice as likely to wear sunglasses. Schools in extreme UV areas had the lowest odds ratio of sunglasses use, highlighting a clear target for future intervention. Other important differences in school type were found, including that independent school students have a 58% lower likelihood of wearing SunSmart adherent uniforms. Conclusions: We found statistically significant inequalities in sun safety behaviours in different school types in Australia, providing utility for future funding and policy decisions.</t>
  </si>
  <si>
    <t>[Lissner, Katherine] Univ Adelaide, Royal Australian Coll Gen Practitioners, Adelaide, Australia; [Stevenson, Annabel] Queen Elizabeth Hosp, Dermatologist Royal Adelaide Hosp, Womens &amp; Childrens Hosp, Australasian Coll Dermatol, Adelaide, Australia</t>
  </si>
  <si>
    <t>Adelaide University; University of Adelaide; Royal Australian College of General Practitioners; Australasian College of Dermatologists</t>
  </si>
  <si>
    <t>Lissner, K (corresponding author), Univ Adelaide, Royal Australian Coll Gen Practitioners, Adelaide, Australia.</t>
  </si>
  <si>
    <t>katherine.lissner01@gmail.com</t>
  </si>
  <si>
    <t>The Australasian College of Dermatologists; University of Adelaide, as part of the Wiley - The University of Adelaide agreement via the Council of Australian University Librarians</t>
  </si>
  <si>
    <t>We acknowledge statistical assistance from Suzanne Edwards and Daniel Hill, and preliminary author contributions from Dr Shea Shrift. Open access publishing facilitated by The University of Adelaide, as part of the Wiley - The University of Adelaide agreement via the Council of Australian University Librarians.</t>
  </si>
  <si>
    <t>0004-8380</t>
  </si>
  <si>
    <t>1440-0960</t>
  </si>
  <si>
    <t>AUSTRALAS J DERMATOL</t>
  </si>
  <si>
    <t>Australas. J. Dermatol.</t>
  </si>
  <si>
    <t>10.1111/ajd.14461</t>
  </si>
  <si>
    <t>Dermatology</t>
  </si>
  <si>
    <t>6CY6Y</t>
  </si>
  <si>
    <t>WOS:001450363400001</t>
  </si>
  <si>
    <t>Terry, D; Ervin, K; Soutter, E; Spiller, R; Nogare, ND; Hamilton, AJ</t>
  </si>
  <si>
    <t>Terry, Daniel; Ervin, Kaye; Soutter, Erin; Spiller, Renata; Nogare, Nicole Dalle; Hamilton, Andrew John</t>
  </si>
  <si>
    <t>Do Not Let Them Eat Cake: Correlation of Food-Consumption Patterns among Rural Primary School Children from Welfare and Non-Welfare Households</t>
  </si>
  <si>
    <t>food; drinking; healthy eating; eating behaviour; socioeconomic factors</t>
  </si>
  <si>
    <t>VEGETABLE CONSUMPTION; FRUIT; INTERVENTIONS; DIETARY; PARENTS; OBESITY</t>
  </si>
  <si>
    <t>Physical and financial access impacts food choice and consumption, while educational attainment, employment, income, gender, and socioeconomic status are also influential. Within this context, the aim of the paper is to examine the association between various foods consumed and eating patterns of children between low and higher income households. A paper-based survey was completed by parents/carers of children in 41 primary schools in rural and regional areas of Victoria. Data collected included demographics and the consumption of fruit, vegetable, and other foods including drinks. Ordinal data were analysed using Spearman's rank-order correlation. The main findings were that children who consumed more fruit and vegetables tended to have a higher intake of healthy drinks (plain milk and water) as well as a lower intake of unhealthy snacks and drinks (sugar sweetened drinks). Those who perceived that fruit and vegetables cost too much reported greater consumption of unhealthy snacks and sugar-sweetened beverages, which was more prominent in low-income households. Changing food consumption behaviours requires a complex systems-based approach that addresses more than just individual issues variables. A participatory approach that works with local communities and seeks to build an understanding of unique challenges within sub-groups has potential for embedding long-lasting and meaningful change in eating behaviours.</t>
  </si>
  <si>
    <t>[Terry, Daniel; Ervin, Kaye; Hamilton, Andrew John] Univ Melbourne, Dept Rural Hlth, Shepparton 3630, Australia; [Soutter, Erin; Spiller, Renata; Nogare, Nicole Dalle] Goulburn Valley Primary Care Partnership, Shepparton 3630, Australia; [Hamilton, Andrew John] Federat Univ Australia, Off Deputy Vice Chancellor Res &amp; Innovat, Ballarat, Vic 3353, Australia</t>
  </si>
  <si>
    <t>University of Melbourne; Federation University Australia</t>
  </si>
  <si>
    <t>Ervin, K (corresponding author), Univ Melbourne, Dept Rural Hlth, Shepparton 3630, Australia.</t>
  </si>
  <si>
    <t>d.terry@unimelb.edu.au; ervink@humehealth.org.au; souttere@ndhs.org.au; hp2@gvpcp.org.au; hp@gvpcp.org.au; andrewjh@unimelb.edu.au</t>
  </si>
  <si>
    <t>Terry, Daniel/X-7178-2019</t>
  </si>
  <si>
    <t>Terry, Daniel/0000-0002-1969-8002</t>
  </si>
  <si>
    <t>Australian Government Department of Health through the Rural Health Multidisciplinary Training Programme</t>
  </si>
  <si>
    <t>Australian Government Department of Health through the Rural Health Multidisciplinary Training Programme(Australian GovernmentAustralian Department of Health)</t>
  </si>
  <si>
    <t>This research has been supported by the Australian Government Department of Health through the Rural Health Multidisciplinary Training Programme. We would like to also acknowledge Jess Orr for her contribution in the design and data collection of the study.</t>
  </si>
  <si>
    <t>10.3390/ijerph14010026</t>
  </si>
  <si>
    <t>EI6AU</t>
  </si>
  <si>
    <t>WOS:000392578200026</t>
  </si>
  <si>
    <t>Singhania, M; Swami, D</t>
  </si>
  <si>
    <t>Singhania, Monica; Swami, Deepika</t>
  </si>
  <si>
    <t>Impact investing: Scientometric review and research agenda</t>
  </si>
  <si>
    <t>BUSINESS ETHICS THE ENVIRONMENT &amp; RESPONSIBILITY</t>
  </si>
  <si>
    <t>bibliometric; impact investment; pay-for-success; performance-based finance; result-based financing; social finance; social impact bonds</t>
  </si>
  <si>
    <t>CORPORATE SOCIAL-RESPONSIBILITY; FINANCE; INVESTMENT; BONDS; MARKET; HEALTH; FINANCIALISATION; ENTREPRENEURSHIP; MOTIVATIONS; PERSPECTIVE</t>
  </si>
  <si>
    <t>Innovations in aligning investment with sustainability led to impact investing, enabling investors to achieve conventional financial returns and measurable social and environmental returns. Since its inception in 2007, it has grown manifolds, with significant efforts being made to create a global ecosystem. However, due to limited academic literature, the theme is yet to garner the scholarly interest it deserves. In this study, we analyse and visualise a knowledge map of the impact investment research field through a comprehensive bibliometric analysis by employing a research corpus of 421 studies sourced from Web of Science and Scopus. We identify the growth trajectory, geographical concentration, productive and influential authors, journals and significant articles and examine the inter-disciplinarity of the field. The major research themes interlinked with impact investing included; social entrepreneurship, social innovation, social finance, impact investment market, innovative financial instruments, financialisation of essential services and impact reporting. To drive the field forward, future research needs to develop an impact investment ecosystem, address behavioural issues, stakeholder management and institutional context in impact investment theme, develop and diffuse innovative financial instruments, develop a framework for standardised accounting and reporting practices to measure financial and non-financial dimensions, tackle impact washing by fund managers, address lack of financial access to the third sector and develop the legal and regulatory framework for third sector organisations.</t>
  </si>
  <si>
    <t>[Singhania, Monica; Swami, Deepika] Univ Delhi, Fac Management Studies, Delhi, India</t>
  </si>
  <si>
    <t>Swami, D (corresponding author), Univ Delhi, Fac Management Studies, Delhi, India.</t>
  </si>
  <si>
    <t>deepika.phd19@fms.edu</t>
  </si>
  <si>
    <t>Swami, Deepika/JTS-3952-2023</t>
  </si>
  <si>
    <t>We would like to express our sincere gratitude to all those who have contributed to the completion of this manuscript. We are in deep gratitude to the anonymous referee, who reviewed our manuscript. Based on the detailed comments that we received, we found</t>
  </si>
  <si>
    <t>We would like to express our sincere gratitude to all those who have contributed to the completion of this manuscript. We are in deep gratitude to the anonymous referee, who reviewed our manuscript. Based on the detailed comments that we received, we found relevant direction to revise our manuscript and complete the research in timely manner. Lastly, we would like to acknowledge our institute, Faculty of Management Studies, University of Delhi, for providing conducive research environment.</t>
  </si>
  <si>
    <t>2694-6416</t>
  </si>
  <si>
    <t>2694-6424</t>
  </si>
  <si>
    <t>BUS ETHICS ENV RESP</t>
  </si>
  <si>
    <t>Bus. Ethics Environ. Responsib.</t>
  </si>
  <si>
    <t>10.1111/beer.12599</t>
  </si>
  <si>
    <t>TY5M1</t>
  </si>
  <si>
    <t>WOS:001069727700001</t>
  </si>
  <si>
    <t>Nagimova, AZ</t>
  </si>
  <si>
    <t>Nagimova, Almira Z.</t>
  </si>
  <si>
    <t>ISLAMIC FINTECH: DIGITALIZATION OF GLOBAL ISLAMIC FINANCE</t>
  </si>
  <si>
    <t>Islamic finance; Islamic banks; Islamic fintech; digitalization; neobanks; P2P; cryptocurrency</t>
  </si>
  <si>
    <t>Over the past decade, the development of the fintech sector has been becoming one of the characteristics of Islamic finance. What are the key markets? Who are the investors? What areas of business are Islamic fintech companies represented by? This paper considers above questions by investigating more than 240 Islamic fintech companies, the data on which gathered from IFN Fintech Landscape and Crunchbase. The results of our study show that, firstly, the geography of origin and coverage of Islamic fintech companies is not limited to the countries of the Middle East (79 companies) and Southeast Asia (71), but also includes the developed markets of Western Europe (58 companies) and America (20). Moreover, the most attractive jurisdiction for the incorporation of such companies is the UK (18% of all Islamic fintech companies were created here). In the Middle East, such a center of gravity is the UAE (13%). Two markets in Southeast Asia - Indonesia and Malaysia - form almost a quarter (24%) of the global Islamic fintech. In addition, Islamic fintech is expanding financial inclusion in Africa, where 11 Islamic fintech companies have been established; secondly, 91% of all Islamic fintech projects were created in the last 10 years, and 58% in the last 5 years. The peak of activity in this sector fell on the period of 2017 and 2018, when 37 and 39 companies were created, respectively; thirdly, we classify the Islamic fintech into seven broad categories namely, P2P financing (39 companies), neobanks (38), payment services (37), asset management (35), blockchain and cryptocurrency (20), charity (16), real estate (15), among which the most successful cases are considered. In addition, 44 business initiatives were initiated in the field of other near-financial services, including business consulting, analytical support, etc.; fourthly, based on the financial data for 72 Islamic fintech companies in Crunchbase, we estimate the total volume of investments in the Islamic fintech at more than $2.44 bln, almost half of which fell on neobanks ($1.2 bln). If we exclude three mega-investments of more than $300 mln, then the average investment into one Islamic fintech company is $19.9 mln, and if we exclude eight investments worth more than $100 mln - $9.1 mln. Investors of Islamic fintech companies are mainly venture capital funds that finance businesses on the risk-sharing principle. The geography of such funds is not limited to the countries of the Middle East and Southeast Asia, but also includes Western countries (USA, UK, Germany, and Switzerland). We note that at the initial stage, many Islamic fintech projects undergo business mentoring and acceleration programs in special accelerators, including the leading Y Combinator (USA); fifth, we identify five Islamic fintech companies from the CIS, besides, we find Russian-speaking founders of five Islamic fintech companies established in the UAE, Singapore and UK. In addition, we identify Russian venture fund that has invested in two Islamic fintech companies in Bahrain and UAE. Thus, the features of Islamic fintech that we have identified show that the complex and intertwined world of finance is not constrained by borders and prejudices, but the only investment efficiency criteria is the optimal risk-to-reward ratio.</t>
  </si>
  <si>
    <t>[Nagimova, Almira Z.] Kazan Fed Univ IIR KFU, Inst Int Relat, 1-55 Pushkina Str, Kazan 420008, Russia; [Nagimova, Almira Z.] Ufa State Petr Tech Univ, 1 Kosmonavtov Str, Ufa 450062, Russia</t>
  </si>
  <si>
    <t>Ufa State Petroleum Technological University</t>
  </si>
  <si>
    <t>Nagimova, AZ (corresponding author), Kazan Fed Univ IIR KFU, Inst Int Relat, 1-55 Pushkina Str, Kazan 420008, Russia.;Nagimova, AZ (corresponding author), Ufa State Petr Tech Univ, 1 Kosmonavtov Str, Ufa 450062, Russia.</t>
  </si>
  <si>
    <t>nagimova_almira@mail.ru</t>
  </si>
  <si>
    <t>Nagimova, Almira/GQH-9169-2022</t>
  </si>
  <si>
    <t>Nagimova, Almira/0000-0002-0858-7323</t>
  </si>
  <si>
    <t>10.20542/0131-2227-2022-66-5-50-58</t>
  </si>
  <si>
    <t>5L3EY</t>
  </si>
  <si>
    <t>WOS:000870298700006</t>
  </si>
  <si>
    <t>Asongu, SA; Adegboye, A; Nnanna, J</t>
  </si>
  <si>
    <t>Asongu, Simplice A.; Adegboye, Alex; Nnanna, Joseph</t>
  </si>
  <si>
    <t>Promoting female economic inclusion for tax performance in Sub-Saharan Africa</t>
  </si>
  <si>
    <t>Gender; Economic inclusion; Tax performance; Sustainable development; Africa</t>
  </si>
  <si>
    <t>INCOME INEQUALITY; FINANCIAL ACCESS; REVENUE; INFORMATION; GENDER; IMPACT; GROWTH; PARTICIPATION; REMITTANCES; GOVERNANCE</t>
  </si>
  <si>
    <t>This study explores whether female economic inclusion enhances tax performance in a sample of 48 countries in Sub-Saharan Africa from 2000 to 2018. The study's empirical evidence is based on the generalized method of moments in order to account for endogeneity concerns. Three tax performance measurements are used, notably, total taxes revenue excluding social contributions, reported tax revenue derived from natural resources sources, and total non-resource tax revenue. Three female inclusion indicators are used, namely, female employment in industry, female labour force participation, and female employment. The following empirical evidences are documented; (i) There is a negative net effect from the enhancement of female employment in the industry on the total tax revenue. (ii) There is a positive net effect of female employment in the industry on the non-resource taxes. An extended threshold analysis is performed to establish the critical masses that could further influence tax performance positively. The following thresholds are established. (i) a minimum of 15.35 employment in industry, female (% of female employment) for the total tax revenue and (ii) a maximum of 23.75 employment in industry, female (% of female employment) for the nonresource tax revenue. These critical masses are crucial for sustainable development because, below or beyond these thresholds, policymakers should complement the female economic inclusion with other economic measures designed to improve tax performance in Sub-Saharan Africa. (c) 2020 Economic Society of Australia, Queensland. Published by Elsevier B.V. All rights reserved.</t>
  </si>
  <si>
    <t>[Asongu, Simplice A.] Univ South Africa, Dept Econ, UNISA, POB 392, ZA-0003 Pretoria, South Africa; [Adegboye, Alex] Covenant Univ, Ota, Ogun State, Nigeria; [Nnanna, Joseph] Dev Bank Nigeria, Clan Pl,Plot 1386A Tigris Cresce, Abuja, Nigeria</t>
  </si>
  <si>
    <t>University of South Africa; Covenant University</t>
  </si>
  <si>
    <t>alex.adegboyepgs@stu.cu.edu.ng; adegboyea1@gmail.com; jnnanna@devbankng.com</t>
  </si>
  <si>
    <t>Adegboye, Alex/AAD-7719-2021; Asongu, Simplice/K-3436-2014</t>
  </si>
  <si>
    <t>Adegboye, Alex/0000-0003-1241-2224;</t>
  </si>
  <si>
    <t>10.1016/j.eap.2020.11.010</t>
  </si>
  <si>
    <t>RU2HF</t>
  </si>
  <si>
    <t>WOS:000644970300010</t>
  </si>
  <si>
    <t>Taamneh, MM; Makahleh, HY</t>
  </si>
  <si>
    <t>Taamneh, Madhar M.; Makahleh, Hisham Y.</t>
  </si>
  <si>
    <t>The prospects of adopting electric vehicles in urban contexts: A systematic review of literature</t>
  </si>
  <si>
    <t>TRANSPORTATION RESEARCH INTERDISCIPLINARY PERSPECTIVES</t>
  </si>
  <si>
    <t>Electric vehicles (EVs); Urban transportation; Sustainable mobility; EV adoption; Policy interventions; Systematic review; NVivo</t>
  </si>
  <si>
    <t>POLICY; NVIVO</t>
  </si>
  <si>
    <t>Electric vehicles (EVs) provide essential solutions to sustainable urban transportation systems while helping to lower greenhouse gas emissions. This study performed a systematic review of 32 peer-reviewed articles from 2004 to 2024 to identify the main drivers of electric vehicle adoption in urban areas. The study's findings are categorized into five primary themes through inductive and deductive coding: economic, social, infrastructural, technological, and policy-related factors. Government interventions through financial incentives and stricter emissions regulations demonstrate their importance as policy-related factors which account for 25% of reviewed literature. Economic aspects (22 %) influence consumer choices by addressing affordability and operational expenses along with financial advantages. The infrastructure sector (21 %) together with technology (20%) serve as primary forces pushing for extensive charging networks, expanded power grids and better battery and charging systems. The impact of consumer behaviour along with environmental awareness and societal perceptions accounts for 12 % of social factors influencing EV acceptance. The research exposes major differences between developed and emerging markets which indicates a necessity for customised EV adoption approaches. Developed areas focus on advancing technology and policy development whereas emerging markets encounter difficulties related to financial access and infrastructure constraints. Future studies need to investigate how EVs can be adopted by people living in rural locations as well as those from underrepresented demographic sectors. This research delivers essential guidance for decision-makers in government and industry along with urban developers to establish a system that boosts EV adoption towards sustainable city transportation.</t>
  </si>
  <si>
    <t>[Taamneh, Madhar M.] Yarmouk Univ, Hijjawi Fac Engn Technol, Dept Civil Engn, POB 566, Irbid 21163, Jordan; [Makahleh, Hisham Y.] Univ Birmingham, Sch Engn, Dept Civil Engn, Birmingham B15 2TT, England</t>
  </si>
  <si>
    <t>Yarmouk University; University of Birmingham</t>
  </si>
  <si>
    <t>Taamneh, MM (corresponding author), Yarmouk Univ, Hijjawi Fac Engn Technol, Dept Civil Engn, POB 566, Irbid 21163, Jordan.</t>
  </si>
  <si>
    <t>mtaamneh@yu.edu.jo; hxm298@bham.ac.uk</t>
  </si>
  <si>
    <t>; Taamneh, Madhar/ITT-2394-2023</t>
  </si>
  <si>
    <t>Makahleh, Hisham Y/0000-0003-1560-5590;</t>
  </si>
  <si>
    <t>2590-1982</t>
  </si>
  <si>
    <t>TRANSP RES INTERDISC</t>
  </si>
  <si>
    <t>Transp. Res. Interdiscip. Perspect.</t>
  </si>
  <si>
    <t>10.1016/j.trip.2025.101420</t>
  </si>
  <si>
    <t>Transportation</t>
  </si>
  <si>
    <t>1QR8C</t>
  </si>
  <si>
    <t>WOS:001471381800001</t>
  </si>
  <si>
    <t>Franco, MR; Tong, A; Howard, K; Sherrington, C; Ferreira, PH; Pinto, RZ; Ferreira, ML</t>
  </si>
  <si>
    <t>Franco, Marcia R.; Tong, Allison; Howard, Kirsten; Sherrington, Catherine; Ferreira, Paulo H.; Pinto, Rafael Z.; Ferreira, Manuela L.</t>
  </si>
  <si>
    <t>Older people's perspectives on participation in physical activity: a systematic review and thematic synthesis of qualitative literature</t>
  </si>
  <si>
    <t>BRITISH JOURNAL OF SPORTS MEDICINE</t>
  </si>
  <si>
    <t>DISEASE; EXERCISE; BARRIERS; LIFE; FACILITATORS; INACTIVITY; BURDEN; ADULTS; RISK</t>
  </si>
  <si>
    <t>Background Physical inactivity accounts for 9% of all deaths worldwide and is among the top 10 risk factors for global disease burden. Nearly half of people aged over 60 years are inactive. Efforts to identify which factors influence physical activity behaviour are needed. Objective To identify and synthesise the range of barriers and facilitators to physical activity participation. Methods Systematic review of qualitative studies on the perspectives of physical activity among people aged 60 years and over. MEDLINE, EMBASE, CINAHL, PsychINFO and AMED were searched. Independent raters assessed comprehensiveness of reporting of included studies. Thematic synthesis was used to analyse the data. Results From 132 studies involving 5987 participants, we identified six major themes: social influences (valuing interaction with peers, social awkwardness, encouragement from others, dependence on professional instruction); physical limitations (pain or discomfort, concerns about falling, comorbidities); competing priorities; access difficulties (environmental barriers, affordability); personal benefits of physical activity (strength, balance and flexibility, self-confidence, independence, improved health and mental well-being); and motivation and beliefs (apathy, irrelevance and inefficacy, maintaining habits). Conclusions Some older people still believe that physical activity is unnecessary or even potentially harmful. Others recognise the benefits of physical activity, but report a range of barriers to physical activity participation. Strategies to enhance physical activity participation among older people should include (1) raising awareness of the benefits and minimise the perceived risks of physical activity and (2) improving the environmental and financial access to physical activity opportunities.</t>
  </si>
  <si>
    <t>[Franco, Marcia R.; Sherrington, Catherine; Ferreira, Manuela L.] Univ Sydney, George Inst Global Hlth, Sydney, NSW 2050, Australia; [Tong, Allison; Howard, Kirsten] Univ Sydney, Sch Publ Hlth, Sydney, NSW 2050, Australia; [Ferreira, Paulo H.] Univ Sydney, Fac Hlth Sci, Sydney, NSW 2050, Australia; [Pinto, Rafael Z.] Univ Sydney, Royal N Shore Hosp, Pain Management Res Inst, Sydney, NSW 2006, Australia; [Pinto, Rafael Z.] Univ Estadual Paulista, UNESP, Fac Ciencias &amp; Tecnol, Dept Fisioterapia, Sao Paulo, Brazil</t>
  </si>
  <si>
    <t>University of Sydney; George Institute for Global Health; University of Sydney; University of Sydney; Royal North Shore Hospital; University of Sydney; Universidade Estadual Paulista</t>
  </si>
  <si>
    <t>Franco, MR (corresponding author), Univ Sydney, George Inst Global Hlth, POB M201,Missenden Rd, Sydney, NSW 2050, Australia.</t>
  </si>
  <si>
    <t>mrcfranco@georgeinstitute.org.au</t>
  </si>
  <si>
    <t>Ferreira, Paulo/N-3061-2017; Tong, Allison/C-6117-2009; Howard, Kirsten/KYX-3355-2024; Franco, Marcia/C-3279-2015; Ferreira, Manuela/AAQ-5446-2020; Sherrington, Catherine/S-9196-2019; Pinto, Rafael Zambelli/I-2892-2012</t>
  </si>
  <si>
    <t>Ferreira, Paulo/0000-0002-5861-7770; Tong, Allison/0000-0001-8973-9538; Howard, Kirsten/0000-0002-0918-7540; Franco, Marcia/0000-0003-4496-8630; Ferreira, Manuela/0000-0002-3479-0683; Sherrington, Catherine/0000-0001-8934-4368; Pinto, Rafael Zambelli/0000-0002-2775-860X</t>
  </si>
  <si>
    <t>CAPES Foundation, Ministry of Education of Brazil; Australian National Health and Medical Research Council (NHMRC)</t>
  </si>
  <si>
    <t>CAPES Foundation, Ministry of Education of Brazil(Coordenacao de Aperfeicoamento de Pessoal de Nivel Superior (CAPES)); Australian National Health and Medical Research Council (NHMRC)(National Health &amp; Medical Research Council (NHMRC) of Australia)</t>
  </si>
  <si>
    <t>MRF is supported by CAPES Foundation, Ministry of Education of Brazil. CS is supported by a research fellowship funded by the Australian National Health and Medical Research Council (NHMRC).</t>
  </si>
  <si>
    <t>BMJ PUBLISHING GROUP</t>
  </si>
  <si>
    <t>BRITISH MED ASSOC HOUSE, TAVISTOCK SQUARE, LONDON WC1H 9JR, ENGLAND</t>
  </si>
  <si>
    <t>0306-3674</t>
  </si>
  <si>
    <t>1473-0480</t>
  </si>
  <si>
    <t>BRIT J SPORT MED</t>
  </si>
  <si>
    <t>Br. J. Sports Med.</t>
  </si>
  <si>
    <t>10.1136/bjsports-2014-094015</t>
  </si>
  <si>
    <t>Sport Sciences</t>
  </si>
  <si>
    <t>CR7AB</t>
  </si>
  <si>
    <t>WOS:000361498600013</t>
  </si>
  <si>
    <t>Aristei, D; Gallo, M</t>
  </si>
  <si>
    <t>Aristei, David; Gallo, Manuela</t>
  </si>
  <si>
    <t>Green management, access to credit, and firms' vulnerability to the COVID-19 crisis</t>
  </si>
  <si>
    <t>Green management; Credit constraints; Firm vulnerability; Business resilience; COVID-19 pandemic</t>
  </si>
  <si>
    <t>ENVIRONMENTAL-MANAGEMENT; LABOR PRODUCTIVITY; MODERATING ROLE; PERFORMANCE; INNOVATION; DETERMINANTS</t>
  </si>
  <si>
    <t>Plain English SummaryGreen firms are more resilient to the COVID-19 shock, while prior credit access difficulties strongly exacerbate the pandemic's impact on businesses. Using data on firms from 20 European countries, we find that enterprises with sound environmental management practices have a lower probability of pandemic-induced reductions in sales and liquidity. Pre-pandemic financing constraints significantly impair firms' economic and financial performance and increase difficulties in accessing bank credit during the COVID-19 crisis. Our results suggest that public policies, aimed at encouraging firms' environmentally sustainable behaviours and at supporting their access to credit, may contribute to strengthen the resilience of the economic system to unexpected shocks and favour the transition to a sustainable economy. Furthermore, the awareness of the competitive advantages offered by eco-sustainable practices may represent an incentive form firms to improve their environmental management quality and increase investment in green technologies. This paper investigates the consequences of the COVID-19 crisis on firms' performance and financial vulnerability. Exploiting longitudinal firm-level data from the World Bank's Enterprise Surveys follow-up on COVID-19 for 20 European countries, we assess whether green management quality and pre-pandemic credit access difficulties affect firms' ability to withstand the negative impact of the pandemic. Our results indicate that green firms are more resilient to the pandemic shock. In particular, the likelihood of pandemic-induced drops in sales and liquidity significantly decreases as the quality of green management improves. Conversely, prior financing constraints strongly exacerbate the pandemic's impact on firms' performance and amplify liquidity stress and financing problems. Credit-constrained enterprises are not only more likely to experience liquidity shortages and repayment problems, but they also face higher difficulties in accessing bank financing. The COVID-19 crisis has also hampered the beneficial role that green management exerted on access to credit in the pre-pandemic period. During the pandemic, firms with sound environmental management practices do not benefit from improved access to finance and have a lower demand for credit, possibly suggesting a slowdown in their green investment activities.</t>
  </si>
  <si>
    <t>[Aristei, David; Gallo, Manuela] Univ Perugia, Dept Econ, Via Pascoli 20, I-06123 Perugia, Italy</t>
  </si>
  <si>
    <t>University of Perugia</t>
  </si>
  <si>
    <t>Aristei, D (corresponding author), Univ Perugia, Dept Econ, Via Pascoli 20, I-06123 Perugia, Italy.</t>
  </si>
  <si>
    <t>david.aristei@unipg.it; manuela.gallo@unipg.it</t>
  </si>
  <si>
    <t>ARISTEI, DAVID/0000-0002-6328-1407</t>
  </si>
  <si>
    <t>Universita degli Studi di Perugia within the CRUI-CARE Agreement</t>
  </si>
  <si>
    <t>Open access funding provided by Universita degli Studi di Perugia within the CRUI-CARE Agreement.</t>
  </si>
  <si>
    <t>10.1007/s11187-023-00759-1</t>
  </si>
  <si>
    <t>EL4T0</t>
  </si>
  <si>
    <t>WOS:000972074500001</t>
  </si>
  <si>
    <t>Sholevar, M; Bachmann, R</t>
  </si>
  <si>
    <t>Sholevar, Maryam; Bachmann, Reinhard</t>
  </si>
  <si>
    <t>Patterns of trust in financial services: critical factors and gender differences</t>
  </si>
  <si>
    <t>Trust; Financial services; Banking services; Net promoter score; Gender difference; Broad-scope trust; Narrow-scope trust</t>
  </si>
  <si>
    <t>ELECTRONIC COMMERCE; DECISION-MAKING; RISK; IMPACT; TRUSTWORTHINESS; BANKING; MODEL</t>
  </si>
  <si>
    <t>This study investigates the interrelationships among factors of trust in financial services. Additionally, it examines how these factors correlate with gender differences, offering insights into trust patterns in emerging markets. Ethiopia, characterised by economic and financial volatility, was selected as a case study for an emerging market. A sample of 470 individuals was surveyed with the assistance of interviewers to overcome language and literacy obstacles, with balanced representation across key demographics, particularly gender, enabling robust statistical analysis. Logistic regression and correlation matrices were employed to analyse trust. The study reveals that correlations between trust factors vary widely but are predominantly positive, with only one exception. Gender differences in trust factors are evident but do not represent significant schisms in financial behaviour. Unexpectedly, digital trust exhibits a strong positive correlation with age, challenging assumptions about generational preferences for financial technologies. While the sample size aligns with standard practices in similar studies, expanding the dataset would improve the precision of the analysis. The complexity of administering detailed surveys at scale poses a challenge for single studies. This study demonstrates the utility of combining traditional determinants of trust with advanced statistical methods, such as logistic regression, to uncover probabilities and interactions among trust factors. Gender differences in trust patterns exist but are less pronounced than expected, even in a society with significant gender disparity. Other demographic factors, such as age, education, and income, play more substantial roles in shaping trust behaviours, suggesting that financial inclusion efforts should prioritise these variables. This research highlights the transformative potential of digital trust, which extends beyond traditional definitions of trust. Despite operating in a society with high gender disparity, the findings indicate that gender is not a significant concern in financial trust patterns.</t>
  </si>
  <si>
    <t>[Sholevar, Maryam] Heriot Watt Univ, Edinburgh Business Sch, Edinburgh EH14 4AS, Scotland; [Bachmann, Reinhard] Univ London, SOAS, 10 Thornhaugh St,Russell Sq, London WC1H 0XG, England</t>
  </si>
  <si>
    <t>University of Edinburgh; Heriot Watt University; University of London; University of London School Oriental &amp; African Studies (SOAS)</t>
  </si>
  <si>
    <t>Sholevar, M (corresponding author), Heriot Watt Univ, Edinburgh Business Sch, Edinburgh EH14 4AS, Scotland.</t>
  </si>
  <si>
    <t>M.Sholevar@hw.ac.uk; r.bachmann@soas.ac.uk</t>
  </si>
  <si>
    <t>Sholevar, Maryam/KHC-3323-2024</t>
  </si>
  <si>
    <t>DFID-ESRC [ES/N013344/2]</t>
  </si>
  <si>
    <t>DFID-ESRC(UK Research &amp; Innovation (UKRI)Economic &amp; Social Research Council (ESRC))</t>
  </si>
  <si>
    <t>We acknowledge financial support from the DFID-ESRC [ES/N013344/2] Research Grant on Delivering Inclusive Financial Development and Growth under the Growth Research Programme (DEGRP) Call.</t>
  </si>
  <si>
    <t>10.1057/s41264-025-00303-0</t>
  </si>
  <si>
    <t>0ZL6W</t>
  </si>
  <si>
    <t>WOS:001459690000001</t>
  </si>
  <si>
    <t>Arora, S; Rajesh, A; Misra, R; Singh, G</t>
  </si>
  <si>
    <t>Arora, Sandeep; Rajesh, Anupama; Misra, Richa; Singh, Gurinder</t>
  </si>
  <si>
    <t>Bridging technology and trust: the role of AI-driven robo-advisors in middle-class financial management</t>
  </si>
  <si>
    <t>AI-Enabled robo-advisors; Psychological comfort; Diffusion of innovation; Financial behaviour; Middle-class India</t>
  </si>
  <si>
    <t>ARTIFICIAL-INTELLIGENCE; PLS-SEM</t>
  </si>
  <si>
    <t>PurposeThis study evaluates the adoption and continuance usage intention of artificial intelligence (AI)-enabled robo-advisors among middle-class individuals in India. By integrating the diffusion of innovation (DOI) theory and financial behaviour theory, this study explores how functional and emotional factors influence user adoption.Design/methodology/approachA quantitative survey was conducted with 437 middle-class respondents from four metropolitan cities in India. Constructs such as relative advantage, perceived compatibility, trialability, perceived trust, cognitive involvement and perceived usability were evaluated using partial least squares structural equation modeling to determine their influence on psychological comfort and subsequent continuance intention.FindingsThe study identifies trialability as the strongest predictor of psychological comfort, followed by perceived trust and relative advantage. Psychological comfort has emerged as a critical mediator that significantly influences continuance usage intentions. The results underscore the importance of aligning robo-advisory features with user expectations, offering trialability and fostering trust for sustained adoption.Practical implicationsThe findings suggest actionable strategies for financial technology providers, including the need to implement no-risk trials and interactive tutorials to alleviate user uncertainty. Emphasising explainable AI features can enhance trust and transparency, particularly in emerging markets. Additionally, user-friendly interfaces and multilingual support are crucial for catering to diverse middle-class demographics. Policymakers can leverage these insights to create supportive regulations that encourage the broader adoption of AI-driven financial tools and enhance financial inclusion and literacy.Originality/valueThis study bridges a critical research gap by emphasising psychological comfort in AI adoption for personal finance, particularly among underserved middle-class demographics in emerging markets. It extends the existing theoretical frameworks by integrating emotional and functional dimensions, providing actionable insights for technology developers, financial institutions and policymakers.</t>
  </si>
  <si>
    <t>[Arora, Sandeep; Rajesh, Anupama; Singh, Gurinder] Amity Univ, Amity Int Business Sch, Noida, India; [Misra, Richa] Jaipuria Inst Management, Dept Decis Sci &amp; Operat, Noida, India</t>
  </si>
  <si>
    <t>Arora, S (corresponding author), Amity Univ, Amity Int Business Sch, Noida, India.</t>
  </si>
  <si>
    <t>sandeep.j.arora2@gmail.com; anupamar@amity.edu; richa.misra@jaipuria.ac.in; gsingh@amity.edu</t>
  </si>
  <si>
    <t>Misra, Richa/AEO-2684-2022; Rajesh, Anupama/AAK-3892-2021</t>
  </si>
  <si>
    <t>Rajesh, Anupama/0000-0002-8421-473X</t>
  </si>
  <si>
    <t>2025 SEP 9</t>
  </si>
  <si>
    <t>10.1108/MD-01-2025-0093</t>
  </si>
  <si>
    <t>7JT7D</t>
  </si>
  <si>
    <t>WOS:001572687700001</t>
  </si>
  <si>
    <t>Makurin, A; Yermoshkina, O; Fatkhutdinova, O; Shkurupii, O; Zubro, T; Filozop, O</t>
  </si>
  <si>
    <t>Makurin, Andrii; Yermoshkina, Olena; Fatkhutdinova, Olena; Shkurupii, Olha; Zubro, Tetyana; Filozop, Oleg</t>
  </si>
  <si>
    <t>FINTECH, TECHFIN AND CRYPTO CURRENCY: RULED GAME OR FREE SURF?</t>
  </si>
  <si>
    <t>FinTech; TechFin; cryptocurrency; financial market; regulation; virtual assets</t>
  </si>
  <si>
    <t>The development of financial technologies fundamentally changes the face of the financial market, the speed of execution of financial transactions, and opportunities for attracting new customers. The growing role of digital assets (forecast 2024 AUM USD 80.08 billion, the number of users in the digital payment market will grow to 4805.00 million people by 2028) opens up a whole range of issues that arise before the regulatory authorities of different countries, and which need to be regulated, following the rules of the open free market on the one hand, and protecting both entire financial systems and individual users from possible risks arising from the development of new financial technologies. The main goal of the presented research is the analysis and systematization of existing approaches that are used to regulate the activities of economic entities such as FinTech and TechFin, including in the field of circulation of cryptocurrencies as an element of the financial technology market, as well as the substantiation of opportunities and threats for the traditional financial market, which arise as a result of the active development of FinTech and TechFin companies. As a result of a comparative analysis of the characteristics of FinTech and TechFin companies, it was established that these players in the financial market are differentiated by such features as access to capital, access to technology, access to databases, availability and the possibility of using technological infrastructure. It has been established that the absence or low level of harmonization of regulatory norms regarding the provision of financial services can limit competition, provoke unscrupulous behaviour in the market, and negatively affect consumers of financial services. It has been proven that it is the harmonization of regulatory requirements and their differentiation according to established distinctive features that will contribute to preserving the integrity of financial markets and financial inclusion.</t>
  </si>
  <si>
    <t>[Makurin, Andrii] Dnipro Univ Technol, Dept Int Relat &amp; Audit, Dnipro, Ukraine; [Yermoshkina, Olena] Dnipro Univ Technol, Dept Econ Anal &amp; Finance, Dnipro, Ukraine; [Fatkhutdinova, Olena] Kyiv Univ Tourism Econ &amp; Law, Law Fac, Kyiv, Ukraine; [Shkurupii, Olha] Poltava State Agr Univ, Dept Econ &amp; Int Econ Relat, Poltava, Ukraine; [Zubro, Tetyana] Univ Econ Bratislava, Dept Int Polit Relat, Bratislava, Slovakia; [Filozop, Oleg] Interreg Acad Personnel Management, Kyiv, Ukraine</t>
  </si>
  <si>
    <t>Ministry of Education &amp; Science of Ukraine; Dnipro University of Technology; Ministry of Education &amp; Science of Ukraine; Dnipro University of Technology; Ministry of Education &amp; Science of Ukraine; Poltava State Agrarian University (PSAU); Bratislava University of Economics &amp; Business; Interregional Academy of Personnel Management</t>
  </si>
  <si>
    <t>Makurin, A (corresponding author), Dnipro Univ Technol, Dept Int Relat &amp; Audit, Dnipro, Ukraine.</t>
  </si>
  <si>
    <t>makurin.a.a@nmu.one</t>
  </si>
  <si>
    <t>Макурін, Андрій/HLP-5849-2023; Yermoshkina, Olena/OJU-7439-2025; Yermoshkina, Olena/A-8401-2019; Shkurupii, Olha/F-4923-2017</t>
  </si>
  <si>
    <t>Макурін, Андрій Андрійович/0000-0001-8093-736X; Yermoshkina, Olena/0000-0002-4013-3575; Shkurupii, Olha/0000-0002-5818-7651; Tetyana, Zubro/0000-0002-6173-170X</t>
  </si>
  <si>
    <t>10.55643/fcaptp.5.58.2024.4505</t>
  </si>
  <si>
    <t>T4S5V</t>
  </si>
  <si>
    <t>WOS:001404924800026</t>
  </si>
  <si>
    <t>Andriopoulos, N; Plakas, K; Birbas, A; Papalexopoulos, A</t>
  </si>
  <si>
    <t>Andriopoulos, Nikos; Plakas, Konstantinos; Birbas, Alexios; Papalexopoulos, Alex</t>
  </si>
  <si>
    <t>Design of a Prosumer-Centric Local Energy Market: An Approach Based on Prospect Theory</t>
  </si>
  <si>
    <t>Pricing; Resource management; Costs; Uncertainty; Game theory; Behavioral sciences; Economics; Distributed power generation; Energy management; Market research; Power markets; Power system economics; Supply chains; Low-carbon economy; Government policies; Decision making; Market opportunities; Behavioral economics; cooperative game theory; distributed energy resources; energy market democratization; fair profit allocation; local energy market; prospect theory; prosumer engagement</t>
  </si>
  <si>
    <t>The energy sector is undergoing a transformative shift, driven by advancements in Distributed Energy Resources (DERs), the digitization of the energy supply chain and decarbonization policy objectives across the world. This paradigm shift has led to the emergence of Local Energy Markets (LEMs), which enable small-scale prosumers to actively participate in the energy market, trade power, and leverage their flexible resources. To ensure the success and acceptance of LEMs, this paper proposes a cooperative game-theoretic approach that fosters prosumer engagement and fair profit allocation. We utilize prospect theory from behavioural economics to examine the decision-making process of prosumers and incorporate their preferences for changes in wealth status. By adopting a cooperative game structure, prosumers can pool their resources, reduce transaction costs, and enhance data utilization. The paper introduces a novel pricing algorithm inspired by prospect theory that incentivizes prosumer participation and accounts for the uncertainty involved in LEM operations. Additionally, a computationally efficient method for profit allocation based on the variation of the Shapley value is proposed to ensure scheme stability. A use case evaluation is conducted on a real-world low-voltage network, demonstrating the effectiveness of the proposed approach in terms of economic efficiency and market characteristics. The results highlight the benefits of the consumer-centric LEM, including improved local trading dynamics, fair profit distribution, and enhanced grid stability. Overall, this research contributes to the design and development of LEMs that prioritize prosumer engagement, community cooperation, financial inclusion and democratization of the energy market.</t>
  </si>
  <si>
    <t>[Andriopoulos, Nikos; Plakas, Konstantinos; Birbas, Alexios] Univ Patras, Dept Elect &amp; Comp Engn, Patras 26500, Greece; [Papalexopoulos, Alex] ECCO Int Inc, San Francisco, CA 94104 USA</t>
  </si>
  <si>
    <t>University of Patras</t>
  </si>
  <si>
    <t>Andriopoulos, N (corresponding author), Univ Patras, Dept Elect &amp; Comp Engn, Patras 26500, Greece.</t>
  </si>
  <si>
    <t>nandriopoulos@ece.upatras.gr</t>
  </si>
  <si>
    <t>Birbas, Alexios/0000-0002-9468-7215; Aniopoulos, Konstantinos-Nikolaos/0000-0002-7889-4361; Plakas, Konstantinos/0000-0002-7040-4911</t>
  </si>
  <si>
    <t>Flexible Energy Production, Demand and Storage-based Virtual Power Plants for Electricity Markets and Resilient DSO Operation (FEVER) Project (Horizon 2020 EU Research and Innovation Program</t>
  </si>
  <si>
    <t>10.1109/ACCESS.2024.3370040</t>
  </si>
  <si>
    <t>JZ3F9</t>
  </si>
  <si>
    <t>WOS:001176934700001</t>
  </si>
  <si>
    <t>Han, JQ; Zhang, XD; Meng, YY</t>
  </si>
  <si>
    <t>Han, Junqiang; Zhang, Xiaodong; Meng, Yingying</t>
  </si>
  <si>
    <t>Out-Patient Service and in-Patient Service: The Impact of Health Insurance on the Healthcare Utilization of Mid-Aged and Older Residents in Urban China</t>
  </si>
  <si>
    <t>RISK MANAGEMENT AND HEALTHCARE POLICY</t>
  </si>
  <si>
    <t>health insurance; out-patient service; in-patient service; mid-aged and older urban residents; CHARLS</t>
  </si>
  <si>
    <t>Purpose: Medical insurance is a disease risk-sharing mechanism that can improve residents' financial access to medical treatment and thus increase their utilization of health services. This paper aims to identify the impact of different kinds of medical insurances on the use of healthcare for Chinese mid-aged and older urban residents from four aspects: outpatient behaviour, outpatient costs, inpatient behaviour and inpatient costs. Materials and Methods: The data used in this study were from 2015 China Health and Retirement Longitudinal Study (CHARLS) conducted by Peking University. Binary logit model and multiple linear regression model were used to analyse the impact of health insurance on the use of healthcare, and the PSM method was used to test the robustness of the results. Results: Participating in either BMIUSE or BMISURR can significantly improve all kinds of healthcare utilization for mid-aged and older urban groups. However, there are huge differences on the healthcare utilization between BMISUE and BMISURR. Specifically, the probability of using inpatient care and inpatient costs of urban residents enrolled in the BMISUE are 4.2% and 45% higher, respectively, than those covered by the BMISURR, but there are no differences in outpatient care utilization and outpatient costs between these two health insurance programs. Conclusion: This paper suggests that the large gaps between BMISUE and BMISURR only reflect on inpatient care and inpatient costs, there is no difference in outpatient services between these two health insurance programs. Excessive demand, induced demand and other moral hazard phenomena in BMISUE should be avoided when receiving hospitalization services.</t>
  </si>
  <si>
    <t>[Han, Junqiang] South Cent Univ Nationalities, Sch Publ Management, Wuhan 430074, Peoples R China; [Zhang, Xiaodong; Meng, Yingying] Wuhan Univ, Ctr Social Secur Studies, Wuhan 430072, Peoples R China</t>
  </si>
  <si>
    <t>South Central Minzu University; Wuhan University</t>
  </si>
  <si>
    <t>Zhang, XD; Meng, YY (corresponding author), Wuhan Univ, Ctr Social Secur Studies, Wuhan 430072, Peoples R China.</t>
  </si>
  <si>
    <t>xiaodongzhang@whu.edu.cn; yingyingmeng@whu.edu.cn</t>
  </si>
  <si>
    <t>, Zhang/0000-0001-8211-0673; Meng, yingying/0000-0002-2984-6275; Han, Junqiang/0000-0001-7732-2313</t>
  </si>
  <si>
    <t>National Social Science Foundation [16CGL046]; Youth Foundation of Humanities and Social Sciences by the Ministry of Education of the People's Republic of China [15YJCZH118]; Scientific Research Projects by the State Ethnic Affairs Commission [MSQ16002]; Fundamental Research Funds for the Central Universities [CSY16018, 410500076]</t>
  </si>
  <si>
    <t>National Social Science Foundation; Youth Foundation of Humanities and Social Sciences by the Ministry of Education of the People's Republic of China; Scientific Research Projects by the State Ethnic Affairs Commission; Fundamental Research Funds for the Central Universities(Fundamental Research Funds for the Central UniversitiesPrince of Songkla UniversityInstituto Politecnico Nacional - Mexico)</t>
  </si>
  <si>
    <t>This research was funded by the National Social Science Foundation (project 16CGL046), the Youth Foundation of Humanities and Social Sciences by the Ministry of Education of the People's Republic of China (project 15YJCZH118), the Scientific Research Projects by the State Ethnic Affairs Commission (MSQ16002), and the Fundamental Research Funds for the Central Universities (projects CSY16018 and 410500076).</t>
  </si>
  <si>
    <t>1179-1594</t>
  </si>
  <si>
    <t>RISK MANAG HEALTHC P</t>
  </si>
  <si>
    <t>RISK MANAG. HEALTHC. POLICY</t>
  </si>
  <si>
    <t>10.2147/RMHP.S273098</t>
  </si>
  <si>
    <t>OC8DU</t>
  </si>
  <si>
    <t>WOS:000579387800001</t>
  </si>
  <si>
    <t>Saiti, B; Ardo, AA; Yumusak, IG</t>
  </si>
  <si>
    <t>Saiti, Buerhan; Ardo, Abubakar Aliyu; Yumusak, Ibrahim Guran</t>
  </si>
  <si>
    <t>Why non-Muslims subscribe to Islamic banking?</t>
  </si>
  <si>
    <t>Islamic banking; Theory of planned behaviour; Nigeria; Non-Muslim customers</t>
  </si>
  <si>
    <t>CONVENTIONAL BANKS; PLANNED BEHAVIOR; INTENTION; PERSPECTIVE; PERCEPTION; CONSUMERS; CRISIS; RISK</t>
  </si>
  <si>
    <t>Purpose Islamic finance has exhibited immense potential to transform the global financial landscape in the recent years. In reaction to the trend, Nigeria introduced Islamic banking system to cater to the need of the teeming population and promote financial inclusion, among other potential benefits. Unfortunately, the notable growth recorded by the banks since the inception of the Islamic banking system is slowing down because of religiously induced sentiments and criticisms championed by certain non-Muslim segments of the society. Interestingly, even with the impish hype and publicity, non-Muslims make a significant customer base of the Islamic banks. Therefore, the current paper aims to investigate the factors influencing the choice of Islamic banking among non-Muslim customers, using the theory of planned behaviour as a conceptual framework. Design/methodology/approach This research adopts a positivist approach and relies on facts and quantitative data in an objective manner. Positivism emphasizes on using scientific methods to derive factual and quantifiable results. Findings Based on the regression analysis, subjective norm was found to be the most significant factor influencing the choice of Islamic banking followed by perceived behavioural control and attitude. As a result, it is important for Islamic banking institutions and relevant regulatory agencies to take preemptive measures that may protect and enhance these factors in a bid to promote patronage and eventual success of Islamic banking in Nigeria, especially in the face of growing scepticism. Originality/value The existing literature focuses on the choices of either Muslims without due emphasis on the determinant of choice in the case of non-Muslim customers. The growing support of Islamic banking products, cutting across religious divides, compels research on the factors that influence the choice of Islamic banking among non-Muslim customers. Hence, this research seeks to bridge the gap in the existing literature by embarking on an investigation into the factors influencing the choice of Islamic banking among non-Muslim customers in the context of Nigeria.</t>
  </si>
  <si>
    <t>[Saiti, Buerhan] Istanbul Sabahattin Zaim Univ, Dept Islamic Econ &amp; Finance, Istanbul, Turkey; [Ardo, Abubakar Aliyu] Int Islamic Univ Malaysia, Inst Islamic Banking &amp; Finance, Kuala Lumpur, Malaysia; [Yumusak, Ibrahim Guran] Istanbul Sabahattin Zaim Univ, Istanbul, Turkey</t>
  </si>
  <si>
    <t>Istanbul Sabahattin Zaim University; International Islamic University Malaysia; Istanbul Sabahattin Zaim University</t>
  </si>
  <si>
    <t>Saiti, B (corresponding author), Istanbul Sabahattin Zaim Univ, Dept Islamic Econ &amp; Finance, Istanbul, Turkey.</t>
  </si>
  <si>
    <t>borhanseti@gmail.com</t>
  </si>
  <si>
    <t>Yumusak, Ibrahim Guran/AAG-4249-2021; ULUYOL, BURHAN/C-8168-2017</t>
  </si>
  <si>
    <t>Yumusak, Ibrahim Guran/0000-0003-1655-9872; ULUYOL, BURHAN/0000-0002-9984-489X</t>
  </si>
  <si>
    <t>APR 13</t>
  </si>
  <si>
    <t>10.1108/QRFM-01-2018-0005</t>
  </si>
  <si>
    <t>0J8PH</t>
  </si>
  <si>
    <t>WOS:000780361800003</t>
  </si>
  <si>
    <t>Akanbi, OA</t>
  </si>
  <si>
    <t>Akanbi, Olusegun Ayodele</t>
  </si>
  <si>
    <t>Impact of migration on economic growth and human development Case of Sub-Saharan African countries</t>
  </si>
  <si>
    <t>Poverty; Human development; Sub-Saharan Africa; Economic growth; Migration</t>
  </si>
  <si>
    <t>DETERMINANTS; POVERTY</t>
  </si>
  <si>
    <t>Purpose - The purpose of this paper is to examine the impact of migration on economic growth and human development in selected Sub-Saharan African (SSA) countries. Design/methodology/approach - The estimations were carried out in a panel of 19 selected SSA countries over the period 1990-2013, using the two-stage least squares estimation techniques. Two measures of migration, namely stock of international migrants and the ratio of personal remittances received to personal remittances paid were used in the study to carry out this investigation. Findings - The results conform to the findings of existing literature, namely that social expenditure, domestic investment, financial inclusion, income inequality, income and human poverty are significant determinants of either human development or per capita GDP in Sub-Saharan Africa. The distinctive feature of the study is the significant but negative role played by migration in explaining human development and economic growth in the region. The results from the panel estimations reveal that an increase in the measures of migration deteriorates the level of human development and growth of the region. Research limitations/implications - The major limitation of this study is the unavailability of quality data on migration flows. Therefore, it would be imperative to reinvestigate the specifications adopted in this study in follow-up studies. Practical implications - The study includes implications for policy makers, especially in SSA countries, that the pattern and flow of migration does not circulate within the region and has tended to drain out human capital to other regions of the world. In the same event, the stock of migrants residing in the region may be low-skilled migrants that do not contribute directly to the level of human development. Originality/value - To assess the impact of migration on economic growth and development such as the SSA region, it is imperative to follow the growth-based, capacity-based and asset-based approaches to development. This study has made this distinction.</t>
  </si>
  <si>
    <t>[Akanbi, Olusegun Ayodele] Univ South Africa, Dept Econ, Pretoria, South Africa</t>
  </si>
  <si>
    <t>Akanbi, OA (corresponding author), Univ South Africa, Dept Econ, Pretoria, South Africa.</t>
  </si>
  <si>
    <t>akanboa@unisa.ac.za</t>
  </si>
  <si>
    <t>akanbi, olusegun/I-3763-2013</t>
  </si>
  <si>
    <t>National Research Foundation South Africa</t>
  </si>
  <si>
    <t>National Research Foundation South Africa(National Research Foundation - South AfricaInstituto Politecnico Nacional - Mexico)</t>
  </si>
  <si>
    <t>This work is based on the research supported by the National Research Foundation South Africa.</t>
  </si>
  <si>
    <t>10.1108/IJSE-07-2015-0190</t>
  </si>
  <si>
    <t>EX0MO</t>
  </si>
  <si>
    <t>WOS:000402915300009</t>
  </si>
  <si>
    <t>Verdeau, B; Denieul-Barbot, A; Monnery-Patris, S</t>
  </si>
  <si>
    <t>Verdeau, Basile; Denieul-Barbot, Anaelle; Monnery-Patris, Sandrine</t>
  </si>
  <si>
    <t>Acceptability and effect on food choices of incentives promoting more sustainable diets among low-income consumers: A qualitative study</t>
  </si>
  <si>
    <t>APPETITE</t>
  </si>
  <si>
    <t>Food insecurity; Food vouchers; Plant-based diet; Food aid; Semi-structured interviews; Process evaluation; Fruit and vegetables; Legumes</t>
  </si>
  <si>
    <t>ENVIRONMENTAL IMPACTS; FRUIT; HEALTHY; PERCEPTIONS; EXPERIENCES; CONSUMPTION; COST; INTERVENTIONS; BARRIERS; VOUCHERS</t>
  </si>
  <si>
    <t>In the context of rising food costs, low-income consumers are likely to lack financial access to a sustainable diet primarily composed of healthy plant-based food. To promote a change towards more sustainable food habits, vouchers for fruit, vegetables and legumes redeemable in supermarkets have been experimented in the urban area of Dijon (France). The objective of the study was to explore the acceptability of the intervention and the effects of the vouchers on food choices through participants' perceptions. Face-to-face semi-structured interviews were conducted with twenty-seven participants, three months after the end of the intervention. The transcripts were analysed through inductive then deductive content analysis, following a process evaluation framework with two themes related to the implementation and the mechanisms of impact of the intervention. Implementation issues and feelings of discrimination were mentioned, but satisfaction was high and vouchers were considered to improve the financial situation, although the restriction on the targeted products was not always understood. Regarding the mechanisms of impact, during the intervention period, two third of the participants, especially families with young children, attached greater importance to taste and curiosity for unfamiliar food and lesser importance to price. Vouchers thus led to food purchases of higher diversity and higher enjoyment. Other participants did not change their habits, mostly because of an improper use of the vouchers or the absence of motivation for a dietary change. These findings suggest that financial incentives not only increase access to sustainable food, but also influence food choice processes and contribute to greater acceptability of plant-based food in low-income families. The results call for financial incentives to be considered as an opportunity to support changes in dietary behaviour in low-income populations.</t>
  </si>
  <si>
    <t>[Verdeau, Basile; Monnery-Patris, Sandrine] Univ Bourgogne Europe, Inst Agro, Ctr Sci Gout &amp; Alimentat, CNRS,INRAE, F-21000 Dijon, France; [Denieul-Barbot, Anaelle] Univ Bourgogne Europe, Inst Agro, CESAER UMR1041, INRAE, F-21000 Dijon, France</t>
  </si>
  <si>
    <t>INRAE; Institut Agro; Institut Agro Dijon; Centre National de la Recherche Scientifique (CNRS); Universite Bourgogne Europe; INRAE; Universite Bourgogne Europe; Institut Agro; Institut Agro Dijon</t>
  </si>
  <si>
    <t>Monnery-Patris, S (corresponding author), Ctr INRAE Bourgogne Franche Comte, CSGA, 17 Rue Sully, F-21065 Dijon, France.</t>
  </si>
  <si>
    <t>sandrine.monnery-patris@inrae.fr</t>
  </si>
  <si>
    <t>; Verdeau, Basile/JNR-5240-2023</t>
  </si>
  <si>
    <t>Monnery-Patris, Sanine/0000-0001-8157-6412; Verdeau, Basile/0000-0002-5184-1577</t>
  </si>
  <si>
    <t>Ministere de l'Enseignement Superieur et de la Recherche (Ecole Doctorale Environnements-Sante of the University Bourgogne Franche-Comte); Institut Olga Triballat</t>
  </si>
  <si>
    <t>Funding source This research was supported by grants from the Ministere de l'Enseignement Superieur et de la Recherche (Ecole Doctorale Environnements-Sante of the University Bourgogne Franche-Comte) . This research was also supported by the Institut Olga Triballat. The funding source did not play any role in the study design, the collection and interpretation of data, the writing of the report and the decision to submit the article for publication.</t>
  </si>
  <si>
    <t>ACADEMIC PRESS LTD- ELSEVIER SCIENCE LTD</t>
  </si>
  <si>
    <t>24-28 OVAL RD, LONDON NW1 7DX, ENGLAND</t>
  </si>
  <si>
    <t>0195-6663</t>
  </si>
  <si>
    <t>1095-8304</t>
  </si>
  <si>
    <t>Appetite</t>
  </si>
  <si>
    <t>10.1016/j.appet.2025.107903</t>
  </si>
  <si>
    <t>Behavioral Sciences; Nutrition &amp; Dietetics</t>
  </si>
  <si>
    <t>X9C4X</t>
  </si>
  <si>
    <t>WOS:001428236800001</t>
  </si>
  <si>
    <t>O'Meara, WP; Karuru, S; Fazen, LE; Koech, J; Kizito, B; Tarus, C; Menya, D</t>
  </si>
  <si>
    <t>O'Meara, W. P.; Karuru, S.; Fazen, L. E.; Koech, J.; Kizito, B.; Tarus, C.; Menya, D.</t>
  </si>
  <si>
    <t>Heterogeneity in health seeking behaviour for treatment, prevention and urgent care in four districts in western Kenya</t>
  </si>
  <si>
    <t>PUBLIC HEALTH</t>
  </si>
  <si>
    <t>Health seeking; Access; Maternal and child health</t>
  </si>
  <si>
    <t>EFFECTIVE MALARIA TREATMENT; CONTRACEPTIVE USE; FEVER TREATMENT; SERVICES; ACCESS; WOMEN; POOR; DETERMINANTS; MEDICINES; COUNTRIES</t>
  </si>
  <si>
    <t>Objectives: The impact of effective, life-saving health interventions is limited by access to and use of health services. Health seeking behaviour is likely to vary geographically and by type of health concern. However, little is known about the extent of this heterogeneity. Study design: A representative cluster-randomized sample of households in four districts in western Kenya was interviewed using a structured, interviewer-administered survey. GPS coordinates of all households and all local health facilities were also collected. Methods: Household surveys measured health seeking behaviour for three distinct health needs: family planning which is a form of prevention, delivery which is an urgent care need but can be planned in advance, and childhood febrile illness which is an unexpected and potentially life-threatening concern. Logistic regression models were used to explore the relationship between seeking health services and maternal and household characteristics, with special attention to geographic and financial access to care. Results: Use of health services for these three different health issues varied between the districts and also differed from national estimates. Place of delivery was most strongly correlated with the type of health services available to the family, whereas family planning was correlated with the relationship of the mother to the head of household. There was no strong interaction between socio-economic status and distance to services. Conclusions: The level of services available nearest to households rather than the distance to travel influences treatment-seeking behaviour, particularly for urgent care. Maternal factors and household wealth were often important but, even within the same households, their effect changes based on the type of health concern. Generalizing from nationwide surveys may obscure important local heterogeneity, particularly in delivery location and fever treatment. (C) 2014 The Royal Society for Public Health. Published by Elsevier Ltd. All rights reserved.</t>
  </si>
  <si>
    <t>[O'Meara, W. P.] Duke Univ, Sch Med, Durham, NC USA; [O'Meara, W. P.] Duke Global Hlth Inst, Durham, NC USA; [O'Meara, W. P.; Menya, D.] Moi Univ, Sch Publ Hlth, Coll Hlth Sci, Eldoret, Kenya; [Karuru, S.; Koech, J.; Kizito, B.; Tarus, C.; Menya, D.] Acad Model Providing Access Healthcare AMPATH, Eldoret, Kenya; [Fazen, L. E.] Yale Univ, Sch Publ Hlth, New Haven, CT USA</t>
  </si>
  <si>
    <t>Duke University; Duke University; Moi University; Yale University</t>
  </si>
  <si>
    <t>O'Meara, WP (corresponding author), Duke Univ, Box 5760, Eldoret 30100, Kenya.</t>
  </si>
  <si>
    <t>wpo@duke.edu</t>
  </si>
  <si>
    <t>United States Agency for International Development as part of the President's Emergency Plan for AIDS Relief (PEPFAR)</t>
  </si>
  <si>
    <t>United States Agency for International Development as part of the President's Emergency Plan for AIDS Relief (PEPFAR)(United States Agency for International Development (USAID)United States Department of Health &amp; Human ServicesCenters for Disease Control &amp; Prevention - USA)</t>
  </si>
  <si>
    <t>This research was supported in part by a grant to the USAID-AMPATH Partnership from the United States Agency for International Development as part of the President's Emergency Plan for AIDS Relief (PEPFAR).</t>
  </si>
  <si>
    <t>W B SAUNDERS CO LTD</t>
  </si>
  <si>
    <t>32 JAMESTOWN RD, LONDON NW1 7BY, ENGLAND</t>
  </si>
  <si>
    <t>0033-3506</t>
  </si>
  <si>
    <t>1476-5616</t>
  </si>
  <si>
    <t>Public Health</t>
  </si>
  <si>
    <t>10.1016/j.puhe.2014.08.010</t>
  </si>
  <si>
    <t>AU8OY</t>
  </si>
  <si>
    <t>WOS:000345857200006</t>
  </si>
  <si>
    <t>Bazin, F; Parizot, I; Chauvin, P</t>
  </si>
  <si>
    <t>Original approach to the individual characteristics associated with forgone healthcare - A study in underprivileged areas, Paris region, France, 2001-2003</t>
  </si>
  <si>
    <t>EUROPEAN JOURNAL OF PUBLIC HEALTH</t>
  </si>
  <si>
    <t>health behaviour; healthcare access; life change events; logistic models; psychosocial factors</t>
  </si>
  <si>
    <t>SOCIOECONOMIC INEQUALITIES; HEART-DISEASE; ILL HEALTH; COHERENCE; MORTALITY; POVERTY; CANCER; EQUITY; SENSE</t>
  </si>
  <si>
    <t>Background: The social inequalities in health have endured or even worsened comparatively throughout different social groups since the 1990s. Our objective was to identify the individual characteristics (socioeconomic status, living conditions, individuals' social integration, health beliefs, expectations and representation and psychological characteristics) statistically associated with the fact of stating (or not) that healthcare had been forgone because of cost. Methods: In this cross-sectional, multi-centre study we randomly selected a study sample from five underprivileged areas in the Paris region. A multiple logistic regression model was used to calculate the odds ratios (OR) and 95% confidence interval (CI). The validity of the model was assessed by goodness-of-fit tests (Pearson and deviance) and by the study of 100 bootstrap samples. Results: After making adjustments for numerous individual socio-economic and health characteristics, we observed a higher occurrence of reported forgone healthcare among people who have had financial worries during adulthood [ORyes/no = 5.47 (1.44 - 20.75)], a life-course experience of physical, sexual or psychological abuse [ORyes/no = 2.86 (1.40 - 5.84)]; who have experienced childhood difficulties [OR1/never difficulties 5.28 (1.81 - 15.39), OR2-4/never 7.62 (2.69 - 21.57), OR &gt; 4/never 8.57 (2.39 - 30.80)]; who have expressed a low degree of sickness orientation [ORlow/high 2.62 (1.33 - 5.14)], a high worry/concern about health [ORhigh/low 2.71 (1.33 - 5.50)] and a low self-esteem [ORmedium/high 8.28 (1.44 - 47.64), ORlow/high 16.44 (2.81 - 96.24)]. Conclusion: Aside from purely financial hurdles, other factors play a role in the nonuse of healthcare services. Health policies mainly promoting equal financial access to healthcare have little chance of abating health inequalities.</t>
  </si>
  <si>
    <t>INSERM, U707, Fac Med St Antoine, Res Team Social Determinants Hlth &amp; Healthcare, F-75571 Paris, France</t>
  </si>
  <si>
    <t>Sorbonne Universite; Institut National de la Sante et de la Recherche Medicale (Inserm)</t>
  </si>
  <si>
    <t>Chauvin, P (corresponding author), INSERM, U707, Fac Med St Antoine, Res Team Social Determinants Hlth &amp; Healthcare, 27 Rue Chaligny, F-75571 Paris, France.</t>
  </si>
  <si>
    <t>chauvin@u707.jussieu.fr</t>
  </si>
  <si>
    <t>Chauvin, Pierre/G-1095-2015</t>
  </si>
  <si>
    <t>Chauvin, Pierre/0000-0002-9183-6406</t>
  </si>
  <si>
    <t>1101-1262</t>
  </si>
  <si>
    <t>1464-360X</t>
  </si>
  <si>
    <t>EUR J PUBLIC HEALTH</t>
  </si>
  <si>
    <t>Eur. J. Public Health</t>
  </si>
  <si>
    <t>10.1093/eurpub/cki096</t>
  </si>
  <si>
    <t>965AL</t>
  </si>
  <si>
    <t>WOS:000231922000007</t>
  </si>
  <si>
    <t>Khandakar, H; Hasnat, MA; Rahman, MA; Aubhi, RU; Babur, A; Hasan, KK</t>
  </si>
  <si>
    <t>Khandakar, Hissan; Hasnat, Md. Abu; Rahman, Md. Azizur; Aubhi, Rezwan Ul Haque; Babur, Ayoub; Hasan, Khandakar Kamrul</t>
  </si>
  <si>
    <t>Reforming Islamic financial standards for inclusive and sustainable development: a Maturidi creed perspective on behaviour, equity and justice</t>
  </si>
  <si>
    <t>Human behaviour; SDGs; Maqasid al-Shariah; Equity and justice; Islamic finance reform; Maturidi creed</t>
  </si>
  <si>
    <t>ACCOUNTING STANDARDS; INSTITUTIONS; PERFORMANCE; SUBSTANCE; MODEL; FORM</t>
  </si>
  <si>
    <t>Purpose - This study aims to investigate how Islamic financial standards can be reformed to better promote equity, justice and inclusion in support of sustainable development. Drawing upon the Maturidi creed, which emphasizes rationality, ethical conduct and moral responsibility, the research seeks to realign Islamic finance with the foundational objectives of Shariah, fostering a just and inclusive economic system. Design/methodology/approach - The research adopts a systematic literature review (SLR) following the PRISMA protocol, analysing peer-reviewed literature from 2012 to 2023. Text-mining techniques, including topic modelling and heatmap analysis using Python, were employed to uncover key themes and trends related to Islamic finance reform and its intersection with sustainable and inclusive development. Findings - The study identifies critical pathways for enhancing equity and justice within Islamic finance. Key themes include the role of Islamic FinTech in improving financial inclusion, the need for regulatory innovation to support underserved communities and entrepreneurs and the integration of Maqasid al-Shariah to ensure fairness and sustainability. The findings emphasize the behavioural transformation needed to shift from profit-centric capitalism towards a more inclusive and ethically grounded financial system. Research limitations/implications - This study is limited to secondary data and literature published between 2012 and 2023. Further empirical research is needed to validate these insights in diverse regional and institutional contexts. Practical implications - Policymakers and practitioners are provided with a faith-based yet forward-looking framework to reform financial systems, making them more inclusive and just. The integration of theological ethics into financial governance offers tools to combat inequality and promote responsible economic behaviour. Social implications - By advocating for values-driven financial practices, this research contributes to broader societal goals, including poverty reduction, equitable wealth distribution and social cohesion. It aligns closely with the United Nations Sustainable Development Goals (SDGs), particularly SDGs 1 (No Poverty), 8 (Decent Work and Economic Growth) and 10 (Reduced Inequality). Originality/value - This paper presents a novel interdisciplinary approach by bridging Islamic theology, behavioural economics and sustainable development. The use of the Maturidi perspective provides a unique ethical and rational foundation for reforming Islamic finance to better serve the goals of equity, justice and inclusion.</t>
  </si>
  <si>
    <t>[Khandakar, Hissan; Hasnat, Md. Abu] Univ Scholars, Dept Business Adm, Dhaka, Bangladesh; [Rahman, Md. Azizur] Daffodil Int Univ, Dept Finance, Dhaka, Bangladesh; [Aubhi, Rezwan Ul Haque] Univ Scholars, Dept Business Adm, Dhaka, Bangladesh; [Babur, Ayoub] Karadeniz Tech Univ, Dept Business Adm, Trabzon, Turkiye; [Hasan, Khandakar Kamrul] Univ Alabama, Dept Educ Leadership Policy &amp; Technol Studies, Tuscaloosa, AL USA</t>
  </si>
  <si>
    <t>Daffodil International University; Karadeniz Technical University; University of Alabama System; University of Alabama Tuscaloosa</t>
  </si>
  <si>
    <t>Hasnat, MA (corresponding author), Univ Scholars, Dept Business Adm, Dhaka, Bangladesh.</t>
  </si>
  <si>
    <t>hissanbd@gmail.com; dr.hasnat@ius.edu.bd; azizur.bba@diu.edu.bd; rezwanhaque@ius.edu.bd; baburayoub@gmail.com; kkhasan@crimson.ua.edu</t>
  </si>
  <si>
    <t>Rahman, Muhammad/GLR-8606-2022; Khandakar, Hissan/NQF-5629-2025; , Rezwan Ul Haque Aubhi/OEN-5463-2025; Hasnat, Abu/JEP-3332-2023; Hasan, Dr. Khandakar Kamrul/AAS-8470-2021</t>
  </si>
  <si>
    <t>, Rezwan Ul Haque Aubhi/0009-0005-0735-9678; Hasnat, Abu/0000-0002-4721-5303;</t>
  </si>
  <si>
    <t>2025 JUN 5</t>
  </si>
  <si>
    <t>10.1108/IJOES-04-2025-0186</t>
  </si>
  <si>
    <t>3JO4D</t>
  </si>
  <si>
    <t>WOS:001501881100001</t>
  </si>
  <si>
    <t>Khan, I; Akhtar, MA</t>
  </si>
  <si>
    <t>Khan, Imran; Akhtar, Mohammed Anam</t>
  </si>
  <si>
    <t>An impact analysis of global governance and economic indicators in shaping bank lending in India</t>
  </si>
  <si>
    <t>Remittance; India; Government policies; Lending interest rate; Banks; Lending capacity; SDG 8.10</t>
  </si>
  <si>
    <t>FINANCIAL SECTOR; TIME-SERIES; UNIT-ROOT; PANEL; REMITTANCES; EFFICIENCY</t>
  </si>
  <si>
    <t>Purpose - The objective of the research is to examine the impact of global governance and macroeconomic indicators on the lending capacity of banks in India. Design/methodology/approach - Employing a comprehensive time series dataset spanning from 1996 to 2022, we utilize the Nonlinear Autoregressive Distributed Lag model approach to investigate the short-run and long-run impact of government policy (GP) effectiveness, lending interest rates and remittance inflows (RI) on the lending capacity of banks in India. Findings - The findings of the study indicate that lending interest rates have a statistically insignificant impact on lending capacity in the short term. However, in the long run, an increase in the lending interest rate leads to a decrease in lending capacity, whereas a decrease in the lending interest rate has a non-significant impact. On the other hand, the effectiveness of GPs affects both short-term and long-term lending capacity. In the short run, positive or negative changes in GP effectiveness lead to a decline in lending capacity. Whereas in the long run, a positive shock in GP effectiveness increases lending capacity, while a negative shock decreases it. Lastly, RI indicated no significant short-term impact on the lending capacity of the banks. Conversely, in the long run, a positive change in RI enhances lending capacity, whereas a negative change in RI reduces it, with a more pronounced effect. Originality/value - The novelty of the study lies in the fact that it is a pioneering study that utilizes global governance and macroeconomic indicators to examine the impact on the lending capacity of banks and financial institutions in India. Moreover, the study adopts a non-linear approach to examine the relationship between the chosen variables, which enables an understanding of the impact of both positive and negative shocks on the dependent variable both in the short and long run. Lastly, the examination sheds light on the achievement of Sustainable Development Goal 8.10, which is related to financial inclusion and it is a major concern for a large developing nation like India.</t>
  </si>
  <si>
    <t>[Khan, Imran] Birla Inst Technol &amp; Sci, Dept Humanities &amp; Social Sci, Pilani Dubai Campus, Dubai, U Arab Emirates; [Akhtar, Mohammed Anam] Inst Management Technol, Dept Accounting &amp; Finance, Dubai, U Arab Emirates</t>
  </si>
  <si>
    <t>Khan, I (corresponding author), Birla Inst Technol &amp; Sci, Dept Humanities &amp; Social Sci, Pilani Dubai Campus, Dubai, U Arab Emirates.</t>
  </si>
  <si>
    <t>i.khan1984@gmail.com; anam@imt.ac.ae</t>
  </si>
  <si>
    <t>AKHTAR, MOHAMMED/ABN-4670-2022; Khan, Imran/AAF-1757-2021</t>
  </si>
  <si>
    <t>Khan, Imran/0000-0003-0648-8409; AKHTAR, ANAM/0000-0002-8441-5056</t>
  </si>
  <si>
    <t>10.1108/BIJ-04-2024-0317</t>
  </si>
  <si>
    <t>9ZD3E</t>
  </si>
  <si>
    <t>WOS:001355170900001</t>
  </si>
  <si>
    <t>Emara, N; Zhang, YH</t>
  </si>
  <si>
    <t>Emara, Noha; Zhang, Yuanhao</t>
  </si>
  <si>
    <t>The non-linear impact of digitization on remittances inflow: Evidence from the BRICS</t>
  </si>
  <si>
    <t>Remittances; Digitization; FinTech; Financial inclusion; BRICS</t>
  </si>
  <si>
    <t>WORKERS REMITTANCES; ECONOMIC-GROWTH; MIGRATION; FINANCE</t>
  </si>
  <si>
    <t>Due to the impact of COVID-19, it is important now more than ever to analyze the relationship between the improvement in digitization and the flow of remittances in order to fill the void that has come as a result of stay at home and quarantine orders. Using a comprehensive measure of digitization that encompasses the commonly used proxies of financial technology (Fintech) and employing a System Generalized Method of Moments (GMM) panel estimation methodology on annual data over the period 2004?2018, this paper examines the impact of digitization, as a proxy of Fintech, on the inflow of remittances for a sample of 34 developed and developing countries. Our analysis provides an interesting case study on Brazil, Russia, India, China and South Africa (BRICS), known as five emerging markets with a great number of workers out of abroad but below the average level of digital transfers. Using the Digital Ecosystem Development Index developed by Katz and Callorda (2018), the results of the paper uncover a statistically significant nonlinear relationship between the improvement in digitization measures and the inflow of remittances with an exact threshold level. More specifically, our results indicate that improvement in digitization may initially increase the remittances inflow leading to an increase in the stock of remittances received. Nevertheless, once the digitization index reaches its threshold level further improvement in digitization tends decrease as penetration increases, giving rise to a decline in the rate of remittances inflow. This result implies that the marginal effect of the digital penetration is larger when at its lower level, before the threshold level. For countries such as the BRICS, with a level of digitization below the average of our sample, policy makers should apply more aggressive and comprehensive policies to recoup the maximum gains of a digital ecosystem. Hence, our policy implications are directed towards increasing the investments in developing human capacity including carrying different skill development training programs to prepare individuals for the information age, expanding the internet coverage and speed especially in educational establishments, encouraging the use and access of electronic banking by consumers, producers, and governments, and taking cyber security and fraud protection more seriously to encourage the flow of remittances, especially in light of its renewed utility due to the recent pandemic.</t>
  </si>
  <si>
    <t>[Emara, Noha] Rutgers State Univ, New Brunswick, NJ 08901 USA; [Emara, Noha] Columbia Univ, SIPA, New York, NY 10027 USA; [Zhang, Yuanhao] Columbia Univ, New York, NY 10027 USA</t>
  </si>
  <si>
    <t>Rutgers University System; Rutgers University New Brunswick; Columbia University; Columbia University</t>
  </si>
  <si>
    <t>Emara, N (corresponding author), Rutgers State Univ, New Brunswick, NJ 08901 USA.;Emara, N (corresponding author), Columbia Univ, SIPA, New York, NY 10027 USA.</t>
  </si>
  <si>
    <t>10.1016/j.telpol.2021.102112</t>
  </si>
  <si>
    <t>RO2TH</t>
  </si>
  <si>
    <t>WOS:000640898900008</t>
  </si>
  <si>
    <t>Kilonzo, HM; Muriithi, M; Ongeri, BO</t>
  </si>
  <si>
    <t>Kilonzo, Hilary Mati; Muriithi, Moses; Ongeri, Benedicto Onkoba</t>
  </si>
  <si>
    <t>Drivers of housing financing in Kenya</t>
  </si>
  <si>
    <t>INTERNATIONAL JOURNAL OF HOUSING MARKETS AND ANALYSIS</t>
  </si>
  <si>
    <t>Housing finance systems; Housing affordability</t>
  </si>
  <si>
    <t>MORTGAGE LOANS; IMPACT; DEVELOPERS; EXPERIENCE; PROVISION; DYNAMICS; STRATEGY; FUTURE; GROWTH</t>
  </si>
  <si>
    <t>PurposeHousing finance is frequently difficult to provide in developing nations due to unstable macroeconomic conditions and a lack of supportive legal, technological and regulatory frameworks (Lea and Bernstein, 1996). Governments in these countries have, therefore, created a range of organizations and initiatives to improve the flow of capital to the housing market on a footing that is affordable to their populations given the household income levels (Ram and Needham, 2016). Housing, however, is by its very nature a significant investment requiring a considerable capital outlay at the onset (Dasgupta et al., 2014). This makes acquiring it challenging, particularly in underdeveloped nations where saving tendencies are quite low partly because of low-income levels (Keller and Mukudi-Omwami, 2017). As a result, many developing nations struggle with severe housing issues that lead to slums, overcrowding and related health issues.Design/methodology/approachThe theoretical model for analyzing housing finance in Kenya in this study incorporates both demand and supply aspects, drawing from Brueckner's (1994) framework. This model divides factors influencing demand into certainty and uncertainty conditions faced by households. In terms of certainty, the model considers factors that households can predict reliably. First is income, households are assumed to have stable income, allowing accurate assessment of budget constraints and mortgage decisions. Second is interest rates. While interest rates fluctuate, the model assumes that households have information about current rates, enabling informed decision-making. Finally, existing housing costs, such as rent or mortgage payments, are treated as fixed and predictable, facilitating accurate budget planning. Conversely, uncertainty factors include future income, future interest rates and housing prices. Households face uncertainty regarding future income, which can impact their mortgage repayment ability due to job market changes or unforeseen events. The model does not predict future interest rate changes, which can affect the affordability of mortgages. Furthermore, future fluctuations in housing prices add uncertainty to the benefits of homeownership and mortgage debt. Due to these uncertainties, the model in this study assumes certainty conditions, focusing on households maximizing their utility. In Brueckner's model, a utility function captures household preferences and well-being linked to consumption choices, specifically between housing (H) and nonhousing goods (N). The utility function helps determine optimal income allocation, influenced by income (M), prices (P) and return on savings (t). The utility maximization problem involves selecting optimal amounts of housing and nonhousing consumption while managing housing credit (C).FindingsThe study confirms a significant long-run relationship between house finance and several macroeconomic variables, including interest rates on credit, inflation, unemployment and gross domestic product (GDP). The negative and significant error correction term indicates the presence of an equilibrium relationship, suggesting that the housing finance market in Kenya self-corrects swiftly in response to economic shocks. This efficiency could be attributed to increasing competition among financial institutions or a growing public awareness of housing finance options, implying a relatively well-developed market. Such responsiveness suggests that government policies aimed at influencing housing finance might have a quicker impact. For instance, introducing subsidies to reduce credit rates could rapidly boost housing finance activity (World Bank, 2019). However, the flip side of a fast-adjusting market is potential volatility, where rapid swings in economic factors could lead to significant fluctuations in housing finance availability, posing risks for both lenders and borrowers (Braun et al., 2022). Moreover, a rapid adjustment might not necessarily reflect a perfectly healthy market; it could indicate underlying issues like speculation or easy access to credit, potentially leading to bubbles or financial instability (Agnello et al., 2020).Originality/valueThis study reveals key insights into the determinants of housing finance in Kenya, demonstrating a significant long-run relationship between housing finance and economic variables such as interest rates, inflation, unemployment and GDP. The efficient adjustment of the housing finance market to economic changes suggests that government policies can rapidly influence housing finance, although this responsiveness also implies potential volatility and risks, including financial instability. Policymakers should, therefore, focus on maintaining macroeconomic stability and monitoring the housing market for signs of overheating. Encouraging competition among lenders and diversifying housing finance products can help ensure sustainable market adjustments. Credit interest rates show a modest but positive relationship with housing finance, suggesting that a stable lending environment could stimulate activity. Policymakers should manage credit availability to prevent excessive expansion and instability, enhancing financial inclusion and fostering competition in the banking sector. Inflation positively impacts housing finance, with rising inflation driving demand for real assets like housing. However, significant interest rate hikes by the Central Bank to combat inflation could reduce mortgage affordability. A flexible interest rate policy, along with targeted interventions like subsidized rates for first-time buyers, is necessary to balance market stimulation with inflation control. Unemployment's negative impact on housing finance underscores the need for robust unemployment benefits and job training initiatives to support financial stability during job losses. Targeted housing finance programs for low- and middle-income earners can also improve mortgage accessibility. The positive correlation between GDP growth and housing finance indicates that economic expansion drives housing demand. Policymakers should prioritize initiatives that promote long-term economic growth, such as infrastructure development and innovation. Finally, the insignificance of savings interest rates in influencing housing finance suggests that traditional monetary policy may have limited effects. Promoting financial literacy and developing tailored savings instruments could strengthen the connection between savings and housing finance over time.</t>
  </si>
  <si>
    <t>[Kilonzo, Hilary Mati; Muriithi, Moses; Ongeri, Benedicto Onkoba] Univ Nairobi, Dept Econ, Nairobi, Kenya</t>
  </si>
  <si>
    <t>Kilonzo, HM (corresponding author), Univ Nairobi, Dept Econ, Nairobi, Kenya.</t>
  </si>
  <si>
    <t>khilarymati@gmail.com; mkmuriithi@uonbi.ac.ke; bongeri@uonbi.ac.ke</t>
  </si>
  <si>
    <t>1753-8270</t>
  </si>
  <si>
    <t>1753-8289</t>
  </si>
  <si>
    <t>INT J HOUS MARK ANAL</t>
  </si>
  <si>
    <t>Int. J. Hous. Mark. Anal.</t>
  </si>
  <si>
    <t>2025 JAN 17</t>
  </si>
  <si>
    <t>10.1108/IJHMA-09-2024-0139</t>
  </si>
  <si>
    <t>S1L4T</t>
  </si>
  <si>
    <t>WOS:001395925400001</t>
  </si>
  <si>
    <t>Chikovani, I; Makhashvili, N; Gotsadze, G; Patel, V; Mckee, M; Uchaneishvili, M; Rukhadze, N; Roberts, B</t>
  </si>
  <si>
    <t>Chikovani, Ivdity; Makhashvili, Nino; Gotsadze, George; Patel, Vikram; Mckee, Martin; Uchaneishvili, Maia; Rukhadze, Natia; Roberts, Bayard</t>
  </si>
  <si>
    <t>Health Service Utilization for Mental, Behavioural and Emotional Problems among Conflict-Affected Population in Georgia: A Cross-Sectional Study</t>
  </si>
  <si>
    <t>POSTTRAUMATIC-STRESS-DISORDER; INTERNALLY DISPLACED PERSONS; CARE UTILIZATION; UNMET NEED; ASSOCIATION; PREVALENCE; DISABILITY; ATTITUDES; SEVERITY; ANXIETY</t>
  </si>
  <si>
    <t>Background There is large gap in mental illness treatment globally and potentially especially so in war-affected populations. The study aim was to examine health care utilization patterns for mental, behavioural and emotional problems among the war-affected adult population in the Republic of Georgia. Methods A cross-sectional household survey was conducted among 3600 adults affected by 1990s and 2008 armed conflicts in Georgia. Service use was measured for the last 12 months for any mental, emotional or behavioural problems. TSQ, PHQ-9 and GAD-7 were used to measure current symptoms of PTSD, depression and anxiety. Descriptive and regression analyses were used. Results Respondents were predominantly female (65.0%), 35.8% were unemployed, and 56.0% covered by the government insurance scheme. From the total sample, 30.5% had symptoms of at least one current mental disorder. Among them, 39.0% sought care for mental problems, while 33.1% expressed facing barriers to accessing care and so did not seek care. General practitioners (29%) and neurologists (26%) were consulted by the majority of those with a current mental disorder who accessed services, while use of psychiatric services was far more limited. Pharmacotherapy was the predominant type of care (90%). Female gender (OR 1.50, 95% CI: 1.25, 1.80), middle-age (OR 1.83, 95% CI: 1.48, 2.26) and older-age (OR 1.62, 95% CI: 1.19, 2.21), possession of the state insurance coverage (OR 1.55, 95% CI: 1.30, 1.86), current PTSD symptoms (OR 1.56, 95% CI: 1.29, 1.90) and depression (OR 2.12, 95% CI: 1.70, 2.65) were associated with higher rates of health service utilization, while employed were less likely to use services (OR 0.71, 95% CI: 0.55, 0.89). Conclusions Reducing financial access barriers and increasing awareness and access to local care required to help reduce the burden of mental disorders among conflict-affected persons in Georgia.</t>
  </si>
  <si>
    <t>[Chikovani, Ivdity; Gotsadze, George; Uchaneishvili, Maia; Rukhadze, Natia] Curatio Int Fdn, Tbilisi, Georgia; [Makhashvili, Nino] Global Initiat Psychiat, Tbilisi, Georgia; [Makhashvili, Nino] Ilia State Univ, Tbilisi, Georgia; [Patel, Vikram; Mckee, Martin; Roberts, Bayard] London Sch Hyg &amp; Trop Med, London WC1, England</t>
  </si>
  <si>
    <t>Ilia State University; University of London; London School of Hygiene &amp; Tropical Medicine</t>
  </si>
  <si>
    <t>Uchaneishvili, M (corresponding author), Curatio Int Fdn, Tbilisi, Georgia.</t>
  </si>
  <si>
    <t>m.uchaneishvili@curatio.com</t>
  </si>
  <si>
    <t>Gotsadze, George/B-1129-2008; makhashvili, nino/ABF-4921-2021; Chikovani, Ivdity/AAL-9870-2020; Patel, Vikram/ADE-3787-2022; McKee, Martin/E-6673-2018</t>
  </si>
  <si>
    <t>Gotsadze, George/0000-0002-8429-7125; makhashvili, nino/0000-0002-2365-2939; Chikovani, Ivdity/0000-0001-6925-4904; McKee, Martin/0000-0002-0121-9683; Uchaneishvili, Maia/0000-0003-1659-6614; Roberts, Bayard/0000-0003-4482-5859</t>
  </si>
  <si>
    <t>Wellcome Trust [093562/Z/10/Z]; Wellcome Trust [093562/Z/10/Z] Funding Source: Wellcome Trust</t>
  </si>
  <si>
    <t>Wellcome Trust(Wellcome TrustInstituto Politecnico Nacional - Mexico); Wellcome Trust(Wellcome Trust)</t>
  </si>
  <si>
    <t>This study was supported by the Wellcome Trust, grant number (093562/Z/10/Z). http://www.wellcome.ac.uk. The funder had no role in study design, data collection and analysis, decision to publish, or preparation of the manuscript.</t>
  </si>
  <si>
    <t>APR 8</t>
  </si>
  <si>
    <t>e0122673</t>
  </si>
  <si>
    <t>10.1371/journal.pone.0122673</t>
  </si>
  <si>
    <t>CF3WA</t>
  </si>
  <si>
    <t>WOS:000352478400076</t>
  </si>
  <si>
    <t>Alemu, F; Kumie, A; Medhin, G; Gebre, T; Godfrey, P</t>
  </si>
  <si>
    <t>Alemu, Fikralem; Kumie, Abera; Medhin, Girmay; Gebre, Teshome; Godfrey, Phoebe</t>
  </si>
  <si>
    <t>A socio-ecological analysis of barriers to the adoption, sustainablity and consistent use of sanitation facilities in rural Ethiopia</t>
  </si>
  <si>
    <t>Sanitation; Ethiopia; Rural; Barriers; Adoption of latrine; Use of latrine</t>
  </si>
  <si>
    <t>HYGIENE INTERVENTIONS; WATER; LATRINES</t>
  </si>
  <si>
    <t>Background: Despite evidence showing that access to and use of improved sanitation is associated with healthier households and communities, barriers influencing the adoption and sustainablity of sanitation facilities remain unclear. We conducted a qualitative case study to explore barriers influencing the adoption, sustainablity and consistent use of sanitation facilities in rural Ethiopia. Methods: A qualitative study was conducted in the rural district of Becho, in central Ethiopia, from June to August 2016. A socio-ecological model and Integrated Behavioural Model (IBM) for a Water Hygiene and Sanitation (WASH) framework were employed to design the study and analyse data. A total of 10 in-depth interviews (IDI) were conducted with latrine adopters (n = 3), latrine non-adopters (n = 3), health extension workers (n = 3) and the district WASH coordinator (n = 1). Eight Focus Group Discussions (FGD) were undertaken with 75 participants, of which 31 were women. The FGDs and IDIs were tape-recorded, transcribed verbatim and translated into English. The analysis was supported using Nvivo version 10 software. Results: Barriers to sustained adoption and use of sanitation facilities were categorized into 1) individual level factors (e.g., past latrine experience, lack of demand and perceived high cost to improved latrines), 2) household level factors (e.g., unaffordability, lack of space and absence of a physically strong family member), 3) community level factors (e.g., lack of access to public latrines, lack of shared rules against open defecation, lack of financial access for the poor), and 4) societal level factors (e.g., lack of strong local leadership, flooding, soil conditions, lack of appropriate sanitation technology, lack of promotion and demand creation for improved latrines). Conclusion: The use of the socio-ecological model and IBM-WASH framework helped to achieve a better understanding of multi-level and multi-dimensional barriers to sustained latrine adoption. The results indicate that there is a need to consider interventions that address multi-level factors concurrently.</t>
  </si>
  <si>
    <t>[Alemu, Fikralem] Addis Ababa Univ, Ethiopian Inst Water Resources, Water &amp; Publ Hlth Program, Addis Ababa, Ethiopia; [Kumie, Abera] Addis Ababa Univ, Sch Publ Hlth, Coll Hlth Sci, Addis Ababa, Ethiopia; [Medhin, Girmay] Addis Ababa Univ, Aklilu Lemma Inst Pathobiol, Addis Ababa, Ethiopia; [Gebre, Teshome] Int Trachoma Initiat, Addis Ababa, Ethiopia; [Godfrey, Phoebe] Univ Connecticut, Dept Sociol, Storrs, CT USA</t>
  </si>
  <si>
    <t>Addis Ababa University; Addis Ababa University; Addis Ababa University; University of Connecticut</t>
  </si>
  <si>
    <t>Alemu, F (corresponding author), Addis Ababa Univ, Ethiopian Inst Water Resources, Water &amp; Publ Hlth Program, Addis Ababa, Ethiopia.</t>
  </si>
  <si>
    <t>fikeralemme@yahoo.com</t>
  </si>
  <si>
    <t>Gebre, Teshome/F-2973-2011; Kumie, Abera/AAC-8537-2022</t>
  </si>
  <si>
    <t>Medhin, Girmay/0000-0003-2146-4261</t>
  </si>
  <si>
    <t>Addis Ababa University, Ethiopian Institute of Water Resources</t>
  </si>
  <si>
    <t>Funding for data collection costs was obtained from Addis Ababa University, Ethiopian Institute of Water Resources.</t>
  </si>
  <si>
    <t>SEP 13</t>
  </si>
  <si>
    <t>10.1186/s12889-017-4717-6</t>
  </si>
  <si>
    <t>FG8IE</t>
  </si>
  <si>
    <t>WOS:000410672900002</t>
  </si>
  <si>
    <t>Gotsadze, G; Tang, WZ; Shengelia, N; Zoidze, A</t>
  </si>
  <si>
    <t>Gotsadze, George; Tang, Wenze; Shengelia, Natia; Zoidze, Akaki</t>
  </si>
  <si>
    <t>Determinants analysis of outpatient service utilisation in Georgia: can the approach help inform benefit package design?</t>
  </si>
  <si>
    <t>HEALTH RESEARCH POLICY AND SYSTEMS</t>
  </si>
  <si>
    <t>Non-communicable diseases; Outpatient service utilisation; Behavioural model; Benefits package; Determinants of service use</t>
  </si>
  <si>
    <t>HEALTH-CARE UTILIZATION; MEDICAL-CARE; BEHAVIORAL-MODEL; INSURANCE; POOR; INEQUALITIES; POPULATION; IMPACT</t>
  </si>
  <si>
    <t>Background: The healthcare financing reforms initiated by the Government of Georgia in 2007 have positively affected inpatient service utilisation and enhanced financial protection, especially for the poor, but they have failed to facilitate outpatient service use among chronic patients. Non-communicable diseases significantly affect Georgia's ageing population. Consequently, in this paper, we look at the evidence emerging from determinants analysis of outpatient service utilisation and if the finding can help identify possible policy choices in Georgia, especially regarding benefit package design for individuals with chronic conditions. Methods: We used Andersen's behavioural model of health service utilisation to identify the critical determinants that affect outpatient service use. A multinomial logistic regression was carried out with complex survey design using the data from two nationally representative cross-sectional population-based health utilisation and expenditure surveys conducted in Georgia in 2007 and 2010, which allowed us to assess the relationship between the determinants and outpatient service use. Results: The study revealed the determinants that significantly impede outpatient service use. Low income, 45- to 64-year-old Georgian males with low educational attainment and suffering from a chronic health problem have the lowest odds for service use compared to the rest of the population. Conclusions: Using Andersen's behavioural model and assessing the determinants of outpatient service use has the potential to inform possible policy responses, especially those driving services use among chronic patients. The possible policy responses include reducing financial access barriers with the help of public subsidies for sub-groups of the population with the lowest access to care; focusing/expanding state-funded benefits for the most prevalent chronic conditions, which are responsible for the greatest disease burden; or supporting chronic disease management programs for the most prevalent chronic diseases and for special age groups aimed at the timely detection, education and management of chronic patients.</t>
  </si>
  <si>
    <t>[Gotsadze, George; Shengelia, Natia; Zoidze, Akaki] Curatio Int Fdn, 37d Chavchavadze Ave, Tbilisi 0162, Georgia; [Tang, Wenze] Semel Inst Neurosci &amp; Human Behav, 760 Westwood PlazaCA, Los Angeles, CA 90024 USA</t>
  </si>
  <si>
    <t>Shengelia, N (corresponding author), Curatio Int Fdn, 37d Chavchavadze Ave, Tbilisi 0162, Georgia.</t>
  </si>
  <si>
    <t>n.shengelia@curatio.com</t>
  </si>
  <si>
    <t>Zoidze, Akaki/AAR-4208-2020; Gotsadze, George/B-1129-2008</t>
  </si>
  <si>
    <t>Zoidze, Akaki/0000-0002-7563-0117; Gotsadze, George/0000-0002-8429-7125</t>
  </si>
  <si>
    <t>Curatio International Foundation</t>
  </si>
  <si>
    <t>Curatio International Foundation financially and technically supported the production of this paper.</t>
  </si>
  <si>
    <t>1478-4505</t>
  </si>
  <si>
    <t>HEALTH RES POLICY SY</t>
  </si>
  <si>
    <t>Health Res. Policy Syst.</t>
  </si>
  <si>
    <t>10.1186/s12961-017-0197-5</t>
  </si>
  <si>
    <t>ET7OB</t>
  </si>
  <si>
    <t>WOS:000400485300001</t>
  </si>
  <si>
    <t>Tantau, AD; Paicu, EL</t>
  </si>
  <si>
    <t>Teirlinck, P; Kelchtermans, S; DeBeule, F</t>
  </si>
  <si>
    <t>Tantau, Adrian Dumitru; Paicu (Coras), Eliza Laura</t>
  </si>
  <si>
    <t>How SMEs Mitigate Risks When Embarking in Open Innovation Projects</t>
  </si>
  <si>
    <t>PROCEEDINGS OF THE 8TH EUROPEAN CONFERENCE ON INNOVATION AND ENTREPRENEURSHIP, VOL 2</t>
  </si>
  <si>
    <t>Proceedings of the European Conference on Entrepreneurship and Innovation</t>
  </si>
  <si>
    <t>8th European Conference on Innovation and Entrepreneurship (ECIE)</t>
  </si>
  <si>
    <t>SEP 19-20, 2013</t>
  </si>
  <si>
    <t>Hogeschool Univ Brussel, Brussels, BELGIUM</t>
  </si>
  <si>
    <t>Hogeschool Univ Brussel</t>
  </si>
  <si>
    <t>open innovation; SME; risks; innovation performance; collaboration</t>
  </si>
  <si>
    <t>RESEARCH-AND-DEVELOPMENT; PERFORMANCE; FUTURE; FIRMS</t>
  </si>
  <si>
    <t>SMEs are the engine of economies but slightly overlooked in the open innovation literature, which provides a scarcity of studies on the risks residing in open innovation projects involving SMEs and even fewer attempts to assess the mitigation potential of these dangers Moreover, there is a limited amount of research on the innovation practices of SMEs located in Eastern European countries. In Romania, we were not able to identify one single study reflecting the extent of open innovation projects in SMEs and the risks they face, which led us to attempt to cover this gap. What allures SMEs to embrace open innovation is their resource deficiency, insufficient abilities to explore and exploit technology, major knowledge gaps and the objective of minimizing the risks of innovation. The limited literature written on SMEs and open innovation highlights the motives, the benefits and the barriers these engines of economy confront when embarking in open innovation projects. However, no particular attempt to further the research into managing and mitigating the effective risks triggered by open innovation in SMEs was found. Based on a survey conducted on 211 Romanian SMEs in the Romanian financial services and consultancy sector, this paper both explores the risks affecting the innovation performance of SMEs in collaborative relationships, and seeks to provide a conceptual model for overcoming these threats. Within the survey, our work highlights that open innovation in Romanian SMEs is impeded by risks related to insufficient financial resources, inexperienced, unmotivated and unwilling to cooperate people, poor adaptation to technological advances in the industry, knowledge sharing risks, weak social capital and noteworthy regulation risks. All the risks identified through our research were mapped down in seven categories of risk drivers, with internal and external origin: workforce, collaboration itself, organizational culture / social capital, regulations and market barriers, clients, access to finance, technology advances. The risk mitigation model is centred on the SMEs key strategic advantages: high flexibility, ability for adaptation, people empowerment. The research results support the potential of mitigating risks SMEs face in open innovation projects, and indicate six factors as main risk mitigators: transparent communication among innovators, trust building, people empowerment, organizational learning and investment in knowledge, leadership, vision and convictions, proactiveness towards unethical behaviour. The results of our study can guide an SME to competitive advantage, parting both from the essence of collaboration in the scope of innovation, as well as from the challenge of efficiently managing the risks the process involves. Our model is appropriate to benchmark a financial sector SME. By undertaking this study we aim to contribute to the scarce literature on open innovation practices in Romanian SMEs and to shed light on the factors that a firm needs to approach in order to foster a culture for innovation and, in the same time, reduce the open innovation risks.</t>
  </si>
  <si>
    <t>[Tantau, Adrian Dumitru; Paicu (Coras), Eliza Laura] Acad Econ Studies, Bucharest, Romania</t>
  </si>
  <si>
    <t>Tantau, AD (corresponding author), Acad Econ Studies, Bucharest, Romania.</t>
  </si>
  <si>
    <t>ad_tantau@yahoo.com; eliza.paicu@yahoo.com</t>
  </si>
  <si>
    <t>2049-1050</t>
  </si>
  <si>
    <t>978-1-909507-61-6</t>
  </si>
  <si>
    <t>PROC EUR CONF ENTREP</t>
  </si>
  <si>
    <t>BD6LR</t>
  </si>
  <si>
    <t>WOS:000362358400019</t>
  </si>
  <si>
    <t>Mulska, O; Vasyltsiv, T; Mitsenko, N; Ivaniuk, U; Lekh-Debera, A</t>
  </si>
  <si>
    <t>Mulska, Olha; Vasyltsiv, Taras; Mitsenko, Nataliia; Ivaniuk, Uliana; Lekh-Debera, Aneta</t>
  </si>
  <si>
    <t>CONSERVATION OF RURAL HUMAN RESOURCES IN UKRAINE: MODELLING THE RELATIONSHIP BETWEEN MIGRATION AND ECONOMIC DEVELOPMENT</t>
  </si>
  <si>
    <t>rural areas; human resources; migration; linkages; economic development; remittance; lags; modelling</t>
  </si>
  <si>
    <t>INTERNATIONAL REMITTANCES; MIGRANTS REMITTANCES; WORKERS REMITTANCES; CARPATHIAN REGION; INCOME INEQUALITY; GROWTH; IMPACT; VOLATILITY; AID</t>
  </si>
  <si>
    <t>Purpose. The article aims to identify the relationship between migration (in the context of two channels - (1) human resource outflows and (2) remittance inflow) in rural areas and the economic development; justification of measures of preserving rural human resources in rural areas in Ukraine. Methodology / approach. The methodological tools of the study are the construction of lag econometric models that allow identifying the influence of migration flows on key parameters of economic development, as well as the calculation of elasticity coefficients. Results. It is determined that high international migration in Ukraine, especially from territories with a lower quality of life, remote from regional centers, leads to increase human resource outflow in rural areas, which accelerates the rate of their socio-economic degradation and extinction, respectively, does not contribute to balanced spatial development. The positive impact of migration on economic development has been identified, in particular, migration contributes to improving the financial well-being of households, is an instrument for accumulating investment capital and savings, developing small businesses, and enhancing financial inclusion. It is proved that to preserve the human resources of rural areas in Ukraine, it is necessary to implement a proactive policy aimed at balancing the labour market of communities, simplifying the principles of conducting and reducing the risks of small business, increasing the young re-emigration, improving investment capital, increasing the competitiveness of the educational sphere at the local level. Originality / scientific novelty. A new scientific and methodological approach to assessing the dependence of the parameters of development of rural areas on migration processes due to two channels - human resources and remittance has been developed, complementary analysis of which makes it possible to identify the complex impact of migration on the socio-economic development of territories, optimal and critical volumes of migration according to various structural characteristics, migration gaps in the development of the economic system and social spheres of rural areas depending on the level of migration activity and the effectiveness of using the potential of remittance. Practical value / implications. The practical significance of the research results lies in the development of tools for forecasting and planning the state policy of preserving human resources of rural areas in Ukraine, depending on migration aspirations and the purposefulness of remittance.</t>
  </si>
  <si>
    <t>[Mulska, Olha; Vasyltsiv, Taras] Natl Acad Sci Ukraine, State Inst Inst Reg Res, Lvov, Ukraine; [Mitsenko, Nataliia] Lviv Univ Trade &amp; Econ, Lvov, Ukraine; [Ivaniuk, Uliana] Lviv Polytech Natl Univ, Lvov, Ukraine; [Lekh-Debera, Aneta] Ivan Franko Natl Univ, Lvov, Ukraine</t>
  </si>
  <si>
    <t>National Academy of Sciences Ukraine; Dolishniy Institute of Regional Research of the National Academy of Sciences of Ukraine; Ministry of Education &amp; Science of Ukraine; Lviv University of Trade &amp; Economics; Ministry of Education &amp; Science of Ukraine; Lviv Polytechnic National University; Ministry of Education &amp; Science of Ukraine; Ivan Franko National University Lviv</t>
  </si>
  <si>
    <t>Mulska, O (corresponding author), Natl Acad Sci Ukraine, State Inst Inst Reg Res, Lvov, Ukraine.</t>
  </si>
  <si>
    <t>Olga, Mulska/ABA-7203-2020; Vasyltsiv, Taras/I-3835-2017</t>
  </si>
  <si>
    <t>Olga, Mulska/0000-0002-1666-3971; Vasyltsiv, Taras/0000-0002-2889-6924; Lekh-Debera, Aneta/0009-0000-9536-3813</t>
  </si>
  <si>
    <t>10.51599/are.2023.09.04.04</t>
  </si>
  <si>
    <t>X4U3Y</t>
  </si>
  <si>
    <t>WOS:001425316100001</t>
  </si>
  <si>
    <t>Feng, QL; Hui, PCL</t>
  </si>
  <si>
    <t>Feng, Qilong; Hui, Patrick Chi-leung</t>
  </si>
  <si>
    <t>What are the factors that influence the adaptive market? An empirical study with wheelchair users in Hong Kong</t>
  </si>
  <si>
    <t>JOURNAL OF FASHION MARKETING AND MANAGEMENT</t>
  </si>
  <si>
    <t>Adaptive clothing; Adaptive apparel; Disabled consumers; Fashion industry; Apparel market; Fashion niche market; Consumer behaviour</t>
  </si>
  <si>
    <t>PURCHASE INTENTIONS; PRODUCT DESIGN; CONSUMERS; FRIENDSHIP; STRATEGY; SATISFACTION; INFORMATION; INTERNET; COMMERCE; TEXTILE</t>
  </si>
  <si>
    <t>Purpose The purpose of this study was to explore the determinant factors of the adaptive clothing market for disabled customers and to identify the influential elements in the fashion industry, with the aim of establishing the influential factors that drive the adaptive apparel business in the local market. The study developed a path model of relationships incorporating the disabled consumer background, consumer purchase intention and demand and elements of the fashion industry. This model can be used as a reference for fashion practitioners. Design/methodology/approach A quantitative approach was adopted for this empirical study. A survey was designed to investigate the connections between the consumer-related and industry-related variables. A set of measurements was developed and validated for the survey. The data were collected from a sample of 175 local wheelchair users, with a response rate of approximately 6.6 per cent. The data were analysed using SmartPLS, and structural equation model analysis was applied to identify the relationships between the variables. Findings The results of this study demonstrated that consumer purchase intention for adaptive apparel was affected closely by environmental factors, and consumer demand was significantly related to industry aspects including the product complexity and the business operations along with all elements of the industrial practice. The findings also revealed that the disability level was related to the users' purchase intentions, but the financial capability of the disabled consumers did not affect the intention to purchase adaptive clothes products. These results could suggest that economic issues are not the consumer's prior concern when purchasing apparel, but rather the disability condition. Those who demand adaptive apparel require advanced performance levels of product design, technology application and service. Originality/value The study originated from the situation that the Hong Kong fashion market lacks an adaptive market specifically for the minority group of disabled consumers. Why such a niche market has not been developed is unclear to the practitioners. It is necessary to investigate from both consumer-related and industry-related factors. Specifically, the research explored the consumer background and industry elements to identify the factors that influence disabled consumers to purchase apparel, in order to inform fashion practitioners who are interested in the niche market of disabled consumers in Hong Kong. It is anticipated that the determinants of adaptive market development can be extended to wider areas of the Chinese or other Asian markets.</t>
  </si>
  <si>
    <t>[Feng, Qilong; Hui, Patrick Chi-leung] Hong Kong Polytech Univ, Inst Text &amp; Clothing, Kowloon, Hong Kong, Peoples R China</t>
  </si>
  <si>
    <t>Feng, QL (corresponding author), Hong Kong Polytech Univ, Inst Text &amp; Clothing, Kowloon, Hong Kong, Peoples R China.</t>
  </si>
  <si>
    <t>ql.feng@connect.polyu.hk</t>
  </si>
  <si>
    <t>Hui, Chi/G-5437-2016</t>
  </si>
  <si>
    <t>Research Grants Council, University Grants Committee (Central Research)</t>
  </si>
  <si>
    <t>This study was supported by the Research Grants Council, University Grants Committee (Central Research grant no. RHQL).</t>
  </si>
  <si>
    <t>1361-2026</t>
  </si>
  <si>
    <t>1758-7433</t>
  </si>
  <si>
    <t>J FASH MARK MANAG</t>
  </si>
  <si>
    <t>J. Fash. Mark. Manag.</t>
  </si>
  <si>
    <t>10.1108/JFMM-11-2021-0280</t>
  </si>
  <si>
    <t>4J4EK</t>
  </si>
  <si>
    <t>WOS:000851217100001</t>
  </si>
  <si>
    <t>Burt, KG; Fuster, M; Folta, S; Lau, KHK; Odoms-Young, A; Brown, A; Orazem, J</t>
  </si>
  <si>
    <t>Burt, Kate G.; Fuster, Melissa; Folta, Sara; Lau, Ka Hei Karen; Odoms-Young, Angela; Brown, Alison; Orazem, John</t>
  </si>
  <si>
    <t>The Dietetics Profession Privilege Scale: Development, Psychometric Testing, and Application Among a Diverse Cohort of Dietetics Professionals</t>
  </si>
  <si>
    <t>JOURNAL OF THE ACADEMY OF NUTRITION AND DIETETICS</t>
  </si>
  <si>
    <t>Diversity; Inclusion; Privilege; Professional equity</t>
  </si>
  <si>
    <t>CULTURAL HUMILITY; WHITE PRIVILEGE; ATTITUDES; WOMEN</t>
  </si>
  <si>
    <t>Background Privilege (defined as the unearned advantage or disadvantage experienced by social groups resulting from structural power differences) impacts efforts to create a diverse and inclusive dietetics profession. Yet, no current measures exist to assess and observe privilege, and the relative privilege among dietetics professionals (DPs) is unknown. Objective The purpose of this study was to develop and validate a scale to measure DP privilege and to use that scale to assess privilege among a sample of DPs in the United States. Design The initial scale was developed by the research team and the psychometrics were assessed using a 3-phase cross-sectional study exploring construct, content and face validity, and test-retest reliability. Participants/setting A survey with content experts (n = 18), cognitive interviewees (n = 12), and a survey of DPs (n = 900) were conducted online and over Zoom during 2021. Statistical analyses Exploratory factor analysis, 1-way analysis of variance, Cronbach's a, and descriptive statistics were used to assess the final instrument and identify correlates of privilege. Results Findings indicate that the 29-item Dietetic Profession Privilege Scale has good validity and reliability across 6 domains (ie, treatment in training, identity alignment, resource access, cultural access, financial access, and physical access). The mean (SE) privilege score among the current sample of DPs was 45 (10.2) out of 58 points, with the greatest gaps between racial and ethnic groups, where White DPs (n = 540) had a mean (SE) score of 49.7 (0.33), followed by a mean score of 41.0 among Middle Eastern/North African DPs (n = 9); mean score of 40.0 for the Native Hawaiian and Pacific Islander- identifying DP; mean (SE) score of 39.8 (0.93) among DPs with 2 or more racial or ethnic identities, including White (n = 68); mean score of 35.7 among DPs with 2 or more marginalized racial or ethnic identities (n = 6); a mean (SE) score of 35.3 (1.07) among Black or African American DPs (n = 51); a mean (SE) score of 34.3 (0.93) among Asian DPs (n = 67); a mean (SE) score of 33.4 (0.91) among Latino, Hispanic, and Chicano DPs (n = 71); and a mean (SE) 29.4 (3.42) among American Indian and Alaskan Native DPs (P &lt;.001 for all racial and ethnic groups in which n &gt; 10; SE not indicated for groups when n &lt; 10). DPs with dominant group identities were found to have statistically higher privilege scores than their peers with marginalized identities in several areas, including race, gender, sexual orientation, income, socioeconomic status, neurodivergence, and ableness, and scored higher on the privilege scale than their peers with marginalized identities. Conclusions The Dietetics Profession Privilege Scale is a valid and reliable scale that demonstrates the ability to distinguish differences in privilege between DPs in the interest of reducing bias and achieving inclusion, diversity, equity, and access with the profession. J Acad Nutr Diet. 2025;125(3):366-385.</t>
  </si>
  <si>
    <t>[Burt, Kate G.; Orazem, John] CUNY, Lehman Coll, 250 Bedford Pk Blvd W, Bronx, NY 10468 USA; [Fuster, Melissa] Tulane Univ, Sch Publ Hlth &amp; Trop Med, New Orleans, LA USA; [Folta, Sara] Tufts Univ, Boston, MA USA; [Lau, Ka Hei Karen] Joslin Diabet Ctr, Asian Amer Diabet Initiat, Boston, MA USA; [Odoms-Young, Angela] Cornell Univ, Ithaca, NY USA; [Brown, Alison] NHLBI, Bethesda, MD USA</t>
  </si>
  <si>
    <t>City University of New York (CUNY) System; Lehman College (CUNY); Tulane University; Tufts University; Harvard University; Harvard University Medical Affiliates; Joslin Diabetes Center, Inc.; Cornell University; National Institutes of Health (NIH) - USA; NIH National Heart Lung &amp; Blood Institute (NHLBI)</t>
  </si>
  <si>
    <t>Burt, KG (corresponding author), CUNY, Lehman Coll, 250 Bedford Pk Blvd W, Bronx, NY 10468 USA.</t>
  </si>
  <si>
    <t>Katherine.Burt@lehman.cuny.edu</t>
  </si>
  <si>
    <t>Fuster, Melissa/M-2189-2019</t>
  </si>
  <si>
    <t>Burt, Kate/0000-0002-6115-6450; Lau, Ka Hei Karen/0009-0003-3121-2137</t>
  </si>
  <si>
    <t>2212-2672</t>
  </si>
  <si>
    <t>2212-2680</t>
  </si>
  <si>
    <t>J ACAD NUTR DIET</t>
  </si>
  <si>
    <t>J. Acad. Nutr. Diet.</t>
  </si>
  <si>
    <t>10.1016/j.jand.2024.09.005</t>
  </si>
  <si>
    <t>Nutrition &amp; Dietetics</t>
  </si>
  <si>
    <t>Y2K9M</t>
  </si>
  <si>
    <t>WOS:001430490000001</t>
  </si>
  <si>
    <t>Pérez-Elizundia, G; Delgado-Guzmán, JA; Lampón, JF</t>
  </si>
  <si>
    <t>Perez-Elizundia, Guillermo; Delgado-Guzman, Jose Alfredo; Lampon, Jesus F.</t>
  </si>
  <si>
    <t>Cooperation in financing: Implications for Mexico's automotive supply chain</t>
  </si>
  <si>
    <t>REVISTA DE ESTUDIOS REGIONALES</t>
  </si>
  <si>
    <t>Supply chain; Automotive sector; Reverse factoring; SMEs; Mexico</t>
  </si>
  <si>
    <t>AUTOMOBILE COMPONENTS INDUSTRY; MANAGEMENT; PATTERNS; ADOPTION; LEGAL</t>
  </si>
  <si>
    <t>The Mexican automotive supply chain is dominated by large foreign-owned multinational corporations (MNC) that maintain asymmetrical power relations with most of their suppliers. Mexican companies in this automotive chain are mostly small and medium-sized enterprises (SME) located at the lower levels of supply. However, these asymmetries of power generally result in the imposition of long payment terms and the transfer of financing costs to these SMEs located at the lower levels of the chain, which in turn jeopardize the continuity of many Mexican suppliers and, in the long term, the stability of the entire automotive chain. On top of that, financing continues to be one of the main obstacles faced by SMEs in Mexico. The lack of a credit history and collateral, the extreme perception of risk by financial intermediaries due to the lack of information, the complexity of credit processes for many of these companies, high transaction costs and regulatory and bureaucratic barriers are some of the factors that hinder access to financial resources for these types of companies. The combination of existing power asymmetries and lack of credit in turn translates risks for the entire automotive supply chain, including MNEs. In turn, the lack of credit SMEs has a great economic and social impact in Mexico, derived from their high level contribution to GDP (52%) and employment (72%). Hence the relevance of this type companies and the need to strengthen their performance through credit, as they have substantial impact on the country's economy and social welfare. As a solution to this problem, financial intermediaries have developed products aimed at SMEs such as supply chain finance (SCF) and its derivatives such as reverse factoring (RF). Although the literature suggests that RF improves access to liquidity for suppliers, in practice, the process of adopting this means of financing is complex and slow, which has led to a relatively low degree of application as a supply chain financing solution. Based on the above, the objective of this paper is to deepen the analysis of the determinants that enable RF to be a solution for financing the automotive supply chain in Mexico. Unlike previous works in the literature, this research adopts an integral perspective, analyzing all actors involved in reverse factoring: buyers, suppliers, financial intermediaries and administrations. To address the research objective, this paper uses a qualitative approach, through case study, in which information was collected through semi-structured in-depth interviews with a sample of the main financial intermediaries operating factoring in Mexico (commercial banks and nonbank banks). This sample of intermediaries concentrates 90% of the volume operated in the sector and manages close to 200 programs with more than 21 thousand suppliers affiliated to these programs. The work was directed towards the providers of this product i.e., financial intermediaries, since they have in-depth knowledge of the structure and design of their programs, their operating procedures and the results of their application. To select the interviewees, a non-probabilistic, intentional-selection, judgmental sampling was used to obtain the opinions of the factoring experts. As part of the case method, the request to collect information was sent to all members of the Mexican Factors Association (Amefac), obtaining eight responses. These eight participants represent between 60% and 80% of the factoring volume operating in the country, composed of five large banks, two niche banks, and one large nonbank bank. The results of the analysis are presented through different outputs of MAXQDA Analytics Pro, namely the code matrix, the code cloud and the co-occurrence map. sampling was used to obtain the opinions of the factoring experts. As part of the case method, the request to collect information was sent to all members of the Mexican Factors Association (Amefac), obtaining eight responses. These eight participants represent between 60% and 80% of the factoring volume operating in the country, composed of five large banks, two niche banks, and one large nonbank bank. The results of the analysis are presented through different outputs of MAXQDA Analytics Pro, namely the code matrix, the code cloud and the co-occurrence map. The results of this analysis show that the automotive sector is considered by the interviewees to be a strategic sector for RF, due to the large number of potential users of its programs, especially at lower levels of the chain, generally SMEs with Mexican capital. In this context, although the current use of RF is inefficient and its degree of penetration low, the presence of MNEs with a large purchasing capacity, economic solvency and a broad supplier base make this financial product an essential tool for financing the Mexican automotive supply chain. In line with the determinants highlighted by the literature in the adoption of RF, aspects related to design, implementation and operation are unanimously considered essential for improving the efficiency of the programs. Elements such as the reduction of prerequisites to start operations, the simplification of processes and information technologies are determinants in the adoption of RF programs aimed at the Mexican automotive supply chain. Likewise, both the legal framework and the development of electronic invoicing are recognized as key variables in the literature and contrasted by the results of this research for the efficient adoption of RF in the automotive sector. Beyond the operational aspects traditionally analyzed in previous literature, the results of this research have also highlighted the cooperative aspects as key determinants for RF to be a solution in automotive supply chain financing. The lack of a shared collaborative objective between supplier and buyer is pointed out in this work as one of the main problems for the efficient adoption of RF in the automotive sector. In this way, a collaborative approach fosters a greater linkage in the relationships, beyond the mere supply of auto parts, between the companies that make up the Mexican automotive supply chain. Important implications for public decision-makers and society can be drawn from the research results. Public administrations and development banks can jointly influence through policies that guarantee an institutional environment that favors the adoption of RF by domestic SMEs. These institutions should promote policies so that RF can operate under a sound legal and regulatory framework with greater legal certainty for financial intermediaries. Public policy makers could incorporate specific support for RF operations related to cooperation and co-development practices with other companies. Development banks, in turn, should focus on covering segments of activity not covered by financial intermediaries, encouraging the elimination of market imperfections that distance SMEs from the institutional financial system, through RF programs. The need for a review of the anti-fraud regulations imposed by Mexican authorities, which have implied excessive additional controls that complicate the adoption process, is also evident. An improvement in the performance of financial intermediaries in RF determinants identified in this study, together with greater access to information on companies through credit information companies, will effectively contribute to less credit rationing and therefore greater financial inclusion of SMEs through RF. This in turn will result in lower costs, greater competitiveness, and better quality of products and services, from which the end consumer will benefit. In turn, a greater participation of SMEs in the national economy would mean greater job creation and economic development in the country.</t>
  </si>
  <si>
    <t>[Perez-Elizundia, Guillermo; Delgado-Guzman, Jose Alfredo] Univ Nacl Autonoma Mexico, Mexico City, Mexico; [Lampon, Jesus F.] Univ Vigo, Vigo, Spain</t>
  </si>
  <si>
    <t>Universidad Nacional Autonoma de Mexico; Universidade de Vigo</t>
  </si>
  <si>
    <t>Pérez-Elizundia, G (corresponding author), Univ Nacl Autonoma Mexico, Mexico City, Mexico.</t>
  </si>
  <si>
    <t>Pérez-Elizundia, Guillermo/ABH-7655-2020; Lampón, Jesús/L-1093-2017</t>
  </si>
  <si>
    <t>ASOC UNIV PUBLICAS ANDALUCIA-AUPA</t>
  </si>
  <si>
    <t>CADIZ</t>
  </si>
  <si>
    <t>C ANCHA 16, UNIV CADIZ, CADIZ, 11001, SPAIN</t>
  </si>
  <si>
    <t>0213-7585</t>
  </si>
  <si>
    <t>REV ESTUD REG</t>
  </si>
  <si>
    <t>Rev. Estud. Reg.</t>
  </si>
  <si>
    <t>1AZ8R</t>
  </si>
  <si>
    <t>WOS:001460739400005</t>
  </si>
  <si>
    <t>Luengo-Valderrey, MJ</t>
  </si>
  <si>
    <t>Jesus Luengo-Valderrey, Maria</t>
  </si>
  <si>
    <t>Impact of the Triple Helix and the Difficulties to Innovate in the Innovation Aims: Spain, 2007-2013</t>
  </si>
  <si>
    <t>Triple Helix; Innovation barriers; Innovation activities; Traceability; Causality</t>
  </si>
  <si>
    <t>UNIVERSITY; KNOWLEDGE; NETWORKS; INSTITUTIONS; COOPERATION; TECHNOLOGY; DYNAMICS; ADOPTION; GROWTH; MODEL</t>
  </si>
  <si>
    <t>Surviving in a global world and in constant transformation requires, in large measure, to generate new knowledge and innovation capacity from it. In this sense, the application of information systems impels in a large degree both the diffusion of knowledge and innovation. In fact, the best ideas for innovation arise from the interaction between the company's specific capabilities and external knowledge. This theory is driven by the Triple Helix model proposed by Leydesdorff and Etzkowitz, promoting bilateral relations between the industry, university and government axes, to expand knowledge in society and economy. For this, it facilitates formal and informal interactions between public and private economic agents, and tries to reduce the barriers to innovation that act as factors that hinder this process. These barriers are accentuated in economic crisis environments and make necessary for interactions for innovation to be more numerous and deep. This paper attempts to reveal the evolution and causal relationships of innovation activities in pre-post economic crisis, as well as the Triple Helix model and perception about the difficulties to innovate, considering the size of the company. The study focuses on the Spanish case during the period 2007-2013 and on the responses to the Survey on Innovation carried out by the National Statistics Institute for those years. It is estimated that the contributions of this article to the literature are mainly four: to provide an analytical understanding of the organizations' innovation activities in terms of their relationship with Triple Helix axes and the barriers to innovation; Provide an empirical investigation of the quantitative impact of the information received from different actors of the Triple Helix axes and the perceived difficulties to innovate in innovation activities; Offer a differentiated view by size of company (this last point allows to understand the quantitative impact in the SMEs, on the one hand, and the big companies, on the other hand, besides the global behaviour, of the causal relations raised); Finally, to provide an overview of the evolution of the indicators and their quantitative impact from a period prior to the economic crisis (2007) to the period when we begin to get out of financial crisis (2013). It is, therefore, a study with explanatory purpose, because it collects and structures the importance that companies give to the axes of the Triple Helix and the aspects of innovation addressed. The methodology used to carry it out is purely quantitative and statistical in nature. So, a univariate descriptive analysis shows the evolution of the variables on the importance of: information received from Triple Helix axes, factors that hinder innovation, and innovation activities. Then, through a multivariate analysis using SEM methodology (structural equations), a causal model is presented to know the degree of incidence of Triple Helix and the factors that hinder innovation in the prioritization of innovation activities and their evolution. The results obtained from the analysis companies position regarding the importance given to the information received from the internal agents and the Triple Helix offers divergent tendencies by size of company. While the tendency of SMEs is to give more importance to information received from external agents, large companies increase the importance given to internal information. As for the results obtained in each of the axes, there are several tendencies both by axis and in the agents, that compose them. If we focus on industry axis all companies tend to down-play the information received from suppliers and competitors, while that granted to customers is almost maintained for SMEs and increase in large companies. The university axis offers interesting percentage increases, especially when it comes to large companies. This behaviour is also seen in the government axis, although with different trends. Thus, the relevance granted to this information by large companies shows a continuous and significant growth, but the importance given to this information by SMEs, (although the result for 2013 is positive) is decreasing. Concerning perceived difficulties to innovate, these perceptions are strongly affected by the macroeconomic factor of the economic and financial crisis, and they suffer a significant increase in their importance when it comes to hampering innovation activities in the groups analysed. This is not the case with microeconomic factors, such as the high cost of innovation, knowledge and the role of marketing, which are becoming less important while the factor to find cooperation associates acquire more importance. The results obtained provide relevant information on the level of importance of the Triple Helix axes and the difficulties encountered in innovating in the prioritization of activities for innovation, since obtaining a greater knowledge of the strength of the interactions and of the factors that really hinder innovation, offers the possibility of designing strategies to combat them and improve innovation activities. As the main conclusion, Spanish companies, especially SMEs, are becoming aware of the importance of belonging to collaboration-cooperation networks involving university and government agents. In this way, they benefit from the positive synergies that, in terms of innovation, arise from the interactions between the three axes. Continuing with this group, even though the most important information for all companies is still received from the agents of the industry axis, this has been losing importance in favour of the university axis. But this change of trend towards the university axis is not enough, since the incidence of information from the Triple Helix in the prioritization of objectives is very low, and the predisposition to innovate in products/services and to drastically reduce costs (especially labour ones) as an effective solution to deal with an unfavourable environment is still holded. The situation in the collective of large companies does not differ significantly from the previous one, although in this case, the importance given to the information coming from the agents of the university axis and from the government axis gains more ground. In addition, there is a notable, positive and significant impact of the information obtained from the Triple Helix in the innovation objectives. However, Spanish companies keep positions more typical of the Industrial Society than the Knowledge Society, and focus their innovations on products / services, forgetting areas as important today as the design, distribution and the organization itself. This is because they focus on reducing costs, to palliate their difficulties of access to finance and the lack of support, factors that are perceived as the most important barriers to innovation. Despite all this, the situation is gradually changing, as an increasing number of them attaches great importance to the information received by other external agents when establishing their innovation activities. This shows that more and more managers / leaders of companies opt for the path of people-centred management that focuses their efforts on the needs of their groups of interest, including society. This awareness entails an increase in interaction with the three axes of the Triple Helix. The result of the analysis shows that the change is still small and companies must integrate cooperation in their vision as an essential element for their good progress and include in their road map membership to associations that can facilitate both to make themselves heard by the government and to know the opportunities that this offers. In turn, the government must establish spaces, organizations... that favour access to innovation policies and alternative sources of funding to all companies, especially SMEs, since the latter is still considered the difficulty par excellence at the time of innovation. Above all, the different public agencies / institutions must make a great effort to ensure that SMEs lose their fear and suspicions of everything that may come from them, to facilitate access to information and provide them with alternative financing lines. A response to both needs is the creation and monitoring of sectoral or thematic groupings, which will oversee integrating the three axes of Triple Helix and of engaging them, promoting the transmission and generation of knowledge that becomes innovation in partner organizations. They will include suppliers of materials and services, financial institutions, companies from related sectors, distributors, specialized consultants, technology centres, universities and higher education institutions, business or professional associations. These groups have proven to be successful in various Regional Spaces, as manifested by any of the existing ones in the Basque Country. All this opens a large field of future research in regard to the evolution and revision of the prescriptive measures implemented and their effect.</t>
  </si>
  <si>
    <t>[Jesus Luengo-Valderrey, Maria] Univ Basque Country, Leioa, Spain</t>
  </si>
  <si>
    <t>Luengo-Valderrey, MJ (corresponding author), Univ Basque Country, Leioa, Spain.</t>
  </si>
  <si>
    <t>Luengo-Valderrey, María-Jesús/AAX-7306-2020</t>
  </si>
  <si>
    <t>IT9BH</t>
  </si>
  <si>
    <t>WOS:000483175100008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</si>
</sst>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1C45A-CEC8-4DBB-AAB0-9953635FD02F}">
  <dimension ref="A1:BT3541"/>
  <sheetViews>
    <sheetView tabSelected="1" topLeftCell="A3523" workbookViewId="0">
      <selection activeCell="A3541" sqref="A3541"/>
    </sheetView>
  </sheetViews>
  <sheetFormatPr defaultRowHeight="13.2" x14ac:dyDescent="0.25"/>
  <sheetData>
    <row r="1" spans="1:7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spans="1:72" x14ac:dyDescent="0.25">
      <c r="A2" t="s">
        <v>72</v>
      </c>
      <c r="B2" t="s">
        <v>73</v>
      </c>
      <c r="C2" t="s">
        <v>74</v>
      </c>
      <c r="D2" t="s">
        <v>74</v>
      </c>
      <c r="E2" t="s">
        <v>74</v>
      </c>
      <c r="F2" t="s">
        <v>75</v>
      </c>
      <c r="G2" t="s">
        <v>74</v>
      </c>
      <c r="H2" t="s">
        <v>74</v>
      </c>
      <c r="I2" t="s">
        <v>76</v>
      </c>
      <c r="J2" t="s">
        <v>77</v>
      </c>
      <c r="K2" t="s">
        <v>74</v>
      </c>
      <c r="L2" t="s">
        <v>74</v>
      </c>
      <c r="M2" t="s">
        <v>78</v>
      </c>
      <c r="N2" t="s">
        <v>79</v>
      </c>
      <c r="O2" t="s">
        <v>74</v>
      </c>
      <c r="P2" t="s">
        <v>74</v>
      </c>
      <c r="Q2" t="s">
        <v>74</v>
      </c>
      <c r="R2" t="s">
        <v>74</v>
      </c>
      <c r="S2" t="s">
        <v>74</v>
      </c>
      <c r="T2" t="s">
        <v>80</v>
      </c>
      <c r="U2" t="s">
        <v>81</v>
      </c>
      <c r="V2" t="s">
        <v>82</v>
      </c>
      <c r="W2" t="s">
        <v>83</v>
      </c>
      <c r="X2" t="s">
        <v>84</v>
      </c>
      <c r="Y2" t="s">
        <v>85</v>
      </c>
      <c r="Z2" t="s">
        <v>86</v>
      </c>
      <c r="AA2" t="s">
        <v>87</v>
      </c>
      <c r="AB2" t="s">
        <v>88</v>
      </c>
      <c r="AC2" t="s">
        <v>74</v>
      </c>
      <c r="AD2" t="s">
        <v>74</v>
      </c>
      <c r="AE2" t="s">
        <v>74</v>
      </c>
      <c r="AF2" t="s">
        <v>74</v>
      </c>
      <c r="AG2">
        <v>82</v>
      </c>
      <c r="AH2">
        <v>0</v>
      </c>
      <c r="AI2">
        <v>0</v>
      </c>
      <c r="AJ2">
        <v>4</v>
      </c>
      <c r="AK2">
        <v>4</v>
      </c>
      <c r="AL2" t="s">
        <v>89</v>
      </c>
      <c r="AM2" t="s">
        <v>90</v>
      </c>
      <c r="AN2" t="s">
        <v>91</v>
      </c>
      <c r="AO2" t="s">
        <v>92</v>
      </c>
      <c r="AP2" t="s">
        <v>93</v>
      </c>
      <c r="AQ2" t="s">
        <v>74</v>
      </c>
      <c r="AR2" t="s">
        <v>94</v>
      </c>
      <c r="AS2" t="s">
        <v>95</v>
      </c>
      <c r="AT2" t="s">
        <v>96</v>
      </c>
      <c r="AU2">
        <v>2025</v>
      </c>
      <c r="AV2">
        <v>31</v>
      </c>
      <c r="AW2">
        <v>11</v>
      </c>
      <c r="AX2" t="s">
        <v>74</v>
      </c>
      <c r="AY2" t="s">
        <v>74</v>
      </c>
      <c r="AZ2" t="s">
        <v>74</v>
      </c>
      <c r="BA2" t="s">
        <v>74</v>
      </c>
      <c r="BB2">
        <v>172</v>
      </c>
      <c r="BC2">
        <v>193</v>
      </c>
      <c r="BD2" t="s">
        <v>74</v>
      </c>
      <c r="BE2" t="s">
        <v>97</v>
      </c>
      <c r="BF2" t="str">
        <f>HYPERLINK("http://dx.doi.org/10.1108/IJEBR-09-2024-1033","http://dx.doi.org/10.1108/IJEBR-09-2024-1033")</f>
        <v>http://dx.doi.org/10.1108/IJEBR-09-2024-1033</v>
      </c>
      <c r="BG2" t="s">
        <v>74</v>
      </c>
      <c r="BH2" t="s">
        <v>74</v>
      </c>
      <c r="BI2">
        <v>22</v>
      </c>
      <c r="BJ2" t="s">
        <v>98</v>
      </c>
      <c r="BK2" t="s">
        <v>99</v>
      </c>
      <c r="BL2" t="s">
        <v>100</v>
      </c>
      <c r="BM2" t="s">
        <v>101</v>
      </c>
      <c r="BN2" t="s">
        <v>74</v>
      </c>
      <c r="BO2" t="s">
        <v>74</v>
      </c>
      <c r="BP2" t="s">
        <v>74</v>
      </c>
      <c r="BQ2" t="s">
        <v>74</v>
      </c>
      <c r="BR2" t="s">
        <v>102</v>
      </c>
      <c r="BS2" t="s">
        <v>103</v>
      </c>
      <c r="BT2" t="str">
        <f>HYPERLINK("https%3A%2F%2Fwww.webofscience.com%2Fwos%2Fwoscc%2Ffull-record%2FWOS:001500020200001","View Full Record in Web of Science")</f>
        <v>View Full Record in Web of Science</v>
      </c>
    </row>
    <row r="3" spans="1:72" x14ac:dyDescent="0.25">
      <c r="A3" t="s">
        <v>72</v>
      </c>
      <c r="B3" t="s">
        <v>104</v>
      </c>
      <c r="C3" t="s">
        <v>74</v>
      </c>
      <c r="D3" t="s">
        <v>74</v>
      </c>
      <c r="E3" t="s">
        <v>74</v>
      </c>
      <c r="F3" t="s">
        <v>105</v>
      </c>
      <c r="G3" t="s">
        <v>74</v>
      </c>
      <c r="H3" t="s">
        <v>74</v>
      </c>
      <c r="I3" t="s">
        <v>106</v>
      </c>
      <c r="J3" t="s">
        <v>107</v>
      </c>
      <c r="K3" t="s">
        <v>74</v>
      </c>
      <c r="L3" t="s">
        <v>74</v>
      </c>
      <c r="M3" t="s">
        <v>78</v>
      </c>
      <c r="N3" t="s">
        <v>79</v>
      </c>
      <c r="O3" t="s">
        <v>74</v>
      </c>
      <c r="P3" t="s">
        <v>74</v>
      </c>
      <c r="Q3" t="s">
        <v>74</v>
      </c>
      <c r="R3" t="s">
        <v>74</v>
      </c>
      <c r="S3" t="s">
        <v>74</v>
      </c>
      <c r="T3" t="s">
        <v>108</v>
      </c>
      <c r="U3" t="s">
        <v>109</v>
      </c>
      <c r="V3" t="s">
        <v>110</v>
      </c>
      <c r="W3" t="s">
        <v>111</v>
      </c>
      <c r="X3" t="s">
        <v>112</v>
      </c>
      <c r="Y3" t="s">
        <v>113</v>
      </c>
      <c r="Z3" t="s">
        <v>114</v>
      </c>
      <c r="AA3" t="s">
        <v>115</v>
      </c>
      <c r="AB3" t="s">
        <v>116</v>
      </c>
      <c r="AC3" t="s">
        <v>74</v>
      </c>
      <c r="AD3" t="s">
        <v>74</v>
      </c>
      <c r="AE3" t="s">
        <v>74</v>
      </c>
      <c r="AF3" t="s">
        <v>74</v>
      </c>
      <c r="AG3">
        <v>54</v>
      </c>
      <c r="AH3">
        <v>2</v>
      </c>
      <c r="AI3">
        <v>3</v>
      </c>
      <c r="AJ3">
        <v>0</v>
      </c>
      <c r="AK3">
        <v>9</v>
      </c>
      <c r="AL3" t="s">
        <v>117</v>
      </c>
      <c r="AM3" t="s">
        <v>118</v>
      </c>
      <c r="AN3" t="s">
        <v>119</v>
      </c>
      <c r="AO3" t="s">
        <v>120</v>
      </c>
      <c r="AP3" t="s">
        <v>121</v>
      </c>
      <c r="AQ3" t="s">
        <v>74</v>
      </c>
      <c r="AR3" t="s">
        <v>122</v>
      </c>
      <c r="AS3" t="s">
        <v>123</v>
      </c>
      <c r="AT3" t="s">
        <v>124</v>
      </c>
      <c r="AU3">
        <v>2022</v>
      </c>
      <c r="AV3">
        <v>29</v>
      </c>
      <c r="AW3">
        <v>56</v>
      </c>
      <c r="AX3" t="s">
        <v>74</v>
      </c>
      <c r="AY3" t="s">
        <v>74</v>
      </c>
      <c r="AZ3" t="s">
        <v>74</v>
      </c>
      <c r="BA3" t="s">
        <v>74</v>
      </c>
      <c r="BB3">
        <v>84773</v>
      </c>
      <c r="BC3">
        <v>84786</v>
      </c>
      <c r="BD3" t="s">
        <v>74</v>
      </c>
      <c r="BE3" t="s">
        <v>125</v>
      </c>
      <c r="BF3" t="str">
        <f>HYPERLINK("http://dx.doi.org/10.1007/s11356-022-21200-2","http://dx.doi.org/10.1007/s11356-022-21200-2")</f>
        <v>http://dx.doi.org/10.1007/s11356-022-21200-2</v>
      </c>
      <c r="BG3" t="s">
        <v>74</v>
      </c>
      <c r="BH3" t="s">
        <v>126</v>
      </c>
      <c r="BI3">
        <v>14</v>
      </c>
      <c r="BJ3" t="s">
        <v>127</v>
      </c>
      <c r="BK3" t="s">
        <v>128</v>
      </c>
      <c r="BL3" t="s">
        <v>129</v>
      </c>
      <c r="BM3" t="s">
        <v>130</v>
      </c>
      <c r="BN3">
        <v>35790635</v>
      </c>
      <c r="BO3" t="s">
        <v>74</v>
      </c>
      <c r="BP3" t="s">
        <v>74</v>
      </c>
      <c r="BQ3" t="s">
        <v>74</v>
      </c>
      <c r="BR3" t="s">
        <v>102</v>
      </c>
      <c r="BS3" t="s">
        <v>131</v>
      </c>
      <c r="BT3" t="str">
        <f>HYPERLINK("https%3A%2F%2Fwww.webofscience.com%2Fwos%2Fwoscc%2Ffull-record%2FWOS:000821984800012","View Full Record in Web of Science")</f>
        <v>View Full Record in Web of Science</v>
      </c>
    </row>
    <row r="4" spans="1:72" x14ac:dyDescent="0.25">
      <c r="A4" t="s">
        <v>132</v>
      </c>
      <c r="B4" t="s">
        <v>133</v>
      </c>
      <c r="C4" t="s">
        <v>74</v>
      </c>
      <c r="D4" t="s">
        <v>74</v>
      </c>
      <c r="E4" t="s">
        <v>134</v>
      </c>
      <c r="F4" t="s">
        <v>135</v>
      </c>
      <c r="G4" t="s">
        <v>74</v>
      </c>
      <c r="H4" t="s">
        <v>74</v>
      </c>
      <c r="I4" t="s">
        <v>136</v>
      </c>
      <c r="J4" t="s">
        <v>137</v>
      </c>
      <c r="K4" t="s">
        <v>74</v>
      </c>
      <c r="L4" t="s">
        <v>74</v>
      </c>
      <c r="M4" t="s">
        <v>78</v>
      </c>
      <c r="N4" t="s">
        <v>138</v>
      </c>
      <c r="O4" t="s">
        <v>139</v>
      </c>
      <c r="P4" t="s">
        <v>140</v>
      </c>
      <c r="Q4" t="s">
        <v>141</v>
      </c>
      <c r="R4" t="s">
        <v>142</v>
      </c>
      <c r="S4" t="s">
        <v>143</v>
      </c>
      <c r="T4" t="s">
        <v>144</v>
      </c>
      <c r="U4" t="s">
        <v>74</v>
      </c>
      <c r="V4" t="s">
        <v>145</v>
      </c>
      <c r="W4" t="s">
        <v>146</v>
      </c>
      <c r="X4" t="s">
        <v>147</v>
      </c>
      <c r="Y4" t="s">
        <v>148</v>
      </c>
      <c r="Z4" t="s">
        <v>149</v>
      </c>
      <c r="AA4" t="s">
        <v>74</v>
      </c>
      <c r="AB4" t="s">
        <v>74</v>
      </c>
      <c r="AC4" t="s">
        <v>74</v>
      </c>
      <c r="AD4" t="s">
        <v>74</v>
      </c>
      <c r="AE4" t="s">
        <v>74</v>
      </c>
      <c r="AF4" t="s">
        <v>74</v>
      </c>
      <c r="AG4">
        <v>10</v>
      </c>
      <c r="AH4">
        <v>5</v>
      </c>
      <c r="AI4">
        <v>7</v>
      </c>
      <c r="AJ4">
        <v>0</v>
      </c>
      <c r="AK4">
        <v>4</v>
      </c>
      <c r="AL4" t="s">
        <v>150</v>
      </c>
      <c r="AM4" t="s">
        <v>151</v>
      </c>
      <c r="AN4" t="s">
        <v>152</v>
      </c>
      <c r="AO4" t="s">
        <v>74</v>
      </c>
      <c r="AP4" t="s">
        <v>74</v>
      </c>
      <c r="AQ4" t="s">
        <v>153</v>
      </c>
      <c r="AR4" t="s">
        <v>74</v>
      </c>
      <c r="AS4" t="s">
        <v>74</v>
      </c>
      <c r="AT4" t="s">
        <v>74</v>
      </c>
      <c r="AU4">
        <v>2013</v>
      </c>
      <c r="AV4" t="s">
        <v>74</v>
      </c>
      <c r="AW4" t="s">
        <v>74</v>
      </c>
      <c r="AX4" t="s">
        <v>74</v>
      </c>
      <c r="AY4" t="s">
        <v>74</v>
      </c>
      <c r="AZ4" t="s">
        <v>74</v>
      </c>
      <c r="BA4" t="s">
        <v>74</v>
      </c>
      <c r="BB4">
        <v>33</v>
      </c>
      <c r="BC4">
        <v>36</v>
      </c>
      <c r="BD4" t="s">
        <v>74</v>
      </c>
      <c r="BE4" t="s">
        <v>154</v>
      </c>
      <c r="BF4" t="str">
        <f>HYPERLINK("http://dx.doi.org/10.1145/2517899.2517918","http://dx.doi.org/10.1145/2517899.2517918")</f>
        <v>http://dx.doi.org/10.1145/2517899.2517918</v>
      </c>
      <c r="BG4" t="s">
        <v>74</v>
      </c>
      <c r="BH4" t="s">
        <v>74</v>
      </c>
      <c r="BI4">
        <v>4</v>
      </c>
      <c r="BJ4" t="s">
        <v>155</v>
      </c>
      <c r="BK4" t="s">
        <v>156</v>
      </c>
      <c r="BL4" t="s">
        <v>157</v>
      </c>
      <c r="BM4" t="s">
        <v>158</v>
      </c>
      <c r="BN4" t="s">
        <v>74</v>
      </c>
      <c r="BO4" t="s">
        <v>74</v>
      </c>
      <c r="BP4" t="s">
        <v>74</v>
      </c>
      <c r="BQ4" t="s">
        <v>74</v>
      </c>
      <c r="BR4" t="s">
        <v>102</v>
      </c>
      <c r="BS4" t="s">
        <v>159</v>
      </c>
      <c r="BT4" t="str">
        <f>HYPERLINK("https%3A%2F%2Fwww.webofscience.com%2Fwos%2Fwoscc%2Ffull-record%2FWOS:000372068700009","View Full Record in Web of Science")</f>
        <v>View Full Record in Web of Science</v>
      </c>
    </row>
    <row r="5" spans="1:72" x14ac:dyDescent="0.25">
      <c r="A5" t="s">
        <v>132</v>
      </c>
      <c r="B5" t="s">
        <v>160</v>
      </c>
      <c r="C5" t="s">
        <v>74</v>
      </c>
      <c r="D5" t="s">
        <v>161</v>
      </c>
      <c r="E5" t="s">
        <v>74</v>
      </c>
      <c r="F5" t="s">
        <v>162</v>
      </c>
      <c r="G5" t="s">
        <v>74</v>
      </c>
      <c r="H5" t="s">
        <v>74</v>
      </c>
      <c r="I5" t="s">
        <v>163</v>
      </c>
      <c r="J5" t="s">
        <v>164</v>
      </c>
      <c r="K5" t="s">
        <v>165</v>
      </c>
      <c r="L5" t="s">
        <v>74</v>
      </c>
      <c r="M5" t="s">
        <v>78</v>
      </c>
      <c r="N5" t="s">
        <v>138</v>
      </c>
      <c r="O5" t="s">
        <v>166</v>
      </c>
      <c r="P5" t="s">
        <v>167</v>
      </c>
      <c r="Q5" t="s">
        <v>168</v>
      </c>
      <c r="R5" t="s">
        <v>169</v>
      </c>
      <c r="S5" t="s">
        <v>74</v>
      </c>
      <c r="T5" t="s">
        <v>170</v>
      </c>
      <c r="U5" t="s">
        <v>74</v>
      </c>
      <c r="V5" t="s">
        <v>171</v>
      </c>
      <c r="W5" t="s">
        <v>172</v>
      </c>
      <c r="X5" t="s">
        <v>173</v>
      </c>
      <c r="Y5" t="s">
        <v>174</v>
      </c>
      <c r="Z5" t="s">
        <v>175</v>
      </c>
      <c r="AA5" t="s">
        <v>176</v>
      </c>
      <c r="AB5" t="s">
        <v>74</v>
      </c>
      <c r="AC5" t="s">
        <v>74</v>
      </c>
      <c r="AD5" t="s">
        <v>74</v>
      </c>
      <c r="AE5" t="s">
        <v>74</v>
      </c>
      <c r="AF5" t="s">
        <v>74</v>
      </c>
      <c r="AG5">
        <v>6</v>
      </c>
      <c r="AH5">
        <v>0</v>
      </c>
      <c r="AI5">
        <v>0</v>
      </c>
      <c r="AJ5">
        <v>0</v>
      </c>
      <c r="AK5">
        <v>2</v>
      </c>
      <c r="AL5" t="s">
        <v>177</v>
      </c>
      <c r="AM5" t="s">
        <v>178</v>
      </c>
      <c r="AN5" t="s">
        <v>179</v>
      </c>
      <c r="AO5" t="s">
        <v>74</v>
      </c>
      <c r="AP5" t="s">
        <v>74</v>
      </c>
      <c r="AQ5" t="s">
        <v>180</v>
      </c>
      <c r="AR5" t="s">
        <v>181</v>
      </c>
      <c r="AS5" t="s">
        <v>74</v>
      </c>
      <c r="AT5" t="s">
        <v>74</v>
      </c>
      <c r="AU5">
        <v>2017</v>
      </c>
      <c r="AV5">
        <v>580</v>
      </c>
      <c r="AW5" t="s">
        <v>74</v>
      </c>
      <c r="AX5" t="s">
        <v>74</v>
      </c>
      <c r="AY5" t="s">
        <v>74</v>
      </c>
      <c r="AZ5" t="s">
        <v>74</v>
      </c>
      <c r="BA5" t="s">
        <v>74</v>
      </c>
      <c r="BB5">
        <v>246</v>
      </c>
      <c r="BC5">
        <v>256</v>
      </c>
      <c r="BD5" t="s">
        <v>74</v>
      </c>
      <c r="BE5" t="s">
        <v>74</v>
      </c>
      <c r="BF5" t="s">
        <v>74</v>
      </c>
      <c r="BG5" t="s">
        <v>74</v>
      </c>
      <c r="BH5" t="s">
        <v>74</v>
      </c>
      <c r="BI5">
        <v>11</v>
      </c>
      <c r="BJ5" t="s">
        <v>182</v>
      </c>
      <c r="BK5" t="s">
        <v>183</v>
      </c>
      <c r="BL5" t="s">
        <v>184</v>
      </c>
      <c r="BM5" t="s">
        <v>185</v>
      </c>
      <c r="BN5" t="s">
        <v>74</v>
      </c>
      <c r="BO5" t="s">
        <v>74</v>
      </c>
      <c r="BP5" t="s">
        <v>74</v>
      </c>
      <c r="BQ5" t="s">
        <v>74</v>
      </c>
      <c r="BR5" t="s">
        <v>102</v>
      </c>
      <c r="BS5" t="s">
        <v>186</v>
      </c>
      <c r="BT5" t="str">
        <f>HYPERLINK("https%3A%2F%2Fwww.webofscience.com%2Fwos%2Fwoscc%2Ffull-record%2FWOS:000405243700018","View Full Record in Web of Science")</f>
        <v>View Full Record in Web of Science</v>
      </c>
    </row>
    <row r="6" spans="1:72" x14ac:dyDescent="0.25">
      <c r="A6" t="s">
        <v>72</v>
      </c>
      <c r="B6" t="s">
        <v>187</v>
      </c>
      <c r="C6" t="s">
        <v>74</v>
      </c>
      <c r="D6" t="s">
        <v>74</v>
      </c>
      <c r="E6" t="s">
        <v>74</v>
      </c>
      <c r="F6" t="s">
        <v>188</v>
      </c>
      <c r="G6" t="s">
        <v>74</v>
      </c>
      <c r="H6" t="s">
        <v>74</v>
      </c>
      <c r="I6" t="s">
        <v>189</v>
      </c>
      <c r="J6" t="s">
        <v>190</v>
      </c>
      <c r="K6" t="s">
        <v>74</v>
      </c>
      <c r="L6" t="s">
        <v>74</v>
      </c>
      <c r="M6" t="s">
        <v>78</v>
      </c>
      <c r="N6" t="s">
        <v>79</v>
      </c>
      <c r="O6" t="s">
        <v>74</v>
      </c>
      <c r="P6" t="s">
        <v>74</v>
      </c>
      <c r="Q6" t="s">
        <v>74</v>
      </c>
      <c r="R6" t="s">
        <v>74</v>
      </c>
      <c r="S6" t="s">
        <v>74</v>
      </c>
      <c r="T6" t="s">
        <v>191</v>
      </c>
      <c r="U6" t="s">
        <v>192</v>
      </c>
      <c r="V6" t="s">
        <v>193</v>
      </c>
      <c r="W6" t="s">
        <v>194</v>
      </c>
      <c r="X6" t="s">
        <v>195</v>
      </c>
      <c r="Y6" t="s">
        <v>196</v>
      </c>
      <c r="Z6" t="s">
        <v>197</v>
      </c>
      <c r="AA6" t="s">
        <v>198</v>
      </c>
      <c r="AB6" t="s">
        <v>74</v>
      </c>
      <c r="AC6" t="s">
        <v>199</v>
      </c>
      <c r="AD6" t="s">
        <v>199</v>
      </c>
      <c r="AE6" t="s">
        <v>200</v>
      </c>
      <c r="AF6" t="s">
        <v>74</v>
      </c>
      <c r="AG6">
        <v>83</v>
      </c>
      <c r="AH6">
        <v>0</v>
      </c>
      <c r="AI6">
        <v>0</v>
      </c>
      <c r="AJ6">
        <v>2</v>
      </c>
      <c r="AK6">
        <v>2</v>
      </c>
      <c r="AL6" t="s">
        <v>201</v>
      </c>
      <c r="AM6" t="s">
        <v>202</v>
      </c>
      <c r="AN6" t="s">
        <v>203</v>
      </c>
      <c r="AO6" t="s">
        <v>204</v>
      </c>
      <c r="AP6" t="s">
        <v>205</v>
      </c>
      <c r="AQ6" t="s">
        <v>74</v>
      </c>
      <c r="AR6" t="s">
        <v>206</v>
      </c>
      <c r="AS6" t="s">
        <v>207</v>
      </c>
      <c r="AT6" t="s">
        <v>208</v>
      </c>
      <c r="AU6">
        <v>2026</v>
      </c>
      <c r="AV6">
        <v>105</v>
      </c>
      <c r="AW6" t="s">
        <v>74</v>
      </c>
      <c r="AX6" t="s">
        <v>74</v>
      </c>
      <c r="AY6" t="s">
        <v>74</v>
      </c>
      <c r="AZ6" t="s">
        <v>74</v>
      </c>
      <c r="BA6" t="s">
        <v>74</v>
      </c>
      <c r="BB6" t="s">
        <v>74</v>
      </c>
      <c r="BC6" t="s">
        <v>74</v>
      </c>
      <c r="BD6">
        <v>104829</v>
      </c>
      <c r="BE6" t="s">
        <v>209</v>
      </c>
      <c r="BF6" t="str">
        <f>HYPERLINK("http://dx.doi.org/10.1016/j.iref.2025.104829","http://dx.doi.org/10.1016/j.iref.2025.104829")</f>
        <v>http://dx.doi.org/10.1016/j.iref.2025.104829</v>
      </c>
      <c r="BG6" t="s">
        <v>74</v>
      </c>
      <c r="BH6" t="s">
        <v>74</v>
      </c>
      <c r="BI6">
        <v>23</v>
      </c>
      <c r="BJ6" t="s">
        <v>210</v>
      </c>
      <c r="BK6" t="s">
        <v>99</v>
      </c>
      <c r="BL6" t="s">
        <v>100</v>
      </c>
      <c r="BM6" t="s">
        <v>211</v>
      </c>
      <c r="BN6" t="s">
        <v>74</v>
      </c>
      <c r="BO6" t="s">
        <v>212</v>
      </c>
      <c r="BP6" t="s">
        <v>74</v>
      </c>
      <c r="BQ6" t="s">
        <v>74</v>
      </c>
      <c r="BR6" t="s">
        <v>102</v>
      </c>
      <c r="BS6" t="s">
        <v>213</v>
      </c>
      <c r="BT6" t="str">
        <f>HYPERLINK("https%3A%2F%2Fwww.webofscience.com%2Fwos%2Fwoscc%2Ffull-record%2FWOS:001642216700001","View Full Record in Web of Science")</f>
        <v>View Full Record in Web of Science</v>
      </c>
    </row>
    <row r="7" spans="1:72" x14ac:dyDescent="0.25">
      <c r="A7" t="s">
        <v>72</v>
      </c>
      <c r="B7" t="s">
        <v>214</v>
      </c>
      <c r="C7" t="s">
        <v>74</v>
      </c>
      <c r="D7" t="s">
        <v>74</v>
      </c>
      <c r="E7" t="s">
        <v>74</v>
      </c>
      <c r="F7" t="s">
        <v>215</v>
      </c>
      <c r="G7" t="s">
        <v>74</v>
      </c>
      <c r="H7" t="s">
        <v>74</v>
      </c>
      <c r="I7" t="s">
        <v>216</v>
      </c>
      <c r="J7" t="s">
        <v>217</v>
      </c>
      <c r="K7" t="s">
        <v>74</v>
      </c>
      <c r="L7" t="s">
        <v>74</v>
      </c>
      <c r="M7" t="s">
        <v>78</v>
      </c>
      <c r="N7" t="s">
        <v>79</v>
      </c>
      <c r="O7" t="s">
        <v>74</v>
      </c>
      <c r="P7" t="s">
        <v>74</v>
      </c>
      <c r="Q7" t="s">
        <v>74</v>
      </c>
      <c r="R7" t="s">
        <v>74</v>
      </c>
      <c r="S7" t="s">
        <v>74</v>
      </c>
      <c r="T7" t="s">
        <v>218</v>
      </c>
      <c r="U7" t="s">
        <v>219</v>
      </c>
      <c r="V7" t="s">
        <v>220</v>
      </c>
      <c r="W7" t="s">
        <v>221</v>
      </c>
      <c r="X7" t="s">
        <v>222</v>
      </c>
      <c r="Y7" t="s">
        <v>223</v>
      </c>
      <c r="Z7" t="s">
        <v>224</v>
      </c>
      <c r="AA7" t="s">
        <v>225</v>
      </c>
      <c r="AB7" t="s">
        <v>226</v>
      </c>
      <c r="AC7" t="s">
        <v>227</v>
      </c>
      <c r="AD7" t="s">
        <v>228</v>
      </c>
      <c r="AE7" t="s">
        <v>229</v>
      </c>
      <c r="AF7" t="s">
        <v>74</v>
      </c>
      <c r="AG7">
        <v>65</v>
      </c>
      <c r="AH7">
        <v>1</v>
      </c>
      <c r="AI7">
        <v>1</v>
      </c>
      <c r="AJ7">
        <v>0</v>
      </c>
      <c r="AK7">
        <v>4</v>
      </c>
      <c r="AL7" t="s">
        <v>230</v>
      </c>
      <c r="AM7" t="s">
        <v>231</v>
      </c>
      <c r="AN7" t="s">
        <v>232</v>
      </c>
      <c r="AO7" t="s">
        <v>233</v>
      </c>
      <c r="AP7" t="s">
        <v>234</v>
      </c>
      <c r="AQ7" t="s">
        <v>74</v>
      </c>
      <c r="AR7" t="s">
        <v>235</v>
      </c>
      <c r="AS7" t="s">
        <v>236</v>
      </c>
      <c r="AT7" t="s">
        <v>237</v>
      </c>
      <c r="AU7">
        <v>2024</v>
      </c>
      <c r="AV7">
        <v>157</v>
      </c>
      <c r="AW7" t="s">
        <v>74</v>
      </c>
      <c r="AX7" t="s">
        <v>74</v>
      </c>
      <c r="AY7" t="s">
        <v>74</v>
      </c>
      <c r="AZ7" t="s">
        <v>74</v>
      </c>
      <c r="BA7" t="s">
        <v>74</v>
      </c>
      <c r="BB7" t="s">
        <v>74</v>
      </c>
      <c r="BC7" t="s">
        <v>74</v>
      </c>
      <c r="BD7">
        <v>107418</v>
      </c>
      <c r="BE7" t="s">
        <v>238</v>
      </c>
      <c r="BF7" t="str">
        <f>HYPERLINK("http://dx.doi.org/10.1016/j.childyouth.2023.107418","http://dx.doi.org/10.1016/j.childyouth.2023.107418")</f>
        <v>http://dx.doi.org/10.1016/j.childyouth.2023.107418</v>
      </c>
      <c r="BG7" t="s">
        <v>74</v>
      </c>
      <c r="BH7" t="s">
        <v>239</v>
      </c>
      <c r="BI7">
        <v>12</v>
      </c>
      <c r="BJ7" t="s">
        <v>240</v>
      </c>
      <c r="BK7" t="s">
        <v>99</v>
      </c>
      <c r="BL7" t="s">
        <v>240</v>
      </c>
      <c r="BM7" t="s">
        <v>241</v>
      </c>
      <c r="BN7" t="s">
        <v>74</v>
      </c>
      <c r="BO7" t="s">
        <v>74</v>
      </c>
      <c r="BP7" t="s">
        <v>74</v>
      </c>
      <c r="BQ7" t="s">
        <v>74</v>
      </c>
      <c r="BR7" t="s">
        <v>102</v>
      </c>
      <c r="BS7" t="s">
        <v>242</v>
      </c>
      <c r="BT7" t="str">
        <f>HYPERLINK("https%3A%2F%2Fwww.webofscience.com%2Fwos%2Fwoscc%2Ffull-record%2FWOS:001155784900001","View Full Record in Web of Science")</f>
        <v>View Full Record in Web of Science</v>
      </c>
    </row>
    <row r="8" spans="1:72" x14ac:dyDescent="0.25">
      <c r="A8" t="s">
        <v>72</v>
      </c>
      <c r="B8" t="s">
        <v>243</v>
      </c>
      <c r="C8" t="s">
        <v>74</v>
      </c>
      <c r="D8" t="s">
        <v>74</v>
      </c>
      <c r="E8" t="s">
        <v>74</v>
      </c>
      <c r="F8" t="s">
        <v>244</v>
      </c>
      <c r="G8" t="s">
        <v>74</v>
      </c>
      <c r="H8" t="s">
        <v>74</v>
      </c>
      <c r="I8" t="s">
        <v>245</v>
      </c>
      <c r="J8" t="s">
        <v>246</v>
      </c>
      <c r="K8" t="s">
        <v>74</v>
      </c>
      <c r="L8" t="s">
        <v>74</v>
      </c>
      <c r="M8" t="s">
        <v>78</v>
      </c>
      <c r="N8" t="s">
        <v>79</v>
      </c>
      <c r="O8" t="s">
        <v>74</v>
      </c>
      <c r="P8" t="s">
        <v>74</v>
      </c>
      <c r="Q8" t="s">
        <v>74</v>
      </c>
      <c r="R8" t="s">
        <v>74</v>
      </c>
      <c r="S8" t="s">
        <v>74</v>
      </c>
      <c r="T8" t="s">
        <v>247</v>
      </c>
      <c r="U8" t="s">
        <v>248</v>
      </c>
      <c r="V8" t="s">
        <v>249</v>
      </c>
      <c r="W8" t="s">
        <v>250</v>
      </c>
      <c r="X8" t="s">
        <v>251</v>
      </c>
      <c r="Y8" t="s">
        <v>252</v>
      </c>
      <c r="Z8" t="s">
        <v>253</v>
      </c>
      <c r="AA8" t="s">
        <v>254</v>
      </c>
      <c r="AB8" t="s">
        <v>255</v>
      </c>
      <c r="AC8" t="s">
        <v>256</v>
      </c>
      <c r="AD8" t="s">
        <v>257</v>
      </c>
      <c r="AE8" t="s">
        <v>258</v>
      </c>
      <c r="AF8" t="s">
        <v>74</v>
      </c>
      <c r="AG8">
        <v>29</v>
      </c>
      <c r="AH8">
        <v>5</v>
      </c>
      <c r="AI8">
        <v>5</v>
      </c>
      <c r="AJ8">
        <v>13</v>
      </c>
      <c r="AK8">
        <v>29</v>
      </c>
      <c r="AL8" t="s">
        <v>259</v>
      </c>
      <c r="AM8" t="s">
        <v>260</v>
      </c>
      <c r="AN8" t="s">
        <v>261</v>
      </c>
      <c r="AO8" t="s">
        <v>262</v>
      </c>
      <c r="AP8" t="s">
        <v>263</v>
      </c>
      <c r="AQ8" t="s">
        <v>74</v>
      </c>
      <c r="AR8" t="s">
        <v>264</v>
      </c>
      <c r="AS8" t="s">
        <v>265</v>
      </c>
      <c r="AT8" t="s">
        <v>237</v>
      </c>
      <c r="AU8">
        <v>2025</v>
      </c>
      <c r="AV8">
        <v>72</v>
      </c>
      <c r="AW8" t="s">
        <v>74</v>
      </c>
      <c r="AX8" t="s">
        <v>74</v>
      </c>
      <c r="AY8" t="s">
        <v>74</v>
      </c>
      <c r="AZ8" t="s">
        <v>74</v>
      </c>
      <c r="BA8" t="s">
        <v>74</v>
      </c>
      <c r="BB8" t="s">
        <v>74</v>
      </c>
      <c r="BC8" t="s">
        <v>74</v>
      </c>
      <c r="BD8">
        <v>106280</v>
      </c>
      <c r="BE8" t="s">
        <v>266</v>
      </c>
      <c r="BF8" t="str">
        <f>HYPERLINK("http://dx.doi.org/10.1016/j.frl.2024.106280","http://dx.doi.org/10.1016/j.frl.2024.106280")</f>
        <v>http://dx.doi.org/10.1016/j.frl.2024.106280</v>
      </c>
      <c r="BG8" t="s">
        <v>74</v>
      </c>
      <c r="BH8" t="s">
        <v>267</v>
      </c>
      <c r="BI8">
        <v>11</v>
      </c>
      <c r="BJ8" t="s">
        <v>268</v>
      </c>
      <c r="BK8" t="s">
        <v>99</v>
      </c>
      <c r="BL8" t="s">
        <v>100</v>
      </c>
      <c r="BM8" t="s">
        <v>269</v>
      </c>
      <c r="BN8" t="s">
        <v>74</v>
      </c>
      <c r="BO8" t="s">
        <v>270</v>
      </c>
      <c r="BP8" t="s">
        <v>74</v>
      </c>
      <c r="BQ8" t="s">
        <v>74</v>
      </c>
      <c r="BR8" t="s">
        <v>102</v>
      </c>
      <c r="BS8" t="s">
        <v>271</v>
      </c>
      <c r="BT8" t="str">
        <f>HYPERLINK("https%3A%2F%2Fwww.webofscience.com%2Fwos%2Fwoscc%2Ffull-record%2FWOS:001367912200001","View Full Record in Web of Science")</f>
        <v>View Full Record in Web of Science</v>
      </c>
    </row>
    <row r="9" spans="1:72" x14ac:dyDescent="0.25">
      <c r="A9" t="s">
        <v>72</v>
      </c>
      <c r="B9" t="s">
        <v>272</v>
      </c>
      <c r="C9" t="s">
        <v>74</v>
      </c>
      <c r="D9" t="s">
        <v>74</v>
      </c>
      <c r="E9" t="s">
        <v>74</v>
      </c>
      <c r="F9" t="s">
        <v>272</v>
      </c>
      <c r="G9" t="s">
        <v>74</v>
      </c>
      <c r="H9" t="s">
        <v>74</v>
      </c>
      <c r="I9" t="s">
        <v>273</v>
      </c>
      <c r="J9" t="s">
        <v>274</v>
      </c>
      <c r="K9" t="s">
        <v>74</v>
      </c>
      <c r="L9" t="s">
        <v>74</v>
      </c>
      <c r="M9" t="s">
        <v>78</v>
      </c>
      <c r="N9" t="s">
        <v>79</v>
      </c>
      <c r="O9" t="s">
        <v>74</v>
      </c>
      <c r="P9" t="s">
        <v>74</v>
      </c>
      <c r="Q9" t="s">
        <v>74</v>
      </c>
      <c r="R9" t="s">
        <v>74</v>
      </c>
      <c r="S9" t="s">
        <v>74</v>
      </c>
      <c r="T9" t="s">
        <v>275</v>
      </c>
      <c r="U9" t="s">
        <v>74</v>
      </c>
      <c r="V9" t="s">
        <v>276</v>
      </c>
      <c r="W9" t="s">
        <v>277</v>
      </c>
      <c r="X9" t="s">
        <v>278</v>
      </c>
      <c r="Y9" t="s">
        <v>279</v>
      </c>
      <c r="Z9" t="s">
        <v>280</v>
      </c>
      <c r="AA9" t="s">
        <v>74</v>
      </c>
      <c r="AB9" t="s">
        <v>281</v>
      </c>
      <c r="AC9" t="s">
        <v>74</v>
      </c>
      <c r="AD9" t="s">
        <v>74</v>
      </c>
      <c r="AE9" t="s">
        <v>74</v>
      </c>
      <c r="AF9" t="s">
        <v>74</v>
      </c>
      <c r="AG9">
        <v>12</v>
      </c>
      <c r="AH9">
        <v>9</v>
      </c>
      <c r="AI9">
        <v>10</v>
      </c>
      <c r="AJ9">
        <v>3</v>
      </c>
      <c r="AK9">
        <v>26</v>
      </c>
      <c r="AL9" t="s">
        <v>282</v>
      </c>
      <c r="AM9" t="s">
        <v>283</v>
      </c>
      <c r="AN9" t="s">
        <v>284</v>
      </c>
      <c r="AO9" t="s">
        <v>285</v>
      </c>
      <c r="AP9" t="s">
        <v>286</v>
      </c>
      <c r="AQ9" t="s">
        <v>74</v>
      </c>
      <c r="AR9" t="s">
        <v>287</v>
      </c>
      <c r="AS9" t="s">
        <v>288</v>
      </c>
      <c r="AT9" t="s">
        <v>289</v>
      </c>
      <c r="AU9">
        <v>2022</v>
      </c>
      <c r="AV9">
        <v>217</v>
      </c>
      <c r="AW9" t="s">
        <v>74</v>
      </c>
      <c r="AX9" t="s">
        <v>74</v>
      </c>
      <c r="AY9" t="s">
        <v>74</v>
      </c>
      <c r="AZ9" t="s">
        <v>74</v>
      </c>
      <c r="BA9" t="s">
        <v>74</v>
      </c>
      <c r="BB9" t="s">
        <v>74</v>
      </c>
      <c r="BC9" t="s">
        <v>74</v>
      </c>
      <c r="BD9">
        <v>110679</v>
      </c>
      <c r="BE9" t="s">
        <v>290</v>
      </c>
      <c r="BF9" t="str">
        <f>HYPERLINK("http://dx.doi.org/10.1016/j.econlet.2022.110679","http://dx.doi.org/10.1016/j.econlet.2022.110679")</f>
        <v>http://dx.doi.org/10.1016/j.econlet.2022.110679</v>
      </c>
      <c r="BG9" t="s">
        <v>74</v>
      </c>
      <c r="BH9" t="s">
        <v>126</v>
      </c>
      <c r="BI9">
        <v>5</v>
      </c>
      <c r="BJ9" t="s">
        <v>291</v>
      </c>
      <c r="BK9" t="s">
        <v>99</v>
      </c>
      <c r="BL9" t="s">
        <v>100</v>
      </c>
      <c r="BM9" t="s">
        <v>292</v>
      </c>
      <c r="BN9" t="s">
        <v>74</v>
      </c>
      <c r="BO9" t="s">
        <v>74</v>
      </c>
      <c r="BP9" t="s">
        <v>74</v>
      </c>
      <c r="BQ9" t="s">
        <v>74</v>
      </c>
      <c r="BR9" t="s">
        <v>102</v>
      </c>
      <c r="BS9" t="s">
        <v>293</v>
      </c>
      <c r="BT9" t="str">
        <f>HYPERLINK("https%3A%2F%2Fwww.webofscience.com%2Fwos%2Fwoscc%2Ffull-record%2FWOS:000828173600005","View Full Record in Web of Science")</f>
        <v>View Full Record in Web of Science</v>
      </c>
    </row>
    <row r="10" spans="1:72" x14ac:dyDescent="0.25">
      <c r="A10" t="s">
        <v>72</v>
      </c>
      <c r="B10" t="s">
        <v>294</v>
      </c>
      <c r="C10" t="s">
        <v>74</v>
      </c>
      <c r="D10" t="s">
        <v>74</v>
      </c>
      <c r="E10" t="s">
        <v>74</v>
      </c>
      <c r="F10" t="s">
        <v>295</v>
      </c>
      <c r="G10" t="s">
        <v>74</v>
      </c>
      <c r="H10" t="s">
        <v>74</v>
      </c>
      <c r="I10" t="s">
        <v>296</v>
      </c>
      <c r="J10" t="s">
        <v>297</v>
      </c>
      <c r="K10" t="s">
        <v>74</v>
      </c>
      <c r="L10" t="s">
        <v>74</v>
      </c>
      <c r="M10" t="s">
        <v>298</v>
      </c>
      <c r="N10" t="s">
        <v>79</v>
      </c>
      <c r="O10" t="s">
        <v>74</v>
      </c>
      <c r="P10" t="s">
        <v>74</v>
      </c>
      <c r="Q10" t="s">
        <v>74</v>
      </c>
      <c r="R10" t="s">
        <v>74</v>
      </c>
      <c r="S10" t="s">
        <v>74</v>
      </c>
      <c r="T10" t="s">
        <v>299</v>
      </c>
      <c r="U10" t="s">
        <v>74</v>
      </c>
      <c r="V10" t="s">
        <v>300</v>
      </c>
      <c r="W10" t="s">
        <v>301</v>
      </c>
      <c r="X10" t="s">
        <v>74</v>
      </c>
      <c r="Y10" t="s">
        <v>302</v>
      </c>
      <c r="Z10" t="s">
        <v>303</v>
      </c>
      <c r="AA10" t="s">
        <v>74</v>
      </c>
      <c r="AB10" t="s">
        <v>74</v>
      </c>
      <c r="AC10" t="s">
        <v>74</v>
      </c>
      <c r="AD10" t="s">
        <v>74</v>
      </c>
      <c r="AE10" t="s">
        <v>74</v>
      </c>
      <c r="AF10" t="s">
        <v>74</v>
      </c>
      <c r="AG10">
        <v>24</v>
      </c>
      <c r="AH10">
        <v>0</v>
      </c>
      <c r="AI10">
        <v>4</v>
      </c>
      <c r="AJ10">
        <v>1</v>
      </c>
      <c r="AK10">
        <v>20</v>
      </c>
      <c r="AL10" t="s">
        <v>304</v>
      </c>
      <c r="AM10" t="s">
        <v>305</v>
      </c>
      <c r="AN10" t="s">
        <v>306</v>
      </c>
      <c r="AO10" t="s">
        <v>307</v>
      </c>
      <c r="AP10" t="s">
        <v>308</v>
      </c>
      <c r="AQ10" t="s">
        <v>74</v>
      </c>
      <c r="AR10" t="s">
        <v>309</v>
      </c>
      <c r="AS10" t="s">
        <v>310</v>
      </c>
      <c r="AT10" t="s">
        <v>311</v>
      </c>
      <c r="AU10">
        <v>2016</v>
      </c>
      <c r="AV10">
        <v>39</v>
      </c>
      <c r="AW10">
        <v>109</v>
      </c>
      <c r="AX10" t="s">
        <v>74</v>
      </c>
      <c r="AY10" t="s">
        <v>74</v>
      </c>
      <c r="AZ10" t="s">
        <v>74</v>
      </c>
      <c r="BA10" t="s">
        <v>74</v>
      </c>
      <c r="BB10">
        <v>49</v>
      </c>
      <c r="BC10">
        <v>63</v>
      </c>
      <c r="BD10" t="s">
        <v>74</v>
      </c>
      <c r="BE10" t="s">
        <v>312</v>
      </c>
      <c r="BF10" t="str">
        <f>HYPERLINK("http://dx.doi.org/10.1016/j.cesjef.2015.07.004","http://dx.doi.org/10.1016/j.cesjef.2015.07.004")</f>
        <v>http://dx.doi.org/10.1016/j.cesjef.2015.07.004</v>
      </c>
      <c r="BG10" t="s">
        <v>74</v>
      </c>
      <c r="BH10" t="s">
        <v>74</v>
      </c>
      <c r="BI10">
        <v>15</v>
      </c>
      <c r="BJ10" t="s">
        <v>291</v>
      </c>
      <c r="BK10" t="s">
        <v>313</v>
      </c>
      <c r="BL10" t="s">
        <v>100</v>
      </c>
      <c r="BM10" t="s">
        <v>314</v>
      </c>
      <c r="BN10" t="s">
        <v>74</v>
      </c>
      <c r="BO10" t="s">
        <v>315</v>
      </c>
      <c r="BP10" t="s">
        <v>74</v>
      </c>
      <c r="BQ10" t="s">
        <v>74</v>
      </c>
      <c r="BR10" t="s">
        <v>102</v>
      </c>
      <c r="BS10" t="s">
        <v>316</v>
      </c>
      <c r="BT10" t="str">
        <f>HYPERLINK("https%3A%2F%2Fwww.webofscience.com%2Fwos%2Fwoscc%2Ffull-record%2FWOS:000376278400005","View Full Record in Web of Science")</f>
        <v>View Full Record in Web of Science</v>
      </c>
    </row>
    <row r="11" spans="1:72" x14ac:dyDescent="0.25">
      <c r="A11" t="s">
        <v>72</v>
      </c>
      <c r="B11" t="s">
        <v>317</v>
      </c>
      <c r="C11" t="s">
        <v>74</v>
      </c>
      <c r="D11" t="s">
        <v>74</v>
      </c>
      <c r="E11" t="s">
        <v>74</v>
      </c>
      <c r="F11" t="s">
        <v>318</v>
      </c>
      <c r="G11" t="s">
        <v>74</v>
      </c>
      <c r="H11" t="s">
        <v>74</v>
      </c>
      <c r="I11" t="s">
        <v>319</v>
      </c>
      <c r="J11" t="s">
        <v>320</v>
      </c>
      <c r="K11" t="s">
        <v>74</v>
      </c>
      <c r="L11" t="s">
        <v>74</v>
      </c>
      <c r="M11" t="s">
        <v>78</v>
      </c>
      <c r="N11" t="s">
        <v>79</v>
      </c>
      <c r="O11" t="s">
        <v>74</v>
      </c>
      <c r="P11" t="s">
        <v>74</v>
      </c>
      <c r="Q11" t="s">
        <v>74</v>
      </c>
      <c r="R11" t="s">
        <v>74</v>
      </c>
      <c r="S11" t="s">
        <v>74</v>
      </c>
      <c r="T11" t="s">
        <v>321</v>
      </c>
      <c r="U11" t="s">
        <v>322</v>
      </c>
      <c r="V11" t="s">
        <v>323</v>
      </c>
      <c r="W11" t="s">
        <v>324</v>
      </c>
      <c r="X11" t="s">
        <v>325</v>
      </c>
      <c r="Y11" t="s">
        <v>326</v>
      </c>
      <c r="Z11" t="s">
        <v>327</v>
      </c>
      <c r="AA11" t="s">
        <v>74</v>
      </c>
      <c r="AB11" t="s">
        <v>328</v>
      </c>
      <c r="AC11" t="s">
        <v>329</v>
      </c>
      <c r="AD11" t="s">
        <v>330</v>
      </c>
      <c r="AE11" t="s">
        <v>331</v>
      </c>
      <c r="AF11" t="s">
        <v>74</v>
      </c>
      <c r="AG11">
        <v>101</v>
      </c>
      <c r="AH11">
        <v>24</v>
      </c>
      <c r="AI11">
        <v>27</v>
      </c>
      <c r="AJ11">
        <v>4</v>
      </c>
      <c r="AK11">
        <v>136</v>
      </c>
      <c r="AL11" t="s">
        <v>332</v>
      </c>
      <c r="AM11" t="s">
        <v>333</v>
      </c>
      <c r="AN11" t="s">
        <v>334</v>
      </c>
      <c r="AO11" t="s">
        <v>335</v>
      </c>
      <c r="AP11" t="s">
        <v>336</v>
      </c>
      <c r="AQ11" t="s">
        <v>74</v>
      </c>
      <c r="AR11" t="s">
        <v>337</v>
      </c>
      <c r="AS11" t="s">
        <v>338</v>
      </c>
      <c r="AT11" t="s">
        <v>339</v>
      </c>
      <c r="AU11">
        <v>2021</v>
      </c>
      <c r="AV11">
        <v>28</v>
      </c>
      <c r="AW11">
        <v>6</v>
      </c>
      <c r="AX11" t="s">
        <v>74</v>
      </c>
      <c r="AY11" t="s">
        <v>74</v>
      </c>
      <c r="AZ11" t="s">
        <v>74</v>
      </c>
      <c r="BA11" t="s">
        <v>74</v>
      </c>
      <c r="BB11">
        <v>1582</v>
      </c>
      <c r="BC11">
        <v>1606</v>
      </c>
      <c r="BD11" t="s">
        <v>74</v>
      </c>
      <c r="BE11" t="s">
        <v>340</v>
      </c>
      <c r="BF11" t="str">
        <f>HYPERLINK("http://dx.doi.org/10.1080/09692290.2020.1772849","http://dx.doi.org/10.1080/09692290.2020.1772849")</f>
        <v>http://dx.doi.org/10.1080/09692290.2020.1772849</v>
      </c>
      <c r="BG11" t="s">
        <v>74</v>
      </c>
      <c r="BH11" t="s">
        <v>341</v>
      </c>
      <c r="BI11">
        <v>25</v>
      </c>
      <c r="BJ11" t="s">
        <v>342</v>
      </c>
      <c r="BK11" t="s">
        <v>99</v>
      </c>
      <c r="BL11" t="s">
        <v>343</v>
      </c>
      <c r="BM11" t="s">
        <v>344</v>
      </c>
      <c r="BN11" t="s">
        <v>74</v>
      </c>
      <c r="BO11" t="s">
        <v>74</v>
      </c>
      <c r="BP11" t="s">
        <v>74</v>
      </c>
      <c r="BQ11" t="s">
        <v>74</v>
      </c>
      <c r="BR11" t="s">
        <v>102</v>
      </c>
      <c r="BS11" t="s">
        <v>345</v>
      </c>
      <c r="BT11" t="str">
        <f>HYPERLINK("https%3A%2F%2Fwww.webofscience.com%2Fwos%2Fwoscc%2Ffull-record%2FWOS:000542418400001","View Full Record in Web of Science")</f>
        <v>View Full Record in Web of Science</v>
      </c>
    </row>
    <row r="12" spans="1:72" x14ac:dyDescent="0.25">
      <c r="A12" t="s">
        <v>72</v>
      </c>
      <c r="B12" t="s">
        <v>346</v>
      </c>
      <c r="C12" t="s">
        <v>74</v>
      </c>
      <c r="D12" t="s">
        <v>74</v>
      </c>
      <c r="E12" t="s">
        <v>74</v>
      </c>
      <c r="F12" t="s">
        <v>347</v>
      </c>
      <c r="G12" t="s">
        <v>74</v>
      </c>
      <c r="H12" t="s">
        <v>74</v>
      </c>
      <c r="I12" t="s">
        <v>348</v>
      </c>
      <c r="J12" t="s">
        <v>349</v>
      </c>
      <c r="K12" t="s">
        <v>74</v>
      </c>
      <c r="L12" t="s">
        <v>74</v>
      </c>
      <c r="M12" t="s">
        <v>298</v>
      </c>
      <c r="N12" t="s">
        <v>79</v>
      </c>
      <c r="O12" t="s">
        <v>74</v>
      </c>
      <c r="P12" t="s">
        <v>74</v>
      </c>
      <c r="Q12" t="s">
        <v>74</v>
      </c>
      <c r="R12" t="s">
        <v>74</v>
      </c>
      <c r="S12" t="s">
        <v>74</v>
      </c>
      <c r="T12" t="s">
        <v>350</v>
      </c>
      <c r="U12" t="s">
        <v>74</v>
      </c>
      <c r="V12" t="s">
        <v>351</v>
      </c>
      <c r="W12" t="s">
        <v>352</v>
      </c>
      <c r="X12" t="s">
        <v>353</v>
      </c>
      <c r="Y12" t="s">
        <v>354</v>
      </c>
      <c r="Z12" t="s">
        <v>355</v>
      </c>
      <c r="AA12" t="s">
        <v>356</v>
      </c>
      <c r="AB12" t="s">
        <v>74</v>
      </c>
      <c r="AC12" t="s">
        <v>74</v>
      </c>
      <c r="AD12" t="s">
        <v>74</v>
      </c>
      <c r="AE12" t="s">
        <v>74</v>
      </c>
      <c r="AF12" t="s">
        <v>74</v>
      </c>
      <c r="AG12">
        <v>15</v>
      </c>
      <c r="AH12">
        <v>0</v>
      </c>
      <c r="AI12">
        <v>0</v>
      </c>
      <c r="AJ12">
        <v>0</v>
      </c>
      <c r="AK12">
        <v>3</v>
      </c>
      <c r="AL12" t="s">
        <v>357</v>
      </c>
      <c r="AM12" t="s">
        <v>358</v>
      </c>
      <c r="AN12" t="s">
        <v>359</v>
      </c>
      <c r="AO12" t="s">
        <v>360</v>
      </c>
      <c r="AP12" t="s">
        <v>74</v>
      </c>
      <c r="AQ12" t="s">
        <v>74</v>
      </c>
      <c r="AR12" t="s">
        <v>361</v>
      </c>
      <c r="AS12" t="s">
        <v>362</v>
      </c>
      <c r="AT12" t="s">
        <v>363</v>
      </c>
      <c r="AU12">
        <v>2018</v>
      </c>
      <c r="AV12">
        <v>10</v>
      </c>
      <c r="AW12">
        <v>3</v>
      </c>
      <c r="AX12" t="s">
        <v>74</v>
      </c>
      <c r="AY12" t="s">
        <v>74</v>
      </c>
      <c r="AZ12" t="s">
        <v>74</v>
      </c>
      <c r="BA12" t="s">
        <v>74</v>
      </c>
      <c r="BB12">
        <v>263</v>
      </c>
      <c r="BC12">
        <v>268</v>
      </c>
      <c r="BD12" t="s">
        <v>74</v>
      </c>
      <c r="BE12" t="s">
        <v>74</v>
      </c>
      <c r="BF12" t="s">
        <v>74</v>
      </c>
      <c r="BG12" t="s">
        <v>74</v>
      </c>
      <c r="BH12" t="s">
        <v>74</v>
      </c>
      <c r="BI12">
        <v>6</v>
      </c>
      <c r="BJ12" t="s">
        <v>364</v>
      </c>
      <c r="BK12" t="s">
        <v>313</v>
      </c>
      <c r="BL12" t="s">
        <v>365</v>
      </c>
      <c r="BM12" t="s">
        <v>366</v>
      </c>
      <c r="BN12" t="s">
        <v>74</v>
      </c>
      <c r="BO12" t="s">
        <v>74</v>
      </c>
      <c r="BP12" t="s">
        <v>74</v>
      </c>
      <c r="BQ12" t="s">
        <v>74</v>
      </c>
      <c r="BR12" t="s">
        <v>102</v>
      </c>
      <c r="BS12" t="s">
        <v>367</v>
      </c>
      <c r="BT12" t="str">
        <f>HYPERLINK("https%3A%2F%2Fwww.webofscience.com%2Fwos%2Fwoscc%2Ffull-record%2FWOS:000437903700036","View Full Record in Web of Science")</f>
        <v>View Full Record in Web of Science</v>
      </c>
    </row>
    <row r="13" spans="1:72" x14ac:dyDescent="0.25">
      <c r="A13" t="s">
        <v>72</v>
      </c>
      <c r="B13" t="s">
        <v>368</v>
      </c>
      <c r="C13" t="s">
        <v>74</v>
      </c>
      <c r="D13" t="s">
        <v>74</v>
      </c>
      <c r="E13" t="s">
        <v>74</v>
      </c>
      <c r="F13" t="s">
        <v>369</v>
      </c>
      <c r="G13" t="s">
        <v>74</v>
      </c>
      <c r="H13" t="s">
        <v>74</v>
      </c>
      <c r="I13" t="s">
        <v>370</v>
      </c>
      <c r="J13" t="s">
        <v>371</v>
      </c>
      <c r="K13" t="s">
        <v>74</v>
      </c>
      <c r="L13" t="s">
        <v>74</v>
      </c>
      <c r="M13" t="s">
        <v>78</v>
      </c>
      <c r="N13" t="s">
        <v>372</v>
      </c>
      <c r="O13" t="s">
        <v>74</v>
      </c>
      <c r="P13" t="s">
        <v>74</v>
      </c>
      <c r="Q13" t="s">
        <v>74</v>
      </c>
      <c r="R13" t="s">
        <v>74</v>
      </c>
      <c r="S13" t="s">
        <v>74</v>
      </c>
      <c r="T13" t="s">
        <v>373</v>
      </c>
      <c r="U13" t="s">
        <v>374</v>
      </c>
      <c r="V13" t="s">
        <v>375</v>
      </c>
      <c r="W13" t="s">
        <v>376</v>
      </c>
      <c r="X13" t="s">
        <v>377</v>
      </c>
      <c r="Y13" t="s">
        <v>378</v>
      </c>
      <c r="Z13" t="s">
        <v>379</v>
      </c>
      <c r="AA13" t="s">
        <v>380</v>
      </c>
      <c r="AB13" t="s">
        <v>381</v>
      </c>
      <c r="AC13" t="s">
        <v>382</v>
      </c>
      <c r="AD13" t="s">
        <v>383</v>
      </c>
      <c r="AE13" t="s">
        <v>384</v>
      </c>
      <c r="AF13" t="s">
        <v>74</v>
      </c>
      <c r="AG13">
        <v>44</v>
      </c>
      <c r="AH13">
        <v>0</v>
      </c>
      <c r="AI13">
        <v>0</v>
      </c>
      <c r="AJ13">
        <v>1</v>
      </c>
      <c r="AK13">
        <v>6</v>
      </c>
      <c r="AL13" t="s">
        <v>385</v>
      </c>
      <c r="AM13" t="s">
        <v>151</v>
      </c>
      <c r="AN13" t="s">
        <v>386</v>
      </c>
      <c r="AO13" t="s">
        <v>387</v>
      </c>
      <c r="AP13" t="s">
        <v>388</v>
      </c>
      <c r="AQ13" t="s">
        <v>74</v>
      </c>
      <c r="AR13" t="s">
        <v>389</v>
      </c>
      <c r="AS13" t="s">
        <v>390</v>
      </c>
      <c r="AT13" t="s">
        <v>391</v>
      </c>
      <c r="AU13">
        <v>2024</v>
      </c>
      <c r="AV13" t="s">
        <v>74</v>
      </c>
      <c r="AW13" t="s">
        <v>74</v>
      </c>
      <c r="AX13" t="s">
        <v>74</v>
      </c>
      <c r="AY13" t="s">
        <v>74</v>
      </c>
      <c r="AZ13" t="s">
        <v>74</v>
      </c>
      <c r="BA13" t="s">
        <v>74</v>
      </c>
      <c r="BB13" t="s">
        <v>74</v>
      </c>
      <c r="BC13" t="s">
        <v>74</v>
      </c>
      <c r="BD13" t="s">
        <v>74</v>
      </c>
      <c r="BE13" t="s">
        <v>392</v>
      </c>
      <c r="BF13" t="str">
        <f>HYPERLINK("http://dx.doi.org/10.1007/s11150-024-09724-7","http://dx.doi.org/10.1007/s11150-024-09724-7")</f>
        <v>http://dx.doi.org/10.1007/s11150-024-09724-7</v>
      </c>
      <c r="BG13" t="s">
        <v>74</v>
      </c>
      <c r="BH13" t="s">
        <v>393</v>
      </c>
      <c r="BI13">
        <v>30</v>
      </c>
      <c r="BJ13" t="s">
        <v>291</v>
      </c>
      <c r="BK13" t="s">
        <v>99</v>
      </c>
      <c r="BL13" t="s">
        <v>100</v>
      </c>
      <c r="BM13" t="s">
        <v>394</v>
      </c>
      <c r="BN13" t="s">
        <v>74</v>
      </c>
      <c r="BO13" t="s">
        <v>74</v>
      </c>
      <c r="BP13" t="s">
        <v>74</v>
      </c>
      <c r="BQ13" t="s">
        <v>74</v>
      </c>
      <c r="BR13" t="s">
        <v>102</v>
      </c>
      <c r="BS13" t="s">
        <v>395</v>
      </c>
      <c r="BT13" t="str">
        <f>HYPERLINK("https%3A%2F%2Fwww.webofscience.com%2Fwos%2Fwoscc%2Ffull-record%2FWOS:001282986200001","View Full Record in Web of Science")</f>
        <v>View Full Record in Web of Science</v>
      </c>
    </row>
    <row r="14" spans="1:72" x14ac:dyDescent="0.25">
      <c r="A14" t="s">
        <v>72</v>
      </c>
      <c r="B14" t="s">
        <v>396</v>
      </c>
      <c r="C14" t="s">
        <v>74</v>
      </c>
      <c r="D14" t="s">
        <v>74</v>
      </c>
      <c r="E14" t="s">
        <v>74</v>
      </c>
      <c r="F14" t="s">
        <v>397</v>
      </c>
      <c r="G14" t="s">
        <v>74</v>
      </c>
      <c r="H14" t="s">
        <v>74</v>
      </c>
      <c r="I14" t="s">
        <v>398</v>
      </c>
      <c r="J14" t="s">
        <v>399</v>
      </c>
      <c r="K14" t="s">
        <v>74</v>
      </c>
      <c r="L14" t="s">
        <v>74</v>
      </c>
      <c r="M14" t="s">
        <v>78</v>
      </c>
      <c r="N14" t="s">
        <v>79</v>
      </c>
      <c r="O14" t="s">
        <v>74</v>
      </c>
      <c r="P14" t="s">
        <v>74</v>
      </c>
      <c r="Q14" t="s">
        <v>74</v>
      </c>
      <c r="R14" t="s">
        <v>74</v>
      </c>
      <c r="S14" t="s">
        <v>74</v>
      </c>
      <c r="T14" t="s">
        <v>400</v>
      </c>
      <c r="U14" t="s">
        <v>74</v>
      </c>
      <c r="V14" t="s">
        <v>401</v>
      </c>
      <c r="W14" t="s">
        <v>402</v>
      </c>
      <c r="X14" t="s">
        <v>403</v>
      </c>
      <c r="Y14" t="s">
        <v>404</v>
      </c>
      <c r="Z14" t="s">
        <v>405</v>
      </c>
      <c r="AA14" t="s">
        <v>74</v>
      </c>
      <c r="AB14" t="s">
        <v>406</v>
      </c>
      <c r="AC14" t="s">
        <v>407</v>
      </c>
      <c r="AD14" t="s">
        <v>407</v>
      </c>
      <c r="AE14" t="s">
        <v>408</v>
      </c>
      <c r="AF14" t="s">
        <v>74</v>
      </c>
      <c r="AG14">
        <v>29</v>
      </c>
      <c r="AH14">
        <v>0</v>
      </c>
      <c r="AI14">
        <v>0</v>
      </c>
      <c r="AJ14">
        <v>5</v>
      </c>
      <c r="AK14">
        <v>6</v>
      </c>
      <c r="AL14" t="s">
        <v>409</v>
      </c>
      <c r="AM14" t="s">
        <v>410</v>
      </c>
      <c r="AN14" t="s">
        <v>411</v>
      </c>
      <c r="AO14" t="s">
        <v>412</v>
      </c>
      <c r="AP14" t="s">
        <v>413</v>
      </c>
      <c r="AQ14" t="s">
        <v>74</v>
      </c>
      <c r="AR14" t="s">
        <v>414</v>
      </c>
      <c r="AS14" t="s">
        <v>415</v>
      </c>
      <c r="AT14" t="s">
        <v>237</v>
      </c>
      <c r="AU14">
        <v>2025</v>
      </c>
      <c r="AV14">
        <v>34</v>
      </c>
      <c r="AW14">
        <v>1</v>
      </c>
      <c r="AX14" t="s">
        <v>74</v>
      </c>
      <c r="AY14" t="s">
        <v>74</v>
      </c>
      <c r="AZ14" t="s">
        <v>74</v>
      </c>
      <c r="BA14" t="s">
        <v>74</v>
      </c>
      <c r="BB14">
        <v>7</v>
      </c>
      <c r="BC14">
        <v>32</v>
      </c>
      <c r="BD14" t="s">
        <v>74</v>
      </c>
      <c r="BE14" t="s">
        <v>416</v>
      </c>
      <c r="BF14" t="str">
        <f>HYPERLINK("http://dx.doi.org/10.1177/09713557251315238","http://dx.doi.org/10.1177/09713557251315238")</f>
        <v>http://dx.doi.org/10.1177/09713557251315238</v>
      </c>
      <c r="BG14" t="s">
        <v>74</v>
      </c>
      <c r="BH14" t="s">
        <v>417</v>
      </c>
      <c r="BI14">
        <v>26</v>
      </c>
      <c r="BJ14" t="s">
        <v>418</v>
      </c>
      <c r="BK14" t="s">
        <v>313</v>
      </c>
      <c r="BL14" t="s">
        <v>100</v>
      </c>
      <c r="BM14" t="s">
        <v>419</v>
      </c>
      <c r="BN14" t="s">
        <v>74</v>
      </c>
      <c r="BO14" t="s">
        <v>74</v>
      </c>
      <c r="BP14" t="s">
        <v>74</v>
      </c>
      <c r="BQ14" t="s">
        <v>74</v>
      </c>
      <c r="BR14" t="s">
        <v>102</v>
      </c>
      <c r="BS14" t="s">
        <v>420</v>
      </c>
      <c r="BT14" t="str">
        <f>HYPERLINK("https%3A%2F%2Fwww.webofscience.com%2Fwos%2Fwoscc%2Ffull-record%2FWOS:001428028400001","View Full Record in Web of Science")</f>
        <v>View Full Record in Web of Science</v>
      </c>
    </row>
    <row r="15" spans="1:72" x14ac:dyDescent="0.25">
      <c r="A15" t="s">
        <v>72</v>
      </c>
      <c r="B15" t="s">
        <v>421</v>
      </c>
      <c r="C15" t="s">
        <v>74</v>
      </c>
      <c r="D15" t="s">
        <v>74</v>
      </c>
      <c r="E15" t="s">
        <v>74</v>
      </c>
      <c r="F15" t="s">
        <v>422</v>
      </c>
      <c r="G15" t="s">
        <v>74</v>
      </c>
      <c r="H15" t="s">
        <v>74</v>
      </c>
      <c r="I15" t="s">
        <v>423</v>
      </c>
      <c r="J15" t="s">
        <v>424</v>
      </c>
      <c r="K15" t="s">
        <v>74</v>
      </c>
      <c r="L15" t="s">
        <v>74</v>
      </c>
      <c r="M15" t="s">
        <v>78</v>
      </c>
      <c r="N15" t="s">
        <v>79</v>
      </c>
      <c r="O15" t="s">
        <v>74</v>
      </c>
      <c r="P15" t="s">
        <v>74</v>
      </c>
      <c r="Q15" t="s">
        <v>74</v>
      </c>
      <c r="R15" t="s">
        <v>74</v>
      </c>
      <c r="S15" t="s">
        <v>74</v>
      </c>
      <c r="T15" t="s">
        <v>425</v>
      </c>
      <c r="U15" t="s">
        <v>426</v>
      </c>
      <c r="V15" t="s">
        <v>427</v>
      </c>
      <c r="W15" t="s">
        <v>428</v>
      </c>
      <c r="X15" t="s">
        <v>429</v>
      </c>
      <c r="Y15" t="s">
        <v>430</v>
      </c>
      <c r="Z15" t="s">
        <v>431</v>
      </c>
      <c r="AA15" t="s">
        <v>432</v>
      </c>
      <c r="AB15" t="s">
        <v>433</v>
      </c>
      <c r="AC15" t="s">
        <v>434</v>
      </c>
      <c r="AD15" t="s">
        <v>434</v>
      </c>
      <c r="AE15" t="s">
        <v>435</v>
      </c>
      <c r="AF15" t="s">
        <v>74</v>
      </c>
      <c r="AG15">
        <v>100</v>
      </c>
      <c r="AH15">
        <v>3</v>
      </c>
      <c r="AI15">
        <v>5</v>
      </c>
      <c r="AJ15">
        <v>2</v>
      </c>
      <c r="AK15">
        <v>25</v>
      </c>
      <c r="AL15" t="s">
        <v>89</v>
      </c>
      <c r="AM15" t="s">
        <v>90</v>
      </c>
      <c r="AN15" t="s">
        <v>91</v>
      </c>
      <c r="AO15" t="s">
        <v>436</v>
      </c>
      <c r="AP15" t="s">
        <v>437</v>
      </c>
      <c r="AQ15" t="s">
        <v>74</v>
      </c>
      <c r="AR15" t="s">
        <v>438</v>
      </c>
      <c r="AS15" t="s">
        <v>439</v>
      </c>
      <c r="AT15" t="s">
        <v>440</v>
      </c>
      <c r="AU15">
        <v>2021</v>
      </c>
      <c r="AV15">
        <v>39</v>
      </c>
      <c r="AW15">
        <v>3</v>
      </c>
      <c r="AX15" t="s">
        <v>74</v>
      </c>
      <c r="AY15" t="s">
        <v>74</v>
      </c>
      <c r="AZ15" t="s">
        <v>441</v>
      </c>
      <c r="BA15" t="s">
        <v>74</v>
      </c>
      <c r="BB15">
        <v>360</v>
      </c>
      <c r="BC15">
        <v>380</v>
      </c>
      <c r="BD15" t="s">
        <v>74</v>
      </c>
      <c r="BE15" t="s">
        <v>442</v>
      </c>
      <c r="BF15" t="str">
        <f>HYPERLINK("http://dx.doi.org/10.1108/IJBM-07-2020-0409","http://dx.doi.org/10.1108/IJBM-07-2020-0409")</f>
        <v>http://dx.doi.org/10.1108/IJBM-07-2020-0409</v>
      </c>
      <c r="BG15" t="s">
        <v>74</v>
      </c>
      <c r="BH15" t="s">
        <v>443</v>
      </c>
      <c r="BI15">
        <v>21</v>
      </c>
      <c r="BJ15" t="s">
        <v>418</v>
      </c>
      <c r="BK15" t="s">
        <v>99</v>
      </c>
      <c r="BL15" t="s">
        <v>100</v>
      </c>
      <c r="BM15" t="s">
        <v>444</v>
      </c>
      <c r="BN15" t="s">
        <v>74</v>
      </c>
      <c r="BO15" t="s">
        <v>74</v>
      </c>
      <c r="BP15" t="s">
        <v>74</v>
      </c>
      <c r="BQ15" t="s">
        <v>74</v>
      </c>
      <c r="BR15" t="s">
        <v>102</v>
      </c>
      <c r="BS15" t="s">
        <v>445</v>
      </c>
      <c r="BT15" t="str">
        <f>HYPERLINK("https%3A%2F%2Fwww.webofscience.com%2Fwos%2Fwoscc%2Ffull-record%2FWOS:000644796400001","View Full Record in Web of Science")</f>
        <v>View Full Record in Web of Science</v>
      </c>
    </row>
    <row r="16" spans="1:72" x14ac:dyDescent="0.25">
      <c r="A16" t="s">
        <v>72</v>
      </c>
      <c r="B16" t="s">
        <v>446</v>
      </c>
      <c r="C16" t="s">
        <v>74</v>
      </c>
      <c r="D16" t="s">
        <v>74</v>
      </c>
      <c r="E16" t="s">
        <v>74</v>
      </c>
      <c r="F16" t="s">
        <v>447</v>
      </c>
      <c r="G16" t="s">
        <v>74</v>
      </c>
      <c r="H16" t="s">
        <v>74</v>
      </c>
      <c r="I16" t="s">
        <v>448</v>
      </c>
      <c r="J16" t="s">
        <v>449</v>
      </c>
      <c r="K16" t="s">
        <v>74</v>
      </c>
      <c r="L16" t="s">
        <v>74</v>
      </c>
      <c r="M16" t="s">
        <v>78</v>
      </c>
      <c r="N16" t="s">
        <v>79</v>
      </c>
      <c r="O16" t="s">
        <v>74</v>
      </c>
      <c r="P16" t="s">
        <v>74</v>
      </c>
      <c r="Q16" t="s">
        <v>74</v>
      </c>
      <c r="R16" t="s">
        <v>74</v>
      </c>
      <c r="S16" t="s">
        <v>74</v>
      </c>
      <c r="T16" t="s">
        <v>450</v>
      </c>
      <c r="U16" t="s">
        <v>451</v>
      </c>
      <c r="V16" t="s">
        <v>452</v>
      </c>
      <c r="W16" t="s">
        <v>453</v>
      </c>
      <c r="X16" t="s">
        <v>454</v>
      </c>
      <c r="Y16" t="s">
        <v>455</v>
      </c>
      <c r="Z16" t="s">
        <v>456</v>
      </c>
      <c r="AA16" t="s">
        <v>74</v>
      </c>
      <c r="AB16" t="s">
        <v>328</v>
      </c>
      <c r="AC16" t="s">
        <v>457</v>
      </c>
      <c r="AD16" t="s">
        <v>458</v>
      </c>
      <c r="AE16" t="s">
        <v>74</v>
      </c>
      <c r="AF16" t="s">
        <v>74</v>
      </c>
      <c r="AG16">
        <v>90</v>
      </c>
      <c r="AH16">
        <v>58</v>
      </c>
      <c r="AI16">
        <v>69</v>
      </c>
      <c r="AJ16">
        <v>8</v>
      </c>
      <c r="AK16">
        <v>101</v>
      </c>
      <c r="AL16" t="s">
        <v>332</v>
      </c>
      <c r="AM16" t="s">
        <v>333</v>
      </c>
      <c r="AN16" t="s">
        <v>334</v>
      </c>
      <c r="AO16" t="s">
        <v>459</v>
      </c>
      <c r="AP16" t="s">
        <v>460</v>
      </c>
      <c r="AQ16" t="s">
        <v>74</v>
      </c>
      <c r="AR16" t="s">
        <v>461</v>
      </c>
      <c r="AS16" t="s">
        <v>462</v>
      </c>
      <c r="AT16" t="s">
        <v>463</v>
      </c>
      <c r="AU16">
        <v>2020</v>
      </c>
      <c r="AV16">
        <v>25</v>
      </c>
      <c r="AW16">
        <v>3</v>
      </c>
      <c r="AX16" t="s">
        <v>74</v>
      </c>
      <c r="AY16" t="s">
        <v>74</v>
      </c>
      <c r="AZ16" t="s">
        <v>74</v>
      </c>
      <c r="BA16" t="s">
        <v>74</v>
      </c>
      <c r="BB16">
        <v>370</v>
      </c>
      <c r="BC16">
        <v>387</v>
      </c>
      <c r="BD16" t="s">
        <v>74</v>
      </c>
      <c r="BE16" t="s">
        <v>464</v>
      </c>
      <c r="BF16" t="str">
        <f>HYPERLINK("http://dx.doi.org/10.1080/13563467.2018.1562437","http://dx.doi.org/10.1080/13563467.2018.1562437")</f>
        <v>http://dx.doi.org/10.1080/13563467.2018.1562437</v>
      </c>
      <c r="BG16" t="s">
        <v>74</v>
      </c>
      <c r="BH16" t="s">
        <v>74</v>
      </c>
      <c r="BI16">
        <v>18</v>
      </c>
      <c r="BJ16" t="s">
        <v>342</v>
      </c>
      <c r="BK16" t="s">
        <v>99</v>
      </c>
      <c r="BL16" t="s">
        <v>343</v>
      </c>
      <c r="BM16" t="s">
        <v>465</v>
      </c>
      <c r="BN16" t="s">
        <v>74</v>
      </c>
      <c r="BO16" t="s">
        <v>466</v>
      </c>
      <c r="BP16" t="s">
        <v>74</v>
      </c>
      <c r="BQ16" t="s">
        <v>74</v>
      </c>
      <c r="BR16" t="s">
        <v>102</v>
      </c>
      <c r="BS16" t="s">
        <v>467</v>
      </c>
      <c r="BT16" t="str">
        <f>HYPERLINK("https%3A%2F%2Fwww.webofscience.com%2Fwos%2Fwoscc%2Ffull-record%2FWOS:000523491200005","View Full Record in Web of Science")</f>
        <v>View Full Record in Web of Science</v>
      </c>
    </row>
    <row r="17" spans="1:72" x14ac:dyDescent="0.25">
      <c r="A17" t="s">
        <v>72</v>
      </c>
      <c r="B17" t="s">
        <v>468</v>
      </c>
      <c r="C17" t="s">
        <v>74</v>
      </c>
      <c r="D17" t="s">
        <v>74</v>
      </c>
      <c r="E17" t="s">
        <v>74</v>
      </c>
      <c r="F17" t="s">
        <v>469</v>
      </c>
      <c r="G17" t="s">
        <v>74</v>
      </c>
      <c r="H17" t="s">
        <v>74</v>
      </c>
      <c r="I17" t="s">
        <v>470</v>
      </c>
      <c r="J17" t="s">
        <v>471</v>
      </c>
      <c r="K17" t="s">
        <v>74</v>
      </c>
      <c r="L17" t="s">
        <v>74</v>
      </c>
      <c r="M17" t="s">
        <v>78</v>
      </c>
      <c r="N17" t="s">
        <v>372</v>
      </c>
      <c r="O17" t="s">
        <v>74</v>
      </c>
      <c r="P17" t="s">
        <v>74</v>
      </c>
      <c r="Q17" t="s">
        <v>74</v>
      </c>
      <c r="R17" t="s">
        <v>74</v>
      </c>
      <c r="S17" t="s">
        <v>74</v>
      </c>
      <c r="T17" t="s">
        <v>472</v>
      </c>
      <c r="U17" t="s">
        <v>473</v>
      </c>
      <c r="V17" t="s">
        <v>474</v>
      </c>
      <c r="W17" t="s">
        <v>475</v>
      </c>
      <c r="X17" t="s">
        <v>476</v>
      </c>
      <c r="Y17" t="s">
        <v>477</v>
      </c>
      <c r="Z17" t="s">
        <v>478</v>
      </c>
      <c r="AA17" t="s">
        <v>74</v>
      </c>
      <c r="AB17" t="s">
        <v>74</v>
      </c>
      <c r="AC17" t="s">
        <v>74</v>
      </c>
      <c r="AD17" t="s">
        <v>74</v>
      </c>
      <c r="AE17" t="s">
        <v>74</v>
      </c>
      <c r="AF17" t="s">
        <v>74</v>
      </c>
      <c r="AG17">
        <v>51</v>
      </c>
      <c r="AH17">
        <v>0</v>
      </c>
      <c r="AI17">
        <v>0</v>
      </c>
      <c r="AJ17">
        <v>1</v>
      </c>
      <c r="AK17">
        <v>1</v>
      </c>
      <c r="AL17" t="s">
        <v>479</v>
      </c>
      <c r="AM17" t="s">
        <v>480</v>
      </c>
      <c r="AN17" t="s">
        <v>481</v>
      </c>
      <c r="AO17" t="s">
        <v>482</v>
      </c>
      <c r="AP17" t="s">
        <v>483</v>
      </c>
      <c r="AQ17" t="s">
        <v>74</v>
      </c>
      <c r="AR17" t="s">
        <v>484</v>
      </c>
      <c r="AS17" t="s">
        <v>485</v>
      </c>
      <c r="AT17" t="s">
        <v>486</v>
      </c>
      <c r="AU17">
        <v>2025</v>
      </c>
      <c r="AV17" t="s">
        <v>74</v>
      </c>
      <c r="AW17" t="s">
        <v>74</v>
      </c>
      <c r="AX17" t="s">
        <v>74</v>
      </c>
      <c r="AY17" t="s">
        <v>74</v>
      </c>
      <c r="AZ17" t="s">
        <v>74</v>
      </c>
      <c r="BA17" t="s">
        <v>74</v>
      </c>
      <c r="BB17" t="s">
        <v>74</v>
      </c>
      <c r="BC17" t="s">
        <v>74</v>
      </c>
      <c r="BD17" t="s">
        <v>74</v>
      </c>
      <c r="BE17" t="s">
        <v>487</v>
      </c>
      <c r="BF17" t="str">
        <f>HYPERLINK("http://dx.doi.org/10.1111/manc.70029","http://dx.doi.org/10.1111/manc.70029")</f>
        <v>http://dx.doi.org/10.1111/manc.70029</v>
      </c>
      <c r="BG17" t="s">
        <v>74</v>
      </c>
      <c r="BH17" t="s">
        <v>488</v>
      </c>
      <c r="BI17">
        <v>18</v>
      </c>
      <c r="BJ17" t="s">
        <v>291</v>
      </c>
      <c r="BK17" t="s">
        <v>99</v>
      </c>
      <c r="BL17" t="s">
        <v>100</v>
      </c>
      <c r="BM17" t="s">
        <v>489</v>
      </c>
      <c r="BN17" t="s">
        <v>74</v>
      </c>
      <c r="BO17" t="s">
        <v>270</v>
      </c>
      <c r="BP17" t="s">
        <v>74</v>
      </c>
      <c r="BQ17" t="s">
        <v>74</v>
      </c>
      <c r="BR17" t="s">
        <v>102</v>
      </c>
      <c r="BS17" t="s">
        <v>490</v>
      </c>
      <c r="BT17" t="str">
        <f>HYPERLINK("https%3A%2F%2Fwww.webofscience.com%2Fwos%2Fwoscc%2Ffull-record%2FWOS:001642945300001","View Full Record in Web of Science")</f>
        <v>View Full Record in Web of Science</v>
      </c>
    </row>
    <row r="18" spans="1:72" x14ac:dyDescent="0.25">
      <c r="A18" t="s">
        <v>72</v>
      </c>
      <c r="B18" t="s">
        <v>491</v>
      </c>
      <c r="C18" t="s">
        <v>74</v>
      </c>
      <c r="D18" t="s">
        <v>74</v>
      </c>
      <c r="E18" t="s">
        <v>74</v>
      </c>
      <c r="F18" t="s">
        <v>491</v>
      </c>
      <c r="G18" t="s">
        <v>74</v>
      </c>
      <c r="H18" t="s">
        <v>74</v>
      </c>
      <c r="I18" t="s">
        <v>492</v>
      </c>
      <c r="J18" t="s">
        <v>493</v>
      </c>
      <c r="K18" t="s">
        <v>74</v>
      </c>
      <c r="L18" t="s">
        <v>74</v>
      </c>
      <c r="M18" t="s">
        <v>78</v>
      </c>
      <c r="N18" t="s">
        <v>79</v>
      </c>
      <c r="O18" t="s">
        <v>74</v>
      </c>
      <c r="P18" t="s">
        <v>74</v>
      </c>
      <c r="Q18" t="s">
        <v>74</v>
      </c>
      <c r="R18" t="s">
        <v>74</v>
      </c>
      <c r="S18" t="s">
        <v>74</v>
      </c>
      <c r="T18" t="s">
        <v>494</v>
      </c>
      <c r="U18" t="s">
        <v>495</v>
      </c>
      <c r="V18" t="s">
        <v>496</v>
      </c>
      <c r="W18" t="s">
        <v>497</v>
      </c>
      <c r="X18" t="s">
        <v>498</v>
      </c>
      <c r="Y18" t="s">
        <v>499</v>
      </c>
      <c r="Z18" t="s">
        <v>500</v>
      </c>
      <c r="AA18" t="s">
        <v>501</v>
      </c>
      <c r="AB18" t="s">
        <v>502</v>
      </c>
      <c r="AC18" t="s">
        <v>74</v>
      </c>
      <c r="AD18" t="s">
        <v>74</v>
      </c>
      <c r="AE18" t="s">
        <v>74</v>
      </c>
      <c r="AF18" t="s">
        <v>74</v>
      </c>
      <c r="AG18">
        <v>36</v>
      </c>
      <c r="AH18">
        <v>28</v>
      </c>
      <c r="AI18">
        <v>34</v>
      </c>
      <c r="AJ18">
        <v>0</v>
      </c>
      <c r="AK18">
        <v>8</v>
      </c>
      <c r="AL18" t="s">
        <v>503</v>
      </c>
      <c r="AM18" t="s">
        <v>151</v>
      </c>
      <c r="AN18" t="s">
        <v>504</v>
      </c>
      <c r="AO18" t="s">
        <v>505</v>
      </c>
      <c r="AP18" t="s">
        <v>506</v>
      </c>
      <c r="AQ18" t="s">
        <v>74</v>
      </c>
      <c r="AR18" t="s">
        <v>507</v>
      </c>
      <c r="AS18" t="s">
        <v>508</v>
      </c>
      <c r="AT18" t="s">
        <v>237</v>
      </c>
      <c r="AU18">
        <v>2006</v>
      </c>
      <c r="AV18">
        <v>28</v>
      </c>
      <c r="AW18">
        <v>2</v>
      </c>
      <c r="AX18" t="s">
        <v>74</v>
      </c>
      <c r="AY18" t="s">
        <v>74</v>
      </c>
      <c r="AZ18" t="s">
        <v>74</v>
      </c>
      <c r="BA18" t="s">
        <v>74</v>
      </c>
      <c r="BB18">
        <v>223</v>
      </c>
      <c r="BC18">
        <v>234</v>
      </c>
      <c r="BD18" t="s">
        <v>74</v>
      </c>
      <c r="BE18" t="s">
        <v>509</v>
      </c>
      <c r="BF18" t="str">
        <f>HYPERLINK("http://dx.doi.org/10.1016/j.jpolmod.2005.10.004","http://dx.doi.org/10.1016/j.jpolmod.2005.10.004")</f>
        <v>http://dx.doi.org/10.1016/j.jpolmod.2005.10.004</v>
      </c>
      <c r="BG18" t="s">
        <v>74</v>
      </c>
      <c r="BH18" t="s">
        <v>74</v>
      </c>
      <c r="BI18">
        <v>12</v>
      </c>
      <c r="BJ18" t="s">
        <v>291</v>
      </c>
      <c r="BK18" t="s">
        <v>99</v>
      </c>
      <c r="BL18" t="s">
        <v>100</v>
      </c>
      <c r="BM18" t="s">
        <v>510</v>
      </c>
      <c r="BN18" t="s">
        <v>74</v>
      </c>
      <c r="BO18" t="s">
        <v>74</v>
      </c>
      <c r="BP18" t="s">
        <v>74</v>
      </c>
      <c r="BQ18" t="s">
        <v>74</v>
      </c>
      <c r="BR18" t="s">
        <v>102</v>
      </c>
      <c r="BS18" t="s">
        <v>511</v>
      </c>
      <c r="BT18" t="str">
        <f>HYPERLINK("https%3A%2F%2Fwww.webofscience.com%2Fwos%2Fwoscc%2Ffull-record%2FWOS:000235725000008","View Full Record in Web of Science")</f>
        <v>View Full Record in Web of Science</v>
      </c>
    </row>
    <row r="19" spans="1:72" x14ac:dyDescent="0.25">
      <c r="A19" t="s">
        <v>72</v>
      </c>
      <c r="B19" t="s">
        <v>512</v>
      </c>
      <c r="C19" t="s">
        <v>74</v>
      </c>
      <c r="D19" t="s">
        <v>74</v>
      </c>
      <c r="E19" t="s">
        <v>74</v>
      </c>
      <c r="F19" t="s">
        <v>513</v>
      </c>
      <c r="G19" t="s">
        <v>74</v>
      </c>
      <c r="H19" t="s">
        <v>74</v>
      </c>
      <c r="I19" t="s">
        <v>514</v>
      </c>
      <c r="J19" t="s">
        <v>515</v>
      </c>
      <c r="K19" t="s">
        <v>74</v>
      </c>
      <c r="L19" t="s">
        <v>74</v>
      </c>
      <c r="M19" t="s">
        <v>78</v>
      </c>
      <c r="N19" t="s">
        <v>79</v>
      </c>
      <c r="O19" t="s">
        <v>74</v>
      </c>
      <c r="P19" t="s">
        <v>74</v>
      </c>
      <c r="Q19" t="s">
        <v>74</v>
      </c>
      <c r="R19" t="s">
        <v>74</v>
      </c>
      <c r="S19" t="s">
        <v>74</v>
      </c>
      <c r="T19" t="s">
        <v>516</v>
      </c>
      <c r="U19" t="s">
        <v>517</v>
      </c>
      <c r="V19" t="s">
        <v>518</v>
      </c>
      <c r="W19" t="s">
        <v>519</v>
      </c>
      <c r="X19" t="s">
        <v>520</v>
      </c>
      <c r="Y19" t="s">
        <v>521</v>
      </c>
      <c r="Z19" t="s">
        <v>522</v>
      </c>
      <c r="AA19" t="s">
        <v>523</v>
      </c>
      <c r="AB19" t="s">
        <v>524</v>
      </c>
      <c r="AC19" t="s">
        <v>525</v>
      </c>
      <c r="AD19" t="s">
        <v>526</v>
      </c>
      <c r="AE19" t="s">
        <v>527</v>
      </c>
      <c r="AF19" t="s">
        <v>74</v>
      </c>
      <c r="AG19">
        <v>87</v>
      </c>
      <c r="AH19">
        <v>11</v>
      </c>
      <c r="AI19">
        <v>15</v>
      </c>
      <c r="AJ19">
        <v>0</v>
      </c>
      <c r="AK19">
        <v>28</v>
      </c>
      <c r="AL19" t="s">
        <v>230</v>
      </c>
      <c r="AM19" t="s">
        <v>231</v>
      </c>
      <c r="AN19" t="s">
        <v>232</v>
      </c>
      <c r="AO19" t="s">
        <v>528</v>
      </c>
      <c r="AP19" t="s">
        <v>529</v>
      </c>
      <c r="AQ19" t="s">
        <v>74</v>
      </c>
      <c r="AR19" t="s">
        <v>530</v>
      </c>
      <c r="AS19" t="s">
        <v>531</v>
      </c>
      <c r="AT19" t="s">
        <v>289</v>
      </c>
      <c r="AU19">
        <v>2020</v>
      </c>
      <c r="AV19">
        <v>78</v>
      </c>
      <c r="AW19" t="s">
        <v>74</v>
      </c>
      <c r="AX19" t="s">
        <v>74</v>
      </c>
      <c r="AY19" t="s">
        <v>74</v>
      </c>
      <c r="AZ19" t="s">
        <v>74</v>
      </c>
      <c r="BA19" t="s">
        <v>74</v>
      </c>
      <c r="BB19">
        <v>457</v>
      </c>
      <c r="BC19">
        <v>466</v>
      </c>
      <c r="BD19" t="s">
        <v>74</v>
      </c>
      <c r="BE19" t="s">
        <v>532</v>
      </c>
      <c r="BF19" t="str">
        <f>HYPERLINK("http://dx.doi.org/10.1016/j.jrurstud.2020.07.010","http://dx.doi.org/10.1016/j.jrurstud.2020.07.010")</f>
        <v>http://dx.doi.org/10.1016/j.jrurstud.2020.07.010</v>
      </c>
      <c r="BG19" t="s">
        <v>74</v>
      </c>
      <c r="BH19" t="s">
        <v>74</v>
      </c>
      <c r="BI19">
        <v>10</v>
      </c>
      <c r="BJ19" t="s">
        <v>533</v>
      </c>
      <c r="BK19" t="s">
        <v>99</v>
      </c>
      <c r="BL19" t="s">
        <v>534</v>
      </c>
      <c r="BM19" t="s">
        <v>535</v>
      </c>
      <c r="BN19" t="s">
        <v>74</v>
      </c>
      <c r="BO19" t="s">
        <v>74</v>
      </c>
      <c r="BP19" t="s">
        <v>74</v>
      </c>
      <c r="BQ19" t="s">
        <v>74</v>
      </c>
      <c r="BR19" t="s">
        <v>102</v>
      </c>
      <c r="BS19" t="s">
        <v>536</v>
      </c>
      <c r="BT19" t="str">
        <f>HYPERLINK("https%3A%2F%2Fwww.webofscience.com%2Fwos%2Fwoscc%2Ffull-record%2FWOS:000567797800018","View Full Record in Web of Science")</f>
        <v>View Full Record in Web of Science</v>
      </c>
    </row>
    <row r="20" spans="1:72" x14ac:dyDescent="0.25">
      <c r="A20" t="s">
        <v>132</v>
      </c>
      <c r="B20" t="s">
        <v>537</v>
      </c>
      <c r="C20" t="s">
        <v>74</v>
      </c>
      <c r="D20" t="s">
        <v>74</v>
      </c>
      <c r="E20" t="s">
        <v>74</v>
      </c>
      <c r="F20" t="s">
        <v>538</v>
      </c>
      <c r="G20" t="s">
        <v>74</v>
      </c>
      <c r="H20" t="s">
        <v>74</v>
      </c>
      <c r="I20" t="s">
        <v>539</v>
      </c>
      <c r="J20" t="s">
        <v>540</v>
      </c>
      <c r="K20" t="s">
        <v>74</v>
      </c>
      <c r="L20" t="s">
        <v>74</v>
      </c>
      <c r="M20" t="s">
        <v>78</v>
      </c>
      <c r="N20" t="s">
        <v>138</v>
      </c>
      <c r="O20" t="s">
        <v>541</v>
      </c>
      <c r="P20" t="s">
        <v>542</v>
      </c>
      <c r="Q20" t="s">
        <v>543</v>
      </c>
      <c r="R20" t="s">
        <v>74</v>
      </c>
      <c r="S20" t="s">
        <v>74</v>
      </c>
      <c r="T20" t="s">
        <v>544</v>
      </c>
      <c r="U20" t="s">
        <v>545</v>
      </c>
      <c r="V20" t="s">
        <v>546</v>
      </c>
      <c r="W20" t="s">
        <v>547</v>
      </c>
      <c r="X20" t="s">
        <v>548</v>
      </c>
      <c r="Y20" t="s">
        <v>549</v>
      </c>
      <c r="Z20" t="s">
        <v>74</v>
      </c>
      <c r="AA20" t="s">
        <v>550</v>
      </c>
      <c r="AB20" t="s">
        <v>74</v>
      </c>
      <c r="AC20" t="s">
        <v>74</v>
      </c>
      <c r="AD20" t="s">
        <v>74</v>
      </c>
      <c r="AE20" t="s">
        <v>74</v>
      </c>
      <c r="AF20" t="s">
        <v>74</v>
      </c>
      <c r="AG20">
        <v>23</v>
      </c>
      <c r="AH20">
        <v>0</v>
      </c>
      <c r="AI20">
        <v>1</v>
      </c>
      <c r="AJ20">
        <v>0</v>
      </c>
      <c r="AK20">
        <v>10</v>
      </c>
      <c r="AL20" t="s">
        <v>551</v>
      </c>
      <c r="AM20" t="s">
        <v>552</v>
      </c>
      <c r="AN20" t="s">
        <v>553</v>
      </c>
      <c r="AO20" t="s">
        <v>554</v>
      </c>
      <c r="AP20" t="s">
        <v>555</v>
      </c>
      <c r="AQ20" t="s">
        <v>74</v>
      </c>
      <c r="AR20" t="s">
        <v>556</v>
      </c>
      <c r="AS20" t="s">
        <v>557</v>
      </c>
      <c r="AT20" t="s">
        <v>208</v>
      </c>
      <c r="AU20">
        <v>2018</v>
      </c>
      <c r="AV20">
        <v>24</v>
      </c>
      <c r="AW20">
        <v>1</v>
      </c>
      <c r="AX20" t="s">
        <v>74</v>
      </c>
      <c r="AY20" t="s">
        <v>74</v>
      </c>
      <c r="AZ20" t="s">
        <v>74</v>
      </c>
      <c r="BA20" t="s">
        <v>74</v>
      </c>
      <c r="BB20">
        <v>279</v>
      </c>
      <c r="BC20">
        <v>282</v>
      </c>
      <c r="BD20" t="s">
        <v>74</v>
      </c>
      <c r="BE20" t="s">
        <v>558</v>
      </c>
      <c r="BF20" t="str">
        <f>HYPERLINK("http://dx.doi.org/10.1166/asl.2018.11984","http://dx.doi.org/10.1166/asl.2018.11984")</f>
        <v>http://dx.doi.org/10.1166/asl.2018.11984</v>
      </c>
      <c r="BG20" t="s">
        <v>74</v>
      </c>
      <c r="BH20" t="s">
        <v>74</v>
      </c>
      <c r="BI20">
        <v>4</v>
      </c>
      <c r="BJ20" t="s">
        <v>559</v>
      </c>
      <c r="BK20" t="s">
        <v>156</v>
      </c>
      <c r="BL20" t="s">
        <v>560</v>
      </c>
      <c r="BM20" t="s">
        <v>561</v>
      </c>
      <c r="BN20" t="s">
        <v>74</v>
      </c>
      <c r="BO20" t="s">
        <v>74</v>
      </c>
      <c r="BP20" t="s">
        <v>74</v>
      </c>
      <c r="BQ20" t="s">
        <v>74</v>
      </c>
      <c r="BR20" t="s">
        <v>102</v>
      </c>
      <c r="BS20" t="s">
        <v>562</v>
      </c>
      <c r="BT20" t="str">
        <f>HYPERLINK("https%3A%2F%2Fwww.webofscience.com%2Fwos%2Fwoscc%2Ffull-record%2FWOS:000432354700084","View Full Record in Web of Science")</f>
        <v>View Full Record in Web of Science</v>
      </c>
    </row>
    <row r="21" spans="1:72" x14ac:dyDescent="0.25">
      <c r="A21" t="s">
        <v>72</v>
      </c>
      <c r="B21" t="s">
        <v>563</v>
      </c>
      <c r="C21" t="s">
        <v>74</v>
      </c>
      <c r="D21" t="s">
        <v>74</v>
      </c>
      <c r="E21" t="s">
        <v>74</v>
      </c>
      <c r="F21" t="s">
        <v>564</v>
      </c>
      <c r="G21" t="s">
        <v>74</v>
      </c>
      <c r="H21" t="s">
        <v>74</v>
      </c>
      <c r="I21" t="s">
        <v>565</v>
      </c>
      <c r="J21" t="s">
        <v>566</v>
      </c>
      <c r="K21" t="s">
        <v>74</v>
      </c>
      <c r="L21" t="s">
        <v>74</v>
      </c>
      <c r="M21" t="s">
        <v>78</v>
      </c>
      <c r="N21" t="s">
        <v>79</v>
      </c>
      <c r="O21" t="s">
        <v>74</v>
      </c>
      <c r="P21" t="s">
        <v>74</v>
      </c>
      <c r="Q21" t="s">
        <v>74</v>
      </c>
      <c r="R21" t="s">
        <v>74</v>
      </c>
      <c r="S21" t="s">
        <v>74</v>
      </c>
      <c r="T21" t="s">
        <v>567</v>
      </c>
      <c r="U21" t="s">
        <v>568</v>
      </c>
      <c r="V21" t="s">
        <v>569</v>
      </c>
      <c r="W21" t="s">
        <v>570</v>
      </c>
      <c r="X21" t="s">
        <v>571</v>
      </c>
      <c r="Y21" t="s">
        <v>572</v>
      </c>
      <c r="Z21" t="s">
        <v>573</v>
      </c>
      <c r="AA21" t="s">
        <v>574</v>
      </c>
      <c r="AB21" t="s">
        <v>74</v>
      </c>
      <c r="AC21" t="s">
        <v>74</v>
      </c>
      <c r="AD21" t="s">
        <v>74</v>
      </c>
      <c r="AE21" t="s">
        <v>74</v>
      </c>
      <c r="AF21" t="s">
        <v>74</v>
      </c>
      <c r="AG21">
        <v>64</v>
      </c>
      <c r="AH21">
        <v>0</v>
      </c>
      <c r="AI21">
        <v>0</v>
      </c>
      <c r="AJ21">
        <v>0</v>
      </c>
      <c r="AK21">
        <v>0</v>
      </c>
      <c r="AL21" t="s">
        <v>575</v>
      </c>
      <c r="AM21" t="s">
        <v>576</v>
      </c>
      <c r="AN21" t="s">
        <v>577</v>
      </c>
      <c r="AO21" t="s">
        <v>74</v>
      </c>
      <c r="AP21" t="s">
        <v>578</v>
      </c>
      <c r="AQ21" t="s">
        <v>74</v>
      </c>
      <c r="AR21" t="s">
        <v>579</v>
      </c>
      <c r="AS21" t="s">
        <v>580</v>
      </c>
      <c r="AT21" t="s">
        <v>581</v>
      </c>
      <c r="AU21">
        <v>2025</v>
      </c>
      <c r="AV21">
        <v>15</v>
      </c>
      <c r="AW21">
        <v>11</v>
      </c>
      <c r="AX21" t="s">
        <v>74</v>
      </c>
      <c r="AY21" t="s">
        <v>74</v>
      </c>
      <c r="AZ21" t="s">
        <v>74</v>
      </c>
      <c r="BA21" t="s">
        <v>74</v>
      </c>
      <c r="BB21" t="s">
        <v>74</v>
      </c>
      <c r="BC21" t="s">
        <v>74</v>
      </c>
      <c r="BD21">
        <v>430</v>
      </c>
      <c r="BE21" t="s">
        <v>582</v>
      </c>
      <c r="BF21" t="str">
        <f>HYPERLINK("http://dx.doi.org/10.3390/admsci15110430","http://dx.doi.org/10.3390/admsci15110430")</f>
        <v>http://dx.doi.org/10.3390/admsci15110430</v>
      </c>
      <c r="BG21" t="s">
        <v>74</v>
      </c>
      <c r="BH21" t="s">
        <v>74</v>
      </c>
      <c r="BI21">
        <v>23</v>
      </c>
      <c r="BJ21" t="s">
        <v>583</v>
      </c>
      <c r="BK21" t="s">
        <v>313</v>
      </c>
      <c r="BL21" t="s">
        <v>100</v>
      </c>
      <c r="BM21" t="s">
        <v>584</v>
      </c>
      <c r="BN21" t="s">
        <v>74</v>
      </c>
      <c r="BO21" t="s">
        <v>212</v>
      </c>
      <c r="BP21" t="s">
        <v>74</v>
      </c>
      <c r="BQ21" t="s">
        <v>74</v>
      </c>
      <c r="BR21" t="s">
        <v>102</v>
      </c>
      <c r="BS21" t="s">
        <v>585</v>
      </c>
      <c r="BT21" t="str">
        <f>HYPERLINK("https%3A%2F%2Fwww.webofscience.com%2Fwos%2Fwoscc%2Ffull-record%2FWOS:001623314400001","View Full Record in Web of Science")</f>
        <v>View Full Record in Web of Science</v>
      </c>
    </row>
    <row r="22" spans="1:72" x14ac:dyDescent="0.25">
      <c r="A22" t="s">
        <v>72</v>
      </c>
      <c r="B22" t="s">
        <v>586</v>
      </c>
      <c r="C22" t="s">
        <v>74</v>
      </c>
      <c r="D22" t="s">
        <v>74</v>
      </c>
      <c r="E22" t="s">
        <v>74</v>
      </c>
      <c r="F22" t="s">
        <v>587</v>
      </c>
      <c r="G22" t="s">
        <v>74</v>
      </c>
      <c r="H22" t="s">
        <v>74</v>
      </c>
      <c r="I22" t="s">
        <v>588</v>
      </c>
      <c r="J22" t="s">
        <v>589</v>
      </c>
      <c r="K22" t="s">
        <v>74</v>
      </c>
      <c r="L22" t="s">
        <v>74</v>
      </c>
      <c r="M22" t="s">
        <v>590</v>
      </c>
      <c r="N22" t="s">
        <v>79</v>
      </c>
      <c r="O22" t="s">
        <v>74</v>
      </c>
      <c r="P22" t="s">
        <v>74</v>
      </c>
      <c r="Q22" t="s">
        <v>74</v>
      </c>
      <c r="R22" t="s">
        <v>74</v>
      </c>
      <c r="S22" t="s">
        <v>74</v>
      </c>
      <c r="T22" t="s">
        <v>591</v>
      </c>
      <c r="U22" t="s">
        <v>74</v>
      </c>
      <c r="V22" t="s">
        <v>592</v>
      </c>
      <c r="W22" t="s">
        <v>593</v>
      </c>
      <c r="X22" t="s">
        <v>594</v>
      </c>
      <c r="Y22" t="s">
        <v>595</v>
      </c>
      <c r="Z22" t="s">
        <v>596</v>
      </c>
      <c r="AA22" t="s">
        <v>597</v>
      </c>
      <c r="AB22" t="s">
        <v>598</v>
      </c>
      <c r="AC22" t="s">
        <v>74</v>
      </c>
      <c r="AD22" t="s">
        <v>74</v>
      </c>
      <c r="AE22" t="s">
        <v>74</v>
      </c>
      <c r="AF22" t="s">
        <v>74</v>
      </c>
      <c r="AG22">
        <v>24</v>
      </c>
      <c r="AH22">
        <v>7</v>
      </c>
      <c r="AI22">
        <v>12</v>
      </c>
      <c r="AJ22">
        <v>0</v>
      </c>
      <c r="AK22">
        <v>5</v>
      </c>
      <c r="AL22" t="s">
        <v>599</v>
      </c>
      <c r="AM22" t="s">
        <v>600</v>
      </c>
      <c r="AN22" t="s">
        <v>601</v>
      </c>
      <c r="AO22" t="s">
        <v>602</v>
      </c>
      <c r="AP22" t="s">
        <v>74</v>
      </c>
      <c r="AQ22" t="s">
        <v>74</v>
      </c>
      <c r="AR22" t="s">
        <v>603</v>
      </c>
      <c r="AS22" t="s">
        <v>604</v>
      </c>
      <c r="AT22" t="s">
        <v>605</v>
      </c>
      <c r="AU22">
        <v>2018</v>
      </c>
      <c r="AV22" t="s">
        <v>74</v>
      </c>
      <c r="AW22">
        <v>3</v>
      </c>
      <c r="AX22" t="s">
        <v>74</v>
      </c>
      <c r="AY22" t="s">
        <v>74</v>
      </c>
      <c r="AZ22" t="s">
        <v>74</v>
      </c>
      <c r="BA22" t="s">
        <v>74</v>
      </c>
      <c r="BB22">
        <v>30</v>
      </c>
      <c r="BC22">
        <v>47</v>
      </c>
      <c r="BD22" t="s">
        <v>74</v>
      </c>
      <c r="BE22" t="s">
        <v>606</v>
      </c>
      <c r="BF22" t="str">
        <f>HYPERLINK("http://dx.doi.org/10.32609/0042-8736-2018-3-30-47","http://dx.doi.org/10.32609/0042-8736-2018-3-30-47")</f>
        <v>http://dx.doi.org/10.32609/0042-8736-2018-3-30-47</v>
      </c>
      <c r="BG22" t="s">
        <v>74</v>
      </c>
      <c r="BH22" t="s">
        <v>74</v>
      </c>
      <c r="BI22">
        <v>18</v>
      </c>
      <c r="BJ22" t="s">
        <v>291</v>
      </c>
      <c r="BK22" t="s">
        <v>313</v>
      </c>
      <c r="BL22" t="s">
        <v>100</v>
      </c>
      <c r="BM22" t="s">
        <v>607</v>
      </c>
      <c r="BN22" t="s">
        <v>74</v>
      </c>
      <c r="BO22" t="s">
        <v>74</v>
      </c>
      <c r="BP22" t="s">
        <v>74</v>
      </c>
      <c r="BQ22" t="s">
        <v>74</v>
      </c>
      <c r="BR22" t="s">
        <v>102</v>
      </c>
      <c r="BS22" t="s">
        <v>608</v>
      </c>
      <c r="BT22" t="str">
        <f>HYPERLINK("https%3A%2F%2Fwww.webofscience.com%2Fwos%2Fwoscc%2Ffull-record%2FWOS:000427070000002","View Full Record in Web of Science")</f>
        <v>View Full Record in Web of Science</v>
      </c>
    </row>
    <row r="23" spans="1:72" x14ac:dyDescent="0.25">
      <c r="A23" t="s">
        <v>72</v>
      </c>
      <c r="B23" t="s">
        <v>609</v>
      </c>
      <c r="C23" t="s">
        <v>74</v>
      </c>
      <c r="D23" t="s">
        <v>74</v>
      </c>
      <c r="E23" t="s">
        <v>74</v>
      </c>
      <c r="F23" t="s">
        <v>610</v>
      </c>
      <c r="G23" t="s">
        <v>74</v>
      </c>
      <c r="H23" t="s">
        <v>74</v>
      </c>
      <c r="I23" t="s">
        <v>611</v>
      </c>
      <c r="J23" t="s">
        <v>612</v>
      </c>
      <c r="K23" t="s">
        <v>74</v>
      </c>
      <c r="L23" t="s">
        <v>74</v>
      </c>
      <c r="M23" t="s">
        <v>78</v>
      </c>
      <c r="N23" t="s">
        <v>79</v>
      </c>
      <c r="O23" t="s">
        <v>74</v>
      </c>
      <c r="P23" t="s">
        <v>74</v>
      </c>
      <c r="Q23" t="s">
        <v>74</v>
      </c>
      <c r="R23" t="s">
        <v>74</v>
      </c>
      <c r="S23" t="s">
        <v>74</v>
      </c>
      <c r="T23" t="s">
        <v>613</v>
      </c>
      <c r="U23" t="s">
        <v>614</v>
      </c>
      <c r="V23" t="s">
        <v>615</v>
      </c>
      <c r="W23" t="s">
        <v>616</v>
      </c>
      <c r="X23" t="s">
        <v>617</v>
      </c>
      <c r="Y23" t="s">
        <v>618</v>
      </c>
      <c r="Z23" t="s">
        <v>619</v>
      </c>
      <c r="AA23" t="s">
        <v>74</v>
      </c>
      <c r="AB23" t="s">
        <v>74</v>
      </c>
      <c r="AC23" t="s">
        <v>74</v>
      </c>
      <c r="AD23" t="s">
        <v>74</v>
      </c>
      <c r="AE23" t="s">
        <v>74</v>
      </c>
      <c r="AF23" t="s">
        <v>74</v>
      </c>
      <c r="AG23">
        <v>54</v>
      </c>
      <c r="AH23">
        <v>0</v>
      </c>
      <c r="AI23">
        <v>0</v>
      </c>
      <c r="AJ23">
        <v>1</v>
      </c>
      <c r="AK23">
        <v>1</v>
      </c>
      <c r="AL23" t="s">
        <v>620</v>
      </c>
      <c r="AM23" t="s">
        <v>621</v>
      </c>
      <c r="AN23" t="s">
        <v>622</v>
      </c>
      <c r="AO23" t="s">
        <v>623</v>
      </c>
      <c r="AP23" t="s">
        <v>624</v>
      </c>
      <c r="AQ23" t="s">
        <v>74</v>
      </c>
      <c r="AR23" t="s">
        <v>625</v>
      </c>
      <c r="AS23" t="s">
        <v>626</v>
      </c>
      <c r="AT23" t="s">
        <v>74</v>
      </c>
      <c r="AU23">
        <v>2025</v>
      </c>
      <c r="AV23">
        <v>72</v>
      </c>
      <c r="AW23">
        <v>2</v>
      </c>
      <c r="AX23" t="s">
        <v>74</v>
      </c>
      <c r="AY23" t="s">
        <v>74</v>
      </c>
      <c r="AZ23" t="s">
        <v>74</v>
      </c>
      <c r="BA23" t="s">
        <v>74</v>
      </c>
      <c r="BB23">
        <v>315</v>
      </c>
      <c r="BC23">
        <v>336</v>
      </c>
      <c r="BD23" t="s">
        <v>74</v>
      </c>
      <c r="BE23" t="s">
        <v>627</v>
      </c>
      <c r="BF23" t="str">
        <f>HYPERLINK("http://dx.doi.org/10.47743/saeb-2025-0010","http://dx.doi.org/10.47743/saeb-2025-0010")</f>
        <v>http://dx.doi.org/10.47743/saeb-2025-0010</v>
      </c>
      <c r="BG23" t="s">
        <v>74</v>
      </c>
      <c r="BH23" t="s">
        <v>74</v>
      </c>
      <c r="BI23">
        <v>22</v>
      </c>
      <c r="BJ23" t="s">
        <v>291</v>
      </c>
      <c r="BK23" t="s">
        <v>313</v>
      </c>
      <c r="BL23" t="s">
        <v>100</v>
      </c>
      <c r="BM23" t="s">
        <v>628</v>
      </c>
      <c r="BN23" t="s">
        <v>74</v>
      </c>
      <c r="BO23" t="s">
        <v>212</v>
      </c>
      <c r="BP23" t="s">
        <v>74</v>
      </c>
      <c r="BQ23" t="s">
        <v>74</v>
      </c>
      <c r="BR23" t="s">
        <v>102</v>
      </c>
      <c r="BS23" t="s">
        <v>629</v>
      </c>
      <c r="BT23" t="str">
        <f>HYPERLINK("https%3A%2F%2Fwww.webofscience.com%2Fwos%2Fwoscc%2Ffull-record%2FWOS:001522000100008","View Full Record in Web of Science")</f>
        <v>View Full Record in Web of Science</v>
      </c>
    </row>
    <row r="24" spans="1:72" x14ac:dyDescent="0.25">
      <c r="A24" t="s">
        <v>132</v>
      </c>
      <c r="B24" t="s">
        <v>630</v>
      </c>
      <c r="C24" t="s">
        <v>74</v>
      </c>
      <c r="D24" t="s">
        <v>631</v>
      </c>
      <c r="E24" t="s">
        <v>74</v>
      </c>
      <c r="F24" t="s">
        <v>632</v>
      </c>
      <c r="G24" t="s">
        <v>74</v>
      </c>
      <c r="H24" t="s">
        <v>74</v>
      </c>
      <c r="I24" t="s">
        <v>633</v>
      </c>
      <c r="J24" t="s">
        <v>634</v>
      </c>
      <c r="K24" t="s">
        <v>74</v>
      </c>
      <c r="L24" t="s">
        <v>74</v>
      </c>
      <c r="M24" t="s">
        <v>78</v>
      </c>
      <c r="N24" t="s">
        <v>138</v>
      </c>
      <c r="O24" t="s">
        <v>635</v>
      </c>
      <c r="P24" t="s">
        <v>636</v>
      </c>
      <c r="Q24" t="s">
        <v>637</v>
      </c>
      <c r="R24" t="s">
        <v>638</v>
      </c>
      <c r="S24" t="s">
        <v>74</v>
      </c>
      <c r="T24" t="s">
        <v>639</v>
      </c>
      <c r="U24" t="s">
        <v>74</v>
      </c>
      <c r="V24" t="s">
        <v>640</v>
      </c>
      <c r="W24" t="s">
        <v>641</v>
      </c>
      <c r="X24" t="s">
        <v>74</v>
      </c>
      <c r="Y24" t="s">
        <v>642</v>
      </c>
      <c r="Z24" t="s">
        <v>643</v>
      </c>
      <c r="AA24" t="s">
        <v>74</v>
      </c>
      <c r="AB24" t="s">
        <v>644</v>
      </c>
      <c r="AC24" t="s">
        <v>74</v>
      </c>
      <c r="AD24" t="s">
        <v>74</v>
      </c>
      <c r="AE24" t="s">
        <v>74</v>
      </c>
      <c r="AF24" t="s">
        <v>74</v>
      </c>
      <c r="AG24">
        <v>9</v>
      </c>
      <c r="AH24">
        <v>1</v>
      </c>
      <c r="AI24">
        <v>1</v>
      </c>
      <c r="AJ24">
        <v>0</v>
      </c>
      <c r="AK24">
        <v>0</v>
      </c>
      <c r="AL24" t="s">
        <v>645</v>
      </c>
      <c r="AM24" t="s">
        <v>646</v>
      </c>
      <c r="AN24" t="s">
        <v>647</v>
      </c>
      <c r="AO24" t="s">
        <v>74</v>
      </c>
      <c r="AP24" t="s">
        <v>74</v>
      </c>
      <c r="AQ24" t="s">
        <v>648</v>
      </c>
      <c r="AR24" t="s">
        <v>74</v>
      </c>
      <c r="AS24" t="s">
        <v>74</v>
      </c>
      <c r="AT24" t="s">
        <v>74</v>
      </c>
      <c r="AU24">
        <v>2020</v>
      </c>
      <c r="AV24" t="s">
        <v>74</v>
      </c>
      <c r="AW24" t="s">
        <v>74</v>
      </c>
      <c r="AX24" t="s">
        <v>74</v>
      </c>
      <c r="AY24" t="s">
        <v>74</v>
      </c>
      <c r="AZ24" t="s">
        <v>74</v>
      </c>
      <c r="BA24" t="s">
        <v>74</v>
      </c>
      <c r="BB24">
        <v>16772</v>
      </c>
      <c r="BC24">
        <v>16779</v>
      </c>
      <c r="BD24" t="s">
        <v>74</v>
      </c>
      <c r="BE24" t="s">
        <v>74</v>
      </c>
      <c r="BF24" t="s">
        <v>74</v>
      </c>
      <c r="BG24" t="s">
        <v>74</v>
      </c>
      <c r="BH24" t="s">
        <v>74</v>
      </c>
      <c r="BI24">
        <v>8</v>
      </c>
      <c r="BJ24" t="s">
        <v>649</v>
      </c>
      <c r="BK24" t="s">
        <v>183</v>
      </c>
      <c r="BL24" t="s">
        <v>650</v>
      </c>
      <c r="BM24" t="s">
        <v>651</v>
      </c>
      <c r="BN24" t="s">
        <v>74</v>
      </c>
      <c r="BO24" t="s">
        <v>74</v>
      </c>
      <c r="BP24" t="s">
        <v>74</v>
      </c>
      <c r="BQ24" t="s">
        <v>74</v>
      </c>
      <c r="BR24" t="s">
        <v>102</v>
      </c>
      <c r="BS24" t="s">
        <v>652</v>
      </c>
      <c r="BT24" t="str">
        <f>HYPERLINK("https%3A%2F%2Fwww.webofscience.com%2Fwos%2Fwoscc%2Ffull-record%2FWOS:000661489807075","View Full Record in Web of Science")</f>
        <v>View Full Record in Web of Science</v>
      </c>
    </row>
    <row r="25" spans="1:72" x14ac:dyDescent="0.25">
      <c r="A25" t="s">
        <v>72</v>
      </c>
      <c r="B25" t="s">
        <v>653</v>
      </c>
      <c r="C25" t="s">
        <v>74</v>
      </c>
      <c r="D25" t="s">
        <v>74</v>
      </c>
      <c r="E25" t="s">
        <v>74</v>
      </c>
      <c r="F25" t="s">
        <v>654</v>
      </c>
      <c r="G25" t="s">
        <v>74</v>
      </c>
      <c r="H25" t="s">
        <v>74</v>
      </c>
      <c r="I25" t="s">
        <v>655</v>
      </c>
      <c r="J25" t="s">
        <v>656</v>
      </c>
      <c r="K25" t="s">
        <v>74</v>
      </c>
      <c r="L25" t="s">
        <v>74</v>
      </c>
      <c r="M25" t="s">
        <v>78</v>
      </c>
      <c r="N25" t="s">
        <v>79</v>
      </c>
      <c r="O25" t="s">
        <v>74</v>
      </c>
      <c r="P25" t="s">
        <v>74</v>
      </c>
      <c r="Q25" t="s">
        <v>74</v>
      </c>
      <c r="R25" t="s">
        <v>74</v>
      </c>
      <c r="S25" t="s">
        <v>74</v>
      </c>
      <c r="T25" t="s">
        <v>657</v>
      </c>
      <c r="U25" t="s">
        <v>658</v>
      </c>
      <c r="V25" t="s">
        <v>659</v>
      </c>
      <c r="W25" t="s">
        <v>660</v>
      </c>
      <c r="X25" t="s">
        <v>661</v>
      </c>
      <c r="Y25" t="s">
        <v>662</v>
      </c>
      <c r="Z25" t="s">
        <v>663</v>
      </c>
      <c r="AA25" t="s">
        <v>664</v>
      </c>
      <c r="AB25" t="s">
        <v>665</v>
      </c>
      <c r="AC25" t="s">
        <v>74</v>
      </c>
      <c r="AD25" t="s">
        <v>74</v>
      </c>
      <c r="AE25" t="s">
        <v>74</v>
      </c>
      <c r="AF25" t="s">
        <v>74</v>
      </c>
      <c r="AG25">
        <v>113</v>
      </c>
      <c r="AH25">
        <v>12</v>
      </c>
      <c r="AI25">
        <v>17</v>
      </c>
      <c r="AJ25">
        <v>5</v>
      </c>
      <c r="AK25">
        <v>38</v>
      </c>
      <c r="AL25" t="s">
        <v>666</v>
      </c>
      <c r="AM25" t="s">
        <v>667</v>
      </c>
      <c r="AN25" t="s">
        <v>668</v>
      </c>
      <c r="AO25" t="s">
        <v>669</v>
      </c>
      <c r="AP25" t="s">
        <v>670</v>
      </c>
      <c r="AQ25" t="s">
        <v>74</v>
      </c>
      <c r="AR25" t="s">
        <v>671</v>
      </c>
      <c r="AS25" t="s">
        <v>672</v>
      </c>
      <c r="AT25" t="s">
        <v>124</v>
      </c>
      <c r="AU25">
        <v>2022</v>
      </c>
      <c r="AV25">
        <v>43</v>
      </c>
      <c r="AW25">
        <v>4</v>
      </c>
      <c r="AX25" t="s">
        <v>74</v>
      </c>
      <c r="AY25" t="s">
        <v>74</v>
      </c>
      <c r="AZ25" t="s">
        <v>441</v>
      </c>
      <c r="BA25" t="s">
        <v>74</v>
      </c>
      <c r="BB25">
        <v>654</v>
      </c>
      <c r="BC25">
        <v>666</v>
      </c>
      <c r="BD25" t="s">
        <v>74</v>
      </c>
      <c r="BE25" t="s">
        <v>673</v>
      </c>
      <c r="BF25" t="str">
        <f>HYPERLINK("http://dx.doi.org/10.1007/s10834-022-09825-4","http://dx.doi.org/10.1007/s10834-022-09825-4")</f>
        <v>http://dx.doi.org/10.1007/s10834-022-09825-4</v>
      </c>
      <c r="BG25" t="s">
        <v>74</v>
      </c>
      <c r="BH25" t="s">
        <v>674</v>
      </c>
      <c r="BI25">
        <v>13</v>
      </c>
      <c r="BJ25" t="s">
        <v>675</v>
      </c>
      <c r="BK25" t="s">
        <v>99</v>
      </c>
      <c r="BL25" t="s">
        <v>676</v>
      </c>
      <c r="BM25" t="s">
        <v>677</v>
      </c>
      <c r="BN25">
        <v>36373053</v>
      </c>
      <c r="BO25" t="s">
        <v>678</v>
      </c>
      <c r="BP25" t="s">
        <v>74</v>
      </c>
      <c r="BQ25" t="s">
        <v>74</v>
      </c>
      <c r="BR25" t="s">
        <v>102</v>
      </c>
      <c r="BS25" t="s">
        <v>679</v>
      </c>
      <c r="BT25" t="str">
        <f>HYPERLINK("https%3A%2F%2Fwww.webofscience.com%2Fwos%2Fwoscc%2Ffull-record%2FWOS:000753816100001","View Full Record in Web of Science")</f>
        <v>View Full Record in Web of Science</v>
      </c>
    </row>
    <row r="26" spans="1:72" x14ac:dyDescent="0.25">
      <c r="A26" t="s">
        <v>72</v>
      </c>
      <c r="B26" t="s">
        <v>680</v>
      </c>
      <c r="C26" t="s">
        <v>74</v>
      </c>
      <c r="D26" t="s">
        <v>74</v>
      </c>
      <c r="E26" t="s">
        <v>74</v>
      </c>
      <c r="F26" t="s">
        <v>681</v>
      </c>
      <c r="G26" t="s">
        <v>74</v>
      </c>
      <c r="H26" t="s">
        <v>74</v>
      </c>
      <c r="I26" t="s">
        <v>682</v>
      </c>
      <c r="J26" t="s">
        <v>683</v>
      </c>
      <c r="K26" t="s">
        <v>74</v>
      </c>
      <c r="L26" t="s">
        <v>74</v>
      </c>
      <c r="M26" t="s">
        <v>78</v>
      </c>
      <c r="N26" t="s">
        <v>79</v>
      </c>
      <c r="O26" t="s">
        <v>74</v>
      </c>
      <c r="P26" t="s">
        <v>74</v>
      </c>
      <c r="Q26" t="s">
        <v>74</v>
      </c>
      <c r="R26" t="s">
        <v>74</v>
      </c>
      <c r="S26" t="s">
        <v>74</v>
      </c>
      <c r="T26" t="s">
        <v>684</v>
      </c>
      <c r="U26" t="s">
        <v>685</v>
      </c>
      <c r="V26" t="s">
        <v>686</v>
      </c>
      <c r="W26" t="s">
        <v>687</v>
      </c>
      <c r="X26" t="s">
        <v>688</v>
      </c>
      <c r="Y26" t="s">
        <v>689</v>
      </c>
      <c r="Z26" t="s">
        <v>690</v>
      </c>
      <c r="AA26" t="s">
        <v>691</v>
      </c>
      <c r="AB26" t="s">
        <v>692</v>
      </c>
      <c r="AC26" t="s">
        <v>693</v>
      </c>
      <c r="AD26" t="s">
        <v>693</v>
      </c>
      <c r="AE26" t="s">
        <v>694</v>
      </c>
      <c r="AF26" t="s">
        <v>74</v>
      </c>
      <c r="AG26">
        <v>48</v>
      </c>
      <c r="AH26">
        <v>0</v>
      </c>
      <c r="AI26">
        <v>1</v>
      </c>
      <c r="AJ26">
        <v>0</v>
      </c>
      <c r="AK26">
        <v>2</v>
      </c>
      <c r="AL26" t="s">
        <v>201</v>
      </c>
      <c r="AM26" t="s">
        <v>202</v>
      </c>
      <c r="AN26" t="s">
        <v>203</v>
      </c>
      <c r="AO26" t="s">
        <v>695</v>
      </c>
      <c r="AP26" t="s">
        <v>74</v>
      </c>
      <c r="AQ26" t="s">
        <v>74</v>
      </c>
      <c r="AR26" t="s">
        <v>696</v>
      </c>
      <c r="AS26" t="s">
        <v>697</v>
      </c>
      <c r="AT26" t="s">
        <v>698</v>
      </c>
      <c r="AU26">
        <v>2023</v>
      </c>
      <c r="AV26">
        <v>31</v>
      </c>
      <c r="AW26" t="s">
        <v>74</v>
      </c>
      <c r="AX26" t="s">
        <v>74</v>
      </c>
      <c r="AY26" t="s">
        <v>74</v>
      </c>
      <c r="AZ26" t="s">
        <v>74</v>
      </c>
      <c r="BA26" t="s">
        <v>74</v>
      </c>
      <c r="BB26" t="s">
        <v>74</v>
      </c>
      <c r="BC26" t="s">
        <v>74</v>
      </c>
      <c r="BD26">
        <v>100522</v>
      </c>
      <c r="BE26" t="s">
        <v>699</v>
      </c>
      <c r="BF26" t="str">
        <f>HYPERLINK("http://dx.doi.org/10.1016/j.wdp.2023.100522","http://dx.doi.org/10.1016/j.wdp.2023.100522")</f>
        <v>http://dx.doi.org/10.1016/j.wdp.2023.100522</v>
      </c>
      <c r="BG26" t="s">
        <v>74</v>
      </c>
      <c r="BH26" t="s">
        <v>700</v>
      </c>
      <c r="BI26">
        <v>12</v>
      </c>
      <c r="BJ26" t="s">
        <v>701</v>
      </c>
      <c r="BK26" t="s">
        <v>313</v>
      </c>
      <c r="BL26" t="s">
        <v>702</v>
      </c>
      <c r="BM26" t="s">
        <v>703</v>
      </c>
      <c r="BN26" t="s">
        <v>74</v>
      </c>
      <c r="BO26" t="s">
        <v>74</v>
      </c>
      <c r="BP26" t="s">
        <v>74</v>
      </c>
      <c r="BQ26" t="s">
        <v>74</v>
      </c>
      <c r="BR26" t="s">
        <v>102</v>
      </c>
      <c r="BS26" t="s">
        <v>704</v>
      </c>
      <c r="BT26" t="str">
        <f>HYPERLINK("https%3A%2F%2Fwww.webofscience.com%2Fwos%2Fwoscc%2Ffull-record%2FWOS:001050635900001","View Full Record in Web of Science")</f>
        <v>View Full Record in Web of Science</v>
      </c>
    </row>
    <row r="27" spans="1:72" x14ac:dyDescent="0.25">
      <c r="A27" t="s">
        <v>72</v>
      </c>
      <c r="B27" t="s">
        <v>705</v>
      </c>
      <c r="C27" t="s">
        <v>74</v>
      </c>
      <c r="D27" t="s">
        <v>74</v>
      </c>
      <c r="E27" t="s">
        <v>74</v>
      </c>
      <c r="F27" t="s">
        <v>706</v>
      </c>
      <c r="G27" t="s">
        <v>74</v>
      </c>
      <c r="H27" t="s">
        <v>74</v>
      </c>
      <c r="I27" t="s">
        <v>707</v>
      </c>
      <c r="J27" t="s">
        <v>708</v>
      </c>
      <c r="K27" t="s">
        <v>74</v>
      </c>
      <c r="L27" t="s">
        <v>74</v>
      </c>
      <c r="M27" t="s">
        <v>298</v>
      </c>
      <c r="N27" t="s">
        <v>79</v>
      </c>
      <c r="O27" t="s">
        <v>74</v>
      </c>
      <c r="P27" t="s">
        <v>74</v>
      </c>
      <c r="Q27" t="s">
        <v>74</v>
      </c>
      <c r="R27" t="s">
        <v>74</v>
      </c>
      <c r="S27" t="s">
        <v>74</v>
      </c>
      <c r="T27" t="s">
        <v>709</v>
      </c>
      <c r="U27" t="s">
        <v>74</v>
      </c>
      <c r="V27" t="s">
        <v>710</v>
      </c>
      <c r="W27" t="s">
        <v>711</v>
      </c>
      <c r="X27" t="s">
        <v>712</v>
      </c>
      <c r="Y27" t="s">
        <v>713</v>
      </c>
      <c r="Z27" t="s">
        <v>714</v>
      </c>
      <c r="AA27" t="s">
        <v>715</v>
      </c>
      <c r="AB27" t="s">
        <v>716</v>
      </c>
      <c r="AC27" t="s">
        <v>74</v>
      </c>
      <c r="AD27" t="s">
        <v>74</v>
      </c>
      <c r="AE27" t="s">
        <v>74</v>
      </c>
      <c r="AF27" t="s">
        <v>74</v>
      </c>
      <c r="AG27">
        <v>12</v>
      </c>
      <c r="AH27">
        <v>0</v>
      </c>
      <c r="AI27">
        <v>1</v>
      </c>
      <c r="AJ27">
        <v>0</v>
      </c>
      <c r="AK27">
        <v>22</v>
      </c>
      <c r="AL27" t="s">
        <v>717</v>
      </c>
      <c r="AM27" t="s">
        <v>718</v>
      </c>
      <c r="AN27" t="s">
        <v>719</v>
      </c>
      <c r="AO27" t="s">
        <v>720</v>
      </c>
      <c r="AP27" t="s">
        <v>74</v>
      </c>
      <c r="AQ27" t="s">
        <v>74</v>
      </c>
      <c r="AR27" t="s">
        <v>721</v>
      </c>
      <c r="AS27" t="s">
        <v>722</v>
      </c>
      <c r="AT27" t="s">
        <v>723</v>
      </c>
      <c r="AU27">
        <v>2017</v>
      </c>
      <c r="AV27">
        <v>5</v>
      </c>
      <c r="AW27">
        <v>10</v>
      </c>
      <c r="AX27" t="s">
        <v>74</v>
      </c>
      <c r="AY27" t="s">
        <v>74</v>
      </c>
      <c r="AZ27" t="s">
        <v>74</v>
      </c>
      <c r="BA27" t="s">
        <v>74</v>
      </c>
      <c r="BB27">
        <v>15</v>
      </c>
      <c r="BC27">
        <v>29</v>
      </c>
      <c r="BD27" t="s">
        <v>74</v>
      </c>
      <c r="BE27" t="s">
        <v>74</v>
      </c>
      <c r="BF27" t="s">
        <v>74</v>
      </c>
      <c r="BG27" t="s">
        <v>74</v>
      </c>
      <c r="BH27" t="s">
        <v>74</v>
      </c>
      <c r="BI27">
        <v>15</v>
      </c>
      <c r="BJ27" t="s">
        <v>291</v>
      </c>
      <c r="BK27" t="s">
        <v>313</v>
      </c>
      <c r="BL27" t="s">
        <v>100</v>
      </c>
      <c r="BM27" t="s">
        <v>724</v>
      </c>
      <c r="BN27" t="s">
        <v>74</v>
      </c>
      <c r="BO27" t="s">
        <v>74</v>
      </c>
      <c r="BP27" t="s">
        <v>74</v>
      </c>
      <c r="BQ27" t="s">
        <v>74</v>
      </c>
      <c r="BR27" t="s">
        <v>102</v>
      </c>
      <c r="BS27" t="s">
        <v>725</v>
      </c>
      <c r="BT27" t="str">
        <f>HYPERLINK("https%3A%2F%2Fwww.webofscience.com%2Fwos%2Fwoscc%2Ffull-record%2FWOS:000424592800002","View Full Record in Web of Science")</f>
        <v>View Full Record in Web of Science</v>
      </c>
    </row>
    <row r="28" spans="1:72" x14ac:dyDescent="0.25">
      <c r="A28" t="s">
        <v>72</v>
      </c>
      <c r="B28" t="s">
        <v>726</v>
      </c>
      <c r="C28" t="s">
        <v>74</v>
      </c>
      <c r="D28" t="s">
        <v>74</v>
      </c>
      <c r="E28" t="s">
        <v>74</v>
      </c>
      <c r="F28" t="s">
        <v>727</v>
      </c>
      <c r="G28" t="s">
        <v>74</v>
      </c>
      <c r="H28" t="s">
        <v>74</v>
      </c>
      <c r="I28" t="s">
        <v>728</v>
      </c>
      <c r="J28" t="s">
        <v>729</v>
      </c>
      <c r="K28" t="s">
        <v>74</v>
      </c>
      <c r="L28" t="s">
        <v>74</v>
      </c>
      <c r="M28" t="s">
        <v>78</v>
      </c>
      <c r="N28" t="s">
        <v>79</v>
      </c>
      <c r="O28" t="s">
        <v>74</v>
      </c>
      <c r="P28" t="s">
        <v>74</v>
      </c>
      <c r="Q28" t="s">
        <v>74</v>
      </c>
      <c r="R28" t="s">
        <v>74</v>
      </c>
      <c r="S28" t="s">
        <v>74</v>
      </c>
      <c r="T28" t="s">
        <v>730</v>
      </c>
      <c r="U28" t="s">
        <v>731</v>
      </c>
      <c r="V28" t="s">
        <v>732</v>
      </c>
      <c r="W28" t="s">
        <v>733</v>
      </c>
      <c r="X28" t="s">
        <v>734</v>
      </c>
      <c r="Y28" t="s">
        <v>735</v>
      </c>
      <c r="Z28" t="s">
        <v>736</v>
      </c>
      <c r="AA28" t="s">
        <v>737</v>
      </c>
      <c r="AB28" t="s">
        <v>738</v>
      </c>
      <c r="AC28" t="s">
        <v>74</v>
      </c>
      <c r="AD28" t="s">
        <v>74</v>
      </c>
      <c r="AE28" t="s">
        <v>74</v>
      </c>
      <c r="AF28" t="s">
        <v>74</v>
      </c>
      <c r="AG28">
        <v>38</v>
      </c>
      <c r="AH28">
        <v>6</v>
      </c>
      <c r="AI28">
        <v>6</v>
      </c>
      <c r="AJ28">
        <v>0</v>
      </c>
      <c r="AK28">
        <v>14</v>
      </c>
      <c r="AL28" t="s">
        <v>479</v>
      </c>
      <c r="AM28" t="s">
        <v>480</v>
      </c>
      <c r="AN28" t="s">
        <v>481</v>
      </c>
      <c r="AO28" t="s">
        <v>739</v>
      </c>
      <c r="AP28" t="s">
        <v>740</v>
      </c>
      <c r="AQ28" t="s">
        <v>74</v>
      </c>
      <c r="AR28" t="s">
        <v>741</v>
      </c>
      <c r="AS28" t="s">
        <v>742</v>
      </c>
      <c r="AT28" t="s">
        <v>743</v>
      </c>
      <c r="AU28">
        <v>2022</v>
      </c>
      <c r="AV28">
        <v>27</v>
      </c>
      <c r="AW28">
        <v>2</v>
      </c>
      <c r="AX28" t="s">
        <v>74</v>
      </c>
      <c r="AY28" t="s">
        <v>74</v>
      </c>
      <c r="AZ28" t="s">
        <v>74</v>
      </c>
      <c r="BA28" t="s">
        <v>74</v>
      </c>
      <c r="BB28">
        <v>2420</v>
      </c>
      <c r="BC28">
        <v>2437</v>
      </c>
      <c r="BD28" t="s">
        <v>74</v>
      </c>
      <c r="BE28" t="s">
        <v>744</v>
      </c>
      <c r="BF28" t="str">
        <f>HYPERLINK("http://dx.doi.org/10.1002/ijfe.2279","http://dx.doi.org/10.1002/ijfe.2279")</f>
        <v>http://dx.doi.org/10.1002/ijfe.2279</v>
      </c>
      <c r="BG28" t="s">
        <v>74</v>
      </c>
      <c r="BH28" t="s">
        <v>745</v>
      </c>
      <c r="BI28">
        <v>18</v>
      </c>
      <c r="BJ28" t="s">
        <v>268</v>
      </c>
      <c r="BK28" t="s">
        <v>99</v>
      </c>
      <c r="BL28" t="s">
        <v>100</v>
      </c>
      <c r="BM28" t="s">
        <v>746</v>
      </c>
      <c r="BN28" t="s">
        <v>74</v>
      </c>
      <c r="BO28" t="s">
        <v>74</v>
      </c>
      <c r="BP28" t="s">
        <v>74</v>
      </c>
      <c r="BQ28" t="s">
        <v>74</v>
      </c>
      <c r="BR28" t="s">
        <v>102</v>
      </c>
      <c r="BS28" t="s">
        <v>747</v>
      </c>
      <c r="BT28" t="str">
        <f>HYPERLINK("https%3A%2F%2Fwww.webofscience.com%2Fwos%2Fwoscc%2Ffull-record%2FWOS:000573437600001","View Full Record in Web of Science")</f>
        <v>View Full Record in Web of Science</v>
      </c>
    </row>
    <row r="29" spans="1:72" x14ac:dyDescent="0.25">
      <c r="A29" t="s">
        <v>72</v>
      </c>
      <c r="B29" t="s">
        <v>748</v>
      </c>
      <c r="C29" t="s">
        <v>74</v>
      </c>
      <c r="D29" t="s">
        <v>74</v>
      </c>
      <c r="E29" t="s">
        <v>74</v>
      </c>
      <c r="F29" t="s">
        <v>749</v>
      </c>
      <c r="G29" t="s">
        <v>74</v>
      </c>
      <c r="H29" t="s">
        <v>74</v>
      </c>
      <c r="I29" t="s">
        <v>750</v>
      </c>
      <c r="J29" t="s">
        <v>751</v>
      </c>
      <c r="K29" t="s">
        <v>74</v>
      </c>
      <c r="L29" t="s">
        <v>74</v>
      </c>
      <c r="M29" t="s">
        <v>78</v>
      </c>
      <c r="N29" t="s">
        <v>372</v>
      </c>
      <c r="O29" t="s">
        <v>74</v>
      </c>
      <c r="P29" t="s">
        <v>74</v>
      </c>
      <c r="Q29" t="s">
        <v>74</v>
      </c>
      <c r="R29" t="s">
        <v>74</v>
      </c>
      <c r="S29" t="s">
        <v>74</v>
      </c>
      <c r="T29" t="s">
        <v>752</v>
      </c>
      <c r="U29" t="s">
        <v>74</v>
      </c>
      <c r="V29" t="s">
        <v>753</v>
      </c>
      <c r="W29" t="s">
        <v>754</v>
      </c>
      <c r="X29" t="s">
        <v>74</v>
      </c>
      <c r="Y29" t="s">
        <v>755</v>
      </c>
      <c r="Z29" t="s">
        <v>756</v>
      </c>
      <c r="AA29" t="s">
        <v>74</v>
      </c>
      <c r="AB29" t="s">
        <v>74</v>
      </c>
      <c r="AC29" t="s">
        <v>74</v>
      </c>
      <c r="AD29" t="s">
        <v>74</v>
      </c>
      <c r="AE29" t="s">
        <v>74</v>
      </c>
      <c r="AF29" t="s">
        <v>74</v>
      </c>
      <c r="AG29">
        <v>24</v>
      </c>
      <c r="AH29">
        <v>4</v>
      </c>
      <c r="AI29">
        <v>5</v>
      </c>
      <c r="AJ29">
        <v>0</v>
      </c>
      <c r="AK29">
        <v>10</v>
      </c>
      <c r="AL29" t="s">
        <v>757</v>
      </c>
      <c r="AM29" t="s">
        <v>758</v>
      </c>
      <c r="AN29" t="s">
        <v>759</v>
      </c>
      <c r="AO29" t="s">
        <v>760</v>
      </c>
      <c r="AP29" t="s">
        <v>761</v>
      </c>
      <c r="AQ29" t="s">
        <v>74</v>
      </c>
      <c r="AR29" t="s">
        <v>762</v>
      </c>
      <c r="AS29" t="s">
        <v>763</v>
      </c>
      <c r="AT29" t="s">
        <v>764</v>
      </c>
      <c r="AU29">
        <v>2022</v>
      </c>
      <c r="AV29" t="s">
        <v>74</v>
      </c>
      <c r="AW29" t="s">
        <v>74</v>
      </c>
      <c r="AX29" t="s">
        <v>74</v>
      </c>
      <c r="AY29" t="s">
        <v>74</v>
      </c>
      <c r="AZ29" t="s">
        <v>74</v>
      </c>
      <c r="BA29" t="s">
        <v>74</v>
      </c>
      <c r="BB29" t="s">
        <v>74</v>
      </c>
      <c r="BC29" t="s">
        <v>74</v>
      </c>
      <c r="BD29" t="s">
        <v>765</v>
      </c>
      <c r="BE29" t="s">
        <v>766</v>
      </c>
      <c r="BF29" t="str">
        <f>HYPERLINK("http://dx.doi.org/10.1177/2455328X221082486","http://dx.doi.org/10.1177/2455328X221082486")</f>
        <v>http://dx.doi.org/10.1177/2455328X221082486</v>
      </c>
      <c r="BG29" t="s">
        <v>74</v>
      </c>
      <c r="BH29" t="s">
        <v>767</v>
      </c>
      <c r="BI29">
        <v>9</v>
      </c>
      <c r="BJ29" t="s">
        <v>364</v>
      </c>
      <c r="BK29" t="s">
        <v>313</v>
      </c>
      <c r="BL29" t="s">
        <v>365</v>
      </c>
      <c r="BM29" t="s">
        <v>768</v>
      </c>
      <c r="BN29" t="s">
        <v>74</v>
      </c>
      <c r="BO29" t="s">
        <v>74</v>
      </c>
      <c r="BP29" t="s">
        <v>74</v>
      </c>
      <c r="BQ29" t="s">
        <v>74</v>
      </c>
      <c r="BR29" t="s">
        <v>102</v>
      </c>
      <c r="BS29" t="s">
        <v>769</v>
      </c>
      <c r="BT29" t="str">
        <f>HYPERLINK("https%3A%2F%2Fwww.webofscience.com%2Fwos%2Fwoscc%2Ffull-record%2FWOS:000772811200001","View Full Record in Web of Science")</f>
        <v>View Full Record in Web of Science</v>
      </c>
    </row>
    <row r="30" spans="1:72" x14ac:dyDescent="0.25">
      <c r="A30" t="s">
        <v>132</v>
      </c>
      <c r="B30" t="s">
        <v>770</v>
      </c>
      <c r="C30" t="s">
        <v>74</v>
      </c>
      <c r="D30" t="s">
        <v>74</v>
      </c>
      <c r="E30" t="s">
        <v>771</v>
      </c>
      <c r="F30" t="s">
        <v>772</v>
      </c>
      <c r="G30" t="s">
        <v>74</v>
      </c>
      <c r="H30" t="s">
        <v>74</v>
      </c>
      <c r="I30" t="s">
        <v>773</v>
      </c>
      <c r="J30" t="s">
        <v>774</v>
      </c>
      <c r="K30" t="s">
        <v>74</v>
      </c>
      <c r="L30" t="s">
        <v>74</v>
      </c>
      <c r="M30" t="s">
        <v>78</v>
      </c>
      <c r="N30" t="s">
        <v>138</v>
      </c>
      <c r="O30" t="s">
        <v>775</v>
      </c>
      <c r="P30" t="s">
        <v>776</v>
      </c>
      <c r="Q30" t="s">
        <v>777</v>
      </c>
      <c r="R30" t="s">
        <v>74</v>
      </c>
      <c r="S30" t="s">
        <v>74</v>
      </c>
      <c r="T30" t="s">
        <v>778</v>
      </c>
      <c r="U30" t="s">
        <v>74</v>
      </c>
      <c r="V30" t="s">
        <v>779</v>
      </c>
      <c r="W30" t="s">
        <v>780</v>
      </c>
      <c r="X30" t="s">
        <v>781</v>
      </c>
      <c r="Y30" t="s">
        <v>782</v>
      </c>
      <c r="Z30" t="s">
        <v>783</v>
      </c>
      <c r="AA30" t="s">
        <v>784</v>
      </c>
      <c r="AB30" t="s">
        <v>74</v>
      </c>
      <c r="AC30" t="s">
        <v>74</v>
      </c>
      <c r="AD30" t="s">
        <v>74</v>
      </c>
      <c r="AE30" t="s">
        <v>74</v>
      </c>
      <c r="AF30" t="s">
        <v>74</v>
      </c>
      <c r="AG30">
        <v>26</v>
      </c>
      <c r="AH30">
        <v>0</v>
      </c>
      <c r="AI30">
        <v>0</v>
      </c>
      <c r="AJ30">
        <v>0</v>
      </c>
      <c r="AK30">
        <v>1</v>
      </c>
      <c r="AL30" t="s">
        <v>771</v>
      </c>
      <c r="AM30" t="s">
        <v>151</v>
      </c>
      <c r="AN30" t="s">
        <v>785</v>
      </c>
      <c r="AO30" t="s">
        <v>74</v>
      </c>
      <c r="AP30" t="s">
        <v>74</v>
      </c>
      <c r="AQ30" t="s">
        <v>786</v>
      </c>
      <c r="AR30" t="s">
        <v>74</v>
      </c>
      <c r="AS30" t="s">
        <v>74</v>
      </c>
      <c r="AT30" t="s">
        <v>74</v>
      </c>
      <c r="AU30">
        <v>2016</v>
      </c>
      <c r="AV30" t="s">
        <v>74</v>
      </c>
      <c r="AW30" t="s">
        <v>74</v>
      </c>
      <c r="AX30" t="s">
        <v>74</v>
      </c>
      <c r="AY30" t="s">
        <v>74</v>
      </c>
      <c r="AZ30" t="s">
        <v>74</v>
      </c>
      <c r="BA30" t="s">
        <v>74</v>
      </c>
      <c r="BB30" t="s">
        <v>74</v>
      </c>
      <c r="BC30" t="s">
        <v>74</v>
      </c>
      <c r="BD30" t="s">
        <v>74</v>
      </c>
      <c r="BE30" t="s">
        <v>74</v>
      </c>
      <c r="BF30" t="s">
        <v>74</v>
      </c>
      <c r="BG30" t="s">
        <v>74</v>
      </c>
      <c r="BH30" t="s">
        <v>74</v>
      </c>
      <c r="BI30">
        <v>11</v>
      </c>
      <c r="BJ30" t="s">
        <v>787</v>
      </c>
      <c r="BK30" t="s">
        <v>156</v>
      </c>
      <c r="BL30" t="s">
        <v>157</v>
      </c>
      <c r="BM30" t="s">
        <v>788</v>
      </c>
      <c r="BN30" t="s">
        <v>74</v>
      </c>
      <c r="BO30" t="s">
        <v>74</v>
      </c>
      <c r="BP30" t="s">
        <v>74</v>
      </c>
      <c r="BQ30" t="s">
        <v>74</v>
      </c>
      <c r="BR30" t="s">
        <v>102</v>
      </c>
      <c r="BS30" t="s">
        <v>789</v>
      </c>
      <c r="BT30" t="str">
        <f>HYPERLINK("https%3A%2F%2Fwww.webofscience.com%2Fwos%2Fwoscc%2Ffull-record%2FWOS:000392264700129","View Full Record in Web of Science")</f>
        <v>View Full Record in Web of Science</v>
      </c>
    </row>
    <row r="31" spans="1:72" x14ac:dyDescent="0.25">
      <c r="A31" t="s">
        <v>72</v>
      </c>
      <c r="B31" t="s">
        <v>790</v>
      </c>
      <c r="C31" t="s">
        <v>74</v>
      </c>
      <c r="D31" t="s">
        <v>74</v>
      </c>
      <c r="E31" t="s">
        <v>74</v>
      </c>
      <c r="F31" t="s">
        <v>791</v>
      </c>
      <c r="G31" t="s">
        <v>74</v>
      </c>
      <c r="H31" t="s">
        <v>74</v>
      </c>
      <c r="I31" t="s">
        <v>792</v>
      </c>
      <c r="J31" t="s">
        <v>793</v>
      </c>
      <c r="K31" t="s">
        <v>74</v>
      </c>
      <c r="L31" t="s">
        <v>74</v>
      </c>
      <c r="M31" t="s">
        <v>78</v>
      </c>
      <c r="N31" t="s">
        <v>372</v>
      </c>
      <c r="O31" t="s">
        <v>74</v>
      </c>
      <c r="P31" t="s">
        <v>74</v>
      </c>
      <c r="Q31" t="s">
        <v>74</v>
      </c>
      <c r="R31" t="s">
        <v>74</v>
      </c>
      <c r="S31" t="s">
        <v>74</v>
      </c>
      <c r="T31" t="s">
        <v>794</v>
      </c>
      <c r="U31" t="s">
        <v>795</v>
      </c>
      <c r="V31" t="s">
        <v>796</v>
      </c>
      <c r="W31" t="s">
        <v>797</v>
      </c>
      <c r="X31" t="s">
        <v>798</v>
      </c>
      <c r="Y31" t="s">
        <v>799</v>
      </c>
      <c r="Z31" t="s">
        <v>800</v>
      </c>
      <c r="AA31" t="s">
        <v>801</v>
      </c>
      <c r="AB31" t="s">
        <v>802</v>
      </c>
      <c r="AC31" t="s">
        <v>74</v>
      </c>
      <c r="AD31" t="s">
        <v>74</v>
      </c>
      <c r="AE31" t="s">
        <v>74</v>
      </c>
      <c r="AF31" t="s">
        <v>74</v>
      </c>
      <c r="AG31">
        <v>82</v>
      </c>
      <c r="AH31">
        <v>0</v>
      </c>
      <c r="AI31">
        <v>0</v>
      </c>
      <c r="AJ31">
        <v>0</v>
      </c>
      <c r="AK31">
        <v>3</v>
      </c>
      <c r="AL31" t="s">
        <v>89</v>
      </c>
      <c r="AM31" t="s">
        <v>90</v>
      </c>
      <c r="AN31" t="s">
        <v>91</v>
      </c>
      <c r="AO31" t="s">
        <v>803</v>
      </c>
      <c r="AP31" t="s">
        <v>804</v>
      </c>
      <c r="AQ31" t="s">
        <v>74</v>
      </c>
      <c r="AR31" t="s">
        <v>805</v>
      </c>
      <c r="AS31" t="s">
        <v>806</v>
      </c>
      <c r="AT31" t="s">
        <v>807</v>
      </c>
      <c r="AU31">
        <v>2024</v>
      </c>
      <c r="AV31" t="s">
        <v>74</v>
      </c>
      <c r="AW31" t="s">
        <v>74</v>
      </c>
      <c r="AX31" t="s">
        <v>74</v>
      </c>
      <c r="AY31" t="s">
        <v>74</v>
      </c>
      <c r="AZ31" t="s">
        <v>74</v>
      </c>
      <c r="BA31" t="s">
        <v>74</v>
      </c>
      <c r="BB31" t="s">
        <v>74</v>
      </c>
      <c r="BC31" t="s">
        <v>74</v>
      </c>
      <c r="BD31" t="s">
        <v>74</v>
      </c>
      <c r="BE31" t="s">
        <v>808</v>
      </c>
      <c r="BF31" t="str">
        <f>HYPERLINK("http://dx.doi.org/10.1108/JAL-07-2024-0151","http://dx.doi.org/10.1108/JAL-07-2024-0151")</f>
        <v>http://dx.doi.org/10.1108/JAL-07-2024-0151</v>
      </c>
      <c r="BG31" t="s">
        <v>74</v>
      </c>
      <c r="BH31" t="s">
        <v>809</v>
      </c>
      <c r="BI31">
        <v>26</v>
      </c>
      <c r="BJ31" t="s">
        <v>268</v>
      </c>
      <c r="BK31" t="s">
        <v>313</v>
      </c>
      <c r="BL31" t="s">
        <v>100</v>
      </c>
      <c r="BM31" t="s">
        <v>810</v>
      </c>
      <c r="BN31" t="s">
        <v>74</v>
      </c>
      <c r="BO31" t="s">
        <v>74</v>
      </c>
      <c r="BP31" t="s">
        <v>74</v>
      </c>
      <c r="BQ31" t="s">
        <v>74</v>
      </c>
      <c r="BR31" t="s">
        <v>102</v>
      </c>
      <c r="BS31" t="s">
        <v>811</v>
      </c>
      <c r="BT31" t="str">
        <f>HYPERLINK("https%3A%2F%2Fwww.webofscience.com%2Fwos%2Fwoscc%2Ffull-record%2FWOS:001369618700001","View Full Record in Web of Science")</f>
        <v>View Full Record in Web of Science</v>
      </c>
    </row>
    <row r="32" spans="1:72" x14ac:dyDescent="0.25">
      <c r="A32" t="s">
        <v>72</v>
      </c>
      <c r="B32" t="s">
        <v>812</v>
      </c>
      <c r="C32" t="s">
        <v>74</v>
      </c>
      <c r="D32" t="s">
        <v>74</v>
      </c>
      <c r="E32" t="s">
        <v>74</v>
      </c>
      <c r="F32" t="s">
        <v>813</v>
      </c>
      <c r="G32" t="s">
        <v>74</v>
      </c>
      <c r="H32" t="s">
        <v>74</v>
      </c>
      <c r="I32" t="s">
        <v>814</v>
      </c>
      <c r="J32" t="s">
        <v>815</v>
      </c>
      <c r="K32" t="s">
        <v>74</v>
      </c>
      <c r="L32" t="s">
        <v>74</v>
      </c>
      <c r="M32" t="s">
        <v>78</v>
      </c>
      <c r="N32" t="s">
        <v>372</v>
      </c>
      <c r="O32" t="s">
        <v>74</v>
      </c>
      <c r="P32" t="s">
        <v>74</v>
      </c>
      <c r="Q32" t="s">
        <v>74</v>
      </c>
      <c r="R32" t="s">
        <v>74</v>
      </c>
      <c r="S32" t="s">
        <v>74</v>
      </c>
      <c r="T32" t="s">
        <v>816</v>
      </c>
      <c r="U32" t="s">
        <v>74</v>
      </c>
      <c r="V32" t="s">
        <v>817</v>
      </c>
      <c r="W32" t="s">
        <v>818</v>
      </c>
      <c r="X32" t="s">
        <v>819</v>
      </c>
      <c r="Y32" t="s">
        <v>820</v>
      </c>
      <c r="Z32" t="s">
        <v>821</v>
      </c>
      <c r="AA32" t="s">
        <v>822</v>
      </c>
      <c r="AB32" t="s">
        <v>74</v>
      </c>
      <c r="AC32" t="s">
        <v>74</v>
      </c>
      <c r="AD32" t="s">
        <v>74</v>
      </c>
      <c r="AE32" t="s">
        <v>74</v>
      </c>
      <c r="AF32" t="s">
        <v>74</v>
      </c>
      <c r="AG32">
        <v>66</v>
      </c>
      <c r="AH32">
        <v>0</v>
      </c>
      <c r="AI32">
        <v>0</v>
      </c>
      <c r="AJ32">
        <v>2</v>
      </c>
      <c r="AK32">
        <v>2</v>
      </c>
      <c r="AL32" t="s">
        <v>823</v>
      </c>
      <c r="AM32" t="s">
        <v>333</v>
      </c>
      <c r="AN32" t="s">
        <v>824</v>
      </c>
      <c r="AO32" t="s">
        <v>825</v>
      </c>
      <c r="AP32" t="s">
        <v>826</v>
      </c>
      <c r="AQ32" t="s">
        <v>74</v>
      </c>
      <c r="AR32" t="s">
        <v>827</v>
      </c>
      <c r="AS32" t="s">
        <v>828</v>
      </c>
      <c r="AT32" t="s">
        <v>829</v>
      </c>
      <c r="AU32">
        <v>2025</v>
      </c>
      <c r="AV32" t="s">
        <v>74</v>
      </c>
      <c r="AW32" t="s">
        <v>74</v>
      </c>
      <c r="AX32" t="s">
        <v>74</v>
      </c>
      <c r="AY32" t="s">
        <v>74</v>
      </c>
      <c r="AZ32" t="s">
        <v>74</v>
      </c>
      <c r="BA32" t="s">
        <v>74</v>
      </c>
      <c r="BB32" t="s">
        <v>74</v>
      </c>
      <c r="BC32" t="s">
        <v>74</v>
      </c>
      <c r="BD32" t="s">
        <v>74</v>
      </c>
      <c r="BE32" t="s">
        <v>830</v>
      </c>
      <c r="BF32" t="str">
        <f>HYPERLINK("http://dx.doi.org/10.1080/09538259.2025.2593445","http://dx.doi.org/10.1080/09538259.2025.2593445")</f>
        <v>http://dx.doi.org/10.1080/09538259.2025.2593445</v>
      </c>
      <c r="BG32" t="s">
        <v>74</v>
      </c>
      <c r="BH32" t="s">
        <v>488</v>
      </c>
      <c r="BI32">
        <v>30</v>
      </c>
      <c r="BJ32" t="s">
        <v>291</v>
      </c>
      <c r="BK32" t="s">
        <v>313</v>
      </c>
      <c r="BL32" t="s">
        <v>100</v>
      </c>
      <c r="BM32" t="s">
        <v>831</v>
      </c>
      <c r="BN32" t="s">
        <v>74</v>
      </c>
      <c r="BO32" t="s">
        <v>74</v>
      </c>
      <c r="BP32" t="s">
        <v>74</v>
      </c>
      <c r="BQ32" t="s">
        <v>74</v>
      </c>
      <c r="BR32" t="s">
        <v>102</v>
      </c>
      <c r="BS32" t="s">
        <v>832</v>
      </c>
      <c r="BT32" t="str">
        <f>HYPERLINK("https%3A%2F%2Fwww.webofscience.com%2Fwos%2Fwoscc%2Ffull-record%2FWOS:001636325500001","View Full Record in Web of Science")</f>
        <v>View Full Record in Web of Science</v>
      </c>
    </row>
    <row r="33" spans="1:72" x14ac:dyDescent="0.25">
      <c r="A33" t="s">
        <v>72</v>
      </c>
      <c r="B33" t="s">
        <v>833</v>
      </c>
      <c r="C33" t="s">
        <v>74</v>
      </c>
      <c r="D33" t="s">
        <v>74</v>
      </c>
      <c r="E33" t="s">
        <v>74</v>
      </c>
      <c r="F33" t="s">
        <v>834</v>
      </c>
      <c r="G33" t="s">
        <v>74</v>
      </c>
      <c r="H33" t="s">
        <v>74</v>
      </c>
      <c r="I33" t="s">
        <v>835</v>
      </c>
      <c r="J33" t="s">
        <v>836</v>
      </c>
      <c r="K33" t="s">
        <v>74</v>
      </c>
      <c r="L33" t="s">
        <v>74</v>
      </c>
      <c r="M33" t="s">
        <v>78</v>
      </c>
      <c r="N33" t="s">
        <v>79</v>
      </c>
      <c r="O33" t="s">
        <v>74</v>
      </c>
      <c r="P33" t="s">
        <v>74</v>
      </c>
      <c r="Q33" t="s">
        <v>74</v>
      </c>
      <c r="R33" t="s">
        <v>74</v>
      </c>
      <c r="S33" t="s">
        <v>74</v>
      </c>
      <c r="T33" t="s">
        <v>837</v>
      </c>
      <c r="U33" t="s">
        <v>838</v>
      </c>
      <c r="V33" t="s">
        <v>839</v>
      </c>
      <c r="W33" t="s">
        <v>840</v>
      </c>
      <c r="X33" t="s">
        <v>841</v>
      </c>
      <c r="Y33" t="s">
        <v>842</v>
      </c>
      <c r="Z33" t="s">
        <v>843</v>
      </c>
      <c r="AA33" t="s">
        <v>74</v>
      </c>
      <c r="AB33" t="s">
        <v>74</v>
      </c>
      <c r="AC33" t="s">
        <v>74</v>
      </c>
      <c r="AD33" t="s">
        <v>74</v>
      </c>
      <c r="AE33" t="s">
        <v>74</v>
      </c>
      <c r="AF33" t="s">
        <v>74</v>
      </c>
      <c r="AG33">
        <v>115</v>
      </c>
      <c r="AH33">
        <v>116</v>
      </c>
      <c r="AI33">
        <v>157</v>
      </c>
      <c r="AJ33">
        <v>3</v>
      </c>
      <c r="AK33">
        <v>30</v>
      </c>
      <c r="AL33" t="s">
        <v>503</v>
      </c>
      <c r="AM33" t="s">
        <v>151</v>
      </c>
      <c r="AN33" t="s">
        <v>504</v>
      </c>
      <c r="AO33" t="s">
        <v>844</v>
      </c>
      <c r="AP33" t="s">
        <v>845</v>
      </c>
      <c r="AQ33" t="s">
        <v>74</v>
      </c>
      <c r="AR33" t="s">
        <v>846</v>
      </c>
      <c r="AS33" t="s">
        <v>847</v>
      </c>
      <c r="AT33" t="s">
        <v>848</v>
      </c>
      <c r="AU33">
        <v>2016</v>
      </c>
      <c r="AV33">
        <v>46</v>
      </c>
      <c r="AW33" t="s">
        <v>74</v>
      </c>
      <c r="AX33" t="s">
        <v>74</v>
      </c>
      <c r="AY33" t="s">
        <v>74</v>
      </c>
      <c r="AZ33" t="s">
        <v>74</v>
      </c>
      <c r="BA33" t="s">
        <v>74</v>
      </c>
      <c r="BB33">
        <v>361</v>
      </c>
      <c r="BC33">
        <v>379</v>
      </c>
      <c r="BD33" t="s">
        <v>74</v>
      </c>
      <c r="BE33" t="s">
        <v>849</v>
      </c>
      <c r="BF33" t="str">
        <f>HYPERLINK("http://dx.doi.org/10.1016/j.irfa.2015.08.014","http://dx.doi.org/10.1016/j.irfa.2015.08.014")</f>
        <v>http://dx.doi.org/10.1016/j.irfa.2015.08.014</v>
      </c>
      <c r="BG33" t="s">
        <v>74</v>
      </c>
      <c r="BH33" t="s">
        <v>74</v>
      </c>
      <c r="BI33">
        <v>19</v>
      </c>
      <c r="BJ33" t="s">
        <v>268</v>
      </c>
      <c r="BK33" t="s">
        <v>99</v>
      </c>
      <c r="BL33" t="s">
        <v>100</v>
      </c>
      <c r="BM33" t="s">
        <v>850</v>
      </c>
      <c r="BN33" t="s">
        <v>74</v>
      </c>
      <c r="BO33" t="s">
        <v>270</v>
      </c>
      <c r="BP33" t="s">
        <v>74</v>
      </c>
      <c r="BQ33" t="s">
        <v>74</v>
      </c>
      <c r="BR33" t="s">
        <v>102</v>
      </c>
      <c r="BS33" t="s">
        <v>851</v>
      </c>
      <c r="BT33" t="str">
        <f>HYPERLINK("https%3A%2F%2Fwww.webofscience.com%2Fwos%2Fwoscc%2Ffull-record%2FWOS:000378861700031","View Full Record in Web of Science")</f>
        <v>View Full Record in Web of Science</v>
      </c>
    </row>
    <row r="34" spans="1:72" x14ac:dyDescent="0.25">
      <c r="A34" t="s">
        <v>72</v>
      </c>
      <c r="B34" t="s">
        <v>852</v>
      </c>
      <c r="C34" t="s">
        <v>74</v>
      </c>
      <c r="D34" t="s">
        <v>74</v>
      </c>
      <c r="E34" t="s">
        <v>74</v>
      </c>
      <c r="F34" t="s">
        <v>853</v>
      </c>
      <c r="G34" t="s">
        <v>74</v>
      </c>
      <c r="H34" t="s">
        <v>74</v>
      </c>
      <c r="I34" t="s">
        <v>854</v>
      </c>
      <c r="J34" t="s">
        <v>855</v>
      </c>
      <c r="K34" t="s">
        <v>74</v>
      </c>
      <c r="L34" t="s">
        <v>74</v>
      </c>
      <c r="M34" t="s">
        <v>78</v>
      </c>
      <c r="N34" t="s">
        <v>79</v>
      </c>
      <c r="O34" t="s">
        <v>74</v>
      </c>
      <c r="P34" t="s">
        <v>74</v>
      </c>
      <c r="Q34" t="s">
        <v>74</v>
      </c>
      <c r="R34" t="s">
        <v>74</v>
      </c>
      <c r="S34" t="s">
        <v>74</v>
      </c>
      <c r="T34" t="s">
        <v>856</v>
      </c>
      <c r="U34" t="s">
        <v>74</v>
      </c>
      <c r="V34" t="s">
        <v>857</v>
      </c>
      <c r="W34" t="s">
        <v>858</v>
      </c>
      <c r="X34" t="s">
        <v>859</v>
      </c>
      <c r="Y34" t="s">
        <v>860</v>
      </c>
      <c r="Z34" t="s">
        <v>74</v>
      </c>
      <c r="AA34" t="s">
        <v>74</v>
      </c>
      <c r="AB34" t="s">
        <v>861</v>
      </c>
      <c r="AC34" t="s">
        <v>74</v>
      </c>
      <c r="AD34" t="s">
        <v>74</v>
      </c>
      <c r="AE34" t="s">
        <v>74</v>
      </c>
      <c r="AF34" t="s">
        <v>74</v>
      </c>
      <c r="AG34">
        <v>4</v>
      </c>
      <c r="AH34">
        <v>0</v>
      </c>
      <c r="AI34">
        <v>0</v>
      </c>
      <c r="AJ34">
        <v>0</v>
      </c>
      <c r="AK34">
        <v>4</v>
      </c>
      <c r="AL34" t="s">
        <v>862</v>
      </c>
      <c r="AM34" t="s">
        <v>863</v>
      </c>
      <c r="AN34" t="s">
        <v>864</v>
      </c>
      <c r="AO34" t="s">
        <v>865</v>
      </c>
      <c r="AP34" t="s">
        <v>866</v>
      </c>
      <c r="AQ34" t="s">
        <v>74</v>
      </c>
      <c r="AR34" t="s">
        <v>867</v>
      </c>
      <c r="AS34" t="s">
        <v>867</v>
      </c>
      <c r="AT34" t="s">
        <v>868</v>
      </c>
      <c r="AU34">
        <v>2022</v>
      </c>
      <c r="AV34">
        <v>45</v>
      </c>
      <c r="AW34" t="s">
        <v>74</v>
      </c>
      <c r="AX34" t="s">
        <v>74</v>
      </c>
      <c r="AY34" t="s">
        <v>74</v>
      </c>
      <c r="AZ34" t="s">
        <v>74</v>
      </c>
      <c r="BA34" t="s">
        <v>74</v>
      </c>
      <c r="BB34">
        <v>165</v>
      </c>
      <c r="BC34">
        <v>174</v>
      </c>
      <c r="BD34" t="s">
        <v>74</v>
      </c>
      <c r="BE34" t="s">
        <v>869</v>
      </c>
      <c r="BF34" t="str">
        <f>HYPERLINK("http://dx.doi.org/10.3138/topia-2022-0033","http://dx.doi.org/10.3138/topia-2022-0033")</f>
        <v>http://dx.doi.org/10.3138/topia-2022-0033</v>
      </c>
      <c r="BG34" t="s">
        <v>74</v>
      </c>
      <c r="BH34" t="s">
        <v>74</v>
      </c>
      <c r="BI34">
        <v>10</v>
      </c>
      <c r="BJ34" t="s">
        <v>870</v>
      </c>
      <c r="BK34" t="s">
        <v>871</v>
      </c>
      <c r="BL34" t="s">
        <v>870</v>
      </c>
      <c r="BM34" t="s">
        <v>872</v>
      </c>
      <c r="BN34" t="s">
        <v>74</v>
      </c>
      <c r="BO34" t="s">
        <v>74</v>
      </c>
      <c r="BP34" t="s">
        <v>74</v>
      </c>
      <c r="BQ34" t="s">
        <v>74</v>
      </c>
      <c r="BR34" t="s">
        <v>102</v>
      </c>
      <c r="BS34" t="s">
        <v>873</v>
      </c>
      <c r="BT34" t="str">
        <f>HYPERLINK("https%3A%2F%2Fwww.webofscience.com%2Fwos%2Fwoscc%2Ffull-record%2FWOS:000864854300007","View Full Record in Web of Science")</f>
        <v>View Full Record in Web of Science</v>
      </c>
    </row>
    <row r="35" spans="1:72" x14ac:dyDescent="0.25">
      <c r="A35" t="s">
        <v>72</v>
      </c>
      <c r="B35" t="s">
        <v>874</v>
      </c>
      <c r="C35" t="s">
        <v>74</v>
      </c>
      <c r="D35" t="s">
        <v>74</v>
      </c>
      <c r="E35" t="s">
        <v>74</v>
      </c>
      <c r="F35" t="s">
        <v>875</v>
      </c>
      <c r="G35" t="s">
        <v>74</v>
      </c>
      <c r="H35" t="s">
        <v>74</v>
      </c>
      <c r="I35" t="s">
        <v>876</v>
      </c>
      <c r="J35" t="s">
        <v>877</v>
      </c>
      <c r="K35" t="s">
        <v>74</v>
      </c>
      <c r="L35" t="s">
        <v>74</v>
      </c>
      <c r="M35" t="s">
        <v>78</v>
      </c>
      <c r="N35" t="s">
        <v>79</v>
      </c>
      <c r="O35" t="s">
        <v>74</v>
      </c>
      <c r="P35" t="s">
        <v>74</v>
      </c>
      <c r="Q35" t="s">
        <v>74</v>
      </c>
      <c r="R35" t="s">
        <v>74</v>
      </c>
      <c r="S35" t="s">
        <v>74</v>
      </c>
      <c r="T35" t="s">
        <v>878</v>
      </c>
      <c r="U35" t="s">
        <v>74</v>
      </c>
      <c r="V35" t="s">
        <v>879</v>
      </c>
      <c r="W35" t="s">
        <v>880</v>
      </c>
      <c r="X35" t="s">
        <v>881</v>
      </c>
      <c r="Y35" t="s">
        <v>882</v>
      </c>
      <c r="Z35" t="s">
        <v>883</v>
      </c>
      <c r="AA35" t="s">
        <v>74</v>
      </c>
      <c r="AB35" t="s">
        <v>74</v>
      </c>
      <c r="AC35" t="s">
        <v>74</v>
      </c>
      <c r="AD35" t="s">
        <v>74</v>
      </c>
      <c r="AE35" t="s">
        <v>74</v>
      </c>
      <c r="AF35" t="s">
        <v>74</v>
      </c>
      <c r="AG35">
        <v>15</v>
      </c>
      <c r="AH35">
        <v>2</v>
      </c>
      <c r="AI35">
        <v>3</v>
      </c>
      <c r="AJ35">
        <v>1</v>
      </c>
      <c r="AK35">
        <v>10</v>
      </c>
      <c r="AL35" t="s">
        <v>884</v>
      </c>
      <c r="AM35" t="s">
        <v>885</v>
      </c>
      <c r="AN35" t="s">
        <v>886</v>
      </c>
      <c r="AO35" t="s">
        <v>887</v>
      </c>
      <c r="AP35" t="s">
        <v>888</v>
      </c>
      <c r="AQ35" t="s">
        <v>74</v>
      </c>
      <c r="AR35" t="s">
        <v>889</v>
      </c>
      <c r="AS35" t="s">
        <v>890</v>
      </c>
      <c r="AT35" t="s">
        <v>891</v>
      </c>
      <c r="AU35">
        <v>2021</v>
      </c>
      <c r="AV35">
        <v>8</v>
      </c>
      <c r="AW35">
        <v>11</v>
      </c>
      <c r="AX35" t="s">
        <v>74</v>
      </c>
      <c r="AY35" t="s">
        <v>74</v>
      </c>
      <c r="AZ35" t="s">
        <v>74</v>
      </c>
      <c r="BA35" t="s">
        <v>74</v>
      </c>
      <c r="BB35">
        <v>97</v>
      </c>
      <c r="BC35">
        <v>106</v>
      </c>
      <c r="BD35" t="s">
        <v>74</v>
      </c>
      <c r="BE35" t="s">
        <v>892</v>
      </c>
      <c r="BF35" t="str">
        <f>HYPERLINK("http://dx.doi.org/10.13106/jafeb.2021.vol8.no11.0097","http://dx.doi.org/10.13106/jafeb.2021.vol8.no11.0097")</f>
        <v>http://dx.doi.org/10.13106/jafeb.2021.vol8.no11.0097</v>
      </c>
      <c r="BG35" t="s">
        <v>74</v>
      </c>
      <c r="BH35" t="s">
        <v>74</v>
      </c>
      <c r="BI35">
        <v>10</v>
      </c>
      <c r="BJ35" t="s">
        <v>418</v>
      </c>
      <c r="BK35" t="s">
        <v>313</v>
      </c>
      <c r="BL35" t="s">
        <v>100</v>
      </c>
      <c r="BM35" t="s">
        <v>893</v>
      </c>
      <c r="BN35" t="s">
        <v>74</v>
      </c>
      <c r="BO35" t="s">
        <v>74</v>
      </c>
      <c r="BP35" t="s">
        <v>74</v>
      </c>
      <c r="BQ35" t="s">
        <v>74</v>
      </c>
      <c r="BR35" t="s">
        <v>102</v>
      </c>
      <c r="BS35" t="s">
        <v>894</v>
      </c>
      <c r="BT35" t="str">
        <f>HYPERLINK("https%3A%2F%2Fwww.webofscience.com%2Fwos%2Fwoscc%2Ffull-record%2FWOS:000717614500011","View Full Record in Web of Science")</f>
        <v>View Full Record in Web of Science</v>
      </c>
    </row>
    <row r="36" spans="1:72" x14ac:dyDescent="0.25">
      <c r="A36" t="s">
        <v>72</v>
      </c>
      <c r="B36" t="s">
        <v>895</v>
      </c>
      <c r="C36" t="s">
        <v>74</v>
      </c>
      <c r="D36" t="s">
        <v>74</v>
      </c>
      <c r="E36" t="s">
        <v>74</v>
      </c>
      <c r="F36" t="s">
        <v>896</v>
      </c>
      <c r="G36" t="s">
        <v>74</v>
      </c>
      <c r="H36" t="s">
        <v>74</v>
      </c>
      <c r="I36" t="s">
        <v>897</v>
      </c>
      <c r="J36" t="s">
        <v>898</v>
      </c>
      <c r="K36" t="s">
        <v>74</v>
      </c>
      <c r="L36" t="s">
        <v>74</v>
      </c>
      <c r="M36" t="s">
        <v>78</v>
      </c>
      <c r="N36" t="s">
        <v>79</v>
      </c>
      <c r="O36" t="s">
        <v>74</v>
      </c>
      <c r="P36" t="s">
        <v>74</v>
      </c>
      <c r="Q36" t="s">
        <v>74</v>
      </c>
      <c r="R36" t="s">
        <v>74</v>
      </c>
      <c r="S36" t="s">
        <v>74</v>
      </c>
      <c r="T36" t="s">
        <v>899</v>
      </c>
      <c r="U36" t="s">
        <v>900</v>
      </c>
      <c r="V36" t="s">
        <v>901</v>
      </c>
      <c r="W36" t="s">
        <v>902</v>
      </c>
      <c r="X36" t="s">
        <v>903</v>
      </c>
      <c r="Y36" t="s">
        <v>904</v>
      </c>
      <c r="Z36" t="s">
        <v>905</v>
      </c>
      <c r="AA36" t="s">
        <v>74</v>
      </c>
      <c r="AB36" t="s">
        <v>906</v>
      </c>
      <c r="AC36" t="s">
        <v>74</v>
      </c>
      <c r="AD36" t="s">
        <v>74</v>
      </c>
      <c r="AE36" t="s">
        <v>74</v>
      </c>
      <c r="AF36" t="s">
        <v>74</v>
      </c>
      <c r="AG36">
        <v>86</v>
      </c>
      <c r="AH36">
        <v>26</v>
      </c>
      <c r="AI36">
        <v>36</v>
      </c>
      <c r="AJ36">
        <v>8</v>
      </c>
      <c r="AK36">
        <v>77</v>
      </c>
      <c r="AL36" t="s">
        <v>907</v>
      </c>
      <c r="AM36" t="s">
        <v>908</v>
      </c>
      <c r="AN36" t="s">
        <v>909</v>
      </c>
      <c r="AO36" t="s">
        <v>910</v>
      </c>
      <c r="AP36" t="s">
        <v>911</v>
      </c>
      <c r="AQ36" t="s">
        <v>74</v>
      </c>
      <c r="AR36" t="s">
        <v>912</v>
      </c>
      <c r="AS36" t="s">
        <v>913</v>
      </c>
      <c r="AT36" t="s">
        <v>74</v>
      </c>
      <c r="AU36">
        <v>2022</v>
      </c>
      <c r="AV36">
        <v>18</v>
      </c>
      <c r="AW36">
        <v>1</v>
      </c>
      <c r="AX36" t="s">
        <v>74</v>
      </c>
      <c r="AY36" t="s">
        <v>74</v>
      </c>
      <c r="AZ36" t="s">
        <v>74</v>
      </c>
      <c r="BA36" t="s">
        <v>74</v>
      </c>
      <c r="BB36">
        <v>7</v>
      </c>
      <c r="BC36">
        <v>34</v>
      </c>
      <c r="BD36" t="s">
        <v>74</v>
      </c>
      <c r="BE36" t="s">
        <v>914</v>
      </c>
      <c r="BF36" t="str">
        <f>HYPERLINK("http://dx.doi.org/10.7341/20221811","http://dx.doi.org/10.7341/20221811")</f>
        <v>http://dx.doi.org/10.7341/20221811</v>
      </c>
      <c r="BG36" t="s">
        <v>74</v>
      </c>
      <c r="BH36" t="s">
        <v>74</v>
      </c>
      <c r="BI36">
        <v>28</v>
      </c>
      <c r="BJ36" t="s">
        <v>418</v>
      </c>
      <c r="BK36" t="s">
        <v>313</v>
      </c>
      <c r="BL36" t="s">
        <v>100</v>
      </c>
      <c r="BM36" t="s">
        <v>915</v>
      </c>
      <c r="BN36" t="s">
        <v>74</v>
      </c>
      <c r="BO36" t="s">
        <v>916</v>
      </c>
      <c r="BP36" t="s">
        <v>74</v>
      </c>
      <c r="BQ36" t="s">
        <v>74</v>
      </c>
      <c r="BR36" t="s">
        <v>102</v>
      </c>
      <c r="BS36" t="s">
        <v>917</v>
      </c>
      <c r="BT36" t="str">
        <f>HYPERLINK("https%3A%2F%2Fwww.webofscience.com%2Fwos%2Fwoscc%2Ffull-record%2FWOS:000772632700001","View Full Record in Web of Science")</f>
        <v>View Full Record in Web of Science</v>
      </c>
    </row>
    <row r="37" spans="1:72" x14ac:dyDescent="0.25">
      <c r="A37" t="s">
        <v>72</v>
      </c>
      <c r="B37" t="s">
        <v>918</v>
      </c>
      <c r="C37" t="s">
        <v>74</v>
      </c>
      <c r="D37" t="s">
        <v>74</v>
      </c>
      <c r="E37" t="s">
        <v>74</v>
      </c>
      <c r="F37" t="s">
        <v>919</v>
      </c>
      <c r="G37" t="s">
        <v>74</v>
      </c>
      <c r="H37" t="s">
        <v>74</v>
      </c>
      <c r="I37" t="s">
        <v>920</v>
      </c>
      <c r="J37" t="s">
        <v>921</v>
      </c>
      <c r="K37" t="s">
        <v>74</v>
      </c>
      <c r="L37" t="s">
        <v>74</v>
      </c>
      <c r="M37" t="s">
        <v>78</v>
      </c>
      <c r="N37" t="s">
        <v>79</v>
      </c>
      <c r="O37" t="s">
        <v>74</v>
      </c>
      <c r="P37" t="s">
        <v>74</v>
      </c>
      <c r="Q37" t="s">
        <v>74</v>
      </c>
      <c r="R37" t="s">
        <v>74</v>
      </c>
      <c r="S37" t="s">
        <v>74</v>
      </c>
      <c r="T37" t="s">
        <v>922</v>
      </c>
      <c r="U37" t="s">
        <v>923</v>
      </c>
      <c r="V37" t="s">
        <v>924</v>
      </c>
      <c r="W37" t="s">
        <v>925</v>
      </c>
      <c r="X37" t="s">
        <v>926</v>
      </c>
      <c r="Y37" t="s">
        <v>927</v>
      </c>
      <c r="Z37" t="s">
        <v>928</v>
      </c>
      <c r="AA37" t="s">
        <v>74</v>
      </c>
      <c r="AB37" t="s">
        <v>74</v>
      </c>
      <c r="AC37" t="s">
        <v>929</v>
      </c>
      <c r="AD37" t="s">
        <v>930</v>
      </c>
      <c r="AE37" t="s">
        <v>931</v>
      </c>
      <c r="AF37" t="s">
        <v>74</v>
      </c>
      <c r="AG37">
        <v>42</v>
      </c>
      <c r="AH37">
        <v>4</v>
      </c>
      <c r="AI37">
        <v>5</v>
      </c>
      <c r="AJ37">
        <v>2</v>
      </c>
      <c r="AK37">
        <v>4</v>
      </c>
      <c r="AL37" t="s">
        <v>332</v>
      </c>
      <c r="AM37" t="s">
        <v>333</v>
      </c>
      <c r="AN37" t="s">
        <v>334</v>
      </c>
      <c r="AO37" t="s">
        <v>932</v>
      </c>
      <c r="AP37" t="s">
        <v>933</v>
      </c>
      <c r="AQ37" t="s">
        <v>74</v>
      </c>
      <c r="AR37" t="s">
        <v>934</v>
      </c>
      <c r="AS37" t="s">
        <v>935</v>
      </c>
      <c r="AT37" t="s">
        <v>936</v>
      </c>
      <c r="AU37">
        <v>2024</v>
      </c>
      <c r="AV37">
        <v>17</v>
      </c>
      <c r="AW37">
        <v>2</v>
      </c>
      <c r="AX37" t="s">
        <v>74</v>
      </c>
      <c r="AY37" t="s">
        <v>74</v>
      </c>
      <c r="AZ37" t="s">
        <v>441</v>
      </c>
      <c r="BA37" t="s">
        <v>74</v>
      </c>
      <c r="BB37">
        <v>300</v>
      </c>
      <c r="BC37">
        <v>321</v>
      </c>
      <c r="BD37" t="s">
        <v>74</v>
      </c>
      <c r="BE37" t="s">
        <v>937</v>
      </c>
      <c r="BF37" t="str">
        <f>HYPERLINK("http://dx.doi.org/10.1080/17538963.2024.2345537","http://dx.doi.org/10.1080/17538963.2024.2345537")</f>
        <v>http://dx.doi.org/10.1080/17538963.2024.2345537</v>
      </c>
      <c r="BG37" t="s">
        <v>74</v>
      </c>
      <c r="BH37" t="s">
        <v>938</v>
      </c>
      <c r="BI37">
        <v>22</v>
      </c>
      <c r="BJ37" t="s">
        <v>291</v>
      </c>
      <c r="BK37" t="s">
        <v>313</v>
      </c>
      <c r="BL37" t="s">
        <v>100</v>
      </c>
      <c r="BM37" t="s">
        <v>939</v>
      </c>
      <c r="BN37" t="s">
        <v>74</v>
      </c>
      <c r="BO37" t="s">
        <v>74</v>
      </c>
      <c r="BP37" t="s">
        <v>74</v>
      </c>
      <c r="BQ37" t="s">
        <v>74</v>
      </c>
      <c r="BR37" t="s">
        <v>102</v>
      </c>
      <c r="BS37" t="s">
        <v>940</v>
      </c>
      <c r="BT37" t="str">
        <f>HYPERLINK("https%3A%2F%2Fwww.webofscience.com%2Fwos%2Fwoscc%2Ffull-record%2FWOS:001207024000001","View Full Record in Web of Science")</f>
        <v>View Full Record in Web of Science</v>
      </c>
    </row>
    <row r="38" spans="1:72" x14ac:dyDescent="0.25">
      <c r="A38" t="s">
        <v>72</v>
      </c>
      <c r="B38" t="s">
        <v>941</v>
      </c>
      <c r="C38" t="s">
        <v>74</v>
      </c>
      <c r="D38" t="s">
        <v>74</v>
      </c>
      <c r="E38" t="s">
        <v>74</v>
      </c>
      <c r="F38" t="s">
        <v>942</v>
      </c>
      <c r="G38" t="s">
        <v>74</v>
      </c>
      <c r="H38" t="s">
        <v>74</v>
      </c>
      <c r="I38" t="s">
        <v>943</v>
      </c>
      <c r="J38" t="s">
        <v>944</v>
      </c>
      <c r="K38" t="s">
        <v>74</v>
      </c>
      <c r="L38" t="s">
        <v>74</v>
      </c>
      <c r="M38" t="s">
        <v>78</v>
      </c>
      <c r="N38" t="s">
        <v>79</v>
      </c>
      <c r="O38" t="s">
        <v>74</v>
      </c>
      <c r="P38" t="s">
        <v>74</v>
      </c>
      <c r="Q38" t="s">
        <v>74</v>
      </c>
      <c r="R38" t="s">
        <v>74</v>
      </c>
      <c r="S38" t="s">
        <v>74</v>
      </c>
      <c r="T38" t="s">
        <v>945</v>
      </c>
      <c r="U38" t="s">
        <v>946</v>
      </c>
      <c r="V38" t="s">
        <v>947</v>
      </c>
      <c r="W38" t="s">
        <v>948</v>
      </c>
      <c r="X38" t="s">
        <v>949</v>
      </c>
      <c r="Y38" t="s">
        <v>950</v>
      </c>
      <c r="Z38" t="s">
        <v>951</v>
      </c>
      <c r="AA38" t="s">
        <v>952</v>
      </c>
      <c r="AB38" t="s">
        <v>953</v>
      </c>
      <c r="AC38" t="s">
        <v>74</v>
      </c>
      <c r="AD38" t="s">
        <v>74</v>
      </c>
      <c r="AE38" t="s">
        <v>74</v>
      </c>
      <c r="AF38" t="s">
        <v>74</v>
      </c>
      <c r="AG38">
        <v>36</v>
      </c>
      <c r="AH38">
        <v>10</v>
      </c>
      <c r="AI38">
        <v>12</v>
      </c>
      <c r="AJ38">
        <v>1</v>
      </c>
      <c r="AK38">
        <v>15</v>
      </c>
      <c r="AL38" t="s">
        <v>332</v>
      </c>
      <c r="AM38" t="s">
        <v>333</v>
      </c>
      <c r="AN38" t="s">
        <v>334</v>
      </c>
      <c r="AO38" t="s">
        <v>954</v>
      </c>
      <c r="AP38" t="s">
        <v>955</v>
      </c>
      <c r="AQ38" t="s">
        <v>74</v>
      </c>
      <c r="AR38" t="s">
        <v>956</v>
      </c>
      <c r="AS38" t="s">
        <v>957</v>
      </c>
      <c r="AT38" t="s">
        <v>958</v>
      </c>
      <c r="AU38">
        <v>2020</v>
      </c>
      <c r="AV38">
        <v>22</v>
      </c>
      <c r="AW38">
        <v>3</v>
      </c>
      <c r="AX38" t="s">
        <v>74</v>
      </c>
      <c r="AY38" t="s">
        <v>74</v>
      </c>
      <c r="AZ38" t="s">
        <v>74</v>
      </c>
      <c r="BA38" t="s">
        <v>74</v>
      </c>
      <c r="BB38">
        <v>239</v>
      </c>
      <c r="BC38">
        <v>259</v>
      </c>
      <c r="BD38" t="s">
        <v>74</v>
      </c>
      <c r="BE38" t="s">
        <v>959</v>
      </c>
      <c r="BF38" t="str">
        <f>HYPERLINK("http://dx.doi.org/10.1080/13691066.2020.1771826","http://dx.doi.org/10.1080/13691066.2020.1771826")</f>
        <v>http://dx.doi.org/10.1080/13691066.2020.1771826</v>
      </c>
      <c r="BG38" t="s">
        <v>74</v>
      </c>
      <c r="BH38" t="s">
        <v>960</v>
      </c>
      <c r="BI38">
        <v>21</v>
      </c>
      <c r="BJ38" t="s">
        <v>268</v>
      </c>
      <c r="BK38" t="s">
        <v>99</v>
      </c>
      <c r="BL38" t="s">
        <v>100</v>
      </c>
      <c r="BM38" t="s">
        <v>961</v>
      </c>
      <c r="BN38" t="s">
        <v>74</v>
      </c>
      <c r="BO38" t="s">
        <v>74</v>
      </c>
      <c r="BP38" t="s">
        <v>74</v>
      </c>
      <c r="BQ38" t="s">
        <v>74</v>
      </c>
      <c r="BR38" t="s">
        <v>102</v>
      </c>
      <c r="BS38" t="s">
        <v>962</v>
      </c>
      <c r="BT38" t="str">
        <f>HYPERLINK("https%3A%2F%2Fwww.webofscience.com%2Fwos%2Fwoscc%2Ffull-record%2FWOS:000544407200001","View Full Record in Web of Science")</f>
        <v>View Full Record in Web of Science</v>
      </c>
    </row>
    <row r="39" spans="1:72" x14ac:dyDescent="0.25">
      <c r="A39" t="s">
        <v>132</v>
      </c>
      <c r="B39" t="s">
        <v>963</v>
      </c>
      <c r="C39" t="s">
        <v>74</v>
      </c>
      <c r="D39" t="s">
        <v>964</v>
      </c>
      <c r="E39" t="s">
        <v>74</v>
      </c>
      <c r="F39" t="s">
        <v>965</v>
      </c>
      <c r="G39" t="s">
        <v>74</v>
      </c>
      <c r="H39" t="s">
        <v>74</v>
      </c>
      <c r="I39" t="s">
        <v>966</v>
      </c>
      <c r="J39" t="s">
        <v>967</v>
      </c>
      <c r="K39" t="s">
        <v>74</v>
      </c>
      <c r="L39" t="s">
        <v>74</v>
      </c>
      <c r="M39" t="s">
        <v>78</v>
      </c>
      <c r="N39" t="s">
        <v>138</v>
      </c>
      <c r="O39" t="s">
        <v>968</v>
      </c>
      <c r="P39" t="s">
        <v>969</v>
      </c>
      <c r="Q39" t="s">
        <v>970</v>
      </c>
      <c r="R39" t="s">
        <v>971</v>
      </c>
      <c r="S39" t="s">
        <v>74</v>
      </c>
      <c r="T39" t="s">
        <v>972</v>
      </c>
      <c r="U39" t="s">
        <v>74</v>
      </c>
      <c r="V39" t="s">
        <v>973</v>
      </c>
      <c r="W39" t="s">
        <v>974</v>
      </c>
      <c r="X39" t="s">
        <v>975</v>
      </c>
      <c r="Y39" t="s">
        <v>976</v>
      </c>
      <c r="Z39" t="s">
        <v>977</v>
      </c>
      <c r="AA39" t="s">
        <v>74</v>
      </c>
      <c r="AB39" t="s">
        <v>74</v>
      </c>
      <c r="AC39" t="s">
        <v>74</v>
      </c>
      <c r="AD39" t="s">
        <v>74</v>
      </c>
      <c r="AE39" t="s">
        <v>74</v>
      </c>
      <c r="AF39" t="s">
        <v>74</v>
      </c>
      <c r="AG39">
        <v>18</v>
      </c>
      <c r="AH39">
        <v>2</v>
      </c>
      <c r="AI39">
        <v>8</v>
      </c>
      <c r="AJ39">
        <v>0</v>
      </c>
      <c r="AK39">
        <v>3</v>
      </c>
      <c r="AL39" t="s">
        <v>771</v>
      </c>
      <c r="AM39" t="s">
        <v>151</v>
      </c>
      <c r="AN39" t="s">
        <v>785</v>
      </c>
      <c r="AO39" t="s">
        <v>74</v>
      </c>
      <c r="AP39" t="s">
        <v>74</v>
      </c>
      <c r="AQ39" t="s">
        <v>978</v>
      </c>
      <c r="AR39" t="s">
        <v>74</v>
      </c>
      <c r="AS39" t="s">
        <v>74</v>
      </c>
      <c r="AT39" t="s">
        <v>74</v>
      </c>
      <c r="AU39">
        <v>2014</v>
      </c>
      <c r="AV39" t="s">
        <v>74</v>
      </c>
      <c r="AW39" t="s">
        <v>74</v>
      </c>
      <c r="AX39" t="s">
        <v>74</v>
      </c>
      <c r="AY39" t="s">
        <v>74</v>
      </c>
      <c r="AZ39" t="s">
        <v>74</v>
      </c>
      <c r="BA39" t="s">
        <v>74</v>
      </c>
      <c r="BB39">
        <v>493</v>
      </c>
      <c r="BC39">
        <v>499</v>
      </c>
      <c r="BD39" t="s">
        <v>74</v>
      </c>
      <c r="BE39" t="s">
        <v>979</v>
      </c>
      <c r="BF39" t="str">
        <f>HYPERLINK("http://dx.doi.org/10.1109/BDCloud.2014.39","http://dx.doi.org/10.1109/BDCloud.2014.39")</f>
        <v>http://dx.doi.org/10.1109/BDCloud.2014.39</v>
      </c>
      <c r="BG39" t="s">
        <v>74</v>
      </c>
      <c r="BH39" t="s">
        <v>74</v>
      </c>
      <c r="BI39">
        <v>7</v>
      </c>
      <c r="BJ39" t="s">
        <v>980</v>
      </c>
      <c r="BK39" t="s">
        <v>156</v>
      </c>
      <c r="BL39" t="s">
        <v>981</v>
      </c>
      <c r="BM39" t="s">
        <v>982</v>
      </c>
      <c r="BN39" t="s">
        <v>74</v>
      </c>
      <c r="BO39" t="s">
        <v>74</v>
      </c>
      <c r="BP39" t="s">
        <v>74</v>
      </c>
      <c r="BQ39" t="s">
        <v>74</v>
      </c>
      <c r="BR39" t="s">
        <v>102</v>
      </c>
      <c r="BS39" t="s">
        <v>983</v>
      </c>
      <c r="BT39" t="str">
        <f>HYPERLINK("https%3A%2F%2Fwww.webofscience.com%2Fwos%2Fwoscc%2Ffull-record%2FWOS:000380451500075","View Full Record in Web of Science")</f>
        <v>View Full Record in Web of Science</v>
      </c>
    </row>
    <row r="40" spans="1:72" x14ac:dyDescent="0.25">
      <c r="A40" t="s">
        <v>72</v>
      </c>
      <c r="B40" t="s">
        <v>984</v>
      </c>
      <c r="C40" t="s">
        <v>74</v>
      </c>
      <c r="D40" t="s">
        <v>74</v>
      </c>
      <c r="E40" t="s">
        <v>74</v>
      </c>
      <c r="F40" t="s">
        <v>984</v>
      </c>
      <c r="G40" t="s">
        <v>74</v>
      </c>
      <c r="H40" t="s">
        <v>74</v>
      </c>
      <c r="I40" t="s">
        <v>985</v>
      </c>
      <c r="J40" t="s">
        <v>986</v>
      </c>
      <c r="K40" t="s">
        <v>74</v>
      </c>
      <c r="L40" t="s">
        <v>74</v>
      </c>
      <c r="M40" t="s">
        <v>78</v>
      </c>
      <c r="N40" t="s">
        <v>79</v>
      </c>
      <c r="O40" t="s">
        <v>74</v>
      </c>
      <c r="P40" t="s">
        <v>74</v>
      </c>
      <c r="Q40" t="s">
        <v>74</v>
      </c>
      <c r="R40" t="s">
        <v>74</v>
      </c>
      <c r="S40" t="s">
        <v>74</v>
      </c>
      <c r="T40" t="s">
        <v>987</v>
      </c>
      <c r="U40" t="s">
        <v>74</v>
      </c>
      <c r="V40" t="s">
        <v>988</v>
      </c>
      <c r="W40" t="s">
        <v>989</v>
      </c>
      <c r="X40" t="s">
        <v>990</v>
      </c>
      <c r="Y40" t="s">
        <v>991</v>
      </c>
      <c r="Z40" t="s">
        <v>74</v>
      </c>
      <c r="AA40" t="s">
        <v>992</v>
      </c>
      <c r="AB40" t="s">
        <v>993</v>
      </c>
      <c r="AC40" t="s">
        <v>74</v>
      </c>
      <c r="AD40" t="s">
        <v>74</v>
      </c>
      <c r="AE40" t="s">
        <v>74</v>
      </c>
      <c r="AF40" t="s">
        <v>74</v>
      </c>
      <c r="AG40">
        <v>20</v>
      </c>
      <c r="AH40">
        <v>75</v>
      </c>
      <c r="AI40">
        <v>78</v>
      </c>
      <c r="AJ40">
        <v>1</v>
      </c>
      <c r="AK40">
        <v>17</v>
      </c>
      <c r="AL40" t="s">
        <v>994</v>
      </c>
      <c r="AM40" t="s">
        <v>995</v>
      </c>
      <c r="AN40" t="s">
        <v>996</v>
      </c>
      <c r="AO40" t="s">
        <v>997</v>
      </c>
      <c r="AP40" t="s">
        <v>74</v>
      </c>
      <c r="AQ40" t="s">
        <v>74</v>
      </c>
      <c r="AR40" t="s">
        <v>998</v>
      </c>
      <c r="AS40" t="s">
        <v>999</v>
      </c>
      <c r="AT40" t="s">
        <v>289</v>
      </c>
      <c r="AU40">
        <v>2003</v>
      </c>
      <c r="AV40">
        <v>21</v>
      </c>
      <c r="AW40">
        <v>3</v>
      </c>
      <c r="AX40" t="s">
        <v>74</v>
      </c>
      <c r="AY40" t="s">
        <v>74</v>
      </c>
      <c r="AZ40" t="s">
        <v>74</v>
      </c>
      <c r="BA40" t="s">
        <v>74</v>
      </c>
      <c r="BB40">
        <v>291</v>
      </c>
      <c r="BC40">
        <v>314</v>
      </c>
      <c r="BD40" t="s">
        <v>74</v>
      </c>
      <c r="BE40" t="s">
        <v>1000</v>
      </c>
      <c r="BF40" t="str">
        <f>HYPERLINK("http://dx.doi.org/10.1177/02662426030213003","http://dx.doi.org/10.1177/02662426030213003")</f>
        <v>http://dx.doi.org/10.1177/02662426030213003</v>
      </c>
      <c r="BG40" t="s">
        <v>74</v>
      </c>
      <c r="BH40" t="s">
        <v>74</v>
      </c>
      <c r="BI40">
        <v>24</v>
      </c>
      <c r="BJ40" t="s">
        <v>98</v>
      </c>
      <c r="BK40" t="s">
        <v>99</v>
      </c>
      <c r="BL40" t="s">
        <v>100</v>
      </c>
      <c r="BM40" t="s">
        <v>1001</v>
      </c>
      <c r="BN40" t="s">
        <v>74</v>
      </c>
      <c r="BO40" t="s">
        <v>74</v>
      </c>
      <c r="BP40" t="s">
        <v>74</v>
      </c>
      <c r="BQ40" t="s">
        <v>74</v>
      </c>
      <c r="BR40" t="s">
        <v>102</v>
      </c>
      <c r="BS40" t="s">
        <v>1002</v>
      </c>
      <c r="BT40" t="str">
        <f>HYPERLINK("https%3A%2F%2Fwww.webofscience.com%2Fwos%2Fwoscc%2Ffull-record%2FWOS:000184606900003","View Full Record in Web of Science")</f>
        <v>View Full Record in Web of Science</v>
      </c>
    </row>
    <row r="41" spans="1:72" x14ac:dyDescent="0.25">
      <c r="A41" t="s">
        <v>132</v>
      </c>
      <c r="B41" t="s">
        <v>1003</v>
      </c>
      <c r="C41" t="s">
        <v>74</v>
      </c>
      <c r="D41" t="s">
        <v>74</v>
      </c>
      <c r="E41" t="s">
        <v>771</v>
      </c>
      <c r="F41" t="s">
        <v>1004</v>
      </c>
      <c r="G41" t="s">
        <v>74</v>
      </c>
      <c r="H41" t="s">
        <v>74</v>
      </c>
      <c r="I41" t="s">
        <v>1005</v>
      </c>
      <c r="J41" t="s">
        <v>1006</v>
      </c>
      <c r="K41" t="s">
        <v>1007</v>
      </c>
      <c r="L41" t="s">
        <v>74</v>
      </c>
      <c r="M41" t="s">
        <v>78</v>
      </c>
      <c r="N41" t="s">
        <v>138</v>
      </c>
      <c r="O41" t="s">
        <v>1008</v>
      </c>
      <c r="P41" t="s">
        <v>1009</v>
      </c>
      <c r="Q41" t="s">
        <v>1010</v>
      </c>
      <c r="R41" t="s">
        <v>1011</v>
      </c>
      <c r="S41" t="s">
        <v>74</v>
      </c>
      <c r="T41" t="s">
        <v>1012</v>
      </c>
      <c r="U41" t="s">
        <v>74</v>
      </c>
      <c r="V41" t="s">
        <v>1013</v>
      </c>
      <c r="W41" t="s">
        <v>1014</v>
      </c>
      <c r="X41" t="s">
        <v>1015</v>
      </c>
      <c r="Y41" t="s">
        <v>1016</v>
      </c>
      <c r="Z41" t="s">
        <v>1017</v>
      </c>
      <c r="AA41" t="s">
        <v>74</v>
      </c>
      <c r="AB41" t="s">
        <v>1018</v>
      </c>
      <c r="AC41" t="s">
        <v>74</v>
      </c>
      <c r="AD41" t="s">
        <v>74</v>
      </c>
      <c r="AE41" t="s">
        <v>74</v>
      </c>
      <c r="AF41" t="s">
        <v>74</v>
      </c>
      <c r="AG41">
        <v>3</v>
      </c>
      <c r="AH41">
        <v>6</v>
      </c>
      <c r="AI41">
        <v>6</v>
      </c>
      <c r="AJ41">
        <v>0</v>
      </c>
      <c r="AK41">
        <v>1</v>
      </c>
      <c r="AL41" t="s">
        <v>771</v>
      </c>
      <c r="AM41" t="s">
        <v>151</v>
      </c>
      <c r="AN41" t="s">
        <v>785</v>
      </c>
      <c r="AO41" t="s">
        <v>1019</v>
      </c>
      <c r="AP41" t="s">
        <v>74</v>
      </c>
      <c r="AQ41" t="s">
        <v>1020</v>
      </c>
      <c r="AR41" t="s">
        <v>1021</v>
      </c>
      <c r="AS41" t="s">
        <v>74</v>
      </c>
      <c r="AT41" t="s">
        <v>74</v>
      </c>
      <c r="AU41">
        <v>2020</v>
      </c>
      <c r="AV41" t="s">
        <v>74</v>
      </c>
      <c r="AW41" t="s">
        <v>74</v>
      </c>
      <c r="AX41" t="s">
        <v>74</v>
      </c>
      <c r="AY41" t="s">
        <v>74</v>
      </c>
      <c r="AZ41" t="s">
        <v>74</v>
      </c>
      <c r="BA41" t="s">
        <v>74</v>
      </c>
      <c r="BB41" t="s">
        <v>74</v>
      </c>
      <c r="BC41" t="s">
        <v>74</v>
      </c>
      <c r="BD41" t="s">
        <v>74</v>
      </c>
      <c r="BE41" t="s">
        <v>74</v>
      </c>
      <c r="BF41" t="s">
        <v>74</v>
      </c>
      <c r="BG41" t="s">
        <v>74</v>
      </c>
      <c r="BH41" t="s">
        <v>74</v>
      </c>
      <c r="BI41">
        <v>2</v>
      </c>
      <c r="BJ41" t="s">
        <v>1022</v>
      </c>
      <c r="BK41" t="s">
        <v>156</v>
      </c>
      <c r="BL41" t="s">
        <v>1023</v>
      </c>
      <c r="BM41" t="s">
        <v>1024</v>
      </c>
      <c r="BN41" t="s">
        <v>74</v>
      </c>
      <c r="BO41" t="s">
        <v>74</v>
      </c>
      <c r="BP41" t="s">
        <v>74</v>
      </c>
      <c r="BQ41" t="s">
        <v>74</v>
      </c>
      <c r="BR41" t="s">
        <v>102</v>
      </c>
      <c r="BS41" t="s">
        <v>1025</v>
      </c>
      <c r="BT41" t="str">
        <f>HYPERLINK("https%3A%2F%2Fwww.webofscience.com%2Fwos%2Fwoscc%2Ffull-record%2FWOS:000544236100026","View Full Record in Web of Science")</f>
        <v>View Full Record in Web of Science</v>
      </c>
    </row>
    <row r="42" spans="1:72" x14ac:dyDescent="0.25">
      <c r="A42" t="s">
        <v>72</v>
      </c>
      <c r="B42" t="s">
        <v>1026</v>
      </c>
      <c r="C42" t="s">
        <v>74</v>
      </c>
      <c r="D42" t="s">
        <v>74</v>
      </c>
      <c r="E42" t="s">
        <v>74</v>
      </c>
      <c r="F42" t="s">
        <v>1027</v>
      </c>
      <c r="G42" t="s">
        <v>74</v>
      </c>
      <c r="H42" t="s">
        <v>74</v>
      </c>
      <c r="I42" t="s">
        <v>1028</v>
      </c>
      <c r="J42" t="s">
        <v>1029</v>
      </c>
      <c r="K42" t="s">
        <v>74</v>
      </c>
      <c r="L42" t="s">
        <v>74</v>
      </c>
      <c r="M42" t="s">
        <v>78</v>
      </c>
      <c r="N42" t="s">
        <v>79</v>
      </c>
      <c r="O42" t="s">
        <v>74</v>
      </c>
      <c r="P42" t="s">
        <v>74</v>
      </c>
      <c r="Q42" t="s">
        <v>74</v>
      </c>
      <c r="R42" t="s">
        <v>74</v>
      </c>
      <c r="S42" t="s">
        <v>74</v>
      </c>
      <c r="T42" t="s">
        <v>74</v>
      </c>
      <c r="U42" t="s">
        <v>74</v>
      </c>
      <c r="V42" t="s">
        <v>1030</v>
      </c>
      <c r="W42" t="s">
        <v>1031</v>
      </c>
      <c r="X42" t="s">
        <v>74</v>
      </c>
      <c r="Y42" t="s">
        <v>1032</v>
      </c>
      <c r="Z42" t="s">
        <v>1033</v>
      </c>
      <c r="AA42" t="s">
        <v>74</v>
      </c>
      <c r="AB42" t="s">
        <v>1034</v>
      </c>
      <c r="AC42" t="s">
        <v>74</v>
      </c>
      <c r="AD42" t="s">
        <v>74</v>
      </c>
      <c r="AE42" t="s">
        <v>74</v>
      </c>
      <c r="AF42" t="s">
        <v>74</v>
      </c>
      <c r="AG42">
        <v>23</v>
      </c>
      <c r="AH42">
        <v>2</v>
      </c>
      <c r="AI42">
        <v>3</v>
      </c>
      <c r="AJ42">
        <v>0</v>
      </c>
      <c r="AK42">
        <v>1</v>
      </c>
      <c r="AL42" t="s">
        <v>479</v>
      </c>
      <c r="AM42" t="s">
        <v>480</v>
      </c>
      <c r="AN42" t="s">
        <v>481</v>
      </c>
      <c r="AO42" t="s">
        <v>1035</v>
      </c>
      <c r="AP42" t="s">
        <v>1036</v>
      </c>
      <c r="AQ42" t="s">
        <v>74</v>
      </c>
      <c r="AR42" t="s">
        <v>1037</v>
      </c>
      <c r="AS42" t="s">
        <v>1038</v>
      </c>
      <c r="AT42" t="s">
        <v>891</v>
      </c>
      <c r="AU42">
        <v>2023</v>
      </c>
      <c r="AV42">
        <v>14</v>
      </c>
      <c r="AW42">
        <v>5</v>
      </c>
      <c r="AX42" t="s">
        <v>74</v>
      </c>
      <c r="AY42" t="s">
        <v>74</v>
      </c>
      <c r="AZ42" t="s">
        <v>74</v>
      </c>
      <c r="BA42" t="s">
        <v>74</v>
      </c>
      <c r="BB42">
        <v>805</v>
      </c>
      <c r="BC42">
        <v>817</v>
      </c>
      <c r="BD42" t="s">
        <v>74</v>
      </c>
      <c r="BE42" t="s">
        <v>1039</v>
      </c>
      <c r="BF42" t="str">
        <f>HYPERLINK("http://dx.doi.org/10.1111/1758-5899.13244","http://dx.doi.org/10.1111/1758-5899.13244")</f>
        <v>http://dx.doi.org/10.1111/1758-5899.13244</v>
      </c>
      <c r="BG42" t="s">
        <v>74</v>
      </c>
      <c r="BH42" t="s">
        <v>700</v>
      </c>
      <c r="BI42">
        <v>13</v>
      </c>
      <c r="BJ42" t="s">
        <v>1040</v>
      </c>
      <c r="BK42" t="s">
        <v>99</v>
      </c>
      <c r="BL42" t="s">
        <v>1041</v>
      </c>
      <c r="BM42" t="s">
        <v>1042</v>
      </c>
      <c r="BN42" t="s">
        <v>74</v>
      </c>
      <c r="BO42" t="s">
        <v>74</v>
      </c>
      <c r="BP42" t="s">
        <v>74</v>
      </c>
      <c r="BQ42" t="s">
        <v>74</v>
      </c>
      <c r="BR42" t="s">
        <v>102</v>
      </c>
      <c r="BS42" t="s">
        <v>1043</v>
      </c>
      <c r="BT42" t="str">
        <f>HYPERLINK("https%3A%2F%2Fwww.webofscience.com%2Fwos%2Fwoscc%2Ffull-record%2FWOS:001024772400001","View Full Record in Web of Science")</f>
        <v>View Full Record in Web of Science</v>
      </c>
    </row>
    <row r="43" spans="1:72" x14ac:dyDescent="0.25">
      <c r="A43" t="s">
        <v>132</v>
      </c>
      <c r="B43" t="s">
        <v>1044</v>
      </c>
      <c r="C43" t="s">
        <v>74</v>
      </c>
      <c r="D43" t="s">
        <v>1045</v>
      </c>
      <c r="E43" t="s">
        <v>74</v>
      </c>
      <c r="F43" t="s">
        <v>1046</v>
      </c>
      <c r="G43" t="s">
        <v>74</v>
      </c>
      <c r="H43" t="s">
        <v>74</v>
      </c>
      <c r="I43" t="s">
        <v>1047</v>
      </c>
      <c r="J43" t="s">
        <v>1048</v>
      </c>
      <c r="K43" t="s">
        <v>1049</v>
      </c>
      <c r="L43" t="s">
        <v>74</v>
      </c>
      <c r="M43" t="s">
        <v>78</v>
      </c>
      <c r="N43" t="s">
        <v>138</v>
      </c>
      <c r="O43" t="s">
        <v>1050</v>
      </c>
      <c r="P43" t="s">
        <v>1051</v>
      </c>
      <c r="Q43" t="s">
        <v>1052</v>
      </c>
      <c r="R43" t="s">
        <v>1053</v>
      </c>
      <c r="S43" t="s">
        <v>74</v>
      </c>
      <c r="T43" t="s">
        <v>1054</v>
      </c>
      <c r="U43" t="s">
        <v>1055</v>
      </c>
      <c r="V43" t="s">
        <v>1056</v>
      </c>
      <c r="W43" t="s">
        <v>1057</v>
      </c>
      <c r="X43" t="s">
        <v>74</v>
      </c>
      <c r="Y43" t="s">
        <v>1058</v>
      </c>
      <c r="Z43" t="s">
        <v>1059</v>
      </c>
      <c r="AA43" t="s">
        <v>1060</v>
      </c>
      <c r="AB43" t="s">
        <v>1061</v>
      </c>
      <c r="AC43" t="s">
        <v>74</v>
      </c>
      <c r="AD43" t="s">
        <v>74</v>
      </c>
      <c r="AE43" t="s">
        <v>74</v>
      </c>
      <c r="AF43" t="s">
        <v>74</v>
      </c>
      <c r="AG43">
        <v>73</v>
      </c>
      <c r="AH43">
        <v>7</v>
      </c>
      <c r="AI43">
        <v>7</v>
      </c>
      <c r="AJ43">
        <v>1</v>
      </c>
      <c r="AK43">
        <v>15</v>
      </c>
      <c r="AL43" t="s">
        <v>1062</v>
      </c>
      <c r="AM43" t="s">
        <v>667</v>
      </c>
      <c r="AN43" t="s">
        <v>668</v>
      </c>
      <c r="AO43" t="s">
        <v>1063</v>
      </c>
      <c r="AP43" t="s">
        <v>1064</v>
      </c>
      <c r="AQ43" t="s">
        <v>1065</v>
      </c>
      <c r="AR43" t="s">
        <v>1066</v>
      </c>
      <c r="AS43" t="s">
        <v>74</v>
      </c>
      <c r="AT43" t="s">
        <v>74</v>
      </c>
      <c r="AU43">
        <v>2023</v>
      </c>
      <c r="AV43">
        <v>488</v>
      </c>
      <c r="AW43" t="s">
        <v>74</v>
      </c>
      <c r="AX43" t="s">
        <v>74</v>
      </c>
      <c r="AY43" t="s">
        <v>74</v>
      </c>
      <c r="AZ43" t="s">
        <v>74</v>
      </c>
      <c r="BA43" t="s">
        <v>74</v>
      </c>
      <c r="BB43">
        <v>563</v>
      </c>
      <c r="BC43">
        <v>581</v>
      </c>
      <c r="BD43" t="s">
        <v>74</v>
      </c>
      <c r="BE43" t="s">
        <v>1067</v>
      </c>
      <c r="BF43" t="str">
        <f>HYPERLINK("http://dx.doi.org/10.1007/978-3-031-08090-6_36","http://dx.doi.org/10.1007/978-3-031-08090-6_36")</f>
        <v>http://dx.doi.org/10.1007/978-3-031-08090-6_36</v>
      </c>
      <c r="BG43" t="s">
        <v>74</v>
      </c>
      <c r="BH43" t="s">
        <v>74</v>
      </c>
      <c r="BI43">
        <v>19</v>
      </c>
      <c r="BJ43" t="s">
        <v>1068</v>
      </c>
      <c r="BK43" t="s">
        <v>1069</v>
      </c>
      <c r="BL43" t="s">
        <v>1070</v>
      </c>
      <c r="BM43" t="s">
        <v>1071</v>
      </c>
      <c r="BN43" t="s">
        <v>74</v>
      </c>
      <c r="BO43" t="s">
        <v>74</v>
      </c>
      <c r="BP43" t="s">
        <v>74</v>
      </c>
      <c r="BQ43" t="s">
        <v>74</v>
      </c>
      <c r="BR43" t="s">
        <v>102</v>
      </c>
      <c r="BS43" t="s">
        <v>1072</v>
      </c>
      <c r="BT43" t="str">
        <f>HYPERLINK("https%3A%2F%2Fwww.webofscience.com%2Fwos%2Fwoscc%2Ffull-record%2FWOS:000892369500036","View Full Record in Web of Science")</f>
        <v>View Full Record in Web of Science</v>
      </c>
    </row>
    <row r="44" spans="1:72" x14ac:dyDescent="0.25">
      <c r="A44" t="s">
        <v>72</v>
      </c>
      <c r="B44" t="s">
        <v>1073</v>
      </c>
      <c r="C44" t="s">
        <v>74</v>
      </c>
      <c r="D44" t="s">
        <v>74</v>
      </c>
      <c r="E44" t="s">
        <v>74</v>
      </c>
      <c r="F44" t="s">
        <v>1074</v>
      </c>
      <c r="G44" t="s">
        <v>74</v>
      </c>
      <c r="H44" t="s">
        <v>74</v>
      </c>
      <c r="I44" t="s">
        <v>1075</v>
      </c>
      <c r="J44" t="s">
        <v>1076</v>
      </c>
      <c r="K44" t="s">
        <v>74</v>
      </c>
      <c r="L44" t="s">
        <v>74</v>
      </c>
      <c r="M44" t="s">
        <v>78</v>
      </c>
      <c r="N44" t="s">
        <v>79</v>
      </c>
      <c r="O44" t="s">
        <v>74</v>
      </c>
      <c r="P44" t="s">
        <v>74</v>
      </c>
      <c r="Q44" t="s">
        <v>74</v>
      </c>
      <c r="R44" t="s">
        <v>74</v>
      </c>
      <c r="S44" t="s">
        <v>74</v>
      </c>
      <c r="T44" t="s">
        <v>1077</v>
      </c>
      <c r="U44" t="s">
        <v>1078</v>
      </c>
      <c r="V44" t="s">
        <v>1079</v>
      </c>
      <c r="W44" t="s">
        <v>1080</v>
      </c>
      <c r="X44" t="s">
        <v>1081</v>
      </c>
      <c r="Y44" t="s">
        <v>1082</v>
      </c>
      <c r="Z44" t="s">
        <v>1083</v>
      </c>
      <c r="AA44" t="s">
        <v>1084</v>
      </c>
      <c r="AB44" t="s">
        <v>1085</v>
      </c>
      <c r="AC44" t="s">
        <v>74</v>
      </c>
      <c r="AD44" t="s">
        <v>74</v>
      </c>
      <c r="AE44" t="s">
        <v>74</v>
      </c>
      <c r="AF44" t="s">
        <v>74</v>
      </c>
      <c r="AG44">
        <v>82</v>
      </c>
      <c r="AH44">
        <v>7</v>
      </c>
      <c r="AI44">
        <v>9</v>
      </c>
      <c r="AJ44">
        <v>1</v>
      </c>
      <c r="AK44">
        <v>11</v>
      </c>
      <c r="AL44" t="s">
        <v>409</v>
      </c>
      <c r="AM44" t="s">
        <v>410</v>
      </c>
      <c r="AN44" t="s">
        <v>411</v>
      </c>
      <c r="AO44" t="s">
        <v>1086</v>
      </c>
      <c r="AP44" t="s">
        <v>1087</v>
      </c>
      <c r="AQ44" t="s">
        <v>74</v>
      </c>
      <c r="AR44" t="s">
        <v>1088</v>
      </c>
      <c r="AS44" t="s">
        <v>1089</v>
      </c>
      <c r="AT44" t="s">
        <v>605</v>
      </c>
      <c r="AU44">
        <v>2024</v>
      </c>
      <c r="AV44">
        <v>13</v>
      </c>
      <c r="AW44">
        <v>2</v>
      </c>
      <c r="AX44" t="s">
        <v>74</v>
      </c>
      <c r="AY44" t="s">
        <v>74</v>
      </c>
      <c r="AZ44" t="s">
        <v>74</v>
      </c>
      <c r="BA44" t="s">
        <v>74</v>
      </c>
      <c r="BB44">
        <v>243</v>
      </c>
      <c r="BC44">
        <v>256</v>
      </c>
      <c r="BD44" t="s">
        <v>74</v>
      </c>
      <c r="BE44" t="s">
        <v>1090</v>
      </c>
      <c r="BF44" t="str">
        <f>HYPERLINK("http://dx.doi.org/10.1177/23197145221099677","http://dx.doi.org/10.1177/23197145221099677")</f>
        <v>http://dx.doi.org/10.1177/23197145221099677</v>
      </c>
      <c r="BG44" t="s">
        <v>74</v>
      </c>
      <c r="BH44" t="s">
        <v>1091</v>
      </c>
      <c r="BI44">
        <v>14</v>
      </c>
      <c r="BJ44" t="s">
        <v>98</v>
      </c>
      <c r="BK44" t="s">
        <v>313</v>
      </c>
      <c r="BL44" t="s">
        <v>100</v>
      </c>
      <c r="BM44" t="s">
        <v>1092</v>
      </c>
      <c r="BN44" t="s">
        <v>74</v>
      </c>
      <c r="BO44" t="s">
        <v>74</v>
      </c>
      <c r="BP44" t="s">
        <v>74</v>
      </c>
      <c r="BQ44" t="s">
        <v>74</v>
      </c>
      <c r="BR44" t="s">
        <v>102</v>
      </c>
      <c r="BS44" t="s">
        <v>1093</v>
      </c>
      <c r="BT44" t="str">
        <f>HYPERLINK("https%3A%2F%2Fwww.webofscience.com%2Fwos%2Fwoscc%2Ffull-record%2FWOS:001158653500005","View Full Record in Web of Science")</f>
        <v>View Full Record in Web of Science</v>
      </c>
    </row>
    <row r="45" spans="1:72" x14ac:dyDescent="0.25">
      <c r="A45" t="s">
        <v>132</v>
      </c>
      <c r="B45" t="s">
        <v>1094</v>
      </c>
      <c r="C45" t="s">
        <v>74</v>
      </c>
      <c r="D45" t="s">
        <v>1095</v>
      </c>
      <c r="E45" t="s">
        <v>74</v>
      </c>
      <c r="F45" t="s">
        <v>1096</v>
      </c>
      <c r="G45" t="s">
        <v>74</v>
      </c>
      <c r="H45" t="s">
        <v>74</v>
      </c>
      <c r="I45" t="s">
        <v>1097</v>
      </c>
      <c r="J45" t="s">
        <v>1098</v>
      </c>
      <c r="K45" t="s">
        <v>1099</v>
      </c>
      <c r="L45" t="s">
        <v>74</v>
      </c>
      <c r="M45" t="s">
        <v>78</v>
      </c>
      <c r="N45" t="s">
        <v>138</v>
      </c>
      <c r="O45" t="s">
        <v>1100</v>
      </c>
      <c r="P45" t="s">
        <v>1101</v>
      </c>
      <c r="Q45" t="s">
        <v>1102</v>
      </c>
      <c r="R45" t="s">
        <v>1103</v>
      </c>
      <c r="S45" t="s">
        <v>1104</v>
      </c>
      <c r="T45" t="s">
        <v>1105</v>
      </c>
      <c r="U45" t="s">
        <v>74</v>
      </c>
      <c r="V45" t="s">
        <v>1106</v>
      </c>
      <c r="W45" t="s">
        <v>1107</v>
      </c>
      <c r="X45" t="s">
        <v>1108</v>
      </c>
      <c r="Y45" t="s">
        <v>1109</v>
      </c>
      <c r="Z45" t="s">
        <v>74</v>
      </c>
      <c r="AA45" t="s">
        <v>1110</v>
      </c>
      <c r="AB45" t="s">
        <v>74</v>
      </c>
      <c r="AC45" t="s">
        <v>74</v>
      </c>
      <c r="AD45" t="s">
        <v>74</v>
      </c>
      <c r="AE45" t="s">
        <v>74</v>
      </c>
      <c r="AF45" t="s">
        <v>74</v>
      </c>
      <c r="AG45">
        <v>21</v>
      </c>
      <c r="AH45">
        <v>8</v>
      </c>
      <c r="AI45">
        <v>15</v>
      </c>
      <c r="AJ45">
        <v>0</v>
      </c>
      <c r="AK45">
        <v>9</v>
      </c>
      <c r="AL45" t="s">
        <v>771</v>
      </c>
      <c r="AM45" t="s">
        <v>151</v>
      </c>
      <c r="AN45" t="s">
        <v>785</v>
      </c>
      <c r="AO45" t="s">
        <v>1111</v>
      </c>
      <c r="AP45" t="s">
        <v>74</v>
      </c>
      <c r="AQ45" t="s">
        <v>1112</v>
      </c>
      <c r="AR45" t="s">
        <v>1113</v>
      </c>
      <c r="AS45" t="s">
        <v>74</v>
      </c>
      <c r="AT45" t="s">
        <v>74</v>
      </c>
      <c r="AU45">
        <v>2019</v>
      </c>
      <c r="AV45" t="s">
        <v>74</v>
      </c>
      <c r="AW45" t="s">
        <v>74</v>
      </c>
      <c r="AX45" t="s">
        <v>74</v>
      </c>
      <c r="AY45" t="s">
        <v>74</v>
      </c>
      <c r="AZ45" t="s">
        <v>74</v>
      </c>
      <c r="BA45" t="s">
        <v>74</v>
      </c>
      <c r="BB45">
        <v>306</v>
      </c>
      <c r="BC45">
        <v>312</v>
      </c>
      <c r="BD45" t="s">
        <v>74</v>
      </c>
      <c r="BE45" t="s">
        <v>1114</v>
      </c>
      <c r="BF45" t="str">
        <f>HYPERLINK("http://dx.doi.org/10.1109/ispcc48220.2019.8988510","http://dx.doi.org/10.1109/ispcc48220.2019.8988510")</f>
        <v>http://dx.doi.org/10.1109/ispcc48220.2019.8988510</v>
      </c>
      <c r="BG45" t="s">
        <v>74</v>
      </c>
      <c r="BH45" t="s">
        <v>74</v>
      </c>
      <c r="BI45">
        <v>7</v>
      </c>
      <c r="BJ45" t="s">
        <v>1115</v>
      </c>
      <c r="BK45" t="s">
        <v>156</v>
      </c>
      <c r="BL45" t="s">
        <v>1116</v>
      </c>
      <c r="BM45" t="s">
        <v>1117</v>
      </c>
      <c r="BN45" t="s">
        <v>74</v>
      </c>
      <c r="BO45" t="s">
        <v>74</v>
      </c>
      <c r="BP45" t="s">
        <v>74</v>
      </c>
      <c r="BQ45" t="s">
        <v>74</v>
      </c>
      <c r="BR45" t="s">
        <v>102</v>
      </c>
      <c r="BS45" t="s">
        <v>1118</v>
      </c>
      <c r="BT45" t="str">
        <f>HYPERLINK("https%3A%2F%2Fwww.webofscience.com%2Fwos%2Fwoscc%2Ffull-record%2FWOS:000545264900055","View Full Record in Web of Science")</f>
        <v>View Full Record in Web of Science</v>
      </c>
    </row>
    <row r="46" spans="1:72" x14ac:dyDescent="0.25">
      <c r="A46" t="s">
        <v>72</v>
      </c>
      <c r="B46" t="s">
        <v>1119</v>
      </c>
      <c r="C46" t="s">
        <v>74</v>
      </c>
      <c r="D46" t="s">
        <v>74</v>
      </c>
      <c r="E46" t="s">
        <v>74</v>
      </c>
      <c r="F46" t="s">
        <v>1120</v>
      </c>
      <c r="G46" t="s">
        <v>74</v>
      </c>
      <c r="H46" t="s">
        <v>74</v>
      </c>
      <c r="I46" t="s">
        <v>1121</v>
      </c>
      <c r="J46" t="s">
        <v>1122</v>
      </c>
      <c r="K46" t="s">
        <v>74</v>
      </c>
      <c r="L46" t="s">
        <v>74</v>
      </c>
      <c r="M46" t="s">
        <v>78</v>
      </c>
      <c r="N46" t="s">
        <v>79</v>
      </c>
      <c r="O46" t="s">
        <v>74</v>
      </c>
      <c r="P46" t="s">
        <v>74</v>
      </c>
      <c r="Q46" t="s">
        <v>74</v>
      </c>
      <c r="R46" t="s">
        <v>74</v>
      </c>
      <c r="S46" t="s">
        <v>74</v>
      </c>
      <c r="T46" t="s">
        <v>1123</v>
      </c>
      <c r="U46" t="s">
        <v>1124</v>
      </c>
      <c r="V46" t="s">
        <v>1125</v>
      </c>
      <c r="W46" t="s">
        <v>1126</v>
      </c>
      <c r="X46" t="s">
        <v>74</v>
      </c>
      <c r="Y46" t="s">
        <v>1127</v>
      </c>
      <c r="Z46" t="s">
        <v>1128</v>
      </c>
      <c r="AA46" t="s">
        <v>74</v>
      </c>
      <c r="AB46" t="s">
        <v>1129</v>
      </c>
      <c r="AC46" t="s">
        <v>1130</v>
      </c>
      <c r="AD46" t="s">
        <v>1130</v>
      </c>
      <c r="AE46" t="s">
        <v>1130</v>
      </c>
      <c r="AF46" t="s">
        <v>74</v>
      </c>
      <c r="AG46">
        <v>28</v>
      </c>
      <c r="AH46">
        <v>3</v>
      </c>
      <c r="AI46">
        <v>3</v>
      </c>
      <c r="AJ46">
        <v>0</v>
      </c>
      <c r="AK46">
        <v>5</v>
      </c>
      <c r="AL46" t="s">
        <v>479</v>
      </c>
      <c r="AM46" t="s">
        <v>480</v>
      </c>
      <c r="AN46" t="s">
        <v>481</v>
      </c>
      <c r="AO46" t="s">
        <v>1131</v>
      </c>
      <c r="AP46" t="s">
        <v>1132</v>
      </c>
      <c r="AQ46" t="s">
        <v>74</v>
      </c>
      <c r="AR46" t="s">
        <v>1133</v>
      </c>
      <c r="AS46" t="s">
        <v>1134</v>
      </c>
      <c r="AT46" t="s">
        <v>124</v>
      </c>
      <c r="AU46">
        <v>2024</v>
      </c>
      <c r="AV46">
        <v>36</v>
      </c>
      <c r="AW46">
        <v>4</v>
      </c>
      <c r="AX46" t="s">
        <v>74</v>
      </c>
      <c r="AY46" t="s">
        <v>74</v>
      </c>
      <c r="AZ46" t="s">
        <v>74</v>
      </c>
      <c r="BA46" t="s">
        <v>74</v>
      </c>
      <c r="BB46">
        <v>581</v>
      </c>
      <c r="BC46">
        <v>593</v>
      </c>
      <c r="BD46" t="s">
        <v>74</v>
      </c>
      <c r="BE46" t="s">
        <v>1135</v>
      </c>
      <c r="BF46" t="str">
        <f>HYPERLINK("http://dx.doi.org/10.1111/1467-8268.12782","http://dx.doi.org/10.1111/1467-8268.12782")</f>
        <v>http://dx.doi.org/10.1111/1467-8268.12782</v>
      </c>
      <c r="BG46" t="s">
        <v>74</v>
      </c>
      <c r="BH46" t="s">
        <v>1136</v>
      </c>
      <c r="BI46">
        <v>13</v>
      </c>
      <c r="BJ46" t="s">
        <v>1137</v>
      </c>
      <c r="BK46" t="s">
        <v>99</v>
      </c>
      <c r="BL46" t="s">
        <v>1137</v>
      </c>
      <c r="BM46" t="s">
        <v>1138</v>
      </c>
      <c r="BN46" t="s">
        <v>74</v>
      </c>
      <c r="BO46" t="s">
        <v>74</v>
      </c>
      <c r="BP46" t="s">
        <v>74</v>
      </c>
      <c r="BQ46" t="s">
        <v>74</v>
      </c>
      <c r="BR46" t="s">
        <v>102</v>
      </c>
      <c r="BS46" t="s">
        <v>1139</v>
      </c>
      <c r="BT46" t="str">
        <f>HYPERLINK("https%3A%2F%2Fwww.webofscience.com%2Fwos%2Fwoscc%2Ffull-record%2FWOS:001329551200001","View Full Record in Web of Science")</f>
        <v>View Full Record in Web of Science</v>
      </c>
    </row>
    <row r="47" spans="1:72" x14ac:dyDescent="0.25">
      <c r="A47" t="s">
        <v>72</v>
      </c>
      <c r="B47" t="s">
        <v>1140</v>
      </c>
      <c r="C47" t="s">
        <v>74</v>
      </c>
      <c r="D47" t="s">
        <v>74</v>
      </c>
      <c r="E47" t="s">
        <v>74</v>
      </c>
      <c r="F47" t="s">
        <v>1141</v>
      </c>
      <c r="G47" t="s">
        <v>74</v>
      </c>
      <c r="H47" t="s">
        <v>74</v>
      </c>
      <c r="I47" t="s">
        <v>1142</v>
      </c>
      <c r="J47" t="s">
        <v>1143</v>
      </c>
      <c r="K47" t="s">
        <v>74</v>
      </c>
      <c r="L47" t="s">
        <v>74</v>
      </c>
      <c r="M47" t="s">
        <v>78</v>
      </c>
      <c r="N47" t="s">
        <v>79</v>
      </c>
      <c r="O47" t="s">
        <v>74</v>
      </c>
      <c r="P47" t="s">
        <v>74</v>
      </c>
      <c r="Q47" t="s">
        <v>74</v>
      </c>
      <c r="R47" t="s">
        <v>74</v>
      </c>
      <c r="S47" t="s">
        <v>74</v>
      </c>
      <c r="T47" t="s">
        <v>1144</v>
      </c>
      <c r="U47" t="s">
        <v>1145</v>
      </c>
      <c r="V47" t="s">
        <v>1146</v>
      </c>
      <c r="W47" t="s">
        <v>1147</v>
      </c>
      <c r="X47" t="s">
        <v>1148</v>
      </c>
      <c r="Y47" t="s">
        <v>1149</v>
      </c>
      <c r="Z47" t="s">
        <v>1150</v>
      </c>
      <c r="AA47" t="s">
        <v>1151</v>
      </c>
      <c r="AB47" t="s">
        <v>1152</v>
      </c>
      <c r="AC47" t="s">
        <v>74</v>
      </c>
      <c r="AD47" t="s">
        <v>74</v>
      </c>
      <c r="AE47" t="s">
        <v>74</v>
      </c>
      <c r="AF47" t="s">
        <v>74</v>
      </c>
      <c r="AG47">
        <v>69</v>
      </c>
      <c r="AH47">
        <v>26</v>
      </c>
      <c r="AI47">
        <v>32</v>
      </c>
      <c r="AJ47">
        <v>0</v>
      </c>
      <c r="AK47">
        <v>18</v>
      </c>
      <c r="AL47" t="s">
        <v>385</v>
      </c>
      <c r="AM47" t="s">
        <v>1153</v>
      </c>
      <c r="AN47" t="s">
        <v>1154</v>
      </c>
      <c r="AO47" t="s">
        <v>1155</v>
      </c>
      <c r="AP47" t="s">
        <v>1156</v>
      </c>
      <c r="AQ47" t="s">
        <v>74</v>
      </c>
      <c r="AR47" t="s">
        <v>1157</v>
      </c>
      <c r="AS47" t="s">
        <v>1158</v>
      </c>
      <c r="AT47" t="s">
        <v>1159</v>
      </c>
      <c r="AU47">
        <v>2018</v>
      </c>
      <c r="AV47">
        <v>139</v>
      </c>
      <c r="AW47">
        <v>3</v>
      </c>
      <c r="AX47" t="s">
        <v>74</v>
      </c>
      <c r="AY47" t="s">
        <v>74</v>
      </c>
      <c r="AZ47" t="s">
        <v>74</v>
      </c>
      <c r="BA47" t="s">
        <v>74</v>
      </c>
      <c r="BB47">
        <v>1169</v>
      </c>
      <c r="BC47">
        <v>1185</v>
      </c>
      <c r="BD47" t="s">
        <v>74</v>
      </c>
      <c r="BE47" t="s">
        <v>1160</v>
      </c>
      <c r="BF47" t="str">
        <f>HYPERLINK("http://dx.doi.org/10.1007/s11205-017-1770-6","http://dx.doi.org/10.1007/s11205-017-1770-6")</f>
        <v>http://dx.doi.org/10.1007/s11205-017-1770-6</v>
      </c>
      <c r="BG47" t="s">
        <v>74</v>
      </c>
      <c r="BH47" t="s">
        <v>74</v>
      </c>
      <c r="BI47">
        <v>17</v>
      </c>
      <c r="BJ47" t="s">
        <v>1161</v>
      </c>
      <c r="BK47" t="s">
        <v>99</v>
      </c>
      <c r="BL47" t="s">
        <v>1162</v>
      </c>
      <c r="BM47" t="s">
        <v>1163</v>
      </c>
      <c r="BN47" t="s">
        <v>74</v>
      </c>
      <c r="BO47" t="s">
        <v>74</v>
      </c>
      <c r="BP47" t="s">
        <v>74</v>
      </c>
      <c r="BQ47" t="s">
        <v>74</v>
      </c>
      <c r="BR47" t="s">
        <v>102</v>
      </c>
      <c r="BS47" t="s">
        <v>1164</v>
      </c>
      <c r="BT47" t="str">
        <f>HYPERLINK("https%3A%2F%2Fwww.webofscience.com%2Fwos%2Fwoscc%2Ffull-record%2FWOS:000444474700015","View Full Record in Web of Science")</f>
        <v>View Full Record in Web of Science</v>
      </c>
    </row>
    <row r="48" spans="1:72" x14ac:dyDescent="0.25">
      <c r="A48" t="s">
        <v>72</v>
      </c>
      <c r="B48" t="s">
        <v>1165</v>
      </c>
      <c r="C48" t="s">
        <v>74</v>
      </c>
      <c r="D48" t="s">
        <v>74</v>
      </c>
      <c r="E48" t="s">
        <v>74</v>
      </c>
      <c r="F48" t="s">
        <v>1166</v>
      </c>
      <c r="G48" t="s">
        <v>74</v>
      </c>
      <c r="H48" t="s">
        <v>74</v>
      </c>
      <c r="I48" t="s">
        <v>1167</v>
      </c>
      <c r="J48" t="s">
        <v>1168</v>
      </c>
      <c r="K48" t="s">
        <v>74</v>
      </c>
      <c r="L48" t="s">
        <v>74</v>
      </c>
      <c r="M48" t="s">
        <v>78</v>
      </c>
      <c r="N48" t="s">
        <v>372</v>
      </c>
      <c r="O48" t="s">
        <v>74</v>
      </c>
      <c r="P48" t="s">
        <v>74</v>
      </c>
      <c r="Q48" t="s">
        <v>74</v>
      </c>
      <c r="R48" t="s">
        <v>74</v>
      </c>
      <c r="S48" t="s">
        <v>74</v>
      </c>
      <c r="T48" t="s">
        <v>1169</v>
      </c>
      <c r="U48" t="s">
        <v>74</v>
      </c>
      <c r="V48" t="s">
        <v>1170</v>
      </c>
      <c r="W48" t="s">
        <v>1171</v>
      </c>
      <c r="X48" t="s">
        <v>1172</v>
      </c>
      <c r="Y48" t="s">
        <v>1173</v>
      </c>
      <c r="Z48" t="s">
        <v>1174</v>
      </c>
      <c r="AA48" t="s">
        <v>1175</v>
      </c>
      <c r="AB48" t="s">
        <v>74</v>
      </c>
      <c r="AC48" t="s">
        <v>1176</v>
      </c>
      <c r="AD48" t="s">
        <v>1177</v>
      </c>
      <c r="AE48" t="s">
        <v>1178</v>
      </c>
      <c r="AF48" t="s">
        <v>74</v>
      </c>
      <c r="AG48">
        <v>36</v>
      </c>
      <c r="AH48">
        <v>0</v>
      </c>
      <c r="AI48">
        <v>0</v>
      </c>
      <c r="AJ48">
        <v>0</v>
      </c>
      <c r="AK48">
        <v>0</v>
      </c>
      <c r="AL48" t="s">
        <v>332</v>
      </c>
      <c r="AM48" t="s">
        <v>333</v>
      </c>
      <c r="AN48" t="s">
        <v>334</v>
      </c>
      <c r="AO48" t="s">
        <v>1179</v>
      </c>
      <c r="AP48" t="s">
        <v>1180</v>
      </c>
      <c r="AQ48" t="s">
        <v>74</v>
      </c>
      <c r="AR48" t="s">
        <v>1181</v>
      </c>
      <c r="AS48" t="s">
        <v>1182</v>
      </c>
      <c r="AT48" t="s">
        <v>1183</v>
      </c>
      <c r="AU48">
        <v>2025</v>
      </c>
      <c r="AV48" t="s">
        <v>74</v>
      </c>
      <c r="AW48" t="s">
        <v>74</v>
      </c>
      <c r="AX48" t="s">
        <v>74</v>
      </c>
      <c r="AY48" t="s">
        <v>74</v>
      </c>
      <c r="AZ48" t="s">
        <v>74</v>
      </c>
      <c r="BA48" t="s">
        <v>74</v>
      </c>
      <c r="BB48" t="s">
        <v>74</v>
      </c>
      <c r="BC48" t="s">
        <v>74</v>
      </c>
      <c r="BD48" t="s">
        <v>74</v>
      </c>
      <c r="BE48" t="s">
        <v>1184</v>
      </c>
      <c r="BF48" t="str">
        <f>HYPERLINK("http://dx.doi.org/10.1080/15228916.2025.2597684","http://dx.doi.org/10.1080/15228916.2025.2597684")</f>
        <v>http://dx.doi.org/10.1080/15228916.2025.2597684</v>
      </c>
      <c r="BG48" t="s">
        <v>74</v>
      </c>
      <c r="BH48" t="s">
        <v>488</v>
      </c>
      <c r="BI48">
        <v>26</v>
      </c>
      <c r="BJ48" t="s">
        <v>418</v>
      </c>
      <c r="BK48" t="s">
        <v>313</v>
      </c>
      <c r="BL48" t="s">
        <v>100</v>
      </c>
      <c r="BM48" t="s">
        <v>1185</v>
      </c>
      <c r="BN48" t="s">
        <v>74</v>
      </c>
      <c r="BO48" t="s">
        <v>74</v>
      </c>
      <c r="BP48" t="s">
        <v>74</v>
      </c>
      <c r="BQ48" t="s">
        <v>74</v>
      </c>
      <c r="BR48" t="s">
        <v>102</v>
      </c>
      <c r="BS48" t="s">
        <v>1186</v>
      </c>
      <c r="BT48" t="str">
        <f>HYPERLINK("https%3A%2F%2Fwww.webofscience.com%2Fwos%2Fwoscc%2Ffull-record%2FWOS:001641718200001","View Full Record in Web of Science")</f>
        <v>View Full Record in Web of Science</v>
      </c>
    </row>
    <row r="49" spans="1:72" x14ac:dyDescent="0.25">
      <c r="A49" t="s">
        <v>72</v>
      </c>
      <c r="B49" t="s">
        <v>1187</v>
      </c>
      <c r="C49" t="s">
        <v>74</v>
      </c>
      <c r="D49" t="s">
        <v>74</v>
      </c>
      <c r="E49" t="s">
        <v>74</v>
      </c>
      <c r="F49" t="s">
        <v>1188</v>
      </c>
      <c r="G49" t="s">
        <v>74</v>
      </c>
      <c r="H49" t="s">
        <v>74</v>
      </c>
      <c r="I49" t="s">
        <v>1189</v>
      </c>
      <c r="J49" t="s">
        <v>1190</v>
      </c>
      <c r="K49" t="s">
        <v>74</v>
      </c>
      <c r="L49" t="s">
        <v>74</v>
      </c>
      <c r="M49" t="s">
        <v>78</v>
      </c>
      <c r="N49" t="s">
        <v>79</v>
      </c>
      <c r="O49" t="s">
        <v>74</v>
      </c>
      <c r="P49" t="s">
        <v>74</v>
      </c>
      <c r="Q49" t="s">
        <v>74</v>
      </c>
      <c r="R49" t="s">
        <v>74</v>
      </c>
      <c r="S49" t="s">
        <v>74</v>
      </c>
      <c r="T49" t="s">
        <v>1191</v>
      </c>
      <c r="U49" t="s">
        <v>1192</v>
      </c>
      <c r="V49" t="s">
        <v>1193</v>
      </c>
      <c r="W49" t="s">
        <v>1194</v>
      </c>
      <c r="X49" t="s">
        <v>1195</v>
      </c>
      <c r="Y49" t="s">
        <v>1196</v>
      </c>
      <c r="Z49" t="s">
        <v>74</v>
      </c>
      <c r="AA49" t="s">
        <v>74</v>
      </c>
      <c r="AB49" t="s">
        <v>74</v>
      </c>
      <c r="AC49" t="s">
        <v>74</v>
      </c>
      <c r="AD49" t="s">
        <v>74</v>
      </c>
      <c r="AE49" t="s">
        <v>74</v>
      </c>
      <c r="AF49" t="s">
        <v>74</v>
      </c>
      <c r="AG49">
        <v>26</v>
      </c>
      <c r="AH49">
        <v>2</v>
      </c>
      <c r="AI49">
        <v>5</v>
      </c>
      <c r="AJ49">
        <v>0</v>
      </c>
      <c r="AK49">
        <v>21</v>
      </c>
      <c r="AL49" t="s">
        <v>1197</v>
      </c>
      <c r="AM49" t="s">
        <v>1198</v>
      </c>
      <c r="AN49" t="s">
        <v>1199</v>
      </c>
      <c r="AO49" t="s">
        <v>1200</v>
      </c>
      <c r="AP49" t="s">
        <v>74</v>
      </c>
      <c r="AQ49" t="s">
        <v>74</v>
      </c>
      <c r="AR49" t="s">
        <v>1201</v>
      </c>
      <c r="AS49" t="s">
        <v>1202</v>
      </c>
      <c r="AT49" t="s">
        <v>743</v>
      </c>
      <c r="AU49">
        <v>2019</v>
      </c>
      <c r="AV49">
        <v>19</v>
      </c>
      <c r="AW49">
        <v>2</v>
      </c>
      <c r="AX49" t="s">
        <v>74</v>
      </c>
      <c r="AY49" t="s">
        <v>74</v>
      </c>
      <c r="AZ49" t="s">
        <v>74</v>
      </c>
      <c r="BA49" t="s">
        <v>74</v>
      </c>
      <c r="BB49">
        <v>277</v>
      </c>
      <c r="BC49">
        <v>291</v>
      </c>
      <c r="BD49" t="s">
        <v>74</v>
      </c>
      <c r="BE49" t="s">
        <v>1203</v>
      </c>
      <c r="BF49" t="str">
        <f>HYPERLINK("http://dx.doi.org/10.21121/eab.521579","http://dx.doi.org/10.21121/eab.521579")</f>
        <v>http://dx.doi.org/10.21121/eab.521579</v>
      </c>
      <c r="BG49" t="s">
        <v>74</v>
      </c>
      <c r="BH49" t="s">
        <v>74</v>
      </c>
      <c r="BI49">
        <v>15</v>
      </c>
      <c r="BJ49" t="s">
        <v>291</v>
      </c>
      <c r="BK49" t="s">
        <v>313</v>
      </c>
      <c r="BL49" t="s">
        <v>100</v>
      </c>
      <c r="BM49" t="s">
        <v>1204</v>
      </c>
      <c r="BN49" t="s">
        <v>74</v>
      </c>
      <c r="BO49" t="s">
        <v>1205</v>
      </c>
      <c r="BP49" t="s">
        <v>74</v>
      </c>
      <c r="BQ49" t="s">
        <v>74</v>
      </c>
      <c r="BR49" t="s">
        <v>102</v>
      </c>
      <c r="BS49" t="s">
        <v>1206</v>
      </c>
      <c r="BT49" t="str">
        <f>HYPERLINK("https%3A%2F%2Fwww.webofscience.com%2Fwos%2Fwoscc%2Ffull-record%2FWOS:000466578000009","View Full Record in Web of Science")</f>
        <v>View Full Record in Web of Science</v>
      </c>
    </row>
    <row r="50" spans="1:72" x14ac:dyDescent="0.25">
      <c r="A50" t="s">
        <v>72</v>
      </c>
      <c r="B50" t="s">
        <v>1207</v>
      </c>
      <c r="C50" t="s">
        <v>74</v>
      </c>
      <c r="D50" t="s">
        <v>74</v>
      </c>
      <c r="E50" t="s">
        <v>74</v>
      </c>
      <c r="F50" t="s">
        <v>1208</v>
      </c>
      <c r="G50" t="s">
        <v>74</v>
      </c>
      <c r="H50" t="s">
        <v>74</v>
      </c>
      <c r="I50" t="s">
        <v>1209</v>
      </c>
      <c r="J50" t="s">
        <v>1210</v>
      </c>
      <c r="K50" t="s">
        <v>74</v>
      </c>
      <c r="L50" t="s">
        <v>74</v>
      </c>
      <c r="M50" t="s">
        <v>78</v>
      </c>
      <c r="N50" t="s">
        <v>79</v>
      </c>
      <c r="O50" t="s">
        <v>74</v>
      </c>
      <c r="P50" t="s">
        <v>74</v>
      </c>
      <c r="Q50" t="s">
        <v>74</v>
      </c>
      <c r="R50" t="s">
        <v>74</v>
      </c>
      <c r="S50" t="s">
        <v>74</v>
      </c>
      <c r="T50" t="s">
        <v>1211</v>
      </c>
      <c r="U50" t="s">
        <v>74</v>
      </c>
      <c r="V50" t="s">
        <v>1212</v>
      </c>
      <c r="W50" t="s">
        <v>1213</v>
      </c>
      <c r="X50" t="s">
        <v>74</v>
      </c>
      <c r="Y50" t="s">
        <v>1214</v>
      </c>
      <c r="Z50" t="s">
        <v>1215</v>
      </c>
      <c r="AA50" t="s">
        <v>74</v>
      </c>
      <c r="AB50" t="s">
        <v>74</v>
      </c>
      <c r="AC50" t="s">
        <v>74</v>
      </c>
      <c r="AD50" t="s">
        <v>74</v>
      </c>
      <c r="AE50" t="s">
        <v>74</v>
      </c>
      <c r="AF50" t="s">
        <v>74</v>
      </c>
      <c r="AG50">
        <v>37</v>
      </c>
      <c r="AH50">
        <v>0</v>
      </c>
      <c r="AI50">
        <v>0</v>
      </c>
      <c r="AJ50">
        <v>0</v>
      </c>
      <c r="AK50">
        <v>0</v>
      </c>
      <c r="AL50" t="s">
        <v>1216</v>
      </c>
      <c r="AM50" t="s">
        <v>283</v>
      </c>
      <c r="AN50" t="s">
        <v>1217</v>
      </c>
      <c r="AO50" t="s">
        <v>1218</v>
      </c>
      <c r="AP50" t="s">
        <v>74</v>
      </c>
      <c r="AQ50" t="s">
        <v>74</v>
      </c>
      <c r="AR50" t="s">
        <v>1219</v>
      </c>
      <c r="AS50" t="s">
        <v>1220</v>
      </c>
      <c r="AT50" t="s">
        <v>1221</v>
      </c>
      <c r="AU50">
        <v>2025</v>
      </c>
      <c r="AV50">
        <v>8</v>
      </c>
      <c r="AW50" t="s">
        <v>74</v>
      </c>
      <c r="AX50" t="s">
        <v>74</v>
      </c>
      <c r="AY50" t="s">
        <v>74</v>
      </c>
      <c r="AZ50" t="s">
        <v>74</v>
      </c>
      <c r="BA50" t="s">
        <v>74</v>
      </c>
      <c r="BB50" t="s">
        <v>74</v>
      </c>
      <c r="BC50" t="s">
        <v>74</v>
      </c>
      <c r="BD50">
        <v>1688287</v>
      </c>
      <c r="BE50" t="s">
        <v>1222</v>
      </c>
      <c r="BF50" t="str">
        <f>HYPERLINK("http://dx.doi.org/10.3389/fbloc.2025.1688287","http://dx.doi.org/10.3389/fbloc.2025.1688287")</f>
        <v>http://dx.doi.org/10.3389/fbloc.2025.1688287</v>
      </c>
      <c r="BG50" t="s">
        <v>74</v>
      </c>
      <c r="BH50" t="s">
        <v>74</v>
      </c>
      <c r="BI50">
        <v>15</v>
      </c>
      <c r="BJ50" t="s">
        <v>1223</v>
      </c>
      <c r="BK50" t="s">
        <v>313</v>
      </c>
      <c r="BL50" t="s">
        <v>157</v>
      </c>
      <c r="BM50" t="s">
        <v>1224</v>
      </c>
      <c r="BN50" t="s">
        <v>74</v>
      </c>
      <c r="BO50" t="s">
        <v>212</v>
      </c>
      <c r="BP50" t="s">
        <v>74</v>
      </c>
      <c r="BQ50" t="s">
        <v>74</v>
      </c>
      <c r="BR50" t="s">
        <v>102</v>
      </c>
      <c r="BS50" t="s">
        <v>1225</v>
      </c>
      <c r="BT50" t="str">
        <f>HYPERLINK("https%3A%2F%2Fwww.webofscience.com%2Fwos%2Fwoscc%2Ffull-record%2FWOS:001634246600001","View Full Record in Web of Science")</f>
        <v>View Full Record in Web of Science</v>
      </c>
    </row>
    <row r="51" spans="1:72" x14ac:dyDescent="0.25">
      <c r="A51" t="s">
        <v>72</v>
      </c>
      <c r="B51" t="s">
        <v>1226</v>
      </c>
      <c r="C51" t="s">
        <v>74</v>
      </c>
      <c r="D51" t="s">
        <v>74</v>
      </c>
      <c r="E51" t="s">
        <v>74</v>
      </c>
      <c r="F51" t="s">
        <v>1227</v>
      </c>
      <c r="G51" t="s">
        <v>74</v>
      </c>
      <c r="H51" t="s">
        <v>74</v>
      </c>
      <c r="I51" t="s">
        <v>1228</v>
      </c>
      <c r="J51" t="s">
        <v>729</v>
      </c>
      <c r="K51" t="s">
        <v>74</v>
      </c>
      <c r="L51" t="s">
        <v>74</v>
      </c>
      <c r="M51" t="s">
        <v>78</v>
      </c>
      <c r="N51" t="s">
        <v>79</v>
      </c>
      <c r="O51" t="s">
        <v>74</v>
      </c>
      <c r="P51" t="s">
        <v>74</v>
      </c>
      <c r="Q51" t="s">
        <v>74</v>
      </c>
      <c r="R51" t="s">
        <v>74</v>
      </c>
      <c r="S51" t="s">
        <v>74</v>
      </c>
      <c r="T51" t="s">
        <v>1229</v>
      </c>
      <c r="U51" t="s">
        <v>1230</v>
      </c>
      <c r="V51" t="s">
        <v>1231</v>
      </c>
      <c r="W51" t="s">
        <v>1232</v>
      </c>
      <c r="X51" t="s">
        <v>1233</v>
      </c>
      <c r="Y51" t="s">
        <v>1234</v>
      </c>
      <c r="Z51" t="s">
        <v>1235</v>
      </c>
      <c r="AA51" t="s">
        <v>1236</v>
      </c>
      <c r="AB51" t="s">
        <v>1237</v>
      </c>
      <c r="AC51" t="s">
        <v>74</v>
      </c>
      <c r="AD51" t="s">
        <v>74</v>
      </c>
      <c r="AE51" t="s">
        <v>74</v>
      </c>
      <c r="AF51" t="s">
        <v>74</v>
      </c>
      <c r="AG51">
        <v>114</v>
      </c>
      <c r="AH51">
        <v>8</v>
      </c>
      <c r="AI51">
        <v>10</v>
      </c>
      <c r="AJ51">
        <v>11</v>
      </c>
      <c r="AK51">
        <v>28</v>
      </c>
      <c r="AL51" t="s">
        <v>479</v>
      </c>
      <c r="AM51" t="s">
        <v>480</v>
      </c>
      <c r="AN51" t="s">
        <v>481</v>
      </c>
      <c r="AO51" t="s">
        <v>739</v>
      </c>
      <c r="AP51" t="s">
        <v>740</v>
      </c>
      <c r="AQ51" t="s">
        <v>74</v>
      </c>
      <c r="AR51" t="s">
        <v>741</v>
      </c>
      <c r="AS51" t="s">
        <v>742</v>
      </c>
      <c r="AT51" t="s">
        <v>208</v>
      </c>
      <c r="AU51">
        <v>2025</v>
      </c>
      <c r="AV51">
        <v>30</v>
      </c>
      <c r="AW51">
        <v>1</v>
      </c>
      <c r="AX51" t="s">
        <v>74</v>
      </c>
      <c r="AY51" t="s">
        <v>74</v>
      </c>
      <c r="AZ51" t="s">
        <v>74</v>
      </c>
      <c r="BA51" t="s">
        <v>74</v>
      </c>
      <c r="BB51">
        <v>941</v>
      </c>
      <c r="BC51">
        <v>960</v>
      </c>
      <c r="BD51" t="s">
        <v>74</v>
      </c>
      <c r="BE51" t="s">
        <v>1238</v>
      </c>
      <c r="BF51" t="str">
        <f>HYPERLINK("http://dx.doi.org/10.1002/ijfe.2951","http://dx.doi.org/10.1002/ijfe.2951")</f>
        <v>http://dx.doi.org/10.1002/ijfe.2951</v>
      </c>
      <c r="BG51" t="s">
        <v>74</v>
      </c>
      <c r="BH51" t="s">
        <v>1239</v>
      </c>
      <c r="BI51">
        <v>20</v>
      </c>
      <c r="BJ51" t="s">
        <v>268</v>
      </c>
      <c r="BK51" t="s">
        <v>99</v>
      </c>
      <c r="BL51" t="s">
        <v>100</v>
      </c>
      <c r="BM51" t="s">
        <v>1240</v>
      </c>
      <c r="BN51" t="s">
        <v>74</v>
      </c>
      <c r="BO51" t="s">
        <v>270</v>
      </c>
      <c r="BP51" t="s">
        <v>74</v>
      </c>
      <c r="BQ51" t="s">
        <v>74</v>
      </c>
      <c r="BR51" t="s">
        <v>102</v>
      </c>
      <c r="BS51" t="s">
        <v>1241</v>
      </c>
      <c r="BT51" t="str">
        <f>HYPERLINK("https%3A%2F%2Fwww.webofscience.com%2Fwos%2Fwoscc%2Ffull-record%2FWOS:001167063800001","View Full Record in Web of Science")</f>
        <v>View Full Record in Web of Science</v>
      </c>
    </row>
    <row r="52" spans="1:72" x14ac:dyDescent="0.25">
      <c r="A52" t="s">
        <v>72</v>
      </c>
      <c r="B52" t="s">
        <v>1242</v>
      </c>
      <c r="C52" t="s">
        <v>74</v>
      </c>
      <c r="D52" t="s">
        <v>74</v>
      </c>
      <c r="E52" t="s">
        <v>74</v>
      </c>
      <c r="F52" t="s">
        <v>1243</v>
      </c>
      <c r="G52" t="s">
        <v>74</v>
      </c>
      <c r="H52" t="s">
        <v>74</v>
      </c>
      <c r="I52" t="s">
        <v>1244</v>
      </c>
      <c r="J52" t="s">
        <v>1245</v>
      </c>
      <c r="K52" t="s">
        <v>74</v>
      </c>
      <c r="L52" t="s">
        <v>74</v>
      </c>
      <c r="M52" t="s">
        <v>78</v>
      </c>
      <c r="N52" t="s">
        <v>79</v>
      </c>
      <c r="O52" t="s">
        <v>74</v>
      </c>
      <c r="P52" t="s">
        <v>74</v>
      </c>
      <c r="Q52" t="s">
        <v>74</v>
      </c>
      <c r="R52" t="s">
        <v>74</v>
      </c>
      <c r="S52" t="s">
        <v>74</v>
      </c>
      <c r="T52" t="s">
        <v>1246</v>
      </c>
      <c r="U52" t="s">
        <v>74</v>
      </c>
      <c r="V52" t="s">
        <v>1247</v>
      </c>
      <c r="W52" t="s">
        <v>1248</v>
      </c>
      <c r="X52" t="s">
        <v>1249</v>
      </c>
      <c r="Y52" t="s">
        <v>1250</v>
      </c>
      <c r="Z52" t="s">
        <v>1251</v>
      </c>
      <c r="AA52" t="s">
        <v>1252</v>
      </c>
      <c r="AB52" t="s">
        <v>1253</v>
      </c>
      <c r="AC52" t="s">
        <v>74</v>
      </c>
      <c r="AD52" t="s">
        <v>74</v>
      </c>
      <c r="AE52" t="s">
        <v>74</v>
      </c>
      <c r="AF52" t="s">
        <v>74</v>
      </c>
      <c r="AG52">
        <v>21</v>
      </c>
      <c r="AH52">
        <v>6</v>
      </c>
      <c r="AI52">
        <v>9</v>
      </c>
      <c r="AJ52">
        <v>2</v>
      </c>
      <c r="AK52">
        <v>56</v>
      </c>
      <c r="AL52" t="s">
        <v>1254</v>
      </c>
      <c r="AM52" t="s">
        <v>1255</v>
      </c>
      <c r="AN52" t="s">
        <v>1256</v>
      </c>
      <c r="AO52" t="s">
        <v>1257</v>
      </c>
      <c r="AP52" t="s">
        <v>1258</v>
      </c>
      <c r="AQ52" t="s">
        <v>74</v>
      </c>
      <c r="AR52" t="s">
        <v>1259</v>
      </c>
      <c r="AS52" t="s">
        <v>1260</v>
      </c>
      <c r="AT52" t="s">
        <v>74</v>
      </c>
      <c r="AU52">
        <v>2019</v>
      </c>
      <c r="AV52">
        <v>4</v>
      </c>
      <c r="AW52">
        <v>31</v>
      </c>
      <c r="AX52" t="s">
        <v>74</v>
      </c>
      <c r="AY52" t="s">
        <v>74</v>
      </c>
      <c r="AZ52" t="s">
        <v>74</v>
      </c>
      <c r="BA52" t="s">
        <v>74</v>
      </c>
      <c r="BB52">
        <v>61</v>
      </c>
      <c r="BC52">
        <v>69</v>
      </c>
      <c r="BD52" t="s">
        <v>74</v>
      </c>
      <c r="BE52" t="s">
        <v>74</v>
      </c>
      <c r="BF52" t="s">
        <v>74</v>
      </c>
      <c r="BG52" t="s">
        <v>74</v>
      </c>
      <c r="BH52" t="s">
        <v>74</v>
      </c>
      <c r="BI52">
        <v>9</v>
      </c>
      <c r="BJ52" t="s">
        <v>268</v>
      </c>
      <c r="BK52" t="s">
        <v>313</v>
      </c>
      <c r="BL52" t="s">
        <v>100</v>
      </c>
      <c r="BM52" t="s">
        <v>1261</v>
      </c>
      <c r="BN52" t="s">
        <v>74</v>
      </c>
      <c r="BO52" t="s">
        <v>916</v>
      </c>
      <c r="BP52" t="s">
        <v>74</v>
      </c>
      <c r="BQ52" t="s">
        <v>74</v>
      </c>
      <c r="BR52" t="s">
        <v>102</v>
      </c>
      <c r="BS52" t="s">
        <v>1262</v>
      </c>
      <c r="BT52" t="str">
        <f>HYPERLINK("https%3A%2F%2Fwww.webofscience.com%2Fwos%2Fwoscc%2Ffull-record%2FWOS:000507543400007","View Full Record in Web of Science")</f>
        <v>View Full Record in Web of Science</v>
      </c>
    </row>
    <row r="53" spans="1:72" x14ac:dyDescent="0.25">
      <c r="A53" t="s">
        <v>72</v>
      </c>
      <c r="B53" t="s">
        <v>1263</v>
      </c>
      <c r="C53" t="s">
        <v>74</v>
      </c>
      <c r="D53" t="s">
        <v>74</v>
      </c>
      <c r="E53" t="s">
        <v>74</v>
      </c>
      <c r="F53" t="s">
        <v>1264</v>
      </c>
      <c r="G53" t="s">
        <v>74</v>
      </c>
      <c r="H53" t="s">
        <v>74</v>
      </c>
      <c r="I53" t="s">
        <v>1265</v>
      </c>
      <c r="J53" t="s">
        <v>1266</v>
      </c>
      <c r="K53" t="s">
        <v>74</v>
      </c>
      <c r="L53" t="s">
        <v>74</v>
      </c>
      <c r="M53" t="s">
        <v>78</v>
      </c>
      <c r="N53" t="s">
        <v>372</v>
      </c>
      <c r="O53" t="s">
        <v>74</v>
      </c>
      <c r="P53" t="s">
        <v>74</v>
      </c>
      <c r="Q53" t="s">
        <v>74</v>
      </c>
      <c r="R53" t="s">
        <v>74</v>
      </c>
      <c r="S53" t="s">
        <v>74</v>
      </c>
      <c r="T53" t="s">
        <v>1267</v>
      </c>
      <c r="U53" t="s">
        <v>1268</v>
      </c>
      <c r="V53" t="s">
        <v>1269</v>
      </c>
      <c r="W53" t="s">
        <v>1270</v>
      </c>
      <c r="X53" t="s">
        <v>1271</v>
      </c>
      <c r="Y53" t="s">
        <v>1272</v>
      </c>
      <c r="Z53" t="s">
        <v>1273</v>
      </c>
      <c r="AA53" t="s">
        <v>74</v>
      </c>
      <c r="AB53" t="s">
        <v>74</v>
      </c>
      <c r="AC53" t="s">
        <v>1274</v>
      </c>
      <c r="AD53" t="s">
        <v>1275</v>
      </c>
      <c r="AE53" t="s">
        <v>1276</v>
      </c>
      <c r="AF53" t="s">
        <v>74</v>
      </c>
      <c r="AG53">
        <v>59</v>
      </c>
      <c r="AH53">
        <v>0</v>
      </c>
      <c r="AI53">
        <v>0</v>
      </c>
      <c r="AJ53">
        <v>0</v>
      </c>
      <c r="AK53">
        <v>0</v>
      </c>
      <c r="AL53" t="s">
        <v>332</v>
      </c>
      <c r="AM53" t="s">
        <v>333</v>
      </c>
      <c r="AN53" t="s">
        <v>334</v>
      </c>
      <c r="AO53" t="s">
        <v>1277</v>
      </c>
      <c r="AP53" t="s">
        <v>1278</v>
      </c>
      <c r="AQ53" t="s">
        <v>74</v>
      </c>
      <c r="AR53" t="s">
        <v>1279</v>
      </c>
      <c r="AS53" t="s">
        <v>1280</v>
      </c>
      <c r="AT53" t="s">
        <v>1281</v>
      </c>
      <c r="AU53">
        <v>2025</v>
      </c>
      <c r="AV53" t="s">
        <v>74</v>
      </c>
      <c r="AW53" t="s">
        <v>74</v>
      </c>
      <c r="AX53" t="s">
        <v>74</v>
      </c>
      <c r="AY53" t="s">
        <v>74</v>
      </c>
      <c r="AZ53" t="s">
        <v>74</v>
      </c>
      <c r="BA53" t="s">
        <v>74</v>
      </c>
      <c r="BB53" t="s">
        <v>74</v>
      </c>
      <c r="BC53" t="s">
        <v>74</v>
      </c>
      <c r="BD53" t="s">
        <v>74</v>
      </c>
      <c r="BE53" t="s">
        <v>1282</v>
      </c>
      <c r="BF53" t="str">
        <f>HYPERLINK("http://dx.doi.org/10.1080/1540496X.2025.2604601","http://dx.doi.org/10.1080/1540496X.2025.2604601")</f>
        <v>http://dx.doi.org/10.1080/1540496X.2025.2604601</v>
      </c>
      <c r="BG53" t="s">
        <v>74</v>
      </c>
      <c r="BH53" t="s">
        <v>488</v>
      </c>
      <c r="BI53">
        <v>19</v>
      </c>
      <c r="BJ53" t="s">
        <v>1283</v>
      </c>
      <c r="BK53" t="s">
        <v>99</v>
      </c>
      <c r="BL53" t="s">
        <v>1284</v>
      </c>
      <c r="BM53" t="s">
        <v>1285</v>
      </c>
      <c r="BN53" t="s">
        <v>74</v>
      </c>
      <c r="BO53" t="s">
        <v>74</v>
      </c>
      <c r="BP53" t="s">
        <v>74</v>
      </c>
      <c r="BQ53" t="s">
        <v>74</v>
      </c>
      <c r="BR53" t="s">
        <v>102</v>
      </c>
      <c r="BS53" t="s">
        <v>1286</v>
      </c>
      <c r="BT53" t="str">
        <f>HYPERLINK("https%3A%2F%2Fwww.webofscience.com%2Fwos%2Fwoscc%2Ffull-record%2FWOS:001651268900001","View Full Record in Web of Science")</f>
        <v>View Full Record in Web of Science</v>
      </c>
    </row>
    <row r="54" spans="1:72" x14ac:dyDescent="0.25">
      <c r="A54" t="s">
        <v>72</v>
      </c>
      <c r="B54" t="s">
        <v>1287</v>
      </c>
      <c r="C54" t="s">
        <v>74</v>
      </c>
      <c r="D54" t="s">
        <v>74</v>
      </c>
      <c r="E54" t="s">
        <v>74</v>
      </c>
      <c r="F54" t="s">
        <v>1288</v>
      </c>
      <c r="G54" t="s">
        <v>74</v>
      </c>
      <c r="H54" t="s">
        <v>74</v>
      </c>
      <c r="I54" t="s">
        <v>1289</v>
      </c>
      <c r="J54" t="s">
        <v>1290</v>
      </c>
      <c r="K54" t="s">
        <v>74</v>
      </c>
      <c r="L54" t="s">
        <v>74</v>
      </c>
      <c r="M54" t="s">
        <v>78</v>
      </c>
      <c r="N54" t="s">
        <v>79</v>
      </c>
      <c r="O54" t="s">
        <v>74</v>
      </c>
      <c r="P54" t="s">
        <v>74</v>
      </c>
      <c r="Q54" t="s">
        <v>74</v>
      </c>
      <c r="R54" t="s">
        <v>74</v>
      </c>
      <c r="S54" t="s">
        <v>74</v>
      </c>
      <c r="T54" t="s">
        <v>1291</v>
      </c>
      <c r="U54" t="s">
        <v>1292</v>
      </c>
      <c r="V54" t="s">
        <v>1293</v>
      </c>
      <c r="W54" t="s">
        <v>1294</v>
      </c>
      <c r="X54" t="s">
        <v>1295</v>
      </c>
      <c r="Y54" t="s">
        <v>1296</v>
      </c>
      <c r="Z54" t="s">
        <v>1297</v>
      </c>
      <c r="AA54" t="s">
        <v>74</v>
      </c>
      <c r="AB54" t="s">
        <v>1298</v>
      </c>
      <c r="AC54" t="s">
        <v>74</v>
      </c>
      <c r="AD54" t="s">
        <v>74</v>
      </c>
      <c r="AE54" t="s">
        <v>74</v>
      </c>
      <c r="AF54" t="s">
        <v>74</v>
      </c>
      <c r="AG54">
        <v>100</v>
      </c>
      <c r="AH54">
        <v>3</v>
      </c>
      <c r="AI54">
        <v>4</v>
      </c>
      <c r="AJ54">
        <v>7</v>
      </c>
      <c r="AK54">
        <v>13</v>
      </c>
      <c r="AL54" t="s">
        <v>575</v>
      </c>
      <c r="AM54" t="s">
        <v>576</v>
      </c>
      <c r="AN54" t="s">
        <v>577</v>
      </c>
      <c r="AO54" t="s">
        <v>1299</v>
      </c>
      <c r="AP54" t="s">
        <v>74</v>
      </c>
      <c r="AQ54" t="s">
        <v>74</v>
      </c>
      <c r="AR54" t="s">
        <v>1300</v>
      </c>
      <c r="AS54" t="s">
        <v>1301</v>
      </c>
      <c r="AT54" t="s">
        <v>1302</v>
      </c>
      <c r="AU54">
        <v>2025</v>
      </c>
      <c r="AV54">
        <v>13</v>
      </c>
      <c r="AW54">
        <v>1</v>
      </c>
      <c r="AX54" t="s">
        <v>74</v>
      </c>
      <c r="AY54" t="s">
        <v>74</v>
      </c>
      <c r="AZ54" t="s">
        <v>74</v>
      </c>
      <c r="BA54" t="s">
        <v>74</v>
      </c>
      <c r="BB54" t="s">
        <v>74</v>
      </c>
      <c r="BC54" t="s">
        <v>74</v>
      </c>
      <c r="BD54">
        <v>11</v>
      </c>
      <c r="BE54" t="s">
        <v>1303</v>
      </c>
      <c r="BF54" t="str">
        <f>HYPERLINK("http://dx.doi.org/10.3390/ijfs13010011","http://dx.doi.org/10.3390/ijfs13010011")</f>
        <v>http://dx.doi.org/10.3390/ijfs13010011</v>
      </c>
      <c r="BG54" t="s">
        <v>74</v>
      </c>
      <c r="BH54" t="s">
        <v>74</v>
      </c>
      <c r="BI54">
        <v>30</v>
      </c>
      <c r="BJ54" t="s">
        <v>268</v>
      </c>
      <c r="BK54" t="s">
        <v>313</v>
      </c>
      <c r="BL54" t="s">
        <v>100</v>
      </c>
      <c r="BM54" t="s">
        <v>1304</v>
      </c>
      <c r="BN54" t="s">
        <v>74</v>
      </c>
      <c r="BO54" t="s">
        <v>212</v>
      </c>
      <c r="BP54" t="s">
        <v>74</v>
      </c>
      <c r="BQ54" t="s">
        <v>74</v>
      </c>
      <c r="BR54" t="s">
        <v>102</v>
      </c>
      <c r="BS54" t="s">
        <v>1305</v>
      </c>
      <c r="BT54" t="str">
        <f>HYPERLINK("https%3A%2F%2Fwww.webofscience.com%2Fwos%2Fwoscc%2Ffull-record%2FWOS:001452550000001","View Full Record in Web of Science")</f>
        <v>View Full Record in Web of Science</v>
      </c>
    </row>
    <row r="55" spans="1:72" x14ac:dyDescent="0.25">
      <c r="A55" t="s">
        <v>72</v>
      </c>
      <c r="B55" t="s">
        <v>1306</v>
      </c>
      <c r="C55" t="s">
        <v>74</v>
      </c>
      <c r="D55" t="s">
        <v>74</v>
      </c>
      <c r="E55" t="s">
        <v>74</v>
      </c>
      <c r="F55" t="s">
        <v>1307</v>
      </c>
      <c r="G55" t="s">
        <v>74</v>
      </c>
      <c r="H55" t="s">
        <v>74</v>
      </c>
      <c r="I55" t="s">
        <v>1308</v>
      </c>
      <c r="J55" t="s">
        <v>1309</v>
      </c>
      <c r="K55" t="s">
        <v>74</v>
      </c>
      <c r="L55" t="s">
        <v>74</v>
      </c>
      <c r="M55" t="s">
        <v>78</v>
      </c>
      <c r="N55" t="s">
        <v>372</v>
      </c>
      <c r="O55" t="s">
        <v>74</v>
      </c>
      <c r="P55" t="s">
        <v>74</v>
      </c>
      <c r="Q55" t="s">
        <v>74</v>
      </c>
      <c r="R55" t="s">
        <v>74</v>
      </c>
      <c r="S55" t="s">
        <v>74</v>
      </c>
      <c r="T55" t="s">
        <v>1310</v>
      </c>
      <c r="U55" t="s">
        <v>1311</v>
      </c>
      <c r="V55" t="s">
        <v>1312</v>
      </c>
      <c r="W55" t="s">
        <v>1313</v>
      </c>
      <c r="X55" t="s">
        <v>1314</v>
      </c>
      <c r="Y55" t="s">
        <v>1315</v>
      </c>
      <c r="Z55" t="s">
        <v>1316</v>
      </c>
      <c r="AA55" t="s">
        <v>74</v>
      </c>
      <c r="AB55" t="s">
        <v>74</v>
      </c>
      <c r="AC55" t="s">
        <v>74</v>
      </c>
      <c r="AD55" t="s">
        <v>74</v>
      </c>
      <c r="AE55" t="s">
        <v>74</v>
      </c>
      <c r="AF55" t="s">
        <v>74</v>
      </c>
      <c r="AG55">
        <v>35</v>
      </c>
      <c r="AH55">
        <v>0</v>
      </c>
      <c r="AI55">
        <v>0</v>
      </c>
      <c r="AJ55">
        <v>0</v>
      </c>
      <c r="AK55">
        <v>0</v>
      </c>
      <c r="AL55" t="s">
        <v>89</v>
      </c>
      <c r="AM55" t="s">
        <v>90</v>
      </c>
      <c r="AN55" t="s">
        <v>91</v>
      </c>
      <c r="AO55" t="s">
        <v>1317</v>
      </c>
      <c r="AP55" t="s">
        <v>1318</v>
      </c>
      <c r="AQ55" t="s">
        <v>74</v>
      </c>
      <c r="AR55" t="s">
        <v>1319</v>
      </c>
      <c r="AS55" t="s">
        <v>1320</v>
      </c>
      <c r="AT55" t="s">
        <v>1321</v>
      </c>
      <c r="AU55">
        <v>2025</v>
      </c>
      <c r="AV55" t="s">
        <v>74</v>
      </c>
      <c r="AW55" t="s">
        <v>74</v>
      </c>
      <c r="AX55" t="s">
        <v>74</v>
      </c>
      <c r="AY55" t="s">
        <v>74</v>
      </c>
      <c r="AZ55" t="s">
        <v>74</v>
      </c>
      <c r="BA55" t="s">
        <v>74</v>
      </c>
      <c r="BB55" t="s">
        <v>74</v>
      </c>
      <c r="BC55" t="s">
        <v>74</v>
      </c>
      <c r="BD55" t="s">
        <v>74</v>
      </c>
      <c r="BE55" t="s">
        <v>1322</v>
      </c>
      <c r="BF55" t="str">
        <f>HYPERLINK("http://dx.doi.org/10.1108/JES-08-2025-0622","http://dx.doi.org/10.1108/JES-08-2025-0622")</f>
        <v>http://dx.doi.org/10.1108/JES-08-2025-0622</v>
      </c>
      <c r="BG55" t="s">
        <v>74</v>
      </c>
      <c r="BH55" t="s">
        <v>488</v>
      </c>
      <c r="BI55">
        <v>16</v>
      </c>
      <c r="BJ55" t="s">
        <v>291</v>
      </c>
      <c r="BK55" t="s">
        <v>313</v>
      </c>
      <c r="BL55" t="s">
        <v>100</v>
      </c>
      <c r="BM55" t="s">
        <v>1323</v>
      </c>
      <c r="BN55" t="s">
        <v>74</v>
      </c>
      <c r="BO55" t="s">
        <v>74</v>
      </c>
      <c r="BP55" t="s">
        <v>74</v>
      </c>
      <c r="BQ55" t="s">
        <v>74</v>
      </c>
      <c r="BR55" t="s">
        <v>102</v>
      </c>
      <c r="BS55" t="s">
        <v>1324</v>
      </c>
      <c r="BT55" t="str">
        <f>HYPERLINK("https%3A%2F%2Fwww.webofscience.com%2Fwos%2Fwoscc%2Ffull-record%2FWOS:001644529100001","View Full Record in Web of Science")</f>
        <v>View Full Record in Web of Science</v>
      </c>
    </row>
    <row r="56" spans="1:72" x14ac:dyDescent="0.25">
      <c r="A56" t="s">
        <v>72</v>
      </c>
      <c r="B56" t="s">
        <v>1325</v>
      </c>
      <c r="C56" t="s">
        <v>74</v>
      </c>
      <c r="D56" t="s">
        <v>74</v>
      </c>
      <c r="E56" t="s">
        <v>74</v>
      </c>
      <c r="F56" t="s">
        <v>1326</v>
      </c>
      <c r="G56" t="s">
        <v>74</v>
      </c>
      <c r="H56" t="s">
        <v>74</v>
      </c>
      <c r="I56" t="s">
        <v>1327</v>
      </c>
      <c r="J56" t="s">
        <v>1328</v>
      </c>
      <c r="K56" t="s">
        <v>74</v>
      </c>
      <c r="L56" t="s">
        <v>74</v>
      </c>
      <c r="M56" t="s">
        <v>78</v>
      </c>
      <c r="N56" t="s">
        <v>79</v>
      </c>
      <c r="O56" t="s">
        <v>74</v>
      </c>
      <c r="P56" t="s">
        <v>74</v>
      </c>
      <c r="Q56" t="s">
        <v>74</v>
      </c>
      <c r="R56" t="s">
        <v>74</v>
      </c>
      <c r="S56" t="s">
        <v>74</v>
      </c>
      <c r="T56" t="s">
        <v>1329</v>
      </c>
      <c r="U56" t="s">
        <v>74</v>
      </c>
      <c r="V56" t="s">
        <v>1330</v>
      </c>
      <c r="W56" t="s">
        <v>1331</v>
      </c>
      <c r="X56" t="s">
        <v>1332</v>
      </c>
      <c r="Y56" t="s">
        <v>1333</v>
      </c>
      <c r="Z56" t="s">
        <v>1334</v>
      </c>
      <c r="AA56" t="s">
        <v>74</v>
      </c>
      <c r="AB56" t="s">
        <v>74</v>
      </c>
      <c r="AC56" t="s">
        <v>74</v>
      </c>
      <c r="AD56" t="s">
        <v>74</v>
      </c>
      <c r="AE56" t="s">
        <v>74</v>
      </c>
      <c r="AF56" t="s">
        <v>74</v>
      </c>
      <c r="AG56">
        <v>20</v>
      </c>
      <c r="AH56">
        <v>1</v>
      </c>
      <c r="AI56">
        <v>1</v>
      </c>
      <c r="AJ56">
        <v>0</v>
      </c>
      <c r="AK56">
        <v>4</v>
      </c>
      <c r="AL56" t="s">
        <v>1335</v>
      </c>
      <c r="AM56" t="s">
        <v>1336</v>
      </c>
      <c r="AN56" t="s">
        <v>1337</v>
      </c>
      <c r="AO56" t="s">
        <v>1338</v>
      </c>
      <c r="AP56" t="s">
        <v>1339</v>
      </c>
      <c r="AQ56" t="s">
        <v>74</v>
      </c>
      <c r="AR56" t="s">
        <v>1340</v>
      </c>
      <c r="AS56" t="s">
        <v>1341</v>
      </c>
      <c r="AT56" t="s">
        <v>74</v>
      </c>
      <c r="AU56">
        <v>2022</v>
      </c>
      <c r="AV56">
        <v>16</v>
      </c>
      <c r="AW56">
        <v>6</v>
      </c>
      <c r="AX56" t="s">
        <v>74</v>
      </c>
      <c r="AY56" t="s">
        <v>74</v>
      </c>
      <c r="AZ56" t="s">
        <v>74</v>
      </c>
      <c r="BA56" t="s">
        <v>74</v>
      </c>
      <c r="BB56">
        <v>106</v>
      </c>
      <c r="BC56">
        <v>119</v>
      </c>
      <c r="BD56" t="s">
        <v>74</v>
      </c>
      <c r="BE56" t="s">
        <v>74</v>
      </c>
      <c r="BF56" t="s">
        <v>74</v>
      </c>
      <c r="BG56" t="s">
        <v>74</v>
      </c>
      <c r="BH56" t="s">
        <v>74</v>
      </c>
      <c r="BI56">
        <v>14</v>
      </c>
      <c r="BJ56" t="s">
        <v>268</v>
      </c>
      <c r="BK56" t="s">
        <v>313</v>
      </c>
      <c r="BL56" t="s">
        <v>100</v>
      </c>
      <c r="BM56" t="s">
        <v>1342</v>
      </c>
      <c r="BN56" t="s">
        <v>74</v>
      </c>
      <c r="BO56" t="s">
        <v>74</v>
      </c>
      <c r="BP56" t="s">
        <v>74</v>
      </c>
      <c r="BQ56" t="s">
        <v>74</v>
      </c>
      <c r="BR56" t="s">
        <v>102</v>
      </c>
      <c r="BS56" t="s">
        <v>1343</v>
      </c>
      <c r="BT56" t="str">
        <f>HYPERLINK("https%3A%2F%2Fwww.webofscience.com%2Fwos%2Fwoscc%2Ffull-record%2FWOS:000896651600007","View Full Record in Web of Science")</f>
        <v>View Full Record in Web of Science</v>
      </c>
    </row>
    <row r="57" spans="1:72" x14ac:dyDescent="0.25">
      <c r="A57" t="s">
        <v>72</v>
      </c>
      <c r="B57" t="s">
        <v>1344</v>
      </c>
      <c r="C57" t="s">
        <v>74</v>
      </c>
      <c r="D57" t="s">
        <v>74</v>
      </c>
      <c r="E57" t="s">
        <v>74</v>
      </c>
      <c r="F57" t="s">
        <v>1345</v>
      </c>
      <c r="G57" t="s">
        <v>74</v>
      </c>
      <c r="H57" t="s">
        <v>74</v>
      </c>
      <c r="I57" t="s">
        <v>1346</v>
      </c>
      <c r="J57" t="s">
        <v>1347</v>
      </c>
      <c r="K57" t="s">
        <v>74</v>
      </c>
      <c r="L57" t="s">
        <v>74</v>
      </c>
      <c r="M57" t="s">
        <v>78</v>
      </c>
      <c r="N57" t="s">
        <v>79</v>
      </c>
      <c r="O57" t="s">
        <v>74</v>
      </c>
      <c r="P57" t="s">
        <v>74</v>
      </c>
      <c r="Q57" t="s">
        <v>74</v>
      </c>
      <c r="R57" t="s">
        <v>74</v>
      </c>
      <c r="S57" t="s">
        <v>74</v>
      </c>
      <c r="T57" t="s">
        <v>1348</v>
      </c>
      <c r="U57" t="s">
        <v>74</v>
      </c>
      <c r="V57" t="s">
        <v>1349</v>
      </c>
      <c r="W57" t="s">
        <v>1350</v>
      </c>
      <c r="X57" t="s">
        <v>1351</v>
      </c>
      <c r="Y57" t="s">
        <v>1352</v>
      </c>
      <c r="Z57" t="s">
        <v>74</v>
      </c>
      <c r="AA57" t="s">
        <v>1353</v>
      </c>
      <c r="AB57" t="s">
        <v>1354</v>
      </c>
      <c r="AC57" t="s">
        <v>74</v>
      </c>
      <c r="AD57" t="s">
        <v>74</v>
      </c>
      <c r="AE57" t="s">
        <v>74</v>
      </c>
      <c r="AF57" t="s">
        <v>74</v>
      </c>
      <c r="AG57">
        <v>18</v>
      </c>
      <c r="AH57">
        <v>4</v>
      </c>
      <c r="AI57">
        <v>5</v>
      </c>
      <c r="AJ57">
        <v>0</v>
      </c>
      <c r="AK57">
        <v>23</v>
      </c>
      <c r="AL57" t="s">
        <v>1355</v>
      </c>
      <c r="AM57" t="s">
        <v>1356</v>
      </c>
      <c r="AN57" t="s">
        <v>1357</v>
      </c>
      <c r="AO57" t="s">
        <v>1358</v>
      </c>
      <c r="AP57" t="s">
        <v>74</v>
      </c>
      <c r="AQ57" t="s">
        <v>74</v>
      </c>
      <c r="AR57" t="s">
        <v>1359</v>
      </c>
      <c r="AS57" t="s">
        <v>1360</v>
      </c>
      <c r="AT57" t="s">
        <v>74</v>
      </c>
      <c r="AU57">
        <v>2018</v>
      </c>
      <c r="AV57" t="s">
        <v>74</v>
      </c>
      <c r="AW57">
        <v>3</v>
      </c>
      <c r="AX57" t="s">
        <v>74</v>
      </c>
      <c r="AY57" t="s">
        <v>74</v>
      </c>
      <c r="AZ57" t="s">
        <v>74</v>
      </c>
      <c r="BA57" t="s">
        <v>74</v>
      </c>
      <c r="BB57">
        <v>302</v>
      </c>
      <c r="BC57">
        <v>312</v>
      </c>
      <c r="BD57" t="s">
        <v>74</v>
      </c>
      <c r="BE57" t="s">
        <v>1361</v>
      </c>
      <c r="BF57" t="str">
        <f>HYPERLINK("http://dx.doi.org/10.21272/mmi.2018.3-27","http://dx.doi.org/10.21272/mmi.2018.3-27")</f>
        <v>http://dx.doi.org/10.21272/mmi.2018.3-27</v>
      </c>
      <c r="BG57" t="s">
        <v>74</v>
      </c>
      <c r="BH57" t="s">
        <v>74</v>
      </c>
      <c r="BI57">
        <v>11</v>
      </c>
      <c r="BJ57" t="s">
        <v>583</v>
      </c>
      <c r="BK57" t="s">
        <v>313</v>
      </c>
      <c r="BL57" t="s">
        <v>100</v>
      </c>
      <c r="BM57" t="s">
        <v>1362</v>
      </c>
      <c r="BN57" t="s">
        <v>74</v>
      </c>
      <c r="BO57" t="s">
        <v>916</v>
      </c>
      <c r="BP57" t="s">
        <v>74</v>
      </c>
      <c r="BQ57" t="s">
        <v>74</v>
      </c>
      <c r="BR57" t="s">
        <v>102</v>
      </c>
      <c r="BS57" t="s">
        <v>1363</v>
      </c>
      <c r="BT57" t="str">
        <f>HYPERLINK("https%3A%2F%2Fwww.webofscience.com%2Fwos%2Fwoscc%2Ffull-record%2FWOS:000446112400027","View Full Record in Web of Science")</f>
        <v>View Full Record in Web of Science</v>
      </c>
    </row>
    <row r="58" spans="1:72" x14ac:dyDescent="0.25">
      <c r="A58" t="s">
        <v>72</v>
      </c>
      <c r="B58" t="s">
        <v>1364</v>
      </c>
      <c r="C58" t="s">
        <v>74</v>
      </c>
      <c r="D58" t="s">
        <v>74</v>
      </c>
      <c r="E58" t="s">
        <v>74</v>
      </c>
      <c r="F58" t="s">
        <v>1365</v>
      </c>
      <c r="G58" t="s">
        <v>74</v>
      </c>
      <c r="H58" t="s">
        <v>74</v>
      </c>
      <c r="I58" t="s">
        <v>1366</v>
      </c>
      <c r="J58" t="s">
        <v>1367</v>
      </c>
      <c r="K58" t="s">
        <v>74</v>
      </c>
      <c r="L58" t="s">
        <v>74</v>
      </c>
      <c r="M58" t="s">
        <v>78</v>
      </c>
      <c r="N58" t="s">
        <v>79</v>
      </c>
      <c r="O58" t="s">
        <v>74</v>
      </c>
      <c r="P58" t="s">
        <v>74</v>
      </c>
      <c r="Q58" t="s">
        <v>74</v>
      </c>
      <c r="R58" t="s">
        <v>74</v>
      </c>
      <c r="S58" t="s">
        <v>74</v>
      </c>
      <c r="T58" t="s">
        <v>1368</v>
      </c>
      <c r="U58" t="s">
        <v>1369</v>
      </c>
      <c r="V58" t="s">
        <v>1370</v>
      </c>
      <c r="W58" t="s">
        <v>1371</v>
      </c>
      <c r="X58" t="s">
        <v>74</v>
      </c>
      <c r="Y58" t="s">
        <v>1372</v>
      </c>
      <c r="Z58" t="s">
        <v>1373</v>
      </c>
      <c r="AA58" t="s">
        <v>1374</v>
      </c>
      <c r="AB58" t="s">
        <v>1375</v>
      </c>
      <c r="AC58" t="s">
        <v>74</v>
      </c>
      <c r="AD58" t="s">
        <v>74</v>
      </c>
      <c r="AE58" t="s">
        <v>74</v>
      </c>
      <c r="AF58" t="s">
        <v>74</v>
      </c>
      <c r="AG58">
        <v>32</v>
      </c>
      <c r="AH58">
        <v>0</v>
      </c>
      <c r="AI58">
        <v>0</v>
      </c>
      <c r="AJ58">
        <v>5</v>
      </c>
      <c r="AK58">
        <v>73</v>
      </c>
      <c r="AL58" t="s">
        <v>1376</v>
      </c>
      <c r="AM58" t="s">
        <v>1377</v>
      </c>
      <c r="AN58" t="s">
        <v>1378</v>
      </c>
      <c r="AO58" t="s">
        <v>1379</v>
      </c>
      <c r="AP58" t="s">
        <v>1380</v>
      </c>
      <c r="AQ58" t="s">
        <v>74</v>
      </c>
      <c r="AR58" t="s">
        <v>1381</v>
      </c>
      <c r="AS58" t="s">
        <v>1382</v>
      </c>
      <c r="AT58" t="s">
        <v>74</v>
      </c>
      <c r="AU58">
        <v>2023</v>
      </c>
      <c r="AV58">
        <v>15</v>
      </c>
      <c r="AW58">
        <v>2</v>
      </c>
      <c r="AX58" t="s">
        <v>74</v>
      </c>
      <c r="AY58" t="s">
        <v>74</v>
      </c>
      <c r="AZ58" t="s">
        <v>74</v>
      </c>
      <c r="BA58" t="s">
        <v>74</v>
      </c>
      <c r="BB58">
        <v>143</v>
      </c>
      <c r="BC58">
        <v>159</v>
      </c>
      <c r="BD58" t="s">
        <v>74</v>
      </c>
      <c r="BE58" t="s">
        <v>1383</v>
      </c>
      <c r="BF58" t="str">
        <f>HYPERLINK("http://dx.doi.org/10.20885/ejem.vol15.iss2.art3","http://dx.doi.org/10.20885/ejem.vol15.iss2.art3")</f>
        <v>http://dx.doi.org/10.20885/ejem.vol15.iss2.art3</v>
      </c>
      <c r="BG58" t="s">
        <v>74</v>
      </c>
      <c r="BH58" t="s">
        <v>74</v>
      </c>
      <c r="BI58">
        <v>17</v>
      </c>
      <c r="BJ58" t="s">
        <v>291</v>
      </c>
      <c r="BK58" t="s">
        <v>313</v>
      </c>
      <c r="BL58" t="s">
        <v>100</v>
      </c>
      <c r="BM58" t="s">
        <v>1384</v>
      </c>
      <c r="BN58" t="s">
        <v>74</v>
      </c>
      <c r="BO58" t="s">
        <v>916</v>
      </c>
      <c r="BP58" t="s">
        <v>74</v>
      </c>
      <c r="BQ58" t="s">
        <v>74</v>
      </c>
      <c r="BR58" t="s">
        <v>102</v>
      </c>
      <c r="BS58" t="s">
        <v>1385</v>
      </c>
      <c r="BT58" t="str">
        <f>HYPERLINK("https%3A%2F%2Fwww.webofscience.com%2Fwos%2Fwoscc%2Ffull-record%2FWOS:001097342800003","View Full Record in Web of Science")</f>
        <v>View Full Record in Web of Science</v>
      </c>
    </row>
    <row r="59" spans="1:72" x14ac:dyDescent="0.25">
      <c r="A59" t="s">
        <v>132</v>
      </c>
      <c r="B59" t="s">
        <v>1386</v>
      </c>
      <c r="C59" t="s">
        <v>74</v>
      </c>
      <c r="D59" t="s">
        <v>1387</v>
      </c>
      <c r="E59" t="s">
        <v>74</v>
      </c>
      <c r="F59" t="s">
        <v>1388</v>
      </c>
      <c r="G59" t="s">
        <v>74</v>
      </c>
      <c r="H59" t="s">
        <v>74</v>
      </c>
      <c r="I59" t="s">
        <v>1389</v>
      </c>
      <c r="J59" t="s">
        <v>1390</v>
      </c>
      <c r="K59" t="s">
        <v>74</v>
      </c>
      <c r="L59" t="s">
        <v>74</v>
      </c>
      <c r="M59" t="s">
        <v>78</v>
      </c>
      <c r="N59" t="s">
        <v>138</v>
      </c>
      <c r="O59" t="s">
        <v>1391</v>
      </c>
      <c r="P59" t="s">
        <v>1392</v>
      </c>
      <c r="Q59" t="s">
        <v>1393</v>
      </c>
      <c r="R59" t="s">
        <v>74</v>
      </c>
      <c r="S59" t="s">
        <v>1394</v>
      </c>
      <c r="T59" t="s">
        <v>1395</v>
      </c>
      <c r="U59" t="s">
        <v>74</v>
      </c>
      <c r="V59" t="s">
        <v>1396</v>
      </c>
      <c r="W59" t="s">
        <v>1397</v>
      </c>
      <c r="X59" t="s">
        <v>1398</v>
      </c>
      <c r="Y59" t="s">
        <v>1399</v>
      </c>
      <c r="Z59" t="s">
        <v>1400</v>
      </c>
      <c r="AA59" t="s">
        <v>74</v>
      </c>
      <c r="AB59" t="s">
        <v>74</v>
      </c>
      <c r="AC59" t="s">
        <v>74</v>
      </c>
      <c r="AD59" t="s">
        <v>74</v>
      </c>
      <c r="AE59" t="s">
        <v>74</v>
      </c>
      <c r="AF59" t="s">
        <v>74</v>
      </c>
      <c r="AG59">
        <v>27</v>
      </c>
      <c r="AH59">
        <v>2</v>
      </c>
      <c r="AI59">
        <v>2</v>
      </c>
      <c r="AJ59">
        <v>0</v>
      </c>
      <c r="AK59">
        <v>4</v>
      </c>
      <c r="AL59" t="s">
        <v>1401</v>
      </c>
      <c r="AM59" t="s">
        <v>1402</v>
      </c>
      <c r="AN59" t="s">
        <v>1403</v>
      </c>
      <c r="AO59" t="s">
        <v>74</v>
      </c>
      <c r="AP59" t="s">
        <v>74</v>
      </c>
      <c r="AQ59" t="s">
        <v>1404</v>
      </c>
      <c r="AR59" t="s">
        <v>74</v>
      </c>
      <c r="AS59" t="s">
        <v>74</v>
      </c>
      <c r="AT59" t="s">
        <v>74</v>
      </c>
      <c r="AU59">
        <v>2015</v>
      </c>
      <c r="AV59" t="s">
        <v>74</v>
      </c>
      <c r="AW59" t="s">
        <v>74</v>
      </c>
      <c r="AX59" t="s">
        <v>74</v>
      </c>
      <c r="AY59" t="s">
        <v>74</v>
      </c>
      <c r="AZ59" t="s">
        <v>74</v>
      </c>
      <c r="BA59" t="s">
        <v>74</v>
      </c>
      <c r="BB59">
        <v>329</v>
      </c>
      <c r="BC59">
        <v>340</v>
      </c>
      <c r="BD59" t="s">
        <v>74</v>
      </c>
      <c r="BE59" t="s">
        <v>74</v>
      </c>
      <c r="BF59" t="s">
        <v>74</v>
      </c>
      <c r="BG59" t="s">
        <v>74</v>
      </c>
      <c r="BH59" t="s">
        <v>74</v>
      </c>
      <c r="BI59">
        <v>12</v>
      </c>
      <c r="BJ59" t="s">
        <v>1405</v>
      </c>
      <c r="BK59" t="s">
        <v>183</v>
      </c>
      <c r="BL59" t="s">
        <v>1406</v>
      </c>
      <c r="BM59" t="s">
        <v>1407</v>
      </c>
      <c r="BN59" t="s">
        <v>74</v>
      </c>
      <c r="BO59" t="s">
        <v>74</v>
      </c>
      <c r="BP59" t="s">
        <v>74</v>
      </c>
      <c r="BQ59" t="s">
        <v>74</v>
      </c>
      <c r="BR59" t="s">
        <v>102</v>
      </c>
      <c r="BS59" t="s">
        <v>1408</v>
      </c>
      <c r="BT59" t="str">
        <f>HYPERLINK("https%3A%2F%2Fwww.webofscience.com%2Fwos%2Fwoscc%2Ffull-record%2FWOS:000450585000030","View Full Record in Web of Science")</f>
        <v>View Full Record in Web of Science</v>
      </c>
    </row>
    <row r="60" spans="1:72" x14ac:dyDescent="0.25">
      <c r="A60" t="s">
        <v>72</v>
      </c>
      <c r="B60" t="s">
        <v>1409</v>
      </c>
      <c r="C60" t="s">
        <v>74</v>
      </c>
      <c r="D60" t="s">
        <v>74</v>
      </c>
      <c r="E60" t="s">
        <v>74</v>
      </c>
      <c r="F60" t="s">
        <v>1410</v>
      </c>
      <c r="G60" t="s">
        <v>74</v>
      </c>
      <c r="H60" t="s">
        <v>74</v>
      </c>
      <c r="I60" t="s">
        <v>1411</v>
      </c>
      <c r="J60" t="s">
        <v>1412</v>
      </c>
      <c r="K60" t="s">
        <v>74</v>
      </c>
      <c r="L60" t="s">
        <v>74</v>
      </c>
      <c r="M60" t="s">
        <v>78</v>
      </c>
      <c r="N60" t="s">
        <v>79</v>
      </c>
      <c r="O60" t="s">
        <v>74</v>
      </c>
      <c r="P60" t="s">
        <v>74</v>
      </c>
      <c r="Q60" t="s">
        <v>74</v>
      </c>
      <c r="R60" t="s">
        <v>74</v>
      </c>
      <c r="S60" t="s">
        <v>74</v>
      </c>
      <c r="T60" t="s">
        <v>1413</v>
      </c>
      <c r="U60" t="s">
        <v>1414</v>
      </c>
      <c r="V60" t="s">
        <v>1415</v>
      </c>
      <c r="W60" t="s">
        <v>1416</v>
      </c>
      <c r="X60" t="s">
        <v>1417</v>
      </c>
      <c r="Y60" t="s">
        <v>1418</v>
      </c>
      <c r="Z60" t="s">
        <v>1419</v>
      </c>
      <c r="AA60" t="s">
        <v>74</v>
      </c>
      <c r="AB60" t="s">
        <v>74</v>
      </c>
      <c r="AC60" t="s">
        <v>1420</v>
      </c>
      <c r="AD60" t="s">
        <v>1421</v>
      </c>
      <c r="AE60" t="s">
        <v>1422</v>
      </c>
      <c r="AF60" t="s">
        <v>74</v>
      </c>
      <c r="AG60">
        <v>111</v>
      </c>
      <c r="AH60">
        <v>24</v>
      </c>
      <c r="AI60">
        <v>27</v>
      </c>
      <c r="AJ60">
        <v>4</v>
      </c>
      <c r="AK60">
        <v>58</v>
      </c>
      <c r="AL60" t="s">
        <v>332</v>
      </c>
      <c r="AM60" t="s">
        <v>333</v>
      </c>
      <c r="AN60" t="s">
        <v>334</v>
      </c>
      <c r="AO60" t="s">
        <v>1423</v>
      </c>
      <c r="AP60" t="s">
        <v>1424</v>
      </c>
      <c r="AQ60" t="s">
        <v>74</v>
      </c>
      <c r="AR60" t="s">
        <v>1425</v>
      </c>
      <c r="AS60" t="s">
        <v>1426</v>
      </c>
      <c r="AT60" t="s">
        <v>1427</v>
      </c>
      <c r="AU60">
        <v>2021</v>
      </c>
      <c r="AV60">
        <v>27</v>
      </c>
      <c r="AW60">
        <v>1</v>
      </c>
      <c r="AX60" t="s">
        <v>74</v>
      </c>
      <c r="AY60" t="s">
        <v>74</v>
      </c>
      <c r="AZ60" t="s">
        <v>74</v>
      </c>
      <c r="BA60" t="s">
        <v>74</v>
      </c>
      <c r="BB60">
        <v>67</v>
      </c>
      <c r="BC60">
        <v>90</v>
      </c>
      <c r="BD60" t="s">
        <v>74</v>
      </c>
      <c r="BE60" t="s">
        <v>1428</v>
      </c>
      <c r="BF60" t="str">
        <f>HYPERLINK("http://dx.doi.org/10.1080/02681102.2020.1818544","http://dx.doi.org/10.1080/02681102.2020.1818544")</f>
        <v>http://dx.doi.org/10.1080/02681102.2020.1818544</v>
      </c>
      <c r="BG60" t="s">
        <v>74</v>
      </c>
      <c r="BH60" t="s">
        <v>745</v>
      </c>
      <c r="BI60">
        <v>24</v>
      </c>
      <c r="BJ60" t="s">
        <v>1429</v>
      </c>
      <c r="BK60" t="s">
        <v>99</v>
      </c>
      <c r="BL60" t="s">
        <v>1429</v>
      </c>
      <c r="BM60" t="s">
        <v>1430</v>
      </c>
      <c r="BN60" t="s">
        <v>74</v>
      </c>
      <c r="BO60" t="s">
        <v>74</v>
      </c>
      <c r="BP60" t="s">
        <v>74</v>
      </c>
      <c r="BQ60" t="s">
        <v>74</v>
      </c>
      <c r="BR60" t="s">
        <v>102</v>
      </c>
      <c r="BS60" t="s">
        <v>1431</v>
      </c>
      <c r="BT60" t="str">
        <f>HYPERLINK("https%3A%2F%2Fwww.webofscience.com%2Fwos%2Fwoscc%2Ffull-record%2FWOS:000569502200001","View Full Record in Web of Science")</f>
        <v>View Full Record in Web of Science</v>
      </c>
    </row>
    <row r="61" spans="1:72" x14ac:dyDescent="0.25">
      <c r="A61" t="s">
        <v>72</v>
      </c>
      <c r="B61" t="s">
        <v>1432</v>
      </c>
      <c r="C61" t="s">
        <v>74</v>
      </c>
      <c r="D61" t="s">
        <v>74</v>
      </c>
      <c r="E61" t="s">
        <v>74</v>
      </c>
      <c r="F61" t="s">
        <v>1433</v>
      </c>
      <c r="G61" t="s">
        <v>74</v>
      </c>
      <c r="H61" t="s">
        <v>74</v>
      </c>
      <c r="I61" t="s">
        <v>1434</v>
      </c>
      <c r="J61" t="s">
        <v>1435</v>
      </c>
      <c r="K61" t="s">
        <v>74</v>
      </c>
      <c r="L61" t="s">
        <v>74</v>
      </c>
      <c r="M61" t="s">
        <v>78</v>
      </c>
      <c r="N61" t="s">
        <v>79</v>
      </c>
      <c r="O61" t="s">
        <v>74</v>
      </c>
      <c r="P61" t="s">
        <v>74</v>
      </c>
      <c r="Q61" t="s">
        <v>74</v>
      </c>
      <c r="R61" t="s">
        <v>74</v>
      </c>
      <c r="S61" t="s">
        <v>74</v>
      </c>
      <c r="T61" t="s">
        <v>1436</v>
      </c>
      <c r="U61" t="s">
        <v>1437</v>
      </c>
      <c r="V61" t="s">
        <v>1438</v>
      </c>
      <c r="W61" t="s">
        <v>1439</v>
      </c>
      <c r="X61" t="s">
        <v>1440</v>
      </c>
      <c r="Y61" t="s">
        <v>1441</v>
      </c>
      <c r="Z61" t="s">
        <v>1442</v>
      </c>
      <c r="AA61" t="s">
        <v>1443</v>
      </c>
      <c r="AB61" t="s">
        <v>1444</v>
      </c>
      <c r="AC61" t="s">
        <v>74</v>
      </c>
      <c r="AD61" t="s">
        <v>74</v>
      </c>
      <c r="AE61" t="s">
        <v>74</v>
      </c>
      <c r="AF61" t="s">
        <v>74</v>
      </c>
      <c r="AG61">
        <v>57</v>
      </c>
      <c r="AH61">
        <v>13</v>
      </c>
      <c r="AI61">
        <v>25</v>
      </c>
      <c r="AJ61">
        <v>1</v>
      </c>
      <c r="AK61">
        <v>15</v>
      </c>
      <c r="AL61" t="s">
        <v>1445</v>
      </c>
      <c r="AM61" t="s">
        <v>1446</v>
      </c>
      <c r="AN61" t="s">
        <v>1447</v>
      </c>
      <c r="AO61" t="s">
        <v>1448</v>
      </c>
      <c r="AP61" t="s">
        <v>1449</v>
      </c>
      <c r="AQ61" t="s">
        <v>74</v>
      </c>
      <c r="AR61" t="s">
        <v>1450</v>
      </c>
      <c r="AS61" t="s">
        <v>1451</v>
      </c>
      <c r="AT61" t="s">
        <v>74</v>
      </c>
      <c r="AU61">
        <v>2018</v>
      </c>
      <c r="AV61">
        <v>11</v>
      </c>
      <c r="AW61">
        <v>2</v>
      </c>
      <c r="AX61" t="s">
        <v>74</v>
      </c>
      <c r="AY61" t="s">
        <v>74</v>
      </c>
      <c r="AZ61" t="s">
        <v>74</v>
      </c>
      <c r="BA61" t="s">
        <v>74</v>
      </c>
      <c r="BB61">
        <v>19</v>
      </c>
      <c r="BC61">
        <v>35</v>
      </c>
      <c r="BD61" t="s">
        <v>74</v>
      </c>
      <c r="BE61" t="s">
        <v>1452</v>
      </c>
      <c r="BF61" t="str">
        <f>HYPERLINK("http://dx.doi.org/10.14254/2071-789X.2018/11-2/2","http://dx.doi.org/10.14254/2071-789X.2018/11-2/2")</f>
        <v>http://dx.doi.org/10.14254/2071-789X.2018/11-2/2</v>
      </c>
      <c r="BG61" t="s">
        <v>74</v>
      </c>
      <c r="BH61" t="s">
        <v>74</v>
      </c>
      <c r="BI61">
        <v>17</v>
      </c>
      <c r="BJ61" t="s">
        <v>1453</v>
      </c>
      <c r="BK61" t="s">
        <v>313</v>
      </c>
      <c r="BL61" t="s">
        <v>100</v>
      </c>
      <c r="BM61" t="s">
        <v>1454</v>
      </c>
      <c r="BN61" t="s">
        <v>74</v>
      </c>
      <c r="BO61" t="s">
        <v>916</v>
      </c>
      <c r="BP61" t="s">
        <v>74</v>
      </c>
      <c r="BQ61" t="s">
        <v>74</v>
      </c>
      <c r="BR61" t="s">
        <v>102</v>
      </c>
      <c r="BS61" t="s">
        <v>1455</v>
      </c>
      <c r="BT61" t="str">
        <f>HYPERLINK("https%3A%2F%2Fwww.webofscience.com%2Fwos%2Fwoscc%2Ffull-record%2FWOS:000436937200003","View Full Record in Web of Science")</f>
        <v>View Full Record in Web of Science</v>
      </c>
    </row>
    <row r="62" spans="1:72" x14ac:dyDescent="0.25">
      <c r="A62" t="s">
        <v>72</v>
      </c>
      <c r="B62" t="s">
        <v>833</v>
      </c>
      <c r="C62" t="s">
        <v>74</v>
      </c>
      <c r="D62" t="s">
        <v>74</v>
      </c>
      <c r="E62" t="s">
        <v>74</v>
      </c>
      <c r="F62" t="s">
        <v>834</v>
      </c>
      <c r="G62" t="s">
        <v>74</v>
      </c>
      <c r="H62" t="s">
        <v>74</v>
      </c>
      <c r="I62" t="s">
        <v>1456</v>
      </c>
      <c r="J62" t="s">
        <v>836</v>
      </c>
      <c r="K62" t="s">
        <v>74</v>
      </c>
      <c r="L62" t="s">
        <v>74</v>
      </c>
      <c r="M62" t="s">
        <v>78</v>
      </c>
      <c r="N62" t="s">
        <v>79</v>
      </c>
      <c r="O62" t="s">
        <v>74</v>
      </c>
      <c r="P62" t="s">
        <v>74</v>
      </c>
      <c r="Q62" t="s">
        <v>74</v>
      </c>
      <c r="R62" t="s">
        <v>74</v>
      </c>
      <c r="S62" t="s">
        <v>74</v>
      </c>
      <c r="T62" t="s">
        <v>1457</v>
      </c>
      <c r="U62" t="s">
        <v>74</v>
      </c>
      <c r="V62" t="s">
        <v>1458</v>
      </c>
      <c r="W62" t="s">
        <v>1459</v>
      </c>
      <c r="X62" t="s">
        <v>1460</v>
      </c>
      <c r="Y62" t="s">
        <v>842</v>
      </c>
      <c r="Z62" t="s">
        <v>843</v>
      </c>
      <c r="AA62" t="s">
        <v>74</v>
      </c>
      <c r="AB62" t="s">
        <v>74</v>
      </c>
      <c r="AC62" t="s">
        <v>74</v>
      </c>
      <c r="AD62" t="s">
        <v>74</v>
      </c>
      <c r="AE62" t="s">
        <v>74</v>
      </c>
      <c r="AF62" t="s">
        <v>74</v>
      </c>
      <c r="AG62">
        <v>18</v>
      </c>
      <c r="AH62">
        <v>93</v>
      </c>
      <c r="AI62">
        <v>131</v>
      </c>
      <c r="AJ62">
        <v>3</v>
      </c>
      <c r="AK62">
        <v>33</v>
      </c>
      <c r="AL62" t="s">
        <v>503</v>
      </c>
      <c r="AM62" t="s">
        <v>151</v>
      </c>
      <c r="AN62" t="s">
        <v>1461</v>
      </c>
      <c r="AO62" t="s">
        <v>844</v>
      </c>
      <c r="AP62" t="s">
        <v>845</v>
      </c>
      <c r="AQ62" t="s">
        <v>74</v>
      </c>
      <c r="AR62" t="s">
        <v>846</v>
      </c>
      <c r="AS62" t="s">
        <v>847</v>
      </c>
      <c r="AT62" t="s">
        <v>124</v>
      </c>
      <c r="AU62">
        <v>2014</v>
      </c>
      <c r="AV62">
        <v>36</v>
      </c>
      <c r="AW62" t="s">
        <v>74</v>
      </c>
      <c r="AX62" t="s">
        <v>74</v>
      </c>
      <c r="AY62" t="s">
        <v>74</v>
      </c>
      <c r="AZ62" t="s">
        <v>74</v>
      </c>
      <c r="BA62" t="s">
        <v>74</v>
      </c>
      <c r="BB62">
        <v>71</v>
      </c>
      <c r="BC62">
        <v>77</v>
      </c>
      <c r="BD62" t="s">
        <v>74</v>
      </c>
      <c r="BE62" t="s">
        <v>1462</v>
      </c>
      <c r="BF62" t="str">
        <f>HYPERLINK("http://dx.doi.org/10.1016/j.irfa.2014.10.013","http://dx.doi.org/10.1016/j.irfa.2014.10.013")</f>
        <v>http://dx.doi.org/10.1016/j.irfa.2014.10.013</v>
      </c>
      <c r="BG62" t="s">
        <v>74</v>
      </c>
      <c r="BH62" t="s">
        <v>74</v>
      </c>
      <c r="BI62">
        <v>7</v>
      </c>
      <c r="BJ62" t="s">
        <v>268</v>
      </c>
      <c r="BK62" t="s">
        <v>99</v>
      </c>
      <c r="BL62" t="s">
        <v>100</v>
      </c>
      <c r="BM62" t="s">
        <v>1463</v>
      </c>
      <c r="BN62" t="s">
        <v>74</v>
      </c>
      <c r="BO62" t="s">
        <v>270</v>
      </c>
      <c r="BP62" t="s">
        <v>74</v>
      </c>
      <c r="BQ62" t="s">
        <v>74</v>
      </c>
      <c r="BR62" t="s">
        <v>102</v>
      </c>
      <c r="BS62" t="s">
        <v>1464</v>
      </c>
      <c r="BT62" t="str">
        <f>HYPERLINK("https%3A%2F%2Fwww.webofscience.com%2Fwos%2Fwoscc%2Ffull-record%2FWOS:000346064800006","View Full Record in Web of Science")</f>
        <v>View Full Record in Web of Science</v>
      </c>
    </row>
    <row r="63" spans="1:72" x14ac:dyDescent="0.25">
      <c r="A63" t="s">
        <v>72</v>
      </c>
      <c r="B63" t="s">
        <v>1465</v>
      </c>
      <c r="C63" t="s">
        <v>74</v>
      </c>
      <c r="D63" t="s">
        <v>74</v>
      </c>
      <c r="E63" t="s">
        <v>74</v>
      </c>
      <c r="F63" t="s">
        <v>1466</v>
      </c>
      <c r="G63" t="s">
        <v>74</v>
      </c>
      <c r="H63" t="s">
        <v>74</v>
      </c>
      <c r="I63" t="s">
        <v>1467</v>
      </c>
      <c r="J63" t="s">
        <v>1468</v>
      </c>
      <c r="K63" t="s">
        <v>74</v>
      </c>
      <c r="L63" t="s">
        <v>74</v>
      </c>
      <c r="M63" t="s">
        <v>78</v>
      </c>
      <c r="N63" t="s">
        <v>79</v>
      </c>
      <c r="O63" t="s">
        <v>74</v>
      </c>
      <c r="P63" t="s">
        <v>74</v>
      </c>
      <c r="Q63" t="s">
        <v>74</v>
      </c>
      <c r="R63" t="s">
        <v>74</v>
      </c>
      <c r="S63" t="s">
        <v>74</v>
      </c>
      <c r="T63" t="s">
        <v>1469</v>
      </c>
      <c r="U63" t="s">
        <v>1470</v>
      </c>
      <c r="V63" t="s">
        <v>1471</v>
      </c>
      <c r="W63" t="s">
        <v>1472</v>
      </c>
      <c r="X63" t="s">
        <v>1473</v>
      </c>
      <c r="Y63" t="s">
        <v>1474</v>
      </c>
      <c r="Z63" t="s">
        <v>1475</v>
      </c>
      <c r="AA63" t="s">
        <v>1476</v>
      </c>
      <c r="AB63" t="s">
        <v>74</v>
      </c>
      <c r="AC63" t="s">
        <v>1477</v>
      </c>
      <c r="AD63" t="s">
        <v>1478</v>
      </c>
      <c r="AE63" t="s">
        <v>1479</v>
      </c>
      <c r="AF63" t="s">
        <v>74</v>
      </c>
      <c r="AG63">
        <v>68</v>
      </c>
      <c r="AH63">
        <v>0</v>
      </c>
      <c r="AI63">
        <v>0</v>
      </c>
      <c r="AJ63">
        <v>0</v>
      </c>
      <c r="AK63">
        <v>0</v>
      </c>
      <c r="AL63" t="s">
        <v>479</v>
      </c>
      <c r="AM63" t="s">
        <v>480</v>
      </c>
      <c r="AN63" t="s">
        <v>481</v>
      </c>
      <c r="AO63" t="s">
        <v>1480</v>
      </c>
      <c r="AP63" t="s">
        <v>1481</v>
      </c>
      <c r="AQ63" t="s">
        <v>74</v>
      </c>
      <c r="AR63" t="s">
        <v>1482</v>
      </c>
      <c r="AS63" t="s">
        <v>1483</v>
      </c>
      <c r="AT63" t="s">
        <v>208</v>
      </c>
      <c r="AU63">
        <v>2026</v>
      </c>
      <c r="AV63">
        <v>34</v>
      </c>
      <c r="AW63">
        <v>1</v>
      </c>
      <c r="AX63" t="s">
        <v>74</v>
      </c>
      <c r="AY63" t="s">
        <v>74</v>
      </c>
      <c r="AZ63" t="s">
        <v>74</v>
      </c>
      <c r="BA63" t="s">
        <v>74</v>
      </c>
      <c r="BB63">
        <v>45</v>
      </c>
      <c r="BC63">
        <v>71</v>
      </c>
      <c r="BD63" t="s">
        <v>74</v>
      </c>
      <c r="BE63" t="s">
        <v>1484</v>
      </c>
      <c r="BF63" t="str">
        <f>HYPERLINK("http://dx.doi.org/10.1111/ecot.12452","http://dx.doi.org/10.1111/ecot.12452")</f>
        <v>http://dx.doi.org/10.1111/ecot.12452</v>
      </c>
      <c r="BG63" t="s">
        <v>74</v>
      </c>
      <c r="BH63" t="s">
        <v>1485</v>
      </c>
      <c r="BI63">
        <v>27</v>
      </c>
      <c r="BJ63" t="s">
        <v>291</v>
      </c>
      <c r="BK63" t="s">
        <v>99</v>
      </c>
      <c r="BL63" t="s">
        <v>100</v>
      </c>
      <c r="BM63" t="s">
        <v>1486</v>
      </c>
      <c r="BN63" t="s">
        <v>74</v>
      </c>
      <c r="BO63" t="s">
        <v>1205</v>
      </c>
      <c r="BP63" t="s">
        <v>74</v>
      </c>
      <c r="BQ63" t="s">
        <v>74</v>
      </c>
      <c r="BR63" t="s">
        <v>102</v>
      </c>
      <c r="BS63" t="s">
        <v>1487</v>
      </c>
      <c r="BT63" t="str">
        <f>HYPERLINK("https%3A%2F%2Fwww.webofscience.com%2Fwos%2Fwoscc%2Ffull-record%2FWOS:001463435800001","View Full Record in Web of Science")</f>
        <v>View Full Record in Web of Science</v>
      </c>
    </row>
    <row r="64" spans="1:72" x14ac:dyDescent="0.25">
      <c r="A64" t="s">
        <v>72</v>
      </c>
      <c r="B64" t="s">
        <v>1488</v>
      </c>
      <c r="C64" t="s">
        <v>74</v>
      </c>
      <c r="D64" t="s">
        <v>74</v>
      </c>
      <c r="E64" t="s">
        <v>74</v>
      </c>
      <c r="F64" t="s">
        <v>1489</v>
      </c>
      <c r="G64" t="s">
        <v>74</v>
      </c>
      <c r="H64" t="s">
        <v>74</v>
      </c>
      <c r="I64" t="s">
        <v>1490</v>
      </c>
      <c r="J64" t="s">
        <v>1491</v>
      </c>
      <c r="K64" t="s">
        <v>74</v>
      </c>
      <c r="L64" t="s">
        <v>74</v>
      </c>
      <c r="M64" t="s">
        <v>78</v>
      </c>
      <c r="N64" t="s">
        <v>79</v>
      </c>
      <c r="O64" t="s">
        <v>74</v>
      </c>
      <c r="P64" t="s">
        <v>74</v>
      </c>
      <c r="Q64" t="s">
        <v>74</v>
      </c>
      <c r="R64" t="s">
        <v>74</v>
      </c>
      <c r="S64" t="s">
        <v>74</v>
      </c>
      <c r="T64" t="s">
        <v>1492</v>
      </c>
      <c r="U64" t="s">
        <v>74</v>
      </c>
      <c r="V64" t="s">
        <v>1493</v>
      </c>
      <c r="W64" t="s">
        <v>1494</v>
      </c>
      <c r="X64" t="s">
        <v>74</v>
      </c>
      <c r="Y64" t="s">
        <v>1495</v>
      </c>
      <c r="Z64" t="s">
        <v>1496</v>
      </c>
      <c r="AA64" t="s">
        <v>74</v>
      </c>
      <c r="AB64" t="s">
        <v>74</v>
      </c>
      <c r="AC64" t="s">
        <v>74</v>
      </c>
      <c r="AD64" t="s">
        <v>74</v>
      </c>
      <c r="AE64" t="s">
        <v>74</v>
      </c>
      <c r="AF64" t="s">
        <v>74</v>
      </c>
      <c r="AG64">
        <v>21</v>
      </c>
      <c r="AH64">
        <v>3</v>
      </c>
      <c r="AI64">
        <v>3</v>
      </c>
      <c r="AJ64">
        <v>0</v>
      </c>
      <c r="AK64">
        <v>16</v>
      </c>
      <c r="AL64" t="s">
        <v>89</v>
      </c>
      <c r="AM64" t="s">
        <v>1497</v>
      </c>
      <c r="AN64" t="s">
        <v>1498</v>
      </c>
      <c r="AO64" t="s">
        <v>1499</v>
      </c>
      <c r="AP64" t="s">
        <v>1500</v>
      </c>
      <c r="AQ64" t="s">
        <v>74</v>
      </c>
      <c r="AR64" t="s">
        <v>1501</v>
      </c>
      <c r="AS64" t="s">
        <v>1502</v>
      </c>
      <c r="AT64" t="s">
        <v>1503</v>
      </c>
      <c r="AU64">
        <v>2019</v>
      </c>
      <c r="AV64">
        <v>27</v>
      </c>
      <c r="AW64">
        <v>4</v>
      </c>
      <c r="AX64" t="s">
        <v>74</v>
      </c>
      <c r="AY64" t="s">
        <v>74</v>
      </c>
      <c r="AZ64" t="s">
        <v>74</v>
      </c>
      <c r="BA64" t="s">
        <v>74</v>
      </c>
      <c r="BB64">
        <v>479</v>
      </c>
      <c r="BC64">
        <v>493</v>
      </c>
      <c r="BD64" t="s">
        <v>74</v>
      </c>
      <c r="BE64" t="s">
        <v>1504</v>
      </c>
      <c r="BF64" t="str">
        <f>HYPERLINK("http://dx.doi.org/10.1108/JFRC-12-2018-0159","http://dx.doi.org/10.1108/JFRC-12-2018-0159")</f>
        <v>http://dx.doi.org/10.1108/JFRC-12-2018-0159</v>
      </c>
      <c r="BG64" t="s">
        <v>74</v>
      </c>
      <c r="BH64" t="s">
        <v>74</v>
      </c>
      <c r="BI64">
        <v>15</v>
      </c>
      <c r="BJ64" t="s">
        <v>268</v>
      </c>
      <c r="BK64" t="s">
        <v>313</v>
      </c>
      <c r="BL64" t="s">
        <v>100</v>
      </c>
      <c r="BM64" t="s">
        <v>1505</v>
      </c>
      <c r="BN64" t="s">
        <v>74</v>
      </c>
      <c r="BO64" t="s">
        <v>74</v>
      </c>
      <c r="BP64" t="s">
        <v>74</v>
      </c>
      <c r="BQ64" t="s">
        <v>74</v>
      </c>
      <c r="BR64" t="s">
        <v>102</v>
      </c>
      <c r="BS64" t="s">
        <v>1506</v>
      </c>
      <c r="BT64" t="str">
        <f>HYPERLINK("https%3A%2F%2Fwww.webofscience.com%2Fwos%2Fwoscc%2Ffull-record%2FWOS:000493583200006","View Full Record in Web of Science")</f>
        <v>View Full Record in Web of Science</v>
      </c>
    </row>
    <row r="65" spans="1:72" x14ac:dyDescent="0.25">
      <c r="A65" t="s">
        <v>72</v>
      </c>
      <c r="B65" t="s">
        <v>1507</v>
      </c>
      <c r="C65" t="s">
        <v>74</v>
      </c>
      <c r="D65" t="s">
        <v>74</v>
      </c>
      <c r="E65" t="s">
        <v>74</v>
      </c>
      <c r="F65" t="s">
        <v>1508</v>
      </c>
      <c r="G65" t="s">
        <v>74</v>
      </c>
      <c r="H65" t="s">
        <v>74</v>
      </c>
      <c r="I65" t="s">
        <v>1509</v>
      </c>
      <c r="J65" t="s">
        <v>1510</v>
      </c>
      <c r="K65" t="s">
        <v>74</v>
      </c>
      <c r="L65" t="s">
        <v>74</v>
      </c>
      <c r="M65" t="s">
        <v>78</v>
      </c>
      <c r="N65" t="s">
        <v>79</v>
      </c>
      <c r="O65" t="s">
        <v>74</v>
      </c>
      <c r="P65" t="s">
        <v>74</v>
      </c>
      <c r="Q65" t="s">
        <v>74</v>
      </c>
      <c r="R65" t="s">
        <v>74</v>
      </c>
      <c r="S65" t="s">
        <v>74</v>
      </c>
      <c r="T65" t="s">
        <v>1511</v>
      </c>
      <c r="U65" t="s">
        <v>1512</v>
      </c>
      <c r="V65" t="s">
        <v>1513</v>
      </c>
      <c r="W65" t="s">
        <v>1514</v>
      </c>
      <c r="X65" t="s">
        <v>1515</v>
      </c>
      <c r="Y65" t="s">
        <v>1516</v>
      </c>
      <c r="Z65" t="s">
        <v>1517</v>
      </c>
      <c r="AA65" t="s">
        <v>74</v>
      </c>
      <c r="AB65" t="s">
        <v>1518</v>
      </c>
      <c r="AC65" t="s">
        <v>74</v>
      </c>
      <c r="AD65" t="s">
        <v>74</v>
      </c>
      <c r="AE65" t="s">
        <v>74</v>
      </c>
      <c r="AF65" t="s">
        <v>74</v>
      </c>
      <c r="AG65">
        <v>64</v>
      </c>
      <c r="AH65">
        <v>1</v>
      </c>
      <c r="AI65">
        <v>2</v>
      </c>
      <c r="AJ65">
        <v>0</v>
      </c>
      <c r="AK65">
        <v>2</v>
      </c>
      <c r="AL65" t="s">
        <v>89</v>
      </c>
      <c r="AM65" t="s">
        <v>90</v>
      </c>
      <c r="AN65" t="s">
        <v>91</v>
      </c>
      <c r="AO65" t="s">
        <v>1519</v>
      </c>
      <c r="AP65" t="s">
        <v>1520</v>
      </c>
      <c r="AQ65" t="s">
        <v>74</v>
      </c>
      <c r="AR65" t="s">
        <v>1521</v>
      </c>
      <c r="AS65" t="s">
        <v>1522</v>
      </c>
      <c r="AT65" t="s">
        <v>958</v>
      </c>
      <c r="AU65">
        <v>2024</v>
      </c>
      <c r="AV65">
        <v>51</v>
      </c>
      <c r="AW65">
        <v>8</v>
      </c>
      <c r="AX65" t="s">
        <v>74</v>
      </c>
      <c r="AY65" t="s">
        <v>74</v>
      </c>
      <c r="AZ65" t="s">
        <v>74</v>
      </c>
      <c r="BA65" t="s">
        <v>74</v>
      </c>
      <c r="BB65">
        <v>1076</v>
      </c>
      <c r="BC65">
        <v>1092</v>
      </c>
      <c r="BD65" t="s">
        <v>74</v>
      </c>
      <c r="BE65" t="s">
        <v>1523</v>
      </c>
      <c r="BF65" t="str">
        <f>HYPERLINK("http://dx.doi.org/10.1108/IJSE-06-2023-0462","http://dx.doi.org/10.1108/IJSE-06-2023-0462")</f>
        <v>http://dx.doi.org/10.1108/IJSE-06-2023-0462</v>
      </c>
      <c r="BG65" t="s">
        <v>74</v>
      </c>
      <c r="BH65" t="s">
        <v>1524</v>
      </c>
      <c r="BI65">
        <v>17</v>
      </c>
      <c r="BJ65" t="s">
        <v>291</v>
      </c>
      <c r="BK65" t="s">
        <v>313</v>
      </c>
      <c r="BL65" t="s">
        <v>100</v>
      </c>
      <c r="BM65" t="s">
        <v>1525</v>
      </c>
      <c r="BN65" t="s">
        <v>74</v>
      </c>
      <c r="BO65" t="s">
        <v>74</v>
      </c>
      <c r="BP65" t="s">
        <v>74</v>
      </c>
      <c r="BQ65" t="s">
        <v>74</v>
      </c>
      <c r="BR65" t="s">
        <v>102</v>
      </c>
      <c r="BS65" t="s">
        <v>1526</v>
      </c>
      <c r="BT65" t="str">
        <f>HYPERLINK("https%3A%2F%2Fwww.webofscience.com%2Fwos%2Fwoscc%2Ffull-record%2FWOS:001126984800001","View Full Record in Web of Science")</f>
        <v>View Full Record in Web of Science</v>
      </c>
    </row>
    <row r="66" spans="1:72" x14ac:dyDescent="0.25">
      <c r="A66" t="s">
        <v>72</v>
      </c>
      <c r="B66" t="s">
        <v>1527</v>
      </c>
      <c r="C66" t="s">
        <v>74</v>
      </c>
      <c r="D66" t="s">
        <v>74</v>
      </c>
      <c r="E66" t="s">
        <v>74</v>
      </c>
      <c r="F66" t="s">
        <v>1528</v>
      </c>
      <c r="G66" t="s">
        <v>74</v>
      </c>
      <c r="H66" t="s">
        <v>74</v>
      </c>
      <c r="I66" t="s">
        <v>1529</v>
      </c>
      <c r="J66" t="s">
        <v>1029</v>
      </c>
      <c r="K66" t="s">
        <v>74</v>
      </c>
      <c r="L66" t="s">
        <v>74</v>
      </c>
      <c r="M66" t="s">
        <v>78</v>
      </c>
      <c r="N66" t="s">
        <v>79</v>
      </c>
      <c r="O66" t="s">
        <v>74</v>
      </c>
      <c r="P66" t="s">
        <v>74</v>
      </c>
      <c r="Q66" t="s">
        <v>74</v>
      </c>
      <c r="R66" t="s">
        <v>74</v>
      </c>
      <c r="S66" t="s">
        <v>74</v>
      </c>
      <c r="T66" t="s">
        <v>74</v>
      </c>
      <c r="U66" t="s">
        <v>1530</v>
      </c>
      <c r="V66" t="s">
        <v>1531</v>
      </c>
      <c r="W66" t="s">
        <v>1532</v>
      </c>
      <c r="X66" t="s">
        <v>1533</v>
      </c>
      <c r="Y66" t="s">
        <v>1534</v>
      </c>
      <c r="Z66" t="s">
        <v>74</v>
      </c>
      <c r="AA66" t="s">
        <v>1535</v>
      </c>
      <c r="AB66" t="s">
        <v>1536</v>
      </c>
      <c r="AC66" t="s">
        <v>1537</v>
      </c>
      <c r="AD66" t="s">
        <v>1538</v>
      </c>
      <c r="AE66" t="s">
        <v>1539</v>
      </c>
      <c r="AF66" t="s">
        <v>74</v>
      </c>
      <c r="AG66">
        <v>101</v>
      </c>
      <c r="AH66">
        <v>37</v>
      </c>
      <c r="AI66">
        <v>55</v>
      </c>
      <c r="AJ66">
        <v>1</v>
      </c>
      <c r="AK66">
        <v>24</v>
      </c>
      <c r="AL66" t="s">
        <v>479</v>
      </c>
      <c r="AM66" t="s">
        <v>480</v>
      </c>
      <c r="AN66" t="s">
        <v>481</v>
      </c>
      <c r="AO66" t="s">
        <v>1035</v>
      </c>
      <c r="AP66" t="s">
        <v>1036</v>
      </c>
      <c r="AQ66" t="s">
        <v>74</v>
      </c>
      <c r="AR66" t="s">
        <v>1037</v>
      </c>
      <c r="AS66" t="s">
        <v>1038</v>
      </c>
      <c r="AT66" t="s">
        <v>1540</v>
      </c>
      <c r="AU66">
        <v>2019</v>
      </c>
      <c r="AV66">
        <v>10</v>
      </c>
      <c r="AW66">
        <v>2</v>
      </c>
      <c r="AX66" t="s">
        <v>74</v>
      </c>
      <c r="AY66" t="s">
        <v>74</v>
      </c>
      <c r="AZ66" t="s">
        <v>74</v>
      </c>
      <c r="BA66" t="s">
        <v>74</v>
      </c>
      <c r="BB66">
        <v>193</v>
      </c>
      <c r="BC66">
        <v>206</v>
      </c>
      <c r="BD66" t="s">
        <v>74</v>
      </c>
      <c r="BE66" t="s">
        <v>1541</v>
      </c>
      <c r="BF66" t="str">
        <f>HYPERLINK("http://dx.doi.org/10.1111/1758-5899.12656","http://dx.doi.org/10.1111/1758-5899.12656")</f>
        <v>http://dx.doi.org/10.1111/1758-5899.12656</v>
      </c>
      <c r="BG66" t="s">
        <v>74</v>
      </c>
      <c r="BH66" t="s">
        <v>74</v>
      </c>
      <c r="BI66">
        <v>14</v>
      </c>
      <c r="BJ66" t="s">
        <v>1040</v>
      </c>
      <c r="BK66" t="s">
        <v>99</v>
      </c>
      <c r="BL66" t="s">
        <v>1041</v>
      </c>
      <c r="BM66" t="s">
        <v>1542</v>
      </c>
      <c r="BN66" t="s">
        <v>74</v>
      </c>
      <c r="BO66" t="s">
        <v>270</v>
      </c>
      <c r="BP66" t="s">
        <v>74</v>
      </c>
      <c r="BQ66" t="s">
        <v>74</v>
      </c>
      <c r="BR66" t="s">
        <v>102</v>
      </c>
      <c r="BS66" t="s">
        <v>1543</v>
      </c>
      <c r="BT66" t="str">
        <f>HYPERLINK("https%3A%2F%2Fwww.webofscience.com%2Fwos%2Fwoscc%2Ffull-record%2FWOS:000467569100003","View Full Record in Web of Science")</f>
        <v>View Full Record in Web of Science</v>
      </c>
    </row>
    <row r="67" spans="1:72" x14ac:dyDescent="0.25">
      <c r="A67" t="s">
        <v>132</v>
      </c>
      <c r="B67" t="s">
        <v>1544</v>
      </c>
      <c r="C67" t="s">
        <v>74</v>
      </c>
      <c r="D67" t="s">
        <v>74</v>
      </c>
      <c r="E67" t="s">
        <v>134</v>
      </c>
      <c r="F67" t="s">
        <v>1545</v>
      </c>
      <c r="G67" t="s">
        <v>74</v>
      </c>
      <c r="H67" t="s">
        <v>74</v>
      </c>
      <c r="I67" t="s">
        <v>1546</v>
      </c>
      <c r="J67" t="s">
        <v>1547</v>
      </c>
      <c r="K67" t="s">
        <v>74</v>
      </c>
      <c r="L67" t="s">
        <v>74</v>
      </c>
      <c r="M67" t="s">
        <v>78</v>
      </c>
      <c r="N67" t="s">
        <v>138</v>
      </c>
      <c r="O67" t="s">
        <v>1548</v>
      </c>
      <c r="P67" t="s">
        <v>1549</v>
      </c>
      <c r="Q67" t="s">
        <v>1550</v>
      </c>
      <c r="R67" t="s">
        <v>1551</v>
      </c>
      <c r="S67" t="s">
        <v>74</v>
      </c>
      <c r="T67" t="s">
        <v>1552</v>
      </c>
      <c r="U67" t="s">
        <v>1553</v>
      </c>
      <c r="V67" t="s">
        <v>1554</v>
      </c>
      <c r="W67" t="s">
        <v>1555</v>
      </c>
      <c r="X67" t="s">
        <v>1556</v>
      </c>
      <c r="Y67" t="s">
        <v>1557</v>
      </c>
      <c r="Z67" t="s">
        <v>1558</v>
      </c>
      <c r="AA67" t="s">
        <v>74</v>
      </c>
      <c r="AB67" t="s">
        <v>1559</v>
      </c>
      <c r="AC67" t="s">
        <v>74</v>
      </c>
      <c r="AD67" t="s">
        <v>74</v>
      </c>
      <c r="AE67" t="s">
        <v>74</v>
      </c>
      <c r="AF67" t="s">
        <v>74</v>
      </c>
      <c r="AG67">
        <v>42</v>
      </c>
      <c r="AH67">
        <v>8</v>
      </c>
      <c r="AI67">
        <v>8</v>
      </c>
      <c r="AJ67">
        <v>1</v>
      </c>
      <c r="AK67">
        <v>8</v>
      </c>
      <c r="AL67" t="s">
        <v>150</v>
      </c>
      <c r="AM67" t="s">
        <v>151</v>
      </c>
      <c r="AN67" t="s">
        <v>1560</v>
      </c>
      <c r="AO67" t="s">
        <v>74</v>
      </c>
      <c r="AP67" t="s">
        <v>74</v>
      </c>
      <c r="AQ67" t="s">
        <v>1561</v>
      </c>
      <c r="AR67" t="s">
        <v>74</v>
      </c>
      <c r="AS67" t="s">
        <v>74</v>
      </c>
      <c r="AT67" t="s">
        <v>74</v>
      </c>
      <c r="AU67">
        <v>2021</v>
      </c>
      <c r="AV67" t="s">
        <v>74</v>
      </c>
      <c r="AW67" t="s">
        <v>74</v>
      </c>
      <c r="AX67" t="s">
        <v>74</v>
      </c>
      <c r="AY67" t="s">
        <v>74</v>
      </c>
      <c r="AZ67" t="s">
        <v>74</v>
      </c>
      <c r="BA67" t="s">
        <v>74</v>
      </c>
      <c r="BB67">
        <v>1654</v>
      </c>
      <c r="BC67">
        <v>1667</v>
      </c>
      <c r="BD67" t="s">
        <v>74</v>
      </c>
      <c r="BE67" t="s">
        <v>1562</v>
      </c>
      <c r="BF67" t="str">
        <f>HYPERLINK("http://dx.doi.org/10.1145/3461778.3461999","http://dx.doi.org/10.1145/3461778.3461999")</f>
        <v>http://dx.doi.org/10.1145/3461778.3461999</v>
      </c>
      <c r="BG67" t="s">
        <v>74</v>
      </c>
      <c r="BH67" t="s">
        <v>74</v>
      </c>
      <c r="BI67">
        <v>14</v>
      </c>
      <c r="BJ67" t="s">
        <v>1563</v>
      </c>
      <c r="BK67" t="s">
        <v>1069</v>
      </c>
      <c r="BL67" t="s">
        <v>981</v>
      </c>
      <c r="BM67" t="s">
        <v>1564</v>
      </c>
      <c r="BN67" t="s">
        <v>74</v>
      </c>
      <c r="BO67" t="s">
        <v>212</v>
      </c>
      <c r="BP67" t="s">
        <v>74</v>
      </c>
      <c r="BQ67" t="s">
        <v>74</v>
      </c>
      <c r="BR67" t="s">
        <v>102</v>
      </c>
      <c r="BS67" t="s">
        <v>1565</v>
      </c>
      <c r="BT67" t="str">
        <f>HYPERLINK("https%3A%2F%2Fwww.webofscience.com%2Fwos%2Fwoscc%2Ffull-record%2FWOS:000747486000122","View Full Record in Web of Science")</f>
        <v>View Full Record in Web of Science</v>
      </c>
    </row>
    <row r="68" spans="1:72" x14ac:dyDescent="0.25">
      <c r="A68" t="s">
        <v>132</v>
      </c>
      <c r="B68" t="s">
        <v>1566</v>
      </c>
      <c r="C68" t="s">
        <v>74</v>
      </c>
      <c r="D68" t="s">
        <v>631</v>
      </c>
      <c r="E68" t="s">
        <v>74</v>
      </c>
      <c r="F68" t="s">
        <v>1567</v>
      </c>
      <c r="G68" t="s">
        <v>74</v>
      </c>
      <c r="H68" t="s">
        <v>74</v>
      </c>
      <c r="I68" t="s">
        <v>1568</v>
      </c>
      <c r="J68" t="s">
        <v>1569</v>
      </c>
      <c r="K68" t="s">
        <v>74</v>
      </c>
      <c r="L68" t="s">
        <v>74</v>
      </c>
      <c r="M68" t="s">
        <v>78</v>
      </c>
      <c r="N68" t="s">
        <v>138</v>
      </c>
      <c r="O68" t="s">
        <v>1570</v>
      </c>
      <c r="P68" t="s">
        <v>1571</v>
      </c>
      <c r="Q68" t="s">
        <v>637</v>
      </c>
      <c r="R68" t="s">
        <v>638</v>
      </c>
      <c r="S68" t="s">
        <v>74</v>
      </c>
      <c r="T68" t="s">
        <v>1572</v>
      </c>
      <c r="U68" t="s">
        <v>74</v>
      </c>
      <c r="V68" t="s">
        <v>1573</v>
      </c>
      <c r="W68" t="s">
        <v>1574</v>
      </c>
      <c r="X68" t="s">
        <v>1575</v>
      </c>
      <c r="Y68" t="s">
        <v>1576</v>
      </c>
      <c r="Z68" t="s">
        <v>1577</v>
      </c>
      <c r="AA68" t="s">
        <v>1578</v>
      </c>
      <c r="AB68" t="s">
        <v>1579</v>
      </c>
      <c r="AC68" t="s">
        <v>74</v>
      </c>
      <c r="AD68" t="s">
        <v>74</v>
      </c>
      <c r="AE68" t="s">
        <v>74</v>
      </c>
      <c r="AF68" t="s">
        <v>74</v>
      </c>
      <c r="AG68">
        <v>12</v>
      </c>
      <c r="AH68">
        <v>3</v>
      </c>
      <c r="AI68">
        <v>4</v>
      </c>
      <c r="AJ68">
        <v>0</v>
      </c>
      <c r="AK68">
        <v>2</v>
      </c>
      <c r="AL68" t="s">
        <v>645</v>
      </c>
      <c r="AM68" t="s">
        <v>646</v>
      </c>
      <c r="AN68" t="s">
        <v>647</v>
      </c>
      <c r="AO68" t="s">
        <v>74</v>
      </c>
      <c r="AP68" t="s">
        <v>74</v>
      </c>
      <c r="AQ68" t="s">
        <v>1580</v>
      </c>
      <c r="AR68" t="s">
        <v>74</v>
      </c>
      <c r="AS68" t="s">
        <v>74</v>
      </c>
      <c r="AT68" t="s">
        <v>74</v>
      </c>
      <c r="AU68">
        <v>2016</v>
      </c>
      <c r="AV68" t="s">
        <v>74</v>
      </c>
      <c r="AW68" t="s">
        <v>74</v>
      </c>
      <c r="AX68" t="s">
        <v>74</v>
      </c>
      <c r="AY68" t="s">
        <v>74</v>
      </c>
      <c r="AZ68" t="s">
        <v>74</v>
      </c>
      <c r="BA68" t="s">
        <v>74</v>
      </c>
      <c r="BB68">
        <v>4418</v>
      </c>
      <c r="BC68">
        <v>4430</v>
      </c>
      <c r="BD68" t="s">
        <v>74</v>
      </c>
      <c r="BE68" t="s">
        <v>74</v>
      </c>
      <c r="BF68" t="s">
        <v>74</v>
      </c>
      <c r="BG68" t="s">
        <v>74</v>
      </c>
      <c r="BH68" t="s">
        <v>74</v>
      </c>
      <c r="BI68">
        <v>13</v>
      </c>
      <c r="BJ68" t="s">
        <v>1453</v>
      </c>
      <c r="BK68" t="s">
        <v>183</v>
      </c>
      <c r="BL68" t="s">
        <v>100</v>
      </c>
      <c r="BM68" t="s">
        <v>1581</v>
      </c>
      <c r="BN68" t="s">
        <v>74</v>
      </c>
      <c r="BO68" t="s">
        <v>74</v>
      </c>
      <c r="BP68" t="s">
        <v>74</v>
      </c>
      <c r="BQ68" t="s">
        <v>74</v>
      </c>
      <c r="BR68" t="s">
        <v>102</v>
      </c>
      <c r="BS68" t="s">
        <v>1582</v>
      </c>
      <c r="BT68" t="str">
        <f>HYPERLINK("https%3A%2F%2Fwww.webofscience.com%2Fwos%2Fwoscc%2Ffull-record%2FWOS:000392785700441","View Full Record in Web of Science")</f>
        <v>View Full Record in Web of Science</v>
      </c>
    </row>
    <row r="69" spans="1:72" x14ac:dyDescent="0.25">
      <c r="A69" t="s">
        <v>72</v>
      </c>
      <c r="B69" t="s">
        <v>1583</v>
      </c>
      <c r="C69" t="s">
        <v>74</v>
      </c>
      <c r="D69" t="s">
        <v>74</v>
      </c>
      <c r="E69" t="s">
        <v>74</v>
      </c>
      <c r="F69" t="s">
        <v>1584</v>
      </c>
      <c r="G69" t="s">
        <v>74</v>
      </c>
      <c r="H69" t="s">
        <v>74</v>
      </c>
      <c r="I69" t="s">
        <v>1585</v>
      </c>
      <c r="J69" t="s">
        <v>1586</v>
      </c>
      <c r="K69" t="s">
        <v>74</v>
      </c>
      <c r="L69" t="s">
        <v>74</v>
      </c>
      <c r="M69" t="s">
        <v>78</v>
      </c>
      <c r="N69" t="s">
        <v>79</v>
      </c>
      <c r="O69" t="s">
        <v>74</v>
      </c>
      <c r="P69" t="s">
        <v>74</v>
      </c>
      <c r="Q69" t="s">
        <v>74</v>
      </c>
      <c r="R69" t="s">
        <v>74</v>
      </c>
      <c r="S69" t="s">
        <v>74</v>
      </c>
      <c r="T69" t="s">
        <v>1587</v>
      </c>
      <c r="U69" t="s">
        <v>1588</v>
      </c>
      <c r="V69" t="s">
        <v>1589</v>
      </c>
      <c r="W69" t="s">
        <v>1590</v>
      </c>
      <c r="X69" t="s">
        <v>1591</v>
      </c>
      <c r="Y69" t="s">
        <v>1592</v>
      </c>
      <c r="Z69" t="s">
        <v>1593</v>
      </c>
      <c r="AA69" t="s">
        <v>1594</v>
      </c>
      <c r="AB69" t="s">
        <v>1595</v>
      </c>
      <c r="AC69" t="s">
        <v>74</v>
      </c>
      <c r="AD69" t="s">
        <v>74</v>
      </c>
      <c r="AE69" t="s">
        <v>74</v>
      </c>
      <c r="AF69" t="s">
        <v>74</v>
      </c>
      <c r="AG69">
        <v>50</v>
      </c>
      <c r="AH69">
        <v>2</v>
      </c>
      <c r="AI69">
        <v>3</v>
      </c>
      <c r="AJ69">
        <v>0</v>
      </c>
      <c r="AK69">
        <v>8</v>
      </c>
      <c r="AL69" t="s">
        <v>89</v>
      </c>
      <c r="AM69" t="s">
        <v>1497</v>
      </c>
      <c r="AN69" t="s">
        <v>1498</v>
      </c>
      <c r="AO69" t="s">
        <v>1596</v>
      </c>
      <c r="AP69" t="s">
        <v>1597</v>
      </c>
      <c r="AQ69" t="s">
        <v>74</v>
      </c>
      <c r="AR69" t="s">
        <v>1598</v>
      </c>
      <c r="AS69" t="s">
        <v>1599</v>
      </c>
      <c r="AT69" t="s">
        <v>74</v>
      </c>
      <c r="AU69">
        <v>2018</v>
      </c>
      <c r="AV69">
        <v>10</v>
      </c>
      <c r="AW69">
        <v>2</v>
      </c>
      <c r="AX69" t="s">
        <v>74</v>
      </c>
      <c r="AY69" t="s">
        <v>74</v>
      </c>
      <c r="AZ69" t="s">
        <v>74</v>
      </c>
      <c r="BA69" t="s">
        <v>74</v>
      </c>
      <c r="BB69">
        <v>237</v>
      </c>
      <c r="BC69">
        <v>250</v>
      </c>
      <c r="BD69" t="s">
        <v>74</v>
      </c>
      <c r="BE69" t="s">
        <v>1600</v>
      </c>
      <c r="BF69" t="str">
        <f>HYPERLINK("http://dx.doi.org/10.1108/IJIF-09-2017-0031","http://dx.doi.org/10.1108/IJIF-09-2017-0031")</f>
        <v>http://dx.doi.org/10.1108/IJIF-09-2017-0031</v>
      </c>
      <c r="BG69" t="s">
        <v>74</v>
      </c>
      <c r="BH69" t="s">
        <v>74</v>
      </c>
      <c r="BI69">
        <v>14</v>
      </c>
      <c r="BJ69" t="s">
        <v>268</v>
      </c>
      <c r="BK69" t="s">
        <v>313</v>
      </c>
      <c r="BL69" t="s">
        <v>100</v>
      </c>
      <c r="BM69" t="s">
        <v>1601</v>
      </c>
      <c r="BN69" t="s">
        <v>74</v>
      </c>
      <c r="BO69" t="s">
        <v>916</v>
      </c>
      <c r="BP69" t="s">
        <v>74</v>
      </c>
      <c r="BQ69" t="s">
        <v>74</v>
      </c>
      <c r="BR69" t="s">
        <v>102</v>
      </c>
      <c r="BS69" t="s">
        <v>1602</v>
      </c>
      <c r="BT69" t="str">
        <f>HYPERLINK("https%3A%2F%2Fwww.webofscience.com%2Fwos%2Fwoscc%2Ffull-record%2FWOS:000456478900008","View Full Record in Web of Science")</f>
        <v>View Full Record in Web of Science</v>
      </c>
    </row>
    <row r="70" spans="1:72" x14ac:dyDescent="0.25">
      <c r="A70" t="s">
        <v>132</v>
      </c>
      <c r="B70" t="s">
        <v>1603</v>
      </c>
      <c r="C70" t="s">
        <v>74</v>
      </c>
      <c r="D70" t="s">
        <v>1604</v>
      </c>
      <c r="E70" t="s">
        <v>74</v>
      </c>
      <c r="F70" t="s">
        <v>1605</v>
      </c>
      <c r="G70" t="s">
        <v>74</v>
      </c>
      <c r="H70" t="s">
        <v>74</v>
      </c>
      <c r="I70" t="s">
        <v>1606</v>
      </c>
      <c r="J70" t="s">
        <v>1607</v>
      </c>
      <c r="K70" t="s">
        <v>1608</v>
      </c>
      <c r="L70" t="s">
        <v>74</v>
      </c>
      <c r="M70" t="s">
        <v>78</v>
      </c>
      <c r="N70" t="s">
        <v>138</v>
      </c>
      <c r="O70" t="s">
        <v>1609</v>
      </c>
      <c r="P70" t="s">
        <v>1610</v>
      </c>
      <c r="Q70" t="s">
        <v>1611</v>
      </c>
      <c r="R70" t="s">
        <v>1612</v>
      </c>
      <c r="S70" t="s">
        <v>74</v>
      </c>
      <c r="T70" t="s">
        <v>1613</v>
      </c>
      <c r="U70" t="s">
        <v>74</v>
      </c>
      <c r="V70" t="s">
        <v>1614</v>
      </c>
      <c r="W70" t="s">
        <v>1615</v>
      </c>
      <c r="X70" t="s">
        <v>74</v>
      </c>
      <c r="Y70" t="s">
        <v>1616</v>
      </c>
      <c r="Z70" t="s">
        <v>1617</v>
      </c>
      <c r="AA70" t="s">
        <v>1618</v>
      </c>
      <c r="AB70" t="s">
        <v>74</v>
      </c>
      <c r="AC70" t="s">
        <v>74</v>
      </c>
      <c r="AD70" t="s">
        <v>74</v>
      </c>
      <c r="AE70" t="s">
        <v>74</v>
      </c>
      <c r="AF70" t="s">
        <v>74</v>
      </c>
      <c r="AG70">
        <v>8</v>
      </c>
      <c r="AH70">
        <v>2</v>
      </c>
      <c r="AI70">
        <v>2</v>
      </c>
      <c r="AJ70">
        <v>1</v>
      </c>
      <c r="AK70">
        <v>6</v>
      </c>
      <c r="AL70" t="s">
        <v>1619</v>
      </c>
      <c r="AM70" t="s">
        <v>1620</v>
      </c>
      <c r="AN70" t="s">
        <v>1621</v>
      </c>
      <c r="AO70" t="s">
        <v>1622</v>
      </c>
      <c r="AP70" t="s">
        <v>1623</v>
      </c>
      <c r="AQ70" t="s">
        <v>1624</v>
      </c>
      <c r="AR70" t="s">
        <v>1625</v>
      </c>
      <c r="AS70" t="s">
        <v>74</v>
      </c>
      <c r="AT70" t="s">
        <v>74</v>
      </c>
      <c r="AU70">
        <v>2017</v>
      </c>
      <c r="AV70">
        <v>5</v>
      </c>
      <c r="AW70" t="s">
        <v>74</v>
      </c>
      <c r="AX70" t="s">
        <v>74</v>
      </c>
      <c r="AY70" t="s">
        <v>74</v>
      </c>
      <c r="AZ70" t="s">
        <v>74</v>
      </c>
      <c r="BA70" t="s">
        <v>74</v>
      </c>
      <c r="BB70">
        <v>453</v>
      </c>
      <c r="BC70">
        <v>457</v>
      </c>
      <c r="BD70" t="s">
        <v>74</v>
      </c>
      <c r="BE70" t="s">
        <v>1626</v>
      </c>
      <c r="BF70" t="str">
        <f>HYPERLINK("http://dx.doi.org/10.12955/cbup.v5.965","http://dx.doi.org/10.12955/cbup.v5.965")</f>
        <v>http://dx.doi.org/10.12955/cbup.v5.965</v>
      </c>
      <c r="BG70" t="s">
        <v>74</v>
      </c>
      <c r="BH70" t="s">
        <v>74</v>
      </c>
      <c r="BI70">
        <v>5</v>
      </c>
      <c r="BJ70" t="s">
        <v>1627</v>
      </c>
      <c r="BK70" t="s">
        <v>183</v>
      </c>
      <c r="BL70" t="s">
        <v>1406</v>
      </c>
      <c r="BM70" t="s">
        <v>1628</v>
      </c>
      <c r="BN70" t="s">
        <v>74</v>
      </c>
      <c r="BO70" t="s">
        <v>270</v>
      </c>
      <c r="BP70" t="s">
        <v>74</v>
      </c>
      <c r="BQ70" t="s">
        <v>74</v>
      </c>
      <c r="BR70" t="s">
        <v>102</v>
      </c>
      <c r="BS70" t="s">
        <v>1629</v>
      </c>
      <c r="BT70" t="str">
        <f>HYPERLINK("https%3A%2F%2Fwww.webofscience.com%2Fwos%2Fwoscc%2Ffull-record%2FWOS:000439408200074","View Full Record in Web of Science")</f>
        <v>View Full Record in Web of Science</v>
      </c>
    </row>
    <row r="71" spans="1:72" x14ac:dyDescent="0.25">
      <c r="A71" t="s">
        <v>72</v>
      </c>
      <c r="B71" t="s">
        <v>1630</v>
      </c>
      <c r="C71" t="s">
        <v>74</v>
      </c>
      <c r="D71" t="s">
        <v>74</v>
      </c>
      <c r="E71" t="s">
        <v>74</v>
      </c>
      <c r="F71" t="s">
        <v>1631</v>
      </c>
      <c r="G71" t="s">
        <v>74</v>
      </c>
      <c r="H71" t="s">
        <v>74</v>
      </c>
      <c r="I71" t="s">
        <v>1632</v>
      </c>
      <c r="J71" t="s">
        <v>1633</v>
      </c>
      <c r="K71" t="s">
        <v>74</v>
      </c>
      <c r="L71" t="s">
        <v>74</v>
      </c>
      <c r="M71" t="s">
        <v>78</v>
      </c>
      <c r="N71" t="s">
        <v>79</v>
      </c>
      <c r="O71" t="s">
        <v>74</v>
      </c>
      <c r="P71" t="s">
        <v>74</v>
      </c>
      <c r="Q71" t="s">
        <v>74</v>
      </c>
      <c r="R71" t="s">
        <v>74</v>
      </c>
      <c r="S71" t="s">
        <v>74</v>
      </c>
      <c r="T71" t="s">
        <v>1634</v>
      </c>
      <c r="U71" t="s">
        <v>1635</v>
      </c>
      <c r="V71" t="s">
        <v>1636</v>
      </c>
      <c r="W71" t="s">
        <v>1637</v>
      </c>
      <c r="X71" t="s">
        <v>1638</v>
      </c>
      <c r="Y71" t="s">
        <v>1639</v>
      </c>
      <c r="Z71" t="s">
        <v>1640</v>
      </c>
      <c r="AA71" t="s">
        <v>1641</v>
      </c>
      <c r="AB71" t="s">
        <v>1642</v>
      </c>
      <c r="AC71" t="s">
        <v>1643</v>
      </c>
      <c r="AD71" t="s">
        <v>1643</v>
      </c>
      <c r="AE71" t="s">
        <v>1644</v>
      </c>
      <c r="AF71" t="s">
        <v>74</v>
      </c>
      <c r="AG71">
        <v>73</v>
      </c>
      <c r="AH71">
        <v>10</v>
      </c>
      <c r="AI71">
        <v>15</v>
      </c>
      <c r="AJ71">
        <v>3</v>
      </c>
      <c r="AK71">
        <v>21</v>
      </c>
      <c r="AL71" t="s">
        <v>1645</v>
      </c>
      <c r="AM71" t="s">
        <v>1646</v>
      </c>
      <c r="AN71" t="s">
        <v>1647</v>
      </c>
      <c r="AO71" t="s">
        <v>1648</v>
      </c>
      <c r="AP71" t="s">
        <v>1649</v>
      </c>
      <c r="AQ71" t="s">
        <v>74</v>
      </c>
      <c r="AR71" t="s">
        <v>1650</v>
      </c>
      <c r="AS71" t="s">
        <v>1651</v>
      </c>
      <c r="AT71" t="s">
        <v>1652</v>
      </c>
      <c r="AU71">
        <v>2023</v>
      </c>
      <c r="AV71">
        <v>14</v>
      </c>
      <c r="AW71">
        <v>2</v>
      </c>
      <c r="AX71" t="s">
        <v>74</v>
      </c>
      <c r="AY71" t="s">
        <v>74</v>
      </c>
      <c r="AZ71" t="s">
        <v>74</v>
      </c>
      <c r="BA71" t="s">
        <v>74</v>
      </c>
      <c r="BB71">
        <v>609</v>
      </c>
      <c r="BC71">
        <v>643</v>
      </c>
      <c r="BD71" t="s">
        <v>74</v>
      </c>
      <c r="BE71" t="s">
        <v>1653</v>
      </c>
      <c r="BF71" t="str">
        <f>HYPERLINK("http://dx.doi.org/10.24136/oc.2023.017","http://dx.doi.org/10.24136/oc.2023.017")</f>
        <v>http://dx.doi.org/10.24136/oc.2023.017</v>
      </c>
      <c r="BG71" t="s">
        <v>74</v>
      </c>
      <c r="BH71" t="s">
        <v>74</v>
      </c>
      <c r="BI71">
        <v>35</v>
      </c>
      <c r="BJ71" t="s">
        <v>291</v>
      </c>
      <c r="BK71" t="s">
        <v>99</v>
      </c>
      <c r="BL71" t="s">
        <v>100</v>
      </c>
      <c r="BM71" t="s">
        <v>1654</v>
      </c>
      <c r="BN71" t="s">
        <v>74</v>
      </c>
      <c r="BO71" t="s">
        <v>212</v>
      </c>
      <c r="BP71" t="s">
        <v>74</v>
      </c>
      <c r="BQ71" t="s">
        <v>74</v>
      </c>
      <c r="BR71" t="s">
        <v>102</v>
      </c>
      <c r="BS71" t="s">
        <v>1655</v>
      </c>
      <c r="BT71" t="str">
        <f>HYPERLINK("https%3A%2F%2Fwww.webofscience.com%2Fwos%2Fwoscc%2Ffull-record%2FWOS:001038327200007","View Full Record in Web of Science")</f>
        <v>View Full Record in Web of Science</v>
      </c>
    </row>
    <row r="72" spans="1:72" x14ac:dyDescent="0.25">
      <c r="A72" t="s">
        <v>72</v>
      </c>
      <c r="B72" t="s">
        <v>1656</v>
      </c>
      <c r="C72" t="s">
        <v>74</v>
      </c>
      <c r="D72" t="s">
        <v>74</v>
      </c>
      <c r="E72" t="s">
        <v>74</v>
      </c>
      <c r="F72" t="s">
        <v>1657</v>
      </c>
      <c r="G72" t="s">
        <v>74</v>
      </c>
      <c r="H72" t="s">
        <v>74</v>
      </c>
      <c r="I72" t="s">
        <v>1658</v>
      </c>
      <c r="J72" t="s">
        <v>1659</v>
      </c>
      <c r="K72" t="s">
        <v>74</v>
      </c>
      <c r="L72" t="s">
        <v>74</v>
      </c>
      <c r="M72" t="s">
        <v>78</v>
      </c>
      <c r="N72" t="s">
        <v>79</v>
      </c>
      <c r="O72" t="s">
        <v>74</v>
      </c>
      <c r="P72" t="s">
        <v>74</v>
      </c>
      <c r="Q72" t="s">
        <v>74</v>
      </c>
      <c r="R72" t="s">
        <v>74</v>
      </c>
      <c r="S72" t="s">
        <v>74</v>
      </c>
      <c r="T72" t="s">
        <v>1660</v>
      </c>
      <c r="U72" t="s">
        <v>74</v>
      </c>
      <c r="V72" t="s">
        <v>1661</v>
      </c>
      <c r="W72" t="s">
        <v>1662</v>
      </c>
      <c r="X72" t="s">
        <v>1663</v>
      </c>
      <c r="Y72" t="s">
        <v>1664</v>
      </c>
      <c r="Z72" t="s">
        <v>1665</v>
      </c>
      <c r="AA72" t="s">
        <v>74</v>
      </c>
      <c r="AB72" t="s">
        <v>74</v>
      </c>
      <c r="AC72" t="s">
        <v>74</v>
      </c>
      <c r="AD72" t="s">
        <v>74</v>
      </c>
      <c r="AE72" t="s">
        <v>74</v>
      </c>
      <c r="AF72" t="s">
        <v>74</v>
      </c>
      <c r="AG72">
        <v>24</v>
      </c>
      <c r="AH72">
        <v>9</v>
      </c>
      <c r="AI72">
        <v>12</v>
      </c>
      <c r="AJ72">
        <v>0</v>
      </c>
      <c r="AK72">
        <v>12</v>
      </c>
      <c r="AL72" t="s">
        <v>1666</v>
      </c>
      <c r="AM72" t="s">
        <v>1667</v>
      </c>
      <c r="AN72" t="s">
        <v>1668</v>
      </c>
      <c r="AO72" t="s">
        <v>1669</v>
      </c>
      <c r="AP72" t="s">
        <v>1670</v>
      </c>
      <c r="AQ72" t="s">
        <v>74</v>
      </c>
      <c r="AR72" t="s">
        <v>1671</v>
      </c>
      <c r="AS72" t="s">
        <v>1672</v>
      </c>
      <c r="AT72" t="s">
        <v>74</v>
      </c>
      <c r="AU72">
        <v>2017</v>
      </c>
      <c r="AV72">
        <v>13</v>
      </c>
      <c r="AW72">
        <v>2</v>
      </c>
      <c r="AX72" t="s">
        <v>74</v>
      </c>
      <c r="AY72" t="s">
        <v>74</v>
      </c>
      <c r="AZ72" t="s">
        <v>74</v>
      </c>
      <c r="BA72" t="s">
        <v>74</v>
      </c>
      <c r="BB72">
        <v>381</v>
      </c>
      <c r="BC72">
        <v>395</v>
      </c>
      <c r="BD72" t="s">
        <v>74</v>
      </c>
      <c r="BE72" t="s">
        <v>1673</v>
      </c>
      <c r="BF72" t="str">
        <f>HYPERLINK("http://dx.doi.org/10.17059/2017-2-5","http://dx.doi.org/10.17059/2017-2-5")</f>
        <v>http://dx.doi.org/10.17059/2017-2-5</v>
      </c>
      <c r="BG72" t="s">
        <v>74</v>
      </c>
      <c r="BH72" t="s">
        <v>74</v>
      </c>
      <c r="BI72">
        <v>15</v>
      </c>
      <c r="BJ72" t="s">
        <v>1674</v>
      </c>
      <c r="BK72" t="s">
        <v>313</v>
      </c>
      <c r="BL72" t="s">
        <v>1674</v>
      </c>
      <c r="BM72" t="s">
        <v>1675</v>
      </c>
      <c r="BN72" t="s">
        <v>74</v>
      </c>
      <c r="BO72" t="s">
        <v>1676</v>
      </c>
      <c r="BP72" t="s">
        <v>74</v>
      </c>
      <c r="BQ72" t="s">
        <v>74</v>
      </c>
      <c r="BR72" t="s">
        <v>102</v>
      </c>
      <c r="BS72" t="s">
        <v>1677</v>
      </c>
      <c r="BT72" t="str">
        <f>HYPERLINK("https%3A%2F%2Fwww.webofscience.com%2Fwos%2Fwoscc%2Ffull-record%2FWOS:000403655000005","View Full Record in Web of Science")</f>
        <v>View Full Record in Web of Science</v>
      </c>
    </row>
    <row r="73" spans="1:72" x14ac:dyDescent="0.25">
      <c r="A73" t="s">
        <v>72</v>
      </c>
      <c r="B73" t="s">
        <v>1678</v>
      </c>
      <c r="C73" t="s">
        <v>74</v>
      </c>
      <c r="D73" t="s">
        <v>74</v>
      </c>
      <c r="E73" t="s">
        <v>74</v>
      </c>
      <c r="F73" t="s">
        <v>1679</v>
      </c>
      <c r="G73" t="s">
        <v>74</v>
      </c>
      <c r="H73" t="s">
        <v>74</v>
      </c>
      <c r="I73" t="s">
        <v>1680</v>
      </c>
      <c r="J73" t="s">
        <v>1681</v>
      </c>
      <c r="K73" t="s">
        <v>74</v>
      </c>
      <c r="L73" t="s">
        <v>74</v>
      </c>
      <c r="M73" t="s">
        <v>78</v>
      </c>
      <c r="N73" t="s">
        <v>79</v>
      </c>
      <c r="O73" t="s">
        <v>74</v>
      </c>
      <c r="P73" t="s">
        <v>74</v>
      </c>
      <c r="Q73" t="s">
        <v>74</v>
      </c>
      <c r="R73" t="s">
        <v>74</v>
      </c>
      <c r="S73" t="s">
        <v>74</v>
      </c>
      <c r="T73" t="s">
        <v>1682</v>
      </c>
      <c r="U73" t="s">
        <v>74</v>
      </c>
      <c r="V73" t="s">
        <v>1683</v>
      </c>
      <c r="W73" t="s">
        <v>1684</v>
      </c>
      <c r="X73" t="s">
        <v>1685</v>
      </c>
      <c r="Y73" t="s">
        <v>1686</v>
      </c>
      <c r="Z73" t="s">
        <v>74</v>
      </c>
      <c r="AA73" t="s">
        <v>1687</v>
      </c>
      <c r="AB73" t="s">
        <v>1688</v>
      </c>
      <c r="AC73" t="s">
        <v>74</v>
      </c>
      <c r="AD73" t="s">
        <v>74</v>
      </c>
      <c r="AE73" t="s">
        <v>74</v>
      </c>
      <c r="AF73" t="s">
        <v>74</v>
      </c>
      <c r="AG73">
        <v>26</v>
      </c>
      <c r="AH73">
        <v>3</v>
      </c>
      <c r="AI73">
        <v>3</v>
      </c>
      <c r="AJ73">
        <v>3</v>
      </c>
      <c r="AK73">
        <v>16</v>
      </c>
      <c r="AL73" t="s">
        <v>332</v>
      </c>
      <c r="AM73" t="s">
        <v>333</v>
      </c>
      <c r="AN73" t="s">
        <v>334</v>
      </c>
      <c r="AO73" t="s">
        <v>1689</v>
      </c>
      <c r="AP73" t="s">
        <v>1690</v>
      </c>
      <c r="AQ73" t="s">
        <v>74</v>
      </c>
      <c r="AR73" t="s">
        <v>1691</v>
      </c>
      <c r="AS73" t="s">
        <v>1692</v>
      </c>
      <c r="AT73" t="s">
        <v>1693</v>
      </c>
      <c r="AU73">
        <v>2023</v>
      </c>
      <c r="AV73">
        <v>57</v>
      </c>
      <c r="AW73">
        <v>2</v>
      </c>
      <c r="AX73" t="s">
        <v>74</v>
      </c>
      <c r="AY73" t="s">
        <v>74</v>
      </c>
      <c r="AZ73" t="s">
        <v>74</v>
      </c>
      <c r="BA73" t="s">
        <v>74</v>
      </c>
      <c r="BB73">
        <v>438</v>
      </c>
      <c r="BC73">
        <v>449</v>
      </c>
      <c r="BD73" t="s">
        <v>74</v>
      </c>
      <c r="BE73" t="s">
        <v>1694</v>
      </c>
      <c r="BF73" t="str">
        <f>HYPERLINK("http://dx.doi.org/10.1080/00213624.2023.2200650","http://dx.doi.org/10.1080/00213624.2023.2200650")</f>
        <v>http://dx.doi.org/10.1080/00213624.2023.2200650</v>
      </c>
      <c r="BG73" t="s">
        <v>74</v>
      </c>
      <c r="BH73" t="s">
        <v>74</v>
      </c>
      <c r="BI73">
        <v>12</v>
      </c>
      <c r="BJ73" t="s">
        <v>291</v>
      </c>
      <c r="BK73" t="s">
        <v>99</v>
      </c>
      <c r="BL73" t="s">
        <v>100</v>
      </c>
      <c r="BM73" t="s">
        <v>1695</v>
      </c>
      <c r="BN73" t="s">
        <v>74</v>
      </c>
      <c r="BO73" t="s">
        <v>1696</v>
      </c>
      <c r="BP73" t="s">
        <v>74</v>
      </c>
      <c r="BQ73" t="s">
        <v>74</v>
      </c>
      <c r="BR73" t="s">
        <v>102</v>
      </c>
      <c r="BS73" t="s">
        <v>1697</v>
      </c>
      <c r="BT73" t="str">
        <f>HYPERLINK("https%3A%2F%2Fwww.webofscience.com%2Fwos%2Fwoscc%2Ffull-record%2FWOS:001000338200010","View Full Record in Web of Science")</f>
        <v>View Full Record in Web of Science</v>
      </c>
    </row>
    <row r="74" spans="1:72" x14ac:dyDescent="0.25">
      <c r="A74" t="s">
        <v>72</v>
      </c>
      <c r="B74" t="s">
        <v>1698</v>
      </c>
      <c r="C74" t="s">
        <v>74</v>
      </c>
      <c r="D74" t="s">
        <v>74</v>
      </c>
      <c r="E74" t="s">
        <v>74</v>
      </c>
      <c r="F74" t="s">
        <v>1699</v>
      </c>
      <c r="G74" t="s">
        <v>74</v>
      </c>
      <c r="H74" t="s">
        <v>74</v>
      </c>
      <c r="I74" t="s">
        <v>1700</v>
      </c>
      <c r="J74" t="s">
        <v>1701</v>
      </c>
      <c r="K74" t="s">
        <v>74</v>
      </c>
      <c r="L74" t="s">
        <v>74</v>
      </c>
      <c r="M74" t="s">
        <v>78</v>
      </c>
      <c r="N74" t="s">
        <v>79</v>
      </c>
      <c r="O74" t="s">
        <v>74</v>
      </c>
      <c r="P74" t="s">
        <v>74</v>
      </c>
      <c r="Q74" t="s">
        <v>74</v>
      </c>
      <c r="R74" t="s">
        <v>74</v>
      </c>
      <c r="S74" t="s">
        <v>74</v>
      </c>
      <c r="T74" t="s">
        <v>1702</v>
      </c>
      <c r="U74" t="s">
        <v>1703</v>
      </c>
      <c r="V74" t="s">
        <v>1704</v>
      </c>
      <c r="W74" t="s">
        <v>1705</v>
      </c>
      <c r="X74" t="s">
        <v>1706</v>
      </c>
      <c r="Y74" t="s">
        <v>1707</v>
      </c>
      <c r="Z74" t="s">
        <v>1708</v>
      </c>
      <c r="AA74" t="s">
        <v>74</v>
      </c>
      <c r="AB74" t="s">
        <v>74</v>
      </c>
      <c r="AC74" t="s">
        <v>74</v>
      </c>
      <c r="AD74" t="s">
        <v>74</v>
      </c>
      <c r="AE74" t="s">
        <v>74</v>
      </c>
      <c r="AF74" t="s">
        <v>74</v>
      </c>
      <c r="AG74">
        <v>29</v>
      </c>
      <c r="AH74">
        <v>7</v>
      </c>
      <c r="AI74">
        <v>8</v>
      </c>
      <c r="AJ74">
        <v>1</v>
      </c>
      <c r="AK74">
        <v>26</v>
      </c>
      <c r="AL74" t="s">
        <v>503</v>
      </c>
      <c r="AM74" t="s">
        <v>151</v>
      </c>
      <c r="AN74" t="s">
        <v>504</v>
      </c>
      <c r="AO74" t="s">
        <v>1709</v>
      </c>
      <c r="AP74" t="s">
        <v>1710</v>
      </c>
      <c r="AQ74" t="s">
        <v>74</v>
      </c>
      <c r="AR74" t="s">
        <v>1711</v>
      </c>
      <c r="AS74" t="s">
        <v>1712</v>
      </c>
      <c r="AT74" t="s">
        <v>124</v>
      </c>
      <c r="AU74">
        <v>2013</v>
      </c>
      <c r="AV74">
        <v>26</v>
      </c>
      <c r="AW74" t="s">
        <v>74</v>
      </c>
      <c r="AX74" t="s">
        <v>74</v>
      </c>
      <c r="AY74" t="s">
        <v>74</v>
      </c>
      <c r="AZ74" t="s">
        <v>441</v>
      </c>
      <c r="BA74" t="s">
        <v>74</v>
      </c>
      <c r="BB74">
        <v>497</v>
      </c>
      <c r="BC74">
        <v>518</v>
      </c>
      <c r="BD74" t="s">
        <v>74</v>
      </c>
      <c r="BE74" t="s">
        <v>1713</v>
      </c>
      <c r="BF74" t="str">
        <f>HYPERLINK("http://dx.doi.org/10.1016/j.najef.2013.02.018","http://dx.doi.org/10.1016/j.najef.2013.02.018")</f>
        <v>http://dx.doi.org/10.1016/j.najef.2013.02.018</v>
      </c>
      <c r="BG74" t="s">
        <v>74</v>
      </c>
      <c r="BH74" t="s">
        <v>74</v>
      </c>
      <c r="BI74">
        <v>22</v>
      </c>
      <c r="BJ74" t="s">
        <v>210</v>
      </c>
      <c r="BK74" t="s">
        <v>99</v>
      </c>
      <c r="BL74" t="s">
        <v>100</v>
      </c>
      <c r="BM74" t="s">
        <v>1714</v>
      </c>
      <c r="BN74" t="s">
        <v>74</v>
      </c>
      <c r="BO74" t="s">
        <v>74</v>
      </c>
      <c r="BP74" t="s">
        <v>74</v>
      </c>
      <c r="BQ74" t="s">
        <v>74</v>
      </c>
      <c r="BR74" t="s">
        <v>102</v>
      </c>
      <c r="BS74" t="s">
        <v>1715</v>
      </c>
      <c r="BT74" t="str">
        <f>HYPERLINK("https%3A%2F%2Fwww.webofscience.com%2Fwos%2Fwoscc%2Ffull-record%2FWOS:000328442700028","View Full Record in Web of Science")</f>
        <v>View Full Record in Web of Science</v>
      </c>
    </row>
    <row r="75" spans="1:72" x14ac:dyDescent="0.25">
      <c r="A75" t="s">
        <v>72</v>
      </c>
      <c r="B75" t="s">
        <v>1716</v>
      </c>
      <c r="C75" t="s">
        <v>74</v>
      </c>
      <c r="D75" t="s">
        <v>74</v>
      </c>
      <c r="E75" t="s">
        <v>74</v>
      </c>
      <c r="F75" t="s">
        <v>1717</v>
      </c>
      <c r="G75" t="s">
        <v>74</v>
      </c>
      <c r="H75" t="s">
        <v>74</v>
      </c>
      <c r="I75" t="s">
        <v>1718</v>
      </c>
      <c r="J75" t="s">
        <v>1719</v>
      </c>
      <c r="K75" t="s">
        <v>74</v>
      </c>
      <c r="L75" t="s">
        <v>74</v>
      </c>
      <c r="M75" t="s">
        <v>78</v>
      </c>
      <c r="N75" t="s">
        <v>79</v>
      </c>
      <c r="O75" t="s">
        <v>74</v>
      </c>
      <c r="P75" t="s">
        <v>74</v>
      </c>
      <c r="Q75" t="s">
        <v>74</v>
      </c>
      <c r="R75" t="s">
        <v>74</v>
      </c>
      <c r="S75" t="s">
        <v>74</v>
      </c>
      <c r="T75" t="s">
        <v>1720</v>
      </c>
      <c r="U75" t="s">
        <v>1721</v>
      </c>
      <c r="V75" t="s">
        <v>1722</v>
      </c>
      <c r="W75" t="s">
        <v>1723</v>
      </c>
      <c r="X75" t="s">
        <v>1724</v>
      </c>
      <c r="Y75" t="s">
        <v>1725</v>
      </c>
      <c r="Z75" t="s">
        <v>1726</v>
      </c>
      <c r="AA75" t="s">
        <v>1727</v>
      </c>
      <c r="AB75" t="s">
        <v>1728</v>
      </c>
      <c r="AC75" t="s">
        <v>1729</v>
      </c>
      <c r="AD75" t="s">
        <v>1730</v>
      </c>
      <c r="AE75" t="s">
        <v>1731</v>
      </c>
      <c r="AF75" t="s">
        <v>74</v>
      </c>
      <c r="AG75">
        <v>46</v>
      </c>
      <c r="AH75">
        <v>0</v>
      </c>
      <c r="AI75">
        <v>0</v>
      </c>
      <c r="AJ75">
        <v>0</v>
      </c>
      <c r="AK75">
        <v>0</v>
      </c>
      <c r="AL75" t="s">
        <v>332</v>
      </c>
      <c r="AM75" t="s">
        <v>333</v>
      </c>
      <c r="AN75" t="s">
        <v>334</v>
      </c>
      <c r="AO75" t="s">
        <v>1732</v>
      </c>
      <c r="AP75" t="s">
        <v>1733</v>
      </c>
      <c r="AQ75" t="s">
        <v>74</v>
      </c>
      <c r="AR75" t="s">
        <v>1734</v>
      </c>
      <c r="AS75" t="s">
        <v>1735</v>
      </c>
      <c r="AT75" t="s">
        <v>1427</v>
      </c>
      <c r="AU75">
        <v>2025</v>
      </c>
      <c r="AV75">
        <v>11</v>
      </c>
      <c r="AW75">
        <v>1</v>
      </c>
      <c r="AX75" t="s">
        <v>74</v>
      </c>
      <c r="AY75" t="s">
        <v>74</v>
      </c>
      <c r="AZ75" t="s">
        <v>74</v>
      </c>
      <c r="BA75" t="s">
        <v>74</v>
      </c>
      <c r="BB75">
        <v>104</v>
      </c>
      <c r="BC75">
        <v>125</v>
      </c>
      <c r="BD75" t="s">
        <v>74</v>
      </c>
      <c r="BE75" t="s">
        <v>1736</v>
      </c>
      <c r="BF75" t="str">
        <f>HYPERLINK("http://dx.doi.org/10.1080/23322373.2025.2470595","http://dx.doi.org/10.1080/23322373.2025.2470595")</f>
        <v>http://dx.doi.org/10.1080/23322373.2025.2470595</v>
      </c>
      <c r="BG75" t="s">
        <v>74</v>
      </c>
      <c r="BH75" t="s">
        <v>1737</v>
      </c>
      <c r="BI75">
        <v>22</v>
      </c>
      <c r="BJ75" t="s">
        <v>583</v>
      </c>
      <c r="BK75" t="s">
        <v>313</v>
      </c>
      <c r="BL75" t="s">
        <v>100</v>
      </c>
      <c r="BM75" t="s">
        <v>1738</v>
      </c>
      <c r="BN75" t="s">
        <v>74</v>
      </c>
      <c r="BO75" t="s">
        <v>270</v>
      </c>
      <c r="BP75" t="s">
        <v>74</v>
      </c>
      <c r="BQ75" t="s">
        <v>74</v>
      </c>
      <c r="BR75" t="s">
        <v>102</v>
      </c>
      <c r="BS75" t="s">
        <v>1739</v>
      </c>
      <c r="BT75" t="str">
        <f>HYPERLINK("https%3A%2F%2Fwww.webofscience.com%2Fwos%2Fwoscc%2Ffull-record%2FWOS:001456549300001","View Full Record in Web of Science")</f>
        <v>View Full Record in Web of Science</v>
      </c>
    </row>
    <row r="76" spans="1:72" x14ac:dyDescent="0.25">
      <c r="A76" t="s">
        <v>132</v>
      </c>
      <c r="B76" t="s">
        <v>1740</v>
      </c>
      <c r="C76" t="s">
        <v>74</v>
      </c>
      <c r="D76" t="s">
        <v>74</v>
      </c>
      <c r="E76" t="s">
        <v>771</v>
      </c>
      <c r="F76" t="s">
        <v>1741</v>
      </c>
      <c r="G76" t="s">
        <v>74</v>
      </c>
      <c r="H76" t="s">
        <v>74</v>
      </c>
      <c r="I76" t="s">
        <v>1742</v>
      </c>
      <c r="J76" t="s">
        <v>1743</v>
      </c>
      <c r="K76" t="s">
        <v>1744</v>
      </c>
      <c r="L76" t="s">
        <v>74</v>
      </c>
      <c r="M76" t="s">
        <v>78</v>
      </c>
      <c r="N76" t="s">
        <v>138</v>
      </c>
      <c r="O76" t="s">
        <v>1745</v>
      </c>
      <c r="P76" t="s">
        <v>1746</v>
      </c>
      <c r="Q76" t="s">
        <v>1747</v>
      </c>
      <c r="R76" t="s">
        <v>1748</v>
      </c>
      <c r="S76" t="s">
        <v>74</v>
      </c>
      <c r="T76" t="s">
        <v>74</v>
      </c>
      <c r="U76" t="s">
        <v>1749</v>
      </c>
      <c r="V76" t="s">
        <v>1750</v>
      </c>
      <c r="W76" t="s">
        <v>1751</v>
      </c>
      <c r="X76" t="s">
        <v>1752</v>
      </c>
      <c r="Y76" t="s">
        <v>1753</v>
      </c>
      <c r="Z76" t="s">
        <v>1754</v>
      </c>
      <c r="AA76" t="s">
        <v>74</v>
      </c>
      <c r="AB76" t="s">
        <v>74</v>
      </c>
      <c r="AC76" t="s">
        <v>74</v>
      </c>
      <c r="AD76" t="s">
        <v>74</v>
      </c>
      <c r="AE76" t="s">
        <v>74</v>
      </c>
      <c r="AF76" t="s">
        <v>74</v>
      </c>
      <c r="AG76">
        <v>41</v>
      </c>
      <c r="AH76">
        <v>12</v>
      </c>
      <c r="AI76">
        <v>13</v>
      </c>
      <c r="AJ76">
        <v>0</v>
      </c>
      <c r="AK76">
        <v>3</v>
      </c>
      <c r="AL76" t="s">
        <v>771</v>
      </c>
      <c r="AM76" t="s">
        <v>151</v>
      </c>
      <c r="AN76" t="s">
        <v>785</v>
      </c>
      <c r="AO76" t="s">
        <v>1755</v>
      </c>
      <c r="AP76" t="s">
        <v>74</v>
      </c>
      <c r="AQ76" t="s">
        <v>1756</v>
      </c>
      <c r="AR76" t="s">
        <v>1757</v>
      </c>
      <c r="AS76" t="s">
        <v>74</v>
      </c>
      <c r="AT76" t="s">
        <v>74</v>
      </c>
      <c r="AU76">
        <v>2019</v>
      </c>
      <c r="AV76" t="s">
        <v>74</v>
      </c>
      <c r="AW76" t="s">
        <v>74</v>
      </c>
      <c r="AX76" t="s">
        <v>74</v>
      </c>
      <c r="AY76" t="s">
        <v>74</v>
      </c>
      <c r="AZ76" t="s">
        <v>74</v>
      </c>
      <c r="BA76" t="s">
        <v>74</v>
      </c>
      <c r="BB76">
        <v>2847</v>
      </c>
      <c r="BC76">
        <v>2856</v>
      </c>
      <c r="BD76" t="s">
        <v>74</v>
      </c>
      <c r="BE76" t="s">
        <v>1758</v>
      </c>
      <c r="BF76" t="str">
        <f>HYPERLINK("http://dx.doi.org/10.1109/CVPRW.2019.00344","http://dx.doi.org/10.1109/CVPRW.2019.00344")</f>
        <v>http://dx.doi.org/10.1109/CVPRW.2019.00344</v>
      </c>
      <c r="BG76" t="s">
        <v>74</v>
      </c>
      <c r="BH76" t="s">
        <v>74</v>
      </c>
      <c r="BI76">
        <v>10</v>
      </c>
      <c r="BJ76" t="s">
        <v>1759</v>
      </c>
      <c r="BK76" t="s">
        <v>156</v>
      </c>
      <c r="BL76" t="s">
        <v>157</v>
      </c>
      <c r="BM76" t="s">
        <v>1760</v>
      </c>
      <c r="BN76" t="s">
        <v>74</v>
      </c>
      <c r="BO76" t="s">
        <v>74</v>
      </c>
      <c r="BP76" t="s">
        <v>74</v>
      </c>
      <c r="BQ76" t="s">
        <v>74</v>
      </c>
      <c r="BR76" t="s">
        <v>102</v>
      </c>
      <c r="BS76" t="s">
        <v>1761</v>
      </c>
      <c r="BT76" t="str">
        <f>HYPERLINK("https%3A%2F%2Fwww.webofscience.com%2Fwos%2Fwoscc%2Ffull-record%2FWOS:000569983600338","View Full Record in Web of Science")</f>
        <v>View Full Record in Web of Science</v>
      </c>
    </row>
    <row r="77" spans="1:72" x14ac:dyDescent="0.25">
      <c r="A77" t="s">
        <v>72</v>
      </c>
      <c r="B77" t="s">
        <v>1762</v>
      </c>
      <c r="C77" t="s">
        <v>74</v>
      </c>
      <c r="D77" t="s">
        <v>74</v>
      </c>
      <c r="E77" t="s">
        <v>74</v>
      </c>
      <c r="F77" t="s">
        <v>1763</v>
      </c>
      <c r="G77" t="s">
        <v>74</v>
      </c>
      <c r="H77" t="s">
        <v>74</v>
      </c>
      <c r="I77" t="s">
        <v>1764</v>
      </c>
      <c r="J77" t="s">
        <v>1765</v>
      </c>
      <c r="K77" t="s">
        <v>74</v>
      </c>
      <c r="L77" t="s">
        <v>74</v>
      </c>
      <c r="M77" t="s">
        <v>78</v>
      </c>
      <c r="N77" t="s">
        <v>1766</v>
      </c>
      <c r="O77" t="s">
        <v>74</v>
      </c>
      <c r="P77" t="s">
        <v>74</v>
      </c>
      <c r="Q77" t="s">
        <v>74</v>
      </c>
      <c r="R77" t="s">
        <v>74</v>
      </c>
      <c r="S77" t="s">
        <v>74</v>
      </c>
      <c r="T77" t="s">
        <v>1767</v>
      </c>
      <c r="U77" t="s">
        <v>74</v>
      </c>
      <c r="V77" t="s">
        <v>1768</v>
      </c>
      <c r="W77" t="s">
        <v>1769</v>
      </c>
      <c r="X77" t="s">
        <v>1770</v>
      </c>
      <c r="Y77" t="s">
        <v>1771</v>
      </c>
      <c r="Z77" t="s">
        <v>1772</v>
      </c>
      <c r="AA77" t="s">
        <v>1773</v>
      </c>
      <c r="AB77" t="s">
        <v>1774</v>
      </c>
      <c r="AC77" t="s">
        <v>74</v>
      </c>
      <c r="AD77" t="s">
        <v>74</v>
      </c>
      <c r="AE77" t="s">
        <v>74</v>
      </c>
      <c r="AF77" t="s">
        <v>74</v>
      </c>
      <c r="AG77">
        <v>168</v>
      </c>
      <c r="AH77">
        <v>1</v>
      </c>
      <c r="AI77">
        <v>3</v>
      </c>
      <c r="AJ77">
        <v>5</v>
      </c>
      <c r="AK77">
        <v>5</v>
      </c>
      <c r="AL77" t="s">
        <v>575</v>
      </c>
      <c r="AM77" t="s">
        <v>576</v>
      </c>
      <c r="AN77" t="s">
        <v>577</v>
      </c>
      <c r="AO77" t="s">
        <v>74</v>
      </c>
      <c r="AP77" t="s">
        <v>1775</v>
      </c>
      <c r="AQ77" t="s">
        <v>74</v>
      </c>
      <c r="AR77" t="s">
        <v>1765</v>
      </c>
      <c r="AS77" t="s">
        <v>1776</v>
      </c>
      <c r="AT77" t="s">
        <v>1777</v>
      </c>
      <c r="AU77">
        <v>2025</v>
      </c>
      <c r="AV77">
        <v>16</v>
      </c>
      <c r="AW77">
        <v>9</v>
      </c>
      <c r="AX77" t="s">
        <v>74</v>
      </c>
      <c r="AY77" t="s">
        <v>74</v>
      </c>
      <c r="AZ77" t="s">
        <v>74</v>
      </c>
      <c r="BA77" t="s">
        <v>74</v>
      </c>
      <c r="BB77" t="s">
        <v>74</v>
      </c>
      <c r="BC77" t="s">
        <v>74</v>
      </c>
      <c r="BD77">
        <v>769</v>
      </c>
      <c r="BE77" t="s">
        <v>1778</v>
      </c>
      <c r="BF77" t="str">
        <f>HYPERLINK("http://dx.doi.org/10.3390/info16090769","http://dx.doi.org/10.3390/info16090769")</f>
        <v>http://dx.doi.org/10.3390/info16090769</v>
      </c>
      <c r="BG77" t="s">
        <v>74</v>
      </c>
      <c r="BH77" t="s">
        <v>74</v>
      </c>
      <c r="BI77">
        <v>33</v>
      </c>
      <c r="BJ77" t="s">
        <v>1779</v>
      </c>
      <c r="BK77" t="s">
        <v>313</v>
      </c>
      <c r="BL77" t="s">
        <v>157</v>
      </c>
      <c r="BM77" t="s">
        <v>1780</v>
      </c>
      <c r="BN77" t="s">
        <v>74</v>
      </c>
      <c r="BO77" t="s">
        <v>212</v>
      </c>
      <c r="BP77" t="s">
        <v>74</v>
      </c>
      <c r="BQ77" t="s">
        <v>74</v>
      </c>
      <c r="BR77" t="s">
        <v>102</v>
      </c>
      <c r="BS77" t="s">
        <v>1781</v>
      </c>
      <c r="BT77" t="str">
        <f>HYPERLINK("https%3A%2F%2Fwww.webofscience.com%2Fwos%2Fwoscc%2Ffull-record%2FWOS:001580065000001","View Full Record in Web of Science")</f>
        <v>View Full Record in Web of Science</v>
      </c>
    </row>
    <row r="78" spans="1:72" x14ac:dyDescent="0.25">
      <c r="A78" t="s">
        <v>72</v>
      </c>
      <c r="B78" t="s">
        <v>1782</v>
      </c>
      <c r="C78" t="s">
        <v>74</v>
      </c>
      <c r="D78" t="s">
        <v>74</v>
      </c>
      <c r="E78" t="s">
        <v>74</v>
      </c>
      <c r="F78" t="s">
        <v>1783</v>
      </c>
      <c r="G78" t="s">
        <v>74</v>
      </c>
      <c r="H78" t="s">
        <v>74</v>
      </c>
      <c r="I78" t="s">
        <v>1784</v>
      </c>
      <c r="J78" t="s">
        <v>1785</v>
      </c>
      <c r="K78" t="s">
        <v>74</v>
      </c>
      <c r="L78" t="s">
        <v>74</v>
      </c>
      <c r="M78" t="s">
        <v>78</v>
      </c>
      <c r="N78" t="s">
        <v>79</v>
      </c>
      <c r="O78" t="s">
        <v>74</v>
      </c>
      <c r="P78" t="s">
        <v>74</v>
      </c>
      <c r="Q78" t="s">
        <v>74</v>
      </c>
      <c r="R78" t="s">
        <v>74</v>
      </c>
      <c r="S78" t="s">
        <v>74</v>
      </c>
      <c r="T78" t="s">
        <v>1786</v>
      </c>
      <c r="U78" t="s">
        <v>74</v>
      </c>
      <c r="V78" t="s">
        <v>1787</v>
      </c>
      <c r="W78" t="s">
        <v>1788</v>
      </c>
      <c r="X78" t="s">
        <v>1789</v>
      </c>
      <c r="Y78" t="s">
        <v>1790</v>
      </c>
      <c r="Z78" t="s">
        <v>1791</v>
      </c>
      <c r="AA78" t="s">
        <v>1792</v>
      </c>
      <c r="AB78" t="s">
        <v>1793</v>
      </c>
      <c r="AC78" t="s">
        <v>1794</v>
      </c>
      <c r="AD78" t="s">
        <v>1795</v>
      </c>
      <c r="AE78" t="s">
        <v>1796</v>
      </c>
      <c r="AF78" t="s">
        <v>74</v>
      </c>
      <c r="AG78">
        <v>63</v>
      </c>
      <c r="AH78">
        <v>31</v>
      </c>
      <c r="AI78">
        <v>34</v>
      </c>
      <c r="AJ78">
        <v>1</v>
      </c>
      <c r="AK78">
        <v>64</v>
      </c>
      <c r="AL78" t="s">
        <v>201</v>
      </c>
      <c r="AM78" t="s">
        <v>202</v>
      </c>
      <c r="AN78" t="s">
        <v>203</v>
      </c>
      <c r="AO78" t="s">
        <v>1797</v>
      </c>
      <c r="AP78" t="s">
        <v>1798</v>
      </c>
      <c r="AQ78" t="s">
        <v>74</v>
      </c>
      <c r="AR78" t="s">
        <v>1799</v>
      </c>
      <c r="AS78" t="s">
        <v>1800</v>
      </c>
      <c r="AT78" t="s">
        <v>1159</v>
      </c>
      <c r="AU78">
        <v>2022</v>
      </c>
      <c r="AV78">
        <v>135</v>
      </c>
      <c r="AW78" t="s">
        <v>74</v>
      </c>
      <c r="AX78" t="s">
        <v>74</v>
      </c>
      <c r="AY78" t="s">
        <v>74</v>
      </c>
      <c r="AZ78" t="s">
        <v>74</v>
      </c>
      <c r="BA78" t="s">
        <v>74</v>
      </c>
      <c r="BB78">
        <v>450</v>
      </c>
      <c r="BC78">
        <v>466</v>
      </c>
      <c r="BD78" t="s">
        <v>74</v>
      </c>
      <c r="BE78" t="s">
        <v>1801</v>
      </c>
      <c r="BF78" t="str">
        <f>HYPERLINK("http://dx.doi.org/10.1016/j.future.2022.05.015","http://dx.doi.org/10.1016/j.future.2022.05.015")</f>
        <v>http://dx.doi.org/10.1016/j.future.2022.05.015</v>
      </c>
      <c r="BG78" t="s">
        <v>74</v>
      </c>
      <c r="BH78" t="s">
        <v>1802</v>
      </c>
      <c r="BI78">
        <v>17</v>
      </c>
      <c r="BJ78" t="s">
        <v>1803</v>
      </c>
      <c r="BK78" t="s">
        <v>128</v>
      </c>
      <c r="BL78" t="s">
        <v>157</v>
      </c>
      <c r="BM78" t="s">
        <v>1804</v>
      </c>
      <c r="BN78" t="s">
        <v>74</v>
      </c>
      <c r="BO78" t="s">
        <v>74</v>
      </c>
      <c r="BP78" t="s">
        <v>74</v>
      </c>
      <c r="BQ78" t="s">
        <v>74</v>
      </c>
      <c r="BR78" t="s">
        <v>102</v>
      </c>
      <c r="BS78" t="s">
        <v>1805</v>
      </c>
      <c r="BT78" t="str">
        <f>HYPERLINK("https%3A%2F%2Fwww.webofscience.com%2Fwos%2Fwoscc%2Ffull-record%2FWOS:000833418600010","View Full Record in Web of Science")</f>
        <v>View Full Record in Web of Science</v>
      </c>
    </row>
    <row r="79" spans="1:72" x14ac:dyDescent="0.25">
      <c r="A79" t="s">
        <v>72</v>
      </c>
      <c r="B79" t="s">
        <v>1806</v>
      </c>
      <c r="C79" t="s">
        <v>74</v>
      </c>
      <c r="D79" t="s">
        <v>74</v>
      </c>
      <c r="E79" t="s">
        <v>74</v>
      </c>
      <c r="F79" t="s">
        <v>1807</v>
      </c>
      <c r="G79" t="s">
        <v>74</v>
      </c>
      <c r="H79" t="s">
        <v>74</v>
      </c>
      <c r="I79" t="s">
        <v>1808</v>
      </c>
      <c r="J79" t="s">
        <v>1491</v>
      </c>
      <c r="K79" t="s">
        <v>74</v>
      </c>
      <c r="L79" t="s">
        <v>74</v>
      </c>
      <c r="M79" t="s">
        <v>78</v>
      </c>
      <c r="N79" t="s">
        <v>79</v>
      </c>
      <c r="O79" t="s">
        <v>74</v>
      </c>
      <c r="P79" t="s">
        <v>74</v>
      </c>
      <c r="Q79" t="s">
        <v>74</v>
      </c>
      <c r="R79" t="s">
        <v>74</v>
      </c>
      <c r="S79" t="s">
        <v>74</v>
      </c>
      <c r="T79" t="s">
        <v>1809</v>
      </c>
      <c r="U79" t="s">
        <v>1810</v>
      </c>
      <c r="V79" t="s">
        <v>1811</v>
      </c>
      <c r="W79" t="s">
        <v>1812</v>
      </c>
      <c r="X79" t="s">
        <v>1813</v>
      </c>
      <c r="Y79" t="s">
        <v>1814</v>
      </c>
      <c r="Z79" t="s">
        <v>1815</v>
      </c>
      <c r="AA79" t="s">
        <v>74</v>
      </c>
      <c r="AB79" t="s">
        <v>74</v>
      </c>
      <c r="AC79" t="s">
        <v>74</v>
      </c>
      <c r="AD79" t="s">
        <v>74</v>
      </c>
      <c r="AE79" t="s">
        <v>74</v>
      </c>
      <c r="AF79" t="s">
        <v>74</v>
      </c>
      <c r="AG79">
        <v>58</v>
      </c>
      <c r="AH79">
        <v>8</v>
      </c>
      <c r="AI79">
        <v>12</v>
      </c>
      <c r="AJ79">
        <v>1</v>
      </c>
      <c r="AK79">
        <v>24</v>
      </c>
      <c r="AL79" t="s">
        <v>89</v>
      </c>
      <c r="AM79" t="s">
        <v>1497</v>
      </c>
      <c r="AN79" t="s">
        <v>1498</v>
      </c>
      <c r="AO79" t="s">
        <v>1499</v>
      </c>
      <c r="AP79" t="s">
        <v>1500</v>
      </c>
      <c r="AQ79" t="s">
        <v>74</v>
      </c>
      <c r="AR79" t="s">
        <v>1501</v>
      </c>
      <c r="AS79" t="s">
        <v>1502</v>
      </c>
      <c r="AT79" t="s">
        <v>1816</v>
      </c>
      <c r="AU79">
        <v>2021</v>
      </c>
      <c r="AV79">
        <v>29</v>
      </c>
      <c r="AW79">
        <v>5</v>
      </c>
      <c r="AX79" t="s">
        <v>74</v>
      </c>
      <c r="AY79" t="s">
        <v>74</v>
      </c>
      <c r="AZ79" t="s">
        <v>74</v>
      </c>
      <c r="BA79" t="s">
        <v>74</v>
      </c>
      <c r="BB79">
        <v>514</v>
      </c>
      <c r="BC79">
        <v>532</v>
      </c>
      <c r="BD79" t="s">
        <v>74</v>
      </c>
      <c r="BE79" t="s">
        <v>1817</v>
      </c>
      <c r="BF79" t="str">
        <f>HYPERLINK("http://dx.doi.org/10.1108/JFRC-12-2020-0114","http://dx.doi.org/10.1108/JFRC-12-2020-0114")</f>
        <v>http://dx.doi.org/10.1108/JFRC-12-2020-0114</v>
      </c>
      <c r="BG79" t="s">
        <v>74</v>
      </c>
      <c r="BH79" t="s">
        <v>1818</v>
      </c>
      <c r="BI79">
        <v>19</v>
      </c>
      <c r="BJ79" t="s">
        <v>268</v>
      </c>
      <c r="BK79" t="s">
        <v>313</v>
      </c>
      <c r="BL79" t="s">
        <v>100</v>
      </c>
      <c r="BM79" t="s">
        <v>1819</v>
      </c>
      <c r="BN79" t="s">
        <v>74</v>
      </c>
      <c r="BO79" t="s">
        <v>74</v>
      </c>
      <c r="BP79" t="s">
        <v>74</v>
      </c>
      <c r="BQ79" t="s">
        <v>74</v>
      </c>
      <c r="BR79" t="s">
        <v>102</v>
      </c>
      <c r="BS79" t="s">
        <v>1820</v>
      </c>
      <c r="BT79" t="str">
        <f>HYPERLINK("https%3A%2F%2Fwww.webofscience.com%2Fwos%2Fwoscc%2Ffull-record%2FWOS:000683819600001","View Full Record in Web of Science")</f>
        <v>View Full Record in Web of Science</v>
      </c>
    </row>
    <row r="80" spans="1:72" x14ac:dyDescent="0.25">
      <c r="A80" t="s">
        <v>132</v>
      </c>
      <c r="B80" t="s">
        <v>1821</v>
      </c>
      <c r="C80" t="s">
        <v>74</v>
      </c>
      <c r="D80" t="s">
        <v>1822</v>
      </c>
      <c r="E80" t="s">
        <v>74</v>
      </c>
      <c r="F80" t="s">
        <v>1823</v>
      </c>
      <c r="G80" t="s">
        <v>74</v>
      </c>
      <c r="H80" t="s">
        <v>74</v>
      </c>
      <c r="I80" t="s">
        <v>1824</v>
      </c>
      <c r="J80" t="s">
        <v>1825</v>
      </c>
      <c r="K80" t="s">
        <v>74</v>
      </c>
      <c r="L80" t="s">
        <v>74</v>
      </c>
      <c r="M80" t="s">
        <v>78</v>
      </c>
      <c r="N80" t="s">
        <v>138</v>
      </c>
      <c r="O80" t="s">
        <v>1826</v>
      </c>
      <c r="P80" t="s">
        <v>1827</v>
      </c>
      <c r="Q80" t="s">
        <v>1828</v>
      </c>
      <c r="R80" t="s">
        <v>1829</v>
      </c>
      <c r="S80" t="s">
        <v>1830</v>
      </c>
      <c r="T80" t="s">
        <v>1831</v>
      </c>
      <c r="U80" t="s">
        <v>74</v>
      </c>
      <c r="V80" t="s">
        <v>1832</v>
      </c>
      <c r="W80" t="s">
        <v>1833</v>
      </c>
      <c r="X80" t="s">
        <v>1834</v>
      </c>
      <c r="Y80" t="s">
        <v>1835</v>
      </c>
      <c r="Z80" t="s">
        <v>1836</v>
      </c>
      <c r="AA80" t="s">
        <v>1837</v>
      </c>
      <c r="AB80" t="s">
        <v>1838</v>
      </c>
      <c r="AC80" t="s">
        <v>74</v>
      </c>
      <c r="AD80" t="s">
        <v>74</v>
      </c>
      <c r="AE80" t="s">
        <v>74</v>
      </c>
      <c r="AF80" t="s">
        <v>74</v>
      </c>
      <c r="AG80">
        <v>15</v>
      </c>
      <c r="AH80">
        <v>1</v>
      </c>
      <c r="AI80">
        <v>1</v>
      </c>
      <c r="AJ80">
        <v>1</v>
      </c>
      <c r="AK80">
        <v>4</v>
      </c>
      <c r="AL80" t="s">
        <v>1839</v>
      </c>
      <c r="AM80" t="s">
        <v>1840</v>
      </c>
      <c r="AN80" t="s">
        <v>1841</v>
      </c>
      <c r="AO80" t="s">
        <v>74</v>
      </c>
      <c r="AP80" t="s">
        <v>74</v>
      </c>
      <c r="AQ80" t="s">
        <v>1842</v>
      </c>
      <c r="AR80" t="s">
        <v>74</v>
      </c>
      <c r="AS80" t="s">
        <v>74</v>
      </c>
      <c r="AT80" t="s">
        <v>74</v>
      </c>
      <c r="AU80">
        <v>2018</v>
      </c>
      <c r="AV80" t="s">
        <v>74</v>
      </c>
      <c r="AW80" t="s">
        <v>74</v>
      </c>
      <c r="AX80" t="s">
        <v>74</v>
      </c>
      <c r="AY80" t="s">
        <v>74</v>
      </c>
      <c r="AZ80" t="s">
        <v>74</v>
      </c>
      <c r="BA80" t="s">
        <v>74</v>
      </c>
      <c r="BB80">
        <v>831</v>
      </c>
      <c r="BC80">
        <v>845</v>
      </c>
      <c r="BD80" t="s">
        <v>74</v>
      </c>
      <c r="BE80" t="s">
        <v>74</v>
      </c>
      <c r="BF80" t="s">
        <v>74</v>
      </c>
      <c r="BG80" t="s">
        <v>74</v>
      </c>
      <c r="BH80" t="s">
        <v>74</v>
      </c>
      <c r="BI80">
        <v>15</v>
      </c>
      <c r="BJ80" t="s">
        <v>98</v>
      </c>
      <c r="BK80" t="s">
        <v>183</v>
      </c>
      <c r="BL80" t="s">
        <v>100</v>
      </c>
      <c r="BM80" t="s">
        <v>1843</v>
      </c>
      <c r="BN80" t="s">
        <v>74</v>
      </c>
      <c r="BO80" t="s">
        <v>74</v>
      </c>
      <c r="BP80" t="s">
        <v>74</v>
      </c>
      <c r="BQ80" t="s">
        <v>74</v>
      </c>
      <c r="BR80" t="s">
        <v>102</v>
      </c>
      <c r="BS80" t="s">
        <v>1844</v>
      </c>
      <c r="BT80" t="str">
        <f>HYPERLINK("https%3A%2F%2Fwww.webofscience.com%2Fwos%2Fwoscc%2Ffull-record%2FWOS:000461375200069","View Full Record in Web of Science")</f>
        <v>View Full Record in Web of Science</v>
      </c>
    </row>
    <row r="81" spans="1:72" x14ac:dyDescent="0.25">
      <c r="A81" t="s">
        <v>132</v>
      </c>
      <c r="B81" t="s">
        <v>1845</v>
      </c>
      <c r="C81" t="s">
        <v>74</v>
      </c>
      <c r="D81" t="s">
        <v>1846</v>
      </c>
      <c r="E81" t="s">
        <v>74</v>
      </c>
      <c r="F81" t="s">
        <v>1847</v>
      </c>
      <c r="G81" t="s">
        <v>74</v>
      </c>
      <c r="H81" t="s">
        <v>74</v>
      </c>
      <c r="I81" t="s">
        <v>1848</v>
      </c>
      <c r="J81" t="s">
        <v>1849</v>
      </c>
      <c r="K81" t="s">
        <v>1850</v>
      </c>
      <c r="L81" t="s">
        <v>74</v>
      </c>
      <c r="M81" t="s">
        <v>1851</v>
      </c>
      <c r="N81" t="s">
        <v>138</v>
      </c>
      <c r="O81" t="s">
        <v>1852</v>
      </c>
      <c r="P81" t="s">
        <v>1853</v>
      </c>
      <c r="Q81" t="s">
        <v>1854</v>
      </c>
      <c r="R81" t="s">
        <v>1855</v>
      </c>
      <c r="S81" t="s">
        <v>1856</v>
      </c>
      <c r="T81" t="s">
        <v>1857</v>
      </c>
      <c r="U81" t="s">
        <v>74</v>
      </c>
      <c r="V81" t="s">
        <v>1858</v>
      </c>
      <c r="W81" t="s">
        <v>1859</v>
      </c>
      <c r="X81" t="s">
        <v>74</v>
      </c>
      <c r="Y81" t="s">
        <v>1860</v>
      </c>
      <c r="Z81" t="s">
        <v>1861</v>
      </c>
      <c r="AA81" t="s">
        <v>1862</v>
      </c>
      <c r="AB81" t="s">
        <v>74</v>
      </c>
      <c r="AC81" t="s">
        <v>74</v>
      </c>
      <c r="AD81" t="s">
        <v>74</v>
      </c>
      <c r="AE81" t="s">
        <v>74</v>
      </c>
      <c r="AF81" t="s">
        <v>74</v>
      </c>
      <c r="AG81">
        <v>10</v>
      </c>
      <c r="AH81">
        <v>0</v>
      </c>
      <c r="AI81">
        <v>0</v>
      </c>
      <c r="AJ81">
        <v>0</v>
      </c>
      <c r="AK81">
        <v>1</v>
      </c>
      <c r="AL81" t="s">
        <v>1863</v>
      </c>
      <c r="AM81" t="s">
        <v>1864</v>
      </c>
      <c r="AN81" t="s">
        <v>1865</v>
      </c>
      <c r="AO81" t="s">
        <v>1866</v>
      </c>
      <c r="AP81" t="s">
        <v>1867</v>
      </c>
      <c r="AQ81" t="s">
        <v>1868</v>
      </c>
      <c r="AR81" t="s">
        <v>1869</v>
      </c>
      <c r="AS81" t="s">
        <v>74</v>
      </c>
      <c r="AT81" t="s">
        <v>74</v>
      </c>
      <c r="AU81">
        <v>2015</v>
      </c>
      <c r="AV81">
        <v>5</v>
      </c>
      <c r="AW81" t="s">
        <v>74</v>
      </c>
      <c r="AX81" t="s">
        <v>1870</v>
      </c>
      <c r="AY81" t="s">
        <v>74</v>
      </c>
      <c r="AZ81" t="s">
        <v>74</v>
      </c>
      <c r="BA81" t="s">
        <v>74</v>
      </c>
      <c r="BB81">
        <v>99</v>
      </c>
      <c r="BC81">
        <v>105</v>
      </c>
      <c r="BD81" t="s">
        <v>74</v>
      </c>
      <c r="BE81" t="s">
        <v>74</v>
      </c>
      <c r="BF81" t="s">
        <v>74</v>
      </c>
      <c r="BG81" t="s">
        <v>74</v>
      </c>
      <c r="BH81" t="s">
        <v>74</v>
      </c>
      <c r="BI81">
        <v>7</v>
      </c>
      <c r="BJ81" t="s">
        <v>1871</v>
      </c>
      <c r="BK81" t="s">
        <v>183</v>
      </c>
      <c r="BL81" t="s">
        <v>1872</v>
      </c>
      <c r="BM81" t="s">
        <v>1873</v>
      </c>
      <c r="BN81" t="s">
        <v>74</v>
      </c>
      <c r="BO81" t="s">
        <v>74</v>
      </c>
      <c r="BP81" t="s">
        <v>74</v>
      </c>
      <c r="BQ81" t="s">
        <v>74</v>
      </c>
      <c r="BR81" t="s">
        <v>102</v>
      </c>
      <c r="BS81" t="s">
        <v>1874</v>
      </c>
      <c r="BT81" t="str">
        <f>HYPERLINK("https%3A%2F%2Fwww.webofscience.com%2Fwos%2Fwoscc%2Ffull-record%2FWOS:000461418800011","View Full Record in Web of Science")</f>
        <v>View Full Record in Web of Science</v>
      </c>
    </row>
    <row r="82" spans="1:72" x14ac:dyDescent="0.25">
      <c r="A82" t="s">
        <v>72</v>
      </c>
      <c r="B82" t="s">
        <v>1875</v>
      </c>
      <c r="C82" t="s">
        <v>74</v>
      </c>
      <c r="D82" t="s">
        <v>74</v>
      </c>
      <c r="E82" t="s">
        <v>74</v>
      </c>
      <c r="F82" t="s">
        <v>1876</v>
      </c>
      <c r="G82" t="s">
        <v>74</v>
      </c>
      <c r="H82" t="s">
        <v>74</v>
      </c>
      <c r="I82" t="s">
        <v>1877</v>
      </c>
      <c r="J82" t="s">
        <v>1878</v>
      </c>
      <c r="K82" t="s">
        <v>74</v>
      </c>
      <c r="L82" t="s">
        <v>74</v>
      </c>
      <c r="M82" t="s">
        <v>78</v>
      </c>
      <c r="N82" t="s">
        <v>79</v>
      </c>
      <c r="O82" t="s">
        <v>74</v>
      </c>
      <c r="P82" t="s">
        <v>74</v>
      </c>
      <c r="Q82" t="s">
        <v>74</v>
      </c>
      <c r="R82" t="s">
        <v>74</v>
      </c>
      <c r="S82" t="s">
        <v>74</v>
      </c>
      <c r="T82" t="s">
        <v>1879</v>
      </c>
      <c r="U82" t="s">
        <v>1880</v>
      </c>
      <c r="V82" t="s">
        <v>1881</v>
      </c>
      <c r="W82" t="s">
        <v>1882</v>
      </c>
      <c r="X82" t="s">
        <v>1883</v>
      </c>
      <c r="Y82" t="s">
        <v>1884</v>
      </c>
      <c r="Z82" t="s">
        <v>1885</v>
      </c>
      <c r="AA82" t="s">
        <v>74</v>
      </c>
      <c r="AB82" t="s">
        <v>74</v>
      </c>
      <c r="AC82" t="s">
        <v>1886</v>
      </c>
      <c r="AD82" t="s">
        <v>1887</v>
      </c>
      <c r="AE82" t="s">
        <v>1888</v>
      </c>
      <c r="AF82" t="s">
        <v>74</v>
      </c>
      <c r="AG82">
        <v>23</v>
      </c>
      <c r="AH82">
        <v>1</v>
      </c>
      <c r="AI82">
        <v>1</v>
      </c>
      <c r="AJ82">
        <v>1</v>
      </c>
      <c r="AK82">
        <v>13</v>
      </c>
      <c r="AL82" t="s">
        <v>1889</v>
      </c>
      <c r="AM82" t="s">
        <v>1890</v>
      </c>
      <c r="AN82" t="s">
        <v>1891</v>
      </c>
      <c r="AO82" t="s">
        <v>1892</v>
      </c>
      <c r="AP82" t="s">
        <v>1893</v>
      </c>
      <c r="AQ82" t="s">
        <v>74</v>
      </c>
      <c r="AR82" t="s">
        <v>1894</v>
      </c>
      <c r="AS82" t="s">
        <v>1895</v>
      </c>
      <c r="AT82" t="s">
        <v>605</v>
      </c>
      <c r="AU82">
        <v>2022</v>
      </c>
      <c r="AV82">
        <v>9</v>
      </c>
      <c r="AW82">
        <v>1</v>
      </c>
      <c r="AX82" t="s">
        <v>74</v>
      </c>
      <c r="AY82" t="s">
        <v>74</v>
      </c>
      <c r="AZ82" t="s">
        <v>74</v>
      </c>
      <c r="BA82" t="s">
        <v>74</v>
      </c>
      <c r="BB82" t="s">
        <v>74</v>
      </c>
      <c r="BC82" t="s">
        <v>74</v>
      </c>
      <c r="BD82">
        <v>2150036</v>
      </c>
      <c r="BE82" t="s">
        <v>1896</v>
      </c>
      <c r="BF82" t="str">
        <f>HYPERLINK("http://dx.doi.org/10.1142/S2424786321500365","http://dx.doi.org/10.1142/S2424786321500365")</f>
        <v>http://dx.doi.org/10.1142/S2424786321500365</v>
      </c>
      <c r="BG82" t="s">
        <v>74</v>
      </c>
      <c r="BH82" t="s">
        <v>74</v>
      </c>
      <c r="BI82">
        <v>16</v>
      </c>
      <c r="BJ82" t="s">
        <v>268</v>
      </c>
      <c r="BK82" t="s">
        <v>313</v>
      </c>
      <c r="BL82" t="s">
        <v>100</v>
      </c>
      <c r="BM82" t="s">
        <v>1897</v>
      </c>
      <c r="BN82" t="s">
        <v>74</v>
      </c>
      <c r="BO82" t="s">
        <v>74</v>
      </c>
      <c r="BP82" t="s">
        <v>74</v>
      </c>
      <c r="BQ82" t="s">
        <v>74</v>
      </c>
      <c r="BR82" t="s">
        <v>102</v>
      </c>
      <c r="BS82" t="s">
        <v>1898</v>
      </c>
      <c r="BT82" t="str">
        <f>HYPERLINK("https%3A%2F%2Fwww.webofscience.com%2Fwos%2Fwoscc%2Ffull-record%2FWOS:000821066600007","View Full Record in Web of Science")</f>
        <v>View Full Record in Web of Science</v>
      </c>
    </row>
    <row r="83" spans="1:72" x14ac:dyDescent="0.25">
      <c r="A83" t="s">
        <v>72</v>
      </c>
      <c r="B83" t="s">
        <v>1899</v>
      </c>
      <c r="C83" t="s">
        <v>74</v>
      </c>
      <c r="D83" t="s">
        <v>74</v>
      </c>
      <c r="E83" t="s">
        <v>74</v>
      </c>
      <c r="F83" t="s">
        <v>1900</v>
      </c>
      <c r="G83" t="s">
        <v>74</v>
      </c>
      <c r="H83" t="s">
        <v>74</v>
      </c>
      <c r="I83" t="s">
        <v>1901</v>
      </c>
      <c r="J83" t="s">
        <v>1902</v>
      </c>
      <c r="K83" t="s">
        <v>74</v>
      </c>
      <c r="L83" t="s">
        <v>74</v>
      </c>
      <c r="M83" t="s">
        <v>78</v>
      </c>
      <c r="N83" t="s">
        <v>79</v>
      </c>
      <c r="O83" t="s">
        <v>74</v>
      </c>
      <c r="P83" t="s">
        <v>74</v>
      </c>
      <c r="Q83" t="s">
        <v>74</v>
      </c>
      <c r="R83" t="s">
        <v>74</v>
      </c>
      <c r="S83" t="s">
        <v>74</v>
      </c>
      <c r="T83" t="s">
        <v>1903</v>
      </c>
      <c r="U83" t="s">
        <v>74</v>
      </c>
      <c r="V83" t="s">
        <v>1904</v>
      </c>
      <c r="W83" t="s">
        <v>1905</v>
      </c>
      <c r="X83" t="s">
        <v>1906</v>
      </c>
      <c r="Y83" t="s">
        <v>1907</v>
      </c>
      <c r="Z83" t="s">
        <v>1908</v>
      </c>
      <c r="AA83" t="s">
        <v>74</v>
      </c>
      <c r="AB83" t="s">
        <v>1909</v>
      </c>
      <c r="AC83" t="s">
        <v>74</v>
      </c>
      <c r="AD83" t="s">
        <v>74</v>
      </c>
      <c r="AE83" t="s">
        <v>74</v>
      </c>
      <c r="AF83" t="s">
        <v>74</v>
      </c>
      <c r="AG83">
        <v>66</v>
      </c>
      <c r="AH83">
        <v>3</v>
      </c>
      <c r="AI83">
        <v>3</v>
      </c>
      <c r="AJ83">
        <v>5</v>
      </c>
      <c r="AK83">
        <v>7</v>
      </c>
      <c r="AL83" t="s">
        <v>89</v>
      </c>
      <c r="AM83" t="s">
        <v>90</v>
      </c>
      <c r="AN83" t="s">
        <v>91</v>
      </c>
      <c r="AO83" t="s">
        <v>1910</v>
      </c>
      <c r="AP83" t="s">
        <v>1911</v>
      </c>
      <c r="AQ83" t="s">
        <v>74</v>
      </c>
      <c r="AR83" t="s">
        <v>1912</v>
      </c>
      <c r="AS83" t="s">
        <v>1913</v>
      </c>
      <c r="AT83" t="s">
        <v>1914</v>
      </c>
      <c r="AU83">
        <v>2024</v>
      </c>
      <c r="AV83">
        <v>16</v>
      </c>
      <c r="AW83">
        <v>1</v>
      </c>
      <c r="AX83" t="s">
        <v>74</v>
      </c>
      <c r="AY83" t="s">
        <v>74</v>
      </c>
      <c r="AZ83" t="s">
        <v>74</v>
      </c>
      <c r="BA83" t="s">
        <v>74</v>
      </c>
      <c r="BB83">
        <v>102</v>
      </c>
      <c r="BC83">
        <v>119</v>
      </c>
      <c r="BD83" t="s">
        <v>74</v>
      </c>
      <c r="BE83" t="s">
        <v>1915</v>
      </c>
      <c r="BF83" t="str">
        <f>HYPERLINK("http://dx.doi.org/10.1108/JFEP-10-2023-0307","http://dx.doi.org/10.1108/JFEP-10-2023-0307")</f>
        <v>http://dx.doi.org/10.1108/JFEP-10-2023-0307</v>
      </c>
      <c r="BG83" t="s">
        <v>74</v>
      </c>
      <c r="BH83" t="s">
        <v>239</v>
      </c>
      <c r="BI83">
        <v>18</v>
      </c>
      <c r="BJ83" t="s">
        <v>291</v>
      </c>
      <c r="BK83" t="s">
        <v>313</v>
      </c>
      <c r="BL83" t="s">
        <v>100</v>
      </c>
      <c r="BM83" t="s">
        <v>1916</v>
      </c>
      <c r="BN83" t="s">
        <v>74</v>
      </c>
      <c r="BO83" t="s">
        <v>74</v>
      </c>
      <c r="BP83" t="s">
        <v>74</v>
      </c>
      <c r="BQ83" t="s">
        <v>74</v>
      </c>
      <c r="BR83" t="s">
        <v>102</v>
      </c>
      <c r="BS83" t="s">
        <v>1917</v>
      </c>
      <c r="BT83" t="str">
        <f>HYPERLINK("https%3A%2F%2Fwww.webofscience.com%2Fwos%2Fwoscc%2Ffull-record%2FWOS:001135343800001","View Full Record in Web of Science")</f>
        <v>View Full Record in Web of Science</v>
      </c>
    </row>
    <row r="84" spans="1:72" x14ac:dyDescent="0.25">
      <c r="A84" t="s">
        <v>72</v>
      </c>
      <c r="B84" t="s">
        <v>1918</v>
      </c>
      <c r="C84" t="s">
        <v>74</v>
      </c>
      <c r="D84" t="s">
        <v>74</v>
      </c>
      <c r="E84" t="s">
        <v>74</v>
      </c>
      <c r="F84" t="s">
        <v>1919</v>
      </c>
      <c r="G84" t="s">
        <v>74</v>
      </c>
      <c r="H84" t="s">
        <v>74</v>
      </c>
      <c r="I84" t="s">
        <v>1920</v>
      </c>
      <c r="J84" t="s">
        <v>1921</v>
      </c>
      <c r="K84" t="s">
        <v>74</v>
      </c>
      <c r="L84" t="s">
        <v>74</v>
      </c>
      <c r="M84" t="s">
        <v>78</v>
      </c>
      <c r="N84" t="s">
        <v>79</v>
      </c>
      <c r="O84" t="s">
        <v>74</v>
      </c>
      <c r="P84" t="s">
        <v>74</v>
      </c>
      <c r="Q84" t="s">
        <v>74</v>
      </c>
      <c r="R84" t="s">
        <v>74</v>
      </c>
      <c r="S84" t="s">
        <v>74</v>
      </c>
      <c r="T84" t="s">
        <v>1922</v>
      </c>
      <c r="U84" t="s">
        <v>74</v>
      </c>
      <c r="V84" t="s">
        <v>1923</v>
      </c>
      <c r="W84" t="s">
        <v>1924</v>
      </c>
      <c r="X84" t="s">
        <v>1925</v>
      </c>
      <c r="Y84" t="s">
        <v>1926</v>
      </c>
      <c r="Z84" t="s">
        <v>1927</v>
      </c>
      <c r="AA84" t="s">
        <v>1928</v>
      </c>
      <c r="AB84" t="s">
        <v>1929</v>
      </c>
      <c r="AC84" t="s">
        <v>74</v>
      </c>
      <c r="AD84" t="s">
        <v>74</v>
      </c>
      <c r="AE84" t="s">
        <v>74</v>
      </c>
      <c r="AF84" t="s">
        <v>74</v>
      </c>
      <c r="AG84">
        <v>32</v>
      </c>
      <c r="AH84">
        <v>1</v>
      </c>
      <c r="AI84">
        <v>1</v>
      </c>
      <c r="AJ84">
        <v>1</v>
      </c>
      <c r="AK84">
        <v>4</v>
      </c>
      <c r="AL84" t="s">
        <v>503</v>
      </c>
      <c r="AM84" t="s">
        <v>151</v>
      </c>
      <c r="AN84" t="s">
        <v>504</v>
      </c>
      <c r="AO84" t="s">
        <v>1930</v>
      </c>
      <c r="AP84" t="s">
        <v>74</v>
      </c>
      <c r="AQ84" t="s">
        <v>74</v>
      </c>
      <c r="AR84" t="s">
        <v>1931</v>
      </c>
      <c r="AS84" t="s">
        <v>1932</v>
      </c>
      <c r="AT84" t="s">
        <v>1933</v>
      </c>
      <c r="AU84">
        <v>2024</v>
      </c>
      <c r="AV84">
        <v>129</v>
      </c>
      <c r="AW84" t="s">
        <v>74</v>
      </c>
      <c r="AX84" t="s">
        <v>74</v>
      </c>
      <c r="AY84" t="s">
        <v>74</v>
      </c>
      <c r="AZ84" t="s">
        <v>74</v>
      </c>
      <c r="BA84" t="s">
        <v>74</v>
      </c>
      <c r="BB84" t="s">
        <v>74</v>
      </c>
      <c r="BC84" t="s">
        <v>74</v>
      </c>
      <c r="BD84">
        <v>106156</v>
      </c>
      <c r="BE84" t="s">
        <v>1934</v>
      </c>
      <c r="BF84" t="str">
        <f>HYPERLINK("http://dx.doi.org/10.1016/j.jeconbus.2023.106156","http://dx.doi.org/10.1016/j.jeconbus.2023.106156")</f>
        <v>http://dx.doi.org/10.1016/j.jeconbus.2023.106156</v>
      </c>
      <c r="BG84" t="s">
        <v>74</v>
      </c>
      <c r="BH84" t="s">
        <v>938</v>
      </c>
      <c r="BI84">
        <v>19</v>
      </c>
      <c r="BJ84" t="s">
        <v>268</v>
      </c>
      <c r="BK84" t="s">
        <v>313</v>
      </c>
      <c r="BL84" t="s">
        <v>100</v>
      </c>
      <c r="BM84" t="s">
        <v>1935</v>
      </c>
      <c r="BN84" t="s">
        <v>74</v>
      </c>
      <c r="BO84" t="s">
        <v>74</v>
      </c>
      <c r="BP84" t="s">
        <v>74</v>
      </c>
      <c r="BQ84" t="s">
        <v>74</v>
      </c>
      <c r="BR84" t="s">
        <v>102</v>
      </c>
      <c r="BS84" t="s">
        <v>1936</v>
      </c>
      <c r="BT84" t="str">
        <f>HYPERLINK("https%3A%2F%2Fwww.webofscience.com%2Fwos%2Fwoscc%2Ffull-record%2FWOS:001232862200001","View Full Record in Web of Science")</f>
        <v>View Full Record in Web of Science</v>
      </c>
    </row>
    <row r="85" spans="1:72" x14ac:dyDescent="0.25">
      <c r="A85" t="s">
        <v>132</v>
      </c>
      <c r="B85" t="s">
        <v>1937</v>
      </c>
      <c r="C85" t="s">
        <v>74</v>
      </c>
      <c r="D85" t="s">
        <v>1938</v>
      </c>
      <c r="E85" t="s">
        <v>74</v>
      </c>
      <c r="F85" t="s">
        <v>1939</v>
      </c>
      <c r="G85" t="s">
        <v>74</v>
      </c>
      <c r="H85" t="s">
        <v>74</v>
      </c>
      <c r="I85" t="s">
        <v>1940</v>
      </c>
      <c r="J85" t="s">
        <v>1941</v>
      </c>
      <c r="K85" t="s">
        <v>74</v>
      </c>
      <c r="L85" t="s">
        <v>74</v>
      </c>
      <c r="M85" t="s">
        <v>78</v>
      </c>
      <c r="N85" t="s">
        <v>138</v>
      </c>
      <c r="O85" t="s">
        <v>1942</v>
      </c>
      <c r="P85" t="s">
        <v>1943</v>
      </c>
      <c r="Q85" t="s">
        <v>1944</v>
      </c>
      <c r="R85" t="s">
        <v>74</v>
      </c>
      <c r="S85" t="s">
        <v>74</v>
      </c>
      <c r="T85" t="s">
        <v>1945</v>
      </c>
      <c r="U85" t="s">
        <v>1946</v>
      </c>
      <c r="V85" t="s">
        <v>1947</v>
      </c>
      <c r="W85" t="s">
        <v>1948</v>
      </c>
      <c r="X85" t="s">
        <v>1575</v>
      </c>
      <c r="Y85" t="s">
        <v>1949</v>
      </c>
      <c r="Z85" t="s">
        <v>1950</v>
      </c>
      <c r="AA85" t="s">
        <v>1951</v>
      </c>
      <c r="AB85" t="s">
        <v>74</v>
      </c>
      <c r="AC85" t="s">
        <v>74</v>
      </c>
      <c r="AD85" t="s">
        <v>74</v>
      </c>
      <c r="AE85" t="s">
        <v>74</v>
      </c>
      <c r="AF85" t="s">
        <v>74</v>
      </c>
      <c r="AG85">
        <v>31</v>
      </c>
      <c r="AH85">
        <v>0</v>
      </c>
      <c r="AI85">
        <v>0</v>
      </c>
      <c r="AJ85">
        <v>0</v>
      </c>
      <c r="AK85">
        <v>2</v>
      </c>
      <c r="AL85" t="s">
        <v>1952</v>
      </c>
      <c r="AM85" t="s">
        <v>1953</v>
      </c>
      <c r="AN85" t="s">
        <v>1954</v>
      </c>
      <c r="AO85" t="s">
        <v>74</v>
      </c>
      <c r="AP85" t="s">
        <v>74</v>
      </c>
      <c r="AQ85" t="s">
        <v>1955</v>
      </c>
      <c r="AR85" t="s">
        <v>74</v>
      </c>
      <c r="AS85" t="s">
        <v>74</v>
      </c>
      <c r="AT85" t="s">
        <v>74</v>
      </c>
      <c r="AU85">
        <v>2019</v>
      </c>
      <c r="AV85" t="s">
        <v>74</v>
      </c>
      <c r="AW85" t="s">
        <v>74</v>
      </c>
      <c r="AX85" t="s">
        <v>74</v>
      </c>
      <c r="AY85" t="s">
        <v>74</v>
      </c>
      <c r="AZ85" t="s">
        <v>74</v>
      </c>
      <c r="BA85" t="s">
        <v>74</v>
      </c>
      <c r="BB85">
        <v>1126</v>
      </c>
      <c r="BC85">
        <v>1134</v>
      </c>
      <c r="BD85" t="s">
        <v>74</v>
      </c>
      <c r="BE85" t="s">
        <v>74</v>
      </c>
      <c r="BF85" t="s">
        <v>74</v>
      </c>
      <c r="BG85" t="s">
        <v>74</v>
      </c>
      <c r="BH85" t="s">
        <v>74</v>
      </c>
      <c r="BI85">
        <v>9</v>
      </c>
      <c r="BJ85" t="s">
        <v>1956</v>
      </c>
      <c r="BK85" t="s">
        <v>183</v>
      </c>
      <c r="BL85" t="s">
        <v>1957</v>
      </c>
      <c r="BM85" t="s">
        <v>1958</v>
      </c>
      <c r="BN85" t="s">
        <v>74</v>
      </c>
      <c r="BO85" t="s">
        <v>74</v>
      </c>
      <c r="BP85" t="s">
        <v>74</v>
      </c>
      <c r="BQ85" t="s">
        <v>74</v>
      </c>
      <c r="BR85" t="s">
        <v>102</v>
      </c>
      <c r="BS85" t="s">
        <v>1959</v>
      </c>
      <c r="BT85" t="str">
        <f>HYPERLINK("https%3A%2F%2Fwww.webofscience.com%2Fwos%2Fwoscc%2Ffull-record%2FWOS:000466587100141","View Full Record in Web of Science")</f>
        <v>View Full Record in Web of Science</v>
      </c>
    </row>
    <row r="86" spans="1:72" x14ac:dyDescent="0.25">
      <c r="A86" t="s">
        <v>72</v>
      </c>
      <c r="B86" t="s">
        <v>1960</v>
      </c>
      <c r="C86" t="s">
        <v>74</v>
      </c>
      <c r="D86" t="s">
        <v>74</v>
      </c>
      <c r="E86" t="s">
        <v>74</v>
      </c>
      <c r="F86" t="s">
        <v>1961</v>
      </c>
      <c r="G86" t="s">
        <v>74</v>
      </c>
      <c r="H86" t="s">
        <v>74</v>
      </c>
      <c r="I86" t="s">
        <v>1962</v>
      </c>
      <c r="J86" t="s">
        <v>1963</v>
      </c>
      <c r="K86" t="s">
        <v>74</v>
      </c>
      <c r="L86" t="s">
        <v>74</v>
      </c>
      <c r="M86" t="s">
        <v>78</v>
      </c>
      <c r="N86" t="s">
        <v>79</v>
      </c>
      <c r="O86" t="s">
        <v>74</v>
      </c>
      <c r="P86" t="s">
        <v>74</v>
      </c>
      <c r="Q86" t="s">
        <v>74</v>
      </c>
      <c r="R86" t="s">
        <v>74</v>
      </c>
      <c r="S86" t="s">
        <v>74</v>
      </c>
      <c r="T86" t="s">
        <v>1964</v>
      </c>
      <c r="U86" t="s">
        <v>74</v>
      </c>
      <c r="V86" t="s">
        <v>1965</v>
      </c>
      <c r="W86" t="s">
        <v>1966</v>
      </c>
      <c r="X86" t="s">
        <v>1967</v>
      </c>
      <c r="Y86" t="s">
        <v>1968</v>
      </c>
      <c r="Z86" t="s">
        <v>1969</v>
      </c>
      <c r="AA86" t="s">
        <v>1970</v>
      </c>
      <c r="AB86" t="s">
        <v>1971</v>
      </c>
      <c r="AC86" t="s">
        <v>1972</v>
      </c>
      <c r="AD86" t="s">
        <v>1973</v>
      </c>
      <c r="AE86" t="s">
        <v>1974</v>
      </c>
      <c r="AF86" t="s">
        <v>74</v>
      </c>
      <c r="AG86">
        <v>27</v>
      </c>
      <c r="AH86">
        <v>2</v>
      </c>
      <c r="AI86">
        <v>2</v>
      </c>
      <c r="AJ86">
        <v>1</v>
      </c>
      <c r="AK86">
        <v>17</v>
      </c>
      <c r="AL86" t="s">
        <v>332</v>
      </c>
      <c r="AM86" t="s">
        <v>333</v>
      </c>
      <c r="AN86" t="s">
        <v>334</v>
      </c>
      <c r="AO86" t="s">
        <v>1975</v>
      </c>
      <c r="AP86" t="s">
        <v>1976</v>
      </c>
      <c r="AQ86" t="s">
        <v>74</v>
      </c>
      <c r="AR86" t="s">
        <v>1977</v>
      </c>
      <c r="AS86" t="s">
        <v>1978</v>
      </c>
      <c r="AT86" t="s">
        <v>1979</v>
      </c>
      <c r="AU86">
        <v>2025</v>
      </c>
      <c r="AV86">
        <v>57</v>
      </c>
      <c r="AW86">
        <v>20</v>
      </c>
      <c r="AX86" t="s">
        <v>74</v>
      </c>
      <c r="AY86" t="s">
        <v>74</v>
      </c>
      <c r="AZ86" t="s">
        <v>74</v>
      </c>
      <c r="BA86" t="s">
        <v>74</v>
      </c>
      <c r="BB86">
        <v>2533</v>
      </c>
      <c r="BC86">
        <v>2550</v>
      </c>
      <c r="BD86" t="s">
        <v>74</v>
      </c>
      <c r="BE86" t="s">
        <v>1980</v>
      </c>
      <c r="BF86" t="str">
        <f>HYPERLINK("http://dx.doi.org/10.1080/00036846.2024.2326529","http://dx.doi.org/10.1080/00036846.2024.2326529")</f>
        <v>http://dx.doi.org/10.1080/00036846.2024.2326529</v>
      </c>
      <c r="BG86" t="s">
        <v>74</v>
      </c>
      <c r="BH86" t="s">
        <v>1981</v>
      </c>
      <c r="BI86">
        <v>18</v>
      </c>
      <c r="BJ86" t="s">
        <v>291</v>
      </c>
      <c r="BK86" t="s">
        <v>99</v>
      </c>
      <c r="BL86" t="s">
        <v>100</v>
      </c>
      <c r="BM86" t="s">
        <v>1982</v>
      </c>
      <c r="BN86" t="s">
        <v>74</v>
      </c>
      <c r="BO86" t="s">
        <v>74</v>
      </c>
      <c r="BP86" t="s">
        <v>74</v>
      </c>
      <c r="BQ86" t="s">
        <v>74</v>
      </c>
      <c r="BR86" t="s">
        <v>102</v>
      </c>
      <c r="BS86" t="s">
        <v>1983</v>
      </c>
      <c r="BT86" t="str">
        <f>HYPERLINK("https%3A%2F%2Fwww.webofscience.com%2Fwos%2Fwoscc%2Ffull-record%2FWOS:001182492700001","View Full Record in Web of Science")</f>
        <v>View Full Record in Web of Science</v>
      </c>
    </row>
    <row r="87" spans="1:72" x14ac:dyDescent="0.25">
      <c r="A87" t="s">
        <v>72</v>
      </c>
      <c r="B87" t="s">
        <v>1984</v>
      </c>
      <c r="C87" t="s">
        <v>74</v>
      </c>
      <c r="D87" t="s">
        <v>74</v>
      </c>
      <c r="E87" t="s">
        <v>74</v>
      </c>
      <c r="F87" t="s">
        <v>1985</v>
      </c>
      <c r="G87" t="s">
        <v>74</v>
      </c>
      <c r="H87" t="s">
        <v>74</v>
      </c>
      <c r="I87" t="s">
        <v>1986</v>
      </c>
      <c r="J87" t="s">
        <v>1987</v>
      </c>
      <c r="K87" t="s">
        <v>74</v>
      </c>
      <c r="L87" t="s">
        <v>74</v>
      </c>
      <c r="M87" t="s">
        <v>78</v>
      </c>
      <c r="N87" t="s">
        <v>79</v>
      </c>
      <c r="O87" t="s">
        <v>74</v>
      </c>
      <c r="P87" t="s">
        <v>74</v>
      </c>
      <c r="Q87" t="s">
        <v>74</v>
      </c>
      <c r="R87" t="s">
        <v>74</v>
      </c>
      <c r="S87" t="s">
        <v>74</v>
      </c>
      <c r="T87" t="s">
        <v>1988</v>
      </c>
      <c r="U87" t="s">
        <v>1989</v>
      </c>
      <c r="V87" t="s">
        <v>1990</v>
      </c>
      <c r="W87" t="s">
        <v>1991</v>
      </c>
      <c r="X87" t="s">
        <v>1992</v>
      </c>
      <c r="Y87" t="s">
        <v>1993</v>
      </c>
      <c r="Z87" t="s">
        <v>1994</v>
      </c>
      <c r="AA87" t="s">
        <v>1995</v>
      </c>
      <c r="AB87" t="s">
        <v>1996</v>
      </c>
      <c r="AC87" t="s">
        <v>74</v>
      </c>
      <c r="AD87" t="s">
        <v>74</v>
      </c>
      <c r="AE87" t="s">
        <v>74</v>
      </c>
      <c r="AF87" t="s">
        <v>74</v>
      </c>
      <c r="AG87">
        <v>66</v>
      </c>
      <c r="AH87">
        <v>0</v>
      </c>
      <c r="AI87">
        <v>3</v>
      </c>
      <c r="AJ87">
        <v>0</v>
      </c>
      <c r="AK87">
        <v>6</v>
      </c>
      <c r="AL87" t="s">
        <v>479</v>
      </c>
      <c r="AM87" t="s">
        <v>480</v>
      </c>
      <c r="AN87" t="s">
        <v>481</v>
      </c>
      <c r="AO87" t="s">
        <v>1997</v>
      </c>
      <c r="AP87" t="s">
        <v>1998</v>
      </c>
      <c r="AQ87" t="s">
        <v>74</v>
      </c>
      <c r="AR87" t="s">
        <v>1999</v>
      </c>
      <c r="AS87" t="s">
        <v>2000</v>
      </c>
      <c r="AT87" t="s">
        <v>848</v>
      </c>
      <c r="AU87">
        <v>2020</v>
      </c>
      <c r="AV87">
        <v>32</v>
      </c>
      <c r="AW87">
        <v>5</v>
      </c>
      <c r="AX87" t="s">
        <v>74</v>
      </c>
      <c r="AY87" t="s">
        <v>74</v>
      </c>
      <c r="AZ87" t="s">
        <v>74</v>
      </c>
      <c r="BA87" t="s">
        <v>74</v>
      </c>
      <c r="BB87">
        <v>793</v>
      </c>
      <c r="BC87">
        <v>818</v>
      </c>
      <c r="BD87" t="s">
        <v>74</v>
      </c>
      <c r="BE87" t="s">
        <v>2001</v>
      </c>
      <c r="BF87" t="str">
        <f>HYPERLINK("http://dx.doi.org/10.1002/jid.3478","http://dx.doi.org/10.1002/jid.3478")</f>
        <v>http://dx.doi.org/10.1002/jid.3478</v>
      </c>
      <c r="BG87" t="s">
        <v>74</v>
      </c>
      <c r="BH87" t="s">
        <v>341</v>
      </c>
      <c r="BI87">
        <v>26</v>
      </c>
      <c r="BJ87" t="s">
        <v>1137</v>
      </c>
      <c r="BK87" t="s">
        <v>99</v>
      </c>
      <c r="BL87" t="s">
        <v>1137</v>
      </c>
      <c r="BM87" t="s">
        <v>2002</v>
      </c>
      <c r="BN87" t="s">
        <v>74</v>
      </c>
      <c r="BO87" t="s">
        <v>74</v>
      </c>
      <c r="BP87" t="s">
        <v>74</v>
      </c>
      <c r="BQ87" t="s">
        <v>74</v>
      </c>
      <c r="BR87" t="s">
        <v>102</v>
      </c>
      <c r="BS87" t="s">
        <v>2003</v>
      </c>
      <c r="BT87" t="str">
        <f>HYPERLINK("https%3A%2F%2Fwww.webofscience.com%2Fwos%2Fwoscc%2Ffull-record%2FWOS:000531384400001","View Full Record in Web of Science")</f>
        <v>View Full Record in Web of Science</v>
      </c>
    </row>
    <row r="88" spans="1:72" x14ac:dyDescent="0.25">
      <c r="A88" t="s">
        <v>72</v>
      </c>
      <c r="B88" t="s">
        <v>2004</v>
      </c>
      <c r="C88" t="s">
        <v>74</v>
      </c>
      <c r="D88" t="s">
        <v>74</v>
      </c>
      <c r="E88" t="s">
        <v>74</v>
      </c>
      <c r="F88" t="s">
        <v>2005</v>
      </c>
      <c r="G88" t="s">
        <v>74</v>
      </c>
      <c r="H88" t="s">
        <v>74</v>
      </c>
      <c r="I88" t="s">
        <v>2006</v>
      </c>
      <c r="J88" t="s">
        <v>2007</v>
      </c>
      <c r="K88" t="s">
        <v>74</v>
      </c>
      <c r="L88" t="s">
        <v>74</v>
      </c>
      <c r="M88" t="s">
        <v>78</v>
      </c>
      <c r="N88" t="s">
        <v>79</v>
      </c>
      <c r="O88" t="s">
        <v>74</v>
      </c>
      <c r="P88" t="s">
        <v>74</v>
      </c>
      <c r="Q88" t="s">
        <v>74</v>
      </c>
      <c r="R88" t="s">
        <v>74</v>
      </c>
      <c r="S88" t="s">
        <v>74</v>
      </c>
      <c r="T88" t="s">
        <v>74</v>
      </c>
      <c r="U88" t="s">
        <v>2008</v>
      </c>
      <c r="V88" t="s">
        <v>2009</v>
      </c>
      <c r="W88" t="s">
        <v>2010</v>
      </c>
      <c r="X88" t="s">
        <v>2011</v>
      </c>
      <c r="Y88" t="s">
        <v>2012</v>
      </c>
      <c r="Z88" t="s">
        <v>74</v>
      </c>
      <c r="AA88" t="s">
        <v>74</v>
      </c>
      <c r="AB88" t="s">
        <v>74</v>
      </c>
      <c r="AC88" t="s">
        <v>2013</v>
      </c>
      <c r="AD88" t="s">
        <v>2013</v>
      </c>
      <c r="AE88" t="s">
        <v>2014</v>
      </c>
      <c r="AF88" t="s">
        <v>74</v>
      </c>
      <c r="AG88">
        <v>21</v>
      </c>
      <c r="AH88">
        <v>15</v>
      </c>
      <c r="AI88">
        <v>18</v>
      </c>
      <c r="AJ88">
        <v>1</v>
      </c>
      <c r="AK88">
        <v>9</v>
      </c>
      <c r="AL88" t="s">
        <v>2015</v>
      </c>
      <c r="AM88" t="s">
        <v>2016</v>
      </c>
      <c r="AN88" t="s">
        <v>2017</v>
      </c>
      <c r="AO88" t="s">
        <v>2018</v>
      </c>
      <c r="AP88" t="s">
        <v>2019</v>
      </c>
      <c r="AQ88" t="s">
        <v>74</v>
      </c>
      <c r="AR88" t="s">
        <v>2020</v>
      </c>
      <c r="AS88" t="s">
        <v>2021</v>
      </c>
      <c r="AT88" t="s">
        <v>605</v>
      </c>
      <c r="AU88">
        <v>2022</v>
      </c>
      <c r="AV88">
        <v>104</v>
      </c>
      <c r="AW88">
        <v>2</v>
      </c>
      <c r="AX88" t="s">
        <v>74</v>
      </c>
      <c r="AY88" t="s">
        <v>74</v>
      </c>
      <c r="AZ88" t="s">
        <v>74</v>
      </c>
      <c r="BA88" t="s">
        <v>74</v>
      </c>
      <c r="BB88">
        <v>306</v>
      </c>
      <c r="BC88">
        <v>320</v>
      </c>
      <c r="BD88" t="s">
        <v>74</v>
      </c>
      <c r="BE88" t="s">
        <v>2022</v>
      </c>
      <c r="BF88" t="str">
        <f>HYPERLINK("http://dx.doi.org/10.1162/rest_a_00956","http://dx.doi.org/10.1162/rest_a_00956")</f>
        <v>http://dx.doi.org/10.1162/rest_a_00956</v>
      </c>
      <c r="BG88" t="s">
        <v>74</v>
      </c>
      <c r="BH88" t="s">
        <v>74</v>
      </c>
      <c r="BI88">
        <v>15</v>
      </c>
      <c r="BJ88" t="s">
        <v>2023</v>
      </c>
      <c r="BK88" t="s">
        <v>99</v>
      </c>
      <c r="BL88" t="s">
        <v>2024</v>
      </c>
      <c r="BM88" t="s">
        <v>2025</v>
      </c>
      <c r="BN88" t="s">
        <v>74</v>
      </c>
      <c r="BO88" t="s">
        <v>74</v>
      </c>
      <c r="BP88" t="s">
        <v>74</v>
      </c>
      <c r="BQ88" t="s">
        <v>74</v>
      </c>
      <c r="BR88" t="s">
        <v>102</v>
      </c>
      <c r="BS88" t="s">
        <v>2026</v>
      </c>
      <c r="BT88" t="str">
        <f>HYPERLINK("https%3A%2F%2Fwww.webofscience.com%2Fwos%2Fwoscc%2Ffull-record%2FWOS:000841489400007","View Full Record in Web of Science")</f>
        <v>View Full Record in Web of Science</v>
      </c>
    </row>
    <row r="89" spans="1:72" x14ac:dyDescent="0.25">
      <c r="A89" t="s">
        <v>72</v>
      </c>
      <c r="B89" t="s">
        <v>2027</v>
      </c>
      <c r="C89" t="s">
        <v>74</v>
      </c>
      <c r="D89" t="s">
        <v>74</v>
      </c>
      <c r="E89" t="s">
        <v>74</v>
      </c>
      <c r="F89" t="s">
        <v>2028</v>
      </c>
      <c r="G89" t="s">
        <v>74</v>
      </c>
      <c r="H89" t="s">
        <v>74</v>
      </c>
      <c r="I89" t="s">
        <v>2029</v>
      </c>
      <c r="J89" t="s">
        <v>2030</v>
      </c>
      <c r="K89" t="s">
        <v>74</v>
      </c>
      <c r="L89" t="s">
        <v>74</v>
      </c>
      <c r="M89" t="s">
        <v>78</v>
      </c>
      <c r="N89" t="s">
        <v>372</v>
      </c>
      <c r="O89" t="s">
        <v>74</v>
      </c>
      <c r="P89" t="s">
        <v>74</v>
      </c>
      <c r="Q89" t="s">
        <v>74</v>
      </c>
      <c r="R89" t="s">
        <v>74</v>
      </c>
      <c r="S89" t="s">
        <v>74</v>
      </c>
      <c r="T89" t="s">
        <v>2031</v>
      </c>
      <c r="U89" t="s">
        <v>2032</v>
      </c>
      <c r="V89" t="s">
        <v>2033</v>
      </c>
      <c r="W89" t="s">
        <v>2034</v>
      </c>
      <c r="X89" t="s">
        <v>2035</v>
      </c>
      <c r="Y89" t="s">
        <v>2036</v>
      </c>
      <c r="Z89" t="s">
        <v>2037</v>
      </c>
      <c r="AA89" t="s">
        <v>2038</v>
      </c>
      <c r="AB89" t="s">
        <v>74</v>
      </c>
      <c r="AC89" t="s">
        <v>74</v>
      </c>
      <c r="AD89" t="s">
        <v>74</v>
      </c>
      <c r="AE89" t="s">
        <v>74</v>
      </c>
      <c r="AF89" t="s">
        <v>74</v>
      </c>
      <c r="AG89">
        <v>89</v>
      </c>
      <c r="AH89">
        <v>0</v>
      </c>
      <c r="AI89">
        <v>0</v>
      </c>
      <c r="AJ89">
        <v>0</v>
      </c>
      <c r="AK89">
        <v>0</v>
      </c>
      <c r="AL89" t="s">
        <v>666</v>
      </c>
      <c r="AM89" t="s">
        <v>667</v>
      </c>
      <c r="AN89" t="s">
        <v>668</v>
      </c>
      <c r="AO89" t="s">
        <v>2039</v>
      </c>
      <c r="AP89" t="s">
        <v>74</v>
      </c>
      <c r="AQ89" t="s">
        <v>74</v>
      </c>
      <c r="AR89" t="s">
        <v>2040</v>
      </c>
      <c r="AS89" t="s">
        <v>2041</v>
      </c>
      <c r="AT89" t="s">
        <v>2042</v>
      </c>
      <c r="AU89">
        <v>2025</v>
      </c>
      <c r="AV89" t="s">
        <v>74</v>
      </c>
      <c r="AW89" t="s">
        <v>74</v>
      </c>
      <c r="AX89" t="s">
        <v>74</v>
      </c>
      <c r="AY89" t="s">
        <v>74</v>
      </c>
      <c r="AZ89" t="s">
        <v>74</v>
      </c>
      <c r="BA89" t="s">
        <v>74</v>
      </c>
      <c r="BB89" t="s">
        <v>74</v>
      </c>
      <c r="BC89" t="s">
        <v>74</v>
      </c>
      <c r="BD89" t="s">
        <v>74</v>
      </c>
      <c r="BE89" t="s">
        <v>2043</v>
      </c>
      <c r="BF89" t="str">
        <f>HYPERLINK("http://dx.doi.org/10.1007/s40609-025-00415-4","http://dx.doi.org/10.1007/s40609-025-00415-4")</f>
        <v>http://dx.doi.org/10.1007/s40609-025-00415-4</v>
      </c>
      <c r="BG89" t="s">
        <v>74</v>
      </c>
      <c r="BH89" t="s">
        <v>2044</v>
      </c>
      <c r="BI89">
        <v>20</v>
      </c>
      <c r="BJ89" t="s">
        <v>2045</v>
      </c>
      <c r="BK89" t="s">
        <v>313</v>
      </c>
      <c r="BL89" t="s">
        <v>2045</v>
      </c>
      <c r="BM89" t="s">
        <v>2046</v>
      </c>
      <c r="BN89" t="s">
        <v>74</v>
      </c>
      <c r="BO89" t="s">
        <v>74</v>
      </c>
      <c r="BP89" t="s">
        <v>74</v>
      </c>
      <c r="BQ89" t="s">
        <v>74</v>
      </c>
      <c r="BR89" t="s">
        <v>102</v>
      </c>
      <c r="BS89" t="s">
        <v>2047</v>
      </c>
      <c r="BT89" t="str">
        <f>HYPERLINK("https%3A%2F%2Fwww.webofscience.com%2Fwos%2Fwoscc%2Ffull-record%2FWOS:001613753000001","View Full Record in Web of Science")</f>
        <v>View Full Record in Web of Science</v>
      </c>
    </row>
    <row r="90" spans="1:72" x14ac:dyDescent="0.25">
      <c r="A90" t="s">
        <v>72</v>
      </c>
      <c r="B90" t="s">
        <v>2048</v>
      </c>
      <c r="C90" t="s">
        <v>74</v>
      </c>
      <c r="D90" t="s">
        <v>74</v>
      </c>
      <c r="E90" t="s">
        <v>74</v>
      </c>
      <c r="F90" t="s">
        <v>2049</v>
      </c>
      <c r="G90" t="s">
        <v>74</v>
      </c>
      <c r="H90" t="s">
        <v>74</v>
      </c>
      <c r="I90" t="s">
        <v>2050</v>
      </c>
      <c r="J90" t="s">
        <v>2051</v>
      </c>
      <c r="K90" t="s">
        <v>74</v>
      </c>
      <c r="L90" t="s">
        <v>74</v>
      </c>
      <c r="M90" t="s">
        <v>78</v>
      </c>
      <c r="N90" t="s">
        <v>79</v>
      </c>
      <c r="O90" t="s">
        <v>74</v>
      </c>
      <c r="P90" t="s">
        <v>74</v>
      </c>
      <c r="Q90" t="s">
        <v>74</v>
      </c>
      <c r="R90" t="s">
        <v>74</v>
      </c>
      <c r="S90" t="s">
        <v>74</v>
      </c>
      <c r="T90" t="s">
        <v>2052</v>
      </c>
      <c r="U90" t="s">
        <v>2053</v>
      </c>
      <c r="V90" t="s">
        <v>2054</v>
      </c>
      <c r="W90" t="s">
        <v>2055</v>
      </c>
      <c r="X90" t="s">
        <v>2056</v>
      </c>
      <c r="Y90" t="s">
        <v>2057</v>
      </c>
      <c r="Z90" t="s">
        <v>2058</v>
      </c>
      <c r="AA90" t="s">
        <v>2059</v>
      </c>
      <c r="AB90" t="s">
        <v>2060</v>
      </c>
      <c r="AC90" t="s">
        <v>74</v>
      </c>
      <c r="AD90" t="s">
        <v>74</v>
      </c>
      <c r="AE90" t="s">
        <v>74</v>
      </c>
      <c r="AF90" t="s">
        <v>74</v>
      </c>
      <c r="AG90">
        <v>65</v>
      </c>
      <c r="AH90">
        <v>6</v>
      </c>
      <c r="AI90">
        <v>6</v>
      </c>
      <c r="AJ90">
        <v>1</v>
      </c>
      <c r="AK90">
        <v>11</v>
      </c>
      <c r="AL90" t="s">
        <v>994</v>
      </c>
      <c r="AM90" t="s">
        <v>995</v>
      </c>
      <c r="AN90" t="s">
        <v>2061</v>
      </c>
      <c r="AO90" t="s">
        <v>2062</v>
      </c>
      <c r="AP90" t="s">
        <v>2063</v>
      </c>
      <c r="AQ90" t="s">
        <v>74</v>
      </c>
      <c r="AR90" t="s">
        <v>2051</v>
      </c>
      <c r="AS90" t="s">
        <v>2064</v>
      </c>
      <c r="AT90" t="s">
        <v>1652</v>
      </c>
      <c r="AU90">
        <v>2018</v>
      </c>
      <c r="AV90">
        <v>26</v>
      </c>
      <c r="AW90">
        <v>3</v>
      </c>
      <c r="AX90" t="s">
        <v>74</v>
      </c>
      <c r="AY90" t="s">
        <v>74</v>
      </c>
      <c r="AZ90" t="s">
        <v>74</v>
      </c>
      <c r="BA90" t="s">
        <v>74</v>
      </c>
      <c r="BB90">
        <v>271</v>
      </c>
      <c r="BC90">
        <v>289</v>
      </c>
      <c r="BD90" t="s">
        <v>74</v>
      </c>
      <c r="BE90" t="s">
        <v>2065</v>
      </c>
      <c r="BF90" t="str">
        <f>HYPERLINK("http://dx.doi.org/10.1177/1103308817713623","http://dx.doi.org/10.1177/1103308817713623")</f>
        <v>http://dx.doi.org/10.1177/1103308817713623</v>
      </c>
      <c r="BG90" t="s">
        <v>74</v>
      </c>
      <c r="BH90" t="s">
        <v>74</v>
      </c>
      <c r="BI90">
        <v>19</v>
      </c>
      <c r="BJ90" t="s">
        <v>1161</v>
      </c>
      <c r="BK90" t="s">
        <v>99</v>
      </c>
      <c r="BL90" t="s">
        <v>1162</v>
      </c>
      <c r="BM90" t="s">
        <v>2066</v>
      </c>
      <c r="BN90" t="s">
        <v>74</v>
      </c>
      <c r="BO90" t="s">
        <v>74</v>
      </c>
      <c r="BP90" t="s">
        <v>74</v>
      </c>
      <c r="BQ90" t="s">
        <v>74</v>
      </c>
      <c r="BR90" t="s">
        <v>102</v>
      </c>
      <c r="BS90" t="s">
        <v>2067</v>
      </c>
      <c r="BT90" t="str">
        <f>HYPERLINK("https%3A%2F%2Fwww.webofscience.com%2Fwos%2Fwoscc%2Ffull-record%2FWOS:000429981300005","View Full Record in Web of Science")</f>
        <v>View Full Record in Web of Science</v>
      </c>
    </row>
    <row r="91" spans="1:72" x14ac:dyDescent="0.25">
      <c r="A91" t="s">
        <v>72</v>
      </c>
      <c r="B91" t="s">
        <v>2068</v>
      </c>
      <c r="C91" t="s">
        <v>74</v>
      </c>
      <c r="D91" t="s">
        <v>74</v>
      </c>
      <c r="E91" t="s">
        <v>74</v>
      </c>
      <c r="F91" t="s">
        <v>2069</v>
      </c>
      <c r="G91" t="s">
        <v>74</v>
      </c>
      <c r="H91" t="s">
        <v>74</v>
      </c>
      <c r="I91" t="s">
        <v>2070</v>
      </c>
      <c r="J91" t="s">
        <v>2071</v>
      </c>
      <c r="K91" t="s">
        <v>74</v>
      </c>
      <c r="L91" t="s">
        <v>74</v>
      </c>
      <c r="M91" t="s">
        <v>78</v>
      </c>
      <c r="N91" t="s">
        <v>79</v>
      </c>
      <c r="O91" t="s">
        <v>74</v>
      </c>
      <c r="P91" t="s">
        <v>74</v>
      </c>
      <c r="Q91" t="s">
        <v>74</v>
      </c>
      <c r="R91" t="s">
        <v>74</v>
      </c>
      <c r="S91" t="s">
        <v>74</v>
      </c>
      <c r="T91" t="s">
        <v>2072</v>
      </c>
      <c r="U91" t="s">
        <v>2073</v>
      </c>
      <c r="V91" t="s">
        <v>2074</v>
      </c>
      <c r="W91" t="s">
        <v>2075</v>
      </c>
      <c r="X91" t="s">
        <v>74</v>
      </c>
      <c r="Y91" t="s">
        <v>2076</v>
      </c>
      <c r="Z91" t="s">
        <v>2077</v>
      </c>
      <c r="AA91" t="s">
        <v>74</v>
      </c>
      <c r="AB91" t="s">
        <v>74</v>
      </c>
      <c r="AC91" t="s">
        <v>74</v>
      </c>
      <c r="AD91" t="s">
        <v>74</v>
      </c>
      <c r="AE91" t="s">
        <v>74</v>
      </c>
      <c r="AF91" t="s">
        <v>74</v>
      </c>
      <c r="AG91">
        <v>66</v>
      </c>
      <c r="AH91">
        <v>1</v>
      </c>
      <c r="AI91">
        <v>5</v>
      </c>
      <c r="AJ91">
        <v>0</v>
      </c>
      <c r="AK91">
        <v>14</v>
      </c>
      <c r="AL91" t="s">
        <v>332</v>
      </c>
      <c r="AM91" t="s">
        <v>333</v>
      </c>
      <c r="AN91" t="s">
        <v>334</v>
      </c>
      <c r="AO91" t="s">
        <v>2078</v>
      </c>
      <c r="AP91" t="s">
        <v>2079</v>
      </c>
      <c r="AQ91" t="s">
        <v>74</v>
      </c>
      <c r="AR91" t="s">
        <v>2080</v>
      </c>
      <c r="AS91" t="s">
        <v>2081</v>
      </c>
      <c r="AT91" t="s">
        <v>2082</v>
      </c>
      <c r="AU91">
        <v>2019</v>
      </c>
      <c r="AV91">
        <v>36</v>
      </c>
      <c r="AW91">
        <v>4</v>
      </c>
      <c r="AX91" t="s">
        <v>74</v>
      </c>
      <c r="AY91" t="s">
        <v>74</v>
      </c>
      <c r="AZ91" t="s">
        <v>74</v>
      </c>
      <c r="BA91" t="s">
        <v>74</v>
      </c>
      <c r="BB91">
        <v>426</v>
      </c>
      <c r="BC91">
        <v>442</v>
      </c>
      <c r="BD91" t="s">
        <v>74</v>
      </c>
      <c r="BE91" t="s">
        <v>2083</v>
      </c>
      <c r="BF91" t="str">
        <f>HYPERLINK("http://dx.doi.org/10.1080/0376835X.2018.1508987","http://dx.doi.org/10.1080/0376835X.2018.1508987")</f>
        <v>http://dx.doi.org/10.1080/0376835X.2018.1508987</v>
      </c>
      <c r="BG91" t="s">
        <v>74</v>
      </c>
      <c r="BH91" t="s">
        <v>74</v>
      </c>
      <c r="BI91">
        <v>17</v>
      </c>
      <c r="BJ91" t="s">
        <v>2084</v>
      </c>
      <c r="BK91" t="s">
        <v>99</v>
      </c>
      <c r="BL91" t="s">
        <v>2085</v>
      </c>
      <c r="BM91" t="s">
        <v>2086</v>
      </c>
      <c r="BN91" t="s">
        <v>74</v>
      </c>
      <c r="BO91" t="s">
        <v>74</v>
      </c>
      <c r="BP91" t="s">
        <v>74</v>
      </c>
      <c r="BQ91" t="s">
        <v>74</v>
      </c>
      <c r="BR91" t="s">
        <v>102</v>
      </c>
      <c r="BS91" t="s">
        <v>2087</v>
      </c>
      <c r="BT91" t="str">
        <f>HYPERLINK("https%3A%2F%2Fwww.webofscience.com%2Fwos%2Fwoscc%2Ffull-record%2FWOS:000472214700002","View Full Record in Web of Science")</f>
        <v>View Full Record in Web of Science</v>
      </c>
    </row>
    <row r="92" spans="1:72" x14ac:dyDescent="0.25">
      <c r="A92" t="s">
        <v>132</v>
      </c>
      <c r="B92" t="s">
        <v>2088</v>
      </c>
      <c r="C92" t="s">
        <v>74</v>
      </c>
      <c r="D92" t="s">
        <v>2089</v>
      </c>
      <c r="E92" t="s">
        <v>74</v>
      </c>
      <c r="F92" t="s">
        <v>2090</v>
      </c>
      <c r="G92" t="s">
        <v>74</v>
      </c>
      <c r="H92" t="s">
        <v>74</v>
      </c>
      <c r="I92" t="s">
        <v>2091</v>
      </c>
      <c r="J92" t="s">
        <v>2092</v>
      </c>
      <c r="K92" t="s">
        <v>2093</v>
      </c>
      <c r="L92" t="s">
        <v>74</v>
      </c>
      <c r="M92" t="s">
        <v>78</v>
      </c>
      <c r="N92" t="s">
        <v>138</v>
      </c>
      <c r="O92" t="s">
        <v>2094</v>
      </c>
      <c r="P92" t="s">
        <v>2095</v>
      </c>
      <c r="Q92" t="s">
        <v>2096</v>
      </c>
      <c r="R92" t="s">
        <v>2097</v>
      </c>
      <c r="S92" t="s">
        <v>74</v>
      </c>
      <c r="T92" t="s">
        <v>2098</v>
      </c>
      <c r="U92" t="s">
        <v>74</v>
      </c>
      <c r="V92" t="s">
        <v>2099</v>
      </c>
      <c r="W92" t="s">
        <v>2100</v>
      </c>
      <c r="X92" t="s">
        <v>2101</v>
      </c>
      <c r="Y92" t="s">
        <v>2102</v>
      </c>
      <c r="Z92" t="s">
        <v>2103</v>
      </c>
      <c r="AA92" t="s">
        <v>74</v>
      </c>
      <c r="AB92" t="s">
        <v>2104</v>
      </c>
      <c r="AC92" t="s">
        <v>74</v>
      </c>
      <c r="AD92" t="s">
        <v>74</v>
      </c>
      <c r="AE92" t="s">
        <v>74</v>
      </c>
      <c r="AF92" t="s">
        <v>74</v>
      </c>
      <c r="AG92">
        <v>7</v>
      </c>
      <c r="AH92">
        <v>0</v>
      </c>
      <c r="AI92">
        <v>0</v>
      </c>
      <c r="AJ92">
        <v>0</v>
      </c>
      <c r="AK92">
        <v>2</v>
      </c>
      <c r="AL92" t="s">
        <v>2105</v>
      </c>
      <c r="AM92" t="s">
        <v>1890</v>
      </c>
      <c r="AN92" t="s">
        <v>2106</v>
      </c>
      <c r="AO92" t="s">
        <v>2107</v>
      </c>
      <c r="AP92" t="s">
        <v>74</v>
      </c>
      <c r="AQ92" t="s">
        <v>2108</v>
      </c>
      <c r="AR92" t="s">
        <v>2109</v>
      </c>
      <c r="AS92" t="s">
        <v>74</v>
      </c>
      <c r="AT92" t="s">
        <v>74</v>
      </c>
      <c r="AU92">
        <v>2017</v>
      </c>
      <c r="AV92">
        <v>502</v>
      </c>
      <c r="AW92" t="s">
        <v>74</v>
      </c>
      <c r="AX92" t="s">
        <v>74</v>
      </c>
      <c r="AY92" t="s">
        <v>74</v>
      </c>
      <c r="AZ92" t="s">
        <v>74</v>
      </c>
      <c r="BA92" t="s">
        <v>74</v>
      </c>
      <c r="BB92">
        <v>1495</v>
      </c>
      <c r="BC92">
        <v>1503</v>
      </c>
      <c r="BD92" t="s">
        <v>74</v>
      </c>
      <c r="BE92" t="s">
        <v>2110</v>
      </c>
      <c r="BF92" t="str">
        <f>HYPERLINK("http://dx.doi.org/10.1007/978-981-10-1837-4_121","http://dx.doi.org/10.1007/978-981-10-1837-4_121")</f>
        <v>http://dx.doi.org/10.1007/978-981-10-1837-4_121</v>
      </c>
      <c r="BG92" t="s">
        <v>74</v>
      </c>
      <c r="BH92" t="s">
        <v>74</v>
      </c>
      <c r="BI92">
        <v>9</v>
      </c>
      <c r="BJ92" t="s">
        <v>2111</v>
      </c>
      <c r="BK92" t="s">
        <v>156</v>
      </c>
      <c r="BL92" t="s">
        <v>157</v>
      </c>
      <c r="BM92" t="s">
        <v>2112</v>
      </c>
      <c r="BN92" t="s">
        <v>74</v>
      </c>
      <c r="BO92" t="s">
        <v>74</v>
      </c>
      <c r="BP92" t="s">
        <v>74</v>
      </c>
      <c r="BQ92" t="s">
        <v>74</v>
      </c>
      <c r="BR92" t="s">
        <v>102</v>
      </c>
      <c r="BS92" t="s">
        <v>2113</v>
      </c>
      <c r="BT92" t="str">
        <f>HYPERLINK("https%3A%2F%2Fwww.webofscience.com%2Fwos%2Fwoscc%2Ffull-record%2FWOS:000407613300123","View Full Record in Web of Science")</f>
        <v>View Full Record in Web of Science</v>
      </c>
    </row>
    <row r="93" spans="1:72" x14ac:dyDescent="0.25">
      <c r="A93" t="s">
        <v>72</v>
      </c>
      <c r="B93" t="s">
        <v>2114</v>
      </c>
      <c r="C93" t="s">
        <v>74</v>
      </c>
      <c r="D93" t="s">
        <v>74</v>
      </c>
      <c r="E93" t="s">
        <v>74</v>
      </c>
      <c r="F93" t="s">
        <v>2115</v>
      </c>
      <c r="G93" t="s">
        <v>74</v>
      </c>
      <c r="H93" t="s">
        <v>74</v>
      </c>
      <c r="I93" t="s">
        <v>2116</v>
      </c>
      <c r="J93" t="s">
        <v>2117</v>
      </c>
      <c r="K93" t="s">
        <v>74</v>
      </c>
      <c r="L93" t="s">
        <v>74</v>
      </c>
      <c r="M93" t="s">
        <v>78</v>
      </c>
      <c r="N93" t="s">
        <v>79</v>
      </c>
      <c r="O93" t="s">
        <v>74</v>
      </c>
      <c r="P93" t="s">
        <v>74</v>
      </c>
      <c r="Q93" t="s">
        <v>74</v>
      </c>
      <c r="R93" t="s">
        <v>74</v>
      </c>
      <c r="S93" t="s">
        <v>74</v>
      </c>
      <c r="T93" t="s">
        <v>2118</v>
      </c>
      <c r="U93" t="s">
        <v>2119</v>
      </c>
      <c r="V93" t="s">
        <v>2120</v>
      </c>
      <c r="W93" t="s">
        <v>2121</v>
      </c>
      <c r="X93" t="s">
        <v>74</v>
      </c>
      <c r="Y93" t="s">
        <v>2122</v>
      </c>
      <c r="Z93" t="s">
        <v>2123</v>
      </c>
      <c r="AA93" t="s">
        <v>2124</v>
      </c>
      <c r="AB93" t="s">
        <v>2125</v>
      </c>
      <c r="AC93" t="s">
        <v>74</v>
      </c>
      <c r="AD93" t="s">
        <v>74</v>
      </c>
      <c r="AE93" t="s">
        <v>2126</v>
      </c>
      <c r="AF93" t="s">
        <v>74</v>
      </c>
      <c r="AG93">
        <v>50</v>
      </c>
      <c r="AH93">
        <v>9</v>
      </c>
      <c r="AI93">
        <v>11</v>
      </c>
      <c r="AJ93">
        <v>10</v>
      </c>
      <c r="AK93">
        <v>17</v>
      </c>
      <c r="AL93" t="s">
        <v>201</v>
      </c>
      <c r="AM93" t="s">
        <v>202</v>
      </c>
      <c r="AN93" t="s">
        <v>203</v>
      </c>
      <c r="AO93" t="s">
        <v>2127</v>
      </c>
      <c r="AP93" t="s">
        <v>2128</v>
      </c>
      <c r="AQ93" t="s">
        <v>74</v>
      </c>
      <c r="AR93" t="s">
        <v>2129</v>
      </c>
      <c r="AS93" t="s">
        <v>2130</v>
      </c>
      <c r="AT93" t="s">
        <v>698</v>
      </c>
      <c r="AU93">
        <v>2024</v>
      </c>
      <c r="AV93">
        <v>62</v>
      </c>
      <c r="AW93" t="s">
        <v>74</v>
      </c>
      <c r="AX93" t="s">
        <v>74</v>
      </c>
      <c r="AY93" t="s">
        <v>74</v>
      </c>
      <c r="AZ93" t="s">
        <v>74</v>
      </c>
      <c r="BA93" t="s">
        <v>74</v>
      </c>
      <c r="BB93" t="s">
        <v>74</v>
      </c>
      <c r="BC93" t="s">
        <v>74</v>
      </c>
      <c r="BD93">
        <v>101190</v>
      </c>
      <c r="BE93" t="s">
        <v>2131</v>
      </c>
      <c r="BF93" t="str">
        <f>HYPERLINK("http://dx.doi.org/10.1016/j.ememar.2024.101190","http://dx.doi.org/10.1016/j.ememar.2024.101190")</f>
        <v>http://dx.doi.org/10.1016/j.ememar.2024.101190</v>
      </c>
      <c r="BG93" t="s">
        <v>74</v>
      </c>
      <c r="BH93" t="s">
        <v>393</v>
      </c>
      <c r="BI93">
        <v>20</v>
      </c>
      <c r="BJ93" t="s">
        <v>210</v>
      </c>
      <c r="BK93" t="s">
        <v>99</v>
      </c>
      <c r="BL93" t="s">
        <v>100</v>
      </c>
      <c r="BM93" t="s">
        <v>2132</v>
      </c>
      <c r="BN93" t="s">
        <v>74</v>
      </c>
      <c r="BO93" t="s">
        <v>270</v>
      </c>
      <c r="BP93" t="s">
        <v>74</v>
      </c>
      <c r="BQ93" t="s">
        <v>74</v>
      </c>
      <c r="BR93" t="s">
        <v>102</v>
      </c>
      <c r="BS93" t="s">
        <v>2133</v>
      </c>
      <c r="BT93" t="str">
        <f>HYPERLINK("https%3A%2F%2Fwww.webofscience.com%2Fwos%2Fwoscc%2Ffull-record%2FWOS:001298069400001","View Full Record in Web of Science")</f>
        <v>View Full Record in Web of Science</v>
      </c>
    </row>
    <row r="94" spans="1:72" x14ac:dyDescent="0.25">
      <c r="A94" t="s">
        <v>72</v>
      </c>
      <c r="B94" t="s">
        <v>2134</v>
      </c>
      <c r="C94" t="s">
        <v>74</v>
      </c>
      <c r="D94" t="s">
        <v>74</v>
      </c>
      <c r="E94" t="s">
        <v>74</v>
      </c>
      <c r="F94" t="s">
        <v>2135</v>
      </c>
      <c r="G94" t="s">
        <v>74</v>
      </c>
      <c r="H94" t="s">
        <v>74</v>
      </c>
      <c r="I94" t="s">
        <v>2136</v>
      </c>
      <c r="J94" t="s">
        <v>2137</v>
      </c>
      <c r="K94" t="s">
        <v>74</v>
      </c>
      <c r="L94" t="s">
        <v>74</v>
      </c>
      <c r="M94" t="s">
        <v>78</v>
      </c>
      <c r="N94" t="s">
        <v>79</v>
      </c>
      <c r="O94" t="s">
        <v>74</v>
      </c>
      <c r="P94" t="s">
        <v>74</v>
      </c>
      <c r="Q94" t="s">
        <v>74</v>
      </c>
      <c r="R94" t="s">
        <v>74</v>
      </c>
      <c r="S94" t="s">
        <v>74</v>
      </c>
      <c r="T94" t="s">
        <v>2138</v>
      </c>
      <c r="U94" t="s">
        <v>2139</v>
      </c>
      <c r="V94" t="s">
        <v>2140</v>
      </c>
      <c r="W94" t="s">
        <v>2141</v>
      </c>
      <c r="X94" t="s">
        <v>2142</v>
      </c>
      <c r="Y94" t="s">
        <v>2143</v>
      </c>
      <c r="Z94" t="s">
        <v>2144</v>
      </c>
      <c r="AA94" t="s">
        <v>74</v>
      </c>
      <c r="AB94" t="s">
        <v>74</v>
      </c>
      <c r="AC94" t="s">
        <v>74</v>
      </c>
      <c r="AD94" t="s">
        <v>74</v>
      </c>
      <c r="AE94" t="s">
        <v>74</v>
      </c>
      <c r="AF94" t="s">
        <v>74</v>
      </c>
      <c r="AG94">
        <v>51</v>
      </c>
      <c r="AH94">
        <v>11</v>
      </c>
      <c r="AI94">
        <v>13</v>
      </c>
      <c r="AJ94">
        <v>0</v>
      </c>
      <c r="AK94">
        <v>5</v>
      </c>
      <c r="AL94" t="s">
        <v>2145</v>
      </c>
      <c r="AM94" t="s">
        <v>151</v>
      </c>
      <c r="AN94" t="s">
        <v>2146</v>
      </c>
      <c r="AO94" t="s">
        <v>2147</v>
      </c>
      <c r="AP94" t="s">
        <v>2148</v>
      </c>
      <c r="AQ94" t="s">
        <v>74</v>
      </c>
      <c r="AR94" t="s">
        <v>2149</v>
      </c>
      <c r="AS94" t="s">
        <v>2150</v>
      </c>
      <c r="AT94" t="s">
        <v>74</v>
      </c>
      <c r="AU94">
        <v>2022</v>
      </c>
      <c r="AV94">
        <v>33</v>
      </c>
      <c r="AW94">
        <v>2</v>
      </c>
      <c r="AX94" t="s">
        <v>74</v>
      </c>
      <c r="AY94" t="s">
        <v>74</v>
      </c>
      <c r="AZ94" t="s">
        <v>74</v>
      </c>
      <c r="BA94" t="s">
        <v>74</v>
      </c>
      <c r="BB94">
        <v>160</v>
      </c>
      <c r="BC94">
        <v>170</v>
      </c>
      <c r="BD94" t="s">
        <v>74</v>
      </c>
      <c r="BE94" t="s">
        <v>2151</v>
      </c>
      <c r="BF94" t="str">
        <f>HYPERLINK("http://dx.doi.org/10.1891/JFCP-2021-0046","http://dx.doi.org/10.1891/JFCP-2021-0046")</f>
        <v>http://dx.doi.org/10.1891/JFCP-2021-0046</v>
      </c>
      <c r="BG94" t="s">
        <v>74</v>
      </c>
      <c r="BH94" t="s">
        <v>74</v>
      </c>
      <c r="BI94">
        <v>11</v>
      </c>
      <c r="BJ94" t="s">
        <v>1453</v>
      </c>
      <c r="BK94" t="s">
        <v>313</v>
      </c>
      <c r="BL94" t="s">
        <v>100</v>
      </c>
      <c r="BM94" t="s">
        <v>2152</v>
      </c>
      <c r="BN94" t="s">
        <v>74</v>
      </c>
      <c r="BO94" t="s">
        <v>74</v>
      </c>
      <c r="BP94" t="s">
        <v>74</v>
      </c>
      <c r="BQ94" t="s">
        <v>74</v>
      </c>
      <c r="BR94" t="s">
        <v>102</v>
      </c>
      <c r="BS94" t="s">
        <v>2153</v>
      </c>
      <c r="BT94" t="str">
        <f>HYPERLINK("https%3A%2F%2Fwww.webofscience.com%2Fwos%2Fwoscc%2Ffull-record%2FWOS:000825261300002","View Full Record in Web of Science")</f>
        <v>View Full Record in Web of Science</v>
      </c>
    </row>
    <row r="95" spans="1:72" x14ac:dyDescent="0.25">
      <c r="A95" t="s">
        <v>132</v>
      </c>
      <c r="B95" t="s">
        <v>2154</v>
      </c>
      <c r="C95" t="s">
        <v>74</v>
      </c>
      <c r="D95" t="s">
        <v>74</v>
      </c>
      <c r="E95" t="s">
        <v>771</v>
      </c>
      <c r="F95" t="s">
        <v>2155</v>
      </c>
      <c r="G95" t="s">
        <v>74</v>
      </c>
      <c r="H95" t="s">
        <v>74</v>
      </c>
      <c r="I95" t="s">
        <v>2156</v>
      </c>
      <c r="J95" t="s">
        <v>2157</v>
      </c>
      <c r="K95" t="s">
        <v>2158</v>
      </c>
      <c r="L95" t="s">
        <v>74</v>
      </c>
      <c r="M95" t="s">
        <v>78</v>
      </c>
      <c r="N95" t="s">
        <v>138</v>
      </c>
      <c r="O95" t="s">
        <v>2159</v>
      </c>
      <c r="P95" t="s">
        <v>2160</v>
      </c>
      <c r="Q95" t="s">
        <v>2161</v>
      </c>
      <c r="R95" t="s">
        <v>2162</v>
      </c>
      <c r="S95" t="s">
        <v>74</v>
      </c>
      <c r="T95" t="s">
        <v>2163</v>
      </c>
      <c r="U95" t="s">
        <v>74</v>
      </c>
      <c r="V95" t="s">
        <v>2164</v>
      </c>
      <c r="W95" t="s">
        <v>2165</v>
      </c>
      <c r="X95" t="s">
        <v>2166</v>
      </c>
      <c r="Y95" t="s">
        <v>2167</v>
      </c>
      <c r="Z95" t="s">
        <v>2168</v>
      </c>
      <c r="AA95" t="s">
        <v>74</v>
      </c>
      <c r="AB95" t="s">
        <v>74</v>
      </c>
      <c r="AC95" t="s">
        <v>74</v>
      </c>
      <c r="AD95" t="s">
        <v>74</v>
      </c>
      <c r="AE95" t="s">
        <v>74</v>
      </c>
      <c r="AF95" t="s">
        <v>74</v>
      </c>
      <c r="AG95">
        <v>20</v>
      </c>
      <c r="AH95">
        <v>2</v>
      </c>
      <c r="AI95">
        <v>3</v>
      </c>
      <c r="AJ95">
        <v>2</v>
      </c>
      <c r="AK95">
        <v>11</v>
      </c>
      <c r="AL95" t="s">
        <v>771</v>
      </c>
      <c r="AM95" t="s">
        <v>151</v>
      </c>
      <c r="AN95" t="s">
        <v>785</v>
      </c>
      <c r="AO95" t="s">
        <v>2169</v>
      </c>
      <c r="AP95" t="s">
        <v>74</v>
      </c>
      <c r="AQ95" t="s">
        <v>2170</v>
      </c>
      <c r="AR95" t="s">
        <v>2171</v>
      </c>
      <c r="AS95" t="s">
        <v>74</v>
      </c>
      <c r="AT95" t="s">
        <v>74</v>
      </c>
      <c r="AU95">
        <v>2022</v>
      </c>
      <c r="AV95" t="s">
        <v>74</v>
      </c>
      <c r="AW95" t="s">
        <v>74</v>
      </c>
      <c r="AX95" t="s">
        <v>74</v>
      </c>
      <c r="AY95" t="s">
        <v>74</v>
      </c>
      <c r="AZ95" t="s">
        <v>74</v>
      </c>
      <c r="BA95" t="s">
        <v>74</v>
      </c>
      <c r="BB95">
        <v>4402</v>
      </c>
      <c r="BC95">
        <v>4407</v>
      </c>
      <c r="BD95" t="s">
        <v>74</v>
      </c>
      <c r="BE95" t="s">
        <v>2172</v>
      </c>
      <c r="BF95" t="str">
        <f>HYPERLINK("http://dx.doi.org/10.1109/ICC45855.2022.9839154","http://dx.doi.org/10.1109/ICC45855.2022.9839154")</f>
        <v>http://dx.doi.org/10.1109/ICC45855.2022.9839154</v>
      </c>
      <c r="BG95" t="s">
        <v>74</v>
      </c>
      <c r="BH95" t="s">
        <v>74</v>
      </c>
      <c r="BI95">
        <v>6</v>
      </c>
      <c r="BJ95" t="s">
        <v>2173</v>
      </c>
      <c r="BK95" t="s">
        <v>156</v>
      </c>
      <c r="BL95" t="s">
        <v>2173</v>
      </c>
      <c r="BM95" t="s">
        <v>2174</v>
      </c>
      <c r="BN95" t="s">
        <v>74</v>
      </c>
      <c r="BO95" t="s">
        <v>74</v>
      </c>
      <c r="BP95" t="s">
        <v>74</v>
      </c>
      <c r="BQ95" t="s">
        <v>74</v>
      </c>
      <c r="BR95" t="s">
        <v>102</v>
      </c>
      <c r="BS95" t="s">
        <v>2175</v>
      </c>
      <c r="BT95" t="str">
        <f>HYPERLINK("https%3A%2F%2Fwww.webofscience.com%2Fwos%2Fwoscc%2Ffull-record%2FWOS:000864709904097","View Full Record in Web of Science")</f>
        <v>View Full Record in Web of Science</v>
      </c>
    </row>
    <row r="96" spans="1:72" x14ac:dyDescent="0.25">
      <c r="A96" t="s">
        <v>72</v>
      </c>
      <c r="B96" t="s">
        <v>2176</v>
      </c>
      <c r="C96" t="s">
        <v>74</v>
      </c>
      <c r="D96" t="s">
        <v>74</v>
      </c>
      <c r="E96" t="s">
        <v>74</v>
      </c>
      <c r="F96" t="s">
        <v>2177</v>
      </c>
      <c r="G96" t="s">
        <v>74</v>
      </c>
      <c r="H96" t="s">
        <v>74</v>
      </c>
      <c r="I96" t="s">
        <v>2178</v>
      </c>
      <c r="J96" t="s">
        <v>2179</v>
      </c>
      <c r="K96" t="s">
        <v>74</v>
      </c>
      <c r="L96" t="s">
        <v>74</v>
      </c>
      <c r="M96" t="s">
        <v>78</v>
      </c>
      <c r="N96" t="s">
        <v>79</v>
      </c>
      <c r="O96" t="s">
        <v>74</v>
      </c>
      <c r="P96" t="s">
        <v>74</v>
      </c>
      <c r="Q96" t="s">
        <v>74</v>
      </c>
      <c r="R96" t="s">
        <v>74</v>
      </c>
      <c r="S96" t="s">
        <v>74</v>
      </c>
      <c r="T96" t="s">
        <v>74</v>
      </c>
      <c r="U96" t="s">
        <v>74</v>
      </c>
      <c r="V96" t="s">
        <v>2180</v>
      </c>
      <c r="W96" t="s">
        <v>2181</v>
      </c>
      <c r="X96" t="s">
        <v>2182</v>
      </c>
      <c r="Y96" t="s">
        <v>2183</v>
      </c>
      <c r="Z96" t="s">
        <v>2184</v>
      </c>
      <c r="AA96" t="s">
        <v>74</v>
      </c>
      <c r="AB96" t="s">
        <v>2185</v>
      </c>
      <c r="AC96" t="s">
        <v>74</v>
      </c>
      <c r="AD96" t="s">
        <v>74</v>
      </c>
      <c r="AE96" t="s">
        <v>74</v>
      </c>
      <c r="AF96" t="s">
        <v>74</v>
      </c>
      <c r="AG96">
        <v>0</v>
      </c>
      <c r="AH96">
        <v>5</v>
      </c>
      <c r="AI96">
        <v>5</v>
      </c>
      <c r="AJ96">
        <v>0</v>
      </c>
      <c r="AK96">
        <v>15</v>
      </c>
      <c r="AL96" t="s">
        <v>1889</v>
      </c>
      <c r="AM96" t="s">
        <v>1890</v>
      </c>
      <c r="AN96" t="s">
        <v>1891</v>
      </c>
      <c r="AO96" t="s">
        <v>2186</v>
      </c>
      <c r="AP96" t="s">
        <v>2187</v>
      </c>
      <c r="AQ96" t="s">
        <v>74</v>
      </c>
      <c r="AR96" t="s">
        <v>2188</v>
      </c>
      <c r="AS96" t="s">
        <v>2189</v>
      </c>
      <c r="AT96" t="s">
        <v>1652</v>
      </c>
      <c r="AU96">
        <v>2017</v>
      </c>
      <c r="AV96">
        <v>21</v>
      </c>
      <c r="AW96">
        <v>1</v>
      </c>
      <c r="AX96" t="s">
        <v>74</v>
      </c>
      <c r="AY96" t="s">
        <v>74</v>
      </c>
      <c r="AZ96" t="s">
        <v>74</v>
      </c>
      <c r="BA96" t="s">
        <v>74</v>
      </c>
      <c r="BB96">
        <v>81</v>
      </c>
      <c r="BC96" t="s">
        <v>2190</v>
      </c>
      <c r="BD96" t="s">
        <v>74</v>
      </c>
      <c r="BE96" t="s">
        <v>2191</v>
      </c>
      <c r="BF96" t="str">
        <f>HYPERLINK("http://dx.doi.org/10.1142/S0218927517500031","http://dx.doi.org/10.1142/S0218927517500031")</f>
        <v>http://dx.doi.org/10.1142/S0218927517500031</v>
      </c>
      <c r="BG96" t="s">
        <v>74</v>
      </c>
      <c r="BH96" t="s">
        <v>74</v>
      </c>
      <c r="BI96">
        <v>38</v>
      </c>
      <c r="BJ96" t="s">
        <v>418</v>
      </c>
      <c r="BK96" t="s">
        <v>313</v>
      </c>
      <c r="BL96" t="s">
        <v>100</v>
      </c>
      <c r="BM96" t="s">
        <v>2192</v>
      </c>
      <c r="BN96" t="s">
        <v>74</v>
      </c>
      <c r="BO96" t="s">
        <v>74</v>
      </c>
      <c r="BP96" t="s">
        <v>74</v>
      </c>
      <c r="BQ96" t="s">
        <v>74</v>
      </c>
      <c r="BR96" t="s">
        <v>102</v>
      </c>
      <c r="BS96" t="s">
        <v>2193</v>
      </c>
      <c r="BT96" t="str">
        <f>HYPERLINK("https%3A%2F%2Fwww.webofscience.com%2Fwos%2Fwoscc%2Ffull-record%2FWOS:000405098200003","View Full Record in Web of Science")</f>
        <v>View Full Record in Web of Science</v>
      </c>
    </row>
    <row r="97" spans="1:72" x14ac:dyDescent="0.25">
      <c r="A97" t="s">
        <v>72</v>
      </c>
      <c r="B97" t="s">
        <v>2194</v>
      </c>
      <c r="C97" t="s">
        <v>74</v>
      </c>
      <c r="D97" t="s">
        <v>74</v>
      </c>
      <c r="E97" t="s">
        <v>74</v>
      </c>
      <c r="F97" t="s">
        <v>2195</v>
      </c>
      <c r="G97" t="s">
        <v>74</v>
      </c>
      <c r="H97" t="s">
        <v>74</v>
      </c>
      <c r="I97" t="s">
        <v>2196</v>
      </c>
      <c r="J97" t="s">
        <v>1412</v>
      </c>
      <c r="K97" t="s">
        <v>74</v>
      </c>
      <c r="L97" t="s">
        <v>74</v>
      </c>
      <c r="M97" t="s">
        <v>78</v>
      </c>
      <c r="N97" t="s">
        <v>79</v>
      </c>
      <c r="O97" t="s">
        <v>74</v>
      </c>
      <c r="P97" t="s">
        <v>74</v>
      </c>
      <c r="Q97" t="s">
        <v>74</v>
      </c>
      <c r="R97" t="s">
        <v>74</v>
      </c>
      <c r="S97" t="s">
        <v>74</v>
      </c>
      <c r="T97" t="s">
        <v>2197</v>
      </c>
      <c r="U97" t="s">
        <v>2198</v>
      </c>
      <c r="V97" t="s">
        <v>2199</v>
      </c>
      <c r="W97" t="s">
        <v>2200</v>
      </c>
      <c r="X97" t="s">
        <v>2201</v>
      </c>
      <c r="Y97" t="s">
        <v>2202</v>
      </c>
      <c r="Z97" t="s">
        <v>2203</v>
      </c>
      <c r="AA97" t="s">
        <v>2204</v>
      </c>
      <c r="AB97" t="s">
        <v>2205</v>
      </c>
      <c r="AC97" t="s">
        <v>74</v>
      </c>
      <c r="AD97" t="s">
        <v>74</v>
      </c>
      <c r="AE97" t="s">
        <v>74</v>
      </c>
      <c r="AF97" t="s">
        <v>74</v>
      </c>
      <c r="AG97">
        <v>118</v>
      </c>
      <c r="AH97">
        <v>23</v>
      </c>
      <c r="AI97">
        <v>26</v>
      </c>
      <c r="AJ97">
        <v>0</v>
      </c>
      <c r="AK97">
        <v>19</v>
      </c>
      <c r="AL97" t="s">
        <v>332</v>
      </c>
      <c r="AM97" t="s">
        <v>333</v>
      </c>
      <c r="AN97" t="s">
        <v>334</v>
      </c>
      <c r="AO97" t="s">
        <v>1423</v>
      </c>
      <c r="AP97" t="s">
        <v>1424</v>
      </c>
      <c r="AQ97" t="s">
        <v>74</v>
      </c>
      <c r="AR97" t="s">
        <v>1425</v>
      </c>
      <c r="AS97" t="s">
        <v>1426</v>
      </c>
      <c r="AT97" t="s">
        <v>2206</v>
      </c>
      <c r="AU97">
        <v>2020</v>
      </c>
      <c r="AV97">
        <v>26</v>
      </c>
      <c r="AW97">
        <v>2</v>
      </c>
      <c r="AX97" t="s">
        <v>74</v>
      </c>
      <c r="AY97" t="s">
        <v>74</v>
      </c>
      <c r="AZ97" t="s">
        <v>441</v>
      </c>
      <c r="BA97" t="s">
        <v>74</v>
      </c>
      <c r="BB97">
        <v>369</v>
      </c>
      <c r="BC97">
        <v>393</v>
      </c>
      <c r="BD97" t="s">
        <v>74</v>
      </c>
      <c r="BE97" t="s">
        <v>2207</v>
      </c>
      <c r="BF97" t="str">
        <f>HYPERLINK("http://dx.doi.org/10.1080/02681102.2019.1668346","http://dx.doi.org/10.1080/02681102.2019.1668346")</f>
        <v>http://dx.doi.org/10.1080/02681102.2019.1668346</v>
      </c>
      <c r="BG97" t="s">
        <v>74</v>
      </c>
      <c r="BH97" t="s">
        <v>2208</v>
      </c>
      <c r="BI97">
        <v>25</v>
      </c>
      <c r="BJ97" t="s">
        <v>1429</v>
      </c>
      <c r="BK97" t="s">
        <v>99</v>
      </c>
      <c r="BL97" t="s">
        <v>1429</v>
      </c>
      <c r="BM97" t="s">
        <v>2209</v>
      </c>
      <c r="BN97" t="s">
        <v>74</v>
      </c>
      <c r="BO97" t="s">
        <v>74</v>
      </c>
      <c r="BP97" t="s">
        <v>74</v>
      </c>
      <c r="BQ97" t="s">
        <v>74</v>
      </c>
      <c r="BR97" t="s">
        <v>102</v>
      </c>
      <c r="BS97" t="s">
        <v>2210</v>
      </c>
      <c r="BT97" t="str">
        <f>HYPERLINK("https%3A%2F%2Fwww.webofscience.com%2Fwos%2Fwoscc%2Ffull-record%2FWOS:000487416800001","View Full Record in Web of Science")</f>
        <v>View Full Record in Web of Science</v>
      </c>
    </row>
    <row r="98" spans="1:72" x14ac:dyDescent="0.25">
      <c r="A98" t="s">
        <v>72</v>
      </c>
      <c r="B98" t="s">
        <v>2211</v>
      </c>
      <c r="C98" t="s">
        <v>74</v>
      </c>
      <c r="D98" t="s">
        <v>74</v>
      </c>
      <c r="E98" t="s">
        <v>74</v>
      </c>
      <c r="F98" t="s">
        <v>2212</v>
      </c>
      <c r="G98" t="s">
        <v>74</v>
      </c>
      <c r="H98" t="s">
        <v>74</v>
      </c>
      <c r="I98" t="s">
        <v>2213</v>
      </c>
      <c r="J98" t="s">
        <v>2214</v>
      </c>
      <c r="K98" t="s">
        <v>74</v>
      </c>
      <c r="L98" t="s">
        <v>74</v>
      </c>
      <c r="M98" t="s">
        <v>78</v>
      </c>
      <c r="N98" t="s">
        <v>79</v>
      </c>
      <c r="O98" t="s">
        <v>74</v>
      </c>
      <c r="P98" t="s">
        <v>74</v>
      </c>
      <c r="Q98" t="s">
        <v>74</v>
      </c>
      <c r="R98" t="s">
        <v>74</v>
      </c>
      <c r="S98" t="s">
        <v>74</v>
      </c>
      <c r="T98" t="s">
        <v>2215</v>
      </c>
      <c r="U98" t="s">
        <v>2216</v>
      </c>
      <c r="V98" t="s">
        <v>2217</v>
      </c>
      <c r="W98" t="s">
        <v>2218</v>
      </c>
      <c r="X98" t="s">
        <v>2219</v>
      </c>
      <c r="Y98" t="s">
        <v>2220</v>
      </c>
      <c r="Z98" t="s">
        <v>2221</v>
      </c>
      <c r="AA98" t="s">
        <v>2222</v>
      </c>
      <c r="AB98" t="s">
        <v>74</v>
      </c>
      <c r="AC98" t="s">
        <v>74</v>
      </c>
      <c r="AD98" t="s">
        <v>74</v>
      </c>
      <c r="AE98" t="s">
        <v>74</v>
      </c>
      <c r="AF98" t="s">
        <v>74</v>
      </c>
      <c r="AG98">
        <v>58</v>
      </c>
      <c r="AH98">
        <v>0</v>
      </c>
      <c r="AI98">
        <v>1</v>
      </c>
      <c r="AJ98">
        <v>2</v>
      </c>
      <c r="AK98">
        <v>2</v>
      </c>
      <c r="AL98" t="s">
        <v>2223</v>
      </c>
      <c r="AM98" t="s">
        <v>2224</v>
      </c>
      <c r="AN98" t="s">
        <v>2225</v>
      </c>
      <c r="AO98" t="s">
        <v>2226</v>
      </c>
      <c r="AP98" t="s">
        <v>74</v>
      </c>
      <c r="AQ98" t="s">
        <v>74</v>
      </c>
      <c r="AR98" t="s">
        <v>2227</v>
      </c>
      <c r="AS98" t="s">
        <v>2228</v>
      </c>
      <c r="AT98" t="s">
        <v>74</v>
      </c>
      <c r="AU98">
        <v>2025</v>
      </c>
      <c r="AV98">
        <v>26</v>
      </c>
      <c r="AW98">
        <v>2</v>
      </c>
      <c r="AX98" t="s">
        <v>74</v>
      </c>
      <c r="AY98" t="s">
        <v>74</v>
      </c>
      <c r="AZ98" t="s">
        <v>74</v>
      </c>
      <c r="BA98" t="s">
        <v>74</v>
      </c>
      <c r="BB98">
        <v>690</v>
      </c>
      <c r="BC98">
        <v>703</v>
      </c>
      <c r="BD98" t="s">
        <v>74</v>
      </c>
      <c r="BE98" t="s">
        <v>2229</v>
      </c>
      <c r="BF98" t="str">
        <f>HYPERLINK("http://dx.doi.org/10.33736/ijbs.8887.2025","http://dx.doi.org/10.33736/ijbs.8887.2025")</f>
        <v>http://dx.doi.org/10.33736/ijbs.8887.2025</v>
      </c>
      <c r="BG98" t="s">
        <v>74</v>
      </c>
      <c r="BH98" t="s">
        <v>74</v>
      </c>
      <c r="BI98">
        <v>14</v>
      </c>
      <c r="BJ98" t="s">
        <v>418</v>
      </c>
      <c r="BK98" t="s">
        <v>313</v>
      </c>
      <c r="BL98" t="s">
        <v>100</v>
      </c>
      <c r="BM98" t="s">
        <v>2230</v>
      </c>
      <c r="BN98" t="s">
        <v>74</v>
      </c>
      <c r="BO98" t="s">
        <v>212</v>
      </c>
      <c r="BP98" t="s">
        <v>74</v>
      </c>
      <c r="BQ98" t="s">
        <v>74</v>
      </c>
      <c r="BR98" t="s">
        <v>102</v>
      </c>
      <c r="BS98" t="s">
        <v>2231</v>
      </c>
      <c r="BT98" t="str">
        <f>HYPERLINK("https%3A%2F%2Fwww.webofscience.com%2Fwos%2Fwoscc%2Ffull-record%2FWOS:001606525000015","View Full Record in Web of Science")</f>
        <v>View Full Record in Web of Science</v>
      </c>
    </row>
    <row r="99" spans="1:72" x14ac:dyDescent="0.25">
      <c r="A99" t="s">
        <v>132</v>
      </c>
      <c r="B99" t="s">
        <v>2232</v>
      </c>
      <c r="C99" t="s">
        <v>74</v>
      </c>
      <c r="D99" t="s">
        <v>74</v>
      </c>
      <c r="E99" t="s">
        <v>2233</v>
      </c>
      <c r="F99" t="s">
        <v>2234</v>
      </c>
      <c r="G99" t="s">
        <v>74</v>
      </c>
      <c r="H99" t="s">
        <v>74</v>
      </c>
      <c r="I99" t="s">
        <v>2235</v>
      </c>
      <c r="J99" t="s">
        <v>2236</v>
      </c>
      <c r="K99" t="s">
        <v>2237</v>
      </c>
      <c r="L99" t="s">
        <v>74</v>
      </c>
      <c r="M99" t="s">
        <v>78</v>
      </c>
      <c r="N99" t="s">
        <v>138</v>
      </c>
      <c r="O99" t="s">
        <v>2238</v>
      </c>
      <c r="P99" t="s">
        <v>2239</v>
      </c>
      <c r="Q99" t="s">
        <v>2240</v>
      </c>
      <c r="R99" t="s">
        <v>2241</v>
      </c>
      <c r="S99" t="s">
        <v>2242</v>
      </c>
      <c r="T99" t="s">
        <v>74</v>
      </c>
      <c r="U99" t="s">
        <v>74</v>
      </c>
      <c r="V99" t="s">
        <v>2243</v>
      </c>
      <c r="W99" t="s">
        <v>2244</v>
      </c>
      <c r="X99" t="s">
        <v>74</v>
      </c>
      <c r="Y99" t="s">
        <v>2245</v>
      </c>
      <c r="Z99" t="s">
        <v>2246</v>
      </c>
      <c r="AA99" t="s">
        <v>74</v>
      </c>
      <c r="AB99" t="s">
        <v>2247</v>
      </c>
      <c r="AC99" t="s">
        <v>2248</v>
      </c>
      <c r="AD99" t="s">
        <v>2248</v>
      </c>
      <c r="AE99" t="s">
        <v>2249</v>
      </c>
      <c r="AF99" t="s">
        <v>74</v>
      </c>
      <c r="AG99">
        <v>13</v>
      </c>
      <c r="AH99">
        <v>0</v>
      </c>
      <c r="AI99">
        <v>0</v>
      </c>
      <c r="AJ99">
        <v>0</v>
      </c>
      <c r="AK99">
        <v>2</v>
      </c>
      <c r="AL99" t="s">
        <v>2250</v>
      </c>
      <c r="AM99" t="s">
        <v>2251</v>
      </c>
      <c r="AN99" t="s">
        <v>2252</v>
      </c>
      <c r="AO99" t="s">
        <v>2253</v>
      </c>
      <c r="AP99" t="s">
        <v>2254</v>
      </c>
      <c r="AQ99" t="s">
        <v>74</v>
      </c>
      <c r="AR99" t="s">
        <v>2255</v>
      </c>
      <c r="AS99" t="s">
        <v>74</v>
      </c>
      <c r="AT99" t="s">
        <v>74</v>
      </c>
      <c r="AU99">
        <v>2018</v>
      </c>
      <c r="AV99">
        <v>953</v>
      </c>
      <c r="AW99" t="s">
        <v>74</v>
      </c>
      <c r="AX99" t="s">
        <v>74</v>
      </c>
      <c r="AY99" t="s">
        <v>74</v>
      </c>
      <c r="AZ99" t="s">
        <v>74</v>
      </c>
      <c r="BA99" t="s">
        <v>74</v>
      </c>
      <c r="BB99" t="s">
        <v>74</v>
      </c>
      <c r="BC99" t="s">
        <v>74</v>
      </c>
      <c r="BD99">
        <v>12051</v>
      </c>
      <c r="BE99" t="s">
        <v>2256</v>
      </c>
      <c r="BF99" t="str">
        <f>HYPERLINK("http://dx.doi.org/10.1088/1742-6596/953/1/012051","http://dx.doi.org/10.1088/1742-6596/953/1/012051")</f>
        <v>http://dx.doi.org/10.1088/1742-6596/953/1/012051</v>
      </c>
      <c r="BG99" t="s">
        <v>74</v>
      </c>
      <c r="BH99" t="s">
        <v>74</v>
      </c>
      <c r="BI99">
        <v>8</v>
      </c>
      <c r="BJ99" t="s">
        <v>2257</v>
      </c>
      <c r="BK99" t="s">
        <v>156</v>
      </c>
      <c r="BL99" t="s">
        <v>2258</v>
      </c>
      <c r="BM99" t="s">
        <v>2259</v>
      </c>
      <c r="BN99" t="s">
        <v>74</v>
      </c>
      <c r="BO99" t="s">
        <v>212</v>
      </c>
      <c r="BP99" t="s">
        <v>74</v>
      </c>
      <c r="BQ99" t="s">
        <v>74</v>
      </c>
      <c r="BR99" t="s">
        <v>102</v>
      </c>
      <c r="BS99" t="s">
        <v>2260</v>
      </c>
      <c r="BT99" t="str">
        <f>HYPERLINK("https%3A%2F%2Fwww.webofscience.com%2Fwos%2Fwoscc%2Ffull-record%2FWOS:000446204400051","View Full Record in Web of Science")</f>
        <v>View Full Record in Web of Science</v>
      </c>
    </row>
    <row r="100" spans="1:72" x14ac:dyDescent="0.25">
      <c r="A100" t="s">
        <v>72</v>
      </c>
      <c r="B100" t="s">
        <v>2261</v>
      </c>
      <c r="C100" t="s">
        <v>74</v>
      </c>
      <c r="D100" t="s">
        <v>74</v>
      </c>
      <c r="E100" t="s">
        <v>74</v>
      </c>
      <c r="F100" t="s">
        <v>2262</v>
      </c>
      <c r="G100" t="s">
        <v>74</v>
      </c>
      <c r="H100" t="s">
        <v>74</v>
      </c>
      <c r="I100" t="s">
        <v>2263</v>
      </c>
      <c r="J100" t="s">
        <v>2264</v>
      </c>
      <c r="K100" t="s">
        <v>74</v>
      </c>
      <c r="L100" t="s">
        <v>74</v>
      </c>
      <c r="M100" t="s">
        <v>78</v>
      </c>
      <c r="N100" t="s">
        <v>79</v>
      </c>
      <c r="O100" t="s">
        <v>74</v>
      </c>
      <c r="P100" t="s">
        <v>74</v>
      </c>
      <c r="Q100" t="s">
        <v>74</v>
      </c>
      <c r="R100" t="s">
        <v>74</v>
      </c>
      <c r="S100" t="s">
        <v>74</v>
      </c>
      <c r="T100" t="s">
        <v>2265</v>
      </c>
      <c r="U100" t="s">
        <v>74</v>
      </c>
      <c r="V100" t="s">
        <v>2266</v>
      </c>
      <c r="W100" t="s">
        <v>2267</v>
      </c>
      <c r="X100" t="s">
        <v>2268</v>
      </c>
      <c r="Y100" t="s">
        <v>2269</v>
      </c>
      <c r="Z100" t="s">
        <v>2270</v>
      </c>
      <c r="AA100" t="s">
        <v>2271</v>
      </c>
      <c r="AB100" t="s">
        <v>2272</v>
      </c>
      <c r="AC100" t="s">
        <v>2273</v>
      </c>
      <c r="AD100" t="s">
        <v>2274</v>
      </c>
      <c r="AE100" t="s">
        <v>2275</v>
      </c>
      <c r="AF100" t="s">
        <v>74</v>
      </c>
      <c r="AG100">
        <v>44</v>
      </c>
      <c r="AH100">
        <v>44</v>
      </c>
      <c r="AI100">
        <v>59</v>
      </c>
      <c r="AJ100">
        <v>7</v>
      </c>
      <c r="AK100">
        <v>119</v>
      </c>
      <c r="AL100" t="s">
        <v>117</v>
      </c>
      <c r="AM100" t="s">
        <v>118</v>
      </c>
      <c r="AN100" t="s">
        <v>119</v>
      </c>
      <c r="AO100" t="s">
        <v>2276</v>
      </c>
      <c r="AP100" t="s">
        <v>2277</v>
      </c>
      <c r="AQ100" t="s">
        <v>74</v>
      </c>
      <c r="AR100" t="s">
        <v>2278</v>
      </c>
      <c r="AS100" t="s">
        <v>2279</v>
      </c>
      <c r="AT100" t="s">
        <v>605</v>
      </c>
      <c r="AU100">
        <v>2019</v>
      </c>
      <c r="AV100">
        <v>20</v>
      </c>
      <c r="AW100">
        <v>1</v>
      </c>
      <c r="AX100" t="s">
        <v>74</v>
      </c>
      <c r="AY100" t="s">
        <v>74</v>
      </c>
      <c r="AZ100" t="s">
        <v>441</v>
      </c>
      <c r="BA100" t="s">
        <v>74</v>
      </c>
      <c r="BB100">
        <v>55</v>
      </c>
      <c r="BC100">
        <v>80</v>
      </c>
      <c r="BD100" t="s">
        <v>74</v>
      </c>
      <c r="BE100" t="s">
        <v>2280</v>
      </c>
      <c r="BF100" t="str">
        <f>HYPERLINK("http://dx.doi.org/10.1007/s40804-019-00135-1","http://dx.doi.org/10.1007/s40804-019-00135-1")</f>
        <v>http://dx.doi.org/10.1007/s40804-019-00135-1</v>
      </c>
      <c r="BG100" t="s">
        <v>74</v>
      </c>
      <c r="BH100" t="s">
        <v>74</v>
      </c>
      <c r="BI100">
        <v>26</v>
      </c>
      <c r="BJ100" t="s">
        <v>2281</v>
      </c>
      <c r="BK100" t="s">
        <v>99</v>
      </c>
      <c r="BL100" t="s">
        <v>2282</v>
      </c>
      <c r="BM100" t="s">
        <v>2283</v>
      </c>
      <c r="BN100" t="s">
        <v>74</v>
      </c>
      <c r="BO100" t="s">
        <v>1696</v>
      </c>
      <c r="BP100" t="s">
        <v>74</v>
      </c>
      <c r="BQ100" t="s">
        <v>74</v>
      </c>
      <c r="BR100" t="s">
        <v>102</v>
      </c>
      <c r="BS100" t="s">
        <v>2284</v>
      </c>
      <c r="BT100" t="str">
        <f>HYPERLINK("https%3A%2F%2Fwww.webofscience.com%2Fwos%2Fwoscc%2Ffull-record%2FWOS:000461328400004","View Full Record in Web of Science")</f>
        <v>View Full Record in Web of Science</v>
      </c>
    </row>
    <row r="101" spans="1:72" x14ac:dyDescent="0.25">
      <c r="A101" t="s">
        <v>72</v>
      </c>
      <c r="B101" t="s">
        <v>2285</v>
      </c>
      <c r="C101" t="s">
        <v>74</v>
      </c>
      <c r="D101" t="s">
        <v>74</v>
      </c>
      <c r="E101" t="s">
        <v>74</v>
      </c>
      <c r="F101" t="s">
        <v>2286</v>
      </c>
      <c r="G101" t="s">
        <v>74</v>
      </c>
      <c r="H101" t="s">
        <v>74</v>
      </c>
      <c r="I101" t="s">
        <v>2287</v>
      </c>
      <c r="J101" t="s">
        <v>2288</v>
      </c>
      <c r="K101" t="s">
        <v>74</v>
      </c>
      <c r="L101" t="s">
        <v>74</v>
      </c>
      <c r="M101" t="s">
        <v>78</v>
      </c>
      <c r="N101" t="s">
        <v>79</v>
      </c>
      <c r="O101" t="s">
        <v>74</v>
      </c>
      <c r="P101" t="s">
        <v>74</v>
      </c>
      <c r="Q101" t="s">
        <v>74</v>
      </c>
      <c r="R101" t="s">
        <v>74</v>
      </c>
      <c r="S101" t="s">
        <v>74</v>
      </c>
      <c r="T101" t="s">
        <v>2289</v>
      </c>
      <c r="U101" t="s">
        <v>74</v>
      </c>
      <c r="V101" t="s">
        <v>2290</v>
      </c>
      <c r="W101" t="s">
        <v>2291</v>
      </c>
      <c r="X101" t="s">
        <v>2292</v>
      </c>
      <c r="Y101" t="s">
        <v>2293</v>
      </c>
      <c r="Z101" t="s">
        <v>2294</v>
      </c>
      <c r="AA101" t="s">
        <v>2295</v>
      </c>
      <c r="AB101" t="s">
        <v>2296</v>
      </c>
      <c r="AC101" t="s">
        <v>2297</v>
      </c>
      <c r="AD101" t="s">
        <v>2297</v>
      </c>
      <c r="AE101" t="s">
        <v>2298</v>
      </c>
      <c r="AF101" t="s">
        <v>74</v>
      </c>
      <c r="AG101">
        <v>41</v>
      </c>
      <c r="AH101">
        <v>1</v>
      </c>
      <c r="AI101">
        <v>1</v>
      </c>
      <c r="AJ101">
        <v>15</v>
      </c>
      <c r="AK101">
        <v>20</v>
      </c>
      <c r="AL101" t="s">
        <v>201</v>
      </c>
      <c r="AM101" t="s">
        <v>202</v>
      </c>
      <c r="AN101" t="s">
        <v>203</v>
      </c>
      <c r="AO101" t="s">
        <v>2299</v>
      </c>
      <c r="AP101" t="s">
        <v>2300</v>
      </c>
      <c r="AQ101" t="s">
        <v>74</v>
      </c>
      <c r="AR101" t="s">
        <v>2301</v>
      </c>
      <c r="AS101" t="s">
        <v>2302</v>
      </c>
      <c r="AT101" t="s">
        <v>698</v>
      </c>
      <c r="AU101">
        <v>2025</v>
      </c>
      <c r="AV101">
        <v>176</v>
      </c>
      <c r="AW101" t="s">
        <v>74</v>
      </c>
      <c r="AX101" t="s">
        <v>74</v>
      </c>
      <c r="AY101" t="s">
        <v>74</v>
      </c>
      <c r="AZ101" t="s">
        <v>74</v>
      </c>
      <c r="BA101" t="s">
        <v>74</v>
      </c>
      <c r="BB101" t="s">
        <v>74</v>
      </c>
      <c r="BC101" t="s">
        <v>74</v>
      </c>
      <c r="BD101">
        <v>103511</v>
      </c>
      <c r="BE101" t="s">
        <v>2303</v>
      </c>
      <c r="BF101" t="str">
        <f>HYPERLINK("http://dx.doi.org/10.1016/j.jdeveco.2025.103511","http://dx.doi.org/10.1016/j.jdeveco.2025.103511")</f>
        <v>http://dx.doi.org/10.1016/j.jdeveco.2025.103511</v>
      </c>
      <c r="BG101" t="s">
        <v>74</v>
      </c>
      <c r="BH101" t="s">
        <v>1485</v>
      </c>
      <c r="BI101">
        <v>16</v>
      </c>
      <c r="BJ101" t="s">
        <v>291</v>
      </c>
      <c r="BK101" t="s">
        <v>99</v>
      </c>
      <c r="BL101" t="s">
        <v>100</v>
      </c>
      <c r="BM101" t="s">
        <v>2304</v>
      </c>
      <c r="BN101" t="s">
        <v>74</v>
      </c>
      <c r="BO101" t="s">
        <v>74</v>
      </c>
      <c r="BP101" t="s">
        <v>74</v>
      </c>
      <c r="BQ101" t="s">
        <v>74</v>
      </c>
      <c r="BR101" t="s">
        <v>102</v>
      </c>
      <c r="BS101" t="s">
        <v>2305</v>
      </c>
      <c r="BT101" t="str">
        <f>HYPERLINK("https%3A%2F%2Fwww.webofscience.com%2Fwos%2Fwoscc%2Ffull-record%2FWOS:001476892000001","View Full Record in Web of Science")</f>
        <v>View Full Record in Web of Science</v>
      </c>
    </row>
    <row r="102" spans="1:72" x14ac:dyDescent="0.25">
      <c r="A102" t="s">
        <v>72</v>
      </c>
      <c r="B102" t="s">
        <v>2306</v>
      </c>
      <c r="C102" t="s">
        <v>74</v>
      </c>
      <c r="D102" t="s">
        <v>74</v>
      </c>
      <c r="E102" t="s">
        <v>74</v>
      </c>
      <c r="F102" t="s">
        <v>2307</v>
      </c>
      <c r="G102" t="s">
        <v>74</v>
      </c>
      <c r="H102" t="s">
        <v>74</v>
      </c>
      <c r="I102" t="s">
        <v>2308</v>
      </c>
      <c r="J102" t="s">
        <v>2309</v>
      </c>
      <c r="K102" t="s">
        <v>74</v>
      </c>
      <c r="L102" t="s">
        <v>74</v>
      </c>
      <c r="M102" t="s">
        <v>78</v>
      </c>
      <c r="N102" t="s">
        <v>79</v>
      </c>
      <c r="O102" t="s">
        <v>74</v>
      </c>
      <c r="P102" t="s">
        <v>74</v>
      </c>
      <c r="Q102" t="s">
        <v>74</v>
      </c>
      <c r="R102" t="s">
        <v>74</v>
      </c>
      <c r="S102" t="s">
        <v>74</v>
      </c>
      <c r="T102" t="s">
        <v>2310</v>
      </c>
      <c r="U102" t="s">
        <v>2311</v>
      </c>
      <c r="V102" t="s">
        <v>2312</v>
      </c>
      <c r="W102" t="s">
        <v>2313</v>
      </c>
      <c r="X102" t="s">
        <v>2314</v>
      </c>
      <c r="Y102" t="s">
        <v>2315</v>
      </c>
      <c r="Z102" t="s">
        <v>2316</v>
      </c>
      <c r="AA102" t="s">
        <v>2317</v>
      </c>
      <c r="AB102" t="s">
        <v>2318</v>
      </c>
      <c r="AC102" t="s">
        <v>2319</v>
      </c>
      <c r="AD102" t="s">
        <v>2320</v>
      </c>
      <c r="AE102" t="s">
        <v>2321</v>
      </c>
      <c r="AF102" t="s">
        <v>74</v>
      </c>
      <c r="AG102">
        <v>39</v>
      </c>
      <c r="AH102">
        <v>2</v>
      </c>
      <c r="AI102">
        <v>2</v>
      </c>
      <c r="AJ102">
        <v>3</v>
      </c>
      <c r="AK102">
        <v>13</v>
      </c>
      <c r="AL102" t="s">
        <v>332</v>
      </c>
      <c r="AM102" t="s">
        <v>333</v>
      </c>
      <c r="AN102" t="s">
        <v>334</v>
      </c>
      <c r="AO102" t="s">
        <v>2322</v>
      </c>
      <c r="AP102" t="s">
        <v>2323</v>
      </c>
      <c r="AQ102" t="s">
        <v>74</v>
      </c>
      <c r="AR102" t="s">
        <v>2324</v>
      </c>
      <c r="AS102" t="s">
        <v>2325</v>
      </c>
      <c r="AT102" t="s">
        <v>2326</v>
      </c>
      <c r="AU102">
        <v>2022</v>
      </c>
      <c r="AV102">
        <v>58</v>
      </c>
      <c r="AW102">
        <v>12</v>
      </c>
      <c r="AX102" t="s">
        <v>74</v>
      </c>
      <c r="AY102" t="s">
        <v>74</v>
      </c>
      <c r="AZ102" t="s">
        <v>74</v>
      </c>
      <c r="BA102" t="s">
        <v>74</v>
      </c>
      <c r="BB102">
        <v>2460</v>
      </c>
      <c r="BC102">
        <v>2482</v>
      </c>
      <c r="BD102" t="s">
        <v>74</v>
      </c>
      <c r="BE102" t="s">
        <v>2327</v>
      </c>
      <c r="BF102" t="str">
        <f>HYPERLINK("http://dx.doi.org/10.1080/00220388.2022.2102897","http://dx.doi.org/10.1080/00220388.2022.2102897")</f>
        <v>http://dx.doi.org/10.1080/00220388.2022.2102897</v>
      </c>
      <c r="BG102" t="s">
        <v>74</v>
      </c>
      <c r="BH102" t="s">
        <v>2328</v>
      </c>
      <c r="BI102">
        <v>23</v>
      </c>
      <c r="BJ102" t="s">
        <v>701</v>
      </c>
      <c r="BK102" t="s">
        <v>99</v>
      </c>
      <c r="BL102" t="s">
        <v>702</v>
      </c>
      <c r="BM102" t="s">
        <v>2329</v>
      </c>
      <c r="BN102" t="s">
        <v>74</v>
      </c>
      <c r="BO102" t="s">
        <v>1696</v>
      </c>
      <c r="BP102" t="s">
        <v>74</v>
      </c>
      <c r="BQ102" t="s">
        <v>74</v>
      </c>
      <c r="BR102" t="s">
        <v>102</v>
      </c>
      <c r="BS102" t="s">
        <v>2330</v>
      </c>
      <c r="BT102" t="str">
        <f>HYPERLINK("https%3A%2F%2Fwww.webofscience.com%2Fwos%2Fwoscc%2Ffull-record%2FWOS:000844728800001","View Full Record in Web of Science")</f>
        <v>View Full Record in Web of Science</v>
      </c>
    </row>
    <row r="103" spans="1:72" x14ac:dyDescent="0.25">
      <c r="A103" t="s">
        <v>72</v>
      </c>
      <c r="B103" t="s">
        <v>2331</v>
      </c>
      <c r="C103" t="s">
        <v>74</v>
      </c>
      <c r="D103" t="s">
        <v>74</v>
      </c>
      <c r="E103" t="s">
        <v>74</v>
      </c>
      <c r="F103" t="s">
        <v>2332</v>
      </c>
      <c r="G103" t="s">
        <v>74</v>
      </c>
      <c r="H103" t="s">
        <v>74</v>
      </c>
      <c r="I103" t="s">
        <v>2333</v>
      </c>
      <c r="J103" t="s">
        <v>2334</v>
      </c>
      <c r="K103" t="s">
        <v>74</v>
      </c>
      <c r="L103" t="s">
        <v>74</v>
      </c>
      <c r="M103" t="s">
        <v>78</v>
      </c>
      <c r="N103" t="s">
        <v>2335</v>
      </c>
      <c r="O103" t="s">
        <v>74</v>
      </c>
      <c r="P103" t="s">
        <v>74</v>
      </c>
      <c r="Q103" t="s">
        <v>74</v>
      </c>
      <c r="R103" t="s">
        <v>74</v>
      </c>
      <c r="S103" t="s">
        <v>74</v>
      </c>
      <c r="T103" t="s">
        <v>2336</v>
      </c>
      <c r="U103" t="s">
        <v>2337</v>
      </c>
      <c r="V103" t="s">
        <v>2338</v>
      </c>
      <c r="W103" t="s">
        <v>2339</v>
      </c>
      <c r="X103" t="s">
        <v>2340</v>
      </c>
      <c r="Y103" t="s">
        <v>2341</v>
      </c>
      <c r="Z103" t="s">
        <v>2342</v>
      </c>
      <c r="AA103" t="s">
        <v>74</v>
      </c>
      <c r="AB103" t="s">
        <v>74</v>
      </c>
      <c r="AC103" t="s">
        <v>74</v>
      </c>
      <c r="AD103" t="s">
        <v>74</v>
      </c>
      <c r="AE103" t="s">
        <v>74</v>
      </c>
      <c r="AF103" t="s">
        <v>74</v>
      </c>
      <c r="AG103">
        <v>9</v>
      </c>
      <c r="AH103">
        <v>33</v>
      </c>
      <c r="AI103">
        <v>42</v>
      </c>
      <c r="AJ103">
        <v>0</v>
      </c>
      <c r="AK103">
        <v>47</v>
      </c>
      <c r="AL103" t="s">
        <v>2343</v>
      </c>
      <c r="AM103" t="s">
        <v>2344</v>
      </c>
      <c r="AN103" t="s">
        <v>2345</v>
      </c>
      <c r="AO103" t="s">
        <v>2346</v>
      </c>
      <c r="AP103" t="s">
        <v>2347</v>
      </c>
      <c r="AQ103" t="s">
        <v>74</v>
      </c>
      <c r="AR103" t="s">
        <v>2348</v>
      </c>
      <c r="AS103" t="s">
        <v>2349</v>
      </c>
      <c r="AT103" t="s">
        <v>74</v>
      </c>
      <c r="AU103">
        <v>2017</v>
      </c>
      <c r="AV103">
        <v>20</v>
      </c>
      <c r="AW103">
        <v>4</v>
      </c>
      <c r="AX103" t="s">
        <v>74</v>
      </c>
      <c r="AY103" t="s">
        <v>74</v>
      </c>
      <c r="AZ103" t="s">
        <v>74</v>
      </c>
      <c r="BA103" t="s">
        <v>74</v>
      </c>
      <c r="BB103">
        <v>201</v>
      </c>
      <c r="BC103">
        <v>204</v>
      </c>
      <c r="BD103" t="s">
        <v>74</v>
      </c>
      <c r="BE103" t="s">
        <v>2350</v>
      </c>
      <c r="BF103" t="str">
        <f>HYPERLINK("http://dx.doi.org/10.1080/1097198X.2017.1391370","http://dx.doi.org/10.1080/1097198X.2017.1391370")</f>
        <v>http://dx.doi.org/10.1080/1097198X.2017.1391370</v>
      </c>
      <c r="BG103" t="s">
        <v>74</v>
      </c>
      <c r="BH103" t="s">
        <v>74</v>
      </c>
      <c r="BI103">
        <v>4</v>
      </c>
      <c r="BJ103" t="s">
        <v>2351</v>
      </c>
      <c r="BK103" t="s">
        <v>99</v>
      </c>
      <c r="BL103" t="s">
        <v>2351</v>
      </c>
      <c r="BM103" t="s">
        <v>2352</v>
      </c>
      <c r="BN103" t="s">
        <v>74</v>
      </c>
      <c r="BO103" t="s">
        <v>1205</v>
      </c>
      <c r="BP103" t="s">
        <v>74</v>
      </c>
      <c r="BQ103" t="s">
        <v>74</v>
      </c>
      <c r="BR103" t="s">
        <v>102</v>
      </c>
      <c r="BS103" t="s">
        <v>2353</v>
      </c>
      <c r="BT103" t="str">
        <f>HYPERLINK("https%3A%2F%2Fwww.webofscience.com%2Fwos%2Fwoscc%2Ffull-record%2FWOS:000423057600001","View Full Record in Web of Science")</f>
        <v>View Full Record in Web of Science</v>
      </c>
    </row>
    <row r="104" spans="1:72" x14ac:dyDescent="0.25">
      <c r="A104" t="s">
        <v>72</v>
      </c>
      <c r="B104" t="s">
        <v>1716</v>
      </c>
      <c r="C104" t="s">
        <v>74</v>
      </c>
      <c r="D104" t="s">
        <v>74</v>
      </c>
      <c r="E104" t="s">
        <v>74</v>
      </c>
      <c r="F104" t="s">
        <v>1717</v>
      </c>
      <c r="G104" t="s">
        <v>74</v>
      </c>
      <c r="H104" t="s">
        <v>74</v>
      </c>
      <c r="I104" t="s">
        <v>2354</v>
      </c>
      <c r="J104" t="s">
        <v>1719</v>
      </c>
      <c r="K104" t="s">
        <v>74</v>
      </c>
      <c r="L104" t="s">
        <v>74</v>
      </c>
      <c r="M104" t="s">
        <v>78</v>
      </c>
      <c r="N104" t="s">
        <v>2355</v>
      </c>
      <c r="O104" t="s">
        <v>74</v>
      </c>
      <c r="P104" t="s">
        <v>74</v>
      </c>
      <c r="Q104" t="s">
        <v>74</v>
      </c>
      <c r="R104" t="s">
        <v>74</v>
      </c>
      <c r="S104" t="s">
        <v>74</v>
      </c>
      <c r="T104" t="s">
        <v>74</v>
      </c>
      <c r="U104" t="s">
        <v>74</v>
      </c>
      <c r="V104" t="s">
        <v>74</v>
      </c>
      <c r="W104" t="s">
        <v>74</v>
      </c>
      <c r="X104" t="s">
        <v>74</v>
      </c>
      <c r="Y104" t="s">
        <v>74</v>
      </c>
      <c r="Z104" t="s">
        <v>74</v>
      </c>
      <c r="AA104" t="s">
        <v>2356</v>
      </c>
      <c r="AB104" t="s">
        <v>74</v>
      </c>
      <c r="AC104" t="s">
        <v>74</v>
      </c>
      <c r="AD104" t="s">
        <v>74</v>
      </c>
      <c r="AE104" t="s">
        <v>74</v>
      </c>
      <c r="AF104" t="s">
        <v>74</v>
      </c>
      <c r="AG104">
        <v>1</v>
      </c>
      <c r="AH104">
        <v>0</v>
      </c>
      <c r="AI104">
        <v>0</v>
      </c>
      <c r="AJ104">
        <v>0</v>
      </c>
      <c r="AK104">
        <v>0</v>
      </c>
      <c r="AL104" t="s">
        <v>332</v>
      </c>
      <c r="AM104" t="s">
        <v>333</v>
      </c>
      <c r="AN104" t="s">
        <v>334</v>
      </c>
      <c r="AO104" t="s">
        <v>1732</v>
      </c>
      <c r="AP104" t="s">
        <v>1733</v>
      </c>
      <c r="AQ104" t="s">
        <v>74</v>
      </c>
      <c r="AR104" t="s">
        <v>1734</v>
      </c>
      <c r="AS104" t="s">
        <v>1735</v>
      </c>
      <c r="AT104" t="s">
        <v>2357</v>
      </c>
      <c r="AU104">
        <v>2025</v>
      </c>
      <c r="AV104">
        <v>11</v>
      </c>
      <c r="AW104">
        <v>2</v>
      </c>
      <c r="AX104" t="s">
        <v>74</v>
      </c>
      <c r="AY104" t="s">
        <v>74</v>
      </c>
      <c r="AZ104" t="s">
        <v>74</v>
      </c>
      <c r="BA104" t="s">
        <v>74</v>
      </c>
      <c r="BB104">
        <v>250</v>
      </c>
      <c r="BC104">
        <v>251</v>
      </c>
      <c r="BD104" t="s">
        <v>74</v>
      </c>
      <c r="BE104" t="s">
        <v>2358</v>
      </c>
      <c r="BF104" t="str">
        <f>HYPERLINK("http://dx.doi.org/10.1080/20421338.2025.2494177","http://dx.doi.org/10.1080/20421338.2025.2494177")</f>
        <v>http://dx.doi.org/10.1080/20421338.2025.2494177</v>
      </c>
      <c r="BG104" t="s">
        <v>74</v>
      </c>
      <c r="BH104" t="s">
        <v>2359</v>
      </c>
      <c r="BI104">
        <v>2</v>
      </c>
      <c r="BJ104" t="s">
        <v>583</v>
      </c>
      <c r="BK104" t="s">
        <v>313</v>
      </c>
      <c r="BL104" t="s">
        <v>100</v>
      </c>
      <c r="BM104" t="s">
        <v>2360</v>
      </c>
      <c r="BN104" t="s">
        <v>74</v>
      </c>
      <c r="BO104" t="s">
        <v>74</v>
      </c>
      <c r="BP104" t="s">
        <v>74</v>
      </c>
      <c r="BQ104" t="s">
        <v>74</v>
      </c>
      <c r="BR104" t="s">
        <v>102</v>
      </c>
      <c r="BS104" t="s">
        <v>2361</v>
      </c>
      <c r="BT104" t="str">
        <f>HYPERLINK("https%3A%2F%2Fwww.webofscience.com%2Fwos%2Fwoscc%2Ffull-record%2FWOS:001490028600001","View Full Record in Web of Science")</f>
        <v>View Full Record in Web of Science</v>
      </c>
    </row>
    <row r="105" spans="1:72" x14ac:dyDescent="0.25">
      <c r="A105" t="s">
        <v>72</v>
      </c>
      <c r="B105" t="s">
        <v>2362</v>
      </c>
      <c r="C105" t="s">
        <v>74</v>
      </c>
      <c r="D105" t="s">
        <v>74</v>
      </c>
      <c r="E105" t="s">
        <v>74</v>
      </c>
      <c r="F105" t="s">
        <v>2363</v>
      </c>
      <c r="G105" t="s">
        <v>74</v>
      </c>
      <c r="H105" t="s">
        <v>74</v>
      </c>
      <c r="I105" t="s">
        <v>2364</v>
      </c>
      <c r="J105" t="s">
        <v>2365</v>
      </c>
      <c r="K105" t="s">
        <v>74</v>
      </c>
      <c r="L105" t="s">
        <v>74</v>
      </c>
      <c r="M105" t="s">
        <v>78</v>
      </c>
      <c r="N105" t="s">
        <v>79</v>
      </c>
      <c r="O105" t="s">
        <v>74</v>
      </c>
      <c r="P105" t="s">
        <v>74</v>
      </c>
      <c r="Q105" t="s">
        <v>74</v>
      </c>
      <c r="R105" t="s">
        <v>74</v>
      </c>
      <c r="S105" t="s">
        <v>74</v>
      </c>
      <c r="T105" t="s">
        <v>2366</v>
      </c>
      <c r="U105" t="s">
        <v>74</v>
      </c>
      <c r="V105" t="s">
        <v>2367</v>
      </c>
      <c r="W105" t="s">
        <v>2368</v>
      </c>
      <c r="X105" t="s">
        <v>74</v>
      </c>
      <c r="Y105" t="s">
        <v>2369</v>
      </c>
      <c r="Z105" t="s">
        <v>2370</v>
      </c>
      <c r="AA105" t="s">
        <v>74</v>
      </c>
      <c r="AB105" t="s">
        <v>74</v>
      </c>
      <c r="AC105" t="s">
        <v>74</v>
      </c>
      <c r="AD105" t="s">
        <v>74</v>
      </c>
      <c r="AE105" t="s">
        <v>74</v>
      </c>
      <c r="AF105" t="s">
        <v>74</v>
      </c>
      <c r="AG105">
        <v>63</v>
      </c>
      <c r="AH105">
        <v>0</v>
      </c>
      <c r="AI105">
        <v>1</v>
      </c>
      <c r="AJ105">
        <v>7</v>
      </c>
      <c r="AK105">
        <v>18</v>
      </c>
      <c r="AL105" t="s">
        <v>2371</v>
      </c>
      <c r="AM105" t="s">
        <v>2372</v>
      </c>
      <c r="AN105" t="s">
        <v>2373</v>
      </c>
      <c r="AO105" t="s">
        <v>2374</v>
      </c>
      <c r="AP105" t="s">
        <v>2375</v>
      </c>
      <c r="AQ105" t="s">
        <v>74</v>
      </c>
      <c r="AR105" t="s">
        <v>2376</v>
      </c>
      <c r="AS105" t="s">
        <v>2377</v>
      </c>
      <c r="AT105" t="s">
        <v>74</v>
      </c>
      <c r="AU105">
        <v>2024</v>
      </c>
      <c r="AV105">
        <v>31</v>
      </c>
      <c r="AW105">
        <v>2</v>
      </c>
      <c r="AX105" t="s">
        <v>74</v>
      </c>
      <c r="AY105" t="s">
        <v>74</v>
      </c>
      <c r="AZ105" t="s">
        <v>74</v>
      </c>
      <c r="BA105" t="s">
        <v>74</v>
      </c>
      <c r="BB105" t="s">
        <v>74</v>
      </c>
      <c r="BC105" t="s">
        <v>74</v>
      </c>
      <c r="BD105" t="s">
        <v>74</v>
      </c>
      <c r="BE105" t="s">
        <v>2378</v>
      </c>
      <c r="BF105" t="str">
        <f>HYPERLINK("http://dx.doi.org/10.1504/IJICBM.2024.136804","http://dx.doi.org/10.1504/IJICBM.2024.136804")</f>
        <v>http://dx.doi.org/10.1504/IJICBM.2024.136804</v>
      </c>
      <c r="BG105" t="s">
        <v>74</v>
      </c>
      <c r="BH105" t="s">
        <v>74</v>
      </c>
      <c r="BI105">
        <v>25</v>
      </c>
      <c r="BJ105" t="s">
        <v>418</v>
      </c>
      <c r="BK105" t="s">
        <v>313</v>
      </c>
      <c r="BL105" t="s">
        <v>100</v>
      </c>
      <c r="BM105" t="s">
        <v>2379</v>
      </c>
      <c r="BN105" t="s">
        <v>74</v>
      </c>
      <c r="BO105" t="s">
        <v>74</v>
      </c>
      <c r="BP105" t="s">
        <v>74</v>
      </c>
      <c r="BQ105" t="s">
        <v>74</v>
      </c>
      <c r="BR105" t="s">
        <v>102</v>
      </c>
      <c r="BS105" t="s">
        <v>2380</v>
      </c>
      <c r="BT105" t="str">
        <f>HYPERLINK("https%3A%2F%2Fwww.webofscience.com%2Fwos%2Fwoscc%2Ffull-record%2FWOS:001172954000008","View Full Record in Web of Science")</f>
        <v>View Full Record in Web of Science</v>
      </c>
    </row>
    <row r="106" spans="1:72" x14ac:dyDescent="0.25">
      <c r="A106" t="s">
        <v>132</v>
      </c>
      <c r="B106" t="s">
        <v>2381</v>
      </c>
      <c r="C106" t="s">
        <v>74</v>
      </c>
      <c r="D106" t="s">
        <v>2382</v>
      </c>
      <c r="E106" t="s">
        <v>74</v>
      </c>
      <c r="F106" t="s">
        <v>2383</v>
      </c>
      <c r="G106" t="s">
        <v>74</v>
      </c>
      <c r="H106" t="s">
        <v>74</v>
      </c>
      <c r="I106" t="s">
        <v>2384</v>
      </c>
      <c r="J106" t="s">
        <v>2385</v>
      </c>
      <c r="K106" t="s">
        <v>2386</v>
      </c>
      <c r="L106" t="s">
        <v>74</v>
      </c>
      <c r="M106" t="s">
        <v>78</v>
      </c>
      <c r="N106" t="s">
        <v>138</v>
      </c>
      <c r="O106" t="s">
        <v>2387</v>
      </c>
      <c r="P106" t="s">
        <v>2388</v>
      </c>
      <c r="Q106" t="s">
        <v>2389</v>
      </c>
      <c r="R106" t="s">
        <v>2390</v>
      </c>
      <c r="S106" t="s">
        <v>74</v>
      </c>
      <c r="T106" t="s">
        <v>2391</v>
      </c>
      <c r="U106" t="s">
        <v>74</v>
      </c>
      <c r="V106" t="s">
        <v>2392</v>
      </c>
      <c r="W106" t="s">
        <v>2393</v>
      </c>
      <c r="X106" t="s">
        <v>2394</v>
      </c>
      <c r="Y106" t="s">
        <v>2395</v>
      </c>
      <c r="Z106" t="s">
        <v>2396</v>
      </c>
      <c r="AA106" t="s">
        <v>2397</v>
      </c>
      <c r="AB106" t="s">
        <v>74</v>
      </c>
      <c r="AC106" t="s">
        <v>74</v>
      </c>
      <c r="AD106" t="s">
        <v>74</v>
      </c>
      <c r="AE106" t="s">
        <v>74</v>
      </c>
      <c r="AF106" t="s">
        <v>74</v>
      </c>
      <c r="AG106">
        <v>21</v>
      </c>
      <c r="AH106">
        <v>0</v>
      </c>
      <c r="AI106">
        <v>0</v>
      </c>
      <c r="AJ106">
        <v>0</v>
      </c>
      <c r="AK106">
        <v>1</v>
      </c>
      <c r="AL106" t="s">
        <v>2398</v>
      </c>
      <c r="AM106" t="s">
        <v>2399</v>
      </c>
      <c r="AN106" t="s">
        <v>2400</v>
      </c>
      <c r="AO106" t="s">
        <v>2401</v>
      </c>
      <c r="AP106" t="s">
        <v>74</v>
      </c>
      <c r="AQ106" t="s">
        <v>74</v>
      </c>
      <c r="AR106" t="s">
        <v>2402</v>
      </c>
      <c r="AS106" t="s">
        <v>74</v>
      </c>
      <c r="AT106" t="s">
        <v>74</v>
      </c>
      <c r="AU106">
        <v>2019</v>
      </c>
      <c r="AV106" t="s">
        <v>74</v>
      </c>
      <c r="AW106" t="s">
        <v>74</v>
      </c>
      <c r="AX106" t="s">
        <v>74</v>
      </c>
      <c r="AY106" t="s">
        <v>74</v>
      </c>
      <c r="AZ106" t="s">
        <v>74</v>
      </c>
      <c r="BA106" t="s">
        <v>74</v>
      </c>
      <c r="BB106">
        <v>1014</v>
      </c>
      <c r="BC106">
        <v>1021</v>
      </c>
      <c r="BD106" t="s">
        <v>74</v>
      </c>
      <c r="BE106" t="s">
        <v>74</v>
      </c>
      <c r="BF106" t="s">
        <v>74</v>
      </c>
      <c r="BG106" t="s">
        <v>74</v>
      </c>
      <c r="BH106" t="s">
        <v>74</v>
      </c>
      <c r="BI106">
        <v>8</v>
      </c>
      <c r="BJ106" t="s">
        <v>583</v>
      </c>
      <c r="BK106" t="s">
        <v>183</v>
      </c>
      <c r="BL106" t="s">
        <v>100</v>
      </c>
      <c r="BM106" t="s">
        <v>2403</v>
      </c>
      <c r="BN106" t="s">
        <v>74</v>
      </c>
      <c r="BO106" t="s">
        <v>74</v>
      </c>
      <c r="BP106" t="s">
        <v>74</v>
      </c>
      <c r="BQ106" t="s">
        <v>74</v>
      </c>
      <c r="BR106" t="s">
        <v>102</v>
      </c>
      <c r="BS106" t="s">
        <v>2404</v>
      </c>
      <c r="BT106" t="str">
        <f>HYPERLINK("https%3A%2F%2Fwww.webofscience.com%2Fwos%2Fwoscc%2Ffull-record%2FWOS:000587901000101","View Full Record in Web of Science")</f>
        <v>View Full Record in Web of Science</v>
      </c>
    </row>
    <row r="107" spans="1:72" x14ac:dyDescent="0.25">
      <c r="A107" t="s">
        <v>72</v>
      </c>
      <c r="B107" t="s">
        <v>2405</v>
      </c>
      <c r="C107" t="s">
        <v>74</v>
      </c>
      <c r="D107" t="s">
        <v>74</v>
      </c>
      <c r="E107" t="s">
        <v>74</v>
      </c>
      <c r="F107" t="s">
        <v>2406</v>
      </c>
      <c r="G107" t="s">
        <v>74</v>
      </c>
      <c r="H107" t="s">
        <v>74</v>
      </c>
      <c r="I107" t="s">
        <v>2407</v>
      </c>
      <c r="J107" t="s">
        <v>2030</v>
      </c>
      <c r="K107" t="s">
        <v>74</v>
      </c>
      <c r="L107" t="s">
        <v>74</v>
      </c>
      <c r="M107" t="s">
        <v>78</v>
      </c>
      <c r="N107" t="s">
        <v>372</v>
      </c>
      <c r="O107" t="s">
        <v>74</v>
      </c>
      <c r="P107" t="s">
        <v>74</v>
      </c>
      <c r="Q107" t="s">
        <v>74</v>
      </c>
      <c r="R107" t="s">
        <v>74</v>
      </c>
      <c r="S107" t="s">
        <v>74</v>
      </c>
      <c r="T107" t="s">
        <v>2408</v>
      </c>
      <c r="U107" t="s">
        <v>2409</v>
      </c>
      <c r="V107" t="s">
        <v>2410</v>
      </c>
      <c r="W107" t="s">
        <v>2411</v>
      </c>
      <c r="X107" t="s">
        <v>74</v>
      </c>
      <c r="Y107" t="s">
        <v>2412</v>
      </c>
      <c r="Z107" t="s">
        <v>2413</v>
      </c>
      <c r="AA107" t="s">
        <v>74</v>
      </c>
      <c r="AB107" t="s">
        <v>74</v>
      </c>
      <c r="AC107" t="s">
        <v>2414</v>
      </c>
      <c r="AD107" t="s">
        <v>2414</v>
      </c>
      <c r="AE107" t="s">
        <v>2414</v>
      </c>
      <c r="AF107" t="s">
        <v>74</v>
      </c>
      <c r="AG107">
        <v>46</v>
      </c>
      <c r="AH107">
        <v>0</v>
      </c>
      <c r="AI107">
        <v>3</v>
      </c>
      <c r="AJ107">
        <v>1</v>
      </c>
      <c r="AK107">
        <v>2</v>
      </c>
      <c r="AL107" t="s">
        <v>666</v>
      </c>
      <c r="AM107" t="s">
        <v>667</v>
      </c>
      <c r="AN107" t="s">
        <v>668</v>
      </c>
      <c r="AO107" t="s">
        <v>2039</v>
      </c>
      <c r="AP107" t="s">
        <v>74</v>
      </c>
      <c r="AQ107" t="s">
        <v>74</v>
      </c>
      <c r="AR107" t="s">
        <v>2040</v>
      </c>
      <c r="AS107" t="s">
        <v>2041</v>
      </c>
      <c r="AT107" t="s">
        <v>2415</v>
      </c>
      <c r="AU107">
        <v>2023</v>
      </c>
      <c r="AV107" t="s">
        <v>74</v>
      </c>
      <c r="AW107" t="s">
        <v>74</v>
      </c>
      <c r="AX107" t="s">
        <v>74</v>
      </c>
      <c r="AY107" t="s">
        <v>74</v>
      </c>
      <c r="AZ107" t="s">
        <v>74</v>
      </c>
      <c r="BA107" t="s">
        <v>74</v>
      </c>
      <c r="BB107" t="s">
        <v>74</v>
      </c>
      <c r="BC107" t="s">
        <v>74</v>
      </c>
      <c r="BD107" t="s">
        <v>74</v>
      </c>
      <c r="BE107" t="s">
        <v>2416</v>
      </c>
      <c r="BF107" t="str">
        <f>HYPERLINK("http://dx.doi.org/10.1007/s40609-023-00311-9","http://dx.doi.org/10.1007/s40609-023-00311-9")</f>
        <v>http://dx.doi.org/10.1007/s40609-023-00311-9</v>
      </c>
      <c r="BG107" t="s">
        <v>74</v>
      </c>
      <c r="BH107" t="s">
        <v>2417</v>
      </c>
      <c r="BI107">
        <v>12</v>
      </c>
      <c r="BJ107" t="s">
        <v>2045</v>
      </c>
      <c r="BK107" t="s">
        <v>313</v>
      </c>
      <c r="BL107" t="s">
        <v>2045</v>
      </c>
      <c r="BM107" t="s">
        <v>2418</v>
      </c>
      <c r="BN107" t="s">
        <v>74</v>
      </c>
      <c r="BO107" t="s">
        <v>74</v>
      </c>
      <c r="BP107" t="s">
        <v>74</v>
      </c>
      <c r="BQ107" t="s">
        <v>74</v>
      </c>
      <c r="BR107" t="s">
        <v>102</v>
      </c>
      <c r="BS107" t="s">
        <v>2419</v>
      </c>
      <c r="BT107" t="str">
        <f>HYPERLINK("https%3A%2F%2Fwww.webofscience.com%2Fwos%2Fwoscc%2Ffull-record%2FWOS:001075803900001","View Full Record in Web of Science")</f>
        <v>View Full Record in Web of Science</v>
      </c>
    </row>
    <row r="108" spans="1:72" x14ac:dyDescent="0.25">
      <c r="A108" t="s">
        <v>132</v>
      </c>
      <c r="B108" t="s">
        <v>2420</v>
      </c>
      <c r="C108" t="s">
        <v>74</v>
      </c>
      <c r="D108" t="s">
        <v>2421</v>
      </c>
      <c r="E108" t="s">
        <v>74</v>
      </c>
      <c r="F108" t="s">
        <v>2422</v>
      </c>
      <c r="G108" t="s">
        <v>74</v>
      </c>
      <c r="H108" t="s">
        <v>74</v>
      </c>
      <c r="I108" t="s">
        <v>2423</v>
      </c>
      <c r="J108" t="s">
        <v>2424</v>
      </c>
      <c r="K108" t="s">
        <v>2425</v>
      </c>
      <c r="L108" t="s">
        <v>74</v>
      </c>
      <c r="M108" t="s">
        <v>78</v>
      </c>
      <c r="N108" t="s">
        <v>138</v>
      </c>
      <c r="O108" t="s">
        <v>2426</v>
      </c>
      <c r="P108" t="s">
        <v>2427</v>
      </c>
      <c r="Q108" t="s">
        <v>2428</v>
      </c>
      <c r="R108" t="s">
        <v>2429</v>
      </c>
      <c r="S108" t="s">
        <v>74</v>
      </c>
      <c r="T108" t="s">
        <v>2430</v>
      </c>
      <c r="U108" t="s">
        <v>2431</v>
      </c>
      <c r="V108" t="s">
        <v>2432</v>
      </c>
      <c r="W108" t="s">
        <v>2433</v>
      </c>
      <c r="X108" t="s">
        <v>2434</v>
      </c>
      <c r="Y108" t="s">
        <v>2435</v>
      </c>
      <c r="Z108" t="s">
        <v>74</v>
      </c>
      <c r="AA108" t="s">
        <v>74</v>
      </c>
      <c r="AB108" t="s">
        <v>2436</v>
      </c>
      <c r="AC108" t="s">
        <v>74</v>
      </c>
      <c r="AD108" t="s">
        <v>74</v>
      </c>
      <c r="AE108" t="s">
        <v>74</v>
      </c>
      <c r="AF108" t="s">
        <v>74</v>
      </c>
      <c r="AG108">
        <v>61</v>
      </c>
      <c r="AH108">
        <v>3</v>
      </c>
      <c r="AI108">
        <v>3</v>
      </c>
      <c r="AJ108">
        <v>3</v>
      </c>
      <c r="AK108">
        <v>9</v>
      </c>
      <c r="AL108" t="s">
        <v>1062</v>
      </c>
      <c r="AM108" t="s">
        <v>667</v>
      </c>
      <c r="AN108" t="s">
        <v>668</v>
      </c>
      <c r="AO108" t="s">
        <v>2437</v>
      </c>
      <c r="AP108" t="s">
        <v>2438</v>
      </c>
      <c r="AQ108" t="s">
        <v>2439</v>
      </c>
      <c r="AR108" t="s">
        <v>2440</v>
      </c>
      <c r="AS108" t="s">
        <v>74</v>
      </c>
      <c r="AT108" t="s">
        <v>74</v>
      </c>
      <c r="AU108">
        <v>2021</v>
      </c>
      <c r="AV108">
        <v>12896</v>
      </c>
      <c r="AW108" t="s">
        <v>74</v>
      </c>
      <c r="AX108" t="s">
        <v>74</v>
      </c>
      <c r="AY108" t="s">
        <v>74</v>
      </c>
      <c r="AZ108" t="s">
        <v>74</v>
      </c>
      <c r="BA108" t="s">
        <v>74</v>
      </c>
      <c r="BB108">
        <v>342</v>
      </c>
      <c r="BC108">
        <v>355</v>
      </c>
      <c r="BD108" t="s">
        <v>74</v>
      </c>
      <c r="BE108" t="s">
        <v>2441</v>
      </c>
      <c r="BF108" t="str">
        <f>HYPERLINK("http://dx.doi.org/10.1007/978-3-030-85447-8_30","http://dx.doi.org/10.1007/978-3-030-85447-8_30")</f>
        <v>http://dx.doi.org/10.1007/978-3-030-85447-8_30</v>
      </c>
      <c r="BG108" t="s">
        <v>74</v>
      </c>
      <c r="BH108" t="s">
        <v>74</v>
      </c>
      <c r="BI108">
        <v>14</v>
      </c>
      <c r="BJ108" t="s">
        <v>2442</v>
      </c>
      <c r="BK108" t="s">
        <v>156</v>
      </c>
      <c r="BL108" t="s">
        <v>157</v>
      </c>
      <c r="BM108" t="s">
        <v>2443</v>
      </c>
      <c r="BN108" t="s">
        <v>74</v>
      </c>
      <c r="BO108" t="s">
        <v>1696</v>
      </c>
      <c r="BP108" t="s">
        <v>74</v>
      </c>
      <c r="BQ108" t="s">
        <v>74</v>
      </c>
      <c r="BR108" t="s">
        <v>102</v>
      </c>
      <c r="BS108" t="s">
        <v>2444</v>
      </c>
      <c r="BT108" t="str">
        <f>HYPERLINK("https%3A%2F%2Fwww.webofscience.com%2Fwos%2Fwoscc%2Ffull-record%2FWOS:001352263900030","View Full Record in Web of Science")</f>
        <v>View Full Record in Web of Science</v>
      </c>
    </row>
    <row r="109" spans="1:72" x14ac:dyDescent="0.25">
      <c r="A109" t="s">
        <v>72</v>
      </c>
      <c r="B109" t="s">
        <v>2445</v>
      </c>
      <c r="C109" t="s">
        <v>74</v>
      </c>
      <c r="D109" t="s">
        <v>74</v>
      </c>
      <c r="E109" t="s">
        <v>74</v>
      </c>
      <c r="F109" t="s">
        <v>2446</v>
      </c>
      <c r="G109" t="s">
        <v>74</v>
      </c>
      <c r="H109" t="s">
        <v>74</v>
      </c>
      <c r="I109" t="s">
        <v>2447</v>
      </c>
      <c r="J109" t="s">
        <v>2448</v>
      </c>
      <c r="K109" t="s">
        <v>74</v>
      </c>
      <c r="L109" t="s">
        <v>74</v>
      </c>
      <c r="M109" t="s">
        <v>78</v>
      </c>
      <c r="N109" t="s">
        <v>79</v>
      </c>
      <c r="O109" t="s">
        <v>74</v>
      </c>
      <c r="P109" t="s">
        <v>74</v>
      </c>
      <c r="Q109" t="s">
        <v>74</v>
      </c>
      <c r="R109" t="s">
        <v>74</v>
      </c>
      <c r="S109" t="s">
        <v>74</v>
      </c>
      <c r="T109" t="s">
        <v>2449</v>
      </c>
      <c r="U109" t="s">
        <v>2450</v>
      </c>
      <c r="V109" t="s">
        <v>2451</v>
      </c>
      <c r="W109" t="s">
        <v>2452</v>
      </c>
      <c r="X109" t="s">
        <v>2453</v>
      </c>
      <c r="Y109" t="s">
        <v>2454</v>
      </c>
      <c r="Z109" t="s">
        <v>74</v>
      </c>
      <c r="AA109" t="s">
        <v>74</v>
      </c>
      <c r="AB109" t="s">
        <v>2455</v>
      </c>
      <c r="AC109" t="s">
        <v>74</v>
      </c>
      <c r="AD109" t="s">
        <v>74</v>
      </c>
      <c r="AE109" t="s">
        <v>74</v>
      </c>
      <c r="AF109" t="s">
        <v>74</v>
      </c>
      <c r="AG109">
        <v>52</v>
      </c>
      <c r="AH109">
        <v>1</v>
      </c>
      <c r="AI109">
        <v>3</v>
      </c>
      <c r="AJ109">
        <v>0</v>
      </c>
      <c r="AK109">
        <v>2</v>
      </c>
      <c r="AL109" t="s">
        <v>2456</v>
      </c>
      <c r="AM109" t="s">
        <v>2457</v>
      </c>
      <c r="AN109" t="s">
        <v>2458</v>
      </c>
      <c r="AO109" t="s">
        <v>2459</v>
      </c>
      <c r="AP109" t="s">
        <v>74</v>
      </c>
      <c r="AQ109" t="s">
        <v>74</v>
      </c>
      <c r="AR109" t="s">
        <v>2460</v>
      </c>
      <c r="AS109" t="s">
        <v>2461</v>
      </c>
      <c r="AT109" t="s">
        <v>2462</v>
      </c>
      <c r="AU109">
        <v>2018</v>
      </c>
      <c r="AV109">
        <v>34</v>
      </c>
      <c r="AW109">
        <v>2</v>
      </c>
      <c r="AX109" t="s">
        <v>74</v>
      </c>
      <c r="AY109" t="s">
        <v>74</v>
      </c>
      <c r="AZ109" t="s">
        <v>74</v>
      </c>
      <c r="BA109" t="s">
        <v>74</v>
      </c>
      <c r="BB109">
        <v>165</v>
      </c>
      <c r="BC109">
        <v>190</v>
      </c>
      <c r="BD109" t="s">
        <v>74</v>
      </c>
      <c r="BE109" t="s">
        <v>2463</v>
      </c>
      <c r="BF109" t="str">
        <f>HYPERLINK("http://dx.doi.org/10.1525/msem.2018.34.2.165","http://dx.doi.org/10.1525/msem.2018.34.2.165")</f>
        <v>http://dx.doi.org/10.1525/msem.2018.34.2.165</v>
      </c>
      <c r="BG109" t="s">
        <v>74</v>
      </c>
      <c r="BH109" t="s">
        <v>74</v>
      </c>
      <c r="BI109">
        <v>26</v>
      </c>
      <c r="BJ109" t="s">
        <v>2464</v>
      </c>
      <c r="BK109" t="s">
        <v>2465</v>
      </c>
      <c r="BL109" t="s">
        <v>2464</v>
      </c>
      <c r="BM109" t="s">
        <v>2466</v>
      </c>
      <c r="BN109" t="s">
        <v>74</v>
      </c>
      <c r="BO109" t="s">
        <v>74</v>
      </c>
      <c r="BP109" t="s">
        <v>74</v>
      </c>
      <c r="BQ109" t="s">
        <v>74</v>
      </c>
      <c r="BR109" t="s">
        <v>102</v>
      </c>
      <c r="BS109" t="s">
        <v>2467</v>
      </c>
      <c r="BT109" t="str">
        <f>HYPERLINK("https%3A%2F%2Fwww.webofscience.com%2Fwos%2Fwoscc%2Ffull-record%2FWOS:000456534300003","View Full Record in Web of Science")</f>
        <v>View Full Record in Web of Science</v>
      </c>
    </row>
    <row r="110" spans="1:72" x14ac:dyDescent="0.25">
      <c r="A110" t="s">
        <v>72</v>
      </c>
      <c r="B110" t="s">
        <v>2468</v>
      </c>
      <c r="C110" t="s">
        <v>74</v>
      </c>
      <c r="D110" t="s">
        <v>74</v>
      </c>
      <c r="E110" t="s">
        <v>74</v>
      </c>
      <c r="F110" t="s">
        <v>2469</v>
      </c>
      <c r="G110" t="s">
        <v>74</v>
      </c>
      <c r="H110" t="s">
        <v>74</v>
      </c>
      <c r="I110" t="s">
        <v>2470</v>
      </c>
      <c r="J110" t="s">
        <v>2471</v>
      </c>
      <c r="K110" t="s">
        <v>74</v>
      </c>
      <c r="L110" t="s">
        <v>74</v>
      </c>
      <c r="M110" t="s">
        <v>78</v>
      </c>
      <c r="N110" t="s">
        <v>79</v>
      </c>
      <c r="O110" t="s">
        <v>74</v>
      </c>
      <c r="P110" t="s">
        <v>74</v>
      </c>
      <c r="Q110" t="s">
        <v>74</v>
      </c>
      <c r="R110" t="s">
        <v>74</v>
      </c>
      <c r="S110" t="s">
        <v>74</v>
      </c>
      <c r="T110" t="s">
        <v>2472</v>
      </c>
      <c r="U110" t="s">
        <v>2473</v>
      </c>
      <c r="V110" t="s">
        <v>2474</v>
      </c>
      <c r="W110" t="s">
        <v>2475</v>
      </c>
      <c r="X110" t="s">
        <v>2476</v>
      </c>
      <c r="Y110" t="s">
        <v>2477</v>
      </c>
      <c r="Z110" t="s">
        <v>2478</v>
      </c>
      <c r="AA110" t="s">
        <v>2479</v>
      </c>
      <c r="AB110" t="s">
        <v>2480</v>
      </c>
      <c r="AC110" t="s">
        <v>74</v>
      </c>
      <c r="AD110" t="s">
        <v>74</v>
      </c>
      <c r="AE110" t="s">
        <v>74</v>
      </c>
      <c r="AF110" t="s">
        <v>74</v>
      </c>
      <c r="AG110">
        <v>80</v>
      </c>
      <c r="AH110">
        <v>34</v>
      </c>
      <c r="AI110">
        <v>43</v>
      </c>
      <c r="AJ110">
        <v>2</v>
      </c>
      <c r="AK110">
        <v>15</v>
      </c>
      <c r="AL110" t="s">
        <v>2481</v>
      </c>
      <c r="AM110" t="s">
        <v>2482</v>
      </c>
      <c r="AN110" t="s">
        <v>2483</v>
      </c>
      <c r="AO110" t="s">
        <v>2484</v>
      </c>
      <c r="AP110" t="s">
        <v>74</v>
      </c>
      <c r="AQ110" t="s">
        <v>74</v>
      </c>
      <c r="AR110" t="s">
        <v>2485</v>
      </c>
      <c r="AS110" t="s">
        <v>2486</v>
      </c>
      <c r="AT110" t="s">
        <v>2487</v>
      </c>
      <c r="AU110">
        <v>2020</v>
      </c>
      <c r="AV110">
        <v>6</v>
      </c>
      <c r="AW110">
        <v>1</v>
      </c>
      <c r="AX110" t="s">
        <v>74</v>
      </c>
      <c r="AY110" t="s">
        <v>74</v>
      </c>
      <c r="AZ110" t="s">
        <v>74</v>
      </c>
      <c r="BA110" t="s">
        <v>74</v>
      </c>
      <c r="BB110" t="s">
        <v>74</v>
      </c>
      <c r="BC110" t="s">
        <v>74</v>
      </c>
      <c r="BD110">
        <v>1815963</v>
      </c>
      <c r="BE110" t="s">
        <v>2488</v>
      </c>
      <c r="BF110" t="str">
        <f>HYPERLINK("http://dx.doi.org/10.1080/23311886.2020.1815963","http://dx.doi.org/10.1080/23311886.2020.1815963")</f>
        <v>http://dx.doi.org/10.1080/23311886.2020.1815963</v>
      </c>
      <c r="BG110" t="s">
        <v>74</v>
      </c>
      <c r="BH110" t="s">
        <v>74</v>
      </c>
      <c r="BI110">
        <v>21</v>
      </c>
      <c r="BJ110" t="s">
        <v>364</v>
      </c>
      <c r="BK110" t="s">
        <v>313</v>
      </c>
      <c r="BL110" t="s">
        <v>365</v>
      </c>
      <c r="BM110" t="s">
        <v>2489</v>
      </c>
      <c r="BN110" t="s">
        <v>74</v>
      </c>
      <c r="BO110" t="s">
        <v>916</v>
      </c>
      <c r="BP110" t="s">
        <v>74</v>
      </c>
      <c r="BQ110" t="s">
        <v>74</v>
      </c>
      <c r="BR110" t="s">
        <v>102</v>
      </c>
      <c r="BS110" t="s">
        <v>2490</v>
      </c>
      <c r="BT110" t="str">
        <f>HYPERLINK("https%3A%2F%2Fwww.webofscience.com%2Fwos%2Fwoscc%2Ffull-record%2FWOS:000567119300001","View Full Record in Web of Science")</f>
        <v>View Full Record in Web of Science</v>
      </c>
    </row>
    <row r="111" spans="1:72" x14ac:dyDescent="0.25">
      <c r="A111" t="s">
        <v>72</v>
      </c>
      <c r="B111" t="s">
        <v>2491</v>
      </c>
      <c r="C111" t="s">
        <v>74</v>
      </c>
      <c r="D111" t="s">
        <v>74</v>
      </c>
      <c r="E111" t="s">
        <v>74</v>
      </c>
      <c r="F111" t="s">
        <v>2492</v>
      </c>
      <c r="G111" t="s">
        <v>74</v>
      </c>
      <c r="H111" t="s">
        <v>74</v>
      </c>
      <c r="I111" t="s">
        <v>2493</v>
      </c>
      <c r="J111" t="s">
        <v>2264</v>
      </c>
      <c r="K111" t="s">
        <v>74</v>
      </c>
      <c r="L111" t="s">
        <v>74</v>
      </c>
      <c r="M111" t="s">
        <v>78</v>
      </c>
      <c r="N111" t="s">
        <v>79</v>
      </c>
      <c r="O111" t="s">
        <v>74</v>
      </c>
      <c r="P111" t="s">
        <v>74</v>
      </c>
      <c r="Q111" t="s">
        <v>74</v>
      </c>
      <c r="R111" t="s">
        <v>74</v>
      </c>
      <c r="S111" t="s">
        <v>74</v>
      </c>
      <c r="T111" t="s">
        <v>2494</v>
      </c>
      <c r="U111" t="s">
        <v>2495</v>
      </c>
      <c r="V111" t="s">
        <v>2496</v>
      </c>
      <c r="W111" t="s">
        <v>2497</v>
      </c>
      <c r="X111" t="s">
        <v>2498</v>
      </c>
      <c r="Y111" t="s">
        <v>2499</v>
      </c>
      <c r="Z111" t="s">
        <v>2500</v>
      </c>
      <c r="AA111" t="s">
        <v>2271</v>
      </c>
      <c r="AB111" t="s">
        <v>2501</v>
      </c>
      <c r="AC111" t="s">
        <v>2502</v>
      </c>
      <c r="AD111" t="s">
        <v>2503</v>
      </c>
      <c r="AE111" t="s">
        <v>2504</v>
      </c>
      <c r="AF111" t="s">
        <v>74</v>
      </c>
      <c r="AG111">
        <v>108</v>
      </c>
      <c r="AH111">
        <v>326</v>
      </c>
      <c r="AI111">
        <v>412</v>
      </c>
      <c r="AJ111">
        <v>42</v>
      </c>
      <c r="AK111">
        <v>625</v>
      </c>
      <c r="AL111" t="s">
        <v>117</v>
      </c>
      <c r="AM111" t="s">
        <v>118</v>
      </c>
      <c r="AN111" t="s">
        <v>119</v>
      </c>
      <c r="AO111" t="s">
        <v>2276</v>
      </c>
      <c r="AP111" t="s">
        <v>2277</v>
      </c>
      <c r="AQ111" t="s">
        <v>74</v>
      </c>
      <c r="AR111" t="s">
        <v>2278</v>
      </c>
      <c r="AS111" t="s">
        <v>2279</v>
      </c>
      <c r="AT111" t="s">
        <v>605</v>
      </c>
      <c r="AU111">
        <v>2020</v>
      </c>
      <c r="AV111">
        <v>21</v>
      </c>
      <c r="AW111">
        <v>1</v>
      </c>
      <c r="AX111" t="s">
        <v>74</v>
      </c>
      <c r="AY111" t="s">
        <v>74</v>
      </c>
      <c r="AZ111" t="s">
        <v>74</v>
      </c>
      <c r="BA111" t="s">
        <v>74</v>
      </c>
      <c r="BB111">
        <v>7</v>
      </c>
      <c r="BC111">
        <v>35</v>
      </c>
      <c r="BD111" t="s">
        <v>74</v>
      </c>
      <c r="BE111" t="s">
        <v>2505</v>
      </c>
      <c r="BF111" t="str">
        <f>HYPERLINK("http://dx.doi.org/10.1007/s40804-020-00183-y","http://dx.doi.org/10.1007/s40804-020-00183-y")</f>
        <v>http://dx.doi.org/10.1007/s40804-020-00183-y</v>
      </c>
      <c r="BG111" t="s">
        <v>74</v>
      </c>
      <c r="BH111" t="s">
        <v>2506</v>
      </c>
      <c r="BI111">
        <v>29</v>
      </c>
      <c r="BJ111" t="s">
        <v>2281</v>
      </c>
      <c r="BK111" t="s">
        <v>99</v>
      </c>
      <c r="BL111" t="s">
        <v>2282</v>
      </c>
      <c r="BM111" t="s">
        <v>2507</v>
      </c>
      <c r="BN111" t="s">
        <v>74</v>
      </c>
      <c r="BO111" t="s">
        <v>1696</v>
      </c>
      <c r="BP111" t="s">
        <v>74</v>
      </c>
      <c r="BQ111" t="s">
        <v>74</v>
      </c>
      <c r="BR111" t="s">
        <v>102</v>
      </c>
      <c r="BS111" t="s">
        <v>2508</v>
      </c>
      <c r="BT111" t="str">
        <f>HYPERLINK("https%3A%2F%2Fwww.webofscience.com%2Fwos%2Fwoscc%2Ffull-record%2FWOS:000521725100001","View Full Record in Web of Science")</f>
        <v>View Full Record in Web of Science</v>
      </c>
    </row>
    <row r="112" spans="1:72" x14ac:dyDescent="0.25">
      <c r="A112" t="s">
        <v>72</v>
      </c>
      <c r="B112" t="s">
        <v>2509</v>
      </c>
      <c r="C112" t="s">
        <v>74</v>
      </c>
      <c r="D112" t="s">
        <v>74</v>
      </c>
      <c r="E112" t="s">
        <v>74</v>
      </c>
      <c r="F112" t="s">
        <v>2510</v>
      </c>
      <c r="G112" t="s">
        <v>74</v>
      </c>
      <c r="H112" t="s">
        <v>74</v>
      </c>
      <c r="I112" t="s">
        <v>2511</v>
      </c>
      <c r="J112" t="s">
        <v>2512</v>
      </c>
      <c r="K112" t="s">
        <v>74</v>
      </c>
      <c r="L112" t="s">
        <v>74</v>
      </c>
      <c r="M112" t="s">
        <v>78</v>
      </c>
      <c r="N112" t="s">
        <v>79</v>
      </c>
      <c r="O112" t="s">
        <v>74</v>
      </c>
      <c r="P112" t="s">
        <v>74</v>
      </c>
      <c r="Q112" t="s">
        <v>74</v>
      </c>
      <c r="R112" t="s">
        <v>74</v>
      </c>
      <c r="S112" t="s">
        <v>74</v>
      </c>
      <c r="T112" t="s">
        <v>2513</v>
      </c>
      <c r="U112" t="s">
        <v>74</v>
      </c>
      <c r="V112" t="s">
        <v>2514</v>
      </c>
      <c r="W112" t="s">
        <v>2515</v>
      </c>
      <c r="X112" t="s">
        <v>2516</v>
      </c>
      <c r="Y112" t="s">
        <v>2517</v>
      </c>
      <c r="Z112" t="s">
        <v>2518</v>
      </c>
      <c r="AA112" t="s">
        <v>74</v>
      </c>
      <c r="AB112" t="s">
        <v>74</v>
      </c>
      <c r="AC112" t="s">
        <v>74</v>
      </c>
      <c r="AD112" t="s">
        <v>74</v>
      </c>
      <c r="AE112" t="s">
        <v>74</v>
      </c>
      <c r="AF112" t="s">
        <v>74</v>
      </c>
      <c r="AG112">
        <v>41</v>
      </c>
      <c r="AH112">
        <v>13</v>
      </c>
      <c r="AI112">
        <v>17</v>
      </c>
      <c r="AJ112">
        <v>17</v>
      </c>
      <c r="AK112">
        <v>37</v>
      </c>
      <c r="AL112" t="s">
        <v>201</v>
      </c>
      <c r="AM112" t="s">
        <v>202</v>
      </c>
      <c r="AN112" t="s">
        <v>203</v>
      </c>
      <c r="AO112" t="s">
        <v>2519</v>
      </c>
      <c r="AP112" t="s">
        <v>2520</v>
      </c>
      <c r="AQ112" t="s">
        <v>74</v>
      </c>
      <c r="AR112" t="s">
        <v>2521</v>
      </c>
      <c r="AS112" t="s">
        <v>2522</v>
      </c>
      <c r="AT112" t="s">
        <v>698</v>
      </c>
      <c r="AU112">
        <v>2024</v>
      </c>
      <c r="AV112">
        <v>81</v>
      </c>
      <c r="AW112" t="s">
        <v>74</v>
      </c>
      <c r="AX112" t="s">
        <v>74</v>
      </c>
      <c r="AY112" t="s">
        <v>74</v>
      </c>
      <c r="AZ112" t="s">
        <v>74</v>
      </c>
      <c r="BA112" t="s">
        <v>74</v>
      </c>
      <c r="BB112" t="s">
        <v>74</v>
      </c>
      <c r="BC112" t="s">
        <v>74</v>
      </c>
      <c r="BD112">
        <v>103620</v>
      </c>
      <c r="BE112" t="s">
        <v>2523</v>
      </c>
      <c r="BF112" t="str">
        <f>HYPERLINK("http://dx.doi.org/10.1016/j.jmacro.2024.103620","http://dx.doi.org/10.1016/j.jmacro.2024.103620")</f>
        <v>http://dx.doi.org/10.1016/j.jmacro.2024.103620</v>
      </c>
      <c r="BG112" t="s">
        <v>74</v>
      </c>
      <c r="BH112" t="s">
        <v>2524</v>
      </c>
      <c r="BI112">
        <v>18</v>
      </c>
      <c r="BJ112" t="s">
        <v>291</v>
      </c>
      <c r="BK112" t="s">
        <v>99</v>
      </c>
      <c r="BL112" t="s">
        <v>100</v>
      </c>
      <c r="BM112" t="s">
        <v>2525</v>
      </c>
      <c r="BN112" t="s">
        <v>74</v>
      </c>
      <c r="BO112" t="s">
        <v>74</v>
      </c>
      <c r="BP112" t="s">
        <v>74</v>
      </c>
      <c r="BQ112" t="s">
        <v>74</v>
      </c>
      <c r="BR112" t="s">
        <v>102</v>
      </c>
      <c r="BS112" t="s">
        <v>2526</v>
      </c>
      <c r="BT112" t="str">
        <f>HYPERLINK("https%3A%2F%2Fwww.webofscience.com%2Fwos%2Fwoscc%2Ffull-record%2FWOS:001267977300001","View Full Record in Web of Science")</f>
        <v>View Full Record in Web of Science</v>
      </c>
    </row>
    <row r="113" spans="1:72" x14ac:dyDescent="0.25">
      <c r="A113" t="s">
        <v>72</v>
      </c>
      <c r="B113" t="s">
        <v>2527</v>
      </c>
      <c r="C113" t="s">
        <v>74</v>
      </c>
      <c r="D113" t="s">
        <v>74</v>
      </c>
      <c r="E113" t="s">
        <v>74</v>
      </c>
      <c r="F113" t="s">
        <v>2528</v>
      </c>
      <c r="G113" t="s">
        <v>74</v>
      </c>
      <c r="H113" t="s">
        <v>74</v>
      </c>
      <c r="I113" t="s">
        <v>2529</v>
      </c>
      <c r="J113" t="s">
        <v>1921</v>
      </c>
      <c r="K113" t="s">
        <v>74</v>
      </c>
      <c r="L113" t="s">
        <v>74</v>
      </c>
      <c r="M113" t="s">
        <v>78</v>
      </c>
      <c r="N113" t="s">
        <v>79</v>
      </c>
      <c r="O113" t="s">
        <v>74</v>
      </c>
      <c r="P113" t="s">
        <v>74</v>
      </c>
      <c r="Q113" t="s">
        <v>74</v>
      </c>
      <c r="R113" t="s">
        <v>74</v>
      </c>
      <c r="S113" t="s">
        <v>74</v>
      </c>
      <c r="T113" t="s">
        <v>2530</v>
      </c>
      <c r="U113" t="s">
        <v>2531</v>
      </c>
      <c r="V113" t="s">
        <v>2532</v>
      </c>
      <c r="W113" t="s">
        <v>2533</v>
      </c>
      <c r="X113" t="s">
        <v>2534</v>
      </c>
      <c r="Y113" t="s">
        <v>2535</v>
      </c>
      <c r="Z113" t="s">
        <v>2536</v>
      </c>
      <c r="AA113" t="s">
        <v>74</v>
      </c>
      <c r="AB113" t="s">
        <v>74</v>
      </c>
      <c r="AC113" t="s">
        <v>74</v>
      </c>
      <c r="AD113" t="s">
        <v>74</v>
      </c>
      <c r="AE113" t="s">
        <v>74</v>
      </c>
      <c r="AF113" t="s">
        <v>74</v>
      </c>
      <c r="AG113">
        <v>137</v>
      </c>
      <c r="AH113">
        <v>2</v>
      </c>
      <c r="AI113">
        <v>2</v>
      </c>
      <c r="AJ113">
        <v>6</v>
      </c>
      <c r="AK113">
        <v>14</v>
      </c>
      <c r="AL113" t="s">
        <v>503</v>
      </c>
      <c r="AM113" t="s">
        <v>151</v>
      </c>
      <c r="AN113" t="s">
        <v>504</v>
      </c>
      <c r="AO113" t="s">
        <v>1930</v>
      </c>
      <c r="AP113" t="s">
        <v>74</v>
      </c>
      <c r="AQ113" t="s">
        <v>74</v>
      </c>
      <c r="AR113" t="s">
        <v>1931</v>
      </c>
      <c r="AS113" t="s">
        <v>1932</v>
      </c>
      <c r="AT113" t="s">
        <v>2537</v>
      </c>
      <c r="AU113">
        <v>2025</v>
      </c>
      <c r="AV113">
        <v>133</v>
      </c>
      <c r="AW113" t="s">
        <v>74</v>
      </c>
      <c r="AX113" t="s">
        <v>74</v>
      </c>
      <c r="AY113" t="s">
        <v>74</v>
      </c>
      <c r="AZ113" t="s">
        <v>74</v>
      </c>
      <c r="BA113" t="s">
        <v>74</v>
      </c>
      <c r="BB113" t="s">
        <v>74</v>
      </c>
      <c r="BC113" t="s">
        <v>74</v>
      </c>
      <c r="BD113">
        <v>106233</v>
      </c>
      <c r="BE113" t="s">
        <v>2538</v>
      </c>
      <c r="BF113" t="str">
        <f>HYPERLINK("http://dx.doi.org/10.1016/j.jeconbus.2025.106233","http://dx.doi.org/10.1016/j.jeconbus.2025.106233")</f>
        <v>http://dx.doi.org/10.1016/j.jeconbus.2025.106233</v>
      </c>
      <c r="BG113" t="s">
        <v>74</v>
      </c>
      <c r="BH113" t="s">
        <v>417</v>
      </c>
      <c r="BI113">
        <v>19</v>
      </c>
      <c r="BJ113" t="s">
        <v>268</v>
      </c>
      <c r="BK113" t="s">
        <v>313</v>
      </c>
      <c r="BL113" t="s">
        <v>100</v>
      </c>
      <c r="BM113" t="s">
        <v>2539</v>
      </c>
      <c r="BN113" t="s">
        <v>74</v>
      </c>
      <c r="BO113" t="s">
        <v>74</v>
      </c>
      <c r="BP113" t="s">
        <v>74</v>
      </c>
      <c r="BQ113" t="s">
        <v>74</v>
      </c>
      <c r="BR113" t="s">
        <v>102</v>
      </c>
      <c r="BS113" t="s">
        <v>2540</v>
      </c>
      <c r="BT113" t="str">
        <f>HYPERLINK("https%3A%2F%2Fwww.webofscience.com%2Fwos%2Fwoscc%2Ffull-record%2FWOS:001430803400001","View Full Record in Web of Science")</f>
        <v>View Full Record in Web of Science</v>
      </c>
    </row>
    <row r="114" spans="1:72" x14ac:dyDescent="0.25">
      <c r="A114" t="s">
        <v>72</v>
      </c>
      <c r="B114" t="s">
        <v>2541</v>
      </c>
      <c r="C114" t="s">
        <v>74</v>
      </c>
      <c r="D114" t="s">
        <v>74</v>
      </c>
      <c r="E114" t="s">
        <v>74</v>
      </c>
      <c r="F114" t="s">
        <v>2542</v>
      </c>
      <c r="G114" t="s">
        <v>74</v>
      </c>
      <c r="H114" t="s">
        <v>74</v>
      </c>
      <c r="I114" t="s">
        <v>2543</v>
      </c>
      <c r="J114" t="s">
        <v>2544</v>
      </c>
      <c r="K114" t="s">
        <v>74</v>
      </c>
      <c r="L114" t="s">
        <v>74</v>
      </c>
      <c r="M114" t="s">
        <v>78</v>
      </c>
      <c r="N114" t="s">
        <v>79</v>
      </c>
      <c r="O114" t="s">
        <v>74</v>
      </c>
      <c r="P114" t="s">
        <v>74</v>
      </c>
      <c r="Q114" t="s">
        <v>74</v>
      </c>
      <c r="R114" t="s">
        <v>74</v>
      </c>
      <c r="S114" t="s">
        <v>74</v>
      </c>
      <c r="T114" t="s">
        <v>74</v>
      </c>
      <c r="U114" t="s">
        <v>74</v>
      </c>
      <c r="V114" t="s">
        <v>2545</v>
      </c>
      <c r="W114" t="s">
        <v>2546</v>
      </c>
      <c r="X114" t="s">
        <v>2547</v>
      </c>
      <c r="Y114" t="s">
        <v>2548</v>
      </c>
      <c r="Z114" t="s">
        <v>74</v>
      </c>
      <c r="AA114" t="s">
        <v>2549</v>
      </c>
      <c r="AB114" t="s">
        <v>2550</v>
      </c>
      <c r="AC114" t="s">
        <v>74</v>
      </c>
      <c r="AD114" t="s">
        <v>74</v>
      </c>
      <c r="AE114" t="s">
        <v>74</v>
      </c>
      <c r="AF114" t="s">
        <v>74</v>
      </c>
      <c r="AG114">
        <v>85</v>
      </c>
      <c r="AH114">
        <v>6</v>
      </c>
      <c r="AI114">
        <v>18</v>
      </c>
      <c r="AJ114">
        <v>6</v>
      </c>
      <c r="AK114">
        <v>30</v>
      </c>
      <c r="AL114" t="s">
        <v>2551</v>
      </c>
      <c r="AM114" t="s">
        <v>231</v>
      </c>
      <c r="AN114" t="s">
        <v>2552</v>
      </c>
      <c r="AO114" t="s">
        <v>2553</v>
      </c>
      <c r="AP114" t="s">
        <v>2554</v>
      </c>
      <c r="AQ114" t="s">
        <v>74</v>
      </c>
      <c r="AR114" t="s">
        <v>2555</v>
      </c>
      <c r="AS114" t="s">
        <v>2556</v>
      </c>
      <c r="AT114" t="s">
        <v>2557</v>
      </c>
      <c r="AU114">
        <v>2023</v>
      </c>
      <c r="AV114">
        <v>19</v>
      </c>
      <c r="AW114">
        <v>1</v>
      </c>
      <c r="AX114" t="s">
        <v>74</v>
      </c>
      <c r="AY114" t="s">
        <v>74</v>
      </c>
      <c r="AZ114" t="s">
        <v>74</v>
      </c>
      <c r="BA114" t="s">
        <v>74</v>
      </c>
      <c r="BB114">
        <v>75</v>
      </c>
      <c r="BC114">
        <v>102</v>
      </c>
      <c r="BD114" t="s">
        <v>74</v>
      </c>
      <c r="BE114" t="s">
        <v>2558</v>
      </c>
      <c r="BF114" t="str">
        <f>HYPERLINK("http://dx.doi.org/10.1093/joclec/nhac010","http://dx.doi.org/10.1093/joclec/nhac010")</f>
        <v>http://dx.doi.org/10.1093/joclec/nhac010</v>
      </c>
      <c r="BG114" t="s">
        <v>74</v>
      </c>
      <c r="BH114" t="s">
        <v>2328</v>
      </c>
      <c r="BI114">
        <v>28</v>
      </c>
      <c r="BJ114" t="s">
        <v>2559</v>
      </c>
      <c r="BK114" t="s">
        <v>99</v>
      </c>
      <c r="BL114" t="s">
        <v>2282</v>
      </c>
      <c r="BM114" t="s">
        <v>2560</v>
      </c>
      <c r="BN114" t="s">
        <v>74</v>
      </c>
      <c r="BO114" t="s">
        <v>74</v>
      </c>
      <c r="BP114" t="s">
        <v>74</v>
      </c>
      <c r="BQ114" t="s">
        <v>74</v>
      </c>
      <c r="BR114" t="s">
        <v>102</v>
      </c>
      <c r="BS114" t="s">
        <v>2561</v>
      </c>
      <c r="BT114" t="str">
        <f>HYPERLINK("https%3A%2F%2Fwww.webofscience.com%2Fwos%2Fwoscc%2Ffull-record%2FWOS:000840359200001","View Full Record in Web of Science")</f>
        <v>View Full Record in Web of Science</v>
      </c>
    </row>
    <row r="115" spans="1:72" x14ac:dyDescent="0.25">
      <c r="A115" t="s">
        <v>72</v>
      </c>
      <c r="B115" t="s">
        <v>2562</v>
      </c>
      <c r="C115" t="s">
        <v>74</v>
      </c>
      <c r="D115" t="s">
        <v>74</v>
      </c>
      <c r="E115" t="s">
        <v>74</v>
      </c>
      <c r="F115" t="s">
        <v>2563</v>
      </c>
      <c r="G115" t="s">
        <v>74</v>
      </c>
      <c r="H115" t="s">
        <v>74</v>
      </c>
      <c r="I115" t="s">
        <v>2564</v>
      </c>
      <c r="J115" t="s">
        <v>2565</v>
      </c>
      <c r="K115" t="s">
        <v>74</v>
      </c>
      <c r="L115" t="s">
        <v>74</v>
      </c>
      <c r="M115" t="s">
        <v>78</v>
      </c>
      <c r="N115" t="s">
        <v>79</v>
      </c>
      <c r="O115" t="s">
        <v>74</v>
      </c>
      <c r="P115" t="s">
        <v>74</v>
      </c>
      <c r="Q115" t="s">
        <v>74</v>
      </c>
      <c r="R115" t="s">
        <v>74</v>
      </c>
      <c r="S115" t="s">
        <v>74</v>
      </c>
      <c r="T115" t="s">
        <v>2566</v>
      </c>
      <c r="U115" t="s">
        <v>74</v>
      </c>
      <c r="V115" t="s">
        <v>2567</v>
      </c>
      <c r="W115" t="s">
        <v>2568</v>
      </c>
      <c r="X115" t="s">
        <v>2569</v>
      </c>
      <c r="Y115" t="s">
        <v>2570</v>
      </c>
      <c r="Z115" t="s">
        <v>2571</v>
      </c>
      <c r="AA115" t="s">
        <v>74</v>
      </c>
      <c r="AB115" t="s">
        <v>2572</v>
      </c>
      <c r="AC115" t="s">
        <v>74</v>
      </c>
      <c r="AD115" t="s">
        <v>74</v>
      </c>
      <c r="AE115" t="s">
        <v>74</v>
      </c>
      <c r="AF115" t="s">
        <v>74</v>
      </c>
      <c r="AG115">
        <v>116</v>
      </c>
      <c r="AH115">
        <v>2</v>
      </c>
      <c r="AI115">
        <v>2</v>
      </c>
      <c r="AJ115">
        <v>3</v>
      </c>
      <c r="AK115">
        <v>7</v>
      </c>
      <c r="AL115" t="s">
        <v>2573</v>
      </c>
      <c r="AM115" t="s">
        <v>2574</v>
      </c>
      <c r="AN115" t="s">
        <v>2575</v>
      </c>
      <c r="AO115" t="s">
        <v>2576</v>
      </c>
      <c r="AP115" t="s">
        <v>74</v>
      </c>
      <c r="AQ115" t="s">
        <v>74</v>
      </c>
      <c r="AR115" t="s">
        <v>2577</v>
      </c>
      <c r="AS115" t="s">
        <v>2578</v>
      </c>
      <c r="AT115" t="s">
        <v>74</v>
      </c>
      <c r="AU115">
        <v>2024</v>
      </c>
      <c r="AV115">
        <v>29</v>
      </c>
      <c r="AW115" t="s">
        <v>74</v>
      </c>
      <c r="AX115" t="s">
        <v>74</v>
      </c>
      <c r="AY115" t="s">
        <v>74</v>
      </c>
      <c r="AZ115" t="s">
        <v>74</v>
      </c>
      <c r="BA115" t="s">
        <v>74</v>
      </c>
      <c r="BB115">
        <v>935</v>
      </c>
      <c r="BC115">
        <v>975</v>
      </c>
      <c r="BD115" t="s">
        <v>74</v>
      </c>
      <c r="BE115" t="s">
        <v>2579</v>
      </c>
      <c r="BF115" t="str">
        <f>HYPERLINK("http://dx.doi.org/10.36680/j.itcon.2024.041","http://dx.doi.org/10.36680/j.itcon.2024.041")</f>
        <v>http://dx.doi.org/10.36680/j.itcon.2024.041</v>
      </c>
      <c r="BG115" t="s">
        <v>74</v>
      </c>
      <c r="BH115" t="s">
        <v>74</v>
      </c>
      <c r="BI115">
        <v>41</v>
      </c>
      <c r="BJ115" t="s">
        <v>2580</v>
      </c>
      <c r="BK115" t="s">
        <v>313</v>
      </c>
      <c r="BL115" t="s">
        <v>2581</v>
      </c>
      <c r="BM115" t="s">
        <v>2582</v>
      </c>
      <c r="BN115" t="s">
        <v>74</v>
      </c>
      <c r="BO115" t="s">
        <v>212</v>
      </c>
      <c r="BP115" t="s">
        <v>74</v>
      </c>
      <c r="BQ115" t="s">
        <v>74</v>
      </c>
      <c r="BR115" t="s">
        <v>102</v>
      </c>
      <c r="BS115" t="s">
        <v>2583</v>
      </c>
      <c r="BT115" t="str">
        <f>HYPERLINK("https%3A%2F%2Fwww.webofscience.com%2Fwos%2Fwoscc%2Ffull-record%2FWOS:001400547800001","View Full Record in Web of Science")</f>
        <v>View Full Record in Web of Science</v>
      </c>
    </row>
    <row r="116" spans="1:72" x14ac:dyDescent="0.25">
      <c r="A116" t="s">
        <v>72</v>
      </c>
      <c r="B116" t="s">
        <v>2584</v>
      </c>
      <c r="C116" t="s">
        <v>74</v>
      </c>
      <c r="D116" t="s">
        <v>74</v>
      </c>
      <c r="E116" t="s">
        <v>74</v>
      </c>
      <c r="F116" t="s">
        <v>2585</v>
      </c>
      <c r="G116" t="s">
        <v>74</v>
      </c>
      <c r="H116" t="s">
        <v>74</v>
      </c>
      <c r="I116" t="s">
        <v>2586</v>
      </c>
      <c r="J116" t="s">
        <v>2587</v>
      </c>
      <c r="K116" t="s">
        <v>74</v>
      </c>
      <c r="L116" t="s">
        <v>74</v>
      </c>
      <c r="M116" t="s">
        <v>78</v>
      </c>
      <c r="N116" t="s">
        <v>79</v>
      </c>
      <c r="O116" t="s">
        <v>74</v>
      </c>
      <c r="P116" t="s">
        <v>74</v>
      </c>
      <c r="Q116" t="s">
        <v>74</v>
      </c>
      <c r="R116" t="s">
        <v>74</v>
      </c>
      <c r="S116" t="s">
        <v>74</v>
      </c>
      <c r="T116" t="s">
        <v>2588</v>
      </c>
      <c r="U116" t="s">
        <v>2589</v>
      </c>
      <c r="V116" t="s">
        <v>2590</v>
      </c>
      <c r="W116" t="s">
        <v>2591</v>
      </c>
      <c r="X116" t="s">
        <v>2592</v>
      </c>
      <c r="Y116" t="s">
        <v>2593</v>
      </c>
      <c r="Z116" t="s">
        <v>2594</v>
      </c>
      <c r="AA116" t="s">
        <v>2595</v>
      </c>
      <c r="AB116" t="s">
        <v>2596</v>
      </c>
      <c r="AC116" t="s">
        <v>74</v>
      </c>
      <c r="AD116" t="s">
        <v>74</v>
      </c>
      <c r="AE116" t="s">
        <v>74</v>
      </c>
      <c r="AF116" t="s">
        <v>74</v>
      </c>
      <c r="AG116">
        <v>88</v>
      </c>
      <c r="AH116">
        <v>39</v>
      </c>
      <c r="AI116">
        <v>53</v>
      </c>
      <c r="AJ116">
        <v>10</v>
      </c>
      <c r="AK116">
        <v>150</v>
      </c>
      <c r="AL116" t="s">
        <v>2597</v>
      </c>
      <c r="AM116" t="s">
        <v>2598</v>
      </c>
      <c r="AN116" t="s">
        <v>2599</v>
      </c>
      <c r="AO116" t="s">
        <v>2600</v>
      </c>
      <c r="AP116" t="s">
        <v>2601</v>
      </c>
      <c r="AQ116" t="s">
        <v>74</v>
      </c>
      <c r="AR116" t="s">
        <v>2602</v>
      </c>
      <c r="AS116" t="s">
        <v>2603</v>
      </c>
      <c r="AT116" t="s">
        <v>1652</v>
      </c>
      <c r="AU116">
        <v>2020</v>
      </c>
      <c r="AV116">
        <v>47</v>
      </c>
      <c r="AW116">
        <v>1</v>
      </c>
      <c r="AX116" t="s">
        <v>74</v>
      </c>
      <c r="AY116" t="s">
        <v>74</v>
      </c>
      <c r="AZ116" t="s">
        <v>74</v>
      </c>
      <c r="BA116" t="s">
        <v>74</v>
      </c>
      <c r="BB116">
        <v>1</v>
      </c>
      <c r="BC116">
        <v>24</v>
      </c>
      <c r="BD116" t="s">
        <v>74</v>
      </c>
      <c r="BE116" t="s">
        <v>2604</v>
      </c>
      <c r="BF116" t="str">
        <f>HYPERLINK("http://dx.doi.org/10.1093/jcr/ucz052","http://dx.doi.org/10.1093/jcr/ucz052")</f>
        <v>http://dx.doi.org/10.1093/jcr/ucz052</v>
      </c>
      <c r="BG116" t="s">
        <v>74</v>
      </c>
      <c r="BH116" t="s">
        <v>74</v>
      </c>
      <c r="BI116">
        <v>24</v>
      </c>
      <c r="BJ116" t="s">
        <v>418</v>
      </c>
      <c r="BK116" t="s">
        <v>99</v>
      </c>
      <c r="BL116" t="s">
        <v>100</v>
      </c>
      <c r="BM116" t="s">
        <v>2605</v>
      </c>
      <c r="BN116" t="s">
        <v>74</v>
      </c>
      <c r="BO116" t="s">
        <v>1205</v>
      </c>
      <c r="BP116" t="s">
        <v>74</v>
      </c>
      <c r="BQ116" t="s">
        <v>74</v>
      </c>
      <c r="BR116" t="s">
        <v>102</v>
      </c>
      <c r="BS116" t="s">
        <v>2606</v>
      </c>
      <c r="BT116" t="str">
        <f>HYPERLINK("https%3A%2F%2Fwww.webofscience.com%2Fwos%2Fwoscc%2Ffull-record%2FWOS:000544020000001","View Full Record in Web of Science")</f>
        <v>View Full Record in Web of Science</v>
      </c>
    </row>
    <row r="117" spans="1:72" x14ac:dyDescent="0.25">
      <c r="A117" t="s">
        <v>72</v>
      </c>
      <c r="B117" t="s">
        <v>2607</v>
      </c>
      <c r="C117" t="s">
        <v>74</v>
      </c>
      <c r="D117" t="s">
        <v>74</v>
      </c>
      <c r="E117" t="s">
        <v>74</v>
      </c>
      <c r="F117" t="s">
        <v>2608</v>
      </c>
      <c r="G117" t="s">
        <v>74</v>
      </c>
      <c r="H117" t="s">
        <v>74</v>
      </c>
      <c r="I117" t="s">
        <v>2609</v>
      </c>
      <c r="J117" t="s">
        <v>2610</v>
      </c>
      <c r="K117" t="s">
        <v>74</v>
      </c>
      <c r="L117" t="s">
        <v>74</v>
      </c>
      <c r="M117" t="s">
        <v>78</v>
      </c>
      <c r="N117" t="s">
        <v>79</v>
      </c>
      <c r="O117" t="s">
        <v>74</v>
      </c>
      <c r="P117" t="s">
        <v>74</v>
      </c>
      <c r="Q117" t="s">
        <v>74</v>
      </c>
      <c r="R117" t="s">
        <v>74</v>
      </c>
      <c r="S117" t="s">
        <v>74</v>
      </c>
      <c r="T117" t="s">
        <v>2611</v>
      </c>
      <c r="U117" t="s">
        <v>1765</v>
      </c>
      <c r="V117" t="s">
        <v>2612</v>
      </c>
      <c r="W117" t="s">
        <v>2613</v>
      </c>
      <c r="X117" t="s">
        <v>147</v>
      </c>
      <c r="Y117" t="s">
        <v>2614</v>
      </c>
      <c r="Z117" t="s">
        <v>2615</v>
      </c>
      <c r="AA117" t="s">
        <v>74</v>
      </c>
      <c r="AB117" t="s">
        <v>74</v>
      </c>
      <c r="AC117" t="s">
        <v>74</v>
      </c>
      <c r="AD117" t="s">
        <v>74</v>
      </c>
      <c r="AE117" t="s">
        <v>74</v>
      </c>
      <c r="AF117" t="s">
        <v>74</v>
      </c>
      <c r="AG117">
        <v>42</v>
      </c>
      <c r="AH117">
        <v>11</v>
      </c>
      <c r="AI117">
        <v>13</v>
      </c>
      <c r="AJ117">
        <v>0</v>
      </c>
      <c r="AK117">
        <v>9</v>
      </c>
      <c r="AL117" t="s">
        <v>385</v>
      </c>
      <c r="AM117" t="s">
        <v>1153</v>
      </c>
      <c r="AN117" t="s">
        <v>1154</v>
      </c>
      <c r="AO117" t="s">
        <v>2616</v>
      </c>
      <c r="AP117" t="s">
        <v>2617</v>
      </c>
      <c r="AQ117" t="s">
        <v>74</v>
      </c>
      <c r="AR117" t="s">
        <v>2618</v>
      </c>
      <c r="AS117" t="s">
        <v>2619</v>
      </c>
      <c r="AT117" t="s">
        <v>1652</v>
      </c>
      <c r="AU117">
        <v>2020</v>
      </c>
      <c r="AV117">
        <v>29</v>
      </c>
      <c r="AW117">
        <v>3</v>
      </c>
      <c r="AX117" t="s">
        <v>74</v>
      </c>
      <c r="AY117" t="s">
        <v>74</v>
      </c>
      <c r="AZ117" t="s">
        <v>74</v>
      </c>
      <c r="BA117" t="s">
        <v>74</v>
      </c>
      <c r="BB117">
        <v>227</v>
      </c>
      <c r="BC117">
        <v>261</v>
      </c>
      <c r="BD117" t="s">
        <v>74</v>
      </c>
      <c r="BE117" t="s">
        <v>2620</v>
      </c>
      <c r="BF117" t="str">
        <f>HYPERLINK("http://dx.doi.org/10.1007/s10606-020-09373-1","http://dx.doi.org/10.1007/s10606-020-09373-1")</f>
        <v>http://dx.doi.org/10.1007/s10606-020-09373-1</v>
      </c>
      <c r="BG117" t="s">
        <v>74</v>
      </c>
      <c r="BH117" t="s">
        <v>2621</v>
      </c>
      <c r="BI117">
        <v>35</v>
      </c>
      <c r="BJ117" t="s">
        <v>2622</v>
      </c>
      <c r="BK117" t="s">
        <v>2623</v>
      </c>
      <c r="BL117" t="s">
        <v>157</v>
      </c>
      <c r="BM117" t="s">
        <v>2624</v>
      </c>
      <c r="BN117" t="s">
        <v>74</v>
      </c>
      <c r="BO117" t="s">
        <v>74</v>
      </c>
      <c r="BP117" t="s">
        <v>74</v>
      </c>
      <c r="BQ117" t="s">
        <v>74</v>
      </c>
      <c r="BR117" t="s">
        <v>102</v>
      </c>
      <c r="BS117" t="s">
        <v>2625</v>
      </c>
      <c r="BT117" t="str">
        <f>HYPERLINK("https%3A%2F%2Fwww.webofscience.com%2Fwos%2Fwoscc%2Ffull-record%2FWOS:000516397100001","View Full Record in Web of Science")</f>
        <v>View Full Record in Web of Science</v>
      </c>
    </row>
    <row r="118" spans="1:72" x14ac:dyDescent="0.25">
      <c r="A118" t="s">
        <v>72</v>
      </c>
      <c r="B118" t="s">
        <v>2626</v>
      </c>
      <c r="C118" t="s">
        <v>74</v>
      </c>
      <c r="D118" t="s">
        <v>74</v>
      </c>
      <c r="E118" t="s">
        <v>74</v>
      </c>
      <c r="F118" t="s">
        <v>2627</v>
      </c>
      <c r="G118" t="s">
        <v>74</v>
      </c>
      <c r="H118" t="s">
        <v>74</v>
      </c>
      <c r="I118" t="s">
        <v>2628</v>
      </c>
      <c r="J118" t="s">
        <v>2629</v>
      </c>
      <c r="K118" t="s">
        <v>74</v>
      </c>
      <c r="L118" t="s">
        <v>74</v>
      </c>
      <c r="M118" t="s">
        <v>78</v>
      </c>
      <c r="N118" t="s">
        <v>79</v>
      </c>
      <c r="O118" t="s">
        <v>74</v>
      </c>
      <c r="P118" t="s">
        <v>74</v>
      </c>
      <c r="Q118" t="s">
        <v>74</v>
      </c>
      <c r="R118" t="s">
        <v>74</v>
      </c>
      <c r="S118" t="s">
        <v>74</v>
      </c>
      <c r="T118" t="s">
        <v>2630</v>
      </c>
      <c r="U118" t="s">
        <v>74</v>
      </c>
      <c r="V118" t="s">
        <v>2631</v>
      </c>
      <c r="W118" t="s">
        <v>2632</v>
      </c>
      <c r="X118" t="s">
        <v>2633</v>
      </c>
      <c r="Y118" t="s">
        <v>2634</v>
      </c>
      <c r="Z118" t="s">
        <v>2635</v>
      </c>
      <c r="AA118" t="s">
        <v>2636</v>
      </c>
      <c r="AB118" t="s">
        <v>2637</v>
      </c>
      <c r="AC118" t="s">
        <v>2638</v>
      </c>
      <c r="AD118" t="s">
        <v>2639</v>
      </c>
      <c r="AE118" t="s">
        <v>2640</v>
      </c>
      <c r="AF118" t="s">
        <v>74</v>
      </c>
      <c r="AG118">
        <v>24</v>
      </c>
      <c r="AH118">
        <v>14</v>
      </c>
      <c r="AI118">
        <v>17</v>
      </c>
      <c r="AJ118">
        <v>1</v>
      </c>
      <c r="AK118">
        <v>56</v>
      </c>
      <c r="AL118" t="s">
        <v>2641</v>
      </c>
      <c r="AM118" t="s">
        <v>995</v>
      </c>
      <c r="AN118" t="s">
        <v>2642</v>
      </c>
      <c r="AO118" t="s">
        <v>2643</v>
      </c>
      <c r="AP118" t="s">
        <v>74</v>
      </c>
      <c r="AQ118" t="s">
        <v>74</v>
      </c>
      <c r="AR118" t="s">
        <v>2644</v>
      </c>
      <c r="AS118" t="s">
        <v>2645</v>
      </c>
      <c r="AT118" t="s">
        <v>289</v>
      </c>
      <c r="AU118">
        <v>2012</v>
      </c>
      <c r="AV118">
        <v>16</v>
      </c>
      <c r="AW118">
        <v>6</v>
      </c>
      <c r="AX118" t="s">
        <v>74</v>
      </c>
      <c r="AY118" t="s">
        <v>74</v>
      </c>
      <c r="AZ118" t="s">
        <v>441</v>
      </c>
      <c r="BA118" t="s">
        <v>74</v>
      </c>
      <c r="BB118">
        <v>643</v>
      </c>
      <c r="BC118">
        <v>654</v>
      </c>
      <c r="BD118" t="s">
        <v>74</v>
      </c>
      <c r="BE118" t="s">
        <v>2646</v>
      </c>
      <c r="BF118" t="str">
        <f>HYPERLINK("http://dx.doi.org/10.1007/s00779-011-0436-7","http://dx.doi.org/10.1007/s00779-011-0436-7")</f>
        <v>http://dx.doi.org/10.1007/s00779-011-0436-7</v>
      </c>
      <c r="BG118" t="s">
        <v>74</v>
      </c>
      <c r="BH118" t="s">
        <v>74</v>
      </c>
      <c r="BI118">
        <v>12</v>
      </c>
      <c r="BJ118" t="s">
        <v>2647</v>
      </c>
      <c r="BK118" t="s">
        <v>128</v>
      </c>
      <c r="BL118" t="s">
        <v>2648</v>
      </c>
      <c r="BM118" t="s">
        <v>2649</v>
      </c>
      <c r="BN118" t="s">
        <v>74</v>
      </c>
      <c r="BO118" t="s">
        <v>74</v>
      </c>
      <c r="BP118" t="s">
        <v>74</v>
      </c>
      <c r="BQ118" t="s">
        <v>74</v>
      </c>
      <c r="BR118" t="s">
        <v>102</v>
      </c>
      <c r="BS118" t="s">
        <v>2650</v>
      </c>
      <c r="BT118" t="str">
        <f>HYPERLINK("https%3A%2F%2Fwww.webofscience.com%2Fwos%2Fwoscc%2Ffull-record%2FWOS:000306826800005","View Full Record in Web of Science")</f>
        <v>View Full Record in Web of Science</v>
      </c>
    </row>
    <row r="119" spans="1:72" x14ac:dyDescent="0.25">
      <c r="A119" t="s">
        <v>72</v>
      </c>
      <c r="B119" t="s">
        <v>2651</v>
      </c>
      <c r="C119" t="s">
        <v>74</v>
      </c>
      <c r="D119" t="s">
        <v>74</v>
      </c>
      <c r="E119" t="s">
        <v>74</v>
      </c>
      <c r="F119" t="s">
        <v>2652</v>
      </c>
      <c r="G119" t="s">
        <v>74</v>
      </c>
      <c r="H119" t="s">
        <v>74</v>
      </c>
      <c r="I119" t="s">
        <v>2653</v>
      </c>
      <c r="J119" t="s">
        <v>2654</v>
      </c>
      <c r="K119" t="s">
        <v>74</v>
      </c>
      <c r="L119" t="s">
        <v>74</v>
      </c>
      <c r="M119" t="s">
        <v>78</v>
      </c>
      <c r="N119" t="s">
        <v>79</v>
      </c>
      <c r="O119" t="s">
        <v>74</v>
      </c>
      <c r="P119" t="s">
        <v>74</v>
      </c>
      <c r="Q119" t="s">
        <v>74</v>
      </c>
      <c r="R119" t="s">
        <v>74</v>
      </c>
      <c r="S119" t="s">
        <v>74</v>
      </c>
      <c r="T119" t="s">
        <v>74</v>
      </c>
      <c r="U119" t="s">
        <v>2655</v>
      </c>
      <c r="V119" t="s">
        <v>2656</v>
      </c>
      <c r="W119" t="s">
        <v>2657</v>
      </c>
      <c r="X119" t="s">
        <v>2658</v>
      </c>
      <c r="Y119" t="s">
        <v>2659</v>
      </c>
      <c r="Z119" t="s">
        <v>74</v>
      </c>
      <c r="AA119" t="s">
        <v>74</v>
      </c>
      <c r="AB119" t="s">
        <v>74</v>
      </c>
      <c r="AC119" t="s">
        <v>74</v>
      </c>
      <c r="AD119" t="s">
        <v>74</v>
      </c>
      <c r="AE119" t="s">
        <v>74</v>
      </c>
      <c r="AF119" t="s">
        <v>74</v>
      </c>
      <c r="AG119">
        <v>266</v>
      </c>
      <c r="AH119">
        <v>33</v>
      </c>
      <c r="AI119">
        <v>39</v>
      </c>
      <c r="AJ119">
        <v>0</v>
      </c>
      <c r="AK119">
        <v>25</v>
      </c>
      <c r="AL119" t="s">
        <v>2660</v>
      </c>
      <c r="AM119" t="s">
        <v>2661</v>
      </c>
      <c r="AN119" t="s">
        <v>2662</v>
      </c>
      <c r="AO119" t="s">
        <v>2663</v>
      </c>
      <c r="AP119" t="s">
        <v>74</v>
      </c>
      <c r="AQ119" t="s">
        <v>74</v>
      </c>
      <c r="AR119" t="s">
        <v>2664</v>
      </c>
      <c r="AS119" t="s">
        <v>2665</v>
      </c>
      <c r="AT119" t="s">
        <v>208</v>
      </c>
      <c r="AU119">
        <v>2021</v>
      </c>
      <c r="AV119">
        <v>89</v>
      </c>
      <c r="AW119">
        <v>1</v>
      </c>
      <c r="AX119" t="s">
        <v>74</v>
      </c>
      <c r="AY119" t="s">
        <v>74</v>
      </c>
      <c r="AZ119" t="s">
        <v>74</v>
      </c>
      <c r="BA119" t="s">
        <v>74</v>
      </c>
      <c r="BB119">
        <v>113</v>
      </c>
      <c r="BC119">
        <v>172</v>
      </c>
      <c r="BD119" t="s">
        <v>74</v>
      </c>
      <c r="BE119" t="s">
        <v>74</v>
      </c>
      <c r="BF119" t="s">
        <v>74</v>
      </c>
      <c r="BG119" t="s">
        <v>74</v>
      </c>
      <c r="BH119" t="s">
        <v>74</v>
      </c>
      <c r="BI119">
        <v>60</v>
      </c>
      <c r="BJ119" t="s">
        <v>182</v>
      </c>
      <c r="BK119" t="s">
        <v>99</v>
      </c>
      <c r="BL119" t="s">
        <v>184</v>
      </c>
      <c r="BM119" t="s">
        <v>2666</v>
      </c>
      <c r="BN119" t="s">
        <v>74</v>
      </c>
      <c r="BO119" t="s">
        <v>74</v>
      </c>
      <c r="BP119" t="s">
        <v>74</v>
      </c>
      <c r="BQ119" t="s">
        <v>74</v>
      </c>
      <c r="BR119" t="s">
        <v>102</v>
      </c>
      <c r="BS119" t="s">
        <v>2667</v>
      </c>
      <c r="BT119" t="str">
        <f>HYPERLINK("https%3A%2F%2Fwww.webofscience.com%2Fwos%2Fwoscc%2Ffull-record%2FWOS:000623051700003","View Full Record in Web of Science")</f>
        <v>View Full Record in Web of Science</v>
      </c>
    </row>
    <row r="120" spans="1:72" x14ac:dyDescent="0.25">
      <c r="A120" t="s">
        <v>72</v>
      </c>
      <c r="B120" t="s">
        <v>2668</v>
      </c>
      <c r="C120" t="s">
        <v>74</v>
      </c>
      <c r="D120" t="s">
        <v>74</v>
      </c>
      <c r="E120" t="s">
        <v>74</v>
      </c>
      <c r="F120" t="s">
        <v>2669</v>
      </c>
      <c r="G120" t="s">
        <v>74</v>
      </c>
      <c r="H120" t="s">
        <v>74</v>
      </c>
      <c r="I120" t="s">
        <v>2670</v>
      </c>
      <c r="J120" t="s">
        <v>2671</v>
      </c>
      <c r="K120" t="s">
        <v>74</v>
      </c>
      <c r="L120" t="s">
        <v>74</v>
      </c>
      <c r="M120" t="s">
        <v>78</v>
      </c>
      <c r="N120" t="s">
        <v>79</v>
      </c>
      <c r="O120" t="s">
        <v>74</v>
      </c>
      <c r="P120" t="s">
        <v>74</v>
      </c>
      <c r="Q120" t="s">
        <v>74</v>
      </c>
      <c r="R120" t="s">
        <v>74</v>
      </c>
      <c r="S120" t="s">
        <v>74</v>
      </c>
      <c r="T120" t="s">
        <v>2672</v>
      </c>
      <c r="U120" t="s">
        <v>2673</v>
      </c>
      <c r="V120" t="s">
        <v>2674</v>
      </c>
      <c r="W120" t="s">
        <v>2675</v>
      </c>
      <c r="X120" t="s">
        <v>2676</v>
      </c>
      <c r="Y120" t="s">
        <v>2677</v>
      </c>
      <c r="Z120" t="s">
        <v>2678</v>
      </c>
      <c r="AA120" t="s">
        <v>74</v>
      </c>
      <c r="AB120" t="s">
        <v>74</v>
      </c>
      <c r="AC120" t="s">
        <v>2679</v>
      </c>
      <c r="AD120" t="s">
        <v>2680</v>
      </c>
      <c r="AE120" t="s">
        <v>2681</v>
      </c>
      <c r="AF120" t="s">
        <v>74</v>
      </c>
      <c r="AG120">
        <v>23</v>
      </c>
      <c r="AH120">
        <v>2</v>
      </c>
      <c r="AI120">
        <v>2</v>
      </c>
      <c r="AJ120">
        <v>1</v>
      </c>
      <c r="AK120">
        <v>5</v>
      </c>
      <c r="AL120" t="s">
        <v>1216</v>
      </c>
      <c r="AM120" t="s">
        <v>283</v>
      </c>
      <c r="AN120" t="s">
        <v>1217</v>
      </c>
      <c r="AO120" t="s">
        <v>74</v>
      </c>
      <c r="AP120" t="s">
        <v>2682</v>
      </c>
      <c r="AQ120" t="s">
        <v>74</v>
      </c>
      <c r="AR120" t="s">
        <v>2683</v>
      </c>
      <c r="AS120" t="s">
        <v>2684</v>
      </c>
      <c r="AT120" t="s">
        <v>74</v>
      </c>
      <c r="AU120">
        <v>2020</v>
      </c>
      <c r="AV120">
        <v>3</v>
      </c>
      <c r="AW120" t="s">
        <v>74</v>
      </c>
      <c r="AX120" t="s">
        <v>74</v>
      </c>
      <c r="AY120" t="s">
        <v>74</v>
      </c>
      <c r="AZ120" t="s">
        <v>74</v>
      </c>
      <c r="BA120" t="s">
        <v>74</v>
      </c>
      <c r="BB120" t="s">
        <v>74</v>
      </c>
      <c r="BC120" t="s">
        <v>74</v>
      </c>
      <c r="BD120">
        <v>16</v>
      </c>
      <c r="BE120" t="s">
        <v>2685</v>
      </c>
      <c r="BF120" t="str">
        <f>HYPERLINK("http://dx.doi.org/10.3389/frai.2020.00016","http://dx.doi.org/10.3389/frai.2020.00016")</f>
        <v>http://dx.doi.org/10.3389/frai.2020.00016</v>
      </c>
      <c r="BG120" t="s">
        <v>74</v>
      </c>
      <c r="BH120" t="s">
        <v>74</v>
      </c>
      <c r="BI120">
        <v>7</v>
      </c>
      <c r="BJ120" t="s">
        <v>2686</v>
      </c>
      <c r="BK120" t="s">
        <v>313</v>
      </c>
      <c r="BL120" t="s">
        <v>157</v>
      </c>
      <c r="BM120" t="s">
        <v>2687</v>
      </c>
      <c r="BN120">
        <v>33733135</v>
      </c>
      <c r="BO120" t="s">
        <v>916</v>
      </c>
      <c r="BP120" t="s">
        <v>74</v>
      </c>
      <c r="BQ120" t="s">
        <v>74</v>
      </c>
      <c r="BR120" t="s">
        <v>102</v>
      </c>
      <c r="BS120" t="s">
        <v>2688</v>
      </c>
      <c r="BT120" t="str">
        <f>HYPERLINK("https%3A%2F%2Fwww.webofscience.com%2Fwos%2Fwoscc%2Ffull-record%2FWOS:000751673300016","View Full Record in Web of Science")</f>
        <v>View Full Record in Web of Science</v>
      </c>
    </row>
    <row r="121" spans="1:72" x14ac:dyDescent="0.25">
      <c r="A121" t="s">
        <v>72</v>
      </c>
      <c r="B121" t="s">
        <v>2689</v>
      </c>
      <c r="C121" t="s">
        <v>74</v>
      </c>
      <c r="D121" t="s">
        <v>74</v>
      </c>
      <c r="E121" t="s">
        <v>74</v>
      </c>
      <c r="F121" t="s">
        <v>2690</v>
      </c>
      <c r="G121" t="s">
        <v>74</v>
      </c>
      <c r="H121" t="s">
        <v>74</v>
      </c>
      <c r="I121" t="s">
        <v>2691</v>
      </c>
      <c r="J121" t="s">
        <v>2692</v>
      </c>
      <c r="K121" t="s">
        <v>74</v>
      </c>
      <c r="L121" t="s">
        <v>74</v>
      </c>
      <c r="M121" t="s">
        <v>78</v>
      </c>
      <c r="N121" t="s">
        <v>79</v>
      </c>
      <c r="O121" t="s">
        <v>74</v>
      </c>
      <c r="P121" t="s">
        <v>74</v>
      </c>
      <c r="Q121" t="s">
        <v>74</v>
      </c>
      <c r="R121" t="s">
        <v>74</v>
      </c>
      <c r="S121" t="s">
        <v>74</v>
      </c>
      <c r="T121" t="s">
        <v>2693</v>
      </c>
      <c r="U121" t="s">
        <v>2694</v>
      </c>
      <c r="V121" t="s">
        <v>2695</v>
      </c>
      <c r="W121" t="s">
        <v>2696</v>
      </c>
      <c r="X121" t="s">
        <v>2697</v>
      </c>
      <c r="Y121" t="s">
        <v>2698</v>
      </c>
      <c r="Z121" t="s">
        <v>2699</v>
      </c>
      <c r="AA121" t="s">
        <v>2700</v>
      </c>
      <c r="AB121" t="s">
        <v>2701</v>
      </c>
      <c r="AC121" t="s">
        <v>2702</v>
      </c>
      <c r="AD121" t="s">
        <v>2703</v>
      </c>
      <c r="AE121" t="s">
        <v>2704</v>
      </c>
      <c r="AF121" t="s">
        <v>74</v>
      </c>
      <c r="AG121">
        <v>77</v>
      </c>
      <c r="AH121">
        <v>0</v>
      </c>
      <c r="AI121">
        <v>0</v>
      </c>
      <c r="AJ121">
        <v>0</v>
      </c>
      <c r="AK121">
        <v>7</v>
      </c>
      <c r="AL121" t="s">
        <v>479</v>
      </c>
      <c r="AM121" t="s">
        <v>480</v>
      </c>
      <c r="AN121" t="s">
        <v>481</v>
      </c>
      <c r="AO121" t="s">
        <v>2705</v>
      </c>
      <c r="AP121" t="s">
        <v>2706</v>
      </c>
      <c r="AQ121" t="s">
        <v>74</v>
      </c>
      <c r="AR121" t="s">
        <v>2707</v>
      </c>
      <c r="AS121" t="s">
        <v>2708</v>
      </c>
      <c r="AT121" t="s">
        <v>237</v>
      </c>
      <c r="AU121">
        <v>2025</v>
      </c>
      <c r="AV121">
        <v>74</v>
      </c>
      <c r="AW121">
        <v>1</v>
      </c>
      <c r="AX121" t="s">
        <v>74</v>
      </c>
      <c r="AY121" t="s">
        <v>74</v>
      </c>
      <c r="AZ121" t="s">
        <v>74</v>
      </c>
      <c r="BA121" t="s">
        <v>74</v>
      </c>
      <c r="BB121">
        <v>215</v>
      </c>
      <c r="BC121">
        <v>233</v>
      </c>
      <c r="BD121" t="s">
        <v>74</v>
      </c>
      <c r="BE121" t="s">
        <v>2709</v>
      </c>
      <c r="BF121" t="str">
        <f>HYPERLINK("http://dx.doi.org/10.1111/fare.13109","http://dx.doi.org/10.1111/fare.13109")</f>
        <v>http://dx.doi.org/10.1111/fare.13109</v>
      </c>
      <c r="BG121" t="s">
        <v>74</v>
      </c>
      <c r="BH121" t="s">
        <v>267</v>
      </c>
      <c r="BI121">
        <v>19</v>
      </c>
      <c r="BJ121" t="s">
        <v>240</v>
      </c>
      <c r="BK121" t="s">
        <v>99</v>
      </c>
      <c r="BL121" t="s">
        <v>240</v>
      </c>
      <c r="BM121" t="s">
        <v>2710</v>
      </c>
      <c r="BN121" t="s">
        <v>74</v>
      </c>
      <c r="BO121" t="s">
        <v>466</v>
      </c>
      <c r="BP121" t="s">
        <v>74</v>
      </c>
      <c r="BQ121" t="s">
        <v>74</v>
      </c>
      <c r="BR121" t="s">
        <v>102</v>
      </c>
      <c r="BS121" t="s">
        <v>2711</v>
      </c>
      <c r="BT121" t="str">
        <f>HYPERLINK("https%3A%2F%2Fwww.webofscience.com%2Fwos%2Fwoscc%2Ffull-record%2FWOS:001357363000001","View Full Record in Web of Science")</f>
        <v>View Full Record in Web of Science</v>
      </c>
    </row>
    <row r="122" spans="1:72" x14ac:dyDescent="0.25">
      <c r="A122" t="s">
        <v>72</v>
      </c>
      <c r="B122" t="s">
        <v>2712</v>
      </c>
      <c r="C122" t="s">
        <v>74</v>
      </c>
      <c r="D122" t="s">
        <v>74</v>
      </c>
      <c r="E122" t="s">
        <v>74</v>
      </c>
      <c r="F122" t="s">
        <v>2713</v>
      </c>
      <c r="G122" t="s">
        <v>74</v>
      </c>
      <c r="H122" t="s">
        <v>74</v>
      </c>
      <c r="I122" t="s">
        <v>2714</v>
      </c>
      <c r="J122" t="s">
        <v>2715</v>
      </c>
      <c r="K122" t="s">
        <v>74</v>
      </c>
      <c r="L122" t="s">
        <v>74</v>
      </c>
      <c r="M122" t="s">
        <v>78</v>
      </c>
      <c r="N122" t="s">
        <v>79</v>
      </c>
      <c r="O122" t="s">
        <v>74</v>
      </c>
      <c r="P122" t="s">
        <v>74</v>
      </c>
      <c r="Q122" t="s">
        <v>74</v>
      </c>
      <c r="R122" t="s">
        <v>74</v>
      </c>
      <c r="S122" t="s">
        <v>74</v>
      </c>
      <c r="T122" t="s">
        <v>2716</v>
      </c>
      <c r="U122" t="s">
        <v>2717</v>
      </c>
      <c r="V122" t="s">
        <v>2718</v>
      </c>
      <c r="W122" t="s">
        <v>2719</v>
      </c>
      <c r="X122" t="s">
        <v>2720</v>
      </c>
      <c r="Y122" t="s">
        <v>2721</v>
      </c>
      <c r="Z122" t="s">
        <v>2722</v>
      </c>
      <c r="AA122" t="s">
        <v>2723</v>
      </c>
      <c r="AB122" t="s">
        <v>74</v>
      </c>
      <c r="AC122" t="s">
        <v>74</v>
      </c>
      <c r="AD122" t="s">
        <v>74</v>
      </c>
      <c r="AE122" t="s">
        <v>74</v>
      </c>
      <c r="AF122" t="s">
        <v>74</v>
      </c>
      <c r="AG122">
        <v>18</v>
      </c>
      <c r="AH122">
        <v>1</v>
      </c>
      <c r="AI122">
        <v>1</v>
      </c>
      <c r="AJ122">
        <v>0</v>
      </c>
      <c r="AK122">
        <v>5</v>
      </c>
      <c r="AL122" t="s">
        <v>2597</v>
      </c>
      <c r="AM122" t="s">
        <v>2598</v>
      </c>
      <c r="AN122" t="s">
        <v>2599</v>
      </c>
      <c r="AO122" t="s">
        <v>2724</v>
      </c>
      <c r="AP122" t="s">
        <v>2725</v>
      </c>
      <c r="AQ122" t="s">
        <v>74</v>
      </c>
      <c r="AR122" t="s">
        <v>2726</v>
      </c>
      <c r="AS122" t="s">
        <v>2727</v>
      </c>
      <c r="AT122" t="s">
        <v>2728</v>
      </c>
      <c r="AU122">
        <v>2022</v>
      </c>
      <c r="AV122">
        <v>10</v>
      </c>
      <c r="AW122">
        <v>5</v>
      </c>
      <c r="AX122" t="s">
        <v>74</v>
      </c>
      <c r="AY122" t="s">
        <v>74</v>
      </c>
      <c r="AZ122" t="s">
        <v>74</v>
      </c>
      <c r="BA122" t="s">
        <v>74</v>
      </c>
      <c r="BB122">
        <v>1172</v>
      </c>
      <c r="BC122">
        <v>1182</v>
      </c>
      <c r="BD122" t="s">
        <v>74</v>
      </c>
      <c r="BE122" t="s">
        <v>2729</v>
      </c>
      <c r="BF122" t="str">
        <f>HYPERLINK("http://dx.doi.org/10.1093/jssam/smab045","http://dx.doi.org/10.1093/jssam/smab045")</f>
        <v>http://dx.doi.org/10.1093/jssam/smab045</v>
      </c>
      <c r="BG122" t="s">
        <v>74</v>
      </c>
      <c r="BH122" t="s">
        <v>2730</v>
      </c>
      <c r="BI122">
        <v>11</v>
      </c>
      <c r="BJ122" t="s">
        <v>2731</v>
      </c>
      <c r="BK122" t="s">
        <v>2623</v>
      </c>
      <c r="BL122" t="s">
        <v>2732</v>
      </c>
      <c r="BM122" t="s">
        <v>2733</v>
      </c>
      <c r="BN122">
        <v>36397764</v>
      </c>
      <c r="BO122" t="s">
        <v>2734</v>
      </c>
      <c r="BP122" t="s">
        <v>74</v>
      </c>
      <c r="BQ122" t="s">
        <v>74</v>
      </c>
      <c r="BR122" t="s">
        <v>102</v>
      </c>
      <c r="BS122" t="s">
        <v>2735</v>
      </c>
      <c r="BT122" t="str">
        <f>HYPERLINK("https%3A%2F%2Fwww.webofscience.com%2Fwos%2Fwoscc%2Ffull-record%2FWOS:000764752500001","View Full Record in Web of Science")</f>
        <v>View Full Record in Web of Science</v>
      </c>
    </row>
    <row r="123" spans="1:72" x14ac:dyDescent="0.25">
      <c r="A123" t="s">
        <v>72</v>
      </c>
      <c r="B123" t="s">
        <v>2736</v>
      </c>
      <c r="C123" t="s">
        <v>74</v>
      </c>
      <c r="D123" t="s">
        <v>74</v>
      </c>
      <c r="E123" t="s">
        <v>74</v>
      </c>
      <c r="F123" t="s">
        <v>2737</v>
      </c>
      <c r="G123" t="s">
        <v>74</v>
      </c>
      <c r="H123" t="s">
        <v>74</v>
      </c>
      <c r="I123" t="s">
        <v>2738</v>
      </c>
      <c r="J123" t="s">
        <v>2739</v>
      </c>
      <c r="K123" t="s">
        <v>74</v>
      </c>
      <c r="L123" t="s">
        <v>74</v>
      </c>
      <c r="M123" t="s">
        <v>78</v>
      </c>
      <c r="N123" t="s">
        <v>79</v>
      </c>
      <c r="O123" t="s">
        <v>74</v>
      </c>
      <c r="P123" t="s">
        <v>74</v>
      </c>
      <c r="Q123" t="s">
        <v>74</v>
      </c>
      <c r="R123" t="s">
        <v>74</v>
      </c>
      <c r="S123" t="s">
        <v>74</v>
      </c>
      <c r="T123" t="s">
        <v>2740</v>
      </c>
      <c r="U123" t="s">
        <v>2741</v>
      </c>
      <c r="V123" t="s">
        <v>2742</v>
      </c>
      <c r="W123" t="s">
        <v>2743</v>
      </c>
      <c r="X123" t="s">
        <v>2744</v>
      </c>
      <c r="Y123" t="s">
        <v>2745</v>
      </c>
      <c r="Z123" t="s">
        <v>2746</v>
      </c>
      <c r="AA123" t="s">
        <v>2747</v>
      </c>
      <c r="AB123" t="s">
        <v>2748</v>
      </c>
      <c r="AC123" t="s">
        <v>74</v>
      </c>
      <c r="AD123" t="s">
        <v>74</v>
      </c>
      <c r="AE123" t="s">
        <v>74</v>
      </c>
      <c r="AF123" t="s">
        <v>74</v>
      </c>
      <c r="AG123">
        <v>16</v>
      </c>
      <c r="AH123">
        <v>4</v>
      </c>
      <c r="AI123">
        <v>8</v>
      </c>
      <c r="AJ123">
        <v>0</v>
      </c>
      <c r="AK123">
        <v>5</v>
      </c>
      <c r="AL123" t="s">
        <v>2749</v>
      </c>
      <c r="AM123" t="s">
        <v>2750</v>
      </c>
      <c r="AN123" t="s">
        <v>2751</v>
      </c>
      <c r="AO123" t="s">
        <v>2752</v>
      </c>
      <c r="AP123" t="s">
        <v>74</v>
      </c>
      <c r="AQ123" t="s">
        <v>74</v>
      </c>
      <c r="AR123" t="s">
        <v>2753</v>
      </c>
      <c r="AS123" t="s">
        <v>2754</v>
      </c>
      <c r="AT123" t="s">
        <v>2537</v>
      </c>
      <c r="AU123">
        <v>2015</v>
      </c>
      <c r="AV123">
        <v>31</v>
      </c>
      <c r="AW123">
        <v>1</v>
      </c>
      <c r="AX123" t="s">
        <v>74</v>
      </c>
      <c r="AY123" t="s">
        <v>74</v>
      </c>
      <c r="AZ123" t="s">
        <v>74</v>
      </c>
      <c r="BA123" t="s">
        <v>74</v>
      </c>
      <c r="BB123">
        <v>49</v>
      </c>
      <c r="BC123">
        <v>53</v>
      </c>
      <c r="BD123" t="s">
        <v>74</v>
      </c>
      <c r="BE123" t="s">
        <v>2755</v>
      </c>
      <c r="BF123" t="str">
        <f>HYPERLINK("http://dx.doi.org/10.12669/pjms.311.6058","http://dx.doi.org/10.12669/pjms.311.6058")</f>
        <v>http://dx.doi.org/10.12669/pjms.311.6058</v>
      </c>
      <c r="BG123" t="s">
        <v>74</v>
      </c>
      <c r="BH123" t="s">
        <v>74</v>
      </c>
      <c r="BI123">
        <v>5</v>
      </c>
      <c r="BJ123" t="s">
        <v>2756</v>
      </c>
      <c r="BK123" t="s">
        <v>128</v>
      </c>
      <c r="BL123" t="s">
        <v>2757</v>
      </c>
      <c r="BM123" t="s">
        <v>2758</v>
      </c>
      <c r="BN123">
        <v>25878613</v>
      </c>
      <c r="BO123" t="s">
        <v>916</v>
      </c>
      <c r="BP123" t="s">
        <v>74</v>
      </c>
      <c r="BQ123" t="s">
        <v>74</v>
      </c>
      <c r="BR123" t="s">
        <v>102</v>
      </c>
      <c r="BS123" t="s">
        <v>2759</v>
      </c>
      <c r="BT123" t="str">
        <f>HYPERLINK("https%3A%2F%2Fwww.webofscience.com%2Fwos%2Fwoscc%2Ffull-record%2FWOS:000349936500010","View Full Record in Web of Science")</f>
        <v>View Full Record in Web of Science</v>
      </c>
    </row>
    <row r="124" spans="1:72" x14ac:dyDescent="0.25">
      <c r="A124" t="s">
        <v>72</v>
      </c>
      <c r="B124" t="s">
        <v>2760</v>
      </c>
      <c r="C124" t="s">
        <v>74</v>
      </c>
      <c r="D124" t="s">
        <v>74</v>
      </c>
      <c r="E124" t="s">
        <v>74</v>
      </c>
      <c r="F124" t="s">
        <v>2761</v>
      </c>
      <c r="G124" t="s">
        <v>74</v>
      </c>
      <c r="H124" t="s">
        <v>74</v>
      </c>
      <c r="I124" t="s">
        <v>2762</v>
      </c>
      <c r="J124" t="s">
        <v>2763</v>
      </c>
      <c r="K124" t="s">
        <v>74</v>
      </c>
      <c r="L124" t="s">
        <v>74</v>
      </c>
      <c r="M124" t="s">
        <v>78</v>
      </c>
      <c r="N124" t="s">
        <v>79</v>
      </c>
      <c r="O124" t="s">
        <v>74</v>
      </c>
      <c r="P124" t="s">
        <v>74</v>
      </c>
      <c r="Q124" t="s">
        <v>74</v>
      </c>
      <c r="R124" t="s">
        <v>74</v>
      </c>
      <c r="S124" t="s">
        <v>74</v>
      </c>
      <c r="T124" t="s">
        <v>2764</v>
      </c>
      <c r="U124" t="s">
        <v>2765</v>
      </c>
      <c r="V124" t="s">
        <v>2766</v>
      </c>
      <c r="W124" t="s">
        <v>2767</v>
      </c>
      <c r="X124" t="s">
        <v>2768</v>
      </c>
      <c r="Y124" t="s">
        <v>2769</v>
      </c>
      <c r="Z124" t="s">
        <v>2770</v>
      </c>
      <c r="AA124" t="s">
        <v>2771</v>
      </c>
      <c r="AB124" t="s">
        <v>2772</v>
      </c>
      <c r="AC124" t="s">
        <v>2773</v>
      </c>
      <c r="AD124" t="s">
        <v>2774</v>
      </c>
      <c r="AE124" t="s">
        <v>2775</v>
      </c>
      <c r="AF124" t="s">
        <v>74</v>
      </c>
      <c r="AG124">
        <v>70</v>
      </c>
      <c r="AH124">
        <v>2</v>
      </c>
      <c r="AI124">
        <v>2</v>
      </c>
      <c r="AJ124">
        <v>3</v>
      </c>
      <c r="AK124">
        <v>6</v>
      </c>
      <c r="AL124" t="s">
        <v>479</v>
      </c>
      <c r="AM124" t="s">
        <v>480</v>
      </c>
      <c r="AN124" t="s">
        <v>481</v>
      </c>
      <c r="AO124" t="s">
        <v>2776</v>
      </c>
      <c r="AP124" t="s">
        <v>2777</v>
      </c>
      <c r="AQ124" t="s">
        <v>74</v>
      </c>
      <c r="AR124" t="s">
        <v>2778</v>
      </c>
      <c r="AS124" t="s">
        <v>2779</v>
      </c>
      <c r="AT124" t="s">
        <v>891</v>
      </c>
      <c r="AU124">
        <v>2025</v>
      </c>
      <c r="AV124">
        <v>29</v>
      </c>
      <c r="AW124">
        <v>4</v>
      </c>
      <c r="AX124" t="s">
        <v>74</v>
      </c>
      <c r="AY124" t="s">
        <v>74</v>
      </c>
      <c r="AZ124" t="s">
        <v>441</v>
      </c>
      <c r="BA124" t="s">
        <v>74</v>
      </c>
      <c r="BB124">
        <v>2311</v>
      </c>
      <c r="BC124">
        <v>2331</v>
      </c>
      <c r="BD124" t="s">
        <v>74</v>
      </c>
      <c r="BE124" t="s">
        <v>2780</v>
      </c>
      <c r="BF124" t="str">
        <f>HYPERLINK("http://dx.doi.org/10.1111/rode.13223","http://dx.doi.org/10.1111/rode.13223")</f>
        <v>http://dx.doi.org/10.1111/rode.13223</v>
      </c>
      <c r="BG124" t="s">
        <v>74</v>
      </c>
      <c r="BH124" t="s">
        <v>2781</v>
      </c>
      <c r="BI124">
        <v>21</v>
      </c>
      <c r="BJ124" t="s">
        <v>701</v>
      </c>
      <c r="BK124" t="s">
        <v>99</v>
      </c>
      <c r="BL124" t="s">
        <v>702</v>
      </c>
      <c r="BM124" t="s">
        <v>2782</v>
      </c>
      <c r="BN124" t="s">
        <v>74</v>
      </c>
      <c r="BO124" t="s">
        <v>2783</v>
      </c>
      <c r="BP124" t="s">
        <v>74</v>
      </c>
      <c r="BQ124" t="s">
        <v>74</v>
      </c>
      <c r="BR124" t="s">
        <v>102</v>
      </c>
      <c r="BS124" t="s">
        <v>2784</v>
      </c>
      <c r="BT124" t="str">
        <f>HYPERLINK("https%3A%2F%2Fwww.webofscience.com%2Fwos%2Fwoscc%2Ffull-record%2FWOS:001454355100001","View Full Record in Web of Science")</f>
        <v>View Full Record in Web of Science</v>
      </c>
    </row>
    <row r="125" spans="1:72" x14ac:dyDescent="0.25">
      <c r="A125" t="s">
        <v>72</v>
      </c>
      <c r="B125" t="s">
        <v>2785</v>
      </c>
      <c r="C125" t="s">
        <v>74</v>
      </c>
      <c r="D125" t="s">
        <v>74</v>
      </c>
      <c r="E125" t="s">
        <v>74</v>
      </c>
      <c r="F125" t="s">
        <v>2786</v>
      </c>
      <c r="G125" t="s">
        <v>74</v>
      </c>
      <c r="H125" t="s">
        <v>74</v>
      </c>
      <c r="I125" t="s">
        <v>2787</v>
      </c>
      <c r="J125" t="s">
        <v>2788</v>
      </c>
      <c r="K125" t="s">
        <v>74</v>
      </c>
      <c r="L125" t="s">
        <v>74</v>
      </c>
      <c r="M125" t="s">
        <v>78</v>
      </c>
      <c r="N125" t="s">
        <v>79</v>
      </c>
      <c r="O125" t="s">
        <v>74</v>
      </c>
      <c r="P125" t="s">
        <v>74</v>
      </c>
      <c r="Q125" t="s">
        <v>74</v>
      </c>
      <c r="R125" t="s">
        <v>74</v>
      </c>
      <c r="S125" t="s">
        <v>74</v>
      </c>
      <c r="T125" t="s">
        <v>74</v>
      </c>
      <c r="U125" t="s">
        <v>2789</v>
      </c>
      <c r="V125" t="s">
        <v>2790</v>
      </c>
      <c r="W125" t="s">
        <v>2791</v>
      </c>
      <c r="X125" t="s">
        <v>2792</v>
      </c>
      <c r="Y125" t="s">
        <v>2793</v>
      </c>
      <c r="Z125" t="s">
        <v>2794</v>
      </c>
      <c r="AA125" t="s">
        <v>2795</v>
      </c>
      <c r="AB125" t="s">
        <v>2796</v>
      </c>
      <c r="AC125" t="s">
        <v>74</v>
      </c>
      <c r="AD125" t="s">
        <v>74</v>
      </c>
      <c r="AE125" t="s">
        <v>74</v>
      </c>
      <c r="AF125" t="s">
        <v>74</v>
      </c>
      <c r="AG125">
        <v>45</v>
      </c>
      <c r="AH125">
        <v>27</v>
      </c>
      <c r="AI125">
        <v>39</v>
      </c>
      <c r="AJ125">
        <v>1</v>
      </c>
      <c r="AK125">
        <v>50</v>
      </c>
      <c r="AL125" t="s">
        <v>503</v>
      </c>
      <c r="AM125" t="s">
        <v>151</v>
      </c>
      <c r="AN125" t="s">
        <v>504</v>
      </c>
      <c r="AO125" t="s">
        <v>2797</v>
      </c>
      <c r="AP125" t="s">
        <v>2798</v>
      </c>
      <c r="AQ125" t="s">
        <v>74</v>
      </c>
      <c r="AR125" t="s">
        <v>2799</v>
      </c>
      <c r="AS125" t="s">
        <v>2800</v>
      </c>
      <c r="AT125" t="s">
        <v>2801</v>
      </c>
      <c r="AU125">
        <v>2014</v>
      </c>
      <c r="AV125">
        <v>33</v>
      </c>
      <c r="AW125">
        <v>3</v>
      </c>
      <c r="AX125" t="s">
        <v>74</v>
      </c>
      <c r="AY125" t="s">
        <v>74</v>
      </c>
      <c r="AZ125" t="s">
        <v>74</v>
      </c>
      <c r="BA125" t="s">
        <v>74</v>
      </c>
      <c r="BB125">
        <v>260</v>
      </c>
      <c r="BC125">
        <v>278</v>
      </c>
      <c r="BD125" t="s">
        <v>74</v>
      </c>
      <c r="BE125" t="s">
        <v>2802</v>
      </c>
      <c r="BF125" t="str">
        <f>HYPERLINK("http://dx.doi.org/10.1016/j.jaccpubpol.2014.02.005","http://dx.doi.org/10.1016/j.jaccpubpol.2014.02.005")</f>
        <v>http://dx.doi.org/10.1016/j.jaccpubpol.2014.02.005</v>
      </c>
      <c r="BG125" t="s">
        <v>74</v>
      </c>
      <c r="BH125" t="s">
        <v>74</v>
      </c>
      <c r="BI125">
        <v>19</v>
      </c>
      <c r="BJ125" t="s">
        <v>2803</v>
      </c>
      <c r="BK125" t="s">
        <v>99</v>
      </c>
      <c r="BL125" t="s">
        <v>1406</v>
      </c>
      <c r="BM125" t="s">
        <v>2804</v>
      </c>
      <c r="BN125" t="s">
        <v>74</v>
      </c>
      <c r="BO125" t="s">
        <v>1696</v>
      </c>
      <c r="BP125" t="s">
        <v>74</v>
      </c>
      <c r="BQ125" t="s">
        <v>74</v>
      </c>
      <c r="BR125" t="s">
        <v>102</v>
      </c>
      <c r="BS125" t="s">
        <v>2805</v>
      </c>
      <c r="BT125" t="str">
        <f>HYPERLINK("https%3A%2F%2Fwww.webofscience.com%2Fwos%2Fwoscc%2Ffull-record%2FWOS:000337868800003","View Full Record in Web of Science")</f>
        <v>View Full Record in Web of Science</v>
      </c>
    </row>
    <row r="126" spans="1:72" x14ac:dyDescent="0.25">
      <c r="A126" t="s">
        <v>72</v>
      </c>
      <c r="B126" t="s">
        <v>2806</v>
      </c>
      <c r="C126" t="s">
        <v>74</v>
      </c>
      <c r="D126" t="s">
        <v>74</v>
      </c>
      <c r="E126" t="s">
        <v>74</v>
      </c>
      <c r="F126" t="s">
        <v>2807</v>
      </c>
      <c r="G126" t="s">
        <v>74</v>
      </c>
      <c r="H126" t="s">
        <v>74</v>
      </c>
      <c r="I126" t="s">
        <v>2808</v>
      </c>
      <c r="J126" t="s">
        <v>2809</v>
      </c>
      <c r="K126" t="s">
        <v>74</v>
      </c>
      <c r="L126" t="s">
        <v>74</v>
      </c>
      <c r="M126" t="s">
        <v>78</v>
      </c>
      <c r="N126" t="s">
        <v>79</v>
      </c>
      <c r="O126" t="s">
        <v>74</v>
      </c>
      <c r="P126" t="s">
        <v>74</v>
      </c>
      <c r="Q126" t="s">
        <v>74</v>
      </c>
      <c r="R126" t="s">
        <v>74</v>
      </c>
      <c r="S126" t="s">
        <v>74</v>
      </c>
      <c r="T126" t="s">
        <v>74</v>
      </c>
      <c r="U126" t="s">
        <v>2810</v>
      </c>
      <c r="V126" t="s">
        <v>2811</v>
      </c>
      <c r="W126" t="s">
        <v>2812</v>
      </c>
      <c r="X126" t="s">
        <v>2813</v>
      </c>
      <c r="Y126" t="s">
        <v>2814</v>
      </c>
      <c r="Z126" t="s">
        <v>2815</v>
      </c>
      <c r="AA126" t="s">
        <v>74</v>
      </c>
      <c r="AB126" t="s">
        <v>74</v>
      </c>
      <c r="AC126" t="s">
        <v>74</v>
      </c>
      <c r="AD126" t="s">
        <v>74</v>
      </c>
      <c r="AE126" t="s">
        <v>74</v>
      </c>
      <c r="AF126" t="s">
        <v>74</v>
      </c>
      <c r="AG126">
        <v>62</v>
      </c>
      <c r="AH126">
        <v>13</v>
      </c>
      <c r="AI126">
        <v>18</v>
      </c>
      <c r="AJ126">
        <v>0</v>
      </c>
      <c r="AK126">
        <v>9</v>
      </c>
      <c r="AL126" t="s">
        <v>479</v>
      </c>
      <c r="AM126" t="s">
        <v>480</v>
      </c>
      <c r="AN126" t="s">
        <v>481</v>
      </c>
      <c r="AO126" t="s">
        <v>2816</v>
      </c>
      <c r="AP126" t="s">
        <v>2817</v>
      </c>
      <c r="AQ126" t="s">
        <v>74</v>
      </c>
      <c r="AR126" t="s">
        <v>2818</v>
      </c>
      <c r="AS126" t="s">
        <v>2819</v>
      </c>
      <c r="AT126" t="s">
        <v>2462</v>
      </c>
      <c r="AU126">
        <v>2018</v>
      </c>
      <c r="AV126">
        <v>52</v>
      </c>
      <c r="AW126">
        <v>2</v>
      </c>
      <c r="AX126" t="s">
        <v>74</v>
      </c>
      <c r="AY126" t="s">
        <v>74</v>
      </c>
      <c r="AZ126" t="s">
        <v>74</v>
      </c>
      <c r="BA126" t="s">
        <v>74</v>
      </c>
      <c r="BB126">
        <v>317</v>
      </c>
      <c r="BC126">
        <v>348</v>
      </c>
      <c r="BD126" t="s">
        <v>74</v>
      </c>
      <c r="BE126" t="s">
        <v>2820</v>
      </c>
      <c r="BF126" t="str">
        <f>HYPERLINK("http://dx.doi.org/10.1111/joca.12150","http://dx.doi.org/10.1111/joca.12150")</f>
        <v>http://dx.doi.org/10.1111/joca.12150</v>
      </c>
      <c r="BG126" t="s">
        <v>74</v>
      </c>
      <c r="BH126" t="s">
        <v>74</v>
      </c>
      <c r="BI126">
        <v>32</v>
      </c>
      <c r="BJ126" t="s">
        <v>1453</v>
      </c>
      <c r="BK126" t="s">
        <v>99</v>
      </c>
      <c r="BL126" t="s">
        <v>100</v>
      </c>
      <c r="BM126" t="s">
        <v>2821</v>
      </c>
      <c r="BN126" t="s">
        <v>74</v>
      </c>
      <c r="BO126" t="s">
        <v>74</v>
      </c>
      <c r="BP126" t="s">
        <v>74</v>
      </c>
      <c r="BQ126" t="s">
        <v>74</v>
      </c>
      <c r="BR126" t="s">
        <v>102</v>
      </c>
      <c r="BS126" t="s">
        <v>2822</v>
      </c>
      <c r="BT126" t="str">
        <f>HYPERLINK("https%3A%2F%2Fwww.webofscience.com%2Fwos%2Fwoscc%2Ffull-record%2FWOS:000438722800004","View Full Record in Web of Science")</f>
        <v>View Full Record in Web of Science</v>
      </c>
    </row>
    <row r="127" spans="1:72" x14ac:dyDescent="0.25">
      <c r="A127" t="s">
        <v>132</v>
      </c>
      <c r="B127" t="s">
        <v>2823</v>
      </c>
      <c r="C127" t="s">
        <v>74</v>
      </c>
      <c r="D127" t="s">
        <v>2824</v>
      </c>
      <c r="E127" t="s">
        <v>74</v>
      </c>
      <c r="F127" t="s">
        <v>2825</v>
      </c>
      <c r="G127" t="s">
        <v>74</v>
      </c>
      <c r="H127" t="s">
        <v>74</v>
      </c>
      <c r="I127" t="s">
        <v>2826</v>
      </c>
      <c r="J127" t="s">
        <v>2827</v>
      </c>
      <c r="K127" t="s">
        <v>2828</v>
      </c>
      <c r="L127" t="s">
        <v>74</v>
      </c>
      <c r="M127" t="s">
        <v>78</v>
      </c>
      <c r="N127" t="s">
        <v>138</v>
      </c>
      <c r="O127" t="s">
        <v>2829</v>
      </c>
      <c r="P127" t="s">
        <v>2830</v>
      </c>
      <c r="Q127" t="s">
        <v>2831</v>
      </c>
      <c r="R127" t="s">
        <v>2832</v>
      </c>
      <c r="S127" t="s">
        <v>74</v>
      </c>
      <c r="T127" t="s">
        <v>2833</v>
      </c>
      <c r="U127" t="s">
        <v>74</v>
      </c>
      <c r="V127" t="s">
        <v>2834</v>
      </c>
      <c r="W127" t="s">
        <v>2835</v>
      </c>
      <c r="X127" t="s">
        <v>2836</v>
      </c>
      <c r="Y127" t="s">
        <v>2837</v>
      </c>
      <c r="Z127" t="s">
        <v>2838</v>
      </c>
      <c r="AA127" t="s">
        <v>74</v>
      </c>
      <c r="AB127" t="s">
        <v>2839</v>
      </c>
      <c r="AC127" t="s">
        <v>74</v>
      </c>
      <c r="AD127" t="s">
        <v>74</v>
      </c>
      <c r="AE127" t="s">
        <v>74</v>
      </c>
      <c r="AF127" t="s">
        <v>74</v>
      </c>
      <c r="AG127">
        <v>10</v>
      </c>
      <c r="AH127">
        <v>13</v>
      </c>
      <c r="AI127">
        <v>14</v>
      </c>
      <c r="AJ127">
        <v>0</v>
      </c>
      <c r="AK127">
        <v>0</v>
      </c>
      <c r="AL127" t="s">
        <v>771</v>
      </c>
      <c r="AM127" t="s">
        <v>151</v>
      </c>
      <c r="AN127" t="s">
        <v>785</v>
      </c>
      <c r="AO127" t="s">
        <v>2840</v>
      </c>
      <c r="AP127" t="s">
        <v>74</v>
      </c>
      <c r="AQ127" t="s">
        <v>2841</v>
      </c>
      <c r="AR127" t="s">
        <v>2842</v>
      </c>
      <c r="AS127" t="s">
        <v>74</v>
      </c>
      <c r="AT127" t="s">
        <v>74</v>
      </c>
      <c r="AU127">
        <v>2018</v>
      </c>
      <c r="AV127" t="s">
        <v>74</v>
      </c>
      <c r="AW127" t="s">
        <v>74</v>
      </c>
      <c r="AX127" t="s">
        <v>74</v>
      </c>
      <c r="AY127" t="s">
        <v>74</v>
      </c>
      <c r="AZ127" t="s">
        <v>74</v>
      </c>
      <c r="BA127" t="s">
        <v>74</v>
      </c>
      <c r="BB127">
        <v>3072</v>
      </c>
      <c r="BC127">
        <v>3078</v>
      </c>
      <c r="BD127" t="s">
        <v>74</v>
      </c>
      <c r="BE127" t="s">
        <v>74</v>
      </c>
      <c r="BF127" t="s">
        <v>74</v>
      </c>
      <c r="BG127" t="s">
        <v>74</v>
      </c>
      <c r="BH127" t="s">
        <v>74</v>
      </c>
      <c r="BI127">
        <v>7</v>
      </c>
      <c r="BJ127" t="s">
        <v>2843</v>
      </c>
      <c r="BK127" t="s">
        <v>156</v>
      </c>
      <c r="BL127" t="s">
        <v>157</v>
      </c>
      <c r="BM127" t="s">
        <v>2844</v>
      </c>
      <c r="BN127" t="s">
        <v>74</v>
      </c>
      <c r="BO127" t="s">
        <v>74</v>
      </c>
      <c r="BP127" t="s">
        <v>74</v>
      </c>
      <c r="BQ127" t="s">
        <v>74</v>
      </c>
      <c r="BR127" t="s">
        <v>102</v>
      </c>
      <c r="BS127" t="s">
        <v>2845</v>
      </c>
      <c r="BT127" t="str">
        <f>HYPERLINK("https%3A%2F%2Fwww.webofscience.com%2Fwos%2Fwoscc%2Ffull-record%2FWOS:000468499303019","View Full Record in Web of Science")</f>
        <v>View Full Record in Web of Science</v>
      </c>
    </row>
    <row r="128" spans="1:72" x14ac:dyDescent="0.25">
      <c r="A128" t="s">
        <v>72</v>
      </c>
      <c r="B128" t="s">
        <v>2846</v>
      </c>
      <c r="C128" t="s">
        <v>74</v>
      </c>
      <c r="D128" t="s">
        <v>74</v>
      </c>
      <c r="E128" t="s">
        <v>74</v>
      </c>
      <c r="F128" t="s">
        <v>2847</v>
      </c>
      <c r="G128" t="s">
        <v>74</v>
      </c>
      <c r="H128" t="s">
        <v>74</v>
      </c>
      <c r="I128" t="s">
        <v>2848</v>
      </c>
      <c r="J128" t="s">
        <v>2849</v>
      </c>
      <c r="K128" t="s">
        <v>74</v>
      </c>
      <c r="L128" t="s">
        <v>74</v>
      </c>
      <c r="M128" t="s">
        <v>78</v>
      </c>
      <c r="N128" t="s">
        <v>79</v>
      </c>
      <c r="O128" t="s">
        <v>74</v>
      </c>
      <c r="P128" t="s">
        <v>74</v>
      </c>
      <c r="Q128" t="s">
        <v>74</v>
      </c>
      <c r="R128" t="s">
        <v>74</v>
      </c>
      <c r="S128" t="s">
        <v>74</v>
      </c>
      <c r="T128" t="s">
        <v>2850</v>
      </c>
      <c r="U128" t="s">
        <v>2851</v>
      </c>
      <c r="V128" t="s">
        <v>2852</v>
      </c>
      <c r="W128" t="s">
        <v>2853</v>
      </c>
      <c r="X128" t="s">
        <v>2854</v>
      </c>
      <c r="Y128" t="s">
        <v>2855</v>
      </c>
      <c r="Z128" t="s">
        <v>2856</v>
      </c>
      <c r="AA128" t="s">
        <v>2857</v>
      </c>
      <c r="AB128" t="s">
        <v>2858</v>
      </c>
      <c r="AC128" t="s">
        <v>2859</v>
      </c>
      <c r="AD128" t="s">
        <v>2860</v>
      </c>
      <c r="AE128" t="s">
        <v>2861</v>
      </c>
      <c r="AF128" t="s">
        <v>74</v>
      </c>
      <c r="AG128">
        <v>51</v>
      </c>
      <c r="AH128">
        <v>16</v>
      </c>
      <c r="AI128">
        <v>18</v>
      </c>
      <c r="AJ128">
        <v>3</v>
      </c>
      <c r="AK128">
        <v>45</v>
      </c>
      <c r="AL128" t="s">
        <v>2862</v>
      </c>
      <c r="AM128" t="s">
        <v>2863</v>
      </c>
      <c r="AN128" t="s">
        <v>2864</v>
      </c>
      <c r="AO128" t="s">
        <v>2865</v>
      </c>
      <c r="AP128" t="s">
        <v>2866</v>
      </c>
      <c r="AQ128" t="s">
        <v>74</v>
      </c>
      <c r="AR128" t="s">
        <v>2867</v>
      </c>
      <c r="AS128" t="s">
        <v>2868</v>
      </c>
      <c r="AT128" t="s">
        <v>124</v>
      </c>
      <c r="AU128">
        <v>2020</v>
      </c>
      <c r="AV128">
        <v>32</v>
      </c>
      <c r="AW128" t="s">
        <v>74</v>
      </c>
      <c r="AX128" t="s">
        <v>74</v>
      </c>
      <c r="AY128" t="s">
        <v>74</v>
      </c>
      <c r="AZ128" t="s">
        <v>441</v>
      </c>
      <c r="BA128" t="s">
        <v>74</v>
      </c>
      <c r="BB128">
        <v>115</v>
      </c>
      <c r="BC128">
        <v>130</v>
      </c>
      <c r="BD128" t="s">
        <v>74</v>
      </c>
      <c r="BE128" t="s">
        <v>2869</v>
      </c>
      <c r="BF128" t="str">
        <f>HYPERLINK("http://dx.doi.org/10.22598/mt/2020.32.spec-issue.115","http://dx.doi.org/10.22598/mt/2020.32.spec-issue.115")</f>
        <v>http://dx.doi.org/10.22598/mt/2020.32.spec-issue.115</v>
      </c>
      <c r="BG128" t="s">
        <v>74</v>
      </c>
      <c r="BH128" t="s">
        <v>74</v>
      </c>
      <c r="BI128">
        <v>16</v>
      </c>
      <c r="BJ128" t="s">
        <v>418</v>
      </c>
      <c r="BK128" t="s">
        <v>313</v>
      </c>
      <c r="BL128" t="s">
        <v>100</v>
      </c>
      <c r="BM128" t="s">
        <v>2870</v>
      </c>
      <c r="BN128" t="s">
        <v>74</v>
      </c>
      <c r="BO128" t="s">
        <v>916</v>
      </c>
      <c r="BP128" t="s">
        <v>74</v>
      </c>
      <c r="BQ128" t="s">
        <v>74</v>
      </c>
      <c r="BR128" t="s">
        <v>102</v>
      </c>
      <c r="BS128" t="s">
        <v>2871</v>
      </c>
      <c r="BT128" t="str">
        <f>HYPERLINK("https%3A%2F%2Fwww.webofscience.com%2Fwos%2Fwoscc%2Ffull-record%2FWOS:000599917300008","View Full Record in Web of Science")</f>
        <v>View Full Record in Web of Science</v>
      </c>
    </row>
    <row r="129" spans="1:72" x14ac:dyDescent="0.25">
      <c r="A129" t="s">
        <v>72</v>
      </c>
      <c r="B129" t="s">
        <v>2872</v>
      </c>
      <c r="C129" t="s">
        <v>74</v>
      </c>
      <c r="D129" t="s">
        <v>74</v>
      </c>
      <c r="E129" t="s">
        <v>74</v>
      </c>
      <c r="F129" t="s">
        <v>2873</v>
      </c>
      <c r="G129" t="s">
        <v>74</v>
      </c>
      <c r="H129" t="s">
        <v>74</v>
      </c>
      <c r="I129" t="s">
        <v>2874</v>
      </c>
      <c r="J129" t="s">
        <v>2875</v>
      </c>
      <c r="K129" t="s">
        <v>74</v>
      </c>
      <c r="L129" t="s">
        <v>74</v>
      </c>
      <c r="M129" t="s">
        <v>78</v>
      </c>
      <c r="N129" t="s">
        <v>79</v>
      </c>
      <c r="O129" t="s">
        <v>74</v>
      </c>
      <c r="P129" t="s">
        <v>74</v>
      </c>
      <c r="Q129" t="s">
        <v>74</v>
      </c>
      <c r="R129" t="s">
        <v>74</v>
      </c>
      <c r="S129" t="s">
        <v>74</v>
      </c>
      <c r="T129" t="s">
        <v>2876</v>
      </c>
      <c r="U129" t="s">
        <v>2877</v>
      </c>
      <c r="V129" t="s">
        <v>2878</v>
      </c>
      <c r="W129" t="s">
        <v>2879</v>
      </c>
      <c r="X129" t="s">
        <v>2880</v>
      </c>
      <c r="Y129" t="s">
        <v>2881</v>
      </c>
      <c r="Z129" t="s">
        <v>2882</v>
      </c>
      <c r="AA129" t="s">
        <v>2883</v>
      </c>
      <c r="AB129" t="s">
        <v>2884</v>
      </c>
      <c r="AC129" t="s">
        <v>2885</v>
      </c>
      <c r="AD129" t="s">
        <v>2885</v>
      </c>
      <c r="AE129" t="s">
        <v>2886</v>
      </c>
      <c r="AF129" t="s">
        <v>74</v>
      </c>
      <c r="AG129">
        <v>55</v>
      </c>
      <c r="AH129">
        <v>11</v>
      </c>
      <c r="AI129">
        <v>16</v>
      </c>
      <c r="AJ129">
        <v>2</v>
      </c>
      <c r="AK129">
        <v>22</v>
      </c>
      <c r="AL129" t="s">
        <v>575</v>
      </c>
      <c r="AM129" t="s">
        <v>576</v>
      </c>
      <c r="AN129" t="s">
        <v>577</v>
      </c>
      <c r="AO129" t="s">
        <v>2887</v>
      </c>
      <c r="AP129" t="s">
        <v>74</v>
      </c>
      <c r="AQ129" t="s">
        <v>74</v>
      </c>
      <c r="AR129" t="s">
        <v>2888</v>
      </c>
      <c r="AS129" t="s">
        <v>2889</v>
      </c>
      <c r="AT129" t="s">
        <v>1652</v>
      </c>
      <c r="AU129">
        <v>2022</v>
      </c>
      <c r="AV129">
        <v>17</v>
      </c>
      <c r="AW129">
        <v>2</v>
      </c>
      <c r="AX129" t="s">
        <v>74</v>
      </c>
      <c r="AY129" t="s">
        <v>74</v>
      </c>
      <c r="AZ129" t="s">
        <v>74</v>
      </c>
      <c r="BA129" t="s">
        <v>74</v>
      </c>
      <c r="BB129">
        <v>493</v>
      </c>
      <c r="BC129">
        <v>506</v>
      </c>
      <c r="BD129" t="s">
        <v>74</v>
      </c>
      <c r="BE129" t="s">
        <v>2890</v>
      </c>
      <c r="BF129" t="str">
        <f>HYPERLINK("http://dx.doi.org/10.3390/jtaer17020026","http://dx.doi.org/10.3390/jtaer17020026")</f>
        <v>http://dx.doi.org/10.3390/jtaer17020026</v>
      </c>
      <c r="BG129" t="s">
        <v>74</v>
      </c>
      <c r="BH129" t="s">
        <v>74</v>
      </c>
      <c r="BI129">
        <v>14</v>
      </c>
      <c r="BJ129" t="s">
        <v>418</v>
      </c>
      <c r="BK129" t="s">
        <v>99</v>
      </c>
      <c r="BL129" t="s">
        <v>100</v>
      </c>
      <c r="BM129" t="s">
        <v>2891</v>
      </c>
      <c r="BN129" t="s">
        <v>74</v>
      </c>
      <c r="BO129" t="s">
        <v>916</v>
      </c>
      <c r="BP129" t="s">
        <v>74</v>
      </c>
      <c r="BQ129" t="s">
        <v>74</v>
      </c>
      <c r="BR129" t="s">
        <v>102</v>
      </c>
      <c r="BS129" t="s">
        <v>2892</v>
      </c>
      <c r="BT129" t="str">
        <f>HYPERLINK("https%3A%2F%2Fwww.webofscience.com%2Fwos%2Fwoscc%2Ffull-record%2FWOS:000819107200001","View Full Record in Web of Science")</f>
        <v>View Full Record in Web of Science</v>
      </c>
    </row>
    <row r="130" spans="1:72" x14ac:dyDescent="0.25">
      <c r="A130" t="s">
        <v>72</v>
      </c>
      <c r="B130" t="s">
        <v>2893</v>
      </c>
      <c r="C130" t="s">
        <v>74</v>
      </c>
      <c r="D130" t="s">
        <v>74</v>
      </c>
      <c r="E130" t="s">
        <v>74</v>
      </c>
      <c r="F130" t="s">
        <v>2894</v>
      </c>
      <c r="G130" t="s">
        <v>74</v>
      </c>
      <c r="H130" t="s">
        <v>74</v>
      </c>
      <c r="I130" t="s">
        <v>2895</v>
      </c>
      <c r="J130" t="s">
        <v>2896</v>
      </c>
      <c r="K130" t="s">
        <v>74</v>
      </c>
      <c r="L130" t="s">
        <v>74</v>
      </c>
      <c r="M130" t="s">
        <v>78</v>
      </c>
      <c r="N130" t="s">
        <v>79</v>
      </c>
      <c r="O130" t="s">
        <v>74</v>
      </c>
      <c r="P130" t="s">
        <v>74</v>
      </c>
      <c r="Q130" t="s">
        <v>74</v>
      </c>
      <c r="R130" t="s">
        <v>74</v>
      </c>
      <c r="S130" t="s">
        <v>74</v>
      </c>
      <c r="T130" t="s">
        <v>2897</v>
      </c>
      <c r="U130" t="s">
        <v>2898</v>
      </c>
      <c r="V130" t="s">
        <v>2899</v>
      </c>
      <c r="W130" t="s">
        <v>2900</v>
      </c>
      <c r="X130" t="s">
        <v>2901</v>
      </c>
      <c r="Y130" t="s">
        <v>2902</v>
      </c>
      <c r="Z130" t="s">
        <v>74</v>
      </c>
      <c r="AA130" t="s">
        <v>2903</v>
      </c>
      <c r="AB130" t="s">
        <v>2904</v>
      </c>
      <c r="AC130" t="s">
        <v>2905</v>
      </c>
      <c r="AD130" t="s">
        <v>2906</v>
      </c>
      <c r="AE130" t="s">
        <v>74</v>
      </c>
      <c r="AF130" t="s">
        <v>74</v>
      </c>
      <c r="AG130">
        <v>11</v>
      </c>
      <c r="AH130">
        <v>8</v>
      </c>
      <c r="AI130">
        <v>10</v>
      </c>
      <c r="AJ130">
        <v>0</v>
      </c>
      <c r="AK130">
        <v>9</v>
      </c>
      <c r="AL130" t="s">
        <v>2907</v>
      </c>
      <c r="AM130" t="s">
        <v>2908</v>
      </c>
      <c r="AN130" t="s">
        <v>2909</v>
      </c>
      <c r="AO130" t="s">
        <v>2910</v>
      </c>
      <c r="AP130" t="s">
        <v>74</v>
      </c>
      <c r="AQ130" t="s">
        <v>74</v>
      </c>
      <c r="AR130" t="s">
        <v>2911</v>
      </c>
      <c r="AS130" t="s">
        <v>2912</v>
      </c>
      <c r="AT130" t="s">
        <v>848</v>
      </c>
      <c r="AU130">
        <v>2012</v>
      </c>
      <c r="AV130">
        <v>24</v>
      </c>
      <c r="AW130">
        <v>3</v>
      </c>
      <c r="AX130" t="s">
        <v>74</v>
      </c>
      <c r="AY130" t="s">
        <v>74</v>
      </c>
      <c r="AZ130" t="s">
        <v>74</v>
      </c>
      <c r="BA130" t="s">
        <v>74</v>
      </c>
      <c r="BB130">
        <v>397</v>
      </c>
      <c r="BC130">
        <v>412</v>
      </c>
      <c r="BD130" t="s">
        <v>74</v>
      </c>
      <c r="BE130" t="s">
        <v>2913</v>
      </c>
      <c r="BF130" t="str">
        <f>HYPERLINK("http://dx.doi.org/10.1057/ejdr.2011.59","http://dx.doi.org/10.1057/ejdr.2011.59")</f>
        <v>http://dx.doi.org/10.1057/ejdr.2011.59</v>
      </c>
      <c r="BG130" t="s">
        <v>74</v>
      </c>
      <c r="BH130" t="s">
        <v>74</v>
      </c>
      <c r="BI130">
        <v>16</v>
      </c>
      <c r="BJ130" t="s">
        <v>1137</v>
      </c>
      <c r="BK130" t="s">
        <v>99</v>
      </c>
      <c r="BL130" t="s">
        <v>1137</v>
      </c>
      <c r="BM130" t="s">
        <v>2914</v>
      </c>
      <c r="BN130" t="s">
        <v>74</v>
      </c>
      <c r="BO130" t="s">
        <v>74</v>
      </c>
      <c r="BP130" t="s">
        <v>74</v>
      </c>
      <c r="BQ130" t="s">
        <v>74</v>
      </c>
      <c r="BR130" t="s">
        <v>102</v>
      </c>
      <c r="BS130" t="s">
        <v>2915</v>
      </c>
      <c r="BT130" t="str">
        <f>HYPERLINK("https%3A%2F%2Fwww.webofscience.com%2Fwos%2Fwoscc%2Ffull-record%2FWOS:000305045600005","View Full Record in Web of Science")</f>
        <v>View Full Record in Web of Science</v>
      </c>
    </row>
    <row r="131" spans="1:72" x14ac:dyDescent="0.25">
      <c r="A131" t="s">
        <v>72</v>
      </c>
      <c r="B131" t="s">
        <v>2916</v>
      </c>
      <c r="C131" t="s">
        <v>74</v>
      </c>
      <c r="D131" t="s">
        <v>74</v>
      </c>
      <c r="E131" t="s">
        <v>74</v>
      </c>
      <c r="F131" t="s">
        <v>2917</v>
      </c>
      <c r="G131" t="s">
        <v>74</v>
      </c>
      <c r="H131" t="s">
        <v>74</v>
      </c>
      <c r="I131" t="s">
        <v>2918</v>
      </c>
      <c r="J131" t="s">
        <v>2919</v>
      </c>
      <c r="K131" t="s">
        <v>74</v>
      </c>
      <c r="L131" t="s">
        <v>74</v>
      </c>
      <c r="M131" t="s">
        <v>78</v>
      </c>
      <c r="N131" t="s">
        <v>79</v>
      </c>
      <c r="O131" t="s">
        <v>74</v>
      </c>
      <c r="P131" t="s">
        <v>74</v>
      </c>
      <c r="Q131" t="s">
        <v>74</v>
      </c>
      <c r="R131" t="s">
        <v>74</v>
      </c>
      <c r="S131" t="s">
        <v>74</v>
      </c>
      <c r="T131" t="s">
        <v>2920</v>
      </c>
      <c r="U131" t="s">
        <v>2921</v>
      </c>
      <c r="V131" t="s">
        <v>2922</v>
      </c>
      <c r="W131" t="s">
        <v>2923</v>
      </c>
      <c r="X131" t="s">
        <v>2924</v>
      </c>
      <c r="Y131" t="s">
        <v>2925</v>
      </c>
      <c r="Z131" t="s">
        <v>2926</v>
      </c>
      <c r="AA131" t="s">
        <v>2927</v>
      </c>
      <c r="AB131" t="s">
        <v>2928</v>
      </c>
      <c r="AC131" t="s">
        <v>2929</v>
      </c>
      <c r="AD131" t="s">
        <v>2929</v>
      </c>
      <c r="AE131" t="s">
        <v>2930</v>
      </c>
      <c r="AF131" t="s">
        <v>74</v>
      </c>
      <c r="AG131">
        <v>36</v>
      </c>
      <c r="AH131">
        <v>4</v>
      </c>
      <c r="AI131">
        <v>6</v>
      </c>
      <c r="AJ131">
        <v>0</v>
      </c>
      <c r="AK131">
        <v>7</v>
      </c>
      <c r="AL131" t="s">
        <v>332</v>
      </c>
      <c r="AM131" t="s">
        <v>333</v>
      </c>
      <c r="AN131" t="s">
        <v>334</v>
      </c>
      <c r="AO131" t="s">
        <v>2931</v>
      </c>
      <c r="AP131" t="s">
        <v>2932</v>
      </c>
      <c r="AQ131" t="s">
        <v>74</v>
      </c>
      <c r="AR131" t="s">
        <v>2933</v>
      </c>
      <c r="AS131" t="s">
        <v>2934</v>
      </c>
      <c r="AT131" t="s">
        <v>2935</v>
      </c>
      <c r="AU131">
        <v>2021</v>
      </c>
      <c r="AV131">
        <v>25</v>
      </c>
      <c r="AW131">
        <v>3</v>
      </c>
      <c r="AX131" t="s">
        <v>74</v>
      </c>
      <c r="AY131" t="s">
        <v>74</v>
      </c>
      <c r="AZ131" t="s">
        <v>74</v>
      </c>
      <c r="BA131" t="s">
        <v>74</v>
      </c>
      <c r="BB131">
        <v>287</v>
      </c>
      <c r="BC131">
        <v>307</v>
      </c>
      <c r="BD131" t="s">
        <v>74</v>
      </c>
      <c r="BE131" t="s">
        <v>2936</v>
      </c>
      <c r="BF131" t="str">
        <f>HYPERLINK("http://dx.doi.org/10.1080/10875549.2020.1799288","http://dx.doi.org/10.1080/10875549.2020.1799288")</f>
        <v>http://dx.doi.org/10.1080/10875549.2020.1799288</v>
      </c>
      <c r="BG131" t="s">
        <v>74</v>
      </c>
      <c r="BH131" t="s">
        <v>2937</v>
      </c>
      <c r="BI131">
        <v>21</v>
      </c>
      <c r="BJ131" t="s">
        <v>2045</v>
      </c>
      <c r="BK131" t="s">
        <v>313</v>
      </c>
      <c r="BL131" t="s">
        <v>2045</v>
      </c>
      <c r="BM131" t="s">
        <v>2938</v>
      </c>
      <c r="BN131" t="s">
        <v>74</v>
      </c>
      <c r="BO131" t="s">
        <v>74</v>
      </c>
      <c r="BP131" t="s">
        <v>74</v>
      </c>
      <c r="BQ131" t="s">
        <v>74</v>
      </c>
      <c r="BR131" t="s">
        <v>102</v>
      </c>
      <c r="BS131" t="s">
        <v>2939</v>
      </c>
      <c r="BT131" t="str">
        <f>HYPERLINK("https%3A%2F%2Fwww.webofscience.com%2Fwos%2Fwoscc%2Ffull-record%2FWOS:000565963200001","View Full Record in Web of Science")</f>
        <v>View Full Record in Web of Science</v>
      </c>
    </row>
    <row r="132" spans="1:72" x14ac:dyDescent="0.25">
      <c r="A132" t="s">
        <v>72</v>
      </c>
      <c r="B132" t="s">
        <v>2940</v>
      </c>
      <c r="C132" t="s">
        <v>74</v>
      </c>
      <c r="D132" t="s">
        <v>74</v>
      </c>
      <c r="E132" t="s">
        <v>74</v>
      </c>
      <c r="F132" t="s">
        <v>2941</v>
      </c>
      <c r="G132" t="s">
        <v>74</v>
      </c>
      <c r="H132" t="s">
        <v>74</v>
      </c>
      <c r="I132" t="s">
        <v>2942</v>
      </c>
      <c r="J132" t="s">
        <v>2943</v>
      </c>
      <c r="K132" t="s">
        <v>74</v>
      </c>
      <c r="L132" t="s">
        <v>74</v>
      </c>
      <c r="M132" t="s">
        <v>78</v>
      </c>
      <c r="N132" t="s">
        <v>79</v>
      </c>
      <c r="O132" t="s">
        <v>74</v>
      </c>
      <c r="P132" t="s">
        <v>74</v>
      </c>
      <c r="Q132" t="s">
        <v>74</v>
      </c>
      <c r="R132" t="s">
        <v>74</v>
      </c>
      <c r="S132" t="s">
        <v>74</v>
      </c>
      <c r="T132" t="s">
        <v>2944</v>
      </c>
      <c r="U132" t="s">
        <v>2945</v>
      </c>
      <c r="V132" t="s">
        <v>2946</v>
      </c>
      <c r="W132" t="s">
        <v>2947</v>
      </c>
      <c r="X132" t="s">
        <v>2948</v>
      </c>
      <c r="Y132" t="s">
        <v>2949</v>
      </c>
      <c r="Z132" t="s">
        <v>2950</v>
      </c>
      <c r="AA132" t="s">
        <v>2951</v>
      </c>
      <c r="AB132" t="s">
        <v>74</v>
      </c>
      <c r="AC132" t="s">
        <v>74</v>
      </c>
      <c r="AD132" t="s">
        <v>74</v>
      </c>
      <c r="AE132" t="s">
        <v>74</v>
      </c>
      <c r="AF132" t="s">
        <v>74</v>
      </c>
      <c r="AG132">
        <v>61</v>
      </c>
      <c r="AH132">
        <v>0</v>
      </c>
      <c r="AI132">
        <v>0</v>
      </c>
      <c r="AJ132">
        <v>5</v>
      </c>
      <c r="AK132">
        <v>5</v>
      </c>
      <c r="AL132" t="s">
        <v>385</v>
      </c>
      <c r="AM132" t="s">
        <v>151</v>
      </c>
      <c r="AN132" t="s">
        <v>386</v>
      </c>
      <c r="AO132" t="s">
        <v>2952</v>
      </c>
      <c r="AP132" t="s">
        <v>2953</v>
      </c>
      <c r="AQ132" t="s">
        <v>74</v>
      </c>
      <c r="AR132" t="s">
        <v>2954</v>
      </c>
      <c r="AS132" t="s">
        <v>2955</v>
      </c>
      <c r="AT132" t="s">
        <v>2956</v>
      </c>
      <c r="AU132">
        <v>2025</v>
      </c>
      <c r="AV132">
        <v>11</v>
      </c>
      <c r="AW132">
        <v>1</v>
      </c>
      <c r="AX132" t="s">
        <v>74</v>
      </c>
      <c r="AY132" t="s">
        <v>74</v>
      </c>
      <c r="AZ132" t="s">
        <v>74</v>
      </c>
      <c r="BA132" t="s">
        <v>74</v>
      </c>
      <c r="BB132" t="s">
        <v>74</v>
      </c>
      <c r="BC132" t="s">
        <v>74</v>
      </c>
      <c r="BD132">
        <v>213</v>
      </c>
      <c r="BE132" t="s">
        <v>2957</v>
      </c>
      <c r="BF132" t="str">
        <f>HYPERLINK("http://dx.doi.org/10.1186/s43093-025-00624-5","http://dx.doi.org/10.1186/s43093-025-00624-5")</f>
        <v>http://dx.doi.org/10.1186/s43093-025-00624-5</v>
      </c>
      <c r="BG132" t="s">
        <v>74</v>
      </c>
      <c r="BH132" t="s">
        <v>74</v>
      </c>
      <c r="BI132">
        <v>18</v>
      </c>
      <c r="BJ132" t="s">
        <v>418</v>
      </c>
      <c r="BK132" t="s">
        <v>313</v>
      </c>
      <c r="BL132" t="s">
        <v>100</v>
      </c>
      <c r="BM132" t="s">
        <v>2958</v>
      </c>
      <c r="BN132" t="s">
        <v>74</v>
      </c>
      <c r="BO132" t="s">
        <v>212</v>
      </c>
      <c r="BP132" t="s">
        <v>74</v>
      </c>
      <c r="BQ132" t="s">
        <v>74</v>
      </c>
      <c r="BR132" t="s">
        <v>102</v>
      </c>
      <c r="BS132" t="s">
        <v>2959</v>
      </c>
      <c r="BT132" t="str">
        <f>HYPERLINK("https%3A%2F%2Fwww.webofscience.com%2Fwos%2Fwoscc%2Ffull-record%2FWOS:001558560000002","View Full Record in Web of Science")</f>
        <v>View Full Record in Web of Science</v>
      </c>
    </row>
    <row r="133" spans="1:72" x14ac:dyDescent="0.25">
      <c r="A133" t="s">
        <v>72</v>
      </c>
      <c r="B133" t="s">
        <v>2960</v>
      </c>
      <c r="C133" t="s">
        <v>74</v>
      </c>
      <c r="D133" t="s">
        <v>74</v>
      </c>
      <c r="E133" t="s">
        <v>74</v>
      </c>
      <c r="F133" t="s">
        <v>2961</v>
      </c>
      <c r="G133" t="s">
        <v>74</v>
      </c>
      <c r="H133" t="s">
        <v>74</v>
      </c>
      <c r="I133" t="s">
        <v>2962</v>
      </c>
      <c r="J133" t="s">
        <v>2471</v>
      </c>
      <c r="K133" t="s">
        <v>74</v>
      </c>
      <c r="L133" t="s">
        <v>74</v>
      </c>
      <c r="M133" t="s">
        <v>78</v>
      </c>
      <c r="N133" t="s">
        <v>79</v>
      </c>
      <c r="O133" t="s">
        <v>74</v>
      </c>
      <c r="P133" t="s">
        <v>74</v>
      </c>
      <c r="Q133" t="s">
        <v>74</v>
      </c>
      <c r="R133" t="s">
        <v>74</v>
      </c>
      <c r="S133" t="s">
        <v>74</v>
      </c>
      <c r="T133" t="s">
        <v>2963</v>
      </c>
      <c r="U133" t="s">
        <v>2964</v>
      </c>
      <c r="V133" t="s">
        <v>2965</v>
      </c>
      <c r="W133" t="s">
        <v>2966</v>
      </c>
      <c r="X133" t="s">
        <v>2967</v>
      </c>
      <c r="Y133" t="s">
        <v>2968</v>
      </c>
      <c r="Z133" t="s">
        <v>2969</v>
      </c>
      <c r="AA133" t="s">
        <v>74</v>
      </c>
      <c r="AB133" t="s">
        <v>74</v>
      </c>
      <c r="AC133" t="s">
        <v>74</v>
      </c>
      <c r="AD133" t="s">
        <v>74</v>
      </c>
      <c r="AE133" t="s">
        <v>74</v>
      </c>
      <c r="AF133" t="s">
        <v>74</v>
      </c>
      <c r="AG133">
        <v>44</v>
      </c>
      <c r="AH133">
        <v>0</v>
      </c>
      <c r="AI133">
        <v>0</v>
      </c>
      <c r="AJ133">
        <v>0</v>
      </c>
      <c r="AK133">
        <v>0</v>
      </c>
      <c r="AL133" t="s">
        <v>823</v>
      </c>
      <c r="AM133" t="s">
        <v>333</v>
      </c>
      <c r="AN133" t="s">
        <v>824</v>
      </c>
      <c r="AO133" t="s">
        <v>2484</v>
      </c>
      <c r="AP133" t="s">
        <v>74</v>
      </c>
      <c r="AQ133" t="s">
        <v>74</v>
      </c>
      <c r="AR133" t="s">
        <v>2485</v>
      </c>
      <c r="AS133" t="s">
        <v>2486</v>
      </c>
      <c r="AT133" t="s">
        <v>2970</v>
      </c>
      <c r="AU133">
        <v>2025</v>
      </c>
      <c r="AV133">
        <v>11</v>
      </c>
      <c r="AW133">
        <v>1</v>
      </c>
      <c r="AX133" t="s">
        <v>74</v>
      </c>
      <c r="AY133" t="s">
        <v>74</v>
      </c>
      <c r="AZ133" t="s">
        <v>74</v>
      </c>
      <c r="BA133" t="s">
        <v>74</v>
      </c>
      <c r="BB133" t="s">
        <v>74</v>
      </c>
      <c r="BC133" t="s">
        <v>74</v>
      </c>
      <c r="BD133">
        <v>2590235</v>
      </c>
      <c r="BE133" t="s">
        <v>2971</v>
      </c>
      <c r="BF133" t="str">
        <f>HYPERLINK("http://dx.doi.org/10.1080/23311886.2025.2590235","http://dx.doi.org/10.1080/23311886.2025.2590235")</f>
        <v>http://dx.doi.org/10.1080/23311886.2025.2590235</v>
      </c>
      <c r="BG133" t="s">
        <v>74</v>
      </c>
      <c r="BH133" t="s">
        <v>74</v>
      </c>
      <c r="BI133">
        <v>14</v>
      </c>
      <c r="BJ133" t="s">
        <v>364</v>
      </c>
      <c r="BK133" t="s">
        <v>313</v>
      </c>
      <c r="BL133" t="s">
        <v>365</v>
      </c>
      <c r="BM133" t="s">
        <v>2972</v>
      </c>
      <c r="BN133" t="s">
        <v>74</v>
      </c>
      <c r="BO133" t="s">
        <v>916</v>
      </c>
      <c r="BP133" t="s">
        <v>74</v>
      </c>
      <c r="BQ133" t="s">
        <v>74</v>
      </c>
      <c r="BR133" t="s">
        <v>102</v>
      </c>
      <c r="BS133" t="s">
        <v>2973</v>
      </c>
      <c r="BT133" t="str">
        <f>HYPERLINK("https%3A%2F%2Fwww.webofscience.com%2Fwos%2Fwoscc%2Ffull-record%2FWOS:001624302200001","View Full Record in Web of Science")</f>
        <v>View Full Record in Web of Science</v>
      </c>
    </row>
    <row r="134" spans="1:72" x14ac:dyDescent="0.25">
      <c r="A134" t="s">
        <v>72</v>
      </c>
      <c r="B134" t="s">
        <v>2974</v>
      </c>
      <c r="C134" t="s">
        <v>74</v>
      </c>
      <c r="D134" t="s">
        <v>74</v>
      </c>
      <c r="E134" t="s">
        <v>74</v>
      </c>
      <c r="F134" t="s">
        <v>2975</v>
      </c>
      <c r="G134" t="s">
        <v>74</v>
      </c>
      <c r="H134" t="s">
        <v>74</v>
      </c>
      <c r="I134" t="s">
        <v>2976</v>
      </c>
      <c r="J134" t="s">
        <v>2977</v>
      </c>
      <c r="K134" t="s">
        <v>74</v>
      </c>
      <c r="L134" t="s">
        <v>74</v>
      </c>
      <c r="M134" t="s">
        <v>78</v>
      </c>
      <c r="N134" t="s">
        <v>79</v>
      </c>
      <c r="O134" t="s">
        <v>74</v>
      </c>
      <c r="P134" t="s">
        <v>74</v>
      </c>
      <c r="Q134" t="s">
        <v>74</v>
      </c>
      <c r="R134" t="s">
        <v>74</v>
      </c>
      <c r="S134" t="s">
        <v>74</v>
      </c>
      <c r="T134" t="s">
        <v>2978</v>
      </c>
      <c r="U134" t="s">
        <v>2979</v>
      </c>
      <c r="V134" t="s">
        <v>2980</v>
      </c>
      <c r="W134" t="s">
        <v>2981</v>
      </c>
      <c r="X134" t="s">
        <v>2982</v>
      </c>
      <c r="Y134" t="s">
        <v>2983</v>
      </c>
      <c r="Z134" t="s">
        <v>2984</v>
      </c>
      <c r="AA134" t="s">
        <v>2985</v>
      </c>
      <c r="AB134" t="s">
        <v>2986</v>
      </c>
      <c r="AC134" t="s">
        <v>74</v>
      </c>
      <c r="AD134" t="s">
        <v>74</v>
      </c>
      <c r="AE134" t="s">
        <v>74</v>
      </c>
      <c r="AF134" t="s">
        <v>74</v>
      </c>
      <c r="AG134">
        <v>24</v>
      </c>
      <c r="AH134">
        <v>60</v>
      </c>
      <c r="AI134">
        <v>77</v>
      </c>
      <c r="AJ134">
        <v>3</v>
      </c>
      <c r="AK134">
        <v>100</v>
      </c>
      <c r="AL134" t="s">
        <v>757</v>
      </c>
      <c r="AM134" t="s">
        <v>758</v>
      </c>
      <c r="AN134" t="s">
        <v>759</v>
      </c>
      <c r="AO134" t="s">
        <v>2987</v>
      </c>
      <c r="AP134" t="s">
        <v>2988</v>
      </c>
      <c r="AQ134" t="s">
        <v>74</v>
      </c>
      <c r="AR134" t="s">
        <v>2989</v>
      </c>
      <c r="AS134" t="s">
        <v>2990</v>
      </c>
      <c r="AT134" t="s">
        <v>848</v>
      </c>
      <c r="AU134">
        <v>2019</v>
      </c>
      <c r="AV134">
        <v>30</v>
      </c>
      <c r="AW134">
        <v>7</v>
      </c>
      <c r="AX134" t="s">
        <v>74</v>
      </c>
      <c r="AY134" t="s">
        <v>74</v>
      </c>
      <c r="AZ134" t="s">
        <v>74</v>
      </c>
      <c r="BA134" t="s">
        <v>74</v>
      </c>
      <c r="BB134">
        <v>1087</v>
      </c>
      <c r="BC134">
        <v>1096</v>
      </c>
      <c r="BD134" t="s">
        <v>74</v>
      </c>
      <c r="BE134" t="s">
        <v>2991</v>
      </c>
      <c r="BF134" t="str">
        <f>HYPERLINK("http://dx.doi.org/10.1177/0956797619849435","http://dx.doi.org/10.1177/0956797619849435")</f>
        <v>http://dx.doi.org/10.1177/0956797619849435</v>
      </c>
      <c r="BG134" t="s">
        <v>74</v>
      </c>
      <c r="BH134" t="s">
        <v>74</v>
      </c>
      <c r="BI134">
        <v>10</v>
      </c>
      <c r="BJ134" t="s">
        <v>2992</v>
      </c>
      <c r="BK134" t="s">
        <v>99</v>
      </c>
      <c r="BL134" t="s">
        <v>2993</v>
      </c>
      <c r="BM134" t="s">
        <v>2994</v>
      </c>
      <c r="BN134">
        <v>31166847</v>
      </c>
      <c r="BO134" t="s">
        <v>74</v>
      </c>
      <c r="BP134" t="s">
        <v>74</v>
      </c>
      <c r="BQ134" t="s">
        <v>74</v>
      </c>
      <c r="BR134" t="s">
        <v>102</v>
      </c>
      <c r="BS134" t="s">
        <v>2995</v>
      </c>
      <c r="BT134" t="str">
        <f>HYPERLINK("https%3A%2F%2Fwww.webofscience.com%2Fwos%2Fwoscc%2Ffull-record%2FWOS:000476525400011","View Full Record in Web of Science")</f>
        <v>View Full Record in Web of Science</v>
      </c>
    </row>
    <row r="135" spans="1:72" x14ac:dyDescent="0.25">
      <c r="A135" t="s">
        <v>72</v>
      </c>
      <c r="B135" t="s">
        <v>2996</v>
      </c>
      <c r="C135" t="s">
        <v>74</v>
      </c>
      <c r="D135" t="s">
        <v>74</v>
      </c>
      <c r="E135" t="s">
        <v>74</v>
      </c>
      <c r="F135" t="s">
        <v>2997</v>
      </c>
      <c r="G135" t="s">
        <v>74</v>
      </c>
      <c r="H135" t="s">
        <v>74</v>
      </c>
      <c r="I135" t="s">
        <v>2998</v>
      </c>
      <c r="J135" t="s">
        <v>656</v>
      </c>
      <c r="K135" t="s">
        <v>74</v>
      </c>
      <c r="L135" t="s">
        <v>74</v>
      </c>
      <c r="M135" t="s">
        <v>78</v>
      </c>
      <c r="N135" t="s">
        <v>79</v>
      </c>
      <c r="O135" t="s">
        <v>74</v>
      </c>
      <c r="P135" t="s">
        <v>74</v>
      </c>
      <c r="Q135" t="s">
        <v>74</v>
      </c>
      <c r="R135" t="s">
        <v>74</v>
      </c>
      <c r="S135" t="s">
        <v>74</v>
      </c>
      <c r="T135" t="s">
        <v>2999</v>
      </c>
      <c r="U135" t="s">
        <v>3000</v>
      </c>
      <c r="V135" t="s">
        <v>3001</v>
      </c>
      <c r="W135" t="s">
        <v>3002</v>
      </c>
      <c r="X135" t="s">
        <v>3003</v>
      </c>
      <c r="Y135" t="s">
        <v>3004</v>
      </c>
      <c r="Z135" t="s">
        <v>3005</v>
      </c>
      <c r="AA135" t="s">
        <v>74</v>
      </c>
      <c r="AB135" t="s">
        <v>3006</v>
      </c>
      <c r="AC135" t="s">
        <v>74</v>
      </c>
      <c r="AD135" t="s">
        <v>74</v>
      </c>
      <c r="AE135" t="s">
        <v>74</v>
      </c>
      <c r="AF135" t="s">
        <v>74</v>
      </c>
      <c r="AG135">
        <v>61</v>
      </c>
      <c r="AH135">
        <v>8</v>
      </c>
      <c r="AI135">
        <v>9</v>
      </c>
      <c r="AJ135">
        <v>0</v>
      </c>
      <c r="AK135">
        <v>10</v>
      </c>
      <c r="AL135" t="s">
        <v>666</v>
      </c>
      <c r="AM135" t="s">
        <v>667</v>
      </c>
      <c r="AN135" t="s">
        <v>668</v>
      </c>
      <c r="AO135" t="s">
        <v>669</v>
      </c>
      <c r="AP135" t="s">
        <v>670</v>
      </c>
      <c r="AQ135" t="s">
        <v>74</v>
      </c>
      <c r="AR135" t="s">
        <v>671</v>
      </c>
      <c r="AS135" t="s">
        <v>672</v>
      </c>
      <c r="AT135" t="s">
        <v>124</v>
      </c>
      <c r="AU135">
        <v>2022</v>
      </c>
      <c r="AV135">
        <v>43</v>
      </c>
      <c r="AW135">
        <v>4</v>
      </c>
      <c r="AX135" t="s">
        <v>74</v>
      </c>
      <c r="AY135" t="s">
        <v>74</v>
      </c>
      <c r="AZ135" t="s">
        <v>441</v>
      </c>
      <c r="BA135" t="s">
        <v>74</v>
      </c>
      <c r="BB135">
        <v>703</v>
      </c>
      <c r="BC135">
        <v>715</v>
      </c>
      <c r="BD135" t="s">
        <v>74</v>
      </c>
      <c r="BE135" t="s">
        <v>3007</v>
      </c>
      <c r="BF135" t="str">
        <f>HYPERLINK("http://dx.doi.org/10.1007/s10834-022-09823-6","http://dx.doi.org/10.1007/s10834-022-09823-6")</f>
        <v>http://dx.doi.org/10.1007/s10834-022-09823-6</v>
      </c>
      <c r="BG135" t="s">
        <v>74</v>
      </c>
      <c r="BH135" t="s">
        <v>674</v>
      </c>
      <c r="BI135">
        <v>13</v>
      </c>
      <c r="BJ135" t="s">
        <v>675</v>
      </c>
      <c r="BK135" t="s">
        <v>99</v>
      </c>
      <c r="BL135" t="s">
        <v>676</v>
      </c>
      <c r="BM135" t="s">
        <v>677</v>
      </c>
      <c r="BN135" t="s">
        <v>74</v>
      </c>
      <c r="BO135" t="s">
        <v>74</v>
      </c>
      <c r="BP135" t="s">
        <v>74</v>
      </c>
      <c r="BQ135" t="s">
        <v>74</v>
      </c>
      <c r="BR135" t="s">
        <v>102</v>
      </c>
      <c r="BS135" t="s">
        <v>3008</v>
      </c>
      <c r="BT135" t="str">
        <f>HYPERLINK("https%3A%2F%2Fwww.webofscience.com%2Fwos%2Fwoscc%2Ffull-record%2FWOS:000753216200002","View Full Record in Web of Science")</f>
        <v>View Full Record in Web of Science</v>
      </c>
    </row>
    <row r="136" spans="1:72" x14ac:dyDescent="0.25">
      <c r="A136" t="s">
        <v>72</v>
      </c>
      <c r="B136" t="s">
        <v>3009</v>
      </c>
      <c r="C136" t="s">
        <v>74</v>
      </c>
      <c r="D136" t="s">
        <v>74</v>
      </c>
      <c r="E136" t="s">
        <v>74</v>
      </c>
      <c r="F136" t="s">
        <v>3010</v>
      </c>
      <c r="G136" t="s">
        <v>74</v>
      </c>
      <c r="H136" t="s">
        <v>74</v>
      </c>
      <c r="I136" t="s">
        <v>3011</v>
      </c>
      <c r="J136" t="s">
        <v>3012</v>
      </c>
      <c r="K136" t="s">
        <v>74</v>
      </c>
      <c r="L136" t="s">
        <v>74</v>
      </c>
      <c r="M136" t="s">
        <v>78</v>
      </c>
      <c r="N136" t="s">
        <v>79</v>
      </c>
      <c r="O136" t="s">
        <v>74</v>
      </c>
      <c r="P136" t="s">
        <v>74</v>
      </c>
      <c r="Q136" t="s">
        <v>74</v>
      </c>
      <c r="R136" t="s">
        <v>74</v>
      </c>
      <c r="S136" t="s">
        <v>74</v>
      </c>
      <c r="T136" t="s">
        <v>74</v>
      </c>
      <c r="U136" t="s">
        <v>3013</v>
      </c>
      <c r="V136" t="s">
        <v>3014</v>
      </c>
      <c r="W136" t="s">
        <v>3015</v>
      </c>
      <c r="X136" t="s">
        <v>3016</v>
      </c>
      <c r="Y136" t="s">
        <v>3017</v>
      </c>
      <c r="Z136" t="s">
        <v>3018</v>
      </c>
      <c r="AA136" t="s">
        <v>3019</v>
      </c>
      <c r="AB136" t="s">
        <v>74</v>
      </c>
      <c r="AC136" t="s">
        <v>3020</v>
      </c>
      <c r="AD136" t="s">
        <v>3021</v>
      </c>
      <c r="AE136" t="s">
        <v>3022</v>
      </c>
      <c r="AF136" t="s">
        <v>74</v>
      </c>
      <c r="AG136">
        <v>62</v>
      </c>
      <c r="AH136">
        <v>45</v>
      </c>
      <c r="AI136">
        <v>60</v>
      </c>
      <c r="AJ136">
        <v>2</v>
      </c>
      <c r="AK136">
        <v>16</v>
      </c>
      <c r="AL136" t="s">
        <v>3023</v>
      </c>
      <c r="AM136" t="s">
        <v>3024</v>
      </c>
      <c r="AN136" t="s">
        <v>3025</v>
      </c>
      <c r="AO136" t="s">
        <v>3026</v>
      </c>
      <c r="AP136" t="s">
        <v>3027</v>
      </c>
      <c r="AQ136" t="s">
        <v>74</v>
      </c>
      <c r="AR136" t="s">
        <v>3028</v>
      </c>
      <c r="AS136" t="s">
        <v>3029</v>
      </c>
      <c r="AT136" t="s">
        <v>848</v>
      </c>
      <c r="AU136">
        <v>2018</v>
      </c>
      <c r="AV136">
        <v>10</v>
      </c>
      <c r="AW136">
        <v>3</v>
      </c>
      <c r="AX136" t="s">
        <v>74</v>
      </c>
      <c r="AY136" t="s">
        <v>74</v>
      </c>
      <c r="AZ136" t="s">
        <v>74</v>
      </c>
      <c r="BA136" t="s">
        <v>74</v>
      </c>
      <c r="BB136">
        <v>67</v>
      </c>
      <c r="BC136">
        <v>100</v>
      </c>
      <c r="BD136" t="s">
        <v>74</v>
      </c>
      <c r="BE136" t="s">
        <v>3030</v>
      </c>
      <c r="BF136" t="str">
        <f>HYPERLINK("http://dx.doi.org/10.1257/app.20170453","http://dx.doi.org/10.1257/app.20170453")</f>
        <v>http://dx.doi.org/10.1257/app.20170453</v>
      </c>
      <c r="BG136" t="s">
        <v>74</v>
      </c>
      <c r="BH136" t="s">
        <v>74</v>
      </c>
      <c r="BI136">
        <v>34</v>
      </c>
      <c r="BJ136" t="s">
        <v>291</v>
      </c>
      <c r="BK136" t="s">
        <v>99</v>
      </c>
      <c r="BL136" t="s">
        <v>100</v>
      </c>
      <c r="BM136" t="s">
        <v>3031</v>
      </c>
      <c r="BN136" t="s">
        <v>74</v>
      </c>
      <c r="BO136" t="s">
        <v>1205</v>
      </c>
      <c r="BP136" t="s">
        <v>74</v>
      </c>
      <c r="BQ136" t="s">
        <v>74</v>
      </c>
      <c r="BR136" t="s">
        <v>102</v>
      </c>
      <c r="BS136" t="s">
        <v>3032</v>
      </c>
      <c r="BT136" t="str">
        <f>HYPERLINK("https%3A%2F%2Fwww.webofscience.com%2Fwos%2Fwoscc%2Ffull-record%2FWOS:000436511200003","View Full Record in Web of Science")</f>
        <v>View Full Record in Web of Science</v>
      </c>
    </row>
    <row r="137" spans="1:72" x14ac:dyDescent="0.25">
      <c r="A137" t="s">
        <v>72</v>
      </c>
      <c r="B137" t="s">
        <v>3033</v>
      </c>
      <c r="C137" t="s">
        <v>74</v>
      </c>
      <c r="D137" t="s">
        <v>74</v>
      </c>
      <c r="E137" t="s">
        <v>74</v>
      </c>
      <c r="F137" t="s">
        <v>3034</v>
      </c>
      <c r="G137" t="s">
        <v>74</v>
      </c>
      <c r="H137" t="s">
        <v>74</v>
      </c>
      <c r="I137" t="s">
        <v>3035</v>
      </c>
      <c r="J137" t="s">
        <v>3036</v>
      </c>
      <c r="K137" t="s">
        <v>74</v>
      </c>
      <c r="L137" t="s">
        <v>74</v>
      </c>
      <c r="M137" t="s">
        <v>78</v>
      </c>
      <c r="N137" t="s">
        <v>79</v>
      </c>
      <c r="O137" t="s">
        <v>74</v>
      </c>
      <c r="P137" t="s">
        <v>74</v>
      </c>
      <c r="Q137" t="s">
        <v>74</v>
      </c>
      <c r="R137" t="s">
        <v>74</v>
      </c>
      <c r="S137" t="s">
        <v>74</v>
      </c>
      <c r="T137" t="s">
        <v>3037</v>
      </c>
      <c r="U137" t="s">
        <v>3038</v>
      </c>
      <c r="V137" t="s">
        <v>3039</v>
      </c>
      <c r="W137" t="s">
        <v>3040</v>
      </c>
      <c r="X137" t="s">
        <v>3041</v>
      </c>
      <c r="Y137" t="s">
        <v>3042</v>
      </c>
      <c r="Z137" t="s">
        <v>3043</v>
      </c>
      <c r="AA137" t="s">
        <v>3044</v>
      </c>
      <c r="AB137" t="s">
        <v>74</v>
      </c>
      <c r="AC137" t="s">
        <v>74</v>
      </c>
      <c r="AD137" t="s">
        <v>74</v>
      </c>
      <c r="AE137" t="s">
        <v>74</v>
      </c>
      <c r="AF137" t="s">
        <v>74</v>
      </c>
      <c r="AG137">
        <v>73</v>
      </c>
      <c r="AH137">
        <v>7</v>
      </c>
      <c r="AI137">
        <v>10</v>
      </c>
      <c r="AJ137">
        <v>1</v>
      </c>
      <c r="AK137">
        <v>12</v>
      </c>
      <c r="AL137" t="s">
        <v>385</v>
      </c>
      <c r="AM137" t="s">
        <v>151</v>
      </c>
      <c r="AN137" t="s">
        <v>386</v>
      </c>
      <c r="AO137" t="s">
        <v>3045</v>
      </c>
      <c r="AP137" t="s">
        <v>3046</v>
      </c>
      <c r="AQ137" t="s">
        <v>74</v>
      </c>
      <c r="AR137" t="s">
        <v>3047</v>
      </c>
      <c r="AS137" t="s">
        <v>3048</v>
      </c>
      <c r="AT137" t="s">
        <v>124</v>
      </c>
      <c r="AU137">
        <v>2023</v>
      </c>
      <c r="AV137">
        <v>14</v>
      </c>
      <c r="AW137">
        <v>4</v>
      </c>
      <c r="AX137" t="s">
        <v>74</v>
      </c>
      <c r="AY137" t="s">
        <v>74</v>
      </c>
      <c r="AZ137" t="s">
        <v>74</v>
      </c>
      <c r="BA137" t="s">
        <v>74</v>
      </c>
      <c r="BB137">
        <v>4848</v>
      </c>
      <c r="BC137">
        <v>4865</v>
      </c>
      <c r="BD137" t="s">
        <v>74</v>
      </c>
      <c r="BE137" t="s">
        <v>3049</v>
      </c>
      <c r="BF137" t="str">
        <f>HYPERLINK("http://dx.doi.org/10.1007/s13132-022-01042-6","http://dx.doi.org/10.1007/s13132-022-01042-6")</f>
        <v>http://dx.doi.org/10.1007/s13132-022-01042-6</v>
      </c>
      <c r="BG137" t="s">
        <v>74</v>
      </c>
      <c r="BH137" t="s">
        <v>3050</v>
      </c>
      <c r="BI137">
        <v>18</v>
      </c>
      <c r="BJ137" t="s">
        <v>291</v>
      </c>
      <c r="BK137" t="s">
        <v>99</v>
      </c>
      <c r="BL137" t="s">
        <v>100</v>
      </c>
      <c r="BM137" t="s">
        <v>3051</v>
      </c>
      <c r="BN137" t="s">
        <v>74</v>
      </c>
      <c r="BO137" t="s">
        <v>74</v>
      </c>
      <c r="BP137" t="s">
        <v>74</v>
      </c>
      <c r="BQ137" t="s">
        <v>74</v>
      </c>
      <c r="BR137" t="s">
        <v>102</v>
      </c>
      <c r="BS137" t="s">
        <v>3052</v>
      </c>
      <c r="BT137" t="str">
        <f>HYPERLINK("https%3A%2F%2Fwww.webofscience.com%2Fwos%2Fwoscc%2Ffull-record%2FWOS:000865897300001","View Full Record in Web of Science")</f>
        <v>View Full Record in Web of Science</v>
      </c>
    </row>
    <row r="138" spans="1:72" x14ac:dyDescent="0.25">
      <c r="A138" t="s">
        <v>72</v>
      </c>
      <c r="B138" t="s">
        <v>3053</v>
      </c>
      <c r="C138" t="s">
        <v>74</v>
      </c>
      <c r="D138" t="s">
        <v>74</v>
      </c>
      <c r="E138" t="s">
        <v>74</v>
      </c>
      <c r="F138" t="s">
        <v>3054</v>
      </c>
      <c r="G138" t="s">
        <v>74</v>
      </c>
      <c r="H138" t="s">
        <v>74</v>
      </c>
      <c r="I138" t="s">
        <v>3055</v>
      </c>
      <c r="J138" t="s">
        <v>3056</v>
      </c>
      <c r="K138" t="s">
        <v>74</v>
      </c>
      <c r="L138" t="s">
        <v>74</v>
      </c>
      <c r="M138" t="s">
        <v>78</v>
      </c>
      <c r="N138" t="s">
        <v>79</v>
      </c>
      <c r="O138" t="s">
        <v>74</v>
      </c>
      <c r="P138" t="s">
        <v>74</v>
      </c>
      <c r="Q138" t="s">
        <v>74</v>
      </c>
      <c r="R138" t="s">
        <v>74</v>
      </c>
      <c r="S138" t="s">
        <v>74</v>
      </c>
      <c r="T138" t="s">
        <v>3057</v>
      </c>
      <c r="U138" t="s">
        <v>74</v>
      </c>
      <c r="V138" t="s">
        <v>3058</v>
      </c>
      <c r="W138" t="s">
        <v>3059</v>
      </c>
      <c r="X138" t="s">
        <v>3060</v>
      </c>
      <c r="Y138" t="s">
        <v>3061</v>
      </c>
      <c r="Z138" t="s">
        <v>3062</v>
      </c>
      <c r="AA138" t="s">
        <v>3063</v>
      </c>
      <c r="AB138" t="s">
        <v>74</v>
      </c>
      <c r="AC138" t="s">
        <v>74</v>
      </c>
      <c r="AD138" t="s">
        <v>74</v>
      </c>
      <c r="AE138" t="s">
        <v>74</v>
      </c>
      <c r="AF138" t="s">
        <v>74</v>
      </c>
      <c r="AG138">
        <v>14</v>
      </c>
      <c r="AH138">
        <v>1</v>
      </c>
      <c r="AI138">
        <v>1</v>
      </c>
      <c r="AJ138">
        <v>0</v>
      </c>
      <c r="AK138">
        <v>8</v>
      </c>
      <c r="AL138" t="s">
        <v>3064</v>
      </c>
      <c r="AM138" t="s">
        <v>3065</v>
      </c>
      <c r="AN138" t="s">
        <v>3066</v>
      </c>
      <c r="AO138" t="s">
        <v>3067</v>
      </c>
      <c r="AP138" t="s">
        <v>3068</v>
      </c>
      <c r="AQ138" t="s">
        <v>74</v>
      </c>
      <c r="AR138" t="s">
        <v>3069</v>
      </c>
      <c r="AS138" t="s">
        <v>3070</v>
      </c>
      <c r="AT138" t="s">
        <v>124</v>
      </c>
      <c r="AU138">
        <v>2022</v>
      </c>
      <c r="AV138">
        <v>18</v>
      </c>
      <c r="AW138">
        <v>4</v>
      </c>
      <c r="AX138" t="s">
        <v>74</v>
      </c>
      <c r="AY138" t="s">
        <v>74</v>
      </c>
      <c r="AZ138" t="s">
        <v>74</v>
      </c>
      <c r="BA138" t="s">
        <v>74</v>
      </c>
      <c r="BB138">
        <v>971</v>
      </c>
      <c r="BC138">
        <v>975</v>
      </c>
      <c r="BD138" t="s">
        <v>74</v>
      </c>
      <c r="BE138" t="s">
        <v>3071</v>
      </c>
      <c r="BF138" t="str">
        <f>HYPERLINK("http://dx.doi.org/10.35716/IJED/22178","http://dx.doi.org/10.35716/IJED/22178")</f>
        <v>http://dx.doi.org/10.35716/IJED/22178</v>
      </c>
      <c r="BG138" t="s">
        <v>74</v>
      </c>
      <c r="BH138" t="s">
        <v>74</v>
      </c>
      <c r="BI138">
        <v>5</v>
      </c>
      <c r="BJ138" t="s">
        <v>291</v>
      </c>
      <c r="BK138" t="s">
        <v>313</v>
      </c>
      <c r="BL138" t="s">
        <v>100</v>
      </c>
      <c r="BM138" t="s">
        <v>3072</v>
      </c>
      <c r="BN138" t="s">
        <v>74</v>
      </c>
      <c r="BO138" t="s">
        <v>74</v>
      </c>
      <c r="BP138" t="s">
        <v>74</v>
      </c>
      <c r="BQ138" t="s">
        <v>74</v>
      </c>
      <c r="BR138" t="s">
        <v>102</v>
      </c>
      <c r="BS138" t="s">
        <v>3073</v>
      </c>
      <c r="BT138" t="str">
        <f>HYPERLINK("https%3A%2F%2Fwww.webofscience.com%2Fwos%2Fwoscc%2Ffull-record%2FWOS:000924607400025","View Full Record in Web of Science")</f>
        <v>View Full Record in Web of Science</v>
      </c>
    </row>
    <row r="139" spans="1:72" x14ac:dyDescent="0.25">
      <c r="A139" t="s">
        <v>72</v>
      </c>
      <c r="B139" t="s">
        <v>3074</v>
      </c>
      <c r="C139" t="s">
        <v>74</v>
      </c>
      <c r="D139" t="s">
        <v>74</v>
      </c>
      <c r="E139" t="s">
        <v>74</v>
      </c>
      <c r="F139" t="s">
        <v>3075</v>
      </c>
      <c r="G139" t="s">
        <v>74</v>
      </c>
      <c r="H139" t="s">
        <v>74</v>
      </c>
      <c r="I139" t="s">
        <v>3076</v>
      </c>
      <c r="J139" t="s">
        <v>3056</v>
      </c>
      <c r="K139" t="s">
        <v>74</v>
      </c>
      <c r="L139" t="s">
        <v>74</v>
      </c>
      <c r="M139" t="s">
        <v>78</v>
      </c>
      <c r="N139" t="s">
        <v>79</v>
      </c>
      <c r="O139" t="s">
        <v>74</v>
      </c>
      <c r="P139" t="s">
        <v>74</v>
      </c>
      <c r="Q139" t="s">
        <v>74</v>
      </c>
      <c r="R139" t="s">
        <v>74</v>
      </c>
      <c r="S139" t="s">
        <v>74</v>
      </c>
      <c r="T139" t="s">
        <v>3077</v>
      </c>
      <c r="U139" t="s">
        <v>3078</v>
      </c>
      <c r="V139" t="s">
        <v>3079</v>
      </c>
      <c r="W139" t="s">
        <v>3080</v>
      </c>
      <c r="X139" t="s">
        <v>3081</v>
      </c>
      <c r="Y139" t="s">
        <v>3082</v>
      </c>
      <c r="Z139" t="s">
        <v>3083</v>
      </c>
      <c r="AA139" t="s">
        <v>3084</v>
      </c>
      <c r="AB139" t="s">
        <v>74</v>
      </c>
      <c r="AC139" t="s">
        <v>74</v>
      </c>
      <c r="AD139" t="s">
        <v>74</v>
      </c>
      <c r="AE139" t="s">
        <v>74</v>
      </c>
      <c r="AF139" t="s">
        <v>74</v>
      </c>
      <c r="AG139">
        <v>23</v>
      </c>
      <c r="AH139">
        <v>0</v>
      </c>
      <c r="AI139">
        <v>1</v>
      </c>
      <c r="AJ139">
        <v>0</v>
      </c>
      <c r="AK139">
        <v>1</v>
      </c>
      <c r="AL139" t="s">
        <v>3064</v>
      </c>
      <c r="AM139" t="s">
        <v>3065</v>
      </c>
      <c r="AN139" t="s">
        <v>3066</v>
      </c>
      <c r="AO139" t="s">
        <v>3067</v>
      </c>
      <c r="AP139" t="s">
        <v>3068</v>
      </c>
      <c r="AQ139" t="s">
        <v>74</v>
      </c>
      <c r="AR139" t="s">
        <v>3069</v>
      </c>
      <c r="AS139" t="s">
        <v>3070</v>
      </c>
      <c r="AT139" t="s">
        <v>363</v>
      </c>
      <c r="AU139">
        <v>2023</v>
      </c>
      <c r="AV139">
        <v>19</v>
      </c>
      <c r="AW139">
        <v>2</v>
      </c>
      <c r="AX139" t="s">
        <v>74</v>
      </c>
      <c r="AY139" t="s">
        <v>74</v>
      </c>
      <c r="AZ139" t="s">
        <v>74</v>
      </c>
      <c r="BA139" t="s">
        <v>74</v>
      </c>
      <c r="BB139">
        <v>369</v>
      </c>
      <c r="BC139">
        <v>377</v>
      </c>
      <c r="BD139" t="s">
        <v>74</v>
      </c>
      <c r="BE139" t="s">
        <v>3085</v>
      </c>
      <c r="BF139" t="str">
        <f>HYPERLINK("http://dx.doi.org/10.35716/IJED-23007","http://dx.doi.org/10.35716/IJED-23007")</f>
        <v>http://dx.doi.org/10.35716/IJED-23007</v>
      </c>
      <c r="BG139" t="s">
        <v>74</v>
      </c>
      <c r="BH139" t="s">
        <v>74</v>
      </c>
      <c r="BI139">
        <v>9</v>
      </c>
      <c r="BJ139" t="s">
        <v>291</v>
      </c>
      <c r="BK139" t="s">
        <v>313</v>
      </c>
      <c r="BL139" t="s">
        <v>100</v>
      </c>
      <c r="BM139" t="s">
        <v>3086</v>
      </c>
      <c r="BN139" t="s">
        <v>74</v>
      </c>
      <c r="BO139" t="s">
        <v>74</v>
      </c>
      <c r="BP139" t="s">
        <v>74</v>
      </c>
      <c r="BQ139" t="s">
        <v>74</v>
      </c>
      <c r="BR139" t="s">
        <v>102</v>
      </c>
      <c r="BS139" t="s">
        <v>3087</v>
      </c>
      <c r="BT139" t="str">
        <f>HYPERLINK("https%3A%2F%2Fwww.webofscience.com%2Fwos%2Fwoscc%2Ffull-record%2FWOS:001158081300012","View Full Record in Web of Science")</f>
        <v>View Full Record in Web of Science</v>
      </c>
    </row>
    <row r="140" spans="1:72" x14ac:dyDescent="0.25">
      <c r="A140" t="s">
        <v>72</v>
      </c>
      <c r="B140" t="s">
        <v>3088</v>
      </c>
      <c r="C140" t="s">
        <v>74</v>
      </c>
      <c r="D140" t="s">
        <v>74</v>
      </c>
      <c r="E140" t="s">
        <v>74</v>
      </c>
      <c r="F140" t="s">
        <v>3089</v>
      </c>
      <c r="G140" t="s">
        <v>74</v>
      </c>
      <c r="H140" t="s">
        <v>74</v>
      </c>
      <c r="I140" t="s">
        <v>3090</v>
      </c>
      <c r="J140" t="s">
        <v>3091</v>
      </c>
      <c r="K140" t="s">
        <v>74</v>
      </c>
      <c r="L140" t="s">
        <v>74</v>
      </c>
      <c r="M140" t="s">
        <v>78</v>
      </c>
      <c r="N140" t="s">
        <v>79</v>
      </c>
      <c r="O140" t="s">
        <v>74</v>
      </c>
      <c r="P140" t="s">
        <v>74</v>
      </c>
      <c r="Q140" t="s">
        <v>74</v>
      </c>
      <c r="R140" t="s">
        <v>74</v>
      </c>
      <c r="S140" t="s">
        <v>74</v>
      </c>
      <c r="T140" t="s">
        <v>3092</v>
      </c>
      <c r="U140" t="s">
        <v>74</v>
      </c>
      <c r="V140" t="s">
        <v>3093</v>
      </c>
      <c r="W140" t="s">
        <v>3094</v>
      </c>
      <c r="X140" t="s">
        <v>74</v>
      </c>
      <c r="Y140" t="s">
        <v>3095</v>
      </c>
      <c r="Z140" t="s">
        <v>3096</v>
      </c>
      <c r="AA140" t="s">
        <v>74</v>
      </c>
      <c r="AB140" t="s">
        <v>74</v>
      </c>
      <c r="AC140" t="s">
        <v>74</v>
      </c>
      <c r="AD140" t="s">
        <v>74</v>
      </c>
      <c r="AE140" t="s">
        <v>74</v>
      </c>
      <c r="AF140" t="s">
        <v>74</v>
      </c>
      <c r="AG140">
        <v>68</v>
      </c>
      <c r="AH140">
        <v>0</v>
      </c>
      <c r="AI140">
        <v>0</v>
      </c>
      <c r="AJ140">
        <v>4</v>
      </c>
      <c r="AK140">
        <v>27</v>
      </c>
      <c r="AL140" t="s">
        <v>3097</v>
      </c>
      <c r="AM140" t="s">
        <v>3098</v>
      </c>
      <c r="AN140" t="s">
        <v>3099</v>
      </c>
      <c r="AO140" t="s">
        <v>3100</v>
      </c>
      <c r="AP140" t="s">
        <v>3101</v>
      </c>
      <c r="AQ140" t="s">
        <v>74</v>
      </c>
      <c r="AR140" t="s">
        <v>3102</v>
      </c>
      <c r="AS140" t="s">
        <v>3103</v>
      </c>
      <c r="AT140" t="s">
        <v>3104</v>
      </c>
      <c r="AU140">
        <v>2020</v>
      </c>
      <c r="AV140">
        <v>61</v>
      </c>
      <c r="AW140">
        <v>2</v>
      </c>
      <c r="AX140" t="s">
        <v>74</v>
      </c>
      <c r="AY140" t="s">
        <v>74</v>
      </c>
      <c r="AZ140" t="s">
        <v>74</v>
      </c>
      <c r="BA140" t="s">
        <v>74</v>
      </c>
      <c r="BB140">
        <v>515</v>
      </c>
      <c r="BC140">
        <v>537</v>
      </c>
      <c r="BD140" t="s">
        <v>74</v>
      </c>
      <c r="BE140" t="s">
        <v>3105</v>
      </c>
      <c r="BF140" t="str">
        <f>HYPERLINK("http://dx.doi.org/10.1515/jbwg-2020-0021","http://dx.doi.org/10.1515/jbwg-2020-0021")</f>
        <v>http://dx.doi.org/10.1515/jbwg-2020-0021</v>
      </c>
      <c r="BG140" t="s">
        <v>74</v>
      </c>
      <c r="BH140" t="s">
        <v>74</v>
      </c>
      <c r="BI140">
        <v>23</v>
      </c>
      <c r="BJ140" t="s">
        <v>3106</v>
      </c>
      <c r="BK140" t="s">
        <v>313</v>
      </c>
      <c r="BL140" t="s">
        <v>3107</v>
      </c>
      <c r="BM140" t="s">
        <v>3108</v>
      </c>
      <c r="BN140" t="s">
        <v>74</v>
      </c>
      <c r="BO140" t="s">
        <v>74</v>
      </c>
      <c r="BP140" t="s">
        <v>74</v>
      </c>
      <c r="BQ140" t="s">
        <v>74</v>
      </c>
      <c r="BR140" t="s">
        <v>102</v>
      </c>
      <c r="BS140" t="s">
        <v>3109</v>
      </c>
      <c r="BT140" t="str">
        <f>HYPERLINK("https%3A%2F%2Fwww.webofscience.com%2Fwos%2Fwoscc%2Ffull-record%2FWOS:000933744100011","View Full Record in Web of Science")</f>
        <v>View Full Record in Web of Science</v>
      </c>
    </row>
    <row r="141" spans="1:72" x14ac:dyDescent="0.25">
      <c r="A141" t="s">
        <v>72</v>
      </c>
      <c r="B141" t="s">
        <v>3110</v>
      </c>
      <c r="C141" t="s">
        <v>74</v>
      </c>
      <c r="D141" t="s">
        <v>74</v>
      </c>
      <c r="E141" t="s">
        <v>74</v>
      </c>
      <c r="F141" t="s">
        <v>3111</v>
      </c>
      <c r="G141" t="s">
        <v>74</v>
      </c>
      <c r="H141" t="s">
        <v>74</v>
      </c>
      <c r="I141" t="s">
        <v>3112</v>
      </c>
      <c r="J141" t="s">
        <v>371</v>
      </c>
      <c r="K141" t="s">
        <v>74</v>
      </c>
      <c r="L141" t="s">
        <v>74</v>
      </c>
      <c r="M141" t="s">
        <v>78</v>
      </c>
      <c r="N141" t="s">
        <v>79</v>
      </c>
      <c r="O141" t="s">
        <v>74</v>
      </c>
      <c r="P141" t="s">
        <v>74</v>
      </c>
      <c r="Q141" t="s">
        <v>74</v>
      </c>
      <c r="R141" t="s">
        <v>74</v>
      </c>
      <c r="S141" t="s">
        <v>74</v>
      </c>
      <c r="T141" t="s">
        <v>3113</v>
      </c>
      <c r="U141" t="s">
        <v>3114</v>
      </c>
      <c r="V141" t="s">
        <v>3115</v>
      </c>
      <c r="W141" t="s">
        <v>3116</v>
      </c>
      <c r="X141" t="s">
        <v>3117</v>
      </c>
      <c r="Y141" t="s">
        <v>3118</v>
      </c>
      <c r="Z141" t="s">
        <v>3119</v>
      </c>
      <c r="AA141" t="s">
        <v>380</v>
      </c>
      <c r="AB141" t="s">
        <v>381</v>
      </c>
      <c r="AC141" t="s">
        <v>3120</v>
      </c>
      <c r="AD141" t="s">
        <v>3121</v>
      </c>
      <c r="AE141" t="s">
        <v>3122</v>
      </c>
      <c r="AF141" t="s">
        <v>74</v>
      </c>
      <c r="AG141">
        <v>47</v>
      </c>
      <c r="AH141">
        <v>1</v>
      </c>
      <c r="AI141">
        <v>1</v>
      </c>
      <c r="AJ141">
        <v>1</v>
      </c>
      <c r="AK141">
        <v>12</v>
      </c>
      <c r="AL141" t="s">
        <v>385</v>
      </c>
      <c r="AM141" t="s">
        <v>151</v>
      </c>
      <c r="AN141" t="s">
        <v>386</v>
      </c>
      <c r="AO141" t="s">
        <v>387</v>
      </c>
      <c r="AP141" t="s">
        <v>388</v>
      </c>
      <c r="AQ141" t="s">
        <v>74</v>
      </c>
      <c r="AR141" t="s">
        <v>389</v>
      </c>
      <c r="AS141" t="s">
        <v>390</v>
      </c>
      <c r="AT141" t="s">
        <v>1652</v>
      </c>
      <c r="AU141">
        <v>2023</v>
      </c>
      <c r="AV141">
        <v>21</v>
      </c>
      <c r="AW141">
        <v>2</v>
      </c>
      <c r="AX141" t="s">
        <v>74</v>
      </c>
      <c r="AY141" t="s">
        <v>74</v>
      </c>
      <c r="AZ141" t="s">
        <v>74</v>
      </c>
      <c r="BA141" t="s">
        <v>74</v>
      </c>
      <c r="BB141">
        <v>567</v>
      </c>
      <c r="BC141">
        <v>590</v>
      </c>
      <c r="BD141" t="s">
        <v>74</v>
      </c>
      <c r="BE141" t="s">
        <v>3123</v>
      </c>
      <c r="BF141" t="str">
        <f>HYPERLINK("http://dx.doi.org/10.1007/s11150-022-09611-z","http://dx.doi.org/10.1007/s11150-022-09611-z")</f>
        <v>http://dx.doi.org/10.1007/s11150-022-09611-z</v>
      </c>
      <c r="BG141" t="s">
        <v>74</v>
      </c>
      <c r="BH141" t="s">
        <v>1091</v>
      </c>
      <c r="BI141">
        <v>24</v>
      </c>
      <c r="BJ141" t="s">
        <v>291</v>
      </c>
      <c r="BK141" t="s">
        <v>99</v>
      </c>
      <c r="BL141" t="s">
        <v>100</v>
      </c>
      <c r="BM141" t="s">
        <v>3124</v>
      </c>
      <c r="BN141" t="s">
        <v>74</v>
      </c>
      <c r="BO141" t="s">
        <v>74</v>
      </c>
      <c r="BP141" t="s">
        <v>74</v>
      </c>
      <c r="BQ141" t="s">
        <v>74</v>
      </c>
      <c r="BR141" t="s">
        <v>102</v>
      </c>
      <c r="BS141" t="s">
        <v>3125</v>
      </c>
      <c r="BT141" t="str">
        <f>HYPERLINK("https%3A%2F%2Fwww.webofscience.com%2Fwos%2Fwoscc%2Ffull-record%2FWOS:000797783500001","View Full Record in Web of Science")</f>
        <v>View Full Record in Web of Science</v>
      </c>
    </row>
    <row r="142" spans="1:72" x14ac:dyDescent="0.25">
      <c r="A142" t="s">
        <v>72</v>
      </c>
      <c r="B142" t="s">
        <v>214</v>
      </c>
      <c r="C142" t="s">
        <v>74</v>
      </c>
      <c r="D142" t="s">
        <v>74</v>
      </c>
      <c r="E142" t="s">
        <v>74</v>
      </c>
      <c r="F142" t="s">
        <v>215</v>
      </c>
      <c r="G142" t="s">
        <v>74</v>
      </c>
      <c r="H142" t="s">
        <v>74</v>
      </c>
      <c r="I142" t="s">
        <v>3126</v>
      </c>
      <c r="J142" t="s">
        <v>2809</v>
      </c>
      <c r="K142" t="s">
        <v>74</v>
      </c>
      <c r="L142" t="s">
        <v>74</v>
      </c>
      <c r="M142" t="s">
        <v>78</v>
      </c>
      <c r="N142" t="s">
        <v>79</v>
      </c>
      <c r="O142" t="s">
        <v>74</v>
      </c>
      <c r="P142" t="s">
        <v>74</v>
      </c>
      <c r="Q142" t="s">
        <v>74</v>
      </c>
      <c r="R142" t="s">
        <v>74</v>
      </c>
      <c r="S142" t="s">
        <v>74</v>
      </c>
      <c r="T142" t="s">
        <v>74</v>
      </c>
      <c r="U142" t="s">
        <v>3127</v>
      </c>
      <c r="V142" t="s">
        <v>3128</v>
      </c>
      <c r="W142" t="s">
        <v>3129</v>
      </c>
      <c r="X142" t="s">
        <v>3130</v>
      </c>
      <c r="Y142" t="s">
        <v>3131</v>
      </c>
      <c r="Z142" t="s">
        <v>3132</v>
      </c>
      <c r="AA142" t="s">
        <v>225</v>
      </c>
      <c r="AB142" t="s">
        <v>226</v>
      </c>
      <c r="AC142" t="s">
        <v>3133</v>
      </c>
      <c r="AD142" t="s">
        <v>3134</v>
      </c>
      <c r="AE142" t="s">
        <v>3135</v>
      </c>
      <c r="AF142" t="s">
        <v>74</v>
      </c>
      <c r="AG142">
        <v>47</v>
      </c>
      <c r="AH142">
        <v>11</v>
      </c>
      <c r="AI142">
        <v>13</v>
      </c>
      <c r="AJ142">
        <v>0</v>
      </c>
      <c r="AK142">
        <v>10</v>
      </c>
      <c r="AL142" t="s">
        <v>479</v>
      </c>
      <c r="AM142" t="s">
        <v>480</v>
      </c>
      <c r="AN142" t="s">
        <v>481</v>
      </c>
      <c r="AO142" t="s">
        <v>2816</v>
      </c>
      <c r="AP142" t="s">
        <v>2817</v>
      </c>
      <c r="AQ142" t="s">
        <v>74</v>
      </c>
      <c r="AR142" t="s">
        <v>2818</v>
      </c>
      <c r="AS142" t="s">
        <v>2819</v>
      </c>
      <c r="AT142" t="s">
        <v>3136</v>
      </c>
      <c r="AU142">
        <v>2017</v>
      </c>
      <c r="AV142">
        <v>51</v>
      </c>
      <c r="AW142">
        <v>3</v>
      </c>
      <c r="AX142" t="s">
        <v>74</v>
      </c>
      <c r="AY142" t="s">
        <v>74</v>
      </c>
      <c r="AZ142" t="s">
        <v>441</v>
      </c>
      <c r="BA142" t="s">
        <v>74</v>
      </c>
      <c r="BB142">
        <v>631</v>
      </c>
      <c r="BC142">
        <v>658</v>
      </c>
      <c r="BD142" t="s">
        <v>74</v>
      </c>
      <c r="BE142" t="s">
        <v>3137</v>
      </c>
      <c r="BF142" t="str">
        <f>HYPERLINK("http://dx.doi.org/10.1111/joca.12158","http://dx.doi.org/10.1111/joca.12158")</f>
        <v>http://dx.doi.org/10.1111/joca.12158</v>
      </c>
      <c r="BG142" t="s">
        <v>74</v>
      </c>
      <c r="BH142" t="s">
        <v>74</v>
      </c>
      <c r="BI142">
        <v>28</v>
      </c>
      <c r="BJ142" t="s">
        <v>1453</v>
      </c>
      <c r="BK142" t="s">
        <v>99</v>
      </c>
      <c r="BL142" t="s">
        <v>100</v>
      </c>
      <c r="BM142" t="s">
        <v>3138</v>
      </c>
      <c r="BN142" t="s">
        <v>74</v>
      </c>
      <c r="BO142" t="s">
        <v>74</v>
      </c>
      <c r="BP142" t="s">
        <v>74</v>
      </c>
      <c r="BQ142" t="s">
        <v>74</v>
      </c>
      <c r="BR142" t="s">
        <v>102</v>
      </c>
      <c r="BS142" t="s">
        <v>3139</v>
      </c>
      <c r="BT142" t="str">
        <f>HYPERLINK("https%3A%2F%2Fwww.webofscience.com%2Fwos%2Fwoscc%2Ffull-record%2FWOS:000423300600007","View Full Record in Web of Science")</f>
        <v>View Full Record in Web of Science</v>
      </c>
    </row>
    <row r="143" spans="1:72" x14ac:dyDescent="0.25">
      <c r="A143" t="s">
        <v>72</v>
      </c>
      <c r="B143" t="s">
        <v>3140</v>
      </c>
      <c r="C143" t="s">
        <v>74</v>
      </c>
      <c r="D143" t="s">
        <v>74</v>
      </c>
      <c r="E143" t="s">
        <v>74</v>
      </c>
      <c r="F143" t="s">
        <v>3141</v>
      </c>
      <c r="G143" t="s">
        <v>74</v>
      </c>
      <c r="H143" t="s">
        <v>74</v>
      </c>
      <c r="I143" t="s">
        <v>3142</v>
      </c>
      <c r="J143" t="s">
        <v>877</v>
      </c>
      <c r="K143" t="s">
        <v>74</v>
      </c>
      <c r="L143" t="s">
        <v>74</v>
      </c>
      <c r="M143" t="s">
        <v>78</v>
      </c>
      <c r="N143" t="s">
        <v>79</v>
      </c>
      <c r="O143" t="s">
        <v>74</v>
      </c>
      <c r="P143" t="s">
        <v>74</v>
      </c>
      <c r="Q143" t="s">
        <v>74</v>
      </c>
      <c r="R143" t="s">
        <v>74</v>
      </c>
      <c r="S143" t="s">
        <v>74</v>
      </c>
      <c r="T143" t="s">
        <v>3143</v>
      </c>
      <c r="U143" t="s">
        <v>74</v>
      </c>
      <c r="V143" t="s">
        <v>3144</v>
      </c>
      <c r="W143" t="s">
        <v>3145</v>
      </c>
      <c r="X143" t="s">
        <v>3146</v>
      </c>
      <c r="Y143" t="s">
        <v>3147</v>
      </c>
      <c r="Z143" t="s">
        <v>3148</v>
      </c>
      <c r="AA143" t="s">
        <v>74</v>
      </c>
      <c r="AB143" t="s">
        <v>74</v>
      </c>
      <c r="AC143" t="s">
        <v>3149</v>
      </c>
      <c r="AD143" t="s">
        <v>3149</v>
      </c>
      <c r="AE143" t="s">
        <v>3150</v>
      </c>
      <c r="AF143" t="s">
        <v>74</v>
      </c>
      <c r="AG143">
        <v>28</v>
      </c>
      <c r="AH143">
        <v>9</v>
      </c>
      <c r="AI143">
        <v>14</v>
      </c>
      <c r="AJ143">
        <v>1</v>
      </c>
      <c r="AK143">
        <v>15</v>
      </c>
      <c r="AL143" t="s">
        <v>884</v>
      </c>
      <c r="AM143" t="s">
        <v>885</v>
      </c>
      <c r="AN143" t="s">
        <v>886</v>
      </c>
      <c r="AO143" t="s">
        <v>887</v>
      </c>
      <c r="AP143" t="s">
        <v>888</v>
      </c>
      <c r="AQ143" t="s">
        <v>74</v>
      </c>
      <c r="AR143" t="s">
        <v>889</v>
      </c>
      <c r="AS143" t="s">
        <v>890</v>
      </c>
      <c r="AT143" t="s">
        <v>605</v>
      </c>
      <c r="AU143">
        <v>2021</v>
      </c>
      <c r="AV143">
        <v>8</v>
      </c>
      <c r="AW143">
        <v>3</v>
      </c>
      <c r="AX143" t="s">
        <v>74</v>
      </c>
      <c r="AY143" t="s">
        <v>74</v>
      </c>
      <c r="AZ143" t="s">
        <v>74</v>
      </c>
      <c r="BA143" t="s">
        <v>74</v>
      </c>
      <c r="BB143">
        <v>1045</v>
      </c>
      <c r="BC143">
        <v>1052</v>
      </c>
      <c r="BD143" t="s">
        <v>74</v>
      </c>
      <c r="BE143" t="s">
        <v>3151</v>
      </c>
      <c r="BF143" t="str">
        <f>HYPERLINK("http://dx.doi.org/10.13106/jafeb.2021.vol8.no3.1045","http://dx.doi.org/10.13106/jafeb.2021.vol8.no3.1045")</f>
        <v>http://dx.doi.org/10.13106/jafeb.2021.vol8.no3.1045</v>
      </c>
      <c r="BG143" t="s">
        <v>74</v>
      </c>
      <c r="BH143" t="s">
        <v>74</v>
      </c>
      <c r="BI143">
        <v>8</v>
      </c>
      <c r="BJ143" t="s">
        <v>418</v>
      </c>
      <c r="BK143" t="s">
        <v>313</v>
      </c>
      <c r="BL143" t="s">
        <v>100</v>
      </c>
      <c r="BM143" t="s">
        <v>3152</v>
      </c>
      <c r="BN143" t="s">
        <v>74</v>
      </c>
      <c r="BO143" t="s">
        <v>74</v>
      </c>
      <c r="BP143" t="s">
        <v>74</v>
      </c>
      <c r="BQ143" t="s">
        <v>74</v>
      </c>
      <c r="BR143" t="s">
        <v>102</v>
      </c>
      <c r="BS143" t="s">
        <v>3153</v>
      </c>
      <c r="BT143" t="str">
        <f>HYPERLINK("https%3A%2F%2Fwww.webofscience.com%2Fwos%2Fwoscc%2Ffull-record%2FWOS:000639112300100","View Full Record in Web of Science")</f>
        <v>View Full Record in Web of Science</v>
      </c>
    </row>
    <row r="144" spans="1:72" x14ac:dyDescent="0.25">
      <c r="A144" t="s">
        <v>72</v>
      </c>
      <c r="B144" t="s">
        <v>3154</v>
      </c>
      <c r="C144" t="s">
        <v>74</v>
      </c>
      <c r="D144" t="s">
        <v>74</v>
      </c>
      <c r="E144" t="s">
        <v>74</v>
      </c>
      <c r="F144" t="s">
        <v>3155</v>
      </c>
      <c r="G144" t="s">
        <v>74</v>
      </c>
      <c r="H144" t="s">
        <v>74</v>
      </c>
      <c r="I144" t="s">
        <v>3156</v>
      </c>
      <c r="J144" t="s">
        <v>3157</v>
      </c>
      <c r="K144" t="s">
        <v>74</v>
      </c>
      <c r="L144" t="s">
        <v>74</v>
      </c>
      <c r="M144" t="s">
        <v>78</v>
      </c>
      <c r="N144" t="s">
        <v>79</v>
      </c>
      <c r="O144" t="s">
        <v>74</v>
      </c>
      <c r="P144" t="s">
        <v>74</v>
      </c>
      <c r="Q144" t="s">
        <v>74</v>
      </c>
      <c r="R144" t="s">
        <v>74</v>
      </c>
      <c r="S144" t="s">
        <v>74</v>
      </c>
      <c r="T144" t="s">
        <v>3158</v>
      </c>
      <c r="U144" t="s">
        <v>3159</v>
      </c>
      <c r="V144" t="s">
        <v>3160</v>
      </c>
      <c r="W144" t="s">
        <v>3161</v>
      </c>
      <c r="X144" t="s">
        <v>3162</v>
      </c>
      <c r="Y144" t="s">
        <v>3163</v>
      </c>
      <c r="Z144" t="s">
        <v>3164</v>
      </c>
      <c r="AA144" t="s">
        <v>3165</v>
      </c>
      <c r="AB144" t="s">
        <v>3166</v>
      </c>
      <c r="AC144" t="s">
        <v>3167</v>
      </c>
      <c r="AD144" t="s">
        <v>3167</v>
      </c>
      <c r="AE144" t="s">
        <v>3168</v>
      </c>
      <c r="AF144" t="s">
        <v>74</v>
      </c>
      <c r="AG144">
        <v>34</v>
      </c>
      <c r="AH144">
        <v>1</v>
      </c>
      <c r="AI144">
        <v>1</v>
      </c>
      <c r="AJ144">
        <v>0</v>
      </c>
      <c r="AK144">
        <v>3</v>
      </c>
      <c r="AL144" t="s">
        <v>385</v>
      </c>
      <c r="AM144" t="s">
        <v>151</v>
      </c>
      <c r="AN144" t="s">
        <v>386</v>
      </c>
      <c r="AO144" t="s">
        <v>3169</v>
      </c>
      <c r="AP144" t="s">
        <v>3170</v>
      </c>
      <c r="AQ144" t="s">
        <v>74</v>
      </c>
      <c r="AR144" t="s">
        <v>3171</v>
      </c>
      <c r="AS144" t="s">
        <v>3172</v>
      </c>
      <c r="AT144" t="s">
        <v>1652</v>
      </c>
      <c r="AU144">
        <v>2023</v>
      </c>
      <c r="AV144">
        <v>31</v>
      </c>
      <c r="AW144">
        <v>2</v>
      </c>
      <c r="AX144" t="s">
        <v>74</v>
      </c>
      <c r="AY144" t="s">
        <v>74</v>
      </c>
      <c r="AZ144" t="s">
        <v>74</v>
      </c>
      <c r="BA144" t="s">
        <v>74</v>
      </c>
      <c r="BB144">
        <v>393</v>
      </c>
      <c r="BC144">
        <v>415</v>
      </c>
      <c r="BD144" t="s">
        <v>74</v>
      </c>
      <c r="BE144" t="s">
        <v>3173</v>
      </c>
      <c r="BF144" t="str">
        <f>HYPERLINK("http://dx.doi.org/10.1007/s10100-022-00814-4","http://dx.doi.org/10.1007/s10100-022-00814-4")</f>
        <v>http://dx.doi.org/10.1007/s10100-022-00814-4</v>
      </c>
      <c r="BG144" t="s">
        <v>74</v>
      </c>
      <c r="BH144" t="s">
        <v>2328</v>
      </c>
      <c r="BI144">
        <v>23</v>
      </c>
      <c r="BJ144" t="s">
        <v>3174</v>
      </c>
      <c r="BK144" t="s">
        <v>128</v>
      </c>
      <c r="BL144" t="s">
        <v>3174</v>
      </c>
      <c r="BM144" t="s">
        <v>3175</v>
      </c>
      <c r="BN144" t="s">
        <v>74</v>
      </c>
      <c r="BO144" t="s">
        <v>270</v>
      </c>
      <c r="BP144" t="s">
        <v>74</v>
      </c>
      <c r="BQ144" t="s">
        <v>74</v>
      </c>
      <c r="BR144" t="s">
        <v>102</v>
      </c>
      <c r="BS144" t="s">
        <v>3176</v>
      </c>
      <c r="BT144" t="str">
        <f>HYPERLINK("https%3A%2F%2Fwww.webofscience.com%2Fwos%2Fwoscc%2Ffull-record%2FWOS:000840064400001","View Full Record in Web of Science")</f>
        <v>View Full Record in Web of Science</v>
      </c>
    </row>
    <row r="145" spans="1:72" x14ac:dyDescent="0.25">
      <c r="A145" t="s">
        <v>72</v>
      </c>
      <c r="B145" t="s">
        <v>3177</v>
      </c>
      <c r="C145" t="s">
        <v>74</v>
      </c>
      <c r="D145" t="s">
        <v>74</v>
      </c>
      <c r="E145" t="s">
        <v>74</v>
      </c>
      <c r="F145" t="s">
        <v>3178</v>
      </c>
      <c r="G145" t="s">
        <v>74</v>
      </c>
      <c r="H145" t="s">
        <v>74</v>
      </c>
      <c r="I145" t="s">
        <v>3179</v>
      </c>
      <c r="J145" t="s">
        <v>2471</v>
      </c>
      <c r="K145" t="s">
        <v>74</v>
      </c>
      <c r="L145" t="s">
        <v>74</v>
      </c>
      <c r="M145" t="s">
        <v>78</v>
      </c>
      <c r="N145" t="s">
        <v>79</v>
      </c>
      <c r="O145" t="s">
        <v>74</v>
      </c>
      <c r="P145" t="s">
        <v>74</v>
      </c>
      <c r="Q145" t="s">
        <v>74</v>
      </c>
      <c r="R145" t="s">
        <v>74</v>
      </c>
      <c r="S145" t="s">
        <v>74</v>
      </c>
      <c r="T145" t="s">
        <v>3180</v>
      </c>
      <c r="U145" t="s">
        <v>3181</v>
      </c>
      <c r="V145" t="s">
        <v>3182</v>
      </c>
      <c r="W145" t="s">
        <v>3183</v>
      </c>
      <c r="X145" t="s">
        <v>3184</v>
      </c>
      <c r="Y145" t="s">
        <v>3185</v>
      </c>
      <c r="Z145" t="s">
        <v>3186</v>
      </c>
      <c r="AA145" t="s">
        <v>3187</v>
      </c>
      <c r="AB145" t="s">
        <v>3188</v>
      </c>
      <c r="AC145" t="s">
        <v>74</v>
      </c>
      <c r="AD145" t="s">
        <v>74</v>
      </c>
      <c r="AE145" t="s">
        <v>74</v>
      </c>
      <c r="AF145" t="s">
        <v>74</v>
      </c>
      <c r="AG145">
        <v>66</v>
      </c>
      <c r="AH145">
        <v>4</v>
      </c>
      <c r="AI145">
        <v>6</v>
      </c>
      <c r="AJ145">
        <v>0</v>
      </c>
      <c r="AK145">
        <v>9</v>
      </c>
      <c r="AL145" t="s">
        <v>2481</v>
      </c>
      <c r="AM145" t="s">
        <v>2482</v>
      </c>
      <c r="AN145" t="s">
        <v>2483</v>
      </c>
      <c r="AO145" t="s">
        <v>2484</v>
      </c>
      <c r="AP145" t="s">
        <v>74</v>
      </c>
      <c r="AQ145" t="s">
        <v>74</v>
      </c>
      <c r="AR145" t="s">
        <v>2485</v>
      </c>
      <c r="AS145" t="s">
        <v>2486</v>
      </c>
      <c r="AT145" t="s">
        <v>2970</v>
      </c>
      <c r="AU145">
        <v>2023</v>
      </c>
      <c r="AV145">
        <v>9</v>
      </c>
      <c r="AW145">
        <v>1</v>
      </c>
      <c r="AX145" t="s">
        <v>74</v>
      </c>
      <c r="AY145" t="s">
        <v>74</v>
      </c>
      <c r="AZ145" t="s">
        <v>74</v>
      </c>
      <c r="BA145" t="s">
        <v>74</v>
      </c>
      <c r="BB145" t="s">
        <v>74</v>
      </c>
      <c r="BC145" t="s">
        <v>74</v>
      </c>
      <c r="BD145">
        <v>2220599</v>
      </c>
      <c r="BE145" t="s">
        <v>3189</v>
      </c>
      <c r="BF145" t="str">
        <f>HYPERLINK("http://dx.doi.org/10.1080/23311886.2023.2220599","http://dx.doi.org/10.1080/23311886.2023.2220599")</f>
        <v>http://dx.doi.org/10.1080/23311886.2023.2220599</v>
      </c>
      <c r="BG145" t="s">
        <v>74</v>
      </c>
      <c r="BH145" t="s">
        <v>74</v>
      </c>
      <c r="BI145">
        <v>15</v>
      </c>
      <c r="BJ145" t="s">
        <v>364</v>
      </c>
      <c r="BK145" t="s">
        <v>313</v>
      </c>
      <c r="BL145" t="s">
        <v>365</v>
      </c>
      <c r="BM145" t="s">
        <v>3190</v>
      </c>
      <c r="BN145" t="s">
        <v>74</v>
      </c>
      <c r="BO145" t="s">
        <v>212</v>
      </c>
      <c r="BP145" t="s">
        <v>74</v>
      </c>
      <c r="BQ145" t="s">
        <v>74</v>
      </c>
      <c r="BR145" t="s">
        <v>102</v>
      </c>
      <c r="BS145" t="s">
        <v>3191</v>
      </c>
      <c r="BT145" t="str">
        <f>HYPERLINK("https%3A%2F%2Fwww.webofscience.com%2Fwos%2Fwoscc%2Ffull-record%2FWOS:001005082400001","View Full Record in Web of Science")</f>
        <v>View Full Record in Web of Science</v>
      </c>
    </row>
    <row r="146" spans="1:72" x14ac:dyDescent="0.25">
      <c r="A146" t="s">
        <v>72</v>
      </c>
      <c r="B146" t="s">
        <v>3192</v>
      </c>
      <c r="C146" t="s">
        <v>74</v>
      </c>
      <c r="D146" t="s">
        <v>74</v>
      </c>
      <c r="E146" t="s">
        <v>74</v>
      </c>
      <c r="F146" t="s">
        <v>3193</v>
      </c>
      <c r="G146" t="s">
        <v>74</v>
      </c>
      <c r="H146" t="s">
        <v>74</v>
      </c>
      <c r="I146" t="s">
        <v>3194</v>
      </c>
      <c r="J146" t="s">
        <v>1963</v>
      </c>
      <c r="K146" t="s">
        <v>74</v>
      </c>
      <c r="L146" t="s">
        <v>74</v>
      </c>
      <c r="M146" t="s">
        <v>78</v>
      </c>
      <c r="N146" t="s">
        <v>79</v>
      </c>
      <c r="O146" t="s">
        <v>74</v>
      </c>
      <c r="P146" t="s">
        <v>74</v>
      </c>
      <c r="Q146" t="s">
        <v>74</v>
      </c>
      <c r="R146" t="s">
        <v>74</v>
      </c>
      <c r="S146" t="s">
        <v>74</v>
      </c>
      <c r="T146" t="s">
        <v>3195</v>
      </c>
      <c r="U146" t="s">
        <v>74</v>
      </c>
      <c r="V146" t="s">
        <v>3196</v>
      </c>
      <c r="W146" t="s">
        <v>3197</v>
      </c>
      <c r="X146" t="s">
        <v>3198</v>
      </c>
      <c r="Y146" t="s">
        <v>3199</v>
      </c>
      <c r="Z146" t="s">
        <v>3200</v>
      </c>
      <c r="AA146" t="s">
        <v>3201</v>
      </c>
      <c r="AB146" t="s">
        <v>3202</v>
      </c>
      <c r="AC146" t="s">
        <v>3203</v>
      </c>
      <c r="AD146" t="s">
        <v>3204</v>
      </c>
      <c r="AE146" t="s">
        <v>3205</v>
      </c>
      <c r="AF146" t="s">
        <v>74</v>
      </c>
      <c r="AG146">
        <v>22</v>
      </c>
      <c r="AH146">
        <v>32</v>
      </c>
      <c r="AI146">
        <v>42</v>
      </c>
      <c r="AJ146">
        <v>8</v>
      </c>
      <c r="AK146">
        <v>105</v>
      </c>
      <c r="AL146" t="s">
        <v>332</v>
      </c>
      <c r="AM146" t="s">
        <v>333</v>
      </c>
      <c r="AN146" t="s">
        <v>334</v>
      </c>
      <c r="AO146" t="s">
        <v>1975</v>
      </c>
      <c r="AP146" t="s">
        <v>1976</v>
      </c>
      <c r="AQ146" t="s">
        <v>74</v>
      </c>
      <c r="AR146" t="s">
        <v>1977</v>
      </c>
      <c r="AS146" t="s">
        <v>1978</v>
      </c>
      <c r="AT146" t="s">
        <v>3206</v>
      </c>
      <c r="AU146">
        <v>2021</v>
      </c>
      <c r="AV146">
        <v>53</v>
      </c>
      <c r="AW146">
        <v>3</v>
      </c>
      <c r="AX146" t="s">
        <v>74</v>
      </c>
      <c r="AY146" t="s">
        <v>74</v>
      </c>
      <c r="AZ146" t="s">
        <v>74</v>
      </c>
      <c r="BA146" t="s">
        <v>74</v>
      </c>
      <c r="BB146">
        <v>400</v>
      </c>
      <c r="BC146">
        <v>409</v>
      </c>
      <c r="BD146" t="s">
        <v>74</v>
      </c>
      <c r="BE146" t="s">
        <v>3207</v>
      </c>
      <c r="BF146" t="str">
        <f>HYPERLINK("http://dx.doi.org/10.1080/00036846.2020.1808177","http://dx.doi.org/10.1080/00036846.2020.1808177")</f>
        <v>http://dx.doi.org/10.1080/00036846.2020.1808177</v>
      </c>
      <c r="BG146" t="s">
        <v>74</v>
      </c>
      <c r="BH146" t="s">
        <v>2937</v>
      </c>
      <c r="BI146">
        <v>10</v>
      </c>
      <c r="BJ146" t="s">
        <v>291</v>
      </c>
      <c r="BK146" t="s">
        <v>99</v>
      </c>
      <c r="BL146" t="s">
        <v>100</v>
      </c>
      <c r="BM146" t="s">
        <v>3208</v>
      </c>
      <c r="BN146" t="s">
        <v>74</v>
      </c>
      <c r="BO146" t="s">
        <v>2734</v>
      </c>
      <c r="BP146" t="s">
        <v>74</v>
      </c>
      <c r="BQ146" t="s">
        <v>74</v>
      </c>
      <c r="BR146" t="s">
        <v>102</v>
      </c>
      <c r="BS146" t="s">
        <v>3209</v>
      </c>
      <c r="BT146" t="str">
        <f>HYPERLINK("https%3A%2F%2Fwww.webofscience.com%2Fwos%2Fwoscc%2Ffull-record%2FWOS:000562287900001","View Full Record in Web of Science")</f>
        <v>View Full Record in Web of Science</v>
      </c>
    </row>
    <row r="147" spans="1:72" x14ac:dyDescent="0.25">
      <c r="A147" t="s">
        <v>72</v>
      </c>
      <c r="B147" t="s">
        <v>3210</v>
      </c>
      <c r="C147" t="s">
        <v>74</v>
      </c>
      <c r="D147" t="s">
        <v>74</v>
      </c>
      <c r="E147" t="s">
        <v>74</v>
      </c>
      <c r="F147" t="s">
        <v>3211</v>
      </c>
      <c r="G147" t="s">
        <v>74</v>
      </c>
      <c r="H147" t="s">
        <v>74</v>
      </c>
      <c r="I147" t="s">
        <v>3212</v>
      </c>
      <c r="J147" t="s">
        <v>3213</v>
      </c>
      <c r="K147" t="s">
        <v>74</v>
      </c>
      <c r="L147" t="s">
        <v>74</v>
      </c>
      <c r="M147" t="s">
        <v>78</v>
      </c>
      <c r="N147" t="s">
        <v>79</v>
      </c>
      <c r="O147" t="s">
        <v>74</v>
      </c>
      <c r="P147" t="s">
        <v>74</v>
      </c>
      <c r="Q147" t="s">
        <v>74</v>
      </c>
      <c r="R147" t="s">
        <v>74</v>
      </c>
      <c r="S147" t="s">
        <v>74</v>
      </c>
      <c r="T147" t="s">
        <v>3214</v>
      </c>
      <c r="U147" t="s">
        <v>74</v>
      </c>
      <c r="V147" t="s">
        <v>3215</v>
      </c>
      <c r="W147" t="s">
        <v>3216</v>
      </c>
      <c r="X147" t="s">
        <v>3217</v>
      </c>
      <c r="Y147" t="s">
        <v>3218</v>
      </c>
      <c r="Z147" t="s">
        <v>74</v>
      </c>
      <c r="AA147" t="s">
        <v>74</v>
      </c>
      <c r="AB147" t="s">
        <v>74</v>
      </c>
      <c r="AC147" t="s">
        <v>74</v>
      </c>
      <c r="AD147" t="s">
        <v>74</v>
      </c>
      <c r="AE147" t="s">
        <v>74</v>
      </c>
      <c r="AF147" t="s">
        <v>74</v>
      </c>
      <c r="AG147">
        <v>5</v>
      </c>
      <c r="AH147">
        <v>0</v>
      </c>
      <c r="AI147">
        <v>0</v>
      </c>
      <c r="AJ147">
        <v>0</v>
      </c>
      <c r="AK147">
        <v>9</v>
      </c>
      <c r="AL147" t="s">
        <v>3219</v>
      </c>
      <c r="AM147" t="s">
        <v>3220</v>
      </c>
      <c r="AN147" t="s">
        <v>3221</v>
      </c>
      <c r="AO147" t="s">
        <v>3222</v>
      </c>
      <c r="AP147" t="s">
        <v>74</v>
      </c>
      <c r="AQ147" t="s">
        <v>74</v>
      </c>
      <c r="AR147" t="s">
        <v>3223</v>
      </c>
      <c r="AS147" t="s">
        <v>3224</v>
      </c>
      <c r="AT147" t="s">
        <v>74</v>
      </c>
      <c r="AU147">
        <v>2020</v>
      </c>
      <c r="AV147">
        <v>13</v>
      </c>
      <c r="AW147">
        <v>10</v>
      </c>
      <c r="AX147" t="s">
        <v>74</v>
      </c>
      <c r="AY147" t="s">
        <v>74</v>
      </c>
      <c r="AZ147" t="s">
        <v>441</v>
      </c>
      <c r="BA147" t="s">
        <v>74</v>
      </c>
      <c r="BB147">
        <v>229</v>
      </c>
      <c r="BC147">
        <v>232</v>
      </c>
      <c r="BD147" t="s">
        <v>74</v>
      </c>
      <c r="BE147" t="s">
        <v>74</v>
      </c>
      <c r="BF147" t="s">
        <v>74</v>
      </c>
      <c r="BG147" t="s">
        <v>74</v>
      </c>
      <c r="BH147" t="s">
        <v>74</v>
      </c>
      <c r="BI147">
        <v>4</v>
      </c>
      <c r="BJ147" t="s">
        <v>3225</v>
      </c>
      <c r="BK147" t="s">
        <v>313</v>
      </c>
      <c r="BL147" t="s">
        <v>3225</v>
      </c>
      <c r="BM147" t="s">
        <v>3226</v>
      </c>
      <c r="BN147" t="s">
        <v>74</v>
      </c>
      <c r="BO147" t="s">
        <v>74</v>
      </c>
      <c r="BP147" t="s">
        <v>74</v>
      </c>
      <c r="BQ147" t="s">
        <v>74</v>
      </c>
      <c r="BR147" t="s">
        <v>102</v>
      </c>
      <c r="BS147" t="s">
        <v>3227</v>
      </c>
      <c r="BT147" t="str">
        <f>HYPERLINK("https%3A%2F%2Fwww.webofscience.com%2Fwos%2Fwoscc%2Ffull-record%2FWOS:000640077800038","View Full Record in Web of Science")</f>
        <v>View Full Record in Web of Science</v>
      </c>
    </row>
    <row r="148" spans="1:72" x14ac:dyDescent="0.25">
      <c r="A148" t="s">
        <v>72</v>
      </c>
      <c r="B148" t="s">
        <v>3228</v>
      </c>
      <c r="C148" t="s">
        <v>74</v>
      </c>
      <c r="D148" t="s">
        <v>74</v>
      </c>
      <c r="E148" t="s">
        <v>74</v>
      </c>
      <c r="F148" t="s">
        <v>3229</v>
      </c>
      <c r="G148" t="s">
        <v>74</v>
      </c>
      <c r="H148" t="s">
        <v>74</v>
      </c>
      <c r="I148" t="s">
        <v>3230</v>
      </c>
      <c r="J148" t="s">
        <v>3231</v>
      </c>
      <c r="K148" t="s">
        <v>74</v>
      </c>
      <c r="L148" t="s">
        <v>74</v>
      </c>
      <c r="M148" t="s">
        <v>78</v>
      </c>
      <c r="N148" t="s">
        <v>79</v>
      </c>
      <c r="O148" t="s">
        <v>74</v>
      </c>
      <c r="P148" t="s">
        <v>74</v>
      </c>
      <c r="Q148" t="s">
        <v>74</v>
      </c>
      <c r="R148" t="s">
        <v>74</v>
      </c>
      <c r="S148" t="s">
        <v>74</v>
      </c>
      <c r="T148" t="s">
        <v>3232</v>
      </c>
      <c r="U148" t="s">
        <v>3233</v>
      </c>
      <c r="V148" t="s">
        <v>3234</v>
      </c>
      <c r="W148" t="s">
        <v>3235</v>
      </c>
      <c r="X148" t="s">
        <v>3236</v>
      </c>
      <c r="Y148" t="s">
        <v>3237</v>
      </c>
      <c r="Z148" t="s">
        <v>3238</v>
      </c>
      <c r="AA148" t="s">
        <v>74</v>
      </c>
      <c r="AB148" t="s">
        <v>3239</v>
      </c>
      <c r="AC148" t="s">
        <v>3240</v>
      </c>
      <c r="AD148" t="s">
        <v>3240</v>
      </c>
      <c r="AE148" t="s">
        <v>3241</v>
      </c>
      <c r="AF148" t="s">
        <v>74</v>
      </c>
      <c r="AG148">
        <v>21</v>
      </c>
      <c r="AH148">
        <v>15</v>
      </c>
      <c r="AI148">
        <v>16</v>
      </c>
      <c r="AJ148">
        <v>1</v>
      </c>
      <c r="AK148">
        <v>10</v>
      </c>
      <c r="AL148" t="s">
        <v>575</v>
      </c>
      <c r="AM148" t="s">
        <v>576</v>
      </c>
      <c r="AN148" t="s">
        <v>3242</v>
      </c>
      <c r="AO148" t="s">
        <v>74</v>
      </c>
      <c r="AP148" t="s">
        <v>3243</v>
      </c>
      <c r="AQ148" t="s">
        <v>74</v>
      </c>
      <c r="AR148" t="s">
        <v>3244</v>
      </c>
      <c r="AS148" t="s">
        <v>3245</v>
      </c>
      <c r="AT148" t="s">
        <v>698</v>
      </c>
      <c r="AU148">
        <v>2020</v>
      </c>
      <c r="AV148">
        <v>12</v>
      </c>
      <c r="AW148">
        <v>18</v>
      </c>
      <c r="AX148" t="s">
        <v>74</v>
      </c>
      <c r="AY148" t="s">
        <v>74</v>
      </c>
      <c r="AZ148" t="s">
        <v>74</v>
      </c>
      <c r="BA148" t="s">
        <v>74</v>
      </c>
      <c r="BB148" t="s">
        <v>74</v>
      </c>
      <c r="BC148" t="s">
        <v>74</v>
      </c>
      <c r="BD148">
        <v>7777</v>
      </c>
      <c r="BE148" t="s">
        <v>3246</v>
      </c>
      <c r="BF148" t="str">
        <f>HYPERLINK("http://dx.doi.org/10.3390/su12187777","http://dx.doi.org/10.3390/su12187777")</f>
        <v>http://dx.doi.org/10.3390/su12187777</v>
      </c>
      <c r="BG148" t="s">
        <v>74</v>
      </c>
      <c r="BH148" t="s">
        <v>74</v>
      </c>
      <c r="BI148">
        <v>14</v>
      </c>
      <c r="BJ148" t="s">
        <v>3247</v>
      </c>
      <c r="BK148" t="s">
        <v>2623</v>
      </c>
      <c r="BL148" t="s">
        <v>3248</v>
      </c>
      <c r="BM148" t="s">
        <v>3249</v>
      </c>
      <c r="BN148" t="s">
        <v>74</v>
      </c>
      <c r="BO148" t="s">
        <v>916</v>
      </c>
      <c r="BP148" t="s">
        <v>74</v>
      </c>
      <c r="BQ148" t="s">
        <v>74</v>
      </c>
      <c r="BR148" t="s">
        <v>102</v>
      </c>
      <c r="BS148" t="s">
        <v>3250</v>
      </c>
      <c r="BT148" t="str">
        <f>HYPERLINK("https%3A%2F%2Fwww.webofscience.com%2Fwos%2Fwoscc%2Ffull-record%2FWOS:000584392800001","View Full Record in Web of Science")</f>
        <v>View Full Record in Web of Science</v>
      </c>
    </row>
    <row r="149" spans="1:72" x14ac:dyDescent="0.25">
      <c r="A149" t="s">
        <v>72</v>
      </c>
      <c r="B149" t="s">
        <v>1140</v>
      </c>
      <c r="C149" t="s">
        <v>74</v>
      </c>
      <c r="D149" t="s">
        <v>74</v>
      </c>
      <c r="E149" t="s">
        <v>74</v>
      </c>
      <c r="F149" t="s">
        <v>3251</v>
      </c>
      <c r="G149" t="s">
        <v>74</v>
      </c>
      <c r="H149" t="s">
        <v>74</v>
      </c>
      <c r="I149" t="s">
        <v>3252</v>
      </c>
      <c r="J149" t="s">
        <v>3253</v>
      </c>
      <c r="K149" t="s">
        <v>74</v>
      </c>
      <c r="L149" t="s">
        <v>74</v>
      </c>
      <c r="M149" t="s">
        <v>78</v>
      </c>
      <c r="N149" t="s">
        <v>79</v>
      </c>
      <c r="O149" t="s">
        <v>74</v>
      </c>
      <c r="P149" t="s">
        <v>74</v>
      </c>
      <c r="Q149" t="s">
        <v>74</v>
      </c>
      <c r="R149" t="s">
        <v>74</v>
      </c>
      <c r="S149" t="s">
        <v>74</v>
      </c>
      <c r="T149" t="s">
        <v>3254</v>
      </c>
      <c r="U149" t="s">
        <v>3255</v>
      </c>
      <c r="V149" t="s">
        <v>3256</v>
      </c>
      <c r="W149" t="s">
        <v>3257</v>
      </c>
      <c r="X149" t="s">
        <v>1148</v>
      </c>
      <c r="Y149" t="s">
        <v>3258</v>
      </c>
      <c r="Z149" t="s">
        <v>3259</v>
      </c>
      <c r="AA149" t="s">
        <v>1151</v>
      </c>
      <c r="AB149" t="s">
        <v>1152</v>
      </c>
      <c r="AC149" t="s">
        <v>74</v>
      </c>
      <c r="AD149" t="s">
        <v>74</v>
      </c>
      <c r="AE149" t="s">
        <v>74</v>
      </c>
      <c r="AF149" t="s">
        <v>74</v>
      </c>
      <c r="AG149">
        <v>65</v>
      </c>
      <c r="AH149">
        <v>5</v>
      </c>
      <c r="AI149">
        <v>6</v>
      </c>
      <c r="AJ149">
        <v>0</v>
      </c>
      <c r="AK149">
        <v>2</v>
      </c>
      <c r="AL149" t="s">
        <v>385</v>
      </c>
      <c r="AM149" t="s">
        <v>151</v>
      </c>
      <c r="AN149" t="s">
        <v>386</v>
      </c>
      <c r="AO149" t="s">
        <v>3260</v>
      </c>
      <c r="AP149" t="s">
        <v>3261</v>
      </c>
      <c r="AQ149" t="s">
        <v>74</v>
      </c>
      <c r="AR149" t="s">
        <v>3262</v>
      </c>
      <c r="AS149" t="s">
        <v>3263</v>
      </c>
      <c r="AT149" t="s">
        <v>1652</v>
      </c>
      <c r="AU149">
        <v>2019</v>
      </c>
      <c r="AV149">
        <v>42</v>
      </c>
      <c r="AW149">
        <v>2</v>
      </c>
      <c r="AX149" t="s">
        <v>74</v>
      </c>
      <c r="AY149" t="s">
        <v>74</v>
      </c>
      <c r="AZ149" t="s">
        <v>74</v>
      </c>
      <c r="BA149" t="s">
        <v>74</v>
      </c>
      <c r="BB149">
        <v>267</v>
      </c>
      <c r="BC149">
        <v>283</v>
      </c>
      <c r="BD149" t="s">
        <v>74</v>
      </c>
      <c r="BE149" t="s">
        <v>3264</v>
      </c>
      <c r="BF149" t="str">
        <f>HYPERLINK("http://dx.doi.org/10.1007/s10603-019-9407-6","http://dx.doi.org/10.1007/s10603-019-9407-6")</f>
        <v>http://dx.doi.org/10.1007/s10603-019-9407-6</v>
      </c>
      <c r="BG149" t="s">
        <v>74</v>
      </c>
      <c r="BH149" t="s">
        <v>74</v>
      </c>
      <c r="BI149">
        <v>17</v>
      </c>
      <c r="BJ149" t="s">
        <v>418</v>
      </c>
      <c r="BK149" t="s">
        <v>313</v>
      </c>
      <c r="BL149" t="s">
        <v>100</v>
      </c>
      <c r="BM149" t="s">
        <v>3265</v>
      </c>
      <c r="BN149" t="s">
        <v>74</v>
      </c>
      <c r="BO149" t="s">
        <v>74</v>
      </c>
      <c r="BP149" t="s">
        <v>74</v>
      </c>
      <c r="BQ149" t="s">
        <v>74</v>
      </c>
      <c r="BR149" t="s">
        <v>102</v>
      </c>
      <c r="BS149" t="s">
        <v>3266</v>
      </c>
      <c r="BT149" t="str">
        <f>HYPERLINK("https%3A%2F%2Fwww.webofscience.com%2Fwos%2Fwoscc%2Ffull-record%2FWOS:000467109200005","View Full Record in Web of Science")</f>
        <v>View Full Record in Web of Science</v>
      </c>
    </row>
    <row r="150" spans="1:72" x14ac:dyDescent="0.25">
      <c r="A150" t="s">
        <v>132</v>
      </c>
      <c r="B150" t="s">
        <v>3267</v>
      </c>
      <c r="C150" t="s">
        <v>74</v>
      </c>
      <c r="D150" t="s">
        <v>74</v>
      </c>
      <c r="E150" t="s">
        <v>3268</v>
      </c>
      <c r="F150" t="s">
        <v>3269</v>
      </c>
      <c r="G150" t="s">
        <v>74</v>
      </c>
      <c r="H150" t="s">
        <v>74</v>
      </c>
      <c r="I150" t="s">
        <v>3270</v>
      </c>
      <c r="J150" t="s">
        <v>3271</v>
      </c>
      <c r="K150" t="s">
        <v>74</v>
      </c>
      <c r="L150" t="s">
        <v>74</v>
      </c>
      <c r="M150" t="s">
        <v>78</v>
      </c>
      <c r="N150" t="s">
        <v>138</v>
      </c>
      <c r="O150" t="s">
        <v>3272</v>
      </c>
      <c r="P150" t="s">
        <v>3273</v>
      </c>
      <c r="Q150" t="s">
        <v>3274</v>
      </c>
      <c r="R150" t="s">
        <v>74</v>
      </c>
      <c r="S150" t="s">
        <v>74</v>
      </c>
      <c r="T150" t="s">
        <v>3275</v>
      </c>
      <c r="U150" t="s">
        <v>74</v>
      </c>
      <c r="V150" t="s">
        <v>3276</v>
      </c>
      <c r="W150" t="s">
        <v>3277</v>
      </c>
      <c r="X150" t="s">
        <v>3278</v>
      </c>
      <c r="Y150" t="s">
        <v>74</v>
      </c>
      <c r="Z150" t="s">
        <v>3279</v>
      </c>
      <c r="AA150" t="s">
        <v>3280</v>
      </c>
      <c r="AB150" t="s">
        <v>74</v>
      </c>
      <c r="AC150" t="s">
        <v>74</v>
      </c>
      <c r="AD150" t="s">
        <v>74</v>
      </c>
      <c r="AE150" t="s">
        <v>74</v>
      </c>
      <c r="AF150" t="s">
        <v>74</v>
      </c>
      <c r="AG150">
        <v>7</v>
      </c>
      <c r="AH150">
        <v>0</v>
      </c>
      <c r="AI150">
        <v>0</v>
      </c>
      <c r="AJ150">
        <v>0</v>
      </c>
      <c r="AK150">
        <v>0</v>
      </c>
      <c r="AL150" t="s">
        <v>3281</v>
      </c>
      <c r="AM150" t="s">
        <v>3282</v>
      </c>
      <c r="AN150" t="s">
        <v>3283</v>
      </c>
      <c r="AO150" t="s">
        <v>74</v>
      </c>
      <c r="AP150" t="s">
        <v>74</v>
      </c>
      <c r="AQ150" t="s">
        <v>3284</v>
      </c>
      <c r="AR150" t="s">
        <v>74</v>
      </c>
      <c r="AS150" t="s">
        <v>74</v>
      </c>
      <c r="AT150" t="s">
        <v>74</v>
      </c>
      <c r="AU150">
        <v>2009</v>
      </c>
      <c r="AV150" t="s">
        <v>74</v>
      </c>
      <c r="AW150" t="s">
        <v>74</v>
      </c>
      <c r="AX150" t="s">
        <v>74</v>
      </c>
      <c r="AY150" t="s">
        <v>74</v>
      </c>
      <c r="AZ150" t="s">
        <v>74</v>
      </c>
      <c r="BA150" t="s">
        <v>74</v>
      </c>
      <c r="BB150">
        <v>204</v>
      </c>
      <c r="BC150">
        <v>209</v>
      </c>
      <c r="BD150" t="s">
        <v>74</v>
      </c>
      <c r="BE150" t="s">
        <v>74</v>
      </c>
      <c r="BF150" t="s">
        <v>74</v>
      </c>
      <c r="BG150" t="s">
        <v>74</v>
      </c>
      <c r="BH150" t="s">
        <v>74</v>
      </c>
      <c r="BI150">
        <v>6</v>
      </c>
      <c r="BJ150" t="s">
        <v>291</v>
      </c>
      <c r="BK150" t="s">
        <v>183</v>
      </c>
      <c r="BL150" t="s">
        <v>100</v>
      </c>
      <c r="BM150" t="s">
        <v>3285</v>
      </c>
      <c r="BN150" t="s">
        <v>74</v>
      </c>
      <c r="BO150" t="s">
        <v>74</v>
      </c>
      <c r="BP150" t="s">
        <v>74</v>
      </c>
      <c r="BQ150" t="s">
        <v>74</v>
      </c>
      <c r="BR150" t="s">
        <v>102</v>
      </c>
      <c r="BS150" t="s">
        <v>3286</v>
      </c>
      <c r="BT150" t="str">
        <f>HYPERLINK("https%3A%2F%2Fwww.webofscience.com%2Fwos%2Fwoscc%2Ffull-record%2FWOS:000287984500028","View Full Record in Web of Science")</f>
        <v>View Full Record in Web of Science</v>
      </c>
    </row>
    <row r="151" spans="1:72" x14ac:dyDescent="0.25">
      <c r="A151" t="s">
        <v>72</v>
      </c>
      <c r="B151" t="s">
        <v>3287</v>
      </c>
      <c r="C151" t="s">
        <v>74</v>
      </c>
      <c r="D151" t="s">
        <v>74</v>
      </c>
      <c r="E151" t="s">
        <v>74</v>
      </c>
      <c r="F151" t="s">
        <v>3288</v>
      </c>
      <c r="G151" t="s">
        <v>74</v>
      </c>
      <c r="H151" t="s">
        <v>74</v>
      </c>
      <c r="I151" t="s">
        <v>3289</v>
      </c>
      <c r="J151" t="s">
        <v>3290</v>
      </c>
      <c r="K151" t="s">
        <v>74</v>
      </c>
      <c r="L151" t="s">
        <v>74</v>
      </c>
      <c r="M151" t="s">
        <v>78</v>
      </c>
      <c r="N151" t="s">
        <v>79</v>
      </c>
      <c r="O151" t="s">
        <v>74</v>
      </c>
      <c r="P151" t="s">
        <v>74</v>
      </c>
      <c r="Q151" t="s">
        <v>74</v>
      </c>
      <c r="R151" t="s">
        <v>74</v>
      </c>
      <c r="S151" t="s">
        <v>74</v>
      </c>
      <c r="T151" t="s">
        <v>3291</v>
      </c>
      <c r="U151" t="s">
        <v>74</v>
      </c>
      <c r="V151" t="s">
        <v>3292</v>
      </c>
      <c r="W151" t="s">
        <v>3293</v>
      </c>
      <c r="X151" t="s">
        <v>3294</v>
      </c>
      <c r="Y151" t="s">
        <v>3295</v>
      </c>
      <c r="Z151" t="s">
        <v>3296</v>
      </c>
      <c r="AA151" t="s">
        <v>74</v>
      </c>
      <c r="AB151" t="s">
        <v>3297</v>
      </c>
      <c r="AC151" t="s">
        <v>74</v>
      </c>
      <c r="AD151" t="s">
        <v>74</v>
      </c>
      <c r="AE151" t="s">
        <v>74</v>
      </c>
      <c r="AF151" t="s">
        <v>74</v>
      </c>
      <c r="AG151">
        <v>40</v>
      </c>
      <c r="AH151">
        <v>54</v>
      </c>
      <c r="AI151">
        <v>67</v>
      </c>
      <c r="AJ151">
        <v>2</v>
      </c>
      <c r="AK151">
        <v>43</v>
      </c>
      <c r="AL151" t="s">
        <v>3298</v>
      </c>
      <c r="AM151" t="s">
        <v>202</v>
      </c>
      <c r="AN151" t="s">
        <v>3299</v>
      </c>
      <c r="AO151" t="s">
        <v>3300</v>
      </c>
      <c r="AP151" t="s">
        <v>74</v>
      </c>
      <c r="AQ151" t="s">
        <v>74</v>
      </c>
      <c r="AR151" t="s">
        <v>3301</v>
      </c>
      <c r="AS151" t="s">
        <v>3302</v>
      </c>
      <c r="AT151" t="s">
        <v>2462</v>
      </c>
      <c r="AU151">
        <v>2008</v>
      </c>
      <c r="AV151">
        <v>7</v>
      </c>
      <c r="AW151">
        <v>2</v>
      </c>
      <c r="AX151" t="s">
        <v>74</v>
      </c>
      <c r="AY151" t="s">
        <v>74</v>
      </c>
      <c r="AZ151" t="s">
        <v>74</v>
      </c>
      <c r="BA151" t="s">
        <v>74</v>
      </c>
      <c r="BB151">
        <v>202</v>
      </c>
      <c r="BC151">
        <v>213</v>
      </c>
      <c r="BD151" t="s">
        <v>74</v>
      </c>
      <c r="BE151" t="s">
        <v>3303</v>
      </c>
      <c r="BF151" t="str">
        <f>HYPERLINK("http://dx.doi.org/10.1016/j.elerap.2007.05.003","http://dx.doi.org/10.1016/j.elerap.2007.05.003")</f>
        <v>http://dx.doi.org/10.1016/j.elerap.2007.05.003</v>
      </c>
      <c r="BG151" t="s">
        <v>74</v>
      </c>
      <c r="BH151" t="s">
        <v>74</v>
      </c>
      <c r="BI151">
        <v>12</v>
      </c>
      <c r="BJ151" t="s">
        <v>3304</v>
      </c>
      <c r="BK151" t="s">
        <v>2623</v>
      </c>
      <c r="BL151" t="s">
        <v>1070</v>
      </c>
      <c r="BM151" t="s">
        <v>3305</v>
      </c>
      <c r="BN151" t="s">
        <v>74</v>
      </c>
      <c r="BO151" t="s">
        <v>74</v>
      </c>
      <c r="BP151" t="s">
        <v>74</v>
      </c>
      <c r="BQ151" t="s">
        <v>74</v>
      </c>
      <c r="BR151" t="s">
        <v>102</v>
      </c>
      <c r="BS151" t="s">
        <v>3306</v>
      </c>
      <c r="BT151" t="str">
        <f>HYPERLINK("https%3A%2F%2Fwww.webofscience.com%2Fwos%2Fwoscc%2Ffull-record%2FWOS:000256221500006","View Full Record in Web of Science")</f>
        <v>View Full Record in Web of Science</v>
      </c>
    </row>
    <row r="152" spans="1:72" x14ac:dyDescent="0.25">
      <c r="A152" t="s">
        <v>72</v>
      </c>
      <c r="B152" t="s">
        <v>3307</v>
      </c>
      <c r="C152" t="s">
        <v>74</v>
      </c>
      <c r="D152" t="s">
        <v>74</v>
      </c>
      <c r="E152" t="s">
        <v>74</v>
      </c>
      <c r="F152" t="s">
        <v>3308</v>
      </c>
      <c r="G152" t="s">
        <v>74</v>
      </c>
      <c r="H152" t="s">
        <v>74</v>
      </c>
      <c r="I152" t="s">
        <v>3309</v>
      </c>
      <c r="J152" t="s">
        <v>3310</v>
      </c>
      <c r="K152" t="s">
        <v>74</v>
      </c>
      <c r="L152" t="s">
        <v>74</v>
      </c>
      <c r="M152" t="s">
        <v>3311</v>
      </c>
      <c r="N152" t="s">
        <v>79</v>
      </c>
      <c r="O152" t="s">
        <v>74</v>
      </c>
      <c r="P152" t="s">
        <v>74</v>
      </c>
      <c r="Q152" t="s">
        <v>74</v>
      </c>
      <c r="R152" t="s">
        <v>74</v>
      </c>
      <c r="S152" t="s">
        <v>74</v>
      </c>
      <c r="T152" t="s">
        <v>74</v>
      </c>
      <c r="U152" t="s">
        <v>3312</v>
      </c>
      <c r="V152" t="s">
        <v>3313</v>
      </c>
      <c r="W152" t="s">
        <v>3314</v>
      </c>
      <c r="X152" t="s">
        <v>3315</v>
      </c>
      <c r="Y152" t="s">
        <v>3316</v>
      </c>
      <c r="Z152" t="s">
        <v>74</v>
      </c>
      <c r="AA152" t="s">
        <v>3317</v>
      </c>
      <c r="AB152" t="s">
        <v>3318</v>
      </c>
      <c r="AC152" t="s">
        <v>74</v>
      </c>
      <c r="AD152" t="s">
        <v>74</v>
      </c>
      <c r="AE152" t="s">
        <v>74</v>
      </c>
      <c r="AF152" t="s">
        <v>74</v>
      </c>
      <c r="AG152">
        <v>46</v>
      </c>
      <c r="AH152">
        <v>0</v>
      </c>
      <c r="AI152">
        <v>2</v>
      </c>
      <c r="AJ152">
        <v>1</v>
      </c>
      <c r="AK152">
        <v>15</v>
      </c>
      <c r="AL152" t="s">
        <v>3319</v>
      </c>
      <c r="AM152" t="s">
        <v>3098</v>
      </c>
      <c r="AN152" t="s">
        <v>3320</v>
      </c>
      <c r="AO152" t="s">
        <v>3321</v>
      </c>
      <c r="AP152" t="s">
        <v>3322</v>
      </c>
      <c r="AQ152" t="s">
        <v>74</v>
      </c>
      <c r="AR152" t="s">
        <v>3310</v>
      </c>
      <c r="AS152" t="s">
        <v>3323</v>
      </c>
      <c r="AT152" t="s">
        <v>74</v>
      </c>
      <c r="AU152">
        <v>2021</v>
      </c>
      <c r="AV152">
        <v>71</v>
      </c>
      <c r="AW152" t="s">
        <v>3324</v>
      </c>
      <c r="AX152" t="s">
        <v>74</v>
      </c>
      <c r="AY152" t="s">
        <v>74</v>
      </c>
      <c r="AZ152" t="s">
        <v>74</v>
      </c>
      <c r="BA152" t="s">
        <v>74</v>
      </c>
      <c r="BB152">
        <v>103</v>
      </c>
      <c r="BC152" t="s">
        <v>2190</v>
      </c>
      <c r="BD152" t="s">
        <v>74</v>
      </c>
      <c r="BE152" t="s">
        <v>3325</v>
      </c>
      <c r="BF152" t="str">
        <f>HYPERLINK("http://dx.doi.org/10.35998/oe-2021-0080","http://dx.doi.org/10.35998/oe-2021-0080")</f>
        <v>http://dx.doi.org/10.35998/oe-2021-0080</v>
      </c>
      <c r="BG152" t="s">
        <v>74</v>
      </c>
      <c r="BH152" t="s">
        <v>74</v>
      </c>
      <c r="BI152">
        <v>12</v>
      </c>
      <c r="BJ152" t="s">
        <v>3326</v>
      </c>
      <c r="BK152" t="s">
        <v>99</v>
      </c>
      <c r="BL152" t="s">
        <v>184</v>
      </c>
      <c r="BM152" t="s">
        <v>3327</v>
      </c>
      <c r="BN152" t="s">
        <v>74</v>
      </c>
      <c r="BO152" t="s">
        <v>74</v>
      </c>
      <c r="BP152" t="s">
        <v>74</v>
      </c>
      <c r="BQ152" t="s">
        <v>74</v>
      </c>
      <c r="BR152" t="s">
        <v>102</v>
      </c>
      <c r="BS152" t="s">
        <v>3328</v>
      </c>
      <c r="BT152" t="str">
        <f>HYPERLINK("https%3A%2F%2Fwww.webofscience.com%2Fwos%2Fwoscc%2Ffull-record%2FWOS:000789925500006","View Full Record in Web of Science")</f>
        <v>View Full Record in Web of Science</v>
      </c>
    </row>
    <row r="153" spans="1:72" x14ac:dyDescent="0.25">
      <c r="A153" t="s">
        <v>72</v>
      </c>
      <c r="B153" t="s">
        <v>3329</v>
      </c>
      <c r="C153" t="s">
        <v>74</v>
      </c>
      <c r="D153" t="s">
        <v>74</v>
      </c>
      <c r="E153" t="s">
        <v>74</v>
      </c>
      <c r="F153" t="s">
        <v>3330</v>
      </c>
      <c r="G153" t="s">
        <v>74</v>
      </c>
      <c r="H153" t="s">
        <v>74</v>
      </c>
      <c r="I153" t="s">
        <v>3331</v>
      </c>
      <c r="J153" t="s">
        <v>3332</v>
      </c>
      <c r="K153" t="s">
        <v>74</v>
      </c>
      <c r="L153" t="s">
        <v>74</v>
      </c>
      <c r="M153" t="s">
        <v>78</v>
      </c>
      <c r="N153" t="s">
        <v>79</v>
      </c>
      <c r="O153" t="s">
        <v>74</v>
      </c>
      <c r="P153" t="s">
        <v>74</v>
      </c>
      <c r="Q153" t="s">
        <v>74</v>
      </c>
      <c r="R153" t="s">
        <v>74</v>
      </c>
      <c r="S153" t="s">
        <v>74</v>
      </c>
      <c r="T153" t="s">
        <v>3333</v>
      </c>
      <c r="U153" t="s">
        <v>3334</v>
      </c>
      <c r="V153" t="s">
        <v>3335</v>
      </c>
      <c r="W153" t="s">
        <v>3336</v>
      </c>
      <c r="X153" t="s">
        <v>3337</v>
      </c>
      <c r="Y153" t="s">
        <v>3338</v>
      </c>
      <c r="Z153" t="s">
        <v>3339</v>
      </c>
      <c r="AA153" t="s">
        <v>3340</v>
      </c>
      <c r="AB153" t="s">
        <v>3341</v>
      </c>
      <c r="AC153" t="s">
        <v>3342</v>
      </c>
      <c r="AD153" t="s">
        <v>3343</v>
      </c>
      <c r="AE153" t="s">
        <v>3344</v>
      </c>
      <c r="AF153" t="s">
        <v>74</v>
      </c>
      <c r="AG153">
        <v>79</v>
      </c>
      <c r="AH153">
        <v>26</v>
      </c>
      <c r="AI153">
        <v>26</v>
      </c>
      <c r="AJ153">
        <v>0</v>
      </c>
      <c r="AK153">
        <v>27</v>
      </c>
      <c r="AL153" t="s">
        <v>89</v>
      </c>
      <c r="AM153" t="s">
        <v>1497</v>
      </c>
      <c r="AN153" t="s">
        <v>1498</v>
      </c>
      <c r="AO153" t="s">
        <v>3345</v>
      </c>
      <c r="AP153" t="s">
        <v>3346</v>
      </c>
      <c r="AQ153" t="s">
        <v>74</v>
      </c>
      <c r="AR153" t="s">
        <v>3347</v>
      </c>
      <c r="AS153" t="s">
        <v>3348</v>
      </c>
      <c r="AT153" t="s">
        <v>3349</v>
      </c>
      <c r="AU153">
        <v>2021</v>
      </c>
      <c r="AV153">
        <v>12</v>
      </c>
      <c r="AW153">
        <v>8</v>
      </c>
      <c r="AX153" t="s">
        <v>74</v>
      </c>
      <c r="AY153" t="s">
        <v>74</v>
      </c>
      <c r="AZ153" t="s">
        <v>74</v>
      </c>
      <c r="BA153" t="s">
        <v>74</v>
      </c>
      <c r="BB153">
        <v>1637</v>
      </c>
      <c r="BC153">
        <v>1662</v>
      </c>
      <c r="BD153" t="s">
        <v>74</v>
      </c>
      <c r="BE153" t="s">
        <v>3350</v>
      </c>
      <c r="BF153" t="str">
        <f>HYPERLINK("http://dx.doi.org/10.1108/JIMA-07-2019-0157","http://dx.doi.org/10.1108/JIMA-07-2019-0157")</f>
        <v>http://dx.doi.org/10.1108/JIMA-07-2019-0157</v>
      </c>
      <c r="BG153" t="s">
        <v>74</v>
      </c>
      <c r="BH153" t="s">
        <v>3351</v>
      </c>
      <c r="BI153">
        <v>26</v>
      </c>
      <c r="BJ153" t="s">
        <v>418</v>
      </c>
      <c r="BK153" t="s">
        <v>313</v>
      </c>
      <c r="BL153" t="s">
        <v>100</v>
      </c>
      <c r="BM153" t="s">
        <v>3352</v>
      </c>
      <c r="BN153" t="s">
        <v>74</v>
      </c>
      <c r="BO153" t="s">
        <v>74</v>
      </c>
      <c r="BP153" t="s">
        <v>74</v>
      </c>
      <c r="BQ153" t="s">
        <v>74</v>
      </c>
      <c r="BR153" t="s">
        <v>102</v>
      </c>
      <c r="BS153" t="s">
        <v>3353</v>
      </c>
      <c r="BT153" t="str">
        <f>HYPERLINK("https%3A%2F%2Fwww.webofscience.com%2Fwos%2Fwoscc%2Ffull-record%2FWOS:000554637700001","View Full Record in Web of Science")</f>
        <v>View Full Record in Web of Science</v>
      </c>
    </row>
    <row r="154" spans="1:72" x14ac:dyDescent="0.25">
      <c r="A154" t="s">
        <v>72</v>
      </c>
      <c r="B154" t="s">
        <v>3354</v>
      </c>
      <c r="C154" t="s">
        <v>74</v>
      </c>
      <c r="D154" t="s">
        <v>74</v>
      </c>
      <c r="E154" t="s">
        <v>74</v>
      </c>
      <c r="F154" t="s">
        <v>3355</v>
      </c>
      <c r="G154" t="s">
        <v>74</v>
      </c>
      <c r="H154" t="s">
        <v>74</v>
      </c>
      <c r="I154" t="s">
        <v>3356</v>
      </c>
      <c r="J154" t="s">
        <v>1510</v>
      </c>
      <c r="K154" t="s">
        <v>74</v>
      </c>
      <c r="L154" t="s">
        <v>74</v>
      </c>
      <c r="M154" t="s">
        <v>78</v>
      </c>
      <c r="N154" t="s">
        <v>79</v>
      </c>
      <c r="O154" t="s">
        <v>74</v>
      </c>
      <c r="P154" t="s">
        <v>74</v>
      </c>
      <c r="Q154" t="s">
        <v>74</v>
      </c>
      <c r="R154" t="s">
        <v>74</v>
      </c>
      <c r="S154" t="s">
        <v>74</v>
      </c>
      <c r="T154" t="s">
        <v>3357</v>
      </c>
      <c r="U154" t="s">
        <v>3358</v>
      </c>
      <c r="V154" t="s">
        <v>3359</v>
      </c>
      <c r="W154" t="s">
        <v>3360</v>
      </c>
      <c r="X154" t="s">
        <v>3361</v>
      </c>
      <c r="Y154" t="s">
        <v>3362</v>
      </c>
      <c r="Z154" t="s">
        <v>3363</v>
      </c>
      <c r="AA154" t="s">
        <v>3364</v>
      </c>
      <c r="AB154" t="s">
        <v>3365</v>
      </c>
      <c r="AC154" t="s">
        <v>74</v>
      </c>
      <c r="AD154" t="s">
        <v>74</v>
      </c>
      <c r="AE154" t="s">
        <v>74</v>
      </c>
      <c r="AF154" t="s">
        <v>74</v>
      </c>
      <c r="AG154">
        <v>46</v>
      </c>
      <c r="AH154">
        <v>20</v>
      </c>
      <c r="AI154">
        <v>29</v>
      </c>
      <c r="AJ154">
        <v>1</v>
      </c>
      <c r="AK154">
        <v>13</v>
      </c>
      <c r="AL154" t="s">
        <v>89</v>
      </c>
      <c r="AM154" t="s">
        <v>1497</v>
      </c>
      <c r="AN154" t="s">
        <v>1498</v>
      </c>
      <c r="AO154" t="s">
        <v>1519</v>
      </c>
      <c r="AP154" t="s">
        <v>1520</v>
      </c>
      <c r="AQ154" t="s">
        <v>74</v>
      </c>
      <c r="AR154" t="s">
        <v>1521</v>
      </c>
      <c r="AS154" t="s">
        <v>1522</v>
      </c>
      <c r="AT154" t="s">
        <v>440</v>
      </c>
      <c r="AU154">
        <v>2020</v>
      </c>
      <c r="AV154">
        <v>47</v>
      </c>
      <c r="AW154">
        <v>6</v>
      </c>
      <c r="AX154" t="s">
        <v>74</v>
      </c>
      <c r="AY154" t="s">
        <v>74</v>
      </c>
      <c r="AZ154" t="s">
        <v>74</v>
      </c>
      <c r="BA154" t="s">
        <v>74</v>
      </c>
      <c r="BB154">
        <v>693</v>
      </c>
      <c r="BC154">
        <v>709</v>
      </c>
      <c r="BD154" t="s">
        <v>74</v>
      </c>
      <c r="BE154" t="s">
        <v>3366</v>
      </c>
      <c r="BF154" t="str">
        <f>HYPERLINK("http://dx.doi.org/10.1108/IJSE-05-2019-0310","http://dx.doi.org/10.1108/IJSE-05-2019-0310")</f>
        <v>http://dx.doi.org/10.1108/IJSE-05-2019-0310</v>
      </c>
      <c r="BG154" t="s">
        <v>74</v>
      </c>
      <c r="BH154" t="s">
        <v>341</v>
      </c>
      <c r="BI154">
        <v>17</v>
      </c>
      <c r="BJ154" t="s">
        <v>291</v>
      </c>
      <c r="BK154" t="s">
        <v>313</v>
      </c>
      <c r="BL154" t="s">
        <v>100</v>
      </c>
      <c r="BM154" t="s">
        <v>3367</v>
      </c>
      <c r="BN154" t="s">
        <v>74</v>
      </c>
      <c r="BO154" t="s">
        <v>74</v>
      </c>
      <c r="BP154" t="s">
        <v>74</v>
      </c>
      <c r="BQ154" t="s">
        <v>74</v>
      </c>
      <c r="BR154" t="s">
        <v>102</v>
      </c>
      <c r="BS154" t="s">
        <v>3368</v>
      </c>
      <c r="BT154" t="str">
        <f>HYPERLINK("https%3A%2F%2Fwww.webofscience.com%2Fwos%2Fwoscc%2Ffull-record%2FWOS:000538503600001","View Full Record in Web of Science")</f>
        <v>View Full Record in Web of Science</v>
      </c>
    </row>
    <row r="155" spans="1:72" x14ac:dyDescent="0.25">
      <c r="A155" t="s">
        <v>72</v>
      </c>
      <c r="B155" t="s">
        <v>3369</v>
      </c>
      <c r="C155" t="s">
        <v>74</v>
      </c>
      <c r="D155" t="s">
        <v>74</v>
      </c>
      <c r="E155" t="s">
        <v>74</v>
      </c>
      <c r="F155" t="s">
        <v>3370</v>
      </c>
      <c r="G155" t="s">
        <v>74</v>
      </c>
      <c r="H155" t="s">
        <v>74</v>
      </c>
      <c r="I155" t="s">
        <v>3371</v>
      </c>
      <c r="J155" t="s">
        <v>3372</v>
      </c>
      <c r="K155" t="s">
        <v>74</v>
      </c>
      <c r="L155" t="s">
        <v>74</v>
      </c>
      <c r="M155" t="s">
        <v>78</v>
      </c>
      <c r="N155" t="s">
        <v>79</v>
      </c>
      <c r="O155" t="s">
        <v>74</v>
      </c>
      <c r="P155" t="s">
        <v>74</v>
      </c>
      <c r="Q155" t="s">
        <v>74</v>
      </c>
      <c r="R155" t="s">
        <v>74</v>
      </c>
      <c r="S155" t="s">
        <v>74</v>
      </c>
      <c r="T155" t="s">
        <v>74</v>
      </c>
      <c r="U155" t="s">
        <v>74</v>
      </c>
      <c r="V155" t="s">
        <v>3373</v>
      </c>
      <c r="W155" t="s">
        <v>3374</v>
      </c>
      <c r="X155" t="s">
        <v>3375</v>
      </c>
      <c r="Y155" t="s">
        <v>2293</v>
      </c>
      <c r="Z155" t="s">
        <v>74</v>
      </c>
      <c r="AA155" t="s">
        <v>3376</v>
      </c>
      <c r="AB155" t="s">
        <v>3377</v>
      </c>
      <c r="AC155" t="s">
        <v>3378</v>
      </c>
      <c r="AD155" t="s">
        <v>3378</v>
      </c>
      <c r="AE155" t="s">
        <v>3379</v>
      </c>
      <c r="AF155" t="s">
        <v>74</v>
      </c>
      <c r="AG155">
        <v>25</v>
      </c>
      <c r="AH155">
        <v>0</v>
      </c>
      <c r="AI155">
        <v>0</v>
      </c>
      <c r="AJ155">
        <v>3</v>
      </c>
      <c r="AK155">
        <v>4</v>
      </c>
      <c r="AL155" t="s">
        <v>3380</v>
      </c>
      <c r="AM155" t="s">
        <v>3381</v>
      </c>
      <c r="AN155" t="s">
        <v>3382</v>
      </c>
      <c r="AO155" t="s">
        <v>3383</v>
      </c>
      <c r="AP155" t="s">
        <v>3384</v>
      </c>
      <c r="AQ155" t="s">
        <v>74</v>
      </c>
      <c r="AR155" t="s">
        <v>3385</v>
      </c>
      <c r="AS155" t="s">
        <v>3386</v>
      </c>
      <c r="AT155" t="s">
        <v>3387</v>
      </c>
      <c r="AU155">
        <v>2025</v>
      </c>
      <c r="AV155">
        <v>73</v>
      </c>
      <c r="AW155">
        <v>4</v>
      </c>
      <c r="AX155" t="s">
        <v>74</v>
      </c>
      <c r="AY155" t="s">
        <v>74</v>
      </c>
      <c r="AZ155" t="s">
        <v>74</v>
      </c>
      <c r="BA155" t="s">
        <v>74</v>
      </c>
      <c r="BB155">
        <v>1659</v>
      </c>
      <c r="BC155">
        <v>1684</v>
      </c>
      <c r="BD155" t="s">
        <v>74</v>
      </c>
      <c r="BE155" t="s">
        <v>3388</v>
      </c>
      <c r="BF155" t="str">
        <f>HYPERLINK("http://dx.doi.org/10.1086/732597","http://dx.doi.org/10.1086/732597")</f>
        <v>http://dx.doi.org/10.1086/732597</v>
      </c>
      <c r="BG155" t="s">
        <v>74</v>
      </c>
      <c r="BH155" t="s">
        <v>3389</v>
      </c>
      <c r="BI155">
        <v>26</v>
      </c>
      <c r="BJ155" t="s">
        <v>3390</v>
      </c>
      <c r="BK155" t="s">
        <v>99</v>
      </c>
      <c r="BL155" t="s">
        <v>3391</v>
      </c>
      <c r="BM155" t="s">
        <v>3392</v>
      </c>
      <c r="BN155" t="s">
        <v>74</v>
      </c>
      <c r="BO155" t="s">
        <v>74</v>
      </c>
      <c r="BP155" t="s">
        <v>74</v>
      </c>
      <c r="BQ155" t="s">
        <v>74</v>
      </c>
      <c r="BR155" t="s">
        <v>102</v>
      </c>
      <c r="BS155" t="s">
        <v>3393</v>
      </c>
      <c r="BT155" t="str">
        <f>HYPERLINK("https%3A%2F%2Fwww.webofscience.com%2Fwos%2Fwoscc%2Ffull-record%2FWOS:001497471800001","View Full Record in Web of Science")</f>
        <v>View Full Record in Web of Science</v>
      </c>
    </row>
    <row r="156" spans="1:72" x14ac:dyDescent="0.25">
      <c r="A156" t="s">
        <v>72</v>
      </c>
      <c r="B156" t="s">
        <v>3394</v>
      </c>
      <c r="C156" t="s">
        <v>74</v>
      </c>
      <c r="D156" t="s">
        <v>74</v>
      </c>
      <c r="E156" t="s">
        <v>74</v>
      </c>
      <c r="F156" t="s">
        <v>3395</v>
      </c>
      <c r="G156" t="s">
        <v>74</v>
      </c>
      <c r="H156" t="s">
        <v>74</v>
      </c>
      <c r="I156" t="s">
        <v>3396</v>
      </c>
      <c r="J156" t="s">
        <v>3397</v>
      </c>
      <c r="K156" t="s">
        <v>74</v>
      </c>
      <c r="L156" t="s">
        <v>74</v>
      </c>
      <c r="M156" t="s">
        <v>78</v>
      </c>
      <c r="N156" t="s">
        <v>79</v>
      </c>
      <c r="O156" t="s">
        <v>74</v>
      </c>
      <c r="P156" t="s">
        <v>74</v>
      </c>
      <c r="Q156" t="s">
        <v>74</v>
      </c>
      <c r="R156" t="s">
        <v>74</v>
      </c>
      <c r="S156" t="s">
        <v>74</v>
      </c>
      <c r="T156" t="s">
        <v>3398</v>
      </c>
      <c r="U156" t="s">
        <v>3399</v>
      </c>
      <c r="V156" t="s">
        <v>3400</v>
      </c>
      <c r="W156" t="s">
        <v>3401</v>
      </c>
      <c r="X156" t="s">
        <v>3402</v>
      </c>
      <c r="Y156" t="s">
        <v>3403</v>
      </c>
      <c r="Z156" t="s">
        <v>3404</v>
      </c>
      <c r="AA156" t="s">
        <v>3405</v>
      </c>
      <c r="AB156" t="s">
        <v>74</v>
      </c>
      <c r="AC156" t="s">
        <v>74</v>
      </c>
      <c r="AD156" t="s">
        <v>74</v>
      </c>
      <c r="AE156" t="s">
        <v>74</v>
      </c>
      <c r="AF156" t="s">
        <v>74</v>
      </c>
      <c r="AG156">
        <v>61</v>
      </c>
      <c r="AH156">
        <v>0</v>
      </c>
      <c r="AI156">
        <v>0</v>
      </c>
      <c r="AJ156">
        <v>0</v>
      </c>
      <c r="AK156">
        <v>0</v>
      </c>
      <c r="AL156" t="s">
        <v>201</v>
      </c>
      <c r="AM156" t="s">
        <v>202</v>
      </c>
      <c r="AN156" t="s">
        <v>203</v>
      </c>
      <c r="AO156" t="s">
        <v>3406</v>
      </c>
      <c r="AP156" t="s">
        <v>3407</v>
      </c>
      <c r="AQ156" t="s">
        <v>74</v>
      </c>
      <c r="AR156" t="s">
        <v>3408</v>
      </c>
      <c r="AS156" t="s">
        <v>3409</v>
      </c>
      <c r="AT156" t="s">
        <v>124</v>
      </c>
      <c r="AU156">
        <v>2025</v>
      </c>
      <c r="AV156">
        <v>94</v>
      </c>
      <c r="AW156" t="s">
        <v>74</v>
      </c>
      <c r="AX156" t="s">
        <v>74</v>
      </c>
      <c r="AY156" t="s">
        <v>74</v>
      </c>
      <c r="AZ156" t="s">
        <v>74</v>
      </c>
      <c r="BA156" t="s">
        <v>74</v>
      </c>
      <c r="BB156" t="s">
        <v>74</v>
      </c>
      <c r="BC156" t="s">
        <v>74</v>
      </c>
      <c r="BD156">
        <v>102931</v>
      </c>
      <c r="BE156" t="s">
        <v>3410</v>
      </c>
      <c r="BF156" t="str">
        <f>HYPERLINK("http://dx.doi.org/10.1016/j.pacfin.2025.102931","http://dx.doi.org/10.1016/j.pacfin.2025.102931")</f>
        <v>http://dx.doi.org/10.1016/j.pacfin.2025.102931</v>
      </c>
      <c r="BG156" t="s">
        <v>74</v>
      </c>
      <c r="BH156" t="s">
        <v>3411</v>
      </c>
      <c r="BI156">
        <v>13</v>
      </c>
      <c r="BJ156" t="s">
        <v>268</v>
      </c>
      <c r="BK156" t="s">
        <v>99</v>
      </c>
      <c r="BL156" t="s">
        <v>100</v>
      </c>
      <c r="BM156" t="s">
        <v>3412</v>
      </c>
      <c r="BN156" t="s">
        <v>74</v>
      </c>
      <c r="BO156" t="s">
        <v>466</v>
      </c>
      <c r="BP156" t="s">
        <v>74</v>
      </c>
      <c r="BQ156" t="s">
        <v>74</v>
      </c>
      <c r="BR156" t="s">
        <v>102</v>
      </c>
      <c r="BS156" t="s">
        <v>3413</v>
      </c>
      <c r="BT156" t="str">
        <f>HYPERLINK("https%3A%2F%2Fwww.webofscience.com%2Fwos%2Fwoscc%2Ffull-record%2FWOS:001583341100001","View Full Record in Web of Science")</f>
        <v>View Full Record in Web of Science</v>
      </c>
    </row>
    <row r="157" spans="1:72" x14ac:dyDescent="0.25">
      <c r="A157" t="s">
        <v>132</v>
      </c>
      <c r="B157" t="s">
        <v>3414</v>
      </c>
      <c r="C157" t="s">
        <v>74</v>
      </c>
      <c r="D157" t="s">
        <v>74</v>
      </c>
      <c r="E157" t="s">
        <v>3415</v>
      </c>
      <c r="F157" t="s">
        <v>3416</v>
      </c>
      <c r="G157" t="s">
        <v>74</v>
      </c>
      <c r="H157" t="s">
        <v>74</v>
      </c>
      <c r="I157" t="s">
        <v>3417</v>
      </c>
      <c r="J157" t="s">
        <v>3418</v>
      </c>
      <c r="K157" t="s">
        <v>74</v>
      </c>
      <c r="L157" t="s">
        <v>74</v>
      </c>
      <c r="M157" t="s">
        <v>1851</v>
      </c>
      <c r="N157" t="s">
        <v>138</v>
      </c>
      <c r="O157" t="s">
        <v>3419</v>
      </c>
      <c r="P157" t="s">
        <v>3420</v>
      </c>
      <c r="Q157" t="s">
        <v>3421</v>
      </c>
      <c r="R157" t="s">
        <v>3422</v>
      </c>
      <c r="S157" t="s">
        <v>74</v>
      </c>
      <c r="T157" t="s">
        <v>3423</v>
      </c>
      <c r="U157" t="s">
        <v>74</v>
      </c>
      <c r="V157" t="s">
        <v>3424</v>
      </c>
      <c r="W157" t="s">
        <v>3425</v>
      </c>
      <c r="X157" t="s">
        <v>3426</v>
      </c>
      <c r="Y157" t="s">
        <v>3427</v>
      </c>
      <c r="Z157" t="s">
        <v>3428</v>
      </c>
      <c r="AA157" t="s">
        <v>3429</v>
      </c>
      <c r="AB157" t="s">
        <v>3430</v>
      </c>
      <c r="AC157" t="s">
        <v>74</v>
      </c>
      <c r="AD157" t="s">
        <v>74</v>
      </c>
      <c r="AE157" t="s">
        <v>74</v>
      </c>
      <c r="AF157" t="s">
        <v>74</v>
      </c>
      <c r="AG157">
        <v>5</v>
      </c>
      <c r="AH157">
        <v>0</v>
      </c>
      <c r="AI157">
        <v>0</v>
      </c>
      <c r="AJ157">
        <v>0</v>
      </c>
      <c r="AK157">
        <v>2</v>
      </c>
      <c r="AL157" t="s">
        <v>3431</v>
      </c>
      <c r="AM157" t="s">
        <v>178</v>
      </c>
      <c r="AN157" t="s">
        <v>3432</v>
      </c>
      <c r="AO157" t="s">
        <v>74</v>
      </c>
      <c r="AP157" t="s">
        <v>74</v>
      </c>
      <c r="AQ157" t="s">
        <v>3433</v>
      </c>
      <c r="AR157" t="s">
        <v>74</v>
      </c>
      <c r="AS157" t="s">
        <v>74</v>
      </c>
      <c r="AT157" t="s">
        <v>74</v>
      </c>
      <c r="AU157">
        <v>2014</v>
      </c>
      <c r="AV157" t="s">
        <v>74</v>
      </c>
      <c r="AW157" t="s">
        <v>74</v>
      </c>
      <c r="AX157" t="s">
        <v>74</v>
      </c>
      <c r="AY157" t="s">
        <v>74</v>
      </c>
      <c r="AZ157" t="s">
        <v>74</v>
      </c>
      <c r="BA157" t="s">
        <v>74</v>
      </c>
      <c r="BB157">
        <v>18</v>
      </c>
      <c r="BC157">
        <v>26</v>
      </c>
      <c r="BD157" t="s">
        <v>74</v>
      </c>
      <c r="BE157" t="s">
        <v>74</v>
      </c>
      <c r="BF157" t="s">
        <v>74</v>
      </c>
      <c r="BG157" t="s">
        <v>74</v>
      </c>
      <c r="BH157" t="s">
        <v>74</v>
      </c>
      <c r="BI157">
        <v>9</v>
      </c>
      <c r="BJ157" t="s">
        <v>533</v>
      </c>
      <c r="BK157" t="s">
        <v>183</v>
      </c>
      <c r="BL157" t="s">
        <v>534</v>
      </c>
      <c r="BM157" t="s">
        <v>3434</v>
      </c>
      <c r="BN157" t="s">
        <v>74</v>
      </c>
      <c r="BO157" t="s">
        <v>74</v>
      </c>
      <c r="BP157" t="s">
        <v>74</v>
      </c>
      <c r="BQ157" t="s">
        <v>74</v>
      </c>
      <c r="BR157" t="s">
        <v>102</v>
      </c>
      <c r="BS157" t="s">
        <v>3435</v>
      </c>
      <c r="BT157" t="str">
        <f>HYPERLINK("https%3A%2F%2Fwww.webofscience.com%2Fwos%2Fwoscc%2Ffull-record%2FWOS:000371585700002","View Full Record in Web of Science")</f>
        <v>View Full Record in Web of Science</v>
      </c>
    </row>
    <row r="158" spans="1:72" x14ac:dyDescent="0.25">
      <c r="A158" t="s">
        <v>72</v>
      </c>
      <c r="B158" t="s">
        <v>3436</v>
      </c>
      <c r="C158" t="s">
        <v>74</v>
      </c>
      <c r="D158" t="s">
        <v>74</v>
      </c>
      <c r="E158" t="s">
        <v>74</v>
      </c>
      <c r="F158" t="s">
        <v>3437</v>
      </c>
      <c r="G158" t="s">
        <v>74</v>
      </c>
      <c r="H158" t="s">
        <v>74</v>
      </c>
      <c r="I158" t="s">
        <v>3438</v>
      </c>
      <c r="J158" t="s">
        <v>3439</v>
      </c>
      <c r="K158" t="s">
        <v>74</v>
      </c>
      <c r="L158" t="s">
        <v>74</v>
      </c>
      <c r="M158" t="s">
        <v>78</v>
      </c>
      <c r="N158" t="s">
        <v>79</v>
      </c>
      <c r="O158" t="s">
        <v>74</v>
      </c>
      <c r="P158" t="s">
        <v>74</v>
      </c>
      <c r="Q158" t="s">
        <v>74</v>
      </c>
      <c r="R158" t="s">
        <v>74</v>
      </c>
      <c r="S158" t="s">
        <v>74</v>
      </c>
      <c r="T158" t="s">
        <v>3440</v>
      </c>
      <c r="U158" t="s">
        <v>74</v>
      </c>
      <c r="V158" t="s">
        <v>3441</v>
      </c>
      <c r="W158" t="s">
        <v>74</v>
      </c>
      <c r="X158" t="s">
        <v>74</v>
      </c>
      <c r="Y158" t="s">
        <v>74</v>
      </c>
      <c r="Z158" t="s">
        <v>3442</v>
      </c>
      <c r="AA158" t="s">
        <v>74</v>
      </c>
      <c r="AB158" t="s">
        <v>74</v>
      </c>
      <c r="AC158" t="s">
        <v>74</v>
      </c>
      <c r="AD158" t="s">
        <v>74</v>
      </c>
      <c r="AE158" t="s">
        <v>74</v>
      </c>
      <c r="AF158" t="s">
        <v>74</v>
      </c>
      <c r="AG158">
        <v>40</v>
      </c>
      <c r="AH158">
        <v>5</v>
      </c>
      <c r="AI158">
        <v>10</v>
      </c>
      <c r="AJ158">
        <v>1</v>
      </c>
      <c r="AK158">
        <v>13</v>
      </c>
      <c r="AL158" t="s">
        <v>2481</v>
      </c>
      <c r="AM158" t="s">
        <v>2482</v>
      </c>
      <c r="AN158" t="s">
        <v>2483</v>
      </c>
      <c r="AO158" t="s">
        <v>3443</v>
      </c>
      <c r="AP158" t="s">
        <v>74</v>
      </c>
      <c r="AQ158" t="s">
        <v>74</v>
      </c>
      <c r="AR158" t="s">
        <v>3444</v>
      </c>
      <c r="AS158" t="s">
        <v>3445</v>
      </c>
      <c r="AT158" t="s">
        <v>2970</v>
      </c>
      <c r="AU158">
        <v>2023</v>
      </c>
      <c r="AV158">
        <v>11</v>
      </c>
      <c r="AW158">
        <v>1</v>
      </c>
      <c r="AX158" t="s">
        <v>74</v>
      </c>
      <c r="AY158" t="s">
        <v>74</v>
      </c>
      <c r="AZ158" t="s">
        <v>74</v>
      </c>
      <c r="BA158" t="s">
        <v>74</v>
      </c>
      <c r="BB158" t="s">
        <v>74</v>
      </c>
      <c r="BC158" t="s">
        <v>74</v>
      </c>
      <c r="BD158">
        <v>2186031</v>
      </c>
      <c r="BE158" t="s">
        <v>3446</v>
      </c>
      <c r="BF158" t="str">
        <f>HYPERLINK("http://dx.doi.org/10.1080/23322039.2023.2186031","http://dx.doi.org/10.1080/23322039.2023.2186031")</f>
        <v>http://dx.doi.org/10.1080/23322039.2023.2186031</v>
      </c>
      <c r="BG158" t="s">
        <v>74</v>
      </c>
      <c r="BH158" t="s">
        <v>74</v>
      </c>
      <c r="BI158">
        <v>28</v>
      </c>
      <c r="BJ158" t="s">
        <v>291</v>
      </c>
      <c r="BK158" t="s">
        <v>313</v>
      </c>
      <c r="BL158" t="s">
        <v>100</v>
      </c>
      <c r="BM158" t="s">
        <v>3447</v>
      </c>
      <c r="BN158" t="s">
        <v>74</v>
      </c>
      <c r="BO158" t="s">
        <v>916</v>
      </c>
      <c r="BP158" t="s">
        <v>74</v>
      </c>
      <c r="BQ158" t="s">
        <v>74</v>
      </c>
      <c r="BR158" t="s">
        <v>102</v>
      </c>
      <c r="BS158" t="s">
        <v>3448</v>
      </c>
      <c r="BT158" t="str">
        <f>HYPERLINK("https%3A%2F%2Fwww.webofscience.com%2Fwos%2Fwoscc%2Ffull-record%2FWOS:000949936700001","View Full Record in Web of Science")</f>
        <v>View Full Record in Web of Science</v>
      </c>
    </row>
    <row r="159" spans="1:72" x14ac:dyDescent="0.25">
      <c r="A159" t="s">
        <v>72</v>
      </c>
      <c r="B159" t="s">
        <v>3449</v>
      </c>
      <c r="C159" t="s">
        <v>74</v>
      </c>
      <c r="D159" t="s">
        <v>74</v>
      </c>
      <c r="E159" t="s">
        <v>74</v>
      </c>
      <c r="F159" t="s">
        <v>3450</v>
      </c>
      <c r="G159" t="s">
        <v>74</v>
      </c>
      <c r="H159" t="s">
        <v>74</v>
      </c>
      <c r="I159" t="s">
        <v>3451</v>
      </c>
      <c r="J159" t="s">
        <v>3452</v>
      </c>
      <c r="K159" t="s">
        <v>74</v>
      </c>
      <c r="L159" t="s">
        <v>74</v>
      </c>
      <c r="M159" t="s">
        <v>78</v>
      </c>
      <c r="N159" t="s">
        <v>79</v>
      </c>
      <c r="O159" t="s">
        <v>74</v>
      </c>
      <c r="P159" t="s">
        <v>74</v>
      </c>
      <c r="Q159" t="s">
        <v>74</v>
      </c>
      <c r="R159" t="s">
        <v>74</v>
      </c>
      <c r="S159" t="s">
        <v>74</v>
      </c>
      <c r="T159" t="s">
        <v>3453</v>
      </c>
      <c r="U159" t="s">
        <v>74</v>
      </c>
      <c r="V159" t="s">
        <v>3454</v>
      </c>
      <c r="W159" t="s">
        <v>3455</v>
      </c>
      <c r="X159" t="s">
        <v>3456</v>
      </c>
      <c r="Y159" t="s">
        <v>3457</v>
      </c>
      <c r="Z159" t="s">
        <v>3458</v>
      </c>
      <c r="AA159" t="s">
        <v>74</v>
      </c>
      <c r="AB159" t="s">
        <v>74</v>
      </c>
      <c r="AC159" t="s">
        <v>3459</v>
      </c>
      <c r="AD159" t="s">
        <v>3459</v>
      </c>
      <c r="AE159" t="s">
        <v>3460</v>
      </c>
      <c r="AF159" t="s">
        <v>74</v>
      </c>
      <c r="AG159">
        <v>44</v>
      </c>
      <c r="AH159">
        <v>8</v>
      </c>
      <c r="AI159">
        <v>8</v>
      </c>
      <c r="AJ159">
        <v>6</v>
      </c>
      <c r="AK159">
        <v>24</v>
      </c>
      <c r="AL159" t="s">
        <v>3461</v>
      </c>
      <c r="AM159" t="s">
        <v>3462</v>
      </c>
      <c r="AN159" t="s">
        <v>3463</v>
      </c>
      <c r="AO159" t="s">
        <v>3464</v>
      </c>
      <c r="AP159" t="s">
        <v>74</v>
      </c>
      <c r="AQ159" t="s">
        <v>74</v>
      </c>
      <c r="AR159" t="s">
        <v>3452</v>
      </c>
      <c r="AS159" t="s">
        <v>3465</v>
      </c>
      <c r="AT159" t="s">
        <v>74</v>
      </c>
      <c r="AU159">
        <v>2024</v>
      </c>
      <c r="AV159">
        <v>12</v>
      </c>
      <c r="AW159" t="s">
        <v>74</v>
      </c>
      <c r="AX159" t="s">
        <v>74</v>
      </c>
      <c r="AY159" t="s">
        <v>74</v>
      </c>
      <c r="AZ159" t="s">
        <v>74</v>
      </c>
      <c r="BA159" t="s">
        <v>74</v>
      </c>
      <c r="BB159">
        <v>50012</v>
      </c>
      <c r="BC159">
        <v>50029</v>
      </c>
      <c r="BD159" t="s">
        <v>74</v>
      </c>
      <c r="BE159" t="s">
        <v>3466</v>
      </c>
      <c r="BF159" t="str">
        <f>HYPERLINK("http://dx.doi.org/10.1109/ACCESS.2024.3383784","http://dx.doi.org/10.1109/ACCESS.2024.3383784")</f>
        <v>http://dx.doi.org/10.1109/ACCESS.2024.3383784</v>
      </c>
      <c r="BG159" t="s">
        <v>74</v>
      </c>
      <c r="BH159" t="s">
        <v>74</v>
      </c>
      <c r="BI159">
        <v>18</v>
      </c>
      <c r="BJ159" t="s">
        <v>3467</v>
      </c>
      <c r="BK159" t="s">
        <v>128</v>
      </c>
      <c r="BL159" t="s">
        <v>1023</v>
      </c>
      <c r="BM159" t="s">
        <v>3468</v>
      </c>
      <c r="BN159" t="s">
        <v>74</v>
      </c>
      <c r="BO159" t="s">
        <v>916</v>
      </c>
      <c r="BP159" t="s">
        <v>74</v>
      </c>
      <c r="BQ159" t="s">
        <v>74</v>
      </c>
      <c r="BR159" t="s">
        <v>102</v>
      </c>
      <c r="BS159" t="s">
        <v>3469</v>
      </c>
      <c r="BT159" t="str">
        <f>HYPERLINK("https%3A%2F%2Fwww.webofscience.com%2Fwos%2Fwoscc%2Ffull-record%2FWOS:001201814900001","View Full Record in Web of Science")</f>
        <v>View Full Record in Web of Science</v>
      </c>
    </row>
    <row r="160" spans="1:72" x14ac:dyDescent="0.25">
      <c r="A160" t="s">
        <v>72</v>
      </c>
      <c r="B160" t="s">
        <v>3470</v>
      </c>
      <c r="C160" t="s">
        <v>74</v>
      </c>
      <c r="D160" t="s">
        <v>74</v>
      </c>
      <c r="E160" t="s">
        <v>74</v>
      </c>
      <c r="F160" t="s">
        <v>3471</v>
      </c>
      <c r="G160" t="s">
        <v>74</v>
      </c>
      <c r="H160" t="s">
        <v>74</v>
      </c>
      <c r="I160" t="s">
        <v>3472</v>
      </c>
      <c r="J160" t="s">
        <v>3473</v>
      </c>
      <c r="K160" t="s">
        <v>74</v>
      </c>
      <c r="L160" t="s">
        <v>74</v>
      </c>
      <c r="M160" t="s">
        <v>78</v>
      </c>
      <c r="N160" t="s">
        <v>79</v>
      </c>
      <c r="O160" t="s">
        <v>74</v>
      </c>
      <c r="P160" t="s">
        <v>74</v>
      </c>
      <c r="Q160" t="s">
        <v>74</v>
      </c>
      <c r="R160" t="s">
        <v>74</v>
      </c>
      <c r="S160" t="s">
        <v>74</v>
      </c>
      <c r="T160" t="s">
        <v>74</v>
      </c>
      <c r="U160" t="s">
        <v>3474</v>
      </c>
      <c r="V160" t="s">
        <v>3475</v>
      </c>
      <c r="W160" t="s">
        <v>3476</v>
      </c>
      <c r="X160" t="s">
        <v>3477</v>
      </c>
      <c r="Y160" t="s">
        <v>3478</v>
      </c>
      <c r="Z160" t="s">
        <v>74</v>
      </c>
      <c r="AA160" t="s">
        <v>3479</v>
      </c>
      <c r="AB160" t="s">
        <v>3480</v>
      </c>
      <c r="AC160" t="s">
        <v>3481</v>
      </c>
      <c r="AD160" t="s">
        <v>3482</v>
      </c>
      <c r="AE160" t="s">
        <v>74</v>
      </c>
      <c r="AF160" t="s">
        <v>74</v>
      </c>
      <c r="AG160">
        <v>39</v>
      </c>
      <c r="AH160">
        <v>284</v>
      </c>
      <c r="AI160">
        <v>425</v>
      </c>
      <c r="AJ160">
        <v>2</v>
      </c>
      <c r="AK160">
        <v>79</v>
      </c>
      <c r="AL160" t="s">
        <v>479</v>
      </c>
      <c r="AM160" t="s">
        <v>480</v>
      </c>
      <c r="AN160" t="s">
        <v>481</v>
      </c>
      <c r="AO160" t="s">
        <v>3483</v>
      </c>
      <c r="AP160" t="s">
        <v>3484</v>
      </c>
      <c r="AQ160" t="s">
        <v>74</v>
      </c>
      <c r="AR160" t="s">
        <v>3485</v>
      </c>
      <c r="AS160" t="s">
        <v>3486</v>
      </c>
      <c r="AT160" t="s">
        <v>124</v>
      </c>
      <c r="AU160">
        <v>2011</v>
      </c>
      <c r="AV160">
        <v>66</v>
      </c>
      <c r="AW160">
        <v>6</v>
      </c>
      <c r="AX160" t="s">
        <v>74</v>
      </c>
      <c r="AY160" t="s">
        <v>74</v>
      </c>
      <c r="AZ160" t="s">
        <v>74</v>
      </c>
      <c r="BA160" t="s">
        <v>74</v>
      </c>
      <c r="BB160">
        <v>1933</v>
      </c>
      <c r="BC160">
        <v>1967</v>
      </c>
      <c r="BD160" t="s">
        <v>74</v>
      </c>
      <c r="BE160" t="s">
        <v>3487</v>
      </c>
      <c r="BF160" t="str">
        <f>HYPERLINK("http://dx.doi.org/10.1111/j.1540-6261.2011.01696.x","http://dx.doi.org/10.1111/j.1540-6261.2011.01696.x")</f>
        <v>http://dx.doi.org/10.1111/j.1540-6261.2011.01696.x</v>
      </c>
      <c r="BG160" t="s">
        <v>74</v>
      </c>
      <c r="BH160" t="s">
        <v>74</v>
      </c>
      <c r="BI160">
        <v>35</v>
      </c>
      <c r="BJ160" t="s">
        <v>210</v>
      </c>
      <c r="BK160" t="s">
        <v>99</v>
      </c>
      <c r="BL160" t="s">
        <v>100</v>
      </c>
      <c r="BM160" t="s">
        <v>3488</v>
      </c>
      <c r="BN160" t="s">
        <v>74</v>
      </c>
      <c r="BO160" t="s">
        <v>74</v>
      </c>
      <c r="BP160" t="s">
        <v>74</v>
      </c>
      <c r="BQ160" t="s">
        <v>74</v>
      </c>
      <c r="BR160" t="s">
        <v>102</v>
      </c>
      <c r="BS160" t="s">
        <v>3489</v>
      </c>
      <c r="BT160" t="str">
        <f>HYPERLINK("https%3A%2F%2Fwww.webofscience.com%2Fwos%2Fwoscc%2Ffull-record%2FWOS:000297797200003","View Full Record in Web of Science")</f>
        <v>View Full Record in Web of Science</v>
      </c>
    </row>
    <row r="161" spans="1:72" x14ac:dyDescent="0.25">
      <c r="A161" t="s">
        <v>72</v>
      </c>
      <c r="B161" t="s">
        <v>3490</v>
      </c>
      <c r="C161" t="s">
        <v>74</v>
      </c>
      <c r="D161" t="s">
        <v>74</v>
      </c>
      <c r="E161" t="s">
        <v>74</v>
      </c>
      <c r="F161" t="s">
        <v>3491</v>
      </c>
      <c r="G161" t="s">
        <v>74</v>
      </c>
      <c r="H161" t="s">
        <v>74</v>
      </c>
      <c r="I161" t="s">
        <v>3492</v>
      </c>
      <c r="J161" t="s">
        <v>3493</v>
      </c>
      <c r="K161" t="s">
        <v>74</v>
      </c>
      <c r="L161" t="s">
        <v>74</v>
      </c>
      <c r="M161" t="s">
        <v>78</v>
      </c>
      <c r="N161" t="s">
        <v>79</v>
      </c>
      <c r="O161" t="s">
        <v>74</v>
      </c>
      <c r="P161" t="s">
        <v>74</v>
      </c>
      <c r="Q161" t="s">
        <v>74</v>
      </c>
      <c r="R161" t="s">
        <v>74</v>
      </c>
      <c r="S161" t="s">
        <v>74</v>
      </c>
      <c r="T161" t="s">
        <v>3494</v>
      </c>
      <c r="U161" t="s">
        <v>3495</v>
      </c>
      <c r="V161" t="s">
        <v>3496</v>
      </c>
      <c r="W161" t="s">
        <v>3497</v>
      </c>
      <c r="X161" t="s">
        <v>2813</v>
      </c>
      <c r="Y161" t="s">
        <v>3498</v>
      </c>
      <c r="Z161" t="s">
        <v>3499</v>
      </c>
      <c r="AA161" t="s">
        <v>74</v>
      </c>
      <c r="AB161" t="s">
        <v>74</v>
      </c>
      <c r="AC161" t="s">
        <v>74</v>
      </c>
      <c r="AD161" t="s">
        <v>74</v>
      </c>
      <c r="AE161" t="s">
        <v>74</v>
      </c>
      <c r="AF161" t="s">
        <v>74</v>
      </c>
      <c r="AG161">
        <v>34</v>
      </c>
      <c r="AH161">
        <v>42</v>
      </c>
      <c r="AI161">
        <v>55</v>
      </c>
      <c r="AJ161">
        <v>1</v>
      </c>
      <c r="AK161">
        <v>19</v>
      </c>
      <c r="AL161" t="s">
        <v>3298</v>
      </c>
      <c r="AM161" t="s">
        <v>202</v>
      </c>
      <c r="AN161" t="s">
        <v>3299</v>
      </c>
      <c r="AO161" t="s">
        <v>3500</v>
      </c>
      <c r="AP161" t="s">
        <v>3501</v>
      </c>
      <c r="AQ161" t="s">
        <v>74</v>
      </c>
      <c r="AR161" t="s">
        <v>3502</v>
      </c>
      <c r="AS161" t="s">
        <v>3503</v>
      </c>
      <c r="AT161" t="s">
        <v>1540</v>
      </c>
      <c r="AU161">
        <v>2017</v>
      </c>
      <c r="AV161">
        <v>78</v>
      </c>
      <c r="AW161" t="s">
        <v>74</v>
      </c>
      <c r="AX161" t="s">
        <v>74</v>
      </c>
      <c r="AY161" t="s">
        <v>74</v>
      </c>
      <c r="AZ161" t="s">
        <v>74</v>
      </c>
      <c r="BA161" t="s">
        <v>74</v>
      </c>
      <c r="BB161">
        <v>91</v>
      </c>
      <c r="BC161">
        <v>107</v>
      </c>
      <c r="BD161" t="s">
        <v>74</v>
      </c>
      <c r="BE161" t="s">
        <v>3504</v>
      </c>
      <c r="BF161" t="str">
        <f>HYPERLINK("http://dx.doi.org/10.1016/j.jbankfin.2017.01.016","http://dx.doi.org/10.1016/j.jbankfin.2017.01.016")</f>
        <v>http://dx.doi.org/10.1016/j.jbankfin.2017.01.016</v>
      </c>
      <c r="BG161" t="s">
        <v>74</v>
      </c>
      <c r="BH161" t="s">
        <v>74</v>
      </c>
      <c r="BI161">
        <v>17</v>
      </c>
      <c r="BJ161" t="s">
        <v>210</v>
      </c>
      <c r="BK161" t="s">
        <v>99</v>
      </c>
      <c r="BL161" t="s">
        <v>100</v>
      </c>
      <c r="BM161" t="s">
        <v>3505</v>
      </c>
      <c r="BN161" t="s">
        <v>74</v>
      </c>
      <c r="BO161" t="s">
        <v>74</v>
      </c>
      <c r="BP161" t="s">
        <v>74</v>
      </c>
      <c r="BQ161" t="s">
        <v>74</v>
      </c>
      <c r="BR161" t="s">
        <v>102</v>
      </c>
      <c r="BS161" t="s">
        <v>3506</v>
      </c>
      <c r="BT161" t="str">
        <f>HYPERLINK("https%3A%2F%2Fwww.webofscience.com%2Fwos%2Fwoscc%2Ffull-record%2FWOS:000399629300007","View Full Record in Web of Science")</f>
        <v>View Full Record in Web of Science</v>
      </c>
    </row>
    <row r="162" spans="1:72" x14ac:dyDescent="0.25">
      <c r="A162" t="s">
        <v>72</v>
      </c>
      <c r="B162" t="s">
        <v>3507</v>
      </c>
      <c r="C162" t="s">
        <v>74</v>
      </c>
      <c r="D162" t="s">
        <v>74</v>
      </c>
      <c r="E162" t="s">
        <v>74</v>
      </c>
      <c r="F162" t="s">
        <v>3508</v>
      </c>
      <c r="G162" t="s">
        <v>74</v>
      </c>
      <c r="H162" t="s">
        <v>74</v>
      </c>
      <c r="I162" t="s">
        <v>3509</v>
      </c>
      <c r="J162" t="s">
        <v>2365</v>
      </c>
      <c r="K162" t="s">
        <v>74</v>
      </c>
      <c r="L162" t="s">
        <v>74</v>
      </c>
      <c r="M162" t="s">
        <v>78</v>
      </c>
      <c r="N162" t="s">
        <v>79</v>
      </c>
      <c r="O162" t="s">
        <v>74</v>
      </c>
      <c r="P162" t="s">
        <v>74</v>
      </c>
      <c r="Q162" t="s">
        <v>74</v>
      </c>
      <c r="R162" t="s">
        <v>74</v>
      </c>
      <c r="S162" t="s">
        <v>74</v>
      </c>
      <c r="T162" t="s">
        <v>3510</v>
      </c>
      <c r="U162" t="s">
        <v>74</v>
      </c>
      <c r="V162" t="s">
        <v>3511</v>
      </c>
      <c r="W162" t="s">
        <v>3512</v>
      </c>
      <c r="X162" t="s">
        <v>3513</v>
      </c>
      <c r="Y162" t="s">
        <v>3514</v>
      </c>
      <c r="Z162" t="s">
        <v>3515</v>
      </c>
      <c r="AA162" t="s">
        <v>3516</v>
      </c>
      <c r="AB162" t="s">
        <v>74</v>
      </c>
      <c r="AC162" t="s">
        <v>74</v>
      </c>
      <c r="AD162" t="s">
        <v>74</v>
      </c>
      <c r="AE162" t="s">
        <v>74</v>
      </c>
      <c r="AF162" t="s">
        <v>74</v>
      </c>
      <c r="AG162">
        <v>63</v>
      </c>
      <c r="AH162">
        <v>0</v>
      </c>
      <c r="AI162">
        <v>0</v>
      </c>
      <c r="AJ162">
        <v>0</v>
      </c>
      <c r="AK162">
        <v>0</v>
      </c>
      <c r="AL162" t="s">
        <v>2371</v>
      </c>
      <c r="AM162" t="s">
        <v>2372</v>
      </c>
      <c r="AN162" t="s">
        <v>2373</v>
      </c>
      <c r="AO162" t="s">
        <v>2374</v>
      </c>
      <c r="AP162" t="s">
        <v>2375</v>
      </c>
      <c r="AQ162" t="s">
        <v>74</v>
      </c>
      <c r="AR162" t="s">
        <v>2376</v>
      </c>
      <c r="AS162" t="s">
        <v>2377</v>
      </c>
      <c r="AT162" t="s">
        <v>74</v>
      </c>
      <c r="AU162">
        <v>2025</v>
      </c>
      <c r="AV162">
        <v>36</v>
      </c>
      <c r="AW162">
        <v>4</v>
      </c>
      <c r="AX162" t="s">
        <v>74</v>
      </c>
      <c r="AY162" t="s">
        <v>74</v>
      </c>
      <c r="AZ162" t="s">
        <v>74</v>
      </c>
      <c r="BA162" t="s">
        <v>74</v>
      </c>
      <c r="BB162" t="s">
        <v>74</v>
      </c>
      <c r="BC162" t="s">
        <v>74</v>
      </c>
      <c r="BD162" t="s">
        <v>74</v>
      </c>
      <c r="BE162" t="s">
        <v>3517</v>
      </c>
      <c r="BF162" t="str">
        <f>HYPERLINK("http://dx.doi.org/10.1504/IJICBM.2025.150428","http://dx.doi.org/10.1504/IJICBM.2025.150428")</f>
        <v>http://dx.doi.org/10.1504/IJICBM.2025.150428</v>
      </c>
      <c r="BG162" t="s">
        <v>74</v>
      </c>
      <c r="BH162" t="s">
        <v>74</v>
      </c>
      <c r="BI162">
        <v>15</v>
      </c>
      <c r="BJ162" t="s">
        <v>418</v>
      </c>
      <c r="BK162" t="s">
        <v>313</v>
      </c>
      <c r="BL162" t="s">
        <v>100</v>
      </c>
      <c r="BM162" t="s">
        <v>3518</v>
      </c>
      <c r="BN162" t="s">
        <v>74</v>
      </c>
      <c r="BO162" t="s">
        <v>74</v>
      </c>
      <c r="BP162" t="s">
        <v>74</v>
      </c>
      <c r="BQ162" t="s">
        <v>74</v>
      </c>
      <c r="BR162" t="s">
        <v>102</v>
      </c>
      <c r="BS162" t="s">
        <v>3519</v>
      </c>
      <c r="BT162" t="str">
        <f>HYPERLINK("https%3A%2F%2Fwww.webofscience.com%2Fwos%2Fwoscc%2Ffull-record%2FWOS:001638880200004","View Full Record in Web of Science")</f>
        <v>View Full Record in Web of Science</v>
      </c>
    </row>
    <row r="163" spans="1:72" x14ac:dyDescent="0.25">
      <c r="A163" t="s">
        <v>72</v>
      </c>
      <c r="B163" t="s">
        <v>3520</v>
      </c>
      <c r="C163" t="s">
        <v>74</v>
      </c>
      <c r="D163" t="s">
        <v>74</v>
      </c>
      <c r="E163" t="s">
        <v>74</v>
      </c>
      <c r="F163" t="s">
        <v>3521</v>
      </c>
      <c r="G163" t="s">
        <v>74</v>
      </c>
      <c r="H163" t="s">
        <v>74</v>
      </c>
      <c r="I163" t="s">
        <v>3522</v>
      </c>
      <c r="J163" t="s">
        <v>3523</v>
      </c>
      <c r="K163" t="s">
        <v>74</v>
      </c>
      <c r="L163" t="s">
        <v>74</v>
      </c>
      <c r="M163" t="s">
        <v>78</v>
      </c>
      <c r="N163" t="s">
        <v>79</v>
      </c>
      <c r="O163" t="s">
        <v>74</v>
      </c>
      <c r="P163" t="s">
        <v>74</v>
      </c>
      <c r="Q163" t="s">
        <v>74</v>
      </c>
      <c r="R163" t="s">
        <v>74</v>
      </c>
      <c r="S163" t="s">
        <v>74</v>
      </c>
      <c r="T163" t="s">
        <v>3524</v>
      </c>
      <c r="U163" t="s">
        <v>74</v>
      </c>
      <c r="V163" t="s">
        <v>3525</v>
      </c>
      <c r="W163" t="s">
        <v>3526</v>
      </c>
      <c r="X163" t="s">
        <v>3527</v>
      </c>
      <c r="Y163" t="s">
        <v>3528</v>
      </c>
      <c r="Z163" t="s">
        <v>3529</v>
      </c>
      <c r="AA163" t="s">
        <v>74</v>
      </c>
      <c r="AB163" t="s">
        <v>74</v>
      </c>
      <c r="AC163" t="s">
        <v>74</v>
      </c>
      <c r="AD163" t="s">
        <v>74</v>
      </c>
      <c r="AE163" t="s">
        <v>74</v>
      </c>
      <c r="AF163" t="s">
        <v>74</v>
      </c>
      <c r="AG163">
        <v>12</v>
      </c>
      <c r="AH163">
        <v>0</v>
      </c>
      <c r="AI163">
        <v>0</v>
      </c>
      <c r="AJ163">
        <v>1</v>
      </c>
      <c r="AK163">
        <v>12</v>
      </c>
      <c r="AL163" t="s">
        <v>1889</v>
      </c>
      <c r="AM163" t="s">
        <v>1890</v>
      </c>
      <c r="AN163" t="s">
        <v>1891</v>
      </c>
      <c r="AO163" t="s">
        <v>3530</v>
      </c>
      <c r="AP163" t="s">
        <v>3531</v>
      </c>
      <c r="AQ163" t="s">
        <v>74</v>
      </c>
      <c r="AR163" t="s">
        <v>3532</v>
      </c>
      <c r="AS163" t="s">
        <v>3533</v>
      </c>
      <c r="AT163" t="s">
        <v>124</v>
      </c>
      <c r="AU163">
        <v>2023</v>
      </c>
      <c r="AV163">
        <v>26</v>
      </c>
      <c r="AW163">
        <v>4</v>
      </c>
      <c r="AX163" t="s">
        <v>74</v>
      </c>
      <c r="AY163" t="s">
        <v>74</v>
      </c>
      <c r="AZ163" t="s">
        <v>74</v>
      </c>
      <c r="BA163" t="s">
        <v>74</v>
      </c>
      <c r="BB163" t="s">
        <v>74</v>
      </c>
      <c r="BC163" t="s">
        <v>74</v>
      </c>
      <c r="BD163" t="s">
        <v>74</v>
      </c>
      <c r="BE163" t="s">
        <v>3534</v>
      </c>
      <c r="BF163" t="str">
        <f>HYPERLINK("http://dx.doi.org/10.1142/S0219091523500285","http://dx.doi.org/10.1142/S0219091523500285")</f>
        <v>http://dx.doi.org/10.1142/S0219091523500285</v>
      </c>
      <c r="BG163" t="s">
        <v>74</v>
      </c>
      <c r="BH163" t="s">
        <v>3535</v>
      </c>
      <c r="BI163">
        <v>11</v>
      </c>
      <c r="BJ163" t="s">
        <v>268</v>
      </c>
      <c r="BK163" t="s">
        <v>313</v>
      </c>
      <c r="BL163" t="s">
        <v>100</v>
      </c>
      <c r="BM163" t="s">
        <v>3536</v>
      </c>
      <c r="BN163" t="s">
        <v>74</v>
      </c>
      <c r="BO163" t="s">
        <v>74</v>
      </c>
      <c r="BP163" t="s">
        <v>74</v>
      </c>
      <c r="BQ163" t="s">
        <v>74</v>
      </c>
      <c r="BR163" t="s">
        <v>102</v>
      </c>
      <c r="BS163" t="s">
        <v>3537</v>
      </c>
      <c r="BT163" t="str">
        <f>HYPERLINK("https%3A%2F%2Fwww.webofscience.com%2Fwos%2Fwoscc%2Ffull-record%2FWOS:001101293700002","View Full Record in Web of Science")</f>
        <v>View Full Record in Web of Science</v>
      </c>
    </row>
    <row r="164" spans="1:72" x14ac:dyDescent="0.25">
      <c r="A164" t="s">
        <v>72</v>
      </c>
      <c r="B164" t="s">
        <v>3538</v>
      </c>
      <c r="C164" t="s">
        <v>74</v>
      </c>
      <c r="D164" t="s">
        <v>74</v>
      </c>
      <c r="E164" t="s">
        <v>74</v>
      </c>
      <c r="F164" t="s">
        <v>3539</v>
      </c>
      <c r="G164" t="s">
        <v>74</v>
      </c>
      <c r="H164" t="s">
        <v>74</v>
      </c>
      <c r="I164" t="s">
        <v>3540</v>
      </c>
      <c r="J164" t="s">
        <v>3541</v>
      </c>
      <c r="K164" t="s">
        <v>74</v>
      </c>
      <c r="L164" t="s">
        <v>74</v>
      </c>
      <c r="M164" t="s">
        <v>78</v>
      </c>
      <c r="N164" t="s">
        <v>372</v>
      </c>
      <c r="O164" t="s">
        <v>74</v>
      </c>
      <c r="P164" t="s">
        <v>74</v>
      </c>
      <c r="Q164" t="s">
        <v>74</v>
      </c>
      <c r="R164" t="s">
        <v>74</v>
      </c>
      <c r="S164" t="s">
        <v>74</v>
      </c>
      <c r="T164" t="s">
        <v>3542</v>
      </c>
      <c r="U164" t="s">
        <v>74</v>
      </c>
      <c r="V164" t="s">
        <v>3543</v>
      </c>
      <c r="W164" t="s">
        <v>3544</v>
      </c>
      <c r="X164" t="s">
        <v>3545</v>
      </c>
      <c r="Y164" t="s">
        <v>3546</v>
      </c>
      <c r="Z164" t="s">
        <v>3547</v>
      </c>
      <c r="AA164" t="s">
        <v>3548</v>
      </c>
      <c r="AB164" t="s">
        <v>3549</v>
      </c>
      <c r="AC164" t="s">
        <v>74</v>
      </c>
      <c r="AD164" t="s">
        <v>74</v>
      </c>
      <c r="AE164" t="s">
        <v>74</v>
      </c>
      <c r="AF164" t="s">
        <v>74</v>
      </c>
      <c r="AG164">
        <v>43</v>
      </c>
      <c r="AH164">
        <v>0</v>
      </c>
      <c r="AI164">
        <v>0</v>
      </c>
      <c r="AJ164">
        <v>1</v>
      </c>
      <c r="AK164">
        <v>12</v>
      </c>
      <c r="AL164" t="s">
        <v>757</v>
      </c>
      <c r="AM164" t="s">
        <v>758</v>
      </c>
      <c r="AN164" t="s">
        <v>759</v>
      </c>
      <c r="AO164" t="s">
        <v>3550</v>
      </c>
      <c r="AP164" t="s">
        <v>3551</v>
      </c>
      <c r="AQ164" t="s">
        <v>74</v>
      </c>
      <c r="AR164" t="s">
        <v>3552</v>
      </c>
      <c r="AS164" t="s">
        <v>3553</v>
      </c>
      <c r="AT164" t="s">
        <v>3554</v>
      </c>
      <c r="AU164">
        <v>2024</v>
      </c>
      <c r="AV164" t="s">
        <v>74</v>
      </c>
      <c r="AW164" t="s">
        <v>74</v>
      </c>
      <c r="AX164" t="s">
        <v>74</v>
      </c>
      <c r="AY164" t="s">
        <v>74</v>
      </c>
      <c r="AZ164" t="s">
        <v>74</v>
      </c>
      <c r="BA164" t="s">
        <v>74</v>
      </c>
      <c r="BB164" t="s">
        <v>74</v>
      </c>
      <c r="BC164" t="s">
        <v>74</v>
      </c>
      <c r="BD164" t="s">
        <v>74</v>
      </c>
      <c r="BE164" t="s">
        <v>3555</v>
      </c>
      <c r="BF164" t="str">
        <f>HYPERLINK("http://dx.doi.org/10.1177/00219096241300439","http://dx.doi.org/10.1177/00219096241300439")</f>
        <v>http://dx.doi.org/10.1177/00219096241300439</v>
      </c>
      <c r="BG164" t="s">
        <v>74</v>
      </c>
      <c r="BH164" t="s">
        <v>809</v>
      </c>
      <c r="BI164">
        <v>15</v>
      </c>
      <c r="BJ164" t="s">
        <v>1674</v>
      </c>
      <c r="BK164" t="s">
        <v>99</v>
      </c>
      <c r="BL164" t="s">
        <v>1674</v>
      </c>
      <c r="BM164" t="s">
        <v>3556</v>
      </c>
      <c r="BN164" t="s">
        <v>74</v>
      </c>
      <c r="BO164" t="s">
        <v>74</v>
      </c>
      <c r="BP164" t="s">
        <v>74</v>
      </c>
      <c r="BQ164" t="s">
        <v>74</v>
      </c>
      <c r="BR164" t="s">
        <v>102</v>
      </c>
      <c r="BS164" t="s">
        <v>3557</v>
      </c>
      <c r="BT164" t="str">
        <f>HYPERLINK("https%3A%2F%2Fwww.webofscience.com%2Fwos%2Fwoscc%2Ffull-record%2FWOS:001372332300001","View Full Record in Web of Science")</f>
        <v>View Full Record in Web of Science</v>
      </c>
    </row>
    <row r="165" spans="1:72" x14ac:dyDescent="0.25">
      <c r="A165" t="s">
        <v>72</v>
      </c>
      <c r="B165" t="s">
        <v>3558</v>
      </c>
      <c r="C165" t="s">
        <v>74</v>
      </c>
      <c r="D165" t="s">
        <v>74</v>
      </c>
      <c r="E165" t="s">
        <v>74</v>
      </c>
      <c r="F165" t="s">
        <v>3559</v>
      </c>
      <c r="G165" t="s">
        <v>74</v>
      </c>
      <c r="H165" t="s">
        <v>74</v>
      </c>
      <c r="I165" t="s">
        <v>3560</v>
      </c>
      <c r="J165" t="s">
        <v>3561</v>
      </c>
      <c r="K165" t="s">
        <v>74</v>
      </c>
      <c r="L165" t="s">
        <v>74</v>
      </c>
      <c r="M165" t="s">
        <v>78</v>
      </c>
      <c r="N165" t="s">
        <v>79</v>
      </c>
      <c r="O165" t="s">
        <v>74</v>
      </c>
      <c r="P165" t="s">
        <v>74</v>
      </c>
      <c r="Q165" t="s">
        <v>74</v>
      </c>
      <c r="R165" t="s">
        <v>74</v>
      </c>
      <c r="S165" t="s">
        <v>74</v>
      </c>
      <c r="T165" t="s">
        <v>3562</v>
      </c>
      <c r="U165" t="s">
        <v>74</v>
      </c>
      <c r="V165" t="s">
        <v>3563</v>
      </c>
      <c r="W165" t="s">
        <v>3564</v>
      </c>
      <c r="X165" t="s">
        <v>74</v>
      </c>
      <c r="Y165" t="s">
        <v>3565</v>
      </c>
      <c r="Z165" t="s">
        <v>3566</v>
      </c>
      <c r="AA165" t="s">
        <v>74</v>
      </c>
      <c r="AB165" t="s">
        <v>3567</v>
      </c>
      <c r="AC165" t="s">
        <v>74</v>
      </c>
      <c r="AD165" t="s">
        <v>74</v>
      </c>
      <c r="AE165" t="s">
        <v>74</v>
      </c>
      <c r="AF165" t="s">
        <v>74</v>
      </c>
      <c r="AG165">
        <v>36</v>
      </c>
      <c r="AH165">
        <v>9</v>
      </c>
      <c r="AI165">
        <v>15</v>
      </c>
      <c r="AJ165">
        <v>1</v>
      </c>
      <c r="AK165">
        <v>9</v>
      </c>
      <c r="AL165" t="s">
        <v>89</v>
      </c>
      <c r="AM165" t="s">
        <v>1497</v>
      </c>
      <c r="AN165" t="s">
        <v>1498</v>
      </c>
      <c r="AO165" t="s">
        <v>3568</v>
      </c>
      <c r="AP165" t="s">
        <v>3569</v>
      </c>
      <c r="AQ165" t="s">
        <v>74</v>
      </c>
      <c r="AR165" t="s">
        <v>3570</v>
      </c>
      <c r="AS165" t="s">
        <v>3571</v>
      </c>
      <c r="AT165" t="s">
        <v>2557</v>
      </c>
      <c r="AU165">
        <v>2020</v>
      </c>
      <c r="AV165">
        <v>23</v>
      </c>
      <c r="AW165">
        <v>2</v>
      </c>
      <c r="AX165" t="s">
        <v>74</v>
      </c>
      <c r="AY165" t="s">
        <v>74</v>
      </c>
      <c r="AZ165" t="s">
        <v>74</v>
      </c>
      <c r="BA165" t="s">
        <v>74</v>
      </c>
      <c r="BB165">
        <v>369</v>
      </c>
      <c r="BC165">
        <v>378</v>
      </c>
      <c r="BD165" t="s">
        <v>74</v>
      </c>
      <c r="BE165" t="s">
        <v>3572</v>
      </c>
      <c r="BF165" t="str">
        <f>HYPERLINK("http://dx.doi.org/10.1108/JMLC-10-2019-0081","http://dx.doi.org/10.1108/JMLC-10-2019-0081")</f>
        <v>http://dx.doi.org/10.1108/JMLC-10-2019-0081</v>
      </c>
      <c r="BG165" t="s">
        <v>74</v>
      </c>
      <c r="BH165" t="s">
        <v>2506</v>
      </c>
      <c r="BI165">
        <v>10</v>
      </c>
      <c r="BJ165" t="s">
        <v>3573</v>
      </c>
      <c r="BK165" t="s">
        <v>313</v>
      </c>
      <c r="BL165" t="s">
        <v>3573</v>
      </c>
      <c r="BM165" t="s">
        <v>3574</v>
      </c>
      <c r="BN165" t="s">
        <v>74</v>
      </c>
      <c r="BO165" t="s">
        <v>74</v>
      </c>
      <c r="BP165" t="s">
        <v>74</v>
      </c>
      <c r="BQ165" t="s">
        <v>74</v>
      </c>
      <c r="BR165" t="s">
        <v>102</v>
      </c>
      <c r="BS165" t="s">
        <v>3575</v>
      </c>
      <c r="BT165" t="str">
        <f>HYPERLINK("https%3A%2F%2Fwww.webofscience.com%2Fwos%2Fwoscc%2Ffull-record%2FWOS:000524815700001","View Full Record in Web of Science")</f>
        <v>View Full Record in Web of Science</v>
      </c>
    </row>
    <row r="166" spans="1:72" x14ac:dyDescent="0.25">
      <c r="A166" t="s">
        <v>72</v>
      </c>
      <c r="B166" t="s">
        <v>3576</v>
      </c>
      <c r="C166" t="s">
        <v>74</v>
      </c>
      <c r="D166" t="s">
        <v>74</v>
      </c>
      <c r="E166" t="s">
        <v>74</v>
      </c>
      <c r="F166" t="s">
        <v>3577</v>
      </c>
      <c r="G166" t="s">
        <v>74</v>
      </c>
      <c r="H166" t="s">
        <v>74</v>
      </c>
      <c r="I166" t="s">
        <v>3578</v>
      </c>
      <c r="J166" t="s">
        <v>3579</v>
      </c>
      <c r="K166" t="s">
        <v>74</v>
      </c>
      <c r="L166" t="s">
        <v>74</v>
      </c>
      <c r="M166" t="s">
        <v>78</v>
      </c>
      <c r="N166" t="s">
        <v>79</v>
      </c>
      <c r="O166" t="s">
        <v>74</v>
      </c>
      <c r="P166" t="s">
        <v>74</v>
      </c>
      <c r="Q166" t="s">
        <v>74</v>
      </c>
      <c r="R166" t="s">
        <v>74</v>
      </c>
      <c r="S166" t="s">
        <v>74</v>
      </c>
      <c r="T166" t="s">
        <v>3580</v>
      </c>
      <c r="U166" t="s">
        <v>74</v>
      </c>
      <c r="V166" t="s">
        <v>3581</v>
      </c>
      <c r="W166" t="s">
        <v>3582</v>
      </c>
      <c r="X166" t="s">
        <v>3583</v>
      </c>
      <c r="Y166" t="s">
        <v>3584</v>
      </c>
      <c r="Z166" t="s">
        <v>3585</v>
      </c>
      <c r="AA166" t="s">
        <v>3586</v>
      </c>
      <c r="AB166" t="s">
        <v>3587</v>
      </c>
      <c r="AC166" t="s">
        <v>74</v>
      </c>
      <c r="AD166" t="s">
        <v>74</v>
      </c>
      <c r="AE166" t="s">
        <v>74</v>
      </c>
      <c r="AF166" t="s">
        <v>74</v>
      </c>
      <c r="AG166">
        <v>27</v>
      </c>
      <c r="AH166">
        <v>33</v>
      </c>
      <c r="AI166">
        <v>44</v>
      </c>
      <c r="AJ166">
        <v>19</v>
      </c>
      <c r="AK166">
        <v>86</v>
      </c>
      <c r="AL166" t="s">
        <v>3588</v>
      </c>
      <c r="AM166" t="s">
        <v>410</v>
      </c>
      <c r="AN166" t="s">
        <v>3589</v>
      </c>
      <c r="AO166" t="s">
        <v>3590</v>
      </c>
      <c r="AP166" t="s">
        <v>3591</v>
      </c>
      <c r="AQ166" t="s">
        <v>74</v>
      </c>
      <c r="AR166" t="s">
        <v>3592</v>
      </c>
      <c r="AS166" t="s">
        <v>3593</v>
      </c>
      <c r="AT166" t="s">
        <v>124</v>
      </c>
      <c r="AU166">
        <v>2023</v>
      </c>
      <c r="AV166">
        <v>25</v>
      </c>
      <c r="AW166">
        <v>2</v>
      </c>
      <c r="AX166" t="s">
        <v>74</v>
      </c>
      <c r="AY166" t="s">
        <v>74</v>
      </c>
      <c r="AZ166" t="s">
        <v>74</v>
      </c>
      <c r="BA166" t="s">
        <v>74</v>
      </c>
      <c r="BB166">
        <v>479</v>
      </c>
      <c r="BC166">
        <v>499</v>
      </c>
      <c r="BD166" t="s">
        <v>74</v>
      </c>
      <c r="BE166" t="s">
        <v>3594</v>
      </c>
      <c r="BF166" t="str">
        <f>HYPERLINK("http://dx.doi.org/10.1007/s40847-023-00239-y","http://dx.doi.org/10.1007/s40847-023-00239-y")</f>
        <v>http://dx.doi.org/10.1007/s40847-023-00239-y</v>
      </c>
      <c r="BG166" t="s">
        <v>74</v>
      </c>
      <c r="BH166" t="s">
        <v>3595</v>
      </c>
      <c r="BI166">
        <v>21</v>
      </c>
      <c r="BJ166" t="s">
        <v>701</v>
      </c>
      <c r="BK166" t="s">
        <v>313</v>
      </c>
      <c r="BL166" t="s">
        <v>702</v>
      </c>
      <c r="BM166" t="s">
        <v>3596</v>
      </c>
      <c r="BN166">
        <v>37359359</v>
      </c>
      <c r="BO166" t="s">
        <v>466</v>
      </c>
      <c r="BP166" t="s">
        <v>74</v>
      </c>
      <c r="BQ166" t="s">
        <v>74</v>
      </c>
      <c r="BR166" t="s">
        <v>102</v>
      </c>
      <c r="BS166" t="s">
        <v>3597</v>
      </c>
      <c r="BT166" t="str">
        <f>HYPERLINK("https%3A%2F%2Fwww.webofscience.com%2Fwos%2Fwoscc%2Ffull-record%2FWOS:000943155800001","View Full Record in Web of Science")</f>
        <v>View Full Record in Web of Science</v>
      </c>
    </row>
    <row r="167" spans="1:72" x14ac:dyDescent="0.25">
      <c r="A167" t="s">
        <v>72</v>
      </c>
      <c r="B167" t="s">
        <v>3598</v>
      </c>
      <c r="C167" t="s">
        <v>74</v>
      </c>
      <c r="D167" t="s">
        <v>74</v>
      </c>
      <c r="E167" t="s">
        <v>74</v>
      </c>
      <c r="F167" t="s">
        <v>3599</v>
      </c>
      <c r="G167" t="s">
        <v>74</v>
      </c>
      <c r="H167" t="s">
        <v>74</v>
      </c>
      <c r="I167" t="s">
        <v>3600</v>
      </c>
      <c r="J167" t="s">
        <v>1963</v>
      </c>
      <c r="K167" t="s">
        <v>74</v>
      </c>
      <c r="L167" t="s">
        <v>74</v>
      </c>
      <c r="M167" t="s">
        <v>78</v>
      </c>
      <c r="N167" t="s">
        <v>372</v>
      </c>
      <c r="O167" t="s">
        <v>74</v>
      </c>
      <c r="P167" t="s">
        <v>74</v>
      </c>
      <c r="Q167" t="s">
        <v>74</v>
      </c>
      <c r="R167" t="s">
        <v>74</v>
      </c>
      <c r="S167" t="s">
        <v>74</v>
      </c>
      <c r="T167" t="s">
        <v>3601</v>
      </c>
      <c r="U167" t="s">
        <v>3602</v>
      </c>
      <c r="V167" t="s">
        <v>3603</v>
      </c>
      <c r="W167" t="s">
        <v>3604</v>
      </c>
      <c r="X167" t="s">
        <v>3605</v>
      </c>
      <c r="Y167" t="s">
        <v>3606</v>
      </c>
      <c r="Z167" t="s">
        <v>3607</v>
      </c>
      <c r="AA167" t="s">
        <v>3608</v>
      </c>
      <c r="AB167" t="s">
        <v>3609</v>
      </c>
      <c r="AC167" t="s">
        <v>3610</v>
      </c>
      <c r="AD167" t="s">
        <v>3610</v>
      </c>
      <c r="AE167" t="s">
        <v>3611</v>
      </c>
      <c r="AF167" t="s">
        <v>74</v>
      </c>
      <c r="AG167">
        <v>48</v>
      </c>
      <c r="AH167">
        <v>0</v>
      </c>
      <c r="AI167">
        <v>1</v>
      </c>
      <c r="AJ167">
        <v>1</v>
      </c>
      <c r="AK167">
        <v>1</v>
      </c>
      <c r="AL167" t="s">
        <v>332</v>
      </c>
      <c r="AM167" t="s">
        <v>333</v>
      </c>
      <c r="AN167" t="s">
        <v>334</v>
      </c>
      <c r="AO167" t="s">
        <v>1975</v>
      </c>
      <c r="AP167" t="s">
        <v>1976</v>
      </c>
      <c r="AQ167" t="s">
        <v>74</v>
      </c>
      <c r="AR167" t="s">
        <v>1977</v>
      </c>
      <c r="AS167" t="s">
        <v>1978</v>
      </c>
      <c r="AT167" t="s">
        <v>3612</v>
      </c>
      <c r="AU167">
        <v>2025</v>
      </c>
      <c r="AV167" t="s">
        <v>74</v>
      </c>
      <c r="AW167" t="s">
        <v>74</v>
      </c>
      <c r="AX167" t="s">
        <v>74</v>
      </c>
      <c r="AY167" t="s">
        <v>74</v>
      </c>
      <c r="AZ167" t="s">
        <v>74</v>
      </c>
      <c r="BA167" t="s">
        <v>74</v>
      </c>
      <c r="BB167" t="s">
        <v>74</v>
      </c>
      <c r="BC167" t="s">
        <v>74</v>
      </c>
      <c r="BD167" t="s">
        <v>74</v>
      </c>
      <c r="BE167" t="s">
        <v>3613</v>
      </c>
      <c r="BF167" t="str">
        <f>HYPERLINK("http://dx.doi.org/10.1080/00036846.2025.2558236","http://dx.doi.org/10.1080/00036846.2025.2558236")</f>
        <v>http://dx.doi.org/10.1080/00036846.2025.2558236</v>
      </c>
      <c r="BG167" t="s">
        <v>74</v>
      </c>
      <c r="BH167" t="s">
        <v>3411</v>
      </c>
      <c r="BI167">
        <v>13</v>
      </c>
      <c r="BJ167" t="s">
        <v>291</v>
      </c>
      <c r="BK167" t="s">
        <v>99</v>
      </c>
      <c r="BL167" t="s">
        <v>100</v>
      </c>
      <c r="BM167" t="s">
        <v>3614</v>
      </c>
      <c r="BN167" t="s">
        <v>74</v>
      </c>
      <c r="BO167" t="s">
        <v>74</v>
      </c>
      <c r="BP167" t="s">
        <v>74</v>
      </c>
      <c r="BQ167" t="s">
        <v>74</v>
      </c>
      <c r="BR167" t="s">
        <v>102</v>
      </c>
      <c r="BS167" t="s">
        <v>3615</v>
      </c>
      <c r="BT167" t="str">
        <f>HYPERLINK("https%3A%2F%2Fwww.webofscience.com%2Fwos%2Fwoscc%2Ffull-record%2FWOS:001571863800001","View Full Record in Web of Science")</f>
        <v>View Full Record in Web of Science</v>
      </c>
    </row>
    <row r="168" spans="1:72" x14ac:dyDescent="0.25">
      <c r="A168" t="s">
        <v>72</v>
      </c>
      <c r="B168" t="s">
        <v>3616</v>
      </c>
      <c r="C168" t="s">
        <v>74</v>
      </c>
      <c r="D168" t="s">
        <v>74</v>
      </c>
      <c r="E168" t="s">
        <v>74</v>
      </c>
      <c r="F168" t="s">
        <v>3617</v>
      </c>
      <c r="G168" t="s">
        <v>74</v>
      </c>
      <c r="H168" t="s">
        <v>74</v>
      </c>
      <c r="I168" t="s">
        <v>3618</v>
      </c>
      <c r="J168" t="s">
        <v>3619</v>
      </c>
      <c r="K168" t="s">
        <v>74</v>
      </c>
      <c r="L168" t="s">
        <v>74</v>
      </c>
      <c r="M168" t="s">
        <v>78</v>
      </c>
      <c r="N168" t="s">
        <v>79</v>
      </c>
      <c r="O168" t="s">
        <v>74</v>
      </c>
      <c r="P168" t="s">
        <v>74</v>
      </c>
      <c r="Q168" t="s">
        <v>74</v>
      </c>
      <c r="R168" t="s">
        <v>74</v>
      </c>
      <c r="S168" t="s">
        <v>74</v>
      </c>
      <c r="T168" t="s">
        <v>3620</v>
      </c>
      <c r="U168" t="s">
        <v>74</v>
      </c>
      <c r="V168" t="s">
        <v>3621</v>
      </c>
      <c r="W168" t="s">
        <v>3622</v>
      </c>
      <c r="X168" t="s">
        <v>3623</v>
      </c>
      <c r="Y168" t="s">
        <v>3624</v>
      </c>
      <c r="Z168" t="s">
        <v>3625</v>
      </c>
      <c r="AA168" t="s">
        <v>3626</v>
      </c>
      <c r="AB168" t="s">
        <v>3627</v>
      </c>
      <c r="AC168" t="s">
        <v>3628</v>
      </c>
      <c r="AD168" t="s">
        <v>3628</v>
      </c>
      <c r="AE168" t="s">
        <v>3629</v>
      </c>
      <c r="AF168" t="s">
        <v>74</v>
      </c>
      <c r="AG168">
        <v>35</v>
      </c>
      <c r="AH168">
        <v>7</v>
      </c>
      <c r="AI168">
        <v>15</v>
      </c>
      <c r="AJ168">
        <v>0</v>
      </c>
      <c r="AK168">
        <v>2</v>
      </c>
      <c r="AL168" t="s">
        <v>117</v>
      </c>
      <c r="AM168" t="s">
        <v>118</v>
      </c>
      <c r="AN168" t="s">
        <v>119</v>
      </c>
      <c r="AO168" t="s">
        <v>3630</v>
      </c>
      <c r="AP168" t="s">
        <v>3631</v>
      </c>
      <c r="AQ168" t="s">
        <v>74</v>
      </c>
      <c r="AR168" t="s">
        <v>3632</v>
      </c>
      <c r="AS168" t="s">
        <v>3633</v>
      </c>
      <c r="AT168" t="s">
        <v>289</v>
      </c>
      <c r="AU168">
        <v>2015</v>
      </c>
      <c r="AV168">
        <v>16</v>
      </c>
      <c r="AW168">
        <v>3</v>
      </c>
      <c r="AX168" t="s">
        <v>74</v>
      </c>
      <c r="AY168" t="s">
        <v>74</v>
      </c>
      <c r="AZ168" t="s">
        <v>74</v>
      </c>
      <c r="BA168" t="s">
        <v>74</v>
      </c>
      <c r="BB168">
        <v>761</v>
      </c>
      <c r="BC168">
        <v>781</v>
      </c>
      <c r="BD168" t="s">
        <v>74</v>
      </c>
      <c r="BE168" t="s">
        <v>3634</v>
      </c>
      <c r="BF168" t="str">
        <f>HYPERLINK("http://dx.doi.org/10.1007/s12134-014-0358-0","http://dx.doi.org/10.1007/s12134-014-0358-0")</f>
        <v>http://dx.doi.org/10.1007/s12134-014-0358-0</v>
      </c>
      <c r="BG168" t="s">
        <v>74</v>
      </c>
      <c r="BH168" t="s">
        <v>74</v>
      </c>
      <c r="BI168">
        <v>21</v>
      </c>
      <c r="BJ168" t="s">
        <v>3635</v>
      </c>
      <c r="BK168" t="s">
        <v>313</v>
      </c>
      <c r="BL168" t="s">
        <v>3635</v>
      </c>
      <c r="BM168" t="s">
        <v>3636</v>
      </c>
      <c r="BN168" t="s">
        <v>74</v>
      </c>
      <c r="BO168" t="s">
        <v>74</v>
      </c>
      <c r="BP168" t="s">
        <v>74</v>
      </c>
      <c r="BQ168" t="s">
        <v>74</v>
      </c>
      <c r="BR168" t="s">
        <v>102</v>
      </c>
      <c r="BS168" t="s">
        <v>3637</v>
      </c>
      <c r="BT168" t="str">
        <f>HYPERLINK("https%3A%2F%2Fwww.webofscience.com%2Fwos%2Fwoscc%2Ffull-record%2FWOS:000358335800017","View Full Record in Web of Science")</f>
        <v>View Full Record in Web of Science</v>
      </c>
    </row>
    <row r="169" spans="1:72" x14ac:dyDescent="0.25">
      <c r="A169" t="s">
        <v>132</v>
      </c>
      <c r="B169" t="s">
        <v>3638</v>
      </c>
      <c r="C169" t="s">
        <v>74</v>
      </c>
      <c r="D169" t="s">
        <v>3639</v>
      </c>
      <c r="E169" t="s">
        <v>74</v>
      </c>
      <c r="F169" t="s">
        <v>3640</v>
      </c>
      <c r="G169" t="s">
        <v>74</v>
      </c>
      <c r="H169" t="s">
        <v>74</v>
      </c>
      <c r="I169" t="s">
        <v>3641</v>
      </c>
      <c r="J169" t="s">
        <v>3642</v>
      </c>
      <c r="K169" t="s">
        <v>74</v>
      </c>
      <c r="L169" t="s">
        <v>74</v>
      </c>
      <c r="M169" t="s">
        <v>78</v>
      </c>
      <c r="N169" t="s">
        <v>138</v>
      </c>
      <c r="O169" t="s">
        <v>3643</v>
      </c>
      <c r="P169" t="s">
        <v>3644</v>
      </c>
      <c r="Q169" t="s">
        <v>3645</v>
      </c>
      <c r="R169" t="s">
        <v>74</v>
      </c>
      <c r="S169" t="s">
        <v>3646</v>
      </c>
      <c r="T169" t="s">
        <v>3647</v>
      </c>
      <c r="U169" t="s">
        <v>74</v>
      </c>
      <c r="V169" t="s">
        <v>3648</v>
      </c>
      <c r="W169" t="s">
        <v>3649</v>
      </c>
      <c r="X169" t="s">
        <v>84</v>
      </c>
      <c r="Y169" t="s">
        <v>74</v>
      </c>
      <c r="Z169" t="s">
        <v>3650</v>
      </c>
      <c r="AA169" t="s">
        <v>74</v>
      </c>
      <c r="AB169" t="s">
        <v>74</v>
      </c>
      <c r="AC169" t="s">
        <v>74</v>
      </c>
      <c r="AD169" t="s">
        <v>74</v>
      </c>
      <c r="AE169" t="s">
        <v>74</v>
      </c>
      <c r="AF169" t="s">
        <v>74</v>
      </c>
      <c r="AG169">
        <v>5</v>
      </c>
      <c r="AH169">
        <v>0</v>
      </c>
      <c r="AI169">
        <v>0</v>
      </c>
      <c r="AJ169">
        <v>0</v>
      </c>
      <c r="AK169">
        <v>6</v>
      </c>
      <c r="AL169" t="s">
        <v>3651</v>
      </c>
      <c r="AM169" t="s">
        <v>3652</v>
      </c>
      <c r="AN169" t="s">
        <v>3653</v>
      </c>
      <c r="AO169" t="s">
        <v>74</v>
      </c>
      <c r="AP169" t="s">
        <v>74</v>
      </c>
      <c r="AQ169" t="s">
        <v>3654</v>
      </c>
      <c r="AR169" t="s">
        <v>74</v>
      </c>
      <c r="AS169" t="s">
        <v>74</v>
      </c>
      <c r="AT169" t="s">
        <v>74</v>
      </c>
      <c r="AU169">
        <v>2012</v>
      </c>
      <c r="AV169" t="s">
        <v>74</v>
      </c>
      <c r="AW169" t="s">
        <v>74</v>
      </c>
      <c r="AX169" t="s">
        <v>74</v>
      </c>
      <c r="AY169" t="s">
        <v>74</v>
      </c>
      <c r="AZ169" t="s">
        <v>74</v>
      </c>
      <c r="BA169" t="s">
        <v>74</v>
      </c>
      <c r="BB169">
        <v>211</v>
      </c>
      <c r="BC169">
        <v>218</v>
      </c>
      <c r="BD169" t="s">
        <v>74</v>
      </c>
      <c r="BE169" t="s">
        <v>74</v>
      </c>
      <c r="BF169" t="s">
        <v>74</v>
      </c>
      <c r="BG169" t="s">
        <v>74</v>
      </c>
      <c r="BH169" t="s">
        <v>74</v>
      </c>
      <c r="BI169">
        <v>8</v>
      </c>
      <c r="BJ169" t="s">
        <v>3655</v>
      </c>
      <c r="BK169" t="s">
        <v>183</v>
      </c>
      <c r="BL169" t="s">
        <v>3656</v>
      </c>
      <c r="BM169" t="s">
        <v>3657</v>
      </c>
      <c r="BN169" t="s">
        <v>74</v>
      </c>
      <c r="BO169" t="s">
        <v>74</v>
      </c>
      <c r="BP169" t="s">
        <v>74</v>
      </c>
      <c r="BQ169" t="s">
        <v>74</v>
      </c>
      <c r="BR169" t="s">
        <v>102</v>
      </c>
      <c r="BS169" t="s">
        <v>3658</v>
      </c>
      <c r="BT169" t="str">
        <f>HYPERLINK("https%3A%2F%2Fwww.webofscience.com%2Fwos%2Fwoscc%2Ffull-record%2FWOS:000321564000026","View Full Record in Web of Science")</f>
        <v>View Full Record in Web of Science</v>
      </c>
    </row>
    <row r="170" spans="1:72" x14ac:dyDescent="0.25">
      <c r="A170" t="s">
        <v>72</v>
      </c>
      <c r="B170" t="s">
        <v>3659</v>
      </c>
      <c r="C170" t="s">
        <v>74</v>
      </c>
      <c r="D170" t="s">
        <v>74</v>
      </c>
      <c r="E170" t="s">
        <v>74</v>
      </c>
      <c r="F170" t="s">
        <v>3660</v>
      </c>
      <c r="G170" t="s">
        <v>74</v>
      </c>
      <c r="H170" t="s">
        <v>74</v>
      </c>
      <c r="I170" t="s">
        <v>3661</v>
      </c>
      <c r="J170" t="s">
        <v>3662</v>
      </c>
      <c r="K170" t="s">
        <v>74</v>
      </c>
      <c r="L170" t="s">
        <v>74</v>
      </c>
      <c r="M170" t="s">
        <v>78</v>
      </c>
      <c r="N170" t="s">
        <v>79</v>
      </c>
      <c r="O170" t="s">
        <v>74</v>
      </c>
      <c r="P170" t="s">
        <v>74</v>
      </c>
      <c r="Q170" t="s">
        <v>74</v>
      </c>
      <c r="R170" t="s">
        <v>74</v>
      </c>
      <c r="S170" t="s">
        <v>74</v>
      </c>
      <c r="T170" t="s">
        <v>3663</v>
      </c>
      <c r="U170" t="s">
        <v>3664</v>
      </c>
      <c r="V170" t="s">
        <v>3665</v>
      </c>
      <c r="W170" t="s">
        <v>3666</v>
      </c>
      <c r="X170" t="s">
        <v>3667</v>
      </c>
      <c r="Y170" t="s">
        <v>3668</v>
      </c>
      <c r="Z170" t="s">
        <v>3669</v>
      </c>
      <c r="AA170" t="s">
        <v>3670</v>
      </c>
      <c r="AB170" t="s">
        <v>3671</v>
      </c>
      <c r="AC170" t="s">
        <v>74</v>
      </c>
      <c r="AD170" t="s">
        <v>74</v>
      </c>
      <c r="AE170" t="s">
        <v>74</v>
      </c>
      <c r="AF170" t="s">
        <v>74</v>
      </c>
      <c r="AG170">
        <v>48</v>
      </c>
      <c r="AH170">
        <v>135</v>
      </c>
      <c r="AI170">
        <v>150</v>
      </c>
      <c r="AJ170">
        <v>2</v>
      </c>
      <c r="AK170">
        <v>173</v>
      </c>
      <c r="AL170" t="s">
        <v>201</v>
      </c>
      <c r="AM170" t="s">
        <v>202</v>
      </c>
      <c r="AN170" t="s">
        <v>203</v>
      </c>
      <c r="AO170" t="s">
        <v>3672</v>
      </c>
      <c r="AP170" t="s">
        <v>3673</v>
      </c>
      <c r="AQ170" t="s">
        <v>74</v>
      </c>
      <c r="AR170" t="s">
        <v>3674</v>
      </c>
      <c r="AS170" t="s">
        <v>3675</v>
      </c>
      <c r="AT170" t="s">
        <v>124</v>
      </c>
      <c r="AU170">
        <v>2020</v>
      </c>
      <c r="AV170">
        <v>120</v>
      </c>
      <c r="AW170" t="s">
        <v>74</v>
      </c>
      <c r="AX170" t="s">
        <v>74</v>
      </c>
      <c r="AY170" t="s">
        <v>74</v>
      </c>
      <c r="AZ170" t="s">
        <v>74</v>
      </c>
      <c r="BA170" t="s">
        <v>74</v>
      </c>
      <c r="BB170" t="s">
        <v>74</v>
      </c>
      <c r="BC170" t="s">
        <v>74</v>
      </c>
      <c r="BD170">
        <v>103401</v>
      </c>
      <c r="BE170" t="s">
        <v>3676</v>
      </c>
      <c r="BF170" t="str">
        <f>HYPERLINK("http://dx.doi.org/10.1016/j.autcon.2020.103401","http://dx.doi.org/10.1016/j.autcon.2020.103401")</f>
        <v>http://dx.doi.org/10.1016/j.autcon.2020.103401</v>
      </c>
      <c r="BG170" t="s">
        <v>74</v>
      </c>
      <c r="BH170" t="s">
        <v>74</v>
      </c>
      <c r="BI170">
        <v>14</v>
      </c>
      <c r="BJ170" t="s">
        <v>3677</v>
      </c>
      <c r="BK170" t="s">
        <v>128</v>
      </c>
      <c r="BL170" t="s">
        <v>3678</v>
      </c>
      <c r="BM170" t="s">
        <v>3679</v>
      </c>
      <c r="BN170" t="s">
        <v>74</v>
      </c>
      <c r="BO170" t="s">
        <v>1696</v>
      </c>
      <c r="BP170" t="s">
        <v>74</v>
      </c>
      <c r="BQ170" t="s">
        <v>74</v>
      </c>
      <c r="BR170" t="s">
        <v>102</v>
      </c>
      <c r="BS170" t="s">
        <v>3680</v>
      </c>
      <c r="BT170" t="str">
        <f>HYPERLINK("https%3A%2F%2Fwww.webofscience.com%2Fwos%2Fwoscc%2Ffull-record%2FWOS:000594153000002","View Full Record in Web of Science")</f>
        <v>View Full Record in Web of Science</v>
      </c>
    </row>
    <row r="171" spans="1:72" x14ac:dyDescent="0.25">
      <c r="A171" t="s">
        <v>72</v>
      </c>
      <c r="B171" t="s">
        <v>3681</v>
      </c>
      <c r="C171" t="s">
        <v>74</v>
      </c>
      <c r="D171" t="s">
        <v>74</v>
      </c>
      <c r="E171" t="s">
        <v>74</v>
      </c>
      <c r="F171" t="s">
        <v>3682</v>
      </c>
      <c r="G171" t="s">
        <v>74</v>
      </c>
      <c r="H171" t="s">
        <v>74</v>
      </c>
      <c r="I171" t="s">
        <v>3683</v>
      </c>
      <c r="J171" t="s">
        <v>656</v>
      </c>
      <c r="K171" t="s">
        <v>74</v>
      </c>
      <c r="L171" t="s">
        <v>74</v>
      </c>
      <c r="M171" t="s">
        <v>78</v>
      </c>
      <c r="N171" t="s">
        <v>79</v>
      </c>
      <c r="O171" t="s">
        <v>74</v>
      </c>
      <c r="P171" t="s">
        <v>74</v>
      </c>
      <c r="Q171" t="s">
        <v>74</v>
      </c>
      <c r="R171" t="s">
        <v>74</v>
      </c>
      <c r="S171" t="s">
        <v>74</v>
      </c>
      <c r="T171" t="s">
        <v>3684</v>
      </c>
      <c r="U171" t="s">
        <v>3685</v>
      </c>
      <c r="V171" t="s">
        <v>3686</v>
      </c>
      <c r="W171" t="s">
        <v>3687</v>
      </c>
      <c r="X171" t="s">
        <v>3688</v>
      </c>
      <c r="Y171" t="s">
        <v>3689</v>
      </c>
      <c r="Z171" t="s">
        <v>3690</v>
      </c>
      <c r="AA171" t="s">
        <v>74</v>
      </c>
      <c r="AB171" t="s">
        <v>3691</v>
      </c>
      <c r="AC171" t="s">
        <v>74</v>
      </c>
      <c r="AD171" t="s">
        <v>74</v>
      </c>
      <c r="AE171" t="s">
        <v>74</v>
      </c>
      <c r="AF171" t="s">
        <v>74</v>
      </c>
      <c r="AG171">
        <v>93</v>
      </c>
      <c r="AH171">
        <v>69</v>
      </c>
      <c r="AI171">
        <v>85</v>
      </c>
      <c r="AJ171">
        <v>4</v>
      </c>
      <c r="AK171">
        <v>40</v>
      </c>
      <c r="AL171" t="s">
        <v>1062</v>
      </c>
      <c r="AM171" t="s">
        <v>667</v>
      </c>
      <c r="AN171" t="s">
        <v>668</v>
      </c>
      <c r="AO171" t="s">
        <v>669</v>
      </c>
      <c r="AP171" t="s">
        <v>670</v>
      </c>
      <c r="AQ171" t="s">
        <v>74</v>
      </c>
      <c r="AR171" t="s">
        <v>671</v>
      </c>
      <c r="AS171" t="s">
        <v>672</v>
      </c>
      <c r="AT171" t="s">
        <v>698</v>
      </c>
      <c r="AU171">
        <v>2020</v>
      </c>
      <c r="AV171">
        <v>41</v>
      </c>
      <c r="AW171">
        <v>3</v>
      </c>
      <c r="AX171" t="s">
        <v>74</v>
      </c>
      <c r="AY171" t="s">
        <v>74</v>
      </c>
      <c r="AZ171" t="s">
        <v>74</v>
      </c>
      <c r="BA171" t="s">
        <v>74</v>
      </c>
      <c r="BB171">
        <v>542</v>
      </c>
      <c r="BC171">
        <v>557</v>
      </c>
      <c r="BD171" t="s">
        <v>74</v>
      </c>
      <c r="BE171" t="s">
        <v>3692</v>
      </c>
      <c r="BF171" t="str">
        <f>HYPERLINK("http://dx.doi.org/10.1007/s10834-020-09679-8","http://dx.doi.org/10.1007/s10834-020-09679-8")</f>
        <v>http://dx.doi.org/10.1007/s10834-020-09679-8</v>
      </c>
      <c r="BG171" t="s">
        <v>74</v>
      </c>
      <c r="BH171" t="s">
        <v>341</v>
      </c>
      <c r="BI171">
        <v>16</v>
      </c>
      <c r="BJ171" t="s">
        <v>675</v>
      </c>
      <c r="BK171" t="s">
        <v>99</v>
      </c>
      <c r="BL171" t="s">
        <v>676</v>
      </c>
      <c r="BM171" t="s">
        <v>3693</v>
      </c>
      <c r="BN171">
        <v>32837139</v>
      </c>
      <c r="BO171" t="s">
        <v>3694</v>
      </c>
      <c r="BP171" t="s">
        <v>74</v>
      </c>
      <c r="BQ171" t="s">
        <v>74</v>
      </c>
      <c r="BR171" t="s">
        <v>102</v>
      </c>
      <c r="BS171" t="s">
        <v>3695</v>
      </c>
      <c r="BT171" t="str">
        <f>HYPERLINK("https%3A%2F%2Fwww.webofscience.com%2Fwos%2Fwoscc%2Ffull-record%2FWOS:000534197200001","View Full Record in Web of Science")</f>
        <v>View Full Record in Web of Science</v>
      </c>
    </row>
    <row r="172" spans="1:72" x14ac:dyDescent="0.25">
      <c r="A172" t="s">
        <v>72</v>
      </c>
      <c r="B172" t="s">
        <v>3696</v>
      </c>
      <c r="C172" t="s">
        <v>74</v>
      </c>
      <c r="D172" t="s">
        <v>74</v>
      </c>
      <c r="E172" t="s">
        <v>74</v>
      </c>
      <c r="F172" t="s">
        <v>3697</v>
      </c>
      <c r="G172" t="s">
        <v>74</v>
      </c>
      <c r="H172" t="s">
        <v>74</v>
      </c>
      <c r="I172" t="s">
        <v>3698</v>
      </c>
      <c r="J172" t="s">
        <v>3699</v>
      </c>
      <c r="K172" t="s">
        <v>74</v>
      </c>
      <c r="L172" t="s">
        <v>74</v>
      </c>
      <c r="M172" t="s">
        <v>78</v>
      </c>
      <c r="N172" t="s">
        <v>79</v>
      </c>
      <c r="O172" t="s">
        <v>74</v>
      </c>
      <c r="P172" t="s">
        <v>74</v>
      </c>
      <c r="Q172" t="s">
        <v>74</v>
      </c>
      <c r="R172" t="s">
        <v>74</v>
      </c>
      <c r="S172" t="s">
        <v>74</v>
      </c>
      <c r="T172" t="s">
        <v>3700</v>
      </c>
      <c r="U172" t="s">
        <v>3701</v>
      </c>
      <c r="V172" t="s">
        <v>3702</v>
      </c>
      <c r="W172" t="s">
        <v>3703</v>
      </c>
      <c r="X172" t="s">
        <v>3704</v>
      </c>
      <c r="Y172" t="s">
        <v>3705</v>
      </c>
      <c r="Z172" t="s">
        <v>3706</v>
      </c>
      <c r="AA172" t="s">
        <v>3707</v>
      </c>
      <c r="AB172" t="s">
        <v>3708</v>
      </c>
      <c r="AC172" t="s">
        <v>74</v>
      </c>
      <c r="AD172" t="s">
        <v>74</v>
      </c>
      <c r="AE172" t="s">
        <v>74</v>
      </c>
      <c r="AF172" t="s">
        <v>74</v>
      </c>
      <c r="AG172">
        <v>67</v>
      </c>
      <c r="AH172">
        <v>0</v>
      </c>
      <c r="AI172">
        <v>0</v>
      </c>
      <c r="AJ172">
        <v>1</v>
      </c>
      <c r="AK172">
        <v>9</v>
      </c>
      <c r="AL172" t="s">
        <v>2371</v>
      </c>
      <c r="AM172" t="s">
        <v>2372</v>
      </c>
      <c r="AN172" t="s">
        <v>2373</v>
      </c>
      <c r="AO172" t="s">
        <v>3709</v>
      </c>
      <c r="AP172" t="s">
        <v>3710</v>
      </c>
      <c r="AQ172" t="s">
        <v>74</v>
      </c>
      <c r="AR172" t="s">
        <v>3711</v>
      </c>
      <c r="AS172" t="s">
        <v>3712</v>
      </c>
      <c r="AT172" t="s">
        <v>74</v>
      </c>
      <c r="AU172">
        <v>2023</v>
      </c>
      <c r="AV172">
        <v>21</v>
      </c>
      <c r="AW172">
        <v>3</v>
      </c>
      <c r="AX172" t="s">
        <v>74</v>
      </c>
      <c r="AY172" t="s">
        <v>74</v>
      </c>
      <c r="AZ172" t="s">
        <v>74</v>
      </c>
      <c r="BA172" t="s">
        <v>74</v>
      </c>
      <c r="BB172">
        <v>295</v>
      </c>
      <c r="BC172">
        <v>315</v>
      </c>
      <c r="BD172" t="s">
        <v>74</v>
      </c>
      <c r="BE172" t="s">
        <v>3713</v>
      </c>
      <c r="BF172" t="str">
        <f>HYPERLINK("http://dx.doi.org/10.1504/IJMC.2023.129973","http://dx.doi.org/10.1504/IJMC.2023.129973")</f>
        <v>http://dx.doi.org/10.1504/IJMC.2023.129973</v>
      </c>
      <c r="BG172" t="s">
        <v>74</v>
      </c>
      <c r="BH172" t="s">
        <v>74</v>
      </c>
      <c r="BI172">
        <v>22</v>
      </c>
      <c r="BJ172" t="s">
        <v>3714</v>
      </c>
      <c r="BK172" t="s">
        <v>99</v>
      </c>
      <c r="BL172" t="s">
        <v>3714</v>
      </c>
      <c r="BM172" t="s">
        <v>3715</v>
      </c>
      <c r="BN172" t="s">
        <v>74</v>
      </c>
      <c r="BO172" t="s">
        <v>74</v>
      </c>
      <c r="BP172" t="s">
        <v>74</v>
      </c>
      <c r="BQ172" t="s">
        <v>74</v>
      </c>
      <c r="BR172" t="s">
        <v>102</v>
      </c>
      <c r="BS172" t="s">
        <v>3716</v>
      </c>
      <c r="BT172" t="str">
        <f>HYPERLINK("https%3A%2F%2Fwww.webofscience.com%2Fwos%2Fwoscc%2Ffull-record%2FWOS:000964988600001","View Full Record in Web of Science")</f>
        <v>View Full Record in Web of Science</v>
      </c>
    </row>
    <row r="173" spans="1:72" x14ac:dyDescent="0.25">
      <c r="A173" t="s">
        <v>72</v>
      </c>
      <c r="B173" t="s">
        <v>3717</v>
      </c>
      <c r="C173" t="s">
        <v>74</v>
      </c>
      <c r="D173" t="s">
        <v>74</v>
      </c>
      <c r="E173" t="s">
        <v>74</v>
      </c>
      <c r="F173" t="s">
        <v>3718</v>
      </c>
      <c r="G173" t="s">
        <v>74</v>
      </c>
      <c r="H173" t="s">
        <v>74</v>
      </c>
      <c r="I173" t="s">
        <v>3719</v>
      </c>
      <c r="J173" t="s">
        <v>3452</v>
      </c>
      <c r="K173" t="s">
        <v>74</v>
      </c>
      <c r="L173" t="s">
        <v>74</v>
      </c>
      <c r="M173" t="s">
        <v>78</v>
      </c>
      <c r="N173" t="s">
        <v>79</v>
      </c>
      <c r="O173" t="s">
        <v>74</v>
      </c>
      <c r="P173" t="s">
        <v>74</v>
      </c>
      <c r="Q173" t="s">
        <v>74</v>
      </c>
      <c r="R173" t="s">
        <v>74</v>
      </c>
      <c r="S173" t="s">
        <v>74</v>
      </c>
      <c r="T173" t="s">
        <v>3720</v>
      </c>
      <c r="U173" t="s">
        <v>3721</v>
      </c>
      <c r="V173" t="s">
        <v>3722</v>
      </c>
      <c r="W173" t="s">
        <v>3723</v>
      </c>
      <c r="X173" t="s">
        <v>3724</v>
      </c>
      <c r="Y173" t="s">
        <v>3725</v>
      </c>
      <c r="Z173" t="s">
        <v>3726</v>
      </c>
      <c r="AA173" t="s">
        <v>3727</v>
      </c>
      <c r="AB173" t="s">
        <v>3728</v>
      </c>
      <c r="AC173" t="s">
        <v>74</v>
      </c>
      <c r="AD173" t="s">
        <v>74</v>
      </c>
      <c r="AE173" t="s">
        <v>74</v>
      </c>
      <c r="AF173" t="s">
        <v>74</v>
      </c>
      <c r="AG173">
        <v>29</v>
      </c>
      <c r="AH173">
        <v>3</v>
      </c>
      <c r="AI173">
        <v>7</v>
      </c>
      <c r="AJ173">
        <v>0</v>
      </c>
      <c r="AK173">
        <v>16</v>
      </c>
      <c r="AL173" t="s">
        <v>3461</v>
      </c>
      <c r="AM173" t="s">
        <v>3462</v>
      </c>
      <c r="AN173" t="s">
        <v>3463</v>
      </c>
      <c r="AO173" t="s">
        <v>3464</v>
      </c>
      <c r="AP173" t="s">
        <v>74</v>
      </c>
      <c r="AQ173" t="s">
        <v>74</v>
      </c>
      <c r="AR173" t="s">
        <v>3452</v>
      </c>
      <c r="AS173" t="s">
        <v>3465</v>
      </c>
      <c r="AT173" t="s">
        <v>74</v>
      </c>
      <c r="AU173">
        <v>2019</v>
      </c>
      <c r="AV173">
        <v>7</v>
      </c>
      <c r="AW173" t="s">
        <v>74</v>
      </c>
      <c r="AX173" t="s">
        <v>74</v>
      </c>
      <c r="AY173" t="s">
        <v>74</v>
      </c>
      <c r="AZ173" t="s">
        <v>74</v>
      </c>
      <c r="BA173" t="s">
        <v>74</v>
      </c>
      <c r="BB173">
        <v>55669</v>
      </c>
      <c r="BC173">
        <v>55678</v>
      </c>
      <c r="BD173" t="s">
        <v>74</v>
      </c>
      <c r="BE173" t="s">
        <v>3729</v>
      </c>
      <c r="BF173" t="str">
        <f>HYPERLINK("http://dx.doi.org/10.1109/ACCESS.2019.2913430","http://dx.doi.org/10.1109/ACCESS.2019.2913430")</f>
        <v>http://dx.doi.org/10.1109/ACCESS.2019.2913430</v>
      </c>
      <c r="BG173" t="s">
        <v>74</v>
      </c>
      <c r="BH173" t="s">
        <v>74</v>
      </c>
      <c r="BI173">
        <v>10</v>
      </c>
      <c r="BJ173" t="s">
        <v>3467</v>
      </c>
      <c r="BK173" t="s">
        <v>2623</v>
      </c>
      <c r="BL173" t="s">
        <v>1023</v>
      </c>
      <c r="BM173" t="s">
        <v>3730</v>
      </c>
      <c r="BN173" t="s">
        <v>74</v>
      </c>
      <c r="BO173" t="s">
        <v>916</v>
      </c>
      <c r="BP173" t="s">
        <v>74</v>
      </c>
      <c r="BQ173" t="s">
        <v>74</v>
      </c>
      <c r="BR173" t="s">
        <v>102</v>
      </c>
      <c r="BS173" t="s">
        <v>3731</v>
      </c>
      <c r="BT173" t="str">
        <f>HYPERLINK("https%3A%2F%2Fwww.webofscience.com%2Fwos%2Fwoscc%2Ffull-record%2FWOS:000467609200001","View Full Record in Web of Science")</f>
        <v>View Full Record in Web of Science</v>
      </c>
    </row>
    <row r="174" spans="1:72" x14ac:dyDescent="0.25">
      <c r="A174" t="s">
        <v>72</v>
      </c>
      <c r="B174" t="s">
        <v>3732</v>
      </c>
      <c r="C174" t="s">
        <v>74</v>
      </c>
      <c r="D174" t="s">
        <v>74</v>
      </c>
      <c r="E174" t="s">
        <v>74</v>
      </c>
      <c r="F174" t="s">
        <v>3733</v>
      </c>
      <c r="G174" t="s">
        <v>74</v>
      </c>
      <c r="H174" t="s">
        <v>74</v>
      </c>
      <c r="I174" t="s">
        <v>3734</v>
      </c>
      <c r="J174" t="s">
        <v>3735</v>
      </c>
      <c r="K174" t="s">
        <v>74</v>
      </c>
      <c r="L174" t="s">
        <v>74</v>
      </c>
      <c r="M174" t="s">
        <v>78</v>
      </c>
      <c r="N174" t="s">
        <v>79</v>
      </c>
      <c r="O174" t="s">
        <v>74</v>
      </c>
      <c r="P174" t="s">
        <v>74</v>
      </c>
      <c r="Q174" t="s">
        <v>74</v>
      </c>
      <c r="R174" t="s">
        <v>74</v>
      </c>
      <c r="S174" t="s">
        <v>74</v>
      </c>
      <c r="T174" t="s">
        <v>3736</v>
      </c>
      <c r="U174" t="s">
        <v>3737</v>
      </c>
      <c r="V174" t="s">
        <v>3738</v>
      </c>
      <c r="W174" t="s">
        <v>3739</v>
      </c>
      <c r="X174" t="s">
        <v>3740</v>
      </c>
      <c r="Y174" t="s">
        <v>3741</v>
      </c>
      <c r="Z174" t="s">
        <v>3742</v>
      </c>
      <c r="AA174" t="s">
        <v>3743</v>
      </c>
      <c r="AB174" t="s">
        <v>74</v>
      </c>
      <c r="AC174" t="s">
        <v>74</v>
      </c>
      <c r="AD174" t="s">
        <v>74</v>
      </c>
      <c r="AE174" t="s">
        <v>74</v>
      </c>
      <c r="AF174" t="s">
        <v>74</v>
      </c>
      <c r="AG174">
        <v>58</v>
      </c>
      <c r="AH174">
        <v>9</v>
      </c>
      <c r="AI174">
        <v>13</v>
      </c>
      <c r="AJ174">
        <v>0</v>
      </c>
      <c r="AK174">
        <v>39</v>
      </c>
      <c r="AL174" t="s">
        <v>385</v>
      </c>
      <c r="AM174" t="s">
        <v>1153</v>
      </c>
      <c r="AN174" t="s">
        <v>1154</v>
      </c>
      <c r="AO174" t="s">
        <v>3744</v>
      </c>
      <c r="AP174" t="s">
        <v>3745</v>
      </c>
      <c r="AQ174" t="s">
        <v>74</v>
      </c>
      <c r="AR174" t="s">
        <v>3746</v>
      </c>
      <c r="AS174" t="s">
        <v>3747</v>
      </c>
      <c r="AT174" t="s">
        <v>124</v>
      </c>
      <c r="AU174">
        <v>2014</v>
      </c>
      <c r="AV174">
        <v>14</v>
      </c>
      <c r="AW174">
        <v>4</v>
      </c>
      <c r="AX174" t="s">
        <v>74</v>
      </c>
      <c r="AY174" t="s">
        <v>74</v>
      </c>
      <c r="AZ174" t="s">
        <v>74</v>
      </c>
      <c r="BA174" t="s">
        <v>74</v>
      </c>
      <c r="BB174">
        <v>635</v>
      </c>
      <c r="BC174">
        <v>660</v>
      </c>
      <c r="BD174" t="s">
        <v>74</v>
      </c>
      <c r="BE174" t="s">
        <v>3748</v>
      </c>
      <c r="BF174" t="str">
        <f>HYPERLINK("http://dx.doi.org/10.1007/s10660-014-9151-6","http://dx.doi.org/10.1007/s10660-014-9151-6")</f>
        <v>http://dx.doi.org/10.1007/s10660-014-9151-6</v>
      </c>
      <c r="BG174" t="s">
        <v>74</v>
      </c>
      <c r="BH174" t="s">
        <v>74</v>
      </c>
      <c r="BI174">
        <v>26</v>
      </c>
      <c r="BJ174" t="s">
        <v>98</v>
      </c>
      <c r="BK174" t="s">
        <v>99</v>
      </c>
      <c r="BL174" t="s">
        <v>100</v>
      </c>
      <c r="BM174" t="s">
        <v>3749</v>
      </c>
      <c r="BN174" t="s">
        <v>74</v>
      </c>
      <c r="BO174" t="s">
        <v>74</v>
      </c>
      <c r="BP174" t="s">
        <v>74</v>
      </c>
      <c r="BQ174" t="s">
        <v>74</v>
      </c>
      <c r="BR174" t="s">
        <v>102</v>
      </c>
      <c r="BS174" t="s">
        <v>3750</v>
      </c>
      <c r="BT174" t="str">
        <f>HYPERLINK("https%3A%2F%2Fwww.webofscience.com%2Fwos%2Fwoscc%2Ffull-record%2FWOS:000348681300007","View Full Record in Web of Science")</f>
        <v>View Full Record in Web of Science</v>
      </c>
    </row>
    <row r="175" spans="1:72" x14ac:dyDescent="0.25">
      <c r="A175" t="s">
        <v>72</v>
      </c>
      <c r="B175" t="s">
        <v>3751</v>
      </c>
      <c r="C175" t="s">
        <v>74</v>
      </c>
      <c r="D175" t="s">
        <v>74</v>
      </c>
      <c r="E175" t="s">
        <v>74</v>
      </c>
      <c r="F175" t="s">
        <v>3752</v>
      </c>
      <c r="G175" t="s">
        <v>74</v>
      </c>
      <c r="H175" t="s">
        <v>74</v>
      </c>
      <c r="I175" t="s">
        <v>3753</v>
      </c>
      <c r="J175" t="s">
        <v>3754</v>
      </c>
      <c r="K175" t="s">
        <v>74</v>
      </c>
      <c r="L175" t="s">
        <v>74</v>
      </c>
      <c r="M175" t="s">
        <v>78</v>
      </c>
      <c r="N175" t="s">
        <v>79</v>
      </c>
      <c r="O175" t="s">
        <v>74</v>
      </c>
      <c r="P175" t="s">
        <v>74</v>
      </c>
      <c r="Q175" t="s">
        <v>74</v>
      </c>
      <c r="R175" t="s">
        <v>74</v>
      </c>
      <c r="S175" t="s">
        <v>74</v>
      </c>
      <c r="T175" t="s">
        <v>3755</v>
      </c>
      <c r="U175" t="s">
        <v>3756</v>
      </c>
      <c r="V175" t="s">
        <v>3757</v>
      </c>
      <c r="W175" t="s">
        <v>3758</v>
      </c>
      <c r="X175" t="s">
        <v>3759</v>
      </c>
      <c r="Y175" t="s">
        <v>3760</v>
      </c>
      <c r="Z175" t="s">
        <v>3761</v>
      </c>
      <c r="AA175" t="s">
        <v>74</v>
      </c>
      <c r="AB175" t="s">
        <v>3762</v>
      </c>
      <c r="AC175" t="s">
        <v>74</v>
      </c>
      <c r="AD175" t="s">
        <v>74</v>
      </c>
      <c r="AE175" t="s">
        <v>74</v>
      </c>
      <c r="AF175" t="s">
        <v>74</v>
      </c>
      <c r="AG175">
        <v>31</v>
      </c>
      <c r="AH175">
        <v>18</v>
      </c>
      <c r="AI175">
        <v>22</v>
      </c>
      <c r="AJ175">
        <v>2</v>
      </c>
      <c r="AK175">
        <v>27</v>
      </c>
      <c r="AL175" t="s">
        <v>2597</v>
      </c>
      <c r="AM175" t="s">
        <v>2598</v>
      </c>
      <c r="AN175" t="s">
        <v>2599</v>
      </c>
      <c r="AO175" t="s">
        <v>3763</v>
      </c>
      <c r="AP175" t="s">
        <v>3764</v>
      </c>
      <c r="AQ175" t="s">
        <v>74</v>
      </c>
      <c r="AR175" t="s">
        <v>3765</v>
      </c>
      <c r="AS175" t="s">
        <v>3766</v>
      </c>
      <c r="AT175" t="s">
        <v>848</v>
      </c>
      <c r="AU175">
        <v>2019</v>
      </c>
      <c r="AV175">
        <v>64</v>
      </c>
      <c r="AW175">
        <v>3</v>
      </c>
      <c r="AX175" t="s">
        <v>74</v>
      </c>
      <c r="AY175" t="s">
        <v>74</v>
      </c>
      <c r="AZ175" t="s">
        <v>74</v>
      </c>
      <c r="BA175" t="s">
        <v>74</v>
      </c>
      <c r="BB175">
        <v>224</v>
      </c>
      <c r="BC175">
        <v>232</v>
      </c>
      <c r="BD175" t="s">
        <v>74</v>
      </c>
      <c r="BE175" t="s">
        <v>3767</v>
      </c>
      <c r="BF175" t="str">
        <f>HYPERLINK("http://dx.doi.org/10.1093/sw/swz015","http://dx.doi.org/10.1093/sw/swz015")</f>
        <v>http://dx.doi.org/10.1093/sw/swz015</v>
      </c>
      <c r="BG175" t="s">
        <v>74</v>
      </c>
      <c r="BH175" t="s">
        <v>74</v>
      </c>
      <c r="BI175">
        <v>9</v>
      </c>
      <c r="BJ175" t="s">
        <v>2045</v>
      </c>
      <c r="BK175" t="s">
        <v>99</v>
      </c>
      <c r="BL175" t="s">
        <v>2045</v>
      </c>
      <c r="BM175" t="s">
        <v>3768</v>
      </c>
      <c r="BN175">
        <v>31157390</v>
      </c>
      <c r="BO175" t="s">
        <v>74</v>
      </c>
      <c r="BP175" t="s">
        <v>74</v>
      </c>
      <c r="BQ175" t="s">
        <v>74</v>
      </c>
      <c r="BR175" t="s">
        <v>102</v>
      </c>
      <c r="BS175" t="s">
        <v>3769</v>
      </c>
      <c r="BT175" t="str">
        <f>HYPERLINK("https%3A%2F%2Fwww.webofscience.com%2Fwos%2Fwoscc%2Ffull-record%2FWOS:000493054000006","View Full Record in Web of Science")</f>
        <v>View Full Record in Web of Science</v>
      </c>
    </row>
    <row r="176" spans="1:72" x14ac:dyDescent="0.25">
      <c r="A176" t="s">
        <v>72</v>
      </c>
      <c r="B176" t="s">
        <v>3770</v>
      </c>
      <c r="C176" t="s">
        <v>74</v>
      </c>
      <c r="D176" t="s">
        <v>74</v>
      </c>
      <c r="E176" t="s">
        <v>74</v>
      </c>
      <c r="F176" t="s">
        <v>3771</v>
      </c>
      <c r="G176" t="s">
        <v>74</v>
      </c>
      <c r="H176" t="s">
        <v>74</v>
      </c>
      <c r="I176" t="s">
        <v>3772</v>
      </c>
      <c r="J176" t="s">
        <v>3773</v>
      </c>
      <c r="K176" t="s">
        <v>74</v>
      </c>
      <c r="L176" t="s">
        <v>74</v>
      </c>
      <c r="M176" t="s">
        <v>78</v>
      </c>
      <c r="N176" t="s">
        <v>79</v>
      </c>
      <c r="O176" t="s">
        <v>74</v>
      </c>
      <c r="P176" t="s">
        <v>74</v>
      </c>
      <c r="Q176" t="s">
        <v>74</v>
      </c>
      <c r="R176" t="s">
        <v>74</v>
      </c>
      <c r="S176" t="s">
        <v>74</v>
      </c>
      <c r="T176" t="s">
        <v>3774</v>
      </c>
      <c r="U176" t="s">
        <v>3775</v>
      </c>
      <c r="V176" t="s">
        <v>3776</v>
      </c>
      <c r="W176" t="s">
        <v>3777</v>
      </c>
      <c r="X176" t="s">
        <v>3778</v>
      </c>
      <c r="Y176" t="s">
        <v>3779</v>
      </c>
      <c r="Z176" t="s">
        <v>3780</v>
      </c>
      <c r="AA176" t="s">
        <v>3781</v>
      </c>
      <c r="AB176" t="s">
        <v>3782</v>
      </c>
      <c r="AC176" t="s">
        <v>74</v>
      </c>
      <c r="AD176" t="s">
        <v>74</v>
      </c>
      <c r="AE176" t="s">
        <v>74</v>
      </c>
      <c r="AF176" t="s">
        <v>74</v>
      </c>
      <c r="AG176">
        <v>31</v>
      </c>
      <c r="AH176">
        <v>1</v>
      </c>
      <c r="AI176">
        <v>1</v>
      </c>
      <c r="AJ176">
        <v>0</v>
      </c>
      <c r="AK176">
        <v>8</v>
      </c>
      <c r="AL176" t="s">
        <v>89</v>
      </c>
      <c r="AM176" t="s">
        <v>1497</v>
      </c>
      <c r="AN176" t="s">
        <v>1498</v>
      </c>
      <c r="AO176" t="s">
        <v>3783</v>
      </c>
      <c r="AP176" t="s">
        <v>3784</v>
      </c>
      <c r="AQ176" t="s">
        <v>74</v>
      </c>
      <c r="AR176" t="s">
        <v>3785</v>
      </c>
      <c r="AS176" t="s">
        <v>3786</v>
      </c>
      <c r="AT176" t="s">
        <v>74</v>
      </c>
      <c r="AU176">
        <v>2022</v>
      </c>
      <c r="AV176">
        <v>27</v>
      </c>
      <c r="AW176">
        <v>53</v>
      </c>
      <c r="AX176" t="s">
        <v>74</v>
      </c>
      <c r="AY176" t="s">
        <v>74</v>
      </c>
      <c r="AZ176" t="s">
        <v>74</v>
      </c>
      <c r="BA176" t="s">
        <v>74</v>
      </c>
      <c r="BB176">
        <v>139</v>
      </c>
      <c r="BC176">
        <v>153</v>
      </c>
      <c r="BD176" t="s">
        <v>74</v>
      </c>
      <c r="BE176" t="s">
        <v>3787</v>
      </c>
      <c r="BF176" t="str">
        <f>HYPERLINK("http://dx.doi.org/10.1108/JEFAS-05-2021-0074","http://dx.doi.org/10.1108/JEFAS-05-2021-0074")</f>
        <v>http://dx.doi.org/10.1108/JEFAS-05-2021-0074</v>
      </c>
      <c r="BG176" t="s">
        <v>74</v>
      </c>
      <c r="BH176" t="s">
        <v>74</v>
      </c>
      <c r="BI176">
        <v>15</v>
      </c>
      <c r="BJ176" t="s">
        <v>291</v>
      </c>
      <c r="BK176" t="s">
        <v>313</v>
      </c>
      <c r="BL176" t="s">
        <v>100</v>
      </c>
      <c r="BM176" t="s">
        <v>3788</v>
      </c>
      <c r="BN176" t="s">
        <v>74</v>
      </c>
      <c r="BO176" t="s">
        <v>916</v>
      </c>
      <c r="BP176" t="s">
        <v>74</v>
      </c>
      <c r="BQ176" t="s">
        <v>74</v>
      </c>
      <c r="BR176" t="s">
        <v>102</v>
      </c>
      <c r="BS176" t="s">
        <v>3789</v>
      </c>
      <c r="BT176" t="str">
        <f>HYPERLINK("https%3A%2F%2Fwww.webofscience.com%2Fwos%2Fwoscc%2Ffull-record%2FWOS:000938101900009","View Full Record in Web of Science")</f>
        <v>View Full Record in Web of Science</v>
      </c>
    </row>
    <row r="177" spans="1:72" x14ac:dyDescent="0.25">
      <c r="A177" t="s">
        <v>3790</v>
      </c>
      <c r="B177" t="s">
        <v>3791</v>
      </c>
      <c r="C177" t="s">
        <v>74</v>
      </c>
      <c r="D177" t="s">
        <v>3792</v>
      </c>
      <c r="E177" t="s">
        <v>74</v>
      </c>
      <c r="F177" t="s">
        <v>3791</v>
      </c>
      <c r="G177" t="s">
        <v>74</v>
      </c>
      <c r="H177" t="s">
        <v>74</v>
      </c>
      <c r="I177" t="s">
        <v>3793</v>
      </c>
      <c r="J177" t="s">
        <v>3794</v>
      </c>
      <c r="K177" t="s">
        <v>2425</v>
      </c>
      <c r="L177" t="s">
        <v>74</v>
      </c>
      <c r="M177" t="s">
        <v>78</v>
      </c>
      <c r="N177" t="s">
        <v>3795</v>
      </c>
      <c r="O177" t="s">
        <v>3796</v>
      </c>
      <c r="P177" t="s">
        <v>3797</v>
      </c>
      <c r="Q177" t="s">
        <v>3798</v>
      </c>
      <c r="R177" t="s">
        <v>3799</v>
      </c>
      <c r="S177" t="s">
        <v>74</v>
      </c>
      <c r="T177" t="s">
        <v>74</v>
      </c>
      <c r="U177" t="s">
        <v>74</v>
      </c>
      <c r="V177" t="s">
        <v>3800</v>
      </c>
      <c r="W177" t="s">
        <v>3801</v>
      </c>
      <c r="X177" t="s">
        <v>3802</v>
      </c>
      <c r="Y177" t="s">
        <v>3803</v>
      </c>
      <c r="Z177" t="s">
        <v>3804</v>
      </c>
      <c r="AA177" t="s">
        <v>3805</v>
      </c>
      <c r="AB177" t="s">
        <v>3806</v>
      </c>
      <c r="AC177" t="s">
        <v>74</v>
      </c>
      <c r="AD177" t="s">
        <v>74</v>
      </c>
      <c r="AE177" t="s">
        <v>74</v>
      </c>
      <c r="AF177" t="s">
        <v>74</v>
      </c>
      <c r="AG177">
        <v>38</v>
      </c>
      <c r="AH177">
        <v>4</v>
      </c>
      <c r="AI177">
        <v>4</v>
      </c>
      <c r="AJ177">
        <v>0</v>
      </c>
      <c r="AK177">
        <v>0</v>
      </c>
      <c r="AL177" t="s">
        <v>3807</v>
      </c>
      <c r="AM177" t="s">
        <v>3098</v>
      </c>
      <c r="AN177" t="s">
        <v>3808</v>
      </c>
      <c r="AO177" t="s">
        <v>2437</v>
      </c>
      <c r="AP177" t="s">
        <v>2438</v>
      </c>
      <c r="AQ177" t="s">
        <v>3809</v>
      </c>
      <c r="AR177" t="s">
        <v>2440</v>
      </c>
      <c r="AS177" t="s">
        <v>74</v>
      </c>
      <c r="AT177" t="s">
        <v>74</v>
      </c>
      <c r="AU177">
        <v>2004</v>
      </c>
      <c r="AV177">
        <v>2802</v>
      </c>
      <c r="AW177" t="s">
        <v>74</v>
      </c>
      <c r="AX177" t="s">
        <v>74</v>
      </c>
      <c r="AY177" t="s">
        <v>74</v>
      </c>
      <c r="AZ177" t="s">
        <v>74</v>
      </c>
      <c r="BA177" t="s">
        <v>74</v>
      </c>
      <c r="BB177">
        <v>86</v>
      </c>
      <c r="BC177">
        <v>100</v>
      </c>
      <c r="BD177" t="s">
        <v>74</v>
      </c>
      <c r="BE177" t="s">
        <v>74</v>
      </c>
      <c r="BF177" t="s">
        <v>74</v>
      </c>
      <c r="BG177" t="s">
        <v>74</v>
      </c>
      <c r="BH177" t="s">
        <v>74</v>
      </c>
      <c r="BI177">
        <v>15</v>
      </c>
      <c r="BJ177" t="s">
        <v>3810</v>
      </c>
      <c r="BK177" t="s">
        <v>3811</v>
      </c>
      <c r="BL177" t="s">
        <v>157</v>
      </c>
      <c r="BM177" t="s">
        <v>3812</v>
      </c>
      <c r="BN177" t="s">
        <v>74</v>
      </c>
      <c r="BO177" t="s">
        <v>74</v>
      </c>
      <c r="BP177" t="s">
        <v>74</v>
      </c>
      <c r="BQ177" t="s">
        <v>74</v>
      </c>
      <c r="BR177" t="s">
        <v>102</v>
      </c>
      <c r="BS177" t="s">
        <v>3813</v>
      </c>
      <c r="BT177" t="str">
        <f>HYPERLINK("https%3A%2F%2Fwww.webofscience.com%2Fwos%2Fwoscc%2Ffull-record%2FWOS:000189499200010","View Full Record in Web of Science")</f>
        <v>View Full Record in Web of Science</v>
      </c>
    </row>
    <row r="178" spans="1:72" x14ac:dyDescent="0.25">
      <c r="A178" t="s">
        <v>72</v>
      </c>
      <c r="B178" t="s">
        <v>3814</v>
      </c>
      <c r="C178" t="s">
        <v>74</v>
      </c>
      <c r="D178" t="s">
        <v>74</v>
      </c>
      <c r="E178" t="s">
        <v>74</v>
      </c>
      <c r="F178" t="s">
        <v>3815</v>
      </c>
      <c r="G178" t="s">
        <v>74</v>
      </c>
      <c r="H178" t="s">
        <v>74</v>
      </c>
      <c r="I178" t="s">
        <v>3816</v>
      </c>
      <c r="J178" t="s">
        <v>836</v>
      </c>
      <c r="K178" t="s">
        <v>74</v>
      </c>
      <c r="L178" t="s">
        <v>74</v>
      </c>
      <c r="M178" t="s">
        <v>78</v>
      </c>
      <c r="N178" t="s">
        <v>79</v>
      </c>
      <c r="O178" t="s">
        <v>74</v>
      </c>
      <c r="P178" t="s">
        <v>74</v>
      </c>
      <c r="Q178" t="s">
        <v>74</v>
      </c>
      <c r="R178" t="s">
        <v>74</v>
      </c>
      <c r="S178" t="s">
        <v>74</v>
      </c>
      <c r="T178" t="s">
        <v>3817</v>
      </c>
      <c r="U178" t="s">
        <v>3818</v>
      </c>
      <c r="V178" t="s">
        <v>3819</v>
      </c>
      <c r="W178" t="s">
        <v>3820</v>
      </c>
      <c r="X178" t="s">
        <v>3821</v>
      </c>
      <c r="Y178" t="s">
        <v>3822</v>
      </c>
      <c r="Z178" t="s">
        <v>3823</v>
      </c>
      <c r="AA178" t="s">
        <v>3824</v>
      </c>
      <c r="AB178" t="s">
        <v>3825</v>
      </c>
      <c r="AC178" t="s">
        <v>3826</v>
      </c>
      <c r="AD178" t="s">
        <v>3826</v>
      </c>
      <c r="AE178" t="s">
        <v>3827</v>
      </c>
      <c r="AF178" t="s">
        <v>74</v>
      </c>
      <c r="AG178">
        <v>112</v>
      </c>
      <c r="AH178">
        <v>0</v>
      </c>
      <c r="AI178">
        <v>0</v>
      </c>
      <c r="AJ178">
        <v>6</v>
      </c>
      <c r="AK178">
        <v>6</v>
      </c>
      <c r="AL178" t="s">
        <v>503</v>
      </c>
      <c r="AM178" t="s">
        <v>151</v>
      </c>
      <c r="AN178" t="s">
        <v>504</v>
      </c>
      <c r="AO178" t="s">
        <v>844</v>
      </c>
      <c r="AP178" t="s">
        <v>845</v>
      </c>
      <c r="AQ178" t="s">
        <v>74</v>
      </c>
      <c r="AR178" t="s">
        <v>846</v>
      </c>
      <c r="AS178" t="s">
        <v>847</v>
      </c>
      <c r="AT178" t="s">
        <v>289</v>
      </c>
      <c r="AU178">
        <v>2025</v>
      </c>
      <c r="AV178">
        <v>104</v>
      </c>
      <c r="AW178" t="s">
        <v>74</v>
      </c>
      <c r="AX178" t="s">
        <v>3828</v>
      </c>
      <c r="AY178" t="s">
        <v>74</v>
      </c>
      <c r="AZ178" t="s">
        <v>74</v>
      </c>
      <c r="BA178" t="s">
        <v>74</v>
      </c>
      <c r="BB178" t="s">
        <v>74</v>
      </c>
      <c r="BC178" t="s">
        <v>74</v>
      </c>
      <c r="BD178">
        <v>104326</v>
      </c>
      <c r="BE178" t="s">
        <v>3829</v>
      </c>
      <c r="BF178" t="str">
        <f>HYPERLINK("http://dx.doi.org/10.1016/j.irfa.2025.104326","http://dx.doi.org/10.1016/j.irfa.2025.104326")</f>
        <v>http://dx.doi.org/10.1016/j.irfa.2025.104326</v>
      </c>
      <c r="BG178" t="s">
        <v>74</v>
      </c>
      <c r="BH178" t="s">
        <v>2359</v>
      </c>
      <c r="BI178">
        <v>14</v>
      </c>
      <c r="BJ178" t="s">
        <v>268</v>
      </c>
      <c r="BK178" t="s">
        <v>99</v>
      </c>
      <c r="BL178" t="s">
        <v>100</v>
      </c>
      <c r="BM178" t="s">
        <v>3830</v>
      </c>
      <c r="BN178" t="s">
        <v>74</v>
      </c>
      <c r="BO178" t="s">
        <v>270</v>
      </c>
      <c r="BP178" t="s">
        <v>74</v>
      </c>
      <c r="BQ178" t="s">
        <v>74</v>
      </c>
      <c r="BR178" t="s">
        <v>102</v>
      </c>
      <c r="BS178" t="s">
        <v>3831</v>
      </c>
      <c r="BT178" t="str">
        <f>HYPERLINK("https%3A%2F%2Fwww.webofscience.com%2Fwos%2Fwoscc%2Ffull-record%2FWOS:001498627700006","View Full Record in Web of Science")</f>
        <v>View Full Record in Web of Science</v>
      </c>
    </row>
    <row r="179" spans="1:72" x14ac:dyDescent="0.25">
      <c r="A179" t="s">
        <v>72</v>
      </c>
      <c r="B179" t="s">
        <v>3832</v>
      </c>
      <c r="C179" t="s">
        <v>74</v>
      </c>
      <c r="D179" t="s">
        <v>74</v>
      </c>
      <c r="E179" t="s">
        <v>74</v>
      </c>
      <c r="F179" t="s">
        <v>3833</v>
      </c>
      <c r="G179" t="s">
        <v>74</v>
      </c>
      <c r="H179" t="s">
        <v>74</v>
      </c>
      <c r="I179" t="s">
        <v>3834</v>
      </c>
      <c r="J179" t="s">
        <v>3835</v>
      </c>
      <c r="K179" t="s">
        <v>74</v>
      </c>
      <c r="L179" t="s">
        <v>74</v>
      </c>
      <c r="M179" t="s">
        <v>78</v>
      </c>
      <c r="N179" t="s">
        <v>79</v>
      </c>
      <c r="O179" t="s">
        <v>74</v>
      </c>
      <c r="P179" t="s">
        <v>74</v>
      </c>
      <c r="Q179" t="s">
        <v>74</v>
      </c>
      <c r="R179" t="s">
        <v>74</v>
      </c>
      <c r="S179" t="s">
        <v>74</v>
      </c>
      <c r="T179" t="s">
        <v>3836</v>
      </c>
      <c r="U179" t="s">
        <v>3837</v>
      </c>
      <c r="V179" t="s">
        <v>3838</v>
      </c>
      <c r="W179" t="s">
        <v>74</v>
      </c>
      <c r="X179" t="s">
        <v>74</v>
      </c>
      <c r="Y179" t="s">
        <v>74</v>
      </c>
      <c r="Z179" t="s">
        <v>74</v>
      </c>
      <c r="AA179" t="s">
        <v>74</v>
      </c>
      <c r="AB179" t="s">
        <v>74</v>
      </c>
      <c r="AC179" t="s">
        <v>74</v>
      </c>
      <c r="AD179" t="s">
        <v>74</v>
      </c>
      <c r="AE179" t="s">
        <v>74</v>
      </c>
      <c r="AF179" t="s">
        <v>74</v>
      </c>
      <c r="AG179">
        <v>17</v>
      </c>
      <c r="AH179">
        <v>0</v>
      </c>
      <c r="AI179">
        <v>0</v>
      </c>
      <c r="AJ179">
        <v>0</v>
      </c>
      <c r="AK179">
        <v>14</v>
      </c>
      <c r="AL179" t="s">
        <v>3097</v>
      </c>
      <c r="AM179" t="s">
        <v>3098</v>
      </c>
      <c r="AN179" t="s">
        <v>3099</v>
      </c>
      <c r="AO179" t="s">
        <v>3839</v>
      </c>
      <c r="AP179" t="s">
        <v>3840</v>
      </c>
      <c r="AQ179" t="s">
        <v>74</v>
      </c>
      <c r="AR179" t="s">
        <v>3841</v>
      </c>
      <c r="AS179" t="s">
        <v>3842</v>
      </c>
      <c r="AT179" t="s">
        <v>74</v>
      </c>
      <c r="AU179">
        <v>2012</v>
      </c>
      <c r="AV179">
        <v>11</v>
      </c>
      <c r="AW179">
        <v>1</v>
      </c>
      <c r="AX179" t="s">
        <v>74</v>
      </c>
      <c r="AY179" t="s">
        <v>74</v>
      </c>
      <c r="AZ179" t="s">
        <v>74</v>
      </c>
      <c r="BA179" t="s">
        <v>74</v>
      </c>
      <c r="BB179" t="s">
        <v>74</v>
      </c>
      <c r="BC179" t="s">
        <v>74</v>
      </c>
      <c r="BD179">
        <v>3</v>
      </c>
      <c r="BE179" t="s">
        <v>74</v>
      </c>
      <c r="BF179" t="s">
        <v>74</v>
      </c>
      <c r="BG179" t="s">
        <v>74</v>
      </c>
      <c r="BH179" t="s">
        <v>74</v>
      </c>
      <c r="BI179">
        <v>24</v>
      </c>
      <c r="BJ179" t="s">
        <v>291</v>
      </c>
      <c r="BK179" t="s">
        <v>99</v>
      </c>
      <c r="BL179" t="s">
        <v>100</v>
      </c>
      <c r="BM179" t="s">
        <v>3843</v>
      </c>
      <c r="BN179" t="s">
        <v>74</v>
      </c>
      <c r="BO179" t="s">
        <v>74</v>
      </c>
      <c r="BP179" t="s">
        <v>74</v>
      </c>
      <c r="BQ179" t="s">
        <v>74</v>
      </c>
      <c r="BR179" t="s">
        <v>102</v>
      </c>
      <c r="BS179" t="s">
        <v>3844</v>
      </c>
      <c r="BT179" t="str">
        <f>HYPERLINK("https%3A%2F%2Fwww.webofscience.com%2Fwos%2Fwoscc%2Ffull-record%2FWOS:000312498200003","View Full Record in Web of Science")</f>
        <v>View Full Record in Web of Science</v>
      </c>
    </row>
    <row r="180" spans="1:72" x14ac:dyDescent="0.25">
      <c r="A180" t="s">
        <v>72</v>
      </c>
      <c r="B180" t="s">
        <v>3845</v>
      </c>
      <c r="C180" t="s">
        <v>74</v>
      </c>
      <c r="D180" t="s">
        <v>74</v>
      </c>
      <c r="E180" t="s">
        <v>74</v>
      </c>
      <c r="F180" t="s">
        <v>3846</v>
      </c>
      <c r="G180" t="s">
        <v>74</v>
      </c>
      <c r="H180" t="s">
        <v>74</v>
      </c>
      <c r="I180" t="s">
        <v>3847</v>
      </c>
      <c r="J180" t="s">
        <v>3848</v>
      </c>
      <c r="K180" t="s">
        <v>74</v>
      </c>
      <c r="L180" t="s">
        <v>74</v>
      </c>
      <c r="M180" t="s">
        <v>78</v>
      </c>
      <c r="N180" t="s">
        <v>79</v>
      </c>
      <c r="O180" t="s">
        <v>74</v>
      </c>
      <c r="P180" t="s">
        <v>74</v>
      </c>
      <c r="Q180" t="s">
        <v>74</v>
      </c>
      <c r="R180" t="s">
        <v>74</v>
      </c>
      <c r="S180" t="s">
        <v>74</v>
      </c>
      <c r="T180" t="s">
        <v>3849</v>
      </c>
      <c r="U180" t="s">
        <v>3850</v>
      </c>
      <c r="V180" t="s">
        <v>3851</v>
      </c>
      <c r="W180" t="s">
        <v>3852</v>
      </c>
      <c r="X180" t="s">
        <v>3853</v>
      </c>
      <c r="Y180" t="s">
        <v>3854</v>
      </c>
      <c r="Z180" t="s">
        <v>3855</v>
      </c>
      <c r="AA180" t="s">
        <v>3856</v>
      </c>
      <c r="AB180" t="s">
        <v>3857</v>
      </c>
      <c r="AC180" t="s">
        <v>3858</v>
      </c>
      <c r="AD180" t="s">
        <v>3859</v>
      </c>
      <c r="AE180" t="s">
        <v>3860</v>
      </c>
      <c r="AF180" t="s">
        <v>74</v>
      </c>
      <c r="AG180">
        <v>48</v>
      </c>
      <c r="AH180">
        <v>5</v>
      </c>
      <c r="AI180">
        <v>5</v>
      </c>
      <c r="AJ180">
        <v>1</v>
      </c>
      <c r="AK180">
        <v>15</v>
      </c>
      <c r="AL180" t="s">
        <v>3861</v>
      </c>
      <c r="AM180" t="s">
        <v>2016</v>
      </c>
      <c r="AN180" t="s">
        <v>3862</v>
      </c>
      <c r="AO180" t="s">
        <v>74</v>
      </c>
      <c r="AP180" t="s">
        <v>3863</v>
      </c>
      <c r="AQ180" t="s">
        <v>74</v>
      </c>
      <c r="AR180" t="s">
        <v>3864</v>
      </c>
      <c r="AS180" t="s">
        <v>3865</v>
      </c>
      <c r="AT180" t="s">
        <v>74</v>
      </c>
      <c r="AU180">
        <v>2022</v>
      </c>
      <c r="AV180">
        <v>4</v>
      </c>
      <c r="AW180" t="s">
        <v>74</v>
      </c>
      <c r="AX180" t="s">
        <v>74</v>
      </c>
      <c r="AY180" t="s">
        <v>74</v>
      </c>
      <c r="AZ180" t="s">
        <v>74</v>
      </c>
      <c r="BA180" t="s">
        <v>74</v>
      </c>
      <c r="BB180" t="s">
        <v>74</v>
      </c>
      <c r="BC180" t="s">
        <v>74</v>
      </c>
      <c r="BD180" t="s">
        <v>3866</v>
      </c>
      <c r="BE180" t="s">
        <v>3867</v>
      </c>
      <c r="BF180" t="str">
        <f>HYPERLINK("http://dx.doi.org/10.1017/dap.2022.23","http://dx.doi.org/10.1017/dap.2022.23")</f>
        <v>http://dx.doi.org/10.1017/dap.2022.23</v>
      </c>
      <c r="BG180" t="s">
        <v>74</v>
      </c>
      <c r="BH180" t="s">
        <v>74</v>
      </c>
      <c r="BI180">
        <v>17</v>
      </c>
      <c r="BJ180" t="s">
        <v>3868</v>
      </c>
      <c r="BK180" t="s">
        <v>313</v>
      </c>
      <c r="BL180" t="s">
        <v>3868</v>
      </c>
      <c r="BM180" t="s">
        <v>3869</v>
      </c>
      <c r="BN180" t="s">
        <v>74</v>
      </c>
      <c r="BO180" t="s">
        <v>212</v>
      </c>
      <c r="BP180" t="s">
        <v>74</v>
      </c>
      <c r="BQ180" t="s">
        <v>74</v>
      </c>
      <c r="BR180" t="s">
        <v>102</v>
      </c>
      <c r="BS180" t="s">
        <v>3870</v>
      </c>
      <c r="BT180" t="str">
        <f>HYPERLINK("https%3A%2F%2Fwww.webofscience.com%2Fwos%2Fwoscc%2Ffull-record%2FWOS:000876991800001","View Full Record in Web of Science")</f>
        <v>View Full Record in Web of Science</v>
      </c>
    </row>
    <row r="181" spans="1:72" x14ac:dyDescent="0.25">
      <c r="A181" t="s">
        <v>72</v>
      </c>
      <c r="B181" t="s">
        <v>3871</v>
      </c>
      <c r="C181" t="s">
        <v>74</v>
      </c>
      <c r="D181" t="s">
        <v>74</v>
      </c>
      <c r="E181" t="s">
        <v>74</v>
      </c>
      <c r="F181" t="s">
        <v>3872</v>
      </c>
      <c r="G181" t="s">
        <v>74</v>
      </c>
      <c r="H181" t="s">
        <v>74</v>
      </c>
      <c r="I181" t="s">
        <v>3873</v>
      </c>
      <c r="J181" t="s">
        <v>3874</v>
      </c>
      <c r="K181" t="s">
        <v>74</v>
      </c>
      <c r="L181" t="s">
        <v>74</v>
      </c>
      <c r="M181" t="s">
        <v>78</v>
      </c>
      <c r="N181" t="s">
        <v>372</v>
      </c>
      <c r="O181" t="s">
        <v>74</v>
      </c>
      <c r="P181" t="s">
        <v>74</v>
      </c>
      <c r="Q181" t="s">
        <v>74</v>
      </c>
      <c r="R181" t="s">
        <v>74</v>
      </c>
      <c r="S181" t="s">
        <v>74</v>
      </c>
      <c r="T181" t="s">
        <v>3875</v>
      </c>
      <c r="U181" t="s">
        <v>74</v>
      </c>
      <c r="V181" t="s">
        <v>3876</v>
      </c>
      <c r="W181" t="s">
        <v>3877</v>
      </c>
      <c r="X181" t="s">
        <v>3878</v>
      </c>
      <c r="Y181" t="s">
        <v>3879</v>
      </c>
      <c r="Z181" t="s">
        <v>3880</v>
      </c>
      <c r="AA181" t="s">
        <v>74</v>
      </c>
      <c r="AB181" t="s">
        <v>74</v>
      </c>
      <c r="AC181" t="s">
        <v>3881</v>
      </c>
      <c r="AD181" t="s">
        <v>3882</v>
      </c>
      <c r="AE181" t="s">
        <v>3883</v>
      </c>
      <c r="AF181" t="s">
        <v>74</v>
      </c>
      <c r="AG181">
        <v>39</v>
      </c>
      <c r="AH181">
        <v>0</v>
      </c>
      <c r="AI181">
        <v>0</v>
      </c>
      <c r="AJ181">
        <v>0</v>
      </c>
      <c r="AK181">
        <v>0</v>
      </c>
      <c r="AL181" t="s">
        <v>479</v>
      </c>
      <c r="AM181" t="s">
        <v>480</v>
      </c>
      <c r="AN181" t="s">
        <v>3884</v>
      </c>
      <c r="AO181" t="s">
        <v>3885</v>
      </c>
      <c r="AP181" t="s">
        <v>74</v>
      </c>
      <c r="AQ181" t="s">
        <v>74</v>
      </c>
      <c r="AR181" t="s">
        <v>3886</v>
      </c>
      <c r="AS181" t="s">
        <v>3887</v>
      </c>
      <c r="AT181" t="s">
        <v>3888</v>
      </c>
      <c r="AU181">
        <v>2025</v>
      </c>
      <c r="AV181" t="s">
        <v>74</v>
      </c>
      <c r="AW181" t="s">
        <v>74</v>
      </c>
      <c r="AX181" t="s">
        <v>74</v>
      </c>
      <c r="AY181" t="s">
        <v>74</v>
      </c>
      <c r="AZ181" t="s">
        <v>74</v>
      </c>
      <c r="BA181" t="s">
        <v>74</v>
      </c>
      <c r="BB181" t="s">
        <v>74</v>
      </c>
      <c r="BC181" t="s">
        <v>74</v>
      </c>
      <c r="BD181" t="s">
        <v>74</v>
      </c>
      <c r="BE181" t="s">
        <v>3889</v>
      </c>
      <c r="BF181" t="str">
        <f>HYPERLINK("http://dx.doi.org/10.1002/sea2.70022","http://dx.doi.org/10.1002/sea2.70022")</f>
        <v>http://dx.doi.org/10.1002/sea2.70022</v>
      </c>
      <c r="BG181" t="s">
        <v>74</v>
      </c>
      <c r="BH181" t="s">
        <v>488</v>
      </c>
      <c r="BI181">
        <v>10</v>
      </c>
      <c r="BJ181" t="s">
        <v>3890</v>
      </c>
      <c r="BK181" t="s">
        <v>99</v>
      </c>
      <c r="BL181" t="s">
        <v>3890</v>
      </c>
      <c r="BM181" t="s">
        <v>3891</v>
      </c>
      <c r="BN181" t="s">
        <v>74</v>
      </c>
      <c r="BO181" t="s">
        <v>74</v>
      </c>
      <c r="BP181" t="s">
        <v>74</v>
      </c>
      <c r="BQ181" t="s">
        <v>74</v>
      </c>
      <c r="BR181" t="s">
        <v>102</v>
      </c>
      <c r="BS181" t="s">
        <v>3892</v>
      </c>
      <c r="BT181" t="str">
        <f>HYPERLINK("https%3A%2F%2Fwww.webofscience.com%2Fwos%2Fwoscc%2Ffull-record%2FWOS:001644550200001","View Full Record in Web of Science")</f>
        <v>View Full Record in Web of Science</v>
      </c>
    </row>
    <row r="182" spans="1:72" x14ac:dyDescent="0.25">
      <c r="A182" t="s">
        <v>72</v>
      </c>
      <c r="B182" t="s">
        <v>3893</v>
      </c>
      <c r="C182" t="s">
        <v>74</v>
      </c>
      <c r="D182" t="s">
        <v>74</v>
      </c>
      <c r="E182" t="s">
        <v>74</v>
      </c>
      <c r="F182" t="s">
        <v>3894</v>
      </c>
      <c r="G182" t="s">
        <v>74</v>
      </c>
      <c r="H182" t="s">
        <v>74</v>
      </c>
      <c r="I182" t="s">
        <v>3895</v>
      </c>
      <c r="J182" t="s">
        <v>3896</v>
      </c>
      <c r="K182" t="s">
        <v>74</v>
      </c>
      <c r="L182" t="s">
        <v>74</v>
      </c>
      <c r="M182" t="s">
        <v>78</v>
      </c>
      <c r="N182" t="s">
        <v>79</v>
      </c>
      <c r="O182" t="s">
        <v>74</v>
      </c>
      <c r="P182" t="s">
        <v>74</v>
      </c>
      <c r="Q182" t="s">
        <v>74</v>
      </c>
      <c r="R182" t="s">
        <v>74</v>
      </c>
      <c r="S182" t="s">
        <v>74</v>
      </c>
      <c r="T182" t="s">
        <v>3897</v>
      </c>
      <c r="U182" t="s">
        <v>3898</v>
      </c>
      <c r="V182" t="s">
        <v>3899</v>
      </c>
      <c r="W182" t="s">
        <v>3900</v>
      </c>
      <c r="X182" t="s">
        <v>3901</v>
      </c>
      <c r="Y182" t="s">
        <v>3902</v>
      </c>
      <c r="Z182" t="s">
        <v>3903</v>
      </c>
      <c r="AA182" t="s">
        <v>74</v>
      </c>
      <c r="AB182" t="s">
        <v>74</v>
      </c>
      <c r="AC182" t="s">
        <v>3904</v>
      </c>
      <c r="AD182" t="s">
        <v>3905</v>
      </c>
      <c r="AE182" t="s">
        <v>3906</v>
      </c>
      <c r="AF182" t="s">
        <v>74</v>
      </c>
      <c r="AG182">
        <v>27</v>
      </c>
      <c r="AH182">
        <v>19</v>
      </c>
      <c r="AI182">
        <v>25</v>
      </c>
      <c r="AJ182">
        <v>1</v>
      </c>
      <c r="AK182">
        <v>13</v>
      </c>
      <c r="AL182" t="s">
        <v>3861</v>
      </c>
      <c r="AM182" t="s">
        <v>2016</v>
      </c>
      <c r="AN182" t="s">
        <v>3862</v>
      </c>
      <c r="AO182" t="s">
        <v>3907</v>
      </c>
      <c r="AP182" t="s">
        <v>3908</v>
      </c>
      <c r="AQ182" t="s">
        <v>74</v>
      </c>
      <c r="AR182" t="s">
        <v>3909</v>
      </c>
      <c r="AS182" t="s">
        <v>3910</v>
      </c>
      <c r="AT182" t="s">
        <v>1159</v>
      </c>
      <c r="AU182">
        <v>2021</v>
      </c>
      <c r="AV182">
        <v>20</v>
      </c>
      <c r="AW182">
        <v>4</v>
      </c>
      <c r="AX182" t="s">
        <v>74</v>
      </c>
      <c r="AY182" t="s">
        <v>74</v>
      </c>
      <c r="AZ182" t="s">
        <v>441</v>
      </c>
      <c r="BA182" t="s">
        <v>74</v>
      </c>
      <c r="BB182">
        <v>468</v>
      </c>
      <c r="BC182">
        <v>481</v>
      </c>
      <c r="BD182" t="s">
        <v>3911</v>
      </c>
      <c r="BE182" t="s">
        <v>3912</v>
      </c>
      <c r="BF182" t="str">
        <f>HYPERLINK("http://dx.doi.org/10.1017/S1474747219000052","http://dx.doi.org/10.1017/S1474747219000052")</f>
        <v>http://dx.doi.org/10.1017/S1474747219000052</v>
      </c>
      <c r="BG182" t="s">
        <v>74</v>
      </c>
      <c r="BH182" t="s">
        <v>74</v>
      </c>
      <c r="BI182">
        <v>14</v>
      </c>
      <c r="BJ182" t="s">
        <v>210</v>
      </c>
      <c r="BK182" t="s">
        <v>99</v>
      </c>
      <c r="BL182" t="s">
        <v>100</v>
      </c>
      <c r="BM182" t="s">
        <v>3913</v>
      </c>
      <c r="BN182">
        <v>37928933</v>
      </c>
      <c r="BO182" t="s">
        <v>1696</v>
      </c>
      <c r="BP182" t="s">
        <v>74</v>
      </c>
      <c r="BQ182" t="s">
        <v>74</v>
      </c>
      <c r="BR182" t="s">
        <v>102</v>
      </c>
      <c r="BS182" t="s">
        <v>3914</v>
      </c>
      <c r="BT182" t="str">
        <f>HYPERLINK("https%3A%2F%2Fwww.webofscience.com%2Fwos%2Fwoscc%2Ffull-record%2FWOS:000692795100005","View Full Record in Web of Science")</f>
        <v>View Full Record in Web of Science</v>
      </c>
    </row>
    <row r="183" spans="1:72" x14ac:dyDescent="0.25">
      <c r="A183" t="s">
        <v>132</v>
      </c>
      <c r="B183" t="s">
        <v>3915</v>
      </c>
      <c r="C183" t="s">
        <v>74</v>
      </c>
      <c r="D183" t="s">
        <v>3916</v>
      </c>
      <c r="E183" t="s">
        <v>74</v>
      </c>
      <c r="F183" t="s">
        <v>3917</v>
      </c>
      <c r="G183" t="s">
        <v>74</v>
      </c>
      <c r="H183" t="s">
        <v>74</v>
      </c>
      <c r="I183" t="s">
        <v>3918</v>
      </c>
      <c r="J183" t="s">
        <v>3919</v>
      </c>
      <c r="K183" t="s">
        <v>3920</v>
      </c>
      <c r="L183" t="s">
        <v>74</v>
      </c>
      <c r="M183" t="s">
        <v>78</v>
      </c>
      <c r="N183" t="s">
        <v>138</v>
      </c>
      <c r="O183" t="s">
        <v>3921</v>
      </c>
      <c r="P183" t="s">
        <v>3922</v>
      </c>
      <c r="Q183" t="s">
        <v>3923</v>
      </c>
      <c r="R183" t="s">
        <v>3924</v>
      </c>
      <c r="S183" t="s">
        <v>74</v>
      </c>
      <c r="T183" t="s">
        <v>3925</v>
      </c>
      <c r="U183" t="s">
        <v>74</v>
      </c>
      <c r="V183" t="s">
        <v>3926</v>
      </c>
      <c r="W183" t="s">
        <v>3927</v>
      </c>
      <c r="X183" t="s">
        <v>3928</v>
      </c>
      <c r="Y183" t="s">
        <v>3929</v>
      </c>
      <c r="Z183" t="s">
        <v>3930</v>
      </c>
      <c r="AA183" t="s">
        <v>3931</v>
      </c>
      <c r="AB183" t="s">
        <v>74</v>
      </c>
      <c r="AC183" t="s">
        <v>74</v>
      </c>
      <c r="AD183" t="s">
        <v>74</v>
      </c>
      <c r="AE183" t="s">
        <v>74</v>
      </c>
      <c r="AF183" t="s">
        <v>74</v>
      </c>
      <c r="AG183">
        <v>19</v>
      </c>
      <c r="AH183">
        <v>0</v>
      </c>
      <c r="AI183">
        <v>0</v>
      </c>
      <c r="AJ183">
        <v>0</v>
      </c>
      <c r="AK183">
        <v>3</v>
      </c>
      <c r="AL183" t="s">
        <v>3932</v>
      </c>
      <c r="AM183" t="s">
        <v>3933</v>
      </c>
      <c r="AN183" t="s">
        <v>3934</v>
      </c>
      <c r="AO183" t="s">
        <v>3935</v>
      </c>
      <c r="AP183" t="s">
        <v>74</v>
      </c>
      <c r="AQ183" t="s">
        <v>74</v>
      </c>
      <c r="AR183" t="s">
        <v>3936</v>
      </c>
      <c r="AS183" t="s">
        <v>74</v>
      </c>
      <c r="AT183" t="s">
        <v>74</v>
      </c>
      <c r="AU183">
        <v>2017</v>
      </c>
      <c r="AV183" t="s">
        <v>74</v>
      </c>
      <c r="AW183" t="s">
        <v>74</v>
      </c>
      <c r="AX183" t="s">
        <v>74</v>
      </c>
      <c r="AY183" t="s">
        <v>74</v>
      </c>
      <c r="AZ183" t="s">
        <v>74</v>
      </c>
      <c r="BA183" t="s">
        <v>74</v>
      </c>
      <c r="BB183">
        <v>130</v>
      </c>
      <c r="BC183">
        <v>141</v>
      </c>
      <c r="BD183" t="s">
        <v>74</v>
      </c>
      <c r="BE183" t="s">
        <v>74</v>
      </c>
      <c r="BF183" t="s">
        <v>74</v>
      </c>
      <c r="BG183" t="s">
        <v>74</v>
      </c>
      <c r="BH183" t="s">
        <v>74</v>
      </c>
      <c r="BI183">
        <v>12</v>
      </c>
      <c r="BJ183" t="s">
        <v>1871</v>
      </c>
      <c r="BK183" t="s">
        <v>183</v>
      </c>
      <c r="BL183" t="s">
        <v>1872</v>
      </c>
      <c r="BM183" t="s">
        <v>3937</v>
      </c>
      <c r="BN183" t="s">
        <v>74</v>
      </c>
      <c r="BO183" t="s">
        <v>74</v>
      </c>
      <c r="BP183" t="s">
        <v>74</v>
      </c>
      <c r="BQ183" t="s">
        <v>74</v>
      </c>
      <c r="BR183" t="s">
        <v>102</v>
      </c>
      <c r="BS183" t="s">
        <v>3938</v>
      </c>
      <c r="BT183" t="str">
        <f>HYPERLINK("https%3A%2F%2Fwww.webofscience.com%2Fwos%2Fwoscc%2Ffull-record%2FWOS:000455302900007","View Full Record in Web of Science")</f>
        <v>View Full Record in Web of Science</v>
      </c>
    </row>
    <row r="184" spans="1:72" x14ac:dyDescent="0.25">
      <c r="A184" t="s">
        <v>72</v>
      </c>
      <c r="B184" t="s">
        <v>3939</v>
      </c>
      <c r="C184" t="s">
        <v>74</v>
      </c>
      <c r="D184" t="s">
        <v>74</v>
      </c>
      <c r="E184" t="s">
        <v>74</v>
      </c>
      <c r="F184" t="s">
        <v>3940</v>
      </c>
      <c r="G184" t="s">
        <v>74</v>
      </c>
      <c r="H184" t="s">
        <v>74</v>
      </c>
      <c r="I184" t="s">
        <v>3941</v>
      </c>
      <c r="J184" t="s">
        <v>424</v>
      </c>
      <c r="K184" t="s">
        <v>74</v>
      </c>
      <c r="L184" t="s">
        <v>74</v>
      </c>
      <c r="M184" t="s">
        <v>78</v>
      </c>
      <c r="N184" t="s">
        <v>79</v>
      </c>
      <c r="O184" t="s">
        <v>74</v>
      </c>
      <c r="P184" t="s">
        <v>74</v>
      </c>
      <c r="Q184" t="s">
        <v>74</v>
      </c>
      <c r="R184" t="s">
        <v>74</v>
      </c>
      <c r="S184" t="s">
        <v>74</v>
      </c>
      <c r="T184" t="s">
        <v>3942</v>
      </c>
      <c r="U184" t="s">
        <v>3943</v>
      </c>
      <c r="V184" t="s">
        <v>3944</v>
      </c>
      <c r="W184" t="s">
        <v>3945</v>
      </c>
      <c r="X184" t="s">
        <v>3946</v>
      </c>
      <c r="Y184" t="s">
        <v>3947</v>
      </c>
      <c r="Z184" t="s">
        <v>3948</v>
      </c>
      <c r="AA184" t="s">
        <v>74</v>
      </c>
      <c r="AB184" t="s">
        <v>3949</v>
      </c>
      <c r="AC184" t="s">
        <v>74</v>
      </c>
      <c r="AD184" t="s">
        <v>74</v>
      </c>
      <c r="AE184" t="s">
        <v>74</v>
      </c>
      <c r="AF184" t="s">
        <v>74</v>
      </c>
      <c r="AG184">
        <v>49</v>
      </c>
      <c r="AH184">
        <v>74</v>
      </c>
      <c r="AI184">
        <v>92</v>
      </c>
      <c r="AJ184">
        <v>2</v>
      </c>
      <c r="AK184">
        <v>81</v>
      </c>
      <c r="AL184" t="s">
        <v>89</v>
      </c>
      <c r="AM184" t="s">
        <v>1497</v>
      </c>
      <c r="AN184" t="s">
        <v>1498</v>
      </c>
      <c r="AO184" t="s">
        <v>436</v>
      </c>
      <c r="AP184" t="s">
        <v>437</v>
      </c>
      <c r="AQ184" t="s">
        <v>74</v>
      </c>
      <c r="AR184" t="s">
        <v>438</v>
      </c>
      <c r="AS184" t="s">
        <v>439</v>
      </c>
      <c r="AT184" t="s">
        <v>74</v>
      </c>
      <c r="AU184">
        <v>2020</v>
      </c>
      <c r="AV184">
        <v>38</v>
      </c>
      <c r="AW184">
        <v>2</v>
      </c>
      <c r="AX184" t="s">
        <v>74</v>
      </c>
      <c r="AY184" t="s">
        <v>74</v>
      </c>
      <c r="AZ184" t="s">
        <v>74</v>
      </c>
      <c r="BA184" t="s">
        <v>74</v>
      </c>
      <c r="BB184">
        <v>352</v>
      </c>
      <c r="BC184">
        <v>367</v>
      </c>
      <c r="BD184" t="s">
        <v>74</v>
      </c>
      <c r="BE184" t="s">
        <v>3950</v>
      </c>
      <c r="BF184" t="str">
        <f>HYPERLINK("http://dx.doi.org/10.1108/IJBM-02-2019-0055","http://dx.doi.org/10.1108/IJBM-02-2019-0055")</f>
        <v>http://dx.doi.org/10.1108/IJBM-02-2019-0055</v>
      </c>
      <c r="BG184" t="s">
        <v>74</v>
      </c>
      <c r="BH184" t="s">
        <v>74</v>
      </c>
      <c r="BI184">
        <v>16</v>
      </c>
      <c r="BJ184" t="s">
        <v>418</v>
      </c>
      <c r="BK184" t="s">
        <v>99</v>
      </c>
      <c r="BL184" t="s">
        <v>100</v>
      </c>
      <c r="BM184" t="s">
        <v>3951</v>
      </c>
      <c r="BN184" t="s">
        <v>74</v>
      </c>
      <c r="BO184" t="s">
        <v>74</v>
      </c>
      <c r="BP184" t="s">
        <v>74</v>
      </c>
      <c r="BQ184" t="s">
        <v>74</v>
      </c>
      <c r="BR184" t="s">
        <v>102</v>
      </c>
      <c r="BS184" t="s">
        <v>3952</v>
      </c>
      <c r="BT184" t="str">
        <f>HYPERLINK("https%3A%2F%2Fwww.webofscience.com%2Fwos%2Fwoscc%2Ffull-record%2FWOS:000534503500006","View Full Record in Web of Science")</f>
        <v>View Full Record in Web of Science</v>
      </c>
    </row>
    <row r="185" spans="1:72" x14ac:dyDescent="0.25">
      <c r="A185" t="s">
        <v>72</v>
      </c>
      <c r="B185" t="s">
        <v>3953</v>
      </c>
      <c r="C185" t="s">
        <v>74</v>
      </c>
      <c r="D185" t="s">
        <v>74</v>
      </c>
      <c r="E185" t="s">
        <v>74</v>
      </c>
      <c r="F185" t="s">
        <v>3954</v>
      </c>
      <c r="G185" t="s">
        <v>74</v>
      </c>
      <c r="H185" t="s">
        <v>74</v>
      </c>
      <c r="I185" t="s">
        <v>3955</v>
      </c>
      <c r="J185" t="s">
        <v>2471</v>
      </c>
      <c r="K185" t="s">
        <v>74</v>
      </c>
      <c r="L185" t="s">
        <v>74</v>
      </c>
      <c r="M185" t="s">
        <v>78</v>
      </c>
      <c r="N185" t="s">
        <v>79</v>
      </c>
      <c r="O185" t="s">
        <v>74</v>
      </c>
      <c r="P185" t="s">
        <v>74</v>
      </c>
      <c r="Q185" t="s">
        <v>74</v>
      </c>
      <c r="R185" t="s">
        <v>74</v>
      </c>
      <c r="S185" t="s">
        <v>74</v>
      </c>
      <c r="T185" t="s">
        <v>3956</v>
      </c>
      <c r="U185" t="s">
        <v>3957</v>
      </c>
      <c r="V185" t="s">
        <v>3958</v>
      </c>
      <c r="W185" t="s">
        <v>3959</v>
      </c>
      <c r="X185" t="s">
        <v>3960</v>
      </c>
      <c r="Y185" t="s">
        <v>3961</v>
      </c>
      <c r="Z185" t="s">
        <v>3962</v>
      </c>
      <c r="AA185" t="s">
        <v>3963</v>
      </c>
      <c r="AB185" t="s">
        <v>3964</v>
      </c>
      <c r="AC185" t="s">
        <v>74</v>
      </c>
      <c r="AD185" t="s">
        <v>74</v>
      </c>
      <c r="AE185" t="s">
        <v>74</v>
      </c>
      <c r="AF185" t="s">
        <v>74</v>
      </c>
      <c r="AG185">
        <v>91</v>
      </c>
      <c r="AH185">
        <v>1</v>
      </c>
      <c r="AI185">
        <v>1</v>
      </c>
      <c r="AJ185">
        <v>4</v>
      </c>
      <c r="AK185">
        <v>4</v>
      </c>
      <c r="AL185" t="s">
        <v>823</v>
      </c>
      <c r="AM185" t="s">
        <v>333</v>
      </c>
      <c r="AN185" t="s">
        <v>824</v>
      </c>
      <c r="AO185" t="s">
        <v>2484</v>
      </c>
      <c r="AP185" t="s">
        <v>74</v>
      </c>
      <c r="AQ185" t="s">
        <v>74</v>
      </c>
      <c r="AR185" t="s">
        <v>2485</v>
      </c>
      <c r="AS185" t="s">
        <v>2486</v>
      </c>
      <c r="AT185" t="s">
        <v>2970</v>
      </c>
      <c r="AU185">
        <v>2025</v>
      </c>
      <c r="AV185">
        <v>11</v>
      </c>
      <c r="AW185">
        <v>1</v>
      </c>
      <c r="AX185" t="s">
        <v>74</v>
      </c>
      <c r="AY185" t="s">
        <v>74</v>
      </c>
      <c r="AZ185" t="s">
        <v>74</v>
      </c>
      <c r="BA185" t="s">
        <v>74</v>
      </c>
      <c r="BB185" t="s">
        <v>74</v>
      </c>
      <c r="BC185" t="s">
        <v>74</v>
      </c>
      <c r="BD185">
        <v>2522291</v>
      </c>
      <c r="BE185" t="s">
        <v>3965</v>
      </c>
      <c r="BF185" t="str">
        <f>HYPERLINK("http://dx.doi.org/10.1080/23311886.2025.2522291","http://dx.doi.org/10.1080/23311886.2025.2522291")</f>
        <v>http://dx.doi.org/10.1080/23311886.2025.2522291</v>
      </c>
      <c r="BG185" t="s">
        <v>74</v>
      </c>
      <c r="BH185" t="s">
        <v>74</v>
      </c>
      <c r="BI185">
        <v>29</v>
      </c>
      <c r="BJ185" t="s">
        <v>364</v>
      </c>
      <c r="BK185" t="s">
        <v>313</v>
      </c>
      <c r="BL185" t="s">
        <v>365</v>
      </c>
      <c r="BM185" t="s">
        <v>3966</v>
      </c>
      <c r="BN185" t="s">
        <v>74</v>
      </c>
      <c r="BO185" t="s">
        <v>916</v>
      </c>
      <c r="BP185" t="s">
        <v>74</v>
      </c>
      <c r="BQ185" t="s">
        <v>74</v>
      </c>
      <c r="BR185" t="s">
        <v>102</v>
      </c>
      <c r="BS185" t="s">
        <v>3967</v>
      </c>
      <c r="BT185" t="str">
        <f>HYPERLINK("https%3A%2F%2Fwww.webofscience.com%2Fwos%2Fwoscc%2Ffull-record%2FWOS:001526694100001","View Full Record in Web of Science")</f>
        <v>View Full Record in Web of Science</v>
      </c>
    </row>
    <row r="186" spans="1:72" x14ac:dyDescent="0.25">
      <c r="A186" t="s">
        <v>72</v>
      </c>
      <c r="B186" t="s">
        <v>3968</v>
      </c>
      <c r="C186" t="s">
        <v>74</v>
      </c>
      <c r="D186" t="s">
        <v>74</v>
      </c>
      <c r="E186" t="s">
        <v>74</v>
      </c>
      <c r="F186" t="s">
        <v>3969</v>
      </c>
      <c r="G186" t="s">
        <v>74</v>
      </c>
      <c r="H186" t="s">
        <v>74</v>
      </c>
      <c r="I186" t="s">
        <v>3970</v>
      </c>
      <c r="J186" t="s">
        <v>3971</v>
      </c>
      <c r="K186" t="s">
        <v>74</v>
      </c>
      <c r="L186" t="s">
        <v>74</v>
      </c>
      <c r="M186" t="s">
        <v>298</v>
      </c>
      <c r="N186" t="s">
        <v>79</v>
      </c>
      <c r="O186" t="s">
        <v>74</v>
      </c>
      <c r="P186" t="s">
        <v>74</v>
      </c>
      <c r="Q186" t="s">
        <v>74</v>
      </c>
      <c r="R186" t="s">
        <v>74</v>
      </c>
      <c r="S186" t="s">
        <v>74</v>
      </c>
      <c r="T186" t="s">
        <v>3972</v>
      </c>
      <c r="U186" t="s">
        <v>3973</v>
      </c>
      <c r="V186" t="s">
        <v>3974</v>
      </c>
      <c r="W186" t="s">
        <v>3975</v>
      </c>
      <c r="X186" t="s">
        <v>3315</v>
      </c>
      <c r="Y186" t="s">
        <v>3976</v>
      </c>
      <c r="Z186" t="s">
        <v>3977</v>
      </c>
      <c r="AA186" t="s">
        <v>3978</v>
      </c>
      <c r="AB186" t="s">
        <v>3979</v>
      </c>
      <c r="AC186" t="s">
        <v>74</v>
      </c>
      <c r="AD186" t="s">
        <v>74</v>
      </c>
      <c r="AE186" t="s">
        <v>74</v>
      </c>
      <c r="AF186" t="s">
        <v>74</v>
      </c>
      <c r="AG186">
        <v>48</v>
      </c>
      <c r="AH186">
        <v>4</v>
      </c>
      <c r="AI186">
        <v>5</v>
      </c>
      <c r="AJ186">
        <v>0</v>
      </c>
      <c r="AK186">
        <v>67</v>
      </c>
      <c r="AL186" t="s">
        <v>3980</v>
      </c>
      <c r="AM186" t="s">
        <v>552</v>
      </c>
      <c r="AN186" t="s">
        <v>3981</v>
      </c>
      <c r="AO186" t="s">
        <v>3982</v>
      </c>
      <c r="AP186" t="s">
        <v>3983</v>
      </c>
      <c r="AQ186" t="s">
        <v>74</v>
      </c>
      <c r="AR186" t="s">
        <v>3984</v>
      </c>
      <c r="AS186" t="s">
        <v>3984</v>
      </c>
      <c r="AT186" t="s">
        <v>289</v>
      </c>
      <c r="AU186">
        <v>2018</v>
      </c>
      <c r="AV186">
        <v>93</v>
      </c>
      <c r="AW186" t="s">
        <v>74</v>
      </c>
      <c r="AX186" t="s">
        <v>74</v>
      </c>
      <c r="AY186" t="s">
        <v>74</v>
      </c>
      <c r="AZ186" t="s">
        <v>74</v>
      </c>
      <c r="BA186" t="s">
        <v>74</v>
      </c>
      <c r="BB186">
        <v>241</v>
      </c>
      <c r="BC186">
        <v>264</v>
      </c>
      <c r="BD186" t="s">
        <v>74</v>
      </c>
      <c r="BE186" t="s">
        <v>3985</v>
      </c>
      <c r="BF186" t="str">
        <f>HYPERLINK("http://dx.doi.org/10.7203/CIRIEC-E.93.11012","http://dx.doi.org/10.7203/CIRIEC-E.93.11012")</f>
        <v>http://dx.doi.org/10.7203/CIRIEC-E.93.11012</v>
      </c>
      <c r="BG186" t="s">
        <v>74</v>
      </c>
      <c r="BH186" t="s">
        <v>74</v>
      </c>
      <c r="BI186">
        <v>24</v>
      </c>
      <c r="BJ186" t="s">
        <v>291</v>
      </c>
      <c r="BK186" t="s">
        <v>313</v>
      </c>
      <c r="BL186" t="s">
        <v>100</v>
      </c>
      <c r="BM186" t="s">
        <v>3986</v>
      </c>
      <c r="BN186" t="s">
        <v>74</v>
      </c>
      <c r="BO186" t="s">
        <v>916</v>
      </c>
      <c r="BP186" t="s">
        <v>74</v>
      </c>
      <c r="BQ186" t="s">
        <v>74</v>
      </c>
      <c r="BR186" t="s">
        <v>102</v>
      </c>
      <c r="BS186" t="s">
        <v>3987</v>
      </c>
      <c r="BT186" t="str">
        <f>HYPERLINK("https%3A%2F%2Fwww.webofscience.com%2Fwos%2Fwoscc%2Ffull-record%2FWOS:000444482100008","View Full Record in Web of Science")</f>
        <v>View Full Record in Web of Science</v>
      </c>
    </row>
    <row r="187" spans="1:72" x14ac:dyDescent="0.25">
      <c r="A187" t="s">
        <v>132</v>
      </c>
      <c r="B187" t="s">
        <v>3988</v>
      </c>
      <c r="C187" t="s">
        <v>74</v>
      </c>
      <c r="D187" t="s">
        <v>3989</v>
      </c>
      <c r="E187" t="s">
        <v>74</v>
      </c>
      <c r="F187" t="s">
        <v>3990</v>
      </c>
      <c r="G187" t="s">
        <v>74</v>
      </c>
      <c r="H187" t="s">
        <v>74</v>
      </c>
      <c r="I187" t="s">
        <v>3991</v>
      </c>
      <c r="J187" t="s">
        <v>3992</v>
      </c>
      <c r="K187" t="s">
        <v>2093</v>
      </c>
      <c r="L187" t="s">
        <v>74</v>
      </c>
      <c r="M187" t="s">
        <v>78</v>
      </c>
      <c r="N187" t="s">
        <v>138</v>
      </c>
      <c r="O187" t="s">
        <v>3993</v>
      </c>
      <c r="P187" t="s">
        <v>3994</v>
      </c>
      <c r="Q187" t="s">
        <v>3995</v>
      </c>
      <c r="R187" t="s">
        <v>74</v>
      </c>
      <c r="S187" t="s">
        <v>74</v>
      </c>
      <c r="T187" t="s">
        <v>3996</v>
      </c>
      <c r="U187" t="s">
        <v>74</v>
      </c>
      <c r="V187" t="s">
        <v>3997</v>
      </c>
      <c r="W187" t="s">
        <v>3998</v>
      </c>
      <c r="X187" t="s">
        <v>3999</v>
      </c>
      <c r="Y187" t="s">
        <v>4000</v>
      </c>
      <c r="Z187" t="s">
        <v>4001</v>
      </c>
      <c r="AA187" t="s">
        <v>4002</v>
      </c>
      <c r="AB187" t="s">
        <v>74</v>
      </c>
      <c r="AC187" t="s">
        <v>74</v>
      </c>
      <c r="AD187" t="s">
        <v>74</v>
      </c>
      <c r="AE187" t="s">
        <v>74</v>
      </c>
      <c r="AF187" t="s">
        <v>74</v>
      </c>
      <c r="AG187">
        <v>17</v>
      </c>
      <c r="AH187">
        <v>0</v>
      </c>
      <c r="AI187">
        <v>0</v>
      </c>
      <c r="AJ187">
        <v>0</v>
      </c>
      <c r="AK187">
        <v>0</v>
      </c>
      <c r="AL187" t="s">
        <v>1062</v>
      </c>
      <c r="AM187" t="s">
        <v>667</v>
      </c>
      <c r="AN187" t="s">
        <v>668</v>
      </c>
      <c r="AO187" t="s">
        <v>2107</v>
      </c>
      <c r="AP187" t="s">
        <v>4003</v>
      </c>
      <c r="AQ187" t="s">
        <v>4004</v>
      </c>
      <c r="AR187" t="s">
        <v>4005</v>
      </c>
      <c r="AS187" t="s">
        <v>74</v>
      </c>
      <c r="AT187" t="s">
        <v>74</v>
      </c>
      <c r="AU187">
        <v>2019</v>
      </c>
      <c r="AV187">
        <v>931</v>
      </c>
      <c r="AW187" t="s">
        <v>74</v>
      </c>
      <c r="AX187" t="s">
        <v>74</v>
      </c>
      <c r="AY187" t="s">
        <v>74</v>
      </c>
      <c r="AZ187" t="s">
        <v>74</v>
      </c>
      <c r="BA187" t="s">
        <v>74</v>
      </c>
      <c r="BB187">
        <v>641</v>
      </c>
      <c r="BC187">
        <v>653</v>
      </c>
      <c r="BD187" t="s">
        <v>74</v>
      </c>
      <c r="BE187" t="s">
        <v>4006</v>
      </c>
      <c r="BF187" t="str">
        <f>HYPERLINK("http://dx.doi.org/10.1007/978-3-030-16184-2_61","http://dx.doi.org/10.1007/978-3-030-16184-2_61")</f>
        <v>http://dx.doi.org/10.1007/978-3-030-16184-2_61</v>
      </c>
      <c r="BG187" t="s">
        <v>74</v>
      </c>
      <c r="BH187" t="s">
        <v>74</v>
      </c>
      <c r="BI187">
        <v>13</v>
      </c>
      <c r="BJ187" t="s">
        <v>1223</v>
      </c>
      <c r="BK187" t="s">
        <v>156</v>
      </c>
      <c r="BL187" t="s">
        <v>157</v>
      </c>
      <c r="BM187" t="s">
        <v>4007</v>
      </c>
      <c r="BN187" t="s">
        <v>74</v>
      </c>
      <c r="BO187" t="s">
        <v>74</v>
      </c>
      <c r="BP187" t="s">
        <v>74</v>
      </c>
      <c r="BQ187" t="s">
        <v>74</v>
      </c>
      <c r="BR187" t="s">
        <v>102</v>
      </c>
      <c r="BS187" t="s">
        <v>4008</v>
      </c>
      <c r="BT187" t="str">
        <f>HYPERLINK("https%3A%2F%2Fwww.webofscience.com%2Fwos%2Fwoscc%2Ffull-record%2FWOS:001299706100061","View Full Record in Web of Science")</f>
        <v>View Full Record in Web of Science</v>
      </c>
    </row>
    <row r="188" spans="1:72" x14ac:dyDescent="0.25">
      <c r="A188" t="s">
        <v>72</v>
      </c>
      <c r="B188" t="s">
        <v>4009</v>
      </c>
      <c r="C188" t="s">
        <v>74</v>
      </c>
      <c r="D188" t="s">
        <v>74</v>
      </c>
      <c r="E188" t="s">
        <v>74</v>
      </c>
      <c r="F188" t="s">
        <v>4010</v>
      </c>
      <c r="G188" t="s">
        <v>74</v>
      </c>
      <c r="H188" t="s">
        <v>74</v>
      </c>
      <c r="I188" t="s">
        <v>4011</v>
      </c>
      <c r="J188" t="s">
        <v>4012</v>
      </c>
      <c r="K188" t="s">
        <v>74</v>
      </c>
      <c r="L188" t="s">
        <v>74</v>
      </c>
      <c r="M188" t="s">
        <v>78</v>
      </c>
      <c r="N188" t="s">
        <v>79</v>
      </c>
      <c r="O188" t="s">
        <v>74</v>
      </c>
      <c r="P188" t="s">
        <v>74</v>
      </c>
      <c r="Q188" t="s">
        <v>74</v>
      </c>
      <c r="R188" t="s">
        <v>74</v>
      </c>
      <c r="S188" t="s">
        <v>74</v>
      </c>
      <c r="T188" t="s">
        <v>4013</v>
      </c>
      <c r="U188" t="s">
        <v>4014</v>
      </c>
      <c r="V188" t="s">
        <v>4015</v>
      </c>
      <c r="W188" t="s">
        <v>4016</v>
      </c>
      <c r="X188" t="s">
        <v>4017</v>
      </c>
      <c r="Y188" t="s">
        <v>4018</v>
      </c>
      <c r="Z188" t="s">
        <v>4019</v>
      </c>
      <c r="AA188" t="s">
        <v>4020</v>
      </c>
      <c r="AB188" t="s">
        <v>4021</v>
      </c>
      <c r="AC188" t="s">
        <v>4022</v>
      </c>
      <c r="AD188" t="s">
        <v>4022</v>
      </c>
      <c r="AE188" t="s">
        <v>4023</v>
      </c>
      <c r="AF188" t="s">
        <v>74</v>
      </c>
      <c r="AG188">
        <v>51</v>
      </c>
      <c r="AH188">
        <v>9</v>
      </c>
      <c r="AI188">
        <v>15</v>
      </c>
      <c r="AJ188">
        <v>2</v>
      </c>
      <c r="AK188">
        <v>39</v>
      </c>
      <c r="AL188" t="s">
        <v>4024</v>
      </c>
      <c r="AM188" t="s">
        <v>995</v>
      </c>
      <c r="AN188" t="s">
        <v>4025</v>
      </c>
      <c r="AO188" t="s">
        <v>74</v>
      </c>
      <c r="AP188" t="s">
        <v>4026</v>
      </c>
      <c r="AQ188" t="s">
        <v>74</v>
      </c>
      <c r="AR188" t="s">
        <v>4027</v>
      </c>
      <c r="AS188" t="s">
        <v>4028</v>
      </c>
      <c r="AT188" t="s">
        <v>4029</v>
      </c>
      <c r="AU188">
        <v>2019</v>
      </c>
      <c r="AV188">
        <v>11</v>
      </c>
      <c r="AW188" t="s">
        <v>74</v>
      </c>
      <c r="AX188" t="s">
        <v>74</v>
      </c>
      <c r="AY188" t="s">
        <v>74</v>
      </c>
      <c r="AZ188" t="s">
        <v>74</v>
      </c>
      <c r="BA188" t="s">
        <v>74</v>
      </c>
      <c r="BB188" t="s">
        <v>74</v>
      </c>
      <c r="BC188" t="s">
        <v>74</v>
      </c>
      <c r="BD188">
        <v>2</v>
      </c>
      <c r="BE188" t="s">
        <v>4030</v>
      </c>
      <c r="BF188" t="str">
        <f>HYPERLINK("http://dx.doi.org/10.1186/s40461-019-0077-z","http://dx.doi.org/10.1186/s40461-019-0077-z")</f>
        <v>http://dx.doi.org/10.1186/s40461-019-0077-z</v>
      </c>
      <c r="BG188" t="s">
        <v>74</v>
      </c>
      <c r="BH188" t="s">
        <v>74</v>
      </c>
      <c r="BI188">
        <v>21</v>
      </c>
      <c r="BJ188" t="s">
        <v>4031</v>
      </c>
      <c r="BK188" t="s">
        <v>313</v>
      </c>
      <c r="BL188" t="s">
        <v>4031</v>
      </c>
      <c r="BM188" t="s">
        <v>4032</v>
      </c>
      <c r="BN188" t="s">
        <v>74</v>
      </c>
      <c r="BO188" t="s">
        <v>916</v>
      </c>
      <c r="BP188" t="s">
        <v>74</v>
      </c>
      <c r="BQ188" t="s">
        <v>74</v>
      </c>
      <c r="BR188" t="s">
        <v>102</v>
      </c>
      <c r="BS188" t="s">
        <v>4033</v>
      </c>
      <c r="BT188" t="str">
        <f>HYPERLINK("https%3A%2F%2Fwww.webofscience.com%2Fwos%2Fwoscc%2Ffull-record%2FWOS:000467790400002","View Full Record in Web of Science")</f>
        <v>View Full Record in Web of Science</v>
      </c>
    </row>
    <row r="189" spans="1:72" x14ac:dyDescent="0.25">
      <c r="A189" t="s">
        <v>72</v>
      </c>
      <c r="B189" t="s">
        <v>4034</v>
      </c>
      <c r="C189" t="s">
        <v>74</v>
      </c>
      <c r="D189" t="s">
        <v>74</v>
      </c>
      <c r="E189" t="s">
        <v>74</v>
      </c>
      <c r="F189" t="s">
        <v>4035</v>
      </c>
      <c r="G189" t="s">
        <v>74</v>
      </c>
      <c r="H189" t="s">
        <v>74</v>
      </c>
      <c r="I189" t="s">
        <v>4036</v>
      </c>
      <c r="J189" t="s">
        <v>900</v>
      </c>
      <c r="K189" t="s">
        <v>74</v>
      </c>
      <c r="L189" t="s">
        <v>74</v>
      </c>
      <c r="M189" t="s">
        <v>78</v>
      </c>
      <c r="N189" t="s">
        <v>79</v>
      </c>
      <c r="O189" t="s">
        <v>74</v>
      </c>
      <c r="P189" t="s">
        <v>74</v>
      </c>
      <c r="Q189" t="s">
        <v>74</v>
      </c>
      <c r="R189" t="s">
        <v>74</v>
      </c>
      <c r="S189" t="s">
        <v>74</v>
      </c>
      <c r="T189" t="s">
        <v>4037</v>
      </c>
      <c r="U189" t="s">
        <v>4038</v>
      </c>
      <c r="V189" t="s">
        <v>4039</v>
      </c>
      <c r="W189" t="s">
        <v>4040</v>
      </c>
      <c r="X189" t="s">
        <v>74</v>
      </c>
      <c r="Y189" t="s">
        <v>4041</v>
      </c>
      <c r="Z189" t="s">
        <v>4042</v>
      </c>
      <c r="AA189" t="s">
        <v>4043</v>
      </c>
      <c r="AB189" t="s">
        <v>4044</v>
      </c>
      <c r="AC189" t="s">
        <v>74</v>
      </c>
      <c r="AD189" t="s">
        <v>74</v>
      </c>
      <c r="AE189" t="s">
        <v>74</v>
      </c>
      <c r="AF189" t="s">
        <v>74</v>
      </c>
      <c r="AG189">
        <v>70</v>
      </c>
      <c r="AH189">
        <v>5</v>
      </c>
      <c r="AI189">
        <v>8</v>
      </c>
      <c r="AJ189">
        <v>1</v>
      </c>
      <c r="AK189">
        <v>1</v>
      </c>
      <c r="AL189" t="s">
        <v>575</v>
      </c>
      <c r="AM189" t="s">
        <v>576</v>
      </c>
      <c r="AN189" t="s">
        <v>577</v>
      </c>
      <c r="AO189" t="s">
        <v>74</v>
      </c>
      <c r="AP189" t="s">
        <v>4045</v>
      </c>
      <c r="AQ189" t="s">
        <v>74</v>
      </c>
      <c r="AR189" t="s">
        <v>4046</v>
      </c>
      <c r="AS189" t="s">
        <v>4047</v>
      </c>
      <c r="AT189" t="s">
        <v>339</v>
      </c>
      <c r="AU189">
        <v>2023</v>
      </c>
      <c r="AV189">
        <v>2</v>
      </c>
      <c r="AW189">
        <v>4</v>
      </c>
      <c r="AX189" t="s">
        <v>74</v>
      </c>
      <c r="AY189" t="s">
        <v>74</v>
      </c>
      <c r="AZ189" t="s">
        <v>74</v>
      </c>
      <c r="BA189" t="s">
        <v>74</v>
      </c>
      <c r="BB189">
        <v>680</v>
      </c>
      <c r="BC189">
        <v>697</v>
      </c>
      <c r="BD189" t="s">
        <v>74</v>
      </c>
      <c r="BE189" t="s">
        <v>4048</v>
      </c>
      <c r="BF189" t="str">
        <f>HYPERLINK("http://dx.doi.org/10.3390/fintech2040038","http://dx.doi.org/10.3390/fintech2040038")</f>
        <v>http://dx.doi.org/10.3390/fintech2040038</v>
      </c>
      <c r="BG189" t="s">
        <v>74</v>
      </c>
      <c r="BH189" t="s">
        <v>74</v>
      </c>
      <c r="BI189">
        <v>18</v>
      </c>
      <c r="BJ189" t="s">
        <v>4049</v>
      </c>
      <c r="BK189" t="s">
        <v>313</v>
      </c>
      <c r="BL189" t="s">
        <v>1070</v>
      </c>
      <c r="BM189" t="s">
        <v>4050</v>
      </c>
      <c r="BN189" t="s">
        <v>74</v>
      </c>
      <c r="BO189" t="s">
        <v>916</v>
      </c>
      <c r="BP189" t="s">
        <v>74</v>
      </c>
      <c r="BQ189" t="s">
        <v>74</v>
      </c>
      <c r="BR189" t="s">
        <v>102</v>
      </c>
      <c r="BS189" t="s">
        <v>4051</v>
      </c>
      <c r="BT189" t="str">
        <f>HYPERLINK("https%3A%2F%2Fwww.webofscience.com%2Fwos%2Fwoscc%2Ffull-record%2FWOS:001572616700001","View Full Record in Web of Science")</f>
        <v>View Full Record in Web of Science</v>
      </c>
    </row>
    <row r="190" spans="1:72" x14ac:dyDescent="0.25">
      <c r="A190" t="s">
        <v>72</v>
      </c>
      <c r="B190" t="s">
        <v>4052</v>
      </c>
      <c r="C190" t="s">
        <v>74</v>
      </c>
      <c r="D190" t="s">
        <v>74</v>
      </c>
      <c r="E190" t="s">
        <v>74</v>
      </c>
      <c r="F190" t="s">
        <v>4053</v>
      </c>
      <c r="G190" t="s">
        <v>74</v>
      </c>
      <c r="H190" t="s">
        <v>74</v>
      </c>
      <c r="I190" t="s">
        <v>4054</v>
      </c>
      <c r="J190" t="s">
        <v>4055</v>
      </c>
      <c r="K190" t="s">
        <v>74</v>
      </c>
      <c r="L190" t="s">
        <v>74</v>
      </c>
      <c r="M190" t="s">
        <v>78</v>
      </c>
      <c r="N190" t="s">
        <v>79</v>
      </c>
      <c r="O190" t="s">
        <v>74</v>
      </c>
      <c r="P190" t="s">
        <v>74</v>
      </c>
      <c r="Q190" t="s">
        <v>74</v>
      </c>
      <c r="R190" t="s">
        <v>74</v>
      </c>
      <c r="S190" t="s">
        <v>74</v>
      </c>
      <c r="T190" t="s">
        <v>4056</v>
      </c>
      <c r="U190" t="s">
        <v>4057</v>
      </c>
      <c r="V190" t="s">
        <v>4058</v>
      </c>
      <c r="W190" t="s">
        <v>4059</v>
      </c>
      <c r="X190" t="s">
        <v>4060</v>
      </c>
      <c r="Y190" t="s">
        <v>4061</v>
      </c>
      <c r="Z190" t="s">
        <v>4062</v>
      </c>
      <c r="AA190" t="s">
        <v>4063</v>
      </c>
      <c r="AB190" t="s">
        <v>74</v>
      </c>
      <c r="AC190" t="s">
        <v>74</v>
      </c>
      <c r="AD190" t="s">
        <v>74</v>
      </c>
      <c r="AE190" t="s">
        <v>74</v>
      </c>
      <c r="AF190" t="s">
        <v>74</v>
      </c>
      <c r="AG190">
        <v>53</v>
      </c>
      <c r="AH190">
        <v>13</v>
      </c>
      <c r="AI190">
        <v>17</v>
      </c>
      <c r="AJ190">
        <v>2</v>
      </c>
      <c r="AK190">
        <v>8</v>
      </c>
      <c r="AL190" t="s">
        <v>2907</v>
      </c>
      <c r="AM190" t="s">
        <v>2908</v>
      </c>
      <c r="AN190" t="s">
        <v>2909</v>
      </c>
      <c r="AO190" t="s">
        <v>4064</v>
      </c>
      <c r="AP190" t="s">
        <v>4065</v>
      </c>
      <c r="AQ190" t="s">
        <v>74</v>
      </c>
      <c r="AR190" t="s">
        <v>4066</v>
      </c>
      <c r="AS190" t="s">
        <v>4067</v>
      </c>
      <c r="AT190" t="s">
        <v>605</v>
      </c>
      <c r="AU190">
        <v>2023</v>
      </c>
      <c r="AV190">
        <v>28</v>
      </c>
      <c r="AW190">
        <v>1</v>
      </c>
      <c r="AX190" t="s">
        <v>74</v>
      </c>
      <c r="AY190" t="s">
        <v>74</v>
      </c>
      <c r="AZ190" t="s">
        <v>74</v>
      </c>
      <c r="BA190" t="s">
        <v>74</v>
      </c>
      <c r="BB190">
        <v>117</v>
      </c>
      <c r="BC190">
        <v>127</v>
      </c>
      <c r="BD190" t="s">
        <v>74</v>
      </c>
      <c r="BE190" t="s">
        <v>4068</v>
      </c>
      <c r="BF190" t="str">
        <f>HYPERLINK("http://dx.doi.org/10.1057/s41264-022-00144-1","http://dx.doi.org/10.1057/s41264-022-00144-1")</f>
        <v>http://dx.doi.org/10.1057/s41264-022-00144-1</v>
      </c>
      <c r="BG190" t="s">
        <v>74</v>
      </c>
      <c r="BH190" t="s">
        <v>674</v>
      </c>
      <c r="BI190">
        <v>11</v>
      </c>
      <c r="BJ190" t="s">
        <v>418</v>
      </c>
      <c r="BK190" t="s">
        <v>313</v>
      </c>
      <c r="BL190" t="s">
        <v>100</v>
      </c>
      <c r="BM190" t="s">
        <v>4069</v>
      </c>
      <c r="BN190" t="s">
        <v>74</v>
      </c>
      <c r="BO190" t="s">
        <v>74</v>
      </c>
      <c r="BP190" t="s">
        <v>74</v>
      </c>
      <c r="BQ190" t="s">
        <v>74</v>
      </c>
      <c r="BR190" t="s">
        <v>102</v>
      </c>
      <c r="BS190" t="s">
        <v>4070</v>
      </c>
      <c r="BT190" t="str">
        <f>HYPERLINK("https%3A%2F%2Fwww.webofscience.com%2Fwos%2Fwoscc%2Ffull-record%2FWOS:000761737600001","View Full Record in Web of Science")</f>
        <v>View Full Record in Web of Science</v>
      </c>
    </row>
    <row r="191" spans="1:72" x14ac:dyDescent="0.25">
      <c r="A191" t="s">
        <v>72</v>
      </c>
      <c r="B191" t="s">
        <v>4071</v>
      </c>
      <c r="C191" t="s">
        <v>74</v>
      </c>
      <c r="D191" t="s">
        <v>74</v>
      </c>
      <c r="E191" t="s">
        <v>74</v>
      </c>
      <c r="F191" t="s">
        <v>4072</v>
      </c>
      <c r="G191" t="s">
        <v>74</v>
      </c>
      <c r="H191" t="s">
        <v>74</v>
      </c>
      <c r="I191" t="s">
        <v>4073</v>
      </c>
      <c r="J191" t="s">
        <v>4074</v>
      </c>
      <c r="K191" t="s">
        <v>74</v>
      </c>
      <c r="L191" t="s">
        <v>74</v>
      </c>
      <c r="M191" t="s">
        <v>78</v>
      </c>
      <c r="N191" t="s">
        <v>79</v>
      </c>
      <c r="O191" t="s">
        <v>74</v>
      </c>
      <c r="P191" t="s">
        <v>74</v>
      </c>
      <c r="Q191" t="s">
        <v>74</v>
      </c>
      <c r="R191" t="s">
        <v>74</v>
      </c>
      <c r="S191" t="s">
        <v>74</v>
      </c>
      <c r="T191" t="s">
        <v>4075</v>
      </c>
      <c r="U191" t="s">
        <v>4076</v>
      </c>
      <c r="V191" t="s">
        <v>4077</v>
      </c>
      <c r="W191" t="s">
        <v>4078</v>
      </c>
      <c r="X191" t="s">
        <v>74</v>
      </c>
      <c r="Y191" t="s">
        <v>4079</v>
      </c>
      <c r="Z191" t="s">
        <v>4080</v>
      </c>
      <c r="AA191" t="s">
        <v>4081</v>
      </c>
      <c r="AB191" t="s">
        <v>4082</v>
      </c>
      <c r="AC191" t="s">
        <v>74</v>
      </c>
      <c r="AD191" t="s">
        <v>74</v>
      </c>
      <c r="AE191" t="s">
        <v>74</v>
      </c>
      <c r="AF191" t="s">
        <v>74</v>
      </c>
      <c r="AG191">
        <v>68</v>
      </c>
      <c r="AH191">
        <v>10</v>
      </c>
      <c r="AI191">
        <v>18</v>
      </c>
      <c r="AJ191">
        <v>0</v>
      </c>
      <c r="AK191">
        <v>18</v>
      </c>
      <c r="AL191" t="s">
        <v>4083</v>
      </c>
      <c r="AM191" t="s">
        <v>4084</v>
      </c>
      <c r="AN191" t="s">
        <v>4085</v>
      </c>
      <c r="AO191" t="s">
        <v>4086</v>
      </c>
      <c r="AP191" t="s">
        <v>4087</v>
      </c>
      <c r="AQ191" t="s">
        <v>74</v>
      </c>
      <c r="AR191" t="s">
        <v>4088</v>
      </c>
      <c r="AS191" t="s">
        <v>4089</v>
      </c>
      <c r="AT191" t="s">
        <v>605</v>
      </c>
      <c r="AU191">
        <v>2023</v>
      </c>
      <c r="AV191">
        <v>7</v>
      </c>
      <c r="AW191">
        <v>1</v>
      </c>
      <c r="AX191" t="s">
        <v>74</v>
      </c>
      <c r="AY191" t="s">
        <v>74</v>
      </c>
      <c r="AZ191" t="s">
        <v>74</v>
      </c>
      <c r="BA191" t="s">
        <v>74</v>
      </c>
      <c r="BB191">
        <v>1</v>
      </c>
      <c r="BC191">
        <v>17</v>
      </c>
      <c r="BD191" t="s">
        <v>74</v>
      </c>
      <c r="BE191" t="s">
        <v>4090</v>
      </c>
      <c r="BF191" t="str">
        <f>HYPERLINK("http://dx.doi.org/10.1016/j.ijis.2022.09.004","http://dx.doi.org/10.1016/j.ijis.2022.09.004")</f>
        <v>http://dx.doi.org/10.1016/j.ijis.2022.09.004</v>
      </c>
      <c r="BG191" t="s">
        <v>74</v>
      </c>
      <c r="BH191" t="s">
        <v>74</v>
      </c>
      <c r="BI191">
        <v>17</v>
      </c>
      <c r="BJ191" t="s">
        <v>583</v>
      </c>
      <c r="BK191" t="s">
        <v>313</v>
      </c>
      <c r="BL191" t="s">
        <v>100</v>
      </c>
      <c r="BM191" t="s">
        <v>4091</v>
      </c>
      <c r="BN191" t="s">
        <v>74</v>
      </c>
      <c r="BO191" t="s">
        <v>916</v>
      </c>
      <c r="BP191" t="s">
        <v>74</v>
      </c>
      <c r="BQ191" t="s">
        <v>74</v>
      </c>
      <c r="BR191" t="s">
        <v>102</v>
      </c>
      <c r="BS191" t="s">
        <v>4092</v>
      </c>
      <c r="BT191" t="str">
        <f>HYPERLINK("https%3A%2F%2Fwww.webofscience.com%2Fwos%2Fwoscc%2Ffull-record%2FWOS:001089768900001","View Full Record in Web of Science")</f>
        <v>View Full Record in Web of Science</v>
      </c>
    </row>
    <row r="192" spans="1:72" x14ac:dyDescent="0.25">
      <c r="A192" t="s">
        <v>132</v>
      </c>
      <c r="B192" t="s">
        <v>4093</v>
      </c>
      <c r="C192" t="s">
        <v>74</v>
      </c>
      <c r="D192" t="s">
        <v>4094</v>
      </c>
      <c r="E192" t="s">
        <v>74</v>
      </c>
      <c r="F192" t="s">
        <v>4095</v>
      </c>
      <c r="G192" t="s">
        <v>74</v>
      </c>
      <c r="H192" t="s">
        <v>74</v>
      </c>
      <c r="I192" t="s">
        <v>4096</v>
      </c>
      <c r="J192" t="s">
        <v>4097</v>
      </c>
      <c r="K192" t="s">
        <v>4098</v>
      </c>
      <c r="L192" t="s">
        <v>74</v>
      </c>
      <c r="M192" t="s">
        <v>78</v>
      </c>
      <c r="N192" t="s">
        <v>138</v>
      </c>
      <c r="O192" t="s">
        <v>4099</v>
      </c>
      <c r="P192" t="s">
        <v>4100</v>
      </c>
      <c r="Q192" t="s">
        <v>4101</v>
      </c>
      <c r="R192" t="s">
        <v>4102</v>
      </c>
      <c r="S192" t="s">
        <v>74</v>
      </c>
      <c r="T192" t="s">
        <v>4103</v>
      </c>
      <c r="U192" t="s">
        <v>74</v>
      </c>
      <c r="V192" t="s">
        <v>4104</v>
      </c>
      <c r="W192" t="s">
        <v>4105</v>
      </c>
      <c r="X192" t="s">
        <v>74</v>
      </c>
      <c r="Y192" t="s">
        <v>4106</v>
      </c>
      <c r="Z192" t="s">
        <v>4107</v>
      </c>
      <c r="AA192" t="s">
        <v>4108</v>
      </c>
      <c r="AB192" t="s">
        <v>4109</v>
      </c>
      <c r="AC192" t="s">
        <v>74</v>
      </c>
      <c r="AD192" t="s">
        <v>74</v>
      </c>
      <c r="AE192" t="s">
        <v>74</v>
      </c>
      <c r="AF192" t="s">
        <v>74</v>
      </c>
      <c r="AG192">
        <v>6</v>
      </c>
      <c r="AH192">
        <v>0</v>
      </c>
      <c r="AI192">
        <v>0</v>
      </c>
      <c r="AJ192">
        <v>2</v>
      </c>
      <c r="AK192">
        <v>2</v>
      </c>
      <c r="AL192" t="s">
        <v>2105</v>
      </c>
      <c r="AM192" t="s">
        <v>1890</v>
      </c>
      <c r="AN192" t="s">
        <v>4110</v>
      </c>
      <c r="AO192" t="s">
        <v>4111</v>
      </c>
      <c r="AP192" t="s">
        <v>4112</v>
      </c>
      <c r="AQ192" t="s">
        <v>4113</v>
      </c>
      <c r="AR192" t="s">
        <v>4114</v>
      </c>
      <c r="AS192" t="s">
        <v>74</v>
      </c>
      <c r="AT192" t="s">
        <v>74</v>
      </c>
      <c r="AU192">
        <v>2025</v>
      </c>
      <c r="AV192" t="s">
        <v>74</v>
      </c>
      <c r="AW192" t="s">
        <v>74</v>
      </c>
      <c r="AX192" t="s">
        <v>74</v>
      </c>
      <c r="AY192" t="s">
        <v>74</v>
      </c>
      <c r="AZ192" t="s">
        <v>74</v>
      </c>
      <c r="BA192" t="s">
        <v>74</v>
      </c>
      <c r="BB192">
        <v>357</v>
      </c>
      <c r="BC192">
        <v>369</v>
      </c>
      <c r="BD192" t="s">
        <v>74</v>
      </c>
      <c r="BE192" t="s">
        <v>4115</v>
      </c>
      <c r="BF192" t="str">
        <f>HYPERLINK("http://dx.doi.org/10.1007/978-981-97-7150-9_30","http://dx.doi.org/10.1007/978-981-97-7150-9_30")</f>
        <v>http://dx.doi.org/10.1007/978-981-97-7150-9_30</v>
      </c>
      <c r="BG192" t="s">
        <v>74</v>
      </c>
      <c r="BH192" t="s">
        <v>74</v>
      </c>
      <c r="BI192">
        <v>13</v>
      </c>
      <c r="BJ192" t="s">
        <v>4116</v>
      </c>
      <c r="BK192" t="s">
        <v>156</v>
      </c>
      <c r="BL192" t="s">
        <v>2581</v>
      </c>
      <c r="BM192" t="s">
        <v>4117</v>
      </c>
      <c r="BN192" t="s">
        <v>74</v>
      </c>
      <c r="BO192" t="s">
        <v>74</v>
      </c>
      <c r="BP192" t="s">
        <v>74</v>
      </c>
      <c r="BQ192" t="s">
        <v>74</v>
      </c>
      <c r="BR192" t="s">
        <v>102</v>
      </c>
      <c r="BS192" t="s">
        <v>4118</v>
      </c>
      <c r="BT192" t="str">
        <f>HYPERLINK("https%3A%2F%2Fwww.webofscience.com%2Fwos%2Fwoscc%2Ffull-record%2FWOS:001460132700030","View Full Record in Web of Science")</f>
        <v>View Full Record in Web of Science</v>
      </c>
    </row>
    <row r="193" spans="1:72" x14ac:dyDescent="0.25">
      <c r="A193" t="s">
        <v>132</v>
      </c>
      <c r="B193" t="s">
        <v>4119</v>
      </c>
      <c r="C193" t="s">
        <v>74</v>
      </c>
      <c r="D193" t="s">
        <v>74</v>
      </c>
      <c r="E193" t="s">
        <v>771</v>
      </c>
      <c r="F193" t="s">
        <v>4120</v>
      </c>
      <c r="G193" t="s">
        <v>74</v>
      </c>
      <c r="H193" t="s">
        <v>74</v>
      </c>
      <c r="I193" t="s">
        <v>4121</v>
      </c>
      <c r="J193" t="s">
        <v>4122</v>
      </c>
      <c r="K193" t="s">
        <v>74</v>
      </c>
      <c r="L193" t="s">
        <v>74</v>
      </c>
      <c r="M193" t="s">
        <v>78</v>
      </c>
      <c r="N193" t="s">
        <v>138</v>
      </c>
      <c r="O193" t="s">
        <v>4123</v>
      </c>
      <c r="P193" t="s">
        <v>4124</v>
      </c>
      <c r="Q193" t="s">
        <v>1550</v>
      </c>
      <c r="R193" t="s">
        <v>4125</v>
      </c>
      <c r="S193" t="s">
        <v>74</v>
      </c>
      <c r="T193" t="s">
        <v>4126</v>
      </c>
      <c r="U193" t="s">
        <v>74</v>
      </c>
      <c r="V193" t="s">
        <v>4127</v>
      </c>
      <c r="W193" t="s">
        <v>4128</v>
      </c>
      <c r="X193" t="s">
        <v>4129</v>
      </c>
      <c r="Y193" t="s">
        <v>4130</v>
      </c>
      <c r="Z193" t="s">
        <v>4131</v>
      </c>
      <c r="AA193" t="s">
        <v>4132</v>
      </c>
      <c r="AB193" t="s">
        <v>74</v>
      </c>
      <c r="AC193" t="s">
        <v>74</v>
      </c>
      <c r="AD193" t="s">
        <v>74</v>
      </c>
      <c r="AE193" t="s">
        <v>74</v>
      </c>
      <c r="AF193" t="s">
        <v>74</v>
      </c>
      <c r="AG193">
        <v>22</v>
      </c>
      <c r="AH193">
        <v>6</v>
      </c>
      <c r="AI193">
        <v>10</v>
      </c>
      <c r="AJ193">
        <v>1</v>
      </c>
      <c r="AK193">
        <v>24</v>
      </c>
      <c r="AL193" t="s">
        <v>771</v>
      </c>
      <c r="AM193" t="s">
        <v>151</v>
      </c>
      <c r="AN193" t="s">
        <v>785</v>
      </c>
      <c r="AO193" t="s">
        <v>74</v>
      </c>
      <c r="AP193" t="s">
        <v>74</v>
      </c>
      <c r="AQ193" t="s">
        <v>4133</v>
      </c>
      <c r="AR193" t="s">
        <v>74</v>
      </c>
      <c r="AS193" t="s">
        <v>74</v>
      </c>
      <c r="AT193" t="s">
        <v>74</v>
      </c>
      <c r="AU193">
        <v>2021</v>
      </c>
      <c r="AV193" t="s">
        <v>74</v>
      </c>
      <c r="AW193" t="s">
        <v>74</v>
      </c>
      <c r="AX193" t="s">
        <v>74</v>
      </c>
      <c r="AY193" t="s">
        <v>74</v>
      </c>
      <c r="AZ193" t="s">
        <v>74</v>
      </c>
      <c r="BA193" t="s">
        <v>74</v>
      </c>
      <c r="BB193" t="s">
        <v>74</v>
      </c>
      <c r="BC193" t="s">
        <v>74</v>
      </c>
      <c r="BD193" t="s">
        <v>74</v>
      </c>
      <c r="BE193" t="s">
        <v>4134</v>
      </c>
      <c r="BF193" t="str">
        <f>HYPERLINK("http://dx.doi.org/10.1109/SSCI50451.2021.9659862","http://dx.doi.org/10.1109/SSCI50451.2021.9659862")</f>
        <v>http://dx.doi.org/10.1109/SSCI50451.2021.9659862</v>
      </c>
      <c r="BG193" t="s">
        <v>74</v>
      </c>
      <c r="BH193" t="s">
        <v>74</v>
      </c>
      <c r="BI193">
        <v>4</v>
      </c>
      <c r="BJ193" t="s">
        <v>4135</v>
      </c>
      <c r="BK193" t="s">
        <v>156</v>
      </c>
      <c r="BL193" t="s">
        <v>4136</v>
      </c>
      <c r="BM193" t="s">
        <v>4137</v>
      </c>
      <c r="BN193" t="s">
        <v>74</v>
      </c>
      <c r="BO193" t="s">
        <v>74</v>
      </c>
      <c r="BP193" t="s">
        <v>74</v>
      </c>
      <c r="BQ193" t="s">
        <v>74</v>
      </c>
      <c r="BR193" t="s">
        <v>102</v>
      </c>
      <c r="BS193" t="s">
        <v>4138</v>
      </c>
      <c r="BT193" t="str">
        <f>HYPERLINK("https%3A%2F%2Fwww.webofscience.com%2Fwos%2Fwoscc%2Ffull-record%2FWOS:000824464300043","View Full Record in Web of Science")</f>
        <v>View Full Record in Web of Science</v>
      </c>
    </row>
    <row r="194" spans="1:72" x14ac:dyDescent="0.25">
      <c r="A194" t="s">
        <v>72</v>
      </c>
      <c r="B194" t="s">
        <v>4139</v>
      </c>
      <c r="C194" t="s">
        <v>74</v>
      </c>
      <c r="D194" t="s">
        <v>74</v>
      </c>
      <c r="E194" t="s">
        <v>74</v>
      </c>
      <c r="F194" t="s">
        <v>4140</v>
      </c>
      <c r="G194" t="s">
        <v>74</v>
      </c>
      <c r="H194" t="s">
        <v>74</v>
      </c>
      <c r="I194" t="s">
        <v>4141</v>
      </c>
      <c r="J194" t="s">
        <v>4142</v>
      </c>
      <c r="K194" t="s">
        <v>74</v>
      </c>
      <c r="L194" t="s">
        <v>74</v>
      </c>
      <c r="M194" t="s">
        <v>78</v>
      </c>
      <c r="N194" t="s">
        <v>79</v>
      </c>
      <c r="O194" t="s">
        <v>74</v>
      </c>
      <c r="P194" t="s">
        <v>74</v>
      </c>
      <c r="Q194" t="s">
        <v>74</v>
      </c>
      <c r="R194" t="s">
        <v>74</v>
      </c>
      <c r="S194" t="s">
        <v>74</v>
      </c>
      <c r="T194" t="s">
        <v>4143</v>
      </c>
      <c r="U194" t="s">
        <v>4144</v>
      </c>
      <c r="V194" t="s">
        <v>4145</v>
      </c>
      <c r="W194" t="s">
        <v>4146</v>
      </c>
      <c r="X194" t="s">
        <v>4147</v>
      </c>
      <c r="Y194" t="s">
        <v>4148</v>
      </c>
      <c r="Z194" t="s">
        <v>4149</v>
      </c>
      <c r="AA194" t="s">
        <v>4150</v>
      </c>
      <c r="AB194" t="s">
        <v>74</v>
      </c>
      <c r="AC194" t="s">
        <v>74</v>
      </c>
      <c r="AD194" t="s">
        <v>74</v>
      </c>
      <c r="AE194" t="s">
        <v>74</v>
      </c>
      <c r="AF194" t="s">
        <v>74</v>
      </c>
      <c r="AG194">
        <v>73</v>
      </c>
      <c r="AH194">
        <v>0</v>
      </c>
      <c r="AI194">
        <v>0</v>
      </c>
      <c r="AJ194">
        <v>12</v>
      </c>
      <c r="AK194">
        <v>12</v>
      </c>
      <c r="AL194" t="s">
        <v>4151</v>
      </c>
      <c r="AM194" t="s">
        <v>4152</v>
      </c>
      <c r="AN194" t="s">
        <v>4153</v>
      </c>
      <c r="AO194" t="s">
        <v>74</v>
      </c>
      <c r="AP194" t="s">
        <v>4154</v>
      </c>
      <c r="AQ194" t="s">
        <v>74</v>
      </c>
      <c r="AR194" t="s">
        <v>4155</v>
      </c>
      <c r="AS194" t="s">
        <v>4156</v>
      </c>
      <c r="AT194" t="s">
        <v>74</v>
      </c>
      <c r="AU194">
        <v>2025</v>
      </c>
      <c r="AV194">
        <v>14</v>
      </c>
      <c r="AW194">
        <v>2</v>
      </c>
      <c r="AX194" t="s">
        <v>74</v>
      </c>
      <c r="AY194" t="s">
        <v>74</v>
      </c>
      <c r="AZ194" t="s">
        <v>74</v>
      </c>
      <c r="BA194" t="s">
        <v>74</v>
      </c>
      <c r="BB194">
        <v>268</v>
      </c>
      <c r="BC194">
        <v>291</v>
      </c>
      <c r="BD194" t="s">
        <v>74</v>
      </c>
      <c r="BE194" t="s">
        <v>4157</v>
      </c>
      <c r="BF194" t="str">
        <f>HYPERLINK("http://dx.doi.org/10.5771/2192-4007-2025-2-268","http://dx.doi.org/10.5771/2192-4007-2025-2-268")</f>
        <v>http://dx.doi.org/10.5771/2192-4007-2025-2-268</v>
      </c>
      <c r="BG194" t="s">
        <v>74</v>
      </c>
      <c r="BH194" t="s">
        <v>74</v>
      </c>
      <c r="BI194">
        <v>24</v>
      </c>
      <c r="BJ194" t="s">
        <v>3714</v>
      </c>
      <c r="BK194" t="s">
        <v>313</v>
      </c>
      <c r="BL194" t="s">
        <v>3714</v>
      </c>
      <c r="BM194" t="s">
        <v>4158</v>
      </c>
      <c r="BN194" t="s">
        <v>74</v>
      </c>
      <c r="BO194" t="s">
        <v>212</v>
      </c>
      <c r="BP194" t="s">
        <v>74</v>
      </c>
      <c r="BQ194" t="s">
        <v>74</v>
      </c>
      <c r="BR194" t="s">
        <v>102</v>
      </c>
      <c r="BS194" t="s">
        <v>4159</v>
      </c>
      <c r="BT194" t="str">
        <f>HYPERLINK("https%3A%2F%2Fwww.webofscience.com%2Fwos%2Fwoscc%2Ffull-record%2FWOS:001543385200002","View Full Record in Web of Science")</f>
        <v>View Full Record in Web of Science</v>
      </c>
    </row>
    <row r="195" spans="1:72" x14ac:dyDescent="0.25">
      <c r="A195" t="s">
        <v>132</v>
      </c>
      <c r="B195" t="s">
        <v>4160</v>
      </c>
      <c r="C195" t="s">
        <v>74</v>
      </c>
      <c r="D195" t="s">
        <v>4161</v>
      </c>
      <c r="E195" t="s">
        <v>74</v>
      </c>
      <c r="F195" t="s">
        <v>4162</v>
      </c>
      <c r="G195" t="s">
        <v>74</v>
      </c>
      <c r="H195" t="s">
        <v>74</v>
      </c>
      <c r="I195" t="s">
        <v>4163</v>
      </c>
      <c r="J195" t="s">
        <v>4164</v>
      </c>
      <c r="K195" t="s">
        <v>74</v>
      </c>
      <c r="L195" t="s">
        <v>74</v>
      </c>
      <c r="M195" t="s">
        <v>78</v>
      </c>
      <c r="N195" t="s">
        <v>138</v>
      </c>
      <c r="O195" t="s">
        <v>4165</v>
      </c>
      <c r="P195" t="s">
        <v>4166</v>
      </c>
      <c r="Q195" t="s">
        <v>4167</v>
      </c>
      <c r="R195" t="s">
        <v>74</v>
      </c>
      <c r="S195" t="s">
        <v>4168</v>
      </c>
      <c r="T195" t="s">
        <v>4169</v>
      </c>
      <c r="U195" t="s">
        <v>4170</v>
      </c>
      <c r="V195" t="s">
        <v>4171</v>
      </c>
      <c r="W195" t="s">
        <v>4172</v>
      </c>
      <c r="X195" t="s">
        <v>4173</v>
      </c>
      <c r="Y195" t="s">
        <v>4174</v>
      </c>
      <c r="Z195" t="s">
        <v>4175</v>
      </c>
      <c r="AA195" t="s">
        <v>4176</v>
      </c>
      <c r="AB195" t="s">
        <v>74</v>
      </c>
      <c r="AC195" t="s">
        <v>74</v>
      </c>
      <c r="AD195" t="s">
        <v>74</v>
      </c>
      <c r="AE195" t="s">
        <v>74</v>
      </c>
      <c r="AF195" t="s">
        <v>74</v>
      </c>
      <c r="AG195">
        <v>27</v>
      </c>
      <c r="AH195">
        <v>0</v>
      </c>
      <c r="AI195">
        <v>0</v>
      </c>
      <c r="AJ195">
        <v>0</v>
      </c>
      <c r="AK195">
        <v>1</v>
      </c>
      <c r="AL195" t="s">
        <v>4177</v>
      </c>
      <c r="AM195" t="s">
        <v>621</v>
      </c>
      <c r="AN195" t="s">
        <v>4178</v>
      </c>
      <c r="AO195" t="s">
        <v>74</v>
      </c>
      <c r="AP195" t="s">
        <v>74</v>
      </c>
      <c r="AQ195" t="s">
        <v>4179</v>
      </c>
      <c r="AR195" t="s">
        <v>74</v>
      </c>
      <c r="AS195" t="s">
        <v>74</v>
      </c>
      <c r="AT195" t="s">
        <v>74</v>
      </c>
      <c r="AU195">
        <v>2011</v>
      </c>
      <c r="AV195" t="s">
        <v>74</v>
      </c>
      <c r="AW195" t="s">
        <v>74</v>
      </c>
      <c r="AX195" t="s">
        <v>74</v>
      </c>
      <c r="AY195" t="s">
        <v>74</v>
      </c>
      <c r="AZ195" t="s">
        <v>74</v>
      </c>
      <c r="BA195" t="s">
        <v>74</v>
      </c>
      <c r="BB195">
        <v>145</v>
      </c>
      <c r="BC195" t="s">
        <v>2190</v>
      </c>
      <c r="BD195" t="s">
        <v>74</v>
      </c>
      <c r="BE195" t="s">
        <v>74</v>
      </c>
      <c r="BF195" t="s">
        <v>74</v>
      </c>
      <c r="BG195" t="s">
        <v>74</v>
      </c>
      <c r="BH195" t="s">
        <v>74</v>
      </c>
      <c r="BI195">
        <v>2</v>
      </c>
      <c r="BJ195" t="s">
        <v>4180</v>
      </c>
      <c r="BK195" t="s">
        <v>183</v>
      </c>
      <c r="BL195" t="s">
        <v>4181</v>
      </c>
      <c r="BM195" t="s">
        <v>4182</v>
      </c>
      <c r="BN195" t="s">
        <v>74</v>
      </c>
      <c r="BO195" t="s">
        <v>74</v>
      </c>
      <c r="BP195" t="s">
        <v>74</v>
      </c>
      <c r="BQ195" t="s">
        <v>74</v>
      </c>
      <c r="BR195" t="s">
        <v>102</v>
      </c>
      <c r="BS195" t="s">
        <v>4183</v>
      </c>
      <c r="BT195" t="str">
        <f>HYPERLINK("https%3A%2F%2Fwww.webofscience.com%2Fwos%2Fwoscc%2Ffull-record%2FWOS:000302002900024","View Full Record in Web of Science")</f>
        <v>View Full Record in Web of Science</v>
      </c>
    </row>
    <row r="196" spans="1:72" x14ac:dyDescent="0.25">
      <c r="A196" t="s">
        <v>72</v>
      </c>
      <c r="B196" t="s">
        <v>4184</v>
      </c>
      <c r="C196" t="s">
        <v>74</v>
      </c>
      <c r="D196" t="s">
        <v>74</v>
      </c>
      <c r="E196" t="s">
        <v>74</v>
      </c>
      <c r="F196" t="s">
        <v>4185</v>
      </c>
      <c r="G196" t="s">
        <v>74</v>
      </c>
      <c r="H196" t="s">
        <v>74</v>
      </c>
      <c r="I196" t="s">
        <v>4186</v>
      </c>
      <c r="J196" t="s">
        <v>4187</v>
      </c>
      <c r="K196" t="s">
        <v>74</v>
      </c>
      <c r="L196" t="s">
        <v>74</v>
      </c>
      <c r="M196" t="s">
        <v>78</v>
      </c>
      <c r="N196" t="s">
        <v>79</v>
      </c>
      <c r="O196" t="s">
        <v>74</v>
      </c>
      <c r="P196" t="s">
        <v>74</v>
      </c>
      <c r="Q196" t="s">
        <v>74</v>
      </c>
      <c r="R196" t="s">
        <v>74</v>
      </c>
      <c r="S196" t="s">
        <v>74</v>
      </c>
      <c r="T196" t="s">
        <v>4188</v>
      </c>
      <c r="U196" t="s">
        <v>4189</v>
      </c>
      <c r="V196" t="s">
        <v>4190</v>
      </c>
      <c r="W196" t="s">
        <v>4191</v>
      </c>
      <c r="X196" t="s">
        <v>4192</v>
      </c>
      <c r="Y196" t="s">
        <v>4193</v>
      </c>
      <c r="Z196" t="s">
        <v>4194</v>
      </c>
      <c r="AA196" t="s">
        <v>4195</v>
      </c>
      <c r="AB196" t="s">
        <v>4196</v>
      </c>
      <c r="AC196" t="s">
        <v>74</v>
      </c>
      <c r="AD196" t="s">
        <v>74</v>
      </c>
      <c r="AE196" t="s">
        <v>74</v>
      </c>
      <c r="AF196" t="s">
        <v>74</v>
      </c>
      <c r="AG196">
        <v>37</v>
      </c>
      <c r="AH196">
        <v>3</v>
      </c>
      <c r="AI196">
        <v>4</v>
      </c>
      <c r="AJ196">
        <v>3</v>
      </c>
      <c r="AK196">
        <v>14</v>
      </c>
      <c r="AL196" t="s">
        <v>575</v>
      </c>
      <c r="AM196" t="s">
        <v>576</v>
      </c>
      <c r="AN196" t="s">
        <v>577</v>
      </c>
      <c r="AO196" t="s">
        <v>4197</v>
      </c>
      <c r="AP196" t="s">
        <v>74</v>
      </c>
      <c r="AQ196" t="s">
        <v>74</v>
      </c>
      <c r="AR196" t="s">
        <v>4198</v>
      </c>
      <c r="AS196" t="s">
        <v>4199</v>
      </c>
      <c r="AT196" t="s">
        <v>891</v>
      </c>
      <c r="AU196">
        <v>2022</v>
      </c>
      <c r="AV196">
        <v>11</v>
      </c>
      <c r="AW196">
        <v>21</v>
      </c>
      <c r="AX196" t="s">
        <v>74</v>
      </c>
      <c r="AY196" t="s">
        <v>74</v>
      </c>
      <c r="AZ196" t="s">
        <v>74</v>
      </c>
      <c r="BA196" t="s">
        <v>74</v>
      </c>
      <c r="BB196" t="s">
        <v>74</v>
      </c>
      <c r="BC196" t="s">
        <v>74</v>
      </c>
      <c r="BD196">
        <v>3445</v>
      </c>
      <c r="BE196" t="s">
        <v>4200</v>
      </c>
      <c r="BF196" t="str">
        <f>HYPERLINK("http://dx.doi.org/10.3390/electronics11213445","http://dx.doi.org/10.3390/electronics11213445")</f>
        <v>http://dx.doi.org/10.3390/electronics11213445</v>
      </c>
      <c r="BG196" t="s">
        <v>74</v>
      </c>
      <c r="BH196" t="s">
        <v>74</v>
      </c>
      <c r="BI196">
        <v>21</v>
      </c>
      <c r="BJ196" t="s">
        <v>4201</v>
      </c>
      <c r="BK196" t="s">
        <v>128</v>
      </c>
      <c r="BL196" t="s">
        <v>4202</v>
      </c>
      <c r="BM196" t="s">
        <v>4203</v>
      </c>
      <c r="BN196" t="s">
        <v>74</v>
      </c>
      <c r="BO196" t="s">
        <v>916</v>
      </c>
      <c r="BP196" t="s">
        <v>74</v>
      </c>
      <c r="BQ196" t="s">
        <v>74</v>
      </c>
      <c r="BR196" t="s">
        <v>102</v>
      </c>
      <c r="BS196" t="s">
        <v>4204</v>
      </c>
      <c r="BT196" t="str">
        <f>HYPERLINK("https%3A%2F%2Fwww.webofscience.com%2Fwos%2Fwoscc%2Ffull-record%2FWOS:000881046200001","View Full Record in Web of Science")</f>
        <v>View Full Record in Web of Science</v>
      </c>
    </row>
    <row r="197" spans="1:72" x14ac:dyDescent="0.25">
      <c r="A197" t="s">
        <v>72</v>
      </c>
      <c r="B197" t="s">
        <v>4205</v>
      </c>
      <c r="C197" t="s">
        <v>74</v>
      </c>
      <c r="D197" t="s">
        <v>74</v>
      </c>
      <c r="E197" t="s">
        <v>74</v>
      </c>
      <c r="F197" t="s">
        <v>4206</v>
      </c>
      <c r="G197" t="s">
        <v>74</v>
      </c>
      <c r="H197" t="s">
        <v>74</v>
      </c>
      <c r="I197" t="s">
        <v>4207</v>
      </c>
      <c r="J197" t="s">
        <v>4208</v>
      </c>
      <c r="K197" t="s">
        <v>74</v>
      </c>
      <c r="L197" t="s">
        <v>74</v>
      </c>
      <c r="M197" t="s">
        <v>78</v>
      </c>
      <c r="N197" t="s">
        <v>79</v>
      </c>
      <c r="O197" t="s">
        <v>74</v>
      </c>
      <c r="P197" t="s">
        <v>74</v>
      </c>
      <c r="Q197" t="s">
        <v>74</v>
      </c>
      <c r="R197" t="s">
        <v>74</v>
      </c>
      <c r="S197" t="s">
        <v>74</v>
      </c>
      <c r="T197" t="s">
        <v>74</v>
      </c>
      <c r="U197" t="s">
        <v>74</v>
      </c>
      <c r="V197" t="s">
        <v>4209</v>
      </c>
      <c r="W197" t="s">
        <v>4210</v>
      </c>
      <c r="X197" t="s">
        <v>4211</v>
      </c>
      <c r="Y197" t="s">
        <v>4212</v>
      </c>
      <c r="Z197" t="s">
        <v>4213</v>
      </c>
      <c r="AA197" t="s">
        <v>74</v>
      </c>
      <c r="AB197" t="s">
        <v>4214</v>
      </c>
      <c r="AC197" t="s">
        <v>4215</v>
      </c>
      <c r="AD197" t="s">
        <v>4216</v>
      </c>
      <c r="AE197" t="s">
        <v>4217</v>
      </c>
      <c r="AF197" t="s">
        <v>74</v>
      </c>
      <c r="AG197">
        <v>26</v>
      </c>
      <c r="AH197">
        <v>45</v>
      </c>
      <c r="AI197">
        <v>62</v>
      </c>
      <c r="AJ197">
        <v>5</v>
      </c>
      <c r="AK197">
        <v>41</v>
      </c>
      <c r="AL197" t="s">
        <v>4218</v>
      </c>
      <c r="AM197" t="s">
        <v>4219</v>
      </c>
      <c r="AN197" t="s">
        <v>4220</v>
      </c>
      <c r="AO197" t="s">
        <v>4221</v>
      </c>
      <c r="AP197" t="s">
        <v>74</v>
      </c>
      <c r="AQ197" t="s">
        <v>74</v>
      </c>
      <c r="AR197" t="s">
        <v>4208</v>
      </c>
      <c r="AS197" t="s">
        <v>4222</v>
      </c>
      <c r="AT197" t="s">
        <v>4223</v>
      </c>
      <c r="AU197">
        <v>2019</v>
      </c>
      <c r="AV197">
        <v>14</v>
      </c>
      <c r="AW197">
        <v>7</v>
      </c>
      <c r="AX197" t="s">
        <v>74</v>
      </c>
      <c r="AY197" t="s">
        <v>74</v>
      </c>
      <c r="AZ197" t="s">
        <v>74</v>
      </c>
      <c r="BA197" t="s">
        <v>74</v>
      </c>
      <c r="BB197" t="s">
        <v>74</v>
      </c>
      <c r="BC197" t="s">
        <v>74</v>
      </c>
      <c r="BD197" t="s">
        <v>4224</v>
      </c>
      <c r="BE197" t="s">
        <v>4225</v>
      </c>
      <c r="BF197" t="str">
        <f>HYPERLINK("http://dx.doi.org/10.1371/journal.pone.0219450","http://dx.doi.org/10.1371/journal.pone.0219450")</f>
        <v>http://dx.doi.org/10.1371/journal.pone.0219450</v>
      </c>
      <c r="BG197" t="s">
        <v>74</v>
      </c>
      <c r="BH197" t="s">
        <v>74</v>
      </c>
      <c r="BI197">
        <v>22</v>
      </c>
      <c r="BJ197" t="s">
        <v>559</v>
      </c>
      <c r="BK197" t="s">
        <v>2623</v>
      </c>
      <c r="BL197" t="s">
        <v>560</v>
      </c>
      <c r="BM197" t="s">
        <v>4226</v>
      </c>
      <c r="BN197">
        <v>31365540</v>
      </c>
      <c r="BO197" t="s">
        <v>916</v>
      </c>
      <c r="BP197" t="s">
        <v>74</v>
      </c>
      <c r="BQ197" t="s">
        <v>74</v>
      </c>
      <c r="BR197" t="s">
        <v>102</v>
      </c>
      <c r="BS197" t="s">
        <v>4227</v>
      </c>
      <c r="BT197" t="str">
        <f>HYPERLINK("https%3A%2F%2Fwww.webofscience.com%2Fwos%2Fwoscc%2Ffull-record%2FWOS:000484983600009","View Full Record in Web of Science")</f>
        <v>View Full Record in Web of Science</v>
      </c>
    </row>
    <row r="198" spans="1:72" x14ac:dyDescent="0.25">
      <c r="A198" t="s">
        <v>72</v>
      </c>
      <c r="B198" t="s">
        <v>4228</v>
      </c>
      <c r="C198" t="s">
        <v>74</v>
      </c>
      <c r="D198" t="s">
        <v>74</v>
      </c>
      <c r="E198" t="s">
        <v>74</v>
      </c>
      <c r="F198" t="s">
        <v>4229</v>
      </c>
      <c r="G198" t="s">
        <v>74</v>
      </c>
      <c r="H198" t="s">
        <v>74</v>
      </c>
      <c r="I198" t="s">
        <v>4230</v>
      </c>
      <c r="J198" t="s">
        <v>4231</v>
      </c>
      <c r="K198" t="s">
        <v>74</v>
      </c>
      <c r="L198" t="s">
        <v>74</v>
      </c>
      <c r="M198" t="s">
        <v>78</v>
      </c>
      <c r="N198" t="s">
        <v>79</v>
      </c>
      <c r="O198" t="s">
        <v>74</v>
      </c>
      <c r="P198" t="s">
        <v>74</v>
      </c>
      <c r="Q198" t="s">
        <v>74</v>
      </c>
      <c r="R198" t="s">
        <v>74</v>
      </c>
      <c r="S198" t="s">
        <v>74</v>
      </c>
      <c r="T198" t="s">
        <v>4232</v>
      </c>
      <c r="U198" t="s">
        <v>74</v>
      </c>
      <c r="V198" t="s">
        <v>4233</v>
      </c>
      <c r="W198" t="s">
        <v>74</v>
      </c>
      <c r="X198" t="s">
        <v>74</v>
      </c>
      <c r="Y198" t="s">
        <v>74</v>
      </c>
      <c r="Z198" t="s">
        <v>4234</v>
      </c>
      <c r="AA198" t="s">
        <v>4235</v>
      </c>
      <c r="AB198" t="s">
        <v>4236</v>
      </c>
      <c r="AC198" t="s">
        <v>74</v>
      </c>
      <c r="AD198" t="s">
        <v>74</v>
      </c>
      <c r="AE198" t="s">
        <v>74</v>
      </c>
      <c r="AF198" t="s">
        <v>74</v>
      </c>
      <c r="AG198">
        <v>17</v>
      </c>
      <c r="AH198">
        <v>0</v>
      </c>
      <c r="AI198">
        <v>0</v>
      </c>
      <c r="AJ198">
        <v>0</v>
      </c>
      <c r="AK198">
        <v>0</v>
      </c>
      <c r="AL198" t="s">
        <v>4237</v>
      </c>
      <c r="AM198" t="s">
        <v>4238</v>
      </c>
      <c r="AN198" t="s">
        <v>4239</v>
      </c>
      <c r="AO198" t="s">
        <v>4240</v>
      </c>
      <c r="AP198" t="s">
        <v>4241</v>
      </c>
      <c r="AQ198" t="s">
        <v>74</v>
      </c>
      <c r="AR198" t="s">
        <v>4242</v>
      </c>
      <c r="AS198" t="s">
        <v>4243</v>
      </c>
      <c r="AT198" t="s">
        <v>74</v>
      </c>
      <c r="AU198">
        <v>2025</v>
      </c>
      <c r="AV198" t="s">
        <v>74</v>
      </c>
      <c r="AW198">
        <v>1</v>
      </c>
      <c r="AX198" t="s">
        <v>74</v>
      </c>
      <c r="AY198" t="s">
        <v>74</v>
      </c>
      <c r="AZ198" t="s">
        <v>74</v>
      </c>
      <c r="BA198" t="s">
        <v>74</v>
      </c>
      <c r="BB198">
        <v>80</v>
      </c>
      <c r="BC198">
        <v>95</v>
      </c>
      <c r="BD198" t="s">
        <v>74</v>
      </c>
      <c r="BE198" t="s">
        <v>4244</v>
      </c>
      <c r="BF198" t="str">
        <f>HYPERLINK("http://dx.doi.org/10.15407/uhj2025.01.080","http://dx.doi.org/10.15407/uhj2025.01.080")</f>
        <v>http://dx.doi.org/10.15407/uhj2025.01.080</v>
      </c>
      <c r="BG198" t="s">
        <v>74</v>
      </c>
      <c r="BH198" t="s">
        <v>74</v>
      </c>
      <c r="BI198">
        <v>16</v>
      </c>
      <c r="BJ198" t="s">
        <v>2464</v>
      </c>
      <c r="BK198" t="s">
        <v>313</v>
      </c>
      <c r="BL198" t="s">
        <v>2464</v>
      </c>
      <c r="BM198" t="s">
        <v>4245</v>
      </c>
      <c r="BN198" t="s">
        <v>74</v>
      </c>
      <c r="BO198" t="s">
        <v>270</v>
      </c>
      <c r="BP198" t="s">
        <v>74</v>
      </c>
      <c r="BQ198" t="s">
        <v>74</v>
      </c>
      <c r="BR198" t="s">
        <v>102</v>
      </c>
      <c r="BS198" t="s">
        <v>4246</v>
      </c>
      <c r="BT198" t="str">
        <f>HYPERLINK("https%3A%2F%2Fwww.webofscience.com%2Fwos%2Fwoscc%2Ffull-record%2FWOS:001454984300006","View Full Record in Web of Science")</f>
        <v>View Full Record in Web of Science</v>
      </c>
    </row>
    <row r="199" spans="1:72" x14ac:dyDescent="0.25">
      <c r="A199" t="s">
        <v>72</v>
      </c>
      <c r="B199" t="s">
        <v>4247</v>
      </c>
      <c r="C199" t="s">
        <v>74</v>
      </c>
      <c r="D199" t="s">
        <v>74</v>
      </c>
      <c r="E199" t="s">
        <v>74</v>
      </c>
      <c r="F199" t="s">
        <v>4248</v>
      </c>
      <c r="G199" t="s">
        <v>74</v>
      </c>
      <c r="H199" t="s">
        <v>74</v>
      </c>
      <c r="I199" t="s">
        <v>4249</v>
      </c>
      <c r="J199" t="s">
        <v>4250</v>
      </c>
      <c r="K199" t="s">
        <v>74</v>
      </c>
      <c r="L199" t="s">
        <v>74</v>
      </c>
      <c r="M199" t="s">
        <v>78</v>
      </c>
      <c r="N199" t="s">
        <v>79</v>
      </c>
      <c r="O199" t="s">
        <v>74</v>
      </c>
      <c r="P199" t="s">
        <v>74</v>
      </c>
      <c r="Q199" t="s">
        <v>74</v>
      </c>
      <c r="R199" t="s">
        <v>74</v>
      </c>
      <c r="S199" t="s">
        <v>74</v>
      </c>
      <c r="T199" t="s">
        <v>4251</v>
      </c>
      <c r="U199" t="s">
        <v>4252</v>
      </c>
      <c r="V199" t="s">
        <v>4253</v>
      </c>
      <c r="W199" t="s">
        <v>4254</v>
      </c>
      <c r="X199" t="s">
        <v>74</v>
      </c>
      <c r="Y199" t="s">
        <v>4255</v>
      </c>
      <c r="Z199" t="s">
        <v>4256</v>
      </c>
      <c r="AA199" t="s">
        <v>74</v>
      </c>
      <c r="AB199" t="s">
        <v>4257</v>
      </c>
      <c r="AC199" t="s">
        <v>74</v>
      </c>
      <c r="AD199" t="s">
        <v>74</v>
      </c>
      <c r="AE199" t="s">
        <v>74</v>
      </c>
      <c r="AF199" t="s">
        <v>74</v>
      </c>
      <c r="AG199">
        <v>30</v>
      </c>
      <c r="AH199">
        <v>3</v>
      </c>
      <c r="AI199">
        <v>3</v>
      </c>
      <c r="AJ199">
        <v>1</v>
      </c>
      <c r="AK199">
        <v>7</v>
      </c>
      <c r="AL199" t="s">
        <v>4258</v>
      </c>
      <c r="AM199" t="s">
        <v>118</v>
      </c>
      <c r="AN199" t="s">
        <v>4259</v>
      </c>
      <c r="AO199" t="s">
        <v>4260</v>
      </c>
      <c r="AP199" t="s">
        <v>4261</v>
      </c>
      <c r="AQ199" t="s">
        <v>74</v>
      </c>
      <c r="AR199" t="s">
        <v>4262</v>
      </c>
      <c r="AS199" t="s">
        <v>4263</v>
      </c>
      <c r="AT199" t="s">
        <v>289</v>
      </c>
      <c r="AU199">
        <v>2024</v>
      </c>
      <c r="AV199">
        <v>67</v>
      </c>
      <c r="AW199">
        <v>2</v>
      </c>
      <c r="AX199" t="s">
        <v>74</v>
      </c>
      <c r="AY199" t="s">
        <v>74</v>
      </c>
      <c r="AZ199" t="s">
        <v>74</v>
      </c>
      <c r="BA199" t="s">
        <v>74</v>
      </c>
      <c r="BB199">
        <v>609</v>
      </c>
      <c r="BC199">
        <v>654</v>
      </c>
      <c r="BD199" t="s">
        <v>74</v>
      </c>
      <c r="BE199" t="s">
        <v>4264</v>
      </c>
      <c r="BF199" t="str">
        <f>HYPERLINK("http://dx.doi.org/10.1007/s00181-024-02559-2","http://dx.doi.org/10.1007/s00181-024-02559-2")</f>
        <v>http://dx.doi.org/10.1007/s00181-024-02559-2</v>
      </c>
      <c r="BG199" t="s">
        <v>74</v>
      </c>
      <c r="BH199" t="s">
        <v>1239</v>
      </c>
      <c r="BI199">
        <v>46</v>
      </c>
      <c r="BJ199" t="s">
        <v>2023</v>
      </c>
      <c r="BK199" t="s">
        <v>99</v>
      </c>
      <c r="BL199" t="s">
        <v>2024</v>
      </c>
      <c r="BM199" t="s">
        <v>4265</v>
      </c>
      <c r="BN199" t="s">
        <v>74</v>
      </c>
      <c r="BO199" t="s">
        <v>74</v>
      </c>
      <c r="BP199" t="s">
        <v>74</v>
      </c>
      <c r="BQ199" t="s">
        <v>74</v>
      </c>
      <c r="BR199" t="s">
        <v>102</v>
      </c>
      <c r="BS199" t="s">
        <v>4266</v>
      </c>
      <c r="BT199" t="str">
        <f>HYPERLINK("https%3A%2F%2Fwww.webofscience.com%2Fwos%2Fwoscc%2Ffull-record%2FWOS:001169419900001","View Full Record in Web of Science")</f>
        <v>View Full Record in Web of Science</v>
      </c>
    </row>
    <row r="200" spans="1:72" x14ac:dyDescent="0.25">
      <c r="A200" t="s">
        <v>72</v>
      </c>
      <c r="B200" t="s">
        <v>4267</v>
      </c>
      <c r="C200" t="s">
        <v>74</v>
      </c>
      <c r="D200" t="s">
        <v>74</v>
      </c>
      <c r="E200" t="s">
        <v>74</v>
      </c>
      <c r="F200" t="s">
        <v>4268</v>
      </c>
      <c r="G200" t="s">
        <v>74</v>
      </c>
      <c r="H200" t="s">
        <v>74</v>
      </c>
      <c r="I200" t="s">
        <v>4269</v>
      </c>
      <c r="J200" t="s">
        <v>4270</v>
      </c>
      <c r="K200" t="s">
        <v>74</v>
      </c>
      <c r="L200" t="s">
        <v>74</v>
      </c>
      <c r="M200" t="s">
        <v>4271</v>
      </c>
      <c r="N200" t="s">
        <v>79</v>
      </c>
      <c r="O200" t="s">
        <v>74</v>
      </c>
      <c r="P200" t="s">
        <v>74</v>
      </c>
      <c r="Q200" t="s">
        <v>74</v>
      </c>
      <c r="R200" t="s">
        <v>74</v>
      </c>
      <c r="S200" t="s">
        <v>74</v>
      </c>
      <c r="T200" t="s">
        <v>74</v>
      </c>
      <c r="U200" t="s">
        <v>4272</v>
      </c>
      <c r="V200" t="s">
        <v>4273</v>
      </c>
      <c r="W200" t="s">
        <v>4274</v>
      </c>
      <c r="X200" t="s">
        <v>4275</v>
      </c>
      <c r="Y200" t="s">
        <v>4276</v>
      </c>
      <c r="Z200" t="s">
        <v>74</v>
      </c>
      <c r="AA200" t="s">
        <v>4277</v>
      </c>
      <c r="AB200" t="s">
        <v>4278</v>
      </c>
      <c r="AC200" t="s">
        <v>74</v>
      </c>
      <c r="AD200" t="s">
        <v>74</v>
      </c>
      <c r="AE200" t="s">
        <v>74</v>
      </c>
      <c r="AF200" t="s">
        <v>74</v>
      </c>
      <c r="AG200">
        <v>36</v>
      </c>
      <c r="AH200">
        <v>2</v>
      </c>
      <c r="AI200">
        <v>2</v>
      </c>
      <c r="AJ200">
        <v>0</v>
      </c>
      <c r="AK200">
        <v>6</v>
      </c>
      <c r="AL200" t="s">
        <v>4279</v>
      </c>
      <c r="AM200" t="s">
        <v>4280</v>
      </c>
      <c r="AN200" t="s">
        <v>4281</v>
      </c>
      <c r="AO200" t="s">
        <v>4282</v>
      </c>
      <c r="AP200" t="s">
        <v>4283</v>
      </c>
      <c r="AQ200" t="s">
        <v>74</v>
      </c>
      <c r="AR200" t="s">
        <v>4270</v>
      </c>
      <c r="AS200" t="s">
        <v>4284</v>
      </c>
      <c r="AT200" t="s">
        <v>74</v>
      </c>
      <c r="AU200">
        <v>2018</v>
      </c>
      <c r="AV200" t="s">
        <v>74</v>
      </c>
      <c r="AW200">
        <v>1</v>
      </c>
      <c r="AX200" t="s">
        <v>74</v>
      </c>
      <c r="AY200" t="s">
        <v>74</v>
      </c>
      <c r="AZ200" t="s">
        <v>74</v>
      </c>
      <c r="BA200" t="s">
        <v>74</v>
      </c>
      <c r="BB200">
        <v>30</v>
      </c>
      <c r="BC200">
        <v>40</v>
      </c>
      <c r="BD200" t="s">
        <v>74</v>
      </c>
      <c r="BE200" t="s">
        <v>74</v>
      </c>
      <c r="BF200" t="s">
        <v>74</v>
      </c>
      <c r="BG200" t="s">
        <v>74</v>
      </c>
      <c r="BH200" t="s">
        <v>74</v>
      </c>
      <c r="BI200">
        <v>11</v>
      </c>
      <c r="BJ200" t="s">
        <v>4031</v>
      </c>
      <c r="BK200" t="s">
        <v>313</v>
      </c>
      <c r="BL200" t="s">
        <v>4031</v>
      </c>
      <c r="BM200" t="s">
        <v>4285</v>
      </c>
      <c r="BN200" t="s">
        <v>74</v>
      </c>
      <c r="BO200" t="s">
        <v>74</v>
      </c>
      <c r="BP200" t="s">
        <v>74</v>
      </c>
      <c r="BQ200" t="s">
        <v>74</v>
      </c>
      <c r="BR200" t="s">
        <v>102</v>
      </c>
      <c r="BS200" t="s">
        <v>4286</v>
      </c>
      <c r="BT200" t="str">
        <f>HYPERLINK("https%3A%2F%2Fwww.webofscience.com%2Fwos%2Fwoscc%2Ffull-record%2FWOS:000436817500006","View Full Record in Web of Science")</f>
        <v>View Full Record in Web of Science</v>
      </c>
    </row>
    <row r="201" spans="1:72" x14ac:dyDescent="0.25">
      <c r="A201" t="s">
        <v>72</v>
      </c>
      <c r="B201" t="s">
        <v>4287</v>
      </c>
      <c r="C201" t="s">
        <v>74</v>
      </c>
      <c r="D201" t="s">
        <v>74</v>
      </c>
      <c r="E201" t="s">
        <v>74</v>
      </c>
      <c r="F201" t="s">
        <v>4288</v>
      </c>
      <c r="G201" t="s">
        <v>74</v>
      </c>
      <c r="H201" t="s">
        <v>74</v>
      </c>
      <c r="I201" t="s">
        <v>4289</v>
      </c>
      <c r="J201" t="s">
        <v>2007</v>
      </c>
      <c r="K201" t="s">
        <v>74</v>
      </c>
      <c r="L201" t="s">
        <v>74</v>
      </c>
      <c r="M201" t="s">
        <v>78</v>
      </c>
      <c r="N201" t="s">
        <v>79</v>
      </c>
      <c r="O201" t="s">
        <v>74</v>
      </c>
      <c r="P201" t="s">
        <v>74</v>
      </c>
      <c r="Q201" t="s">
        <v>74</v>
      </c>
      <c r="R201" t="s">
        <v>74</v>
      </c>
      <c r="S201" t="s">
        <v>74</v>
      </c>
      <c r="T201" t="s">
        <v>74</v>
      </c>
      <c r="U201" t="s">
        <v>4290</v>
      </c>
      <c r="V201" t="s">
        <v>4291</v>
      </c>
      <c r="W201" t="s">
        <v>4292</v>
      </c>
      <c r="X201" t="s">
        <v>4293</v>
      </c>
      <c r="Y201" t="s">
        <v>4294</v>
      </c>
      <c r="Z201" t="s">
        <v>74</v>
      </c>
      <c r="AA201" t="s">
        <v>4295</v>
      </c>
      <c r="AB201" t="s">
        <v>4296</v>
      </c>
      <c r="AC201" t="s">
        <v>4297</v>
      </c>
      <c r="AD201" t="s">
        <v>4298</v>
      </c>
      <c r="AE201" t="s">
        <v>4299</v>
      </c>
      <c r="AF201" t="s">
        <v>74</v>
      </c>
      <c r="AG201">
        <v>29</v>
      </c>
      <c r="AH201">
        <v>57</v>
      </c>
      <c r="AI201">
        <v>85</v>
      </c>
      <c r="AJ201">
        <v>2</v>
      </c>
      <c r="AK201">
        <v>23</v>
      </c>
      <c r="AL201" t="s">
        <v>2015</v>
      </c>
      <c r="AM201" t="s">
        <v>2016</v>
      </c>
      <c r="AN201" t="s">
        <v>2017</v>
      </c>
      <c r="AO201" t="s">
        <v>2018</v>
      </c>
      <c r="AP201" t="s">
        <v>2019</v>
      </c>
      <c r="AQ201" t="s">
        <v>74</v>
      </c>
      <c r="AR201" t="s">
        <v>2020</v>
      </c>
      <c r="AS201" t="s">
        <v>2021</v>
      </c>
      <c r="AT201" t="s">
        <v>1540</v>
      </c>
      <c r="AU201">
        <v>2015</v>
      </c>
      <c r="AV201">
        <v>97</v>
      </c>
      <c r="AW201">
        <v>2</v>
      </c>
      <c r="AX201" t="s">
        <v>74</v>
      </c>
      <c r="AY201" t="s">
        <v>74</v>
      </c>
      <c r="AZ201" t="s">
        <v>74</v>
      </c>
      <c r="BA201" t="s">
        <v>74</v>
      </c>
      <c r="BB201">
        <v>332</v>
      </c>
      <c r="BC201">
        <v>351</v>
      </c>
      <c r="BD201" t="s">
        <v>74</v>
      </c>
      <c r="BE201" t="s">
        <v>4300</v>
      </c>
      <c r="BF201" t="str">
        <f>HYPERLINK("http://dx.doi.org/10.1162/REST_a_00462","http://dx.doi.org/10.1162/REST_a_00462")</f>
        <v>http://dx.doi.org/10.1162/REST_a_00462</v>
      </c>
      <c r="BG201" t="s">
        <v>74</v>
      </c>
      <c r="BH201" t="s">
        <v>74</v>
      </c>
      <c r="BI201">
        <v>20</v>
      </c>
      <c r="BJ201" t="s">
        <v>2023</v>
      </c>
      <c r="BK201" t="s">
        <v>99</v>
      </c>
      <c r="BL201" t="s">
        <v>2024</v>
      </c>
      <c r="BM201" t="s">
        <v>4301</v>
      </c>
      <c r="BN201" t="s">
        <v>74</v>
      </c>
      <c r="BO201" t="s">
        <v>1696</v>
      </c>
      <c r="BP201" t="s">
        <v>74</v>
      </c>
      <c r="BQ201" t="s">
        <v>74</v>
      </c>
      <c r="BR201" t="s">
        <v>102</v>
      </c>
      <c r="BS201" t="s">
        <v>4302</v>
      </c>
      <c r="BT201" t="str">
        <f>HYPERLINK("https%3A%2F%2Fwww.webofscience.com%2Fwos%2Fwoscc%2Ffull-record%2FWOS:000353506600008","View Full Record in Web of Science")</f>
        <v>View Full Record in Web of Science</v>
      </c>
    </row>
    <row r="202" spans="1:72" x14ac:dyDescent="0.25">
      <c r="A202" t="s">
        <v>72</v>
      </c>
      <c r="B202" t="s">
        <v>4303</v>
      </c>
      <c r="C202" t="s">
        <v>74</v>
      </c>
      <c r="D202" t="s">
        <v>74</v>
      </c>
      <c r="E202" t="s">
        <v>74</v>
      </c>
      <c r="F202" t="s">
        <v>4304</v>
      </c>
      <c r="G202" t="s">
        <v>74</v>
      </c>
      <c r="H202" t="s">
        <v>74</v>
      </c>
      <c r="I202" t="s">
        <v>4305</v>
      </c>
      <c r="J202" t="s">
        <v>4306</v>
      </c>
      <c r="K202" t="s">
        <v>74</v>
      </c>
      <c r="L202" t="s">
        <v>74</v>
      </c>
      <c r="M202" t="s">
        <v>78</v>
      </c>
      <c r="N202" t="s">
        <v>79</v>
      </c>
      <c r="O202" t="s">
        <v>74</v>
      </c>
      <c r="P202" t="s">
        <v>74</v>
      </c>
      <c r="Q202" t="s">
        <v>74</v>
      </c>
      <c r="R202" t="s">
        <v>74</v>
      </c>
      <c r="S202" t="s">
        <v>74</v>
      </c>
      <c r="T202" t="s">
        <v>3037</v>
      </c>
      <c r="U202" t="s">
        <v>4307</v>
      </c>
      <c r="V202" t="s">
        <v>4308</v>
      </c>
      <c r="W202" t="s">
        <v>4309</v>
      </c>
      <c r="X202" t="s">
        <v>4310</v>
      </c>
      <c r="Y202" t="s">
        <v>4311</v>
      </c>
      <c r="Z202" t="s">
        <v>4312</v>
      </c>
      <c r="AA202" t="s">
        <v>4313</v>
      </c>
      <c r="AB202" t="s">
        <v>4314</v>
      </c>
      <c r="AC202" t="s">
        <v>74</v>
      </c>
      <c r="AD202" t="s">
        <v>74</v>
      </c>
      <c r="AE202" t="s">
        <v>74</v>
      </c>
      <c r="AF202" t="s">
        <v>74</v>
      </c>
      <c r="AG202">
        <v>87</v>
      </c>
      <c r="AH202">
        <v>16</v>
      </c>
      <c r="AI202">
        <v>23</v>
      </c>
      <c r="AJ202">
        <v>0</v>
      </c>
      <c r="AK202">
        <v>43</v>
      </c>
      <c r="AL202" t="s">
        <v>503</v>
      </c>
      <c r="AM202" t="s">
        <v>151</v>
      </c>
      <c r="AN202" t="s">
        <v>504</v>
      </c>
      <c r="AO202" t="s">
        <v>4315</v>
      </c>
      <c r="AP202" t="s">
        <v>4316</v>
      </c>
      <c r="AQ202" t="s">
        <v>74</v>
      </c>
      <c r="AR202" t="s">
        <v>4317</v>
      </c>
      <c r="AS202" t="s">
        <v>4318</v>
      </c>
      <c r="AT202" t="s">
        <v>848</v>
      </c>
      <c r="AU202">
        <v>2021</v>
      </c>
      <c r="AV202">
        <v>168</v>
      </c>
      <c r="AW202" t="s">
        <v>74</v>
      </c>
      <c r="AX202" t="s">
        <v>74</v>
      </c>
      <c r="AY202" t="s">
        <v>74</v>
      </c>
      <c r="AZ202" t="s">
        <v>74</v>
      </c>
      <c r="BA202" t="s">
        <v>74</v>
      </c>
      <c r="BB202" t="s">
        <v>74</v>
      </c>
      <c r="BC202" t="s">
        <v>74</v>
      </c>
      <c r="BD202">
        <v>120776</v>
      </c>
      <c r="BE202" t="s">
        <v>4319</v>
      </c>
      <c r="BF202" t="str">
        <f>HYPERLINK("http://dx.doi.org/10.1016/j.techfore.2021.120776","http://dx.doi.org/10.1016/j.techfore.2021.120776")</f>
        <v>http://dx.doi.org/10.1016/j.techfore.2021.120776</v>
      </c>
      <c r="BG202" t="s">
        <v>74</v>
      </c>
      <c r="BH202" t="s">
        <v>443</v>
      </c>
      <c r="BI202">
        <v>9</v>
      </c>
      <c r="BJ202" t="s">
        <v>1627</v>
      </c>
      <c r="BK202" t="s">
        <v>99</v>
      </c>
      <c r="BL202" t="s">
        <v>1406</v>
      </c>
      <c r="BM202" t="s">
        <v>4320</v>
      </c>
      <c r="BN202" t="s">
        <v>74</v>
      </c>
      <c r="BO202" t="s">
        <v>74</v>
      </c>
      <c r="BP202" t="s">
        <v>74</v>
      </c>
      <c r="BQ202" t="s">
        <v>74</v>
      </c>
      <c r="BR202" t="s">
        <v>102</v>
      </c>
      <c r="BS202" t="s">
        <v>4321</v>
      </c>
      <c r="BT202" t="str">
        <f>HYPERLINK("https%3A%2F%2Fwww.webofscience.com%2Fwos%2Fwoscc%2Ffull-record%2FWOS:000651337500011","View Full Record in Web of Science")</f>
        <v>View Full Record in Web of Science</v>
      </c>
    </row>
    <row r="203" spans="1:72" x14ac:dyDescent="0.25">
      <c r="A203" t="s">
        <v>72</v>
      </c>
      <c r="B203" t="s">
        <v>4322</v>
      </c>
      <c r="C203" t="s">
        <v>74</v>
      </c>
      <c r="D203" t="s">
        <v>74</v>
      </c>
      <c r="E203" t="s">
        <v>74</v>
      </c>
      <c r="F203" t="s">
        <v>4323</v>
      </c>
      <c r="G203" t="s">
        <v>74</v>
      </c>
      <c r="H203" t="s">
        <v>74</v>
      </c>
      <c r="I203" t="s">
        <v>4324</v>
      </c>
      <c r="J203" t="s">
        <v>4325</v>
      </c>
      <c r="K203" t="s">
        <v>74</v>
      </c>
      <c r="L203" t="s">
        <v>74</v>
      </c>
      <c r="M203" t="s">
        <v>78</v>
      </c>
      <c r="N203" t="s">
        <v>79</v>
      </c>
      <c r="O203" t="s">
        <v>74</v>
      </c>
      <c r="P203" t="s">
        <v>74</v>
      </c>
      <c r="Q203" t="s">
        <v>74</v>
      </c>
      <c r="R203" t="s">
        <v>74</v>
      </c>
      <c r="S203" t="s">
        <v>74</v>
      </c>
      <c r="T203" t="s">
        <v>4326</v>
      </c>
      <c r="U203" t="s">
        <v>4327</v>
      </c>
      <c r="V203" t="s">
        <v>4328</v>
      </c>
      <c r="W203" t="s">
        <v>4329</v>
      </c>
      <c r="X203" t="s">
        <v>4330</v>
      </c>
      <c r="Y203" t="s">
        <v>4331</v>
      </c>
      <c r="Z203" t="s">
        <v>4332</v>
      </c>
      <c r="AA203" t="s">
        <v>4333</v>
      </c>
      <c r="AB203" t="s">
        <v>4334</v>
      </c>
      <c r="AC203" t="s">
        <v>74</v>
      </c>
      <c r="AD203" t="s">
        <v>74</v>
      </c>
      <c r="AE203" t="s">
        <v>74</v>
      </c>
      <c r="AF203" t="s">
        <v>74</v>
      </c>
      <c r="AG203">
        <v>61</v>
      </c>
      <c r="AH203">
        <v>100</v>
      </c>
      <c r="AI203">
        <v>175</v>
      </c>
      <c r="AJ203">
        <v>2</v>
      </c>
      <c r="AK203">
        <v>101</v>
      </c>
      <c r="AL203" t="s">
        <v>479</v>
      </c>
      <c r="AM203" t="s">
        <v>480</v>
      </c>
      <c r="AN203" t="s">
        <v>481</v>
      </c>
      <c r="AO203" t="s">
        <v>4335</v>
      </c>
      <c r="AP203" t="s">
        <v>4336</v>
      </c>
      <c r="AQ203" t="s">
        <v>74</v>
      </c>
      <c r="AR203" t="s">
        <v>4337</v>
      </c>
      <c r="AS203" t="s">
        <v>4338</v>
      </c>
      <c r="AT203" t="s">
        <v>289</v>
      </c>
      <c r="AU203">
        <v>2012</v>
      </c>
      <c r="AV203">
        <v>35</v>
      </c>
      <c r="AW203">
        <v>4</v>
      </c>
      <c r="AX203" t="s">
        <v>74</v>
      </c>
      <c r="AY203" t="s">
        <v>74</v>
      </c>
      <c r="AZ203" t="s">
        <v>74</v>
      </c>
      <c r="BA203" t="s">
        <v>74</v>
      </c>
      <c r="BB203">
        <v>969</v>
      </c>
      <c r="BC203">
        <v>980</v>
      </c>
      <c r="BD203" t="s">
        <v>74</v>
      </c>
      <c r="BE203" t="s">
        <v>4339</v>
      </c>
      <c r="BF203" t="str">
        <f>HYPERLINK("http://dx.doi.org/10.1016/j.adolescence.2012.02.002","http://dx.doi.org/10.1016/j.adolescence.2012.02.002")</f>
        <v>http://dx.doi.org/10.1016/j.adolescence.2012.02.002</v>
      </c>
      <c r="BG203" t="s">
        <v>74</v>
      </c>
      <c r="BH203" t="s">
        <v>74</v>
      </c>
      <c r="BI203">
        <v>12</v>
      </c>
      <c r="BJ203" t="s">
        <v>4340</v>
      </c>
      <c r="BK203" t="s">
        <v>99</v>
      </c>
      <c r="BL203" t="s">
        <v>2993</v>
      </c>
      <c r="BM203" t="s">
        <v>4341</v>
      </c>
      <c r="BN203">
        <v>22418452</v>
      </c>
      <c r="BO203" t="s">
        <v>74</v>
      </c>
      <c r="BP203" t="s">
        <v>74</v>
      </c>
      <c r="BQ203" t="s">
        <v>74</v>
      </c>
      <c r="BR203" t="s">
        <v>102</v>
      </c>
      <c r="BS203" t="s">
        <v>4342</v>
      </c>
      <c r="BT203" t="str">
        <f>HYPERLINK("https%3A%2F%2Fwww.webofscience.com%2Fwos%2Fwoscc%2Ffull-record%2FWOS:000307906900018","View Full Record in Web of Science")</f>
        <v>View Full Record in Web of Science</v>
      </c>
    </row>
    <row r="204" spans="1:72" x14ac:dyDescent="0.25">
      <c r="A204" t="s">
        <v>72</v>
      </c>
      <c r="B204" t="s">
        <v>4343</v>
      </c>
      <c r="C204" t="s">
        <v>74</v>
      </c>
      <c r="D204" t="s">
        <v>74</v>
      </c>
      <c r="E204" t="s">
        <v>74</v>
      </c>
      <c r="F204" t="s">
        <v>4344</v>
      </c>
      <c r="G204" t="s">
        <v>74</v>
      </c>
      <c r="H204" t="s">
        <v>74</v>
      </c>
      <c r="I204" t="s">
        <v>4345</v>
      </c>
      <c r="J204" t="s">
        <v>4346</v>
      </c>
      <c r="K204" t="s">
        <v>74</v>
      </c>
      <c r="L204" t="s">
        <v>74</v>
      </c>
      <c r="M204" t="s">
        <v>78</v>
      </c>
      <c r="N204" t="s">
        <v>79</v>
      </c>
      <c r="O204" t="s">
        <v>74</v>
      </c>
      <c r="P204" t="s">
        <v>74</v>
      </c>
      <c r="Q204" t="s">
        <v>74</v>
      </c>
      <c r="R204" t="s">
        <v>74</v>
      </c>
      <c r="S204" t="s">
        <v>74</v>
      </c>
      <c r="T204" t="s">
        <v>4347</v>
      </c>
      <c r="U204" t="s">
        <v>4348</v>
      </c>
      <c r="V204" t="s">
        <v>4349</v>
      </c>
      <c r="W204" t="s">
        <v>4350</v>
      </c>
      <c r="X204" t="s">
        <v>2569</v>
      </c>
      <c r="Y204" t="s">
        <v>4351</v>
      </c>
      <c r="Z204" t="s">
        <v>4352</v>
      </c>
      <c r="AA204" t="s">
        <v>4353</v>
      </c>
      <c r="AB204" t="s">
        <v>4354</v>
      </c>
      <c r="AC204" t="s">
        <v>4355</v>
      </c>
      <c r="AD204" t="s">
        <v>4355</v>
      </c>
      <c r="AE204" t="s">
        <v>4356</v>
      </c>
      <c r="AF204" t="s">
        <v>74</v>
      </c>
      <c r="AG204">
        <v>96</v>
      </c>
      <c r="AH204">
        <v>7</v>
      </c>
      <c r="AI204">
        <v>7</v>
      </c>
      <c r="AJ204">
        <v>0</v>
      </c>
      <c r="AK204">
        <v>11</v>
      </c>
      <c r="AL204" t="s">
        <v>89</v>
      </c>
      <c r="AM204" t="s">
        <v>90</v>
      </c>
      <c r="AN204" t="s">
        <v>91</v>
      </c>
      <c r="AO204" t="s">
        <v>4357</v>
      </c>
      <c r="AP204" t="s">
        <v>4358</v>
      </c>
      <c r="AQ204" t="s">
        <v>74</v>
      </c>
      <c r="AR204" t="s">
        <v>4359</v>
      </c>
      <c r="AS204" t="s">
        <v>4360</v>
      </c>
      <c r="AT204" t="s">
        <v>4361</v>
      </c>
      <c r="AU204">
        <v>2025</v>
      </c>
      <c r="AV204">
        <v>25</v>
      </c>
      <c r="AW204">
        <v>5</v>
      </c>
      <c r="AX204" t="s">
        <v>74</v>
      </c>
      <c r="AY204" t="s">
        <v>74</v>
      </c>
      <c r="AZ204" t="s">
        <v>74</v>
      </c>
      <c r="BA204" t="s">
        <v>74</v>
      </c>
      <c r="BB204">
        <v>1412</v>
      </c>
      <c r="BC204">
        <v>1435</v>
      </c>
      <c r="BD204" t="s">
        <v>74</v>
      </c>
      <c r="BE204" t="s">
        <v>4362</v>
      </c>
      <c r="BF204" t="str">
        <f>HYPERLINK("http://dx.doi.org/10.1108/CI-04-2023-0067","http://dx.doi.org/10.1108/CI-04-2023-0067")</f>
        <v>http://dx.doi.org/10.1108/CI-04-2023-0067</v>
      </c>
      <c r="BG204" t="s">
        <v>74</v>
      </c>
      <c r="BH204" t="s">
        <v>239</v>
      </c>
      <c r="BI204">
        <v>24</v>
      </c>
      <c r="BJ204" t="s">
        <v>4363</v>
      </c>
      <c r="BK204" t="s">
        <v>313</v>
      </c>
      <c r="BL204" t="s">
        <v>4363</v>
      </c>
      <c r="BM204" t="s">
        <v>4364</v>
      </c>
      <c r="BN204" t="s">
        <v>74</v>
      </c>
      <c r="BO204" t="s">
        <v>74</v>
      </c>
      <c r="BP204" t="s">
        <v>74</v>
      </c>
      <c r="BQ204" t="s">
        <v>74</v>
      </c>
      <c r="BR204" t="s">
        <v>102</v>
      </c>
      <c r="BS204" t="s">
        <v>4365</v>
      </c>
      <c r="BT204" t="str">
        <f>HYPERLINK("https%3A%2F%2Fwww.webofscience.com%2Fwos%2Fwoscc%2Ffull-record%2FWOS:001137817700001","View Full Record in Web of Science")</f>
        <v>View Full Record in Web of Science</v>
      </c>
    </row>
    <row r="205" spans="1:72" x14ac:dyDescent="0.25">
      <c r="A205" t="s">
        <v>72</v>
      </c>
      <c r="B205" t="s">
        <v>4366</v>
      </c>
      <c r="C205" t="s">
        <v>74</v>
      </c>
      <c r="D205" t="s">
        <v>74</v>
      </c>
      <c r="E205" t="s">
        <v>74</v>
      </c>
      <c r="F205" t="s">
        <v>4367</v>
      </c>
      <c r="G205" t="s">
        <v>74</v>
      </c>
      <c r="H205" t="s">
        <v>74</v>
      </c>
      <c r="I205" t="s">
        <v>4368</v>
      </c>
      <c r="J205" t="s">
        <v>4369</v>
      </c>
      <c r="K205" t="s">
        <v>74</v>
      </c>
      <c r="L205" t="s">
        <v>74</v>
      </c>
      <c r="M205" t="s">
        <v>78</v>
      </c>
      <c r="N205" t="s">
        <v>79</v>
      </c>
      <c r="O205" t="s">
        <v>74</v>
      </c>
      <c r="P205" t="s">
        <v>74</v>
      </c>
      <c r="Q205" t="s">
        <v>74</v>
      </c>
      <c r="R205" t="s">
        <v>74</v>
      </c>
      <c r="S205" t="s">
        <v>74</v>
      </c>
      <c r="T205" t="s">
        <v>4370</v>
      </c>
      <c r="U205" t="s">
        <v>4371</v>
      </c>
      <c r="V205" t="s">
        <v>4372</v>
      </c>
      <c r="W205" t="s">
        <v>4373</v>
      </c>
      <c r="X205" t="s">
        <v>4374</v>
      </c>
      <c r="Y205" t="s">
        <v>4375</v>
      </c>
      <c r="Z205" t="s">
        <v>74</v>
      </c>
      <c r="AA205" t="s">
        <v>4376</v>
      </c>
      <c r="AB205" t="s">
        <v>4377</v>
      </c>
      <c r="AC205" t="s">
        <v>74</v>
      </c>
      <c r="AD205" t="s">
        <v>74</v>
      </c>
      <c r="AE205" t="s">
        <v>74</v>
      </c>
      <c r="AF205" t="s">
        <v>74</v>
      </c>
      <c r="AG205">
        <v>36</v>
      </c>
      <c r="AH205">
        <v>47</v>
      </c>
      <c r="AI205">
        <v>60</v>
      </c>
      <c r="AJ205">
        <v>5</v>
      </c>
      <c r="AK205">
        <v>55</v>
      </c>
      <c r="AL205" t="s">
        <v>2551</v>
      </c>
      <c r="AM205" t="s">
        <v>231</v>
      </c>
      <c r="AN205" t="s">
        <v>2552</v>
      </c>
      <c r="AO205" t="s">
        <v>4378</v>
      </c>
      <c r="AP205" t="s">
        <v>4379</v>
      </c>
      <c r="AQ205" t="s">
        <v>74</v>
      </c>
      <c r="AR205" t="s">
        <v>4380</v>
      </c>
      <c r="AS205" t="s">
        <v>4381</v>
      </c>
      <c r="AT205" t="s">
        <v>605</v>
      </c>
      <c r="AU205">
        <v>2021</v>
      </c>
      <c r="AV205">
        <v>25</v>
      </c>
      <c r="AW205">
        <v>2</v>
      </c>
      <c r="AX205" t="s">
        <v>74</v>
      </c>
      <c r="AY205" t="s">
        <v>74</v>
      </c>
      <c r="AZ205" t="s">
        <v>74</v>
      </c>
      <c r="BA205" t="s">
        <v>74</v>
      </c>
      <c r="BB205">
        <v>403</v>
      </c>
      <c r="BC205">
        <v>447</v>
      </c>
      <c r="BD205" t="s">
        <v>74</v>
      </c>
      <c r="BE205" t="s">
        <v>4382</v>
      </c>
      <c r="BF205" t="str">
        <f>HYPERLINK("http://dx.doi.org/10.1093/rof/rfaa024","http://dx.doi.org/10.1093/rof/rfaa024")</f>
        <v>http://dx.doi.org/10.1093/rof/rfaa024</v>
      </c>
      <c r="BG205" t="s">
        <v>74</v>
      </c>
      <c r="BH205" t="s">
        <v>74</v>
      </c>
      <c r="BI205">
        <v>45</v>
      </c>
      <c r="BJ205" t="s">
        <v>210</v>
      </c>
      <c r="BK205" t="s">
        <v>99</v>
      </c>
      <c r="BL205" t="s">
        <v>100</v>
      </c>
      <c r="BM205" t="s">
        <v>4383</v>
      </c>
      <c r="BN205" t="s">
        <v>74</v>
      </c>
      <c r="BO205" t="s">
        <v>74</v>
      </c>
      <c r="BP205" t="s">
        <v>74</v>
      </c>
      <c r="BQ205" t="s">
        <v>74</v>
      </c>
      <c r="BR205" t="s">
        <v>102</v>
      </c>
      <c r="BS205" t="s">
        <v>4384</v>
      </c>
      <c r="BT205" t="str">
        <f>HYPERLINK("https%3A%2F%2Fwww.webofscience.com%2Fwos%2Fwoscc%2Ffull-record%2FWOS:000649367200005","View Full Record in Web of Science")</f>
        <v>View Full Record in Web of Science</v>
      </c>
    </row>
    <row r="206" spans="1:72" x14ac:dyDescent="0.25">
      <c r="A206" t="s">
        <v>72</v>
      </c>
      <c r="B206" t="s">
        <v>4385</v>
      </c>
      <c r="C206" t="s">
        <v>74</v>
      </c>
      <c r="D206" t="s">
        <v>74</v>
      </c>
      <c r="E206" t="s">
        <v>74</v>
      </c>
      <c r="F206" t="s">
        <v>4386</v>
      </c>
      <c r="G206" t="s">
        <v>74</v>
      </c>
      <c r="H206" t="s">
        <v>74</v>
      </c>
      <c r="I206" t="s">
        <v>4387</v>
      </c>
      <c r="J206" t="s">
        <v>3662</v>
      </c>
      <c r="K206" t="s">
        <v>74</v>
      </c>
      <c r="L206" t="s">
        <v>74</v>
      </c>
      <c r="M206" t="s">
        <v>78</v>
      </c>
      <c r="N206" t="s">
        <v>1766</v>
      </c>
      <c r="O206" t="s">
        <v>74</v>
      </c>
      <c r="P206" t="s">
        <v>74</v>
      </c>
      <c r="Q206" t="s">
        <v>74</v>
      </c>
      <c r="R206" t="s">
        <v>74</v>
      </c>
      <c r="S206" t="s">
        <v>74</v>
      </c>
      <c r="T206" t="s">
        <v>4388</v>
      </c>
      <c r="U206" t="s">
        <v>4389</v>
      </c>
      <c r="V206" t="s">
        <v>4390</v>
      </c>
      <c r="W206" t="s">
        <v>4391</v>
      </c>
      <c r="X206" t="s">
        <v>4392</v>
      </c>
      <c r="Y206" t="s">
        <v>4393</v>
      </c>
      <c r="Z206" t="s">
        <v>4394</v>
      </c>
      <c r="AA206" t="s">
        <v>74</v>
      </c>
      <c r="AB206" t="s">
        <v>4395</v>
      </c>
      <c r="AC206" t="s">
        <v>74</v>
      </c>
      <c r="AD206" t="s">
        <v>74</v>
      </c>
      <c r="AE206" t="s">
        <v>74</v>
      </c>
      <c r="AF206" t="s">
        <v>74</v>
      </c>
      <c r="AG206">
        <v>154</v>
      </c>
      <c r="AH206">
        <v>409</v>
      </c>
      <c r="AI206">
        <v>471</v>
      </c>
      <c r="AJ206">
        <v>44</v>
      </c>
      <c r="AK206">
        <v>1003</v>
      </c>
      <c r="AL206" t="s">
        <v>201</v>
      </c>
      <c r="AM206" t="s">
        <v>202</v>
      </c>
      <c r="AN206" t="s">
        <v>203</v>
      </c>
      <c r="AO206" t="s">
        <v>3672</v>
      </c>
      <c r="AP206" t="s">
        <v>3673</v>
      </c>
      <c r="AQ206" t="s">
        <v>74</v>
      </c>
      <c r="AR206" t="s">
        <v>3674</v>
      </c>
      <c r="AS206" t="s">
        <v>3675</v>
      </c>
      <c r="AT206" t="s">
        <v>1652</v>
      </c>
      <c r="AU206">
        <v>2019</v>
      </c>
      <c r="AV206">
        <v>102</v>
      </c>
      <c r="AW206" t="s">
        <v>74</v>
      </c>
      <c r="AX206" t="s">
        <v>74</v>
      </c>
      <c r="AY206" t="s">
        <v>74</v>
      </c>
      <c r="AZ206" t="s">
        <v>74</v>
      </c>
      <c r="BA206" t="s">
        <v>74</v>
      </c>
      <c r="BB206">
        <v>288</v>
      </c>
      <c r="BC206">
        <v>307</v>
      </c>
      <c r="BD206" t="s">
        <v>74</v>
      </c>
      <c r="BE206" t="s">
        <v>4396</v>
      </c>
      <c r="BF206" t="str">
        <f>HYPERLINK("http://dx.doi.org/10.1016/j.autcon.2019.02.005","http://dx.doi.org/10.1016/j.autcon.2019.02.005")</f>
        <v>http://dx.doi.org/10.1016/j.autcon.2019.02.005</v>
      </c>
      <c r="BG206" t="s">
        <v>74</v>
      </c>
      <c r="BH206" t="s">
        <v>74</v>
      </c>
      <c r="BI206">
        <v>20</v>
      </c>
      <c r="BJ206" t="s">
        <v>3677</v>
      </c>
      <c r="BK206" t="s">
        <v>2623</v>
      </c>
      <c r="BL206" t="s">
        <v>3678</v>
      </c>
      <c r="BM206" t="s">
        <v>4397</v>
      </c>
      <c r="BN206" t="s">
        <v>74</v>
      </c>
      <c r="BO206" t="s">
        <v>74</v>
      </c>
      <c r="BP206" t="s">
        <v>74</v>
      </c>
      <c r="BQ206" t="s">
        <v>74</v>
      </c>
      <c r="BR206" t="s">
        <v>102</v>
      </c>
      <c r="BS206" t="s">
        <v>4398</v>
      </c>
      <c r="BT206" t="str">
        <f>HYPERLINK("https%3A%2F%2Fwww.webofscience.com%2Fwos%2Fwoscc%2Ffull-record%2FWOS:000463309900021","View Full Record in Web of Science")</f>
        <v>View Full Record in Web of Science</v>
      </c>
    </row>
    <row r="207" spans="1:72" x14ac:dyDescent="0.25">
      <c r="A207" t="s">
        <v>72</v>
      </c>
      <c r="B207" t="s">
        <v>4399</v>
      </c>
      <c r="C207" t="s">
        <v>74</v>
      </c>
      <c r="D207" t="s">
        <v>74</v>
      </c>
      <c r="E207" t="s">
        <v>74</v>
      </c>
      <c r="F207" t="s">
        <v>4400</v>
      </c>
      <c r="G207" t="s">
        <v>74</v>
      </c>
      <c r="H207" t="s">
        <v>74</v>
      </c>
      <c r="I207" t="s">
        <v>4401</v>
      </c>
      <c r="J207" t="s">
        <v>4402</v>
      </c>
      <c r="K207" t="s">
        <v>74</v>
      </c>
      <c r="L207" t="s">
        <v>74</v>
      </c>
      <c r="M207" t="s">
        <v>78</v>
      </c>
      <c r="N207" t="s">
        <v>79</v>
      </c>
      <c r="O207" t="s">
        <v>74</v>
      </c>
      <c r="P207" t="s">
        <v>74</v>
      </c>
      <c r="Q207" t="s">
        <v>74</v>
      </c>
      <c r="R207" t="s">
        <v>74</v>
      </c>
      <c r="S207" t="s">
        <v>74</v>
      </c>
      <c r="T207" t="s">
        <v>4403</v>
      </c>
      <c r="U207" t="s">
        <v>4404</v>
      </c>
      <c r="V207" t="s">
        <v>4405</v>
      </c>
      <c r="W207" t="s">
        <v>4406</v>
      </c>
      <c r="X207" t="s">
        <v>4407</v>
      </c>
      <c r="Y207" t="s">
        <v>4408</v>
      </c>
      <c r="Z207" t="s">
        <v>4409</v>
      </c>
      <c r="AA207" t="s">
        <v>4410</v>
      </c>
      <c r="AB207" t="s">
        <v>4411</v>
      </c>
      <c r="AC207" t="s">
        <v>74</v>
      </c>
      <c r="AD207" t="s">
        <v>74</v>
      </c>
      <c r="AE207" t="s">
        <v>74</v>
      </c>
      <c r="AF207" t="s">
        <v>74</v>
      </c>
      <c r="AG207">
        <v>80</v>
      </c>
      <c r="AH207">
        <v>15</v>
      </c>
      <c r="AI207">
        <v>17</v>
      </c>
      <c r="AJ207">
        <v>1</v>
      </c>
      <c r="AK207">
        <v>56</v>
      </c>
      <c r="AL207" t="s">
        <v>4412</v>
      </c>
      <c r="AM207" t="s">
        <v>4413</v>
      </c>
      <c r="AN207" t="s">
        <v>4414</v>
      </c>
      <c r="AO207" t="s">
        <v>4415</v>
      </c>
      <c r="AP207" t="s">
        <v>4416</v>
      </c>
      <c r="AQ207" t="s">
        <v>74</v>
      </c>
      <c r="AR207" t="s">
        <v>4402</v>
      </c>
      <c r="AS207" t="s">
        <v>4417</v>
      </c>
      <c r="AT207" t="s">
        <v>698</v>
      </c>
      <c r="AU207">
        <v>2018</v>
      </c>
      <c r="AV207">
        <v>74</v>
      </c>
      <c r="AW207">
        <v>3</v>
      </c>
      <c r="AX207" t="s">
        <v>74</v>
      </c>
      <c r="AY207" t="s">
        <v>74</v>
      </c>
      <c r="AZ207" t="s">
        <v>74</v>
      </c>
      <c r="BA207" t="s">
        <v>74</v>
      </c>
      <c r="BB207">
        <v>293</v>
      </c>
      <c r="BC207">
        <v>339</v>
      </c>
      <c r="BD207" t="s">
        <v>74</v>
      </c>
      <c r="BE207" t="s">
        <v>4418</v>
      </c>
      <c r="BF207" t="str">
        <f>HYPERLINK("http://dx.doi.org/10.1628/fa-2018-0009","http://dx.doi.org/10.1628/fa-2018-0009")</f>
        <v>http://dx.doi.org/10.1628/fa-2018-0009</v>
      </c>
      <c r="BG207" t="s">
        <v>74</v>
      </c>
      <c r="BH207" t="s">
        <v>74</v>
      </c>
      <c r="BI207">
        <v>47</v>
      </c>
      <c r="BJ207" t="s">
        <v>210</v>
      </c>
      <c r="BK207" t="s">
        <v>99</v>
      </c>
      <c r="BL207" t="s">
        <v>100</v>
      </c>
      <c r="BM207" t="s">
        <v>4419</v>
      </c>
      <c r="BN207" t="s">
        <v>74</v>
      </c>
      <c r="BO207" t="s">
        <v>74</v>
      </c>
      <c r="BP207" t="s">
        <v>74</v>
      </c>
      <c r="BQ207" t="s">
        <v>74</v>
      </c>
      <c r="BR207" t="s">
        <v>102</v>
      </c>
      <c r="BS207" t="s">
        <v>4420</v>
      </c>
      <c r="BT207" t="str">
        <f>HYPERLINK("https%3A%2F%2Fwww.webofscience.com%2Fwos%2Fwoscc%2Ffull-record%2FWOS:000441903400001","View Full Record in Web of Science")</f>
        <v>View Full Record in Web of Science</v>
      </c>
    </row>
    <row r="208" spans="1:72" x14ac:dyDescent="0.25">
      <c r="A208" t="s">
        <v>132</v>
      </c>
      <c r="B208" t="s">
        <v>4421</v>
      </c>
      <c r="C208" t="s">
        <v>74</v>
      </c>
      <c r="D208" t="s">
        <v>4422</v>
      </c>
      <c r="E208" t="s">
        <v>74</v>
      </c>
      <c r="F208" t="s">
        <v>4423</v>
      </c>
      <c r="G208" t="s">
        <v>74</v>
      </c>
      <c r="H208" t="s">
        <v>74</v>
      </c>
      <c r="I208" t="s">
        <v>4424</v>
      </c>
      <c r="J208" t="s">
        <v>4425</v>
      </c>
      <c r="K208" t="s">
        <v>74</v>
      </c>
      <c r="L208" t="s">
        <v>74</v>
      </c>
      <c r="M208" t="s">
        <v>78</v>
      </c>
      <c r="N208" t="s">
        <v>138</v>
      </c>
      <c r="O208" t="s">
        <v>4426</v>
      </c>
      <c r="P208" t="s">
        <v>4427</v>
      </c>
      <c r="Q208" t="s">
        <v>4428</v>
      </c>
      <c r="R208" t="s">
        <v>4429</v>
      </c>
      <c r="S208" t="s">
        <v>74</v>
      </c>
      <c r="T208" t="s">
        <v>74</v>
      </c>
      <c r="U208" t="s">
        <v>4430</v>
      </c>
      <c r="V208" t="s">
        <v>4431</v>
      </c>
      <c r="W208" t="s">
        <v>4432</v>
      </c>
      <c r="X208" t="s">
        <v>4433</v>
      </c>
      <c r="Y208" t="s">
        <v>4434</v>
      </c>
      <c r="Z208" t="s">
        <v>4435</v>
      </c>
      <c r="AA208" t="s">
        <v>4436</v>
      </c>
      <c r="AB208" t="s">
        <v>74</v>
      </c>
      <c r="AC208" t="s">
        <v>4437</v>
      </c>
      <c r="AD208" t="s">
        <v>4437</v>
      </c>
      <c r="AE208" t="s">
        <v>4438</v>
      </c>
      <c r="AF208" t="s">
        <v>74</v>
      </c>
      <c r="AG208">
        <v>39</v>
      </c>
      <c r="AH208">
        <v>0</v>
      </c>
      <c r="AI208">
        <v>0</v>
      </c>
      <c r="AJ208">
        <v>0</v>
      </c>
      <c r="AK208">
        <v>1</v>
      </c>
      <c r="AL208" t="s">
        <v>4439</v>
      </c>
      <c r="AM208" t="s">
        <v>4440</v>
      </c>
      <c r="AN208" t="s">
        <v>4441</v>
      </c>
      <c r="AO208" t="s">
        <v>74</v>
      </c>
      <c r="AP208" t="s">
        <v>74</v>
      </c>
      <c r="AQ208" t="s">
        <v>4442</v>
      </c>
      <c r="AR208" t="s">
        <v>74</v>
      </c>
      <c r="AS208" t="s">
        <v>74</v>
      </c>
      <c r="AT208" t="s">
        <v>74</v>
      </c>
      <c r="AU208">
        <v>2018</v>
      </c>
      <c r="AV208" t="s">
        <v>74</v>
      </c>
      <c r="AW208" t="s">
        <v>74</v>
      </c>
      <c r="AX208" t="s">
        <v>74</v>
      </c>
      <c r="AY208" t="s">
        <v>74</v>
      </c>
      <c r="AZ208" t="s">
        <v>74</v>
      </c>
      <c r="BA208" t="s">
        <v>74</v>
      </c>
      <c r="BB208">
        <v>882</v>
      </c>
      <c r="BC208">
        <v>891</v>
      </c>
      <c r="BD208" t="s">
        <v>74</v>
      </c>
      <c r="BE208" t="s">
        <v>74</v>
      </c>
      <c r="BF208" t="s">
        <v>74</v>
      </c>
      <c r="BG208" t="s">
        <v>74</v>
      </c>
      <c r="BH208" t="s">
        <v>74</v>
      </c>
      <c r="BI208">
        <v>10</v>
      </c>
      <c r="BJ208" t="s">
        <v>1803</v>
      </c>
      <c r="BK208" t="s">
        <v>156</v>
      </c>
      <c r="BL208" t="s">
        <v>157</v>
      </c>
      <c r="BM208" t="s">
        <v>4443</v>
      </c>
      <c r="BN208" t="s">
        <v>74</v>
      </c>
      <c r="BO208" t="s">
        <v>74</v>
      </c>
      <c r="BP208" t="s">
        <v>74</v>
      </c>
      <c r="BQ208" t="s">
        <v>74</v>
      </c>
      <c r="BR208" t="s">
        <v>102</v>
      </c>
      <c r="BS208" t="s">
        <v>4444</v>
      </c>
      <c r="BT208" t="str">
        <f>HYPERLINK("https%3A%2F%2Fwww.webofscience.com%2Fwos%2Fwoscc%2Ffull-record%2FWOS:000625208500108","View Full Record in Web of Science")</f>
        <v>View Full Record in Web of Science</v>
      </c>
    </row>
    <row r="209" spans="1:72" x14ac:dyDescent="0.25">
      <c r="A209" t="s">
        <v>132</v>
      </c>
      <c r="B209" t="s">
        <v>4445</v>
      </c>
      <c r="C209" t="s">
        <v>74</v>
      </c>
      <c r="D209" t="s">
        <v>74</v>
      </c>
      <c r="E209" t="s">
        <v>4446</v>
      </c>
      <c r="F209" t="s">
        <v>4447</v>
      </c>
      <c r="G209" t="s">
        <v>74</v>
      </c>
      <c r="H209" t="s">
        <v>74</v>
      </c>
      <c r="I209" t="s">
        <v>4448</v>
      </c>
      <c r="J209" t="s">
        <v>4449</v>
      </c>
      <c r="K209" t="s">
        <v>4450</v>
      </c>
      <c r="L209" t="s">
        <v>74</v>
      </c>
      <c r="M209" t="s">
        <v>78</v>
      </c>
      <c r="N209" t="s">
        <v>138</v>
      </c>
      <c r="O209" t="s">
        <v>4451</v>
      </c>
      <c r="P209" t="s">
        <v>4452</v>
      </c>
      <c r="Q209" t="s">
        <v>4453</v>
      </c>
      <c r="R209" t="s">
        <v>4454</v>
      </c>
      <c r="S209" t="s">
        <v>4455</v>
      </c>
      <c r="T209" t="s">
        <v>4456</v>
      </c>
      <c r="U209" t="s">
        <v>74</v>
      </c>
      <c r="V209" t="s">
        <v>4457</v>
      </c>
      <c r="W209" t="s">
        <v>4458</v>
      </c>
      <c r="X209" t="s">
        <v>4459</v>
      </c>
      <c r="Y209" t="s">
        <v>4460</v>
      </c>
      <c r="Z209" t="s">
        <v>4461</v>
      </c>
      <c r="AA209" t="s">
        <v>4462</v>
      </c>
      <c r="AB209" t="s">
        <v>74</v>
      </c>
      <c r="AC209" t="s">
        <v>74</v>
      </c>
      <c r="AD209" t="s">
        <v>74</v>
      </c>
      <c r="AE209" t="s">
        <v>74</v>
      </c>
      <c r="AF209" t="s">
        <v>74</v>
      </c>
      <c r="AG209">
        <v>8</v>
      </c>
      <c r="AH209">
        <v>12</v>
      </c>
      <c r="AI209">
        <v>24</v>
      </c>
      <c r="AJ209">
        <v>0</v>
      </c>
      <c r="AK209">
        <v>13</v>
      </c>
      <c r="AL209" t="s">
        <v>771</v>
      </c>
      <c r="AM209" t="s">
        <v>151</v>
      </c>
      <c r="AN209" t="s">
        <v>785</v>
      </c>
      <c r="AO209" t="s">
        <v>4463</v>
      </c>
      <c r="AP209" t="s">
        <v>74</v>
      </c>
      <c r="AQ209" t="s">
        <v>4464</v>
      </c>
      <c r="AR209" t="s">
        <v>4465</v>
      </c>
      <c r="AS209" t="s">
        <v>74</v>
      </c>
      <c r="AT209" t="s">
        <v>74</v>
      </c>
      <c r="AU209">
        <v>2013</v>
      </c>
      <c r="AV209" t="s">
        <v>74</v>
      </c>
      <c r="AW209" t="s">
        <v>74</v>
      </c>
      <c r="AX209" t="s">
        <v>74</v>
      </c>
      <c r="AY209" t="s">
        <v>74</v>
      </c>
      <c r="AZ209" t="s">
        <v>74</v>
      </c>
      <c r="BA209" t="s">
        <v>74</v>
      </c>
      <c r="BB209">
        <v>111</v>
      </c>
      <c r="BC209">
        <v>114</v>
      </c>
      <c r="BD209" t="s">
        <v>74</v>
      </c>
      <c r="BE209" t="s">
        <v>74</v>
      </c>
      <c r="BF209" t="s">
        <v>74</v>
      </c>
      <c r="BG209" t="s">
        <v>74</v>
      </c>
      <c r="BH209" t="s">
        <v>74</v>
      </c>
      <c r="BI209">
        <v>4</v>
      </c>
      <c r="BJ209" t="s">
        <v>4466</v>
      </c>
      <c r="BK209" t="s">
        <v>156</v>
      </c>
      <c r="BL209" t="s">
        <v>157</v>
      </c>
      <c r="BM209" t="s">
        <v>4467</v>
      </c>
      <c r="BN209" t="s">
        <v>74</v>
      </c>
      <c r="BO209" t="s">
        <v>74</v>
      </c>
      <c r="BP209" t="s">
        <v>74</v>
      </c>
      <c r="BQ209" t="s">
        <v>74</v>
      </c>
      <c r="BR209" t="s">
        <v>102</v>
      </c>
      <c r="BS209" t="s">
        <v>4468</v>
      </c>
      <c r="BT209" t="str">
        <f>HYPERLINK("https%3A%2F%2Fwww.webofscience.com%2Fwos%2Fwoscc%2Ffull-record%2FWOS:000332960400019","View Full Record in Web of Science")</f>
        <v>View Full Record in Web of Science</v>
      </c>
    </row>
    <row r="210" spans="1:72" x14ac:dyDescent="0.25">
      <c r="A210" t="s">
        <v>72</v>
      </c>
      <c r="B210" t="s">
        <v>4469</v>
      </c>
      <c r="C210" t="s">
        <v>74</v>
      </c>
      <c r="D210" t="s">
        <v>74</v>
      </c>
      <c r="E210" t="s">
        <v>74</v>
      </c>
      <c r="F210" t="s">
        <v>4470</v>
      </c>
      <c r="G210" t="s">
        <v>74</v>
      </c>
      <c r="H210" t="s">
        <v>74</v>
      </c>
      <c r="I210" t="s">
        <v>4471</v>
      </c>
      <c r="J210" t="s">
        <v>4472</v>
      </c>
      <c r="K210" t="s">
        <v>74</v>
      </c>
      <c r="L210" t="s">
        <v>74</v>
      </c>
      <c r="M210" t="s">
        <v>78</v>
      </c>
      <c r="N210" t="s">
        <v>3795</v>
      </c>
      <c r="O210" t="s">
        <v>4473</v>
      </c>
      <c r="P210" t="s">
        <v>4474</v>
      </c>
      <c r="Q210" t="s">
        <v>4475</v>
      </c>
      <c r="R210" t="s">
        <v>74</v>
      </c>
      <c r="S210" t="s">
        <v>74</v>
      </c>
      <c r="T210" t="s">
        <v>4476</v>
      </c>
      <c r="U210" t="s">
        <v>4477</v>
      </c>
      <c r="V210" t="s">
        <v>4478</v>
      </c>
      <c r="W210" t="s">
        <v>4479</v>
      </c>
      <c r="X210" t="s">
        <v>4480</v>
      </c>
      <c r="Y210" t="s">
        <v>4481</v>
      </c>
      <c r="Z210" t="s">
        <v>4482</v>
      </c>
      <c r="AA210" t="s">
        <v>4483</v>
      </c>
      <c r="AB210" t="s">
        <v>4484</v>
      </c>
      <c r="AC210" t="s">
        <v>74</v>
      </c>
      <c r="AD210" t="s">
        <v>74</v>
      </c>
      <c r="AE210" t="s">
        <v>74</v>
      </c>
      <c r="AF210" t="s">
        <v>74</v>
      </c>
      <c r="AG210">
        <v>54</v>
      </c>
      <c r="AH210">
        <v>53</v>
      </c>
      <c r="AI210">
        <v>66</v>
      </c>
      <c r="AJ210">
        <v>0</v>
      </c>
      <c r="AK210">
        <v>8</v>
      </c>
      <c r="AL210" t="s">
        <v>4485</v>
      </c>
      <c r="AM210" t="s">
        <v>231</v>
      </c>
      <c r="AN210" t="s">
        <v>4486</v>
      </c>
      <c r="AO210" t="s">
        <v>4487</v>
      </c>
      <c r="AP210" t="s">
        <v>4488</v>
      </c>
      <c r="AQ210" t="s">
        <v>74</v>
      </c>
      <c r="AR210" t="s">
        <v>4489</v>
      </c>
      <c r="AS210" t="s">
        <v>4490</v>
      </c>
      <c r="AT210" t="s">
        <v>237</v>
      </c>
      <c r="AU210">
        <v>2019</v>
      </c>
      <c r="AV210">
        <v>56</v>
      </c>
      <c r="AW210" t="s">
        <v>74</v>
      </c>
      <c r="AX210" t="s">
        <v>74</v>
      </c>
      <c r="AY210" t="s">
        <v>74</v>
      </c>
      <c r="AZ210" t="s">
        <v>74</v>
      </c>
      <c r="BA210" t="s">
        <v>74</v>
      </c>
      <c r="BB210">
        <v>116</v>
      </c>
      <c r="BC210">
        <v>125</v>
      </c>
      <c r="BD210" t="s">
        <v>74</v>
      </c>
      <c r="BE210" t="s">
        <v>4491</v>
      </c>
      <c r="BF210" t="str">
        <f>HYPERLINK("http://dx.doi.org/10.1016/j.techsoc.2018.09.010","http://dx.doi.org/10.1016/j.techsoc.2018.09.010")</f>
        <v>http://dx.doi.org/10.1016/j.techsoc.2018.09.010</v>
      </c>
      <c r="BG210" t="s">
        <v>74</v>
      </c>
      <c r="BH210" t="s">
        <v>74</v>
      </c>
      <c r="BI210">
        <v>10</v>
      </c>
      <c r="BJ210" t="s">
        <v>4492</v>
      </c>
      <c r="BK210" t="s">
        <v>4493</v>
      </c>
      <c r="BL210" t="s">
        <v>4494</v>
      </c>
      <c r="BM210" t="s">
        <v>4495</v>
      </c>
      <c r="BN210" t="s">
        <v>74</v>
      </c>
      <c r="BO210" t="s">
        <v>74</v>
      </c>
      <c r="BP210" t="s">
        <v>74</v>
      </c>
      <c r="BQ210" t="s">
        <v>74</v>
      </c>
      <c r="BR210" t="s">
        <v>102</v>
      </c>
      <c r="BS210" t="s">
        <v>4496</v>
      </c>
      <c r="BT210" t="str">
        <f>HYPERLINK("https%3A%2F%2Fwww.webofscience.com%2Fwos%2Fwoscc%2Ffull-record%2FWOS:000458621800011","View Full Record in Web of Science")</f>
        <v>View Full Record in Web of Science</v>
      </c>
    </row>
    <row r="211" spans="1:72" x14ac:dyDescent="0.25">
      <c r="A211" t="s">
        <v>72</v>
      </c>
      <c r="B211" t="s">
        <v>4497</v>
      </c>
      <c r="C211" t="s">
        <v>74</v>
      </c>
      <c r="D211" t="s">
        <v>74</v>
      </c>
      <c r="E211" t="s">
        <v>74</v>
      </c>
      <c r="F211" t="s">
        <v>4498</v>
      </c>
      <c r="G211" t="s">
        <v>74</v>
      </c>
      <c r="H211" t="s">
        <v>74</v>
      </c>
      <c r="I211" t="s">
        <v>4499</v>
      </c>
      <c r="J211" t="s">
        <v>4500</v>
      </c>
      <c r="K211" t="s">
        <v>74</v>
      </c>
      <c r="L211" t="s">
        <v>74</v>
      </c>
      <c r="M211" t="s">
        <v>78</v>
      </c>
      <c r="N211" t="s">
        <v>79</v>
      </c>
      <c r="O211" t="s">
        <v>74</v>
      </c>
      <c r="P211" t="s">
        <v>74</v>
      </c>
      <c r="Q211" t="s">
        <v>74</v>
      </c>
      <c r="R211" t="s">
        <v>74</v>
      </c>
      <c r="S211" t="s">
        <v>74</v>
      </c>
      <c r="T211" t="s">
        <v>4501</v>
      </c>
      <c r="U211" t="s">
        <v>4502</v>
      </c>
      <c r="V211" t="s">
        <v>4503</v>
      </c>
      <c r="W211" t="s">
        <v>4504</v>
      </c>
      <c r="X211" t="s">
        <v>4505</v>
      </c>
      <c r="Y211" t="s">
        <v>4506</v>
      </c>
      <c r="Z211" t="s">
        <v>4507</v>
      </c>
      <c r="AA211" t="s">
        <v>4508</v>
      </c>
      <c r="AB211" t="s">
        <v>74</v>
      </c>
      <c r="AC211" t="s">
        <v>74</v>
      </c>
      <c r="AD211" t="s">
        <v>74</v>
      </c>
      <c r="AE211" t="s">
        <v>74</v>
      </c>
      <c r="AF211" t="s">
        <v>74</v>
      </c>
      <c r="AG211">
        <v>92</v>
      </c>
      <c r="AH211">
        <v>0</v>
      </c>
      <c r="AI211">
        <v>0</v>
      </c>
      <c r="AJ211">
        <v>1</v>
      </c>
      <c r="AK211">
        <v>1</v>
      </c>
      <c r="AL211" t="s">
        <v>479</v>
      </c>
      <c r="AM211" t="s">
        <v>480</v>
      </c>
      <c r="AN211" t="s">
        <v>481</v>
      </c>
      <c r="AO211" t="s">
        <v>4509</v>
      </c>
      <c r="AP211" t="s">
        <v>4510</v>
      </c>
      <c r="AQ211" t="s">
        <v>74</v>
      </c>
      <c r="AR211" t="s">
        <v>4511</v>
      </c>
      <c r="AS211" t="s">
        <v>4512</v>
      </c>
      <c r="AT211" t="s">
        <v>4513</v>
      </c>
      <c r="AU211">
        <v>2025</v>
      </c>
      <c r="AV211">
        <v>25</v>
      </c>
      <c r="AW211">
        <v>4</v>
      </c>
      <c r="AX211" t="s">
        <v>74</v>
      </c>
      <c r="AY211" t="s">
        <v>74</v>
      </c>
      <c r="AZ211" t="s">
        <v>74</v>
      </c>
      <c r="BA211" t="s">
        <v>74</v>
      </c>
      <c r="BB211" t="s">
        <v>74</v>
      </c>
      <c r="BC211" t="s">
        <v>74</v>
      </c>
      <c r="BD211" t="s">
        <v>4514</v>
      </c>
      <c r="BE211" t="s">
        <v>4515</v>
      </c>
      <c r="BF211" t="str">
        <f>HYPERLINK("http://dx.doi.org/10.1002/pa.70089","http://dx.doi.org/10.1002/pa.70089")</f>
        <v>http://dx.doi.org/10.1002/pa.70089</v>
      </c>
      <c r="BG211" t="s">
        <v>74</v>
      </c>
      <c r="BH211" t="s">
        <v>74</v>
      </c>
      <c r="BI211">
        <v>11</v>
      </c>
      <c r="BJ211" t="s">
        <v>3868</v>
      </c>
      <c r="BK211" t="s">
        <v>313</v>
      </c>
      <c r="BL211" t="s">
        <v>3868</v>
      </c>
      <c r="BM211" t="s">
        <v>4516</v>
      </c>
      <c r="BN211" t="s">
        <v>74</v>
      </c>
      <c r="BO211" t="s">
        <v>1205</v>
      </c>
      <c r="BP211" t="s">
        <v>74</v>
      </c>
      <c r="BQ211" t="s">
        <v>74</v>
      </c>
      <c r="BR211" t="s">
        <v>102</v>
      </c>
      <c r="BS211" t="s">
        <v>4517</v>
      </c>
      <c r="BT211" t="str">
        <f>HYPERLINK("https%3A%2F%2Fwww.webofscience.com%2Fwos%2Fwoscc%2Ffull-record%2FWOS:001612885900001","View Full Record in Web of Science")</f>
        <v>View Full Record in Web of Science</v>
      </c>
    </row>
    <row r="212" spans="1:72" x14ac:dyDescent="0.25">
      <c r="A212" t="s">
        <v>72</v>
      </c>
      <c r="B212" t="s">
        <v>4518</v>
      </c>
      <c r="C212" t="s">
        <v>74</v>
      </c>
      <c r="D212" t="s">
        <v>74</v>
      </c>
      <c r="E212" t="s">
        <v>74</v>
      </c>
      <c r="F212" t="s">
        <v>4519</v>
      </c>
      <c r="G212" t="s">
        <v>74</v>
      </c>
      <c r="H212" t="s">
        <v>74</v>
      </c>
      <c r="I212" t="s">
        <v>4520</v>
      </c>
      <c r="J212" t="s">
        <v>4521</v>
      </c>
      <c r="K212" t="s">
        <v>74</v>
      </c>
      <c r="L212" t="s">
        <v>74</v>
      </c>
      <c r="M212" t="s">
        <v>78</v>
      </c>
      <c r="N212" t="s">
        <v>79</v>
      </c>
      <c r="O212" t="s">
        <v>74</v>
      </c>
      <c r="P212" t="s">
        <v>74</v>
      </c>
      <c r="Q212" t="s">
        <v>74</v>
      </c>
      <c r="R212" t="s">
        <v>74</v>
      </c>
      <c r="S212" t="s">
        <v>74</v>
      </c>
      <c r="T212" t="s">
        <v>4522</v>
      </c>
      <c r="U212" t="s">
        <v>4523</v>
      </c>
      <c r="V212" t="s">
        <v>4524</v>
      </c>
      <c r="W212" t="s">
        <v>4525</v>
      </c>
      <c r="X212" t="s">
        <v>4526</v>
      </c>
      <c r="Y212" t="s">
        <v>4527</v>
      </c>
      <c r="Z212" t="s">
        <v>4528</v>
      </c>
      <c r="AA212" t="s">
        <v>74</v>
      </c>
      <c r="AB212" t="s">
        <v>74</v>
      </c>
      <c r="AC212" t="s">
        <v>74</v>
      </c>
      <c r="AD212" t="s">
        <v>74</v>
      </c>
      <c r="AE212" t="s">
        <v>74</v>
      </c>
      <c r="AF212" t="s">
        <v>74</v>
      </c>
      <c r="AG212">
        <v>23</v>
      </c>
      <c r="AH212">
        <v>4</v>
      </c>
      <c r="AI212">
        <v>4</v>
      </c>
      <c r="AJ212">
        <v>0</v>
      </c>
      <c r="AK212">
        <v>2</v>
      </c>
      <c r="AL212" t="s">
        <v>409</v>
      </c>
      <c r="AM212" t="s">
        <v>410</v>
      </c>
      <c r="AN212" t="s">
        <v>411</v>
      </c>
      <c r="AO212" t="s">
        <v>4529</v>
      </c>
      <c r="AP212" t="s">
        <v>4530</v>
      </c>
      <c r="AQ212" t="s">
        <v>74</v>
      </c>
      <c r="AR212" t="s">
        <v>4531</v>
      </c>
      <c r="AS212" t="s">
        <v>4532</v>
      </c>
      <c r="AT212" t="s">
        <v>289</v>
      </c>
      <c r="AU212">
        <v>2016</v>
      </c>
      <c r="AV212">
        <v>15</v>
      </c>
      <c r="AW212">
        <v>2</v>
      </c>
      <c r="AX212" t="s">
        <v>74</v>
      </c>
      <c r="AY212" t="s">
        <v>74</v>
      </c>
      <c r="AZ212" t="s">
        <v>74</v>
      </c>
      <c r="BA212" t="s">
        <v>74</v>
      </c>
      <c r="BB212">
        <v>169</v>
      </c>
      <c r="BC212">
        <v>190</v>
      </c>
      <c r="BD212" t="s">
        <v>74</v>
      </c>
      <c r="BE212" t="s">
        <v>4533</v>
      </c>
      <c r="BF212" t="str">
        <f>HYPERLINK("http://dx.doi.org/10.1177/0972652716645892","http://dx.doi.org/10.1177/0972652716645892")</f>
        <v>http://dx.doi.org/10.1177/0972652716645892</v>
      </c>
      <c r="BG212" t="s">
        <v>74</v>
      </c>
      <c r="BH212" t="s">
        <v>74</v>
      </c>
      <c r="BI212">
        <v>22</v>
      </c>
      <c r="BJ212" t="s">
        <v>268</v>
      </c>
      <c r="BK212" t="s">
        <v>313</v>
      </c>
      <c r="BL212" t="s">
        <v>100</v>
      </c>
      <c r="BM212" t="s">
        <v>4534</v>
      </c>
      <c r="BN212" t="s">
        <v>74</v>
      </c>
      <c r="BO212" t="s">
        <v>74</v>
      </c>
      <c r="BP212" t="s">
        <v>74</v>
      </c>
      <c r="BQ212" t="s">
        <v>74</v>
      </c>
      <c r="BR212" t="s">
        <v>102</v>
      </c>
      <c r="BS212" t="s">
        <v>4535</v>
      </c>
      <c r="BT212" t="str">
        <f>HYPERLINK("https%3A%2F%2Fwww.webofscience.com%2Fwos%2Fwoscc%2Ffull-record%2FWOS:000436731100002","View Full Record in Web of Science")</f>
        <v>View Full Record in Web of Science</v>
      </c>
    </row>
    <row r="213" spans="1:72" x14ac:dyDescent="0.25">
      <c r="A213" t="s">
        <v>72</v>
      </c>
      <c r="B213" t="s">
        <v>4536</v>
      </c>
      <c r="C213" t="s">
        <v>74</v>
      </c>
      <c r="D213" t="s">
        <v>74</v>
      </c>
      <c r="E213" t="s">
        <v>74</v>
      </c>
      <c r="F213" t="s">
        <v>4537</v>
      </c>
      <c r="G213" t="s">
        <v>74</v>
      </c>
      <c r="H213" t="s">
        <v>74</v>
      </c>
      <c r="I213" t="s">
        <v>4538</v>
      </c>
      <c r="J213" t="s">
        <v>4539</v>
      </c>
      <c r="K213" t="s">
        <v>74</v>
      </c>
      <c r="L213" t="s">
        <v>74</v>
      </c>
      <c r="M213" t="s">
        <v>78</v>
      </c>
      <c r="N213" t="s">
        <v>79</v>
      </c>
      <c r="O213" t="s">
        <v>74</v>
      </c>
      <c r="P213" t="s">
        <v>74</v>
      </c>
      <c r="Q213" t="s">
        <v>74</v>
      </c>
      <c r="R213" t="s">
        <v>74</v>
      </c>
      <c r="S213" t="s">
        <v>74</v>
      </c>
      <c r="T213" t="s">
        <v>4540</v>
      </c>
      <c r="U213" t="s">
        <v>4541</v>
      </c>
      <c r="V213" t="s">
        <v>4542</v>
      </c>
      <c r="W213" t="s">
        <v>4543</v>
      </c>
      <c r="X213" t="s">
        <v>4544</v>
      </c>
      <c r="Y213" t="s">
        <v>4545</v>
      </c>
      <c r="Z213" t="s">
        <v>4546</v>
      </c>
      <c r="AA213" t="s">
        <v>74</v>
      </c>
      <c r="AB213" t="s">
        <v>4547</v>
      </c>
      <c r="AC213" t="s">
        <v>74</v>
      </c>
      <c r="AD213" t="s">
        <v>74</v>
      </c>
      <c r="AE213" t="s">
        <v>74</v>
      </c>
      <c r="AF213" t="s">
        <v>74</v>
      </c>
      <c r="AG213">
        <v>117</v>
      </c>
      <c r="AH213">
        <v>2</v>
      </c>
      <c r="AI213">
        <v>3</v>
      </c>
      <c r="AJ213">
        <v>4</v>
      </c>
      <c r="AK213">
        <v>9</v>
      </c>
      <c r="AL213" t="s">
        <v>479</v>
      </c>
      <c r="AM213" t="s">
        <v>480</v>
      </c>
      <c r="AN213" t="s">
        <v>481</v>
      </c>
      <c r="AO213" t="s">
        <v>4548</v>
      </c>
      <c r="AP213" t="s">
        <v>4549</v>
      </c>
      <c r="AQ213" t="s">
        <v>74</v>
      </c>
      <c r="AR213" t="s">
        <v>4550</v>
      </c>
      <c r="AS213" t="s">
        <v>4551</v>
      </c>
      <c r="AT213" t="s">
        <v>605</v>
      </c>
      <c r="AU213">
        <v>2025</v>
      </c>
      <c r="AV213">
        <v>43</v>
      </c>
      <c r="AW213">
        <v>2</v>
      </c>
      <c r="AX213" t="s">
        <v>74</v>
      </c>
      <c r="AY213" t="s">
        <v>74</v>
      </c>
      <c r="AZ213" t="s">
        <v>74</v>
      </c>
      <c r="BA213" t="s">
        <v>74</v>
      </c>
      <c r="BB213" t="s">
        <v>74</v>
      </c>
      <c r="BC213" t="s">
        <v>74</v>
      </c>
      <c r="BD213" t="s">
        <v>74</v>
      </c>
      <c r="BE213" t="s">
        <v>4552</v>
      </c>
      <c r="BF213" t="str">
        <f>HYPERLINK("http://dx.doi.org/10.1111/dpr.12820","http://dx.doi.org/10.1111/dpr.12820")</f>
        <v>http://dx.doi.org/10.1111/dpr.12820</v>
      </c>
      <c r="BG213" t="s">
        <v>74</v>
      </c>
      <c r="BH213" t="s">
        <v>267</v>
      </c>
      <c r="BI213">
        <v>25</v>
      </c>
      <c r="BJ213" t="s">
        <v>1137</v>
      </c>
      <c r="BK213" t="s">
        <v>99</v>
      </c>
      <c r="BL213" t="s">
        <v>1137</v>
      </c>
      <c r="BM213" t="s">
        <v>4553</v>
      </c>
      <c r="BN213" t="s">
        <v>74</v>
      </c>
      <c r="BO213" t="s">
        <v>74</v>
      </c>
      <c r="BP213" t="s">
        <v>74</v>
      </c>
      <c r="BQ213" t="s">
        <v>74</v>
      </c>
      <c r="BR213" t="s">
        <v>102</v>
      </c>
      <c r="BS213" t="s">
        <v>4554</v>
      </c>
      <c r="BT213" t="str">
        <f>HYPERLINK("https%3A%2F%2Fwww.webofscience.com%2Fwos%2Fwoscc%2Ffull-record%2FWOS:001363916500001","View Full Record in Web of Science")</f>
        <v>View Full Record in Web of Science</v>
      </c>
    </row>
    <row r="214" spans="1:72" x14ac:dyDescent="0.25">
      <c r="A214" t="s">
        <v>72</v>
      </c>
      <c r="B214" t="s">
        <v>4555</v>
      </c>
      <c r="C214" t="s">
        <v>74</v>
      </c>
      <c r="D214" t="s">
        <v>74</v>
      </c>
      <c r="E214" t="s">
        <v>74</v>
      </c>
      <c r="F214" t="s">
        <v>4556</v>
      </c>
      <c r="G214" t="s">
        <v>74</v>
      </c>
      <c r="H214" t="s">
        <v>74</v>
      </c>
      <c r="I214" t="s">
        <v>4557</v>
      </c>
      <c r="J214" t="s">
        <v>4558</v>
      </c>
      <c r="K214" t="s">
        <v>74</v>
      </c>
      <c r="L214" t="s">
        <v>74</v>
      </c>
      <c r="M214" t="s">
        <v>78</v>
      </c>
      <c r="N214" t="s">
        <v>79</v>
      </c>
      <c r="O214" t="s">
        <v>74</v>
      </c>
      <c r="P214" t="s">
        <v>74</v>
      </c>
      <c r="Q214" t="s">
        <v>74</v>
      </c>
      <c r="R214" t="s">
        <v>74</v>
      </c>
      <c r="S214" t="s">
        <v>74</v>
      </c>
      <c r="T214" t="s">
        <v>4559</v>
      </c>
      <c r="U214" t="s">
        <v>4560</v>
      </c>
      <c r="V214" t="s">
        <v>4561</v>
      </c>
      <c r="W214" t="s">
        <v>4562</v>
      </c>
      <c r="X214" t="s">
        <v>4563</v>
      </c>
      <c r="Y214" t="s">
        <v>4564</v>
      </c>
      <c r="Z214" t="s">
        <v>4565</v>
      </c>
      <c r="AA214" t="s">
        <v>74</v>
      </c>
      <c r="AB214" t="s">
        <v>4566</v>
      </c>
      <c r="AC214" t="s">
        <v>4567</v>
      </c>
      <c r="AD214" t="s">
        <v>4568</v>
      </c>
      <c r="AE214" t="s">
        <v>4569</v>
      </c>
      <c r="AF214" t="s">
        <v>74</v>
      </c>
      <c r="AG214">
        <v>39</v>
      </c>
      <c r="AH214">
        <v>40</v>
      </c>
      <c r="AI214">
        <v>44</v>
      </c>
      <c r="AJ214">
        <v>0</v>
      </c>
      <c r="AK214">
        <v>10</v>
      </c>
      <c r="AL214" t="s">
        <v>230</v>
      </c>
      <c r="AM214" t="s">
        <v>231</v>
      </c>
      <c r="AN214" t="s">
        <v>232</v>
      </c>
      <c r="AO214" t="s">
        <v>4570</v>
      </c>
      <c r="AP214" t="s">
        <v>4571</v>
      </c>
      <c r="AQ214" t="s">
        <v>74</v>
      </c>
      <c r="AR214" t="s">
        <v>4572</v>
      </c>
      <c r="AS214" t="s">
        <v>4573</v>
      </c>
      <c r="AT214" t="s">
        <v>848</v>
      </c>
      <c r="AU214">
        <v>2021</v>
      </c>
      <c r="AV214">
        <v>280</v>
      </c>
      <c r="AW214" t="s">
        <v>74</v>
      </c>
      <c r="AX214" t="s">
        <v>74</v>
      </c>
      <c r="AY214" t="s">
        <v>74</v>
      </c>
      <c r="AZ214" t="s">
        <v>74</v>
      </c>
      <c r="BA214" t="s">
        <v>74</v>
      </c>
      <c r="BB214" t="s">
        <v>74</v>
      </c>
      <c r="BC214" t="s">
        <v>74</v>
      </c>
      <c r="BD214">
        <v>113982</v>
      </c>
      <c r="BE214" t="s">
        <v>4574</v>
      </c>
      <c r="BF214" t="str">
        <f>HYPERLINK("http://dx.doi.org/10.1016/j.socscimed.2021.113982","http://dx.doi.org/10.1016/j.socscimed.2021.113982")</f>
        <v>http://dx.doi.org/10.1016/j.socscimed.2021.113982</v>
      </c>
      <c r="BG214" t="s">
        <v>74</v>
      </c>
      <c r="BH214" t="s">
        <v>4575</v>
      </c>
      <c r="BI214">
        <v>11</v>
      </c>
      <c r="BJ214" t="s">
        <v>4576</v>
      </c>
      <c r="BK214" t="s">
        <v>2623</v>
      </c>
      <c r="BL214" t="s">
        <v>4577</v>
      </c>
      <c r="BM214" t="s">
        <v>4578</v>
      </c>
      <c r="BN214">
        <v>34023710</v>
      </c>
      <c r="BO214" t="s">
        <v>466</v>
      </c>
      <c r="BP214" t="s">
        <v>74</v>
      </c>
      <c r="BQ214" t="s">
        <v>74</v>
      </c>
      <c r="BR214" t="s">
        <v>102</v>
      </c>
      <c r="BS214" t="s">
        <v>4579</v>
      </c>
      <c r="BT214" t="str">
        <f>HYPERLINK("https%3A%2F%2Fwww.webofscience.com%2Fwos%2Fwoscc%2Ffull-record%2FWOS:000661374900020","View Full Record in Web of Science")</f>
        <v>View Full Record in Web of Science</v>
      </c>
    </row>
    <row r="215" spans="1:72" x14ac:dyDescent="0.25">
      <c r="A215" t="s">
        <v>72</v>
      </c>
      <c r="B215" t="s">
        <v>4580</v>
      </c>
      <c r="C215" t="s">
        <v>74</v>
      </c>
      <c r="D215" t="s">
        <v>74</v>
      </c>
      <c r="E215" t="s">
        <v>74</v>
      </c>
      <c r="F215" t="s">
        <v>4581</v>
      </c>
      <c r="G215" t="s">
        <v>74</v>
      </c>
      <c r="H215" t="s">
        <v>74</v>
      </c>
      <c r="I215" t="s">
        <v>4582</v>
      </c>
      <c r="J215" t="s">
        <v>612</v>
      </c>
      <c r="K215" t="s">
        <v>74</v>
      </c>
      <c r="L215" t="s">
        <v>74</v>
      </c>
      <c r="M215" t="s">
        <v>78</v>
      </c>
      <c r="N215" t="s">
        <v>79</v>
      </c>
      <c r="O215" t="s">
        <v>74</v>
      </c>
      <c r="P215" t="s">
        <v>74</v>
      </c>
      <c r="Q215" t="s">
        <v>74</v>
      </c>
      <c r="R215" t="s">
        <v>74</v>
      </c>
      <c r="S215" t="s">
        <v>74</v>
      </c>
      <c r="T215" t="s">
        <v>4583</v>
      </c>
      <c r="U215" t="s">
        <v>4584</v>
      </c>
      <c r="V215" t="s">
        <v>4585</v>
      </c>
      <c r="W215" t="s">
        <v>4586</v>
      </c>
      <c r="X215" t="s">
        <v>3960</v>
      </c>
      <c r="Y215" t="s">
        <v>4587</v>
      </c>
      <c r="Z215" t="s">
        <v>4588</v>
      </c>
      <c r="AA215" t="s">
        <v>74</v>
      </c>
      <c r="AB215" t="s">
        <v>74</v>
      </c>
      <c r="AC215" t="s">
        <v>74</v>
      </c>
      <c r="AD215" t="s">
        <v>74</v>
      </c>
      <c r="AE215" t="s">
        <v>74</v>
      </c>
      <c r="AF215" t="s">
        <v>74</v>
      </c>
      <c r="AG215">
        <v>78</v>
      </c>
      <c r="AH215">
        <v>0</v>
      </c>
      <c r="AI215">
        <v>1</v>
      </c>
      <c r="AJ215">
        <v>0</v>
      </c>
      <c r="AK215">
        <v>4</v>
      </c>
      <c r="AL215" t="s">
        <v>620</v>
      </c>
      <c r="AM215" t="s">
        <v>621</v>
      </c>
      <c r="AN215" t="s">
        <v>622</v>
      </c>
      <c r="AO215" t="s">
        <v>623</v>
      </c>
      <c r="AP215" t="s">
        <v>624</v>
      </c>
      <c r="AQ215" t="s">
        <v>74</v>
      </c>
      <c r="AR215" t="s">
        <v>625</v>
      </c>
      <c r="AS215" t="s">
        <v>626</v>
      </c>
      <c r="AT215" t="s">
        <v>74</v>
      </c>
      <c r="AU215">
        <v>2023</v>
      </c>
      <c r="AV215">
        <v>70</v>
      </c>
      <c r="AW215">
        <v>4</v>
      </c>
      <c r="AX215" t="s">
        <v>74</v>
      </c>
      <c r="AY215" t="s">
        <v>74</v>
      </c>
      <c r="AZ215" t="s">
        <v>74</v>
      </c>
      <c r="BA215" t="s">
        <v>74</v>
      </c>
      <c r="BB215">
        <v>629</v>
      </c>
      <c r="BC215">
        <v>650</v>
      </c>
      <c r="BD215" t="s">
        <v>74</v>
      </c>
      <c r="BE215" t="s">
        <v>4589</v>
      </c>
      <c r="BF215" t="str">
        <f>HYPERLINK("http://dx.doi.org/10.47743/saeb-2023-0036","http://dx.doi.org/10.47743/saeb-2023-0036")</f>
        <v>http://dx.doi.org/10.47743/saeb-2023-0036</v>
      </c>
      <c r="BG215" t="s">
        <v>74</v>
      </c>
      <c r="BH215" t="s">
        <v>74</v>
      </c>
      <c r="BI215">
        <v>22</v>
      </c>
      <c r="BJ215" t="s">
        <v>291</v>
      </c>
      <c r="BK215" t="s">
        <v>313</v>
      </c>
      <c r="BL215" t="s">
        <v>100</v>
      </c>
      <c r="BM215" t="s">
        <v>4590</v>
      </c>
      <c r="BN215" t="s">
        <v>74</v>
      </c>
      <c r="BO215" t="s">
        <v>212</v>
      </c>
      <c r="BP215" t="s">
        <v>74</v>
      </c>
      <c r="BQ215" t="s">
        <v>74</v>
      </c>
      <c r="BR215" t="s">
        <v>102</v>
      </c>
      <c r="BS215" t="s">
        <v>4591</v>
      </c>
      <c r="BT215" t="str">
        <f>HYPERLINK("https%3A%2F%2Fwww.webofscience.com%2Fwos%2Fwoscc%2Ffull-record%2FWOS:001130801200005","View Full Record in Web of Science")</f>
        <v>View Full Record in Web of Science</v>
      </c>
    </row>
    <row r="216" spans="1:72" x14ac:dyDescent="0.25">
      <c r="A216" t="s">
        <v>72</v>
      </c>
      <c r="B216" t="s">
        <v>4592</v>
      </c>
      <c r="C216" t="s">
        <v>74</v>
      </c>
      <c r="D216" t="s">
        <v>74</v>
      </c>
      <c r="E216" t="s">
        <v>74</v>
      </c>
      <c r="F216" t="s">
        <v>4593</v>
      </c>
      <c r="G216" t="s">
        <v>74</v>
      </c>
      <c r="H216" t="s">
        <v>74</v>
      </c>
      <c r="I216" t="s">
        <v>4594</v>
      </c>
      <c r="J216" t="s">
        <v>4595</v>
      </c>
      <c r="K216" t="s">
        <v>74</v>
      </c>
      <c r="L216" t="s">
        <v>74</v>
      </c>
      <c r="M216" t="s">
        <v>78</v>
      </c>
      <c r="N216" t="s">
        <v>79</v>
      </c>
      <c r="O216" t="s">
        <v>74</v>
      </c>
      <c r="P216" t="s">
        <v>74</v>
      </c>
      <c r="Q216" t="s">
        <v>74</v>
      </c>
      <c r="R216" t="s">
        <v>74</v>
      </c>
      <c r="S216" t="s">
        <v>74</v>
      </c>
      <c r="T216" t="s">
        <v>4596</v>
      </c>
      <c r="U216" t="s">
        <v>4597</v>
      </c>
      <c r="V216" t="s">
        <v>4598</v>
      </c>
      <c r="W216" t="s">
        <v>4599</v>
      </c>
      <c r="X216" t="s">
        <v>4600</v>
      </c>
      <c r="Y216" t="s">
        <v>4601</v>
      </c>
      <c r="Z216" t="s">
        <v>4602</v>
      </c>
      <c r="AA216" t="s">
        <v>4603</v>
      </c>
      <c r="AB216" t="s">
        <v>4604</v>
      </c>
      <c r="AC216" t="s">
        <v>74</v>
      </c>
      <c r="AD216" t="s">
        <v>74</v>
      </c>
      <c r="AE216" t="s">
        <v>74</v>
      </c>
      <c r="AF216" t="s">
        <v>74</v>
      </c>
      <c r="AG216">
        <v>74</v>
      </c>
      <c r="AH216">
        <v>1</v>
      </c>
      <c r="AI216">
        <v>2</v>
      </c>
      <c r="AJ216">
        <v>2</v>
      </c>
      <c r="AK216">
        <v>7</v>
      </c>
      <c r="AL216" t="s">
        <v>4605</v>
      </c>
      <c r="AM216" t="s">
        <v>4280</v>
      </c>
      <c r="AN216" t="s">
        <v>4606</v>
      </c>
      <c r="AO216" t="s">
        <v>4607</v>
      </c>
      <c r="AP216" t="s">
        <v>4608</v>
      </c>
      <c r="AQ216" t="s">
        <v>74</v>
      </c>
      <c r="AR216" t="s">
        <v>4609</v>
      </c>
      <c r="AS216" t="s">
        <v>4610</v>
      </c>
      <c r="AT216" t="s">
        <v>4611</v>
      </c>
      <c r="AU216">
        <v>2024</v>
      </c>
      <c r="AV216">
        <v>10</v>
      </c>
      <c r="AW216">
        <v>4</v>
      </c>
      <c r="AX216" t="s">
        <v>74</v>
      </c>
      <c r="AY216" t="s">
        <v>74</v>
      </c>
      <c r="AZ216" t="s">
        <v>74</v>
      </c>
      <c r="BA216" t="s">
        <v>74</v>
      </c>
      <c r="BB216">
        <v>56</v>
      </c>
      <c r="BC216">
        <v>79</v>
      </c>
      <c r="BD216" t="s">
        <v>74</v>
      </c>
      <c r="BE216" t="s">
        <v>4612</v>
      </c>
      <c r="BF216" t="str">
        <f>HYPERLINK("http://dx.doi.org/10.18559/ebr.2024.4.1668","http://dx.doi.org/10.18559/ebr.2024.4.1668")</f>
        <v>http://dx.doi.org/10.18559/ebr.2024.4.1668</v>
      </c>
      <c r="BG216" t="s">
        <v>74</v>
      </c>
      <c r="BH216" t="s">
        <v>74</v>
      </c>
      <c r="BI216">
        <v>24</v>
      </c>
      <c r="BJ216" t="s">
        <v>291</v>
      </c>
      <c r="BK216" t="s">
        <v>313</v>
      </c>
      <c r="BL216" t="s">
        <v>100</v>
      </c>
      <c r="BM216" t="s">
        <v>4613</v>
      </c>
      <c r="BN216" t="s">
        <v>74</v>
      </c>
      <c r="BO216" t="s">
        <v>212</v>
      </c>
      <c r="BP216" t="s">
        <v>74</v>
      </c>
      <c r="BQ216" t="s">
        <v>74</v>
      </c>
      <c r="BR216" t="s">
        <v>102</v>
      </c>
      <c r="BS216" t="s">
        <v>4614</v>
      </c>
      <c r="BT216" t="str">
        <f>HYPERLINK("https%3A%2F%2Fwww.webofscience.com%2Fwos%2Fwoscc%2Ffull-record%2FWOS:001393377100008","View Full Record in Web of Science")</f>
        <v>View Full Record in Web of Science</v>
      </c>
    </row>
    <row r="217" spans="1:72" x14ac:dyDescent="0.25">
      <c r="A217" t="s">
        <v>72</v>
      </c>
      <c r="B217" t="s">
        <v>4615</v>
      </c>
      <c r="C217" t="s">
        <v>74</v>
      </c>
      <c r="D217" t="s">
        <v>74</v>
      </c>
      <c r="E217" t="s">
        <v>74</v>
      </c>
      <c r="F217" t="s">
        <v>4616</v>
      </c>
      <c r="G217" t="s">
        <v>74</v>
      </c>
      <c r="H217" t="s">
        <v>74</v>
      </c>
      <c r="I217" t="s">
        <v>4617</v>
      </c>
      <c r="J217" t="s">
        <v>4618</v>
      </c>
      <c r="K217" t="s">
        <v>74</v>
      </c>
      <c r="L217" t="s">
        <v>74</v>
      </c>
      <c r="M217" t="s">
        <v>78</v>
      </c>
      <c r="N217" t="s">
        <v>79</v>
      </c>
      <c r="O217" t="s">
        <v>74</v>
      </c>
      <c r="P217" t="s">
        <v>74</v>
      </c>
      <c r="Q217" t="s">
        <v>74</v>
      </c>
      <c r="R217" t="s">
        <v>74</v>
      </c>
      <c r="S217" t="s">
        <v>74</v>
      </c>
      <c r="T217" t="s">
        <v>4619</v>
      </c>
      <c r="U217" t="s">
        <v>4620</v>
      </c>
      <c r="V217" t="s">
        <v>4621</v>
      </c>
      <c r="W217" t="s">
        <v>4622</v>
      </c>
      <c r="X217" t="s">
        <v>74</v>
      </c>
      <c r="Y217" t="s">
        <v>4623</v>
      </c>
      <c r="Z217" t="s">
        <v>4624</v>
      </c>
      <c r="AA217" t="s">
        <v>4625</v>
      </c>
      <c r="AB217" t="s">
        <v>4626</v>
      </c>
      <c r="AC217" t="s">
        <v>74</v>
      </c>
      <c r="AD217" t="s">
        <v>74</v>
      </c>
      <c r="AE217" t="s">
        <v>74</v>
      </c>
      <c r="AF217" t="s">
        <v>74</v>
      </c>
      <c r="AG217">
        <v>36</v>
      </c>
      <c r="AH217">
        <v>26</v>
      </c>
      <c r="AI217">
        <v>39</v>
      </c>
      <c r="AJ217">
        <v>0</v>
      </c>
      <c r="AK217">
        <v>26</v>
      </c>
      <c r="AL217" t="s">
        <v>89</v>
      </c>
      <c r="AM217" t="s">
        <v>1497</v>
      </c>
      <c r="AN217" t="s">
        <v>1498</v>
      </c>
      <c r="AO217" t="s">
        <v>4627</v>
      </c>
      <c r="AP217" t="s">
        <v>4628</v>
      </c>
      <c r="AQ217" t="s">
        <v>74</v>
      </c>
      <c r="AR217" t="s">
        <v>4629</v>
      </c>
      <c r="AS217" t="s">
        <v>4630</v>
      </c>
      <c r="AT217" t="s">
        <v>74</v>
      </c>
      <c r="AU217">
        <v>2018</v>
      </c>
      <c r="AV217">
        <v>11</v>
      </c>
      <c r="AW217">
        <v>4</v>
      </c>
      <c r="AX217" t="s">
        <v>74</v>
      </c>
      <c r="AY217" t="s">
        <v>74</v>
      </c>
      <c r="AZ217" t="s">
        <v>74</v>
      </c>
      <c r="BA217" t="s">
        <v>74</v>
      </c>
      <c r="BB217">
        <v>553</v>
      </c>
      <c r="BC217">
        <v>574</v>
      </c>
      <c r="BD217" t="s">
        <v>74</v>
      </c>
      <c r="BE217" t="s">
        <v>4631</v>
      </c>
      <c r="BF217" t="str">
        <f>HYPERLINK("http://dx.doi.org/10.1108/IMEFM-06-2017-0153","http://dx.doi.org/10.1108/IMEFM-06-2017-0153")</f>
        <v>http://dx.doi.org/10.1108/IMEFM-06-2017-0153</v>
      </c>
      <c r="BG217" t="s">
        <v>74</v>
      </c>
      <c r="BH217" t="s">
        <v>74</v>
      </c>
      <c r="BI217">
        <v>22</v>
      </c>
      <c r="BJ217" t="s">
        <v>4632</v>
      </c>
      <c r="BK217" t="s">
        <v>99</v>
      </c>
      <c r="BL217" t="s">
        <v>100</v>
      </c>
      <c r="BM217" t="s">
        <v>4633</v>
      </c>
      <c r="BN217" t="s">
        <v>74</v>
      </c>
      <c r="BO217" t="s">
        <v>74</v>
      </c>
      <c r="BP217" t="s">
        <v>74</v>
      </c>
      <c r="BQ217" t="s">
        <v>74</v>
      </c>
      <c r="BR217" t="s">
        <v>102</v>
      </c>
      <c r="BS217" t="s">
        <v>4634</v>
      </c>
      <c r="BT217" t="str">
        <f>HYPERLINK("https%3A%2F%2Fwww.webofscience.com%2Fwos%2Fwoscc%2Ffull-record%2FWOS:000453898100003","View Full Record in Web of Science")</f>
        <v>View Full Record in Web of Science</v>
      </c>
    </row>
    <row r="218" spans="1:72" x14ac:dyDescent="0.25">
      <c r="A218" t="s">
        <v>72</v>
      </c>
      <c r="B218" t="s">
        <v>4635</v>
      </c>
      <c r="C218" t="s">
        <v>74</v>
      </c>
      <c r="D218" t="s">
        <v>74</v>
      </c>
      <c r="E218" t="s">
        <v>74</v>
      </c>
      <c r="F218" t="s">
        <v>4636</v>
      </c>
      <c r="G218" t="s">
        <v>74</v>
      </c>
      <c r="H218" t="s">
        <v>74</v>
      </c>
      <c r="I218" t="s">
        <v>4637</v>
      </c>
      <c r="J218" t="s">
        <v>4638</v>
      </c>
      <c r="K218" t="s">
        <v>74</v>
      </c>
      <c r="L218" t="s">
        <v>74</v>
      </c>
      <c r="M218" t="s">
        <v>78</v>
      </c>
      <c r="N218" t="s">
        <v>79</v>
      </c>
      <c r="O218" t="s">
        <v>74</v>
      </c>
      <c r="P218" t="s">
        <v>74</v>
      </c>
      <c r="Q218" t="s">
        <v>74</v>
      </c>
      <c r="R218" t="s">
        <v>74</v>
      </c>
      <c r="S218" t="s">
        <v>74</v>
      </c>
      <c r="T218" t="s">
        <v>4639</v>
      </c>
      <c r="U218" t="s">
        <v>4640</v>
      </c>
      <c r="V218" t="s">
        <v>4641</v>
      </c>
      <c r="W218" t="s">
        <v>4642</v>
      </c>
      <c r="X218" t="s">
        <v>4643</v>
      </c>
      <c r="Y218" t="s">
        <v>4644</v>
      </c>
      <c r="Z218" t="s">
        <v>74</v>
      </c>
      <c r="AA218" t="s">
        <v>74</v>
      </c>
      <c r="AB218" t="s">
        <v>4645</v>
      </c>
      <c r="AC218" t="s">
        <v>74</v>
      </c>
      <c r="AD218" t="s">
        <v>74</v>
      </c>
      <c r="AE218" t="s">
        <v>74</v>
      </c>
      <c r="AF218" t="s">
        <v>74</v>
      </c>
      <c r="AG218">
        <v>47</v>
      </c>
      <c r="AH218">
        <v>5</v>
      </c>
      <c r="AI218">
        <v>6</v>
      </c>
      <c r="AJ218">
        <v>0</v>
      </c>
      <c r="AK218">
        <v>6</v>
      </c>
      <c r="AL218" t="s">
        <v>332</v>
      </c>
      <c r="AM218" t="s">
        <v>333</v>
      </c>
      <c r="AN218" t="s">
        <v>334</v>
      </c>
      <c r="AO218" t="s">
        <v>4646</v>
      </c>
      <c r="AP218" t="s">
        <v>4647</v>
      </c>
      <c r="AQ218" t="s">
        <v>74</v>
      </c>
      <c r="AR218" t="s">
        <v>4648</v>
      </c>
      <c r="AS218" t="s">
        <v>4649</v>
      </c>
      <c r="AT218" t="s">
        <v>1693</v>
      </c>
      <c r="AU218">
        <v>2023</v>
      </c>
      <c r="AV218">
        <v>52</v>
      </c>
      <c r="AW218">
        <v>2</v>
      </c>
      <c r="AX218" t="s">
        <v>74</v>
      </c>
      <c r="AY218" t="s">
        <v>74</v>
      </c>
      <c r="AZ218" t="s">
        <v>74</v>
      </c>
      <c r="BA218" t="s">
        <v>74</v>
      </c>
      <c r="BB218">
        <v>203</v>
      </c>
      <c r="BC218">
        <v>218</v>
      </c>
      <c r="BD218" t="s">
        <v>74</v>
      </c>
      <c r="BE218" t="s">
        <v>4650</v>
      </c>
      <c r="BF218" t="str">
        <f>HYPERLINK("http://dx.doi.org/10.1080/07360932.2021.1999297","http://dx.doi.org/10.1080/07360932.2021.1999297")</f>
        <v>http://dx.doi.org/10.1080/07360932.2021.1999297</v>
      </c>
      <c r="BG218" t="s">
        <v>74</v>
      </c>
      <c r="BH218" t="s">
        <v>4651</v>
      </c>
      <c r="BI218">
        <v>16</v>
      </c>
      <c r="BJ218" t="s">
        <v>291</v>
      </c>
      <c r="BK218" t="s">
        <v>313</v>
      </c>
      <c r="BL218" t="s">
        <v>100</v>
      </c>
      <c r="BM218" t="s">
        <v>4652</v>
      </c>
      <c r="BN218" t="s">
        <v>74</v>
      </c>
      <c r="BO218" t="s">
        <v>74</v>
      </c>
      <c r="BP218" t="s">
        <v>74</v>
      </c>
      <c r="BQ218" t="s">
        <v>74</v>
      </c>
      <c r="BR218" t="s">
        <v>102</v>
      </c>
      <c r="BS218" t="s">
        <v>4653</v>
      </c>
      <c r="BT218" t="str">
        <f>HYPERLINK("https%3A%2F%2Fwww.webofscience.com%2Fwos%2Fwoscc%2Ffull-record%2FWOS:000714788100001","View Full Record in Web of Science")</f>
        <v>View Full Record in Web of Science</v>
      </c>
    </row>
    <row r="219" spans="1:72" x14ac:dyDescent="0.25">
      <c r="A219" t="s">
        <v>72</v>
      </c>
      <c r="B219" t="s">
        <v>4654</v>
      </c>
      <c r="C219" t="s">
        <v>74</v>
      </c>
      <c r="D219" t="s">
        <v>74</v>
      </c>
      <c r="E219" t="s">
        <v>74</v>
      </c>
      <c r="F219" t="s">
        <v>4655</v>
      </c>
      <c r="G219" t="s">
        <v>74</v>
      </c>
      <c r="H219" t="s">
        <v>74</v>
      </c>
      <c r="I219" t="s">
        <v>4656</v>
      </c>
      <c r="J219" t="s">
        <v>4657</v>
      </c>
      <c r="K219" t="s">
        <v>74</v>
      </c>
      <c r="L219" t="s">
        <v>74</v>
      </c>
      <c r="M219" t="s">
        <v>78</v>
      </c>
      <c r="N219" t="s">
        <v>79</v>
      </c>
      <c r="O219" t="s">
        <v>74</v>
      </c>
      <c r="P219" t="s">
        <v>74</v>
      </c>
      <c r="Q219" t="s">
        <v>74</v>
      </c>
      <c r="R219" t="s">
        <v>74</v>
      </c>
      <c r="S219" t="s">
        <v>74</v>
      </c>
      <c r="T219" t="s">
        <v>4658</v>
      </c>
      <c r="U219" t="s">
        <v>4659</v>
      </c>
      <c r="V219" t="s">
        <v>4660</v>
      </c>
      <c r="W219" t="s">
        <v>4661</v>
      </c>
      <c r="X219" t="s">
        <v>4662</v>
      </c>
      <c r="Y219" t="s">
        <v>4663</v>
      </c>
      <c r="Z219" t="s">
        <v>4664</v>
      </c>
      <c r="AA219" t="s">
        <v>74</v>
      </c>
      <c r="AB219" t="s">
        <v>4665</v>
      </c>
      <c r="AC219" t="s">
        <v>74</v>
      </c>
      <c r="AD219" t="s">
        <v>74</v>
      </c>
      <c r="AE219" t="s">
        <v>74</v>
      </c>
      <c r="AF219" t="s">
        <v>74</v>
      </c>
      <c r="AG219">
        <v>38</v>
      </c>
      <c r="AH219">
        <v>0</v>
      </c>
      <c r="AI219">
        <v>0</v>
      </c>
      <c r="AJ219">
        <v>0</v>
      </c>
      <c r="AK219">
        <v>0</v>
      </c>
      <c r="AL219" t="s">
        <v>4666</v>
      </c>
      <c r="AM219" t="s">
        <v>995</v>
      </c>
      <c r="AN219" t="s">
        <v>4025</v>
      </c>
      <c r="AO219" t="s">
        <v>74</v>
      </c>
      <c r="AP219" t="s">
        <v>4667</v>
      </c>
      <c r="AQ219" t="s">
        <v>74</v>
      </c>
      <c r="AR219" t="s">
        <v>4668</v>
      </c>
      <c r="AS219" t="s">
        <v>4669</v>
      </c>
      <c r="AT219" t="s">
        <v>4670</v>
      </c>
      <c r="AU219">
        <v>2025</v>
      </c>
      <c r="AV219">
        <v>6</v>
      </c>
      <c r="AW219">
        <v>1</v>
      </c>
      <c r="AX219" t="s">
        <v>74</v>
      </c>
      <c r="AY219" t="s">
        <v>74</v>
      </c>
      <c r="AZ219" t="s">
        <v>74</v>
      </c>
      <c r="BA219" t="s">
        <v>74</v>
      </c>
      <c r="BB219" t="s">
        <v>74</v>
      </c>
      <c r="BC219" t="s">
        <v>74</v>
      </c>
      <c r="BD219">
        <v>791</v>
      </c>
      <c r="BE219" t="s">
        <v>4671</v>
      </c>
      <c r="BF219" t="str">
        <f>HYPERLINK("http://dx.doi.org/10.1007/s43621-025-01689-6","http://dx.doi.org/10.1007/s43621-025-01689-6")</f>
        <v>http://dx.doi.org/10.1007/s43621-025-01689-6</v>
      </c>
      <c r="BG219" t="s">
        <v>74</v>
      </c>
      <c r="BH219" t="s">
        <v>74</v>
      </c>
      <c r="BI219">
        <v>17</v>
      </c>
      <c r="BJ219" t="s">
        <v>3247</v>
      </c>
      <c r="BK219" t="s">
        <v>313</v>
      </c>
      <c r="BL219" t="s">
        <v>3248</v>
      </c>
      <c r="BM219" t="s">
        <v>4672</v>
      </c>
      <c r="BN219" t="s">
        <v>74</v>
      </c>
      <c r="BO219" t="s">
        <v>916</v>
      </c>
      <c r="BP219" t="s">
        <v>74</v>
      </c>
      <c r="BQ219" t="s">
        <v>74</v>
      </c>
      <c r="BR219" t="s">
        <v>102</v>
      </c>
      <c r="BS219" t="s">
        <v>4673</v>
      </c>
      <c r="BT219" t="str">
        <f>HYPERLINK("https%3A%2F%2Fwww.webofscience.com%2Fwos%2Fwoscc%2Ffull-record%2FWOS:001548559900004","View Full Record in Web of Science")</f>
        <v>View Full Record in Web of Science</v>
      </c>
    </row>
    <row r="220" spans="1:72" x14ac:dyDescent="0.25">
      <c r="A220" t="s">
        <v>132</v>
      </c>
      <c r="B220" t="s">
        <v>4674</v>
      </c>
      <c r="C220" t="s">
        <v>74</v>
      </c>
      <c r="D220" t="s">
        <v>4675</v>
      </c>
      <c r="E220" t="s">
        <v>74</v>
      </c>
      <c r="F220" t="s">
        <v>4676</v>
      </c>
      <c r="G220" t="s">
        <v>74</v>
      </c>
      <c r="H220" t="s">
        <v>74</v>
      </c>
      <c r="I220" t="s">
        <v>4677</v>
      </c>
      <c r="J220" t="s">
        <v>4678</v>
      </c>
      <c r="K220" t="s">
        <v>2425</v>
      </c>
      <c r="L220" t="s">
        <v>74</v>
      </c>
      <c r="M220" t="s">
        <v>78</v>
      </c>
      <c r="N220" t="s">
        <v>138</v>
      </c>
      <c r="O220" t="s">
        <v>4679</v>
      </c>
      <c r="P220" t="s">
        <v>4680</v>
      </c>
      <c r="Q220" t="s">
        <v>4681</v>
      </c>
      <c r="R220" t="s">
        <v>4682</v>
      </c>
      <c r="S220" t="s">
        <v>74</v>
      </c>
      <c r="T220" t="s">
        <v>4683</v>
      </c>
      <c r="U220" t="s">
        <v>4684</v>
      </c>
      <c r="V220" t="s">
        <v>4685</v>
      </c>
      <c r="W220" t="s">
        <v>4686</v>
      </c>
      <c r="X220" t="s">
        <v>4687</v>
      </c>
      <c r="Y220" t="s">
        <v>4688</v>
      </c>
      <c r="Z220" t="s">
        <v>4689</v>
      </c>
      <c r="AA220" t="s">
        <v>4690</v>
      </c>
      <c r="AB220" t="s">
        <v>4691</v>
      </c>
      <c r="AC220" t="s">
        <v>74</v>
      </c>
      <c r="AD220" t="s">
        <v>74</v>
      </c>
      <c r="AE220" t="s">
        <v>74</v>
      </c>
      <c r="AF220" t="s">
        <v>74</v>
      </c>
      <c r="AG220">
        <v>77</v>
      </c>
      <c r="AH220">
        <v>6</v>
      </c>
      <c r="AI220">
        <v>7</v>
      </c>
      <c r="AJ220">
        <v>1</v>
      </c>
      <c r="AK220">
        <v>33</v>
      </c>
      <c r="AL220" t="s">
        <v>1062</v>
      </c>
      <c r="AM220" t="s">
        <v>667</v>
      </c>
      <c r="AN220" t="s">
        <v>668</v>
      </c>
      <c r="AO220" t="s">
        <v>2437</v>
      </c>
      <c r="AP220" t="s">
        <v>2438</v>
      </c>
      <c r="AQ220" t="s">
        <v>4692</v>
      </c>
      <c r="AR220" t="s">
        <v>2440</v>
      </c>
      <c r="AS220" t="s">
        <v>74</v>
      </c>
      <c r="AT220" t="s">
        <v>74</v>
      </c>
      <c r="AU220">
        <v>2018</v>
      </c>
      <c r="AV220">
        <v>10694</v>
      </c>
      <c r="AW220" t="s">
        <v>74</v>
      </c>
      <c r="AX220" t="s">
        <v>74</v>
      </c>
      <c r="AY220" t="s">
        <v>74</v>
      </c>
      <c r="AZ220" t="s">
        <v>74</v>
      </c>
      <c r="BA220" t="s">
        <v>74</v>
      </c>
      <c r="BB220">
        <v>187</v>
      </c>
      <c r="BC220">
        <v>202</v>
      </c>
      <c r="BD220" t="s">
        <v>74</v>
      </c>
      <c r="BE220" t="s">
        <v>4693</v>
      </c>
      <c r="BF220" t="str">
        <f>HYPERLINK("http://dx.doi.org/10.1007/978-3-319-76687-4_13","http://dx.doi.org/10.1007/978-3-319-76687-4_13")</f>
        <v>http://dx.doi.org/10.1007/978-3-319-76687-4_13</v>
      </c>
      <c r="BG220" t="s">
        <v>74</v>
      </c>
      <c r="BH220" t="s">
        <v>74</v>
      </c>
      <c r="BI220">
        <v>16</v>
      </c>
      <c r="BJ220" t="s">
        <v>4694</v>
      </c>
      <c r="BK220" t="s">
        <v>156</v>
      </c>
      <c r="BL220" t="s">
        <v>157</v>
      </c>
      <c r="BM220" t="s">
        <v>4695</v>
      </c>
      <c r="BN220" t="s">
        <v>74</v>
      </c>
      <c r="BO220" t="s">
        <v>1696</v>
      </c>
      <c r="BP220" t="s">
        <v>74</v>
      </c>
      <c r="BQ220" t="s">
        <v>74</v>
      </c>
      <c r="BR220" t="s">
        <v>102</v>
      </c>
      <c r="BS220" t="s">
        <v>4696</v>
      </c>
      <c r="BT220" t="str">
        <f>HYPERLINK("https%3A%2F%2Fwww.webofscience.com%2Fwos%2Fwoscc%2Ffull-record%2FWOS:000432713600013","View Full Record in Web of Science")</f>
        <v>View Full Record in Web of Science</v>
      </c>
    </row>
    <row r="221" spans="1:72" x14ac:dyDescent="0.25">
      <c r="A221" t="s">
        <v>72</v>
      </c>
      <c r="B221" t="s">
        <v>4697</v>
      </c>
      <c r="C221" t="s">
        <v>74</v>
      </c>
      <c r="D221" t="s">
        <v>74</v>
      </c>
      <c r="E221" t="s">
        <v>74</v>
      </c>
      <c r="F221" t="s">
        <v>4698</v>
      </c>
      <c r="G221" t="s">
        <v>74</v>
      </c>
      <c r="H221" t="s">
        <v>74</v>
      </c>
      <c r="I221" t="s">
        <v>4699</v>
      </c>
      <c r="J221" t="s">
        <v>4700</v>
      </c>
      <c r="K221" t="s">
        <v>74</v>
      </c>
      <c r="L221" t="s">
        <v>74</v>
      </c>
      <c r="M221" t="s">
        <v>78</v>
      </c>
      <c r="N221" t="s">
        <v>372</v>
      </c>
      <c r="O221" t="s">
        <v>74</v>
      </c>
      <c r="P221" t="s">
        <v>74</v>
      </c>
      <c r="Q221" t="s">
        <v>74</v>
      </c>
      <c r="R221" t="s">
        <v>74</v>
      </c>
      <c r="S221" t="s">
        <v>74</v>
      </c>
      <c r="T221" t="s">
        <v>4701</v>
      </c>
      <c r="U221" t="s">
        <v>4702</v>
      </c>
      <c r="V221" t="s">
        <v>4703</v>
      </c>
      <c r="W221" t="s">
        <v>4704</v>
      </c>
      <c r="X221" t="s">
        <v>4705</v>
      </c>
      <c r="Y221" t="s">
        <v>4706</v>
      </c>
      <c r="Z221" t="s">
        <v>4707</v>
      </c>
      <c r="AA221" t="s">
        <v>74</v>
      </c>
      <c r="AB221" t="s">
        <v>74</v>
      </c>
      <c r="AC221" t="s">
        <v>4708</v>
      </c>
      <c r="AD221" t="s">
        <v>4709</v>
      </c>
      <c r="AE221" t="s">
        <v>4710</v>
      </c>
      <c r="AF221" t="s">
        <v>74</v>
      </c>
      <c r="AG221">
        <v>47</v>
      </c>
      <c r="AH221">
        <v>0</v>
      </c>
      <c r="AI221">
        <v>0</v>
      </c>
      <c r="AJ221">
        <v>0</v>
      </c>
      <c r="AK221">
        <v>0</v>
      </c>
      <c r="AL221" t="s">
        <v>332</v>
      </c>
      <c r="AM221" t="s">
        <v>333</v>
      </c>
      <c r="AN221" t="s">
        <v>334</v>
      </c>
      <c r="AO221" t="s">
        <v>4711</v>
      </c>
      <c r="AP221" t="s">
        <v>4712</v>
      </c>
      <c r="AQ221" t="s">
        <v>74</v>
      </c>
      <c r="AR221" t="s">
        <v>4713</v>
      </c>
      <c r="AS221" t="s">
        <v>4714</v>
      </c>
      <c r="AT221" t="s">
        <v>4715</v>
      </c>
      <c r="AU221">
        <v>2025</v>
      </c>
      <c r="AV221" t="s">
        <v>74</v>
      </c>
      <c r="AW221" t="s">
        <v>74</v>
      </c>
      <c r="AX221" t="s">
        <v>74</v>
      </c>
      <c r="AY221" t="s">
        <v>74</v>
      </c>
      <c r="AZ221" t="s">
        <v>74</v>
      </c>
      <c r="BA221" t="s">
        <v>74</v>
      </c>
      <c r="BB221" t="s">
        <v>74</v>
      </c>
      <c r="BC221" t="s">
        <v>74</v>
      </c>
      <c r="BD221" t="s">
        <v>74</v>
      </c>
      <c r="BE221" t="s">
        <v>4716</v>
      </c>
      <c r="BF221" t="str">
        <f>HYPERLINK("http://dx.doi.org/10.1080/20421338.2025.2582925","http://dx.doi.org/10.1080/20421338.2025.2582925")</f>
        <v>http://dx.doi.org/10.1080/20421338.2025.2582925</v>
      </c>
      <c r="BG221" t="s">
        <v>74</v>
      </c>
      <c r="BH221" t="s">
        <v>488</v>
      </c>
      <c r="BI221">
        <v>15</v>
      </c>
      <c r="BJ221" t="s">
        <v>559</v>
      </c>
      <c r="BK221" t="s">
        <v>313</v>
      </c>
      <c r="BL221" t="s">
        <v>560</v>
      </c>
      <c r="BM221" t="s">
        <v>4717</v>
      </c>
      <c r="BN221" t="s">
        <v>74</v>
      </c>
      <c r="BO221" t="s">
        <v>270</v>
      </c>
      <c r="BP221" t="s">
        <v>74</v>
      </c>
      <c r="BQ221" t="s">
        <v>74</v>
      </c>
      <c r="BR221" t="s">
        <v>102</v>
      </c>
      <c r="BS221" t="s">
        <v>4718</v>
      </c>
      <c r="BT221" t="str">
        <f>HYPERLINK("https%3A%2F%2Fwww.webofscience.com%2Fwos%2Fwoscc%2Ffull-record%2FWOS:001651275200001","View Full Record in Web of Science")</f>
        <v>View Full Record in Web of Science</v>
      </c>
    </row>
    <row r="222" spans="1:72" x14ac:dyDescent="0.25">
      <c r="A222" t="s">
        <v>132</v>
      </c>
      <c r="B222" t="s">
        <v>4719</v>
      </c>
      <c r="C222" t="s">
        <v>74</v>
      </c>
      <c r="D222" t="s">
        <v>74</v>
      </c>
      <c r="E222" t="s">
        <v>771</v>
      </c>
      <c r="F222" t="s">
        <v>4720</v>
      </c>
      <c r="G222" t="s">
        <v>74</v>
      </c>
      <c r="H222" t="s">
        <v>74</v>
      </c>
      <c r="I222" t="s">
        <v>4721</v>
      </c>
      <c r="J222" t="s">
        <v>4722</v>
      </c>
      <c r="K222" t="s">
        <v>4723</v>
      </c>
      <c r="L222" t="s">
        <v>74</v>
      </c>
      <c r="M222" t="s">
        <v>78</v>
      </c>
      <c r="N222" t="s">
        <v>138</v>
      </c>
      <c r="O222" t="s">
        <v>4724</v>
      </c>
      <c r="P222" t="s">
        <v>4725</v>
      </c>
      <c r="Q222" t="s">
        <v>4726</v>
      </c>
      <c r="R222" t="s">
        <v>4727</v>
      </c>
      <c r="S222" t="s">
        <v>74</v>
      </c>
      <c r="T222" t="s">
        <v>4728</v>
      </c>
      <c r="U222" t="s">
        <v>74</v>
      </c>
      <c r="V222" t="s">
        <v>4729</v>
      </c>
      <c r="W222" t="s">
        <v>4730</v>
      </c>
      <c r="X222" t="s">
        <v>4731</v>
      </c>
      <c r="Y222" t="s">
        <v>4732</v>
      </c>
      <c r="Z222" t="s">
        <v>4733</v>
      </c>
      <c r="AA222" t="s">
        <v>4734</v>
      </c>
      <c r="AB222" t="s">
        <v>74</v>
      </c>
      <c r="AC222" t="s">
        <v>74</v>
      </c>
      <c r="AD222" t="s">
        <v>74</v>
      </c>
      <c r="AE222" t="s">
        <v>74</v>
      </c>
      <c r="AF222" t="s">
        <v>74</v>
      </c>
      <c r="AG222">
        <v>35</v>
      </c>
      <c r="AH222">
        <v>0</v>
      </c>
      <c r="AI222">
        <v>0</v>
      </c>
      <c r="AJ222">
        <v>0</v>
      </c>
      <c r="AK222">
        <v>7</v>
      </c>
      <c r="AL222" t="s">
        <v>771</v>
      </c>
      <c r="AM222" t="s">
        <v>151</v>
      </c>
      <c r="AN222" t="s">
        <v>785</v>
      </c>
      <c r="AO222" t="s">
        <v>4735</v>
      </c>
      <c r="AP222" t="s">
        <v>74</v>
      </c>
      <c r="AQ222" t="s">
        <v>4736</v>
      </c>
      <c r="AR222" t="s">
        <v>4737</v>
      </c>
      <c r="AS222" t="s">
        <v>74</v>
      </c>
      <c r="AT222" t="s">
        <v>74</v>
      </c>
      <c r="AU222">
        <v>2016</v>
      </c>
      <c r="AV222" t="s">
        <v>74</v>
      </c>
      <c r="AW222" t="s">
        <v>74</v>
      </c>
      <c r="AX222" t="s">
        <v>74</v>
      </c>
      <c r="AY222" t="s">
        <v>74</v>
      </c>
      <c r="AZ222" t="s">
        <v>74</v>
      </c>
      <c r="BA222" t="s">
        <v>74</v>
      </c>
      <c r="BB222" t="s">
        <v>74</v>
      </c>
      <c r="BC222" t="s">
        <v>74</v>
      </c>
      <c r="BD222" t="s">
        <v>74</v>
      </c>
      <c r="BE222" t="s">
        <v>74</v>
      </c>
      <c r="BF222" t="s">
        <v>74</v>
      </c>
      <c r="BG222" t="s">
        <v>74</v>
      </c>
      <c r="BH222" t="s">
        <v>74</v>
      </c>
      <c r="BI222">
        <v>5</v>
      </c>
      <c r="BJ222" t="s">
        <v>980</v>
      </c>
      <c r="BK222" t="s">
        <v>156</v>
      </c>
      <c r="BL222" t="s">
        <v>981</v>
      </c>
      <c r="BM222" t="s">
        <v>4738</v>
      </c>
      <c r="BN222" t="s">
        <v>74</v>
      </c>
      <c r="BO222" t="s">
        <v>74</v>
      </c>
      <c r="BP222" t="s">
        <v>74</v>
      </c>
      <c r="BQ222" t="s">
        <v>74</v>
      </c>
      <c r="BR222" t="s">
        <v>102</v>
      </c>
      <c r="BS222" t="s">
        <v>4739</v>
      </c>
      <c r="BT222" t="str">
        <f>HYPERLINK("https%3A%2F%2Fwww.webofscience.com%2Fwos%2Fwoscc%2Ffull-record%2FWOS:000390779200223","View Full Record in Web of Science")</f>
        <v>View Full Record in Web of Science</v>
      </c>
    </row>
    <row r="223" spans="1:72" x14ac:dyDescent="0.25">
      <c r="A223" t="s">
        <v>72</v>
      </c>
      <c r="B223" t="s">
        <v>4740</v>
      </c>
      <c r="C223" t="s">
        <v>74</v>
      </c>
      <c r="D223" t="s">
        <v>74</v>
      </c>
      <c r="E223" t="s">
        <v>74</v>
      </c>
      <c r="F223" t="s">
        <v>4741</v>
      </c>
      <c r="G223" t="s">
        <v>74</v>
      </c>
      <c r="H223" t="s">
        <v>74</v>
      </c>
      <c r="I223" t="s">
        <v>4742</v>
      </c>
      <c r="J223" t="s">
        <v>4743</v>
      </c>
      <c r="K223" t="s">
        <v>74</v>
      </c>
      <c r="L223" t="s">
        <v>74</v>
      </c>
      <c r="M223" t="s">
        <v>78</v>
      </c>
      <c r="N223" t="s">
        <v>79</v>
      </c>
      <c r="O223" t="s">
        <v>74</v>
      </c>
      <c r="P223" t="s">
        <v>74</v>
      </c>
      <c r="Q223" t="s">
        <v>74</v>
      </c>
      <c r="R223" t="s">
        <v>74</v>
      </c>
      <c r="S223" t="s">
        <v>74</v>
      </c>
      <c r="T223" t="s">
        <v>4744</v>
      </c>
      <c r="U223" t="s">
        <v>4745</v>
      </c>
      <c r="V223" t="s">
        <v>4746</v>
      </c>
      <c r="W223" t="s">
        <v>4747</v>
      </c>
      <c r="X223" t="s">
        <v>4748</v>
      </c>
      <c r="Y223" t="s">
        <v>4749</v>
      </c>
      <c r="Z223" t="s">
        <v>4750</v>
      </c>
      <c r="AA223" t="s">
        <v>4751</v>
      </c>
      <c r="AB223" t="s">
        <v>74</v>
      </c>
      <c r="AC223" t="s">
        <v>4752</v>
      </c>
      <c r="AD223" t="s">
        <v>4753</v>
      </c>
      <c r="AE223" t="s">
        <v>4754</v>
      </c>
      <c r="AF223" t="s">
        <v>74</v>
      </c>
      <c r="AG223">
        <v>94</v>
      </c>
      <c r="AH223">
        <v>61</v>
      </c>
      <c r="AI223">
        <v>87</v>
      </c>
      <c r="AJ223">
        <v>6</v>
      </c>
      <c r="AK223">
        <v>61</v>
      </c>
      <c r="AL223" t="s">
        <v>230</v>
      </c>
      <c r="AM223" t="s">
        <v>231</v>
      </c>
      <c r="AN223" t="s">
        <v>232</v>
      </c>
      <c r="AO223" t="s">
        <v>4755</v>
      </c>
      <c r="AP223" t="s">
        <v>4756</v>
      </c>
      <c r="AQ223" t="s">
        <v>74</v>
      </c>
      <c r="AR223" t="s">
        <v>4757</v>
      </c>
      <c r="AS223" t="s">
        <v>4758</v>
      </c>
      <c r="AT223" t="s">
        <v>4759</v>
      </c>
      <c r="AU223">
        <v>2019</v>
      </c>
      <c r="AV223">
        <v>77</v>
      </c>
      <c r="AW223" t="s">
        <v>74</v>
      </c>
      <c r="AX223" t="s">
        <v>74</v>
      </c>
      <c r="AY223" t="s">
        <v>74</v>
      </c>
      <c r="AZ223" t="s">
        <v>74</v>
      </c>
      <c r="BA223" t="s">
        <v>74</v>
      </c>
      <c r="BB223" t="s">
        <v>74</v>
      </c>
      <c r="BC223" t="s">
        <v>74</v>
      </c>
      <c r="BD223">
        <v>102300</v>
      </c>
      <c r="BE223" t="s">
        <v>4760</v>
      </c>
      <c r="BF223" t="str">
        <f>HYPERLINK("http://dx.doi.org/10.1016/j.wsif.2019.102300","http://dx.doi.org/10.1016/j.wsif.2019.102300")</f>
        <v>http://dx.doi.org/10.1016/j.wsif.2019.102300</v>
      </c>
      <c r="BG223" t="s">
        <v>74</v>
      </c>
      <c r="BH223" t="s">
        <v>74</v>
      </c>
      <c r="BI223">
        <v>8</v>
      </c>
      <c r="BJ223" t="s">
        <v>4761</v>
      </c>
      <c r="BK223" t="s">
        <v>99</v>
      </c>
      <c r="BL223" t="s">
        <v>4761</v>
      </c>
      <c r="BM223" t="s">
        <v>4762</v>
      </c>
      <c r="BN223" t="s">
        <v>74</v>
      </c>
      <c r="BO223" t="s">
        <v>74</v>
      </c>
      <c r="BP223" t="s">
        <v>74</v>
      </c>
      <c r="BQ223" t="s">
        <v>74</v>
      </c>
      <c r="BR223" t="s">
        <v>102</v>
      </c>
      <c r="BS223" t="s">
        <v>4763</v>
      </c>
      <c r="BT223" t="str">
        <f>HYPERLINK("https%3A%2F%2Fwww.webofscience.com%2Fwos%2Fwoscc%2Ffull-record%2FWOS:000501654800007","View Full Record in Web of Science")</f>
        <v>View Full Record in Web of Science</v>
      </c>
    </row>
    <row r="224" spans="1:72" x14ac:dyDescent="0.25">
      <c r="A224" t="s">
        <v>72</v>
      </c>
      <c r="B224" t="s">
        <v>4764</v>
      </c>
      <c r="C224" t="s">
        <v>74</v>
      </c>
      <c r="D224" t="s">
        <v>74</v>
      </c>
      <c r="E224" t="s">
        <v>74</v>
      </c>
      <c r="F224" t="s">
        <v>4765</v>
      </c>
      <c r="G224" t="s">
        <v>74</v>
      </c>
      <c r="H224" t="s">
        <v>74</v>
      </c>
      <c r="I224" t="s">
        <v>4766</v>
      </c>
      <c r="J224" t="s">
        <v>4767</v>
      </c>
      <c r="K224" t="s">
        <v>74</v>
      </c>
      <c r="L224" t="s">
        <v>74</v>
      </c>
      <c r="M224" t="s">
        <v>78</v>
      </c>
      <c r="N224" t="s">
        <v>3795</v>
      </c>
      <c r="O224" t="s">
        <v>4768</v>
      </c>
      <c r="P224" t="s">
        <v>4769</v>
      </c>
      <c r="Q224" t="s">
        <v>4770</v>
      </c>
      <c r="R224" t="s">
        <v>74</v>
      </c>
      <c r="S224" t="s">
        <v>74</v>
      </c>
      <c r="T224" t="s">
        <v>4771</v>
      </c>
      <c r="U224" t="s">
        <v>74</v>
      </c>
      <c r="V224" t="s">
        <v>4772</v>
      </c>
      <c r="W224" t="s">
        <v>4773</v>
      </c>
      <c r="X224" t="s">
        <v>74</v>
      </c>
      <c r="Y224" t="s">
        <v>4774</v>
      </c>
      <c r="Z224" t="s">
        <v>4775</v>
      </c>
      <c r="AA224" t="s">
        <v>74</v>
      </c>
      <c r="AB224" t="s">
        <v>74</v>
      </c>
      <c r="AC224" t="s">
        <v>74</v>
      </c>
      <c r="AD224" t="s">
        <v>74</v>
      </c>
      <c r="AE224" t="s">
        <v>74</v>
      </c>
      <c r="AF224" t="s">
        <v>74</v>
      </c>
      <c r="AG224">
        <v>10</v>
      </c>
      <c r="AH224">
        <v>7</v>
      </c>
      <c r="AI224">
        <v>8</v>
      </c>
      <c r="AJ224">
        <v>1</v>
      </c>
      <c r="AK224">
        <v>5</v>
      </c>
      <c r="AL224" t="s">
        <v>201</v>
      </c>
      <c r="AM224" t="s">
        <v>202</v>
      </c>
      <c r="AN224" t="s">
        <v>203</v>
      </c>
      <c r="AO224" t="s">
        <v>4776</v>
      </c>
      <c r="AP224" t="s">
        <v>4777</v>
      </c>
      <c r="AQ224" t="s">
        <v>74</v>
      </c>
      <c r="AR224" t="s">
        <v>4778</v>
      </c>
      <c r="AS224" t="s">
        <v>4779</v>
      </c>
      <c r="AT224" t="s">
        <v>4780</v>
      </c>
      <c r="AU224">
        <v>2007</v>
      </c>
      <c r="AV224">
        <v>378</v>
      </c>
      <c r="AW224">
        <v>1</v>
      </c>
      <c r="AX224" t="s">
        <v>74</v>
      </c>
      <c r="AY224" t="s">
        <v>74</v>
      </c>
      <c r="AZ224" t="s">
        <v>74</v>
      </c>
      <c r="BA224" t="s">
        <v>74</v>
      </c>
      <c r="BB224">
        <v>48</v>
      </c>
      <c r="BC224">
        <v>52</v>
      </c>
      <c r="BD224" t="s">
        <v>74</v>
      </c>
      <c r="BE224" t="s">
        <v>4781</v>
      </c>
      <c r="BF224" t="str">
        <f>HYPERLINK("http://dx.doi.org/10.1016/j.physa.2006.11.044","http://dx.doi.org/10.1016/j.physa.2006.11.044")</f>
        <v>http://dx.doi.org/10.1016/j.physa.2006.11.044</v>
      </c>
      <c r="BG224" t="s">
        <v>74</v>
      </c>
      <c r="BH224" t="s">
        <v>74</v>
      </c>
      <c r="BI224">
        <v>5</v>
      </c>
      <c r="BJ224" t="s">
        <v>4782</v>
      </c>
      <c r="BK224" t="s">
        <v>4783</v>
      </c>
      <c r="BL224" t="s">
        <v>2258</v>
      </c>
      <c r="BM224" t="s">
        <v>4784</v>
      </c>
      <c r="BN224" t="s">
        <v>74</v>
      </c>
      <c r="BO224" t="s">
        <v>74</v>
      </c>
      <c r="BP224" t="s">
        <v>74</v>
      </c>
      <c r="BQ224" t="s">
        <v>74</v>
      </c>
      <c r="BR224" t="s">
        <v>102</v>
      </c>
      <c r="BS224" t="s">
        <v>4785</v>
      </c>
      <c r="BT224" t="str">
        <f>HYPERLINK("https%3A%2F%2Fwww.webofscience.com%2Fwos%2Fwoscc%2Ffull-record%2FWOS:000244986400006","View Full Record in Web of Science")</f>
        <v>View Full Record in Web of Science</v>
      </c>
    </row>
    <row r="225" spans="1:72" x14ac:dyDescent="0.25">
      <c r="A225" t="s">
        <v>72</v>
      </c>
      <c r="B225" t="s">
        <v>4786</v>
      </c>
      <c r="C225" t="s">
        <v>74</v>
      </c>
      <c r="D225" t="s">
        <v>74</v>
      </c>
      <c r="E225" t="s">
        <v>74</v>
      </c>
      <c r="F225" t="s">
        <v>4787</v>
      </c>
      <c r="G225" t="s">
        <v>74</v>
      </c>
      <c r="H225" t="s">
        <v>74</v>
      </c>
      <c r="I225" t="s">
        <v>4788</v>
      </c>
      <c r="J225" t="s">
        <v>4789</v>
      </c>
      <c r="K225" t="s">
        <v>74</v>
      </c>
      <c r="L225" t="s">
        <v>74</v>
      </c>
      <c r="M225" t="s">
        <v>78</v>
      </c>
      <c r="N225" t="s">
        <v>79</v>
      </c>
      <c r="O225" t="s">
        <v>74</v>
      </c>
      <c r="P225" t="s">
        <v>74</v>
      </c>
      <c r="Q225" t="s">
        <v>74</v>
      </c>
      <c r="R225" t="s">
        <v>74</v>
      </c>
      <c r="S225" t="s">
        <v>74</v>
      </c>
      <c r="T225" t="s">
        <v>4790</v>
      </c>
      <c r="U225" t="s">
        <v>4791</v>
      </c>
      <c r="V225" t="s">
        <v>4792</v>
      </c>
      <c r="W225" t="s">
        <v>4793</v>
      </c>
      <c r="X225" t="s">
        <v>4794</v>
      </c>
      <c r="Y225" t="s">
        <v>4795</v>
      </c>
      <c r="Z225" t="s">
        <v>4435</v>
      </c>
      <c r="AA225" t="s">
        <v>4436</v>
      </c>
      <c r="AB225" t="s">
        <v>4796</v>
      </c>
      <c r="AC225" t="s">
        <v>74</v>
      </c>
      <c r="AD225" t="s">
        <v>74</v>
      </c>
      <c r="AE225" t="s">
        <v>74</v>
      </c>
      <c r="AF225" t="s">
        <v>74</v>
      </c>
      <c r="AG225">
        <v>47</v>
      </c>
      <c r="AH225">
        <v>28</v>
      </c>
      <c r="AI225">
        <v>34</v>
      </c>
      <c r="AJ225">
        <v>1</v>
      </c>
      <c r="AK225">
        <v>37</v>
      </c>
      <c r="AL225" t="s">
        <v>4485</v>
      </c>
      <c r="AM225" t="s">
        <v>231</v>
      </c>
      <c r="AN225" t="s">
        <v>4486</v>
      </c>
      <c r="AO225" t="s">
        <v>4797</v>
      </c>
      <c r="AP225" t="s">
        <v>4798</v>
      </c>
      <c r="AQ225" t="s">
        <v>74</v>
      </c>
      <c r="AR225" t="s">
        <v>4799</v>
      </c>
      <c r="AS225" t="s">
        <v>4800</v>
      </c>
      <c r="AT225" t="s">
        <v>124</v>
      </c>
      <c r="AU225">
        <v>2019</v>
      </c>
      <c r="AV225">
        <v>49</v>
      </c>
      <c r="AW225" t="s">
        <v>74</v>
      </c>
      <c r="AX225" t="s">
        <v>74</v>
      </c>
      <c r="AY225" t="s">
        <v>74</v>
      </c>
      <c r="AZ225" t="s">
        <v>74</v>
      </c>
      <c r="BA225" t="s">
        <v>74</v>
      </c>
      <c r="BB225">
        <v>439</v>
      </c>
      <c r="BC225">
        <v>451</v>
      </c>
      <c r="BD225" t="s">
        <v>74</v>
      </c>
      <c r="BE225" t="s">
        <v>4801</v>
      </c>
      <c r="BF225" t="str">
        <f>HYPERLINK("http://dx.doi.org/10.1016/j.ijinfomgt.2019.07.005","http://dx.doi.org/10.1016/j.ijinfomgt.2019.07.005")</f>
        <v>http://dx.doi.org/10.1016/j.ijinfomgt.2019.07.005</v>
      </c>
      <c r="BG225" t="s">
        <v>74</v>
      </c>
      <c r="BH225" t="s">
        <v>74</v>
      </c>
      <c r="BI225">
        <v>13</v>
      </c>
      <c r="BJ225" t="s">
        <v>2351</v>
      </c>
      <c r="BK225" t="s">
        <v>99</v>
      </c>
      <c r="BL225" t="s">
        <v>2351</v>
      </c>
      <c r="BM225" t="s">
        <v>4802</v>
      </c>
      <c r="BN225" t="s">
        <v>74</v>
      </c>
      <c r="BO225" t="s">
        <v>74</v>
      </c>
      <c r="BP225" t="s">
        <v>74</v>
      </c>
      <c r="BQ225" t="s">
        <v>74</v>
      </c>
      <c r="BR225" t="s">
        <v>102</v>
      </c>
      <c r="BS225" t="s">
        <v>4803</v>
      </c>
      <c r="BT225" t="str">
        <f>HYPERLINK("https%3A%2F%2Fwww.webofscience.com%2Fwos%2Fwoscc%2Ffull-record%2FWOS:000489702000033","View Full Record in Web of Science")</f>
        <v>View Full Record in Web of Science</v>
      </c>
    </row>
    <row r="226" spans="1:72" x14ac:dyDescent="0.25">
      <c r="A226" t="s">
        <v>72</v>
      </c>
      <c r="B226" t="s">
        <v>4804</v>
      </c>
      <c r="C226" t="s">
        <v>74</v>
      </c>
      <c r="D226" t="s">
        <v>74</v>
      </c>
      <c r="E226" t="s">
        <v>74</v>
      </c>
      <c r="F226" t="s">
        <v>4805</v>
      </c>
      <c r="G226" t="s">
        <v>74</v>
      </c>
      <c r="H226" t="s">
        <v>74</v>
      </c>
      <c r="I226" t="s">
        <v>4806</v>
      </c>
      <c r="J226" t="s">
        <v>2471</v>
      </c>
      <c r="K226" t="s">
        <v>74</v>
      </c>
      <c r="L226" t="s">
        <v>74</v>
      </c>
      <c r="M226" t="s">
        <v>78</v>
      </c>
      <c r="N226" t="s">
        <v>79</v>
      </c>
      <c r="O226" t="s">
        <v>74</v>
      </c>
      <c r="P226" t="s">
        <v>74</v>
      </c>
      <c r="Q226" t="s">
        <v>74</v>
      </c>
      <c r="R226" t="s">
        <v>74</v>
      </c>
      <c r="S226" t="s">
        <v>74</v>
      </c>
      <c r="T226" t="s">
        <v>4807</v>
      </c>
      <c r="U226" t="s">
        <v>4808</v>
      </c>
      <c r="V226" t="s">
        <v>4809</v>
      </c>
      <c r="W226" t="s">
        <v>4810</v>
      </c>
      <c r="X226" t="s">
        <v>4811</v>
      </c>
      <c r="Y226" t="s">
        <v>4812</v>
      </c>
      <c r="Z226" t="s">
        <v>4813</v>
      </c>
      <c r="AA226" t="s">
        <v>4814</v>
      </c>
      <c r="AB226" t="s">
        <v>4815</v>
      </c>
      <c r="AC226" t="s">
        <v>74</v>
      </c>
      <c r="AD226" t="s">
        <v>74</v>
      </c>
      <c r="AE226" t="s">
        <v>74</v>
      </c>
      <c r="AF226" t="s">
        <v>74</v>
      </c>
      <c r="AG226">
        <v>99</v>
      </c>
      <c r="AH226">
        <v>6</v>
      </c>
      <c r="AI226">
        <v>9</v>
      </c>
      <c r="AJ226">
        <v>1</v>
      </c>
      <c r="AK226">
        <v>9</v>
      </c>
      <c r="AL226" t="s">
        <v>2481</v>
      </c>
      <c r="AM226" t="s">
        <v>2482</v>
      </c>
      <c r="AN226" t="s">
        <v>2483</v>
      </c>
      <c r="AO226" t="s">
        <v>2484</v>
      </c>
      <c r="AP226" t="s">
        <v>74</v>
      </c>
      <c r="AQ226" t="s">
        <v>74</v>
      </c>
      <c r="AR226" t="s">
        <v>2485</v>
      </c>
      <c r="AS226" t="s">
        <v>2486</v>
      </c>
      <c r="AT226" t="s">
        <v>2970</v>
      </c>
      <c r="AU226">
        <v>2023</v>
      </c>
      <c r="AV226">
        <v>9</v>
      </c>
      <c r="AW226">
        <v>1</v>
      </c>
      <c r="AX226" t="s">
        <v>74</v>
      </c>
      <c r="AY226" t="s">
        <v>74</v>
      </c>
      <c r="AZ226" t="s">
        <v>74</v>
      </c>
      <c r="BA226" t="s">
        <v>74</v>
      </c>
      <c r="BB226" t="s">
        <v>74</v>
      </c>
      <c r="BC226" t="s">
        <v>74</v>
      </c>
      <c r="BD226">
        <v>2216996</v>
      </c>
      <c r="BE226" t="s">
        <v>4816</v>
      </c>
      <c r="BF226" t="str">
        <f>HYPERLINK("http://dx.doi.org/10.1080/23311886.2023.2216996","http://dx.doi.org/10.1080/23311886.2023.2216996")</f>
        <v>http://dx.doi.org/10.1080/23311886.2023.2216996</v>
      </c>
      <c r="BG226" t="s">
        <v>74</v>
      </c>
      <c r="BH226" t="s">
        <v>74</v>
      </c>
      <c r="BI226">
        <v>21</v>
      </c>
      <c r="BJ226" t="s">
        <v>364</v>
      </c>
      <c r="BK226" t="s">
        <v>313</v>
      </c>
      <c r="BL226" t="s">
        <v>365</v>
      </c>
      <c r="BM226" t="s">
        <v>4817</v>
      </c>
      <c r="BN226" t="s">
        <v>74</v>
      </c>
      <c r="BO226" t="s">
        <v>212</v>
      </c>
      <c r="BP226" t="s">
        <v>74</v>
      </c>
      <c r="BQ226" t="s">
        <v>74</v>
      </c>
      <c r="BR226" t="s">
        <v>102</v>
      </c>
      <c r="BS226" t="s">
        <v>4818</v>
      </c>
      <c r="BT226" t="str">
        <f>HYPERLINK("https%3A%2F%2Fwww.webofscience.com%2Fwos%2Fwoscc%2Ffull-record%2FWOS:000993793800001","View Full Record in Web of Science")</f>
        <v>View Full Record in Web of Science</v>
      </c>
    </row>
    <row r="227" spans="1:72" x14ac:dyDescent="0.25">
      <c r="A227" t="s">
        <v>72</v>
      </c>
      <c r="B227" t="s">
        <v>4819</v>
      </c>
      <c r="C227" t="s">
        <v>74</v>
      </c>
      <c r="D227" t="s">
        <v>74</v>
      </c>
      <c r="E227" t="s">
        <v>74</v>
      </c>
      <c r="F227" t="s">
        <v>4820</v>
      </c>
      <c r="G227" t="s">
        <v>74</v>
      </c>
      <c r="H227" t="s">
        <v>74</v>
      </c>
      <c r="I227" t="s">
        <v>4821</v>
      </c>
      <c r="J227" t="s">
        <v>4822</v>
      </c>
      <c r="K227" t="s">
        <v>74</v>
      </c>
      <c r="L227" t="s">
        <v>74</v>
      </c>
      <c r="M227" t="s">
        <v>78</v>
      </c>
      <c r="N227" t="s">
        <v>79</v>
      </c>
      <c r="O227" t="s">
        <v>74</v>
      </c>
      <c r="P227" t="s">
        <v>74</v>
      </c>
      <c r="Q227" t="s">
        <v>74</v>
      </c>
      <c r="R227" t="s">
        <v>74</v>
      </c>
      <c r="S227" t="s">
        <v>74</v>
      </c>
      <c r="T227" t="s">
        <v>4823</v>
      </c>
      <c r="U227" t="s">
        <v>4824</v>
      </c>
      <c r="V227" t="s">
        <v>4825</v>
      </c>
      <c r="W227" t="s">
        <v>4826</v>
      </c>
      <c r="X227" t="s">
        <v>4827</v>
      </c>
      <c r="Y227" t="s">
        <v>4828</v>
      </c>
      <c r="Z227" t="s">
        <v>4829</v>
      </c>
      <c r="AA227" t="s">
        <v>74</v>
      </c>
      <c r="AB227" t="s">
        <v>74</v>
      </c>
      <c r="AC227" t="s">
        <v>4830</v>
      </c>
      <c r="AD227" t="s">
        <v>4831</v>
      </c>
      <c r="AE227" t="s">
        <v>4832</v>
      </c>
      <c r="AF227" t="s">
        <v>74</v>
      </c>
      <c r="AG227">
        <v>58</v>
      </c>
      <c r="AH227">
        <v>6</v>
      </c>
      <c r="AI227">
        <v>6</v>
      </c>
      <c r="AJ227">
        <v>15</v>
      </c>
      <c r="AK227">
        <v>31</v>
      </c>
      <c r="AL227" t="s">
        <v>201</v>
      </c>
      <c r="AM227" t="s">
        <v>202</v>
      </c>
      <c r="AN227" t="s">
        <v>203</v>
      </c>
      <c r="AO227" t="s">
        <v>4833</v>
      </c>
      <c r="AP227" t="s">
        <v>74</v>
      </c>
      <c r="AQ227" t="s">
        <v>74</v>
      </c>
      <c r="AR227" t="s">
        <v>4834</v>
      </c>
      <c r="AS227" t="s">
        <v>4835</v>
      </c>
      <c r="AT227" t="s">
        <v>124</v>
      </c>
      <c r="AU227">
        <v>2024</v>
      </c>
      <c r="AV227">
        <v>84</v>
      </c>
      <c r="AW227" t="s">
        <v>74</v>
      </c>
      <c r="AX227" t="s">
        <v>74</v>
      </c>
      <c r="AY227" t="s">
        <v>74</v>
      </c>
      <c r="AZ227" t="s">
        <v>74</v>
      </c>
      <c r="BA227" t="s">
        <v>74</v>
      </c>
      <c r="BB227">
        <v>1438</v>
      </c>
      <c r="BC227">
        <v>1451</v>
      </c>
      <c r="BD227" t="s">
        <v>74</v>
      </c>
      <c r="BE227" t="s">
        <v>4836</v>
      </c>
      <c r="BF227" t="str">
        <f>HYPERLINK("http://dx.doi.org/10.1016/j.eap.2024.10.049","http://dx.doi.org/10.1016/j.eap.2024.10.049")</f>
        <v>http://dx.doi.org/10.1016/j.eap.2024.10.049</v>
      </c>
      <c r="BG227" t="s">
        <v>74</v>
      </c>
      <c r="BH227" t="s">
        <v>1136</v>
      </c>
      <c r="BI227">
        <v>14</v>
      </c>
      <c r="BJ227" t="s">
        <v>291</v>
      </c>
      <c r="BK227" t="s">
        <v>99</v>
      </c>
      <c r="BL227" t="s">
        <v>100</v>
      </c>
      <c r="BM227" t="s">
        <v>4837</v>
      </c>
      <c r="BN227" t="s">
        <v>74</v>
      </c>
      <c r="BO227" t="s">
        <v>74</v>
      </c>
      <c r="BP227" t="s">
        <v>74</v>
      </c>
      <c r="BQ227" t="s">
        <v>74</v>
      </c>
      <c r="BR227" t="s">
        <v>102</v>
      </c>
      <c r="BS227" t="s">
        <v>4838</v>
      </c>
      <c r="BT227" t="str">
        <f>HYPERLINK("https%3A%2F%2Fwww.webofscience.com%2Fwos%2Fwoscc%2Ffull-record%2FWOS:001348567200001","View Full Record in Web of Science")</f>
        <v>View Full Record in Web of Science</v>
      </c>
    </row>
    <row r="228" spans="1:72" x14ac:dyDescent="0.25">
      <c r="A228" t="s">
        <v>72</v>
      </c>
      <c r="B228" t="s">
        <v>4839</v>
      </c>
      <c r="C228" t="s">
        <v>74</v>
      </c>
      <c r="D228" t="s">
        <v>74</v>
      </c>
      <c r="E228" t="s">
        <v>74</v>
      </c>
      <c r="F228" t="s">
        <v>4840</v>
      </c>
      <c r="G228" t="s">
        <v>74</v>
      </c>
      <c r="H228" t="s">
        <v>74</v>
      </c>
      <c r="I228" t="s">
        <v>4841</v>
      </c>
      <c r="J228" t="s">
        <v>4842</v>
      </c>
      <c r="K228" t="s">
        <v>74</v>
      </c>
      <c r="L228" t="s">
        <v>74</v>
      </c>
      <c r="M228" t="s">
        <v>78</v>
      </c>
      <c r="N228" t="s">
        <v>79</v>
      </c>
      <c r="O228" t="s">
        <v>74</v>
      </c>
      <c r="P228" t="s">
        <v>74</v>
      </c>
      <c r="Q228" t="s">
        <v>74</v>
      </c>
      <c r="R228" t="s">
        <v>74</v>
      </c>
      <c r="S228" t="s">
        <v>74</v>
      </c>
      <c r="T228" t="s">
        <v>4843</v>
      </c>
      <c r="U228" t="s">
        <v>4844</v>
      </c>
      <c r="V228" t="s">
        <v>4845</v>
      </c>
      <c r="W228" t="s">
        <v>4846</v>
      </c>
      <c r="X228" t="s">
        <v>4847</v>
      </c>
      <c r="Y228" t="s">
        <v>4848</v>
      </c>
      <c r="Z228" t="s">
        <v>4849</v>
      </c>
      <c r="AA228" t="s">
        <v>74</v>
      </c>
      <c r="AB228" t="s">
        <v>74</v>
      </c>
      <c r="AC228" t="s">
        <v>4850</v>
      </c>
      <c r="AD228" t="s">
        <v>4851</v>
      </c>
      <c r="AE228" t="s">
        <v>4852</v>
      </c>
      <c r="AF228" t="s">
        <v>74</v>
      </c>
      <c r="AG228">
        <v>91</v>
      </c>
      <c r="AH228">
        <v>1</v>
      </c>
      <c r="AI228">
        <v>1</v>
      </c>
      <c r="AJ228">
        <v>0</v>
      </c>
      <c r="AK228">
        <v>0</v>
      </c>
      <c r="AL228" t="s">
        <v>823</v>
      </c>
      <c r="AM228" t="s">
        <v>333</v>
      </c>
      <c r="AN228" t="s">
        <v>824</v>
      </c>
      <c r="AO228" t="s">
        <v>4853</v>
      </c>
      <c r="AP228" t="s">
        <v>74</v>
      </c>
      <c r="AQ228" t="s">
        <v>74</v>
      </c>
      <c r="AR228" t="s">
        <v>4854</v>
      </c>
      <c r="AS228" t="s">
        <v>4855</v>
      </c>
      <c r="AT228" t="s">
        <v>4856</v>
      </c>
      <c r="AU228">
        <v>2025</v>
      </c>
      <c r="AV228">
        <v>12</v>
      </c>
      <c r="AW228">
        <v>1</v>
      </c>
      <c r="AX228" t="s">
        <v>74</v>
      </c>
      <c r="AY228" t="s">
        <v>74</v>
      </c>
      <c r="AZ228" t="s">
        <v>74</v>
      </c>
      <c r="BA228" t="s">
        <v>74</v>
      </c>
      <c r="BB228" t="s">
        <v>74</v>
      </c>
      <c r="BC228" t="s">
        <v>74</v>
      </c>
      <c r="BD228">
        <v>2575117</v>
      </c>
      <c r="BE228" t="s">
        <v>4857</v>
      </c>
      <c r="BF228" t="str">
        <f>HYPERLINK("http://dx.doi.org/10.1080/23311975.2025.2575117","http://dx.doi.org/10.1080/23311975.2025.2575117")</f>
        <v>http://dx.doi.org/10.1080/23311975.2025.2575117</v>
      </c>
      <c r="BG228" t="s">
        <v>74</v>
      </c>
      <c r="BH228" t="s">
        <v>74</v>
      </c>
      <c r="BI228">
        <v>18</v>
      </c>
      <c r="BJ228" t="s">
        <v>418</v>
      </c>
      <c r="BK228" t="s">
        <v>313</v>
      </c>
      <c r="BL228" t="s">
        <v>100</v>
      </c>
      <c r="BM228" t="s">
        <v>4858</v>
      </c>
      <c r="BN228" t="s">
        <v>74</v>
      </c>
      <c r="BO228" t="s">
        <v>916</v>
      </c>
      <c r="BP228" t="s">
        <v>74</v>
      </c>
      <c r="BQ228" t="s">
        <v>74</v>
      </c>
      <c r="BR228" t="s">
        <v>102</v>
      </c>
      <c r="BS228" t="s">
        <v>4859</v>
      </c>
      <c r="BT228" t="str">
        <f>HYPERLINK("https%3A%2F%2Fwww.webofscience.com%2Fwos%2Fwoscc%2Ffull-record%2FWOS:001599944300001","View Full Record in Web of Science")</f>
        <v>View Full Record in Web of Science</v>
      </c>
    </row>
    <row r="229" spans="1:72" x14ac:dyDescent="0.25">
      <c r="A229" t="s">
        <v>72</v>
      </c>
      <c r="B229" t="s">
        <v>4860</v>
      </c>
      <c r="C229" t="s">
        <v>74</v>
      </c>
      <c r="D229" t="s">
        <v>74</v>
      </c>
      <c r="E229" t="s">
        <v>74</v>
      </c>
      <c r="F229" t="s">
        <v>4861</v>
      </c>
      <c r="G229" t="s">
        <v>74</v>
      </c>
      <c r="H229" t="s">
        <v>74</v>
      </c>
      <c r="I229" t="s">
        <v>4862</v>
      </c>
      <c r="J229" t="s">
        <v>4863</v>
      </c>
      <c r="K229" t="s">
        <v>74</v>
      </c>
      <c r="L229" t="s">
        <v>74</v>
      </c>
      <c r="M229" t="s">
        <v>78</v>
      </c>
      <c r="N229" t="s">
        <v>79</v>
      </c>
      <c r="O229" t="s">
        <v>74</v>
      </c>
      <c r="P229" t="s">
        <v>74</v>
      </c>
      <c r="Q229" t="s">
        <v>74</v>
      </c>
      <c r="R229" t="s">
        <v>74</v>
      </c>
      <c r="S229" t="s">
        <v>74</v>
      </c>
      <c r="T229" t="s">
        <v>74</v>
      </c>
      <c r="U229" t="s">
        <v>74</v>
      </c>
      <c r="V229" t="s">
        <v>4864</v>
      </c>
      <c r="W229" t="s">
        <v>4865</v>
      </c>
      <c r="X229" t="s">
        <v>4866</v>
      </c>
      <c r="Y229" t="s">
        <v>4867</v>
      </c>
      <c r="Z229" t="s">
        <v>4868</v>
      </c>
      <c r="AA229" t="s">
        <v>74</v>
      </c>
      <c r="AB229" t="s">
        <v>74</v>
      </c>
      <c r="AC229" t="s">
        <v>74</v>
      </c>
      <c r="AD229" t="s">
        <v>74</v>
      </c>
      <c r="AE229" t="s">
        <v>74</v>
      </c>
      <c r="AF229" t="s">
        <v>74</v>
      </c>
      <c r="AG229">
        <v>59</v>
      </c>
      <c r="AH229">
        <v>26</v>
      </c>
      <c r="AI229">
        <v>31</v>
      </c>
      <c r="AJ229">
        <v>0</v>
      </c>
      <c r="AK229">
        <v>1</v>
      </c>
      <c r="AL229" t="s">
        <v>2551</v>
      </c>
      <c r="AM229" t="s">
        <v>231</v>
      </c>
      <c r="AN229" t="s">
        <v>2552</v>
      </c>
      <c r="AO229" t="s">
        <v>4869</v>
      </c>
      <c r="AP229" t="s">
        <v>4870</v>
      </c>
      <c r="AQ229" t="s">
        <v>74</v>
      </c>
      <c r="AR229" t="s">
        <v>4871</v>
      </c>
      <c r="AS229" t="s">
        <v>4872</v>
      </c>
      <c r="AT229" t="s">
        <v>743</v>
      </c>
      <c r="AU229">
        <v>2008</v>
      </c>
      <c r="AV229">
        <v>107</v>
      </c>
      <c r="AW229">
        <v>427</v>
      </c>
      <c r="AX229" t="s">
        <v>74</v>
      </c>
      <c r="AY229" t="s">
        <v>74</v>
      </c>
      <c r="AZ229" t="s">
        <v>74</v>
      </c>
      <c r="BA229" t="s">
        <v>74</v>
      </c>
      <c r="BB229">
        <v>243</v>
      </c>
      <c r="BC229">
        <v>259</v>
      </c>
      <c r="BD229" t="s">
        <v>74</v>
      </c>
      <c r="BE229" t="s">
        <v>4873</v>
      </c>
      <c r="BF229" t="str">
        <f>HYPERLINK("http://dx.doi.org/10.1093/afraf/adm086","http://dx.doi.org/10.1093/afraf/adm086")</f>
        <v>http://dx.doi.org/10.1093/afraf/adm086</v>
      </c>
      <c r="BG229" t="s">
        <v>74</v>
      </c>
      <c r="BH229" t="s">
        <v>74</v>
      </c>
      <c r="BI229">
        <v>17</v>
      </c>
      <c r="BJ229" t="s">
        <v>4874</v>
      </c>
      <c r="BK229" t="s">
        <v>99</v>
      </c>
      <c r="BL229" t="s">
        <v>4875</v>
      </c>
      <c r="BM229" t="s">
        <v>4876</v>
      </c>
      <c r="BN229" t="s">
        <v>74</v>
      </c>
      <c r="BO229" t="s">
        <v>74</v>
      </c>
      <c r="BP229" t="s">
        <v>74</v>
      </c>
      <c r="BQ229" t="s">
        <v>74</v>
      </c>
      <c r="BR229" t="s">
        <v>102</v>
      </c>
      <c r="BS229" t="s">
        <v>4877</v>
      </c>
      <c r="BT229" t="str">
        <f>HYPERLINK("https%3A%2F%2Fwww.webofscience.com%2Fwos%2Fwoscc%2Ffull-record%2FWOS:000254681800005","View Full Record in Web of Science")</f>
        <v>View Full Record in Web of Science</v>
      </c>
    </row>
    <row r="230" spans="1:72" x14ac:dyDescent="0.25">
      <c r="A230" t="s">
        <v>72</v>
      </c>
      <c r="B230" t="s">
        <v>4878</v>
      </c>
      <c r="C230" t="s">
        <v>74</v>
      </c>
      <c r="D230" t="s">
        <v>74</v>
      </c>
      <c r="E230" t="s">
        <v>74</v>
      </c>
      <c r="F230" t="s">
        <v>4879</v>
      </c>
      <c r="G230" t="s">
        <v>74</v>
      </c>
      <c r="H230" t="s">
        <v>74</v>
      </c>
      <c r="I230" t="s">
        <v>4880</v>
      </c>
      <c r="J230" t="s">
        <v>4881</v>
      </c>
      <c r="K230" t="s">
        <v>74</v>
      </c>
      <c r="L230" t="s">
        <v>74</v>
      </c>
      <c r="M230" t="s">
        <v>78</v>
      </c>
      <c r="N230" t="s">
        <v>79</v>
      </c>
      <c r="O230" t="s">
        <v>74</v>
      </c>
      <c r="P230" t="s">
        <v>74</v>
      </c>
      <c r="Q230" t="s">
        <v>74</v>
      </c>
      <c r="R230" t="s">
        <v>74</v>
      </c>
      <c r="S230" t="s">
        <v>74</v>
      </c>
      <c r="T230" t="s">
        <v>4882</v>
      </c>
      <c r="U230" t="s">
        <v>4883</v>
      </c>
      <c r="V230" t="s">
        <v>4884</v>
      </c>
      <c r="W230" t="s">
        <v>4885</v>
      </c>
      <c r="X230" t="s">
        <v>4886</v>
      </c>
      <c r="Y230" t="s">
        <v>4887</v>
      </c>
      <c r="Z230" t="s">
        <v>4888</v>
      </c>
      <c r="AA230" t="s">
        <v>4889</v>
      </c>
      <c r="AB230" t="s">
        <v>4890</v>
      </c>
      <c r="AC230" t="s">
        <v>4891</v>
      </c>
      <c r="AD230" t="s">
        <v>4892</v>
      </c>
      <c r="AE230" t="s">
        <v>4893</v>
      </c>
      <c r="AF230" t="s">
        <v>74</v>
      </c>
      <c r="AG230">
        <v>88</v>
      </c>
      <c r="AH230">
        <v>94</v>
      </c>
      <c r="AI230">
        <v>101</v>
      </c>
      <c r="AJ230">
        <v>11</v>
      </c>
      <c r="AK230">
        <v>284</v>
      </c>
      <c r="AL230" t="s">
        <v>4894</v>
      </c>
      <c r="AM230" t="s">
        <v>4895</v>
      </c>
      <c r="AN230" t="s">
        <v>4896</v>
      </c>
      <c r="AO230" t="s">
        <v>4897</v>
      </c>
      <c r="AP230" t="s">
        <v>4898</v>
      </c>
      <c r="AQ230" t="s">
        <v>74</v>
      </c>
      <c r="AR230" t="s">
        <v>4899</v>
      </c>
      <c r="AS230" t="s">
        <v>4900</v>
      </c>
      <c r="AT230" t="s">
        <v>3387</v>
      </c>
      <c r="AU230">
        <v>2021</v>
      </c>
      <c r="AV230">
        <v>37</v>
      </c>
      <c r="AW230">
        <v>4</v>
      </c>
      <c r="AX230" t="s">
        <v>74</v>
      </c>
      <c r="AY230" t="s">
        <v>74</v>
      </c>
      <c r="AZ230" t="s">
        <v>74</v>
      </c>
      <c r="BA230" t="s">
        <v>74</v>
      </c>
      <c r="BB230" t="s">
        <v>74</v>
      </c>
      <c r="BC230" t="s">
        <v>74</v>
      </c>
      <c r="BD230">
        <v>4021038</v>
      </c>
      <c r="BE230" t="s">
        <v>4901</v>
      </c>
      <c r="BF230" t="str">
        <f>HYPERLINK("http://dx.doi.org/10.1061/(ASCE)ME.1943-5479.0000939","http://dx.doi.org/10.1061/(ASCE)ME.1943-5479.0000939")</f>
        <v>http://dx.doi.org/10.1061/(ASCE)ME.1943-5479.0000939</v>
      </c>
      <c r="BG230" t="s">
        <v>74</v>
      </c>
      <c r="BH230" t="s">
        <v>74</v>
      </c>
      <c r="BI230">
        <v>19</v>
      </c>
      <c r="BJ230" t="s">
        <v>4902</v>
      </c>
      <c r="BK230" t="s">
        <v>2623</v>
      </c>
      <c r="BL230" t="s">
        <v>2581</v>
      </c>
      <c r="BM230" t="s">
        <v>4903</v>
      </c>
      <c r="BN230" t="s">
        <v>74</v>
      </c>
      <c r="BO230" t="s">
        <v>4904</v>
      </c>
      <c r="BP230" t="s">
        <v>74</v>
      </c>
      <c r="BQ230" t="s">
        <v>74</v>
      </c>
      <c r="BR230" t="s">
        <v>102</v>
      </c>
      <c r="BS230" t="s">
        <v>4905</v>
      </c>
      <c r="BT230" t="str">
        <f>HYPERLINK("https%3A%2F%2Fwww.webofscience.com%2Fwos%2Fwoscc%2Ffull-record%2FWOS:000672204200014","View Full Record in Web of Science")</f>
        <v>View Full Record in Web of Science</v>
      </c>
    </row>
    <row r="231" spans="1:72" x14ac:dyDescent="0.25">
      <c r="A231" t="s">
        <v>72</v>
      </c>
      <c r="B231" t="s">
        <v>4906</v>
      </c>
      <c r="C231" t="s">
        <v>74</v>
      </c>
      <c r="D231" t="s">
        <v>74</v>
      </c>
      <c r="E231" t="s">
        <v>74</v>
      </c>
      <c r="F231" t="s">
        <v>4907</v>
      </c>
      <c r="G231" t="s">
        <v>74</v>
      </c>
      <c r="H231" t="s">
        <v>74</v>
      </c>
      <c r="I231" t="s">
        <v>4908</v>
      </c>
      <c r="J231" t="s">
        <v>4909</v>
      </c>
      <c r="K231" t="s">
        <v>74</v>
      </c>
      <c r="L231" t="s">
        <v>74</v>
      </c>
      <c r="M231" t="s">
        <v>78</v>
      </c>
      <c r="N231" t="s">
        <v>79</v>
      </c>
      <c r="O231" t="s">
        <v>74</v>
      </c>
      <c r="P231" t="s">
        <v>74</v>
      </c>
      <c r="Q231" t="s">
        <v>74</v>
      </c>
      <c r="R231" t="s">
        <v>74</v>
      </c>
      <c r="S231" t="s">
        <v>74</v>
      </c>
      <c r="T231" t="s">
        <v>4910</v>
      </c>
      <c r="U231" t="s">
        <v>4911</v>
      </c>
      <c r="V231" t="s">
        <v>4912</v>
      </c>
      <c r="W231" t="s">
        <v>4913</v>
      </c>
      <c r="X231" t="s">
        <v>4914</v>
      </c>
      <c r="Y231" t="s">
        <v>4915</v>
      </c>
      <c r="Z231" t="s">
        <v>4916</v>
      </c>
      <c r="AA231" t="s">
        <v>4917</v>
      </c>
      <c r="AB231" t="s">
        <v>4918</v>
      </c>
      <c r="AC231" t="s">
        <v>4919</v>
      </c>
      <c r="AD231" t="s">
        <v>4919</v>
      </c>
      <c r="AE231" t="s">
        <v>4920</v>
      </c>
      <c r="AF231" t="s">
        <v>74</v>
      </c>
      <c r="AG231">
        <v>59</v>
      </c>
      <c r="AH231">
        <v>6</v>
      </c>
      <c r="AI231">
        <v>10</v>
      </c>
      <c r="AJ231">
        <v>1</v>
      </c>
      <c r="AK231">
        <v>22</v>
      </c>
      <c r="AL231" t="s">
        <v>4921</v>
      </c>
      <c r="AM231" t="s">
        <v>4922</v>
      </c>
      <c r="AN231" t="s">
        <v>4923</v>
      </c>
      <c r="AO231" t="s">
        <v>4924</v>
      </c>
      <c r="AP231" t="s">
        <v>4925</v>
      </c>
      <c r="AQ231" t="s">
        <v>74</v>
      </c>
      <c r="AR231" t="s">
        <v>4926</v>
      </c>
      <c r="AS231" t="s">
        <v>4927</v>
      </c>
      <c r="AT231" t="s">
        <v>1652</v>
      </c>
      <c r="AU231">
        <v>2022</v>
      </c>
      <c r="AV231">
        <v>21</v>
      </c>
      <c r="AW231">
        <v>2</v>
      </c>
      <c r="AX231" t="s">
        <v>74</v>
      </c>
      <c r="AY231" t="s">
        <v>74</v>
      </c>
      <c r="AZ231" t="s">
        <v>74</v>
      </c>
      <c r="BA231" t="s">
        <v>74</v>
      </c>
      <c r="BB231">
        <v>503</v>
      </c>
      <c r="BC231">
        <v>525</v>
      </c>
      <c r="BD231" t="s">
        <v>74</v>
      </c>
      <c r="BE231" t="s">
        <v>4928</v>
      </c>
      <c r="BF231" t="str">
        <f>HYPERLINK("http://dx.doi.org/10.12775/EiP.2022.028","http://dx.doi.org/10.12775/EiP.2022.028")</f>
        <v>http://dx.doi.org/10.12775/EiP.2022.028</v>
      </c>
      <c r="BG231" t="s">
        <v>74</v>
      </c>
      <c r="BH231" t="s">
        <v>74</v>
      </c>
      <c r="BI231">
        <v>23</v>
      </c>
      <c r="BJ231" t="s">
        <v>291</v>
      </c>
      <c r="BK231" t="s">
        <v>313</v>
      </c>
      <c r="BL231" t="s">
        <v>100</v>
      </c>
      <c r="BM231" t="s">
        <v>4929</v>
      </c>
      <c r="BN231" t="s">
        <v>74</v>
      </c>
      <c r="BO231" t="s">
        <v>212</v>
      </c>
      <c r="BP231" t="s">
        <v>74</v>
      </c>
      <c r="BQ231" t="s">
        <v>74</v>
      </c>
      <c r="BR231" t="s">
        <v>102</v>
      </c>
      <c r="BS231" t="s">
        <v>4930</v>
      </c>
      <c r="BT231" t="str">
        <f>HYPERLINK("https%3A%2F%2Fwww.webofscience.com%2Fwos%2Fwoscc%2Ffull-record%2FWOS:000822800000008","View Full Record in Web of Science")</f>
        <v>View Full Record in Web of Science</v>
      </c>
    </row>
    <row r="232" spans="1:72" x14ac:dyDescent="0.25">
      <c r="A232" t="s">
        <v>72</v>
      </c>
      <c r="B232" t="s">
        <v>4931</v>
      </c>
      <c r="C232" t="s">
        <v>74</v>
      </c>
      <c r="D232" t="s">
        <v>74</v>
      </c>
      <c r="E232" t="s">
        <v>74</v>
      </c>
      <c r="F232" t="s">
        <v>4932</v>
      </c>
      <c r="G232" t="s">
        <v>74</v>
      </c>
      <c r="H232" t="s">
        <v>74</v>
      </c>
      <c r="I232" t="s">
        <v>4933</v>
      </c>
      <c r="J232" t="s">
        <v>4934</v>
      </c>
      <c r="K232" t="s">
        <v>74</v>
      </c>
      <c r="L232" t="s">
        <v>74</v>
      </c>
      <c r="M232" t="s">
        <v>78</v>
      </c>
      <c r="N232" t="s">
        <v>79</v>
      </c>
      <c r="O232" t="s">
        <v>74</v>
      </c>
      <c r="P232" t="s">
        <v>74</v>
      </c>
      <c r="Q232" t="s">
        <v>74</v>
      </c>
      <c r="R232" t="s">
        <v>74</v>
      </c>
      <c r="S232" t="s">
        <v>74</v>
      </c>
      <c r="T232" t="s">
        <v>4935</v>
      </c>
      <c r="U232" t="s">
        <v>4936</v>
      </c>
      <c r="V232" t="s">
        <v>4937</v>
      </c>
      <c r="W232" t="s">
        <v>4938</v>
      </c>
      <c r="X232" t="s">
        <v>4939</v>
      </c>
      <c r="Y232" t="s">
        <v>4940</v>
      </c>
      <c r="Z232" t="s">
        <v>4941</v>
      </c>
      <c r="AA232" t="s">
        <v>4942</v>
      </c>
      <c r="AB232" t="s">
        <v>74</v>
      </c>
      <c r="AC232" t="s">
        <v>74</v>
      </c>
      <c r="AD232" t="s">
        <v>74</v>
      </c>
      <c r="AE232" t="s">
        <v>74</v>
      </c>
      <c r="AF232" t="s">
        <v>74</v>
      </c>
      <c r="AG232">
        <v>117</v>
      </c>
      <c r="AH232">
        <v>0</v>
      </c>
      <c r="AI232">
        <v>0</v>
      </c>
      <c r="AJ232">
        <v>2</v>
      </c>
      <c r="AK232">
        <v>2</v>
      </c>
      <c r="AL232" t="s">
        <v>4666</v>
      </c>
      <c r="AM232" t="s">
        <v>995</v>
      </c>
      <c r="AN232" t="s">
        <v>4025</v>
      </c>
      <c r="AO232" t="s">
        <v>4943</v>
      </c>
      <c r="AP232" t="s">
        <v>4944</v>
      </c>
      <c r="AQ232" t="s">
        <v>74</v>
      </c>
      <c r="AR232" t="s">
        <v>4945</v>
      </c>
      <c r="AS232" t="s">
        <v>4946</v>
      </c>
      <c r="AT232" t="s">
        <v>4947</v>
      </c>
      <c r="AU232">
        <v>2025</v>
      </c>
      <c r="AV232">
        <v>8</v>
      </c>
      <c r="AW232">
        <v>4</v>
      </c>
      <c r="AX232" t="s">
        <v>74</v>
      </c>
      <c r="AY232" t="s">
        <v>74</v>
      </c>
      <c r="AZ232" t="s">
        <v>74</v>
      </c>
      <c r="BA232" t="s">
        <v>74</v>
      </c>
      <c r="BB232" t="s">
        <v>74</v>
      </c>
      <c r="BC232" t="s">
        <v>74</v>
      </c>
      <c r="BD232">
        <v>91</v>
      </c>
      <c r="BE232" t="s">
        <v>4948</v>
      </c>
      <c r="BF232" t="str">
        <f>HYPERLINK("http://dx.doi.org/10.1007/s42001-025-00421-8","http://dx.doi.org/10.1007/s42001-025-00421-8")</f>
        <v>http://dx.doi.org/10.1007/s42001-025-00421-8</v>
      </c>
      <c r="BG232" t="s">
        <v>74</v>
      </c>
      <c r="BH232" t="s">
        <v>74</v>
      </c>
      <c r="BI232">
        <v>64</v>
      </c>
      <c r="BJ232" t="s">
        <v>4949</v>
      </c>
      <c r="BK232" t="s">
        <v>313</v>
      </c>
      <c r="BL232" t="s">
        <v>4950</v>
      </c>
      <c r="BM232" t="s">
        <v>4951</v>
      </c>
      <c r="BN232" t="s">
        <v>74</v>
      </c>
      <c r="BO232" t="s">
        <v>74</v>
      </c>
      <c r="BP232" t="s">
        <v>74</v>
      </c>
      <c r="BQ232" t="s">
        <v>74</v>
      </c>
      <c r="BR232" t="s">
        <v>102</v>
      </c>
      <c r="BS232" t="s">
        <v>4952</v>
      </c>
      <c r="BT232" t="str">
        <f>HYPERLINK("https%3A%2F%2Fwww.webofscience.com%2Fwos%2Fwoscc%2Ffull-record%2FWOS:001553808800001","View Full Record in Web of Science")</f>
        <v>View Full Record in Web of Science</v>
      </c>
    </row>
    <row r="233" spans="1:72" x14ac:dyDescent="0.25">
      <c r="A233" t="s">
        <v>72</v>
      </c>
      <c r="B233" t="s">
        <v>4953</v>
      </c>
      <c r="C233" t="s">
        <v>74</v>
      </c>
      <c r="D233" t="s">
        <v>74</v>
      </c>
      <c r="E233" t="s">
        <v>74</v>
      </c>
      <c r="F233" t="s">
        <v>4954</v>
      </c>
      <c r="G233" t="s">
        <v>74</v>
      </c>
      <c r="H233" t="s">
        <v>74</v>
      </c>
      <c r="I233" t="s">
        <v>4955</v>
      </c>
      <c r="J233" t="s">
        <v>4956</v>
      </c>
      <c r="K233" t="s">
        <v>74</v>
      </c>
      <c r="L233" t="s">
        <v>74</v>
      </c>
      <c r="M233" t="s">
        <v>78</v>
      </c>
      <c r="N233" t="s">
        <v>79</v>
      </c>
      <c r="O233" t="s">
        <v>74</v>
      </c>
      <c r="P233" t="s">
        <v>74</v>
      </c>
      <c r="Q233" t="s">
        <v>74</v>
      </c>
      <c r="R233" t="s">
        <v>74</v>
      </c>
      <c r="S233" t="s">
        <v>74</v>
      </c>
      <c r="T233" t="s">
        <v>4957</v>
      </c>
      <c r="U233" t="s">
        <v>4958</v>
      </c>
      <c r="V233" t="s">
        <v>4959</v>
      </c>
      <c r="W233" t="s">
        <v>4960</v>
      </c>
      <c r="X233" t="s">
        <v>2516</v>
      </c>
      <c r="Y233" t="s">
        <v>4961</v>
      </c>
      <c r="Z233" t="s">
        <v>4962</v>
      </c>
      <c r="AA233" t="s">
        <v>74</v>
      </c>
      <c r="AB233" t="s">
        <v>74</v>
      </c>
      <c r="AC233" t="s">
        <v>4963</v>
      </c>
      <c r="AD233" t="s">
        <v>4964</v>
      </c>
      <c r="AE233" t="s">
        <v>4965</v>
      </c>
      <c r="AF233" t="s">
        <v>74</v>
      </c>
      <c r="AG233">
        <v>49</v>
      </c>
      <c r="AH233">
        <v>9</v>
      </c>
      <c r="AI233">
        <v>12</v>
      </c>
      <c r="AJ233">
        <v>7</v>
      </c>
      <c r="AK233">
        <v>21</v>
      </c>
      <c r="AL233" t="s">
        <v>230</v>
      </c>
      <c r="AM233" t="s">
        <v>231</v>
      </c>
      <c r="AN233" t="s">
        <v>232</v>
      </c>
      <c r="AO233" t="s">
        <v>4966</v>
      </c>
      <c r="AP233" t="s">
        <v>4967</v>
      </c>
      <c r="AQ233" t="s">
        <v>74</v>
      </c>
      <c r="AR233" t="s">
        <v>4968</v>
      </c>
      <c r="AS233" t="s">
        <v>4969</v>
      </c>
      <c r="AT233" t="s">
        <v>1540</v>
      </c>
      <c r="AU233">
        <v>2024</v>
      </c>
      <c r="AV233">
        <v>177</v>
      </c>
      <c r="AW233" t="s">
        <v>74</v>
      </c>
      <c r="AX233" t="s">
        <v>74</v>
      </c>
      <c r="AY233" t="s">
        <v>74</v>
      </c>
      <c r="AZ233" t="s">
        <v>74</v>
      </c>
      <c r="BA233" t="s">
        <v>74</v>
      </c>
      <c r="BB233" t="s">
        <v>74</v>
      </c>
      <c r="BC233" t="s">
        <v>74</v>
      </c>
      <c r="BD233">
        <v>106537</v>
      </c>
      <c r="BE233" t="s">
        <v>4970</v>
      </c>
      <c r="BF233" t="str">
        <f>HYPERLINK("http://dx.doi.org/10.1016/j.worlddev.2024.106537","http://dx.doi.org/10.1016/j.worlddev.2024.106537")</f>
        <v>http://dx.doi.org/10.1016/j.worlddev.2024.106537</v>
      </c>
      <c r="BG233" t="s">
        <v>74</v>
      </c>
      <c r="BH233" t="s">
        <v>239</v>
      </c>
      <c r="BI233">
        <v>21</v>
      </c>
      <c r="BJ233" t="s">
        <v>701</v>
      </c>
      <c r="BK233" t="s">
        <v>99</v>
      </c>
      <c r="BL233" t="s">
        <v>702</v>
      </c>
      <c r="BM233" t="s">
        <v>4971</v>
      </c>
      <c r="BN233" t="s">
        <v>74</v>
      </c>
      <c r="BO233" t="s">
        <v>74</v>
      </c>
      <c r="BP233" t="s">
        <v>74</v>
      </c>
      <c r="BQ233" t="s">
        <v>74</v>
      </c>
      <c r="BR233" t="s">
        <v>102</v>
      </c>
      <c r="BS233" t="s">
        <v>4972</v>
      </c>
      <c r="BT233" t="str">
        <f>HYPERLINK("https%3A%2F%2Fwww.webofscience.com%2Fwos%2Fwoscc%2Ffull-record%2FWOS:001167387400001","View Full Record in Web of Science")</f>
        <v>View Full Record in Web of Science</v>
      </c>
    </row>
    <row r="234" spans="1:72" x14ac:dyDescent="0.25">
      <c r="A234" t="s">
        <v>132</v>
      </c>
      <c r="B234" t="s">
        <v>4973</v>
      </c>
      <c r="C234" t="s">
        <v>74</v>
      </c>
      <c r="D234" t="s">
        <v>74</v>
      </c>
      <c r="E234" t="s">
        <v>771</v>
      </c>
      <c r="F234" t="s">
        <v>4974</v>
      </c>
      <c r="G234" t="s">
        <v>74</v>
      </c>
      <c r="H234" t="s">
        <v>74</v>
      </c>
      <c r="I234" t="s">
        <v>4975</v>
      </c>
      <c r="J234" t="s">
        <v>4976</v>
      </c>
      <c r="K234" t="s">
        <v>4977</v>
      </c>
      <c r="L234" t="s">
        <v>74</v>
      </c>
      <c r="M234" t="s">
        <v>78</v>
      </c>
      <c r="N234" t="s">
        <v>138</v>
      </c>
      <c r="O234" t="s">
        <v>4978</v>
      </c>
      <c r="P234" t="s">
        <v>4979</v>
      </c>
      <c r="Q234" t="s">
        <v>1550</v>
      </c>
      <c r="R234" t="s">
        <v>1011</v>
      </c>
      <c r="S234" t="s">
        <v>74</v>
      </c>
      <c r="T234" t="s">
        <v>4980</v>
      </c>
      <c r="U234" t="s">
        <v>74</v>
      </c>
      <c r="V234" t="s">
        <v>4981</v>
      </c>
      <c r="W234" t="s">
        <v>4982</v>
      </c>
      <c r="X234" t="s">
        <v>4983</v>
      </c>
      <c r="Y234" t="s">
        <v>4984</v>
      </c>
      <c r="Z234" t="s">
        <v>4985</v>
      </c>
      <c r="AA234" t="s">
        <v>4986</v>
      </c>
      <c r="AB234" t="s">
        <v>74</v>
      </c>
      <c r="AC234" t="s">
        <v>4987</v>
      </c>
      <c r="AD234" t="s">
        <v>4988</v>
      </c>
      <c r="AE234" t="s">
        <v>4989</v>
      </c>
      <c r="AF234" t="s">
        <v>74</v>
      </c>
      <c r="AG234">
        <v>27</v>
      </c>
      <c r="AH234">
        <v>4</v>
      </c>
      <c r="AI234">
        <v>4</v>
      </c>
      <c r="AJ234">
        <v>1</v>
      </c>
      <c r="AK234">
        <v>3</v>
      </c>
      <c r="AL234" t="s">
        <v>771</v>
      </c>
      <c r="AM234" t="s">
        <v>151</v>
      </c>
      <c r="AN234" t="s">
        <v>785</v>
      </c>
      <c r="AO234" t="s">
        <v>4990</v>
      </c>
      <c r="AP234" t="s">
        <v>74</v>
      </c>
      <c r="AQ234" t="s">
        <v>4991</v>
      </c>
      <c r="AR234" t="s">
        <v>4992</v>
      </c>
      <c r="AS234" t="s">
        <v>74</v>
      </c>
      <c r="AT234" t="s">
        <v>74</v>
      </c>
      <c r="AU234">
        <v>2020</v>
      </c>
      <c r="AV234" t="s">
        <v>74</v>
      </c>
      <c r="AW234" t="s">
        <v>74</v>
      </c>
      <c r="AX234" t="s">
        <v>74</v>
      </c>
      <c r="AY234" t="s">
        <v>74</v>
      </c>
      <c r="AZ234" t="s">
        <v>74</v>
      </c>
      <c r="BA234" t="s">
        <v>74</v>
      </c>
      <c r="BB234" t="s">
        <v>74</v>
      </c>
      <c r="BC234" t="s">
        <v>74</v>
      </c>
      <c r="BD234" t="s">
        <v>74</v>
      </c>
      <c r="BE234" t="s">
        <v>4993</v>
      </c>
      <c r="BF234" t="str">
        <f>HYPERLINK("http://dx.doi.org/10.1109/icccn49398.2020.9209687","http://dx.doi.org/10.1109/icccn49398.2020.9209687")</f>
        <v>http://dx.doi.org/10.1109/icccn49398.2020.9209687</v>
      </c>
      <c r="BG234" t="s">
        <v>74</v>
      </c>
      <c r="BH234" t="s">
        <v>74</v>
      </c>
      <c r="BI234">
        <v>9</v>
      </c>
      <c r="BJ234" t="s">
        <v>1022</v>
      </c>
      <c r="BK234" t="s">
        <v>156</v>
      </c>
      <c r="BL234" t="s">
        <v>1023</v>
      </c>
      <c r="BM234" t="s">
        <v>4994</v>
      </c>
      <c r="BN234" t="s">
        <v>74</v>
      </c>
      <c r="BO234" t="s">
        <v>74</v>
      </c>
      <c r="BP234" t="s">
        <v>74</v>
      </c>
      <c r="BQ234" t="s">
        <v>74</v>
      </c>
      <c r="BR234" t="s">
        <v>102</v>
      </c>
      <c r="BS234" t="s">
        <v>4995</v>
      </c>
      <c r="BT234" t="str">
        <f>HYPERLINK("https%3A%2F%2Fwww.webofscience.com%2Fwos%2Fwoscc%2Ffull-record%2FWOS:000627816700079","View Full Record in Web of Science")</f>
        <v>View Full Record in Web of Science</v>
      </c>
    </row>
    <row r="235" spans="1:72" x14ac:dyDescent="0.25">
      <c r="A235" t="s">
        <v>72</v>
      </c>
      <c r="B235" t="s">
        <v>4996</v>
      </c>
      <c r="C235" t="s">
        <v>74</v>
      </c>
      <c r="D235" t="s">
        <v>74</v>
      </c>
      <c r="E235" t="s">
        <v>74</v>
      </c>
      <c r="F235" t="s">
        <v>4996</v>
      </c>
      <c r="G235" t="s">
        <v>74</v>
      </c>
      <c r="H235" t="s">
        <v>74</v>
      </c>
      <c r="I235" t="s">
        <v>4997</v>
      </c>
      <c r="J235" t="s">
        <v>4998</v>
      </c>
      <c r="K235" t="s">
        <v>74</v>
      </c>
      <c r="L235" t="s">
        <v>74</v>
      </c>
      <c r="M235" t="s">
        <v>78</v>
      </c>
      <c r="N235" t="s">
        <v>79</v>
      </c>
      <c r="O235" t="s">
        <v>74</v>
      </c>
      <c r="P235" t="s">
        <v>74</v>
      </c>
      <c r="Q235" t="s">
        <v>74</v>
      </c>
      <c r="R235" t="s">
        <v>74</v>
      </c>
      <c r="S235" t="s">
        <v>74</v>
      </c>
      <c r="T235" t="s">
        <v>74</v>
      </c>
      <c r="U235" t="s">
        <v>4999</v>
      </c>
      <c r="V235" t="s">
        <v>5000</v>
      </c>
      <c r="W235" t="s">
        <v>5001</v>
      </c>
      <c r="X235" t="s">
        <v>5002</v>
      </c>
      <c r="Y235" t="s">
        <v>5003</v>
      </c>
      <c r="Z235" t="s">
        <v>5004</v>
      </c>
      <c r="AA235" t="s">
        <v>74</v>
      </c>
      <c r="AB235" t="s">
        <v>5005</v>
      </c>
      <c r="AC235" t="s">
        <v>74</v>
      </c>
      <c r="AD235" t="s">
        <v>74</v>
      </c>
      <c r="AE235" t="s">
        <v>74</v>
      </c>
      <c r="AF235" t="s">
        <v>74</v>
      </c>
      <c r="AG235">
        <v>66</v>
      </c>
      <c r="AH235">
        <v>322</v>
      </c>
      <c r="AI235">
        <v>424</v>
      </c>
      <c r="AJ235">
        <v>2</v>
      </c>
      <c r="AK235">
        <v>96</v>
      </c>
      <c r="AL235" t="s">
        <v>479</v>
      </c>
      <c r="AM235" t="s">
        <v>480</v>
      </c>
      <c r="AN235" t="s">
        <v>481</v>
      </c>
      <c r="AO235" t="s">
        <v>5006</v>
      </c>
      <c r="AP235" t="s">
        <v>5007</v>
      </c>
      <c r="AQ235" t="s">
        <v>74</v>
      </c>
      <c r="AR235" t="s">
        <v>5008</v>
      </c>
      <c r="AS235" t="s">
        <v>5009</v>
      </c>
      <c r="AT235" t="s">
        <v>1652</v>
      </c>
      <c r="AU235">
        <v>2004</v>
      </c>
      <c r="AV235">
        <v>77</v>
      </c>
      <c r="AW235" t="s">
        <v>74</v>
      </c>
      <c r="AX235">
        <v>2</v>
      </c>
      <c r="AY235" t="s">
        <v>74</v>
      </c>
      <c r="AZ235" t="s">
        <v>74</v>
      </c>
      <c r="BA235" t="s">
        <v>74</v>
      </c>
      <c r="BB235">
        <v>171</v>
      </c>
      <c r="BC235">
        <v>191</v>
      </c>
      <c r="BD235" t="s">
        <v>74</v>
      </c>
      <c r="BE235" t="s">
        <v>74</v>
      </c>
      <c r="BF235" t="s">
        <v>74</v>
      </c>
      <c r="BG235" t="s">
        <v>74</v>
      </c>
      <c r="BH235" t="s">
        <v>74</v>
      </c>
      <c r="BI235">
        <v>21</v>
      </c>
      <c r="BJ235" t="s">
        <v>5010</v>
      </c>
      <c r="BK235" t="s">
        <v>99</v>
      </c>
      <c r="BL235" t="s">
        <v>5011</v>
      </c>
      <c r="BM235" t="s">
        <v>5012</v>
      </c>
      <c r="BN235" t="s">
        <v>74</v>
      </c>
      <c r="BO235" t="s">
        <v>74</v>
      </c>
      <c r="BP235" t="s">
        <v>74</v>
      </c>
      <c r="BQ235" t="s">
        <v>74</v>
      </c>
      <c r="BR235" t="s">
        <v>102</v>
      </c>
      <c r="BS235" t="s">
        <v>5013</v>
      </c>
      <c r="BT235" t="str">
        <f>HYPERLINK("https%3A%2F%2Fwww.webofscience.com%2Fwos%2Fwoscc%2Ffull-record%2FWOS:000222358100004","View Full Record in Web of Science")</f>
        <v>View Full Record in Web of Science</v>
      </c>
    </row>
    <row r="236" spans="1:72" x14ac:dyDescent="0.25">
      <c r="A236" t="s">
        <v>72</v>
      </c>
      <c r="B236" t="s">
        <v>5014</v>
      </c>
      <c r="C236" t="s">
        <v>74</v>
      </c>
      <c r="D236" t="s">
        <v>74</v>
      </c>
      <c r="E236" t="s">
        <v>74</v>
      </c>
      <c r="F236" t="s">
        <v>5015</v>
      </c>
      <c r="G236" t="s">
        <v>74</v>
      </c>
      <c r="H236" t="s">
        <v>74</v>
      </c>
      <c r="I236" t="s">
        <v>5016</v>
      </c>
      <c r="J236" t="s">
        <v>5017</v>
      </c>
      <c r="K236" t="s">
        <v>74</v>
      </c>
      <c r="L236" t="s">
        <v>74</v>
      </c>
      <c r="M236" t="s">
        <v>78</v>
      </c>
      <c r="N236" t="s">
        <v>79</v>
      </c>
      <c r="O236" t="s">
        <v>74</v>
      </c>
      <c r="P236" t="s">
        <v>74</v>
      </c>
      <c r="Q236" t="s">
        <v>74</v>
      </c>
      <c r="R236" t="s">
        <v>74</v>
      </c>
      <c r="S236" t="s">
        <v>74</v>
      </c>
      <c r="T236" t="s">
        <v>5018</v>
      </c>
      <c r="U236" t="s">
        <v>74</v>
      </c>
      <c r="V236" t="s">
        <v>5019</v>
      </c>
      <c r="W236" t="s">
        <v>5020</v>
      </c>
      <c r="X236" t="s">
        <v>5021</v>
      </c>
      <c r="Y236" t="s">
        <v>5022</v>
      </c>
      <c r="Z236" t="s">
        <v>5023</v>
      </c>
      <c r="AA236" t="s">
        <v>74</v>
      </c>
      <c r="AB236" t="s">
        <v>74</v>
      </c>
      <c r="AC236" t="s">
        <v>74</v>
      </c>
      <c r="AD236" t="s">
        <v>74</v>
      </c>
      <c r="AE236" t="s">
        <v>74</v>
      </c>
      <c r="AF236" t="s">
        <v>74</v>
      </c>
      <c r="AG236">
        <v>33</v>
      </c>
      <c r="AH236">
        <v>0</v>
      </c>
      <c r="AI236">
        <v>0</v>
      </c>
      <c r="AJ236">
        <v>0</v>
      </c>
      <c r="AK236">
        <v>0</v>
      </c>
      <c r="AL236" t="s">
        <v>332</v>
      </c>
      <c r="AM236" t="s">
        <v>333</v>
      </c>
      <c r="AN236" t="s">
        <v>334</v>
      </c>
      <c r="AO236" t="s">
        <v>5024</v>
      </c>
      <c r="AP236" t="s">
        <v>5025</v>
      </c>
      <c r="AQ236" t="s">
        <v>74</v>
      </c>
      <c r="AR236" t="s">
        <v>5026</v>
      </c>
      <c r="AS236" t="s">
        <v>5027</v>
      </c>
      <c r="AT236" t="s">
        <v>5028</v>
      </c>
      <c r="AU236">
        <v>2025</v>
      </c>
      <c r="AV236">
        <v>83</v>
      </c>
      <c r="AW236">
        <v>4</v>
      </c>
      <c r="AX236" t="s">
        <v>74</v>
      </c>
      <c r="AY236" t="s">
        <v>74</v>
      </c>
      <c r="AZ236" t="s">
        <v>74</v>
      </c>
      <c r="BA236" t="s">
        <v>74</v>
      </c>
      <c r="BB236">
        <v>504</v>
      </c>
      <c r="BC236">
        <v>528</v>
      </c>
      <c r="BD236" t="s">
        <v>74</v>
      </c>
      <c r="BE236" t="s">
        <v>5029</v>
      </c>
      <c r="BF236" t="str">
        <f>HYPERLINK("http://dx.doi.org/10.1080/00346764.2025.2540103","http://dx.doi.org/10.1080/00346764.2025.2540103")</f>
        <v>http://dx.doi.org/10.1080/00346764.2025.2540103</v>
      </c>
      <c r="BG236" t="s">
        <v>74</v>
      </c>
      <c r="BH236" t="s">
        <v>5030</v>
      </c>
      <c r="BI236">
        <v>25</v>
      </c>
      <c r="BJ236" t="s">
        <v>291</v>
      </c>
      <c r="BK236" t="s">
        <v>313</v>
      </c>
      <c r="BL236" t="s">
        <v>100</v>
      </c>
      <c r="BM236" t="s">
        <v>5031</v>
      </c>
      <c r="BN236" t="s">
        <v>74</v>
      </c>
      <c r="BO236" t="s">
        <v>74</v>
      </c>
      <c r="BP236" t="s">
        <v>74</v>
      </c>
      <c r="BQ236" t="s">
        <v>74</v>
      </c>
      <c r="BR236" t="s">
        <v>102</v>
      </c>
      <c r="BS236" t="s">
        <v>5032</v>
      </c>
      <c r="BT236" t="str">
        <f>HYPERLINK("https%3A%2F%2Fwww.webofscience.com%2Fwos%2Fwoscc%2Ffull-record%2FWOS:001544554600001","View Full Record in Web of Science")</f>
        <v>View Full Record in Web of Science</v>
      </c>
    </row>
    <row r="237" spans="1:72" x14ac:dyDescent="0.25">
      <c r="A237" t="s">
        <v>72</v>
      </c>
      <c r="B237" t="s">
        <v>5033</v>
      </c>
      <c r="C237" t="s">
        <v>74</v>
      </c>
      <c r="D237" t="s">
        <v>74</v>
      </c>
      <c r="E237" t="s">
        <v>74</v>
      </c>
      <c r="F237" t="s">
        <v>5034</v>
      </c>
      <c r="G237" t="s">
        <v>74</v>
      </c>
      <c r="H237" t="s">
        <v>74</v>
      </c>
      <c r="I237" t="s">
        <v>5035</v>
      </c>
      <c r="J237" t="s">
        <v>5036</v>
      </c>
      <c r="K237" t="s">
        <v>74</v>
      </c>
      <c r="L237" t="s">
        <v>74</v>
      </c>
      <c r="M237" t="s">
        <v>78</v>
      </c>
      <c r="N237" t="s">
        <v>79</v>
      </c>
      <c r="O237" t="s">
        <v>74</v>
      </c>
      <c r="P237" t="s">
        <v>74</v>
      </c>
      <c r="Q237" t="s">
        <v>74</v>
      </c>
      <c r="R237" t="s">
        <v>74</v>
      </c>
      <c r="S237" t="s">
        <v>74</v>
      </c>
      <c r="T237" t="s">
        <v>5037</v>
      </c>
      <c r="U237" t="s">
        <v>5038</v>
      </c>
      <c r="V237" t="s">
        <v>5039</v>
      </c>
      <c r="W237" t="s">
        <v>5040</v>
      </c>
      <c r="X237" t="s">
        <v>5041</v>
      </c>
      <c r="Y237" t="s">
        <v>5042</v>
      </c>
      <c r="Z237" t="s">
        <v>5043</v>
      </c>
      <c r="AA237" t="s">
        <v>5044</v>
      </c>
      <c r="AB237" t="s">
        <v>74</v>
      </c>
      <c r="AC237" t="s">
        <v>74</v>
      </c>
      <c r="AD237" t="s">
        <v>74</v>
      </c>
      <c r="AE237" t="s">
        <v>74</v>
      </c>
      <c r="AF237" t="s">
        <v>74</v>
      </c>
      <c r="AG237">
        <v>82</v>
      </c>
      <c r="AH237">
        <v>0</v>
      </c>
      <c r="AI237">
        <v>0</v>
      </c>
      <c r="AJ237">
        <v>10</v>
      </c>
      <c r="AK237">
        <v>10</v>
      </c>
      <c r="AL237" t="s">
        <v>201</v>
      </c>
      <c r="AM237" t="s">
        <v>202</v>
      </c>
      <c r="AN237" t="s">
        <v>203</v>
      </c>
      <c r="AO237" t="s">
        <v>5045</v>
      </c>
      <c r="AP237" t="s">
        <v>5046</v>
      </c>
      <c r="AQ237" t="s">
        <v>74</v>
      </c>
      <c r="AR237" t="s">
        <v>5047</v>
      </c>
      <c r="AS237" t="s">
        <v>5048</v>
      </c>
      <c r="AT237" t="s">
        <v>124</v>
      </c>
      <c r="AU237">
        <v>2025</v>
      </c>
      <c r="AV237">
        <v>101</v>
      </c>
      <c r="AW237" t="s">
        <v>74</v>
      </c>
      <c r="AX237" t="s">
        <v>74</v>
      </c>
      <c r="AY237" t="s">
        <v>74</v>
      </c>
      <c r="AZ237" t="s">
        <v>74</v>
      </c>
      <c r="BA237" t="s">
        <v>74</v>
      </c>
      <c r="BB237" t="s">
        <v>74</v>
      </c>
      <c r="BC237" t="s">
        <v>74</v>
      </c>
      <c r="BD237">
        <v>102033</v>
      </c>
      <c r="BE237" t="s">
        <v>5049</v>
      </c>
      <c r="BF237" t="str">
        <f>HYPERLINK("http://dx.doi.org/10.1016/j.asieco.2025.102033","http://dx.doi.org/10.1016/j.asieco.2025.102033")</f>
        <v>http://dx.doi.org/10.1016/j.asieco.2025.102033</v>
      </c>
      <c r="BG237" t="s">
        <v>74</v>
      </c>
      <c r="BH237" t="s">
        <v>3411</v>
      </c>
      <c r="BI237">
        <v>21</v>
      </c>
      <c r="BJ237" t="s">
        <v>291</v>
      </c>
      <c r="BK237" t="s">
        <v>99</v>
      </c>
      <c r="BL237" t="s">
        <v>100</v>
      </c>
      <c r="BM237" t="s">
        <v>5050</v>
      </c>
      <c r="BN237" t="s">
        <v>74</v>
      </c>
      <c r="BO237" t="s">
        <v>74</v>
      </c>
      <c r="BP237" t="s">
        <v>74</v>
      </c>
      <c r="BQ237" t="s">
        <v>74</v>
      </c>
      <c r="BR237" t="s">
        <v>102</v>
      </c>
      <c r="BS237" t="s">
        <v>5051</v>
      </c>
      <c r="BT237" t="str">
        <f>HYPERLINK("https%3A%2F%2Fwww.webofscience.com%2Fwos%2Fwoscc%2Ffull-record%2FWOS:001568207700001","View Full Record in Web of Science")</f>
        <v>View Full Record in Web of Science</v>
      </c>
    </row>
    <row r="238" spans="1:72" x14ac:dyDescent="0.25">
      <c r="A238" t="s">
        <v>132</v>
      </c>
      <c r="B238" t="s">
        <v>5052</v>
      </c>
      <c r="C238" t="s">
        <v>74</v>
      </c>
      <c r="D238" t="s">
        <v>74</v>
      </c>
      <c r="E238" t="s">
        <v>5053</v>
      </c>
      <c r="F238" t="s">
        <v>5054</v>
      </c>
      <c r="G238" t="s">
        <v>74</v>
      </c>
      <c r="H238" t="s">
        <v>74</v>
      </c>
      <c r="I238" t="s">
        <v>5055</v>
      </c>
      <c r="J238" t="s">
        <v>5056</v>
      </c>
      <c r="K238" t="s">
        <v>74</v>
      </c>
      <c r="L238" t="s">
        <v>74</v>
      </c>
      <c r="M238" t="s">
        <v>78</v>
      </c>
      <c r="N238" t="s">
        <v>138</v>
      </c>
      <c r="O238" t="s">
        <v>5057</v>
      </c>
      <c r="P238" t="s">
        <v>5058</v>
      </c>
      <c r="Q238" t="s">
        <v>5059</v>
      </c>
      <c r="R238" t="s">
        <v>5060</v>
      </c>
      <c r="S238" t="s">
        <v>5061</v>
      </c>
      <c r="T238" t="s">
        <v>5062</v>
      </c>
      <c r="U238" t="s">
        <v>74</v>
      </c>
      <c r="V238" t="s">
        <v>5063</v>
      </c>
      <c r="W238" t="s">
        <v>5064</v>
      </c>
      <c r="X238" t="s">
        <v>4705</v>
      </c>
      <c r="Y238" t="s">
        <v>5065</v>
      </c>
      <c r="Z238" t="s">
        <v>74</v>
      </c>
      <c r="AA238" t="s">
        <v>5066</v>
      </c>
      <c r="AB238" t="s">
        <v>74</v>
      </c>
      <c r="AC238" t="s">
        <v>5067</v>
      </c>
      <c r="AD238" t="s">
        <v>5067</v>
      </c>
      <c r="AE238" t="s">
        <v>5068</v>
      </c>
      <c r="AF238" t="s">
        <v>74</v>
      </c>
      <c r="AG238">
        <v>19</v>
      </c>
      <c r="AH238">
        <v>0</v>
      </c>
      <c r="AI238">
        <v>0</v>
      </c>
      <c r="AJ238">
        <v>1</v>
      </c>
      <c r="AK238">
        <v>5</v>
      </c>
      <c r="AL238" t="s">
        <v>5069</v>
      </c>
      <c r="AM238" t="s">
        <v>5070</v>
      </c>
      <c r="AN238" t="s">
        <v>5071</v>
      </c>
      <c r="AO238" t="s">
        <v>74</v>
      </c>
      <c r="AP238" t="s">
        <v>74</v>
      </c>
      <c r="AQ238" t="s">
        <v>5072</v>
      </c>
      <c r="AR238" t="s">
        <v>74</v>
      </c>
      <c r="AS238" t="s">
        <v>74</v>
      </c>
      <c r="AT238" t="s">
        <v>74</v>
      </c>
      <c r="AU238">
        <v>2020</v>
      </c>
      <c r="AV238" t="s">
        <v>74</v>
      </c>
      <c r="AW238" t="s">
        <v>74</v>
      </c>
      <c r="AX238" t="s">
        <v>74</v>
      </c>
      <c r="AY238" t="s">
        <v>74</v>
      </c>
      <c r="AZ238" t="s">
        <v>74</v>
      </c>
      <c r="BA238" t="s">
        <v>74</v>
      </c>
      <c r="BB238">
        <v>497</v>
      </c>
      <c r="BC238">
        <v>505</v>
      </c>
      <c r="BD238" t="s">
        <v>74</v>
      </c>
      <c r="BE238" t="s">
        <v>74</v>
      </c>
      <c r="BF238" t="s">
        <v>74</v>
      </c>
      <c r="BG238" t="s">
        <v>74</v>
      </c>
      <c r="BH238" t="s">
        <v>74</v>
      </c>
      <c r="BI238">
        <v>9</v>
      </c>
      <c r="BJ238" t="s">
        <v>1453</v>
      </c>
      <c r="BK238" t="s">
        <v>183</v>
      </c>
      <c r="BL238" t="s">
        <v>100</v>
      </c>
      <c r="BM238" t="s">
        <v>5073</v>
      </c>
      <c r="BN238" t="s">
        <v>74</v>
      </c>
      <c r="BO238" t="s">
        <v>74</v>
      </c>
      <c r="BP238" t="s">
        <v>74</v>
      </c>
      <c r="BQ238" t="s">
        <v>74</v>
      </c>
      <c r="BR238" t="s">
        <v>102</v>
      </c>
      <c r="BS238" t="s">
        <v>5074</v>
      </c>
      <c r="BT238" t="str">
        <f>HYPERLINK("https%3A%2F%2Fwww.webofscience.com%2Fwos%2Fwoscc%2Ffull-record%2FWOS:000632360900045","View Full Record in Web of Science")</f>
        <v>View Full Record in Web of Science</v>
      </c>
    </row>
    <row r="239" spans="1:72" x14ac:dyDescent="0.25">
      <c r="A239" t="s">
        <v>72</v>
      </c>
      <c r="B239" t="s">
        <v>5075</v>
      </c>
      <c r="C239" t="s">
        <v>74</v>
      </c>
      <c r="D239" t="s">
        <v>74</v>
      </c>
      <c r="E239" t="s">
        <v>74</v>
      </c>
      <c r="F239" t="s">
        <v>5076</v>
      </c>
      <c r="G239" t="s">
        <v>74</v>
      </c>
      <c r="H239" t="s">
        <v>74</v>
      </c>
      <c r="I239" t="s">
        <v>5077</v>
      </c>
      <c r="J239" t="s">
        <v>5078</v>
      </c>
      <c r="K239" t="s">
        <v>74</v>
      </c>
      <c r="L239" t="s">
        <v>74</v>
      </c>
      <c r="M239" t="s">
        <v>78</v>
      </c>
      <c r="N239" t="s">
        <v>79</v>
      </c>
      <c r="O239" t="s">
        <v>74</v>
      </c>
      <c r="P239" t="s">
        <v>74</v>
      </c>
      <c r="Q239" t="s">
        <v>74</v>
      </c>
      <c r="R239" t="s">
        <v>74</v>
      </c>
      <c r="S239" t="s">
        <v>74</v>
      </c>
      <c r="T239" t="s">
        <v>5079</v>
      </c>
      <c r="U239" t="s">
        <v>5080</v>
      </c>
      <c r="V239" t="s">
        <v>5081</v>
      </c>
      <c r="W239" t="s">
        <v>5082</v>
      </c>
      <c r="X239" t="s">
        <v>5083</v>
      </c>
      <c r="Y239" t="s">
        <v>5084</v>
      </c>
      <c r="Z239" t="s">
        <v>5085</v>
      </c>
      <c r="AA239" t="s">
        <v>5086</v>
      </c>
      <c r="AB239" t="s">
        <v>74</v>
      </c>
      <c r="AC239" t="s">
        <v>74</v>
      </c>
      <c r="AD239" t="s">
        <v>74</v>
      </c>
      <c r="AE239" t="s">
        <v>74</v>
      </c>
      <c r="AF239" t="s">
        <v>74</v>
      </c>
      <c r="AG239">
        <v>83</v>
      </c>
      <c r="AH239">
        <v>6</v>
      </c>
      <c r="AI239">
        <v>11</v>
      </c>
      <c r="AJ239">
        <v>7</v>
      </c>
      <c r="AK239">
        <v>22</v>
      </c>
      <c r="AL239" t="s">
        <v>385</v>
      </c>
      <c r="AM239" t="s">
        <v>151</v>
      </c>
      <c r="AN239" t="s">
        <v>386</v>
      </c>
      <c r="AO239" t="s">
        <v>74</v>
      </c>
      <c r="AP239" t="s">
        <v>5087</v>
      </c>
      <c r="AQ239" t="s">
        <v>74</v>
      </c>
      <c r="AR239" t="s">
        <v>5088</v>
      </c>
      <c r="AS239" t="s">
        <v>5089</v>
      </c>
      <c r="AT239" t="s">
        <v>5090</v>
      </c>
      <c r="AU239">
        <v>2024</v>
      </c>
      <c r="AV239">
        <v>10</v>
      </c>
      <c r="AW239">
        <v>1</v>
      </c>
      <c r="AX239" t="s">
        <v>74</v>
      </c>
      <c r="AY239" t="s">
        <v>74</v>
      </c>
      <c r="AZ239" t="s">
        <v>74</v>
      </c>
      <c r="BA239" t="s">
        <v>74</v>
      </c>
      <c r="BB239" t="s">
        <v>74</v>
      </c>
      <c r="BC239" t="s">
        <v>74</v>
      </c>
      <c r="BD239">
        <v>46</v>
      </c>
      <c r="BE239" t="s">
        <v>5091</v>
      </c>
      <c r="BF239" t="str">
        <f>HYPERLINK("http://dx.doi.org/10.1186/s40854-023-00568-1","http://dx.doi.org/10.1186/s40854-023-00568-1")</f>
        <v>http://dx.doi.org/10.1186/s40854-023-00568-1</v>
      </c>
      <c r="BG239" t="s">
        <v>74</v>
      </c>
      <c r="BH239" t="s">
        <v>74</v>
      </c>
      <c r="BI239">
        <v>27</v>
      </c>
      <c r="BJ239" t="s">
        <v>5092</v>
      </c>
      <c r="BK239" t="s">
        <v>99</v>
      </c>
      <c r="BL239" t="s">
        <v>2024</v>
      </c>
      <c r="BM239" t="s">
        <v>5093</v>
      </c>
      <c r="BN239" t="s">
        <v>74</v>
      </c>
      <c r="BO239" t="s">
        <v>916</v>
      </c>
      <c r="BP239" t="s">
        <v>74</v>
      </c>
      <c r="BQ239" t="s">
        <v>74</v>
      </c>
      <c r="BR239" t="s">
        <v>102</v>
      </c>
      <c r="BS239" t="s">
        <v>5094</v>
      </c>
      <c r="BT239" t="str">
        <f>HYPERLINK("https%3A%2F%2Fwww.webofscience.com%2Fwos%2Fwoscc%2Ffull-record%2FWOS:001143493500001","View Full Record in Web of Science")</f>
        <v>View Full Record in Web of Science</v>
      </c>
    </row>
    <row r="240" spans="1:72" x14ac:dyDescent="0.25">
      <c r="A240" t="s">
        <v>72</v>
      </c>
      <c r="B240" t="s">
        <v>5095</v>
      </c>
      <c r="C240" t="s">
        <v>74</v>
      </c>
      <c r="D240" t="s">
        <v>74</v>
      </c>
      <c r="E240" t="s">
        <v>74</v>
      </c>
      <c r="F240" t="s">
        <v>5096</v>
      </c>
      <c r="G240" t="s">
        <v>74</v>
      </c>
      <c r="H240" t="s">
        <v>74</v>
      </c>
      <c r="I240" t="s">
        <v>5097</v>
      </c>
      <c r="J240" t="s">
        <v>5098</v>
      </c>
      <c r="K240" t="s">
        <v>74</v>
      </c>
      <c r="L240" t="s">
        <v>74</v>
      </c>
      <c r="M240" t="s">
        <v>78</v>
      </c>
      <c r="N240" t="s">
        <v>79</v>
      </c>
      <c r="O240" t="s">
        <v>74</v>
      </c>
      <c r="P240" t="s">
        <v>74</v>
      </c>
      <c r="Q240" t="s">
        <v>74</v>
      </c>
      <c r="R240" t="s">
        <v>74</v>
      </c>
      <c r="S240" t="s">
        <v>74</v>
      </c>
      <c r="T240" t="s">
        <v>5099</v>
      </c>
      <c r="U240" t="s">
        <v>5100</v>
      </c>
      <c r="V240" t="s">
        <v>5101</v>
      </c>
      <c r="W240" t="s">
        <v>5102</v>
      </c>
      <c r="X240" t="s">
        <v>5103</v>
      </c>
      <c r="Y240" t="s">
        <v>5104</v>
      </c>
      <c r="Z240" t="s">
        <v>5105</v>
      </c>
      <c r="AA240" t="s">
        <v>5106</v>
      </c>
      <c r="AB240" t="s">
        <v>5107</v>
      </c>
      <c r="AC240" t="s">
        <v>74</v>
      </c>
      <c r="AD240" t="s">
        <v>74</v>
      </c>
      <c r="AE240" t="s">
        <v>74</v>
      </c>
      <c r="AF240" t="s">
        <v>74</v>
      </c>
      <c r="AG240">
        <v>108</v>
      </c>
      <c r="AH240">
        <v>12</v>
      </c>
      <c r="AI240">
        <v>16</v>
      </c>
      <c r="AJ240">
        <v>1</v>
      </c>
      <c r="AK240">
        <v>33</v>
      </c>
      <c r="AL240" t="s">
        <v>479</v>
      </c>
      <c r="AM240" t="s">
        <v>480</v>
      </c>
      <c r="AN240" t="s">
        <v>481</v>
      </c>
      <c r="AO240" t="s">
        <v>5108</v>
      </c>
      <c r="AP240" t="s">
        <v>74</v>
      </c>
      <c r="AQ240" t="s">
        <v>74</v>
      </c>
      <c r="AR240" t="s">
        <v>5109</v>
      </c>
      <c r="AS240" t="s">
        <v>5110</v>
      </c>
      <c r="AT240" t="s">
        <v>605</v>
      </c>
      <c r="AU240">
        <v>2023</v>
      </c>
      <c r="AV240">
        <v>89</v>
      </c>
      <c r="AW240">
        <v>2</v>
      </c>
      <c r="AX240" t="s">
        <v>74</v>
      </c>
      <c r="AY240" t="s">
        <v>74</v>
      </c>
      <c r="AZ240" t="s">
        <v>441</v>
      </c>
      <c r="BA240" t="s">
        <v>74</v>
      </c>
      <c r="BB240" t="s">
        <v>74</v>
      </c>
      <c r="BC240" t="s">
        <v>74</v>
      </c>
      <c r="BD240" t="s">
        <v>74</v>
      </c>
      <c r="BE240" t="s">
        <v>5111</v>
      </c>
      <c r="BF240" t="str">
        <f>HYPERLINK("http://dx.doi.org/10.1002/isd2.12257","http://dx.doi.org/10.1002/isd2.12257")</f>
        <v>http://dx.doi.org/10.1002/isd2.12257</v>
      </c>
      <c r="BG240" t="s">
        <v>74</v>
      </c>
      <c r="BH240" t="s">
        <v>5112</v>
      </c>
      <c r="BI240">
        <v>15</v>
      </c>
      <c r="BJ240" t="s">
        <v>364</v>
      </c>
      <c r="BK240" t="s">
        <v>313</v>
      </c>
      <c r="BL240" t="s">
        <v>365</v>
      </c>
      <c r="BM240" t="s">
        <v>5113</v>
      </c>
      <c r="BN240" t="s">
        <v>74</v>
      </c>
      <c r="BO240" t="s">
        <v>74</v>
      </c>
      <c r="BP240" t="s">
        <v>74</v>
      </c>
      <c r="BQ240" t="s">
        <v>74</v>
      </c>
      <c r="BR240" t="s">
        <v>102</v>
      </c>
      <c r="BS240" t="s">
        <v>5114</v>
      </c>
      <c r="BT240" t="str">
        <f>HYPERLINK("https%3A%2F%2Fwww.webofscience.com%2Fwos%2Fwoscc%2Ffull-record%2FWOS:000888625500001","View Full Record in Web of Science")</f>
        <v>View Full Record in Web of Science</v>
      </c>
    </row>
    <row r="241" spans="1:72" x14ac:dyDescent="0.25">
      <c r="A241" t="s">
        <v>72</v>
      </c>
      <c r="B241" t="s">
        <v>5115</v>
      </c>
      <c r="C241" t="s">
        <v>74</v>
      </c>
      <c r="D241" t="s">
        <v>74</v>
      </c>
      <c r="E241" t="s">
        <v>74</v>
      </c>
      <c r="F241" t="s">
        <v>5116</v>
      </c>
      <c r="G241" t="s">
        <v>74</v>
      </c>
      <c r="H241" t="s">
        <v>74</v>
      </c>
      <c r="I241" t="s">
        <v>5117</v>
      </c>
      <c r="J241" t="s">
        <v>5118</v>
      </c>
      <c r="K241" t="s">
        <v>74</v>
      </c>
      <c r="L241" t="s">
        <v>74</v>
      </c>
      <c r="M241" t="s">
        <v>78</v>
      </c>
      <c r="N241" t="s">
        <v>79</v>
      </c>
      <c r="O241" t="s">
        <v>74</v>
      </c>
      <c r="P241" t="s">
        <v>74</v>
      </c>
      <c r="Q241" t="s">
        <v>74</v>
      </c>
      <c r="R241" t="s">
        <v>74</v>
      </c>
      <c r="S241" t="s">
        <v>74</v>
      </c>
      <c r="T241" t="s">
        <v>5119</v>
      </c>
      <c r="U241" t="s">
        <v>74</v>
      </c>
      <c r="V241" t="s">
        <v>5120</v>
      </c>
      <c r="W241" t="s">
        <v>74</v>
      </c>
      <c r="X241" t="s">
        <v>74</v>
      </c>
      <c r="Y241" t="s">
        <v>74</v>
      </c>
      <c r="Z241" t="s">
        <v>74</v>
      </c>
      <c r="AA241" t="s">
        <v>5121</v>
      </c>
      <c r="AB241" t="s">
        <v>5122</v>
      </c>
      <c r="AC241" t="s">
        <v>74</v>
      </c>
      <c r="AD241" t="s">
        <v>74</v>
      </c>
      <c r="AE241" t="s">
        <v>74</v>
      </c>
      <c r="AF241" t="s">
        <v>74</v>
      </c>
      <c r="AG241">
        <v>37</v>
      </c>
      <c r="AH241">
        <v>2</v>
      </c>
      <c r="AI241">
        <v>3</v>
      </c>
      <c r="AJ241">
        <v>0</v>
      </c>
      <c r="AK241">
        <v>5</v>
      </c>
      <c r="AL241" t="s">
        <v>5118</v>
      </c>
      <c r="AM241" t="s">
        <v>5123</v>
      </c>
      <c r="AN241" t="s">
        <v>5124</v>
      </c>
      <c r="AO241" t="s">
        <v>5125</v>
      </c>
      <c r="AP241" t="s">
        <v>5126</v>
      </c>
      <c r="AQ241" t="s">
        <v>74</v>
      </c>
      <c r="AR241" t="s">
        <v>5127</v>
      </c>
      <c r="AS241" t="s">
        <v>5128</v>
      </c>
      <c r="AT241" t="s">
        <v>74</v>
      </c>
      <c r="AU241">
        <v>2021</v>
      </c>
      <c r="AV241">
        <v>40</v>
      </c>
      <c r="AW241">
        <v>4</v>
      </c>
      <c r="AX241" t="s">
        <v>74</v>
      </c>
      <c r="AY241" t="s">
        <v>74</v>
      </c>
      <c r="AZ241" t="s">
        <v>74</v>
      </c>
      <c r="BA241" t="s">
        <v>74</v>
      </c>
      <c r="BB241">
        <v>9</v>
      </c>
      <c r="BC241">
        <v>14</v>
      </c>
      <c r="BD241" t="s">
        <v>74</v>
      </c>
      <c r="BE241" t="s">
        <v>74</v>
      </c>
      <c r="BF241" t="s">
        <v>74</v>
      </c>
      <c r="BG241" t="s">
        <v>74</v>
      </c>
      <c r="BH241" t="s">
        <v>74</v>
      </c>
      <c r="BI241">
        <v>6</v>
      </c>
      <c r="BJ241" t="s">
        <v>5129</v>
      </c>
      <c r="BK241" t="s">
        <v>313</v>
      </c>
      <c r="BL241" t="s">
        <v>5129</v>
      </c>
      <c r="BM241" t="s">
        <v>5130</v>
      </c>
      <c r="BN241" t="s">
        <v>74</v>
      </c>
      <c r="BO241" t="s">
        <v>74</v>
      </c>
      <c r="BP241" t="s">
        <v>74</v>
      </c>
      <c r="BQ241" t="s">
        <v>74</v>
      </c>
      <c r="BR241" t="s">
        <v>102</v>
      </c>
      <c r="BS241" t="s">
        <v>5131</v>
      </c>
      <c r="BT241" t="str">
        <f>HYPERLINK("https%3A%2F%2Fwww.webofscience.com%2Fwos%2Fwoscc%2Ffull-record%2FWOS:000842979800002","View Full Record in Web of Science")</f>
        <v>View Full Record in Web of Science</v>
      </c>
    </row>
    <row r="242" spans="1:72" x14ac:dyDescent="0.25">
      <c r="A242" t="s">
        <v>72</v>
      </c>
      <c r="B242" t="s">
        <v>5132</v>
      </c>
      <c r="C242" t="s">
        <v>74</v>
      </c>
      <c r="D242" t="s">
        <v>74</v>
      </c>
      <c r="E242" t="s">
        <v>74</v>
      </c>
      <c r="F242" t="s">
        <v>5133</v>
      </c>
      <c r="G242" t="s">
        <v>74</v>
      </c>
      <c r="H242" t="s">
        <v>74</v>
      </c>
      <c r="I242" t="s">
        <v>5134</v>
      </c>
      <c r="J242" t="s">
        <v>5135</v>
      </c>
      <c r="K242" t="s">
        <v>74</v>
      </c>
      <c r="L242" t="s">
        <v>74</v>
      </c>
      <c r="M242" t="s">
        <v>78</v>
      </c>
      <c r="N242" t="s">
        <v>79</v>
      </c>
      <c r="O242" t="s">
        <v>74</v>
      </c>
      <c r="P242" t="s">
        <v>74</v>
      </c>
      <c r="Q242" t="s">
        <v>74</v>
      </c>
      <c r="R242" t="s">
        <v>74</v>
      </c>
      <c r="S242" t="s">
        <v>74</v>
      </c>
      <c r="T242" t="s">
        <v>5136</v>
      </c>
      <c r="U242" t="s">
        <v>5137</v>
      </c>
      <c r="V242" t="s">
        <v>5138</v>
      </c>
      <c r="W242" t="s">
        <v>5139</v>
      </c>
      <c r="X242" t="s">
        <v>74</v>
      </c>
      <c r="Y242" t="s">
        <v>5140</v>
      </c>
      <c r="Z242" t="s">
        <v>5141</v>
      </c>
      <c r="AA242" t="s">
        <v>5142</v>
      </c>
      <c r="AB242" t="s">
        <v>74</v>
      </c>
      <c r="AC242" t="s">
        <v>74</v>
      </c>
      <c r="AD242" t="s">
        <v>74</v>
      </c>
      <c r="AE242" t="s">
        <v>74</v>
      </c>
      <c r="AF242" t="s">
        <v>74</v>
      </c>
      <c r="AG242">
        <v>28</v>
      </c>
      <c r="AH242">
        <v>0</v>
      </c>
      <c r="AI242">
        <v>0</v>
      </c>
      <c r="AJ242">
        <v>0</v>
      </c>
      <c r="AK242">
        <v>1</v>
      </c>
      <c r="AL242" t="s">
        <v>5143</v>
      </c>
      <c r="AM242" t="s">
        <v>5144</v>
      </c>
      <c r="AN242" t="s">
        <v>5145</v>
      </c>
      <c r="AO242" t="s">
        <v>5146</v>
      </c>
      <c r="AP242" t="s">
        <v>5147</v>
      </c>
      <c r="AQ242" t="s">
        <v>74</v>
      </c>
      <c r="AR242" t="s">
        <v>5148</v>
      </c>
      <c r="AS242" t="s">
        <v>5149</v>
      </c>
      <c r="AT242" t="s">
        <v>74</v>
      </c>
      <c r="AU242">
        <v>2024</v>
      </c>
      <c r="AV242">
        <v>126</v>
      </c>
      <c r="AW242">
        <v>1</v>
      </c>
      <c r="AX242" t="s">
        <v>74</v>
      </c>
      <c r="AY242" t="s">
        <v>74</v>
      </c>
      <c r="AZ242" t="s">
        <v>74</v>
      </c>
      <c r="BA242" t="s">
        <v>74</v>
      </c>
      <c r="BB242">
        <v>11</v>
      </c>
      <c r="BC242">
        <v>17</v>
      </c>
      <c r="BD242" t="s">
        <v>74</v>
      </c>
      <c r="BE242" t="s">
        <v>5150</v>
      </c>
      <c r="BF242" t="str">
        <f>HYPERLINK("http://dx.doi.org/10.7896/j.2703","http://dx.doi.org/10.7896/j.2703")</f>
        <v>http://dx.doi.org/10.7896/j.2703</v>
      </c>
      <c r="BG242" t="s">
        <v>74</v>
      </c>
      <c r="BH242" t="s">
        <v>74</v>
      </c>
      <c r="BI242">
        <v>7</v>
      </c>
      <c r="BJ242" t="s">
        <v>5151</v>
      </c>
      <c r="BK242" t="s">
        <v>313</v>
      </c>
      <c r="BL242" t="s">
        <v>5152</v>
      </c>
      <c r="BM242" t="s">
        <v>5153</v>
      </c>
      <c r="BN242" t="s">
        <v>74</v>
      </c>
      <c r="BO242" t="s">
        <v>212</v>
      </c>
      <c r="BP242" t="s">
        <v>74</v>
      </c>
      <c r="BQ242" t="s">
        <v>74</v>
      </c>
      <c r="BR242" t="s">
        <v>102</v>
      </c>
      <c r="BS242" t="s">
        <v>5154</v>
      </c>
      <c r="BT242" t="str">
        <f>HYPERLINK("https%3A%2F%2Fwww.webofscience.com%2Fwos%2Fwoscc%2Ffull-record%2FWOS:001318540700002","View Full Record in Web of Science")</f>
        <v>View Full Record in Web of Science</v>
      </c>
    </row>
    <row r="243" spans="1:72" x14ac:dyDescent="0.25">
      <c r="A243" t="s">
        <v>72</v>
      </c>
      <c r="B243" t="s">
        <v>5155</v>
      </c>
      <c r="C243" t="s">
        <v>74</v>
      </c>
      <c r="D243" t="s">
        <v>74</v>
      </c>
      <c r="E243" t="s">
        <v>74</v>
      </c>
      <c r="F243" t="s">
        <v>5155</v>
      </c>
      <c r="G243" t="s">
        <v>74</v>
      </c>
      <c r="H243" t="s">
        <v>74</v>
      </c>
      <c r="I243" t="s">
        <v>5156</v>
      </c>
      <c r="J243" t="s">
        <v>5157</v>
      </c>
      <c r="K243" t="s">
        <v>74</v>
      </c>
      <c r="L243" t="s">
        <v>74</v>
      </c>
      <c r="M243" t="s">
        <v>78</v>
      </c>
      <c r="N243" t="s">
        <v>79</v>
      </c>
      <c r="O243" t="s">
        <v>74</v>
      </c>
      <c r="P243" t="s">
        <v>74</v>
      </c>
      <c r="Q243" t="s">
        <v>74</v>
      </c>
      <c r="R243" t="s">
        <v>74</v>
      </c>
      <c r="S243" t="s">
        <v>74</v>
      </c>
      <c r="T243" t="s">
        <v>5158</v>
      </c>
      <c r="U243" t="s">
        <v>74</v>
      </c>
      <c r="V243" t="s">
        <v>5159</v>
      </c>
      <c r="W243" t="s">
        <v>5160</v>
      </c>
      <c r="X243" t="s">
        <v>5161</v>
      </c>
      <c r="Y243" t="s">
        <v>5162</v>
      </c>
      <c r="Z243" t="s">
        <v>5163</v>
      </c>
      <c r="AA243" t="s">
        <v>74</v>
      </c>
      <c r="AB243" t="s">
        <v>5164</v>
      </c>
      <c r="AC243" t="s">
        <v>74</v>
      </c>
      <c r="AD243" t="s">
        <v>74</v>
      </c>
      <c r="AE243" t="s">
        <v>74</v>
      </c>
      <c r="AF243" t="s">
        <v>74</v>
      </c>
      <c r="AG243">
        <v>10</v>
      </c>
      <c r="AH243">
        <v>9</v>
      </c>
      <c r="AI243">
        <v>12</v>
      </c>
      <c r="AJ243">
        <v>1</v>
      </c>
      <c r="AK243">
        <v>11</v>
      </c>
      <c r="AL243" t="s">
        <v>2907</v>
      </c>
      <c r="AM243" t="s">
        <v>2908</v>
      </c>
      <c r="AN243" t="s">
        <v>2909</v>
      </c>
      <c r="AO243" t="s">
        <v>5165</v>
      </c>
      <c r="AP243" t="s">
        <v>74</v>
      </c>
      <c r="AQ243" t="s">
        <v>74</v>
      </c>
      <c r="AR243" t="s">
        <v>5166</v>
      </c>
      <c r="AS243" t="s">
        <v>5167</v>
      </c>
      <c r="AT243" t="s">
        <v>1652</v>
      </c>
      <c r="AU243">
        <v>2002</v>
      </c>
      <c r="AV243">
        <v>53</v>
      </c>
      <c r="AW243">
        <v>6</v>
      </c>
      <c r="AX243" t="s">
        <v>74</v>
      </c>
      <c r="AY243" t="s">
        <v>74</v>
      </c>
      <c r="AZ243" t="s">
        <v>74</v>
      </c>
      <c r="BA243" t="s">
        <v>74</v>
      </c>
      <c r="BB243">
        <v>647</v>
      </c>
      <c r="BC243">
        <v>654</v>
      </c>
      <c r="BD243" t="s">
        <v>74</v>
      </c>
      <c r="BE243" t="s">
        <v>5168</v>
      </c>
      <c r="BF243" t="str">
        <f>HYPERLINK("http://dx.doi.org/10.1057/palgrave.jors.2601346","http://dx.doi.org/10.1057/palgrave.jors.2601346")</f>
        <v>http://dx.doi.org/10.1057/palgrave.jors.2601346</v>
      </c>
      <c r="BG243" t="s">
        <v>74</v>
      </c>
      <c r="BH243" t="s">
        <v>74</v>
      </c>
      <c r="BI243">
        <v>8</v>
      </c>
      <c r="BJ243" t="s">
        <v>5169</v>
      </c>
      <c r="BK243" t="s">
        <v>2623</v>
      </c>
      <c r="BL243" t="s">
        <v>5170</v>
      </c>
      <c r="BM243" t="s">
        <v>5171</v>
      </c>
      <c r="BN243" t="s">
        <v>74</v>
      </c>
      <c r="BO243" t="s">
        <v>74</v>
      </c>
      <c r="BP243" t="s">
        <v>74</v>
      </c>
      <c r="BQ243" t="s">
        <v>74</v>
      </c>
      <c r="BR243" t="s">
        <v>102</v>
      </c>
      <c r="BS243" t="s">
        <v>5172</v>
      </c>
      <c r="BT243" t="str">
        <f>HYPERLINK("https%3A%2F%2Fwww.webofscience.com%2Fwos%2Fwoscc%2Ffull-record%2FWOS:000176073300007","View Full Record in Web of Science")</f>
        <v>View Full Record in Web of Science</v>
      </c>
    </row>
    <row r="244" spans="1:72" x14ac:dyDescent="0.25">
      <c r="A244" t="s">
        <v>72</v>
      </c>
      <c r="B244" t="s">
        <v>5173</v>
      </c>
      <c r="C244" t="s">
        <v>74</v>
      </c>
      <c r="D244" t="s">
        <v>74</v>
      </c>
      <c r="E244" t="s">
        <v>74</v>
      </c>
      <c r="F244" t="s">
        <v>5174</v>
      </c>
      <c r="G244" t="s">
        <v>74</v>
      </c>
      <c r="H244" t="s">
        <v>74</v>
      </c>
      <c r="I244" t="s">
        <v>5175</v>
      </c>
      <c r="J244" t="s">
        <v>5176</v>
      </c>
      <c r="K244" t="s">
        <v>74</v>
      </c>
      <c r="L244" t="s">
        <v>74</v>
      </c>
      <c r="M244" t="s">
        <v>78</v>
      </c>
      <c r="N244" t="s">
        <v>79</v>
      </c>
      <c r="O244" t="s">
        <v>74</v>
      </c>
      <c r="P244" t="s">
        <v>74</v>
      </c>
      <c r="Q244" t="s">
        <v>74</v>
      </c>
      <c r="R244" t="s">
        <v>74</v>
      </c>
      <c r="S244" t="s">
        <v>74</v>
      </c>
      <c r="T244" t="s">
        <v>5177</v>
      </c>
      <c r="U244" t="s">
        <v>5178</v>
      </c>
      <c r="V244" t="s">
        <v>5179</v>
      </c>
      <c r="W244" t="s">
        <v>5180</v>
      </c>
      <c r="X244" t="s">
        <v>5181</v>
      </c>
      <c r="Y244" t="s">
        <v>5182</v>
      </c>
      <c r="Z244" t="s">
        <v>74</v>
      </c>
      <c r="AA244" t="s">
        <v>74</v>
      </c>
      <c r="AB244" t="s">
        <v>74</v>
      </c>
      <c r="AC244" t="s">
        <v>74</v>
      </c>
      <c r="AD244" t="s">
        <v>74</v>
      </c>
      <c r="AE244" t="s">
        <v>74</v>
      </c>
      <c r="AF244" t="s">
        <v>74</v>
      </c>
      <c r="AG244">
        <v>29</v>
      </c>
      <c r="AH244">
        <v>4</v>
      </c>
      <c r="AI244">
        <v>7</v>
      </c>
      <c r="AJ244">
        <v>0</v>
      </c>
      <c r="AK244">
        <v>15</v>
      </c>
      <c r="AL244" t="s">
        <v>5183</v>
      </c>
      <c r="AM244" t="s">
        <v>5184</v>
      </c>
      <c r="AN244" t="s">
        <v>5185</v>
      </c>
      <c r="AO244" t="s">
        <v>5186</v>
      </c>
      <c r="AP244" t="s">
        <v>5187</v>
      </c>
      <c r="AQ244" t="s">
        <v>74</v>
      </c>
      <c r="AR244" t="s">
        <v>5188</v>
      </c>
      <c r="AS244" t="s">
        <v>5189</v>
      </c>
      <c r="AT244" t="s">
        <v>74</v>
      </c>
      <c r="AU244">
        <v>2017</v>
      </c>
      <c r="AV244">
        <v>6</v>
      </c>
      <c r="AW244">
        <v>2</v>
      </c>
      <c r="AX244" t="s">
        <v>74</v>
      </c>
      <c r="AY244" t="s">
        <v>74</v>
      </c>
      <c r="AZ244" t="s">
        <v>74</v>
      </c>
      <c r="BA244" t="s">
        <v>74</v>
      </c>
      <c r="BB244">
        <v>256</v>
      </c>
      <c r="BC244">
        <v>266</v>
      </c>
      <c r="BD244" t="s">
        <v>74</v>
      </c>
      <c r="BE244" t="s">
        <v>5190</v>
      </c>
      <c r="BF244" t="str">
        <f>HYPERLINK("http://dx.doi.org/10.14207/ejsd.2017.v6n2p256","http://dx.doi.org/10.14207/ejsd.2017.v6n2p256")</f>
        <v>http://dx.doi.org/10.14207/ejsd.2017.v6n2p256</v>
      </c>
      <c r="BG244" t="s">
        <v>74</v>
      </c>
      <c r="BH244" t="s">
        <v>74</v>
      </c>
      <c r="BI244">
        <v>11</v>
      </c>
      <c r="BJ244" t="s">
        <v>127</v>
      </c>
      <c r="BK244" t="s">
        <v>313</v>
      </c>
      <c r="BL244" t="s">
        <v>129</v>
      </c>
      <c r="BM244" t="s">
        <v>5191</v>
      </c>
      <c r="BN244" t="s">
        <v>74</v>
      </c>
      <c r="BO244" t="s">
        <v>212</v>
      </c>
      <c r="BP244" t="s">
        <v>74</v>
      </c>
      <c r="BQ244" t="s">
        <v>74</v>
      </c>
      <c r="BR244" t="s">
        <v>102</v>
      </c>
      <c r="BS244" t="s">
        <v>5192</v>
      </c>
      <c r="BT244" t="str">
        <f>HYPERLINK("https%3A%2F%2Fwww.webofscience.com%2Fwos%2Fwoscc%2Ffull-record%2FWOS:000402441600024","View Full Record in Web of Science")</f>
        <v>View Full Record in Web of Science</v>
      </c>
    </row>
    <row r="245" spans="1:72" x14ac:dyDescent="0.25">
      <c r="A245" t="s">
        <v>72</v>
      </c>
      <c r="B245" t="s">
        <v>5193</v>
      </c>
      <c r="C245" t="s">
        <v>74</v>
      </c>
      <c r="D245" t="s">
        <v>74</v>
      </c>
      <c r="E245" t="s">
        <v>74</v>
      </c>
      <c r="F245" t="s">
        <v>5194</v>
      </c>
      <c r="G245" t="s">
        <v>74</v>
      </c>
      <c r="H245" t="s">
        <v>74</v>
      </c>
      <c r="I245" t="s">
        <v>5195</v>
      </c>
      <c r="J245" t="s">
        <v>877</v>
      </c>
      <c r="K245" t="s">
        <v>74</v>
      </c>
      <c r="L245" t="s">
        <v>74</v>
      </c>
      <c r="M245" t="s">
        <v>78</v>
      </c>
      <c r="N245" t="s">
        <v>79</v>
      </c>
      <c r="O245" t="s">
        <v>74</v>
      </c>
      <c r="P245" t="s">
        <v>74</v>
      </c>
      <c r="Q245" t="s">
        <v>74</v>
      </c>
      <c r="R245" t="s">
        <v>74</v>
      </c>
      <c r="S245" t="s">
        <v>74</v>
      </c>
      <c r="T245" t="s">
        <v>5196</v>
      </c>
      <c r="U245" t="s">
        <v>5197</v>
      </c>
      <c r="V245" t="s">
        <v>5198</v>
      </c>
      <c r="W245" t="s">
        <v>5199</v>
      </c>
      <c r="X245" t="s">
        <v>2101</v>
      </c>
      <c r="Y245" t="s">
        <v>5200</v>
      </c>
      <c r="Z245" t="s">
        <v>5201</v>
      </c>
      <c r="AA245" t="s">
        <v>5202</v>
      </c>
      <c r="AB245" t="s">
        <v>74</v>
      </c>
      <c r="AC245" t="s">
        <v>74</v>
      </c>
      <c r="AD245" t="s">
        <v>74</v>
      </c>
      <c r="AE245" t="s">
        <v>74</v>
      </c>
      <c r="AF245" t="s">
        <v>74</v>
      </c>
      <c r="AG245">
        <v>56</v>
      </c>
      <c r="AH245">
        <v>2</v>
      </c>
      <c r="AI245">
        <v>2</v>
      </c>
      <c r="AJ245">
        <v>0</v>
      </c>
      <c r="AK245">
        <v>11</v>
      </c>
      <c r="AL245" t="s">
        <v>884</v>
      </c>
      <c r="AM245" t="s">
        <v>5203</v>
      </c>
      <c r="AN245" t="s">
        <v>5204</v>
      </c>
      <c r="AO245" t="s">
        <v>887</v>
      </c>
      <c r="AP245" t="s">
        <v>888</v>
      </c>
      <c r="AQ245" t="s">
        <v>74</v>
      </c>
      <c r="AR245" t="s">
        <v>889</v>
      </c>
      <c r="AS245" t="s">
        <v>890</v>
      </c>
      <c r="AT245" t="s">
        <v>698</v>
      </c>
      <c r="AU245">
        <v>2022</v>
      </c>
      <c r="AV245">
        <v>9</v>
      </c>
      <c r="AW245">
        <v>9</v>
      </c>
      <c r="AX245" t="s">
        <v>74</v>
      </c>
      <c r="AY245" t="s">
        <v>74</v>
      </c>
      <c r="AZ245" t="s">
        <v>74</v>
      </c>
      <c r="BA245" t="s">
        <v>74</v>
      </c>
      <c r="BB245">
        <v>75</v>
      </c>
      <c r="BC245">
        <v>91</v>
      </c>
      <c r="BD245" t="s">
        <v>74</v>
      </c>
      <c r="BE245" t="s">
        <v>5205</v>
      </c>
      <c r="BF245" t="str">
        <f>HYPERLINK("http://dx.doi.org/10.13106/jafeb.2022.vol9.no9.0075","http://dx.doi.org/10.13106/jafeb.2022.vol9.no9.0075")</f>
        <v>http://dx.doi.org/10.13106/jafeb.2022.vol9.no9.0075</v>
      </c>
      <c r="BG245" t="s">
        <v>74</v>
      </c>
      <c r="BH245" t="s">
        <v>74</v>
      </c>
      <c r="BI245">
        <v>17</v>
      </c>
      <c r="BJ245" t="s">
        <v>418</v>
      </c>
      <c r="BK245" t="s">
        <v>313</v>
      </c>
      <c r="BL245" t="s">
        <v>100</v>
      </c>
      <c r="BM245" t="s">
        <v>5206</v>
      </c>
      <c r="BN245" t="s">
        <v>74</v>
      </c>
      <c r="BO245" t="s">
        <v>74</v>
      </c>
      <c r="BP245" t="s">
        <v>74</v>
      </c>
      <c r="BQ245" t="s">
        <v>74</v>
      </c>
      <c r="BR245" t="s">
        <v>102</v>
      </c>
      <c r="BS245" t="s">
        <v>5207</v>
      </c>
      <c r="BT245" t="str">
        <f>HYPERLINK("https%3A%2F%2Fwww.webofscience.com%2Fwos%2Fwoscc%2Ffull-record%2FWOS:000886472200007","View Full Record in Web of Science")</f>
        <v>View Full Record in Web of Science</v>
      </c>
    </row>
    <row r="246" spans="1:72" x14ac:dyDescent="0.25">
      <c r="A246" t="s">
        <v>132</v>
      </c>
      <c r="B246" t="s">
        <v>5208</v>
      </c>
      <c r="C246" t="s">
        <v>74</v>
      </c>
      <c r="D246" t="s">
        <v>74</v>
      </c>
      <c r="E246" t="s">
        <v>771</v>
      </c>
      <c r="F246" t="s">
        <v>5209</v>
      </c>
      <c r="G246" t="s">
        <v>74</v>
      </c>
      <c r="H246" t="s">
        <v>74</v>
      </c>
      <c r="I246" t="s">
        <v>5210</v>
      </c>
      <c r="J246" t="s">
        <v>5211</v>
      </c>
      <c r="K246" t="s">
        <v>5212</v>
      </c>
      <c r="L246" t="s">
        <v>74</v>
      </c>
      <c r="M246" t="s">
        <v>78</v>
      </c>
      <c r="N246" t="s">
        <v>138</v>
      </c>
      <c r="O246" t="s">
        <v>5213</v>
      </c>
      <c r="P246" t="s">
        <v>5214</v>
      </c>
      <c r="Q246" t="s">
        <v>5215</v>
      </c>
      <c r="R246" t="s">
        <v>5216</v>
      </c>
      <c r="S246" t="s">
        <v>74</v>
      </c>
      <c r="T246" t="s">
        <v>5217</v>
      </c>
      <c r="U246" t="s">
        <v>74</v>
      </c>
      <c r="V246" t="s">
        <v>5218</v>
      </c>
      <c r="W246" t="s">
        <v>5219</v>
      </c>
      <c r="X246" t="s">
        <v>5220</v>
      </c>
      <c r="Y246" t="s">
        <v>5221</v>
      </c>
      <c r="Z246" t="s">
        <v>5222</v>
      </c>
      <c r="AA246" t="s">
        <v>5223</v>
      </c>
      <c r="AB246" t="s">
        <v>74</v>
      </c>
      <c r="AC246" t="s">
        <v>74</v>
      </c>
      <c r="AD246" t="s">
        <v>74</v>
      </c>
      <c r="AE246" t="s">
        <v>74</v>
      </c>
      <c r="AF246" t="s">
        <v>74</v>
      </c>
      <c r="AG246">
        <v>24</v>
      </c>
      <c r="AH246">
        <v>0</v>
      </c>
      <c r="AI246">
        <v>0</v>
      </c>
      <c r="AJ246">
        <v>0</v>
      </c>
      <c r="AK246">
        <v>0</v>
      </c>
      <c r="AL246" t="s">
        <v>771</v>
      </c>
      <c r="AM246" t="s">
        <v>151</v>
      </c>
      <c r="AN246" t="s">
        <v>785</v>
      </c>
      <c r="AO246" t="s">
        <v>5224</v>
      </c>
      <c r="AP246" t="s">
        <v>74</v>
      </c>
      <c r="AQ246" t="s">
        <v>5225</v>
      </c>
      <c r="AR246" t="s">
        <v>5226</v>
      </c>
      <c r="AS246" t="s">
        <v>74</v>
      </c>
      <c r="AT246" t="s">
        <v>74</v>
      </c>
      <c r="AU246">
        <v>2025</v>
      </c>
      <c r="AV246" t="s">
        <v>74</v>
      </c>
      <c r="AW246" t="s">
        <v>74</v>
      </c>
      <c r="AX246" t="s">
        <v>74</v>
      </c>
      <c r="AY246" t="s">
        <v>74</v>
      </c>
      <c r="AZ246" t="s">
        <v>74</v>
      </c>
      <c r="BA246" t="s">
        <v>74</v>
      </c>
      <c r="BB246">
        <v>389</v>
      </c>
      <c r="BC246">
        <v>395</v>
      </c>
      <c r="BD246" t="s">
        <v>74</v>
      </c>
      <c r="BE246" t="s">
        <v>5227</v>
      </c>
      <c r="BF246" t="str">
        <f>HYPERLINK("http://dx.doi.org/10.1109/ICCCS65393.2025.11069703","http://dx.doi.org/10.1109/ICCCS65393.2025.11069703")</f>
        <v>http://dx.doi.org/10.1109/ICCCS65393.2025.11069703</v>
      </c>
      <c r="BG246" t="s">
        <v>74</v>
      </c>
      <c r="BH246" t="s">
        <v>74</v>
      </c>
      <c r="BI246">
        <v>7</v>
      </c>
      <c r="BJ246" t="s">
        <v>5228</v>
      </c>
      <c r="BK246" t="s">
        <v>156</v>
      </c>
      <c r="BL246" t="s">
        <v>2648</v>
      </c>
      <c r="BM246" t="s">
        <v>5229</v>
      </c>
      <c r="BN246" t="s">
        <v>74</v>
      </c>
      <c r="BO246" t="s">
        <v>74</v>
      </c>
      <c r="BP246" t="s">
        <v>74</v>
      </c>
      <c r="BQ246" t="s">
        <v>74</v>
      </c>
      <c r="BR246" t="s">
        <v>102</v>
      </c>
      <c r="BS246" t="s">
        <v>5230</v>
      </c>
      <c r="BT246" t="str">
        <f>HYPERLINK("https%3A%2F%2Fwww.webofscience.com%2Fwos%2Fwoscc%2Ffull-record%2FWOS:001555646900065","View Full Record in Web of Science")</f>
        <v>View Full Record in Web of Science</v>
      </c>
    </row>
    <row r="247" spans="1:72" x14ac:dyDescent="0.25">
      <c r="A247" t="s">
        <v>72</v>
      </c>
      <c r="B247" t="s">
        <v>5231</v>
      </c>
      <c r="C247" t="s">
        <v>74</v>
      </c>
      <c r="D247" t="s">
        <v>74</v>
      </c>
      <c r="E247" t="s">
        <v>74</v>
      </c>
      <c r="F247" t="s">
        <v>5232</v>
      </c>
      <c r="G247" t="s">
        <v>74</v>
      </c>
      <c r="H247" t="s">
        <v>74</v>
      </c>
      <c r="I247" t="s">
        <v>5233</v>
      </c>
      <c r="J247" t="s">
        <v>5234</v>
      </c>
      <c r="K247" t="s">
        <v>74</v>
      </c>
      <c r="L247" t="s">
        <v>74</v>
      </c>
      <c r="M247" t="s">
        <v>78</v>
      </c>
      <c r="N247" t="s">
        <v>79</v>
      </c>
      <c r="O247" t="s">
        <v>74</v>
      </c>
      <c r="P247" t="s">
        <v>74</v>
      </c>
      <c r="Q247" t="s">
        <v>74</v>
      </c>
      <c r="R247" t="s">
        <v>74</v>
      </c>
      <c r="S247" t="s">
        <v>74</v>
      </c>
      <c r="T247" t="s">
        <v>5235</v>
      </c>
      <c r="U247" t="s">
        <v>5236</v>
      </c>
      <c r="V247" t="s">
        <v>5237</v>
      </c>
      <c r="W247" t="s">
        <v>5238</v>
      </c>
      <c r="X247" t="s">
        <v>5239</v>
      </c>
      <c r="Y247" t="s">
        <v>5240</v>
      </c>
      <c r="Z247" t="s">
        <v>5241</v>
      </c>
      <c r="AA247" t="s">
        <v>5242</v>
      </c>
      <c r="AB247" t="s">
        <v>5243</v>
      </c>
      <c r="AC247" t="s">
        <v>74</v>
      </c>
      <c r="AD247" t="s">
        <v>74</v>
      </c>
      <c r="AE247" t="s">
        <v>74</v>
      </c>
      <c r="AF247" t="s">
        <v>74</v>
      </c>
      <c r="AG247">
        <v>79</v>
      </c>
      <c r="AH247">
        <v>1</v>
      </c>
      <c r="AI247">
        <v>2</v>
      </c>
      <c r="AJ247">
        <v>0</v>
      </c>
      <c r="AK247">
        <v>5</v>
      </c>
      <c r="AL247" t="s">
        <v>332</v>
      </c>
      <c r="AM247" t="s">
        <v>333</v>
      </c>
      <c r="AN247" t="s">
        <v>334</v>
      </c>
      <c r="AO247" t="s">
        <v>5244</v>
      </c>
      <c r="AP247" t="s">
        <v>5245</v>
      </c>
      <c r="AQ247" t="s">
        <v>74</v>
      </c>
      <c r="AR247" t="s">
        <v>5246</v>
      </c>
      <c r="AS247" t="s">
        <v>5247</v>
      </c>
      <c r="AT247" t="s">
        <v>5248</v>
      </c>
      <c r="AU247">
        <v>2023</v>
      </c>
      <c r="AV247">
        <v>46</v>
      </c>
      <c r="AW247">
        <v>6</v>
      </c>
      <c r="AX247" t="s">
        <v>74</v>
      </c>
      <c r="AY247" t="s">
        <v>74</v>
      </c>
      <c r="AZ247" t="s">
        <v>74</v>
      </c>
      <c r="BA247" t="s">
        <v>74</v>
      </c>
      <c r="BB247">
        <v>391</v>
      </c>
      <c r="BC247">
        <v>402</v>
      </c>
      <c r="BD247" t="s">
        <v>74</v>
      </c>
      <c r="BE247" t="s">
        <v>5249</v>
      </c>
      <c r="BF247" t="str">
        <f>HYPERLINK("http://dx.doi.org/10.1080/01900692.2021.1998906","http://dx.doi.org/10.1080/01900692.2021.1998906")</f>
        <v>http://dx.doi.org/10.1080/01900692.2021.1998906</v>
      </c>
      <c r="BG247" t="s">
        <v>74</v>
      </c>
      <c r="BH247" t="s">
        <v>2730</v>
      </c>
      <c r="BI247">
        <v>12</v>
      </c>
      <c r="BJ247" t="s">
        <v>3868</v>
      </c>
      <c r="BK247" t="s">
        <v>313</v>
      </c>
      <c r="BL247" t="s">
        <v>3868</v>
      </c>
      <c r="BM247" t="s">
        <v>5250</v>
      </c>
      <c r="BN247" t="s">
        <v>74</v>
      </c>
      <c r="BO247" t="s">
        <v>74</v>
      </c>
      <c r="BP247" t="s">
        <v>74</v>
      </c>
      <c r="BQ247" t="s">
        <v>74</v>
      </c>
      <c r="BR247" t="s">
        <v>102</v>
      </c>
      <c r="BS247" t="s">
        <v>5251</v>
      </c>
      <c r="BT247" t="str">
        <f>HYPERLINK("https%3A%2F%2Fwww.webofscience.com%2Fwos%2Fwoscc%2Ffull-record%2FWOS:000728416300001","View Full Record in Web of Science")</f>
        <v>View Full Record in Web of Science</v>
      </c>
    </row>
    <row r="248" spans="1:72" x14ac:dyDescent="0.25">
      <c r="A248" t="s">
        <v>132</v>
      </c>
      <c r="B248" t="s">
        <v>4719</v>
      </c>
      <c r="C248" t="s">
        <v>74</v>
      </c>
      <c r="D248" t="s">
        <v>5252</v>
      </c>
      <c r="E248" t="s">
        <v>74</v>
      </c>
      <c r="F248" t="s">
        <v>4720</v>
      </c>
      <c r="G248" t="s">
        <v>74</v>
      </c>
      <c r="H248" t="s">
        <v>74</v>
      </c>
      <c r="I248" t="s">
        <v>5253</v>
      </c>
      <c r="J248" t="s">
        <v>5254</v>
      </c>
      <c r="K248" t="s">
        <v>74</v>
      </c>
      <c r="L248" t="s">
        <v>74</v>
      </c>
      <c r="M248" t="s">
        <v>78</v>
      </c>
      <c r="N248" t="s">
        <v>138</v>
      </c>
      <c r="O248" t="s">
        <v>5255</v>
      </c>
      <c r="P248" t="s">
        <v>5256</v>
      </c>
      <c r="Q248" t="s">
        <v>4726</v>
      </c>
      <c r="R248" t="s">
        <v>5257</v>
      </c>
      <c r="S248" t="s">
        <v>74</v>
      </c>
      <c r="T248" t="s">
        <v>5258</v>
      </c>
      <c r="U248" t="s">
        <v>74</v>
      </c>
      <c r="V248" t="s">
        <v>5259</v>
      </c>
      <c r="W248" t="s">
        <v>5260</v>
      </c>
      <c r="X248" t="s">
        <v>4731</v>
      </c>
      <c r="Y248" t="s">
        <v>4732</v>
      </c>
      <c r="Z248" t="s">
        <v>4733</v>
      </c>
      <c r="AA248" t="s">
        <v>4734</v>
      </c>
      <c r="AB248" t="s">
        <v>74</v>
      </c>
      <c r="AC248" t="s">
        <v>74</v>
      </c>
      <c r="AD248" t="s">
        <v>74</v>
      </c>
      <c r="AE248" t="s">
        <v>74</v>
      </c>
      <c r="AF248" t="s">
        <v>74</v>
      </c>
      <c r="AG248">
        <v>30</v>
      </c>
      <c r="AH248">
        <v>0</v>
      </c>
      <c r="AI248">
        <v>0</v>
      </c>
      <c r="AJ248">
        <v>0</v>
      </c>
      <c r="AK248">
        <v>5</v>
      </c>
      <c r="AL248" t="s">
        <v>771</v>
      </c>
      <c r="AM248" t="s">
        <v>151</v>
      </c>
      <c r="AN248" t="s">
        <v>785</v>
      </c>
      <c r="AO248" t="s">
        <v>74</v>
      </c>
      <c r="AP248" t="s">
        <v>74</v>
      </c>
      <c r="AQ248" t="s">
        <v>5261</v>
      </c>
      <c r="AR248" t="s">
        <v>74</v>
      </c>
      <c r="AS248" t="s">
        <v>74</v>
      </c>
      <c r="AT248" t="s">
        <v>74</v>
      </c>
      <c r="AU248">
        <v>2015</v>
      </c>
      <c r="AV248" t="s">
        <v>74</v>
      </c>
      <c r="AW248" t="s">
        <v>74</v>
      </c>
      <c r="AX248" t="s">
        <v>74</v>
      </c>
      <c r="AY248" t="s">
        <v>74</v>
      </c>
      <c r="AZ248" t="s">
        <v>74</v>
      </c>
      <c r="BA248" t="s">
        <v>74</v>
      </c>
      <c r="BB248" t="s">
        <v>74</v>
      </c>
      <c r="BC248" t="s">
        <v>74</v>
      </c>
      <c r="BD248" t="s">
        <v>74</v>
      </c>
      <c r="BE248" t="s">
        <v>74</v>
      </c>
      <c r="BF248" t="s">
        <v>74</v>
      </c>
      <c r="BG248" t="s">
        <v>74</v>
      </c>
      <c r="BH248" t="s">
        <v>74</v>
      </c>
      <c r="BI248">
        <v>5</v>
      </c>
      <c r="BJ248" t="s">
        <v>5262</v>
      </c>
      <c r="BK248" t="s">
        <v>156</v>
      </c>
      <c r="BL248" t="s">
        <v>1023</v>
      </c>
      <c r="BM248" t="s">
        <v>5263</v>
      </c>
      <c r="BN248" t="s">
        <v>74</v>
      </c>
      <c r="BO248" t="s">
        <v>74</v>
      </c>
      <c r="BP248" t="s">
        <v>74</v>
      </c>
      <c r="BQ248" t="s">
        <v>74</v>
      </c>
      <c r="BR248" t="s">
        <v>102</v>
      </c>
      <c r="BS248" t="s">
        <v>5264</v>
      </c>
      <c r="BT248" t="str">
        <f>HYPERLINK("https%3A%2F%2Fwww.webofscience.com%2Fwos%2Fwoscc%2Ffull-record%2FWOS:000380399100069","View Full Record in Web of Science")</f>
        <v>View Full Record in Web of Science</v>
      </c>
    </row>
    <row r="249" spans="1:72" x14ac:dyDescent="0.25">
      <c r="A249" t="s">
        <v>72</v>
      </c>
      <c r="B249" t="s">
        <v>5265</v>
      </c>
      <c r="C249" t="s">
        <v>74</v>
      </c>
      <c r="D249" t="s">
        <v>74</v>
      </c>
      <c r="E249" t="s">
        <v>74</v>
      </c>
      <c r="F249" t="s">
        <v>5266</v>
      </c>
      <c r="G249" t="s">
        <v>74</v>
      </c>
      <c r="H249" t="s">
        <v>74</v>
      </c>
      <c r="I249" t="s">
        <v>5267</v>
      </c>
      <c r="J249" t="s">
        <v>5268</v>
      </c>
      <c r="K249" t="s">
        <v>74</v>
      </c>
      <c r="L249" t="s">
        <v>74</v>
      </c>
      <c r="M249" t="s">
        <v>78</v>
      </c>
      <c r="N249" t="s">
        <v>79</v>
      </c>
      <c r="O249" t="s">
        <v>74</v>
      </c>
      <c r="P249" t="s">
        <v>74</v>
      </c>
      <c r="Q249" t="s">
        <v>74</v>
      </c>
      <c r="R249" t="s">
        <v>74</v>
      </c>
      <c r="S249" t="s">
        <v>74</v>
      </c>
      <c r="T249" t="s">
        <v>5269</v>
      </c>
      <c r="U249" t="s">
        <v>5270</v>
      </c>
      <c r="V249" t="s">
        <v>5271</v>
      </c>
      <c r="W249" t="s">
        <v>5272</v>
      </c>
      <c r="X249" t="s">
        <v>5273</v>
      </c>
      <c r="Y249" t="s">
        <v>5274</v>
      </c>
      <c r="Z249" t="s">
        <v>5275</v>
      </c>
      <c r="AA249" t="s">
        <v>5276</v>
      </c>
      <c r="AB249" t="s">
        <v>5277</v>
      </c>
      <c r="AC249" t="s">
        <v>5278</v>
      </c>
      <c r="AD249" t="s">
        <v>5278</v>
      </c>
      <c r="AE249" t="s">
        <v>5279</v>
      </c>
      <c r="AF249" t="s">
        <v>74</v>
      </c>
      <c r="AG249">
        <v>56</v>
      </c>
      <c r="AH249">
        <v>3</v>
      </c>
      <c r="AI249">
        <v>3</v>
      </c>
      <c r="AJ249">
        <v>0</v>
      </c>
      <c r="AK249">
        <v>3</v>
      </c>
      <c r="AL249" t="s">
        <v>503</v>
      </c>
      <c r="AM249" t="s">
        <v>151</v>
      </c>
      <c r="AN249" t="s">
        <v>504</v>
      </c>
      <c r="AO249" t="s">
        <v>5280</v>
      </c>
      <c r="AP249" t="s">
        <v>5281</v>
      </c>
      <c r="AQ249" t="s">
        <v>74</v>
      </c>
      <c r="AR249" t="s">
        <v>5282</v>
      </c>
      <c r="AS249" t="s">
        <v>5283</v>
      </c>
      <c r="AT249" t="s">
        <v>289</v>
      </c>
      <c r="AU249">
        <v>2024</v>
      </c>
      <c r="AV249">
        <v>111</v>
      </c>
      <c r="AW249" t="s">
        <v>74</v>
      </c>
      <c r="AX249" t="s">
        <v>74</v>
      </c>
      <c r="AY249" t="s">
        <v>74</v>
      </c>
      <c r="AZ249" t="s">
        <v>74</v>
      </c>
      <c r="BA249" t="s">
        <v>74</v>
      </c>
      <c r="BB249" t="s">
        <v>74</v>
      </c>
      <c r="BC249" t="s">
        <v>74</v>
      </c>
      <c r="BD249">
        <v>102220</v>
      </c>
      <c r="BE249" t="s">
        <v>5284</v>
      </c>
      <c r="BF249" t="str">
        <f>HYPERLINK("http://dx.doi.org/10.1016/j.socec.2024.102220","http://dx.doi.org/10.1016/j.socec.2024.102220")</f>
        <v>http://dx.doi.org/10.1016/j.socec.2024.102220</v>
      </c>
      <c r="BG249" t="s">
        <v>74</v>
      </c>
      <c r="BH249" t="s">
        <v>5285</v>
      </c>
      <c r="BI249">
        <v>12</v>
      </c>
      <c r="BJ249" t="s">
        <v>291</v>
      </c>
      <c r="BK249" t="s">
        <v>99</v>
      </c>
      <c r="BL249" t="s">
        <v>100</v>
      </c>
      <c r="BM249" t="s">
        <v>5286</v>
      </c>
      <c r="BN249">
        <v>39091380</v>
      </c>
      <c r="BO249" t="s">
        <v>466</v>
      </c>
      <c r="BP249" t="s">
        <v>74</v>
      </c>
      <c r="BQ249" t="s">
        <v>74</v>
      </c>
      <c r="BR249" t="s">
        <v>102</v>
      </c>
      <c r="BS249" t="s">
        <v>5287</v>
      </c>
      <c r="BT249" t="str">
        <f>HYPERLINK("https%3A%2F%2Fwww.webofscience.com%2Fwos%2Fwoscc%2Ffull-record%2FWOS:001244664600001","View Full Record in Web of Science")</f>
        <v>View Full Record in Web of Science</v>
      </c>
    </row>
    <row r="250" spans="1:72" x14ac:dyDescent="0.25">
      <c r="A250" t="s">
        <v>72</v>
      </c>
      <c r="B250" t="s">
        <v>5288</v>
      </c>
      <c r="C250" t="s">
        <v>74</v>
      </c>
      <c r="D250" t="s">
        <v>74</v>
      </c>
      <c r="E250" t="s">
        <v>74</v>
      </c>
      <c r="F250" t="s">
        <v>5289</v>
      </c>
      <c r="G250" t="s">
        <v>74</v>
      </c>
      <c r="H250" t="s">
        <v>74</v>
      </c>
      <c r="I250" t="s">
        <v>5290</v>
      </c>
      <c r="J250" t="s">
        <v>5291</v>
      </c>
      <c r="K250" t="s">
        <v>74</v>
      </c>
      <c r="L250" t="s">
        <v>74</v>
      </c>
      <c r="M250" t="s">
        <v>78</v>
      </c>
      <c r="N250" t="s">
        <v>79</v>
      </c>
      <c r="O250" t="s">
        <v>74</v>
      </c>
      <c r="P250" t="s">
        <v>74</v>
      </c>
      <c r="Q250" t="s">
        <v>74</v>
      </c>
      <c r="R250" t="s">
        <v>74</v>
      </c>
      <c r="S250" t="s">
        <v>74</v>
      </c>
      <c r="T250" t="s">
        <v>74</v>
      </c>
      <c r="U250" t="s">
        <v>74</v>
      </c>
      <c r="V250" t="s">
        <v>5292</v>
      </c>
      <c r="W250" t="s">
        <v>5293</v>
      </c>
      <c r="X250" t="s">
        <v>5294</v>
      </c>
      <c r="Y250" t="s">
        <v>5295</v>
      </c>
      <c r="Z250" t="s">
        <v>74</v>
      </c>
      <c r="AA250" t="s">
        <v>74</v>
      </c>
      <c r="AB250" t="s">
        <v>74</v>
      </c>
      <c r="AC250" t="s">
        <v>74</v>
      </c>
      <c r="AD250" t="s">
        <v>74</v>
      </c>
      <c r="AE250" t="s">
        <v>74</v>
      </c>
      <c r="AF250" t="s">
        <v>74</v>
      </c>
      <c r="AG250">
        <v>79</v>
      </c>
      <c r="AH250">
        <v>10</v>
      </c>
      <c r="AI250">
        <v>13</v>
      </c>
      <c r="AJ250">
        <v>0</v>
      </c>
      <c r="AK250">
        <v>1</v>
      </c>
      <c r="AL250" t="s">
        <v>5296</v>
      </c>
      <c r="AM250" t="s">
        <v>5297</v>
      </c>
      <c r="AN250" t="s">
        <v>5298</v>
      </c>
      <c r="AO250" t="s">
        <v>5299</v>
      </c>
      <c r="AP250" t="s">
        <v>5300</v>
      </c>
      <c r="AQ250" t="s">
        <v>74</v>
      </c>
      <c r="AR250" t="s">
        <v>5301</v>
      </c>
      <c r="AS250" t="s">
        <v>5302</v>
      </c>
      <c r="AT250" t="s">
        <v>1652</v>
      </c>
      <c r="AU250">
        <v>2016</v>
      </c>
      <c r="AV250">
        <v>17</v>
      </c>
      <c r="AW250">
        <v>1</v>
      </c>
      <c r="AX250" t="s">
        <v>74</v>
      </c>
      <c r="AY250" t="s">
        <v>74</v>
      </c>
      <c r="AZ250" t="s">
        <v>74</v>
      </c>
      <c r="BA250" t="s">
        <v>74</v>
      </c>
      <c r="BB250" t="s">
        <v>74</v>
      </c>
      <c r="BC250" t="s">
        <v>74</v>
      </c>
      <c r="BD250" t="s">
        <v>74</v>
      </c>
      <c r="BE250" t="s">
        <v>74</v>
      </c>
      <c r="BF250" t="s">
        <v>74</v>
      </c>
      <c r="BG250" t="s">
        <v>74</v>
      </c>
      <c r="BH250" t="s">
        <v>74</v>
      </c>
      <c r="BI250">
        <v>24</v>
      </c>
      <c r="BJ250" t="s">
        <v>182</v>
      </c>
      <c r="BK250" t="s">
        <v>313</v>
      </c>
      <c r="BL250" t="s">
        <v>184</v>
      </c>
      <c r="BM250" t="s">
        <v>5303</v>
      </c>
      <c r="BN250" t="s">
        <v>74</v>
      </c>
      <c r="BO250" t="s">
        <v>74</v>
      </c>
      <c r="BP250" t="s">
        <v>74</v>
      </c>
      <c r="BQ250" t="s">
        <v>74</v>
      </c>
      <c r="BR250" t="s">
        <v>102</v>
      </c>
      <c r="BS250" t="s">
        <v>5304</v>
      </c>
      <c r="BT250" t="str">
        <f>HYPERLINK("https%3A%2F%2Fwww.webofscience.com%2Fwos%2Fwoscc%2Ffull-record%2FWOS:000383155500004","View Full Record in Web of Science")</f>
        <v>View Full Record in Web of Science</v>
      </c>
    </row>
    <row r="251" spans="1:72" x14ac:dyDescent="0.25">
      <c r="A251" t="s">
        <v>72</v>
      </c>
      <c r="B251" t="s">
        <v>5305</v>
      </c>
      <c r="C251" t="s">
        <v>74</v>
      </c>
      <c r="D251" t="s">
        <v>74</v>
      </c>
      <c r="E251" t="s">
        <v>74</v>
      </c>
      <c r="F251" t="s">
        <v>5306</v>
      </c>
      <c r="G251" t="s">
        <v>74</v>
      </c>
      <c r="H251" t="s">
        <v>74</v>
      </c>
      <c r="I251" t="s">
        <v>5307</v>
      </c>
      <c r="J251" t="s">
        <v>5308</v>
      </c>
      <c r="K251" t="s">
        <v>74</v>
      </c>
      <c r="L251" t="s">
        <v>74</v>
      </c>
      <c r="M251" t="s">
        <v>78</v>
      </c>
      <c r="N251" t="s">
        <v>79</v>
      </c>
      <c r="O251" t="s">
        <v>74</v>
      </c>
      <c r="P251" t="s">
        <v>74</v>
      </c>
      <c r="Q251" t="s">
        <v>74</v>
      </c>
      <c r="R251" t="s">
        <v>74</v>
      </c>
      <c r="S251" t="s">
        <v>74</v>
      </c>
      <c r="T251" t="s">
        <v>5309</v>
      </c>
      <c r="U251" t="s">
        <v>5310</v>
      </c>
      <c r="V251" t="s">
        <v>5311</v>
      </c>
      <c r="W251" t="s">
        <v>5312</v>
      </c>
      <c r="X251" t="s">
        <v>5313</v>
      </c>
      <c r="Y251" t="s">
        <v>5314</v>
      </c>
      <c r="Z251" t="s">
        <v>5315</v>
      </c>
      <c r="AA251" t="s">
        <v>74</v>
      </c>
      <c r="AB251" t="s">
        <v>5316</v>
      </c>
      <c r="AC251" t="s">
        <v>74</v>
      </c>
      <c r="AD251" t="s">
        <v>74</v>
      </c>
      <c r="AE251" t="s">
        <v>74</v>
      </c>
      <c r="AF251" t="s">
        <v>74</v>
      </c>
      <c r="AG251">
        <v>65</v>
      </c>
      <c r="AH251">
        <v>148</v>
      </c>
      <c r="AI251">
        <v>225</v>
      </c>
      <c r="AJ251">
        <v>1</v>
      </c>
      <c r="AK251">
        <v>83</v>
      </c>
      <c r="AL251" t="s">
        <v>5317</v>
      </c>
      <c r="AM251" t="s">
        <v>5318</v>
      </c>
      <c r="AN251" t="s">
        <v>5319</v>
      </c>
      <c r="AO251" t="s">
        <v>5320</v>
      </c>
      <c r="AP251" t="s">
        <v>74</v>
      </c>
      <c r="AQ251" t="s">
        <v>74</v>
      </c>
      <c r="AR251" t="s">
        <v>5321</v>
      </c>
      <c r="AS251" t="s">
        <v>5322</v>
      </c>
      <c r="AT251" t="s">
        <v>5323</v>
      </c>
      <c r="AU251">
        <v>2011</v>
      </c>
      <c r="AV251">
        <v>38</v>
      </c>
      <c r="AW251" t="s">
        <v>5324</v>
      </c>
      <c r="AX251" t="s">
        <v>74</v>
      </c>
      <c r="AY251" t="s">
        <v>74</v>
      </c>
      <c r="AZ251" t="s">
        <v>74</v>
      </c>
      <c r="BA251" t="s">
        <v>74</v>
      </c>
      <c r="BB251">
        <v>289</v>
      </c>
      <c r="BC251">
        <v>333</v>
      </c>
      <c r="BD251" t="s">
        <v>74</v>
      </c>
      <c r="BE251" t="s">
        <v>5325</v>
      </c>
      <c r="BF251" t="str">
        <f>HYPERLINK("http://dx.doi.org/10.1111/j.1468-5957.2011.02242.x","http://dx.doi.org/10.1111/j.1468-5957.2011.02242.x")</f>
        <v>http://dx.doi.org/10.1111/j.1468-5957.2011.02242.x</v>
      </c>
      <c r="BG251" t="s">
        <v>74</v>
      </c>
      <c r="BH251" t="s">
        <v>74</v>
      </c>
      <c r="BI251">
        <v>45</v>
      </c>
      <c r="BJ251" t="s">
        <v>268</v>
      </c>
      <c r="BK251" t="s">
        <v>99</v>
      </c>
      <c r="BL251" t="s">
        <v>100</v>
      </c>
      <c r="BM251" t="s">
        <v>5326</v>
      </c>
      <c r="BN251" t="s">
        <v>74</v>
      </c>
      <c r="BO251" t="s">
        <v>1696</v>
      </c>
      <c r="BP251" t="s">
        <v>74</v>
      </c>
      <c r="BQ251" t="s">
        <v>74</v>
      </c>
      <c r="BR251" t="s">
        <v>102</v>
      </c>
      <c r="BS251" t="s">
        <v>5327</v>
      </c>
      <c r="BT251" t="str">
        <f>HYPERLINK("https%3A%2F%2Fwww.webofscience.com%2Fwos%2Fwoscc%2Ffull-record%2FWOS:000290483200001","View Full Record in Web of Science")</f>
        <v>View Full Record in Web of Science</v>
      </c>
    </row>
    <row r="252" spans="1:72" x14ac:dyDescent="0.25">
      <c r="A252" t="s">
        <v>72</v>
      </c>
      <c r="B252" t="s">
        <v>5328</v>
      </c>
      <c r="C252" t="s">
        <v>74</v>
      </c>
      <c r="D252" t="s">
        <v>74</v>
      </c>
      <c r="E252" t="s">
        <v>74</v>
      </c>
      <c r="F252" t="s">
        <v>5329</v>
      </c>
      <c r="G252" t="s">
        <v>74</v>
      </c>
      <c r="H252" t="s">
        <v>74</v>
      </c>
      <c r="I252" t="s">
        <v>5330</v>
      </c>
      <c r="J252" t="s">
        <v>751</v>
      </c>
      <c r="K252" t="s">
        <v>74</v>
      </c>
      <c r="L252" t="s">
        <v>74</v>
      </c>
      <c r="M252" t="s">
        <v>78</v>
      </c>
      <c r="N252" t="s">
        <v>79</v>
      </c>
      <c r="O252" t="s">
        <v>74</v>
      </c>
      <c r="P252" t="s">
        <v>74</v>
      </c>
      <c r="Q252" t="s">
        <v>74</v>
      </c>
      <c r="R252" t="s">
        <v>74</v>
      </c>
      <c r="S252" t="s">
        <v>74</v>
      </c>
      <c r="T252" t="s">
        <v>5331</v>
      </c>
      <c r="U252" t="s">
        <v>5332</v>
      </c>
      <c r="V252" t="s">
        <v>5333</v>
      </c>
      <c r="W252" t="s">
        <v>5334</v>
      </c>
      <c r="X252" t="s">
        <v>5335</v>
      </c>
      <c r="Y252" t="s">
        <v>5336</v>
      </c>
      <c r="Z252" t="s">
        <v>5337</v>
      </c>
      <c r="AA252" t="s">
        <v>74</v>
      </c>
      <c r="AB252" t="s">
        <v>5338</v>
      </c>
      <c r="AC252" t="s">
        <v>74</v>
      </c>
      <c r="AD252" t="s">
        <v>74</v>
      </c>
      <c r="AE252" t="s">
        <v>74</v>
      </c>
      <c r="AF252" t="s">
        <v>74</v>
      </c>
      <c r="AG252">
        <v>43</v>
      </c>
      <c r="AH252">
        <v>11</v>
      </c>
      <c r="AI252">
        <v>15</v>
      </c>
      <c r="AJ252">
        <v>0</v>
      </c>
      <c r="AK252">
        <v>2</v>
      </c>
      <c r="AL252" t="s">
        <v>757</v>
      </c>
      <c r="AM252" t="s">
        <v>758</v>
      </c>
      <c r="AN252" t="s">
        <v>759</v>
      </c>
      <c r="AO252" t="s">
        <v>760</v>
      </c>
      <c r="AP252" t="s">
        <v>761</v>
      </c>
      <c r="AQ252" t="s">
        <v>74</v>
      </c>
      <c r="AR252" t="s">
        <v>762</v>
      </c>
      <c r="AS252" t="s">
        <v>763</v>
      </c>
      <c r="AT252" t="s">
        <v>1540</v>
      </c>
      <c r="AU252">
        <v>2021</v>
      </c>
      <c r="AV252">
        <v>13</v>
      </c>
      <c r="AW252">
        <v>1</v>
      </c>
      <c r="AX252" t="s">
        <v>74</v>
      </c>
      <c r="AY252" t="s">
        <v>74</v>
      </c>
      <c r="AZ252" t="s">
        <v>74</v>
      </c>
      <c r="BA252" t="s">
        <v>74</v>
      </c>
      <c r="BB252">
        <v>66</v>
      </c>
      <c r="BC252">
        <v>80</v>
      </c>
      <c r="BD252" t="s">
        <v>74</v>
      </c>
      <c r="BE252" t="s">
        <v>5339</v>
      </c>
      <c r="BF252" t="str">
        <f>HYPERLINK("http://dx.doi.org/10.1177/2455328X20922434","http://dx.doi.org/10.1177/2455328X20922434")</f>
        <v>http://dx.doi.org/10.1177/2455328X20922434</v>
      </c>
      <c r="BG252" t="s">
        <v>74</v>
      </c>
      <c r="BH252" t="s">
        <v>74</v>
      </c>
      <c r="BI252">
        <v>15</v>
      </c>
      <c r="BJ252" t="s">
        <v>364</v>
      </c>
      <c r="BK252" t="s">
        <v>313</v>
      </c>
      <c r="BL252" t="s">
        <v>365</v>
      </c>
      <c r="BM252" t="s">
        <v>5340</v>
      </c>
      <c r="BN252" t="s">
        <v>74</v>
      </c>
      <c r="BO252" t="s">
        <v>74</v>
      </c>
      <c r="BP252" t="s">
        <v>74</v>
      </c>
      <c r="BQ252" t="s">
        <v>74</v>
      </c>
      <c r="BR252" t="s">
        <v>102</v>
      </c>
      <c r="BS252" t="s">
        <v>5341</v>
      </c>
      <c r="BT252" t="str">
        <f>HYPERLINK("https%3A%2F%2Fwww.webofscience.com%2Fwos%2Fwoscc%2Ffull-record%2FWOS:000663549600001","View Full Record in Web of Science")</f>
        <v>View Full Record in Web of Science</v>
      </c>
    </row>
    <row r="253" spans="1:72" x14ac:dyDescent="0.25">
      <c r="A253" t="s">
        <v>132</v>
      </c>
      <c r="B253" t="s">
        <v>5342</v>
      </c>
      <c r="C253" t="s">
        <v>74</v>
      </c>
      <c r="D253" t="s">
        <v>74</v>
      </c>
      <c r="E253" t="s">
        <v>5343</v>
      </c>
      <c r="F253" t="s">
        <v>5344</v>
      </c>
      <c r="G253" t="s">
        <v>74</v>
      </c>
      <c r="H253" t="s">
        <v>74</v>
      </c>
      <c r="I253" t="s">
        <v>5345</v>
      </c>
      <c r="J253" t="s">
        <v>5346</v>
      </c>
      <c r="K253" t="s">
        <v>74</v>
      </c>
      <c r="L253" t="s">
        <v>74</v>
      </c>
      <c r="M253" t="s">
        <v>78</v>
      </c>
      <c r="N253" t="s">
        <v>138</v>
      </c>
      <c r="O253" t="s">
        <v>5347</v>
      </c>
      <c r="P253" t="s">
        <v>5348</v>
      </c>
      <c r="Q253" t="s">
        <v>2831</v>
      </c>
      <c r="R253" t="s">
        <v>74</v>
      </c>
      <c r="S253" t="s">
        <v>74</v>
      </c>
      <c r="T253" t="s">
        <v>74</v>
      </c>
      <c r="U253" t="s">
        <v>5349</v>
      </c>
      <c r="V253" t="s">
        <v>5350</v>
      </c>
      <c r="W253" t="s">
        <v>5351</v>
      </c>
      <c r="X253" t="s">
        <v>5352</v>
      </c>
      <c r="Y253" t="s">
        <v>5353</v>
      </c>
      <c r="Z253" t="s">
        <v>74</v>
      </c>
      <c r="AA253" t="s">
        <v>74</v>
      </c>
      <c r="AB253" t="s">
        <v>74</v>
      </c>
      <c r="AC253" t="s">
        <v>5354</v>
      </c>
      <c r="AD253" t="s">
        <v>5355</v>
      </c>
      <c r="AE253" t="s">
        <v>5356</v>
      </c>
      <c r="AF253" t="s">
        <v>74</v>
      </c>
      <c r="AG253">
        <v>53</v>
      </c>
      <c r="AH253">
        <v>0</v>
      </c>
      <c r="AI253">
        <v>0</v>
      </c>
      <c r="AJ253">
        <v>0</v>
      </c>
      <c r="AK253">
        <v>0</v>
      </c>
      <c r="AL253" t="s">
        <v>5343</v>
      </c>
      <c r="AM253" t="s">
        <v>5357</v>
      </c>
      <c r="AN253" t="s">
        <v>5358</v>
      </c>
      <c r="AO253" t="s">
        <v>74</v>
      </c>
      <c r="AP253" t="s">
        <v>74</v>
      </c>
      <c r="AQ253" t="s">
        <v>5359</v>
      </c>
      <c r="AR253" t="s">
        <v>74</v>
      </c>
      <c r="AS253" t="s">
        <v>74</v>
      </c>
      <c r="AT253" t="s">
        <v>74</v>
      </c>
      <c r="AU253">
        <v>2025</v>
      </c>
      <c r="AV253" t="s">
        <v>74</v>
      </c>
      <c r="AW253" t="s">
        <v>74</v>
      </c>
      <c r="AX253" t="s">
        <v>74</v>
      </c>
      <c r="AY253" t="s">
        <v>74</v>
      </c>
      <c r="AZ253" t="s">
        <v>74</v>
      </c>
      <c r="BA253" t="s">
        <v>74</v>
      </c>
      <c r="BB253">
        <v>391</v>
      </c>
      <c r="BC253">
        <v>413</v>
      </c>
      <c r="BD253" t="s">
        <v>74</v>
      </c>
      <c r="BE253" t="s">
        <v>74</v>
      </c>
      <c r="BF253" t="s">
        <v>74</v>
      </c>
      <c r="BG253" t="s">
        <v>74</v>
      </c>
      <c r="BH253" t="s">
        <v>74</v>
      </c>
      <c r="BI253">
        <v>23</v>
      </c>
      <c r="BJ253" t="s">
        <v>4466</v>
      </c>
      <c r="BK253" t="s">
        <v>156</v>
      </c>
      <c r="BL253" t="s">
        <v>157</v>
      </c>
      <c r="BM253" t="s">
        <v>5360</v>
      </c>
      <c r="BN253" t="s">
        <v>74</v>
      </c>
      <c r="BO253" t="s">
        <v>74</v>
      </c>
      <c r="BP253" t="s">
        <v>74</v>
      </c>
      <c r="BQ253" t="s">
        <v>74</v>
      </c>
      <c r="BR253" t="s">
        <v>102</v>
      </c>
      <c r="BS253" t="s">
        <v>5361</v>
      </c>
      <c r="BT253" t="str">
        <f>HYPERLINK("https%3A%2F%2Fwww.webofscience.com%2Fwos%2Fwoscc%2Ffull-record%2FWOS:001577930800022","View Full Record in Web of Science")</f>
        <v>View Full Record in Web of Science</v>
      </c>
    </row>
    <row r="254" spans="1:72" x14ac:dyDescent="0.25">
      <c r="A254" t="s">
        <v>132</v>
      </c>
      <c r="B254" t="s">
        <v>5362</v>
      </c>
      <c r="C254" t="s">
        <v>74</v>
      </c>
      <c r="D254" t="s">
        <v>5363</v>
      </c>
      <c r="E254" t="s">
        <v>74</v>
      </c>
      <c r="F254" t="s">
        <v>5364</v>
      </c>
      <c r="G254" t="s">
        <v>74</v>
      </c>
      <c r="H254" t="s">
        <v>74</v>
      </c>
      <c r="I254" t="s">
        <v>5365</v>
      </c>
      <c r="J254" t="s">
        <v>5366</v>
      </c>
      <c r="K254" t="s">
        <v>74</v>
      </c>
      <c r="L254" t="s">
        <v>74</v>
      </c>
      <c r="M254" t="s">
        <v>78</v>
      </c>
      <c r="N254" t="s">
        <v>138</v>
      </c>
      <c r="O254" t="s">
        <v>5367</v>
      </c>
      <c r="P254" t="s">
        <v>5368</v>
      </c>
      <c r="Q254" t="s">
        <v>5369</v>
      </c>
      <c r="R254" t="s">
        <v>5370</v>
      </c>
      <c r="S254" t="s">
        <v>74</v>
      </c>
      <c r="T254" t="s">
        <v>5371</v>
      </c>
      <c r="U254" t="s">
        <v>74</v>
      </c>
      <c r="V254" t="s">
        <v>5372</v>
      </c>
      <c r="W254" t="s">
        <v>5373</v>
      </c>
      <c r="X254" t="s">
        <v>5374</v>
      </c>
      <c r="Y254" t="s">
        <v>5375</v>
      </c>
      <c r="Z254" t="s">
        <v>5376</v>
      </c>
      <c r="AA254" t="s">
        <v>5377</v>
      </c>
      <c r="AB254" t="s">
        <v>5378</v>
      </c>
      <c r="AC254" t="s">
        <v>74</v>
      </c>
      <c r="AD254" t="s">
        <v>74</v>
      </c>
      <c r="AE254" t="s">
        <v>74</v>
      </c>
      <c r="AF254" t="s">
        <v>74</v>
      </c>
      <c r="AG254">
        <v>35</v>
      </c>
      <c r="AH254">
        <v>11</v>
      </c>
      <c r="AI254">
        <v>13</v>
      </c>
      <c r="AJ254">
        <v>1</v>
      </c>
      <c r="AK254">
        <v>13</v>
      </c>
      <c r="AL254" t="s">
        <v>5379</v>
      </c>
      <c r="AM254" t="s">
        <v>5380</v>
      </c>
      <c r="AN254" t="s">
        <v>5381</v>
      </c>
      <c r="AO254" t="s">
        <v>74</v>
      </c>
      <c r="AP254" t="s">
        <v>74</v>
      </c>
      <c r="AQ254" t="s">
        <v>5382</v>
      </c>
      <c r="AR254" t="s">
        <v>74</v>
      </c>
      <c r="AS254" t="s">
        <v>74</v>
      </c>
      <c r="AT254" t="s">
        <v>74</v>
      </c>
      <c r="AU254">
        <v>2023</v>
      </c>
      <c r="AV254" t="s">
        <v>74</v>
      </c>
      <c r="AW254" t="s">
        <v>74</v>
      </c>
      <c r="AX254" t="s">
        <v>74</v>
      </c>
      <c r="AY254" t="s">
        <v>74</v>
      </c>
      <c r="AZ254" t="s">
        <v>74</v>
      </c>
      <c r="BA254" t="s">
        <v>74</v>
      </c>
      <c r="BB254">
        <v>69</v>
      </c>
      <c r="BC254">
        <v>74</v>
      </c>
      <c r="BD254" t="s">
        <v>74</v>
      </c>
      <c r="BE254" t="s">
        <v>5383</v>
      </c>
      <c r="BF254" t="str">
        <f>HYPERLINK("http://dx.doi.org/10.1109/CCGridW59191.2023.00025","http://dx.doi.org/10.1109/CCGridW59191.2023.00025")</f>
        <v>http://dx.doi.org/10.1109/CCGridW59191.2023.00025</v>
      </c>
      <c r="BG254" t="s">
        <v>74</v>
      </c>
      <c r="BH254" t="s">
        <v>74</v>
      </c>
      <c r="BI254">
        <v>6</v>
      </c>
      <c r="BJ254" t="s">
        <v>5384</v>
      </c>
      <c r="BK254" t="s">
        <v>156</v>
      </c>
      <c r="BL254" t="s">
        <v>2648</v>
      </c>
      <c r="BM254" t="s">
        <v>5385</v>
      </c>
      <c r="BN254" t="s">
        <v>74</v>
      </c>
      <c r="BO254" t="s">
        <v>74</v>
      </c>
      <c r="BP254" t="s">
        <v>74</v>
      </c>
      <c r="BQ254" t="s">
        <v>74</v>
      </c>
      <c r="BR254" t="s">
        <v>102</v>
      </c>
      <c r="BS254" t="s">
        <v>5386</v>
      </c>
      <c r="BT254" t="str">
        <f>HYPERLINK("https%3A%2F%2Fwww.webofscience.com%2Fwos%2Fwoscc%2Ffull-record%2FWOS:001037081200010","View Full Record in Web of Science")</f>
        <v>View Full Record in Web of Science</v>
      </c>
    </row>
    <row r="255" spans="1:72" x14ac:dyDescent="0.25">
      <c r="A255" t="s">
        <v>72</v>
      </c>
      <c r="B255" t="s">
        <v>5387</v>
      </c>
      <c r="C255" t="s">
        <v>74</v>
      </c>
      <c r="D255" t="s">
        <v>74</v>
      </c>
      <c r="E255" t="s">
        <v>74</v>
      </c>
      <c r="F255" t="s">
        <v>5388</v>
      </c>
      <c r="G255" t="s">
        <v>74</v>
      </c>
      <c r="H255" t="s">
        <v>74</v>
      </c>
      <c r="I255" t="s">
        <v>5389</v>
      </c>
      <c r="J255" t="s">
        <v>5390</v>
      </c>
      <c r="K255" t="s">
        <v>74</v>
      </c>
      <c r="L255" t="s">
        <v>74</v>
      </c>
      <c r="M255" t="s">
        <v>78</v>
      </c>
      <c r="N255" t="s">
        <v>79</v>
      </c>
      <c r="O255" t="s">
        <v>74</v>
      </c>
      <c r="P255" t="s">
        <v>74</v>
      </c>
      <c r="Q255" t="s">
        <v>74</v>
      </c>
      <c r="R255" t="s">
        <v>74</v>
      </c>
      <c r="S255" t="s">
        <v>74</v>
      </c>
      <c r="T255" t="s">
        <v>5391</v>
      </c>
      <c r="U255" t="s">
        <v>74</v>
      </c>
      <c r="V255" t="s">
        <v>5392</v>
      </c>
      <c r="W255" t="s">
        <v>5393</v>
      </c>
      <c r="X255" t="s">
        <v>5394</v>
      </c>
      <c r="Y255" t="s">
        <v>5395</v>
      </c>
      <c r="Z255" t="s">
        <v>5396</v>
      </c>
      <c r="AA255" t="s">
        <v>74</v>
      </c>
      <c r="AB255" t="s">
        <v>74</v>
      </c>
      <c r="AC255" t="s">
        <v>5397</v>
      </c>
      <c r="AD255" t="s">
        <v>5397</v>
      </c>
      <c r="AE255" t="s">
        <v>5398</v>
      </c>
      <c r="AF255" t="s">
        <v>74</v>
      </c>
      <c r="AG255">
        <v>30</v>
      </c>
      <c r="AH255">
        <v>1</v>
      </c>
      <c r="AI255">
        <v>2</v>
      </c>
      <c r="AJ255">
        <v>2</v>
      </c>
      <c r="AK255">
        <v>9</v>
      </c>
      <c r="AL255" t="s">
        <v>5399</v>
      </c>
      <c r="AM255" t="s">
        <v>5400</v>
      </c>
      <c r="AN255" t="s">
        <v>5401</v>
      </c>
      <c r="AO255" t="s">
        <v>5402</v>
      </c>
      <c r="AP255" t="s">
        <v>74</v>
      </c>
      <c r="AQ255" t="s">
        <v>74</v>
      </c>
      <c r="AR255" t="s">
        <v>5403</v>
      </c>
      <c r="AS255" t="s">
        <v>5404</v>
      </c>
      <c r="AT255" t="s">
        <v>74</v>
      </c>
      <c r="AU255">
        <v>2011</v>
      </c>
      <c r="AV255">
        <v>8</v>
      </c>
      <c r="AW255">
        <v>3</v>
      </c>
      <c r="AX255" t="s">
        <v>74</v>
      </c>
      <c r="AY255" t="s">
        <v>74</v>
      </c>
      <c r="AZ255" t="s">
        <v>74</v>
      </c>
      <c r="BA255" t="s">
        <v>74</v>
      </c>
      <c r="BB255">
        <v>187</v>
      </c>
      <c r="BC255">
        <v>191</v>
      </c>
      <c r="BD255" t="s">
        <v>74</v>
      </c>
      <c r="BE255" t="s">
        <v>74</v>
      </c>
      <c r="BF255" t="s">
        <v>74</v>
      </c>
      <c r="BG255" t="s">
        <v>74</v>
      </c>
      <c r="BH255" t="s">
        <v>74</v>
      </c>
      <c r="BI255">
        <v>5</v>
      </c>
      <c r="BJ255" t="s">
        <v>5405</v>
      </c>
      <c r="BK255" t="s">
        <v>128</v>
      </c>
      <c r="BL255" t="s">
        <v>5406</v>
      </c>
      <c r="BM255" t="s">
        <v>5407</v>
      </c>
      <c r="BN255" t="s">
        <v>74</v>
      </c>
      <c r="BO255" t="s">
        <v>74</v>
      </c>
      <c r="BP255" t="s">
        <v>74</v>
      </c>
      <c r="BQ255" t="s">
        <v>74</v>
      </c>
      <c r="BR255" t="s">
        <v>102</v>
      </c>
      <c r="BS255" t="s">
        <v>5408</v>
      </c>
      <c r="BT255" t="str">
        <f>HYPERLINK("https%3A%2F%2Fwww.webofscience.com%2Fwos%2Fwoscc%2Ffull-record%2FWOS:000303523200035","View Full Record in Web of Science")</f>
        <v>View Full Record in Web of Science</v>
      </c>
    </row>
    <row r="256" spans="1:72" x14ac:dyDescent="0.25">
      <c r="A256" t="s">
        <v>72</v>
      </c>
      <c r="B256" t="s">
        <v>5409</v>
      </c>
      <c r="C256" t="s">
        <v>74</v>
      </c>
      <c r="D256" t="s">
        <v>74</v>
      </c>
      <c r="E256" t="s">
        <v>74</v>
      </c>
      <c r="F256" t="s">
        <v>5410</v>
      </c>
      <c r="G256" t="s">
        <v>74</v>
      </c>
      <c r="H256" t="s">
        <v>74</v>
      </c>
      <c r="I256" t="s">
        <v>5411</v>
      </c>
      <c r="J256" t="s">
        <v>5412</v>
      </c>
      <c r="K256" t="s">
        <v>74</v>
      </c>
      <c r="L256" t="s">
        <v>74</v>
      </c>
      <c r="M256" t="s">
        <v>78</v>
      </c>
      <c r="N256" t="s">
        <v>79</v>
      </c>
      <c r="O256" t="s">
        <v>74</v>
      </c>
      <c r="P256" t="s">
        <v>74</v>
      </c>
      <c r="Q256" t="s">
        <v>74</v>
      </c>
      <c r="R256" t="s">
        <v>74</v>
      </c>
      <c r="S256" t="s">
        <v>74</v>
      </c>
      <c r="T256" t="s">
        <v>5413</v>
      </c>
      <c r="U256" t="s">
        <v>5414</v>
      </c>
      <c r="V256" t="s">
        <v>5415</v>
      </c>
      <c r="W256" t="s">
        <v>5416</v>
      </c>
      <c r="X256" t="s">
        <v>5417</v>
      </c>
      <c r="Y256" t="s">
        <v>5418</v>
      </c>
      <c r="Z256" t="s">
        <v>5419</v>
      </c>
      <c r="AA256" t="s">
        <v>5420</v>
      </c>
      <c r="AB256" t="s">
        <v>5421</v>
      </c>
      <c r="AC256" t="s">
        <v>5422</v>
      </c>
      <c r="AD256" t="s">
        <v>5423</v>
      </c>
      <c r="AE256" t="s">
        <v>5424</v>
      </c>
      <c r="AF256" t="s">
        <v>74</v>
      </c>
      <c r="AG256">
        <v>52</v>
      </c>
      <c r="AH256">
        <v>27</v>
      </c>
      <c r="AI256">
        <v>31</v>
      </c>
      <c r="AJ256">
        <v>0</v>
      </c>
      <c r="AK256">
        <v>14</v>
      </c>
      <c r="AL256" t="s">
        <v>5379</v>
      </c>
      <c r="AM256" t="s">
        <v>5380</v>
      </c>
      <c r="AN256" t="s">
        <v>5425</v>
      </c>
      <c r="AO256" t="s">
        <v>5426</v>
      </c>
      <c r="AP256" t="s">
        <v>5427</v>
      </c>
      <c r="AQ256" t="s">
        <v>74</v>
      </c>
      <c r="AR256" t="s">
        <v>5428</v>
      </c>
      <c r="AS256" t="s">
        <v>5429</v>
      </c>
      <c r="AT256" t="s">
        <v>4611</v>
      </c>
      <c r="AU256">
        <v>2019</v>
      </c>
      <c r="AV256">
        <v>45</v>
      </c>
      <c r="AW256">
        <v>12</v>
      </c>
      <c r="AX256" t="s">
        <v>74</v>
      </c>
      <c r="AY256" t="s">
        <v>74</v>
      </c>
      <c r="AZ256" t="s">
        <v>74</v>
      </c>
      <c r="BA256" t="s">
        <v>74</v>
      </c>
      <c r="BB256">
        <v>1230</v>
      </c>
      <c r="BC256">
        <v>1252</v>
      </c>
      <c r="BD256" t="s">
        <v>74</v>
      </c>
      <c r="BE256" t="s">
        <v>5430</v>
      </c>
      <c r="BF256" t="str">
        <f>HYPERLINK("http://dx.doi.org/10.1109/TSE.2018.2834344","http://dx.doi.org/10.1109/TSE.2018.2834344")</f>
        <v>http://dx.doi.org/10.1109/TSE.2018.2834344</v>
      </c>
      <c r="BG256" t="s">
        <v>74</v>
      </c>
      <c r="BH256" t="s">
        <v>74</v>
      </c>
      <c r="BI256">
        <v>23</v>
      </c>
      <c r="BJ256" t="s">
        <v>5431</v>
      </c>
      <c r="BK256" t="s">
        <v>128</v>
      </c>
      <c r="BL256" t="s">
        <v>981</v>
      </c>
      <c r="BM256" t="s">
        <v>5432</v>
      </c>
      <c r="BN256" t="s">
        <v>74</v>
      </c>
      <c r="BO256" t="s">
        <v>74</v>
      </c>
      <c r="BP256" t="s">
        <v>74</v>
      </c>
      <c r="BQ256" t="s">
        <v>74</v>
      </c>
      <c r="BR256" t="s">
        <v>102</v>
      </c>
      <c r="BS256" t="s">
        <v>5433</v>
      </c>
      <c r="BT256" t="str">
        <f>HYPERLINK("https%3A%2F%2Fwww.webofscience.com%2Fwos%2Fwoscc%2Ffull-record%2FWOS:000502756700004","View Full Record in Web of Science")</f>
        <v>View Full Record in Web of Science</v>
      </c>
    </row>
    <row r="257" spans="1:72" x14ac:dyDescent="0.25">
      <c r="A257" t="s">
        <v>72</v>
      </c>
      <c r="B257" t="s">
        <v>5434</v>
      </c>
      <c r="C257" t="s">
        <v>74</v>
      </c>
      <c r="D257" t="s">
        <v>74</v>
      </c>
      <c r="E257" t="s">
        <v>74</v>
      </c>
      <c r="F257" t="s">
        <v>5435</v>
      </c>
      <c r="G257" t="s">
        <v>74</v>
      </c>
      <c r="H257" t="s">
        <v>74</v>
      </c>
      <c r="I257" t="s">
        <v>5436</v>
      </c>
      <c r="J257" t="s">
        <v>5437</v>
      </c>
      <c r="K257" t="s">
        <v>74</v>
      </c>
      <c r="L257" t="s">
        <v>74</v>
      </c>
      <c r="M257" t="s">
        <v>78</v>
      </c>
      <c r="N257" t="s">
        <v>79</v>
      </c>
      <c r="O257" t="s">
        <v>74</v>
      </c>
      <c r="P257" t="s">
        <v>74</v>
      </c>
      <c r="Q257" t="s">
        <v>74</v>
      </c>
      <c r="R257" t="s">
        <v>74</v>
      </c>
      <c r="S257" t="s">
        <v>74</v>
      </c>
      <c r="T257" t="s">
        <v>5438</v>
      </c>
      <c r="U257" t="s">
        <v>5439</v>
      </c>
      <c r="V257" t="s">
        <v>5440</v>
      </c>
      <c r="W257" t="s">
        <v>5441</v>
      </c>
      <c r="X257" t="s">
        <v>5442</v>
      </c>
      <c r="Y257" t="s">
        <v>5443</v>
      </c>
      <c r="Z257" t="s">
        <v>5444</v>
      </c>
      <c r="AA257" t="s">
        <v>5445</v>
      </c>
      <c r="AB257" t="s">
        <v>5446</v>
      </c>
      <c r="AC257" t="s">
        <v>5447</v>
      </c>
      <c r="AD257" t="s">
        <v>5447</v>
      </c>
      <c r="AE257" t="s">
        <v>5448</v>
      </c>
      <c r="AF257" t="s">
        <v>74</v>
      </c>
      <c r="AG257">
        <v>64</v>
      </c>
      <c r="AH257">
        <v>9</v>
      </c>
      <c r="AI257">
        <v>13</v>
      </c>
      <c r="AJ257">
        <v>14</v>
      </c>
      <c r="AK257">
        <v>112</v>
      </c>
      <c r="AL257" t="s">
        <v>5449</v>
      </c>
      <c r="AM257" t="s">
        <v>5450</v>
      </c>
      <c r="AN257" t="s">
        <v>5451</v>
      </c>
      <c r="AO257" t="s">
        <v>5452</v>
      </c>
      <c r="AP257" t="s">
        <v>74</v>
      </c>
      <c r="AQ257" t="s">
        <v>74</v>
      </c>
      <c r="AR257" t="s">
        <v>5453</v>
      </c>
      <c r="AS257" t="s">
        <v>5454</v>
      </c>
      <c r="AT257" t="s">
        <v>2801</v>
      </c>
      <c r="AU257">
        <v>2024</v>
      </c>
      <c r="AV257">
        <v>35</v>
      </c>
      <c r="AW257">
        <v>3</v>
      </c>
      <c r="AX257" t="s">
        <v>74</v>
      </c>
      <c r="AY257" t="s">
        <v>74</v>
      </c>
      <c r="AZ257" t="s">
        <v>74</v>
      </c>
      <c r="BA257" t="s">
        <v>74</v>
      </c>
      <c r="BB257" t="s">
        <v>74</v>
      </c>
      <c r="BC257" t="s">
        <v>74</v>
      </c>
      <c r="BD257" t="s">
        <v>74</v>
      </c>
      <c r="BE257" t="s">
        <v>5455</v>
      </c>
      <c r="BF257" t="str">
        <f>HYPERLINK("http://dx.doi.org/10.1287/orsc.2022.16562","http://dx.doi.org/10.1287/orsc.2022.16562")</f>
        <v>http://dx.doi.org/10.1287/orsc.2022.16562</v>
      </c>
      <c r="BG257" t="s">
        <v>74</v>
      </c>
      <c r="BH257" t="s">
        <v>1524</v>
      </c>
      <c r="BI257">
        <v>20</v>
      </c>
      <c r="BJ257" t="s">
        <v>583</v>
      </c>
      <c r="BK257" t="s">
        <v>99</v>
      </c>
      <c r="BL257" t="s">
        <v>100</v>
      </c>
      <c r="BM257" t="s">
        <v>5456</v>
      </c>
      <c r="BN257" t="s">
        <v>74</v>
      </c>
      <c r="BO257" t="s">
        <v>74</v>
      </c>
      <c r="BP257" t="s">
        <v>74</v>
      </c>
      <c r="BQ257" t="s">
        <v>74</v>
      </c>
      <c r="BR257" t="s">
        <v>102</v>
      </c>
      <c r="BS257" t="s">
        <v>5457</v>
      </c>
      <c r="BT257" t="str">
        <f>HYPERLINK("https%3A%2F%2Fwww.webofscience.com%2Fwos%2Fwoscc%2Ffull-record%2FWOS:001120954300001","View Full Record in Web of Science")</f>
        <v>View Full Record in Web of Science</v>
      </c>
    </row>
    <row r="258" spans="1:72" x14ac:dyDescent="0.25">
      <c r="A258" t="s">
        <v>72</v>
      </c>
      <c r="B258" t="s">
        <v>5458</v>
      </c>
      <c r="C258" t="s">
        <v>74</v>
      </c>
      <c r="D258" t="s">
        <v>74</v>
      </c>
      <c r="E258" t="s">
        <v>74</v>
      </c>
      <c r="F258" t="s">
        <v>5459</v>
      </c>
      <c r="G258" t="s">
        <v>74</v>
      </c>
      <c r="H258" t="s">
        <v>74</v>
      </c>
      <c r="I258" t="s">
        <v>5460</v>
      </c>
      <c r="J258" t="s">
        <v>1412</v>
      </c>
      <c r="K258" t="s">
        <v>74</v>
      </c>
      <c r="L258" t="s">
        <v>74</v>
      </c>
      <c r="M258" t="s">
        <v>78</v>
      </c>
      <c r="N258" t="s">
        <v>79</v>
      </c>
      <c r="O258" t="s">
        <v>74</v>
      </c>
      <c r="P258" t="s">
        <v>74</v>
      </c>
      <c r="Q258" t="s">
        <v>74</v>
      </c>
      <c r="R258" t="s">
        <v>74</v>
      </c>
      <c r="S258" t="s">
        <v>74</v>
      </c>
      <c r="T258" t="s">
        <v>5461</v>
      </c>
      <c r="U258" t="s">
        <v>5462</v>
      </c>
      <c r="V258" t="s">
        <v>5463</v>
      </c>
      <c r="W258" t="s">
        <v>5464</v>
      </c>
      <c r="X258" t="s">
        <v>5465</v>
      </c>
      <c r="Y258" t="s">
        <v>5466</v>
      </c>
      <c r="Z258" t="s">
        <v>5467</v>
      </c>
      <c r="AA258" t="s">
        <v>5468</v>
      </c>
      <c r="AB258" t="s">
        <v>74</v>
      </c>
      <c r="AC258" t="s">
        <v>5469</v>
      </c>
      <c r="AD258" t="s">
        <v>5470</v>
      </c>
      <c r="AE258" t="s">
        <v>5471</v>
      </c>
      <c r="AF258" t="s">
        <v>74</v>
      </c>
      <c r="AG258">
        <v>96</v>
      </c>
      <c r="AH258">
        <v>15</v>
      </c>
      <c r="AI258">
        <v>17</v>
      </c>
      <c r="AJ258">
        <v>4</v>
      </c>
      <c r="AK258">
        <v>16</v>
      </c>
      <c r="AL258" t="s">
        <v>332</v>
      </c>
      <c r="AM258" t="s">
        <v>333</v>
      </c>
      <c r="AN258" t="s">
        <v>334</v>
      </c>
      <c r="AO258" t="s">
        <v>1423</v>
      </c>
      <c r="AP258" t="s">
        <v>1424</v>
      </c>
      <c r="AQ258" t="s">
        <v>74</v>
      </c>
      <c r="AR258" t="s">
        <v>1425</v>
      </c>
      <c r="AS258" t="s">
        <v>1426</v>
      </c>
      <c r="AT258" t="s">
        <v>5472</v>
      </c>
      <c r="AU258">
        <v>2023</v>
      </c>
      <c r="AV258">
        <v>29</v>
      </c>
      <c r="AW258" t="s">
        <v>5473</v>
      </c>
      <c r="AX258" t="s">
        <v>74</v>
      </c>
      <c r="AY258" t="s">
        <v>74</v>
      </c>
      <c r="AZ258" t="s">
        <v>74</v>
      </c>
      <c r="BA258" t="s">
        <v>74</v>
      </c>
      <c r="BB258">
        <v>228</v>
      </c>
      <c r="BC258">
        <v>255</v>
      </c>
      <c r="BD258" t="s">
        <v>74</v>
      </c>
      <c r="BE258" t="s">
        <v>5474</v>
      </c>
      <c r="BF258" t="str">
        <f>HYPERLINK("http://dx.doi.org/10.1080/02681102.2022.2073579","http://dx.doi.org/10.1080/02681102.2022.2073579")</f>
        <v>http://dx.doi.org/10.1080/02681102.2022.2073579</v>
      </c>
      <c r="BG258" t="s">
        <v>74</v>
      </c>
      <c r="BH258" t="s">
        <v>74</v>
      </c>
      <c r="BI258">
        <v>28</v>
      </c>
      <c r="BJ258" t="s">
        <v>1429</v>
      </c>
      <c r="BK258" t="s">
        <v>99</v>
      </c>
      <c r="BL258" t="s">
        <v>1429</v>
      </c>
      <c r="BM258" t="s">
        <v>5475</v>
      </c>
      <c r="BN258" t="s">
        <v>74</v>
      </c>
      <c r="BO258" t="s">
        <v>270</v>
      </c>
      <c r="BP258" t="s">
        <v>74</v>
      </c>
      <c r="BQ258" t="s">
        <v>74</v>
      </c>
      <c r="BR258" t="s">
        <v>102</v>
      </c>
      <c r="BS258" t="s">
        <v>5476</v>
      </c>
      <c r="BT258" t="str">
        <f>HYPERLINK("https%3A%2F%2Fwww.webofscience.com%2Fwos%2Fwoscc%2Ffull-record%2FWOS:001128845400001","View Full Record in Web of Science")</f>
        <v>View Full Record in Web of Science</v>
      </c>
    </row>
    <row r="259" spans="1:72" x14ac:dyDescent="0.25">
      <c r="A259" t="s">
        <v>72</v>
      </c>
      <c r="B259" t="s">
        <v>5477</v>
      </c>
      <c r="C259" t="s">
        <v>74</v>
      </c>
      <c r="D259" t="s">
        <v>74</v>
      </c>
      <c r="E259" t="s">
        <v>74</v>
      </c>
      <c r="F259" t="s">
        <v>5478</v>
      </c>
      <c r="G259" t="s">
        <v>74</v>
      </c>
      <c r="H259" t="s">
        <v>74</v>
      </c>
      <c r="I259" t="s">
        <v>5479</v>
      </c>
      <c r="J259" t="s">
        <v>5480</v>
      </c>
      <c r="K259" t="s">
        <v>74</v>
      </c>
      <c r="L259" t="s">
        <v>74</v>
      </c>
      <c r="M259" t="s">
        <v>78</v>
      </c>
      <c r="N259" t="s">
        <v>79</v>
      </c>
      <c r="O259" t="s">
        <v>74</v>
      </c>
      <c r="P259" t="s">
        <v>74</v>
      </c>
      <c r="Q259" t="s">
        <v>74</v>
      </c>
      <c r="R259" t="s">
        <v>74</v>
      </c>
      <c r="S259" t="s">
        <v>74</v>
      </c>
      <c r="T259" t="s">
        <v>5481</v>
      </c>
      <c r="U259" t="s">
        <v>74</v>
      </c>
      <c r="V259" t="s">
        <v>5482</v>
      </c>
      <c r="W259" t="s">
        <v>5483</v>
      </c>
      <c r="X259" t="s">
        <v>5484</v>
      </c>
      <c r="Y259" t="s">
        <v>5485</v>
      </c>
      <c r="Z259" t="s">
        <v>74</v>
      </c>
      <c r="AA259" t="s">
        <v>5486</v>
      </c>
      <c r="AB259" t="s">
        <v>5487</v>
      </c>
      <c r="AC259" t="s">
        <v>74</v>
      </c>
      <c r="AD259" t="s">
        <v>74</v>
      </c>
      <c r="AE259" t="s">
        <v>74</v>
      </c>
      <c r="AF259" t="s">
        <v>74</v>
      </c>
      <c r="AG259">
        <v>37</v>
      </c>
      <c r="AH259">
        <v>1</v>
      </c>
      <c r="AI259">
        <v>2</v>
      </c>
      <c r="AJ259">
        <v>0</v>
      </c>
      <c r="AK259">
        <v>2</v>
      </c>
      <c r="AL259" t="s">
        <v>5488</v>
      </c>
      <c r="AM259" t="s">
        <v>1356</v>
      </c>
      <c r="AN259" t="s">
        <v>5489</v>
      </c>
      <c r="AO259" t="s">
        <v>5490</v>
      </c>
      <c r="AP259" t="s">
        <v>5491</v>
      </c>
      <c r="AQ259" t="s">
        <v>74</v>
      </c>
      <c r="AR259" t="s">
        <v>5492</v>
      </c>
      <c r="AS259" t="s">
        <v>5493</v>
      </c>
      <c r="AT259" t="s">
        <v>74</v>
      </c>
      <c r="AU259">
        <v>2024</v>
      </c>
      <c r="AV259">
        <v>19</v>
      </c>
      <c r="AW259">
        <v>2</v>
      </c>
      <c r="AX259" t="s">
        <v>74</v>
      </c>
      <c r="AY259" t="s">
        <v>74</v>
      </c>
      <c r="AZ259" t="s">
        <v>74</v>
      </c>
      <c r="BA259" t="s">
        <v>74</v>
      </c>
      <c r="BB259" t="s">
        <v>74</v>
      </c>
      <c r="BC259" t="s">
        <v>74</v>
      </c>
      <c r="BD259" t="s">
        <v>74</v>
      </c>
      <c r="BE259" t="s">
        <v>5494</v>
      </c>
      <c r="BF259" t="str">
        <f>HYPERLINK("http://dx.doi.org/10.21511/bbs.19(2).2024.09","http://dx.doi.org/10.21511/bbs.19(2).2024.09")</f>
        <v>http://dx.doi.org/10.21511/bbs.19(2).2024.09</v>
      </c>
      <c r="BG259" t="s">
        <v>74</v>
      </c>
      <c r="BH259" t="s">
        <v>74</v>
      </c>
      <c r="BI259">
        <v>12</v>
      </c>
      <c r="BJ259" t="s">
        <v>210</v>
      </c>
      <c r="BK259" t="s">
        <v>313</v>
      </c>
      <c r="BL259" t="s">
        <v>100</v>
      </c>
      <c r="BM259" t="s">
        <v>5495</v>
      </c>
      <c r="BN259" t="s">
        <v>74</v>
      </c>
      <c r="BO259" t="s">
        <v>212</v>
      </c>
      <c r="BP259" t="s">
        <v>74</v>
      </c>
      <c r="BQ259" t="s">
        <v>74</v>
      </c>
      <c r="BR259" t="s">
        <v>102</v>
      </c>
      <c r="BS259" t="s">
        <v>5496</v>
      </c>
      <c r="BT259" t="str">
        <f>HYPERLINK("https%3A%2F%2Fwww.webofscience.com%2Fwos%2Fwoscc%2Ffull-record%2FWOS:001304351400009","View Full Record in Web of Science")</f>
        <v>View Full Record in Web of Science</v>
      </c>
    </row>
    <row r="260" spans="1:72" x14ac:dyDescent="0.25">
      <c r="A260" t="s">
        <v>72</v>
      </c>
      <c r="B260" t="s">
        <v>5497</v>
      </c>
      <c r="C260" t="s">
        <v>74</v>
      </c>
      <c r="D260" t="s">
        <v>74</v>
      </c>
      <c r="E260" t="s">
        <v>74</v>
      </c>
      <c r="F260" t="s">
        <v>5498</v>
      </c>
      <c r="G260" t="s">
        <v>74</v>
      </c>
      <c r="H260" t="s">
        <v>74</v>
      </c>
      <c r="I260" t="s">
        <v>5499</v>
      </c>
      <c r="J260" t="s">
        <v>5500</v>
      </c>
      <c r="K260" t="s">
        <v>74</v>
      </c>
      <c r="L260" t="s">
        <v>74</v>
      </c>
      <c r="M260" t="s">
        <v>78</v>
      </c>
      <c r="N260" t="s">
        <v>79</v>
      </c>
      <c r="O260" t="s">
        <v>74</v>
      </c>
      <c r="P260" t="s">
        <v>74</v>
      </c>
      <c r="Q260" t="s">
        <v>74</v>
      </c>
      <c r="R260" t="s">
        <v>74</v>
      </c>
      <c r="S260" t="s">
        <v>74</v>
      </c>
      <c r="T260" t="s">
        <v>5501</v>
      </c>
      <c r="U260" t="s">
        <v>5502</v>
      </c>
      <c r="V260" t="s">
        <v>5503</v>
      </c>
      <c r="W260" t="s">
        <v>5504</v>
      </c>
      <c r="X260" t="s">
        <v>5505</v>
      </c>
      <c r="Y260" t="s">
        <v>5506</v>
      </c>
      <c r="Z260" t="s">
        <v>5507</v>
      </c>
      <c r="AA260" t="s">
        <v>5508</v>
      </c>
      <c r="AB260" t="s">
        <v>5509</v>
      </c>
      <c r="AC260" t="s">
        <v>5510</v>
      </c>
      <c r="AD260" t="s">
        <v>5510</v>
      </c>
      <c r="AE260" t="s">
        <v>5511</v>
      </c>
      <c r="AF260" t="s">
        <v>74</v>
      </c>
      <c r="AG260">
        <v>34</v>
      </c>
      <c r="AH260">
        <v>5</v>
      </c>
      <c r="AI260">
        <v>7</v>
      </c>
      <c r="AJ260">
        <v>0</v>
      </c>
      <c r="AK260">
        <v>8</v>
      </c>
      <c r="AL260" t="s">
        <v>5512</v>
      </c>
      <c r="AM260" t="s">
        <v>600</v>
      </c>
      <c r="AN260" t="s">
        <v>5513</v>
      </c>
      <c r="AO260" t="s">
        <v>5514</v>
      </c>
      <c r="AP260" t="s">
        <v>5515</v>
      </c>
      <c r="AQ260" t="s">
        <v>74</v>
      </c>
      <c r="AR260" t="s">
        <v>5516</v>
      </c>
      <c r="AS260" t="s">
        <v>5517</v>
      </c>
      <c r="AT260" t="s">
        <v>74</v>
      </c>
      <c r="AU260">
        <v>2015</v>
      </c>
      <c r="AV260">
        <v>9</v>
      </c>
      <c r="AW260">
        <v>3</v>
      </c>
      <c r="AX260" t="s">
        <v>74</v>
      </c>
      <c r="AY260" t="s">
        <v>74</v>
      </c>
      <c r="AZ260" t="s">
        <v>74</v>
      </c>
      <c r="BA260" t="s">
        <v>74</v>
      </c>
      <c r="BB260">
        <v>26</v>
      </c>
      <c r="BC260">
        <v>39</v>
      </c>
      <c r="BD260" t="s">
        <v>74</v>
      </c>
      <c r="BE260" t="s">
        <v>5518</v>
      </c>
      <c r="BF260" t="str">
        <f>HYPERLINK("http://dx.doi.org/10.17323/1995-459X.2015.3.26.39","http://dx.doi.org/10.17323/1995-459X.2015.3.26.39")</f>
        <v>http://dx.doi.org/10.17323/1995-459X.2015.3.26.39</v>
      </c>
      <c r="BG260" t="s">
        <v>74</v>
      </c>
      <c r="BH260" t="s">
        <v>74</v>
      </c>
      <c r="BI260">
        <v>14</v>
      </c>
      <c r="BJ260" t="s">
        <v>5519</v>
      </c>
      <c r="BK260" t="s">
        <v>313</v>
      </c>
      <c r="BL260" t="s">
        <v>100</v>
      </c>
      <c r="BM260" t="s">
        <v>5520</v>
      </c>
      <c r="BN260" t="s">
        <v>74</v>
      </c>
      <c r="BO260" t="s">
        <v>916</v>
      </c>
      <c r="BP260" t="s">
        <v>74</v>
      </c>
      <c r="BQ260" t="s">
        <v>74</v>
      </c>
      <c r="BR260" t="s">
        <v>102</v>
      </c>
      <c r="BS260" t="s">
        <v>5521</v>
      </c>
      <c r="BT260" t="str">
        <f>HYPERLINK("https%3A%2F%2Fwww.webofscience.com%2Fwos%2Fwoscc%2Ffull-record%2FWOS:000440481700002","View Full Record in Web of Science")</f>
        <v>View Full Record in Web of Science</v>
      </c>
    </row>
    <row r="261" spans="1:72" x14ac:dyDescent="0.25">
      <c r="A261" t="s">
        <v>72</v>
      </c>
      <c r="B261" t="s">
        <v>5522</v>
      </c>
      <c r="C261" t="s">
        <v>74</v>
      </c>
      <c r="D261" t="s">
        <v>74</v>
      </c>
      <c r="E261" t="s">
        <v>74</v>
      </c>
      <c r="F261" t="s">
        <v>5523</v>
      </c>
      <c r="G261" t="s">
        <v>74</v>
      </c>
      <c r="H261" t="s">
        <v>74</v>
      </c>
      <c r="I261" t="s">
        <v>5524</v>
      </c>
      <c r="J261" t="s">
        <v>5098</v>
      </c>
      <c r="K261" t="s">
        <v>74</v>
      </c>
      <c r="L261" t="s">
        <v>74</v>
      </c>
      <c r="M261" t="s">
        <v>78</v>
      </c>
      <c r="N261" t="s">
        <v>1766</v>
      </c>
      <c r="O261" t="s">
        <v>74</v>
      </c>
      <c r="P261" t="s">
        <v>74</v>
      </c>
      <c r="Q261" t="s">
        <v>74</v>
      </c>
      <c r="R261" t="s">
        <v>74</v>
      </c>
      <c r="S261" t="s">
        <v>74</v>
      </c>
      <c r="T261" t="s">
        <v>5525</v>
      </c>
      <c r="U261" t="s">
        <v>5526</v>
      </c>
      <c r="V261" t="s">
        <v>5527</v>
      </c>
      <c r="W261" t="s">
        <v>5528</v>
      </c>
      <c r="X261" t="s">
        <v>5529</v>
      </c>
      <c r="Y261" t="s">
        <v>5530</v>
      </c>
      <c r="Z261" t="s">
        <v>5531</v>
      </c>
      <c r="AA261" t="s">
        <v>74</v>
      </c>
      <c r="AB261" t="s">
        <v>5532</v>
      </c>
      <c r="AC261" t="s">
        <v>74</v>
      </c>
      <c r="AD261" t="s">
        <v>74</v>
      </c>
      <c r="AE261" t="s">
        <v>74</v>
      </c>
      <c r="AF261" t="s">
        <v>74</v>
      </c>
      <c r="AG261">
        <v>129</v>
      </c>
      <c r="AH261">
        <v>35</v>
      </c>
      <c r="AI261">
        <v>43</v>
      </c>
      <c r="AJ261">
        <v>0</v>
      </c>
      <c r="AK261">
        <v>18</v>
      </c>
      <c r="AL261" t="s">
        <v>479</v>
      </c>
      <c r="AM261" t="s">
        <v>480</v>
      </c>
      <c r="AN261" t="s">
        <v>481</v>
      </c>
      <c r="AO261" t="s">
        <v>5108</v>
      </c>
      <c r="AP261" t="s">
        <v>74</v>
      </c>
      <c r="AQ261" t="s">
        <v>74</v>
      </c>
      <c r="AR261" t="s">
        <v>5109</v>
      </c>
      <c r="AS261" t="s">
        <v>5110</v>
      </c>
      <c r="AT261" t="s">
        <v>605</v>
      </c>
      <c r="AU261">
        <v>2021</v>
      </c>
      <c r="AV261">
        <v>87</v>
      </c>
      <c r="AW261">
        <v>2</v>
      </c>
      <c r="AX261" t="s">
        <v>74</v>
      </c>
      <c r="AY261" t="s">
        <v>74</v>
      </c>
      <c r="AZ261" t="s">
        <v>74</v>
      </c>
      <c r="BA261" t="s">
        <v>74</v>
      </c>
      <c r="BB261" t="s">
        <v>74</v>
      </c>
      <c r="BC261" t="s">
        <v>74</v>
      </c>
      <c r="BD261" t="s">
        <v>5533</v>
      </c>
      <c r="BE261" t="s">
        <v>5534</v>
      </c>
      <c r="BF261" t="str">
        <f>HYPERLINK("http://dx.doi.org/10.1002/isd2.12155","http://dx.doi.org/10.1002/isd2.12155")</f>
        <v>http://dx.doi.org/10.1002/isd2.12155</v>
      </c>
      <c r="BG261" t="s">
        <v>74</v>
      </c>
      <c r="BH261" t="s">
        <v>2937</v>
      </c>
      <c r="BI261">
        <v>22</v>
      </c>
      <c r="BJ261" t="s">
        <v>364</v>
      </c>
      <c r="BK261" t="s">
        <v>313</v>
      </c>
      <c r="BL261" t="s">
        <v>365</v>
      </c>
      <c r="BM261" t="s">
        <v>5535</v>
      </c>
      <c r="BN261" t="s">
        <v>74</v>
      </c>
      <c r="BO261" t="s">
        <v>74</v>
      </c>
      <c r="BP261" t="s">
        <v>74</v>
      </c>
      <c r="BQ261" t="s">
        <v>74</v>
      </c>
      <c r="BR261" t="s">
        <v>102</v>
      </c>
      <c r="BS261" t="s">
        <v>5536</v>
      </c>
      <c r="BT261" t="str">
        <f>HYPERLINK("https%3A%2F%2Fwww.webofscience.com%2Fwos%2Fwoscc%2Ffull-record%2FWOS:000562945800001","View Full Record in Web of Science")</f>
        <v>View Full Record in Web of Science</v>
      </c>
    </row>
    <row r="262" spans="1:72" x14ac:dyDescent="0.25">
      <c r="A262" t="s">
        <v>72</v>
      </c>
      <c r="B262" t="s">
        <v>5537</v>
      </c>
      <c r="C262" t="s">
        <v>74</v>
      </c>
      <c r="D262" t="s">
        <v>74</v>
      </c>
      <c r="E262" t="s">
        <v>74</v>
      </c>
      <c r="F262" t="s">
        <v>5538</v>
      </c>
      <c r="G262" t="s">
        <v>74</v>
      </c>
      <c r="H262" t="s">
        <v>74</v>
      </c>
      <c r="I262" t="s">
        <v>5539</v>
      </c>
      <c r="J262" t="s">
        <v>5540</v>
      </c>
      <c r="K262" t="s">
        <v>74</v>
      </c>
      <c r="L262" t="s">
        <v>74</v>
      </c>
      <c r="M262" t="s">
        <v>78</v>
      </c>
      <c r="N262" t="s">
        <v>79</v>
      </c>
      <c r="O262" t="s">
        <v>74</v>
      </c>
      <c r="P262" t="s">
        <v>74</v>
      </c>
      <c r="Q262" t="s">
        <v>74</v>
      </c>
      <c r="R262" t="s">
        <v>74</v>
      </c>
      <c r="S262" t="s">
        <v>74</v>
      </c>
      <c r="T262" t="s">
        <v>5541</v>
      </c>
      <c r="U262" t="s">
        <v>5542</v>
      </c>
      <c r="V262" t="s">
        <v>5543</v>
      </c>
      <c r="W262" t="s">
        <v>5544</v>
      </c>
      <c r="X262" t="s">
        <v>5545</v>
      </c>
      <c r="Y262" t="s">
        <v>5546</v>
      </c>
      <c r="Z262" t="s">
        <v>5547</v>
      </c>
      <c r="AA262" t="s">
        <v>74</v>
      </c>
      <c r="AB262" t="s">
        <v>5548</v>
      </c>
      <c r="AC262" t="s">
        <v>74</v>
      </c>
      <c r="AD262" t="s">
        <v>74</v>
      </c>
      <c r="AE262" t="s">
        <v>74</v>
      </c>
      <c r="AF262" t="s">
        <v>74</v>
      </c>
      <c r="AG262">
        <v>58</v>
      </c>
      <c r="AH262">
        <v>0</v>
      </c>
      <c r="AI262">
        <v>1</v>
      </c>
      <c r="AJ262">
        <v>4</v>
      </c>
      <c r="AK262">
        <v>15</v>
      </c>
      <c r="AL262" t="s">
        <v>479</v>
      </c>
      <c r="AM262" t="s">
        <v>480</v>
      </c>
      <c r="AN262" t="s">
        <v>481</v>
      </c>
      <c r="AO262" t="s">
        <v>5549</v>
      </c>
      <c r="AP262" t="s">
        <v>5550</v>
      </c>
      <c r="AQ262" t="s">
        <v>74</v>
      </c>
      <c r="AR262" t="s">
        <v>5551</v>
      </c>
      <c r="AS262" t="s">
        <v>5552</v>
      </c>
      <c r="AT262" t="s">
        <v>124</v>
      </c>
      <c r="AU262">
        <v>2025</v>
      </c>
      <c r="AV262">
        <v>39</v>
      </c>
      <c r="AW262">
        <v>5</v>
      </c>
      <c r="AX262" t="s">
        <v>74</v>
      </c>
      <c r="AY262" t="s">
        <v>74</v>
      </c>
      <c r="AZ262" t="s">
        <v>74</v>
      </c>
      <c r="BA262" t="s">
        <v>74</v>
      </c>
      <c r="BB262">
        <v>2088</v>
      </c>
      <c r="BC262">
        <v>2105</v>
      </c>
      <c r="BD262" t="s">
        <v>74</v>
      </c>
      <c r="BE262" t="s">
        <v>5553</v>
      </c>
      <c r="BF262" t="str">
        <f>HYPERLINK("http://dx.doi.org/10.1111/joes.12686","http://dx.doi.org/10.1111/joes.12686")</f>
        <v>http://dx.doi.org/10.1111/joes.12686</v>
      </c>
      <c r="BG262" t="s">
        <v>74</v>
      </c>
      <c r="BH262" t="s">
        <v>1737</v>
      </c>
      <c r="BI262">
        <v>18</v>
      </c>
      <c r="BJ262" t="s">
        <v>291</v>
      </c>
      <c r="BK262" t="s">
        <v>99</v>
      </c>
      <c r="BL262" t="s">
        <v>100</v>
      </c>
      <c r="BM262" t="s">
        <v>5554</v>
      </c>
      <c r="BN262" t="s">
        <v>74</v>
      </c>
      <c r="BO262" t="s">
        <v>74</v>
      </c>
      <c r="BP262" t="s">
        <v>74</v>
      </c>
      <c r="BQ262" t="s">
        <v>74</v>
      </c>
      <c r="BR262" t="s">
        <v>102</v>
      </c>
      <c r="BS262" t="s">
        <v>5555</v>
      </c>
      <c r="BT262" t="str">
        <f>HYPERLINK("https%3A%2F%2Fwww.webofscience.com%2Fwos%2Fwoscc%2Ffull-record%2FWOS:001409117200001","View Full Record in Web of Science")</f>
        <v>View Full Record in Web of Science</v>
      </c>
    </row>
    <row r="263" spans="1:72" x14ac:dyDescent="0.25">
      <c r="A263" t="s">
        <v>72</v>
      </c>
      <c r="B263" t="s">
        <v>5556</v>
      </c>
      <c r="C263" t="s">
        <v>74</v>
      </c>
      <c r="D263" t="s">
        <v>74</v>
      </c>
      <c r="E263" t="s">
        <v>74</v>
      </c>
      <c r="F263" t="s">
        <v>5557</v>
      </c>
      <c r="G263" t="s">
        <v>74</v>
      </c>
      <c r="H263" t="s">
        <v>74</v>
      </c>
      <c r="I263" t="s">
        <v>5558</v>
      </c>
      <c r="J263" t="s">
        <v>107</v>
      </c>
      <c r="K263" t="s">
        <v>74</v>
      </c>
      <c r="L263" t="s">
        <v>74</v>
      </c>
      <c r="M263" t="s">
        <v>78</v>
      </c>
      <c r="N263" t="s">
        <v>372</v>
      </c>
      <c r="O263" t="s">
        <v>74</v>
      </c>
      <c r="P263" t="s">
        <v>74</v>
      </c>
      <c r="Q263" t="s">
        <v>74</v>
      </c>
      <c r="R263" t="s">
        <v>74</v>
      </c>
      <c r="S263" t="s">
        <v>74</v>
      </c>
      <c r="T263" t="s">
        <v>5559</v>
      </c>
      <c r="U263" t="s">
        <v>74</v>
      </c>
      <c r="V263" t="s">
        <v>5560</v>
      </c>
      <c r="W263" t="s">
        <v>5561</v>
      </c>
      <c r="X263" t="s">
        <v>5562</v>
      </c>
      <c r="Y263" t="s">
        <v>5563</v>
      </c>
      <c r="Z263" t="s">
        <v>5564</v>
      </c>
      <c r="AA263" t="s">
        <v>74</v>
      </c>
      <c r="AB263" t="s">
        <v>74</v>
      </c>
      <c r="AC263" t="s">
        <v>74</v>
      </c>
      <c r="AD263" t="s">
        <v>74</v>
      </c>
      <c r="AE263" t="s">
        <v>74</v>
      </c>
      <c r="AF263" t="s">
        <v>74</v>
      </c>
      <c r="AG263">
        <v>68</v>
      </c>
      <c r="AH263">
        <v>2</v>
      </c>
      <c r="AI263">
        <v>2</v>
      </c>
      <c r="AJ263">
        <v>0</v>
      </c>
      <c r="AK263">
        <v>23</v>
      </c>
      <c r="AL263" t="s">
        <v>117</v>
      </c>
      <c r="AM263" t="s">
        <v>118</v>
      </c>
      <c r="AN263" t="s">
        <v>119</v>
      </c>
      <c r="AO263" t="s">
        <v>120</v>
      </c>
      <c r="AP263" t="s">
        <v>121</v>
      </c>
      <c r="AQ263" t="s">
        <v>74</v>
      </c>
      <c r="AR263" t="s">
        <v>122</v>
      </c>
      <c r="AS263" t="s">
        <v>123</v>
      </c>
      <c r="AT263" t="s">
        <v>5565</v>
      </c>
      <c r="AU263">
        <v>2023</v>
      </c>
      <c r="AV263" t="s">
        <v>74</v>
      </c>
      <c r="AW263" t="s">
        <v>74</v>
      </c>
      <c r="AX263" t="s">
        <v>74</v>
      </c>
      <c r="AY263" t="s">
        <v>74</v>
      </c>
      <c r="AZ263" t="s">
        <v>74</v>
      </c>
      <c r="BA263" t="s">
        <v>74</v>
      </c>
      <c r="BB263" t="s">
        <v>74</v>
      </c>
      <c r="BC263" t="s">
        <v>74</v>
      </c>
      <c r="BD263" t="s">
        <v>74</v>
      </c>
      <c r="BE263" t="s">
        <v>5566</v>
      </c>
      <c r="BF263" t="str">
        <f>HYPERLINK("http://dx.doi.org/10.1007/s11356-023-29669-1","http://dx.doi.org/10.1007/s11356-023-29669-1")</f>
        <v>http://dx.doi.org/10.1007/s11356-023-29669-1</v>
      </c>
      <c r="BG263" t="s">
        <v>74</v>
      </c>
      <c r="BH263" t="s">
        <v>5567</v>
      </c>
      <c r="BI263">
        <v>14</v>
      </c>
      <c r="BJ263" t="s">
        <v>127</v>
      </c>
      <c r="BK263" t="s">
        <v>128</v>
      </c>
      <c r="BL263" t="s">
        <v>129</v>
      </c>
      <c r="BM263" t="s">
        <v>5568</v>
      </c>
      <c r="BN263">
        <v>37707733</v>
      </c>
      <c r="BO263" t="s">
        <v>74</v>
      </c>
      <c r="BP263" t="s">
        <v>74</v>
      </c>
      <c r="BQ263" t="s">
        <v>74</v>
      </c>
      <c r="BR263" t="s">
        <v>102</v>
      </c>
      <c r="BS263" t="s">
        <v>5569</v>
      </c>
      <c r="BT263" t="str">
        <f>HYPERLINK("https%3A%2F%2Fwww.webofscience.com%2Fwos%2Fwoscc%2Ffull-record%2FWOS:001068098100012","View Full Record in Web of Science")</f>
        <v>View Full Record in Web of Science</v>
      </c>
    </row>
    <row r="264" spans="1:72" x14ac:dyDescent="0.25">
      <c r="A264" t="s">
        <v>132</v>
      </c>
      <c r="B264" t="s">
        <v>5570</v>
      </c>
      <c r="C264" t="s">
        <v>74</v>
      </c>
      <c r="D264" t="s">
        <v>74</v>
      </c>
      <c r="E264" t="s">
        <v>771</v>
      </c>
      <c r="F264" t="s">
        <v>5571</v>
      </c>
      <c r="G264" t="s">
        <v>74</v>
      </c>
      <c r="H264" t="s">
        <v>74</v>
      </c>
      <c r="I264" t="s">
        <v>5572</v>
      </c>
      <c r="J264" t="s">
        <v>5573</v>
      </c>
      <c r="K264" t="s">
        <v>74</v>
      </c>
      <c r="L264" t="s">
        <v>74</v>
      </c>
      <c r="M264" t="s">
        <v>78</v>
      </c>
      <c r="N264" t="s">
        <v>138</v>
      </c>
      <c r="O264" t="s">
        <v>5574</v>
      </c>
      <c r="P264" t="s">
        <v>5575</v>
      </c>
      <c r="Q264" t="s">
        <v>5576</v>
      </c>
      <c r="R264" t="s">
        <v>5577</v>
      </c>
      <c r="S264" t="s">
        <v>5578</v>
      </c>
      <c r="T264" t="s">
        <v>5579</v>
      </c>
      <c r="U264" t="s">
        <v>74</v>
      </c>
      <c r="V264" t="s">
        <v>5580</v>
      </c>
      <c r="W264" t="s">
        <v>5581</v>
      </c>
      <c r="X264" t="s">
        <v>5582</v>
      </c>
      <c r="Y264" t="s">
        <v>5583</v>
      </c>
      <c r="Z264" t="s">
        <v>5584</v>
      </c>
      <c r="AA264" t="s">
        <v>5585</v>
      </c>
      <c r="AB264" t="s">
        <v>5586</v>
      </c>
      <c r="AC264" t="s">
        <v>74</v>
      </c>
      <c r="AD264" t="s">
        <v>74</v>
      </c>
      <c r="AE264" t="s">
        <v>74</v>
      </c>
      <c r="AF264" t="s">
        <v>74</v>
      </c>
      <c r="AG264">
        <v>30</v>
      </c>
      <c r="AH264">
        <v>10</v>
      </c>
      <c r="AI264">
        <v>16</v>
      </c>
      <c r="AJ264">
        <v>0</v>
      </c>
      <c r="AK264">
        <v>8</v>
      </c>
      <c r="AL264" t="s">
        <v>771</v>
      </c>
      <c r="AM264" t="s">
        <v>151</v>
      </c>
      <c r="AN264" t="s">
        <v>785</v>
      </c>
      <c r="AO264" t="s">
        <v>74</v>
      </c>
      <c r="AP264" t="s">
        <v>74</v>
      </c>
      <c r="AQ264" t="s">
        <v>74</v>
      </c>
      <c r="AR264" t="s">
        <v>74</v>
      </c>
      <c r="AS264" t="s">
        <v>74</v>
      </c>
      <c r="AT264" t="s">
        <v>74</v>
      </c>
      <c r="AU264">
        <v>2015</v>
      </c>
      <c r="AV264" t="s">
        <v>74</v>
      </c>
      <c r="AW264" t="s">
        <v>74</v>
      </c>
      <c r="AX264" t="s">
        <v>74</v>
      </c>
      <c r="AY264" t="s">
        <v>74</v>
      </c>
      <c r="AZ264" t="s">
        <v>74</v>
      </c>
      <c r="BA264" t="s">
        <v>74</v>
      </c>
      <c r="BB264">
        <v>11</v>
      </c>
      <c r="BC264">
        <v>20</v>
      </c>
      <c r="BD264" t="s">
        <v>74</v>
      </c>
      <c r="BE264" t="s">
        <v>5587</v>
      </c>
      <c r="BF264" t="str">
        <f>HYPERLINK("http://dx.doi.org/10.1109/ARES.2014.10","http://dx.doi.org/10.1109/ARES.2014.10")</f>
        <v>http://dx.doi.org/10.1109/ARES.2014.10</v>
      </c>
      <c r="BG264" t="s">
        <v>74</v>
      </c>
      <c r="BH264" t="s">
        <v>74</v>
      </c>
      <c r="BI264">
        <v>10</v>
      </c>
      <c r="BJ264" t="s">
        <v>980</v>
      </c>
      <c r="BK264" t="s">
        <v>156</v>
      </c>
      <c r="BL264" t="s">
        <v>981</v>
      </c>
      <c r="BM264" t="s">
        <v>5588</v>
      </c>
      <c r="BN264" t="s">
        <v>74</v>
      </c>
      <c r="BO264" t="s">
        <v>74</v>
      </c>
      <c r="BP264" t="s">
        <v>74</v>
      </c>
      <c r="BQ264" t="s">
        <v>74</v>
      </c>
      <c r="BR264" t="s">
        <v>102</v>
      </c>
      <c r="BS264" t="s">
        <v>5589</v>
      </c>
      <c r="BT264" t="str">
        <f>HYPERLINK("https%3A%2F%2Fwww.webofscience.com%2Fwos%2Fwoscc%2Ffull-record%2FWOS:000360967100002","View Full Record in Web of Science")</f>
        <v>View Full Record in Web of Science</v>
      </c>
    </row>
    <row r="265" spans="1:72" x14ac:dyDescent="0.25">
      <c r="A265" t="s">
        <v>72</v>
      </c>
      <c r="B265" t="s">
        <v>5590</v>
      </c>
      <c r="C265" t="s">
        <v>74</v>
      </c>
      <c r="D265" t="s">
        <v>74</v>
      </c>
      <c r="E265" t="s">
        <v>74</v>
      </c>
      <c r="F265" t="s">
        <v>5591</v>
      </c>
      <c r="G265" t="s">
        <v>74</v>
      </c>
      <c r="H265" t="s">
        <v>74</v>
      </c>
      <c r="I265" t="s">
        <v>5592</v>
      </c>
      <c r="J265" t="s">
        <v>3452</v>
      </c>
      <c r="K265" t="s">
        <v>74</v>
      </c>
      <c r="L265" t="s">
        <v>74</v>
      </c>
      <c r="M265" t="s">
        <v>78</v>
      </c>
      <c r="N265" t="s">
        <v>79</v>
      </c>
      <c r="O265" t="s">
        <v>74</v>
      </c>
      <c r="P265" t="s">
        <v>74</v>
      </c>
      <c r="Q265" t="s">
        <v>74</v>
      </c>
      <c r="R265" t="s">
        <v>74</v>
      </c>
      <c r="S265" t="s">
        <v>74</v>
      </c>
      <c r="T265" t="s">
        <v>5593</v>
      </c>
      <c r="U265" t="s">
        <v>5594</v>
      </c>
      <c r="V265" t="s">
        <v>5595</v>
      </c>
      <c r="W265" t="s">
        <v>5596</v>
      </c>
      <c r="X265" t="s">
        <v>5597</v>
      </c>
      <c r="Y265" t="s">
        <v>5598</v>
      </c>
      <c r="Z265" t="s">
        <v>5599</v>
      </c>
      <c r="AA265" t="s">
        <v>74</v>
      </c>
      <c r="AB265" t="s">
        <v>5600</v>
      </c>
      <c r="AC265" t="s">
        <v>74</v>
      </c>
      <c r="AD265" t="s">
        <v>74</v>
      </c>
      <c r="AE265" t="s">
        <v>74</v>
      </c>
      <c r="AF265" t="s">
        <v>74</v>
      </c>
      <c r="AG265">
        <v>58</v>
      </c>
      <c r="AH265">
        <v>4</v>
      </c>
      <c r="AI265">
        <v>5</v>
      </c>
      <c r="AJ265">
        <v>2</v>
      </c>
      <c r="AK265">
        <v>7</v>
      </c>
      <c r="AL265" t="s">
        <v>3461</v>
      </c>
      <c r="AM265" t="s">
        <v>3462</v>
      </c>
      <c r="AN265" t="s">
        <v>3463</v>
      </c>
      <c r="AO265" t="s">
        <v>3464</v>
      </c>
      <c r="AP265" t="s">
        <v>74</v>
      </c>
      <c r="AQ265" t="s">
        <v>74</v>
      </c>
      <c r="AR265" t="s">
        <v>3452</v>
      </c>
      <c r="AS265" t="s">
        <v>3465</v>
      </c>
      <c r="AT265" t="s">
        <v>74</v>
      </c>
      <c r="AU265">
        <v>2023</v>
      </c>
      <c r="AV265">
        <v>11</v>
      </c>
      <c r="AW265" t="s">
        <v>74</v>
      </c>
      <c r="AX265" t="s">
        <v>74</v>
      </c>
      <c r="AY265" t="s">
        <v>74</v>
      </c>
      <c r="AZ265" t="s">
        <v>74</v>
      </c>
      <c r="BA265" t="s">
        <v>74</v>
      </c>
      <c r="BB265">
        <v>103839</v>
      </c>
      <c r="BC265">
        <v>103862</v>
      </c>
      <c r="BD265" t="s">
        <v>74</v>
      </c>
      <c r="BE265" t="s">
        <v>5601</v>
      </c>
      <c r="BF265" t="str">
        <f>HYPERLINK("http://dx.doi.org/10.1109/ACCESS.2023.3317692","http://dx.doi.org/10.1109/ACCESS.2023.3317692")</f>
        <v>http://dx.doi.org/10.1109/ACCESS.2023.3317692</v>
      </c>
      <c r="BG265" t="s">
        <v>74</v>
      </c>
      <c r="BH265" t="s">
        <v>74</v>
      </c>
      <c r="BI265">
        <v>24</v>
      </c>
      <c r="BJ265" t="s">
        <v>3467</v>
      </c>
      <c r="BK265" t="s">
        <v>128</v>
      </c>
      <c r="BL265" t="s">
        <v>1023</v>
      </c>
      <c r="BM265" t="s">
        <v>5602</v>
      </c>
      <c r="BN265" t="s">
        <v>74</v>
      </c>
      <c r="BO265" t="s">
        <v>916</v>
      </c>
      <c r="BP265" t="s">
        <v>74</v>
      </c>
      <c r="BQ265" t="s">
        <v>74</v>
      </c>
      <c r="BR265" t="s">
        <v>102</v>
      </c>
      <c r="BS265" t="s">
        <v>5603</v>
      </c>
      <c r="BT265" t="str">
        <f>HYPERLINK("https%3A%2F%2Fwww.webofscience.com%2Fwos%2Fwoscc%2Ffull-record%2FWOS:001080865600001","View Full Record in Web of Science")</f>
        <v>View Full Record in Web of Science</v>
      </c>
    </row>
    <row r="266" spans="1:72" x14ac:dyDescent="0.25">
      <c r="A266" t="s">
        <v>132</v>
      </c>
      <c r="B266" t="s">
        <v>5604</v>
      </c>
      <c r="C266" t="s">
        <v>74</v>
      </c>
      <c r="D266" t="s">
        <v>5605</v>
      </c>
      <c r="E266" t="s">
        <v>74</v>
      </c>
      <c r="F266" t="s">
        <v>5606</v>
      </c>
      <c r="G266" t="s">
        <v>74</v>
      </c>
      <c r="H266" t="s">
        <v>74</v>
      </c>
      <c r="I266" t="s">
        <v>5607</v>
      </c>
      <c r="J266" t="s">
        <v>5608</v>
      </c>
      <c r="K266" t="s">
        <v>5609</v>
      </c>
      <c r="L266" t="s">
        <v>74</v>
      </c>
      <c r="M266" t="s">
        <v>78</v>
      </c>
      <c r="N266" t="s">
        <v>138</v>
      </c>
      <c r="O266" t="s">
        <v>5610</v>
      </c>
      <c r="P266" t="s">
        <v>5611</v>
      </c>
      <c r="Q266" t="s">
        <v>5612</v>
      </c>
      <c r="R266" t="s">
        <v>74</v>
      </c>
      <c r="S266" t="s">
        <v>5613</v>
      </c>
      <c r="T266" t="s">
        <v>74</v>
      </c>
      <c r="U266" t="s">
        <v>74</v>
      </c>
      <c r="V266" t="s">
        <v>5614</v>
      </c>
      <c r="W266" t="s">
        <v>5615</v>
      </c>
      <c r="X266" t="s">
        <v>5616</v>
      </c>
      <c r="Y266" t="s">
        <v>5617</v>
      </c>
      <c r="Z266" t="s">
        <v>5618</v>
      </c>
      <c r="AA266" t="s">
        <v>74</v>
      </c>
      <c r="AB266" t="s">
        <v>74</v>
      </c>
      <c r="AC266" t="s">
        <v>74</v>
      </c>
      <c r="AD266" t="s">
        <v>74</v>
      </c>
      <c r="AE266" t="s">
        <v>74</v>
      </c>
      <c r="AF266" t="s">
        <v>74</v>
      </c>
      <c r="AG266">
        <v>16</v>
      </c>
      <c r="AH266">
        <v>11</v>
      </c>
      <c r="AI266">
        <v>14</v>
      </c>
      <c r="AJ266">
        <v>0</v>
      </c>
      <c r="AK266">
        <v>14</v>
      </c>
      <c r="AL266" t="s">
        <v>5619</v>
      </c>
      <c r="AM266" t="s">
        <v>5620</v>
      </c>
      <c r="AN266" t="s">
        <v>5621</v>
      </c>
      <c r="AO266" t="s">
        <v>5622</v>
      </c>
      <c r="AP266" t="s">
        <v>74</v>
      </c>
      <c r="AQ266" t="s">
        <v>5623</v>
      </c>
      <c r="AR266" t="s">
        <v>5624</v>
      </c>
      <c r="AS266" t="s">
        <v>74</v>
      </c>
      <c r="AT266" t="s">
        <v>74</v>
      </c>
      <c r="AU266">
        <v>2012</v>
      </c>
      <c r="AV266">
        <v>11</v>
      </c>
      <c r="AW266" t="s">
        <v>74</v>
      </c>
      <c r="AX266" t="s">
        <v>74</v>
      </c>
      <c r="AY266" t="s">
        <v>74</v>
      </c>
      <c r="AZ266" t="s">
        <v>74</v>
      </c>
      <c r="BA266" t="s">
        <v>74</v>
      </c>
      <c r="BB266">
        <v>79</v>
      </c>
      <c r="BC266">
        <v>101</v>
      </c>
      <c r="BD266" t="s">
        <v>74</v>
      </c>
      <c r="BE266" t="s">
        <v>74</v>
      </c>
      <c r="BF266" t="s">
        <v>74</v>
      </c>
      <c r="BG266" t="s">
        <v>74</v>
      </c>
      <c r="BH266" t="s">
        <v>74</v>
      </c>
      <c r="BI266">
        <v>23</v>
      </c>
      <c r="BJ266" t="s">
        <v>5625</v>
      </c>
      <c r="BK266" t="s">
        <v>183</v>
      </c>
      <c r="BL266" t="s">
        <v>5626</v>
      </c>
      <c r="BM266" t="s">
        <v>5627</v>
      </c>
      <c r="BN266" t="s">
        <v>74</v>
      </c>
      <c r="BO266" t="s">
        <v>74</v>
      </c>
      <c r="BP266" t="s">
        <v>74</v>
      </c>
      <c r="BQ266" t="s">
        <v>74</v>
      </c>
      <c r="BR266" t="s">
        <v>102</v>
      </c>
      <c r="BS266" t="s">
        <v>5628</v>
      </c>
      <c r="BT266" t="str">
        <f>HYPERLINK("https%3A%2F%2Fwww.webofscience.com%2Fwos%2Fwoscc%2Ffull-record%2FWOS:000325992900005","View Full Record in Web of Science")</f>
        <v>View Full Record in Web of Science</v>
      </c>
    </row>
    <row r="267" spans="1:72" x14ac:dyDescent="0.25">
      <c r="A267" t="s">
        <v>132</v>
      </c>
      <c r="B267" t="s">
        <v>5629</v>
      </c>
      <c r="C267" t="s">
        <v>74</v>
      </c>
      <c r="D267" t="s">
        <v>74</v>
      </c>
      <c r="E267" t="s">
        <v>771</v>
      </c>
      <c r="F267" t="s">
        <v>5630</v>
      </c>
      <c r="G267" t="s">
        <v>74</v>
      </c>
      <c r="H267" t="s">
        <v>74</v>
      </c>
      <c r="I267" t="s">
        <v>5631</v>
      </c>
      <c r="J267" t="s">
        <v>5632</v>
      </c>
      <c r="K267" t="s">
        <v>2158</v>
      </c>
      <c r="L267" t="s">
        <v>74</v>
      </c>
      <c r="M267" t="s">
        <v>78</v>
      </c>
      <c r="N267" t="s">
        <v>138</v>
      </c>
      <c r="O267" t="s">
        <v>5633</v>
      </c>
      <c r="P267" t="s">
        <v>5634</v>
      </c>
      <c r="Q267" t="s">
        <v>1550</v>
      </c>
      <c r="R267" t="s">
        <v>5635</v>
      </c>
      <c r="S267" t="s">
        <v>74</v>
      </c>
      <c r="T267" t="s">
        <v>5636</v>
      </c>
      <c r="U267" t="s">
        <v>1765</v>
      </c>
      <c r="V267" t="s">
        <v>5637</v>
      </c>
      <c r="W267" t="s">
        <v>5638</v>
      </c>
      <c r="X267" t="s">
        <v>5639</v>
      </c>
      <c r="Y267" t="s">
        <v>5640</v>
      </c>
      <c r="Z267" t="s">
        <v>5641</v>
      </c>
      <c r="AA267" t="s">
        <v>5642</v>
      </c>
      <c r="AB267" t="s">
        <v>5643</v>
      </c>
      <c r="AC267" t="s">
        <v>5644</v>
      </c>
      <c r="AD267" t="s">
        <v>5645</v>
      </c>
      <c r="AE267" t="s">
        <v>5646</v>
      </c>
      <c r="AF267" t="s">
        <v>74</v>
      </c>
      <c r="AG267">
        <v>29</v>
      </c>
      <c r="AH267">
        <v>0</v>
      </c>
      <c r="AI267">
        <v>0</v>
      </c>
      <c r="AJ267">
        <v>1</v>
      </c>
      <c r="AK267">
        <v>2</v>
      </c>
      <c r="AL267" t="s">
        <v>771</v>
      </c>
      <c r="AM267" t="s">
        <v>151</v>
      </c>
      <c r="AN267" t="s">
        <v>785</v>
      </c>
      <c r="AO267" t="s">
        <v>2169</v>
      </c>
      <c r="AP267" t="s">
        <v>74</v>
      </c>
      <c r="AQ267" t="s">
        <v>5647</v>
      </c>
      <c r="AR267" t="s">
        <v>2171</v>
      </c>
      <c r="AS267" t="s">
        <v>74</v>
      </c>
      <c r="AT267" t="s">
        <v>74</v>
      </c>
      <c r="AU267">
        <v>2020</v>
      </c>
      <c r="AV267" t="s">
        <v>74</v>
      </c>
      <c r="AW267" t="s">
        <v>74</v>
      </c>
      <c r="AX267" t="s">
        <v>74</v>
      </c>
      <c r="AY267" t="s">
        <v>74</v>
      </c>
      <c r="AZ267" t="s">
        <v>74</v>
      </c>
      <c r="BA267" t="s">
        <v>74</v>
      </c>
      <c r="BB267" t="s">
        <v>74</v>
      </c>
      <c r="BC267" t="s">
        <v>74</v>
      </c>
      <c r="BD267" t="s">
        <v>74</v>
      </c>
      <c r="BE267" t="s">
        <v>5648</v>
      </c>
      <c r="BF267" t="str">
        <f>HYPERLINK("http://dx.doi.org/10.1109/icc40277.2020.9149144","http://dx.doi.org/10.1109/icc40277.2020.9149144")</f>
        <v>http://dx.doi.org/10.1109/icc40277.2020.9149144</v>
      </c>
      <c r="BG267" t="s">
        <v>74</v>
      </c>
      <c r="BH267" t="s">
        <v>74</v>
      </c>
      <c r="BI267">
        <v>6</v>
      </c>
      <c r="BJ267" t="s">
        <v>5649</v>
      </c>
      <c r="BK267" t="s">
        <v>156</v>
      </c>
      <c r="BL267" t="s">
        <v>5650</v>
      </c>
      <c r="BM267" t="s">
        <v>5651</v>
      </c>
      <c r="BN267" t="s">
        <v>74</v>
      </c>
      <c r="BO267" t="s">
        <v>74</v>
      </c>
      <c r="BP267" t="s">
        <v>74</v>
      </c>
      <c r="BQ267" t="s">
        <v>74</v>
      </c>
      <c r="BR267" t="s">
        <v>102</v>
      </c>
      <c r="BS267" t="s">
        <v>5652</v>
      </c>
      <c r="BT267" t="str">
        <f>HYPERLINK("https%3A%2F%2Fwww.webofscience.com%2Fwos%2Fwoscc%2Ffull-record%2FWOS:000606970303061","View Full Record in Web of Science")</f>
        <v>View Full Record in Web of Science</v>
      </c>
    </row>
    <row r="268" spans="1:72" x14ac:dyDescent="0.25">
      <c r="A268" t="s">
        <v>72</v>
      </c>
      <c r="B268" t="s">
        <v>5653</v>
      </c>
      <c r="C268" t="s">
        <v>74</v>
      </c>
      <c r="D268" t="s">
        <v>74</v>
      </c>
      <c r="E268" t="s">
        <v>74</v>
      </c>
      <c r="F268" t="s">
        <v>5654</v>
      </c>
      <c r="G268" t="s">
        <v>74</v>
      </c>
      <c r="H268" t="s">
        <v>74</v>
      </c>
      <c r="I268" t="s">
        <v>5655</v>
      </c>
      <c r="J268" t="s">
        <v>5480</v>
      </c>
      <c r="K268" t="s">
        <v>74</v>
      </c>
      <c r="L268" t="s">
        <v>74</v>
      </c>
      <c r="M268" t="s">
        <v>78</v>
      </c>
      <c r="N268" t="s">
        <v>79</v>
      </c>
      <c r="O268" t="s">
        <v>74</v>
      </c>
      <c r="P268" t="s">
        <v>74</v>
      </c>
      <c r="Q268" t="s">
        <v>74</v>
      </c>
      <c r="R268" t="s">
        <v>74</v>
      </c>
      <c r="S268" t="s">
        <v>74</v>
      </c>
      <c r="T268" t="s">
        <v>5656</v>
      </c>
      <c r="U268" t="s">
        <v>5657</v>
      </c>
      <c r="V268" t="s">
        <v>5658</v>
      </c>
      <c r="W268" t="s">
        <v>5659</v>
      </c>
      <c r="X268" t="s">
        <v>5660</v>
      </c>
      <c r="Y268" t="s">
        <v>5661</v>
      </c>
      <c r="Z268" t="s">
        <v>74</v>
      </c>
      <c r="AA268" t="s">
        <v>5662</v>
      </c>
      <c r="AB268" t="s">
        <v>5663</v>
      </c>
      <c r="AC268" t="s">
        <v>74</v>
      </c>
      <c r="AD268" t="s">
        <v>74</v>
      </c>
      <c r="AE268" t="s">
        <v>74</v>
      </c>
      <c r="AF268" t="s">
        <v>74</v>
      </c>
      <c r="AG268">
        <v>51</v>
      </c>
      <c r="AH268">
        <v>3</v>
      </c>
      <c r="AI268">
        <v>5</v>
      </c>
      <c r="AJ268">
        <v>7</v>
      </c>
      <c r="AK268">
        <v>18</v>
      </c>
      <c r="AL268" t="s">
        <v>5488</v>
      </c>
      <c r="AM268" t="s">
        <v>1356</v>
      </c>
      <c r="AN268" t="s">
        <v>5489</v>
      </c>
      <c r="AO268" t="s">
        <v>5490</v>
      </c>
      <c r="AP268" t="s">
        <v>5491</v>
      </c>
      <c r="AQ268" t="s">
        <v>74</v>
      </c>
      <c r="AR268" t="s">
        <v>5492</v>
      </c>
      <c r="AS268" t="s">
        <v>5493</v>
      </c>
      <c r="AT268" t="s">
        <v>74</v>
      </c>
      <c r="AU268">
        <v>2024</v>
      </c>
      <c r="AV268">
        <v>19</v>
      </c>
      <c r="AW268">
        <v>2</v>
      </c>
      <c r="AX268" t="s">
        <v>74</v>
      </c>
      <c r="AY268" t="s">
        <v>74</v>
      </c>
      <c r="AZ268" t="s">
        <v>74</v>
      </c>
      <c r="BA268" t="s">
        <v>74</v>
      </c>
      <c r="BB268" t="s">
        <v>74</v>
      </c>
      <c r="BC268" t="s">
        <v>74</v>
      </c>
      <c r="BD268" t="s">
        <v>74</v>
      </c>
      <c r="BE268" t="s">
        <v>5664</v>
      </c>
      <c r="BF268" t="str">
        <f>HYPERLINK("http://dx.doi.org/10.21511/bbs.19(2).2024.03","http://dx.doi.org/10.21511/bbs.19(2).2024.03")</f>
        <v>http://dx.doi.org/10.21511/bbs.19(2).2024.03</v>
      </c>
      <c r="BG268" t="s">
        <v>74</v>
      </c>
      <c r="BH268" t="s">
        <v>74</v>
      </c>
      <c r="BI268">
        <v>11</v>
      </c>
      <c r="BJ268" t="s">
        <v>210</v>
      </c>
      <c r="BK268" t="s">
        <v>313</v>
      </c>
      <c r="BL268" t="s">
        <v>100</v>
      </c>
      <c r="BM268" t="s">
        <v>5495</v>
      </c>
      <c r="BN268" t="s">
        <v>74</v>
      </c>
      <c r="BO268" t="s">
        <v>212</v>
      </c>
      <c r="BP268" t="s">
        <v>74</v>
      </c>
      <c r="BQ268" t="s">
        <v>74</v>
      </c>
      <c r="BR268" t="s">
        <v>102</v>
      </c>
      <c r="BS268" t="s">
        <v>5665</v>
      </c>
      <c r="BT268" t="str">
        <f>HYPERLINK("https%3A%2F%2Fwww.webofscience.com%2Fwos%2Fwoscc%2Ffull-record%2FWOS:001304351400003","View Full Record in Web of Science")</f>
        <v>View Full Record in Web of Science</v>
      </c>
    </row>
    <row r="269" spans="1:72" x14ac:dyDescent="0.25">
      <c r="A269" t="s">
        <v>72</v>
      </c>
      <c r="B269" t="s">
        <v>5666</v>
      </c>
      <c r="C269" t="s">
        <v>74</v>
      </c>
      <c r="D269" t="s">
        <v>74</v>
      </c>
      <c r="E269" t="s">
        <v>74</v>
      </c>
      <c r="F269" t="s">
        <v>5667</v>
      </c>
      <c r="G269" t="s">
        <v>74</v>
      </c>
      <c r="H269" t="s">
        <v>74</v>
      </c>
      <c r="I269" t="s">
        <v>5668</v>
      </c>
      <c r="J269" t="s">
        <v>2288</v>
      </c>
      <c r="K269" t="s">
        <v>74</v>
      </c>
      <c r="L269" t="s">
        <v>74</v>
      </c>
      <c r="M269" t="s">
        <v>78</v>
      </c>
      <c r="N269" t="s">
        <v>79</v>
      </c>
      <c r="O269" t="s">
        <v>74</v>
      </c>
      <c r="P269" t="s">
        <v>74</v>
      </c>
      <c r="Q269" t="s">
        <v>74</v>
      </c>
      <c r="R269" t="s">
        <v>74</v>
      </c>
      <c r="S269" t="s">
        <v>74</v>
      </c>
      <c r="T269" t="s">
        <v>5669</v>
      </c>
      <c r="U269" t="s">
        <v>5670</v>
      </c>
      <c r="V269" t="s">
        <v>5671</v>
      </c>
      <c r="W269" t="s">
        <v>5672</v>
      </c>
      <c r="X269" t="s">
        <v>5673</v>
      </c>
      <c r="Y269" t="s">
        <v>5674</v>
      </c>
      <c r="Z269" t="s">
        <v>5675</v>
      </c>
      <c r="AA269" t="s">
        <v>5676</v>
      </c>
      <c r="AB269" t="s">
        <v>74</v>
      </c>
      <c r="AC269" t="s">
        <v>5677</v>
      </c>
      <c r="AD269" t="s">
        <v>5678</v>
      </c>
      <c r="AE269" t="s">
        <v>5679</v>
      </c>
      <c r="AF269" t="s">
        <v>74</v>
      </c>
      <c r="AG269">
        <v>27</v>
      </c>
      <c r="AH269">
        <v>6</v>
      </c>
      <c r="AI269">
        <v>14</v>
      </c>
      <c r="AJ269">
        <v>3</v>
      </c>
      <c r="AK269">
        <v>20</v>
      </c>
      <c r="AL269" t="s">
        <v>201</v>
      </c>
      <c r="AM269" t="s">
        <v>202</v>
      </c>
      <c r="AN269" t="s">
        <v>203</v>
      </c>
      <c r="AO269" t="s">
        <v>2299</v>
      </c>
      <c r="AP269" t="s">
        <v>2300</v>
      </c>
      <c r="AQ269" t="s">
        <v>74</v>
      </c>
      <c r="AR269" t="s">
        <v>2301</v>
      </c>
      <c r="AS269" t="s">
        <v>2302</v>
      </c>
      <c r="AT269" t="s">
        <v>1652</v>
      </c>
      <c r="AU269">
        <v>2019</v>
      </c>
      <c r="AV269">
        <v>139</v>
      </c>
      <c r="AW269" t="s">
        <v>74</v>
      </c>
      <c r="AX269" t="s">
        <v>74</v>
      </c>
      <c r="AY269" t="s">
        <v>74</v>
      </c>
      <c r="AZ269" t="s">
        <v>74</v>
      </c>
      <c r="BA269" t="s">
        <v>74</v>
      </c>
      <c r="BB269">
        <v>135</v>
      </c>
      <c r="BC269">
        <v>156</v>
      </c>
      <c r="BD269" t="s">
        <v>74</v>
      </c>
      <c r="BE269" t="s">
        <v>5680</v>
      </c>
      <c r="BF269" t="str">
        <f>HYPERLINK("http://dx.doi.org/10.1016/j.jdeveco.2019.03.001","http://dx.doi.org/10.1016/j.jdeveco.2019.03.001")</f>
        <v>http://dx.doi.org/10.1016/j.jdeveco.2019.03.001</v>
      </c>
      <c r="BG269" t="s">
        <v>74</v>
      </c>
      <c r="BH269" t="s">
        <v>74</v>
      </c>
      <c r="BI269">
        <v>22</v>
      </c>
      <c r="BJ269" t="s">
        <v>291</v>
      </c>
      <c r="BK269" t="s">
        <v>99</v>
      </c>
      <c r="BL269" t="s">
        <v>100</v>
      </c>
      <c r="BM269" t="s">
        <v>5681</v>
      </c>
      <c r="BN269">
        <v>31007350</v>
      </c>
      <c r="BO269" t="s">
        <v>1696</v>
      </c>
      <c r="BP269" t="s">
        <v>74</v>
      </c>
      <c r="BQ269" t="s">
        <v>74</v>
      </c>
      <c r="BR269" t="s">
        <v>102</v>
      </c>
      <c r="BS269" t="s">
        <v>5682</v>
      </c>
      <c r="BT269" t="str">
        <f>HYPERLINK("https%3A%2F%2Fwww.webofscience.com%2Fwos%2Fwoscc%2Ffull-record%2FWOS:000470048800010","View Full Record in Web of Science")</f>
        <v>View Full Record in Web of Science</v>
      </c>
    </row>
    <row r="270" spans="1:72" x14ac:dyDescent="0.25">
      <c r="A270" t="s">
        <v>72</v>
      </c>
      <c r="B270" t="s">
        <v>5683</v>
      </c>
      <c r="C270" t="s">
        <v>74</v>
      </c>
      <c r="D270" t="s">
        <v>74</v>
      </c>
      <c r="E270" t="s">
        <v>74</v>
      </c>
      <c r="F270" t="s">
        <v>5684</v>
      </c>
      <c r="G270" t="s">
        <v>74</v>
      </c>
      <c r="H270" t="s">
        <v>74</v>
      </c>
      <c r="I270" t="s">
        <v>5685</v>
      </c>
      <c r="J270" t="s">
        <v>5686</v>
      </c>
      <c r="K270" t="s">
        <v>74</v>
      </c>
      <c r="L270" t="s">
        <v>74</v>
      </c>
      <c r="M270" t="s">
        <v>78</v>
      </c>
      <c r="N270" t="s">
        <v>79</v>
      </c>
      <c r="O270" t="s">
        <v>74</v>
      </c>
      <c r="P270" t="s">
        <v>74</v>
      </c>
      <c r="Q270" t="s">
        <v>74</v>
      </c>
      <c r="R270" t="s">
        <v>74</v>
      </c>
      <c r="S270" t="s">
        <v>74</v>
      </c>
      <c r="T270" t="s">
        <v>5687</v>
      </c>
      <c r="U270" t="s">
        <v>5688</v>
      </c>
      <c r="V270" t="s">
        <v>5689</v>
      </c>
      <c r="W270" t="s">
        <v>5690</v>
      </c>
      <c r="X270" t="s">
        <v>5691</v>
      </c>
      <c r="Y270" t="s">
        <v>5692</v>
      </c>
      <c r="Z270" t="s">
        <v>5693</v>
      </c>
      <c r="AA270" t="s">
        <v>74</v>
      </c>
      <c r="AB270" t="s">
        <v>74</v>
      </c>
      <c r="AC270" t="s">
        <v>5694</v>
      </c>
      <c r="AD270" t="s">
        <v>5695</v>
      </c>
      <c r="AE270" t="s">
        <v>5696</v>
      </c>
      <c r="AF270" t="s">
        <v>74</v>
      </c>
      <c r="AG270">
        <v>59</v>
      </c>
      <c r="AH270">
        <v>0</v>
      </c>
      <c r="AI270">
        <v>0</v>
      </c>
      <c r="AJ270">
        <v>0</v>
      </c>
      <c r="AK270">
        <v>0</v>
      </c>
      <c r="AL270" t="s">
        <v>385</v>
      </c>
      <c r="AM270" t="s">
        <v>151</v>
      </c>
      <c r="AN270" t="s">
        <v>386</v>
      </c>
      <c r="AO270" t="s">
        <v>5697</v>
      </c>
      <c r="AP270" t="s">
        <v>5698</v>
      </c>
      <c r="AQ270" t="s">
        <v>74</v>
      </c>
      <c r="AR270" t="s">
        <v>5699</v>
      </c>
      <c r="AS270" t="s">
        <v>5700</v>
      </c>
      <c r="AT270" t="s">
        <v>1159</v>
      </c>
      <c r="AU270">
        <v>2025</v>
      </c>
      <c r="AV270">
        <v>34</v>
      </c>
      <c r="AW270">
        <v>10</v>
      </c>
      <c r="AX270" t="s">
        <v>74</v>
      </c>
      <c r="AY270" t="s">
        <v>74</v>
      </c>
      <c r="AZ270" t="s">
        <v>74</v>
      </c>
      <c r="BA270" t="s">
        <v>74</v>
      </c>
      <c r="BB270">
        <v>2588</v>
      </c>
      <c r="BC270">
        <v>2600</v>
      </c>
      <c r="BD270" t="s">
        <v>74</v>
      </c>
      <c r="BE270" t="s">
        <v>5701</v>
      </c>
      <c r="BF270" t="str">
        <f>HYPERLINK("http://dx.doi.org/10.1007/s10826-025-03125-9","http://dx.doi.org/10.1007/s10826-025-03125-9")</f>
        <v>http://dx.doi.org/10.1007/s10826-025-03125-9</v>
      </c>
      <c r="BG270" t="s">
        <v>74</v>
      </c>
      <c r="BH270" t="s">
        <v>5030</v>
      </c>
      <c r="BI270">
        <v>13</v>
      </c>
      <c r="BJ270" t="s">
        <v>5702</v>
      </c>
      <c r="BK270" t="s">
        <v>99</v>
      </c>
      <c r="BL270" t="s">
        <v>5703</v>
      </c>
      <c r="BM270" t="s">
        <v>5704</v>
      </c>
      <c r="BN270">
        <v>40959265</v>
      </c>
      <c r="BO270" t="s">
        <v>1696</v>
      </c>
      <c r="BP270" t="s">
        <v>74</v>
      </c>
      <c r="BQ270" t="s">
        <v>74</v>
      </c>
      <c r="BR270" t="s">
        <v>102</v>
      </c>
      <c r="BS270" t="s">
        <v>5705</v>
      </c>
      <c r="BT270" t="str">
        <f>HYPERLINK("https%3A%2F%2Fwww.webofscience.com%2Fwos%2Fwoscc%2Ffull-record%2FWOS:001556824900001","View Full Record in Web of Science")</f>
        <v>View Full Record in Web of Science</v>
      </c>
    </row>
    <row r="271" spans="1:72" x14ac:dyDescent="0.25">
      <c r="A271" t="s">
        <v>132</v>
      </c>
      <c r="B271" t="s">
        <v>5706</v>
      </c>
      <c r="C271" t="s">
        <v>74</v>
      </c>
      <c r="D271" t="s">
        <v>5707</v>
      </c>
      <c r="E271" t="s">
        <v>74</v>
      </c>
      <c r="F271" t="s">
        <v>5708</v>
      </c>
      <c r="G271" t="s">
        <v>74</v>
      </c>
      <c r="H271" t="s">
        <v>74</v>
      </c>
      <c r="I271" t="s">
        <v>5709</v>
      </c>
      <c r="J271" t="s">
        <v>5710</v>
      </c>
      <c r="K271" t="s">
        <v>74</v>
      </c>
      <c r="L271" t="s">
        <v>74</v>
      </c>
      <c r="M271" t="s">
        <v>78</v>
      </c>
      <c r="N271" t="s">
        <v>138</v>
      </c>
      <c r="O271" t="s">
        <v>5711</v>
      </c>
      <c r="P271" t="s">
        <v>5712</v>
      </c>
      <c r="Q271" t="s">
        <v>5713</v>
      </c>
      <c r="R271" t="s">
        <v>5714</v>
      </c>
      <c r="S271" t="s">
        <v>74</v>
      </c>
      <c r="T271" t="s">
        <v>5715</v>
      </c>
      <c r="U271" t="s">
        <v>74</v>
      </c>
      <c r="V271" t="s">
        <v>5716</v>
      </c>
      <c r="W271" t="s">
        <v>5717</v>
      </c>
      <c r="X271" t="s">
        <v>5718</v>
      </c>
      <c r="Y271" t="s">
        <v>5719</v>
      </c>
      <c r="Z271" t="s">
        <v>5720</v>
      </c>
      <c r="AA271" t="s">
        <v>74</v>
      </c>
      <c r="AB271" t="s">
        <v>74</v>
      </c>
      <c r="AC271" t="s">
        <v>5721</v>
      </c>
      <c r="AD271" t="s">
        <v>5722</v>
      </c>
      <c r="AE271" t="s">
        <v>5723</v>
      </c>
      <c r="AF271" t="s">
        <v>74</v>
      </c>
      <c r="AG271">
        <v>14</v>
      </c>
      <c r="AH271">
        <v>2</v>
      </c>
      <c r="AI271">
        <v>3</v>
      </c>
      <c r="AJ271">
        <v>0</v>
      </c>
      <c r="AK271">
        <v>0</v>
      </c>
      <c r="AL271" t="s">
        <v>771</v>
      </c>
      <c r="AM271" t="s">
        <v>151</v>
      </c>
      <c r="AN271" t="s">
        <v>785</v>
      </c>
      <c r="AO271" t="s">
        <v>74</v>
      </c>
      <c r="AP271" t="s">
        <v>74</v>
      </c>
      <c r="AQ271" t="s">
        <v>5724</v>
      </c>
      <c r="AR271" t="s">
        <v>74</v>
      </c>
      <c r="AS271" t="s">
        <v>74</v>
      </c>
      <c r="AT271" t="s">
        <v>74</v>
      </c>
      <c r="AU271">
        <v>2018</v>
      </c>
      <c r="AV271" t="s">
        <v>74</v>
      </c>
      <c r="AW271" t="s">
        <v>74</v>
      </c>
      <c r="AX271" t="s">
        <v>74</v>
      </c>
      <c r="AY271" t="s">
        <v>74</v>
      </c>
      <c r="AZ271" t="s">
        <v>74</v>
      </c>
      <c r="BA271" t="s">
        <v>74</v>
      </c>
      <c r="BB271" t="s">
        <v>74</v>
      </c>
      <c r="BC271" t="s">
        <v>74</v>
      </c>
      <c r="BD271" t="s">
        <v>74</v>
      </c>
      <c r="BE271" t="s">
        <v>74</v>
      </c>
      <c r="BF271" t="s">
        <v>74</v>
      </c>
      <c r="BG271" t="s">
        <v>74</v>
      </c>
      <c r="BH271" t="s">
        <v>74</v>
      </c>
      <c r="BI271">
        <v>4</v>
      </c>
      <c r="BJ271" t="s">
        <v>5725</v>
      </c>
      <c r="BK271" t="s">
        <v>156</v>
      </c>
      <c r="BL271" t="s">
        <v>5726</v>
      </c>
      <c r="BM271" t="s">
        <v>5727</v>
      </c>
      <c r="BN271" t="s">
        <v>74</v>
      </c>
      <c r="BO271" t="s">
        <v>74</v>
      </c>
      <c r="BP271" t="s">
        <v>74</v>
      </c>
      <c r="BQ271" t="s">
        <v>74</v>
      </c>
      <c r="BR271" t="s">
        <v>102</v>
      </c>
      <c r="BS271" t="s">
        <v>5728</v>
      </c>
      <c r="BT271" t="str">
        <f>HYPERLINK("https%3A%2F%2Fwww.webofscience.com%2Fwos%2Fwoscc%2Ffull-record%2FWOS:000722625400028","View Full Record in Web of Science")</f>
        <v>View Full Record in Web of Science</v>
      </c>
    </row>
    <row r="272" spans="1:72" x14ac:dyDescent="0.25">
      <c r="A272" t="s">
        <v>72</v>
      </c>
      <c r="B272" t="s">
        <v>5729</v>
      </c>
      <c r="C272" t="s">
        <v>74</v>
      </c>
      <c r="D272" t="s">
        <v>74</v>
      </c>
      <c r="E272" t="s">
        <v>74</v>
      </c>
      <c r="F272" t="s">
        <v>5730</v>
      </c>
      <c r="G272" t="s">
        <v>74</v>
      </c>
      <c r="H272" t="s">
        <v>74</v>
      </c>
      <c r="I272" t="s">
        <v>5731</v>
      </c>
      <c r="J272" t="s">
        <v>5732</v>
      </c>
      <c r="K272" t="s">
        <v>74</v>
      </c>
      <c r="L272" t="s">
        <v>74</v>
      </c>
      <c r="M272" t="s">
        <v>78</v>
      </c>
      <c r="N272" t="s">
        <v>79</v>
      </c>
      <c r="O272" t="s">
        <v>74</v>
      </c>
      <c r="P272" t="s">
        <v>74</v>
      </c>
      <c r="Q272" t="s">
        <v>74</v>
      </c>
      <c r="R272" t="s">
        <v>74</v>
      </c>
      <c r="S272" t="s">
        <v>74</v>
      </c>
      <c r="T272" t="s">
        <v>5733</v>
      </c>
      <c r="U272" t="s">
        <v>5734</v>
      </c>
      <c r="V272" t="s">
        <v>5735</v>
      </c>
      <c r="W272" t="s">
        <v>5736</v>
      </c>
      <c r="X272" t="s">
        <v>5737</v>
      </c>
      <c r="Y272" t="s">
        <v>5738</v>
      </c>
      <c r="Z272" t="s">
        <v>5739</v>
      </c>
      <c r="AA272" t="s">
        <v>74</v>
      </c>
      <c r="AB272" t="s">
        <v>74</v>
      </c>
      <c r="AC272" t="s">
        <v>74</v>
      </c>
      <c r="AD272" t="s">
        <v>74</v>
      </c>
      <c r="AE272" t="s">
        <v>74</v>
      </c>
      <c r="AF272" t="s">
        <v>74</v>
      </c>
      <c r="AG272">
        <v>71</v>
      </c>
      <c r="AH272">
        <v>1</v>
      </c>
      <c r="AI272">
        <v>2</v>
      </c>
      <c r="AJ272">
        <v>0</v>
      </c>
      <c r="AK272">
        <v>8</v>
      </c>
      <c r="AL272" t="s">
        <v>5740</v>
      </c>
      <c r="AM272" t="s">
        <v>5741</v>
      </c>
      <c r="AN272" t="s">
        <v>5742</v>
      </c>
      <c r="AO272" t="s">
        <v>5743</v>
      </c>
      <c r="AP272" t="s">
        <v>74</v>
      </c>
      <c r="AQ272" t="s">
        <v>74</v>
      </c>
      <c r="AR272" t="s">
        <v>5744</v>
      </c>
      <c r="AS272" t="s">
        <v>5745</v>
      </c>
      <c r="AT272" t="s">
        <v>5746</v>
      </c>
      <c r="AU272">
        <v>2023</v>
      </c>
      <c r="AV272">
        <v>19</v>
      </c>
      <c r="AW272">
        <v>1</v>
      </c>
      <c r="AX272" t="s">
        <v>74</v>
      </c>
      <c r="AY272" t="s">
        <v>74</v>
      </c>
      <c r="AZ272" t="s">
        <v>74</v>
      </c>
      <c r="BA272" t="s">
        <v>74</v>
      </c>
      <c r="BB272">
        <v>90</v>
      </c>
      <c r="BC272">
        <v>104</v>
      </c>
      <c r="BD272" t="s">
        <v>74</v>
      </c>
      <c r="BE272" t="s">
        <v>74</v>
      </c>
      <c r="BF272" t="s">
        <v>74</v>
      </c>
      <c r="BG272" t="s">
        <v>74</v>
      </c>
      <c r="BH272" t="s">
        <v>74</v>
      </c>
      <c r="BI272">
        <v>15</v>
      </c>
      <c r="BJ272" t="s">
        <v>418</v>
      </c>
      <c r="BK272" t="s">
        <v>313</v>
      </c>
      <c r="BL272" t="s">
        <v>100</v>
      </c>
      <c r="BM272" t="s">
        <v>5747</v>
      </c>
      <c r="BN272" t="s">
        <v>74</v>
      </c>
      <c r="BO272" t="s">
        <v>74</v>
      </c>
      <c r="BP272" t="s">
        <v>74</v>
      </c>
      <c r="BQ272" t="s">
        <v>74</v>
      </c>
      <c r="BR272" t="s">
        <v>102</v>
      </c>
      <c r="BS272" t="s">
        <v>5748</v>
      </c>
      <c r="BT272" t="str">
        <f>HYPERLINK("https%3A%2F%2Fwww.webofscience.com%2Fwos%2Fwoscc%2Ffull-record%2FWOS:001184308400007","View Full Record in Web of Science")</f>
        <v>View Full Record in Web of Science</v>
      </c>
    </row>
    <row r="273" spans="1:72" x14ac:dyDescent="0.25">
      <c r="A273" t="s">
        <v>72</v>
      </c>
      <c r="B273" t="s">
        <v>5749</v>
      </c>
      <c r="C273" t="s">
        <v>74</v>
      </c>
      <c r="D273" t="s">
        <v>74</v>
      </c>
      <c r="E273" t="s">
        <v>74</v>
      </c>
      <c r="F273" t="s">
        <v>5750</v>
      </c>
      <c r="G273" t="s">
        <v>74</v>
      </c>
      <c r="H273" t="s">
        <v>74</v>
      </c>
      <c r="I273" t="s">
        <v>5751</v>
      </c>
      <c r="J273" t="s">
        <v>3439</v>
      </c>
      <c r="K273" t="s">
        <v>74</v>
      </c>
      <c r="L273" t="s">
        <v>74</v>
      </c>
      <c r="M273" t="s">
        <v>78</v>
      </c>
      <c r="N273" t="s">
        <v>79</v>
      </c>
      <c r="O273" t="s">
        <v>74</v>
      </c>
      <c r="P273" t="s">
        <v>74</v>
      </c>
      <c r="Q273" t="s">
        <v>74</v>
      </c>
      <c r="R273" t="s">
        <v>74</v>
      </c>
      <c r="S273" t="s">
        <v>74</v>
      </c>
      <c r="T273" t="s">
        <v>5752</v>
      </c>
      <c r="U273" t="s">
        <v>74</v>
      </c>
      <c r="V273" t="s">
        <v>5753</v>
      </c>
      <c r="W273" t="s">
        <v>5754</v>
      </c>
      <c r="X273" t="s">
        <v>5755</v>
      </c>
      <c r="Y273" t="s">
        <v>5756</v>
      </c>
      <c r="Z273" t="s">
        <v>5757</v>
      </c>
      <c r="AA273" t="s">
        <v>74</v>
      </c>
      <c r="AB273" t="s">
        <v>5758</v>
      </c>
      <c r="AC273" t="s">
        <v>74</v>
      </c>
      <c r="AD273" t="s">
        <v>74</v>
      </c>
      <c r="AE273" t="s">
        <v>74</v>
      </c>
      <c r="AF273" t="s">
        <v>74</v>
      </c>
      <c r="AG273">
        <v>33</v>
      </c>
      <c r="AH273">
        <v>12</v>
      </c>
      <c r="AI273">
        <v>16</v>
      </c>
      <c r="AJ273">
        <v>1</v>
      </c>
      <c r="AK273">
        <v>21</v>
      </c>
      <c r="AL273" t="s">
        <v>2481</v>
      </c>
      <c r="AM273" t="s">
        <v>2482</v>
      </c>
      <c r="AN273" t="s">
        <v>2483</v>
      </c>
      <c r="AO273" t="s">
        <v>3443</v>
      </c>
      <c r="AP273" t="s">
        <v>74</v>
      </c>
      <c r="AQ273" t="s">
        <v>74</v>
      </c>
      <c r="AR273" t="s">
        <v>3444</v>
      </c>
      <c r="AS273" t="s">
        <v>3445</v>
      </c>
      <c r="AT273" t="s">
        <v>2970</v>
      </c>
      <c r="AU273">
        <v>2022</v>
      </c>
      <c r="AV273">
        <v>10</v>
      </c>
      <c r="AW273">
        <v>1</v>
      </c>
      <c r="AX273" t="s">
        <v>74</v>
      </c>
      <c r="AY273" t="s">
        <v>74</v>
      </c>
      <c r="AZ273" t="s">
        <v>74</v>
      </c>
      <c r="BA273" t="s">
        <v>74</v>
      </c>
      <c r="BB273" t="s">
        <v>74</v>
      </c>
      <c r="BC273" t="s">
        <v>74</v>
      </c>
      <c r="BD273">
        <v>2114178</v>
      </c>
      <c r="BE273" t="s">
        <v>5759</v>
      </c>
      <c r="BF273" t="str">
        <f>HYPERLINK("http://dx.doi.org/10.1080/23322039.2022.2114178","http://dx.doi.org/10.1080/23322039.2022.2114178")</f>
        <v>http://dx.doi.org/10.1080/23322039.2022.2114178</v>
      </c>
      <c r="BG273" t="s">
        <v>74</v>
      </c>
      <c r="BH273" t="s">
        <v>74</v>
      </c>
      <c r="BI273">
        <v>23</v>
      </c>
      <c r="BJ273" t="s">
        <v>291</v>
      </c>
      <c r="BK273" t="s">
        <v>313</v>
      </c>
      <c r="BL273" t="s">
        <v>100</v>
      </c>
      <c r="BM273" t="s">
        <v>5760</v>
      </c>
      <c r="BN273" t="s">
        <v>74</v>
      </c>
      <c r="BO273" t="s">
        <v>916</v>
      </c>
      <c r="BP273" t="s">
        <v>74</v>
      </c>
      <c r="BQ273" t="s">
        <v>74</v>
      </c>
      <c r="BR273" t="s">
        <v>102</v>
      </c>
      <c r="BS273" t="s">
        <v>5761</v>
      </c>
      <c r="BT273" t="str">
        <f>HYPERLINK("https%3A%2F%2Fwww.webofscience.com%2Fwos%2Fwoscc%2Ffull-record%2FWOS:000852056500001","View Full Record in Web of Science")</f>
        <v>View Full Record in Web of Science</v>
      </c>
    </row>
    <row r="274" spans="1:72" x14ac:dyDescent="0.25">
      <c r="A274" t="s">
        <v>132</v>
      </c>
      <c r="B274" t="s">
        <v>5762</v>
      </c>
      <c r="C274" t="s">
        <v>74</v>
      </c>
      <c r="D274" t="s">
        <v>5763</v>
      </c>
      <c r="E274" t="s">
        <v>74</v>
      </c>
      <c r="F274" t="s">
        <v>5764</v>
      </c>
      <c r="G274" t="s">
        <v>74</v>
      </c>
      <c r="H274" t="s">
        <v>74</v>
      </c>
      <c r="I274" t="s">
        <v>5765</v>
      </c>
      <c r="J274" t="s">
        <v>5766</v>
      </c>
      <c r="K274" t="s">
        <v>5767</v>
      </c>
      <c r="L274" t="s">
        <v>74</v>
      </c>
      <c r="M274" t="s">
        <v>78</v>
      </c>
      <c r="N274" t="s">
        <v>138</v>
      </c>
      <c r="O274" t="s">
        <v>5768</v>
      </c>
      <c r="P274" t="s">
        <v>5769</v>
      </c>
      <c r="Q274" t="s">
        <v>5770</v>
      </c>
      <c r="R274" t="s">
        <v>5771</v>
      </c>
      <c r="S274" t="s">
        <v>74</v>
      </c>
      <c r="T274" t="s">
        <v>5772</v>
      </c>
      <c r="U274" t="s">
        <v>74</v>
      </c>
      <c r="V274" t="s">
        <v>5773</v>
      </c>
      <c r="W274" t="s">
        <v>5774</v>
      </c>
      <c r="X274" t="s">
        <v>5775</v>
      </c>
      <c r="Y274" t="s">
        <v>5776</v>
      </c>
      <c r="Z274" t="s">
        <v>5777</v>
      </c>
      <c r="AA274" t="s">
        <v>5778</v>
      </c>
      <c r="AB274" t="s">
        <v>5779</v>
      </c>
      <c r="AC274" t="s">
        <v>74</v>
      </c>
      <c r="AD274" t="s">
        <v>74</v>
      </c>
      <c r="AE274" t="s">
        <v>74</v>
      </c>
      <c r="AF274" t="s">
        <v>74</v>
      </c>
      <c r="AG274">
        <v>29</v>
      </c>
      <c r="AH274">
        <v>7</v>
      </c>
      <c r="AI274">
        <v>8</v>
      </c>
      <c r="AJ274">
        <v>3</v>
      </c>
      <c r="AK274">
        <v>7</v>
      </c>
      <c r="AL274" t="s">
        <v>1062</v>
      </c>
      <c r="AM274" t="s">
        <v>667</v>
      </c>
      <c r="AN274" t="s">
        <v>668</v>
      </c>
      <c r="AO274" t="s">
        <v>5780</v>
      </c>
      <c r="AP274" t="s">
        <v>5781</v>
      </c>
      <c r="AQ274" t="s">
        <v>5782</v>
      </c>
      <c r="AR274" t="s">
        <v>5783</v>
      </c>
      <c r="AS274" t="s">
        <v>74</v>
      </c>
      <c r="AT274" t="s">
        <v>74</v>
      </c>
      <c r="AU274">
        <v>2023</v>
      </c>
      <c r="AV274" t="s">
        <v>74</v>
      </c>
      <c r="AW274" t="s">
        <v>74</v>
      </c>
      <c r="AX274" t="s">
        <v>74</v>
      </c>
      <c r="AY274" t="s">
        <v>74</v>
      </c>
      <c r="AZ274" t="s">
        <v>74</v>
      </c>
      <c r="BA274" t="s">
        <v>74</v>
      </c>
      <c r="BB274">
        <v>41</v>
      </c>
      <c r="BC274">
        <v>49</v>
      </c>
      <c r="BD274" t="s">
        <v>74</v>
      </c>
      <c r="BE274" t="s">
        <v>5784</v>
      </c>
      <c r="BF274" t="str">
        <f>HYPERLINK("http://dx.doi.org/10.1007/978-3-031-32894-7_5","http://dx.doi.org/10.1007/978-3-031-32894-7_5")</f>
        <v>http://dx.doi.org/10.1007/978-3-031-32894-7_5</v>
      </c>
      <c r="BG274" t="s">
        <v>74</v>
      </c>
      <c r="BH274" t="s">
        <v>74</v>
      </c>
      <c r="BI274">
        <v>9</v>
      </c>
      <c r="BJ274" t="s">
        <v>98</v>
      </c>
      <c r="BK274" t="s">
        <v>183</v>
      </c>
      <c r="BL274" t="s">
        <v>100</v>
      </c>
      <c r="BM274" t="s">
        <v>5785</v>
      </c>
      <c r="BN274" t="s">
        <v>74</v>
      </c>
      <c r="BO274" t="s">
        <v>74</v>
      </c>
      <c r="BP274" t="s">
        <v>74</v>
      </c>
      <c r="BQ274" t="s">
        <v>74</v>
      </c>
      <c r="BR274" t="s">
        <v>102</v>
      </c>
      <c r="BS274" t="s">
        <v>5786</v>
      </c>
      <c r="BT274" t="str">
        <f>HYPERLINK("https%3A%2F%2Fwww.webofscience.com%2Fwos%2Fwoscc%2Ffull-record%2FWOS:001342456600005","View Full Record in Web of Science")</f>
        <v>View Full Record in Web of Science</v>
      </c>
    </row>
    <row r="275" spans="1:72" x14ac:dyDescent="0.25">
      <c r="A275" t="s">
        <v>132</v>
      </c>
      <c r="B275" t="s">
        <v>5787</v>
      </c>
      <c r="C275" t="s">
        <v>74</v>
      </c>
      <c r="D275" t="s">
        <v>5788</v>
      </c>
      <c r="E275" t="s">
        <v>74</v>
      </c>
      <c r="F275" t="s">
        <v>5789</v>
      </c>
      <c r="G275" t="s">
        <v>74</v>
      </c>
      <c r="H275" t="s">
        <v>74</v>
      </c>
      <c r="I275" t="s">
        <v>5790</v>
      </c>
      <c r="J275" t="s">
        <v>5791</v>
      </c>
      <c r="K275" t="s">
        <v>5792</v>
      </c>
      <c r="L275" t="s">
        <v>74</v>
      </c>
      <c r="M275" t="s">
        <v>78</v>
      </c>
      <c r="N275" t="s">
        <v>138</v>
      </c>
      <c r="O275" t="s">
        <v>5793</v>
      </c>
      <c r="P275" t="s">
        <v>5794</v>
      </c>
      <c r="Q275" t="s">
        <v>5795</v>
      </c>
      <c r="R275" t="s">
        <v>5796</v>
      </c>
      <c r="S275" t="s">
        <v>74</v>
      </c>
      <c r="T275" t="s">
        <v>5797</v>
      </c>
      <c r="U275" t="s">
        <v>74</v>
      </c>
      <c r="V275" t="s">
        <v>5798</v>
      </c>
      <c r="W275" t="s">
        <v>5799</v>
      </c>
      <c r="X275" t="s">
        <v>4147</v>
      </c>
      <c r="Y275" t="s">
        <v>5800</v>
      </c>
      <c r="Z275" t="s">
        <v>5801</v>
      </c>
      <c r="AA275" t="s">
        <v>74</v>
      </c>
      <c r="AB275" t="s">
        <v>74</v>
      </c>
      <c r="AC275" t="s">
        <v>74</v>
      </c>
      <c r="AD275" t="s">
        <v>74</v>
      </c>
      <c r="AE275" t="s">
        <v>74</v>
      </c>
      <c r="AF275" t="s">
        <v>74</v>
      </c>
      <c r="AG275">
        <v>29</v>
      </c>
      <c r="AH275">
        <v>0</v>
      </c>
      <c r="AI275">
        <v>0</v>
      </c>
      <c r="AJ275">
        <v>1</v>
      </c>
      <c r="AK275">
        <v>1</v>
      </c>
      <c r="AL275" t="s">
        <v>771</v>
      </c>
      <c r="AM275" t="s">
        <v>151</v>
      </c>
      <c r="AN275" t="s">
        <v>785</v>
      </c>
      <c r="AO275" t="s">
        <v>5802</v>
      </c>
      <c r="AP275" t="s">
        <v>74</v>
      </c>
      <c r="AQ275" t="s">
        <v>5803</v>
      </c>
      <c r="AR275" t="s">
        <v>5804</v>
      </c>
      <c r="AS275" t="s">
        <v>74</v>
      </c>
      <c r="AT275" t="s">
        <v>74</v>
      </c>
      <c r="AU275">
        <v>2024</v>
      </c>
      <c r="AV275" t="s">
        <v>74</v>
      </c>
      <c r="AW275" t="s">
        <v>74</v>
      </c>
      <c r="AX275" t="s">
        <v>74</v>
      </c>
      <c r="AY275" t="s">
        <v>74</v>
      </c>
      <c r="AZ275" t="s">
        <v>74</v>
      </c>
      <c r="BA275" t="s">
        <v>74</v>
      </c>
      <c r="BB275" t="s">
        <v>74</v>
      </c>
      <c r="BC275" t="s">
        <v>74</v>
      </c>
      <c r="BD275" t="s">
        <v>74</v>
      </c>
      <c r="BE275" t="s">
        <v>5805</v>
      </c>
      <c r="BF275" t="str">
        <f>HYPERLINK("http://dx.doi.org/10.1109/BRAINS63024.2024.10732060","http://dx.doi.org/10.1109/BRAINS63024.2024.10732060")</f>
        <v>http://dx.doi.org/10.1109/BRAINS63024.2024.10732060</v>
      </c>
      <c r="BG275" t="s">
        <v>74</v>
      </c>
      <c r="BH275" t="s">
        <v>74</v>
      </c>
      <c r="BI275">
        <v>9</v>
      </c>
      <c r="BJ275" t="s">
        <v>5806</v>
      </c>
      <c r="BK275" t="s">
        <v>156</v>
      </c>
      <c r="BL275" t="s">
        <v>2648</v>
      </c>
      <c r="BM275" t="s">
        <v>5807</v>
      </c>
      <c r="BN275" t="s">
        <v>74</v>
      </c>
      <c r="BO275" t="s">
        <v>74</v>
      </c>
      <c r="BP275" t="s">
        <v>74</v>
      </c>
      <c r="BQ275" t="s">
        <v>74</v>
      </c>
      <c r="BR275" t="s">
        <v>102</v>
      </c>
      <c r="BS275" t="s">
        <v>5808</v>
      </c>
      <c r="BT275" t="str">
        <f>HYPERLINK("https%3A%2F%2Fwww.webofscience.com%2Fwos%2Fwoscc%2Ffull-record%2FWOS:001424424300002","View Full Record in Web of Science")</f>
        <v>View Full Record in Web of Science</v>
      </c>
    </row>
    <row r="276" spans="1:72" x14ac:dyDescent="0.25">
      <c r="A276" t="s">
        <v>72</v>
      </c>
      <c r="B276" t="s">
        <v>5809</v>
      </c>
      <c r="C276" t="s">
        <v>74</v>
      </c>
      <c r="D276" t="s">
        <v>74</v>
      </c>
      <c r="E276" t="s">
        <v>74</v>
      </c>
      <c r="F276" t="s">
        <v>5810</v>
      </c>
      <c r="G276" t="s">
        <v>74</v>
      </c>
      <c r="H276" t="s">
        <v>74</v>
      </c>
      <c r="I276" t="s">
        <v>5811</v>
      </c>
      <c r="J276" t="s">
        <v>5812</v>
      </c>
      <c r="K276" t="s">
        <v>74</v>
      </c>
      <c r="L276" t="s">
        <v>74</v>
      </c>
      <c r="M276" t="s">
        <v>78</v>
      </c>
      <c r="N276" t="s">
        <v>372</v>
      </c>
      <c r="O276" t="s">
        <v>74</v>
      </c>
      <c r="P276" t="s">
        <v>74</v>
      </c>
      <c r="Q276" t="s">
        <v>74</v>
      </c>
      <c r="R276" t="s">
        <v>74</v>
      </c>
      <c r="S276" t="s">
        <v>74</v>
      </c>
      <c r="T276" t="s">
        <v>5813</v>
      </c>
      <c r="U276" t="s">
        <v>5814</v>
      </c>
      <c r="V276" t="s">
        <v>5815</v>
      </c>
      <c r="W276" t="s">
        <v>5816</v>
      </c>
      <c r="X276" t="s">
        <v>74</v>
      </c>
      <c r="Y276" t="s">
        <v>5817</v>
      </c>
      <c r="Z276" t="s">
        <v>5818</v>
      </c>
      <c r="AA276" t="s">
        <v>74</v>
      </c>
      <c r="AB276" t="s">
        <v>5819</v>
      </c>
      <c r="AC276" t="s">
        <v>74</v>
      </c>
      <c r="AD276" t="s">
        <v>74</v>
      </c>
      <c r="AE276" t="s">
        <v>74</v>
      </c>
      <c r="AF276" t="s">
        <v>74</v>
      </c>
      <c r="AG276">
        <v>50</v>
      </c>
      <c r="AH276">
        <v>1</v>
      </c>
      <c r="AI276">
        <v>3</v>
      </c>
      <c r="AJ276">
        <v>0</v>
      </c>
      <c r="AK276">
        <v>7</v>
      </c>
      <c r="AL276" t="s">
        <v>332</v>
      </c>
      <c r="AM276" t="s">
        <v>333</v>
      </c>
      <c r="AN276" t="s">
        <v>334</v>
      </c>
      <c r="AO276" t="s">
        <v>5820</v>
      </c>
      <c r="AP276" t="s">
        <v>5821</v>
      </c>
      <c r="AQ276" t="s">
        <v>74</v>
      </c>
      <c r="AR276" t="s">
        <v>5822</v>
      </c>
      <c r="AS276" t="s">
        <v>5823</v>
      </c>
      <c r="AT276" t="s">
        <v>5824</v>
      </c>
      <c r="AU276">
        <v>2022</v>
      </c>
      <c r="AV276" t="s">
        <v>74</v>
      </c>
      <c r="AW276" t="s">
        <v>74</v>
      </c>
      <c r="AX276" t="s">
        <v>74</v>
      </c>
      <c r="AY276" t="s">
        <v>74</v>
      </c>
      <c r="AZ276" t="s">
        <v>74</v>
      </c>
      <c r="BA276" t="s">
        <v>74</v>
      </c>
      <c r="BB276" t="s">
        <v>74</v>
      </c>
      <c r="BC276" t="s">
        <v>74</v>
      </c>
      <c r="BD276" t="s">
        <v>74</v>
      </c>
      <c r="BE276" t="s">
        <v>5825</v>
      </c>
      <c r="BF276" t="str">
        <f>HYPERLINK("http://dx.doi.org/10.1080/1331677X.2022.2142806","http://dx.doi.org/10.1080/1331677X.2022.2142806")</f>
        <v>http://dx.doi.org/10.1080/1331677X.2022.2142806</v>
      </c>
      <c r="BG276" t="s">
        <v>74</v>
      </c>
      <c r="BH276" t="s">
        <v>3050</v>
      </c>
      <c r="BI276">
        <v>13</v>
      </c>
      <c r="BJ276" t="s">
        <v>291</v>
      </c>
      <c r="BK276" t="s">
        <v>99</v>
      </c>
      <c r="BL276" t="s">
        <v>100</v>
      </c>
      <c r="BM276" t="s">
        <v>5826</v>
      </c>
      <c r="BN276" t="s">
        <v>74</v>
      </c>
      <c r="BO276" t="s">
        <v>270</v>
      </c>
      <c r="BP276" t="s">
        <v>74</v>
      </c>
      <c r="BQ276" t="s">
        <v>74</v>
      </c>
      <c r="BR276" t="s">
        <v>102</v>
      </c>
      <c r="BS276" t="s">
        <v>5827</v>
      </c>
      <c r="BT276" t="str">
        <f>HYPERLINK("https%3A%2F%2Fwww.webofscience.com%2Fwos%2Fwoscc%2Ffull-record%2FWOS:000882908700001","View Full Record in Web of Science")</f>
        <v>View Full Record in Web of Science</v>
      </c>
    </row>
    <row r="277" spans="1:72" x14ac:dyDescent="0.25">
      <c r="A277" t="s">
        <v>132</v>
      </c>
      <c r="B277" t="s">
        <v>5828</v>
      </c>
      <c r="C277" t="s">
        <v>74</v>
      </c>
      <c r="D277" t="s">
        <v>5829</v>
      </c>
      <c r="E277" t="s">
        <v>74</v>
      </c>
      <c r="F277" t="s">
        <v>5830</v>
      </c>
      <c r="G277" t="s">
        <v>74</v>
      </c>
      <c r="H277" t="s">
        <v>74</v>
      </c>
      <c r="I277" t="s">
        <v>5831</v>
      </c>
      <c r="J277" t="s">
        <v>5832</v>
      </c>
      <c r="K277" t="s">
        <v>5833</v>
      </c>
      <c r="L277" t="s">
        <v>74</v>
      </c>
      <c r="M277" t="s">
        <v>78</v>
      </c>
      <c r="N277" t="s">
        <v>138</v>
      </c>
      <c r="O277" t="s">
        <v>5834</v>
      </c>
      <c r="P277" t="s">
        <v>5835</v>
      </c>
      <c r="Q277" t="s">
        <v>5836</v>
      </c>
      <c r="R277" t="s">
        <v>74</v>
      </c>
      <c r="S277" t="s">
        <v>74</v>
      </c>
      <c r="T277" t="s">
        <v>5837</v>
      </c>
      <c r="U277" t="s">
        <v>5838</v>
      </c>
      <c r="V277" t="s">
        <v>5839</v>
      </c>
      <c r="W277" t="s">
        <v>5840</v>
      </c>
      <c r="X277" t="s">
        <v>5841</v>
      </c>
      <c r="Y277" t="s">
        <v>5842</v>
      </c>
      <c r="Z277" t="s">
        <v>5843</v>
      </c>
      <c r="AA277" t="s">
        <v>5844</v>
      </c>
      <c r="AB277" t="s">
        <v>5845</v>
      </c>
      <c r="AC277" t="s">
        <v>5846</v>
      </c>
      <c r="AD277" t="s">
        <v>5847</v>
      </c>
      <c r="AE277" t="s">
        <v>5848</v>
      </c>
      <c r="AF277" t="s">
        <v>74</v>
      </c>
      <c r="AG277">
        <v>23</v>
      </c>
      <c r="AH277">
        <v>1</v>
      </c>
      <c r="AI277">
        <v>1</v>
      </c>
      <c r="AJ277">
        <v>0</v>
      </c>
      <c r="AK277">
        <v>0</v>
      </c>
      <c r="AL277" t="s">
        <v>1062</v>
      </c>
      <c r="AM277" t="s">
        <v>667</v>
      </c>
      <c r="AN277" t="s">
        <v>668</v>
      </c>
      <c r="AO277" t="s">
        <v>5849</v>
      </c>
      <c r="AP277" t="s">
        <v>5850</v>
      </c>
      <c r="AQ277" t="s">
        <v>5851</v>
      </c>
      <c r="AR277" t="s">
        <v>5852</v>
      </c>
      <c r="AS277" t="s">
        <v>74</v>
      </c>
      <c r="AT277" t="s">
        <v>74</v>
      </c>
      <c r="AU277">
        <v>2019</v>
      </c>
      <c r="AV277">
        <v>341</v>
      </c>
      <c r="AW277" t="s">
        <v>74</v>
      </c>
      <c r="AX277" t="s">
        <v>74</v>
      </c>
      <c r="AY277" t="s">
        <v>74</v>
      </c>
      <c r="AZ277" t="s">
        <v>74</v>
      </c>
      <c r="BA277" t="s">
        <v>74</v>
      </c>
      <c r="BB277">
        <v>211</v>
      </c>
      <c r="BC277">
        <v>224</v>
      </c>
      <c r="BD277" t="s">
        <v>74</v>
      </c>
      <c r="BE277" t="s">
        <v>5853</v>
      </c>
      <c r="BF277" t="str">
        <f>HYPERLINK("http://dx.doi.org/10.1007/978-3-030-11395-7_19","http://dx.doi.org/10.1007/978-3-030-11395-7_19")</f>
        <v>http://dx.doi.org/10.1007/978-3-030-11395-7_19</v>
      </c>
      <c r="BG277" t="s">
        <v>74</v>
      </c>
      <c r="BH277" t="s">
        <v>74</v>
      </c>
      <c r="BI277">
        <v>14</v>
      </c>
      <c r="BJ277" t="s">
        <v>5854</v>
      </c>
      <c r="BK277" t="s">
        <v>156</v>
      </c>
      <c r="BL277" t="s">
        <v>157</v>
      </c>
      <c r="BM277" t="s">
        <v>5855</v>
      </c>
      <c r="BN277" t="s">
        <v>74</v>
      </c>
      <c r="BO277" t="s">
        <v>74</v>
      </c>
      <c r="BP277" t="s">
        <v>74</v>
      </c>
      <c r="BQ277" t="s">
        <v>74</v>
      </c>
      <c r="BR277" t="s">
        <v>102</v>
      </c>
      <c r="BS277" t="s">
        <v>5856</v>
      </c>
      <c r="BT277" t="str">
        <f>HYPERLINK("https%3A%2F%2Fwww.webofscience.com%2Fwos%2Fwoscc%2Ffull-record%2FWOS:001308337900019","View Full Record in Web of Science")</f>
        <v>View Full Record in Web of Science</v>
      </c>
    </row>
    <row r="278" spans="1:72" x14ac:dyDescent="0.25">
      <c r="A278" t="s">
        <v>72</v>
      </c>
      <c r="B278" t="s">
        <v>5857</v>
      </c>
      <c r="C278" t="s">
        <v>74</v>
      </c>
      <c r="D278" t="s">
        <v>74</v>
      </c>
      <c r="E278" t="s">
        <v>74</v>
      </c>
      <c r="F278" t="s">
        <v>5858</v>
      </c>
      <c r="G278" t="s">
        <v>74</v>
      </c>
      <c r="H278" t="s">
        <v>74</v>
      </c>
      <c r="I278" t="s">
        <v>5859</v>
      </c>
      <c r="J278" t="s">
        <v>3231</v>
      </c>
      <c r="K278" t="s">
        <v>74</v>
      </c>
      <c r="L278" t="s">
        <v>74</v>
      </c>
      <c r="M278" t="s">
        <v>78</v>
      </c>
      <c r="N278" t="s">
        <v>79</v>
      </c>
      <c r="O278" t="s">
        <v>74</v>
      </c>
      <c r="P278" t="s">
        <v>74</v>
      </c>
      <c r="Q278" t="s">
        <v>74</v>
      </c>
      <c r="R278" t="s">
        <v>74</v>
      </c>
      <c r="S278" t="s">
        <v>74</v>
      </c>
      <c r="T278" t="s">
        <v>5860</v>
      </c>
      <c r="U278" t="s">
        <v>5861</v>
      </c>
      <c r="V278" t="s">
        <v>5862</v>
      </c>
      <c r="W278" t="s">
        <v>5863</v>
      </c>
      <c r="X278" t="s">
        <v>5864</v>
      </c>
      <c r="Y278" t="s">
        <v>5865</v>
      </c>
      <c r="Z278" t="s">
        <v>5866</v>
      </c>
      <c r="AA278" t="s">
        <v>5867</v>
      </c>
      <c r="AB278" t="s">
        <v>5868</v>
      </c>
      <c r="AC278" t="s">
        <v>5869</v>
      </c>
      <c r="AD278" t="s">
        <v>5870</v>
      </c>
      <c r="AE278" t="s">
        <v>5871</v>
      </c>
      <c r="AF278" t="s">
        <v>74</v>
      </c>
      <c r="AG278">
        <v>82</v>
      </c>
      <c r="AH278">
        <v>17</v>
      </c>
      <c r="AI278">
        <v>26</v>
      </c>
      <c r="AJ278">
        <v>0</v>
      </c>
      <c r="AK278">
        <v>19</v>
      </c>
      <c r="AL278" t="s">
        <v>575</v>
      </c>
      <c r="AM278" t="s">
        <v>576</v>
      </c>
      <c r="AN278" t="s">
        <v>3242</v>
      </c>
      <c r="AO278" t="s">
        <v>74</v>
      </c>
      <c r="AP278" t="s">
        <v>3243</v>
      </c>
      <c r="AQ278" t="s">
        <v>74</v>
      </c>
      <c r="AR278" t="s">
        <v>3244</v>
      </c>
      <c r="AS278" t="s">
        <v>3245</v>
      </c>
      <c r="AT278" t="s">
        <v>237</v>
      </c>
      <c r="AU278">
        <v>2023</v>
      </c>
      <c r="AV278">
        <v>15</v>
      </c>
      <c r="AW278">
        <v>4</v>
      </c>
      <c r="AX278" t="s">
        <v>74</v>
      </c>
      <c r="AY278" t="s">
        <v>74</v>
      </c>
      <c r="AZ278" t="s">
        <v>74</v>
      </c>
      <c r="BA278" t="s">
        <v>74</v>
      </c>
      <c r="BB278" t="s">
        <v>74</v>
      </c>
      <c r="BC278" t="s">
        <v>74</v>
      </c>
      <c r="BD278">
        <v>2963</v>
      </c>
      <c r="BE278" t="s">
        <v>5872</v>
      </c>
      <c r="BF278" t="str">
        <f>HYPERLINK("http://dx.doi.org/10.3390/su15042963","http://dx.doi.org/10.3390/su15042963")</f>
        <v>http://dx.doi.org/10.3390/su15042963</v>
      </c>
      <c r="BG278" t="s">
        <v>74</v>
      </c>
      <c r="BH278" t="s">
        <v>74</v>
      </c>
      <c r="BI278">
        <v>24</v>
      </c>
      <c r="BJ278" t="s">
        <v>3247</v>
      </c>
      <c r="BK278" t="s">
        <v>2623</v>
      </c>
      <c r="BL278" t="s">
        <v>3248</v>
      </c>
      <c r="BM278" t="s">
        <v>5873</v>
      </c>
      <c r="BN278" t="s">
        <v>74</v>
      </c>
      <c r="BO278" t="s">
        <v>916</v>
      </c>
      <c r="BP278" t="s">
        <v>74</v>
      </c>
      <c r="BQ278" t="s">
        <v>74</v>
      </c>
      <c r="BR278" t="s">
        <v>102</v>
      </c>
      <c r="BS278" t="s">
        <v>5874</v>
      </c>
      <c r="BT278" t="str">
        <f>HYPERLINK("https%3A%2F%2Fwww.webofscience.com%2Fwos%2Fwoscc%2Ffull-record%2FWOS:000942061200001","View Full Record in Web of Science")</f>
        <v>View Full Record in Web of Science</v>
      </c>
    </row>
    <row r="279" spans="1:72" x14ac:dyDescent="0.25">
      <c r="A279" t="s">
        <v>72</v>
      </c>
      <c r="B279" t="s">
        <v>5875</v>
      </c>
      <c r="C279" t="s">
        <v>74</v>
      </c>
      <c r="D279" t="s">
        <v>74</v>
      </c>
      <c r="E279" t="s">
        <v>74</v>
      </c>
      <c r="F279" t="s">
        <v>5876</v>
      </c>
      <c r="G279" t="s">
        <v>74</v>
      </c>
      <c r="H279" t="s">
        <v>74</v>
      </c>
      <c r="I279" t="s">
        <v>5877</v>
      </c>
      <c r="J279" t="s">
        <v>5878</v>
      </c>
      <c r="K279" t="s">
        <v>74</v>
      </c>
      <c r="L279" t="s">
        <v>74</v>
      </c>
      <c r="M279" t="s">
        <v>5879</v>
      </c>
      <c r="N279" t="s">
        <v>79</v>
      </c>
      <c r="O279" t="s">
        <v>74</v>
      </c>
      <c r="P279" t="s">
        <v>74</v>
      </c>
      <c r="Q279" t="s">
        <v>74</v>
      </c>
      <c r="R279" t="s">
        <v>74</v>
      </c>
      <c r="S279" t="s">
        <v>74</v>
      </c>
      <c r="T279" t="s">
        <v>5880</v>
      </c>
      <c r="U279" t="s">
        <v>5881</v>
      </c>
      <c r="V279" t="s">
        <v>5882</v>
      </c>
      <c r="W279" t="s">
        <v>5883</v>
      </c>
      <c r="X279" t="s">
        <v>74</v>
      </c>
      <c r="Y279" t="s">
        <v>5884</v>
      </c>
      <c r="Z279" t="s">
        <v>74</v>
      </c>
      <c r="AA279" t="s">
        <v>74</v>
      </c>
      <c r="AB279" t="s">
        <v>74</v>
      </c>
      <c r="AC279" t="s">
        <v>74</v>
      </c>
      <c r="AD279" t="s">
        <v>74</v>
      </c>
      <c r="AE279" t="s">
        <v>74</v>
      </c>
      <c r="AF279" t="s">
        <v>74</v>
      </c>
      <c r="AG279">
        <v>35</v>
      </c>
      <c r="AH279">
        <v>0</v>
      </c>
      <c r="AI279">
        <v>0</v>
      </c>
      <c r="AJ279">
        <v>0</v>
      </c>
      <c r="AK279">
        <v>11</v>
      </c>
      <c r="AL279" t="s">
        <v>5885</v>
      </c>
      <c r="AM279" t="s">
        <v>5886</v>
      </c>
      <c r="AN279" t="s">
        <v>5887</v>
      </c>
      <c r="AO279" t="s">
        <v>5888</v>
      </c>
      <c r="AP279" t="s">
        <v>5889</v>
      </c>
      <c r="AQ279" t="s">
        <v>74</v>
      </c>
      <c r="AR279" t="s">
        <v>5890</v>
      </c>
      <c r="AS279" t="s">
        <v>5891</v>
      </c>
      <c r="AT279" t="s">
        <v>5892</v>
      </c>
      <c r="AU279">
        <v>2022</v>
      </c>
      <c r="AV279">
        <v>22</v>
      </c>
      <c r="AW279">
        <v>3</v>
      </c>
      <c r="AX279" t="s">
        <v>74</v>
      </c>
      <c r="AY279" t="s">
        <v>74</v>
      </c>
      <c r="AZ279" t="s">
        <v>74</v>
      </c>
      <c r="BA279" t="s">
        <v>74</v>
      </c>
      <c r="BB279">
        <v>174</v>
      </c>
      <c r="BC279">
        <v>193</v>
      </c>
      <c r="BD279" t="s">
        <v>74</v>
      </c>
      <c r="BE279" t="s">
        <v>5893</v>
      </c>
      <c r="BF279" t="str">
        <f>HYPERLINK("http://dx.doi.org/10.20397/2177-6652/2022.v22i3.1942","http://dx.doi.org/10.20397/2177-6652/2022.v22i3.1942")</f>
        <v>http://dx.doi.org/10.20397/2177-6652/2022.v22i3.1942</v>
      </c>
      <c r="BG279" t="s">
        <v>74</v>
      </c>
      <c r="BH279" t="s">
        <v>74</v>
      </c>
      <c r="BI279">
        <v>20</v>
      </c>
      <c r="BJ279" t="s">
        <v>583</v>
      </c>
      <c r="BK279" t="s">
        <v>313</v>
      </c>
      <c r="BL279" t="s">
        <v>100</v>
      </c>
      <c r="BM279" t="s">
        <v>5894</v>
      </c>
      <c r="BN279" t="s">
        <v>74</v>
      </c>
      <c r="BO279" t="s">
        <v>212</v>
      </c>
      <c r="BP279" t="s">
        <v>74</v>
      </c>
      <c r="BQ279" t="s">
        <v>74</v>
      </c>
      <c r="BR279" t="s">
        <v>102</v>
      </c>
      <c r="BS279" t="s">
        <v>5895</v>
      </c>
      <c r="BT279" t="str">
        <f>HYPERLINK("https%3A%2F%2Fwww.webofscience.com%2Fwos%2Fwoscc%2Ffull-record%2FWOS:000874746400008","View Full Record in Web of Science")</f>
        <v>View Full Record in Web of Science</v>
      </c>
    </row>
    <row r="280" spans="1:72" x14ac:dyDescent="0.25">
      <c r="A280" t="s">
        <v>72</v>
      </c>
      <c r="B280" t="s">
        <v>5896</v>
      </c>
      <c r="C280" t="s">
        <v>74</v>
      </c>
      <c r="D280" t="s">
        <v>74</v>
      </c>
      <c r="E280" t="s">
        <v>74</v>
      </c>
      <c r="F280" t="s">
        <v>5897</v>
      </c>
      <c r="G280" t="s">
        <v>74</v>
      </c>
      <c r="H280" t="s">
        <v>74</v>
      </c>
      <c r="I280" t="s">
        <v>5898</v>
      </c>
      <c r="J280" t="s">
        <v>5899</v>
      </c>
      <c r="K280" t="s">
        <v>74</v>
      </c>
      <c r="L280" t="s">
        <v>74</v>
      </c>
      <c r="M280" t="s">
        <v>78</v>
      </c>
      <c r="N280" t="s">
        <v>79</v>
      </c>
      <c r="O280" t="s">
        <v>74</v>
      </c>
      <c r="P280" t="s">
        <v>74</v>
      </c>
      <c r="Q280" t="s">
        <v>74</v>
      </c>
      <c r="R280" t="s">
        <v>74</v>
      </c>
      <c r="S280" t="s">
        <v>74</v>
      </c>
      <c r="T280" t="s">
        <v>5900</v>
      </c>
      <c r="U280" t="s">
        <v>5901</v>
      </c>
      <c r="V280" t="s">
        <v>5902</v>
      </c>
      <c r="W280" t="s">
        <v>5903</v>
      </c>
      <c r="X280" t="s">
        <v>5904</v>
      </c>
      <c r="Y280" t="s">
        <v>5905</v>
      </c>
      <c r="Z280" t="s">
        <v>5906</v>
      </c>
      <c r="AA280" t="s">
        <v>74</v>
      </c>
      <c r="AB280" t="s">
        <v>5907</v>
      </c>
      <c r="AC280" t="s">
        <v>5908</v>
      </c>
      <c r="AD280" t="s">
        <v>5909</v>
      </c>
      <c r="AE280" t="s">
        <v>5910</v>
      </c>
      <c r="AF280" t="s">
        <v>74</v>
      </c>
      <c r="AG280">
        <v>48</v>
      </c>
      <c r="AH280">
        <v>4</v>
      </c>
      <c r="AI280">
        <v>6</v>
      </c>
      <c r="AJ280">
        <v>0</v>
      </c>
      <c r="AK280">
        <v>12</v>
      </c>
      <c r="AL280" t="s">
        <v>332</v>
      </c>
      <c r="AM280" t="s">
        <v>333</v>
      </c>
      <c r="AN280" t="s">
        <v>334</v>
      </c>
      <c r="AO280" t="s">
        <v>5911</v>
      </c>
      <c r="AP280" t="s">
        <v>5912</v>
      </c>
      <c r="AQ280" t="s">
        <v>74</v>
      </c>
      <c r="AR280" t="s">
        <v>5913</v>
      </c>
      <c r="AS280" t="s">
        <v>5914</v>
      </c>
      <c r="AT280" t="s">
        <v>5915</v>
      </c>
      <c r="AU280">
        <v>2024</v>
      </c>
      <c r="AV280">
        <v>50</v>
      </c>
      <c r="AW280">
        <v>10</v>
      </c>
      <c r="AX280" t="s">
        <v>74</v>
      </c>
      <c r="AY280" t="s">
        <v>74</v>
      </c>
      <c r="AZ280" t="s">
        <v>74</v>
      </c>
      <c r="BA280" t="s">
        <v>74</v>
      </c>
      <c r="BB280">
        <v>2529</v>
      </c>
      <c r="BC280">
        <v>2550</v>
      </c>
      <c r="BD280" t="s">
        <v>74</v>
      </c>
      <c r="BE280" t="s">
        <v>5916</v>
      </c>
      <c r="BF280" t="str">
        <f>HYPERLINK("http://dx.doi.org/10.1080/1369183X.2023.2278413","http://dx.doi.org/10.1080/1369183X.2023.2278413")</f>
        <v>http://dx.doi.org/10.1080/1369183X.2023.2278413</v>
      </c>
      <c r="BG280" t="s">
        <v>74</v>
      </c>
      <c r="BH280" t="s">
        <v>3535</v>
      </c>
      <c r="BI280">
        <v>22</v>
      </c>
      <c r="BJ280" t="s">
        <v>5917</v>
      </c>
      <c r="BK280" t="s">
        <v>99</v>
      </c>
      <c r="BL280" t="s">
        <v>5917</v>
      </c>
      <c r="BM280" t="s">
        <v>5918</v>
      </c>
      <c r="BN280" t="s">
        <v>74</v>
      </c>
      <c r="BO280" t="s">
        <v>2783</v>
      </c>
      <c r="BP280" t="s">
        <v>74</v>
      </c>
      <c r="BQ280" t="s">
        <v>74</v>
      </c>
      <c r="BR280" t="s">
        <v>102</v>
      </c>
      <c r="BS280" t="s">
        <v>5919</v>
      </c>
      <c r="BT280" t="str">
        <f>HYPERLINK("https%3A%2F%2Fwww.webofscience.com%2Fwos%2Fwoscc%2Ffull-record%2FWOS:001097861300001","View Full Record in Web of Science")</f>
        <v>View Full Record in Web of Science</v>
      </c>
    </row>
    <row r="281" spans="1:72" x14ac:dyDescent="0.25">
      <c r="A281" t="s">
        <v>72</v>
      </c>
      <c r="B281" t="s">
        <v>5920</v>
      </c>
      <c r="C281" t="s">
        <v>74</v>
      </c>
      <c r="D281" t="s">
        <v>74</v>
      </c>
      <c r="E281" t="s">
        <v>74</v>
      </c>
      <c r="F281" t="s">
        <v>5921</v>
      </c>
      <c r="G281" t="s">
        <v>74</v>
      </c>
      <c r="H281" t="s">
        <v>74</v>
      </c>
      <c r="I281" t="s">
        <v>5922</v>
      </c>
      <c r="J281" t="s">
        <v>2309</v>
      </c>
      <c r="K281" t="s">
        <v>74</v>
      </c>
      <c r="L281" t="s">
        <v>74</v>
      </c>
      <c r="M281" t="s">
        <v>78</v>
      </c>
      <c r="N281" t="s">
        <v>79</v>
      </c>
      <c r="O281" t="s">
        <v>74</v>
      </c>
      <c r="P281" t="s">
        <v>74</v>
      </c>
      <c r="Q281" t="s">
        <v>74</v>
      </c>
      <c r="R281" t="s">
        <v>74</v>
      </c>
      <c r="S281" t="s">
        <v>74</v>
      </c>
      <c r="T281" t="s">
        <v>74</v>
      </c>
      <c r="U281" t="s">
        <v>5923</v>
      </c>
      <c r="V281" t="s">
        <v>5924</v>
      </c>
      <c r="W281" t="s">
        <v>5925</v>
      </c>
      <c r="X281" t="s">
        <v>5926</v>
      </c>
      <c r="Y281" t="s">
        <v>5927</v>
      </c>
      <c r="Z281" t="s">
        <v>5928</v>
      </c>
      <c r="AA281" t="s">
        <v>5929</v>
      </c>
      <c r="AB281" t="s">
        <v>5930</v>
      </c>
      <c r="AC281" t="s">
        <v>74</v>
      </c>
      <c r="AD281" t="s">
        <v>74</v>
      </c>
      <c r="AE281" t="s">
        <v>74</v>
      </c>
      <c r="AF281" t="s">
        <v>74</v>
      </c>
      <c r="AG281">
        <v>64</v>
      </c>
      <c r="AH281">
        <v>22</v>
      </c>
      <c r="AI281">
        <v>31</v>
      </c>
      <c r="AJ281">
        <v>1</v>
      </c>
      <c r="AK281">
        <v>20</v>
      </c>
      <c r="AL281" t="s">
        <v>332</v>
      </c>
      <c r="AM281" t="s">
        <v>333</v>
      </c>
      <c r="AN281" t="s">
        <v>334</v>
      </c>
      <c r="AO281" t="s">
        <v>2322</v>
      </c>
      <c r="AP281" t="s">
        <v>2323</v>
      </c>
      <c r="AQ281" t="s">
        <v>74</v>
      </c>
      <c r="AR281" t="s">
        <v>2324</v>
      </c>
      <c r="AS281" t="s">
        <v>2325</v>
      </c>
      <c r="AT281" t="s">
        <v>1427</v>
      </c>
      <c r="AU281">
        <v>2020</v>
      </c>
      <c r="AV281">
        <v>56</v>
      </c>
      <c r="AW281">
        <v>1</v>
      </c>
      <c r="AX281" t="s">
        <v>74</v>
      </c>
      <c r="AY281" t="s">
        <v>74</v>
      </c>
      <c r="AZ281" t="s">
        <v>74</v>
      </c>
      <c r="BA281" t="s">
        <v>74</v>
      </c>
      <c r="BB281">
        <v>151</v>
      </c>
      <c r="BC281">
        <v>168</v>
      </c>
      <c r="BD281" t="s">
        <v>74</v>
      </c>
      <c r="BE281" t="s">
        <v>5931</v>
      </c>
      <c r="BF281" t="str">
        <f>HYPERLINK("http://dx.doi.org/10.1080/00220388.2018.1546845","http://dx.doi.org/10.1080/00220388.2018.1546845")</f>
        <v>http://dx.doi.org/10.1080/00220388.2018.1546845</v>
      </c>
      <c r="BG281" t="s">
        <v>74</v>
      </c>
      <c r="BH281" t="s">
        <v>74</v>
      </c>
      <c r="BI281">
        <v>18</v>
      </c>
      <c r="BJ281" t="s">
        <v>701</v>
      </c>
      <c r="BK281" t="s">
        <v>99</v>
      </c>
      <c r="BL281" t="s">
        <v>702</v>
      </c>
      <c r="BM281" t="s">
        <v>5932</v>
      </c>
      <c r="BN281" t="s">
        <v>74</v>
      </c>
      <c r="BO281" t="s">
        <v>466</v>
      </c>
      <c r="BP281" t="s">
        <v>74</v>
      </c>
      <c r="BQ281" t="s">
        <v>74</v>
      </c>
      <c r="BR281" t="s">
        <v>102</v>
      </c>
      <c r="BS281" t="s">
        <v>5933</v>
      </c>
      <c r="BT281" t="str">
        <f>HYPERLINK("https%3A%2F%2Fwww.webofscience.com%2Fwos%2Fwoscc%2Ffull-record%2FWOS:000501355500001","View Full Record in Web of Science")</f>
        <v>View Full Record in Web of Science</v>
      </c>
    </row>
    <row r="282" spans="1:72" x14ac:dyDescent="0.25">
      <c r="A282" t="s">
        <v>72</v>
      </c>
      <c r="B282" t="s">
        <v>5934</v>
      </c>
      <c r="C282" t="s">
        <v>74</v>
      </c>
      <c r="D282" t="s">
        <v>74</v>
      </c>
      <c r="E282" t="s">
        <v>74</v>
      </c>
      <c r="F282" t="s">
        <v>5935</v>
      </c>
      <c r="G282" t="s">
        <v>74</v>
      </c>
      <c r="H282" t="s">
        <v>74</v>
      </c>
      <c r="I282" t="s">
        <v>5936</v>
      </c>
      <c r="J282" t="s">
        <v>5937</v>
      </c>
      <c r="K282" t="s">
        <v>74</v>
      </c>
      <c r="L282" t="s">
        <v>74</v>
      </c>
      <c r="M282" t="s">
        <v>78</v>
      </c>
      <c r="N282" t="s">
        <v>372</v>
      </c>
      <c r="O282" t="s">
        <v>74</v>
      </c>
      <c r="P282" t="s">
        <v>74</v>
      </c>
      <c r="Q282" t="s">
        <v>74</v>
      </c>
      <c r="R282" t="s">
        <v>74</v>
      </c>
      <c r="S282" t="s">
        <v>74</v>
      </c>
      <c r="T282" t="s">
        <v>5938</v>
      </c>
      <c r="U282" t="s">
        <v>5939</v>
      </c>
      <c r="V282" t="s">
        <v>5940</v>
      </c>
      <c r="W282" t="s">
        <v>5941</v>
      </c>
      <c r="X282" t="s">
        <v>5942</v>
      </c>
      <c r="Y282" t="s">
        <v>5943</v>
      </c>
      <c r="Z282" t="s">
        <v>5944</v>
      </c>
      <c r="AA282" t="s">
        <v>5945</v>
      </c>
      <c r="AB282" t="s">
        <v>74</v>
      </c>
      <c r="AC282" t="s">
        <v>74</v>
      </c>
      <c r="AD282" t="s">
        <v>74</v>
      </c>
      <c r="AE282" t="s">
        <v>74</v>
      </c>
      <c r="AF282" t="s">
        <v>74</v>
      </c>
      <c r="AG282">
        <v>55</v>
      </c>
      <c r="AH282">
        <v>0</v>
      </c>
      <c r="AI282">
        <v>0</v>
      </c>
      <c r="AJ282">
        <v>0</v>
      </c>
      <c r="AK282">
        <v>0</v>
      </c>
      <c r="AL282" t="s">
        <v>89</v>
      </c>
      <c r="AM282" t="s">
        <v>90</v>
      </c>
      <c r="AN282" t="s">
        <v>91</v>
      </c>
      <c r="AO282" t="s">
        <v>5946</v>
      </c>
      <c r="AP282" t="s">
        <v>5947</v>
      </c>
      <c r="AQ282" t="s">
        <v>74</v>
      </c>
      <c r="AR282" t="s">
        <v>5948</v>
      </c>
      <c r="AS282" t="s">
        <v>5949</v>
      </c>
      <c r="AT282" t="s">
        <v>5950</v>
      </c>
      <c r="AU282">
        <v>2026</v>
      </c>
      <c r="AV282" t="s">
        <v>74</v>
      </c>
      <c r="AW282" t="s">
        <v>74</v>
      </c>
      <c r="AX282" t="s">
        <v>74</v>
      </c>
      <c r="AY282" t="s">
        <v>74</v>
      </c>
      <c r="AZ282" t="s">
        <v>74</v>
      </c>
      <c r="BA282" t="s">
        <v>74</v>
      </c>
      <c r="BB282" t="s">
        <v>74</v>
      </c>
      <c r="BC282" t="s">
        <v>74</v>
      </c>
      <c r="BD282" t="s">
        <v>74</v>
      </c>
      <c r="BE282" t="s">
        <v>5951</v>
      </c>
      <c r="BF282" t="str">
        <f>HYPERLINK("http://dx.doi.org/10.1108/JSTPM-05-2024-0155","http://dx.doi.org/10.1108/JSTPM-05-2024-0155")</f>
        <v>http://dx.doi.org/10.1108/JSTPM-05-2024-0155</v>
      </c>
      <c r="BG282" t="s">
        <v>74</v>
      </c>
      <c r="BH282" t="s">
        <v>5952</v>
      </c>
      <c r="BI282">
        <v>25</v>
      </c>
      <c r="BJ282" t="s">
        <v>583</v>
      </c>
      <c r="BK282" t="s">
        <v>313</v>
      </c>
      <c r="BL282" t="s">
        <v>100</v>
      </c>
      <c r="BM282" t="s">
        <v>5953</v>
      </c>
      <c r="BN282" t="s">
        <v>74</v>
      </c>
      <c r="BO282" t="s">
        <v>74</v>
      </c>
      <c r="BP282" t="s">
        <v>74</v>
      </c>
      <c r="BQ282" t="s">
        <v>74</v>
      </c>
      <c r="BR282" t="s">
        <v>102</v>
      </c>
      <c r="BS282" t="s">
        <v>5954</v>
      </c>
      <c r="BT282" t="str">
        <f>HYPERLINK("https%3A%2F%2Fwww.webofscience.com%2Fwos%2Fwoscc%2Ffull-record%2FWOS:001651562100001","View Full Record in Web of Science")</f>
        <v>View Full Record in Web of Science</v>
      </c>
    </row>
    <row r="283" spans="1:72" x14ac:dyDescent="0.25">
      <c r="A283" t="s">
        <v>72</v>
      </c>
      <c r="B283" t="s">
        <v>5955</v>
      </c>
      <c r="C283" t="s">
        <v>74</v>
      </c>
      <c r="D283" t="s">
        <v>74</v>
      </c>
      <c r="E283" t="s">
        <v>74</v>
      </c>
      <c r="F283" t="s">
        <v>5956</v>
      </c>
      <c r="G283" t="s">
        <v>74</v>
      </c>
      <c r="H283" t="s">
        <v>74</v>
      </c>
      <c r="I283" t="s">
        <v>5957</v>
      </c>
      <c r="J283" t="s">
        <v>5958</v>
      </c>
      <c r="K283" t="s">
        <v>74</v>
      </c>
      <c r="L283" t="s">
        <v>74</v>
      </c>
      <c r="M283" t="s">
        <v>78</v>
      </c>
      <c r="N283" t="s">
        <v>79</v>
      </c>
      <c r="O283" t="s">
        <v>74</v>
      </c>
      <c r="P283" t="s">
        <v>74</v>
      </c>
      <c r="Q283" t="s">
        <v>74</v>
      </c>
      <c r="R283" t="s">
        <v>74</v>
      </c>
      <c r="S283" t="s">
        <v>74</v>
      </c>
      <c r="T283" t="s">
        <v>5959</v>
      </c>
      <c r="U283" t="s">
        <v>5960</v>
      </c>
      <c r="V283" t="s">
        <v>5961</v>
      </c>
      <c r="W283" t="s">
        <v>5962</v>
      </c>
      <c r="X283" t="s">
        <v>5963</v>
      </c>
      <c r="Y283" t="s">
        <v>5964</v>
      </c>
      <c r="Z283" t="s">
        <v>5965</v>
      </c>
      <c r="AA283" t="s">
        <v>5966</v>
      </c>
      <c r="AB283" t="s">
        <v>5967</v>
      </c>
      <c r="AC283" t="s">
        <v>5968</v>
      </c>
      <c r="AD283" t="s">
        <v>5969</v>
      </c>
      <c r="AE283" t="s">
        <v>5970</v>
      </c>
      <c r="AF283" t="s">
        <v>74</v>
      </c>
      <c r="AG283">
        <v>63</v>
      </c>
      <c r="AH283">
        <v>27</v>
      </c>
      <c r="AI283">
        <v>34</v>
      </c>
      <c r="AJ283">
        <v>8</v>
      </c>
      <c r="AK283">
        <v>135</v>
      </c>
      <c r="AL283" t="s">
        <v>1216</v>
      </c>
      <c r="AM283" t="s">
        <v>283</v>
      </c>
      <c r="AN283" t="s">
        <v>1217</v>
      </c>
      <c r="AO283" t="s">
        <v>5971</v>
      </c>
      <c r="AP283" t="s">
        <v>74</v>
      </c>
      <c r="AQ283" t="s">
        <v>74</v>
      </c>
      <c r="AR283" t="s">
        <v>5972</v>
      </c>
      <c r="AS283" t="s">
        <v>5973</v>
      </c>
      <c r="AT283" t="s">
        <v>5974</v>
      </c>
      <c r="AU283">
        <v>2022</v>
      </c>
      <c r="AV283">
        <v>13</v>
      </c>
      <c r="AW283" t="s">
        <v>74</v>
      </c>
      <c r="AX283" t="s">
        <v>74</v>
      </c>
      <c r="AY283" t="s">
        <v>74</v>
      </c>
      <c r="AZ283" t="s">
        <v>74</v>
      </c>
      <c r="BA283" t="s">
        <v>74</v>
      </c>
      <c r="BB283" t="s">
        <v>74</v>
      </c>
      <c r="BC283" t="s">
        <v>74</v>
      </c>
      <c r="BD283">
        <v>906153</v>
      </c>
      <c r="BE283" t="s">
        <v>5975</v>
      </c>
      <c r="BF283" t="str">
        <f>HYPERLINK("http://dx.doi.org/10.3389/fpsyg.2022.906153","http://dx.doi.org/10.3389/fpsyg.2022.906153")</f>
        <v>http://dx.doi.org/10.3389/fpsyg.2022.906153</v>
      </c>
      <c r="BG283" t="s">
        <v>74</v>
      </c>
      <c r="BH283" t="s">
        <v>74</v>
      </c>
      <c r="BI283">
        <v>23</v>
      </c>
      <c r="BJ283" t="s">
        <v>2992</v>
      </c>
      <c r="BK283" t="s">
        <v>99</v>
      </c>
      <c r="BL283" t="s">
        <v>2993</v>
      </c>
      <c r="BM283" t="s">
        <v>5976</v>
      </c>
      <c r="BN283">
        <v>35795410</v>
      </c>
      <c r="BO283" t="s">
        <v>916</v>
      </c>
      <c r="BP283" t="s">
        <v>74</v>
      </c>
      <c r="BQ283" t="s">
        <v>74</v>
      </c>
      <c r="BR283" t="s">
        <v>102</v>
      </c>
      <c r="BS283" t="s">
        <v>5977</v>
      </c>
      <c r="BT283" t="str">
        <f>HYPERLINK("https%3A%2F%2Fwww.webofscience.com%2Fwos%2Fwoscc%2Ffull-record%2FWOS:000820445400001","View Full Record in Web of Science")</f>
        <v>View Full Record in Web of Science</v>
      </c>
    </row>
    <row r="284" spans="1:72" x14ac:dyDescent="0.25">
      <c r="A284" t="s">
        <v>72</v>
      </c>
      <c r="B284" t="s">
        <v>5978</v>
      </c>
      <c r="C284" t="s">
        <v>74</v>
      </c>
      <c r="D284" t="s">
        <v>74</v>
      </c>
      <c r="E284" t="s">
        <v>74</v>
      </c>
      <c r="F284" t="s">
        <v>5979</v>
      </c>
      <c r="G284" t="s">
        <v>74</v>
      </c>
      <c r="H284" t="s">
        <v>74</v>
      </c>
      <c r="I284" t="s">
        <v>5980</v>
      </c>
      <c r="J284" t="s">
        <v>5981</v>
      </c>
      <c r="K284" t="s">
        <v>74</v>
      </c>
      <c r="L284" t="s">
        <v>74</v>
      </c>
      <c r="M284" t="s">
        <v>78</v>
      </c>
      <c r="N284" t="s">
        <v>79</v>
      </c>
      <c r="O284" t="s">
        <v>74</v>
      </c>
      <c r="P284" t="s">
        <v>74</v>
      </c>
      <c r="Q284" t="s">
        <v>74</v>
      </c>
      <c r="R284" t="s">
        <v>74</v>
      </c>
      <c r="S284" t="s">
        <v>74</v>
      </c>
      <c r="T284" t="s">
        <v>5982</v>
      </c>
      <c r="U284" t="s">
        <v>74</v>
      </c>
      <c r="V284" t="s">
        <v>5983</v>
      </c>
      <c r="W284" t="s">
        <v>5984</v>
      </c>
      <c r="X284" t="s">
        <v>5985</v>
      </c>
      <c r="Y284" t="s">
        <v>5986</v>
      </c>
      <c r="Z284" t="s">
        <v>5987</v>
      </c>
      <c r="AA284" t="s">
        <v>74</v>
      </c>
      <c r="AB284" t="s">
        <v>5988</v>
      </c>
      <c r="AC284" t="s">
        <v>74</v>
      </c>
      <c r="AD284" t="s">
        <v>74</v>
      </c>
      <c r="AE284" t="s">
        <v>74</v>
      </c>
      <c r="AF284" t="s">
        <v>74</v>
      </c>
      <c r="AG284">
        <v>41</v>
      </c>
      <c r="AH284">
        <v>0</v>
      </c>
      <c r="AI284">
        <v>0</v>
      </c>
      <c r="AJ284">
        <v>1</v>
      </c>
      <c r="AK284">
        <v>1</v>
      </c>
      <c r="AL284" t="s">
        <v>5989</v>
      </c>
      <c r="AM284" t="s">
        <v>995</v>
      </c>
      <c r="AN284" t="s">
        <v>5990</v>
      </c>
      <c r="AO284" t="s">
        <v>5991</v>
      </c>
      <c r="AP284" t="s">
        <v>5992</v>
      </c>
      <c r="AQ284" t="s">
        <v>74</v>
      </c>
      <c r="AR284" t="s">
        <v>5993</v>
      </c>
      <c r="AS284" t="s">
        <v>5994</v>
      </c>
      <c r="AT284" t="s">
        <v>1652</v>
      </c>
      <c r="AU284">
        <v>2025</v>
      </c>
      <c r="AV284">
        <v>12</v>
      </c>
      <c r="AW284">
        <v>3</v>
      </c>
      <c r="AX284" t="s">
        <v>74</v>
      </c>
      <c r="AY284" t="s">
        <v>74</v>
      </c>
      <c r="AZ284" t="s">
        <v>74</v>
      </c>
      <c r="BA284" t="s">
        <v>74</v>
      </c>
      <c r="BB284" t="s">
        <v>74</v>
      </c>
      <c r="BC284" t="s">
        <v>74</v>
      </c>
      <c r="BD284" t="s">
        <v>74</v>
      </c>
      <c r="BE284" t="s">
        <v>5995</v>
      </c>
      <c r="BF284" t="str">
        <f>HYPERLINK("http://dx.doi.org/10.21314/JFMI.2025.004","http://dx.doi.org/10.21314/JFMI.2025.004")</f>
        <v>http://dx.doi.org/10.21314/JFMI.2025.004</v>
      </c>
      <c r="BG284" t="s">
        <v>74</v>
      </c>
      <c r="BH284" t="s">
        <v>74</v>
      </c>
      <c r="BI284">
        <v>23</v>
      </c>
      <c r="BJ284" t="s">
        <v>268</v>
      </c>
      <c r="BK284" t="s">
        <v>313</v>
      </c>
      <c r="BL284" t="s">
        <v>100</v>
      </c>
      <c r="BM284" t="s">
        <v>5996</v>
      </c>
      <c r="BN284" t="s">
        <v>74</v>
      </c>
      <c r="BO284" t="s">
        <v>212</v>
      </c>
      <c r="BP284" t="s">
        <v>74</v>
      </c>
      <c r="BQ284" t="s">
        <v>74</v>
      </c>
      <c r="BR284" t="s">
        <v>102</v>
      </c>
      <c r="BS284" t="s">
        <v>5997</v>
      </c>
      <c r="BT284" t="str">
        <f>HYPERLINK("https%3A%2F%2Fwww.webofscience.com%2Fwos%2Fwoscc%2Ffull-record%2FWOS:001604429700001","View Full Record in Web of Science")</f>
        <v>View Full Record in Web of Science</v>
      </c>
    </row>
    <row r="285" spans="1:72" x14ac:dyDescent="0.25">
      <c r="A285" t="s">
        <v>72</v>
      </c>
      <c r="B285" t="s">
        <v>5998</v>
      </c>
      <c r="C285" t="s">
        <v>74</v>
      </c>
      <c r="D285" t="s">
        <v>74</v>
      </c>
      <c r="E285" t="s">
        <v>74</v>
      </c>
      <c r="F285" t="s">
        <v>5999</v>
      </c>
      <c r="G285" t="s">
        <v>74</v>
      </c>
      <c r="H285" t="s">
        <v>74</v>
      </c>
      <c r="I285" t="s">
        <v>6000</v>
      </c>
      <c r="J285" t="s">
        <v>6001</v>
      </c>
      <c r="K285" t="s">
        <v>74</v>
      </c>
      <c r="L285" t="s">
        <v>74</v>
      </c>
      <c r="M285" t="s">
        <v>78</v>
      </c>
      <c r="N285" t="s">
        <v>79</v>
      </c>
      <c r="O285" t="s">
        <v>74</v>
      </c>
      <c r="P285" t="s">
        <v>74</v>
      </c>
      <c r="Q285" t="s">
        <v>74</v>
      </c>
      <c r="R285" t="s">
        <v>74</v>
      </c>
      <c r="S285" t="s">
        <v>74</v>
      </c>
      <c r="T285" t="s">
        <v>74</v>
      </c>
      <c r="U285" t="s">
        <v>6002</v>
      </c>
      <c r="V285" t="s">
        <v>6003</v>
      </c>
      <c r="W285" t="s">
        <v>6004</v>
      </c>
      <c r="X285" t="s">
        <v>6005</v>
      </c>
      <c r="Y285" t="s">
        <v>6006</v>
      </c>
      <c r="Z285" t="s">
        <v>6007</v>
      </c>
      <c r="AA285" t="s">
        <v>74</v>
      </c>
      <c r="AB285" t="s">
        <v>6008</v>
      </c>
      <c r="AC285" t="s">
        <v>74</v>
      </c>
      <c r="AD285" t="s">
        <v>74</v>
      </c>
      <c r="AE285" t="s">
        <v>74</v>
      </c>
      <c r="AF285" t="s">
        <v>74</v>
      </c>
      <c r="AG285">
        <v>106</v>
      </c>
      <c r="AH285">
        <v>8</v>
      </c>
      <c r="AI285">
        <v>9</v>
      </c>
      <c r="AJ285">
        <v>0</v>
      </c>
      <c r="AK285">
        <v>8</v>
      </c>
      <c r="AL285" t="s">
        <v>479</v>
      </c>
      <c r="AM285" t="s">
        <v>480</v>
      </c>
      <c r="AN285" t="s">
        <v>481</v>
      </c>
      <c r="AO285" t="s">
        <v>6009</v>
      </c>
      <c r="AP285" t="s">
        <v>6010</v>
      </c>
      <c r="AQ285" t="s">
        <v>74</v>
      </c>
      <c r="AR285" t="s">
        <v>6011</v>
      </c>
      <c r="AS285" t="s">
        <v>6012</v>
      </c>
      <c r="AT285" t="s">
        <v>891</v>
      </c>
      <c r="AU285">
        <v>2022</v>
      </c>
      <c r="AV285">
        <v>49</v>
      </c>
      <c r="AW285">
        <v>4</v>
      </c>
      <c r="AX285" t="s">
        <v>74</v>
      </c>
      <c r="AY285" t="s">
        <v>74</v>
      </c>
      <c r="AZ285" t="s">
        <v>74</v>
      </c>
      <c r="BA285" t="s">
        <v>74</v>
      </c>
      <c r="BB285">
        <v>563</v>
      </c>
      <c r="BC285">
        <v>579</v>
      </c>
      <c r="BD285" t="s">
        <v>74</v>
      </c>
      <c r="BE285" t="s">
        <v>6013</v>
      </c>
      <c r="BF285" t="str">
        <f>HYPERLINK("http://dx.doi.org/10.1111/amet.13100","http://dx.doi.org/10.1111/amet.13100")</f>
        <v>http://dx.doi.org/10.1111/amet.13100</v>
      </c>
      <c r="BG285" t="s">
        <v>74</v>
      </c>
      <c r="BH285" t="s">
        <v>6014</v>
      </c>
      <c r="BI285">
        <v>17</v>
      </c>
      <c r="BJ285" t="s">
        <v>3890</v>
      </c>
      <c r="BK285" t="s">
        <v>99</v>
      </c>
      <c r="BL285" t="s">
        <v>3890</v>
      </c>
      <c r="BM285" t="s">
        <v>6015</v>
      </c>
      <c r="BN285" t="s">
        <v>74</v>
      </c>
      <c r="BO285" t="s">
        <v>74</v>
      </c>
      <c r="BP285" t="s">
        <v>74</v>
      </c>
      <c r="BQ285" t="s">
        <v>74</v>
      </c>
      <c r="BR285" t="s">
        <v>102</v>
      </c>
      <c r="BS285" t="s">
        <v>6016</v>
      </c>
      <c r="BT285" t="str">
        <f>HYPERLINK("https%3A%2F%2Fwww.webofscience.com%2Fwos%2Fwoscc%2Ffull-record%2FWOS:000858809500001","View Full Record in Web of Science")</f>
        <v>View Full Record in Web of Science</v>
      </c>
    </row>
    <row r="286" spans="1:72" x14ac:dyDescent="0.25">
      <c r="A286" t="s">
        <v>3790</v>
      </c>
      <c r="B286" t="s">
        <v>6017</v>
      </c>
      <c r="C286" t="s">
        <v>74</v>
      </c>
      <c r="D286" t="s">
        <v>6018</v>
      </c>
      <c r="E286" t="s">
        <v>74</v>
      </c>
      <c r="F286" t="s">
        <v>6019</v>
      </c>
      <c r="G286" t="s">
        <v>74</v>
      </c>
      <c r="H286" t="s">
        <v>74</v>
      </c>
      <c r="I286" t="s">
        <v>6020</v>
      </c>
      <c r="J286" t="s">
        <v>6021</v>
      </c>
      <c r="K286" t="s">
        <v>6022</v>
      </c>
      <c r="L286" t="s">
        <v>74</v>
      </c>
      <c r="M286" t="s">
        <v>78</v>
      </c>
      <c r="N286" t="s">
        <v>6023</v>
      </c>
      <c r="O286" t="s">
        <v>74</v>
      </c>
      <c r="P286" t="s">
        <v>74</v>
      </c>
      <c r="Q286" t="s">
        <v>74</v>
      </c>
      <c r="R286" t="s">
        <v>74</v>
      </c>
      <c r="S286" t="s">
        <v>74</v>
      </c>
      <c r="T286" t="s">
        <v>6024</v>
      </c>
      <c r="U286" t="s">
        <v>1946</v>
      </c>
      <c r="V286" t="s">
        <v>6025</v>
      </c>
      <c r="W286" t="s">
        <v>6026</v>
      </c>
      <c r="X286" t="s">
        <v>6027</v>
      </c>
      <c r="Y286" t="s">
        <v>6028</v>
      </c>
      <c r="Z286" t="s">
        <v>6029</v>
      </c>
      <c r="AA286" t="s">
        <v>74</v>
      </c>
      <c r="AB286" t="s">
        <v>74</v>
      </c>
      <c r="AC286" t="s">
        <v>74</v>
      </c>
      <c r="AD286" t="s">
        <v>74</v>
      </c>
      <c r="AE286" t="s">
        <v>74</v>
      </c>
      <c r="AF286" t="s">
        <v>74</v>
      </c>
      <c r="AG286">
        <v>71</v>
      </c>
      <c r="AH286">
        <v>160</v>
      </c>
      <c r="AI286">
        <v>200</v>
      </c>
      <c r="AJ286">
        <v>2</v>
      </c>
      <c r="AK286">
        <v>67</v>
      </c>
      <c r="AL286" t="s">
        <v>6030</v>
      </c>
      <c r="AM286" t="s">
        <v>6031</v>
      </c>
      <c r="AN286" t="s">
        <v>6032</v>
      </c>
      <c r="AO286" t="s">
        <v>6033</v>
      </c>
      <c r="AP286" t="s">
        <v>74</v>
      </c>
      <c r="AQ286" t="s">
        <v>6034</v>
      </c>
      <c r="AR286" t="s">
        <v>6035</v>
      </c>
      <c r="AS286" t="s">
        <v>6036</v>
      </c>
      <c r="AT286" t="s">
        <v>74</v>
      </c>
      <c r="AU286">
        <v>2017</v>
      </c>
      <c r="AV286">
        <v>9</v>
      </c>
      <c r="AW286" t="s">
        <v>74</v>
      </c>
      <c r="AX286" t="s">
        <v>74</v>
      </c>
      <c r="AY286" t="s">
        <v>74</v>
      </c>
      <c r="AZ286" t="s">
        <v>74</v>
      </c>
      <c r="BA286" t="s">
        <v>74</v>
      </c>
      <c r="BB286">
        <v>497</v>
      </c>
      <c r="BC286">
        <v>520</v>
      </c>
      <c r="BD286" t="s">
        <v>74</v>
      </c>
      <c r="BE286" t="s">
        <v>6037</v>
      </c>
      <c r="BF286" t="str">
        <f>HYPERLINK("http://dx.doi.org/10.1146/annurev-economics-063016-103638","http://dx.doi.org/10.1146/annurev-economics-063016-103638")</f>
        <v>http://dx.doi.org/10.1146/annurev-economics-063016-103638</v>
      </c>
      <c r="BG286" t="s">
        <v>74</v>
      </c>
      <c r="BH286" t="s">
        <v>74</v>
      </c>
      <c r="BI286">
        <v>24</v>
      </c>
      <c r="BJ286" t="s">
        <v>291</v>
      </c>
      <c r="BK286" t="s">
        <v>6038</v>
      </c>
      <c r="BL286" t="s">
        <v>100</v>
      </c>
      <c r="BM286" t="s">
        <v>6039</v>
      </c>
      <c r="BN286" t="s">
        <v>74</v>
      </c>
      <c r="BO286" t="s">
        <v>1205</v>
      </c>
      <c r="BP286" t="s">
        <v>74</v>
      </c>
      <c r="BQ286" t="s">
        <v>74</v>
      </c>
      <c r="BR286" t="s">
        <v>102</v>
      </c>
      <c r="BS286" t="s">
        <v>6040</v>
      </c>
      <c r="BT286" t="str">
        <f>HYPERLINK("https%3A%2F%2Fwww.webofscience.com%2Fwos%2Fwoscc%2Ffull-record%2FWOS:000407728400019","View Full Record in Web of Science")</f>
        <v>View Full Record in Web of Science</v>
      </c>
    </row>
    <row r="287" spans="1:72" x14ac:dyDescent="0.25">
      <c r="A287" t="s">
        <v>72</v>
      </c>
      <c r="B287" t="s">
        <v>6041</v>
      </c>
      <c r="C287" t="s">
        <v>74</v>
      </c>
      <c r="D287" t="s">
        <v>74</v>
      </c>
      <c r="E287" t="s">
        <v>74</v>
      </c>
      <c r="F287" t="s">
        <v>6042</v>
      </c>
      <c r="G287" t="s">
        <v>74</v>
      </c>
      <c r="H287" t="s">
        <v>74</v>
      </c>
      <c r="I287" t="s">
        <v>6043</v>
      </c>
      <c r="J287" t="s">
        <v>6044</v>
      </c>
      <c r="K287" t="s">
        <v>74</v>
      </c>
      <c r="L287" t="s">
        <v>74</v>
      </c>
      <c r="M287" t="s">
        <v>78</v>
      </c>
      <c r="N287" t="s">
        <v>79</v>
      </c>
      <c r="O287" t="s">
        <v>74</v>
      </c>
      <c r="P287" t="s">
        <v>74</v>
      </c>
      <c r="Q287" t="s">
        <v>74</v>
      </c>
      <c r="R287" t="s">
        <v>74</v>
      </c>
      <c r="S287" t="s">
        <v>74</v>
      </c>
      <c r="T287" t="s">
        <v>6045</v>
      </c>
      <c r="U287" t="s">
        <v>6046</v>
      </c>
      <c r="V287" t="s">
        <v>6047</v>
      </c>
      <c r="W287" t="s">
        <v>6048</v>
      </c>
      <c r="X287" t="s">
        <v>6049</v>
      </c>
      <c r="Y287" t="s">
        <v>6050</v>
      </c>
      <c r="Z287" t="s">
        <v>6051</v>
      </c>
      <c r="AA287" t="s">
        <v>74</v>
      </c>
      <c r="AB287" t="s">
        <v>74</v>
      </c>
      <c r="AC287" t="s">
        <v>74</v>
      </c>
      <c r="AD287" t="s">
        <v>74</v>
      </c>
      <c r="AE287" t="s">
        <v>74</v>
      </c>
      <c r="AF287" t="s">
        <v>74</v>
      </c>
      <c r="AG287">
        <v>87</v>
      </c>
      <c r="AH287">
        <v>4</v>
      </c>
      <c r="AI287">
        <v>4</v>
      </c>
      <c r="AJ287">
        <v>0</v>
      </c>
      <c r="AK287">
        <v>13</v>
      </c>
      <c r="AL287" t="s">
        <v>1889</v>
      </c>
      <c r="AM287" t="s">
        <v>1890</v>
      </c>
      <c r="AN287" t="s">
        <v>1891</v>
      </c>
      <c r="AO287" t="s">
        <v>6052</v>
      </c>
      <c r="AP287" t="s">
        <v>6053</v>
      </c>
      <c r="AQ287" t="s">
        <v>74</v>
      </c>
      <c r="AR287" t="s">
        <v>6054</v>
      </c>
      <c r="AS287" t="s">
        <v>6055</v>
      </c>
      <c r="AT287" t="s">
        <v>1652</v>
      </c>
      <c r="AU287">
        <v>2022</v>
      </c>
      <c r="AV287">
        <v>27</v>
      </c>
      <c r="AW287">
        <v>2</v>
      </c>
      <c r="AX287" t="s">
        <v>74</v>
      </c>
      <c r="AY287" t="s">
        <v>74</v>
      </c>
      <c r="AZ287" t="s">
        <v>74</v>
      </c>
      <c r="BA287" t="s">
        <v>74</v>
      </c>
      <c r="BB287" t="s">
        <v>74</v>
      </c>
      <c r="BC287" t="s">
        <v>74</v>
      </c>
      <c r="BD287">
        <v>2250009</v>
      </c>
      <c r="BE287" t="s">
        <v>6056</v>
      </c>
      <c r="BF287" t="str">
        <f>HYPERLINK("http://dx.doi.org/10.1142/S1084946722500091","http://dx.doi.org/10.1142/S1084946722500091")</f>
        <v>http://dx.doi.org/10.1142/S1084946722500091</v>
      </c>
      <c r="BG287" t="s">
        <v>74</v>
      </c>
      <c r="BH287" t="s">
        <v>74</v>
      </c>
      <c r="BI287">
        <v>33</v>
      </c>
      <c r="BJ287" t="s">
        <v>418</v>
      </c>
      <c r="BK287" t="s">
        <v>313</v>
      </c>
      <c r="BL287" t="s">
        <v>100</v>
      </c>
      <c r="BM287" t="s">
        <v>6057</v>
      </c>
      <c r="BN287" t="s">
        <v>74</v>
      </c>
      <c r="BO287" t="s">
        <v>74</v>
      </c>
      <c r="BP287" t="s">
        <v>74</v>
      </c>
      <c r="BQ287" t="s">
        <v>74</v>
      </c>
      <c r="BR287" t="s">
        <v>102</v>
      </c>
      <c r="BS287" t="s">
        <v>6058</v>
      </c>
      <c r="BT287" t="str">
        <f>HYPERLINK("https%3A%2F%2Fwww.webofscience.com%2Fwos%2Fwoscc%2Ffull-record%2FWOS:000825482200006","View Full Record in Web of Science")</f>
        <v>View Full Record in Web of Science</v>
      </c>
    </row>
    <row r="288" spans="1:72" x14ac:dyDescent="0.25">
      <c r="A288" t="s">
        <v>132</v>
      </c>
      <c r="B288" t="s">
        <v>6059</v>
      </c>
      <c r="C288" t="s">
        <v>74</v>
      </c>
      <c r="D288" t="s">
        <v>74</v>
      </c>
      <c r="E288" t="s">
        <v>771</v>
      </c>
      <c r="F288" t="s">
        <v>6060</v>
      </c>
      <c r="G288" t="s">
        <v>74</v>
      </c>
      <c r="H288" t="s">
        <v>74</v>
      </c>
      <c r="I288" t="s">
        <v>6061</v>
      </c>
      <c r="J288" t="s">
        <v>6062</v>
      </c>
      <c r="K288" t="s">
        <v>74</v>
      </c>
      <c r="L288" t="s">
        <v>74</v>
      </c>
      <c r="M288" t="s">
        <v>78</v>
      </c>
      <c r="N288" t="s">
        <v>138</v>
      </c>
      <c r="O288" t="s">
        <v>6063</v>
      </c>
      <c r="P288" t="s">
        <v>6064</v>
      </c>
      <c r="Q288" t="s">
        <v>6065</v>
      </c>
      <c r="R288" t="s">
        <v>74</v>
      </c>
      <c r="S288" t="s">
        <v>6066</v>
      </c>
      <c r="T288" t="s">
        <v>6067</v>
      </c>
      <c r="U288" t="s">
        <v>6068</v>
      </c>
      <c r="V288" t="s">
        <v>6069</v>
      </c>
      <c r="W288" t="s">
        <v>6070</v>
      </c>
      <c r="X288" t="s">
        <v>3960</v>
      </c>
      <c r="Y288" t="s">
        <v>6071</v>
      </c>
      <c r="Z288" t="s">
        <v>74</v>
      </c>
      <c r="AA288" t="s">
        <v>6072</v>
      </c>
      <c r="AB288" t="s">
        <v>6073</v>
      </c>
      <c r="AC288" t="s">
        <v>74</v>
      </c>
      <c r="AD288" t="s">
        <v>74</v>
      </c>
      <c r="AE288" t="s">
        <v>74</v>
      </c>
      <c r="AF288" t="s">
        <v>74</v>
      </c>
      <c r="AG288">
        <v>28</v>
      </c>
      <c r="AH288">
        <v>2</v>
      </c>
      <c r="AI288">
        <v>2</v>
      </c>
      <c r="AJ288">
        <v>0</v>
      </c>
      <c r="AK288">
        <v>5</v>
      </c>
      <c r="AL288" t="s">
        <v>771</v>
      </c>
      <c r="AM288" t="s">
        <v>151</v>
      </c>
      <c r="AN288" t="s">
        <v>785</v>
      </c>
      <c r="AO288" t="s">
        <v>74</v>
      </c>
      <c r="AP288" t="s">
        <v>74</v>
      </c>
      <c r="AQ288" t="s">
        <v>6074</v>
      </c>
      <c r="AR288" t="s">
        <v>74</v>
      </c>
      <c r="AS288" t="s">
        <v>74</v>
      </c>
      <c r="AT288" t="s">
        <v>74</v>
      </c>
      <c r="AU288">
        <v>2012</v>
      </c>
      <c r="AV288" t="s">
        <v>74</v>
      </c>
      <c r="AW288" t="s">
        <v>74</v>
      </c>
      <c r="AX288" t="s">
        <v>74</v>
      </c>
      <c r="AY288" t="s">
        <v>74</v>
      </c>
      <c r="AZ288" t="s">
        <v>74</v>
      </c>
      <c r="BA288" t="s">
        <v>74</v>
      </c>
      <c r="BB288" t="s">
        <v>74</v>
      </c>
      <c r="BC288" t="s">
        <v>74</v>
      </c>
      <c r="BD288" t="s">
        <v>74</v>
      </c>
      <c r="BE288" t="s">
        <v>74</v>
      </c>
      <c r="BF288" t="s">
        <v>74</v>
      </c>
      <c r="BG288" t="s">
        <v>74</v>
      </c>
      <c r="BH288" t="s">
        <v>74</v>
      </c>
      <c r="BI288">
        <v>9</v>
      </c>
      <c r="BJ288" t="s">
        <v>6075</v>
      </c>
      <c r="BK288" t="s">
        <v>156</v>
      </c>
      <c r="BL288" t="s">
        <v>981</v>
      </c>
      <c r="BM288" t="s">
        <v>6076</v>
      </c>
      <c r="BN288" t="s">
        <v>74</v>
      </c>
      <c r="BO288" t="s">
        <v>74</v>
      </c>
      <c r="BP288" t="s">
        <v>74</v>
      </c>
      <c r="BQ288" t="s">
        <v>74</v>
      </c>
      <c r="BR288" t="s">
        <v>102</v>
      </c>
      <c r="BS288" t="s">
        <v>6077</v>
      </c>
      <c r="BT288" t="str">
        <f>HYPERLINK("https%3A%2F%2Fwww.webofscience.com%2Fwos%2Fwoscc%2Ffull-record%2FWOS:000325951400003","View Full Record in Web of Science")</f>
        <v>View Full Record in Web of Science</v>
      </c>
    </row>
    <row r="289" spans="1:72" x14ac:dyDescent="0.25">
      <c r="A289" t="s">
        <v>72</v>
      </c>
      <c r="B289" t="s">
        <v>6078</v>
      </c>
      <c r="C289" t="s">
        <v>74</v>
      </c>
      <c r="D289" t="s">
        <v>74</v>
      </c>
      <c r="E289" t="s">
        <v>74</v>
      </c>
      <c r="F289" t="s">
        <v>6079</v>
      </c>
      <c r="G289" t="s">
        <v>74</v>
      </c>
      <c r="H289" t="s">
        <v>74</v>
      </c>
      <c r="I289" t="s">
        <v>6080</v>
      </c>
      <c r="J289" t="s">
        <v>6081</v>
      </c>
      <c r="K289" t="s">
        <v>74</v>
      </c>
      <c r="L289" t="s">
        <v>74</v>
      </c>
      <c r="M289" t="s">
        <v>78</v>
      </c>
      <c r="N289" t="s">
        <v>79</v>
      </c>
      <c r="O289" t="s">
        <v>74</v>
      </c>
      <c r="P289" t="s">
        <v>74</v>
      </c>
      <c r="Q289" t="s">
        <v>74</v>
      </c>
      <c r="R289" t="s">
        <v>74</v>
      </c>
      <c r="S289" t="s">
        <v>74</v>
      </c>
      <c r="T289" t="s">
        <v>6082</v>
      </c>
      <c r="U289" t="s">
        <v>6083</v>
      </c>
      <c r="V289" t="s">
        <v>6084</v>
      </c>
      <c r="W289" t="s">
        <v>6085</v>
      </c>
      <c r="X289" t="s">
        <v>6086</v>
      </c>
      <c r="Y289" t="s">
        <v>6087</v>
      </c>
      <c r="Z289" t="s">
        <v>6088</v>
      </c>
      <c r="AA289" t="s">
        <v>74</v>
      </c>
      <c r="AB289" t="s">
        <v>6089</v>
      </c>
      <c r="AC289" t="s">
        <v>6090</v>
      </c>
      <c r="AD289" t="s">
        <v>6091</v>
      </c>
      <c r="AE289" t="s">
        <v>6092</v>
      </c>
      <c r="AF289" t="s">
        <v>74</v>
      </c>
      <c r="AG289">
        <v>87</v>
      </c>
      <c r="AH289">
        <v>0</v>
      </c>
      <c r="AI289">
        <v>0</v>
      </c>
      <c r="AJ289">
        <v>2</v>
      </c>
      <c r="AK289">
        <v>2</v>
      </c>
      <c r="AL289" t="s">
        <v>201</v>
      </c>
      <c r="AM289" t="s">
        <v>202</v>
      </c>
      <c r="AN289" t="s">
        <v>203</v>
      </c>
      <c r="AO289" t="s">
        <v>6093</v>
      </c>
      <c r="AP289" t="s">
        <v>6094</v>
      </c>
      <c r="AQ289" t="s">
        <v>74</v>
      </c>
      <c r="AR289" t="s">
        <v>6095</v>
      </c>
      <c r="AS289" t="s">
        <v>6096</v>
      </c>
      <c r="AT289" t="s">
        <v>698</v>
      </c>
      <c r="AU289">
        <v>2025</v>
      </c>
      <c r="AV289">
        <v>127</v>
      </c>
      <c r="AW289" t="s">
        <v>74</v>
      </c>
      <c r="AX289" t="s">
        <v>74</v>
      </c>
      <c r="AY289" t="s">
        <v>74</v>
      </c>
      <c r="AZ289" t="s">
        <v>74</v>
      </c>
      <c r="BA289" t="s">
        <v>74</v>
      </c>
      <c r="BB289" t="s">
        <v>74</v>
      </c>
      <c r="BC289" t="s">
        <v>74</v>
      </c>
      <c r="BD289">
        <v>104215</v>
      </c>
      <c r="BE289" t="s">
        <v>6097</v>
      </c>
      <c r="BF289" t="str">
        <f>HYPERLINK("http://dx.doi.org/10.1016/j.erss.2025.104215","http://dx.doi.org/10.1016/j.erss.2025.104215")</f>
        <v>http://dx.doi.org/10.1016/j.erss.2025.104215</v>
      </c>
      <c r="BG289" t="s">
        <v>74</v>
      </c>
      <c r="BH289" t="s">
        <v>5030</v>
      </c>
      <c r="BI289">
        <v>18</v>
      </c>
      <c r="BJ289" t="s">
        <v>6098</v>
      </c>
      <c r="BK289" t="s">
        <v>99</v>
      </c>
      <c r="BL289" t="s">
        <v>3248</v>
      </c>
      <c r="BM289" t="s">
        <v>6099</v>
      </c>
      <c r="BN289" t="s">
        <v>74</v>
      </c>
      <c r="BO289" t="s">
        <v>270</v>
      </c>
      <c r="BP289" t="s">
        <v>74</v>
      </c>
      <c r="BQ289" t="s">
        <v>74</v>
      </c>
      <c r="BR289" t="s">
        <v>102</v>
      </c>
      <c r="BS289" t="s">
        <v>6100</v>
      </c>
      <c r="BT289" t="str">
        <f>HYPERLINK("https%3A%2F%2Fwww.webofscience.com%2Fwos%2Fwoscc%2Ffull-record%2FWOS:001544340300003","View Full Record in Web of Science")</f>
        <v>View Full Record in Web of Science</v>
      </c>
    </row>
    <row r="290" spans="1:72" x14ac:dyDescent="0.25">
      <c r="A290" t="s">
        <v>72</v>
      </c>
      <c r="B290" t="s">
        <v>6101</v>
      </c>
      <c r="C290" t="s">
        <v>74</v>
      </c>
      <c r="D290" t="s">
        <v>74</v>
      </c>
      <c r="E290" t="s">
        <v>74</v>
      </c>
      <c r="F290" t="s">
        <v>6102</v>
      </c>
      <c r="G290" t="s">
        <v>74</v>
      </c>
      <c r="H290" t="s">
        <v>74</v>
      </c>
      <c r="I290" t="s">
        <v>6103</v>
      </c>
      <c r="J290" t="s">
        <v>6104</v>
      </c>
      <c r="K290" t="s">
        <v>74</v>
      </c>
      <c r="L290" t="s">
        <v>74</v>
      </c>
      <c r="M290" t="s">
        <v>78</v>
      </c>
      <c r="N290" t="s">
        <v>79</v>
      </c>
      <c r="O290" t="s">
        <v>74</v>
      </c>
      <c r="P290" t="s">
        <v>74</v>
      </c>
      <c r="Q290" t="s">
        <v>74</v>
      </c>
      <c r="R290" t="s">
        <v>74</v>
      </c>
      <c r="S290" t="s">
        <v>74</v>
      </c>
      <c r="T290" t="s">
        <v>74</v>
      </c>
      <c r="U290" t="s">
        <v>6105</v>
      </c>
      <c r="V290" t="s">
        <v>6106</v>
      </c>
      <c r="W290" t="s">
        <v>6107</v>
      </c>
      <c r="X290" t="s">
        <v>6108</v>
      </c>
      <c r="Y290" t="s">
        <v>6109</v>
      </c>
      <c r="Z290" t="s">
        <v>6110</v>
      </c>
      <c r="AA290" t="s">
        <v>6111</v>
      </c>
      <c r="AB290" t="s">
        <v>74</v>
      </c>
      <c r="AC290" t="s">
        <v>74</v>
      </c>
      <c r="AD290" t="s">
        <v>74</v>
      </c>
      <c r="AE290" t="s">
        <v>74</v>
      </c>
      <c r="AF290" t="s">
        <v>74</v>
      </c>
      <c r="AG290">
        <v>35</v>
      </c>
      <c r="AH290">
        <v>21</v>
      </c>
      <c r="AI290">
        <v>31</v>
      </c>
      <c r="AJ290">
        <v>0</v>
      </c>
      <c r="AK290">
        <v>12</v>
      </c>
      <c r="AL290" t="s">
        <v>479</v>
      </c>
      <c r="AM290" t="s">
        <v>480</v>
      </c>
      <c r="AN290" t="s">
        <v>481</v>
      </c>
      <c r="AO290" t="s">
        <v>6112</v>
      </c>
      <c r="AP290" t="s">
        <v>6113</v>
      </c>
      <c r="AQ290" t="s">
        <v>74</v>
      </c>
      <c r="AR290" t="s">
        <v>6114</v>
      </c>
      <c r="AS290" t="s">
        <v>6115</v>
      </c>
      <c r="AT290" t="s">
        <v>1159</v>
      </c>
      <c r="AU290">
        <v>2006</v>
      </c>
      <c r="AV290">
        <v>73</v>
      </c>
      <c r="AW290">
        <v>2</v>
      </c>
      <c r="AX290" t="s">
        <v>74</v>
      </c>
      <c r="AY290" t="s">
        <v>74</v>
      </c>
      <c r="AZ290" t="s">
        <v>74</v>
      </c>
      <c r="BA290" t="s">
        <v>74</v>
      </c>
      <c r="BB290">
        <v>374</v>
      </c>
      <c r="BC290">
        <v>401</v>
      </c>
      <c r="BD290" t="s">
        <v>74</v>
      </c>
      <c r="BE290" t="s">
        <v>6116</v>
      </c>
      <c r="BF290" t="str">
        <f>HYPERLINK("http://dx.doi.org/10.2307/20111897","http://dx.doi.org/10.2307/20111897")</f>
        <v>http://dx.doi.org/10.2307/20111897</v>
      </c>
      <c r="BG290" t="s">
        <v>74</v>
      </c>
      <c r="BH290" t="s">
        <v>74</v>
      </c>
      <c r="BI290">
        <v>28</v>
      </c>
      <c r="BJ290" t="s">
        <v>291</v>
      </c>
      <c r="BK290" t="s">
        <v>99</v>
      </c>
      <c r="BL290" t="s">
        <v>100</v>
      </c>
      <c r="BM290" t="s">
        <v>6117</v>
      </c>
      <c r="BN290" t="s">
        <v>74</v>
      </c>
      <c r="BO290" t="s">
        <v>74</v>
      </c>
      <c r="BP290" t="s">
        <v>74</v>
      </c>
      <c r="BQ290" t="s">
        <v>74</v>
      </c>
      <c r="BR290" t="s">
        <v>102</v>
      </c>
      <c r="BS290" t="s">
        <v>6118</v>
      </c>
      <c r="BT290" t="str">
        <f>HYPERLINK("https%3A%2F%2Fwww.webofscience.com%2Fwos%2Fwoscc%2Ffull-record%2FWOS:000241537500006","View Full Record in Web of Science")</f>
        <v>View Full Record in Web of Science</v>
      </c>
    </row>
    <row r="291" spans="1:72" x14ac:dyDescent="0.25">
      <c r="A291" t="s">
        <v>132</v>
      </c>
      <c r="B291" t="s">
        <v>6119</v>
      </c>
      <c r="C291" t="s">
        <v>74</v>
      </c>
      <c r="D291" t="s">
        <v>6120</v>
      </c>
      <c r="E291" t="s">
        <v>74</v>
      </c>
      <c r="F291" t="s">
        <v>6121</v>
      </c>
      <c r="G291" t="s">
        <v>74</v>
      </c>
      <c r="H291" t="s">
        <v>74</v>
      </c>
      <c r="I291" t="s">
        <v>6122</v>
      </c>
      <c r="J291" t="s">
        <v>6123</v>
      </c>
      <c r="K291" t="s">
        <v>6124</v>
      </c>
      <c r="L291" t="s">
        <v>74</v>
      </c>
      <c r="M291" t="s">
        <v>78</v>
      </c>
      <c r="N291" t="s">
        <v>138</v>
      </c>
      <c r="O291" t="s">
        <v>6125</v>
      </c>
      <c r="P291" t="s">
        <v>6126</v>
      </c>
      <c r="Q291" t="s">
        <v>637</v>
      </c>
      <c r="R291" t="s">
        <v>74</v>
      </c>
      <c r="S291" t="s">
        <v>74</v>
      </c>
      <c r="T291" t="s">
        <v>6127</v>
      </c>
      <c r="U291" t="s">
        <v>74</v>
      </c>
      <c r="V291" t="s">
        <v>6128</v>
      </c>
      <c r="W291" t="s">
        <v>6129</v>
      </c>
      <c r="X291" t="s">
        <v>6130</v>
      </c>
      <c r="Y291" t="s">
        <v>6131</v>
      </c>
      <c r="Z291" t="s">
        <v>74</v>
      </c>
      <c r="AA291" t="s">
        <v>6132</v>
      </c>
      <c r="AB291" t="s">
        <v>6133</v>
      </c>
      <c r="AC291" t="s">
        <v>74</v>
      </c>
      <c r="AD291" t="s">
        <v>74</v>
      </c>
      <c r="AE291" t="s">
        <v>74</v>
      </c>
      <c r="AF291" t="s">
        <v>74</v>
      </c>
      <c r="AG291">
        <v>15</v>
      </c>
      <c r="AH291">
        <v>0</v>
      </c>
      <c r="AI291">
        <v>0</v>
      </c>
      <c r="AJ291">
        <v>0</v>
      </c>
      <c r="AK291">
        <v>6</v>
      </c>
      <c r="AL291" t="s">
        <v>6134</v>
      </c>
      <c r="AM291" t="s">
        <v>6135</v>
      </c>
      <c r="AN291" t="s">
        <v>6136</v>
      </c>
      <c r="AO291" t="s">
        <v>6137</v>
      </c>
      <c r="AP291" t="s">
        <v>74</v>
      </c>
      <c r="AQ291" t="s">
        <v>6138</v>
      </c>
      <c r="AR291" t="s">
        <v>6139</v>
      </c>
      <c r="AS291" t="s">
        <v>74</v>
      </c>
      <c r="AT291" t="s">
        <v>74</v>
      </c>
      <c r="AU291">
        <v>2015</v>
      </c>
      <c r="AV291" t="s">
        <v>74</v>
      </c>
      <c r="AW291" t="s">
        <v>74</v>
      </c>
      <c r="AX291" t="s">
        <v>74</v>
      </c>
      <c r="AY291" t="s">
        <v>74</v>
      </c>
      <c r="AZ291" t="s">
        <v>74</v>
      </c>
      <c r="BA291" t="s">
        <v>74</v>
      </c>
      <c r="BB291">
        <v>5019</v>
      </c>
      <c r="BC291">
        <v>5028</v>
      </c>
      <c r="BD291" t="s">
        <v>74</v>
      </c>
      <c r="BE291" t="s">
        <v>74</v>
      </c>
      <c r="BF291" t="s">
        <v>74</v>
      </c>
      <c r="BG291" t="s">
        <v>74</v>
      </c>
      <c r="BH291" t="s">
        <v>74</v>
      </c>
      <c r="BI291">
        <v>10</v>
      </c>
      <c r="BJ291" t="s">
        <v>4031</v>
      </c>
      <c r="BK291" t="s">
        <v>183</v>
      </c>
      <c r="BL291" t="s">
        <v>4031</v>
      </c>
      <c r="BM291" t="s">
        <v>6140</v>
      </c>
      <c r="BN291" t="s">
        <v>74</v>
      </c>
      <c r="BO291" t="s">
        <v>74</v>
      </c>
      <c r="BP291" t="s">
        <v>74</v>
      </c>
      <c r="BQ291" t="s">
        <v>74</v>
      </c>
      <c r="BR291" t="s">
        <v>102</v>
      </c>
      <c r="BS291" t="s">
        <v>6141</v>
      </c>
      <c r="BT291" t="str">
        <f>HYPERLINK("https%3A%2F%2Fwww.webofscience.com%2Fwos%2Fwoscc%2Ffull-record%2FWOS:000377304005019","View Full Record in Web of Science")</f>
        <v>View Full Record in Web of Science</v>
      </c>
    </row>
    <row r="292" spans="1:72" x14ac:dyDescent="0.25">
      <c r="A292" t="s">
        <v>72</v>
      </c>
      <c r="B292" t="s">
        <v>6142</v>
      </c>
      <c r="C292" t="s">
        <v>74</v>
      </c>
      <c r="D292" t="s">
        <v>74</v>
      </c>
      <c r="E292" t="s">
        <v>74</v>
      </c>
      <c r="F292" t="s">
        <v>6143</v>
      </c>
      <c r="G292" t="s">
        <v>74</v>
      </c>
      <c r="H292" t="s">
        <v>74</v>
      </c>
      <c r="I292" t="s">
        <v>6144</v>
      </c>
      <c r="J292" t="s">
        <v>1122</v>
      </c>
      <c r="K292" t="s">
        <v>74</v>
      </c>
      <c r="L292" t="s">
        <v>74</v>
      </c>
      <c r="M292" t="s">
        <v>78</v>
      </c>
      <c r="N292" t="s">
        <v>79</v>
      </c>
      <c r="O292" t="s">
        <v>74</v>
      </c>
      <c r="P292" t="s">
        <v>74</v>
      </c>
      <c r="Q292" t="s">
        <v>74</v>
      </c>
      <c r="R292" t="s">
        <v>74</v>
      </c>
      <c r="S292" t="s">
        <v>74</v>
      </c>
      <c r="T292" t="s">
        <v>74</v>
      </c>
      <c r="U292" t="s">
        <v>6145</v>
      </c>
      <c r="V292" t="s">
        <v>6146</v>
      </c>
      <c r="W292" t="s">
        <v>6147</v>
      </c>
      <c r="X292" t="s">
        <v>6148</v>
      </c>
      <c r="Y292" t="s">
        <v>6149</v>
      </c>
      <c r="Z292" t="s">
        <v>6150</v>
      </c>
      <c r="AA292" t="s">
        <v>74</v>
      </c>
      <c r="AB292" t="s">
        <v>74</v>
      </c>
      <c r="AC292" t="s">
        <v>74</v>
      </c>
      <c r="AD292" t="s">
        <v>74</v>
      </c>
      <c r="AE292" t="s">
        <v>74</v>
      </c>
      <c r="AF292" t="s">
        <v>74</v>
      </c>
      <c r="AG292">
        <v>43</v>
      </c>
      <c r="AH292">
        <v>20</v>
      </c>
      <c r="AI292">
        <v>27</v>
      </c>
      <c r="AJ292">
        <v>0</v>
      </c>
      <c r="AK292">
        <v>12</v>
      </c>
      <c r="AL292" t="s">
        <v>479</v>
      </c>
      <c r="AM292" t="s">
        <v>480</v>
      </c>
      <c r="AN292" t="s">
        <v>481</v>
      </c>
      <c r="AO292" t="s">
        <v>1131</v>
      </c>
      <c r="AP292" t="s">
        <v>1132</v>
      </c>
      <c r="AQ292" t="s">
        <v>74</v>
      </c>
      <c r="AR292" t="s">
        <v>1133</v>
      </c>
      <c r="AS292" t="s">
        <v>1134</v>
      </c>
      <c r="AT292" t="s">
        <v>1652</v>
      </c>
      <c r="AU292">
        <v>2021</v>
      </c>
      <c r="AV292">
        <v>33</v>
      </c>
      <c r="AW292">
        <v>2</v>
      </c>
      <c r="AX292" t="s">
        <v>74</v>
      </c>
      <c r="AY292" t="s">
        <v>74</v>
      </c>
      <c r="AZ292" t="s">
        <v>74</v>
      </c>
      <c r="BA292" t="s">
        <v>74</v>
      </c>
      <c r="BB292">
        <v>263</v>
      </c>
      <c r="BC292">
        <v>275</v>
      </c>
      <c r="BD292" t="s">
        <v>74</v>
      </c>
      <c r="BE292" t="s">
        <v>6151</v>
      </c>
      <c r="BF292" t="str">
        <f>HYPERLINK("http://dx.doi.org/10.1111/1467-8268.12539","http://dx.doi.org/10.1111/1467-8268.12539")</f>
        <v>http://dx.doi.org/10.1111/1467-8268.12539</v>
      </c>
      <c r="BG292" t="s">
        <v>74</v>
      </c>
      <c r="BH292" t="s">
        <v>4575</v>
      </c>
      <c r="BI292">
        <v>13</v>
      </c>
      <c r="BJ292" t="s">
        <v>1137</v>
      </c>
      <c r="BK292" t="s">
        <v>99</v>
      </c>
      <c r="BL292" t="s">
        <v>1137</v>
      </c>
      <c r="BM292" t="s">
        <v>6152</v>
      </c>
      <c r="BN292" t="s">
        <v>74</v>
      </c>
      <c r="BO292" t="s">
        <v>74</v>
      </c>
      <c r="BP292" t="s">
        <v>74</v>
      </c>
      <c r="BQ292" t="s">
        <v>74</v>
      </c>
      <c r="BR292" t="s">
        <v>102</v>
      </c>
      <c r="BS292" t="s">
        <v>6153</v>
      </c>
      <c r="BT292" t="str">
        <f>HYPERLINK("https%3A%2F%2Fwww.webofscience.com%2Fwos%2Fwoscc%2Ffull-record%2FWOS:000652543900001","View Full Record in Web of Science")</f>
        <v>View Full Record in Web of Science</v>
      </c>
    </row>
    <row r="293" spans="1:72" x14ac:dyDescent="0.25">
      <c r="A293" t="s">
        <v>72</v>
      </c>
      <c r="B293" t="s">
        <v>6154</v>
      </c>
      <c r="C293" t="s">
        <v>74</v>
      </c>
      <c r="D293" t="s">
        <v>74</v>
      </c>
      <c r="E293" t="s">
        <v>74</v>
      </c>
      <c r="F293" t="s">
        <v>6155</v>
      </c>
      <c r="G293" t="s">
        <v>74</v>
      </c>
      <c r="H293" t="s">
        <v>74</v>
      </c>
      <c r="I293" t="s">
        <v>6156</v>
      </c>
      <c r="J293" t="s">
        <v>729</v>
      </c>
      <c r="K293" t="s">
        <v>74</v>
      </c>
      <c r="L293" t="s">
        <v>74</v>
      </c>
      <c r="M293" t="s">
        <v>78</v>
      </c>
      <c r="N293" t="s">
        <v>79</v>
      </c>
      <c r="O293" t="s">
        <v>74</v>
      </c>
      <c r="P293" t="s">
        <v>74</v>
      </c>
      <c r="Q293" t="s">
        <v>74</v>
      </c>
      <c r="R293" t="s">
        <v>74</v>
      </c>
      <c r="S293" t="s">
        <v>74</v>
      </c>
      <c r="T293" t="s">
        <v>6157</v>
      </c>
      <c r="U293" t="s">
        <v>6158</v>
      </c>
      <c r="V293" t="s">
        <v>6159</v>
      </c>
      <c r="W293" t="s">
        <v>6160</v>
      </c>
      <c r="X293" t="s">
        <v>74</v>
      </c>
      <c r="Y293" t="s">
        <v>6161</v>
      </c>
      <c r="Z293" t="s">
        <v>6162</v>
      </c>
      <c r="AA293" t="s">
        <v>74</v>
      </c>
      <c r="AB293" t="s">
        <v>6163</v>
      </c>
      <c r="AC293" t="s">
        <v>74</v>
      </c>
      <c r="AD293" t="s">
        <v>74</v>
      </c>
      <c r="AE293" t="s">
        <v>74</v>
      </c>
      <c r="AF293" t="s">
        <v>74</v>
      </c>
      <c r="AG293">
        <v>43</v>
      </c>
      <c r="AH293">
        <v>18</v>
      </c>
      <c r="AI293">
        <v>29</v>
      </c>
      <c r="AJ293">
        <v>0</v>
      </c>
      <c r="AK293">
        <v>26</v>
      </c>
      <c r="AL293" t="s">
        <v>479</v>
      </c>
      <c r="AM293" t="s">
        <v>480</v>
      </c>
      <c r="AN293" t="s">
        <v>481</v>
      </c>
      <c r="AO293" t="s">
        <v>739</v>
      </c>
      <c r="AP293" t="s">
        <v>740</v>
      </c>
      <c r="AQ293" t="s">
        <v>74</v>
      </c>
      <c r="AR293" t="s">
        <v>741</v>
      </c>
      <c r="AS293" t="s">
        <v>742</v>
      </c>
      <c r="AT293" t="s">
        <v>208</v>
      </c>
      <c r="AU293">
        <v>2022</v>
      </c>
      <c r="AV293">
        <v>27</v>
      </c>
      <c r="AW293">
        <v>1</v>
      </c>
      <c r="AX293" t="s">
        <v>74</v>
      </c>
      <c r="AY293" t="s">
        <v>74</v>
      </c>
      <c r="AZ293" t="s">
        <v>74</v>
      </c>
      <c r="BA293" t="s">
        <v>74</v>
      </c>
      <c r="BB293">
        <v>32</v>
      </c>
      <c r="BC293">
        <v>44</v>
      </c>
      <c r="BD293" t="s">
        <v>74</v>
      </c>
      <c r="BE293" t="s">
        <v>6164</v>
      </c>
      <c r="BF293" t="str">
        <f>HYPERLINK("http://dx.doi.org/10.1002/ijfe.2135","http://dx.doi.org/10.1002/ijfe.2135")</f>
        <v>http://dx.doi.org/10.1002/ijfe.2135</v>
      </c>
      <c r="BG293" t="s">
        <v>74</v>
      </c>
      <c r="BH293" t="s">
        <v>2937</v>
      </c>
      <c r="BI293">
        <v>13</v>
      </c>
      <c r="BJ293" t="s">
        <v>268</v>
      </c>
      <c r="BK293" t="s">
        <v>99</v>
      </c>
      <c r="BL293" t="s">
        <v>100</v>
      </c>
      <c r="BM293" t="s">
        <v>6165</v>
      </c>
      <c r="BN293" t="s">
        <v>74</v>
      </c>
      <c r="BO293" t="s">
        <v>74</v>
      </c>
      <c r="BP293" t="s">
        <v>74</v>
      </c>
      <c r="BQ293" t="s">
        <v>74</v>
      </c>
      <c r="BR293" t="s">
        <v>102</v>
      </c>
      <c r="BS293" t="s">
        <v>6166</v>
      </c>
      <c r="BT293" t="str">
        <f>HYPERLINK("https%3A%2F%2Fwww.webofscience.com%2Fwos%2Fwoscc%2Ffull-record%2FWOS:000558230700001","View Full Record in Web of Science")</f>
        <v>View Full Record in Web of Science</v>
      </c>
    </row>
    <row r="294" spans="1:72" x14ac:dyDescent="0.25">
      <c r="A294" t="s">
        <v>72</v>
      </c>
      <c r="B294" t="s">
        <v>6167</v>
      </c>
      <c r="C294" t="s">
        <v>74</v>
      </c>
      <c r="D294" t="s">
        <v>74</v>
      </c>
      <c r="E294" t="s">
        <v>74</v>
      </c>
      <c r="F294" t="s">
        <v>6168</v>
      </c>
      <c r="G294" t="s">
        <v>74</v>
      </c>
      <c r="H294" t="s">
        <v>74</v>
      </c>
      <c r="I294" t="s">
        <v>6169</v>
      </c>
      <c r="J294" t="s">
        <v>3452</v>
      </c>
      <c r="K294" t="s">
        <v>74</v>
      </c>
      <c r="L294" t="s">
        <v>74</v>
      </c>
      <c r="M294" t="s">
        <v>78</v>
      </c>
      <c r="N294" t="s">
        <v>79</v>
      </c>
      <c r="O294" t="s">
        <v>74</v>
      </c>
      <c r="P294" t="s">
        <v>74</v>
      </c>
      <c r="Q294" t="s">
        <v>74</v>
      </c>
      <c r="R294" t="s">
        <v>74</v>
      </c>
      <c r="S294" t="s">
        <v>74</v>
      </c>
      <c r="T294" t="s">
        <v>6170</v>
      </c>
      <c r="U294" t="s">
        <v>74</v>
      </c>
      <c r="V294" t="s">
        <v>6171</v>
      </c>
      <c r="W294" t="s">
        <v>6172</v>
      </c>
      <c r="X294" t="s">
        <v>6173</v>
      </c>
      <c r="Y294" t="s">
        <v>6174</v>
      </c>
      <c r="Z294" t="s">
        <v>6175</v>
      </c>
      <c r="AA294" t="s">
        <v>6176</v>
      </c>
      <c r="AB294" t="s">
        <v>6177</v>
      </c>
      <c r="AC294" t="s">
        <v>74</v>
      </c>
      <c r="AD294" t="s">
        <v>74</v>
      </c>
      <c r="AE294" t="s">
        <v>74</v>
      </c>
      <c r="AF294" t="s">
        <v>74</v>
      </c>
      <c r="AG294">
        <v>38</v>
      </c>
      <c r="AH294">
        <v>0</v>
      </c>
      <c r="AI294">
        <v>0</v>
      </c>
      <c r="AJ294">
        <v>1</v>
      </c>
      <c r="AK294">
        <v>1</v>
      </c>
      <c r="AL294" t="s">
        <v>3461</v>
      </c>
      <c r="AM294" t="s">
        <v>3462</v>
      </c>
      <c r="AN294" t="s">
        <v>3463</v>
      </c>
      <c r="AO294" t="s">
        <v>3464</v>
      </c>
      <c r="AP294" t="s">
        <v>74</v>
      </c>
      <c r="AQ294" t="s">
        <v>74</v>
      </c>
      <c r="AR294" t="s">
        <v>3452</v>
      </c>
      <c r="AS294" t="s">
        <v>3465</v>
      </c>
      <c r="AT294" t="s">
        <v>74</v>
      </c>
      <c r="AU294">
        <v>2025</v>
      </c>
      <c r="AV294">
        <v>13</v>
      </c>
      <c r="AW294" t="s">
        <v>74</v>
      </c>
      <c r="AX294" t="s">
        <v>74</v>
      </c>
      <c r="AY294" t="s">
        <v>74</v>
      </c>
      <c r="AZ294" t="s">
        <v>74</v>
      </c>
      <c r="BA294" t="s">
        <v>74</v>
      </c>
      <c r="BB294">
        <v>169473</v>
      </c>
      <c r="BC294">
        <v>169489</v>
      </c>
      <c r="BD294" t="s">
        <v>74</v>
      </c>
      <c r="BE294" t="s">
        <v>6178</v>
      </c>
      <c r="BF294" t="str">
        <f>HYPERLINK("http://dx.doi.org/10.1109/ACCESS.2025.3614266","http://dx.doi.org/10.1109/ACCESS.2025.3614266")</f>
        <v>http://dx.doi.org/10.1109/ACCESS.2025.3614266</v>
      </c>
      <c r="BG294" t="s">
        <v>74</v>
      </c>
      <c r="BH294" t="s">
        <v>74</v>
      </c>
      <c r="BI294">
        <v>17</v>
      </c>
      <c r="BJ294" t="s">
        <v>3467</v>
      </c>
      <c r="BK294" t="s">
        <v>128</v>
      </c>
      <c r="BL294" t="s">
        <v>1023</v>
      </c>
      <c r="BM294" t="s">
        <v>6179</v>
      </c>
      <c r="BN294" t="s">
        <v>74</v>
      </c>
      <c r="BO294" t="s">
        <v>212</v>
      </c>
      <c r="BP294" t="s">
        <v>74</v>
      </c>
      <c r="BQ294" t="s">
        <v>74</v>
      </c>
      <c r="BR294" t="s">
        <v>102</v>
      </c>
      <c r="BS294" t="s">
        <v>6180</v>
      </c>
      <c r="BT294" t="str">
        <f>HYPERLINK("https%3A%2F%2Fwww.webofscience.com%2Fwos%2Fwoscc%2Ffull-record%2FWOS:001587270100035","View Full Record in Web of Science")</f>
        <v>View Full Record in Web of Science</v>
      </c>
    </row>
    <row r="295" spans="1:72" x14ac:dyDescent="0.25">
      <c r="A295" t="s">
        <v>72</v>
      </c>
      <c r="B295" t="s">
        <v>6181</v>
      </c>
      <c r="C295" t="s">
        <v>74</v>
      </c>
      <c r="D295" t="s">
        <v>74</v>
      </c>
      <c r="E295" t="s">
        <v>74</v>
      </c>
      <c r="F295" t="s">
        <v>6182</v>
      </c>
      <c r="G295" t="s">
        <v>74</v>
      </c>
      <c r="H295" t="s">
        <v>74</v>
      </c>
      <c r="I295" t="s">
        <v>6183</v>
      </c>
      <c r="J295" t="s">
        <v>4055</v>
      </c>
      <c r="K295" t="s">
        <v>74</v>
      </c>
      <c r="L295" t="s">
        <v>74</v>
      </c>
      <c r="M295" t="s">
        <v>78</v>
      </c>
      <c r="N295" t="s">
        <v>79</v>
      </c>
      <c r="O295" t="s">
        <v>74</v>
      </c>
      <c r="P295" t="s">
        <v>74</v>
      </c>
      <c r="Q295" t="s">
        <v>74</v>
      </c>
      <c r="R295" t="s">
        <v>74</v>
      </c>
      <c r="S295" t="s">
        <v>74</v>
      </c>
      <c r="T295" t="s">
        <v>6184</v>
      </c>
      <c r="U295" t="s">
        <v>6185</v>
      </c>
      <c r="V295" t="s">
        <v>6186</v>
      </c>
      <c r="W295" t="s">
        <v>6187</v>
      </c>
      <c r="X295" t="s">
        <v>6188</v>
      </c>
      <c r="Y295" t="s">
        <v>6189</v>
      </c>
      <c r="Z295" t="s">
        <v>6190</v>
      </c>
      <c r="AA295" t="s">
        <v>6191</v>
      </c>
      <c r="AB295" t="s">
        <v>6192</v>
      </c>
      <c r="AC295" t="s">
        <v>74</v>
      </c>
      <c r="AD295" t="s">
        <v>74</v>
      </c>
      <c r="AE295" t="s">
        <v>74</v>
      </c>
      <c r="AF295" t="s">
        <v>74</v>
      </c>
      <c r="AG295">
        <v>141</v>
      </c>
      <c r="AH295">
        <v>5</v>
      </c>
      <c r="AI295">
        <v>5</v>
      </c>
      <c r="AJ295">
        <v>1</v>
      </c>
      <c r="AK295">
        <v>15</v>
      </c>
      <c r="AL295" t="s">
        <v>2907</v>
      </c>
      <c r="AM295" t="s">
        <v>2908</v>
      </c>
      <c r="AN295" t="s">
        <v>2909</v>
      </c>
      <c r="AO295" t="s">
        <v>4064</v>
      </c>
      <c r="AP295" t="s">
        <v>4065</v>
      </c>
      <c r="AQ295" t="s">
        <v>74</v>
      </c>
      <c r="AR295" t="s">
        <v>4066</v>
      </c>
      <c r="AS295" t="s">
        <v>4067</v>
      </c>
      <c r="AT295" t="s">
        <v>124</v>
      </c>
      <c r="AU295">
        <v>2024</v>
      </c>
      <c r="AV295">
        <v>29</v>
      </c>
      <c r="AW295">
        <v>4</v>
      </c>
      <c r="AX295" t="s">
        <v>74</v>
      </c>
      <c r="AY295" t="s">
        <v>74</v>
      </c>
      <c r="AZ295" t="s">
        <v>74</v>
      </c>
      <c r="BA295" t="s">
        <v>74</v>
      </c>
      <c r="BB295">
        <v>1503</v>
      </c>
      <c r="BC295">
        <v>1523</v>
      </c>
      <c r="BD295" t="s">
        <v>74</v>
      </c>
      <c r="BE295" t="s">
        <v>6193</v>
      </c>
      <c r="BF295" t="str">
        <f>HYPERLINK("http://dx.doi.org/10.1057/s41264-024-00279-3","http://dx.doi.org/10.1057/s41264-024-00279-3")</f>
        <v>http://dx.doi.org/10.1057/s41264-024-00279-3</v>
      </c>
      <c r="BG295" t="s">
        <v>74</v>
      </c>
      <c r="BH295" t="s">
        <v>5285</v>
      </c>
      <c r="BI295">
        <v>21</v>
      </c>
      <c r="BJ295" t="s">
        <v>418</v>
      </c>
      <c r="BK295" t="s">
        <v>313</v>
      </c>
      <c r="BL295" t="s">
        <v>100</v>
      </c>
      <c r="BM295" t="s">
        <v>6194</v>
      </c>
      <c r="BN295" t="s">
        <v>74</v>
      </c>
      <c r="BO295" t="s">
        <v>74</v>
      </c>
      <c r="BP295" t="s">
        <v>74</v>
      </c>
      <c r="BQ295" t="s">
        <v>74</v>
      </c>
      <c r="BR295" t="s">
        <v>102</v>
      </c>
      <c r="BS295" t="s">
        <v>6195</v>
      </c>
      <c r="BT295" t="str">
        <f>HYPERLINK("https%3A%2F%2Fwww.webofscience.com%2Fwos%2Fwoscc%2Ffull-record%2FWOS:001214773100001","View Full Record in Web of Science")</f>
        <v>View Full Record in Web of Science</v>
      </c>
    </row>
    <row r="296" spans="1:72" x14ac:dyDescent="0.25">
      <c r="A296" t="s">
        <v>132</v>
      </c>
      <c r="B296" t="s">
        <v>6196</v>
      </c>
      <c r="C296" t="s">
        <v>74</v>
      </c>
      <c r="D296" t="s">
        <v>74</v>
      </c>
      <c r="E296" t="s">
        <v>134</v>
      </c>
      <c r="F296" t="s">
        <v>6197</v>
      </c>
      <c r="G296" t="s">
        <v>74</v>
      </c>
      <c r="H296" t="s">
        <v>74</v>
      </c>
      <c r="I296" t="s">
        <v>6198</v>
      </c>
      <c r="J296" t="s">
        <v>6199</v>
      </c>
      <c r="K296" t="s">
        <v>74</v>
      </c>
      <c r="L296" t="s">
        <v>74</v>
      </c>
      <c r="M296" t="s">
        <v>78</v>
      </c>
      <c r="N296" t="s">
        <v>138</v>
      </c>
      <c r="O296" t="s">
        <v>6200</v>
      </c>
      <c r="P296" t="s">
        <v>6201</v>
      </c>
      <c r="Q296" t="s">
        <v>6202</v>
      </c>
      <c r="R296" t="s">
        <v>6203</v>
      </c>
      <c r="S296" t="s">
        <v>74</v>
      </c>
      <c r="T296" t="s">
        <v>6204</v>
      </c>
      <c r="U296" t="s">
        <v>6205</v>
      </c>
      <c r="V296" t="s">
        <v>6206</v>
      </c>
      <c r="W296" t="s">
        <v>6207</v>
      </c>
      <c r="X296" t="s">
        <v>6208</v>
      </c>
      <c r="Y296" t="s">
        <v>6209</v>
      </c>
      <c r="Z296" t="s">
        <v>74</v>
      </c>
      <c r="AA296" t="s">
        <v>74</v>
      </c>
      <c r="AB296" t="s">
        <v>6210</v>
      </c>
      <c r="AC296" t="s">
        <v>74</v>
      </c>
      <c r="AD296" t="s">
        <v>74</v>
      </c>
      <c r="AE296" t="s">
        <v>74</v>
      </c>
      <c r="AF296" t="s">
        <v>74</v>
      </c>
      <c r="AG296">
        <v>23</v>
      </c>
      <c r="AH296">
        <v>0</v>
      </c>
      <c r="AI296">
        <v>0</v>
      </c>
      <c r="AJ296">
        <v>0</v>
      </c>
      <c r="AK296">
        <v>0</v>
      </c>
      <c r="AL296" t="s">
        <v>150</v>
      </c>
      <c r="AM296" t="s">
        <v>151</v>
      </c>
      <c r="AN296" t="s">
        <v>152</v>
      </c>
      <c r="AO296" t="s">
        <v>74</v>
      </c>
      <c r="AP296" t="s">
        <v>74</v>
      </c>
      <c r="AQ296" t="s">
        <v>6211</v>
      </c>
      <c r="AR296" t="s">
        <v>74</v>
      </c>
      <c r="AS296" t="s">
        <v>74</v>
      </c>
      <c r="AT296" t="s">
        <v>74</v>
      </c>
      <c r="AU296">
        <v>2016</v>
      </c>
      <c r="AV296" t="s">
        <v>74</v>
      </c>
      <c r="AW296" t="s">
        <v>74</v>
      </c>
      <c r="AX296" t="s">
        <v>74</v>
      </c>
      <c r="AY296" t="s">
        <v>74</v>
      </c>
      <c r="AZ296" t="s">
        <v>74</v>
      </c>
      <c r="BA296" t="s">
        <v>74</v>
      </c>
      <c r="BB296">
        <v>76</v>
      </c>
      <c r="BC296">
        <v>85</v>
      </c>
      <c r="BD296" t="s">
        <v>74</v>
      </c>
      <c r="BE296" t="s">
        <v>6212</v>
      </c>
      <c r="BF296" t="str">
        <f>HYPERLINK("http://dx.doi.org/10.1145/2976767.2976783","http://dx.doi.org/10.1145/2976767.2976783")</f>
        <v>http://dx.doi.org/10.1145/2976767.2976783</v>
      </c>
      <c r="BG296" t="s">
        <v>74</v>
      </c>
      <c r="BH296" t="s">
        <v>74</v>
      </c>
      <c r="BI296">
        <v>10</v>
      </c>
      <c r="BJ296" t="s">
        <v>6213</v>
      </c>
      <c r="BK296" t="s">
        <v>156</v>
      </c>
      <c r="BL296" t="s">
        <v>157</v>
      </c>
      <c r="BM296" t="s">
        <v>6214</v>
      </c>
      <c r="BN296" t="s">
        <v>74</v>
      </c>
      <c r="BO296" t="s">
        <v>74</v>
      </c>
      <c r="BP296" t="s">
        <v>74</v>
      </c>
      <c r="BQ296" t="s">
        <v>74</v>
      </c>
      <c r="BR296" t="s">
        <v>102</v>
      </c>
      <c r="BS296" t="s">
        <v>6215</v>
      </c>
      <c r="BT296" t="str">
        <f>HYPERLINK("https%3A%2F%2Fwww.webofscience.com%2Fwos%2Fwoscc%2Ffull-record%2FWOS:000509762900009","View Full Record in Web of Science")</f>
        <v>View Full Record in Web of Science</v>
      </c>
    </row>
    <row r="297" spans="1:72" x14ac:dyDescent="0.25">
      <c r="A297" t="s">
        <v>72</v>
      </c>
      <c r="B297" t="s">
        <v>6216</v>
      </c>
      <c r="C297" t="s">
        <v>74</v>
      </c>
      <c r="D297" t="s">
        <v>74</v>
      </c>
      <c r="E297" t="s">
        <v>74</v>
      </c>
      <c r="F297" t="s">
        <v>6217</v>
      </c>
      <c r="G297" t="s">
        <v>74</v>
      </c>
      <c r="H297" t="s">
        <v>74</v>
      </c>
      <c r="I297" t="s">
        <v>6218</v>
      </c>
      <c r="J297" t="s">
        <v>6219</v>
      </c>
      <c r="K297" t="s">
        <v>74</v>
      </c>
      <c r="L297" t="s">
        <v>74</v>
      </c>
      <c r="M297" t="s">
        <v>78</v>
      </c>
      <c r="N297" t="s">
        <v>79</v>
      </c>
      <c r="O297" t="s">
        <v>74</v>
      </c>
      <c r="P297" t="s">
        <v>74</v>
      </c>
      <c r="Q297" t="s">
        <v>74</v>
      </c>
      <c r="R297" t="s">
        <v>74</v>
      </c>
      <c r="S297" t="s">
        <v>74</v>
      </c>
      <c r="T297" t="s">
        <v>6220</v>
      </c>
      <c r="U297" t="s">
        <v>74</v>
      </c>
      <c r="V297" t="s">
        <v>6221</v>
      </c>
      <c r="W297" t="s">
        <v>6222</v>
      </c>
      <c r="X297" t="s">
        <v>6223</v>
      </c>
      <c r="Y297" t="s">
        <v>6224</v>
      </c>
      <c r="Z297" t="s">
        <v>6225</v>
      </c>
      <c r="AA297" t="s">
        <v>6226</v>
      </c>
      <c r="AB297" t="s">
        <v>6227</v>
      </c>
      <c r="AC297" t="s">
        <v>74</v>
      </c>
      <c r="AD297" t="s">
        <v>74</v>
      </c>
      <c r="AE297" t="s">
        <v>74</v>
      </c>
      <c r="AF297" t="s">
        <v>74</v>
      </c>
      <c r="AG297">
        <v>22</v>
      </c>
      <c r="AH297">
        <v>0</v>
      </c>
      <c r="AI297">
        <v>0</v>
      </c>
      <c r="AJ297">
        <v>0</v>
      </c>
      <c r="AK297">
        <v>3</v>
      </c>
      <c r="AL297" t="s">
        <v>6228</v>
      </c>
      <c r="AM297" t="s">
        <v>6229</v>
      </c>
      <c r="AN297" t="s">
        <v>6230</v>
      </c>
      <c r="AO297" t="s">
        <v>6231</v>
      </c>
      <c r="AP297" t="s">
        <v>6232</v>
      </c>
      <c r="AQ297" t="s">
        <v>74</v>
      </c>
      <c r="AR297" t="s">
        <v>6233</v>
      </c>
      <c r="AS297" t="s">
        <v>6234</v>
      </c>
      <c r="AT297" t="s">
        <v>74</v>
      </c>
      <c r="AU297">
        <v>2019</v>
      </c>
      <c r="AV297">
        <v>34</v>
      </c>
      <c r="AW297">
        <v>1</v>
      </c>
      <c r="AX297" t="s">
        <v>74</v>
      </c>
      <c r="AY297" t="s">
        <v>74</v>
      </c>
      <c r="AZ297" t="s">
        <v>74</v>
      </c>
      <c r="BA297" t="s">
        <v>74</v>
      </c>
      <c r="BB297">
        <v>57</v>
      </c>
      <c r="BC297">
        <v>66</v>
      </c>
      <c r="BD297" t="s">
        <v>74</v>
      </c>
      <c r="BE297" t="s">
        <v>6235</v>
      </c>
      <c r="BF297" t="str">
        <f>HYPERLINK("http://dx.doi.org/10.28955/alinterizbd.542361","http://dx.doi.org/10.28955/alinterizbd.542361")</f>
        <v>http://dx.doi.org/10.28955/alinterizbd.542361</v>
      </c>
      <c r="BG297" t="s">
        <v>74</v>
      </c>
      <c r="BH297" t="s">
        <v>74</v>
      </c>
      <c r="BI297">
        <v>10</v>
      </c>
      <c r="BJ297" t="s">
        <v>6236</v>
      </c>
      <c r="BK297" t="s">
        <v>313</v>
      </c>
      <c r="BL297" t="s">
        <v>5152</v>
      </c>
      <c r="BM297" t="s">
        <v>6237</v>
      </c>
      <c r="BN297" t="s">
        <v>74</v>
      </c>
      <c r="BO297" t="s">
        <v>916</v>
      </c>
      <c r="BP297" t="s">
        <v>74</v>
      </c>
      <c r="BQ297" t="s">
        <v>74</v>
      </c>
      <c r="BR297" t="s">
        <v>102</v>
      </c>
      <c r="BS297" t="s">
        <v>6238</v>
      </c>
      <c r="BT297" t="str">
        <f>HYPERLINK("https%3A%2F%2Fwww.webofscience.com%2Fwos%2Fwoscc%2Ffull-record%2FWOS:000487564100009","View Full Record in Web of Science")</f>
        <v>View Full Record in Web of Science</v>
      </c>
    </row>
    <row r="298" spans="1:72" x14ac:dyDescent="0.25">
      <c r="A298" t="s">
        <v>72</v>
      </c>
      <c r="B298" t="s">
        <v>6239</v>
      </c>
      <c r="C298" t="s">
        <v>74</v>
      </c>
      <c r="D298" t="s">
        <v>74</v>
      </c>
      <c r="E298" t="s">
        <v>74</v>
      </c>
      <c r="F298" t="s">
        <v>6240</v>
      </c>
      <c r="G298" t="s">
        <v>74</v>
      </c>
      <c r="H298" t="s">
        <v>74</v>
      </c>
      <c r="I298" t="s">
        <v>6241</v>
      </c>
      <c r="J298" t="s">
        <v>6242</v>
      </c>
      <c r="K298" t="s">
        <v>74</v>
      </c>
      <c r="L298" t="s">
        <v>74</v>
      </c>
      <c r="M298" t="s">
        <v>78</v>
      </c>
      <c r="N298" t="s">
        <v>372</v>
      </c>
      <c r="O298" t="s">
        <v>74</v>
      </c>
      <c r="P298" t="s">
        <v>74</v>
      </c>
      <c r="Q298" t="s">
        <v>74</v>
      </c>
      <c r="R298" t="s">
        <v>74</v>
      </c>
      <c r="S298" t="s">
        <v>74</v>
      </c>
      <c r="T298" t="s">
        <v>6243</v>
      </c>
      <c r="U298" t="s">
        <v>74</v>
      </c>
      <c r="V298" t="s">
        <v>6244</v>
      </c>
      <c r="W298" t="s">
        <v>6245</v>
      </c>
      <c r="X298" t="s">
        <v>74</v>
      </c>
      <c r="Y298" t="s">
        <v>6246</v>
      </c>
      <c r="Z298" t="s">
        <v>6247</v>
      </c>
      <c r="AA298" t="s">
        <v>6248</v>
      </c>
      <c r="AB298" t="s">
        <v>6249</v>
      </c>
      <c r="AC298" t="s">
        <v>74</v>
      </c>
      <c r="AD298" t="s">
        <v>74</v>
      </c>
      <c r="AE298" t="s">
        <v>74</v>
      </c>
      <c r="AF298" t="s">
        <v>74</v>
      </c>
      <c r="AG298">
        <v>46</v>
      </c>
      <c r="AH298">
        <v>5</v>
      </c>
      <c r="AI298">
        <v>6</v>
      </c>
      <c r="AJ298">
        <v>5</v>
      </c>
      <c r="AK298">
        <v>37</v>
      </c>
      <c r="AL298" t="s">
        <v>385</v>
      </c>
      <c r="AM298" t="s">
        <v>1153</v>
      </c>
      <c r="AN298" t="s">
        <v>1154</v>
      </c>
      <c r="AO298" t="s">
        <v>6250</v>
      </c>
      <c r="AP298" t="s">
        <v>6251</v>
      </c>
      <c r="AQ298" t="s">
        <v>74</v>
      </c>
      <c r="AR298" t="s">
        <v>6252</v>
      </c>
      <c r="AS298" t="s">
        <v>6253</v>
      </c>
      <c r="AT298" t="s">
        <v>6254</v>
      </c>
      <c r="AU298">
        <v>2024</v>
      </c>
      <c r="AV298" t="s">
        <v>74</v>
      </c>
      <c r="AW298" t="s">
        <v>74</v>
      </c>
      <c r="AX298" t="s">
        <v>74</v>
      </c>
      <c r="AY298" t="s">
        <v>74</v>
      </c>
      <c r="AZ298" t="s">
        <v>74</v>
      </c>
      <c r="BA298" t="s">
        <v>74</v>
      </c>
      <c r="BB298" t="s">
        <v>74</v>
      </c>
      <c r="BC298" t="s">
        <v>74</v>
      </c>
      <c r="BD298" t="s">
        <v>74</v>
      </c>
      <c r="BE298" t="s">
        <v>6255</v>
      </c>
      <c r="BF298" t="str">
        <f>HYPERLINK("http://dx.doi.org/10.1007/s10796-024-10501-1","http://dx.doi.org/10.1007/s10796-024-10501-1")</f>
        <v>http://dx.doi.org/10.1007/s10796-024-10501-1</v>
      </c>
      <c r="BG298" t="s">
        <v>74</v>
      </c>
      <c r="BH298" t="s">
        <v>6256</v>
      </c>
      <c r="BI298">
        <v>22</v>
      </c>
      <c r="BJ298" t="s">
        <v>4466</v>
      </c>
      <c r="BK298" t="s">
        <v>128</v>
      </c>
      <c r="BL298" t="s">
        <v>157</v>
      </c>
      <c r="BM298" t="s">
        <v>6257</v>
      </c>
      <c r="BN298" t="s">
        <v>74</v>
      </c>
      <c r="BO298" t="s">
        <v>74</v>
      </c>
      <c r="BP298" t="s">
        <v>74</v>
      </c>
      <c r="BQ298" t="s">
        <v>74</v>
      </c>
      <c r="BR298" t="s">
        <v>102</v>
      </c>
      <c r="BS298" t="s">
        <v>6258</v>
      </c>
      <c r="BT298" t="str">
        <f>HYPERLINK("https%3A%2F%2Fwww.webofscience.com%2Fwos%2Fwoscc%2Ffull-record%2FWOS:001243823400001","View Full Record in Web of Science")</f>
        <v>View Full Record in Web of Science</v>
      </c>
    </row>
    <row r="299" spans="1:72" x14ac:dyDescent="0.25">
      <c r="A299" t="s">
        <v>132</v>
      </c>
      <c r="B299" t="s">
        <v>6259</v>
      </c>
      <c r="C299" t="s">
        <v>74</v>
      </c>
      <c r="D299" t="s">
        <v>6260</v>
      </c>
      <c r="E299" t="s">
        <v>74</v>
      </c>
      <c r="F299" t="s">
        <v>6261</v>
      </c>
      <c r="G299" t="s">
        <v>74</v>
      </c>
      <c r="H299" t="s">
        <v>74</v>
      </c>
      <c r="I299" t="s">
        <v>6262</v>
      </c>
      <c r="J299" t="s">
        <v>6263</v>
      </c>
      <c r="K299" t="s">
        <v>74</v>
      </c>
      <c r="L299" t="s">
        <v>74</v>
      </c>
      <c r="M299" t="s">
        <v>78</v>
      </c>
      <c r="N299" t="s">
        <v>138</v>
      </c>
      <c r="O299" t="s">
        <v>6264</v>
      </c>
      <c r="P299" t="s">
        <v>6265</v>
      </c>
      <c r="Q299" t="s">
        <v>1550</v>
      </c>
      <c r="R299" t="s">
        <v>74</v>
      </c>
      <c r="S299" t="s">
        <v>74</v>
      </c>
      <c r="T299" t="s">
        <v>6266</v>
      </c>
      <c r="U299" t="s">
        <v>74</v>
      </c>
      <c r="V299" t="s">
        <v>6267</v>
      </c>
      <c r="W299" t="s">
        <v>6268</v>
      </c>
      <c r="X299" t="s">
        <v>6269</v>
      </c>
      <c r="Y299" t="s">
        <v>6270</v>
      </c>
      <c r="Z299" t="s">
        <v>74</v>
      </c>
      <c r="AA299" t="s">
        <v>5420</v>
      </c>
      <c r="AB299" t="s">
        <v>74</v>
      </c>
      <c r="AC299" t="s">
        <v>6271</v>
      </c>
      <c r="AD299" t="s">
        <v>6271</v>
      </c>
      <c r="AE299" t="s">
        <v>6272</v>
      </c>
      <c r="AF299" t="s">
        <v>74</v>
      </c>
      <c r="AG299">
        <v>16</v>
      </c>
      <c r="AH299">
        <v>4</v>
      </c>
      <c r="AI299">
        <v>4</v>
      </c>
      <c r="AJ299">
        <v>0</v>
      </c>
      <c r="AK299">
        <v>1</v>
      </c>
      <c r="AL299" t="s">
        <v>6273</v>
      </c>
      <c r="AM299" t="s">
        <v>6274</v>
      </c>
      <c r="AN299" t="s">
        <v>6275</v>
      </c>
      <c r="AO299" t="s">
        <v>74</v>
      </c>
      <c r="AP299" t="s">
        <v>74</v>
      </c>
      <c r="AQ299" t="s">
        <v>6276</v>
      </c>
      <c r="AR299" t="s">
        <v>74</v>
      </c>
      <c r="AS299" t="s">
        <v>74</v>
      </c>
      <c r="AT299" t="s">
        <v>74</v>
      </c>
      <c r="AU299">
        <v>2021</v>
      </c>
      <c r="AV299" t="s">
        <v>74</v>
      </c>
      <c r="AW299" t="s">
        <v>74</v>
      </c>
      <c r="AX299" t="s">
        <v>74</v>
      </c>
      <c r="AY299" t="s">
        <v>74</v>
      </c>
      <c r="AZ299" t="s">
        <v>74</v>
      </c>
      <c r="BA299" t="s">
        <v>74</v>
      </c>
      <c r="BB299">
        <v>479</v>
      </c>
      <c r="BC299">
        <v>486</v>
      </c>
      <c r="BD299" t="s">
        <v>74</v>
      </c>
      <c r="BE299" t="s">
        <v>6277</v>
      </c>
      <c r="BF299" t="str">
        <f>HYPERLINK("http://dx.doi.org/10.5220/0010543504790486","http://dx.doi.org/10.5220/0010543504790486")</f>
        <v>http://dx.doi.org/10.5220/0010543504790486</v>
      </c>
      <c r="BG299" t="s">
        <v>74</v>
      </c>
      <c r="BH299" t="s">
        <v>74</v>
      </c>
      <c r="BI299">
        <v>8</v>
      </c>
      <c r="BJ299" t="s">
        <v>4466</v>
      </c>
      <c r="BK299" t="s">
        <v>156</v>
      </c>
      <c r="BL299" t="s">
        <v>157</v>
      </c>
      <c r="BM299" t="s">
        <v>6278</v>
      </c>
      <c r="BN299" t="s">
        <v>74</v>
      </c>
      <c r="BO299" t="s">
        <v>212</v>
      </c>
      <c r="BP299" t="s">
        <v>74</v>
      </c>
      <c r="BQ299" t="s">
        <v>74</v>
      </c>
      <c r="BR299" t="s">
        <v>102</v>
      </c>
      <c r="BS299" t="s">
        <v>6279</v>
      </c>
      <c r="BT299" t="str">
        <f>HYPERLINK("https%3A%2F%2Fwww.webofscience.com%2Fwos%2Fwoscc%2Ffull-record%2FWOS:000720102500042","View Full Record in Web of Science")</f>
        <v>View Full Record in Web of Science</v>
      </c>
    </row>
    <row r="300" spans="1:72" x14ac:dyDescent="0.25">
      <c r="A300" t="s">
        <v>72</v>
      </c>
      <c r="B300" t="s">
        <v>6280</v>
      </c>
      <c r="C300" t="s">
        <v>74</v>
      </c>
      <c r="D300" t="s">
        <v>74</v>
      </c>
      <c r="E300" t="s">
        <v>74</v>
      </c>
      <c r="F300" t="s">
        <v>6281</v>
      </c>
      <c r="G300" t="s">
        <v>74</v>
      </c>
      <c r="H300" t="s">
        <v>74</v>
      </c>
      <c r="I300" t="s">
        <v>6282</v>
      </c>
      <c r="J300" t="s">
        <v>6283</v>
      </c>
      <c r="K300" t="s">
        <v>74</v>
      </c>
      <c r="L300" t="s">
        <v>74</v>
      </c>
      <c r="M300" t="s">
        <v>78</v>
      </c>
      <c r="N300" t="s">
        <v>79</v>
      </c>
      <c r="O300" t="s">
        <v>74</v>
      </c>
      <c r="P300" t="s">
        <v>74</v>
      </c>
      <c r="Q300" t="s">
        <v>74</v>
      </c>
      <c r="R300" t="s">
        <v>74</v>
      </c>
      <c r="S300" t="s">
        <v>74</v>
      </c>
      <c r="T300" t="s">
        <v>6284</v>
      </c>
      <c r="U300" t="s">
        <v>6285</v>
      </c>
      <c r="V300" t="s">
        <v>6286</v>
      </c>
      <c r="W300" t="s">
        <v>6287</v>
      </c>
      <c r="X300" t="s">
        <v>6288</v>
      </c>
      <c r="Y300" t="s">
        <v>6289</v>
      </c>
      <c r="Z300" t="s">
        <v>6290</v>
      </c>
      <c r="AA300" t="s">
        <v>6291</v>
      </c>
      <c r="AB300" t="s">
        <v>6292</v>
      </c>
      <c r="AC300" t="s">
        <v>74</v>
      </c>
      <c r="AD300" t="s">
        <v>74</v>
      </c>
      <c r="AE300" t="s">
        <v>74</v>
      </c>
      <c r="AF300" t="s">
        <v>74</v>
      </c>
      <c r="AG300">
        <v>69</v>
      </c>
      <c r="AH300">
        <v>8</v>
      </c>
      <c r="AI300">
        <v>9</v>
      </c>
      <c r="AJ300">
        <v>3</v>
      </c>
      <c r="AK300">
        <v>13</v>
      </c>
      <c r="AL300" t="s">
        <v>479</v>
      </c>
      <c r="AM300" t="s">
        <v>480</v>
      </c>
      <c r="AN300" t="s">
        <v>481</v>
      </c>
      <c r="AO300" t="s">
        <v>6293</v>
      </c>
      <c r="AP300" t="s">
        <v>6294</v>
      </c>
      <c r="AQ300" t="s">
        <v>74</v>
      </c>
      <c r="AR300" t="s">
        <v>6295</v>
      </c>
      <c r="AS300" t="s">
        <v>6296</v>
      </c>
      <c r="AT300" t="s">
        <v>289</v>
      </c>
      <c r="AU300">
        <v>2023</v>
      </c>
      <c r="AV300">
        <v>31</v>
      </c>
      <c r="AW300">
        <v>4</v>
      </c>
      <c r="AX300" t="s">
        <v>74</v>
      </c>
      <c r="AY300" t="s">
        <v>74</v>
      </c>
      <c r="AZ300" t="s">
        <v>74</v>
      </c>
      <c r="BA300" t="s">
        <v>74</v>
      </c>
      <c r="BB300">
        <v>2814</v>
      </c>
      <c r="BC300">
        <v>2825</v>
      </c>
      <c r="BD300" t="s">
        <v>74</v>
      </c>
      <c r="BE300" t="s">
        <v>6297</v>
      </c>
      <c r="BF300" t="str">
        <f>HYPERLINK("http://dx.doi.org/10.1002/sd.2549","http://dx.doi.org/10.1002/sd.2549")</f>
        <v>http://dx.doi.org/10.1002/sd.2549</v>
      </c>
      <c r="BG300" t="s">
        <v>74</v>
      </c>
      <c r="BH300" t="s">
        <v>6298</v>
      </c>
      <c r="BI300">
        <v>12</v>
      </c>
      <c r="BJ300" t="s">
        <v>6299</v>
      </c>
      <c r="BK300" t="s">
        <v>99</v>
      </c>
      <c r="BL300" t="s">
        <v>6300</v>
      </c>
      <c r="BM300" t="s">
        <v>6301</v>
      </c>
      <c r="BN300" t="s">
        <v>74</v>
      </c>
      <c r="BO300" t="s">
        <v>74</v>
      </c>
      <c r="BP300" t="s">
        <v>74</v>
      </c>
      <c r="BQ300" t="s">
        <v>74</v>
      </c>
      <c r="BR300" t="s">
        <v>102</v>
      </c>
      <c r="BS300" t="s">
        <v>6302</v>
      </c>
      <c r="BT300" t="str">
        <f>HYPERLINK("https%3A%2F%2Fwww.webofscience.com%2Fwos%2Fwoscc%2Ffull-record%2FWOS:000963291900001","View Full Record in Web of Science")</f>
        <v>View Full Record in Web of Science</v>
      </c>
    </row>
    <row r="301" spans="1:72" x14ac:dyDescent="0.25">
      <c r="A301" t="s">
        <v>72</v>
      </c>
      <c r="B301" t="s">
        <v>6303</v>
      </c>
      <c r="C301" t="s">
        <v>74</v>
      </c>
      <c r="D301" t="s">
        <v>74</v>
      </c>
      <c r="E301" t="s">
        <v>74</v>
      </c>
      <c r="F301" t="s">
        <v>6304</v>
      </c>
      <c r="G301" t="s">
        <v>74</v>
      </c>
      <c r="H301" t="s">
        <v>74</v>
      </c>
      <c r="I301" t="s">
        <v>6305</v>
      </c>
      <c r="J301" t="s">
        <v>6306</v>
      </c>
      <c r="K301" t="s">
        <v>74</v>
      </c>
      <c r="L301" t="s">
        <v>74</v>
      </c>
      <c r="M301" t="s">
        <v>78</v>
      </c>
      <c r="N301" t="s">
        <v>79</v>
      </c>
      <c r="O301" t="s">
        <v>74</v>
      </c>
      <c r="P301" t="s">
        <v>74</v>
      </c>
      <c r="Q301" t="s">
        <v>74</v>
      </c>
      <c r="R301" t="s">
        <v>74</v>
      </c>
      <c r="S301" t="s">
        <v>74</v>
      </c>
      <c r="T301" t="s">
        <v>6307</v>
      </c>
      <c r="U301" t="s">
        <v>6308</v>
      </c>
      <c r="V301" t="s">
        <v>6309</v>
      </c>
      <c r="W301" t="s">
        <v>6310</v>
      </c>
      <c r="X301" t="s">
        <v>6311</v>
      </c>
      <c r="Y301" t="s">
        <v>6312</v>
      </c>
      <c r="Z301" t="s">
        <v>6313</v>
      </c>
      <c r="AA301" t="s">
        <v>6314</v>
      </c>
      <c r="AB301" t="s">
        <v>6315</v>
      </c>
      <c r="AC301" t="s">
        <v>6316</v>
      </c>
      <c r="AD301" t="s">
        <v>6317</v>
      </c>
      <c r="AE301" t="s">
        <v>6318</v>
      </c>
      <c r="AF301" t="s">
        <v>74</v>
      </c>
      <c r="AG301">
        <v>54</v>
      </c>
      <c r="AH301">
        <v>0</v>
      </c>
      <c r="AI301">
        <v>0</v>
      </c>
      <c r="AJ301">
        <v>5</v>
      </c>
      <c r="AK301">
        <v>5</v>
      </c>
      <c r="AL301" t="s">
        <v>575</v>
      </c>
      <c r="AM301" t="s">
        <v>576</v>
      </c>
      <c r="AN301" t="s">
        <v>577</v>
      </c>
      <c r="AO301" t="s">
        <v>74</v>
      </c>
      <c r="AP301" t="s">
        <v>6319</v>
      </c>
      <c r="AQ301" t="s">
        <v>74</v>
      </c>
      <c r="AR301" t="s">
        <v>6306</v>
      </c>
      <c r="AS301" t="s">
        <v>6320</v>
      </c>
      <c r="AT301" t="s">
        <v>6321</v>
      </c>
      <c r="AU301">
        <v>2025</v>
      </c>
      <c r="AV301">
        <v>13</v>
      </c>
      <c r="AW301">
        <v>9</v>
      </c>
      <c r="AX301" t="s">
        <v>74</v>
      </c>
      <c r="AY301" t="s">
        <v>74</v>
      </c>
      <c r="AZ301" t="s">
        <v>74</v>
      </c>
      <c r="BA301" t="s">
        <v>74</v>
      </c>
      <c r="BB301" t="s">
        <v>74</v>
      </c>
      <c r="BC301" t="s">
        <v>74</v>
      </c>
      <c r="BD301">
        <v>170</v>
      </c>
      <c r="BE301" t="s">
        <v>6322</v>
      </c>
      <c r="BF301" t="str">
        <f>HYPERLINK("http://dx.doi.org/10.3390/risks13090170","http://dx.doi.org/10.3390/risks13090170")</f>
        <v>http://dx.doi.org/10.3390/risks13090170</v>
      </c>
      <c r="BG301" t="s">
        <v>74</v>
      </c>
      <c r="BH301" t="s">
        <v>74</v>
      </c>
      <c r="BI301">
        <v>19</v>
      </c>
      <c r="BJ301" t="s">
        <v>268</v>
      </c>
      <c r="BK301" t="s">
        <v>313</v>
      </c>
      <c r="BL301" t="s">
        <v>100</v>
      </c>
      <c r="BM301" t="s">
        <v>6323</v>
      </c>
      <c r="BN301" t="s">
        <v>74</v>
      </c>
      <c r="BO301" t="s">
        <v>212</v>
      </c>
      <c r="BP301" t="s">
        <v>74</v>
      </c>
      <c r="BQ301" t="s">
        <v>74</v>
      </c>
      <c r="BR301" t="s">
        <v>102</v>
      </c>
      <c r="BS301" t="s">
        <v>6324</v>
      </c>
      <c r="BT301" t="str">
        <f>HYPERLINK("https%3A%2F%2Fwww.webofscience.com%2Fwos%2Fwoscc%2Ffull-record%2FWOS:001581079700001","View Full Record in Web of Science")</f>
        <v>View Full Record in Web of Science</v>
      </c>
    </row>
    <row r="302" spans="1:72" x14ac:dyDescent="0.25">
      <c r="A302" t="s">
        <v>132</v>
      </c>
      <c r="B302" t="s">
        <v>6059</v>
      </c>
      <c r="C302" t="s">
        <v>74</v>
      </c>
      <c r="D302" t="s">
        <v>6325</v>
      </c>
      <c r="E302" t="s">
        <v>74</v>
      </c>
      <c r="F302" t="s">
        <v>6060</v>
      </c>
      <c r="G302" t="s">
        <v>74</v>
      </c>
      <c r="H302" t="s">
        <v>74</v>
      </c>
      <c r="I302" t="s">
        <v>6326</v>
      </c>
      <c r="J302" t="s">
        <v>6327</v>
      </c>
      <c r="K302" t="s">
        <v>74</v>
      </c>
      <c r="L302" t="s">
        <v>74</v>
      </c>
      <c r="M302" t="s">
        <v>78</v>
      </c>
      <c r="N302" t="s">
        <v>138</v>
      </c>
      <c r="O302" t="s">
        <v>6328</v>
      </c>
      <c r="P302" t="s">
        <v>6329</v>
      </c>
      <c r="Q302" t="s">
        <v>6330</v>
      </c>
      <c r="R302" t="s">
        <v>6331</v>
      </c>
      <c r="S302" t="s">
        <v>74</v>
      </c>
      <c r="T302" t="s">
        <v>6332</v>
      </c>
      <c r="U302" t="s">
        <v>6068</v>
      </c>
      <c r="V302" t="s">
        <v>6333</v>
      </c>
      <c r="W302" t="s">
        <v>6070</v>
      </c>
      <c r="X302" t="s">
        <v>3960</v>
      </c>
      <c r="Y302" t="s">
        <v>6071</v>
      </c>
      <c r="Z302" t="s">
        <v>6334</v>
      </c>
      <c r="AA302" t="s">
        <v>6072</v>
      </c>
      <c r="AB302" t="s">
        <v>74</v>
      </c>
      <c r="AC302" t="s">
        <v>74</v>
      </c>
      <c r="AD302" t="s">
        <v>74</v>
      </c>
      <c r="AE302" t="s">
        <v>74</v>
      </c>
      <c r="AF302" t="s">
        <v>74</v>
      </c>
      <c r="AG302">
        <v>40</v>
      </c>
      <c r="AH302">
        <v>1</v>
      </c>
      <c r="AI302">
        <v>1</v>
      </c>
      <c r="AJ302">
        <v>0</v>
      </c>
      <c r="AK302">
        <v>14</v>
      </c>
      <c r="AL302" t="s">
        <v>771</v>
      </c>
      <c r="AM302" t="s">
        <v>151</v>
      </c>
      <c r="AN302" t="s">
        <v>785</v>
      </c>
      <c r="AO302" t="s">
        <v>74</v>
      </c>
      <c r="AP302" t="s">
        <v>74</v>
      </c>
      <c r="AQ302" t="s">
        <v>6335</v>
      </c>
      <c r="AR302" t="s">
        <v>74</v>
      </c>
      <c r="AS302" t="s">
        <v>74</v>
      </c>
      <c r="AT302" t="s">
        <v>74</v>
      </c>
      <c r="AU302">
        <v>2012</v>
      </c>
      <c r="AV302" t="s">
        <v>74</v>
      </c>
      <c r="AW302" t="s">
        <v>74</v>
      </c>
      <c r="AX302" t="s">
        <v>74</v>
      </c>
      <c r="AY302" t="s">
        <v>74</v>
      </c>
      <c r="AZ302" t="s">
        <v>74</v>
      </c>
      <c r="BA302" t="s">
        <v>74</v>
      </c>
      <c r="BB302" t="s">
        <v>74</v>
      </c>
      <c r="BC302" t="s">
        <v>74</v>
      </c>
      <c r="BD302" t="s">
        <v>74</v>
      </c>
      <c r="BE302" t="s">
        <v>74</v>
      </c>
      <c r="BF302" t="s">
        <v>74</v>
      </c>
      <c r="BG302" t="s">
        <v>74</v>
      </c>
      <c r="BH302" t="s">
        <v>74</v>
      </c>
      <c r="BI302">
        <v>9</v>
      </c>
      <c r="BJ302" t="s">
        <v>980</v>
      </c>
      <c r="BK302" t="s">
        <v>156</v>
      </c>
      <c r="BL302" t="s">
        <v>981</v>
      </c>
      <c r="BM302" t="s">
        <v>6336</v>
      </c>
      <c r="BN302" t="s">
        <v>74</v>
      </c>
      <c r="BO302" t="s">
        <v>74</v>
      </c>
      <c r="BP302" t="s">
        <v>74</v>
      </c>
      <c r="BQ302" t="s">
        <v>74</v>
      </c>
      <c r="BR302" t="s">
        <v>102</v>
      </c>
      <c r="BS302" t="s">
        <v>6337</v>
      </c>
      <c r="BT302" t="str">
        <f>HYPERLINK("https%3A%2F%2Fwww.webofscience.com%2Fwos%2Fwoscc%2Ffull-record%2FWOS:000309767300023","View Full Record in Web of Science")</f>
        <v>View Full Record in Web of Science</v>
      </c>
    </row>
    <row r="303" spans="1:72" x14ac:dyDescent="0.25">
      <c r="A303" t="s">
        <v>72</v>
      </c>
      <c r="B303" t="s">
        <v>6338</v>
      </c>
      <c r="C303" t="s">
        <v>74</v>
      </c>
      <c r="D303" t="s">
        <v>74</v>
      </c>
      <c r="E303" t="s">
        <v>74</v>
      </c>
      <c r="F303" t="s">
        <v>6339</v>
      </c>
      <c r="G303" t="s">
        <v>74</v>
      </c>
      <c r="H303" t="s">
        <v>74</v>
      </c>
      <c r="I303" t="s">
        <v>6340</v>
      </c>
      <c r="J303" t="s">
        <v>6341</v>
      </c>
      <c r="K303" t="s">
        <v>74</v>
      </c>
      <c r="L303" t="s">
        <v>74</v>
      </c>
      <c r="M303" t="s">
        <v>78</v>
      </c>
      <c r="N303" t="s">
        <v>79</v>
      </c>
      <c r="O303" t="s">
        <v>74</v>
      </c>
      <c r="P303" t="s">
        <v>74</v>
      </c>
      <c r="Q303" t="s">
        <v>74</v>
      </c>
      <c r="R303" t="s">
        <v>74</v>
      </c>
      <c r="S303" t="s">
        <v>74</v>
      </c>
      <c r="T303" t="s">
        <v>6342</v>
      </c>
      <c r="U303" t="s">
        <v>6343</v>
      </c>
      <c r="V303" t="s">
        <v>6344</v>
      </c>
      <c r="W303" t="s">
        <v>6345</v>
      </c>
      <c r="X303" t="s">
        <v>6346</v>
      </c>
      <c r="Y303" t="s">
        <v>6347</v>
      </c>
      <c r="Z303" t="s">
        <v>6348</v>
      </c>
      <c r="AA303" t="s">
        <v>6349</v>
      </c>
      <c r="AB303" t="s">
        <v>6350</v>
      </c>
      <c r="AC303" t="s">
        <v>6351</v>
      </c>
      <c r="AD303" t="s">
        <v>6351</v>
      </c>
      <c r="AE303" t="s">
        <v>6352</v>
      </c>
      <c r="AF303" t="s">
        <v>74</v>
      </c>
      <c r="AG303">
        <v>68</v>
      </c>
      <c r="AH303">
        <v>0</v>
      </c>
      <c r="AI303">
        <v>0</v>
      </c>
      <c r="AJ303">
        <v>0</v>
      </c>
      <c r="AK303">
        <v>1</v>
      </c>
      <c r="AL303" t="s">
        <v>3097</v>
      </c>
      <c r="AM303" t="s">
        <v>3098</v>
      </c>
      <c r="AN303" t="s">
        <v>3099</v>
      </c>
      <c r="AO303" t="s">
        <v>74</v>
      </c>
      <c r="AP303" t="s">
        <v>6353</v>
      </c>
      <c r="AQ303" t="s">
        <v>74</v>
      </c>
      <c r="AR303" t="s">
        <v>6354</v>
      </c>
      <c r="AS303" t="s">
        <v>6355</v>
      </c>
      <c r="AT303" t="s">
        <v>5746</v>
      </c>
      <c r="AU303">
        <v>2024</v>
      </c>
      <c r="AV303">
        <v>20</v>
      </c>
      <c r="AW303">
        <v>2</v>
      </c>
      <c r="AX303" t="s">
        <v>74</v>
      </c>
      <c r="AY303" t="s">
        <v>74</v>
      </c>
      <c r="AZ303" t="s">
        <v>74</v>
      </c>
      <c r="BA303" t="s">
        <v>74</v>
      </c>
      <c r="BB303">
        <v>42</v>
      </c>
      <c r="BC303">
        <v>61</v>
      </c>
      <c r="BD303" t="s">
        <v>74</v>
      </c>
      <c r="BE303" t="s">
        <v>6356</v>
      </c>
      <c r="BF303" t="str">
        <f>HYPERLINK("http://dx.doi.org/10.2478/fiqf-2024-0011","http://dx.doi.org/10.2478/fiqf-2024-0011")</f>
        <v>http://dx.doi.org/10.2478/fiqf-2024-0011</v>
      </c>
      <c r="BG303" t="s">
        <v>74</v>
      </c>
      <c r="BH303" t="s">
        <v>74</v>
      </c>
      <c r="BI303">
        <v>20</v>
      </c>
      <c r="BJ303" t="s">
        <v>210</v>
      </c>
      <c r="BK303" t="s">
        <v>313</v>
      </c>
      <c r="BL303" t="s">
        <v>100</v>
      </c>
      <c r="BM303" t="s">
        <v>6357</v>
      </c>
      <c r="BN303" t="s">
        <v>74</v>
      </c>
      <c r="BO303" t="s">
        <v>212</v>
      </c>
      <c r="BP303" t="s">
        <v>74</v>
      </c>
      <c r="BQ303" t="s">
        <v>74</v>
      </c>
      <c r="BR303" t="s">
        <v>102</v>
      </c>
      <c r="BS303" t="s">
        <v>6358</v>
      </c>
      <c r="BT303" t="str">
        <f>HYPERLINK("https%3A%2F%2Fwww.webofscience.com%2Fwos%2Fwoscc%2Ffull-record%2FWOS:001251361600005","View Full Record in Web of Science")</f>
        <v>View Full Record in Web of Science</v>
      </c>
    </row>
    <row r="304" spans="1:72" x14ac:dyDescent="0.25">
      <c r="A304" t="s">
        <v>72</v>
      </c>
      <c r="B304" t="s">
        <v>6359</v>
      </c>
      <c r="C304" t="s">
        <v>74</v>
      </c>
      <c r="D304" t="s">
        <v>74</v>
      </c>
      <c r="E304" t="s">
        <v>74</v>
      </c>
      <c r="F304" t="s">
        <v>6360</v>
      </c>
      <c r="G304" t="s">
        <v>74</v>
      </c>
      <c r="H304" t="s">
        <v>74</v>
      </c>
      <c r="I304" t="s">
        <v>6361</v>
      </c>
      <c r="J304" t="s">
        <v>6362</v>
      </c>
      <c r="K304" t="s">
        <v>74</v>
      </c>
      <c r="L304" t="s">
        <v>74</v>
      </c>
      <c r="M304" t="s">
        <v>78</v>
      </c>
      <c r="N304" t="s">
        <v>79</v>
      </c>
      <c r="O304" t="s">
        <v>74</v>
      </c>
      <c r="P304" t="s">
        <v>74</v>
      </c>
      <c r="Q304" t="s">
        <v>74</v>
      </c>
      <c r="R304" t="s">
        <v>74</v>
      </c>
      <c r="S304" t="s">
        <v>74</v>
      </c>
      <c r="T304" t="s">
        <v>6363</v>
      </c>
      <c r="U304" t="s">
        <v>6364</v>
      </c>
      <c r="V304" t="s">
        <v>6365</v>
      </c>
      <c r="W304" t="s">
        <v>6366</v>
      </c>
      <c r="X304" t="s">
        <v>6367</v>
      </c>
      <c r="Y304" t="s">
        <v>6368</v>
      </c>
      <c r="Z304" t="s">
        <v>6369</v>
      </c>
      <c r="AA304" t="s">
        <v>74</v>
      </c>
      <c r="AB304" t="s">
        <v>6370</v>
      </c>
      <c r="AC304" t="s">
        <v>6371</v>
      </c>
      <c r="AD304" t="s">
        <v>6372</v>
      </c>
      <c r="AE304" t="s">
        <v>6373</v>
      </c>
      <c r="AF304" t="s">
        <v>74</v>
      </c>
      <c r="AG304">
        <v>70</v>
      </c>
      <c r="AH304">
        <v>67</v>
      </c>
      <c r="AI304">
        <v>99</v>
      </c>
      <c r="AJ304">
        <v>6</v>
      </c>
      <c r="AK304">
        <v>46</v>
      </c>
      <c r="AL304" t="s">
        <v>201</v>
      </c>
      <c r="AM304" t="s">
        <v>202</v>
      </c>
      <c r="AN304" t="s">
        <v>203</v>
      </c>
      <c r="AO304" t="s">
        <v>6374</v>
      </c>
      <c r="AP304" t="s">
        <v>6375</v>
      </c>
      <c r="AQ304" t="s">
        <v>74</v>
      </c>
      <c r="AR304" t="s">
        <v>6376</v>
      </c>
      <c r="AS304" t="s">
        <v>6377</v>
      </c>
      <c r="AT304" t="s">
        <v>1652</v>
      </c>
      <c r="AU304">
        <v>2018</v>
      </c>
      <c r="AV304">
        <v>150</v>
      </c>
      <c r="AW304" t="s">
        <v>74</v>
      </c>
      <c r="AX304" t="s">
        <v>74</v>
      </c>
      <c r="AY304" t="s">
        <v>74</v>
      </c>
      <c r="AZ304" t="s">
        <v>74</v>
      </c>
      <c r="BA304" t="s">
        <v>74</v>
      </c>
      <c r="BB304">
        <v>62</v>
      </c>
      <c r="BC304">
        <v>85</v>
      </c>
      <c r="BD304" t="s">
        <v>74</v>
      </c>
      <c r="BE304" t="s">
        <v>6378</v>
      </c>
      <c r="BF304" t="str">
        <f>HYPERLINK("http://dx.doi.org/10.1016/j.jebo.2018.03.011","http://dx.doi.org/10.1016/j.jebo.2018.03.011")</f>
        <v>http://dx.doi.org/10.1016/j.jebo.2018.03.011</v>
      </c>
      <c r="BG304" t="s">
        <v>74</v>
      </c>
      <c r="BH304" t="s">
        <v>74</v>
      </c>
      <c r="BI304">
        <v>24</v>
      </c>
      <c r="BJ304" t="s">
        <v>291</v>
      </c>
      <c r="BK304" t="s">
        <v>99</v>
      </c>
      <c r="BL304" t="s">
        <v>100</v>
      </c>
      <c r="BM304" t="s">
        <v>6379</v>
      </c>
      <c r="BN304" t="s">
        <v>74</v>
      </c>
      <c r="BO304" t="s">
        <v>270</v>
      </c>
      <c r="BP304" t="s">
        <v>74</v>
      </c>
      <c r="BQ304" t="s">
        <v>74</v>
      </c>
      <c r="BR304" t="s">
        <v>102</v>
      </c>
      <c r="BS304" t="s">
        <v>6380</v>
      </c>
      <c r="BT304" t="str">
        <f>HYPERLINK("https%3A%2F%2Fwww.webofscience.com%2Fwos%2Fwoscc%2Ffull-record%2FWOS:000436226500005","View Full Record in Web of Science")</f>
        <v>View Full Record in Web of Science</v>
      </c>
    </row>
    <row r="305" spans="1:72" x14ac:dyDescent="0.25">
      <c r="A305" t="s">
        <v>72</v>
      </c>
      <c r="B305" t="s">
        <v>6381</v>
      </c>
      <c r="C305" t="s">
        <v>74</v>
      </c>
      <c r="D305" t="s">
        <v>74</v>
      </c>
      <c r="E305" t="s">
        <v>74</v>
      </c>
      <c r="F305" t="s">
        <v>6382</v>
      </c>
      <c r="G305" t="s">
        <v>74</v>
      </c>
      <c r="H305" t="s">
        <v>74</v>
      </c>
      <c r="I305" t="s">
        <v>6383</v>
      </c>
      <c r="J305" t="s">
        <v>3253</v>
      </c>
      <c r="K305" t="s">
        <v>74</v>
      </c>
      <c r="L305" t="s">
        <v>74</v>
      </c>
      <c r="M305" t="s">
        <v>78</v>
      </c>
      <c r="N305" t="s">
        <v>79</v>
      </c>
      <c r="O305" t="s">
        <v>74</v>
      </c>
      <c r="P305" t="s">
        <v>74</v>
      </c>
      <c r="Q305" t="s">
        <v>74</v>
      </c>
      <c r="R305" t="s">
        <v>74</v>
      </c>
      <c r="S305" t="s">
        <v>74</v>
      </c>
      <c r="T305" t="s">
        <v>6384</v>
      </c>
      <c r="U305" t="s">
        <v>6385</v>
      </c>
      <c r="V305" t="s">
        <v>6386</v>
      </c>
      <c r="W305" t="s">
        <v>6387</v>
      </c>
      <c r="X305" t="s">
        <v>6388</v>
      </c>
      <c r="Y305" t="s">
        <v>6389</v>
      </c>
      <c r="Z305" t="s">
        <v>6390</v>
      </c>
      <c r="AA305" t="s">
        <v>74</v>
      </c>
      <c r="AB305" t="s">
        <v>6391</v>
      </c>
      <c r="AC305" t="s">
        <v>6392</v>
      </c>
      <c r="AD305" t="s">
        <v>6392</v>
      </c>
      <c r="AE305" t="s">
        <v>6393</v>
      </c>
      <c r="AF305" t="s">
        <v>74</v>
      </c>
      <c r="AG305">
        <v>85</v>
      </c>
      <c r="AH305">
        <v>45</v>
      </c>
      <c r="AI305">
        <v>61</v>
      </c>
      <c r="AJ305">
        <v>5</v>
      </c>
      <c r="AK305">
        <v>77</v>
      </c>
      <c r="AL305" t="s">
        <v>385</v>
      </c>
      <c r="AM305" t="s">
        <v>151</v>
      </c>
      <c r="AN305" t="s">
        <v>386</v>
      </c>
      <c r="AO305" t="s">
        <v>3260</v>
      </c>
      <c r="AP305" t="s">
        <v>3261</v>
      </c>
      <c r="AQ305" t="s">
        <v>74</v>
      </c>
      <c r="AR305" t="s">
        <v>3262</v>
      </c>
      <c r="AS305" t="s">
        <v>3263</v>
      </c>
      <c r="AT305" t="s">
        <v>1652</v>
      </c>
      <c r="AU305">
        <v>2022</v>
      </c>
      <c r="AV305">
        <v>45</v>
      </c>
      <c r="AW305">
        <v>2</v>
      </c>
      <c r="AX305" t="s">
        <v>74</v>
      </c>
      <c r="AY305" t="s">
        <v>74</v>
      </c>
      <c r="AZ305" t="s">
        <v>74</v>
      </c>
      <c r="BA305" t="s">
        <v>74</v>
      </c>
      <c r="BB305">
        <v>281</v>
      </c>
      <c r="BC305">
        <v>306</v>
      </c>
      <c r="BD305" t="s">
        <v>74</v>
      </c>
      <c r="BE305" t="s">
        <v>6394</v>
      </c>
      <c r="BF305" t="str">
        <f>HYPERLINK("http://dx.doi.org/10.1007/s10603-022-09512-9","http://dx.doi.org/10.1007/s10603-022-09512-9")</f>
        <v>http://dx.doi.org/10.1007/s10603-022-09512-9</v>
      </c>
      <c r="BG305" t="s">
        <v>74</v>
      </c>
      <c r="BH305" t="s">
        <v>767</v>
      </c>
      <c r="BI305">
        <v>26</v>
      </c>
      <c r="BJ305" t="s">
        <v>418</v>
      </c>
      <c r="BK305" t="s">
        <v>313</v>
      </c>
      <c r="BL305" t="s">
        <v>100</v>
      </c>
      <c r="BM305" t="s">
        <v>6395</v>
      </c>
      <c r="BN305">
        <v>35283545</v>
      </c>
      <c r="BO305" t="s">
        <v>466</v>
      </c>
      <c r="BP305" t="s">
        <v>74</v>
      </c>
      <c r="BQ305" t="s">
        <v>74</v>
      </c>
      <c r="BR305" t="s">
        <v>102</v>
      </c>
      <c r="BS305" t="s">
        <v>6396</v>
      </c>
      <c r="BT305" t="str">
        <f>HYPERLINK("https%3A%2F%2Fwww.webofscience.com%2Fwos%2Fwoscc%2Ffull-record%2FWOS:000765671400001","View Full Record in Web of Science")</f>
        <v>View Full Record in Web of Science</v>
      </c>
    </row>
    <row r="306" spans="1:72" x14ac:dyDescent="0.25">
      <c r="A306" t="s">
        <v>72</v>
      </c>
      <c r="B306" t="s">
        <v>6397</v>
      </c>
      <c r="C306" t="s">
        <v>74</v>
      </c>
      <c r="D306" t="s">
        <v>74</v>
      </c>
      <c r="E306" t="s">
        <v>74</v>
      </c>
      <c r="F306" t="s">
        <v>6398</v>
      </c>
      <c r="G306" t="s">
        <v>74</v>
      </c>
      <c r="H306" t="s">
        <v>74</v>
      </c>
      <c r="I306" t="s">
        <v>6399</v>
      </c>
      <c r="J306" t="s">
        <v>6400</v>
      </c>
      <c r="K306" t="s">
        <v>74</v>
      </c>
      <c r="L306" t="s">
        <v>74</v>
      </c>
      <c r="M306" t="s">
        <v>78</v>
      </c>
      <c r="N306" t="s">
        <v>79</v>
      </c>
      <c r="O306" t="s">
        <v>74</v>
      </c>
      <c r="P306" t="s">
        <v>74</v>
      </c>
      <c r="Q306" t="s">
        <v>74</v>
      </c>
      <c r="R306" t="s">
        <v>74</v>
      </c>
      <c r="S306" t="s">
        <v>74</v>
      </c>
      <c r="T306" t="s">
        <v>6401</v>
      </c>
      <c r="U306" t="s">
        <v>6402</v>
      </c>
      <c r="V306" t="s">
        <v>6403</v>
      </c>
      <c r="W306" t="s">
        <v>6404</v>
      </c>
      <c r="X306" t="s">
        <v>6405</v>
      </c>
      <c r="Y306" t="s">
        <v>6406</v>
      </c>
      <c r="Z306" t="s">
        <v>6407</v>
      </c>
      <c r="AA306" t="s">
        <v>6408</v>
      </c>
      <c r="AB306" t="s">
        <v>6409</v>
      </c>
      <c r="AC306" t="s">
        <v>6410</v>
      </c>
      <c r="AD306" t="s">
        <v>6411</v>
      </c>
      <c r="AE306" t="s">
        <v>6412</v>
      </c>
      <c r="AF306" t="s">
        <v>74</v>
      </c>
      <c r="AG306">
        <v>79</v>
      </c>
      <c r="AH306">
        <v>15</v>
      </c>
      <c r="AI306">
        <v>15</v>
      </c>
      <c r="AJ306">
        <v>13</v>
      </c>
      <c r="AK306">
        <v>103</v>
      </c>
      <c r="AL306" t="s">
        <v>479</v>
      </c>
      <c r="AM306" t="s">
        <v>480</v>
      </c>
      <c r="AN306" t="s">
        <v>481</v>
      </c>
      <c r="AO306" t="s">
        <v>6413</v>
      </c>
      <c r="AP306" t="s">
        <v>6414</v>
      </c>
      <c r="AQ306" t="s">
        <v>74</v>
      </c>
      <c r="AR306" t="s">
        <v>6415</v>
      </c>
      <c r="AS306" t="s">
        <v>6416</v>
      </c>
      <c r="AT306" t="s">
        <v>698</v>
      </c>
      <c r="AU306">
        <v>2023</v>
      </c>
      <c r="AV306">
        <v>17</v>
      </c>
      <c r="AW306">
        <v>3</v>
      </c>
      <c r="AX306" t="s">
        <v>74</v>
      </c>
      <c r="AY306" t="s">
        <v>74</v>
      </c>
      <c r="AZ306" t="s">
        <v>74</v>
      </c>
      <c r="BA306" t="s">
        <v>74</v>
      </c>
      <c r="BB306">
        <v>585</v>
      </c>
      <c r="BC306">
        <v>611</v>
      </c>
      <c r="BD306" t="s">
        <v>74</v>
      </c>
      <c r="BE306" t="s">
        <v>6417</v>
      </c>
      <c r="BF306" t="str">
        <f>HYPERLINK("http://dx.doi.org/10.1002/sej.1470","http://dx.doi.org/10.1002/sej.1470")</f>
        <v>http://dx.doi.org/10.1002/sej.1470</v>
      </c>
      <c r="BG306" t="s">
        <v>74</v>
      </c>
      <c r="BH306" t="s">
        <v>6418</v>
      </c>
      <c r="BI306">
        <v>27</v>
      </c>
      <c r="BJ306" t="s">
        <v>98</v>
      </c>
      <c r="BK306" t="s">
        <v>99</v>
      </c>
      <c r="BL306" t="s">
        <v>100</v>
      </c>
      <c r="BM306" t="s">
        <v>6419</v>
      </c>
      <c r="BN306" t="s">
        <v>74</v>
      </c>
      <c r="BO306" t="s">
        <v>466</v>
      </c>
      <c r="BP306" t="s">
        <v>74</v>
      </c>
      <c r="BQ306" t="s">
        <v>74</v>
      </c>
      <c r="BR306" t="s">
        <v>102</v>
      </c>
      <c r="BS306" t="s">
        <v>6420</v>
      </c>
      <c r="BT306" t="str">
        <f>HYPERLINK("https%3A%2F%2Fwww.webofscience.com%2Fwos%2Fwoscc%2Ffull-record%2FWOS:000991636400001","View Full Record in Web of Science")</f>
        <v>View Full Record in Web of Science</v>
      </c>
    </row>
    <row r="307" spans="1:72" x14ac:dyDescent="0.25">
      <c r="A307" t="s">
        <v>72</v>
      </c>
      <c r="B307" t="s">
        <v>6421</v>
      </c>
      <c r="C307" t="s">
        <v>74</v>
      </c>
      <c r="D307" t="s">
        <v>74</v>
      </c>
      <c r="E307" t="s">
        <v>74</v>
      </c>
      <c r="F307" t="s">
        <v>6422</v>
      </c>
      <c r="G307" t="s">
        <v>74</v>
      </c>
      <c r="H307" t="s">
        <v>74</v>
      </c>
      <c r="I307" t="s">
        <v>6423</v>
      </c>
      <c r="J307" t="s">
        <v>5078</v>
      </c>
      <c r="K307" t="s">
        <v>74</v>
      </c>
      <c r="L307" t="s">
        <v>74</v>
      </c>
      <c r="M307" t="s">
        <v>78</v>
      </c>
      <c r="N307" t="s">
        <v>79</v>
      </c>
      <c r="O307" t="s">
        <v>74</v>
      </c>
      <c r="P307" t="s">
        <v>74</v>
      </c>
      <c r="Q307" t="s">
        <v>74</v>
      </c>
      <c r="R307" t="s">
        <v>74</v>
      </c>
      <c r="S307" t="s">
        <v>74</v>
      </c>
      <c r="T307" t="s">
        <v>6424</v>
      </c>
      <c r="U307" t="s">
        <v>6425</v>
      </c>
      <c r="V307" t="s">
        <v>6426</v>
      </c>
      <c r="W307" t="s">
        <v>6427</v>
      </c>
      <c r="X307" t="s">
        <v>74</v>
      </c>
      <c r="Y307" t="s">
        <v>6428</v>
      </c>
      <c r="Z307" t="s">
        <v>6429</v>
      </c>
      <c r="AA307" t="s">
        <v>74</v>
      </c>
      <c r="AB307" t="s">
        <v>74</v>
      </c>
      <c r="AC307" t="s">
        <v>74</v>
      </c>
      <c r="AD307" t="s">
        <v>74</v>
      </c>
      <c r="AE307" t="s">
        <v>74</v>
      </c>
      <c r="AF307" t="s">
        <v>74</v>
      </c>
      <c r="AG307">
        <v>118</v>
      </c>
      <c r="AH307">
        <v>38</v>
      </c>
      <c r="AI307">
        <v>52</v>
      </c>
      <c r="AJ307">
        <v>3</v>
      </c>
      <c r="AK307">
        <v>26</v>
      </c>
      <c r="AL307" t="s">
        <v>385</v>
      </c>
      <c r="AM307" t="s">
        <v>151</v>
      </c>
      <c r="AN307" t="s">
        <v>386</v>
      </c>
      <c r="AO307" t="s">
        <v>74</v>
      </c>
      <c r="AP307" t="s">
        <v>5087</v>
      </c>
      <c r="AQ307" t="s">
        <v>74</v>
      </c>
      <c r="AR307" t="s">
        <v>5088</v>
      </c>
      <c r="AS307" t="s">
        <v>5089</v>
      </c>
      <c r="AT307" t="s">
        <v>6430</v>
      </c>
      <c r="AU307">
        <v>2019</v>
      </c>
      <c r="AV307">
        <v>5</v>
      </c>
      <c r="AW307">
        <v>1</v>
      </c>
      <c r="AX307" t="s">
        <v>74</v>
      </c>
      <c r="AY307" t="s">
        <v>74</v>
      </c>
      <c r="AZ307" t="s">
        <v>74</v>
      </c>
      <c r="BA307" t="s">
        <v>74</v>
      </c>
      <c r="BB307" t="s">
        <v>74</v>
      </c>
      <c r="BC307" t="s">
        <v>74</v>
      </c>
      <c r="BD307">
        <v>31</v>
      </c>
      <c r="BE307" t="s">
        <v>6431</v>
      </c>
      <c r="BF307" t="str">
        <f>HYPERLINK("http://dx.doi.org/10.1186/s40854-019-0142-4","http://dx.doi.org/10.1186/s40854-019-0142-4")</f>
        <v>http://dx.doi.org/10.1186/s40854-019-0142-4</v>
      </c>
      <c r="BG307" t="s">
        <v>74</v>
      </c>
      <c r="BH307" t="s">
        <v>74</v>
      </c>
      <c r="BI307">
        <v>25</v>
      </c>
      <c r="BJ307" t="s">
        <v>5092</v>
      </c>
      <c r="BK307" t="s">
        <v>99</v>
      </c>
      <c r="BL307" t="s">
        <v>2024</v>
      </c>
      <c r="BM307" t="s">
        <v>6432</v>
      </c>
      <c r="BN307" t="s">
        <v>74</v>
      </c>
      <c r="BO307" t="s">
        <v>916</v>
      </c>
      <c r="BP307" t="s">
        <v>74</v>
      </c>
      <c r="BQ307" t="s">
        <v>74</v>
      </c>
      <c r="BR307" t="s">
        <v>102</v>
      </c>
      <c r="BS307" t="s">
        <v>6433</v>
      </c>
      <c r="BT307" t="str">
        <f>HYPERLINK("https%3A%2F%2Fwww.webofscience.com%2Fwos%2Fwoscc%2Ffull-record%2FWOS:000475977400003","View Full Record in Web of Science")</f>
        <v>View Full Record in Web of Science</v>
      </c>
    </row>
    <row r="308" spans="1:72" x14ac:dyDescent="0.25">
      <c r="A308" t="s">
        <v>72</v>
      </c>
      <c r="B308" t="s">
        <v>6434</v>
      </c>
      <c r="C308" t="s">
        <v>74</v>
      </c>
      <c r="D308" t="s">
        <v>74</v>
      </c>
      <c r="E308" t="s">
        <v>74</v>
      </c>
      <c r="F308" t="s">
        <v>6435</v>
      </c>
      <c r="G308" t="s">
        <v>74</v>
      </c>
      <c r="H308" t="s">
        <v>74</v>
      </c>
      <c r="I308" t="s">
        <v>6436</v>
      </c>
      <c r="J308" t="s">
        <v>6437</v>
      </c>
      <c r="K308" t="s">
        <v>74</v>
      </c>
      <c r="L308" t="s">
        <v>74</v>
      </c>
      <c r="M308" t="s">
        <v>78</v>
      </c>
      <c r="N308" t="s">
        <v>79</v>
      </c>
      <c r="O308" t="s">
        <v>74</v>
      </c>
      <c r="P308" t="s">
        <v>74</v>
      </c>
      <c r="Q308" t="s">
        <v>74</v>
      </c>
      <c r="R308" t="s">
        <v>74</v>
      </c>
      <c r="S308" t="s">
        <v>74</v>
      </c>
      <c r="T308" t="s">
        <v>6438</v>
      </c>
      <c r="U308" t="s">
        <v>6439</v>
      </c>
      <c r="V308" t="s">
        <v>6440</v>
      </c>
      <c r="W308" t="s">
        <v>6441</v>
      </c>
      <c r="X308" t="s">
        <v>6442</v>
      </c>
      <c r="Y308" t="s">
        <v>6443</v>
      </c>
      <c r="Z308" t="s">
        <v>6444</v>
      </c>
      <c r="AA308" t="s">
        <v>74</v>
      </c>
      <c r="AB308" t="s">
        <v>6445</v>
      </c>
      <c r="AC308" t="s">
        <v>74</v>
      </c>
      <c r="AD308" t="s">
        <v>74</v>
      </c>
      <c r="AE308" t="s">
        <v>74</v>
      </c>
      <c r="AF308" t="s">
        <v>74</v>
      </c>
      <c r="AG308">
        <v>46</v>
      </c>
      <c r="AH308">
        <v>2</v>
      </c>
      <c r="AI308">
        <v>4</v>
      </c>
      <c r="AJ308">
        <v>5</v>
      </c>
      <c r="AK308">
        <v>9</v>
      </c>
      <c r="AL308" t="s">
        <v>479</v>
      </c>
      <c r="AM308" t="s">
        <v>480</v>
      </c>
      <c r="AN308" t="s">
        <v>481</v>
      </c>
      <c r="AO308" t="s">
        <v>6446</v>
      </c>
      <c r="AP308" t="s">
        <v>6447</v>
      </c>
      <c r="AQ308" t="s">
        <v>74</v>
      </c>
      <c r="AR308" t="s">
        <v>6448</v>
      </c>
      <c r="AS308" t="s">
        <v>6449</v>
      </c>
      <c r="AT308" t="s">
        <v>6450</v>
      </c>
      <c r="AU308">
        <v>2024</v>
      </c>
      <c r="AV308">
        <v>53</v>
      </c>
      <c r="AW308">
        <v>3</v>
      </c>
      <c r="AX308" t="s">
        <v>74</v>
      </c>
      <c r="AY308" t="s">
        <v>74</v>
      </c>
      <c r="AZ308" t="s">
        <v>74</v>
      </c>
      <c r="BA308" t="s">
        <v>74</v>
      </c>
      <c r="BB308" t="s">
        <v>74</v>
      </c>
      <c r="BC308" t="s">
        <v>74</v>
      </c>
      <c r="BD308" t="s">
        <v>6451</v>
      </c>
      <c r="BE308" t="s">
        <v>6452</v>
      </c>
      <c r="BF308" t="str">
        <f>HYPERLINK("http://dx.doi.org/10.1111/ecno.12247","http://dx.doi.org/10.1111/ecno.12247")</f>
        <v>http://dx.doi.org/10.1111/ecno.12247</v>
      </c>
      <c r="BG308" t="s">
        <v>74</v>
      </c>
      <c r="BH308" t="s">
        <v>74</v>
      </c>
      <c r="BI308">
        <v>24</v>
      </c>
      <c r="BJ308" t="s">
        <v>291</v>
      </c>
      <c r="BK308" t="s">
        <v>313</v>
      </c>
      <c r="BL308" t="s">
        <v>100</v>
      </c>
      <c r="BM308" t="s">
        <v>6453</v>
      </c>
      <c r="BN308" t="s">
        <v>74</v>
      </c>
      <c r="BO308" t="s">
        <v>1205</v>
      </c>
      <c r="BP308" t="s">
        <v>74</v>
      </c>
      <c r="BQ308" t="s">
        <v>74</v>
      </c>
      <c r="BR308" t="s">
        <v>102</v>
      </c>
      <c r="BS308" t="s">
        <v>6454</v>
      </c>
      <c r="BT308" t="str">
        <f>HYPERLINK("https%3A%2F%2Fwww.webofscience.com%2Fwos%2Fwoscc%2Ffull-record%2FWOS:001303473300001","View Full Record in Web of Science")</f>
        <v>View Full Record in Web of Science</v>
      </c>
    </row>
    <row r="309" spans="1:72" x14ac:dyDescent="0.25">
      <c r="A309" t="s">
        <v>132</v>
      </c>
      <c r="B309" t="s">
        <v>6455</v>
      </c>
      <c r="C309" t="s">
        <v>74</v>
      </c>
      <c r="D309" t="s">
        <v>6456</v>
      </c>
      <c r="E309" t="s">
        <v>74</v>
      </c>
      <c r="F309" t="s">
        <v>6457</v>
      </c>
      <c r="G309" t="s">
        <v>74</v>
      </c>
      <c r="H309" t="s">
        <v>74</v>
      </c>
      <c r="I309" t="s">
        <v>6458</v>
      </c>
      <c r="J309" t="s">
        <v>6459</v>
      </c>
      <c r="K309" t="s">
        <v>6460</v>
      </c>
      <c r="L309" t="s">
        <v>74</v>
      </c>
      <c r="M309" t="s">
        <v>78</v>
      </c>
      <c r="N309" t="s">
        <v>138</v>
      </c>
      <c r="O309" t="s">
        <v>6461</v>
      </c>
      <c r="P309" t="s">
        <v>6462</v>
      </c>
      <c r="Q309" t="s">
        <v>6463</v>
      </c>
      <c r="R309" t="s">
        <v>74</v>
      </c>
      <c r="S309" t="s">
        <v>74</v>
      </c>
      <c r="T309" t="s">
        <v>6464</v>
      </c>
      <c r="U309" t="s">
        <v>6465</v>
      </c>
      <c r="V309" t="s">
        <v>6466</v>
      </c>
      <c r="W309" t="s">
        <v>6467</v>
      </c>
      <c r="X309" t="s">
        <v>74</v>
      </c>
      <c r="Y309" t="s">
        <v>6468</v>
      </c>
      <c r="Z309" t="s">
        <v>74</v>
      </c>
      <c r="AA309" t="s">
        <v>74</v>
      </c>
      <c r="AB309" t="s">
        <v>74</v>
      </c>
      <c r="AC309" t="s">
        <v>74</v>
      </c>
      <c r="AD309" t="s">
        <v>74</v>
      </c>
      <c r="AE309" t="s">
        <v>74</v>
      </c>
      <c r="AF309" t="s">
        <v>74</v>
      </c>
      <c r="AG309">
        <v>37</v>
      </c>
      <c r="AH309">
        <v>0</v>
      </c>
      <c r="AI309">
        <v>0</v>
      </c>
      <c r="AJ309">
        <v>1</v>
      </c>
      <c r="AK309">
        <v>16</v>
      </c>
      <c r="AL309" t="s">
        <v>6469</v>
      </c>
      <c r="AM309" t="s">
        <v>6470</v>
      </c>
      <c r="AN309" t="s">
        <v>6471</v>
      </c>
      <c r="AO309" t="s">
        <v>6472</v>
      </c>
      <c r="AP309" t="s">
        <v>74</v>
      </c>
      <c r="AQ309" t="s">
        <v>6473</v>
      </c>
      <c r="AR309" t="s">
        <v>6474</v>
      </c>
      <c r="AS309" t="s">
        <v>74</v>
      </c>
      <c r="AT309" t="s">
        <v>74</v>
      </c>
      <c r="AU309">
        <v>2019</v>
      </c>
      <c r="AV309" t="s">
        <v>74</v>
      </c>
      <c r="AW309" t="s">
        <v>74</v>
      </c>
      <c r="AX309" t="s">
        <v>74</v>
      </c>
      <c r="AY309" t="s">
        <v>74</v>
      </c>
      <c r="AZ309" t="s">
        <v>74</v>
      </c>
      <c r="BA309" t="s">
        <v>74</v>
      </c>
      <c r="BB309">
        <v>114</v>
      </c>
      <c r="BC309">
        <v>133</v>
      </c>
      <c r="BD309" t="s">
        <v>74</v>
      </c>
      <c r="BE309" t="s">
        <v>6475</v>
      </c>
      <c r="BF309" t="str">
        <f>HYPERLINK("http://dx.doi.org/10.20472/EFC.2019.011.010","http://dx.doi.org/10.20472/EFC.2019.011.010")</f>
        <v>http://dx.doi.org/10.20472/EFC.2019.011.010</v>
      </c>
      <c r="BG309" t="s">
        <v>74</v>
      </c>
      <c r="BH309" t="s">
        <v>74</v>
      </c>
      <c r="BI309">
        <v>20</v>
      </c>
      <c r="BJ309" t="s">
        <v>210</v>
      </c>
      <c r="BK309" t="s">
        <v>183</v>
      </c>
      <c r="BL309" t="s">
        <v>100</v>
      </c>
      <c r="BM309" t="s">
        <v>6476</v>
      </c>
      <c r="BN309" t="s">
        <v>74</v>
      </c>
      <c r="BO309" t="s">
        <v>212</v>
      </c>
      <c r="BP309" t="s">
        <v>74</v>
      </c>
      <c r="BQ309" t="s">
        <v>74</v>
      </c>
      <c r="BR309" t="s">
        <v>102</v>
      </c>
      <c r="BS309" t="s">
        <v>6477</v>
      </c>
      <c r="BT309" t="str">
        <f>HYPERLINK("https%3A%2F%2Fwww.webofscience.com%2Fwos%2Fwoscc%2Ffull-record%2FWOS:000505156800010","View Full Record in Web of Science")</f>
        <v>View Full Record in Web of Science</v>
      </c>
    </row>
    <row r="310" spans="1:72" x14ac:dyDescent="0.25">
      <c r="A310" t="s">
        <v>132</v>
      </c>
      <c r="B310" t="s">
        <v>6478</v>
      </c>
      <c r="C310" t="s">
        <v>74</v>
      </c>
      <c r="D310" t="s">
        <v>631</v>
      </c>
      <c r="E310" t="s">
        <v>74</v>
      </c>
      <c r="F310" t="s">
        <v>6479</v>
      </c>
      <c r="G310" t="s">
        <v>74</v>
      </c>
      <c r="H310" t="s">
        <v>74</v>
      </c>
      <c r="I310" t="s">
        <v>6480</v>
      </c>
      <c r="J310" t="s">
        <v>634</v>
      </c>
      <c r="K310" t="s">
        <v>74</v>
      </c>
      <c r="L310" t="s">
        <v>74</v>
      </c>
      <c r="M310" t="s">
        <v>78</v>
      </c>
      <c r="N310" t="s">
        <v>138</v>
      </c>
      <c r="O310" t="s">
        <v>635</v>
      </c>
      <c r="P310" t="s">
        <v>636</v>
      </c>
      <c r="Q310" t="s">
        <v>637</v>
      </c>
      <c r="R310" t="s">
        <v>638</v>
      </c>
      <c r="S310" t="s">
        <v>74</v>
      </c>
      <c r="T310" t="s">
        <v>6481</v>
      </c>
      <c r="U310" t="s">
        <v>6482</v>
      </c>
      <c r="V310" t="s">
        <v>6483</v>
      </c>
      <c r="W310" t="s">
        <v>6484</v>
      </c>
      <c r="X310" t="s">
        <v>6485</v>
      </c>
      <c r="Y310" t="s">
        <v>6486</v>
      </c>
      <c r="Z310" t="s">
        <v>6487</v>
      </c>
      <c r="AA310" t="s">
        <v>6488</v>
      </c>
      <c r="AB310" t="s">
        <v>74</v>
      </c>
      <c r="AC310" t="s">
        <v>74</v>
      </c>
      <c r="AD310" t="s">
        <v>74</v>
      </c>
      <c r="AE310" t="s">
        <v>74</v>
      </c>
      <c r="AF310" t="s">
        <v>74</v>
      </c>
      <c r="AG310">
        <v>86</v>
      </c>
      <c r="AH310">
        <v>0</v>
      </c>
      <c r="AI310">
        <v>0</v>
      </c>
      <c r="AJ310">
        <v>0</v>
      </c>
      <c r="AK310">
        <v>7</v>
      </c>
      <c r="AL310" t="s">
        <v>645</v>
      </c>
      <c r="AM310" t="s">
        <v>646</v>
      </c>
      <c r="AN310" t="s">
        <v>647</v>
      </c>
      <c r="AO310" t="s">
        <v>74</v>
      </c>
      <c r="AP310" t="s">
        <v>74</v>
      </c>
      <c r="AQ310" t="s">
        <v>648</v>
      </c>
      <c r="AR310" t="s">
        <v>74</v>
      </c>
      <c r="AS310" t="s">
        <v>74</v>
      </c>
      <c r="AT310" t="s">
        <v>74</v>
      </c>
      <c r="AU310">
        <v>2020</v>
      </c>
      <c r="AV310" t="s">
        <v>74</v>
      </c>
      <c r="AW310" t="s">
        <v>74</v>
      </c>
      <c r="AX310" t="s">
        <v>74</v>
      </c>
      <c r="AY310" t="s">
        <v>74</v>
      </c>
      <c r="AZ310" t="s">
        <v>74</v>
      </c>
      <c r="BA310" t="s">
        <v>74</v>
      </c>
      <c r="BB310">
        <v>7968</v>
      </c>
      <c r="BC310">
        <v>7981</v>
      </c>
      <c r="BD310" t="s">
        <v>74</v>
      </c>
      <c r="BE310" t="s">
        <v>74</v>
      </c>
      <c r="BF310" t="s">
        <v>74</v>
      </c>
      <c r="BG310" t="s">
        <v>74</v>
      </c>
      <c r="BH310" t="s">
        <v>74</v>
      </c>
      <c r="BI310">
        <v>14</v>
      </c>
      <c r="BJ310" t="s">
        <v>649</v>
      </c>
      <c r="BK310" t="s">
        <v>183</v>
      </c>
      <c r="BL310" t="s">
        <v>650</v>
      </c>
      <c r="BM310" t="s">
        <v>6489</v>
      </c>
      <c r="BN310" t="s">
        <v>74</v>
      </c>
      <c r="BO310" t="s">
        <v>74</v>
      </c>
      <c r="BP310" t="s">
        <v>74</v>
      </c>
      <c r="BQ310" t="s">
        <v>74</v>
      </c>
      <c r="BR310" t="s">
        <v>102</v>
      </c>
      <c r="BS310" t="s">
        <v>6490</v>
      </c>
      <c r="BT310" t="str">
        <f>HYPERLINK("https%3A%2F%2Fwww.webofscience.com%2Fwos%2Fwoscc%2Ffull-record%2FWOS:000661127408045","View Full Record in Web of Science")</f>
        <v>View Full Record in Web of Science</v>
      </c>
    </row>
    <row r="311" spans="1:72" x14ac:dyDescent="0.25">
      <c r="A311" t="s">
        <v>132</v>
      </c>
      <c r="B311" t="s">
        <v>6491</v>
      </c>
      <c r="C311" t="s">
        <v>74</v>
      </c>
      <c r="D311" t="s">
        <v>6492</v>
      </c>
      <c r="E311" t="s">
        <v>74</v>
      </c>
      <c r="F311" t="s">
        <v>6493</v>
      </c>
      <c r="G311" t="s">
        <v>74</v>
      </c>
      <c r="H311" t="s">
        <v>74</v>
      </c>
      <c r="I311" t="s">
        <v>6494</v>
      </c>
      <c r="J311" t="s">
        <v>6495</v>
      </c>
      <c r="K311" t="s">
        <v>6496</v>
      </c>
      <c r="L311" t="s">
        <v>74</v>
      </c>
      <c r="M311" t="s">
        <v>78</v>
      </c>
      <c r="N311" t="s">
        <v>138</v>
      </c>
      <c r="O311" t="s">
        <v>6497</v>
      </c>
      <c r="P311" t="s">
        <v>6498</v>
      </c>
      <c r="Q311" t="s">
        <v>6499</v>
      </c>
      <c r="R311" t="s">
        <v>6500</v>
      </c>
      <c r="S311" t="s">
        <v>74</v>
      </c>
      <c r="T311" t="s">
        <v>6501</v>
      </c>
      <c r="U311" t="s">
        <v>74</v>
      </c>
      <c r="V311" t="s">
        <v>6502</v>
      </c>
      <c r="W311" t="s">
        <v>6503</v>
      </c>
      <c r="X311" t="s">
        <v>6504</v>
      </c>
      <c r="Y311" t="s">
        <v>6505</v>
      </c>
      <c r="Z311" t="s">
        <v>6506</v>
      </c>
      <c r="AA311" t="s">
        <v>74</v>
      </c>
      <c r="AB311" t="s">
        <v>74</v>
      </c>
      <c r="AC311" t="s">
        <v>74</v>
      </c>
      <c r="AD311" t="s">
        <v>74</v>
      </c>
      <c r="AE311" t="s">
        <v>74</v>
      </c>
      <c r="AF311" t="s">
        <v>74</v>
      </c>
      <c r="AG311">
        <v>5</v>
      </c>
      <c r="AH311">
        <v>0</v>
      </c>
      <c r="AI311">
        <v>0</v>
      </c>
      <c r="AJ311">
        <v>0</v>
      </c>
      <c r="AK311">
        <v>1</v>
      </c>
      <c r="AL311" t="s">
        <v>6507</v>
      </c>
      <c r="AM311" t="s">
        <v>6508</v>
      </c>
      <c r="AN311" t="s">
        <v>6509</v>
      </c>
      <c r="AO311" t="s">
        <v>74</v>
      </c>
      <c r="AP311" t="s">
        <v>74</v>
      </c>
      <c r="AQ311" t="s">
        <v>6510</v>
      </c>
      <c r="AR311" t="s">
        <v>6511</v>
      </c>
      <c r="AS311" t="s">
        <v>74</v>
      </c>
      <c r="AT311" t="s">
        <v>74</v>
      </c>
      <c r="AU311">
        <v>2019</v>
      </c>
      <c r="AV311">
        <v>48</v>
      </c>
      <c r="AW311" t="s">
        <v>74</v>
      </c>
      <c r="AX311" t="s">
        <v>74</v>
      </c>
      <c r="AY311" t="s">
        <v>74</v>
      </c>
      <c r="AZ311" t="s">
        <v>74</v>
      </c>
      <c r="BA311" t="s">
        <v>74</v>
      </c>
      <c r="BB311">
        <v>311</v>
      </c>
      <c r="BC311">
        <v>317</v>
      </c>
      <c r="BD311" t="s">
        <v>74</v>
      </c>
      <c r="BE311" t="s">
        <v>74</v>
      </c>
      <c r="BF311" t="s">
        <v>74</v>
      </c>
      <c r="BG311" t="s">
        <v>74</v>
      </c>
      <c r="BH311" t="s">
        <v>74</v>
      </c>
      <c r="BI311">
        <v>7</v>
      </c>
      <c r="BJ311" t="s">
        <v>6512</v>
      </c>
      <c r="BK311" t="s">
        <v>183</v>
      </c>
      <c r="BL311" t="s">
        <v>100</v>
      </c>
      <c r="BM311" t="s">
        <v>6513</v>
      </c>
      <c r="BN311" t="s">
        <v>74</v>
      </c>
      <c r="BO311" t="s">
        <v>74</v>
      </c>
      <c r="BP311" t="s">
        <v>74</v>
      </c>
      <c r="BQ311" t="s">
        <v>74</v>
      </c>
      <c r="BR311" t="s">
        <v>102</v>
      </c>
      <c r="BS311" t="s">
        <v>6514</v>
      </c>
      <c r="BT311" t="str">
        <f>HYPERLINK("https%3A%2F%2Fwww.webofscience.com%2Fwos%2Fwoscc%2Ffull-record%2FWOS:000620326700034","View Full Record in Web of Science")</f>
        <v>View Full Record in Web of Science</v>
      </c>
    </row>
    <row r="312" spans="1:72" x14ac:dyDescent="0.25">
      <c r="A312" t="s">
        <v>72</v>
      </c>
      <c r="B312" t="s">
        <v>6515</v>
      </c>
      <c r="C312" t="s">
        <v>74</v>
      </c>
      <c r="D312" t="s">
        <v>74</v>
      </c>
      <c r="E312" t="s">
        <v>74</v>
      </c>
      <c r="F312" t="s">
        <v>6516</v>
      </c>
      <c r="G312" t="s">
        <v>74</v>
      </c>
      <c r="H312" t="s">
        <v>74</v>
      </c>
      <c r="I312" t="s">
        <v>6517</v>
      </c>
      <c r="J312" t="s">
        <v>6518</v>
      </c>
      <c r="K312" t="s">
        <v>74</v>
      </c>
      <c r="L312" t="s">
        <v>74</v>
      </c>
      <c r="M312" t="s">
        <v>78</v>
      </c>
      <c r="N312" t="s">
        <v>372</v>
      </c>
      <c r="O312" t="s">
        <v>74</v>
      </c>
      <c r="P312" t="s">
        <v>74</v>
      </c>
      <c r="Q312" t="s">
        <v>74</v>
      </c>
      <c r="R312" t="s">
        <v>74</v>
      </c>
      <c r="S312" t="s">
        <v>74</v>
      </c>
      <c r="T312" t="s">
        <v>6519</v>
      </c>
      <c r="U312" t="s">
        <v>6520</v>
      </c>
      <c r="V312" t="s">
        <v>6521</v>
      </c>
      <c r="W312" t="s">
        <v>6522</v>
      </c>
      <c r="X312" t="s">
        <v>6523</v>
      </c>
      <c r="Y312" t="s">
        <v>6524</v>
      </c>
      <c r="Z312" t="s">
        <v>6525</v>
      </c>
      <c r="AA312" t="s">
        <v>74</v>
      </c>
      <c r="AB312" t="s">
        <v>6526</v>
      </c>
      <c r="AC312" t="s">
        <v>74</v>
      </c>
      <c r="AD312" t="s">
        <v>74</v>
      </c>
      <c r="AE312" t="s">
        <v>74</v>
      </c>
      <c r="AF312" t="s">
        <v>74</v>
      </c>
      <c r="AG312">
        <v>60</v>
      </c>
      <c r="AH312">
        <v>0</v>
      </c>
      <c r="AI312">
        <v>0</v>
      </c>
      <c r="AJ312">
        <v>2</v>
      </c>
      <c r="AK312">
        <v>2</v>
      </c>
      <c r="AL312" t="s">
        <v>757</v>
      </c>
      <c r="AM312" t="s">
        <v>758</v>
      </c>
      <c r="AN312" t="s">
        <v>759</v>
      </c>
      <c r="AO312" t="s">
        <v>6527</v>
      </c>
      <c r="AP312" t="s">
        <v>6528</v>
      </c>
      <c r="AQ312" t="s">
        <v>74</v>
      </c>
      <c r="AR312" t="s">
        <v>6529</v>
      </c>
      <c r="AS312" t="s">
        <v>6530</v>
      </c>
      <c r="AT312" t="s">
        <v>6531</v>
      </c>
      <c r="AU312">
        <v>2025</v>
      </c>
      <c r="AV312" t="s">
        <v>74</v>
      </c>
      <c r="AW312" t="s">
        <v>74</v>
      </c>
      <c r="AX312" t="s">
        <v>74</v>
      </c>
      <c r="AY312" t="s">
        <v>74</v>
      </c>
      <c r="AZ312" t="s">
        <v>74</v>
      </c>
      <c r="BA312" t="s">
        <v>74</v>
      </c>
      <c r="BB312" t="s">
        <v>74</v>
      </c>
      <c r="BC312" t="s">
        <v>74</v>
      </c>
      <c r="BD312" t="s">
        <v>74</v>
      </c>
      <c r="BE312" t="s">
        <v>6532</v>
      </c>
      <c r="BF312" t="str">
        <f>HYPERLINK("http://dx.doi.org/10.1177/00111287251363973","http://dx.doi.org/10.1177/00111287251363973")</f>
        <v>http://dx.doi.org/10.1177/00111287251363973</v>
      </c>
      <c r="BG312" t="s">
        <v>74</v>
      </c>
      <c r="BH312" t="s">
        <v>5030</v>
      </c>
      <c r="BI312">
        <v>38</v>
      </c>
      <c r="BJ312" t="s">
        <v>3573</v>
      </c>
      <c r="BK312" t="s">
        <v>99</v>
      </c>
      <c r="BL312" t="s">
        <v>3573</v>
      </c>
      <c r="BM312" t="s">
        <v>6533</v>
      </c>
      <c r="BN312" t="s">
        <v>74</v>
      </c>
      <c r="BO312" t="s">
        <v>270</v>
      </c>
      <c r="BP312" t="s">
        <v>74</v>
      </c>
      <c r="BQ312" t="s">
        <v>74</v>
      </c>
      <c r="BR312" t="s">
        <v>102</v>
      </c>
      <c r="BS312" t="s">
        <v>6534</v>
      </c>
      <c r="BT312" t="str">
        <f>HYPERLINK("https%3A%2F%2Fwww.webofscience.com%2Fwos%2Fwoscc%2Ffull-record%2FWOS:001549925700001","View Full Record in Web of Science")</f>
        <v>View Full Record in Web of Science</v>
      </c>
    </row>
    <row r="313" spans="1:72" x14ac:dyDescent="0.25">
      <c r="A313" t="s">
        <v>72</v>
      </c>
      <c r="B313" t="s">
        <v>6535</v>
      </c>
      <c r="C313" t="s">
        <v>74</v>
      </c>
      <c r="D313" t="s">
        <v>74</v>
      </c>
      <c r="E313" t="s">
        <v>74</v>
      </c>
      <c r="F313" t="s">
        <v>6536</v>
      </c>
      <c r="G313" t="s">
        <v>74</v>
      </c>
      <c r="H313" t="s">
        <v>74</v>
      </c>
      <c r="I313" t="s">
        <v>6537</v>
      </c>
      <c r="J313" t="s">
        <v>6538</v>
      </c>
      <c r="K313" t="s">
        <v>74</v>
      </c>
      <c r="L313" t="s">
        <v>74</v>
      </c>
      <c r="M313" t="s">
        <v>78</v>
      </c>
      <c r="N313" t="s">
        <v>79</v>
      </c>
      <c r="O313" t="s">
        <v>74</v>
      </c>
      <c r="P313" t="s">
        <v>74</v>
      </c>
      <c r="Q313" t="s">
        <v>74</v>
      </c>
      <c r="R313" t="s">
        <v>74</v>
      </c>
      <c r="S313" t="s">
        <v>74</v>
      </c>
      <c r="T313" t="s">
        <v>6539</v>
      </c>
      <c r="U313" t="s">
        <v>74</v>
      </c>
      <c r="V313" t="s">
        <v>6540</v>
      </c>
      <c r="W313" t="s">
        <v>74</v>
      </c>
      <c r="X313" t="s">
        <v>74</v>
      </c>
      <c r="Y313" t="s">
        <v>74</v>
      </c>
      <c r="Z313" t="s">
        <v>6541</v>
      </c>
      <c r="AA313" t="s">
        <v>74</v>
      </c>
      <c r="AB313" t="s">
        <v>6542</v>
      </c>
      <c r="AC313" t="s">
        <v>74</v>
      </c>
      <c r="AD313" t="s">
        <v>74</v>
      </c>
      <c r="AE313" t="s">
        <v>74</v>
      </c>
      <c r="AF313" t="s">
        <v>74</v>
      </c>
      <c r="AG313">
        <v>44</v>
      </c>
      <c r="AH313">
        <v>8</v>
      </c>
      <c r="AI313">
        <v>10</v>
      </c>
      <c r="AJ313">
        <v>1</v>
      </c>
      <c r="AK313">
        <v>34</v>
      </c>
      <c r="AL313" t="s">
        <v>2907</v>
      </c>
      <c r="AM313" t="s">
        <v>2908</v>
      </c>
      <c r="AN313" t="s">
        <v>2909</v>
      </c>
      <c r="AO313" t="s">
        <v>6543</v>
      </c>
      <c r="AP313" t="s">
        <v>6544</v>
      </c>
      <c r="AQ313" t="s">
        <v>74</v>
      </c>
      <c r="AR313" t="s">
        <v>6545</v>
      </c>
      <c r="AS313" t="s">
        <v>6546</v>
      </c>
      <c r="AT313" t="s">
        <v>605</v>
      </c>
      <c r="AU313">
        <v>2023</v>
      </c>
      <c r="AV313">
        <v>24</v>
      </c>
      <c r="AW313">
        <v>1</v>
      </c>
      <c r="AX313" t="s">
        <v>74</v>
      </c>
      <c r="AY313" t="s">
        <v>74</v>
      </c>
      <c r="AZ313" t="s">
        <v>74</v>
      </c>
      <c r="BA313" t="s">
        <v>74</v>
      </c>
      <c r="BB313">
        <v>89</v>
      </c>
      <c r="BC313">
        <v>104</v>
      </c>
      <c r="BD313" t="s">
        <v>74</v>
      </c>
      <c r="BE313" t="s">
        <v>6547</v>
      </c>
      <c r="BF313" t="str">
        <f>HYPERLINK("http://dx.doi.org/10.1057/s41261-021-00186-w","http://dx.doi.org/10.1057/s41261-021-00186-w")</f>
        <v>http://dx.doi.org/10.1057/s41261-021-00186-w</v>
      </c>
      <c r="BG313" t="s">
        <v>74</v>
      </c>
      <c r="BH313" t="s">
        <v>6548</v>
      </c>
      <c r="BI313">
        <v>16</v>
      </c>
      <c r="BJ313" t="s">
        <v>268</v>
      </c>
      <c r="BK313" t="s">
        <v>313</v>
      </c>
      <c r="BL313" t="s">
        <v>100</v>
      </c>
      <c r="BM313" t="s">
        <v>6549</v>
      </c>
      <c r="BN313" t="s">
        <v>74</v>
      </c>
      <c r="BO313" t="s">
        <v>74</v>
      </c>
      <c r="BP313" t="s">
        <v>74</v>
      </c>
      <c r="BQ313" t="s">
        <v>74</v>
      </c>
      <c r="BR313" t="s">
        <v>102</v>
      </c>
      <c r="BS313" t="s">
        <v>6550</v>
      </c>
      <c r="BT313" t="str">
        <f>HYPERLINK("https%3A%2F%2Fwww.webofscience.com%2Fwos%2Fwoscc%2Ffull-record%2FWOS:000744777600001","View Full Record in Web of Science")</f>
        <v>View Full Record in Web of Science</v>
      </c>
    </row>
    <row r="314" spans="1:72" x14ac:dyDescent="0.25">
      <c r="A314" t="s">
        <v>72</v>
      </c>
      <c r="B314" t="s">
        <v>6551</v>
      </c>
      <c r="C314" t="s">
        <v>74</v>
      </c>
      <c r="D314" t="s">
        <v>74</v>
      </c>
      <c r="E314" t="s">
        <v>74</v>
      </c>
      <c r="F314" t="s">
        <v>6552</v>
      </c>
      <c r="G314" t="s">
        <v>74</v>
      </c>
      <c r="H314" t="s">
        <v>74</v>
      </c>
      <c r="I314" t="s">
        <v>6553</v>
      </c>
      <c r="J314" t="s">
        <v>6554</v>
      </c>
      <c r="K314" t="s">
        <v>74</v>
      </c>
      <c r="L314" t="s">
        <v>74</v>
      </c>
      <c r="M314" t="s">
        <v>78</v>
      </c>
      <c r="N314" t="s">
        <v>79</v>
      </c>
      <c r="O314" t="s">
        <v>74</v>
      </c>
      <c r="P314" t="s">
        <v>74</v>
      </c>
      <c r="Q314" t="s">
        <v>74</v>
      </c>
      <c r="R314" t="s">
        <v>74</v>
      </c>
      <c r="S314" t="s">
        <v>74</v>
      </c>
      <c r="T314" t="s">
        <v>6555</v>
      </c>
      <c r="U314" t="s">
        <v>74</v>
      </c>
      <c r="V314" t="s">
        <v>6556</v>
      </c>
      <c r="W314" t="s">
        <v>6557</v>
      </c>
      <c r="X314" t="s">
        <v>6558</v>
      </c>
      <c r="Y314" t="s">
        <v>6559</v>
      </c>
      <c r="Z314" t="s">
        <v>6560</v>
      </c>
      <c r="AA314" t="s">
        <v>6561</v>
      </c>
      <c r="AB314" t="s">
        <v>74</v>
      </c>
      <c r="AC314" t="s">
        <v>74</v>
      </c>
      <c r="AD314" t="s">
        <v>74</v>
      </c>
      <c r="AE314" t="s">
        <v>74</v>
      </c>
      <c r="AF314" t="s">
        <v>74</v>
      </c>
      <c r="AG314">
        <v>17</v>
      </c>
      <c r="AH314">
        <v>0</v>
      </c>
      <c r="AI314">
        <v>0</v>
      </c>
      <c r="AJ314">
        <v>0</v>
      </c>
      <c r="AK314">
        <v>0</v>
      </c>
      <c r="AL314" t="s">
        <v>6562</v>
      </c>
      <c r="AM314" t="s">
        <v>260</v>
      </c>
      <c r="AN314" t="s">
        <v>6563</v>
      </c>
      <c r="AO314" t="s">
        <v>6564</v>
      </c>
      <c r="AP314" t="s">
        <v>6565</v>
      </c>
      <c r="AQ314" t="s">
        <v>74</v>
      </c>
      <c r="AR314" t="s">
        <v>6566</v>
      </c>
      <c r="AS314" t="s">
        <v>6567</v>
      </c>
      <c r="AT314" t="s">
        <v>2462</v>
      </c>
      <c r="AU314">
        <v>2025</v>
      </c>
      <c r="AV314">
        <v>23</v>
      </c>
      <c r="AW314" t="s">
        <v>74</v>
      </c>
      <c r="AX314" t="s">
        <v>74</v>
      </c>
      <c r="AY314" t="s">
        <v>74</v>
      </c>
      <c r="AZ314" t="s">
        <v>74</v>
      </c>
      <c r="BA314" t="s">
        <v>74</v>
      </c>
      <c r="BB314" t="s">
        <v>74</v>
      </c>
      <c r="BC314" t="s">
        <v>74</v>
      </c>
      <c r="BD314" t="s">
        <v>74</v>
      </c>
      <c r="BE314" t="s">
        <v>74</v>
      </c>
      <c r="BF314" t="s">
        <v>74</v>
      </c>
      <c r="BG314" t="s">
        <v>74</v>
      </c>
      <c r="BH314" t="s">
        <v>74</v>
      </c>
      <c r="BI314">
        <v>7</v>
      </c>
      <c r="BJ314" t="s">
        <v>6568</v>
      </c>
      <c r="BK314" t="s">
        <v>313</v>
      </c>
      <c r="BL314" t="s">
        <v>157</v>
      </c>
      <c r="BM314" t="s">
        <v>6569</v>
      </c>
      <c r="BN314" t="s">
        <v>74</v>
      </c>
      <c r="BO314" t="s">
        <v>74</v>
      </c>
      <c r="BP314" t="s">
        <v>74</v>
      </c>
      <c r="BQ314" t="s">
        <v>74</v>
      </c>
      <c r="BR314" t="s">
        <v>102</v>
      </c>
      <c r="BS314" t="s">
        <v>6570</v>
      </c>
      <c r="BT314" t="str">
        <f>HYPERLINK("https%3A%2F%2Fwww.webofscience.com%2Fwos%2Fwoscc%2Ffull-record%2FWOS:001606064800013","View Full Record in Web of Science")</f>
        <v>View Full Record in Web of Science</v>
      </c>
    </row>
    <row r="315" spans="1:72" x14ac:dyDescent="0.25">
      <c r="A315" t="s">
        <v>132</v>
      </c>
      <c r="B315" t="s">
        <v>6571</v>
      </c>
      <c r="C315" t="s">
        <v>74</v>
      </c>
      <c r="D315" t="s">
        <v>74</v>
      </c>
      <c r="E315" t="s">
        <v>771</v>
      </c>
      <c r="F315" t="s">
        <v>6572</v>
      </c>
      <c r="G315" t="s">
        <v>74</v>
      </c>
      <c r="H315" t="s">
        <v>74</v>
      </c>
      <c r="I315" t="s">
        <v>6573</v>
      </c>
      <c r="J315" t="s">
        <v>6574</v>
      </c>
      <c r="K315" t="s">
        <v>74</v>
      </c>
      <c r="L315" t="s">
        <v>74</v>
      </c>
      <c r="M315" t="s">
        <v>78</v>
      </c>
      <c r="N315" t="s">
        <v>138</v>
      </c>
      <c r="O315" t="s">
        <v>6575</v>
      </c>
      <c r="P315" t="s">
        <v>6576</v>
      </c>
      <c r="Q315" t="s">
        <v>6577</v>
      </c>
      <c r="R315" t="s">
        <v>6578</v>
      </c>
      <c r="S315" t="s">
        <v>74</v>
      </c>
      <c r="T315" t="s">
        <v>6579</v>
      </c>
      <c r="U315" t="s">
        <v>74</v>
      </c>
      <c r="V315" t="s">
        <v>6580</v>
      </c>
      <c r="W315" t="s">
        <v>6581</v>
      </c>
      <c r="X315" t="s">
        <v>6582</v>
      </c>
      <c r="Y315" t="s">
        <v>6583</v>
      </c>
      <c r="Z315" t="s">
        <v>6584</v>
      </c>
      <c r="AA315" t="s">
        <v>6585</v>
      </c>
      <c r="AB315" t="s">
        <v>6586</v>
      </c>
      <c r="AC315" t="s">
        <v>74</v>
      </c>
      <c r="AD315" t="s">
        <v>74</v>
      </c>
      <c r="AE315" t="s">
        <v>74</v>
      </c>
      <c r="AF315" t="s">
        <v>74</v>
      </c>
      <c r="AG315">
        <v>12</v>
      </c>
      <c r="AH315">
        <v>5</v>
      </c>
      <c r="AI315">
        <v>8</v>
      </c>
      <c r="AJ315">
        <v>0</v>
      </c>
      <c r="AK315">
        <v>9</v>
      </c>
      <c r="AL315" t="s">
        <v>771</v>
      </c>
      <c r="AM315" t="s">
        <v>151</v>
      </c>
      <c r="AN315" t="s">
        <v>785</v>
      </c>
      <c r="AO315" t="s">
        <v>74</v>
      </c>
      <c r="AP315" t="s">
        <v>74</v>
      </c>
      <c r="AQ315" t="s">
        <v>6587</v>
      </c>
      <c r="AR315" t="s">
        <v>74</v>
      </c>
      <c r="AS315" t="s">
        <v>74</v>
      </c>
      <c r="AT315" t="s">
        <v>74</v>
      </c>
      <c r="AU315">
        <v>2019</v>
      </c>
      <c r="AV315" t="s">
        <v>74</v>
      </c>
      <c r="AW315" t="s">
        <v>74</v>
      </c>
      <c r="AX315" t="s">
        <v>74</v>
      </c>
      <c r="AY315" t="s">
        <v>74</v>
      </c>
      <c r="AZ315" t="s">
        <v>74</v>
      </c>
      <c r="BA315" t="s">
        <v>74</v>
      </c>
      <c r="BB315">
        <v>452</v>
      </c>
      <c r="BC315">
        <v>455</v>
      </c>
      <c r="BD315" t="s">
        <v>74</v>
      </c>
      <c r="BE315" t="s">
        <v>6588</v>
      </c>
      <c r="BF315" t="str">
        <f>HYPERLINK("http://dx.doi.org/10.1109/acitt.2019.8780019","http://dx.doi.org/10.1109/acitt.2019.8780019")</f>
        <v>http://dx.doi.org/10.1109/acitt.2019.8780019</v>
      </c>
      <c r="BG315" t="s">
        <v>74</v>
      </c>
      <c r="BH315" t="s">
        <v>74</v>
      </c>
      <c r="BI315">
        <v>4</v>
      </c>
      <c r="BJ315" t="s">
        <v>4466</v>
      </c>
      <c r="BK315" t="s">
        <v>156</v>
      </c>
      <c r="BL315" t="s">
        <v>157</v>
      </c>
      <c r="BM315" t="s">
        <v>6589</v>
      </c>
      <c r="BN315" t="s">
        <v>74</v>
      </c>
      <c r="BO315" t="s">
        <v>74</v>
      </c>
      <c r="BP315" t="s">
        <v>74</v>
      </c>
      <c r="BQ315" t="s">
        <v>74</v>
      </c>
      <c r="BR315" t="s">
        <v>102</v>
      </c>
      <c r="BS315" t="s">
        <v>6590</v>
      </c>
      <c r="BT315" t="str">
        <f>HYPERLINK("https%3A%2F%2Fwww.webofscience.com%2Fwos%2Fwoscc%2Ffull-record%2FWOS:000502830500108","View Full Record in Web of Science")</f>
        <v>View Full Record in Web of Science</v>
      </c>
    </row>
    <row r="316" spans="1:72" x14ac:dyDescent="0.25">
      <c r="A316" t="s">
        <v>72</v>
      </c>
      <c r="B316" t="s">
        <v>6591</v>
      </c>
      <c r="C316" t="s">
        <v>74</v>
      </c>
      <c r="D316" t="s">
        <v>74</v>
      </c>
      <c r="E316" t="s">
        <v>74</v>
      </c>
      <c r="F316" t="s">
        <v>6592</v>
      </c>
      <c r="G316" t="s">
        <v>74</v>
      </c>
      <c r="H316" t="s">
        <v>74</v>
      </c>
      <c r="I316" t="s">
        <v>6593</v>
      </c>
      <c r="J316" t="s">
        <v>6594</v>
      </c>
      <c r="K316" t="s">
        <v>74</v>
      </c>
      <c r="L316" t="s">
        <v>74</v>
      </c>
      <c r="M316" t="s">
        <v>78</v>
      </c>
      <c r="N316" t="s">
        <v>79</v>
      </c>
      <c r="O316" t="s">
        <v>74</v>
      </c>
      <c r="P316" t="s">
        <v>74</v>
      </c>
      <c r="Q316" t="s">
        <v>74</v>
      </c>
      <c r="R316" t="s">
        <v>74</v>
      </c>
      <c r="S316" t="s">
        <v>74</v>
      </c>
      <c r="T316" t="s">
        <v>6595</v>
      </c>
      <c r="U316" t="s">
        <v>6596</v>
      </c>
      <c r="V316" t="s">
        <v>6597</v>
      </c>
      <c r="W316" t="s">
        <v>6598</v>
      </c>
      <c r="X316" t="s">
        <v>6599</v>
      </c>
      <c r="Y316" t="s">
        <v>6600</v>
      </c>
      <c r="Z316" t="s">
        <v>6601</v>
      </c>
      <c r="AA316" t="s">
        <v>6602</v>
      </c>
      <c r="AB316" t="s">
        <v>6603</v>
      </c>
      <c r="AC316" t="s">
        <v>74</v>
      </c>
      <c r="AD316" t="s">
        <v>74</v>
      </c>
      <c r="AE316" t="s">
        <v>74</v>
      </c>
      <c r="AF316" t="s">
        <v>74</v>
      </c>
      <c r="AG316">
        <v>74</v>
      </c>
      <c r="AH316">
        <v>11</v>
      </c>
      <c r="AI316">
        <v>12</v>
      </c>
      <c r="AJ316">
        <v>1</v>
      </c>
      <c r="AK316">
        <v>53</v>
      </c>
      <c r="AL316" t="s">
        <v>6604</v>
      </c>
      <c r="AM316" t="s">
        <v>6605</v>
      </c>
      <c r="AN316" t="s">
        <v>6606</v>
      </c>
      <c r="AO316" t="s">
        <v>6607</v>
      </c>
      <c r="AP316" t="s">
        <v>6608</v>
      </c>
      <c r="AQ316" t="s">
        <v>74</v>
      </c>
      <c r="AR316" t="s">
        <v>6609</v>
      </c>
      <c r="AS316" t="s">
        <v>6610</v>
      </c>
      <c r="AT316" t="s">
        <v>6611</v>
      </c>
      <c r="AU316">
        <v>2019</v>
      </c>
      <c r="AV316">
        <v>9</v>
      </c>
      <c r="AW316">
        <v>18</v>
      </c>
      <c r="AX316" t="s">
        <v>74</v>
      </c>
      <c r="AY316" t="s">
        <v>74</v>
      </c>
      <c r="AZ316" t="s">
        <v>74</v>
      </c>
      <c r="BA316" t="s">
        <v>74</v>
      </c>
      <c r="BB316">
        <v>275</v>
      </c>
      <c r="BC316">
        <v>290</v>
      </c>
      <c r="BD316" t="s">
        <v>74</v>
      </c>
      <c r="BE316" t="s">
        <v>6612</v>
      </c>
      <c r="BF316" t="str">
        <f>HYPERLINK("http://dx.doi.org/10.17163/ret.n18.2019.07","http://dx.doi.org/10.17163/ret.n18.2019.07")</f>
        <v>http://dx.doi.org/10.17163/ret.n18.2019.07</v>
      </c>
      <c r="BG316" t="s">
        <v>74</v>
      </c>
      <c r="BH316" t="s">
        <v>74</v>
      </c>
      <c r="BI316">
        <v>16</v>
      </c>
      <c r="BJ316" t="s">
        <v>291</v>
      </c>
      <c r="BK316" t="s">
        <v>313</v>
      </c>
      <c r="BL316" t="s">
        <v>100</v>
      </c>
      <c r="BM316" t="s">
        <v>6613</v>
      </c>
      <c r="BN316" t="s">
        <v>74</v>
      </c>
      <c r="BO316" t="s">
        <v>916</v>
      </c>
      <c r="BP316" t="s">
        <v>74</v>
      </c>
      <c r="BQ316" t="s">
        <v>74</v>
      </c>
      <c r="BR316" t="s">
        <v>102</v>
      </c>
      <c r="BS316" t="s">
        <v>6614</v>
      </c>
      <c r="BT316" t="str">
        <f>HYPERLINK("https%3A%2F%2Fwww.webofscience.com%2Fwos%2Fwoscc%2Ffull-record%2FWOS:000488483500007","View Full Record in Web of Science")</f>
        <v>View Full Record in Web of Science</v>
      </c>
    </row>
    <row r="317" spans="1:72" x14ac:dyDescent="0.25">
      <c r="A317" t="s">
        <v>132</v>
      </c>
      <c r="B317" t="s">
        <v>6615</v>
      </c>
      <c r="C317" t="s">
        <v>74</v>
      </c>
      <c r="D317" t="s">
        <v>74</v>
      </c>
      <c r="E317" t="s">
        <v>771</v>
      </c>
      <c r="F317" t="s">
        <v>6616</v>
      </c>
      <c r="G317" t="s">
        <v>74</v>
      </c>
      <c r="H317" t="s">
        <v>74</v>
      </c>
      <c r="I317" t="s">
        <v>6617</v>
      </c>
      <c r="J317" t="s">
        <v>6618</v>
      </c>
      <c r="K317" t="s">
        <v>6619</v>
      </c>
      <c r="L317" t="s">
        <v>74</v>
      </c>
      <c r="M317" t="s">
        <v>78</v>
      </c>
      <c r="N317" t="s">
        <v>138</v>
      </c>
      <c r="O317" t="s">
        <v>6620</v>
      </c>
      <c r="P317" t="s">
        <v>6621</v>
      </c>
      <c r="Q317" t="s">
        <v>6622</v>
      </c>
      <c r="R317" t="s">
        <v>74</v>
      </c>
      <c r="S317" t="s">
        <v>74</v>
      </c>
      <c r="T317" t="s">
        <v>6623</v>
      </c>
      <c r="U317" t="s">
        <v>6624</v>
      </c>
      <c r="V317" t="s">
        <v>6625</v>
      </c>
      <c r="W317" t="s">
        <v>6626</v>
      </c>
      <c r="X317" t="s">
        <v>6627</v>
      </c>
      <c r="Y317" t="s">
        <v>6628</v>
      </c>
      <c r="Z317" t="s">
        <v>6629</v>
      </c>
      <c r="AA317" t="s">
        <v>74</v>
      </c>
      <c r="AB317" t="s">
        <v>74</v>
      </c>
      <c r="AC317" t="s">
        <v>74</v>
      </c>
      <c r="AD317" t="s">
        <v>74</v>
      </c>
      <c r="AE317" t="s">
        <v>74</v>
      </c>
      <c r="AF317" t="s">
        <v>74</v>
      </c>
      <c r="AG317">
        <v>71</v>
      </c>
      <c r="AH317">
        <v>2</v>
      </c>
      <c r="AI317">
        <v>2</v>
      </c>
      <c r="AJ317">
        <v>0</v>
      </c>
      <c r="AK317">
        <v>0</v>
      </c>
      <c r="AL317" t="s">
        <v>771</v>
      </c>
      <c r="AM317" t="s">
        <v>151</v>
      </c>
      <c r="AN317" t="s">
        <v>785</v>
      </c>
      <c r="AO317" t="s">
        <v>6630</v>
      </c>
      <c r="AP317" t="s">
        <v>74</v>
      </c>
      <c r="AQ317" t="s">
        <v>6631</v>
      </c>
      <c r="AR317" t="s">
        <v>6632</v>
      </c>
      <c r="AS317" t="s">
        <v>74</v>
      </c>
      <c r="AT317" t="s">
        <v>74</v>
      </c>
      <c r="AU317">
        <v>2021</v>
      </c>
      <c r="AV317" t="s">
        <v>74</v>
      </c>
      <c r="AW317" t="s">
        <v>74</v>
      </c>
      <c r="AX317" t="s">
        <v>74</v>
      </c>
      <c r="AY317" t="s">
        <v>74</v>
      </c>
      <c r="AZ317" t="s">
        <v>74</v>
      </c>
      <c r="BA317" t="s">
        <v>74</v>
      </c>
      <c r="BB317">
        <v>59</v>
      </c>
      <c r="BC317">
        <v>65</v>
      </c>
      <c r="BD317" t="s">
        <v>74</v>
      </c>
      <c r="BE317" t="s">
        <v>6633</v>
      </c>
      <c r="BF317" t="str">
        <f>HYPERLINK("http://dx.doi.org/10.1109/ICCTA54562.2021.9916623","http://dx.doi.org/10.1109/ICCTA54562.2021.9916623")</f>
        <v>http://dx.doi.org/10.1109/ICCTA54562.2021.9916623</v>
      </c>
      <c r="BG317" t="s">
        <v>74</v>
      </c>
      <c r="BH317" t="s">
        <v>74</v>
      </c>
      <c r="BI317">
        <v>7</v>
      </c>
      <c r="BJ317" t="s">
        <v>6634</v>
      </c>
      <c r="BK317" t="s">
        <v>156</v>
      </c>
      <c r="BL317" t="s">
        <v>981</v>
      </c>
      <c r="BM317" t="s">
        <v>6635</v>
      </c>
      <c r="BN317" t="s">
        <v>74</v>
      </c>
      <c r="BO317" t="s">
        <v>74</v>
      </c>
      <c r="BP317" t="s">
        <v>74</v>
      </c>
      <c r="BQ317" t="s">
        <v>74</v>
      </c>
      <c r="BR317" t="s">
        <v>102</v>
      </c>
      <c r="BS317" t="s">
        <v>6636</v>
      </c>
      <c r="BT317" t="str">
        <f>HYPERLINK("https%3A%2F%2Fwww.webofscience.com%2Fwos%2Fwoscc%2Ffull-record%2FWOS:001484330900015","View Full Record in Web of Science")</f>
        <v>View Full Record in Web of Science</v>
      </c>
    </row>
    <row r="318" spans="1:72" x14ac:dyDescent="0.25">
      <c r="A318" t="s">
        <v>72</v>
      </c>
      <c r="B318" t="s">
        <v>6637</v>
      </c>
      <c r="C318" t="s">
        <v>74</v>
      </c>
      <c r="D318" t="s">
        <v>74</v>
      </c>
      <c r="E318" t="s">
        <v>74</v>
      </c>
      <c r="F318" t="s">
        <v>6638</v>
      </c>
      <c r="G318" t="s">
        <v>74</v>
      </c>
      <c r="H318" t="s">
        <v>74</v>
      </c>
      <c r="I318" t="s">
        <v>6639</v>
      </c>
      <c r="J318" t="s">
        <v>6640</v>
      </c>
      <c r="K318" t="s">
        <v>74</v>
      </c>
      <c r="L318" t="s">
        <v>74</v>
      </c>
      <c r="M318" t="s">
        <v>78</v>
      </c>
      <c r="N318" t="s">
        <v>2335</v>
      </c>
      <c r="O318" t="s">
        <v>74</v>
      </c>
      <c r="P318" t="s">
        <v>74</v>
      </c>
      <c r="Q318" t="s">
        <v>74</v>
      </c>
      <c r="R318" t="s">
        <v>74</v>
      </c>
      <c r="S318" t="s">
        <v>74</v>
      </c>
      <c r="T318" t="s">
        <v>6641</v>
      </c>
      <c r="U318" t="s">
        <v>74</v>
      </c>
      <c r="V318" t="s">
        <v>6642</v>
      </c>
      <c r="W318" t="s">
        <v>6643</v>
      </c>
      <c r="X318" t="s">
        <v>6644</v>
      </c>
      <c r="Y318" t="s">
        <v>6645</v>
      </c>
      <c r="Z318" t="s">
        <v>6646</v>
      </c>
      <c r="AA318" t="s">
        <v>74</v>
      </c>
      <c r="AB318" t="s">
        <v>6647</v>
      </c>
      <c r="AC318" t="s">
        <v>74</v>
      </c>
      <c r="AD318" t="s">
        <v>74</v>
      </c>
      <c r="AE318" t="s">
        <v>74</v>
      </c>
      <c r="AF318" t="s">
        <v>74</v>
      </c>
      <c r="AG318">
        <v>0</v>
      </c>
      <c r="AH318">
        <v>2</v>
      </c>
      <c r="AI318">
        <v>2</v>
      </c>
      <c r="AJ318">
        <v>0</v>
      </c>
      <c r="AK318">
        <v>2</v>
      </c>
      <c r="AL318" t="s">
        <v>385</v>
      </c>
      <c r="AM318" t="s">
        <v>151</v>
      </c>
      <c r="AN318" t="s">
        <v>386</v>
      </c>
      <c r="AO318" t="s">
        <v>6648</v>
      </c>
      <c r="AP318" t="s">
        <v>6649</v>
      </c>
      <c r="AQ318" t="s">
        <v>74</v>
      </c>
      <c r="AR318" t="s">
        <v>6650</v>
      </c>
      <c r="AS318" t="s">
        <v>6651</v>
      </c>
      <c r="AT318" t="s">
        <v>1652</v>
      </c>
      <c r="AU318">
        <v>2022</v>
      </c>
      <c r="AV318">
        <v>22</v>
      </c>
      <c r="AW318">
        <v>2</v>
      </c>
      <c r="AX318" t="s">
        <v>74</v>
      </c>
      <c r="AY318" t="s">
        <v>74</v>
      </c>
      <c r="AZ318" t="s">
        <v>74</v>
      </c>
      <c r="BA318" t="s">
        <v>74</v>
      </c>
      <c r="BB318">
        <v>365</v>
      </c>
      <c r="BC318">
        <v>375</v>
      </c>
      <c r="BD318" t="s">
        <v>74</v>
      </c>
      <c r="BE318" t="s">
        <v>6652</v>
      </c>
      <c r="BF318" t="str">
        <f>HYPERLINK("http://dx.doi.org/10.1007/s42330-022-00220-7","http://dx.doi.org/10.1007/s42330-022-00220-7")</f>
        <v>http://dx.doi.org/10.1007/s42330-022-00220-7</v>
      </c>
      <c r="BG318" t="s">
        <v>74</v>
      </c>
      <c r="BH318" t="s">
        <v>126</v>
      </c>
      <c r="BI318">
        <v>11</v>
      </c>
      <c r="BJ318" t="s">
        <v>6653</v>
      </c>
      <c r="BK318" t="s">
        <v>313</v>
      </c>
      <c r="BL318" t="s">
        <v>4031</v>
      </c>
      <c r="BM318" t="s">
        <v>6654</v>
      </c>
      <c r="BN318">
        <v>38625313</v>
      </c>
      <c r="BO318" t="s">
        <v>3694</v>
      </c>
      <c r="BP318" t="s">
        <v>74</v>
      </c>
      <c r="BQ318" t="s">
        <v>74</v>
      </c>
      <c r="BR318" t="s">
        <v>102</v>
      </c>
      <c r="BS318" t="s">
        <v>6655</v>
      </c>
      <c r="BT318" t="str">
        <f>HYPERLINK("https%3A%2F%2Fwww.webofscience.com%2Fwos%2Fwoscc%2Ffull-record%2FWOS:000828423200001","View Full Record in Web of Science")</f>
        <v>View Full Record in Web of Science</v>
      </c>
    </row>
    <row r="319" spans="1:72" x14ac:dyDescent="0.25">
      <c r="A319" t="s">
        <v>72</v>
      </c>
      <c r="B319" t="s">
        <v>6656</v>
      </c>
      <c r="C319" t="s">
        <v>74</v>
      </c>
      <c r="D319" t="s">
        <v>74</v>
      </c>
      <c r="E319" t="s">
        <v>74</v>
      </c>
      <c r="F319" t="s">
        <v>6657</v>
      </c>
      <c r="G319" t="s">
        <v>74</v>
      </c>
      <c r="H319" t="s">
        <v>74</v>
      </c>
      <c r="I319" t="s">
        <v>6658</v>
      </c>
      <c r="J319" t="s">
        <v>4270</v>
      </c>
      <c r="K319" t="s">
        <v>74</v>
      </c>
      <c r="L319" t="s">
        <v>74</v>
      </c>
      <c r="M319" t="s">
        <v>78</v>
      </c>
      <c r="N319" t="s">
        <v>79</v>
      </c>
      <c r="O319" t="s">
        <v>74</v>
      </c>
      <c r="P319" t="s">
        <v>74</v>
      </c>
      <c r="Q319" t="s">
        <v>74</v>
      </c>
      <c r="R319" t="s">
        <v>74</v>
      </c>
      <c r="S319" t="s">
        <v>74</v>
      </c>
      <c r="T319" t="s">
        <v>6659</v>
      </c>
      <c r="U319" t="s">
        <v>74</v>
      </c>
      <c r="V319" t="s">
        <v>6660</v>
      </c>
      <c r="W319" t="s">
        <v>6661</v>
      </c>
      <c r="X319" t="s">
        <v>6662</v>
      </c>
      <c r="Y319" t="s">
        <v>6663</v>
      </c>
      <c r="Z319" t="s">
        <v>74</v>
      </c>
      <c r="AA319" t="s">
        <v>74</v>
      </c>
      <c r="AB319" t="s">
        <v>6664</v>
      </c>
      <c r="AC319" t="s">
        <v>74</v>
      </c>
      <c r="AD319" t="s">
        <v>74</v>
      </c>
      <c r="AE319" t="s">
        <v>74</v>
      </c>
      <c r="AF319" t="s">
        <v>74</v>
      </c>
      <c r="AG319">
        <v>26</v>
      </c>
      <c r="AH319">
        <v>0</v>
      </c>
      <c r="AI319">
        <v>0</v>
      </c>
      <c r="AJ319">
        <v>2</v>
      </c>
      <c r="AK319">
        <v>15</v>
      </c>
      <c r="AL319" t="s">
        <v>4279</v>
      </c>
      <c r="AM319" t="s">
        <v>4280</v>
      </c>
      <c r="AN319" t="s">
        <v>4281</v>
      </c>
      <c r="AO319" t="s">
        <v>4282</v>
      </c>
      <c r="AP319" t="s">
        <v>4283</v>
      </c>
      <c r="AQ319" t="s">
        <v>74</v>
      </c>
      <c r="AR319" t="s">
        <v>4270</v>
      </c>
      <c r="AS319" t="s">
        <v>4284</v>
      </c>
      <c r="AT319" t="s">
        <v>74</v>
      </c>
      <c r="AU319">
        <v>2022</v>
      </c>
      <c r="AV319" t="s">
        <v>74</v>
      </c>
      <c r="AW319">
        <v>5</v>
      </c>
      <c r="AX319" t="s">
        <v>74</v>
      </c>
      <c r="AY319" t="s">
        <v>74</v>
      </c>
      <c r="AZ319" t="s">
        <v>74</v>
      </c>
      <c r="BA319" t="s">
        <v>74</v>
      </c>
      <c r="BB319">
        <v>13</v>
      </c>
      <c r="BC319">
        <v>25</v>
      </c>
      <c r="BD319" t="s">
        <v>74</v>
      </c>
      <c r="BE319" t="s">
        <v>6665</v>
      </c>
      <c r="BF319" t="str">
        <f>HYPERLINK("http://dx.doi.org/10.15219/em97.1588","http://dx.doi.org/10.15219/em97.1588")</f>
        <v>http://dx.doi.org/10.15219/em97.1588</v>
      </c>
      <c r="BG319" t="s">
        <v>74</v>
      </c>
      <c r="BH319" t="s">
        <v>74</v>
      </c>
      <c r="BI319">
        <v>14</v>
      </c>
      <c r="BJ319" t="s">
        <v>4031</v>
      </c>
      <c r="BK319" t="s">
        <v>313</v>
      </c>
      <c r="BL319" t="s">
        <v>4031</v>
      </c>
      <c r="BM319" t="s">
        <v>6666</v>
      </c>
      <c r="BN319" t="s">
        <v>74</v>
      </c>
      <c r="BO319" t="s">
        <v>1205</v>
      </c>
      <c r="BP319" t="s">
        <v>74</v>
      </c>
      <c r="BQ319" t="s">
        <v>74</v>
      </c>
      <c r="BR319" t="s">
        <v>102</v>
      </c>
      <c r="BS319" t="s">
        <v>6667</v>
      </c>
      <c r="BT319" t="str">
        <f>HYPERLINK("https%3A%2F%2Fwww.webofscience.com%2Fwos%2Fwoscc%2Ffull-record%2FWOS:000930939900003","View Full Record in Web of Science")</f>
        <v>View Full Record in Web of Science</v>
      </c>
    </row>
    <row r="320" spans="1:72" x14ac:dyDescent="0.25">
      <c r="A320" t="s">
        <v>132</v>
      </c>
      <c r="B320" t="s">
        <v>6668</v>
      </c>
      <c r="C320" t="s">
        <v>74</v>
      </c>
      <c r="D320" t="s">
        <v>6669</v>
      </c>
      <c r="E320" t="s">
        <v>74</v>
      </c>
      <c r="F320" t="s">
        <v>6670</v>
      </c>
      <c r="G320" t="s">
        <v>74</v>
      </c>
      <c r="H320" t="s">
        <v>74</v>
      </c>
      <c r="I320" t="s">
        <v>6671</v>
      </c>
      <c r="J320" t="s">
        <v>6672</v>
      </c>
      <c r="K320" t="s">
        <v>2093</v>
      </c>
      <c r="L320" t="s">
        <v>74</v>
      </c>
      <c r="M320" t="s">
        <v>78</v>
      </c>
      <c r="N320" t="s">
        <v>138</v>
      </c>
      <c r="O320" t="s">
        <v>6673</v>
      </c>
      <c r="P320" t="s">
        <v>6674</v>
      </c>
      <c r="Q320" t="s">
        <v>6675</v>
      </c>
      <c r="R320" t="s">
        <v>74</v>
      </c>
      <c r="S320" t="s">
        <v>6676</v>
      </c>
      <c r="T320" t="s">
        <v>6677</v>
      </c>
      <c r="U320" t="s">
        <v>6678</v>
      </c>
      <c r="V320" t="s">
        <v>6679</v>
      </c>
      <c r="W320" t="s">
        <v>6680</v>
      </c>
      <c r="X320" t="s">
        <v>74</v>
      </c>
      <c r="Y320" t="s">
        <v>6681</v>
      </c>
      <c r="Z320" t="s">
        <v>6682</v>
      </c>
      <c r="AA320" t="s">
        <v>74</v>
      </c>
      <c r="AB320" t="s">
        <v>74</v>
      </c>
      <c r="AC320" t="s">
        <v>74</v>
      </c>
      <c r="AD320" t="s">
        <v>74</v>
      </c>
      <c r="AE320" t="s">
        <v>74</v>
      </c>
      <c r="AF320" t="s">
        <v>74</v>
      </c>
      <c r="AG320">
        <v>36</v>
      </c>
      <c r="AH320">
        <v>1</v>
      </c>
      <c r="AI320">
        <v>1</v>
      </c>
      <c r="AJ320">
        <v>0</v>
      </c>
      <c r="AK320">
        <v>2</v>
      </c>
      <c r="AL320" t="s">
        <v>2105</v>
      </c>
      <c r="AM320" t="s">
        <v>1890</v>
      </c>
      <c r="AN320" t="s">
        <v>4110</v>
      </c>
      <c r="AO320" t="s">
        <v>2107</v>
      </c>
      <c r="AP320" t="s">
        <v>4003</v>
      </c>
      <c r="AQ320" t="s">
        <v>6683</v>
      </c>
      <c r="AR320" t="s">
        <v>4005</v>
      </c>
      <c r="AS320" t="s">
        <v>74</v>
      </c>
      <c r="AT320" t="s">
        <v>74</v>
      </c>
      <c r="AU320">
        <v>2020</v>
      </c>
      <c r="AV320">
        <v>1079</v>
      </c>
      <c r="AW320" t="s">
        <v>74</v>
      </c>
      <c r="AX320" t="s">
        <v>74</v>
      </c>
      <c r="AY320" t="s">
        <v>74</v>
      </c>
      <c r="AZ320" t="s">
        <v>74</v>
      </c>
      <c r="BA320" t="s">
        <v>74</v>
      </c>
      <c r="BB320">
        <v>205</v>
      </c>
      <c r="BC320">
        <v>221</v>
      </c>
      <c r="BD320" t="s">
        <v>74</v>
      </c>
      <c r="BE320" t="s">
        <v>6684</v>
      </c>
      <c r="BF320" t="str">
        <f>HYPERLINK("http://dx.doi.org/10.1007/978-981-15-1097-7_18","http://dx.doi.org/10.1007/978-981-15-1097-7_18")</f>
        <v>http://dx.doi.org/10.1007/978-981-15-1097-7_18</v>
      </c>
      <c r="BG320" t="s">
        <v>74</v>
      </c>
      <c r="BH320" t="s">
        <v>74</v>
      </c>
      <c r="BI320">
        <v>17</v>
      </c>
      <c r="BJ320" t="s">
        <v>2843</v>
      </c>
      <c r="BK320" t="s">
        <v>156</v>
      </c>
      <c r="BL320" t="s">
        <v>157</v>
      </c>
      <c r="BM320" t="s">
        <v>6685</v>
      </c>
      <c r="BN320" t="s">
        <v>74</v>
      </c>
      <c r="BO320" t="s">
        <v>74</v>
      </c>
      <c r="BP320" t="s">
        <v>74</v>
      </c>
      <c r="BQ320" t="s">
        <v>74</v>
      </c>
      <c r="BR320" t="s">
        <v>102</v>
      </c>
      <c r="BS320" t="s">
        <v>6686</v>
      </c>
      <c r="BT320" t="str">
        <f>HYPERLINK("https%3A%2F%2Fwww.webofscience.com%2Fwos%2Fwoscc%2Ffull-record%2FWOS:000656884600018","View Full Record in Web of Science")</f>
        <v>View Full Record in Web of Science</v>
      </c>
    </row>
    <row r="321" spans="1:72" x14ac:dyDescent="0.25">
      <c r="A321" t="s">
        <v>132</v>
      </c>
      <c r="B321" t="s">
        <v>6687</v>
      </c>
      <c r="C321" t="s">
        <v>74</v>
      </c>
      <c r="D321" t="s">
        <v>74</v>
      </c>
      <c r="E321" t="s">
        <v>6688</v>
      </c>
      <c r="F321" t="s">
        <v>6689</v>
      </c>
      <c r="G321" t="s">
        <v>74</v>
      </c>
      <c r="H321" t="s">
        <v>74</v>
      </c>
      <c r="I321" t="s">
        <v>6690</v>
      </c>
      <c r="J321" t="s">
        <v>6691</v>
      </c>
      <c r="K321" t="s">
        <v>6692</v>
      </c>
      <c r="L321" t="s">
        <v>74</v>
      </c>
      <c r="M321" t="s">
        <v>78</v>
      </c>
      <c r="N321" t="s">
        <v>138</v>
      </c>
      <c r="O321" t="s">
        <v>6693</v>
      </c>
      <c r="P321" t="s">
        <v>6694</v>
      </c>
      <c r="Q321" t="s">
        <v>6695</v>
      </c>
      <c r="R321" t="s">
        <v>74</v>
      </c>
      <c r="S321" t="s">
        <v>3960</v>
      </c>
      <c r="T321" t="s">
        <v>6696</v>
      </c>
      <c r="U321" t="s">
        <v>74</v>
      </c>
      <c r="V321" t="s">
        <v>6697</v>
      </c>
      <c r="W321" t="s">
        <v>6698</v>
      </c>
      <c r="X321" t="s">
        <v>6699</v>
      </c>
      <c r="Y321" t="s">
        <v>6700</v>
      </c>
      <c r="Z321" t="s">
        <v>6701</v>
      </c>
      <c r="AA321" t="s">
        <v>6702</v>
      </c>
      <c r="AB321" t="s">
        <v>6703</v>
      </c>
      <c r="AC321" t="s">
        <v>74</v>
      </c>
      <c r="AD321" t="s">
        <v>74</v>
      </c>
      <c r="AE321" t="s">
        <v>74</v>
      </c>
      <c r="AF321" t="s">
        <v>74</v>
      </c>
      <c r="AG321">
        <v>25</v>
      </c>
      <c r="AH321">
        <v>1</v>
      </c>
      <c r="AI321">
        <v>2</v>
      </c>
      <c r="AJ321">
        <v>1</v>
      </c>
      <c r="AK321">
        <v>1</v>
      </c>
      <c r="AL321" t="s">
        <v>3651</v>
      </c>
      <c r="AM321" t="s">
        <v>3652</v>
      </c>
      <c r="AN321" t="s">
        <v>3653</v>
      </c>
      <c r="AO321" t="s">
        <v>6704</v>
      </c>
      <c r="AP321" t="s">
        <v>6705</v>
      </c>
      <c r="AQ321" t="s">
        <v>6706</v>
      </c>
      <c r="AR321" t="s">
        <v>6707</v>
      </c>
      <c r="AS321" t="s">
        <v>74</v>
      </c>
      <c r="AT321" t="s">
        <v>74</v>
      </c>
      <c r="AU321">
        <v>2024</v>
      </c>
      <c r="AV321">
        <v>19</v>
      </c>
      <c r="AW321" t="s">
        <v>74</v>
      </c>
      <c r="AX321" t="s">
        <v>74</v>
      </c>
      <c r="AY321" t="s">
        <v>74</v>
      </c>
      <c r="AZ321" t="s">
        <v>74</v>
      </c>
      <c r="BA321" t="s">
        <v>74</v>
      </c>
      <c r="BB321">
        <v>34</v>
      </c>
      <c r="BC321">
        <v>42</v>
      </c>
      <c r="BD321" t="s">
        <v>74</v>
      </c>
      <c r="BE321" t="s">
        <v>74</v>
      </c>
      <c r="BF321" t="s">
        <v>74</v>
      </c>
      <c r="BG321" t="s">
        <v>74</v>
      </c>
      <c r="BH321" t="s">
        <v>74</v>
      </c>
      <c r="BI321">
        <v>9</v>
      </c>
      <c r="BJ321" t="s">
        <v>6213</v>
      </c>
      <c r="BK321" t="s">
        <v>156</v>
      </c>
      <c r="BL321" t="s">
        <v>157</v>
      </c>
      <c r="BM321" t="s">
        <v>6708</v>
      </c>
      <c r="BN321" t="s">
        <v>74</v>
      </c>
      <c r="BO321" t="s">
        <v>212</v>
      </c>
      <c r="BP321" t="s">
        <v>74</v>
      </c>
      <c r="BQ321" t="s">
        <v>74</v>
      </c>
      <c r="BR321" t="s">
        <v>102</v>
      </c>
      <c r="BS321" t="s">
        <v>6709</v>
      </c>
      <c r="BT321" t="str">
        <f>HYPERLINK("https%3A%2F%2Fwww.webofscience.com%2Fwos%2Fwoscc%2Ffull-record%2FWOS:001418421600005","View Full Record in Web of Science")</f>
        <v>View Full Record in Web of Science</v>
      </c>
    </row>
    <row r="322" spans="1:72" x14ac:dyDescent="0.25">
      <c r="A322" t="s">
        <v>72</v>
      </c>
      <c r="B322" t="s">
        <v>6710</v>
      </c>
      <c r="C322" t="s">
        <v>74</v>
      </c>
      <c r="D322" t="s">
        <v>74</v>
      </c>
      <c r="E322" t="s">
        <v>74</v>
      </c>
      <c r="F322" t="s">
        <v>6711</v>
      </c>
      <c r="G322" t="s">
        <v>74</v>
      </c>
      <c r="H322" t="s">
        <v>74</v>
      </c>
      <c r="I322" t="s">
        <v>6712</v>
      </c>
      <c r="J322" t="s">
        <v>6713</v>
      </c>
      <c r="K322" t="s">
        <v>74</v>
      </c>
      <c r="L322" t="s">
        <v>74</v>
      </c>
      <c r="M322" t="s">
        <v>78</v>
      </c>
      <c r="N322" t="s">
        <v>79</v>
      </c>
      <c r="O322" t="s">
        <v>74</v>
      </c>
      <c r="P322" t="s">
        <v>74</v>
      </c>
      <c r="Q322" t="s">
        <v>74</v>
      </c>
      <c r="R322" t="s">
        <v>74</v>
      </c>
      <c r="S322" t="s">
        <v>74</v>
      </c>
      <c r="T322" t="s">
        <v>6714</v>
      </c>
      <c r="U322" t="s">
        <v>6715</v>
      </c>
      <c r="V322" t="s">
        <v>6716</v>
      </c>
      <c r="W322" t="s">
        <v>6717</v>
      </c>
      <c r="X322" t="s">
        <v>6718</v>
      </c>
      <c r="Y322" t="s">
        <v>6719</v>
      </c>
      <c r="Z322" t="s">
        <v>6720</v>
      </c>
      <c r="AA322" t="s">
        <v>74</v>
      </c>
      <c r="AB322" t="s">
        <v>74</v>
      </c>
      <c r="AC322" t="s">
        <v>6721</v>
      </c>
      <c r="AD322" t="s">
        <v>6722</v>
      </c>
      <c r="AE322" t="s">
        <v>6723</v>
      </c>
      <c r="AF322" t="s">
        <v>74</v>
      </c>
      <c r="AG322">
        <v>35</v>
      </c>
      <c r="AH322">
        <v>37</v>
      </c>
      <c r="AI322">
        <v>47</v>
      </c>
      <c r="AJ322">
        <v>0</v>
      </c>
      <c r="AK322">
        <v>18</v>
      </c>
      <c r="AL322" t="s">
        <v>4485</v>
      </c>
      <c r="AM322" t="s">
        <v>6724</v>
      </c>
      <c r="AN322" t="s">
        <v>6725</v>
      </c>
      <c r="AO322" t="s">
        <v>6726</v>
      </c>
      <c r="AP322" t="s">
        <v>6727</v>
      </c>
      <c r="AQ322" t="s">
        <v>74</v>
      </c>
      <c r="AR322" t="s">
        <v>6728</v>
      </c>
      <c r="AS322" t="s">
        <v>6729</v>
      </c>
      <c r="AT322" t="s">
        <v>1652</v>
      </c>
      <c r="AU322">
        <v>2020</v>
      </c>
      <c r="AV322">
        <v>44</v>
      </c>
      <c r="AW322">
        <v>5</v>
      </c>
      <c r="AX322" t="s">
        <v>74</v>
      </c>
      <c r="AY322" t="s">
        <v>74</v>
      </c>
      <c r="AZ322" t="s">
        <v>74</v>
      </c>
      <c r="BA322" t="s">
        <v>74</v>
      </c>
      <c r="BB322" t="s">
        <v>74</v>
      </c>
      <c r="BC322" t="s">
        <v>74</v>
      </c>
      <c r="BD322">
        <v>101944</v>
      </c>
      <c r="BE322" t="s">
        <v>6730</v>
      </c>
      <c r="BF322" t="str">
        <f>HYPERLINK("http://dx.doi.org/10.1016/j.telpol.2020.101944","http://dx.doi.org/10.1016/j.telpol.2020.101944")</f>
        <v>http://dx.doi.org/10.1016/j.telpol.2020.101944</v>
      </c>
      <c r="BG322" t="s">
        <v>74</v>
      </c>
      <c r="BH322" t="s">
        <v>74</v>
      </c>
      <c r="BI322">
        <v>28</v>
      </c>
      <c r="BJ322" t="s">
        <v>6731</v>
      </c>
      <c r="BK322" t="s">
        <v>2623</v>
      </c>
      <c r="BL322" t="s">
        <v>6731</v>
      </c>
      <c r="BM322" t="s">
        <v>6732</v>
      </c>
      <c r="BN322" t="s">
        <v>74</v>
      </c>
      <c r="BO322" t="s">
        <v>1696</v>
      </c>
      <c r="BP322" t="s">
        <v>74</v>
      </c>
      <c r="BQ322" t="s">
        <v>74</v>
      </c>
      <c r="BR322" t="s">
        <v>102</v>
      </c>
      <c r="BS322" t="s">
        <v>6733</v>
      </c>
      <c r="BT322" t="str">
        <f>HYPERLINK("https%3A%2F%2Fwww.webofscience.com%2Fwos%2Fwoscc%2Ffull-record%2FWOS:000531085700006","View Full Record in Web of Science")</f>
        <v>View Full Record in Web of Science</v>
      </c>
    </row>
    <row r="323" spans="1:72" x14ac:dyDescent="0.25">
      <c r="A323" t="s">
        <v>72</v>
      </c>
      <c r="B323" t="s">
        <v>6734</v>
      </c>
      <c r="C323" t="s">
        <v>74</v>
      </c>
      <c r="D323" t="s">
        <v>74</v>
      </c>
      <c r="E323" t="s">
        <v>74</v>
      </c>
      <c r="F323" t="s">
        <v>6735</v>
      </c>
      <c r="G323" t="s">
        <v>74</v>
      </c>
      <c r="H323" t="s">
        <v>74</v>
      </c>
      <c r="I323" t="s">
        <v>6736</v>
      </c>
      <c r="J323" t="s">
        <v>6737</v>
      </c>
      <c r="K323" t="s">
        <v>74</v>
      </c>
      <c r="L323" t="s">
        <v>74</v>
      </c>
      <c r="M323" t="s">
        <v>78</v>
      </c>
      <c r="N323" t="s">
        <v>79</v>
      </c>
      <c r="O323" t="s">
        <v>74</v>
      </c>
      <c r="P323" t="s">
        <v>74</v>
      </c>
      <c r="Q323" t="s">
        <v>74</v>
      </c>
      <c r="R323" t="s">
        <v>74</v>
      </c>
      <c r="S323" t="s">
        <v>74</v>
      </c>
      <c r="T323" t="s">
        <v>6738</v>
      </c>
      <c r="U323" t="s">
        <v>6739</v>
      </c>
      <c r="V323" t="s">
        <v>6740</v>
      </c>
      <c r="W323" t="s">
        <v>6741</v>
      </c>
      <c r="X323" t="s">
        <v>6742</v>
      </c>
      <c r="Y323" t="s">
        <v>6743</v>
      </c>
      <c r="Z323" t="s">
        <v>6744</v>
      </c>
      <c r="AA323" t="s">
        <v>6745</v>
      </c>
      <c r="AB323" t="s">
        <v>6746</v>
      </c>
      <c r="AC323" t="s">
        <v>74</v>
      </c>
      <c r="AD323" t="s">
        <v>74</v>
      </c>
      <c r="AE323" t="s">
        <v>74</v>
      </c>
      <c r="AF323" t="s">
        <v>74</v>
      </c>
      <c r="AG323">
        <v>19</v>
      </c>
      <c r="AH323">
        <v>1</v>
      </c>
      <c r="AI323">
        <v>1</v>
      </c>
      <c r="AJ323">
        <v>3</v>
      </c>
      <c r="AK323">
        <v>44</v>
      </c>
      <c r="AL323" t="s">
        <v>6747</v>
      </c>
      <c r="AM323" t="s">
        <v>6748</v>
      </c>
      <c r="AN323" t="s">
        <v>6749</v>
      </c>
      <c r="AO323" t="s">
        <v>6750</v>
      </c>
      <c r="AP323" t="s">
        <v>74</v>
      </c>
      <c r="AQ323" t="s">
        <v>74</v>
      </c>
      <c r="AR323" t="s">
        <v>6751</v>
      </c>
      <c r="AS323" t="s">
        <v>6752</v>
      </c>
      <c r="AT323" t="s">
        <v>1652</v>
      </c>
      <c r="AU323">
        <v>2022</v>
      </c>
      <c r="AV323">
        <v>13</v>
      </c>
      <c r="AW323">
        <v>4</v>
      </c>
      <c r="AX323" t="s">
        <v>74</v>
      </c>
      <c r="AY323" t="s">
        <v>74</v>
      </c>
      <c r="AZ323" t="s">
        <v>441</v>
      </c>
      <c r="BA323" t="s">
        <v>74</v>
      </c>
      <c r="BB323" t="s">
        <v>6753</v>
      </c>
      <c r="BC323" t="s">
        <v>6754</v>
      </c>
      <c r="BD323" t="s">
        <v>74</v>
      </c>
      <c r="BE323" t="s">
        <v>6755</v>
      </c>
      <c r="BF323" t="str">
        <f>HYPERLINK("http://dx.doi.org/10.14807/ijmp.v13i4.1928","http://dx.doi.org/10.14807/ijmp.v13i4.1928")</f>
        <v>http://dx.doi.org/10.14807/ijmp.v13i4.1928</v>
      </c>
      <c r="BG323" t="s">
        <v>74</v>
      </c>
      <c r="BH323" t="s">
        <v>74</v>
      </c>
      <c r="BI323">
        <v>10</v>
      </c>
      <c r="BJ323" t="s">
        <v>583</v>
      </c>
      <c r="BK323" t="s">
        <v>313</v>
      </c>
      <c r="BL323" t="s">
        <v>100</v>
      </c>
      <c r="BM323" t="s">
        <v>6756</v>
      </c>
      <c r="BN323" t="s">
        <v>74</v>
      </c>
      <c r="BO323" t="s">
        <v>916</v>
      </c>
      <c r="BP323" t="s">
        <v>74</v>
      </c>
      <c r="BQ323" t="s">
        <v>74</v>
      </c>
      <c r="BR323" t="s">
        <v>102</v>
      </c>
      <c r="BS323" t="s">
        <v>6757</v>
      </c>
      <c r="BT323" t="str">
        <f>HYPERLINK("https%3A%2F%2Fwww.webofscience.com%2Fwos%2Fwoscc%2Ffull-record%2FWOS:000807413800009","View Full Record in Web of Science")</f>
        <v>View Full Record in Web of Science</v>
      </c>
    </row>
    <row r="324" spans="1:72" x14ac:dyDescent="0.25">
      <c r="A324" t="s">
        <v>72</v>
      </c>
      <c r="B324" t="s">
        <v>6758</v>
      </c>
      <c r="C324" t="s">
        <v>74</v>
      </c>
      <c r="D324" t="s">
        <v>74</v>
      </c>
      <c r="E324" t="s">
        <v>74</v>
      </c>
      <c r="F324" t="s">
        <v>6759</v>
      </c>
      <c r="G324" t="s">
        <v>74</v>
      </c>
      <c r="H324" t="s">
        <v>74</v>
      </c>
      <c r="I324" t="s">
        <v>6760</v>
      </c>
      <c r="J324" t="s">
        <v>6761</v>
      </c>
      <c r="K324" t="s">
        <v>74</v>
      </c>
      <c r="L324" t="s">
        <v>74</v>
      </c>
      <c r="M324" t="s">
        <v>78</v>
      </c>
      <c r="N324" t="s">
        <v>79</v>
      </c>
      <c r="O324" t="s">
        <v>74</v>
      </c>
      <c r="P324" t="s">
        <v>74</v>
      </c>
      <c r="Q324" t="s">
        <v>74</v>
      </c>
      <c r="R324" t="s">
        <v>74</v>
      </c>
      <c r="S324" t="s">
        <v>74</v>
      </c>
      <c r="T324" t="s">
        <v>6762</v>
      </c>
      <c r="U324" t="s">
        <v>6763</v>
      </c>
      <c r="V324" t="s">
        <v>6764</v>
      </c>
      <c r="W324" t="s">
        <v>6765</v>
      </c>
      <c r="X324" t="s">
        <v>6766</v>
      </c>
      <c r="Y324" t="s">
        <v>6767</v>
      </c>
      <c r="Z324" t="s">
        <v>6768</v>
      </c>
      <c r="AA324" t="s">
        <v>6769</v>
      </c>
      <c r="AB324" t="s">
        <v>6770</v>
      </c>
      <c r="AC324" t="s">
        <v>6771</v>
      </c>
      <c r="AD324" t="s">
        <v>6771</v>
      </c>
      <c r="AE324" t="s">
        <v>6772</v>
      </c>
      <c r="AF324" t="s">
        <v>74</v>
      </c>
      <c r="AG324">
        <v>65</v>
      </c>
      <c r="AH324">
        <v>4</v>
      </c>
      <c r="AI324">
        <v>4</v>
      </c>
      <c r="AJ324">
        <v>3</v>
      </c>
      <c r="AK324">
        <v>29</v>
      </c>
      <c r="AL324" t="s">
        <v>6773</v>
      </c>
      <c r="AM324" t="s">
        <v>2661</v>
      </c>
      <c r="AN324" t="s">
        <v>6774</v>
      </c>
      <c r="AO324" t="s">
        <v>6775</v>
      </c>
      <c r="AP324" t="s">
        <v>6776</v>
      </c>
      <c r="AQ324" t="s">
        <v>74</v>
      </c>
      <c r="AR324" t="s">
        <v>6777</v>
      </c>
      <c r="AS324" t="s">
        <v>6778</v>
      </c>
      <c r="AT324" t="s">
        <v>605</v>
      </c>
      <c r="AU324">
        <v>2022</v>
      </c>
      <c r="AV324">
        <v>15</v>
      </c>
      <c r="AW324">
        <v>1</v>
      </c>
      <c r="AX324" t="s">
        <v>74</v>
      </c>
      <c r="AY324" t="s">
        <v>74</v>
      </c>
      <c r="AZ324" t="s">
        <v>74</v>
      </c>
      <c r="BA324" t="s">
        <v>74</v>
      </c>
      <c r="BB324">
        <v>19</v>
      </c>
      <c r="BC324">
        <v>30</v>
      </c>
      <c r="BD324" t="s">
        <v>74</v>
      </c>
      <c r="BE324" t="s">
        <v>6779</v>
      </c>
      <c r="BF324" t="str">
        <f>HYPERLINK("http://dx.doi.org/10.1037/npe0000153","http://dx.doi.org/10.1037/npe0000153")</f>
        <v>http://dx.doi.org/10.1037/npe0000153</v>
      </c>
      <c r="BG324" t="s">
        <v>74</v>
      </c>
      <c r="BH324" t="s">
        <v>6548</v>
      </c>
      <c r="BI324">
        <v>12</v>
      </c>
      <c r="BJ324" t="s">
        <v>6780</v>
      </c>
      <c r="BK324" t="s">
        <v>99</v>
      </c>
      <c r="BL324" t="s">
        <v>6781</v>
      </c>
      <c r="BM324" t="s">
        <v>6782</v>
      </c>
      <c r="BN324" t="s">
        <v>74</v>
      </c>
      <c r="BO324" t="s">
        <v>74</v>
      </c>
      <c r="BP324" t="s">
        <v>74</v>
      </c>
      <c r="BQ324" t="s">
        <v>74</v>
      </c>
      <c r="BR324" t="s">
        <v>102</v>
      </c>
      <c r="BS324" t="s">
        <v>6783</v>
      </c>
      <c r="BT324" t="str">
        <f>HYPERLINK("https%3A%2F%2Fwww.webofscience.com%2Fwos%2Fwoscc%2Ffull-record%2FWOS:000741673700001","View Full Record in Web of Science")</f>
        <v>View Full Record in Web of Science</v>
      </c>
    </row>
    <row r="325" spans="1:72" x14ac:dyDescent="0.25">
      <c r="A325" t="s">
        <v>72</v>
      </c>
      <c r="B325" t="s">
        <v>6784</v>
      </c>
      <c r="C325" t="s">
        <v>74</v>
      </c>
      <c r="D325" t="s">
        <v>74</v>
      </c>
      <c r="E325" t="s">
        <v>74</v>
      </c>
      <c r="F325" t="s">
        <v>6785</v>
      </c>
      <c r="G325" t="s">
        <v>74</v>
      </c>
      <c r="H325" t="s">
        <v>74</v>
      </c>
      <c r="I325" t="s">
        <v>6786</v>
      </c>
      <c r="J325" t="s">
        <v>6787</v>
      </c>
      <c r="K325" t="s">
        <v>74</v>
      </c>
      <c r="L325" t="s">
        <v>74</v>
      </c>
      <c r="M325" t="s">
        <v>78</v>
      </c>
      <c r="N325" t="s">
        <v>79</v>
      </c>
      <c r="O325" t="s">
        <v>74</v>
      </c>
      <c r="P325" t="s">
        <v>74</v>
      </c>
      <c r="Q325" t="s">
        <v>74</v>
      </c>
      <c r="R325" t="s">
        <v>74</v>
      </c>
      <c r="S325" t="s">
        <v>74</v>
      </c>
      <c r="T325" t="s">
        <v>6788</v>
      </c>
      <c r="U325" t="s">
        <v>74</v>
      </c>
      <c r="V325" t="s">
        <v>6789</v>
      </c>
      <c r="W325" t="s">
        <v>6790</v>
      </c>
      <c r="X325" t="s">
        <v>6791</v>
      </c>
      <c r="Y325" t="s">
        <v>6792</v>
      </c>
      <c r="Z325" t="s">
        <v>6793</v>
      </c>
      <c r="AA325" t="s">
        <v>6794</v>
      </c>
      <c r="AB325" t="s">
        <v>6795</v>
      </c>
      <c r="AC325" t="s">
        <v>74</v>
      </c>
      <c r="AD325" t="s">
        <v>74</v>
      </c>
      <c r="AE325" t="s">
        <v>74</v>
      </c>
      <c r="AF325" t="s">
        <v>74</v>
      </c>
      <c r="AG325">
        <v>35</v>
      </c>
      <c r="AH325">
        <v>128</v>
      </c>
      <c r="AI325">
        <v>159</v>
      </c>
      <c r="AJ325">
        <v>3</v>
      </c>
      <c r="AK325">
        <v>311</v>
      </c>
      <c r="AL325" t="s">
        <v>3298</v>
      </c>
      <c r="AM325" t="s">
        <v>202</v>
      </c>
      <c r="AN325" t="s">
        <v>3299</v>
      </c>
      <c r="AO325" t="s">
        <v>6796</v>
      </c>
      <c r="AP325" t="s">
        <v>6797</v>
      </c>
      <c r="AQ325" t="s">
        <v>74</v>
      </c>
      <c r="AR325" t="s">
        <v>6798</v>
      </c>
      <c r="AS325" t="s">
        <v>6799</v>
      </c>
      <c r="AT325" t="s">
        <v>4759</v>
      </c>
      <c r="AU325">
        <v>2017</v>
      </c>
      <c r="AV325">
        <v>60</v>
      </c>
      <c r="AW325">
        <v>6</v>
      </c>
      <c r="AX325" t="s">
        <v>74</v>
      </c>
      <c r="AY325" t="s">
        <v>74</v>
      </c>
      <c r="AZ325" t="s">
        <v>441</v>
      </c>
      <c r="BA325" t="s">
        <v>74</v>
      </c>
      <c r="BB325">
        <v>865</v>
      </c>
      <c r="BC325">
        <v>874</v>
      </c>
      <c r="BD325" t="s">
        <v>74</v>
      </c>
      <c r="BE325" t="s">
        <v>6800</v>
      </c>
      <c r="BF325" t="str">
        <f>HYPERLINK("http://dx.doi.org/10.1016/j.bushor.2017.07.012","http://dx.doi.org/10.1016/j.bushor.2017.07.012")</f>
        <v>http://dx.doi.org/10.1016/j.bushor.2017.07.012</v>
      </c>
      <c r="BG325" t="s">
        <v>74</v>
      </c>
      <c r="BH325" t="s">
        <v>74</v>
      </c>
      <c r="BI325">
        <v>10</v>
      </c>
      <c r="BJ325" t="s">
        <v>418</v>
      </c>
      <c r="BK325" t="s">
        <v>99</v>
      </c>
      <c r="BL325" t="s">
        <v>100</v>
      </c>
      <c r="BM325" t="s">
        <v>6801</v>
      </c>
      <c r="BN325" t="s">
        <v>74</v>
      </c>
      <c r="BO325" t="s">
        <v>74</v>
      </c>
      <c r="BP325" t="s">
        <v>74</v>
      </c>
      <c r="BQ325" t="s">
        <v>74</v>
      </c>
      <c r="BR325" t="s">
        <v>102</v>
      </c>
      <c r="BS325" t="s">
        <v>6802</v>
      </c>
      <c r="BT325" t="str">
        <f>HYPERLINK("https%3A%2F%2Fwww.webofscience.com%2Fwos%2Fwoscc%2Ffull-record%2FWOS:000414819000012","View Full Record in Web of Science")</f>
        <v>View Full Record in Web of Science</v>
      </c>
    </row>
    <row r="326" spans="1:72" x14ac:dyDescent="0.25">
      <c r="A326" t="s">
        <v>72</v>
      </c>
      <c r="B326" t="s">
        <v>6803</v>
      </c>
      <c r="C326" t="s">
        <v>74</v>
      </c>
      <c r="D326" t="s">
        <v>74</v>
      </c>
      <c r="E326" t="s">
        <v>74</v>
      </c>
      <c r="F326" t="s">
        <v>6804</v>
      </c>
      <c r="G326" t="s">
        <v>74</v>
      </c>
      <c r="H326" t="s">
        <v>74</v>
      </c>
      <c r="I326" t="s">
        <v>6805</v>
      </c>
      <c r="J326" t="s">
        <v>424</v>
      </c>
      <c r="K326" t="s">
        <v>74</v>
      </c>
      <c r="L326" t="s">
        <v>74</v>
      </c>
      <c r="M326" t="s">
        <v>78</v>
      </c>
      <c r="N326" t="s">
        <v>79</v>
      </c>
      <c r="O326" t="s">
        <v>74</v>
      </c>
      <c r="P326" t="s">
        <v>74</v>
      </c>
      <c r="Q326" t="s">
        <v>74</v>
      </c>
      <c r="R326" t="s">
        <v>74</v>
      </c>
      <c r="S326" t="s">
        <v>74</v>
      </c>
      <c r="T326" t="s">
        <v>6806</v>
      </c>
      <c r="U326" t="s">
        <v>6807</v>
      </c>
      <c r="V326" t="s">
        <v>6808</v>
      </c>
      <c r="W326" t="s">
        <v>6809</v>
      </c>
      <c r="X326" t="s">
        <v>6810</v>
      </c>
      <c r="Y326" t="s">
        <v>6811</v>
      </c>
      <c r="Z326" t="s">
        <v>6812</v>
      </c>
      <c r="AA326" t="s">
        <v>6813</v>
      </c>
      <c r="AB326" t="s">
        <v>6814</v>
      </c>
      <c r="AC326" t="s">
        <v>74</v>
      </c>
      <c r="AD326" t="s">
        <v>74</v>
      </c>
      <c r="AE326" t="s">
        <v>74</v>
      </c>
      <c r="AF326" t="s">
        <v>74</v>
      </c>
      <c r="AG326">
        <v>64</v>
      </c>
      <c r="AH326">
        <v>5</v>
      </c>
      <c r="AI326">
        <v>9</v>
      </c>
      <c r="AJ326">
        <v>1</v>
      </c>
      <c r="AK326">
        <v>23</v>
      </c>
      <c r="AL326" t="s">
        <v>89</v>
      </c>
      <c r="AM326" t="s">
        <v>90</v>
      </c>
      <c r="AN326" t="s">
        <v>91</v>
      </c>
      <c r="AO326" t="s">
        <v>436</v>
      </c>
      <c r="AP326" t="s">
        <v>437</v>
      </c>
      <c r="AQ326" t="s">
        <v>74</v>
      </c>
      <c r="AR326" t="s">
        <v>438</v>
      </c>
      <c r="AS326" t="s">
        <v>439</v>
      </c>
      <c r="AT326" t="s">
        <v>6815</v>
      </c>
      <c r="AU326">
        <v>2022</v>
      </c>
      <c r="AV326">
        <v>40</v>
      </c>
      <c r="AW326">
        <v>2</v>
      </c>
      <c r="AX326" t="s">
        <v>74</v>
      </c>
      <c r="AY326" t="s">
        <v>74</v>
      </c>
      <c r="AZ326" t="s">
        <v>74</v>
      </c>
      <c r="BA326" t="s">
        <v>74</v>
      </c>
      <c r="BB326">
        <v>321</v>
      </c>
      <c r="BC326">
        <v>340</v>
      </c>
      <c r="BD326" t="s">
        <v>74</v>
      </c>
      <c r="BE326" t="s">
        <v>6816</v>
      </c>
      <c r="BF326" t="str">
        <f>HYPERLINK("http://dx.doi.org/10.1108/IJBM-09-2021-0401","http://dx.doi.org/10.1108/IJBM-09-2021-0401")</f>
        <v>http://dx.doi.org/10.1108/IJBM-09-2021-0401</v>
      </c>
      <c r="BG326" t="s">
        <v>74</v>
      </c>
      <c r="BH326" t="s">
        <v>6817</v>
      </c>
      <c r="BI326">
        <v>20</v>
      </c>
      <c r="BJ326" t="s">
        <v>418</v>
      </c>
      <c r="BK326" t="s">
        <v>99</v>
      </c>
      <c r="BL326" t="s">
        <v>100</v>
      </c>
      <c r="BM326" t="s">
        <v>6818</v>
      </c>
      <c r="BN326" t="s">
        <v>74</v>
      </c>
      <c r="BO326" t="s">
        <v>74</v>
      </c>
      <c r="BP326" t="s">
        <v>74</v>
      </c>
      <c r="BQ326" t="s">
        <v>74</v>
      </c>
      <c r="BR326" t="s">
        <v>102</v>
      </c>
      <c r="BS326" t="s">
        <v>6819</v>
      </c>
      <c r="BT326" t="str">
        <f>HYPERLINK("https%3A%2F%2Fwww.webofscience.com%2Fwos%2Fwoscc%2Ffull-record%2FWOS:000720988200001","View Full Record in Web of Science")</f>
        <v>View Full Record in Web of Science</v>
      </c>
    </row>
    <row r="327" spans="1:72" x14ac:dyDescent="0.25">
      <c r="A327" t="s">
        <v>72</v>
      </c>
      <c r="B327" t="s">
        <v>6820</v>
      </c>
      <c r="C327" t="s">
        <v>74</v>
      </c>
      <c r="D327" t="s">
        <v>74</v>
      </c>
      <c r="E327" t="s">
        <v>74</v>
      </c>
      <c r="F327" t="s">
        <v>6821</v>
      </c>
      <c r="G327" t="s">
        <v>74</v>
      </c>
      <c r="H327" t="s">
        <v>74</v>
      </c>
      <c r="I327" t="s">
        <v>6822</v>
      </c>
      <c r="J327" t="s">
        <v>1510</v>
      </c>
      <c r="K327" t="s">
        <v>74</v>
      </c>
      <c r="L327" t="s">
        <v>74</v>
      </c>
      <c r="M327" t="s">
        <v>78</v>
      </c>
      <c r="N327" t="s">
        <v>79</v>
      </c>
      <c r="O327" t="s">
        <v>74</v>
      </c>
      <c r="P327" t="s">
        <v>74</v>
      </c>
      <c r="Q327" t="s">
        <v>74</v>
      </c>
      <c r="R327" t="s">
        <v>74</v>
      </c>
      <c r="S327" t="s">
        <v>74</v>
      </c>
      <c r="T327" t="s">
        <v>6823</v>
      </c>
      <c r="U327" t="s">
        <v>6824</v>
      </c>
      <c r="V327" t="s">
        <v>6825</v>
      </c>
      <c r="W327" t="s">
        <v>6826</v>
      </c>
      <c r="X327" t="s">
        <v>74</v>
      </c>
      <c r="Y327" t="s">
        <v>6827</v>
      </c>
      <c r="Z327" t="s">
        <v>6828</v>
      </c>
      <c r="AA327" t="s">
        <v>74</v>
      </c>
      <c r="AB327" t="s">
        <v>6829</v>
      </c>
      <c r="AC327" t="s">
        <v>74</v>
      </c>
      <c r="AD327" t="s">
        <v>74</v>
      </c>
      <c r="AE327" t="s">
        <v>74</v>
      </c>
      <c r="AF327" t="s">
        <v>74</v>
      </c>
      <c r="AG327">
        <v>41</v>
      </c>
      <c r="AH327">
        <v>12</v>
      </c>
      <c r="AI327">
        <v>14</v>
      </c>
      <c r="AJ327">
        <v>1</v>
      </c>
      <c r="AK327">
        <v>8</v>
      </c>
      <c r="AL327" t="s">
        <v>89</v>
      </c>
      <c r="AM327" t="s">
        <v>1497</v>
      </c>
      <c r="AN327" t="s">
        <v>1498</v>
      </c>
      <c r="AO327" t="s">
        <v>1519</v>
      </c>
      <c r="AP327" t="s">
        <v>1520</v>
      </c>
      <c r="AQ327" t="s">
        <v>74</v>
      </c>
      <c r="AR327" t="s">
        <v>1521</v>
      </c>
      <c r="AS327" t="s">
        <v>1522</v>
      </c>
      <c r="AT327" t="s">
        <v>6830</v>
      </c>
      <c r="AU327">
        <v>2021</v>
      </c>
      <c r="AV327">
        <v>48</v>
      </c>
      <c r="AW327">
        <v>6</v>
      </c>
      <c r="AX327" t="s">
        <v>74</v>
      </c>
      <c r="AY327" t="s">
        <v>74</v>
      </c>
      <c r="AZ327" t="s">
        <v>74</v>
      </c>
      <c r="BA327" t="s">
        <v>74</v>
      </c>
      <c r="BB327">
        <v>898</v>
      </c>
      <c r="BC327">
        <v>913</v>
      </c>
      <c r="BD327" t="s">
        <v>74</v>
      </c>
      <c r="BE327" t="s">
        <v>6831</v>
      </c>
      <c r="BF327" t="str">
        <f>HYPERLINK("http://dx.doi.org/10.1108/IJSE-04-2020-0234","http://dx.doi.org/10.1108/IJSE-04-2020-0234")</f>
        <v>http://dx.doi.org/10.1108/IJSE-04-2020-0234</v>
      </c>
      <c r="BG327" t="s">
        <v>74</v>
      </c>
      <c r="BH327" t="s">
        <v>74</v>
      </c>
      <c r="BI327">
        <v>16</v>
      </c>
      <c r="BJ327" t="s">
        <v>291</v>
      </c>
      <c r="BK327" t="s">
        <v>313</v>
      </c>
      <c r="BL327" t="s">
        <v>100</v>
      </c>
      <c r="BM327" t="s">
        <v>6832</v>
      </c>
      <c r="BN327" t="s">
        <v>74</v>
      </c>
      <c r="BO327" t="s">
        <v>74</v>
      </c>
      <c r="BP327" t="s">
        <v>74</v>
      </c>
      <c r="BQ327" t="s">
        <v>74</v>
      </c>
      <c r="BR327" t="s">
        <v>102</v>
      </c>
      <c r="BS327" t="s">
        <v>6833</v>
      </c>
      <c r="BT327" t="str">
        <f>HYPERLINK("https%3A%2F%2Fwww.webofscience.com%2Fwos%2Fwoscc%2Ffull-record%2FWOS:000658368100007","View Full Record in Web of Science")</f>
        <v>View Full Record in Web of Science</v>
      </c>
    </row>
    <row r="328" spans="1:72" x14ac:dyDescent="0.25">
      <c r="A328" t="s">
        <v>72</v>
      </c>
      <c r="B328" t="s">
        <v>6834</v>
      </c>
      <c r="C328" t="s">
        <v>74</v>
      </c>
      <c r="D328" t="s">
        <v>74</v>
      </c>
      <c r="E328" t="s">
        <v>74</v>
      </c>
      <c r="F328" t="s">
        <v>6835</v>
      </c>
      <c r="G328" t="s">
        <v>74</v>
      </c>
      <c r="H328" t="s">
        <v>74</v>
      </c>
      <c r="I328" t="s">
        <v>6836</v>
      </c>
      <c r="J328" t="s">
        <v>6837</v>
      </c>
      <c r="K328" t="s">
        <v>74</v>
      </c>
      <c r="L328" t="s">
        <v>74</v>
      </c>
      <c r="M328" t="s">
        <v>5879</v>
      </c>
      <c r="N328" t="s">
        <v>79</v>
      </c>
      <c r="O328" t="s">
        <v>74</v>
      </c>
      <c r="P328" t="s">
        <v>74</v>
      </c>
      <c r="Q328" t="s">
        <v>74</v>
      </c>
      <c r="R328" t="s">
        <v>74</v>
      </c>
      <c r="S328" t="s">
        <v>74</v>
      </c>
      <c r="T328" t="s">
        <v>6838</v>
      </c>
      <c r="U328" t="s">
        <v>74</v>
      </c>
      <c r="V328" t="s">
        <v>6839</v>
      </c>
      <c r="W328" t="s">
        <v>6840</v>
      </c>
      <c r="X328" t="s">
        <v>6841</v>
      </c>
      <c r="Y328" t="s">
        <v>6842</v>
      </c>
      <c r="Z328" t="s">
        <v>6843</v>
      </c>
      <c r="AA328" t="s">
        <v>6844</v>
      </c>
      <c r="AB328" t="s">
        <v>6845</v>
      </c>
      <c r="AC328" t="s">
        <v>74</v>
      </c>
      <c r="AD328" t="s">
        <v>74</v>
      </c>
      <c r="AE328" t="s">
        <v>74</v>
      </c>
      <c r="AF328" t="s">
        <v>74</v>
      </c>
      <c r="AG328">
        <v>32</v>
      </c>
      <c r="AH328">
        <v>1</v>
      </c>
      <c r="AI328">
        <v>1</v>
      </c>
      <c r="AJ328">
        <v>0</v>
      </c>
      <c r="AK328">
        <v>3</v>
      </c>
      <c r="AL328" t="s">
        <v>6846</v>
      </c>
      <c r="AM328" t="s">
        <v>6847</v>
      </c>
      <c r="AN328" t="s">
        <v>6848</v>
      </c>
      <c r="AO328" t="s">
        <v>6849</v>
      </c>
      <c r="AP328" t="s">
        <v>74</v>
      </c>
      <c r="AQ328" t="s">
        <v>74</v>
      </c>
      <c r="AR328" t="s">
        <v>6850</v>
      </c>
      <c r="AS328" t="s">
        <v>6851</v>
      </c>
      <c r="AT328" t="s">
        <v>5892</v>
      </c>
      <c r="AU328">
        <v>2018</v>
      </c>
      <c r="AV328">
        <v>8</v>
      </c>
      <c r="AW328">
        <v>3</v>
      </c>
      <c r="AX328" t="s">
        <v>74</v>
      </c>
      <c r="AY328" t="s">
        <v>74</v>
      </c>
      <c r="AZ328" t="s">
        <v>74</v>
      </c>
      <c r="BA328" t="s">
        <v>74</v>
      </c>
      <c r="BB328">
        <v>23</v>
      </c>
      <c r="BC328">
        <v>36</v>
      </c>
      <c r="BD328" t="s">
        <v>74</v>
      </c>
      <c r="BE328" t="s">
        <v>6852</v>
      </c>
      <c r="BF328" t="str">
        <f>HYPERLINK("http://dx.doi.org/10.22279/navus.2018.v8n3.p23-36.654","http://dx.doi.org/10.22279/navus.2018.v8n3.p23-36.654")</f>
        <v>http://dx.doi.org/10.22279/navus.2018.v8n3.p23-36.654</v>
      </c>
      <c r="BG328" t="s">
        <v>74</v>
      </c>
      <c r="BH328" t="s">
        <v>74</v>
      </c>
      <c r="BI328">
        <v>14</v>
      </c>
      <c r="BJ328" t="s">
        <v>583</v>
      </c>
      <c r="BK328" t="s">
        <v>313</v>
      </c>
      <c r="BL328" t="s">
        <v>100</v>
      </c>
      <c r="BM328" t="s">
        <v>6853</v>
      </c>
      <c r="BN328" t="s">
        <v>74</v>
      </c>
      <c r="BO328" t="s">
        <v>916</v>
      </c>
      <c r="BP328" t="s">
        <v>74</v>
      </c>
      <c r="BQ328" t="s">
        <v>74</v>
      </c>
      <c r="BR328" t="s">
        <v>102</v>
      </c>
      <c r="BS328" t="s">
        <v>6854</v>
      </c>
      <c r="BT328" t="str">
        <f>HYPERLINK("https%3A%2F%2Fwww.webofscience.com%2Fwos%2Fwoscc%2Ffull-record%2FWOS:000446207600003","View Full Record in Web of Science")</f>
        <v>View Full Record in Web of Science</v>
      </c>
    </row>
    <row r="329" spans="1:72" x14ac:dyDescent="0.25">
      <c r="A329" t="s">
        <v>132</v>
      </c>
      <c r="B329" t="s">
        <v>6855</v>
      </c>
      <c r="C329" t="s">
        <v>74</v>
      </c>
      <c r="D329" t="s">
        <v>6856</v>
      </c>
      <c r="E329" t="s">
        <v>74</v>
      </c>
      <c r="F329" t="s">
        <v>6857</v>
      </c>
      <c r="G329" t="s">
        <v>74</v>
      </c>
      <c r="H329" t="s">
        <v>74</v>
      </c>
      <c r="I329" t="s">
        <v>6858</v>
      </c>
      <c r="J329" t="s">
        <v>6859</v>
      </c>
      <c r="K329" t="s">
        <v>6860</v>
      </c>
      <c r="L329" t="s">
        <v>74</v>
      </c>
      <c r="M329" t="s">
        <v>78</v>
      </c>
      <c r="N329" t="s">
        <v>138</v>
      </c>
      <c r="O329" t="s">
        <v>6861</v>
      </c>
      <c r="P329" t="s">
        <v>6862</v>
      </c>
      <c r="Q329" t="s">
        <v>6863</v>
      </c>
      <c r="R329" t="s">
        <v>74</v>
      </c>
      <c r="S329" t="s">
        <v>74</v>
      </c>
      <c r="T329" t="s">
        <v>6864</v>
      </c>
      <c r="U329" t="s">
        <v>6865</v>
      </c>
      <c r="V329" t="s">
        <v>6866</v>
      </c>
      <c r="W329" t="s">
        <v>6867</v>
      </c>
      <c r="X329" t="s">
        <v>6868</v>
      </c>
      <c r="Y329" t="s">
        <v>6869</v>
      </c>
      <c r="Z329" t="s">
        <v>6870</v>
      </c>
      <c r="AA329" t="s">
        <v>6871</v>
      </c>
      <c r="AB329" t="s">
        <v>74</v>
      </c>
      <c r="AC329" t="s">
        <v>74</v>
      </c>
      <c r="AD329" t="s">
        <v>74</v>
      </c>
      <c r="AE329" t="s">
        <v>74</v>
      </c>
      <c r="AF329" t="s">
        <v>74</v>
      </c>
      <c r="AG329">
        <v>23</v>
      </c>
      <c r="AH329">
        <v>3</v>
      </c>
      <c r="AI329">
        <v>3</v>
      </c>
      <c r="AJ329">
        <v>2</v>
      </c>
      <c r="AK329">
        <v>3</v>
      </c>
      <c r="AL329" t="s">
        <v>1062</v>
      </c>
      <c r="AM329" t="s">
        <v>667</v>
      </c>
      <c r="AN329" t="s">
        <v>668</v>
      </c>
      <c r="AO329" t="s">
        <v>74</v>
      </c>
      <c r="AP329" t="s">
        <v>74</v>
      </c>
      <c r="AQ329" t="s">
        <v>6872</v>
      </c>
      <c r="AR329" t="s">
        <v>6873</v>
      </c>
      <c r="AS329" t="s">
        <v>74</v>
      </c>
      <c r="AT329" t="s">
        <v>74</v>
      </c>
      <c r="AU329">
        <v>2020</v>
      </c>
      <c r="AV329">
        <v>12194</v>
      </c>
      <c r="AW329" t="s">
        <v>74</v>
      </c>
      <c r="AX329" t="s">
        <v>74</v>
      </c>
      <c r="AY329" t="s">
        <v>74</v>
      </c>
      <c r="AZ329" t="s">
        <v>74</v>
      </c>
      <c r="BA329" t="s">
        <v>74</v>
      </c>
      <c r="BB329">
        <v>583</v>
      </c>
      <c r="BC329">
        <v>599</v>
      </c>
      <c r="BD329" t="s">
        <v>74</v>
      </c>
      <c r="BE329" t="s">
        <v>6874</v>
      </c>
      <c r="BF329" t="str">
        <f>HYPERLINK("http://dx.doi.org/10.1007/978-3-030-49570-1_41","http://dx.doi.org/10.1007/978-3-030-49570-1_41")</f>
        <v>http://dx.doi.org/10.1007/978-3-030-49570-1_41</v>
      </c>
      <c r="BG329" t="s">
        <v>74</v>
      </c>
      <c r="BH329" t="s">
        <v>74</v>
      </c>
      <c r="BI329">
        <v>17</v>
      </c>
      <c r="BJ329" t="s">
        <v>6875</v>
      </c>
      <c r="BK329" t="s">
        <v>1069</v>
      </c>
      <c r="BL329" t="s">
        <v>6876</v>
      </c>
      <c r="BM329" t="s">
        <v>6877</v>
      </c>
      <c r="BN329" t="s">
        <v>74</v>
      </c>
      <c r="BO329" t="s">
        <v>74</v>
      </c>
      <c r="BP329" t="s">
        <v>74</v>
      </c>
      <c r="BQ329" t="s">
        <v>74</v>
      </c>
      <c r="BR329" t="s">
        <v>102</v>
      </c>
      <c r="BS329" t="s">
        <v>6878</v>
      </c>
      <c r="BT329" t="str">
        <f>HYPERLINK("https%3A%2F%2Fwww.webofscience.com%2Fwos%2Fwoscc%2Ffull-record%2FWOS:001297923200041","View Full Record in Web of Science")</f>
        <v>View Full Record in Web of Science</v>
      </c>
    </row>
    <row r="330" spans="1:72" x14ac:dyDescent="0.25">
      <c r="A330" t="s">
        <v>72</v>
      </c>
      <c r="B330" t="s">
        <v>6879</v>
      </c>
      <c r="C330" t="s">
        <v>74</v>
      </c>
      <c r="D330" t="s">
        <v>74</v>
      </c>
      <c r="E330" t="s">
        <v>74</v>
      </c>
      <c r="F330" t="s">
        <v>6880</v>
      </c>
      <c r="G330" t="s">
        <v>74</v>
      </c>
      <c r="H330" t="s">
        <v>74</v>
      </c>
      <c r="I330" t="s">
        <v>6881</v>
      </c>
      <c r="J330" t="s">
        <v>6882</v>
      </c>
      <c r="K330" t="s">
        <v>74</v>
      </c>
      <c r="L330" t="s">
        <v>74</v>
      </c>
      <c r="M330" t="s">
        <v>78</v>
      </c>
      <c r="N330" t="s">
        <v>79</v>
      </c>
      <c r="O330" t="s">
        <v>74</v>
      </c>
      <c r="P330" t="s">
        <v>74</v>
      </c>
      <c r="Q330" t="s">
        <v>74</v>
      </c>
      <c r="R330" t="s">
        <v>74</v>
      </c>
      <c r="S330" t="s">
        <v>74</v>
      </c>
      <c r="T330" t="s">
        <v>6883</v>
      </c>
      <c r="U330" t="s">
        <v>6884</v>
      </c>
      <c r="V330" t="s">
        <v>6885</v>
      </c>
      <c r="W330" t="s">
        <v>6886</v>
      </c>
      <c r="X330" t="s">
        <v>6887</v>
      </c>
      <c r="Y330" t="s">
        <v>6888</v>
      </c>
      <c r="Z330" t="s">
        <v>6889</v>
      </c>
      <c r="AA330" t="s">
        <v>74</v>
      </c>
      <c r="AB330" t="s">
        <v>74</v>
      </c>
      <c r="AC330" t="s">
        <v>6890</v>
      </c>
      <c r="AD330" t="s">
        <v>6891</v>
      </c>
      <c r="AE330" t="s">
        <v>6892</v>
      </c>
      <c r="AF330" t="s">
        <v>74</v>
      </c>
      <c r="AG330">
        <v>42</v>
      </c>
      <c r="AH330">
        <v>75</v>
      </c>
      <c r="AI330">
        <v>92</v>
      </c>
      <c r="AJ330">
        <v>11</v>
      </c>
      <c r="AK330">
        <v>109</v>
      </c>
      <c r="AL330" t="s">
        <v>230</v>
      </c>
      <c r="AM330" t="s">
        <v>231</v>
      </c>
      <c r="AN330" t="s">
        <v>232</v>
      </c>
      <c r="AO330" t="s">
        <v>6893</v>
      </c>
      <c r="AP330" t="s">
        <v>6894</v>
      </c>
      <c r="AQ330" t="s">
        <v>74</v>
      </c>
      <c r="AR330" t="s">
        <v>6895</v>
      </c>
      <c r="AS330" t="s">
        <v>6896</v>
      </c>
      <c r="AT330" t="s">
        <v>208</v>
      </c>
      <c r="AU330">
        <v>2021</v>
      </c>
      <c r="AV330">
        <v>163</v>
      </c>
      <c r="AW330" t="s">
        <v>74</v>
      </c>
      <c r="AX330" t="s">
        <v>74</v>
      </c>
      <c r="AY330" t="s">
        <v>74</v>
      </c>
      <c r="AZ330" t="s">
        <v>74</v>
      </c>
      <c r="BA330" t="s">
        <v>74</v>
      </c>
      <c r="BB330" t="s">
        <v>74</v>
      </c>
      <c r="BC330" t="s">
        <v>74</v>
      </c>
      <c r="BD330">
        <v>113766</v>
      </c>
      <c r="BE330" t="s">
        <v>6897</v>
      </c>
      <c r="BF330" t="str">
        <f>HYPERLINK("http://dx.doi.org/10.1016/j.eswa.2020.113766","http://dx.doi.org/10.1016/j.eswa.2020.113766")</f>
        <v>http://dx.doi.org/10.1016/j.eswa.2020.113766</v>
      </c>
      <c r="BG330" t="s">
        <v>74</v>
      </c>
      <c r="BH330" t="s">
        <v>74</v>
      </c>
      <c r="BI330">
        <v>12</v>
      </c>
      <c r="BJ330" t="s">
        <v>6898</v>
      </c>
      <c r="BK330" t="s">
        <v>2623</v>
      </c>
      <c r="BL330" t="s">
        <v>6899</v>
      </c>
      <c r="BM330" t="s">
        <v>6900</v>
      </c>
      <c r="BN330" t="s">
        <v>74</v>
      </c>
      <c r="BO330" t="s">
        <v>4904</v>
      </c>
      <c r="BP330" t="s">
        <v>74</v>
      </c>
      <c r="BQ330" t="s">
        <v>74</v>
      </c>
      <c r="BR330" t="s">
        <v>102</v>
      </c>
      <c r="BS330" t="s">
        <v>6901</v>
      </c>
      <c r="BT330" t="str">
        <f>HYPERLINK("https%3A%2F%2Fwww.webofscience.com%2Fwos%2Fwoscc%2Ffull-record%2FWOS:000582115400010","View Full Record in Web of Science")</f>
        <v>View Full Record in Web of Science</v>
      </c>
    </row>
    <row r="331" spans="1:72" x14ac:dyDescent="0.25">
      <c r="A331" t="s">
        <v>72</v>
      </c>
      <c r="B331" t="s">
        <v>6902</v>
      </c>
      <c r="C331" t="s">
        <v>74</v>
      </c>
      <c r="D331" t="s">
        <v>74</v>
      </c>
      <c r="E331" t="s">
        <v>74</v>
      </c>
      <c r="F331" t="s">
        <v>6903</v>
      </c>
      <c r="G331" t="s">
        <v>74</v>
      </c>
      <c r="H331" t="s">
        <v>74</v>
      </c>
      <c r="I331" t="s">
        <v>6904</v>
      </c>
      <c r="J331" t="s">
        <v>6905</v>
      </c>
      <c r="K331" t="s">
        <v>74</v>
      </c>
      <c r="L331" t="s">
        <v>74</v>
      </c>
      <c r="M331" t="s">
        <v>78</v>
      </c>
      <c r="N331" t="s">
        <v>79</v>
      </c>
      <c r="O331" t="s">
        <v>74</v>
      </c>
      <c r="P331" t="s">
        <v>74</v>
      </c>
      <c r="Q331" t="s">
        <v>74</v>
      </c>
      <c r="R331" t="s">
        <v>74</v>
      </c>
      <c r="S331" t="s">
        <v>74</v>
      </c>
      <c r="T331" t="s">
        <v>6906</v>
      </c>
      <c r="U331" t="s">
        <v>6907</v>
      </c>
      <c r="V331" t="s">
        <v>6908</v>
      </c>
      <c r="W331" t="s">
        <v>6909</v>
      </c>
      <c r="X331" t="s">
        <v>6910</v>
      </c>
      <c r="Y331" t="s">
        <v>6911</v>
      </c>
      <c r="Z331" t="s">
        <v>6912</v>
      </c>
      <c r="AA331" t="s">
        <v>74</v>
      </c>
      <c r="AB331" t="s">
        <v>6913</v>
      </c>
      <c r="AC331" t="s">
        <v>74</v>
      </c>
      <c r="AD331" t="s">
        <v>74</v>
      </c>
      <c r="AE331" t="s">
        <v>74</v>
      </c>
      <c r="AF331" t="s">
        <v>74</v>
      </c>
      <c r="AG331">
        <v>56</v>
      </c>
      <c r="AH331">
        <v>1</v>
      </c>
      <c r="AI331">
        <v>1</v>
      </c>
      <c r="AJ331">
        <v>1</v>
      </c>
      <c r="AK331">
        <v>1</v>
      </c>
      <c r="AL331" t="s">
        <v>823</v>
      </c>
      <c r="AM331" t="s">
        <v>333</v>
      </c>
      <c r="AN331" t="s">
        <v>824</v>
      </c>
      <c r="AO331" t="s">
        <v>6914</v>
      </c>
      <c r="AP331" t="s">
        <v>6915</v>
      </c>
      <c r="AQ331" t="s">
        <v>74</v>
      </c>
      <c r="AR331" t="s">
        <v>6916</v>
      </c>
      <c r="AS331" t="s">
        <v>6917</v>
      </c>
      <c r="AT331" t="s">
        <v>1693</v>
      </c>
      <c r="AU331">
        <v>2025</v>
      </c>
      <c r="AV331">
        <v>51</v>
      </c>
      <c r="AW331" t="s">
        <v>6918</v>
      </c>
      <c r="AX331" t="s">
        <v>74</v>
      </c>
      <c r="AY331" t="s">
        <v>74</v>
      </c>
      <c r="AZ331" t="s">
        <v>441</v>
      </c>
      <c r="BA331" t="s">
        <v>74</v>
      </c>
      <c r="BB331">
        <v>80</v>
      </c>
      <c r="BC331">
        <v>104</v>
      </c>
      <c r="BD331" t="s">
        <v>74</v>
      </c>
      <c r="BE331" t="s">
        <v>6919</v>
      </c>
      <c r="BF331" t="str">
        <f>HYPERLINK("http://dx.doi.org/10.1080/2329194X.2025.2547035","http://dx.doi.org/10.1080/2329194X.2025.2547035")</f>
        <v>http://dx.doi.org/10.1080/2329194X.2025.2547035</v>
      </c>
      <c r="BG331" t="s">
        <v>74</v>
      </c>
      <c r="BH331" t="s">
        <v>5030</v>
      </c>
      <c r="BI331">
        <v>25</v>
      </c>
      <c r="BJ331" t="s">
        <v>291</v>
      </c>
      <c r="BK331" t="s">
        <v>313</v>
      </c>
      <c r="BL331" t="s">
        <v>100</v>
      </c>
      <c r="BM331" t="s">
        <v>6920</v>
      </c>
      <c r="BN331" t="s">
        <v>74</v>
      </c>
      <c r="BO331" t="s">
        <v>74</v>
      </c>
      <c r="BP331" t="s">
        <v>74</v>
      </c>
      <c r="BQ331" t="s">
        <v>74</v>
      </c>
      <c r="BR331" t="s">
        <v>102</v>
      </c>
      <c r="BS331" t="s">
        <v>6921</v>
      </c>
      <c r="BT331" t="str">
        <f>HYPERLINK("https%3A%2F%2Fwww.webofscience.com%2Fwos%2Fwoscc%2Ffull-record%2FWOS:001550065500001","View Full Record in Web of Science")</f>
        <v>View Full Record in Web of Science</v>
      </c>
    </row>
    <row r="332" spans="1:72" x14ac:dyDescent="0.25">
      <c r="A332" t="s">
        <v>132</v>
      </c>
      <c r="B332" t="s">
        <v>6922</v>
      </c>
      <c r="C332" t="s">
        <v>74</v>
      </c>
      <c r="D332" t="s">
        <v>74</v>
      </c>
      <c r="E332" t="s">
        <v>771</v>
      </c>
      <c r="F332" t="s">
        <v>6923</v>
      </c>
      <c r="G332" t="s">
        <v>74</v>
      </c>
      <c r="H332" t="s">
        <v>74</v>
      </c>
      <c r="I332" t="s">
        <v>6924</v>
      </c>
      <c r="J332" t="s">
        <v>6925</v>
      </c>
      <c r="K332" t="s">
        <v>6926</v>
      </c>
      <c r="L332" t="s">
        <v>74</v>
      </c>
      <c r="M332" t="s">
        <v>78</v>
      </c>
      <c r="N332" t="s">
        <v>138</v>
      </c>
      <c r="O332" t="s">
        <v>6927</v>
      </c>
      <c r="P332" t="s">
        <v>6928</v>
      </c>
      <c r="Q332" t="s">
        <v>6929</v>
      </c>
      <c r="R332" t="s">
        <v>6930</v>
      </c>
      <c r="S332" t="s">
        <v>6931</v>
      </c>
      <c r="T332" t="s">
        <v>6932</v>
      </c>
      <c r="U332" t="s">
        <v>74</v>
      </c>
      <c r="V332" t="s">
        <v>6933</v>
      </c>
      <c r="W332" t="s">
        <v>6934</v>
      </c>
      <c r="X332" t="s">
        <v>6935</v>
      </c>
      <c r="Y332" t="s">
        <v>6936</v>
      </c>
      <c r="Z332" t="s">
        <v>6937</v>
      </c>
      <c r="AA332" t="s">
        <v>6938</v>
      </c>
      <c r="AB332" t="s">
        <v>6939</v>
      </c>
      <c r="AC332" t="s">
        <v>6940</v>
      </c>
      <c r="AD332" t="s">
        <v>6941</v>
      </c>
      <c r="AE332" t="s">
        <v>6942</v>
      </c>
      <c r="AF332" t="s">
        <v>74</v>
      </c>
      <c r="AG332">
        <v>26</v>
      </c>
      <c r="AH332">
        <v>1</v>
      </c>
      <c r="AI332">
        <v>1</v>
      </c>
      <c r="AJ332">
        <v>0</v>
      </c>
      <c r="AK332">
        <v>1</v>
      </c>
      <c r="AL332" t="s">
        <v>771</v>
      </c>
      <c r="AM332" t="s">
        <v>151</v>
      </c>
      <c r="AN332" t="s">
        <v>785</v>
      </c>
      <c r="AO332" t="s">
        <v>6943</v>
      </c>
      <c r="AP332" t="s">
        <v>6944</v>
      </c>
      <c r="AQ332" t="s">
        <v>6945</v>
      </c>
      <c r="AR332" t="s">
        <v>6946</v>
      </c>
      <c r="AS332" t="s">
        <v>74</v>
      </c>
      <c r="AT332" t="s">
        <v>74</v>
      </c>
      <c r="AU332">
        <v>2013</v>
      </c>
      <c r="AV332" t="s">
        <v>74</v>
      </c>
      <c r="AW332" t="s">
        <v>74</v>
      </c>
      <c r="AX332" t="s">
        <v>74</v>
      </c>
      <c r="AY332" t="s">
        <v>74</v>
      </c>
      <c r="AZ332" t="s">
        <v>74</v>
      </c>
      <c r="BA332" t="s">
        <v>74</v>
      </c>
      <c r="BB332">
        <v>20</v>
      </c>
      <c r="BC332">
        <v>25</v>
      </c>
      <c r="BD332" t="s">
        <v>74</v>
      </c>
      <c r="BE332" t="s">
        <v>74</v>
      </c>
      <c r="BF332" t="s">
        <v>74</v>
      </c>
      <c r="BG332" t="s">
        <v>74</v>
      </c>
      <c r="BH332" t="s">
        <v>74</v>
      </c>
      <c r="BI332">
        <v>6</v>
      </c>
      <c r="BJ332" t="s">
        <v>980</v>
      </c>
      <c r="BK332" t="s">
        <v>156</v>
      </c>
      <c r="BL332" t="s">
        <v>981</v>
      </c>
      <c r="BM332" t="s">
        <v>6947</v>
      </c>
      <c r="BN332" t="s">
        <v>74</v>
      </c>
      <c r="BO332" t="s">
        <v>74</v>
      </c>
      <c r="BP332" t="s">
        <v>74</v>
      </c>
      <c r="BQ332" t="s">
        <v>74</v>
      </c>
      <c r="BR332" t="s">
        <v>102</v>
      </c>
      <c r="BS332" t="s">
        <v>6948</v>
      </c>
      <c r="BT332" t="str">
        <f>HYPERLINK("https%3A%2F%2Fwww.webofscience.com%2Fwos%2Fwoscc%2Ffull-record%2FWOS:000332483900005","View Full Record in Web of Science")</f>
        <v>View Full Record in Web of Science</v>
      </c>
    </row>
    <row r="333" spans="1:72" x14ac:dyDescent="0.25">
      <c r="A333" t="s">
        <v>72</v>
      </c>
      <c r="B333" t="s">
        <v>6949</v>
      </c>
      <c r="C333" t="s">
        <v>74</v>
      </c>
      <c r="D333" t="s">
        <v>74</v>
      </c>
      <c r="E333" t="s">
        <v>74</v>
      </c>
      <c r="F333" t="s">
        <v>6950</v>
      </c>
      <c r="G333" t="s">
        <v>74</v>
      </c>
      <c r="H333" t="s">
        <v>74</v>
      </c>
      <c r="I333" t="s">
        <v>6951</v>
      </c>
      <c r="J333" t="s">
        <v>1266</v>
      </c>
      <c r="K333" t="s">
        <v>74</v>
      </c>
      <c r="L333" t="s">
        <v>74</v>
      </c>
      <c r="M333" t="s">
        <v>78</v>
      </c>
      <c r="N333" t="s">
        <v>79</v>
      </c>
      <c r="O333" t="s">
        <v>74</v>
      </c>
      <c r="P333" t="s">
        <v>74</v>
      </c>
      <c r="Q333" t="s">
        <v>74</v>
      </c>
      <c r="R333" t="s">
        <v>74</v>
      </c>
      <c r="S333" t="s">
        <v>74</v>
      </c>
      <c r="T333" t="s">
        <v>6952</v>
      </c>
      <c r="U333" t="s">
        <v>6953</v>
      </c>
      <c r="V333" t="s">
        <v>6954</v>
      </c>
      <c r="W333" t="s">
        <v>6955</v>
      </c>
      <c r="X333" t="s">
        <v>6956</v>
      </c>
      <c r="Y333" t="s">
        <v>6957</v>
      </c>
      <c r="Z333" t="s">
        <v>6958</v>
      </c>
      <c r="AA333" t="s">
        <v>6959</v>
      </c>
      <c r="AB333" t="s">
        <v>6960</v>
      </c>
      <c r="AC333" t="s">
        <v>74</v>
      </c>
      <c r="AD333" t="s">
        <v>74</v>
      </c>
      <c r="AE333" t="s">
        <v>74</v>
      </c>
      <c r="AF333" t="s">
        <v>74</v>
      </c>
      <c r="AG333">
        <v>46</v>
      </c>
      <c r="AH333">
        <v>15</v>
      </c>
      <c r="AI333">
        <v>20</v>
      </c>
      <c r="AJ333">
        <v>0</v>
      </c>
      <c r="AK333">
        <v>10</v>
      </c>
      <c r="AL333" t="s">
        <v>332</v>
      </c>
      <c r="AM333" t="s">
        <v>333</v>
      </c>
      <c r="AN333" t="s">
        <v>334</v>
      </c>
      <c r="AO333" t="s">
        <v>1277</v>
      </c>
      <c r="AP333" t="s">
        <v>1278</v>
      </c>
      <c r="AQ333" t="s">
        <v>74</v>
      </c>
      <c r="AR333" t="s">
        <v>1279</v>
      </c>
      <c r="AS333" t="s">
        <v>1280</v>
      </c>
      <c r="AT333" t="s">
        <v>2801</v>
      </c>
      <c r="AU333">
        <v>2008</v>
      </c>
      <c r="AV333">
        <v>44</v>
      </c>
      <c r="AW333">
        <v>3</v>
      </c>
      <c r="AX333" t="s">
        <v>74</v>
      </c>
      <c r="AY333" t="s">
        <v>74</v>
      </c>
      <c r="AZ333" t="s">
        <v>74</v>
      </c>
      <c r="BA333" t="s">
        <v>74</v>
      </c>
      <c r="BB333">
        <v>81</v>
      </c>
      <c r="BC333">
        <v>97</v>
      </c>
      <c r="BD333" t="s">
        <v>74</v>
      </c>
      <c r="BE333" t="s">
        <v>6961</v>
      </c>
      <c r="BF333" t="str">
        <f>HYPERLINK("http://dx.doi.org/10.2753/REE1540-496X440306","http://dx.doi.org/10.2753/REE1540-496X440306")</f>
        <v>http://dx.doi.org/10.2753/REE1540-496X440306</v>
      </c>
      <c r="BG333" t="s">
        <v>74</v>
      </c>
      <c r="BH333" t="s">
        <v>74</v>
      </c>
      <c r="BI333">
        <v>17</v>
      </c>
      <c r="BJ333" t="s">
        <v>1283</v>
      </c>
      <c r="BK333" t="s">
        <v>99</v>
      </c>
      <c r="BL333" t="s">
        <v>1284</v>
      </c>
      <c r="BM333" t="s">
        <v>6962</v>
      </c>
      <c r="BN333" t="s">
        <v>74</v>
      </c>
      <c r="BO333" t="s">
        <v>74</v>
      </c>
      <c r="BP333" t="s">
        <v>74</v>
      </c>
      <c r="BQ333" t="s">
        <v>74</v>
      </c>
      <c r="BR333" t="s">
        <v>102</v>
      </c>
      <c r="BS333" t="s">
        <v>6963</v>
      </c>
      <c r="BT333" t="str">
        <f>HYPERLINK("https%3A%2F%2Fwww.webofscience.com%2Fwos%2Fwoscc%2Ffull-record%2FWOS:000255930000007","View Full Record in Web of Science")</f>
        <v>View Full Record in Web of Science</v>
      </c>
    </row>
    <row r="334" spans="1:72" x14ac:dyDescent="0.25">
      <c r="A334" t="s">
        <v>72</v>
      </c>
      <c r="B334" t="s">
        <v>6964</v>
      </c>
      <c r="C334" t="s">
        <v>74</v>
      </c>
      <c r="D334" t="s">
        <v>74</v>
      </c>
      <c r="E334" t="s">
        <v>74</v>
      </c>
      <c r="F334" t="s">
        <v>6965</v>
      </c>
      <c r="G334" t="s">
        <v>74</v>
      </c>
      <c r="H334" t="s">
        <v>74</v>
      </c>
      <c r="I334" t="s">
        <v>6966</v>
      </c>
      <c r="J334" t="s">
        <v>6967</v>
      </c>
      <c r="K334" t="s">
        <v>74</v>
      </c>
      <c r="L334" t="s">
        <v>74</v>
      </c>
      <c r="M334" t="s">
        <v>78</v>
      </c>
      <c r="N334" t="s">
        <v>79</v>
      </c>
      <c r="O334" t="s">
        <v>74</v>
      </c>
      <c r="P334" t="s">
        <v>74</v>
      </c>
      <c r="Q334" t="s">
        <v>74</v>
      </c>
      <c r="R334" t="s">
        <v>74</v>
      </c>
      <c r="S334" t="s">
        <v>74</v>
      </c>
      <c r="T334" t="s">
        <v>6968</v>
      </c>
      <c r="U334" t="s">
        <v>6969</v>
      </c>
      <c r="V334" t="s">
        <v>6970</v>
      </c>
      <c r="W334" t="s">
        <v>6971</v>
      </c>
      <c r="X334" t="s">
        <v>6972</v>
      </c>
      <c r="Y334" t="s">
        <v>6973</v>
      </c>
      <c r="Z334" t="s">
        <v>6974</v>
      </c>
      <c r="AA334" t="s">
        <v>6975</v>
      </c>
      <c r="AB334" t="s">
        <v>6976</v>
      </c>
      <c r="AC334" t="s">
        <v>74</v>
      </c>
      <c r="AD334" t="s">
        <v>74</v>
      </c>
      <c r="AE334" t="s">
        <v>74</v>
      </c>
      <c r="AF334" t="s">
        <v>74</v>
      </c>
      <c r="AG334">
        <v>72</v>
      </c>
      <c r="AH334">
        <v>0</v>
      </c>
      <c r="AI334">
        <v>0</v>
      </c>
      <c r="AJ334">
        <v>2</v>
      </c>
      <c r="AK334">
        <v>2</v>
      </c>
      <c r="AL334" t="s">
        <v>6977</v>
      </c>
      <c r="AM334" t="s">
        <v>6978</v>
      </c>
      <c r="AN334" t="s">
        <v>6979</v>
      </c>
      <c r="AO334" t="s">
        <v>6980</v>
      </c>
      <c r="AP334" t="s">
        <v>6981</v>
      </c>
      <c r="AQ334" t="s">
        <v>74</v>
      </c>
      <c r="AR334" t="s">
        <v>6982</v>
      </c>
      <c r="AS334" t="s">
        <v>6983</v>
      </c>
      <c r="AT334" t="s">
        <v>74</v>
      </c>
      <c r="AU334">
        <v>2025</v>
      </c>
      <c r="AV334">
        <v>29</v>
      </c>
      <c r="AW334">
        <v>1</v>
      </c>
      <c r="AX334" t="s">
        <v>74</v>
      </c>
      <c r="AY334" t="s">
        <v>74</v>
      </c>
      <c r="AZ334" t="s">
        <v>74</v>
      </c>
      <c r="BA334" t="s">
        <v>74</v>
      </c>
      <c r="BB334">
        <v>719</v>
      </c>
      <c r="BC334">
        <v>744</v>
      </c>
      <c r="BD334" t="s">
        <v>74</v>
      </c>
      <c r="BE334" t="s">
        <v>6984</v>
      </c>
      <c r="BF334" t="str">
        <f>HYPERLINK("http://dx.doi.org/10.58691/man/205910","http://dx.doi.org/10.58691/man/205910")</f>
        <v>http://dx.doi.org/10.58691/man/205910</v>
      </c>
      <c r="BG334" t="s">
        <v>74</v>
      </c>
      <c r="BH334" t="s">
        <v>74</v>
      </c>
      <c r="BI334">
        <v>26</v>
      </c>
      <c r="BJ334" t="s">
        <v>583</v>
      </c>
      <c r="BK334" t="s">
        <v>313</v>
      </c>
      <c r="BL334" t="s">
        <v>100</v>
      </c>
      <c r="BM334" t="s">
        <v>6985</v>
      </c>
      <c r="BN334" t="s">
        <v>74</v>
      </c>
      <c r="BO334" t="s">
        <v>212</v>
      </c>
      <c r="BP334" t="s">
        <v>74</v>
      </c>
      <c r="BQ334" t="s">
        <v>74</v>
      </c>
      <c r="BR334" t="s">
        <v>102</v>
      </c>
      <c r="BS334" t="s">
        <v>6986</v>
      </c>
      <c r="BT334" t="str">
        <f>HYPERLINK("https%3A%2F%2Fwww.webofscience.com%2Fwos%2Fwoscc%2Ffull-record%2FWOS:001538105300004","View Full Record in Web of Science")</f>
        <v>View Full Record in Web of Science</v>
      </c>
    </row>
    <row r="335" spans="1:72" x14ac:dyDescent="0.25">
      <c r="A335" t="s">
        <v>72</v>
      </c>
      <c r="B335" t="s">
        <v>6987</v>
      </c>
      <c r="C335" t="s">
        <v>74</v>
      </c>
      <c r="D335" t="s">
        <v>74</v>
      </c>
      <c r="E335" t="s">
        <v>74</v>
      </c>
      <c r="F335" t="s">
        <v>6988</v>
      </c>
      <c r="G335" t="s">
        <v>74</v>
      </c>
      <c r="H335" t="s">
        <v>74</v>
      </c>
      <c r="I335" t="s">
        <v>6989</v>
      </c>
      <c r="J335" t="s">
        <v>6713</v>
      </c>
      <c r="K335" t="s">
        <v>74</v>
      </c>
      <c r="L335" t="s">
        <v>74</v>
      </c>
      <c r="M335" t="s">
        <v>78</v>
      </c>
      <c r="N335" t="s">
        <v>79</v>
      </c>
      <c r="O335" t="s">
        <v>74</v>
      </c>
      <c r="P335" t="s">
        <v>74</v>
      </c>
      <c r="Q335" t="s">
        <v>74</v>
      </c>
      <c r="R335" t="s">
        <v>74</v>
      </c>
      <c r="S335" t="s">
        <v>74</v>
      </c>
      <c r="T335" t="s">
        <v>6990</v>
      </c>
      <c r="U335" t="s">
        <v>74</v>
      </c>
      <c r="V335" t="s">
        <v>6991</v>
      </c>
      <c r="W335" t="s">
        <v>6992</v>
      </c>
      <c r="X335" t="s">
        <v>6993</v>
      </c>
      <c r="Y335" t="s">
        <v>6994</v>
      </c>
      <c r="Z335" t="s">
        <v>6995</v>
      </c>
      <c r="AA335" t="s">
        <v>6996</v>
      </c>
      <c r="AB335" t="s">
        <v>6997</v>
      </c>
      <c r="AC335" t="s">
        <v>74</v>
      </c>
      <c r="AD335" t="s">
        <v>74</v>
      </c>
      <c r="AE335" t="s">
        <v>74</v>
      </c>
      <c r="AF335" t="s">
        <v>74</v>
      </c>
      <c r="AG335">
        <v>91</v>
      </c>
      <c r="AH335">
        <v>23</v>
      </c>
      <c r="AI335">
        <v>29</v>
      </c>
      <c r="AJ335">
        <v>0</v>
      </c>
      <c r="AK335">
        <v>19</v>
      </c>
      <c r="AL335" t="s">
        <v>4485</v>
      </c>
      <c r="AM335" t="s">
        <v>6724</v>
      </c>
      <c r="AN335" t="s">
        <v>6725</v>
      </c>
      <c r="AO335" t="s">
        <v>6726</v>
      </c>
      <c r="AP335" t="s">
        <v>6727</v>
      </c>
      <c r="AQ335" t="s">
        <v>74</v>
      </c>
      <c r="AR335" t="s">
        <v>6728</v>
      </c>
      <c r="AS335" t="s">
        <v>6729</v>
      </c>
      <c r="AT335" t="s">
        <v>237</v>
      </c>
      <c r="AU335">
        <v>2021</v>
      </c>
      <c r="AV335">
        <v>45</v>
      </c>
      <c r="AW335">
        <v>1</v>
      </c>
      <c r="AX335" t="s">
        <v>74</v>
      </c>
      <c r="AY335" t="s">
        <v>74</v>
      </c>
      <c r="AZ335" t="s">
        <v>74</v>
      </c>
      <c r="BA335" t="s">
        <v>74</v>
      </c>
      <c r="BB335" t="s">
        <v>74</v>
      </c>
      <c r="BC335" t="s">
        <v>74</v>
      </c>
      <c r="BD335">
        <v>102057</v>
      </c>
      <c r="BE335" t="s">
        <v>6998</v>
      </c>
      <c r="BF335" t="str">
        <f>HYPERLINK("http://dx.doi.org/10.1016/j.telpol.2020.102057","http://dx.doi.org/10.1016/j.telpol.2020.102057")</f>
        <v>http://dx.doi.org/10.1016/j.telpol.2020.102057</v>
      </c>
      <c r="BG335" t="s">
        <v>74</v>
      </c>
      <c r="BH335" t="s">
        <v>74</v>
      </c>
      <c r="BI335">
        <v>31</v>
      </c>
      <c r="BJ335" t="s">
        <v>6731</v>
      </c>
      <c r="BK335" t="s">
        <v>2623</v>
      </c>
      <c r="BL335" t="s">
        <v>6731</v>
      </c>
      <c r="BM335" t="s">
        <v>6999</v>
      </c>
      <c r="BN335" t="s">
        <v>74</v>
      </c>
      <c r="BO335" t="s">
        <v>1696</v>
      </c>
      <c r="BP335" t="s">
        <v>74</v>
      </c>
      <c r="BQ335" t="s">
        <v>74</v>
      </c>
      <c r="BR335" t="s">
        <v>102</v>
      </c>
      <c r="BS335" t="s">
        <v>7000</v>
      </c>
      <c r="BT335" t="str">
        <f>HYPERLINK("https%3A%2F%2Fwww.webofscience.com%2Fwos%2Fwoscc%2Ffull-record%2FWOS:000614279700009","View Full Record in Web of Science")</f>
        <v>View Full Record in Web of Science</v>
      </c>
    </row>
    <row r="336" spans="1:72" x14ac:dyDescent="0.25">
      <c r="A336" t="s">
        <v>72</v>
      </c>
      <c r="B336" t="s">
        <v>7001</v>
      </c>
      <c r="C336" t="s">
        <v>74</v>
      </c>
      <c r="D336" t="s">
        <v>74</v>
      </c>
      <c r="E336" t="s">
        <v>74</v>
      </c>
      <c r="F336" t="s">
        <v>7002</v>
      </c>
      <c r="G336" t="s">
        <v>74</v>
      </c>
      <c r="H336" t="s">
        <v>74</v>
      </c>
      <c r="I336" t="s">
        <v>7003</v>
      </c>
      <c r="J336" t="s">
        <v>7004</v>
      </c>
      <c r="K336" t="s">
        <v>74</v>
      </c>
      <c r="L336" t="s">
        <v>74</v>
      </c>
      <c r="M336" t="s">
        <v>78</v>
      </c>
      <c r="N336" t="s">
        <v>79</v>
      </c>
      <c r="O336" t="s">
        <v>74</v>
      </c>
      <c r="P336" t="s">
        <v>74</v>
      </c>
      <c r="Q336" t="s">
        <v>74</v>
      </c>
      <c r="R336" t="s">
        <v>74</v>
      </c>
      <c r="S336" t="s">
        <v>74</v>
      </c>
      <c r="T336" t="s">
        <v>7005</v>
      </c>
      <c r="U336" t="s">
        <v>7006</v>
      </c>
      <c r="V336" t="s">
        <v>7007</v>
      </c>
      <c r="W336" t="s">
        <v>7008</v>
      </c>
      <c r="X336" t="s">
        <v>7009</v>
      </c>
      <c r="Y336" t="s">
        <v>7010</v>
      </c>
      <c r="Z336" t="s">
        <v>7011</v>
      </c>
      <c r="AA336" t="s">
        <v>7012</v>
      </c>
      <c r="AB336" t="s">
        <v>7013</v>
      </c>
      <c r="AC336" t="s">
        <v>74</v>
      </c>
      <c r="AD336" t="s">
        <v>74</v>
      </c>
      <c r="AE336" t="s">
        <v>74</v>
      </c>
      <c r="AF336" t="s">
        <v>74</v>
      </c>
      <c r="AG336">
        <v>36</v>
      </c>
      <c r="AH336">
        <v>1</v>
      </c>
      <c r="AI336">
        <v>1</v>
      </c>
      <c r="AJ336">
        <v>0</v>
      </c>
      <c r="AK336">
        <v>1</v>
      </c>
      <c r="AL336" t="s">
        <v>7014</v>
      </c>
      <c r="AM336" t="s">
        <v>7015</v>
      </c>
      <c r="AN336" t="s">
        <v>7016</v>
      </c>
      <c r="AO336" t="s">
        <v>74</v>
      </c>
      <c r="AP336" t="s">
        <v>7017</v>
      </c>
      <c r="AQ336" t="s">
        <v>74</v>
      </c>
      <c r="AR336" t="s">
        <v>7018</v>
      </c>
      <c r="AS336" t="s">
        <v>7019</v>
      </c>
      <c r="AT336" t="s">
        <v>7020</v>
      </c>
      <c r="AU336">
        <v>2024</v>
      </c>
      <c r="AV336">
        <v>19</v>
      </c>
      <c r="AW336">
        <v>1</v>
      </c>
      <c r="AX336" t="s">
        <v>74</v>
      </c>
      <c r="AY336" t="s">
        <v>74</v>
      </c>
      <c r="AZ336" t="s">
        <v>74</v>
      </c>
      <c r="BA336" t="s">
        <v>74</v>
      </c>
      <c r="BB336" t="s">
        <v>74</v>
      </c>
      <c r="BC336" t="s">
        <v>74</v>
      </c>
      <c r="BD336" t="s">
        <v>7021</v>
      </c>
      <c r="BE336" t="s">
        <v>7022</v>
      </c>
      <c r="BF336" t="str">
        <f>HYPERLINK("http://dx.doi.org/10.21919/remef.v19i1.962","http://dx.doi.org/10.21919/remef.v19i1.962")</f>
        <v>http://dx.doi.org/10.21919/remef.v19i1.962</v>
      </c>
      <c r="BG336" t="s">
        <v>74</v>
      </c>
      <c r="BH336" t="s">
        <v>74</v>
      </c>
      <c r="BI336">
        <v>15</v>
      </c>
      <c r="BJ336" t="s">
        <v>210</v>
      </c>
      <c r="BK336" t="s">
        <v>313</v>
      </c>
      <c r="BL336" t="s">
        <v>100</v>
      </c>
      <c r="BM336" t="s">
        <v>7023</v>
      </c>
      <c r="BN336" t="s">
        <v>74</v>
      </c>
      <c r="BO336" t="s">
        <v>916</v>
      </c>
      <c r="BP336" t="s">
        <v>74</v>
      </c>
      <c r="BQ336" t="s">
        <v>74</v>
      </c>
      <c r="BR336" t="s">
        <v>102</v>
      </c>
      <c r="BS336" t="s">
        <v>7024</v>
      </c>
      <c r="BT336" t="str">
        <f>HYPERLINK("https%3A%2F%2Fwww.webofscience.com%2Fwos%2Fwoscc%2Ffull-record%2FWOS:001637628300011","View Full Record in Web of Science")</f>
        <v>View Full Record in Web of Science</v>
      </c>
    </row>
    <row r="337" spans="1:72" x14ac:dyDescent="0.25">
      <c r="A337" t="s">
        <v>72</v>
      </c>
      <c r="B337" t="s">
        <v>7025</v>
      </c>
      <c r="C337" t="s">
        <v>74</v>
      </c>
      <c r="D337" t="s">
        <v>74</v>
      </c>
      <c r="E337" t="s">
        <v>74</v>
      </c>
      <c r="F337" t="s">
        <v>7026</v>
      </c>
      <c r="G337" t="s">
        <v>74</v>
      </c>
      <c r="H337" t="s">
        <v>74</v>
      </c>
      <c r="I337" t="s">
        <v>7027</v>
      </c>
      <c r="J337" t="s">
        <v>3439</v>
      </c>
      <c r="K337" t="s">
        <v>74</v>
      </c>
      <c r="L337" t="s">
        <v>74</v>
      </c>
      <c r="M337" t="s">
        <v>78</v>
      </c>
      <c r="N337" t="s">
        <v>1766</v>
      </c>
      <c r="O337" t="s">
        <v>74</v>
      </c>
      <c r="P337" t="s">
        <v>74</v>
      </c>
      <c r="Q337" t="s">
        <v>74</v>
      </c>
      <c r="R337" t="s">
        <v>74</v>
      </c>
      <c r="S337" t="s">
        <v>74</v>
      </c>
      <c r="T337" t="s">
        <v>7028</v>
      </c>
      <c r="U337" t="s">
        <v>7029</v>
      </c>
      <c r="V337" t="s">
        <v>7030</v>
      </c>
      <c r="W337" t="s">
        <v>7031</v>
      </c>
      <c r="X337" t="s">
        <v>7032</v>
      </c>
      <c r="Y337" t="s">
        <v>7033</v>
      </c>
      <c r="Z337" t="s">
        <v>7034</v>
      </c>
      <c r="AA337" t="s">
        <v>74</v>
      </c>
      <c r="AB337" t="s">
        <v>7035</v>
      </c>
      <c r="AC337" t="s">
        <v>7036</v>
      </c>
      <c r="AD337" t="s">
        <v>7036</v>
      </c>
      <c r="AE337" t="s">
        <v>3460</v>
      </c>
      <c r="AF337" t="s">
        <v>74</v>
      </c>
      <c r="AG337">
        <v>36</v>
      </c>
      <c r="AH337">
        <v>1</v>
      </c>
      <c r="AI337">
        <v>1</v>
      </c>
      <c r="AJ337">
        <v>3</v>
      </c>
      <c r="AK337">
        <v>7</v>
      </c>
      <c r="AL337" t="s">
        <v>823</v>
      </c>
      <c r="AM337" t="s">
        <v>333</v>
      </c>
      <c r="AN337" t="s">
        <v>824</v>
      </c>
      <c r="AO337" t="s">
        <v>3443</v>
      </c>
      <c r="AP337" t="s">
        <v>74</v>
      </c>
      <c r="AQ337" t="s">
        <v>74</v>
      </c>
      <c r="AR337" t="s">
        <v>3444</v>
      </c>
      <c r="AS337" t="s">
        <v>3445</v>
      </c>
      <c r="AT337" t="s">
        <v>2970</v>
      </c>
      <c r="AU337">
        <v>2024</v>
      </c>
      <c r="AV337">
        <v>12</v>
      </c>
      <c r="AW337">
        <v>1</v>
      </c>
      <c r="AX337" t="s">
        <v>74</v>
      </c>
      <c r="AY337" t="s">
        <v>74</v>
      </c>
      <c r="AZ337" t="s">
        <v>74</v>
      </c>
      <c r="BA337" t="s">
        <v>74</v>
      </c>
      <c r="BB337" t="s">
        <v>74</v>
      </c>
      <c r="BC337" t="s">
        <v>74</v>
      </c>
      <c r="BD337">
        <v>2387242</v>
      </c>
      <c r="BE337" t="s">
        <v>7037</v>
      </c>
      <c r="BF337" t="str">
        <f>HYPERLINK("http://dx.doi.org/10.1080/23322039.2024.2387242","http://dx.doi.org/10.1080/23322039.2024.2387242")</f>
        <v>http://dx.doi.org/10.1080/23322039.2024.2387242</v>
      </c>
      <c r="BG337" t="s">
        <v>74</v>
      </c>
      <c r="BH337" t="s">
        <v>74</v>
      </c>
      <c r="BI337">
        <v>12</v>
      </c>
      <c r="BJ337" t="s">
        <v>291</v>
      </c>
      <c r="BK337" t="s">
        <v>313</v>
      </c>
      <c r="BL337" t="s">
        <v>100</v>
      </c>
      <c r="BM337" t="s">
        <v>7038</v>
      </c>
      <c r="BN337" t="s">
        <v>74</v>
      </c>
      <c r="BO337" t="s">
        <v>916</v>
      </c>
      <c r="BP337" t="s">
        <v>74</v>
      </c>
      <c r="BQ337" t="s">
        <v>74</v>
      </c>
      <c r="BR337" t="s">
        <v>102</v>
      </c>
      <c r="BS337" t="s">
        <v>7039</v>
      </c>
      <c r="BT337" t="str">
        <f>HYPERLINK("https%3A%2F%2Fwww.webofscience.com%2Fwos%2Fwoscc%2Ffull-record%2FWOS:001285038200001","View Full Record in Web of Science")</f>
        <v>View Full Record in Web of Science</v>
      </c>
    </row>
    <row r="338" spans="1:72" x14ac:dyDescent="0.25">
      <c r="A338" t="s">
        <v>72</v>
      </c>
      <c r="B338" t="s">
        <v>7040</v>
      </c>
      <c r="C338" t="s">
        <v>74</v>
      </c>
      <c r="D338" t="s">
        <v>74</v>
      </c>
      <c r="E338" t="s">
        <v>74</v>
      </c>
      <c r="F338" t="s">
        <v>7041</v>
      </c>
      <c r="G338" t="s">
        <v>74</v>
      </c>
      <c r="H338" t="s">
        <v>74</v>
      </c>
      <c r="I338" t="s">
        <v>7042</v>
      </c>
      <c r="J338" t="s">
        <v>7043</v>
      </c>
      <c r="K338" t="s">
        <v>74</v>
      </c>
      <c r="L338" t="s">
        <v>74</v>
      </c>
      <c r="M338" t="s">
        <v>78</v>
      </c>
      <c r="N338" t="s">
        <v>79</v>
      </c>
      <c r="O338" t="s">
        <v>74</v>
      </c>
      <c r="P338" t="s">
        <v>74</v>
      </c>
      <c r="Q338" t="s">
        <v>74</v>
      </c>
      <c r="R338" t="s">
        <v>74</v>
      </c>
      <c r="S338" t="s">
        <v>74</v>
      </c>
      <c r="T338" t="s">
        <v>7044</v>
      </c>
      <c r="U338" t="s">
        <v>7045</v>
      </c>
      <c r="V338" t="s">
        <v>7046</v>
      </c>
      <c r="W338" t="s">
        <v>7047</v>
      </c>
      <c r="X338" t="s">
        <v>2744</v>
      </c>
      <c r="Y338" t="s">
        <v>7048</v>
      </c>
      <c r="Z338" t="s">
        <v>2746</v>
      </c>
      <c r="AA338" t="s">
        <v>7049</v>
      </c>
      <c r="AB338" t="s">
        <v>7050</v>
      </c>
      <c r="AC338" t="s">
        <v>74</v>
      </c>
      <c r="AD338" t="s">
        <v>74</v>
      </c>
      <c r="AE338" t="s">
        <v>74</v>
      </c>
      <c r="AF338" t="s">
        <v>74</v>
      </c>
      <c r="AG338">
        <v>20</v>
      </c>
      <c r="AH338">
        <v>0</v>
      </c>
      <c r="AI338">
        <v>1</v>
      </c>
      <c r="AJ338">
        <v>0</v>
      </c>
      <c r="AK338">
        <v>4</v>
      </c>
      <c r="AL338" t="s">
        <v>7051</v>
      </c>
      <c r="AM338" t="s">
        <v>7052</v>
      </c>
      <c r="AN338" t="s">
        <v>7053</v>
      </c>
      <c r="AO338" t="s">
        <v>7054</v>
      </c>
      <c r="AP338" t="s">
        <v>74</v>
      </c>
      <c r="AQ338" t="s">
        <v>74</v>
      </c>
      <c r="AR338" t="s">
        <v>7055</v>
      </c>
      <c r="AS338" t="s">
        <v>7056</v>
      </c>
      <c r="AT338" t="s">
        <v>289</v>
      </c>
      <c r="AU338">
        <v>2015</v>
      </c>
      <c r="AV338">
        <v>65</v>
      </c>
      <c r="AW338">
        <v>8</v>
      </c>
      <c r="AX338" t="s">
        <v>74</v>
      </c>
      <c r="AY338" t="s">
        <v>74</v>
      </c>
      <c r="AZ338" t="s">
        <v>74</v>
      </c>
      <c r="BA338" t="s">
        <v>74</v>
      </c>
      <c r="BB338">
        <v>847</v>
      </c>
      <c r="BC338">
        <v>850</v>
      </c>
      <c r="BD338" t="s">
        <v>74</v>
      </c>
      <c r="BE338" t="s">
        <v>74</v>
      </c>
      <c r="BF338" t="s">
        <v>74</v>
      </c>
      <c r="BG338" t="s">
        <v>74</v>
      </c>
      <c r="BH338" t="s">
        <v>74</v>
      </c>
      <c r="BI338">
        <v>4</v>
      </c>
      <c r="BJ338" t="s">
        <v>7057</v>
      </c>
      <c r="BK338" t="s">
        <v>128</v>
      </c>
      <c r="BL338" t="s">
        <v>7058</v>
      </c>
      <c r="BM338" t="s">
        <v>7059</v>
      </c>
      <c r="BN338">
        <v>26228329</v>
      </c>
      <c r="BO338" t="s">
        <v>74</v>
      </c>
      <c r="BP338" t="s">
        <v>74</v>
      </c>
      <c r="BQ338" t="s">
        <v>74</v>
      </c>
      <c r="BR338" t="s">
        <v>102</v>
      </c>
      <c r="BS338" t="s">
        <v>7060</v>
      </c>
      <c r="BT338" t="str">
        <f>HYPERLINK("https%3A%2F%2Fwww.webofscience.com%2Fwos%2Fwoscc%2Ffull-record%2FWOS:000360444600011","View Full Record in Web of Science")</f>
        <v>View Full Record in Web of Science</v>
      </c>
    </row>
    <row r="339" spans="1:72" x14ac:dyDescent="0.25">
      <c r="A339" t="s">
        <v>72</v>
      </c>
      <c r="B339" t="s">
        <v>7061</v>
      </c>
      <c r="C339" t="s">
        <v>74</v>
      </c>
      <c r="D339" t="s">
        <v>74</v>
      </c>
      <c r="E339" t="s">
        <v>74</v>
      </c>
      <c r="F339" t="s">
        <v>7062</v>
      </c>
      <c r="G339" t="s">
        <v>74</v>
      </c>
      <c r="H339" t="s">
        <v>74</v>
      </c>
      <c r="I339" t="s">
        <v>7063</v>
      </c>
      <c r="J339" t="s">
        <v>7064</v>
      </c>
      <c r="K339" t="s">
        <v>74</v>
      </c>
      <c r="L339" t="s">
        <v>74</v>
      </c>
      <c r="M339" t="s">
        <v>78</v>
      </c>
      <c r="N339" t="s">
        <v>79</v>
      </c>
      <c r="O339" t="s">
        <v>74</v>
      </c>
      <c r="P339" t="s">
        <v>74</v>
      </c>
      <c r="Q339" t="s">
        <v>74</v>
      </c>
      <c r="R339" t="s">
        <v>74</v>
      </c>
      <c r="S339" t="s">
        <v>74</v>
      </c>
      <c r="T339" t="s">
        <v>7065</v>
      </c>
      <c r="U339" t="s">
        <v>7066</v>
      </c>
      <c r="V339" t="s">
        <v>7067</v>
      </c>
      <c r="W339" t="s">
        <v>7068</v>
      </c>
      <c r="X339" t="s">
        <v>7069</v>
      </c>
      <c r="Y339" t="s">
        <v>7070</v>
      </c>
      <c r="Z339" t="s">
        <v>7071</v>
      </c>
      <c r="AA339" t="s">
        <v>7072</v>
      </c>
      <c r="AB339" t="s">
        <v>7073</v>
      </c>
      <c r="AC339" t="s">
        <v>74</v>
      </c>
      <c r="AD339" t="s">
        <v>74</v>
      </c>
      <c r="AE339" t="s">
        <v>74</v>
      </c>
      <c r="AF339" t="s">
        <v>74</v>
      </c>
      <c r="AG339">
        <v>31</v>
      </c>
      <c r="AH339">
        <v>23</v>
      </c>
      <c r="AI339">
        <v>26</v>
      </c>
      <c r="AJ339">
        <v>0</v>
      </c>
      <c r="AK339">
        <v>21</v>
      </c>
      <c r="AL339" t="s">
        <v>7074</v>
      </c>
      <c r="AM339" t="s">
        <v>995</v>
      </c>
      <c r="AN339" t="s">
        <v>7075</v>
      </c>
      <c r="AO339" t="s">
        <v>7076</v>
      </c>
      <c r="AP339" t="s">
        <v>74</v>
      </c>
      <c r="AQ339" t="s">
        <v>74</v>
      </c>
      <c r="AR339" t="s">
        <v>7064</v>
      </c>
      <c r="AS339" t="s">
        <v>7077</v>
      </c>
      <c r="AT339" t="s">
        <v>7078</v>
      </c>
      <c r="AU339">
        <v>2017</v>
      </c>
      <c r="AV339">
        <v>17</v>
      </c>
      <c r="AW339" t="s">
        <v>74</v>
      </c>
      <c r="AX339" t="s">
        <v>74</v>
      </c>
      <c r="AY339" t="s">
        <v>74</v>
      </c>
      <c r="AZ339" t="s">
        <v>74</v>
      </c>
      <c r="BA339" t="s">
        <v>74</v>
      </c>
      <c r="BB339" t="s">
        <v>74</v>
      </c>
      <c r="BC339" t="s">
        <v>74</v>
      </c>
      <c r="BD339">
        <v>386</v>
      </c>
      <c r="BE339" t="s">
        <v>7079</v>
      </c>
      <c r="BF339" t="str">
        <f>HYPERLINK("http://dx.doi.org/10.1186/s12889-017-4280-1","http://dx.doi.org/10.1186/s12889-017-4280-1")</f>
        <v>http://dx.doi.org/10.1186/s12889-017-4280-1</v>
      </c>
      <c r="BG339" t="s">
        <v>74</v>
      </c>
      <c r="BH339" t="s">
        <v>74</v>
      </c>
      <c r="BI339">
        <v>12</v>
      </c>
      <c r="BJ339" t="s">
        <v>7080</v>
      </c>
      <c r="BK339" t="s">
        <v>2623</v>
      </c>
      <c r="BL339" t="s">
        <v>7080</v>
      </c>
      <c r="BM339" t="s">
        <v>7081</v>
      </c>
      <c r="BN339">
        <v>28476154</v>
      </c>
      <c r="BO339" t="s">
        <v>916</v>
      </c>
      <c r="BP339" t="s">
        <v>74</v>
      </c>
      <c r="BQ339" t="s">
        <v>74</v>
      </c>
      <c r="BR339" t="s">
        <v>102</v>
      </c>
      <c r="BS339" t="s">
        <v>7082</v>
      </c>
      <c r="BT339" t="str">
        <f>HYPERLINK("https%3A%2F%2Fwww.webofscience.com%2Fwos%2Fwoscc%2Ffull-record%2FWOS:000400819100001","View Full Record in Web of Science")</f>
        <v>View Full Record in Web of Science</v>
      </c>
    </row>
    <row r="340" spans="1:72" x14ac:dyDescent="0.25">
      <c r="A340" t="s">
        <v>72</v>
      </c>
      <c r="B340" t="s">
        <v>7083</v>
      </c>
      <c r="C340" t="s">
        <v>74</v>
      </c>
      <c r="D340" t="s">
        <v>74</v>
      </c>
      <c r="E340" t="s">
        <v>74</v>
      </c>
      <c r="F340" t="s">
        <v>7084</v>
      </c>
      <c r="G340" t="s">
        <v>74</v>
      </c>
      <c r="H340" t="s">
        <v>74</v>
      </c>
      <c r="I340" t="s">
        <v>7085</v>
      </c>
      <c r="J340" t="s">
        <v>1963</v>
      </c>
      <c r="K340" t="s">
        <v>74</v>
      </c>
      <c r="L340" t="s">
        <v>74</v>
      </c>
      <c r="M340" t="s">
        <v>78</v>
      </c>
      <c r="N340" t="s">
        <v>79</v>
      </c>
      <c r="O340" t="s">
        <v>74</v>
      </c>
      <c r="P340" t="s">
        <v>74</v>
      </c>
      <c r="Q340" t="s">
        <v>74</v>
      </c>
      <c r="R340" t="s">
        <v>74</v>
      </c>
      <c r="S340" t="s">
        <v>74</v>
      </c>
      <c r="T340" t="s">
        <v>7086</v>
      </c>
      <c r="U340" t="s">
        <v>7087</v>
      </c>
      <c r="V340" t="s">
        <v>7088</v>
      </c>
      <c r="W340" t="s">
        <v>7089</v>
      </c>
      <c r="X340" t="s">
        <v>7090</v>
      </c>
      <c r="Y340" t="s">
        <v>7091</v>
      </c>
      <c r="Z340" t="s">
        <v>7092</v>
      </c>
      <c r="AA340" t="s">
        <v>7093</v>
      </c>
      <c r="AB340" t="s">
        <v>7094</v>
      </c>
      <c r="AC340" t="s">
        <v>7095</v>
      </c>
      <c r="AD340" t="s">
        <v>7096</v>
      </c>
      <c r="AE340" t="s">
        <v>7097</v>
      </c>
      <c r="AF340" t="s">
        <v>74</v>
      </c>
      <c r="AG340">
        <v>56</v>
      </c>
      <c r="AH340">
        <v>0</v>
      </c>
      <c r="AI340">
        <v>0</v>
      </c>
      <c r="AJ340">
        <v>2</v>
      </c>
      <c r="AK340">
        <v>10</v>
      </c>
      <c r="AL340" t="s">
        <v>332</v>
      </c>
      <c r="AM340" t="s">
        <v>333</v>
      </c>
      <c r="AN340" t="s">
        <v>334</v>
      </c>
      <c r="AO340" t="s">
        <v>1975</v>
      </c>
      <c r="AP340" t="s">
        <v>1976</v>
      </c>
      <c r="AQ340" t="s">
        <v>74</v>
      </c>
      <c r="AR340" t="s">
        <v>1977</v>
      </c>
      <c r="AS340" t="s">
        <v>1978</v>
      </c>
      <c r="AT340" t="s">
        <v>7098</v>
      </c>
      <c r="AU340">
        <v>2024</v>
      </c>
      <c r="AV340">
        <v>56</v>
      </c>
      <c r="AW340">
        <v>59</v>
      </c>
      <c r="AX340" t="s">
        <v>74</v>
      </c>
      <c r="AY340" t="s">
        <v>74</v>
      </c>
      <c r="AZ340" t="s">
        <v>74</v>
      </c>
      <c r="BA340" t="s">
        <v>74</v>
      </c>
      <c r="BB340">
        <v>8736</v>
      </c>
      <c r="BC340">
        <v>8752</v>
      </c>
      <c r="BD340" t="s">
        <v>74</v>
      </c>
      <c r="BE340" t="s">
        <v>7099</v>
      </c>
      <c r="BF340" t="str">
        <f>HYPERLINK("http://dx.doi.org/10.1080/00036846.2023.2293670","http://dx.doi.org/10.1080/00036846.2023.2293670")</f>
        <v>http://dx.doi.org/10.1080/00036846.2023.2293670</v>
      </c>
      <c r="BG340" t="s">
        <v>74</v>
      </c>
      <c r="BH340" t="s">
        <v>1524</v>
      </c>
      <c r="BI340">
        <v>17</v>
      </c>
      <c r="BJ340" t="s">
        <v>291</v>
      </c>
      <c r="BK340" t="s">
        <v>99</v>
      </c>
      <c r="BL340" t="s">
        <v>100</v>
      </c>
      <c r="BM340" t="s">
        <v>7100</v>
      </c>
      <c r="BN340" t="s">
        <v>74</v>
      </c>
      <c r="BO340" t="s">
        <v>212</v>
      </c>
      <c r="BP340" t="s">
        <v>74</v>
      </c>
      <c r="BQ340" t="s">
        <v>74</v>
      </c>
      <c r="BR340" t="s">
        <v>102</v>
      </c>
      <c r="BS340" t="s">
        <v>7101</v>
      </c>
      <c r="BT340" t="str">
        <f>HYPERLINK("https%3A%2F%2Fwww.webofscience.com%2Fwos%2Fwoscc%2Ffull-record%2FWOS:001127995300001","View Full Record in Web of Science")</f>
        <v>View Full Record in Web of Science</v>
      </c>
    </row>
    <row r="341" spans="1:72" x14ac:dyDescent="0.25">
      <c r="A341" t="s">
        <v>72</v>
      </c>
      <c r="B341" t="s">
        <v>7102</v>
      </c>
      <c r="C341" t="s">
        <v>74</v>
      </c>
      <c r="D341" t="s">
        <v>74</v>
      </c>
      <c r="E341" t="s">
        <v>74</v>
      </c>
      <c r="F341" t="s">
        <v>7103</v>
      </c>
      <c r="G341" t="s">
        <v>74</v>
      </c>
      <c r="H341" t="s">
        <v>74</v>
      </c>
      <c r="I341" t="s">
        <v>7104</v>
      </c>
      <c r="J341" t="s">
        <v>877</v>
      </c>
      <c r="K341" t="s">
        <v>74</v>
      </c>
      <c r="L341" t="s">
        <v>74</v>
      </c>
      <c r="M341" t="s">
        <v>78</v>
      </c>
      <c r="N341" t="s">
        <v>79</v>
      </c>
      <c r="O341" t="s">
        <v>74</v>
      </c>
      <c r="P341" t="s">
        <v>74</v>
      </c>
      <c r="Q341" t="s">
        <v>74</v>
      </c>
      <c r="R341" t="s">
        <v>74</v>
      </c>
      <c r="S341" t="s">
        <v>74</v>
      </c>
      <c r="T341" t="s">
        <v>7105</v>
      </c>
      <c r="U341" t="s">
        <v>7106</v>
      </c>
      <c r="V341" t="s">
        <v>7107</v>
      </c>
      <c r="W341" t="s">
        <v>7108</v>
      </c>
      <c r="X341" t="s">
        <v>7109</v>
      </c>
      <c r="Y341" t="s">
        <v>7110</v>
      </c>
      <c r="Z341" t="s">
        <v>7111</v>
      </c>
      <c r="AA341" t="s">
        <v>7112</v>
      </c>
      <c r="AB341" t="s">
        <v>74</v>
      </c>
      <c r="AC341" t="s">
        <v>74</v>
      </c>
      <c r="AD341" t="s">
        <v>74</v>
      </c>
      <c r="AE341" t="s">
        <v>74</v>
      </c>
      <c r="AF341" t="s">
        <v>74</v>
      </c>
      <c r="AG341">
        <v>81</v>
      </c>
      <c r="AH341">
        <v>2</v>
      </c>
      <c r="AI341">
        <v>4</v>
      </c>
      <c r="AJ341">
        <v>0</v>
      </c>
      <c r="AK341">
        <v>14</v>
      </c>
      <c r="AL341" t="s">
        <v>884</v>
      </c>
      <c r="AM341" t="s">
        <v>5203</v>
      </c>
      <c r="AN341" t="s">
        <v>5204</v>
      </c>
      <c r="AO341" t="s">
        <v>887</v>
      </c>
      <c r="AP341" t="s">
        <v>888</v>
      </c>
      <c r="AQ341" t="s">
        <v>74</v>
      </c>
      <c r="AR341" t="s">
        <v>889</v>
      </c>
      <c r="AS341" t="s">
        <v>890</v>
      </c>
      <c r="AT341" t="s">
        <v>1540</v>
      </c>
      <c r="AU341">
        <v>2022</v>
      </c>
      <c r="AV341">
        <v>9</v>
      </c>
      <c r="AW341">
        <v>5</v>
      </c>
      <c r="AX341" t="s">
        <v>74</v>
      </c>
      <c r="AY341" t="s">
        <v>74</v>
      </c>
      <c r="AZ341" t="s">
        <v>74</v>
      </c>
      <c r="BA341" t="s">
        <v>74</v>
      </c>
      <c r="BB341">
        <v>75</v>
      </c>
      <c r="BC341">
        <v>86</v>
      </c>
      <c r="BD341" t="s">
        <v>74</v>
      </c>
      <c r="BE341" t="s">
        <v>7113</v>
      </c>
      <c r="BF341" t="str">
        <f>HYPERLINK("http://dx.doi.org/10.13106/jafeb.2022.vol9.no5.0075","http://dx.doi.org/10.13106/jafeb.2022.vol9.no5.0075")</f>
        <v>http://dx.doi.org/10.13106/jafeb.2022.vol9.no5.0075</v>
      </c>
      <c r="BG341" t="s">
        <v>74</v>
      </c>
      <c r="BH341" t="s">
        <v>74</v>
      </c>
      <c r="BI341">
        <v>12</v>
      </c>
      <c r="BJ341" t="s">
        <v>418</v>
      </c>
      <c r="BK341" t="s">
        <v>313</v>
      </c>
      <c r="BL341" t="s">
        <v>100</v>
      </c>
      <c r="BM341" t="s">
        <v>7114</v>
      </c>
      <c r="BN341" t="s">
        <v>74</v>
      </c>
      <c r="BO341" t="s">
        <v>74</v>
      </c>
      <c r="BP341" t="s">
        <v>74</v>
      </c>
      <c r="BQ341" t="s">
        <v>74</v>
      </c>
      <c r="BR341" t="s">
        <v>102</v>
      </c>
      <c r="BS341" t="s">
        <v>7115</v>
      </c>
      <c r="BT341" t="str">
        <f>HYPERLINK("https%3A%2F%2Fwww.webofscience.com%2Fwos%2Fwoscc%2Ffull-record%2FWOS:000809653200008","View Full Record in Web of Science")</f>
        <v>View Full Record in Web of Science</v>
      </c>
    </row>
    <row r="342" spans="1:72" x14ac:dyDescent="0.25">
      <c r="A342" t="s">
        <v>72</v>
      </c>
      <c r="B342" t="s">
        <v>7116</v>
      </c>
      <c r="C342" t="s">
        <v>74</v>
      </c>
      <c r="D342" t="s">
        <v>74</v>
      </c>
      <c r="E342" t="s">
        <v>74</v>
      </c>
      <c r="F342" t="s">
        <v>7117</v>
      </c>
      <c r="G342" t="s">
        <v>74</v>
      </c>
      <c r="H342" t="s">
        <v>74</v>
      </c>
      <c r="I342" t="s">
        <v>7118</v>
      </c>
      <c r="J342" t="s">
        <v>7119</v>
      </c>
      <c r="K342" t="s">
        <v>74</v>
      </c>
      <c r="L342" t="s">
        <v>74</v>
      </c>
      <c r="M342" t="s">
        <v>78</v>
      </c>
      <c r="N342" t="s">
        <v>79</v>
      </c>
      <c r="O342" t="s">
        <v>74</v>
      </c>
      <c r="P342" t="s">
        <v>74</v>
      </c>
      <c r="Q342" t="s">
        <v>74</v>
      </c>
      <c r="R342" t="s">
        <v>74</v>
      </c>
      <c r="S342" t="s">
        <v>74</v>
      </c>
      <c r="T342" t="s">
        <v>7120</v>
      </c>
      <c r="U342" t="s">
        <v>7121</v>
      </c>
      <c r="V342" t="s">
        <v>7122</v>
      </c>
      <c r="W342" t="s">
        <v>7123</v>
      </c>
      <c r="X342" t="s">
        <v>7124</v>
      </c>
      <c r="Y342" t="s">
        <v>7125</v>
      </c>
      <c r="Z342" t="s">
        <v>7126</v>
      </c>
      <c r="AA342" t="s">
        <v>7127</v>
      </c>
      <c r="AB342" t="s">
        <v>74</v>
      </c>
      <c r="AC342" t="s">
        <v>74</v>
      </c>
      <c r="AD342" t="s">
        <v>74</v>
      </c>
      <c r="AE342" t="s">
        <v>74</v>
      </c>
      <c r="AF342" t="s">
        <v>74</v>
      </c>
      <c r="AG342">
        <v>113</v>
      </c>
      <c r="AH342">
        <v>1</v>
      </c>
      <c r="AI342">
        <v>2</v>
      </c>
      <c r="AJ342">
        <v>2</v>
      </c>
      <c r="AK342">
        <v>9</v>
      </c>
      <c r="AL342" t="s">
        <v>89</v>
      </c>
      <c r="AM342" t="s">
        <v>90</v>
      </c>
      <c r="AN342" t="s">
        <v>91</v>
      </c>
      <c r="AO342" t="s">
        <v>7128</v>
      </c>
      <c r="AP342" t="s">
        <v>74</v>
      </c>
      <c r="AQ342" t="s">
        <v>74</v>
      </c>
      <c r="AR342" t="s">
        <v>7129</v>
      </c>
      <c r="AS342" t="s">
        <v>7130</v>
      </c>
      <c r="AT342" t="s">
        <v>7131</v>
      </c>
      <c r="AU342">
        <v>2025</v>
      </c>
      <c r="AV342">
        <v>17</v>
      </c>
      <c r="AW342">
        <v>3</v>
      </c>
      <c r="AX342" t="s">
        <v>74</v>
      </c>
      <c r="AY342" t="s">
        <v>74</v>
      </c>
      <c r="AZ342" t="s">
        <v>74</v>
      </c>
      <c r="BA342" t="s">
        <v>74</v>
      </c>
      <c r="BB342">
        <v>632</v>
      </c>
      <c r="BC342">
        <v>660</v>
      </c>
      <c r="BD342" t="s">
        <v>74</v>
      </c>
      <c r="BE342" t="s">
        <v>7132</v>
      </c>
      <c r="BF342" t="str">
        <f>HYPERLINK("http://dx.doi.org/10.1108/QRFM-08-2023-0189","http://dx.doi.org/10.1108/QRFM-08-2023-0189")</f>
        <v>http://dx.doi.org/10.1108/QRFM-08-2023-0189</v>
      </c>
      <c r="BG342" t="s">
        <v>74</v>
      </c>
      <c r="BH342" t="s">
        <v>393</v>
      </c>
      <c r="BI342">
        <v>29</v>
      </c>
      <c r="BJ342" t="s">
        <v>268</v>
      </c>
      <c r="BK342" t="s">
        <v>313</v>
      </c>
      <c r="BL342" t="s">
        <v>100</v>
      </c>
      <c r="BM342" t="s">
        <v>7133</v>
      </c>
      <c r="BN342" t="s">
        <v>74</v>
      </c>
      <c r="BO342" t="s">
        <v>74</v>
      </c>
      <c r="BP342" t="s">
        <v>74</v>
      </c>
      <c r="BQ342" t="s">
        <v>74</v>
      </c>
      <c r="BR342" t="s">
        <v>102</v>
      </c>
      <c r="BS342" t="s">
        <v>7134</v>
      </c>
      <c r="BT342" t="str">
        <f>HYPERLINK("https%3A%2F%2Fwww.webofscience.com%2Fwos%2Fwoscc%2Ffull-record%2FWOS:001297265600001","View Full Record in Web of Science")</f>
        <v>View Full Record in Web of Science</v>
      </c>
    </row>
    <row r="343" spans="1:72" x14ac:dyDescent="0.25">
      <c r="A343" t="s">
        <v>72</v>
      </c>
      <c r="B343" t="s">
        <v>7135</v>
      </c>
      <c r="C343" t="s">
        <v>74</v>
      </c>
      <c r="D343" t="s">
        <v>74</v>
      </c>
      <c r="E343" t="s">
        <v>74</v>
      </c>
      <c r="F343" t="s">
        <v>7136</v>
      </c>
      <c r="G343" t="s">
        <v>74</v>
      </c>
      <c r="H343" t="s">
        <v>74</v>
      </c>
      <c r="I343" t="s">
        <v>7137</v>
      </c>
      <c r="J343" t="s">
        <v>2763</v>
      </c>
      <c r="K343" t="s">
        <v>74</v>
      </c>
      <c r="L343" t="s">
        <v>74</v>
      </c>
      <c r="M343" t="s">
        <v>78</v>
      </c>
      <c r="N343" t="s">
        <v>79</v>
      </c>
      <c r="O343" t="s">
        <v>74</v>
      </c>
      <c r="P343" t="s">
        <v>74</v>
      </c>
      <c r="Q343" t="s">
        <v>74</v>
      </c>
      <c r="R343" t="s">
        <v>74</v>
      </c>
      <c r="S343" t="s">
        <v>74</v>
      </c>
      <c r="T343" t="s">
        <v>7138</v>
      </c>
      <c r="U343" t="s">
        <v>7139</v>
      </c>
      <c r="V343" t="s">
        <v>7140</v>
      </c>
      <c r="W343" t="s">
        <v>7141</v>
      </c>
      <c r="X343" t="s">
        <v>7142</v>
      </c>
      <c r="Y343" t="s">
        <v>7143</v>
      </c>
      <c r="Z343" t="s">
        <v>7144</v>
      </c>
      <c r="AA343" t="s">
        <v>7145</v>
      </c>
      <c r="AB343" t="s">
        <v>7146</v>
      </c>
      <c r="AC343" t="s">
        <v>74</v>
      </c>
      <c r="AD343" t="s">
        <v>74</v>
      </c>
      <c r="AE343" t="s">
        <v>74</v>
      </c>
      <c r="AF343" t="s">
        <v>74</v>
      </c>
      <c r="AG343">
        <v>68</v>
      </c>
      <c r="AH343">
        <v>28</v>
      </c>
      <c r="AI343">
        <v>37</v>
      </c>
      <c r="AJ343">
        <v>4</v>
      </c>
      <c r="AK343">
        <v>34</v>
      </c>
      <c r="AL343" t="s">
        <v>479</v>
      </c>
      <c r="AM343" t="s">
        <v>480</v>
      </c>
      <c r="AN343" t="s">
        <v>481</v>
      </c>
      <c r="AO343" t="s">
        <v>2776</v>
      </c>
      <c r="AP343" t="s">
        <v>2777</v>
      </c>
      <c r="AQ343" t="s">
        <v>74</v>
      </c>
      <c r="AR343" t="s">
        <v>2778</v>
      </c>
      <c r="AS343" t="s">
        <v>2779</v>
      </c>
      <c r="AT343" t="s">
        <v>1540</v>
      </c>
      <c r="AU343">
        <v>2020</v>
      </c>
      <c r="AV343">
        <v>24</v>
      </c>
      <c r="AW343">
        <v>2</v>
      </c>
      <c r="AX343" t="s">
        <v>74</v>
      </c>
      <c r="AY343" t="s">
        <v>74</v>
      </c>
      <c r="AZ343" t="s">
        <v>74</v>
      </c>
      <c r="BA343" t="s">
        <v>74</v>
      </c>
      <c r="BB343">
        <v>569</v>
      </c>
      <c r="BC343">
        <v>588</v>
      </c>
      <c r="BD343" t="s">
        <v>74</v>
      </c>
      <c r="BE343" t="s">
        <v>7147</v>
      </c>
      <c r="BF343" t="str">
        <f>HYPERLINK("http://dx.doi.org/10.1111/rode.12658","http://dx.doi.org/10.1111/rode.12658")</f>
        <v>http://dx.doi.org/10.1111/rode.12658</v>
      </c>
      <c r="BG343" t="s">
        <v>74</v>
      </c>
      <c r="BH343" t="s">
        <v>74</v>
      </c>
      <c r="BI343">
        <v>20</v>
      </c>
      <c r="BJ343" t="s">
        <v>701</v>
      </c>
      <c r="BK343" t="s">
        <v>99</v>
      </c>
      <c r="BL343" t="s">
        <v>702</v>
      </c>
      <c r="BM343" t="s">
        <v>7148</v>
      </c>
      <c r="BN343" t="s">
        <v>74</v>
      </c>
      <c r="BO343" t="s">
        <v>1696</v>
      </c>
      <c r="BP343" t="s">
        <v>74</v>
      </c>
      <c r="BQ343" t="s">
        <v>74</v>
      </c>
      <c r="BR343" t="s">
        <v>102</v>
      </c>
      <c r="BS343" t="s">
        <v>7149</v>
      </c>
      <c r="BT343" t="str">
        <f>HYPERLINK("https%3A%2F%2Fwww.webofscience.com%2Fwos%2Fwoscc%2Ffull-record%2FWOS:000525469100012","View Full Record in Web of Science")</f>
        <v>View Full Record in Web of Science</v>
      </c>
    </row>
    <row r="344" spans="1:72" x14ac:dyDescent="0.25">
      <c r="A344" t="s">
        <v>132</v>
      </c>
      <c r="B344" t="s">
        <v>7150</v>
      </c>
      <c r="C344" t="s">
        <v>74</v>
      </c>
      <c r="D344" t="s">
        <v>7151</v>
      </c>
      <c r="E344" t="s">
        <v>74</v>
      </c>
      <c r="F344" t="s">
        <v>7152</v>
      </c>
      <c r="G344" t="s">
        <v>74</v>
      </c>
      <c r="H344" t="s">
        <v>74</v>
      </c>
      <c r="I344" t="s">
        <v>7153</v>
      </c>
      <c r="J344" t="s">
        <v>7154</v>
      </c>
      <c r="K344" t="s">
        <v>7155</v>
      </c>
      <c r="L344" t="s">
        <v>74</v>
      </c>
      <c r="M344" t="s">
        <v>78</v>
      </c>
      <c r="N344" t="s">
        <v>138</v>
      </c>
      <c r="O344" t="s">
        <v>7156</v>
      </c>
      <c r="P344" t="s">
        <v>7157</v>
      </c>
      <c r="Q344" t="s">
        <v>7158</v>
      </c>
      <c r="R344" t="s">
        <v>74</v>
      </c>
      <c r="S344" t="s">
        <v>7159</v>
      </c>
      <c r="T344" t="s">
        <v>7160</v>
      </c>
      <c r="U344" t="s">
        <v>74</v>
      </c>
      <c r="V344" t="s">
        <v>7161</v>
      </c>
      <c r="W344" t="s">
        <v>7162</v>
      </c>
      <c r="X344" t="s">
        <v>7163</v>
      </c>
      <c r="Y344" t="s">
        <v>7164</v>
      </c>
      <c r="Z344" t="s">
        <v>74</v>
      </c>
      <c r="AA344" t="s">
        <v>7165</v>
      </c>
      <c r="AB344" t="s">
        <v>74</v>
      </c>
      <c r="AC344" t="s">
        <v>74</v>
      </c>
      <c r="AD344" t="s">
        <v>74</v>
      </c>
      <c r="AE344" t="s">
        <v>74</v>
      </c>
      <c r="AF344" t="s">
        <v>74</v>
      </c>
      <c r="AG344">
        <v>11</v>
      </c>
      <c r="AH344">
        <v>0</v>
      </c>
      <c r="AI344">
        <v>0</v>
      </c>
      <c r="AJ344">
        <v>0</v>
      </c>
      <c r="AK344">
        <v>1</v>
      </c>
      <c r="AL344" t="s">
        <v>7166</v>
      </c>
      <c r="AM344" t="s">
        <v>7167</v>
      </c>
      <c r="AN344" t="s">
        <v>7168</v>
      </c>
      <c r="AO344" t="s">
        <v>7169</v>
      </c>
      <c r="AP344" t="s">
        <v>74</v>
      </c>
      <c r="AQ344" t="s">
        <v>7170</v>
      </c>
      <c r="AR344" t="s">
        <v>7171</v>
      </c>
      <c r="AS344" t="s">
        <v>74</v>
      </c>
      <c r="AT344" t="s">
        <v>74</v>
      </c>
      <c r="AU344">
        <v>2018</v>
      </c>
      <c r="AV344">
        <v>92</v>
      </c>
      <c r="AW344" t="s">
        <v>74</v>
      </c>
      <c r="AX344" t="s">
        <v>74</v>
      </c>
      <c r="AY344" t="s">
        <v>74</v>
      </c>
      <c r="AZ344" t="s">
        <v>74</v>
      </c>
      <c r="BA344" t="s">
        <v>74</v>
      </c>
      <c r="BB344">
        <v>442</v>
      </c>
      <c r="BC344">
        <v>453</v>
      </c>
      <c r="BD344" t="s">
        <v>74</v>
      </c>
      <c r="BE344" t="s">
        <v>74</v>
      </c>
      <c r="BF344" t="s">
        <v>74</v>
      </c>
      <c r="BG344" t="s">
        <v>74</v>
      </c>
      <c r="BH344" t="s">
        <v>74</v>
      </c>
      <c r="BI344">
        <v>12</v>
      </c>
      <c r="BJ344" t="s">
        <v>6512</v>
      </c>
      <c r="BK344" t="s">
        <v>183</v>
      </c>
      <c r="BL344" t="s">
        <v>100</v>
      </c>
      <c r="BM344" t="s">
        <v>7172</v>
      </c>
      <c r="BN344" t="s">
        <v>74</v>
      </c>
      <c r="BO344" t="s">
        <v>74</v>
      </c>
      <c r="BP344" t="s">
        <v>74</v>
      </c>
      <c r="BQ344" t="s">
        <v>74</v>
      </c>
      <c r="BR344" t="s">
        <v>102</v>
      </c>
      <c r="BS344" t="s">
        <v>7173</v>
      </c>
      <c r="BT344" t="str">
        <f>HYPERLINK("https%3A%2F%2Fwww.webofscience.com%2Fwos%2Fwoscc%2Ffull-record%2FWOS:000558679400048","View Full Record in Web of Science")</f>
        <v>View Full Record in Web of Science</v>
      </c>
    </row>
    <row r="345" spans="1:72" x14ac:dyDescent="0.25">
      <c r="A345" t="s">
        <v>72</v>
      </c>
      <c r="B345" t="s">
        <v>7174</v>
      </c>
      <c r="C345" t="s">
        <v>74</v>
      </c>
      <c r="D345" t="s">
        <v>74</v>
      </c>
      <c r="E345" t="s">
        <v>74</v>
      </c>
      <c r="F345" t="s">
        <v>7175</v>
      </c>
      <c r="G345" t="s">
        <v>74</v>
      </c>
      <c r="H345" t="s">
        <v>74</v>
      </c>
      <c r="I345" t="s">
        <v>7176</v>
      </c>
      <c r="J345" t="s">
        <v>7177</v>
      </c>
      <c r="K345" t="s">
        <v>74</v>
      </c>
      <c r="L345" t="s">
        <v>74</v>
      </c>
      <c r="M345" t="s">
        <v>78</v>
      </c>
      <c r="N345" t="s">
        <v>79</v>
      </c>
      <c r="O345" t="s">
        <v>74</v>
      </c>
      <c r="P345" t="s">
        <v>74</v>
      </c>
      <c r="Q345" t="s">
        <v>74</v>
      </c>
      <c r="R345" t="s">
        <v>74</v>
      </c>
      <c r="S345" t="s">
        <v>74</v>
      </c>
      <c r="T345" t="s">
        <v>7178</v>
      </c>
      <c r="U345" t="s">
        <v>74</v>
      </c>
      <c r="V345" t="s">
        <v>7179</v>
      </c>
      <c r="W345" t="s">
        <v>7180</v>
      </c>
      <c r="X345" t="s">
        <v>7181</v>
      </c>
      <c r="Y345" t="s">
        <v>7182</v>
      </c>
      <c r="Z345" t="s">
        <v>7183</v>
      </c>
      <c r="AA345" t="s">
        <v>7184</v>
      </c>
      <c r="AB345" t="s">
        <v>74</v>
      </c>
      <c r="AC345" t="s">
        <v>7185</v>
      </c>
      <c r="AD345" t="s">
        <v>7186</v>
      </c>
      <c r="AE345" t="s">
        <v>7187</v>
      </c>
      <c r="AF345" t="s">
        <v>74</v>
      </c>
      <c r="AG345">
        <v>31</v>
      </c>
      <c r="AH345">
        <v>8</v>
      </c>
      <c r="AI345">
        <v>15</v>
      </c>
      <c r="AJ345">
        <v>0</v>
      </c>
      <c r="AK345">
        <v>41</v>
      </c>
      <c r="AL345" t="s">
        <v>575</v>
      </c>
      <c r="AM345" t="s">
        <v>576</v>
      </c>
      <c r="AN345" t="s">
        <v>3242</v>
      </c>
      <c r="AO345" t="s">
        <v>7188</v>
      </c>
      <c r="AP345" t="s">
        <v>74</v>
      </c>
      <c r="AQ345" t="s">
        <v>74</v>
      </c>
      <c r="AR345" t="s">
        <v>7189</v>
      </c>
      <c r="AS345" t="s">
        <v>7190</v>
      </c>
      <c r="AT345" t="s">
        <v>1652</v>
      </c>
      <c r="AU345">
        <v>2017</v>
      </c>
      <c r="AV345">
        <v>17</v>
      </c>
      <c r="AW345">
        <v>6</v>
      </c>
      <c r="AX345" t="s">
        <v>74</v>
      </c>
      <c r="AY345" t="s">
        <v>74</v>
      </c>
      <c r="AZ345" t="s">
        <v>74</v>
      </c>
      <c r="BA345" t="s">
        <v>74</v>
      </c>
      <c r="BB345" t="s">
        <v>74</v>
      </c>
      <c r="BC345" t="s">
        <v>74</v>
      </c>
      <c r="BD345">
        <v>1376</v>
      </c>
      <c r="BE345" t="s">
        <v>7191</v>
      </c>
      <c r="BF345" t="str">
        <f>HYPERLINK("http://dx.doi.org/10.3390/s17061376","http://dx.doi.org/10.3390/s17061376")</f>
        <v>http://dx.doi.org/10.3390/s17061376</v>
      </c>
      <c r="BG345" t="s">
        <v>74</v>
      </c>
      <c r="BH345" t="s">
        <v>74</v>
      </c>
      <c r="BI345">
        <v>20</v>
      </c>
      <c r="BJ345" t="s">
        <v>7192</v>
      </c>
      <c r="BK345" t="s">
        <v>128</v>
      </c>
      <c r="BL345" t="s">
        <v>7193</v>
      </c>
      <c r="BM345" t="s">
        <v>7194</v>
      </c>
      <c r="BN345">
        <v>28608846</v>
      </c>
      <c r="BO345" t="s">
        <v>916</v>
      </c>
      <c r="BP345" t="s">
        <v>74</v>
      </c>
      <c r="BQ345" t="s">
        <v>74</v>
      </c>
      <c r="BR345" t="s">
        <v>102</v>
      </c>
      <c r="BS345" t="s">
        <v>7195</v>
      </c>
      <c r="BT345" t="str">
        <f>HYPERLINK("https%3A%2F%2Fwww.webofscience.com%2Fwos%2Fwoscc%2Ffull-record%2FWOS:000404553900192","View Full Record in Web of Science")</f>
        <v>View Full Record in Web of Science</v>
      </c>
    </row>
    <row r="346" spans="1:72" x14ac:dyDescent="0.25">
      <c r="A346" t="s">
        <v>72</v>
      </c>
      <c r="B346" t="s">
        <v>7196</v>
      </c>
      <c r="C346" t="s">
        <v>74</v>
      </c>
      <c r="D346" t="s">
        <v>74</v>
      </c>
      <c r="E346" t="s">
        <v>74</v>
      </c>
      <c r="F346" t="s">
        <v>7197</v>
      </c>
      <c r="G346" t="s">
        <v>74</v>
      </c>
      <c r="H346" t="s">
        <v>74</v>
      </c>
      <c r="I346" t="s">
        <v>7198</v>
      </c>
      <c r="J346" t="s">
        <v>7199</v>
      </c>
      <c r="K346" t="s">
        <v>74</v>
      </c>
      <c r="L346" t="s">
        <v>74</v>
      </c>
      <c r="M346" t="s">
        <v>78</v>
      </c>
      <c r="N346" t="s">
        <v>79</v>
      </c>
      <c r="O346" t="s">
        <v>74</v>
      </c>
      <c r="P346" t="s">
        <v>74</v>
      </c>
      <c r="Q346" t="s">
        <v>74</v>
      </c>
      <c r="R346" t="s">
        <v>74</v>
      </c>
      <c r="S346" t="s">
        <v>74</v>
      </c>
      <c r="T346" t="s">
        <v>74</v>
      </c>
      <c r="U346" t="s">
        <v>7200</v>
      </c>
      <c r="V346" t="s">
        <v>7201</v>
      </c>
      <c r="W346" t="s">
        <v>7202</v>
      </c>
      <c r="X346" t="s">
        <v>7203</v>
      </c>
      <c r="Y346" t="s">
        <v>7204</v>
      </c>
      <c r="Z346" t="s">
        <v>7205</v>
      </c>
      <c r="AA346" t="s">
        <v>7206</v>
      </c>
      <c r="AB346" t="s">
        <v>74</v>
      </c>
      <c r="AC346" t="s">
        <v>7207</v>
      </c>
      <c r="AD346" t="s">
        <v>7207</v>
      </c>
      <c r="AE346" t="s">
        <v>7208</v>
      </c>
      <c r="AF346" t="s">
        <v>74</v>
      </c>
      <c r="AG346">
        <v>15</v>
      </c>
      <c r="AH346">
        <v>0</v>
      </c>
      <c r="AI346">
        <v>1</v>
      </c>
      <c r="AJ346">
        <v>1</v>
      </c>
      <c r="AK346">
        <v>1</v>
      </c>
      <c r="AL346" t="s">
        <v>2551</v>
      </c>
      <c r="AM346" t="s">
        <v>231</v>
      </c>
      <c r="AN346" t="s">
        <v>2552</v>
      </c>
      <c r="AO346" t="s">
        <v>7209</v>
      </c>
      <c r="AP346" t="s">
        <v>7210</v>
      </c>
      <c r="AQ346" t="s">
        <v>74</v>
      </c>
      <c r="AR346" t="s">
        <v>7211</v>
      </c>
      <c r="AS346" t="s">
        <v>7212</v>
      </c>
      <c r="AT346" t="s">
        <v>2801</v>
      </c>
      <c r="AU346">
        <v>2025</v>
      </c>
      <c r="AV346">
        <v>190</v>
      </c>
      <c r="AW346" t="s">
        <v>7213</v>
      </c>
      <c r="AX346" t="s">
        <v>74</v>
      </c>
      <c r="AY346" t="s">
        <v>74</v>
      </c>
      <c r="AZ346" t="s">
        <v>74</v>
      </c>
      <c r="BA346" t="s">
        <v>74</v>
      </c>
      <c r="BB346">
        <v>1071</v>
      </c>
      <c r="BC346">
        <v>1077</v>
      </c>
      <c r="BD346" t="s">
        <v>74</v>
      </c>
      <c r="BE346" t="s">
        <v>7214</v>
      </c>
      <c r="BF346" t="str">
        <f>HYPERLINK("http://dx.doi.org/10.1093/milmed/usaf040","http://dx.doi.org/10.1093/milmed/usaf040")</f>
        <v>http://dx.doi.org/10.1093/milmed/usaf040</v>
      </c>
      <c r="BG346" t="s">
        <v>74</v>
      </c>
      <c r="BH346" t="s">
        <v>417</v>
      </c>
      <c r="BI346">
        <v>7</v>
      </c>
      <c r="BJ346" t="s">
        <v>2756</v>
      </c>
      <c r="BK346" t="s">
        <v>128</v>
      </c>
      <c r="BL346" t="s">
        <v>2757</v>
      </c>
      <c r="BM346" t="s">
        <v>7215</v>
      </c>
      <c r="BN346">
        <v>39954081</v>
      </c>
      <c r="BO346" t="s">
        <v>74</v>
      </c>
      <c r="BP346" t="s">
        <v>74</v>
      </c>
      <c r="BQ346" t="s">
        <v>74</v>
      </c>
      <c r="BR346" t="s">
        <v>102</v>
      </c>
      <c r="BS346" t="s">
        <v>7216</v>
      </c>
      <c r="BT346" t="str">
        <f>HYPERLINK("https%3A%2F%2Fwww.webofscience.com%2Fwos%2Fwoscc%2Ffull-record%2FWOS:001421400800001","View Full Record in Web of Science")</f>
        <v>View Full Record in Web of Science</v>
      </c>
    </row>
    <row r="347" spans="1:72" x14ac:dyDescent="0.25">
      <c r="A347" t="s">
        <v>72</v>
      </c>
      <c r="B347" t="s">
        <v>7217</v>
      </c>
      <c r="C347" t="s">
        <v>74</v>
      </c>
      <c r="D347" t="s">
        <v>74</v>
      </c>
      <c r="E347" t="s">
        <v>74</v>
      </c>
      <c r="F347" t="s">
        <v>7218</v>
      </c>
      <c r="G347" t="s">
        <v>74</v>
      </c>
      <c r="H347" t="s">
        <v>74</v>
      </c>
      <c r="I347" t="s">
        <v>7219</v>
      </c>
      <c r="J347" t="s">
        <v>7220</v>
      </c>
      <c r="K347" t="s">
        <v>74</v>
      </c>
      <c r="L347" t="s">
        <v>74</v>
      </c>
      <c r="M347" t="s">
        <v>78</v>
      </c>
      <c r="N347" t="s">
        <v>79</v>
      </c>
      <c r="O347" t="s">
        <v>74</v>
      </c>
      <c r="P347" t="s">
        <v>74</v>
      </c>
      <c r="Q347" t="s">
        <v>74</v>
      </c>
      <c r="R347" t="s">
        <v>74</v>
      </c>
      <c r="S347" t="s">
        <v>74</v>
      </c>
      <c r="T347" t="s">
        <v>7221</v>
      </c>
      <c r="U347" t="s">
        <v>7222</v>
      </c>
      <c r="V347" t="s">
        <v>7223</v>
      </c>
      <c r="W347" t="s">
        <v>7224</v>
      </c>
      <c r="X347" t="s">
        <v>7225</v>
      </c>
      <c r="Y347" t="s">
        <v>7226</v>
      </c>
      <c r="Z347" t="s">
        <v>7227</v>
      </c>
      <c r="AA347" t="s">
        <v>7228</v>
      </c>
      <c r="AB347" t="s">
        <v>7229</v>
      </c>
      <c r="AC347" t="s">
        <v>74</v>
      </c>
      <c r="AD347" t="s">
        <v>74</v>
      </c>
      <c r="AE347" t="s">
        <v>74</v>
      </c>
      <c r="AF347" t="s">
        <v>74</v>
      </c>
      <c r="AG347">
        <v>48</v>
      </c>
      <c r="AH347">
        <v>7</v>
      </c>
      <c r="AI347">
        <v>10</v>
      </c>
      <c r="AJ347">
        <v>0</v>
      </c>
      <c r="AK347">
        <v>11</v>
      </c>
      <c r="AL347" t="s">
        <v>89</v>
      </c>
      <c r="AM347" t="s">
        <v>1497</v>
      </c>
      <c r="AN347" t="s">
        <v>1498</v>
      </c>
      <c r="AO347" t="s">
        <v>7230</v>
      </c>
      <c r="AP347" t="s">
        <v>7231</v>
      </c>
      <c r="AQ347" t="s">
        <v>74</v>
      </c>
      <c r="AR347" t="s">
        <v>7232</v>
      </c>
      <c r="AS347" t="s">
        <v>7233</v>
      </c>
      <c r="AT347" t="s">
        <v>7234</v>
      </c>
      <c r="AU347">
        <v>2021</v>
      </c>
      <c r="AV347">
        <v>37</v>
      </c>
      <c r="AW347">
        <v>4</v>
      </c>
      <c r="AX347" t="s">
        <v>74</v>
      </c>
      <c r="AY347" t="s">
        <v>74</v>
      </c>
      <c r="AZ347" t="s">
        <v>74</v>
      </c>
      <c r="BA347" t="s">
        <v>74</v>
      </c>
      <c r="BB347">
        <v>643</v>
      </c>
      <c r="BC347">
        <v>658</v>
      </c>
      <c r="BD347" t="s">
        <v>74</v>
      </c>
      <c r="BE347" t="s">
        <v>7235</v>
      </c>
      <c r="BF347" t="str">
        <f>HYPERLINK("http://dx.doi.org/10.1108/JEAS-08-2020-0151","http://dx.doi.org/10.1108/JEAS-08-2020-0151")</f>
        <v>http://dx.doi.org/10.1108/JEAS-08-2020-0151</v>
      </c>
      <c r="BG347" t="s">
        <v>74</v>
      </c>
      <c r="BH347" t="s">
        <v>7236</v>
      </c>
      <c r="BI347">
        <v>16</v>
      </c>
      <c r="BJ347" t="s">
        <v>291</v>
      </c>
      <c r="BK347" t="s">
        <v>313</v>
      </c>
      <c r="BL347" t="s">
        <v>100</v>
      </c>
      <c r="BM347" t="s">
        <v>7237</v>
      </c>
      <c r="BN347" t="s">
        <v>74</v>
      </c>
      <c r="BO347" t="s">
        <v>74</v>
      </c>
      <c r="BP347" t="s">
        <v>74</v>
      </c>
      <c r="BQ347" t="s">
        <v>74</v>
      </c>
      <c r="BR347" t="s">
        <v>102</v>
      </c>
      <c r="BS347" t="s">
        <v>7238</v>
      </c>
      <c r="BT347" t="str">
        <f>HYPERLINK("https%3A%2F%2Fwww.webofscience.com%2Fwos%2Fwoscc%2Ffull-record%2FWOS:000603476400001","View Full Record in Web of Science")</f>
        <v>View Full Record in Web of Science</v>
      </c>
    </row>
    <row r="348" spans="1:72" x14ac:dyDescent="0.25">
      <c r="A348" t="s">
        <v>72</v>
      </c>
      <c r="B348" t="s">
        <v>7239</v>
      </c>
      <c r="C348" t="s">
        <v>74</v>
      </c>
      <c r="D348" t="s">
        <v>74</v>
      </c>
      <c r="E348" t="s">
        <v>74</v>
      </c>
      <c r="F348" t="s">
        <v>7240</v>
      </c>
      <c r="G348" t="s">
        <v>74</v>
      </c>
      <c r="H348" t="s">
        <v>74</v>
      </c>
      <c r="I348" t="s">
        <v>7241</v>
      </c>
      <c r="J348" t="s">
        <v>4700</v>
      </c>
      <c r="K348" t="s">
        <v>74</v>
      </c>
      <c r="L348" t="s">
        <v>74</v>
      </c>
      <c r="M348" t="s">
        <v>78</v>
      </c>
      <c r="N348" t="s">
        <v>79</v>
      </c>
      <c r="O348" t="s">
        <v>74</v>
      </c>
      <c r="P348" t="s">
        <v>74</v>
      </c>
      <c r="Q348" t="s">
        <v>74</v>
      </c>
      <c r="R348" t="s">
        <v>74</v>
      </c>
      <c r="S348" t="s">
        <v>74</v>
      </c>
      <c r="T348" t="s">
        <v>7242</v>
      </c>
      <c r="U348" t="s">
        <v>74</v>
      </c>
      <c r="V348" t="s">
        <v>7243</v>
      </c>
      <c r="W348" t="s">
        <v>7244</v>
      </c>
      <c r="X348" t="s">
        <v>6910</v>
      </c>
      <c r="Y348" t="s">
        <v>7245</v>
      </c>
      <c r="Z348" t="s">
        <v>7246</v>
      </c>
      <c r="AA348" t="s">
        <v>74</v>
      </c>
      <c r="AB348" t="s">
        <v>74</v>
      </c>
      <c r="AC348" t="s">
        <v>74</v>
      </c>
      <c r="AD348" t="s">
        <v>74</v>
      </c>
      <c r="AE348" t="s">
        <v>74</v>
      </c>
      <c r="AF348" t="s">
        <v>74</v>
      </c>
      <c r="AG348">
        <v>46</v>
      </c>
      <c r="AH348">
        <v>9</v>
      </c>
      <c r="AI348">
        <v>11</v>
      </c>
      <c r="AJ348">
        <v>0</v>
      </c>
      <c r="AK348">
        <v>20</v>
      </c>
      <c r="AL348" t="s">
        <v>332</v>
      </c>
      <c r="AM348" t="s">
        <v>333</v>
      </c>
      <c r="AN348" t="s">
        <v>334</v>
      </c>
      <c r="AO348" t="s">
        <v>4711</v>
      </c>
      <c r="AP348" t="s">
        <v>4712</v>
      </c>
      <c r="AQ348" t="s">
        <v>74</v>
      </c>
      <c r="AR348" t="s">
        <v>4713</v>
      </c>
      <c r="AS348" t="s">
        <v>4714</v>
      </c>
      <c r="AT348" t="s">
        <v>7247</v>
      </c>
      <c r="AU348">
        <v>2020</v>
      </c>
      <c r="AV348">
        <v>12</v>
      </c>
      <c r="AW348">
        <v>7</v>
      </c>
      <c r="AX348" t="s">
        <v>74</v>
      </c>
      <c r="AY348" t="s">
        <v>74</v>
      </c>
      <c r="AZ348" t="s">
        <v>74</v>
      </c>
      <c r="BA348" t="s">
        <v>74</v>
      </c>
      <c r="BB348">
        <v>855</v>
      </c>
      <c r="BC348">
        <v>865</v>
      </c>
      <c r="BD348" t="s">
        <v>74</v>
      </c>
      <c r="BE348" t="s">
        <v>7248</v>
      </c>
      <c r="BF348" t="str">
        <f>HYPERLINK("http://dx.doi.org/10.1080/20421338.2020.1733281","http://dx.doi.org/10.1080/20421338.2020.1733281")</f>
        <v>http://dx.doi.org/10.1080/20421338.2020.1733281</v>
      </c>
      <c r="BG348" t="s">
        <v>74</v>
      </c>
      <c r="BH348" t="s">
        <v>7249</v>
      </c>
      <c r="BI348">
        <v>11</v>
      </c>
      <c r="BJ348" t="s">
        <v>559</v>
      </c>
      <c r="BK348" t="s">
        <v>313</v>
      </c>
      <c r="BL348" t="s">
        <v>560</v>
      </c>
      <c r="BM348" t="s">
        <v>7250</v>
      </c>
      <c r="BN348" t="s">
        <v>74</v>
      </c>
      <c r="BO348" t="s">
        <v>74</v>
      </c>
      <c r="BP348" t="s">
        <v>74</v>
      </c>
      <c r="BQ348" t="s">
        <v>74</v>
      </c>
      <c r="BR348" t="s">
        <v>102</v>
      </c>
      <c r="BS348" t="s">
        <v>7251</v>
      </c>
      <c r="BT348" t="str">
        <f>HYPERLINK("https%3A%2F%2Fwww.webofscience.com%2Fwos%2Fwoscc%2Ffull-record%2FWOS:000540848000001","View Full Record in Web of Science")</f>
        <v>View Full Record in Web of Science</v>
      </c>
    </row>
    <row r="349" spans="1:72" x14ac:dyDescent="0.25">
      <c r="A349" t="s">
        <v>72</v>
      </c>
      <c r="B349" t="s">
        <v>7252</v>
      </c>
      <c r="C349" t="s">
        <v>74</v>
      </c>
      <c r="D349" t="s">
        <v>74</v>
      </c>
      <c r="E349" t="s">
        <v>74</v>
      </c>
      <c r="F349" t="s">
        <v>7253</v>
      </c>
      <c r="G349" t="s">
        <v>74</v>
      </c>
      <c r="H349" t="s">
        <v>74</v>
      </c>
      <c r="I349" t="s">
        <v>7254</v>
      </c>
      <c r="J349" t="s">
        <v>589</v>
      </c>
      <c r="K349" t="s">
        <v>74</v>
      </c>
      <c r="L349" t="s">
        <v>74</v>
      </c>
      <c r="M349" t="s">
        <v>590</v>
      </c>
      <c r="N349" t="s">
        <v>79</v>
      </c>
      <c r="O349" t="s">
        <v>74</v>
      </c>
      <c r="P349" t="s">
        <v>74</v>
      </c>
      <c r="Q349" t="s">
        <v>74</v>
      </c>
      <c r="R349" t="s">
        <v>74</v>
      </c>
      <c r="S349" t="s">
        <v>74</v>
      </c>
      <c r="T349" t="s">
        <v>7255</v>
      </c>
      <c r="U349" t="s">
        <v>7256</v>
      </c>
      <c r="V349" t="s">
        <v>7257</v>
      </c>
      <c r="W349" t="s">
        <v>7258</v>
      </c>
      <c r="X349" t="s">
        <v>7259</v>
      </c>
      <c r="Y349" t="s">
        <v>7260</v>
      </c>
      <c r="Z349" t="s">
        <v>7261</v>
      </c>
      <c r="AA349" t="s">
        <v>7262</v>
      </c>
      <c r="AB349" t="s">
        <v>7263</v>
      </c>
      <c r="AC349" t="s">
        <v>7264</v>
      </c>
      <c r="AD349" t="s">
        <v>7264</v>
      </c>
      <c r="AE349" t="s">
        <v>7265</v>
      </c>
      <c r="AF349" t="s">
        <v>74</v>
      </c>
      <c r="AG349">
        <v>80</v>
      </c>
      <c r="AH349">
        <v>1</v>
      </c>
      <c r="AI349">
        <v>1</v>
      </c>
      <c r="AJ349">
        <v>2</v>
      </c>
      <c r="AK349">
        <v>5</v>
      </c>
      <c r="AL349" t="s">
        <v>7266</v>
      </c>
      <c r="AM349" t="s">
        <v>600</v>
      </c>
      <c r="AN349" t="s">
        <v>7267</v>
      </c>
      <c r="AO349" t="s">
        <v>602</v>
      </c>
      <c r="AP349" t="s">
        <v>74</v>
      </c>
      <c r="AQ349" t="s">
        <v>74</v>
      </c>
      <c r="AR349" t="s">
        <v>603</v>
      </c>
      <c r="AS349" t="s">
        <v>604</v>
      </c>
      <c r="AT349" t="s">
        <v>698</v>
      </c>
      <c r="AU349">
        <v>2024</v>
      </c>
      <c r="AV349" t="s">
        <v>74</v>
      </c>
      <c r="AW349">
        <v>9</v>
      </c>
      <c r="AX349" t="s">
        <v>74</v>
      </c>
      <c r="AY349" t="s">
        <v>74</v>
      </c>
      <c r="AZ349" t="s">
        <v>74</v>
      </c>
      <c r="BA349" t="s">
        <v>74</v>
      </c>
      <c r="BB349">
        <v>107</v>
      </c>
      <c r="BC349">
        <v>137</v>
      </c>
      <c r="BD349" t="s">
        <v>74</v>
      </c>
      <c r="BE349" t="s">
        <v>7268</v>
      </c>
      <c r="BF349" t="str">
        <f>HYPERLINK("http://dx.doi.org/10.32609/0042-8736-2024-9-107-137","http://dx.doi.org/10.32609/0042-8736-2024-9-107-137")</f>
        <v>http://dx.doi.org/10.32609/0042-8736-2024-9-107-137</v>
      </c>
      <c r="BG349" t="s">
        <v>74</v>
      </c>
      <c r="BH349" t="s">
        <v>74</v>
      </c>
      <c r="BI349">
        <v>31</v>
      </c>
      <c r="BJ349" t="s">
        <v>291</v>
      </c>
      <c r="BK349" t="s">
        <v>313</v>
      </c>
      <c r="BL349" t="s">
        <v>100</v>
      </c>
      <c r="BM349" t="s">
        <v>7269</v>
      </c>
      <c r="BN349" t="s">
        <v>74</v>
      </c>
      <c r="BO349" t="s">
        <v>74</v>
      </c>
      <c r="BP349" t="s">
        <v>74</v>
      </c>
      <c r="BQ349" t="s">
        <v>74</v>
      </c>
      <c r="BR349" t="s">
        <v>102</v>
      </c>
      <c r="BS349" t="s">
        <v>7270</v>
      </c>
      <c r="BT349" t="str">
        <f>HYPERLINK("https%3A%2F%2Fwww.webofscience.com%2Fwos%2Fwoscc%2Ffull-record%2FWOS:001312955700005","View Full Record in Web of Science")</f>
        <v>View Full Record in Web of Science</v>
      </c>
    </row>
    <row r="350" spans="1:72" x14ac:dyDescent="0.25">
      <c r="A350" t="s">
        <v>72</v>
      </c>
      <c r="B350" t="s">
        <v>7271</v>
      </c>
      <c r="C350" t="s">
        <v>74</v>
      </c>
      <c r="D350" t="s">
        <v>74</v>
      </c>
      <c r="E350" t="s">
        <v>74</v>
      </c>
      <c r="F350" t="s">
        <v>7272</v>
      </c>
      <c r="G350" t="s">
        <v>74</v>
      </c>
      <c r="H350" t="s">
        <v>74</v>
      </c>
      <c r="I350" t="s">
        <v>7273</v>
      </c>
      <c r="J350" t="s">
        <v>7274</v>
      </c>
      <c r="K350" t="s">
        <v>74</v>
      </c>
      <c r="L350" t="s">
        <v>74</v>
      </c>
      <c r="M350" t="s">
        <v>78</v>
      </c>
      <c r="N350" t="s">
        <v>3795</v>
      </c>
      <c r="O350" t="s">
        <v>7275</v>
      </c>
      <c r="P350" t="s">
        <v>7276</v>
      </c>
      <c r="Q350" t="s">
        <v>7277</v>
      </c>
      <c r="R350" t="s">
        <v>74</v>
      </c>
      <c r="S350" t="s">
        <v>74</v>
      </c>
      <c r="T350" t="s">
        <v>7278</v>
      </c>
      <c r="U350" t="s">
        <v>74</v>
      </c>
      <c r="V350" t="s">
        <v>7279</v>
      </c>
      <c r="W350" t="s">
        <v>7280</v>
      </c>
      <c r="X350" t="s">
        <v>7281</v>
      </c>
      <c r="Y350" t="s">
        <v>7282</v>
      </c>
      <c r="Z350" t="s">
        <v>7283</v>
      </c>
      <c r="AA350" t="s">
        <v>74</v>
      </c>
      <c r="AB350" t="s">
        <v>74</v>
      </c>
      <c r="AC350" t="s">
        <v>74</v>
      </c>
      <c r="AD350" t="s">
        <v>74</v>
      </c>
      <c r="AE350" t="s">
        <v>74</v>
      </c>
      <c r="AF350" t="s">
        <v>74</v>
      </c>
      <c r="AG350">
        <v>4</v>
      </c>
      <c r="AH350">
        <v>181</v>
      </c>
      <c r="AI350">
        <v>263</v>
      </c>
      <c r="AJ350">
        <v>15</v>
      </c>
      <c r="AK350">
        <v>173</v>
      </c>
      <c r="AL350" t="s">
        <v>2551</v>
      </c>
      <c r="AM350" t="s">
        <v>231</v>
      </c>
      <c r="AN350" t="s">
        <v>2552</v>
      </c>
      <c r="AO350" t="s">
        <v>7284</v>
      </c>
      <c r="AP350" t="s">
        <v>7285</v>
      </c>
      <c r="AQ350" t="s">
        <v>74</v>
      </c>
      <c r="AR350" t="s">
        <v>7286</v>
      </c>
      <c r="AS350" t="s">
        <v>7287</v>
      </c>
      <c r="AT350" t="s">
        <v>237</v>
      </c>
      <c r="AU350">
        <v>2020</v>
      </c>
      <c r="AV350">
        <v>34</v>
      </c>
      <c r="AW350" t="s">
        <v>74</v>
      </c>
      <c r="AX350" t="s">
        <v>74</v>
      </c>
      <c r="AY350">
        <v>1</v>
      </c>
      <c r="AZ350" t="s">
        <v>74</v>
      </c>
      <c r="BA350" t="s">
        <v>74</v>
      </c>
      <c r="BB350" t="s">
        <v>7288</v>
      </c>
      <c r="BC350" t="s">
        <v>7289</v>
      </c>
      <c r="BD350" t="s">
        <v>74</v>
      </c>
      <c r="BE350" t="s">
        <v>7290</v>
      </c>
      <c r="BF350" t="str">
        <f>HYPERLINK("http://dx.doi.org/10.1093/wber/lhz013","http://dx.doi.org/10.1093/wber/lhz013")</f>
        <v>http://dx.doi.org/10.1093/wber/lhz013</v>
      </c>
      <c r="BG350" t="s">
        <v>74</v>
      </c>
      <c r="BH350" t="s">
        <v>74</v>
      </c>
      <c r="BI350">
        <v>7</v>
      </c>
      <c r="BJ350" t="s">
        <v>7291</v>
      </c>
      <c r="BK350" t="s">
        <v>4493</v>
      </c>
      <c r="BL350" t="s">
        <v>7292</v>
      </c>
      <c r="BM350" t="s">
        <v>7293</v>
      </c>
      <c r="BN350" t="s">
        <v>74</v>
      </c>
      <c r="BO350" t="s">
        <v>74</v>
      </c>
      <c r="BP350" t="s">
        <v>74</v>
      </c>
      <c r="BQ350" t="s">
        <v>74</v>
      </c>
      <c r="BR350" t="s">
        <v>102</v>
      </c>
      <c r="BS350" t="s">
        <v>7294</v>
      </c>
      <c r="BT350" t="str">
        <f>HYPERLINK("https%3A%2F%2Fwww.webofscience.com%2Fwos%2Fwoscc%2Ffull-record%2FWOS:000525858400002","View Full Record in Web of Science")</f>
        <v>View Full Record in Web of Science</v>
      </c>
    </row>
    <row r="351" spans="1:72" x14ac:dyDescent="0.25">
      <c r="A351" t="s">
        <v>72</v>
      </c>
      <c r="B351" t="s">
        <v>7295</v>
      </c>
      <c r="C351" t="s">
        <v>74</v>
      </c>
      <c r="D351" t="s">
        <v>74</v>
      </c>
      <c r="E351" t="s">
        <v>74</v>
      </c>
      <c r="F351" t="s">
        <v>7296</v>
      </c>
      <c r="G351" t="s">
        <v>74</v>
      </c>
      <c r="H351" t="s">
        <v>74</v>
      </c>
      <c r="I351" t="s">
        <v>7297</v>
      </c>
      <c r="J351" t="s">
        <v>7298</v>
      </c>
      <c r="K351" t="s">
        <v>74</v>
      </c>
      <c r="L351" t="s">
        <v>74</v>
      </c>
      <c r="M351" t="s">
        <v>78</v>
      </c>
      <c r="N351" t="s">
        <v>79</v>
      </c>
      <c r="O351" t="s">
        <v>74</v>
      </c>
      <c r="P351" t="s">
        <v>74</v>
      </c>
      <c r="Q351" t="s">
        <v>74</v>
      </c>
      <c r="R351" t="s">
        <v>74</v>
      </c>
      <c r="S351" t="s">
        <v>74</v>
      </c>
      <c r="T351" t="s">
        <v>7299</v>
      </c>
      <c r="U351" t="s">
        <v>7300</v>
      </c>
      <c r="V351" t="s">
        <v>7301</v>
      </c>
      <c r="W351" t="s">
        <v>7302</v>
      </c>
      <c r="X351" t="s">
        <v>7303</v>
      </c>
      <c r="Y351" t="s">
        <v>7304</v>
      </c>
      <c r="Z351" t="s">
        <v>7305</v>
      </c>
      <c r="AA351" t="s">
        <v>7306</v>
      </c>
      <c r="AB351" t="s">
        <v>7307</v>
      </c>
      <c r="AC351" t="s">
        <v>74</v>
      </c>
      <c r="AD351" t="s">
        <v>74</v>
      </c>
      <c r="AE351" t="s">
        <v>74</v>
      </c>
      <c r="AF351" t="s">
        <v>74</v>
      </c>
      <c r="AG351">
        <v>33</v>
      </c>
      <c r="AH351">
        <v>1</v>
      </c>
      <c r="AI351">
        <v>3</v>
      </c>
      <c r="AJ351">
        <v>0</v>
      </c>
      <c r="AK351">
        <v>10</v>
      </c>
      <c r="AL351" t="s">
        <v>479</v>
      </c>
      <c r="AM351" t="s">
        <v>480</v>
      </c>
      <c r="AN351" t="s">
        <v>481</v>
      </c>
      <c r="AO351" t="s">
        <v>7308</v>
      </c>
      <c r="AP351" t="s">
        <v>7309</v>
      </c>
      <c r="AQ351" t="s">
        <v>74</v>
      </c>
      <c r="AR351" t="s">
        <v>7310</v>
      </c>
      <c r="AS351" t="s">
        <v>7311</v>
      </c>
      <c r="AT351" t="s">
        <v>124</v>
      </c>
      <c r="AU351">
        <v>2019</v>
      </c>
      <c r="AV351">
        <v>90</v>
      </c>
      <c r="AW351">
        <v>4</v>
      </c>
      <c r="AX351" t="s">
        <v>74</v>
      </c>
      <c r="AY351" t="s">
        <v>74</v>
      </c>
      <c r="AZ351" t="s">
        <v>74</v>
      </c>
      <c r="BA351" t="s">
        <v>74</v>
      </c>
      <c r="BB351">
        <v>641</v>
      </c>
      <c r="BC351">
        <v>668</v>
      </c>
      <c r="BD351" t="s">
        <v>74</v>
      </c>
      <c r="BE351" t="s">
        <v>7312</v>
      </c>
      <c r="BF351" t="str">
        <f>HYPERLINK("http://dx.doi.org/10.1111/apce.12252","http://dx.doi.org/10.1111/apce.12252")</f>
        <v>http://dx.doi.org/10.1111/apce.12252</v>
      </c>
      <c r="BG351" t="s">
        <v>74</v>
      </c>
      <c r="BH351" t="s">
        <v>2208</v>
      </c>
      <c r="BI351">
        <v>28</v>
      </c>
      <c r="BJ351" t="s">
        <v>291</v>
      </c>
      <c r="BK351" t="s">
        <v>99</v>
      </c>
      <c r="BL351" t="s">
        <v>100</v>
      </c>
      <c r="BM351" t="s">
        <v>7313</v>
      </c>
      <c r="BN351" t="s">
        <v>74</v>
      </c>
      <c r="BO351" t="s">
        <v>74</v>
      </c>
      <c r="BP351" t="s">
        <v>74</v>
      </c>
      <c r="BQ351" t="s">
        <v>74</v>
      </c>
      <c r="BR351" t="s">
        <v>102</v>
      </c>
      <c r="BS351" t="s">
        <v>7314</v>
      </c>
      <c r="BT351" t="str">
        <f>HYPERLINK("https%3A%2F%2Fwww.webofscience.com%2Fwos%2Fwoscc%2Ffull-record%2FWOS:000486294500001","View Full Record in Web of Science")</f>
        <v>View Full Record in Web of Science</v>
      </c>
    </row>
    <row r="352" spans="1:72" x14ac:dyDescent="0.25">
      <c r="A352" t="s">
        <v>72</v>
      </c>
      <c r="B352" t="s">
        <v>1140</v>
      </c>
      <c r="C352" t="s">
        <v>74</v>
      </c>
      <c r="D352" t="s">
        <v>74</v>
      </c>
      <c r="E352" t="s">
        <v>74</v>
      </c>
      <c r="F352" t="s">
        <v>7315</v>
      </c>
      <c r="G352" t="s">
        <v>74</v>
      </c>
      <c r="H352" t="s">
        <v>74</v>
      </c>
      <c r="I352" t="s">
        <v>7316</v>
      </c>
      <c r="J352" t="s">
        <v>2137</v>
      </c>
      <c r="K352" t="s">
        <v>74</v>
      </c>
      <c r="L352" t="s">
        <v>74</v>
      </c>
      <c r="M352" t="s">
        <v>78</v>
      </c>
      <c r="N352" t="s">
        <v>79</v>
      </c>
      <c r="O352" t="s">
        <v>74</v>
      </c>
      <c r="P352" t="s">
        <v>74</v>
      </c>
      <c r="Q352" t="s">
        <v>74</v>
      </c>
      <c r="R352" t="s">
        <v>74</v>
      </c>
      <c r="S352" t="s">
        <v>74</v>
      </c>
      <c r="T352" t="s">
        <v>7317</v>
      </c>
      <c r="U352" t="s">
        <v>7318</v>
      </c>
      <c r="V352" t="s">
        <v>7319</v>
      </c>
      <c r="W352" t="s">
        <v>7320</v>
      </c>
      <c r="X352" t="s">
        <v>7321</v>
      </c>
      <c r="Y352" t="s">
        <v>662</v>
      </c>
      <c r="Z352" t="s">
        <v>7322</v>
      </c>
      <c r="AA352" t="s">
        <v>1151</v>
      </c>
      <c r="AB352" t="s">
        <v>74</v>
      </c>
      <c r="AC352" t="s">
        <v>74</v>
      </c>
      <c r="AD352" t="s">
        <v>74</v>
      </c>
      <c r="AE352" t="s">
        <v>74</v>
      </c>
      <c r="AF352" t="s">
        <v>74</v>
      </c>
      <c r="AG352">
        <v>51</v>
      </c>
      <c r="AH352">
        <v>6</v>
      </c>
      <c r="AI352">
        <v>9</v>
      </c>
      <c r="AJ352">
        <v>0</v>
      </c>
      <c r="AK352">
        <v>8</v>
      </c>
      <c r="AL352" t="s">
        <v>2145</v>
      </c>
      <c r="AM352" t="s">
        <v>151</v>
      </c>
      <c r="AN352" t="s">
        <v>2146</v>
      </c>
      <c r="AO352" t="s">
        <v>2147</v>
      </c>
      <c r="AP352" t="s">
        <v>2148</v>
      </c>
      <c r="AQ352" t="s">
        <v>74</v>
      </c>
      <c r="AR352" t="s">
        <v>2149</v>
      </c>
      <c r="AS352" t="s">
        <v>2150</v>
      </c>
      <c r="AT352" t="s">
        <v>74</v>
      </c>
      <c r="AU352">
        <v>2022</v>
      </c>
      <c r="AV352">
        <v>33</v>
      </c>
      <c r="AW352">
        <v>2</v>
      </c>
      <c r="AX352" t="s">
        <v>74</v>
      </c>
      <c r="AY352" t="s">
        <v>74</v>
      </c>
      <c r="AZ352" t="s">
        <v>74</v>
      </c>
      <c r="BA352" t="s">
        <v>74</v>
      </c>
      <c r="BB352">
        <v>171</v>
      </c>
      <c r="BC352">
        <v>182</v>
      </c>
      <c r="BD352" t="s">
        <v>74</v>
      </c>
      <c r="BE352" t="s">
        <v>7323</v>
      </c>
      <c r="BF352" t="str">
        <f>HYPERLINK("http://dx.doi.org/10.1891/JFCP-2021-0016","http://dx.doi.org/10.1891/JFCP-2021-0016")</f>
        <v>http://dx.doi.org/10.1891/JFCP-2021-0016</v>
      </c>
      <c r="BG352" t="s">
        <v>74</v>
      </c>
      <c r="BH352" t="s">
        <v>74</v>
      </c>
      <c r="BI352">
        <v>12</v>
      </c>
      <c r="BJ352" t="s">
        <v>1453</v>
      </c>
      <c r="BK352" t="s">
        <v>313</v>
      </c>
      <c r="BL352" t="s">
        <v>100</v>
      </c>
      <c r="BM352" t="s">
        <v>2152</v>
      </c>
      <c r="BN352" t="s">
        <v>74</v>
      </c>
      <c r="BO352" t="s">
        <v>74</v>
      </c>
      <c r="BP352" t="s">
        <v>74</v>
      </c>
      <c r="BQ352" t="s">
        <v>74</v>
      </c>
      <c r="BR352" t="s">
        <v>102</v>
      </c>
      <c r="BS352" t="s">
        <v>7324</v>
      </c>
      <c r="BT352" t="str">
        <f>HYPERLINK("https%3A%2F%2Fwww.webofscience.com%2Fwos%2Fwoscc%2Ffull-record%2FWOS:000825261300003","View Full Record in Web of Science")</f>
        <v>View Full Record in Web of Science</v>
      </c>
    </row>
    <row r="353" spans="1:72" x14ac:dyDescent="0.25">
      <c r="A353" t="s">
        <v>72</v>
      </c>
      <c r="B353" t="s">
        <v>7325</v>
      </c>
      <c r="C353" t="s">
        <v>74</v>
      </c>
      <c r="D353" t="s">
        <v>74</v>
      </c>
      <c r="E353" t="s">
        <v>74</v>
      </c>
      <c r="F353" t="s">
        <v>7326</v>
      </c>
      <c r="G353" t="s">
        <v>74</v>
      </c>
      <c r="H353" t="s">
        <v>74</v>
      </c>
      <c r="I353" t="s">
        <v>7327</v>
      </c>
      <c r="J353" t="s">
        <v>7328</v>
      </c>
      <c r="K353" t="s">
        <v>74</v>
      </c>
      <c r="L353" t="s">
        <v>74</v>
      </c>
      <c r="M353" t="s">
        <v>78</v>
      </c>
      <c r="N353" t="s">
        <v>79</v>
      </c>
      <c r="O353" t="s">
        <v>74</v>
      </c>
      <c r="P353" t="s">
        <v>74</v>
      </c>
      <c r="Q353" t="s">
        <v>74</v>
      </c>
      <c r="R353" t="s">
        <v>74</v>
      </c>
      <c r="S353" t="s">
        <v>74</v>
      </c>
      <c r="T353" t="s">
        <v>74</v>
      </c>
      <c r="U353" t="s">
        <v>74</v>
      </c>
      <c r="V353" t="s">
        <v>7329</v>
      </c>
      <c r="W353" t="s">
        <v>7330</v>
      </c>
      <c r="X353" t="s">
        <v>7331</v>
      </c>
      <c r="Y353" t="s">
        <v>7332</v>
      </c>
      <c r="Z353" t="s">
        <v>7333</v>
      </c>
      <c r="AA353" t="s">
        <v>74</v>
      </c>
      <c r="AB353" t="s">
        <v>7334</v>
      </c>
      <c r="AC353" t="s">
        <v>74</v>
      </c>
      <c r="AD353" t="s">
        <v>74</v>
      </c>
      <c r="AE353" t="s">
        <v>74</v>
      </c>
      <c r="AF353" t="s">
        <v>74</v>
      </c>
      <c r="AG353">
        <v>25</v>
      </c>
      <c r="AH353">
        <v>27</v>
      </c>
      <c r="AI353">
        <v>29</v>
      </c>
      <c r="AJ353">
        <v>0</v>
      </c>
      <c r="AK353">
        <v>18</v>
      </c>
      <c r="AL353" t="s">
        <v>2551</v>
      </c>
      <c r="AM353" t="s">
        <v>231</v>
      </c>
      <c r="AN353" t="s">
        <v>2552</v>
      </c>
      <c r="AO353" t="s">
        <v>7335</v>
      </c>
      <c r="AP353" t="s">
        <v>74</v>
      </c>
      <c r="AQ353" t="s">
        <v>74</v>
      </c>
      <c r="AR353" t="s">
        <v>7336</v>
      </c>
      <c r="AS353" t="s">
        <v>7337</v>
      </c>
      <c r="AT353" t="s">
        <v>289</v>
      </c>
      <c r="AU353">
        <v>2013</v>
      </c>
      <c r="AV353">
        <v>29</v>
      </c>
      <c r="AW353">
        <v>4</v>
      </c>
      <c r="AX353" t="s">
        <v>74</v>
      </c>
      <c r="AY353" t="s">
        <v>74</v>
      </c>
      <c r="AZ353" t="s">
        <v>74</v>
      </c>
      <c r="BA353" t="s">
        <v>74</v>
      </c>
      <c r="BB353">
        <v>695</v>
      </c>
      <c r="BC353">
        <v>706</v>
      </c>
      <c r="BD353" t="s">
        <v>74</v>
      </c>
      <c r="BE353" t="s">
        <v>7338</v>
      </c>
      <c r="BF353" t="str">
        <f>HYPERLINK("http://dx.doi.org/10.1093/esr/jcs048","http://dx.doi.org/10.1093/esr/jcs048")</f>
        <v>http://dx.doi.org/10.1093/esr/jcs048</v>
      </c>
      <c r="BG353" t="s">
        <v>74</v>
      </c>
      <c r="BH353" t="s">
        <v>74</v>
      </c>
      <c r="BI353">
        <v>12</v>
      </c>
      <c r="BJ353" t="s">
        <v>5129</v>
      </c>
      <c r="BK353" t="s">
        <v>99</v>
      </c>
      <c r="BL353" t="s">
        <v>5129</v>
      </c>
      <c r="BM353" t="s">
        <v>7339</v>
      </c>
      <c r="BN353" t="s">
        <v>74</v>
      </c>
      <c r="BO353" t="s">
        <v>212</v>
      </c>
      <c r="BP353" t="s">
        <v>74</v>
      </c>
      <c r="BQ353" t="s">
        <v>74</v>
      </c>
      <c r="BR353" t="s">
        <v>102</v>
      </c>
      <c r="BS353" t="s">
        <v>7340</v>
      </c>
      <c r="BT353" t="str">
        <f>HYPERLINK("https%3A%2F%2Fwww.webofscience.com%2Fwos%2Fwoscc%2Ffull-record%2FWOS:000323047400002","View Full Record in Web of Science")</f>
        <v>View Full Record in Web of Science</v>
      </c>
    </row>
    <row r="354" spans="1:72" x14ac:dyDescent="0.25">
      <c r="A354" t="s">
        <v>72</v>
      </c>
      <c r="B354" t="s">
        <v>7341</v>
      </c>
      <c r="C354" t="s">
        <v>74</v>
      </c>
      <c r="D354" t="s">
        <v>74</v>
      </c>
      <c r="E354" t="s">
        <v>74</v>
      </c>
      <c r="F354" t="s">
        <v>7342</v>
      </c>
      <c r="G354" t="s">
        <v>74</v>
      </c>
      <c r="H354" t="s">
        <v>74</v>
      </c>
      <c r="I354" t="s">
        <v>7343</v>
      </c>
      <c r="J354" t="s">
        <v>7344</v>
      </c>
      <c r="K354" t="s">
        <v>74</v>
      </c>
      <c r="L354" t="s">
        <v>74</v>
      </c>
      <c r="M354" t="s">
        <v>78</v>
      </c>
      <c r="N354" t="s">
        <v>79</v>
      </c>
      <c r="O354" t="s">
        <v>74</v>
      </c>
      <c r="P354" t="s">
        <v>74</v>
      </c>
      <c r="Q354" t="s">
        <v>74</v>
      </c>
      <c r="R354" t="s">
        <v>74</v>
      </c>
      <c r="S354" t="s">
        <v>74</v>
      </c>
      <c r="T354" t="s">
        <v>7345</v>
      </c>
      <c r="U354" t="s">
        <v>7346</v>
      </c>
      <c r="V354" t="s">
        <v>7347</v>
      </c>
      <c r="W354" t="s">
        <v>7348</v>
      </c>
      <c r="X354" t="s">
        <v>7349</v>
      </c>
      <c r="Y354" t="s">
        <v>7350</v>
      </c>
      <c r="Z354" t="s">
        <v>7351</v>
      </c>
      <c r="AA354" t="s">
        <v>7352</v>
      </c>
      <c r="AB354" t="s">
        <v>7353</v>
      </c>
      <c r="AC354" t="s">
        <v>7354</v>
      </c>
      <c r="AD354" t="s">
        <v>7355</v>
      </c>
      <c r="AE354" t="s">
        <v>7356</v>
      </c>
      <c r="AF354" t="s">
        <v>74</v>
      </c>
      <c r="AG354">
        <v>49</v>
      </c>
      <c r="AH354">
        <v>7</v>
      </c>
      <c r="AI354">
        <v>8</v>
      </c>
      <c r="AJ354">
        <v>0</v>
      </c>
      <c r="AK354">
        <v>31</v>
      </c>
      <c r="AL354" t="s">
        <v>385</v>
      </c>
      <c r="AM354" t="s">
        <v>151</v>
      </c>
      <c r="AN354" t="s">
        <v>7357</v>
      </c>
      <c r="AO354" t="s">
        <v>7358</v>
      </c>
      <c r="AP354" t="s">
        <v>7359</v>
      </c>
      <c r="AQ354" t="s">
        <v>74</v>
      </c>
      <c r="AR354" t="s">
        <v>7360</v>
      </c>
      <c r="AS354" t="s">
        <v>7361</v>
      </c>
      <c r="AT354" t="s">
        <v>891</v>
      </c>
      <c r="AU354">
        <v>2015</v>
      </c>
      <c r="AV354">
        <v>85</v>
      </c>
      <c r="AW354">
        <v>1</v>
      </c>
      <c r="AX354" t="s">
        <v>74</v>
      </c>
      <c r="AY354" t="s">
        <v>74</v>
      </c>
      <c r="AZ354" t="s">
        <v>441</v>
      </c>
      <c r="BA354" t="s">
        <v>74</v>
      </c>
      <c r="BB354">
        <v>289</v>
      </c>
      <c r="BC354">
        <v>304</v>
      </c>
      <c r="BD354" t="s">
        <v>74</v>
      </c>
      <c r="BE354" t="s">
        <v>7362</v>
      </c>
      <c r="BF354" t="str">
        <f>HYPERLINK("http://dx.doi.org/10.1007/s11277-015-2738-y","http://dx.doi.org/10.1007/s11277-015-2738-y")</f>
        <v>http://dx.doi.org/10.1007/s11277-015-2738-y</v>
      </c>
      <c r="BG354" t="s">
        <v>74</v>
      </c>
      <c r="BH354" t="s">
        <v>74</v>
      </c>
      <c r="BI354">
        <v>16</v>
      </c>
      <c r="BJ354" t="s">
        <v>2173</v>
      </c>
      <c r="BK354" t="s">
        <v>128</v>
      </c>
      <c r="BL354" t="s">
        <v>2173</v>
      </c>
      <c r="BM354" t="s">
        <v>7363</v>
      </c>
      <c r="BN354" t="s">
        <v>74</v>
      </c>
      <c r="BO354" t="s">
        <v>74</v>
      </c>
      <c r="BP354" t="s">
        <v>74</v>
      </c>
      <c r="BQ354" t="s">
        <v>74</v>
      </c>
      <c r="BR354" t="s">
        <v>102</v>
      </c>
      <c r="BS354" t="s">
        <v>7364</v>
      </c>
      <c r="BT354" t="str">
        <f>HYPERLINK("https%3A%2F%2Fwww.webofscience.com%2Fwos%2Fwoscc%2Ffull-record%2FWOS:000362900200015","View Full Record in Web of Science")</f>
        <v>View Full Record in Web of Science</v>
      </c>
    </row>
    <row r="355" spans="1:72" x14ac:dyDescent="0.25">
      <c r="A355" t="s">
        <v>72</v>
      </c>
      <c r="B355" t="s">
        <v>7365</v>
      </c>
      <c r="C355" t="s">
        <v>74</v>
      </c>
      <c r="D355" t="s">
        <v>74</v>
      </c>
      <c r="E355" t="s">
        <v>74</v>
      </c>
      <c r="F355" t="s">
        <v>7366</v>
      </c>
      <c r="G355" t="s">
        <v>74</v>
      </c>
      <c r="H355" t="s">
        <v>74</v>
      </c>
      <c r="I355" t="s">
        <v>7367</v>
      </c>
      <c r="J355" t="s">
        <v>7368</v>
      </c>
      <c r="K355" t="s">
        <v>74</v>
      </c>
      <c r="L355" t="s">
        <v>74</v>
      </c>
      <c r="M355" t="s">
        <v>78</v>
      </c>
      <c r="N355" t="s">
        <v>79</v>
      </c>
      <c r="O355" t="s">
        <v>74</v>
      </c>
      <c r="P355" t="s">
        <v>74</v>
      </c>
      <c r="Q355" t="s">
        <v>74</v>
      </c>
      <c r="R355" t="s">
        <v>74</v>
      </c>
      <c r="S355" t="s">
        <v>74</v>
      </c>
      <c r="T355" t="s">
        <v>7369</v>
      </c>
      <c r="U355" t="s">
        <v>7370</v>
      </c>
      <c r="V355" t="s">
        <v>7371</v>
      </c>
      <c r="W355" t="s">
        <v>7372</v>
      </c>
      <c r="X355" t="s">
        <v>7373</v>
      </c>
      <c r="Y355" t="s">
        <v>7374</v>
      </c>
      <c r="Z355" t="s">
        <v>7375</v>
      </c>
      <c r="AA355" t="s">
        <v>7376</v>
      </c>
      <c r="AB355" t="s">
        <v>7377</v>
      </c>
      <c r="AC355" t="s">
        <v>74</v>
      </c>
      <c r="AD355" t="s">
        <v>74</v>
      </c>
      <c r="AE355" t="s">
        <v>74</v>
      </c>
      <c r="AF355" t="s">
        <v>74</v>
      </c>
      <c r="AG355">
        <v>55</v>
      </c>
      <c r="AH355">
        <v>24</v>
      </c>
      <c r="AI355">
        <v>35</v>
      </c>
      <c r="AJ355">
        <v>13</v>
      </c>
      <c r="AK355">
        <v>59</v>
      </c>
      <c r="AL355" t="s">
        <v>385</v>
      </c>
      <c r="AM355" t="s">
        <v>151</v>
      </c>
      <c r="AN355" t="s">
        <v>386</v>
      </c>
      <c r="AO355" t="s">
        <v>7378</v>
      </c>
      <c r="AP355" t="s">
        <v>7379</v>
      </c>
      <c r="AQ355" t="s">
        <v>74</v>
      </c>
      <c r="AR355" t="s">
        <v>7380</v>
      </c>
      <c r="AS355" t="s">
        <v>7381</v>
      </c>
      <c r="AT355" t="s">
        <v>237</v>
      </c>
      <c r="AU355">
        <v>2024</v>
      </c>
      <c r="AV355">
        <v>65</v>
      </c>
      <c r="AW355">
        <v>1</v>
      </c>
      <c r="AX355" t="s">
        <v>74</v>
      </c>
      <c r="AY355" t="s">
        <v>74</v>
      </c>
      <c r="AZ355" t="s">
        <v>74</v>
      </c>
      <c r="BA355" t="s">
        <v>74</v>
      </c>
      <c r="BB355">
        <v>1</v>
      </c>
      <c r="BC355">
        <v>40</v>
      </c>
      <c r="BD355" t="s">
        <v>74</v>
      </c>
      <c r="BE355" t="s">
        <v>7382</v>
      </c>
      <c r="BF355" t="str">
        <f>HYPERLINK("http://dx.doi.org/10.1007/s10693-023-00420-8","http://dx.doi.org/10.1007/s10693-023-00420-8")</f>
        <v>http://dx.doi.org/10.1007/s10693-023-00420-8</v>
      </c>
      <c r="BG355" t="s">
        <v>74</v>
      </c>
      <c r="BH355" t="s">
        <v>3535</v>
      </c>
      <c r="BI355">
        <v>40</v>
      </c>
      <c r="BJ355" t="s">
        <v>268</v>
      </c>
      <c r="BK355" t="s">
        <v>99</v>
      </c>
      <c r="BL355" t="s">
        <v>100</v>
      </c>
      <c r="BM355" t="s">
        <v>7383</v>
      </c>
      <c r="BN355" t="s">
        <v>74</v>
      </c>
      <c r="BO355" t="s">
        <v>74</v>
      </c>
      <c r="BP355" t="s">
        <v>74</v>
      </c>
      <c r="BQ355" t="s">
        <v>74</v>
      </c>
      <c r="BR355" t="s">
        <v>102</v>
      </c>
      <c r="BS355" t="s">
        <v>7384</v>
      </c>
      <c r="BT355" t="str">
        <f>HYPERLINK("https%3A%2F%2Fwww.webofscience.com%2Fwos%2Fwoscc%2Ffull-record%2FWOS:001113328800001","View Full Record in Web of Science")</f>
        <v>View Full Record in Web of Science</v>
      </c>
    </row>
    <row r="356" spans="1:72" x14ac:dyDescent="0.25">
      <c r="A356" t="s">
        <v>72</v>
      </c>
      <c r="B356" t="s">
        <v>7385</v>
      </c>
      <c r="C356" t="s">
        <v>74</v>
      </c>
      <c r="D356" t="s">
        <v>74</v>
      </c>
      <c r="E356" t="s">
        <v>74</v>
      </c>
      <c r="F356" t="s">
        <v>7386</v>
      </c>
      <c r="G356" t="s">
        <v>74</v>
      </c>
      <c r="H356" t="s">
        <v>74</v>
      </c>
      <c r="I356" t="s">
        <v>7387</v>
      </c>
      <c r="J356" t="s">
        <v>7388</v>
      </c>
      <c r="K356" t="s">
        <v>74</v>
      </c>
      <c r="L356" t="s">
        <v>74</v>
      </c>
      <c r="M356" t="s">
        <v>78</v>
      </c>
      <c r="N356" t="s">
        <v>79</v>
      </c>
      <c r="O356" t="s">
        <v>74</v>
      </c>
      <c r="P356" t="s">
        <v>74</v>
      </c>
      <c r="Q356" t="s">
        <v>74</v>
      </c>
      <c r="R356" t="s">
        <v>74</v>
      </c>
      <c r="S356" t="s">
        <v>74</v>
      </c>
      <c r="T356" t="s">
        <v>7389</v>
      </c>
      <c r="U356" t="s">
        <v>7390</v>
      </c>
      <c r="V356" t="s">
        <v>7391</v>
      </c>
      <c r="W356" t="s">
        <v>7392</v>
      </c>
      <c r="X356" t="s">
        <v>7393</v>
      </c>
      <c r="Y356" t="s">
        <v>7394</v>
      </c>
      <c r="Z356" t="s">
        <v>7395</v>
      </c>
      <c r="AA356" t="s">
        <v>74</v>
      </c>
      <c r="AB356" t="s">
        <v>74</v>
      </c>
      <c r="AC356" t="s">
        <v>74</v>
      </c>
      <c r="AD356" t="s">
        <v>74</v>
      </c>
      <c r="AE356" t="s">
        <v>74</v>
      </c>
      <c r="AF356" t="s">
        <v>74</v>
      </c>
      <c r="AG356">
        <v>53</v>
      </c>
      <c r="AH356">
        <v>0</v>
      </c>
      <c r="AI356">
        <v>0</v>
      </c>
      <c r="AJ356">
        <v>1</v>
      </c>
      <c r="AK356">
        <v>2</v>
      </c>
      <c r="AL356" t="s">
        <v>7396</v>
      </c>
      <c r="AM356" t="s">
        <v>5203</v>
      </c>
      <c r="AN356" t="s">
        <v>5204</v>
      </c>
      <c r="AO356" t="s">
        <v>7397</v>
      </c>
      <c r="AP356" t="s">
        <v>7398</v>
      </c>
      <c r="AQ356" t="s">
        <v>74</v>
      </c>
      <c r="AR356" t="s">
        <v>7399</v>
      </c>
      <c r="AS356" t="s">
        <v>7400</v>
      </c>
      <c r="AT356" t="s">
        <v>74</v>
      </c>
      <c r="AU356">
        <v>2023</v>
      </c>
      <c r="AV356">
        <v>21</v>
      </c>
      <c r="AW356">
        <v>11</v>
      </c>
      <c r="AX356" t="s">
        <v>74</v>
      </c>
      <c r="AY356" t="s">
        <v>74</v>
      </c>
      <c r="AZ356" t="s">
        <v>74</v>
      </c>
      <c r="BA356" t="s">
        <v>74</v>
      </c>
      <c r="BB356">
        <v>67</v>
      </c>
      <c r="BC356">
        <v>75</v>
      </c>
      <c r="BD356" t="s">
        <v>74</v>
      </c>
      <c r="BE356" t="s">
        <v>7401</v>
      </c>
      <c r="BF356" t="str">
        <f>HYPERLINK("http://dx.doi.org/10.15722/jds.21.11.202311.67","http://dx.doi.org/10.15722/jds.21.11.202311.67")</f>
        <v>http://dx.doi.org/10.15722/jds.21.11.202311.67</v>
      </c>
      <c r="BG356" t="s">
        <v>74</v>
      </c>
      <c r="BH356" t="s">
        <v>74</v>
      </c>
      <c r="BI356">
        <v>9</v>
      </c>
      <c r="BJ356" t="s">
        <v>98</v>
      </c>
      <c r="BK356" t="s">
        <v>313</v>
      </c>
      <c r="BL356" t="s">
        <v>100</v>
      </c>
      <c r="BM356" t="s">
        <v>7402</v>
      </c>
      <c r="BN356" t="s">
        <v>74</v>
      </c>
      <c r="BO356" t="s">
        <v>74</v>
      </c>
      <c r="BP356" t="s">
        <v>74</v>
      </c>
      <c r="BQ356" t="s">
        <v>74</v>
      </c>
      <c r="BR356" t="s">
        <v>102</v>
      </c>
      <c r="BS356" t="s">
        <v>7403</v>
      </c>
      <c r="BT356" t="str">
        <f>HYPERLINK("https%3A%2F%2Fwww.webofscience.com%2Fwos%2Fwoscc%2Ffull-record%2FWOS:001350714600007","View Full Record in Web of Science")</f>
        <v>View Full Record in Web of Science</v>
      </c>
    </row>
    <row r="357" spans="1:72" x14ac:dyDescent="0.25">
      <c r="A357" t="s">
        <v>72</v>
      </c>
      <c r="B357" t="s">
        <v>7404</v>
      </c>
      <c r="C357" t="s">
        <v>74</v>
      </c>
      <c r="D357" t="s">
        <v>74</v>
      </c>
      <c r="E357" t="s">
        <v>74</v>
      </c>
      <c r="F357" t="s">
        <v>7405</v>
      </c>
      <c r="G357" t="s">
        <v>74</v>
      </c>
      <c r="H357" t="s">
        <v>74</v>
      </c>
      <c r="I357" t="s">
        <v>7406</v>
      </c>
      <c r="J357" t="s">
        <v>1347</v>
      </c>
      <c r="K357" t="s">
        <v>74</v>
      </c>
      <c r="L357" t="s">
        <v>74</v>
      </c>
      <c r="M357" t="s">
        <v>78</v>
      </c>
      <c r="N357" t="s">
        <v>79</v>
      </c>
      <c r="O357" t="s">
        <v>74</v>
      </c>
      <c r="P357" t="s">
        <v>74</v>
      </c>
      <c r="Q357" t="s">
        <v>74</v>
      </c>
      <c r="R357" t="s">
        <v>74</v>
      </c>
      <c r="S357" t="s">
        <v>74</v>
      </c>
      <c r="T357" t="s">
        <v>7407</v>
      </c>
      <c r="U357" t="s">
        <v>74</v>
      </c>
      <c r="V357" t="s">
        <v>7408</v>
      </c>
      <c r="W357" t="s">
        <v>7409</v>
      </c>
      <c r="X357" t="s">
        <v>7410</v>
      </c>
      <c r="Y357" t="s">
        <v>7411</v>
      </c>
      <c r="Z357" t="s">
        <v>7412</v>
      </c>
      <c r="AA357" t="s">
        <v>7413</v>
      </c>
      <c r="AB357" t="s">
        <v>7414</v>
      </c>
      <c r="AC357" t="s">
        <v>74</v>
      </c>
      <c r="AD357" t="s">
        <v>74</v>
      </c>
      <c r="AE357" t="s">
        <v>74</v>
      </c>
      <c r="AF357" t="s">
        <v>74</v>
      </c>
      <c r="AG357">
        <v>27</v>
      </c>
      <c r="AH357">
        <v>6</v>
      </c>
      <c r="AI357">
        <v>7</v>
      </c>
      <c r="AJ357">
        <v>8</v>
      </c>
      <c r="AK357">
        <v>32</v>
      </c>
      <c r="AL357" t="s">
        <v>7415</v>
      </c>
      <c r="AM357" t="s">
        <v>1356</v>
      </c>
      <c r="AN357" t="s">
        <v>1357</v>
      </c>
      <c r="AO357" t="s">
        <v>1358</v>
      </c>
      <c r="AP357" t="s">
        <v>7416</v>
      </c>
      <c r="AQ357" t="s">
        <v>74</v>
      </c>
      <c r="AR357" t="s">
        <v>1359</v>
      </c>
      <c r="AS357" t="s">
        <v>1360</v>
      </c>
      <c r="AT357" t="s">
        <v>7417</v>
      </c>
      <c r="AU357">
        <v>2023</v>
      </c>
      <c r="AV357">
        <v>14</v>
      </c>
      <c r="AW357">
        <v>3</v>
      </c>
      <c r="AX357" t="s">
        <v>74</v>
      </c>
      <c r="AY357" t="s">
        <v>74</v>
      </c>
      <c r="AZ357" t="s">
        <v>74</v>
      </c>
      <c r="BA357" t="s">
        <v>74</v>
      </c>
      <c r="BB357">
        <v>202</v>
      </c>
      <c r="BC357">
        <v>214</v>
      </c>
      <c r="BD357" t="s">
        <v>74</v>
      </c>
      <c r="BE357" t="s">
        <v>7418</v>
      </c>
      <c r="BF357" t="str">
        <f>HYPERLINK("http://dx.doi.org/10.21272/mmi.2023.3-18","http://dx.doi.org/10.21272/mmi.2023.3-18")</f>
        <v>http://dx.doi.org/10.21272/mmi.2023.3-18</v>
      </c>
      <c r="BG357" t="s">
        <v>74</v>
      </c>
      <c r="BH357" t="s">
        <v>74</v>
      </c>
      <c r="BI357">
        <v>13</v>
      </c>
      <c r="BJ357" t="s">
        <v>583</v>
      </c>
      <c r="BK357" t="s">
        <v>313</v>
      </c>
      <c r="BL357" t="s">
        <v>100</v>
      </c>
      <c r="BM357" t="s">
        <v>7419</v>
      </c>
      <c r="BN357" t="s">
        <v>74</v>
      </c>
      <c r="BO357" t="s">
        <v>916</v>
      </c>
      <c r="BP357" t="s">
        <v>74</v>
      </c>
      <c r="BQ357" t="s">
        <v>74</v>
      </c>
      <c r="BR357" t="s">
        <v>102</v>
      </c>
      <c r="BS357" t="s">
        <v>7420</v>
      </c>
      <c r="BT357" t="str">
        <f>HYPERLINK("https%3A%2F%2Fwww.webofscience.com%2Fwos%2Fwoscc%2Ffull-record%2FWOS:001077835300004","View Full Record in Web of Science")</f>
        <v>View Full Record in Web of Science</v>
      </c>
    </row>
    <row r="358" spans="1:72" x14ac:dyDescent="0.25">
      <c r="A358" t="s">
        <v>72</v>
      </c>
      <c r="B358" t="s">
        <v>7421</v>
      </c>
      <c r="C358" t="s">
        <v>74</v>
      </c>
      <c r="D358" t="s">
        <v>74</v>
      </c>
      <c r="E358" t="s">
        <v>74</v>
      </c>
      <c r="F358" t="s">
        <v>7422</v>
      </c>
      <c r="G358" t="s">
        <v>74</v>
      </c>
      <c r="H358" t="s">
        <v>74</v>
      </c>
      <c r="I358" t="s">
        <v>7423</v>
      </c>
      <c r="J358" t="s">
        <v>7424</v>
      </c>
      <c r="K358" t="s">
        <v>74</v>
      </c>
      <c r="L358" t="s">
        <v>74</v>
      </c>
      <c r="M358" t="s">
        <v>78</v>
      </c>
      <c r="N358" t="s">
        <v>79</v>
      </c>
      <c r="O358" t="s">
        <v>74</v>
      </c>
      <c r="P358" t="s">
        <v>74</v>
      </c>
      <c r="Q358" t="s">
        <v>74</v>
      </c>
      <c r="R358" t="s">
        <v>74</v>
      </c>
      <c r="S358" t="s">
        <v>74</v>
      </c>
      <c r="T358" t="s">
        <v>74</v>
      </c>
      <c r="U358" t="s">
        <v>7425</v>
      </c>
      <c r="V358" t="s">
        <v>7426</v>
      </c>
      <c r="W358" t="s">
        <v>74</v>
      </c>
      <c r="X358" t="s">
        <v>74</v>
      </c>
      <c r="Y358" t="s">
        <v>74</v>
      </c>
      <c r="Z358" t="s">
        <v>7427</v>
      </c>
      <c r="AA358" t="s">
        <v>7428</v>
      </c>
      <c r="AB358" t="s">
        <v>74</v>
      </c>
      <c r="AC358" t="s">
        <v>7429</v>
      </c>
      <c r="AD358" t="s">
        <v>7430</v>
      </c>
      <c r="AE358" t="s">
        <v>7431</v>
      </c>
      <c r="AF358" t="s">
        <v>74</v>
      </c>
      <c r="AG358">
        <v>41</v>
      </c>
      <c r="AH358">
        <v>1</v>
      </c>
      <c r="AI358">
        <v>2</v>
      </c>
      <c r="AJ358">
        <v>0</v>
      </c>
      <c r="AK358">
        <v>7</v>
      </c>
      <c r="AL358" t="s">
        <v>7432</v>
      </c>
      <c r="AM358" t="s">
        <v>7433</v>
      </c>
      <c r="AN358" t="s">
        <v>7434</v>
      </c>
      <c r="AO358" t="s">
        <v>7435</v>
      </c>
      <c r="AP358" t="s">
        <v>7436</v>
      </c>
      <c r="AQ358" t="s">
        <v>74</v>
      </c>
      <c r="AR358" t="s">
        <v>7437</v>
      </c>
      <c r="AS358" t="s">
        <v>7438</v>
      </c>
      <c r="AT358" t="s">
        <v>3136</v>
      </c>
      <c r="AU358">
        <v>2015</v>
      </c>
      <c r="AV358">
        <v>11</v>
      </c>
      <c r="AW358">
        <v>3</v>
      </c>
      <c r="AX358" t="s">
        <v>74</v>
      </c>
      <c r="AY358" t="s">
        <v>74</v>
      </c>
      <c r="AZ358" t="s">
        <v>74</v>
      </c>
      <c r="BA358" t="s">
        <v>74</v>
      </c>
      <c r="BB358">
        <v>39</v>
      </c>
      <c r="BC358">
        <v>54</v>
      </c>
      <c r="BD358" t="s">
        <v>74</v>
      </c>
      <c r="BE358" t="s">
        <v>74</v>
      </c>
      <c r="BF358" t="s">
        <v>74</v>
      </c>
      <c r="BG358" t="s">
        <v>74</v>
      </c>
      <c r="BH358" t="s">
        <v>74</v>
      </c>
      <c r="BI358">
        <v>16</v>
      </c>
      <c r="BJ358" t="s">
        <v>2351</v>
      </c>
      <c r="BK358" t="s">
        <v>313</v>
      </c>
      <c r="BL358" t="s">
        <v>2351</v>
      </c>
      <c r="BM358" t="s">
        <v>7439</v>
      </c>
      <c r="BN358" t="s">
        <v>74</v>
      </c>
      <c r="BO358" t="s">
        <v>74</v>
      </c>
      <c r="BP358" t="s">
        <v>74</v>
      </c>
      <c r="BQ358" t="s">
        <v>74</v>
      </c>
      <c r="BR358" t="s">
        <v>102</v>
      </c>
      <c r="BS358" t="s">
        <v>7440</v>
      </c>
      <c r="BT358" t="str">
        <f>HYPERLINK("https%3A%2F%2Fwww.webofscience.com%2Fwos%2Fwoscc%2Ffull-record%2FWOS:000365705200004","View Full Record in Web of Science")</f>
        <v>View Full Record in Web of Science</v>
      </c>
    </row>
    <row r="359" spans="1:72" x14ac:dyDescent="0.25">
      <c r="A359" t="s">
        <v>132</v>
      </c>
      <c r="B359" t="s">
        <v>7441</v>
      </c>
      <c r="C359" t="s">
        <v>74</v>
      </c>
      <c r="D359" t="s">
        <v>7442</v>
      </c>
      <c r="E359" t="s">
        <v>74</v>
      </c>
      <c r="F359" t="s">
        <v>7443</v>
      </c>
      <c r="G359" t="s">
        <v>74</v>
      </c>
      <c r="H359" t="s">
        <v>74</v>
      </c>
      <c r="I359" t="s">
        <v>7444</v>
      </c>
      <c r="J359" t="s">
        <v>7445</v>
      </c>
      <c r="K359" t="s">
        <v>1049</v>
      </c>
      <c r="L359" t="s">
        <v>74</v>
      </c>
      <c r="M359" t="s">
        <v>78</v>
      </c>
      <c r="N359" t="s">
        <v>138</v>
      </c>
      <c r="O359" t="s">
        <v>7446</v>
      </c>
      <c r="P359" t="s">
        <v>7447</v>
      </c>
      <c r="Q359" t="s">
        <v>7448</v>
      </c>
      <c r="R359" t="s">
        <v>74</v>
      </c>
      <c r="S359" t="s">
        <v>74</v>
      </c>
      <c r="T359" t="s">
        <v>7449</v>
      </c>
      <c r="U359" t="s">
        <v>7450</v>
      </c>
      <c r="V359" t="s">
        <v>7451</v>
      </c>
      <c r="W359" t="s">
        <v>7452</v>
      </c>
      <c r="X359" t="s">
        <v>7453</v>
      </c>
      <c r="Y359" t="s">
        <v>7454</v>
      </c>
      <c r="Z359" t="s">
        <v>7455</v>
      </c>
      <c r="AA359" t="s">
        <v>7456</v>
      </c>
      <c r="AB359" t="s">
        <v>7457</v>
      </c>
      <c r="AC359" t="s">
        <v>74</v>
      </c>
      <c r="AD359" t="s">
        <v>74</v>
      </c>
      <c r="AE359" t="s">
        <v>74</v>
      </c>
      <c r="AF359" t="s">
        <v>74</v>
      </c>
      <c r="AG359">
        <v>15</v>
      </c>
      <c r="AH359">
        <v>6</v>
      </c>
      <c r="AI359">
        <v>6</v>
      </c>
      <c r="AJ359">
        <v>0</v>
      </c>
      <c r="AK359">
        <v>6</v>
      </c>
      <c r="AL359" t="s">
        <v>1062</v>
      </c>
      <c r="AM359" t="s">
        <v>667</v>
      </c>
      <c r="AN359" t="s">
        <v>668</v>
      </c>
      <c r="AO359" t="s">
        <v>1063</v>
      </c>
      <c r="AP359" t="s">
        <v>1064</v>
      </c>
      <c r="AQ359" t="s">
        <v>7458</v>
      </c>
      <c r="AR359" t="s">
        <v>1066</v>
      </c>
      <c r="AS359" t="s">
        <v>74</v>
      </c>
      <c r="AT359" t="s">
        <v>74</v>
      </c>
      <c r="AU359">
        <v>2022</v>
      </c>
      <c r="AV359">
        <v>373</v>
      </c>
      <c r="AW359" t="s">
        <v>74</v>
      </c>
      <c r="AX359" t="s">
        <v>74</v>
      </c>
      <c r="AY359" t="s">
        <v>74</v>
      </c>
      <c r="AZ359" t="s">
        <v>74</v>
      </c>
      <c r="BA359" t="s">
        <v>74</v>
      </c>
      <c r="BB359">
        <v>183</v>
      </c>
      <c r="BC359">
        <v>191</v>
      </c>
      <c r="BD359" t="s">
        <v>74</v>
      </c>
      <c r="BE359" t="s">
        <v>7459</v>
      </c>
      <c r="BF359" t="str">
        <f>HYPERLINK("http://dx.doi.org/10.1007/978-981-16-8721-1_18","http://dx.doi.org/10.1007/978-981-16-8721-1_18")</f>
        <v>http://dx.doi.org/10.1007/978-981-16-8721-1_18</v>
      </c>
      <c r="BG359" t="s">
        <v>74</v>
      </c>
      <c r="BH359" t="s">
        <v>74</v>
      </c>
      <c r="BI359">
        <v>9</v>
      </c>
      <c r="BJ359" t="s">
        <v>7460</v>
      </c>
      <c r="BK359" t="s">
        <v>156</v>
      </c>
      <c r="BL359" t="s">
        <v>1023</v>
      </c>
      <c r="BM359" t="s">
        <v>7461</v>
      </c>
      <c r="BN359" t="s">
        <v>74</v>
      </c>
      <c r="BO359" t="s">
        <v>74</v>
      </c>
      <c r="BP359" t="s">
        <v>74</v>
      </c>
      <c r="BQ359" t="s">
        <v>74</v>
      </c>
      <c r="BR359" t="s">
        <v>102</v>
      </c>
      <c r="BS359" t="s">
        <v>7462</v>
      </c>
      <c r="BT359" t="str">
        <f>HYPERLINK("https%3A%2F%2Fwww.webofscience.com%2Fwos%2Fwoscc%2Ffull-record%2FWOS:000946101200018","View Full Record in Web of Science")</f>
        <v>View Full Record in Web of Science</v>
      </c>
    </row>
    <row r="360" spans="1:72" x14ac:dyDescent="0.25">
      <c r="A360" t="s">
        <v>72</v>
      </c>
      <c r="B360" t="s">
        <v>7463</v>
      </c>
      <c r="C360" t="s">
        <v>74</v>
      </c>
      <c r="D360" t="s">
        <v>74</v>
      </c>
      <c r="E360" t="s">
        <v>74</v>
      </c>
      <c r="F360" t="s">
        <v>7464</v>
      </c>
      <c r="G360" t="s">
        <v>74</v>
      </c>
      <c r="H360" t="s">
        <v>74</v>
      </c>
      <c r="I360" t="s">
        <v>7465</v>
      </c>
      <c r="J360" t="s">
        <v>7466</v>
      </c>
      <c r="K360" t="s">
        <v>74</v>
      </c>
      <c r="L360" t="s">
        <v>74</v>
      </c>
      <c r="M360" t="s">
        <v>78</v>
      </c>
      <c r="N360" t="s">
        <v>79</v>
      </c>
      <c r="O360" t="s">
        <v>74</v>
      </c>
      <c r="P360" t="s">
        <v>74</v>
      </c>
      <c r="Q360" t="s">
        <v>74</v>
      </c>
      <c r="R360" t="s">
        <v>74</v>
      </c>
      <c r="S360" t="s">
        <v>74</v>
      </c>
      <c r="T360" t="s">
        <v>7467</v>
      </c>
      <c r="U360" t="s">
        <v>7468</v>
      </c>
      <c r="V360" t="s">
        <v>7469</v>
      </c>
      <c r="W360" t="s">
        <v>7470</v>
      </c>
      <c r="X360" t="s">
        <v>7471</v>
      </c>
      <c r="Y360" t="s">
        <v>7472</v>
      </c>
      <c r="Z360" t="s">
        <v>7473</v>
      </c>
      <c r="AA360" t="s">
        <v>7474</v>
      </c>
      <c r="AB360" t="s">
        <v>74</v>
      </c>
      <c r="AC360" t="s">
        <v>74</v>
      </c>
      <c r="AD360" t="s">
        <v>74</v>
      </c>
      <c r="AE360" t="s">
        <v>74</v>
      </c>
      <c r="AF360" t="s">
        <v>74</v>
      </c>
      <c r="AG360">
        <v>56</v>
      </c>
      <c r="AH360">
        <v>14</v>
      </c>
      <c r="AI360">
        <v>24</v>
      </c>
      <c r="AJ360">
        <v>0</v>
      </c>
      <c r="AK360">
        <v>48</v>
      </c>
      <c r="AL360" t="s">
        <v>7475</v>
      </c>
      <c r="AM360" t="s">
        <v>5144</v>
      </c>
      <c r="AN360" t="s">
        <v>7476</v>
      </c>
      <c r="AO360" t="s">
        <v>7477</v>
      </c>
      <c r="AP360" t="s">
        <v>7478</v>
      </c>
      <c r="AQ360" t="s">
        <v>74</v>
      </c>
      <c r="AR360" t="s">
        <v>7479</v>
      </c>
      <c r="AS360" t="s">
        <v>7480</v>
      </c>
      <c r="AT360" t="s">
        <v>698</v>
      </c>
      <c r="AU360">
        <v>2013</v>
      </c>
      <c r="AV360">
        <v>63</v>
      </c>
      <c r="AW360">
        <v>3</v>
      </c>
      <c r="AX360" t="s">
        <v>74</v>
      </c>
      <c r="AY360" t="s">
        <v>74</v>
      </c>
      <c r="AZ360" t="s">
        <v>74</v>
      </c>
      <c r="BA360" t="s">
        <v>74</v>
      </c>
      <c r="BB360">
        <v>309</v>
      </c>
      <c r="BC360">
        <v>331</v>
      </c>
      <c r="BD360" t="s">
        <v>74</v>
      </c>
      <c r="BE360" t="s">
        <v>7481</v>
      </c>
      <c r="BF360" t="str">
        <f>HYPERLINK("http://dx.doi.org/10.1556/AOecon.63.2013.3.3","http://dx.doi.org/10.1556/AOecon.63.2013.3.3")</f>
        <v>http://dx.doi.org/10.1556/AOecon.63.2013.3.3</v>
      </c>
      <c r="BG360" t="s">
        <v>74</v>
      </c>
      <c r="BH360" t="s">
        <v>74</v>
      </c>
      <c r="BI360">
        <v>23</v>
      </c>
      <c r="BJ360" t="s">
        <v>291</v>
      </c>
      <c r="BK360" t="s">
        <v>99</v>
      </c>
      <c r="BL360" t="s">
        <v>100</v>
      </c>
      <c r="BM360" t="s">
        <v>7482</v>
      </c>
      <c r="BN360" t="s">
        <v>74</v>
      </c>
      <c r="BO360" t="s">
        <v>74</v>
      </c>
      <c r="BP360" t="s">
        <v>74</v>
      </c>
      <c r="BQ360" t="s">
        <v>74</v>
      </c>
      <c r="BR360" t="s">
        <v>102</v>
      </c>
      <c r="BS360" t="s">
        <v>7483</v>
      </c>
      <c r="BT360" t="str">
        <f>HYPERLINK("https%3A%2F%2Fwww.webofscience.com%2Fwos%2Fwoscc%2Ffull-record%2FWOS:000324402400003","View Full Record in Web of Science")</f>
        <v>View Full Record in Web of Science</v>
      </c>
    </row>
    <row r="361" spans="1:72" x14ac:dyDescent="0.25">
      <c r="A361" t="s">
        <v>72</v>
      </c>
      <c r="B361" t="s">
        <v>7484</v>
      </c>
      <c r="C361" t="s">
        <v>74</v>
      </c>
      <c r="D361" t="s">
        <v>74</v>
      </c>
      <c r="E361" t="s">
        <v>74</v>
      </c>
      <c r="F361" t="s">
        <v>7485</v>
      </c>
      <c r="G361" t="s">
        <v>74</v>
      </c>
      <c r="H361" t="s">
        <v>74</v>
      </c>
      <c r="I361" t="s">
        <v>7486</v>
      </c>
      <c r="J361" t="s">
        <v>3561</v>
      </c>
      <c r="K361" t="s">
        <v>74</v>
      </c>
      <c r="L361" t="s">
        <v>74</v>
      </c>
      <c r="M361" t="s">
        <v>78</v>
      </c>
      <c r="N361" t="s">
        <v>79</v>
      </c>
      <c r="O361" t="s">
        <v>74</v>
      </c>
      <c r="P361" t="s">
        <v>74</v>
      </c>
      <c r="Q361" t="s">
        <v>74</v>
      </c>
      <c r="R361" t="s">
        <v>74</v>
      </c>
      <c r="S361" t="s">
        <v>74</v>
      </c>
      <c r="T361" t="s">
        <v>7487</v>
      </c>
      <c r="U361" t="s">
        <v>74</v>
      </c>
      <c r="V361" t="s">
        <v>7488</v>
      </c>
      <c r="W361" t="s">
        <v>7489</v>
      </c>
      <c r="X361" t="s">
        <v>7490</v>
      </c>
      <c r="Y361" t="s">
        <v>7491</v>
      </c>
      <c r="Z361" t="s">
        <v>7492</v>
      </c>
      <c r="AA361" t="s">
        <v>7493</v>
      </c>
      <c r="AB361" t="s">
        <v>7494</v>
      </c>
      <c r="AC361" t="s">
        <v>74</v>
      </c>
      <c r="AD361" t="s">
        <v>74</v>
      </c>
      <c r="AE361" t="s">
        <v>74</v>
      </c>
      <c r="AF361" t="s">
        <v>74</v>
      </c>
      <c r="AG361">
        <v>19</v>
      </c>
      <c r="AH361">
        <v>9</v>
      </c>
      <c r="AI361">
        <v>10</v>
      </c>
      <c r="AJ361">
        <v>1</v>
      </c>
      <c r="AK361">
        <v>21</v>
      </c>
      <c r="AL361" t="s">
        <v>89</v>
      </c>
      <c r="AM361" t="s">
        <v>1497</v>
      </c>
      <c r="AN361" t="s">
        <v>1498</v>
      </c>
      <c r="AO361" t="s">
        <v>3568</v>
      </c>
      <c r="AP361" t="s">
        <v>3569</v>
      </c>
      <c r="AQ361" t="s">
        <v>74</v>
      </c>
      <c r="AR361" t="s">
        <v>3570</v>
      </c>
      <c r="AS361" t="s">
        <v>3571</v>
      </c>
      <c r="AT361" t="s">
        <v>1427</v>
      </c>
      <c r="AU361">
        <v>2020</v>
      </c>
      <c r="AV361">
        <v>23</v>
      </c>
      <c r="AW361">
        <v>1</v>
      </c>
      <c r="AX361" t="s">
        <v>74</v>
      </c>
      <c r="AY361" t="s">
        <v>74</v>
      </c>
      <c r="AZ361" t="s">
        <v>74</v>
      </c>
      <c r="BA361" t="s">
        <v>74</v>
      </c>
      <c r="BB361">
        <v>64</v>
      </c>
      <c r="BC361">
        <v>76</v>
      </c>
      <c r="BD361" t="s">
        <v>74</v>
      </c>
      <c r="BE361" t="s">
        <v>7495</v>
      </c>
      <c r="BF361" t="str">
        <f>HYPERLINK("http://dx.doi.org/10.1108/JMLC-04-2018-0031","http://dx.doi.org/10.1108/JMLC-04-2018-0031")</f>
        <v>http://dx.doi.org/10.1108/JMLC-04-2018-0031</v>
      </c>
      <c r="BG361" t="s">
        <v>74</v>
      </c>
      <c r="BH361" t="s">
        <v>74</v>
      </c>
      <c r="BI361">
        <v>13</v>
      </c>
      <c r="BJ361" t="s">
        <v>3573</v>
      </c>
      <c r="BK361" t="s">
        <v>313</v>
      </c>
      <c r="BL361" t="s">
        <v>3573</v>
      </c>
      <c r="BM361" t="s">
        <v>7496</v>
      </c>
      <c r="BN361" t="s">
        <v>74</v>
      </c>
      <c r="BO361" t="s">
        <v>74</v>
      </c>
      <c r="BP361" t="s">
        <v>74</v>
      </c>
      <c r="BQ361" t="s">
        <v>74</v>
      </c>
      <c r="BR361" t="s">
        <v>102</v>
      </c>
      <c r="BS361" t="s">
        <v>7497</v>
      </c>
      <c r="BT361" t="str">
        <f>HYPERLINK("https%3A%2F%2Fwww.webofscience.com%2Fwos%2Fwoscc%2Ffull-record%2FWOS:000510541400003","View Full Record in Web of Science")</f>
        <v>View Full Record in Web of Science</v>
      </c>
    </row>
    <row r="362" spans="1:72" x14ac:dyDescent="0.25">
      <c r="A362" t="s">
        <v>72</v>
      </c>
      <c r="B362" t="s">
        <v>7498</v>
      </c>
      <c r="C362" t="s">
        <v>74</v>
      </c>
      <c r="D362" t="s">
        <v>74</v>
      </c>
      <c r="E362" t="s">
        <v>74</v>
      </c>
      <c r="F362" t="s">
        <v>7499</v>
      </c>
      <c r="G362" t="s">
        <v>74</v>
      </c>
      <c r="H362" t="s">
        <v>74</v>
      </c>
      <c r="I362" t="s">
        <v>7500</v>
      </c>
      <c r="J362" t="s">
        <v>7501</v>
      </c>
      <c r="K362" t="s">
        <v>74</v>
      </c>
      <c r="L362" t="s">
        <v>74</v>
      </c>
      <c r="M362" t="s">
        <v>78</v>
      </c>
      <c r="N362" t="s">
        <v>79</v>
      </c>
      <c r="O362" t="s">
        <v>74</v>
      </c>
      <c r="P362" t="s">
        <v>74</v>
      </c>
      <c r="Q362" t="s">
        <v>74</v>
      </c>
      <c r="R362" t="s">
        <v>74</v>
      </c>
      <c r="S362" t="s">
        <v>74</v>
      </c>
      <c r="T362" t="s">
        <v>7502</v>
      </c>
      <c r="U362" t="s">
        <v>1369</v>
      </c>
      <c r="V362" t="s">
        <v>7503</v>
      </c>
      <c r="W362" t="s">
        <v>7504</v>
      </c>
      <c r="X362" t="s">
        <v>7505</v>
      </c>
      <c r="Y362" t="s">
        <v>7506</v>
      </c>
      <c r="Z362" t="s">
        <v>7507</v>
      </c>
      <c r="AA362" t="s">
        <v>7508</v>
      </c>
      <c r="AB362" t="s">
        <v>7509</v>
      </c>
      <c r="AC362" t="s">
        <v>7510</v>
      </c>
      <c r="AD362" t="s">
        <v>7511</v>
      </c>
      <c r="AE362" t="s">
        <v>7512</v>
      </c>
      <c r="AF362" t="s">
        <v>74</v>
      </c>
      <c r="AG362">
        <v>34</v>
      </c>
      <c r="AH362">
        <v>9</v>
      </c>
      <c r="AI362">
        <v>12</v>
      </c>
      <c r="AJ362">
        <v>0</v>
      </c>
      <c r="AK362">
        <v>10</v>
      </c>
      <c r="AL362" t="s">
        <v>7513</v>
      </c>
      <c r="AM362" t="s">
        <v>7514</v>
      </c>
      <c r="AN362" t="s">
        <v>7515</v>
      </c>
      <c r="AO362" t="s">
        <v>7516</v>
      </c>
      <c r="AP362" t="s">
        <v>7517</v>
      </c>
      <c r="AQ362" t="s">
        <v>74</v>
      </c>
      <c r="AR362" t="s">
        <v>7518</v>
      </c>
      <c r="AS362" t="s">
        <v>7519</v>
      </c>
      <c r="AT362" t="s">
        <v>74</v>
      </c>
      <c r="AU362">
        <v>2020</v>
      </c>
      <c r="AV362">
        <v>11</v>
      </c>
      <c r="AW362">
        <v>6</v>
      </c>
      <c r="AX362" t="s">
        <v>74</v>
      </c>
      <c r="AY362" t="s">
        <v>74</v>
      </c>
      <c r="AZ362" t="s">
        <v>74</v>
      </c>
      <c r="BA362" t="s">
        <v>74</v>
      </c>
      <c r="BB362" t="s">
        <v>74</v>
      </c>
      <c r="BC362" t="s">
        <v>74</v>
      </c>
      <c r="BD362" t="s">
        <v>7520</v>
      </c>
      <c r="BE362" t="s">
        <v>7521</v>
      </c>
      <c r="BF362" t="str">
        <f>HYPERLINK("http://dx.doi.org/10.14456/ITJEMAST.2020.101","http://dx.doi.org/10.14456/ITJEMAST.2020.101")</f>
        <v>http://dx.doi.org/10.14456/ITJEMAST.2020.101</v>
      </c>
      <c r="BG362" t="s">
        <v>74</v>
      </c>
      <c r="BH362" t="s">
        <v>74</v>
      </c>
      <c r="BI362">
        <v>15</v>
      </c>
      <c r="BJ362" t="s">
        <v>559</v>
      </c>
      <c r="BK362" t="s">
        <v>313</v>
      </c>
      <c r="BL362" t="s">
        <v>560</v>
      </c>
      <c r="BM362" t="s">
        <v>7522</v>
      </c>
      <c r="BN362" t="s">
        <v>74</v>
      </c>
      <c r="BO362" t="s">
        <v>74</v>
      </c>
      <c r="BP362" t="s">
        <v>74</v>
      </c>
      <c r="BQ362" t="s">
        <v>74</v>
      </c>
      <c r="BR362" t="s">
        <v>102</v>
      </c>
      <c r="BS362" t="s">
        <v>7523</v>
      </c>
      <c r="BT362" t="str">
        <f>HYPERLINK("https%3A%2F%2Fwww.webofscience.com%2Fwos%2Fwoscc%2Ffull-record%2FWOS:000528253200001","View Full Record in Web of Science")</f>
        <v>View Full Record in Web of Science</v>
      </c>
    </row>
    <row r="363" spans="1:72" x14ac:dyDescent="0.25">
      <c r="A363" t="s">
        <v>72</v>
      </c>
      <c r="B363" t="s">
        <v>7524</v>
      </c>
      <c r="C363" t="s">
        <v>74</v>
      </c>
      <c r="D363" t="s">
        <v>74</v>
      </c>
      <c r="E363" t="s">
        <v>74</v>
      </c>
      <c r="F363" t="s">
        <v>7525</v>
      </c>
      <c r="G363" t="s">
        <v>74</v>
      </c>
      <c r="H363" t="s">
        <v>74</v>
      </c>
      <c r="I363" t="s">
        <v>7526</v>
      </c>
      <c r="J363" t="s">
        <v>656</v>
      </c>
      <c r="K363" t="s">
        <v>74</v>
      </c>
      <c r="L363" t="s">
        <v>74</v>
      </c>
      <c r="M363" t="s">
        <v>78</v>
      </c>
      <c r="N363" t="s">
        <v>79</v>
      </c>
      <c r="O363" t="s">
        <v>74</v>
      </c>
      <c r="P363" t="s">
        <v>74</v>
      </c>
      <c r="Q363" t="s">
        <v>74</v>
      </c>
      <c r="R363" t="s">
        <v>74</v>
      </c>
      <c r="S363" t="s">
        <v>74</v>
      </c>
      <c r="T363" t="s">
        <v>7527</v>
      </c>
      <c r="U363" t="s">
        <v>7528</v>
      </c>
      <c r="V363" t="s">
        <v>7529</v>
      </c>
      <c r="W363" t="s">
        <v>7530</v>
      </c>
      <c r="X363" t="s">
        <v>7531</v>
      </c>
      <c r="Y363" t="s">
        <v>7532</v>
      </c>
      <c r="Z363" t="s">
        <v>7533</v>
      </c>
      <c r="AA363" t="s">
        <v>7534</v>
      </c>
      <c r="AB363" t="s">
        <v>74</v>
      </c>
      <c r="AC363" t="s">
        <v>7535</v>
      </c>
      <c r="AD363" t="s">
        <v>7536</v>
      </c>
      <c r="AE363" t="s">
        <v>74</v>
      </c>
      <c r="AF363" t="s">
        <v>74</v>
      </c>
      <c r="AG363">
        <v>42</v>
      </c>
      <c r="AH363">
        <v>9</v>
      </c>
      <c r="AI363">
        <v>15</v>
      </c>
      <c r="AJ363">
        <v>1</v>
      </c>
      <c r="AK363">
        <v>18</v>
      </c>
      <c r="AL363" t="s">
        <v>666</v>
      </c>
      <c r="AM363" t="s">
        <v>667</v>
      </c>
      <c r="AN363" t="s">
        <v>668</v>
      </c>
      <c r="AO363" t="s">
        <v>669</v>
      </c>
      <c r="AP363" t="s">
        <v>670</v>
      </c>
      <c r="AQ363" t="s">
        <v>74</v>
      </c>
      <c r="AR363" t="s">
        <v>671</v>
      </c>
      <c r="AS363" t="s">
        <v>672</v>
      </c>
      <c r="AT363" t="s">
        <v>1652</v>
      </c>
      <c r="AU363">
        <v>2020</v>
      </c>
      <c r="AV363">
        <v>41</v>
      </c>
      <c r="AW363">
        <v>2</v>
      </c>
      <c r="AX363" t="s">
        <v>74</v>
      </c>
      <c r="AY363" t="s">
        <v>74</v>
      </c>
      <c r="AZ363" t="s">
        <v>74</v>
      </c>
      <c r="BA363" t="s">
        <v>74</v>
      </c>
      <c r="BB363">
        <v>300</v>
      </c>
      <c r="BC363">
        <v>315</v>
      </c>
      <c r="BD363" t="s">
        <v>74</v>
      </c>
      <c r="BE363" t="s">
        <v>7537</v>
      </c>
      <c r="BF363" t="str">
        <f>HYPERLINK("http://dx.doi.org/10.1007/s10834-019-09657-9","http://dx.doi.org/10.1007/s10834-019-09657-9")</f>
        <v>http://dx.doi.org/10.1007/s10834-019-09657-9</v>
      </c>
      <c r="BG363" t="s">
        <v>74</v>
      </c>
      <c r="BH363" t="s">
        <v>74</v>
      </c>
      <c r="BI363">
        <v>16</v>
      </c>
      <c r="BJ363" t="s">
        <v>675</v>
      </c>
      <c r="BK363" t="s">
        <v>99</v>
      </c>
      <c r="BL363" t="s">
        <v>676</v>
      </c>
      <c r="BM363" t="s">
        <v>7538</v>
      </c>
      <c r="BN363">
        <v>37496691</v>
      </c>
      <c r="BO363" t="s">
        <v>1696</v>
      </c>
      <c r="BP363" t="s">
        <v>74</v>
      </c>
      <c r="BQ363" t="s">
        <v>74</v>
      </c>
      <c r="BR363" t="s">
        <v>102</v>
      </c>
      <c r="BS363" t="s">
        <v>7539</v>
      </c>
      <c r="BT363" t="str">
        <f>HYPERLINK("https%3A%2F%2Fwww.webofscience.com%2Fwos%2Fwoscc%2Ffull-record%2FWOS:000532978200008","View Full Record in Web of Science")</f>
        <v>View Full Record in Web of Science</v>
      </c>
    </row>
    <row r="364" spans="1:72" x14ac:dyDescent="0.25">
      <c r="A364" t="s">
        <v>72</v>
      </c>
      <c r="B364" t="s">
        <v>7540</v>
      </c>
      <c r="C364" t="s">
        <v>74</v>
      </c>
      <c r="D364" t="s">
        <v>74</v>
      </c>
      <c r="E364" t="s">
        <v>74</v>
      </c>
      <c r="F364" t="s">
        <v>7541</v>
      </c>
      <c r="G364" t="s">
        <v>74</v>
      </c>
      <c r="H364" t="s">
        <v>74</v>
      </c>
      <c r="I364" t="s">
        <v>7542</v>
      </c>
      <c r="J364" t="s">
        <v>7543</v>
      </c>
      <c r="K364" t="s">
        <v>74</v>
      </c>
      <c r="L364" t="s">
        <v>74</v>
      </c>
      <c r="M364" t="s">
        <v>78</v>
      </c>
      <c r="N364" t="s">
        <v>79</v>
      </c>
      <c r="O364" t="s">
        <v>74</v>
      </c>
      <c r="P364" t="s">
        <v>74</v>
      </c>
      <c r="Q364" t="s">
        <v>74</v>
      </c>
      <c r="R364" t="s">
        <v>74</v>
      </c>
      <c r="S364" t="s">
        <v>74</v>
      </c>
      <c r="T364" t="s">
        <v>7544</v>
      </c>
      <c r="U364" t="s">
        <v>7545</v>
      </c>
      <c r="V364" t="s">
        <v>7546</v>
      </c>
      <c r="W364" t="s">
        <v>7547</v>
      </c>
      <c r="X364" t="s">
        <v>7548</v>
      </c>
      <c r="Y364" t="s">
        <v>7549</v>
      </c>
      <c r="Z364" t="s">
        <v>74</v>
      </c>
      <c r="AA364" t="s">
        <v>7550</v>
      </c>
      <c r="AB364" t="s">
        <v>74</v>
      </c>
      <c r="AC364" t="s">
        <v>74</v>
      </c>
      <c r="AD364" t="s">
        <v>74</v>
      </c>
      <c r="AE364" t="s">
        <v>74</v>
      </c>
      <c r="AF364" t="s">
        <v>74</v>
      </c>
      <c r="AG364">
        <v>46</v>
      </c>
      <c r="AH364">
        <v>1</v>
      </c>
      <c r="AI364">
        <v>2</v>
      </c>
      <c r="AJ364">
        <v>0</v>
      </c>
      <c r="AK364">
        <v>35</v>
      </c>
      <c r="AL364" t="s">
        <v>7551</v>
      </c>
      <c r="AM364" t="s">
        <v>7552</v>
      </c>
      <c r="AN364" t="s">
        <v>7553</v>
      </c>
      <c r="AO364" t="s">
        <v>7554</v>
      </c>
      <c r="AP364" t="s">
        <v>7555</v>
      </c>
      <c r="AQ364" t="s">
        <v>74</v>
      </c>
      <c r="AR364" t="s">
        <v>7556</v>
      </c>
      <c r="AS364" t="s">
        <v>7557</v>
      </c>
      <c r="AT364" t="s">
        <v>7558</v>
      </c>
      <c r="AU364">
        <v>2017</v>
      </c>
      <c r="AV364">
        <v>4</v>
      </c>
      <c r="AW364">
        <v>4</v>
      </c>
      <c r="AX364" t="s">
        <v>74</v>
      </c>
      <c r="AY364" t="s">
        <v>74</v>
      </c>
      <c r="AZ364" t="s">
        <v>441</v>
      </c>
      <c r="BA364" t="s">
        <v>74</v>
      </c>
      <c r="BB364">
        <v>51</v>
      </c>
      <c r="BC364">
        <v>61</v>
      </c>
      <c r="BD364" t="s">
        <v>74</v>
      </c>
      <c r="BE364" t="s">
        <v>7559</v>
      </c>
      <c r="BF364" t="str">
        <f>HYPERLINK("http://dx.doi.org/10.4018/IJPADA.2017100104","http://dx.doi.org/10.4018/IJPADA.2017100104")</f>
        <v>http://dx.doi.org/10.4018/IJPADA.2017100104</v>
      </c>
      <c r="BG364" t="s">
        <v>74</v>
      </c>
      <c r="BH364" t="s">
        <v>74</v>
      </c>
      <c r="BI364">
        <v>11</v>
      </c>
      <c r="BJ364" t="s">
        <v>2351</v>
      </c>
      <c r="BK364" t="s">
        <v>313</v>
      </c>
      <c r="BL364" t="s">
        <v>2351</v>
      </c>
      <c r="BM364" t="s">
        <v>7560</v>
      </c>
      <c r="BN364" t="s">
        <v>74</v>
      </c>
      <c r="BO364" t="s">
        <v>74</v>
      </c>
      <c r="BP364" t="s">
        <v>74</v>
      </c>
      <c r="BQ364" t="s">
        <v>74</v>
      </c>
      <c r="BR364" t="s">
        <v>102</v>
      </c>
      <c r="BS364" t="s">
        <v>7561</v>
      </c>
      <c r="BT364" t="str">
        <f>HYPERLINK("https%3A%2F%2Fwww.webofscience.com%2Fwos%2Fwoscc%2Ffull-record%2FWOS:000424008900005","View Full Record in Web of Science")</f>
        <v>View Full Record in Web of Science</v>
      </c>
    </row>
    <row r="365" spans="1:72" x14ac:dyDescent="0.25">
      <c r="A365" t="s">
        <v>72</v>
      </c>
      <c r="B365" t="s">
        <v>7562</v>
      </c>
      <c r="C365" t="s">
        <v>74</v>
      </c>
      <c r="D365" t="s">
        <v>74</v>
      </c>
      <c r="E365" t="s">
        <v>74</v>
      </c>
      <c r="F365" t="s">
        <v>7563</v>
      </c>
      <c r="G365" t="s">
        <v>74</v>
      </c>
      <c r="H365" t="s">
        <v>74</v>
      </c>
      <c r="I365" t="s">
        <v>7564</v>
      </c>
      <c r="J365" t="s">
        <v>4618</v>
      </c>
      <c r="K365" t="s">
        <v>74</v>
      </c>
      <c r="L365" t="s">
        <v>74</v>
      </c>
      <c r="M365" t="s">
        <v>78</v>
      </c>
      <c r="N365" t="s">
        <v>79</v>
      </c>
      <c r="O365" t="s">
        <v>74</v>
      </c>
      <c r="P365" t="s">
        <v>74</v>
      </c>
      <c r="Q365" t="s">
        <v>74</v>
      </c>
      <c r="R365" t="s">
        <v>74</v>
      </c>
      <c r="S365" t="s">
        <v>74</v>
      </c>
      <c r="T365" t="s">
        <v>7565</v>
      </c>
      <c r="U365" t="s">
        <v>7566</v>
      </c>
      <c r="V365" t="s">
        <v>7567</v>
      </c>
      <c r="W365" t="s">
        <v>7568</v>
      </c>
      <c r="X365" t="s">
        <v>7569</v>
      </c>
      <c r="Y365" t="s">
        <v>7570</v>
      </c>
      <c r="Z365" t="s">
        <v>7571</v>
      </c>
      <c r="AA365" t="s">
        <v>7572</v>
      </c>
      <c r="AB365" t="s">
        <v>7573</v>
      </c>
      <c r="AC365" t="s">
        <v>7574</v>
      </c>
      <c r="AD365" t="s">
        <v>7575</v>
      </c>
      <c r="AE365" t="s">
        <v>7576</v>
      </c>
      <c r="AF365" t="s">
        <v>74</v>
      </c>
      <c r="AG365">
        <v>80</v>
      </c>
      <c r="AH365">
        <v>21</v>
      </c>
      <c r="AI365">
        <v>29</v>
      </c>
      <c r="AJ365">
        <v>1</v>
      </c>
      <c r="AK365">
        <v>26</v>
      </c>
      <c r="AL365" t="s">
        <v>89</v>
      </c>
      <c r="AM365" t="s">
        <v>1497</v>
      </c>
      <c r="AN365" t="s">
        <v>1498</v>
      </c>
      <c r="AO365" t="s">
        <v>4627</v>
      </c>
      <c r="AP365" t="s">
        <v>4628</v>
      </c>
      <c r="AQ365" t="s">
        <v>74</v>
      </c>
      <c r="AR365" t="s">
        <v>4629</v>
      </c>
      <c r="AS365" t="s">
        <v>4630</v>
      </c>
      <c r="AT365" t="s">
        <v>74</v>
      </c>
      <c r="AU365">
        <v>2017</v>
      </c>
      <c r="AV365">
        <v>10</v>
      </c>
      <c r="AW365">
        <v>3</v>
      </c>
      <c r="AX365" t="s">
        <v>74</v>
      </c>
      <c r="AY365" t="s">
        <v>74</v>
      </c>
      <c r="AZ365" t="s">
        <v>74</v>
      </c>
      <c r="BA365" t="s">
        <v>74</v>
      </c>
      <c r="BB365">
        <v>434</v>
      </c>
      <c r="BC365">
        <v>452</v>
      </c>
      <c r="BD365" t="s">
        <v>74</v>
      </c>
      <c r="BE365" t="s">
        <v>7577</v>
      </c>
      <c r="BF365" t="str">
        <f>HYPERLINK("http://dx.doi.org/10.1108/IMEFM-11-2016-0162","http://dx.doi.org/10.1108/IMEFM-11-2016-0162")</f>
        <v>http://dx.doi.org/10.1108/IMEFM-11-2016-0162</v>
      </c>
      <c r="BG365" t="s">
        <v>74</v>
      </c>
      <c r="BH365" t="s">
        <v>74</v>
      </c>
      <c r="BI365">
        <v>19</v>
      </c>
      <c r="BJ365" t="s">
        <v>4632</v>
      </c>
      <c r="BK365" t="s">
        <v>99</v>
      </c>
      <c r="BL365" t="s">
        <v>100</v>
      </c>
      <c r="BM365" t="s">
        <v>7578</v>
      </c>
      <c r="BN365" t="s">
        <v>74</v>
      </c>
      <c r="BO365" t="s">
        <v>74</v>
      </c>
      <c r="BP365" t="s">
        <v>74</v>
      </c>
      <c r="BQ365" t="s">
        <v>74</v>
      </c>
      <c r="BR365" t="s">
        <v>102</v>
      </c>
      <c r="BS365" t="s">
        <v>7579</v>
      </c>
      <c r="BT365" t="str">
        <f>HYPERLINK("https%3A%2F%2Fwww.webofscience.com%2Fwos%2Fwoscc%2Ffull-record%2FWOS:000407636300008","View Full Record in Web of Science")</f>
        <v>View Full Record in Web of Science</v>
      </c>
    </row>
    <row r="366" spans="1:72" x14ac:dyDescent="0.25">
      <c r="A366" t="s">
        <v>72</v>
      </c>
      <c r="B366" t="s">
        <v>7580</v>
      </c>
      <c r="C366" t="s">
        <v>74</v>
      </c>
      <c r="D366" t="s">
        <v>74</v>
      </c>
      <c r="E366" t="s">
        <v>74</v>
      </c>
      <c r="F366" t="s">
        <v>7581</v>
      </c>
      <c r="G366" t="s">
        <v>74</v>
      </c>
      <c r="H366" t="s">
        <v>74</v>
      </c>
      <c r="I366" t="s">
        <v>7582</v>
      </c>
      <c r="J366" t="s">
        <v>1902</v>
      </c>
      <c r="K366" t="s">
        <v>74</v>
      </c>
      <c r="L366" t="s">
        <v>74</v>
      </c>
      <c r="M366" t="s">
        <v>78</v>
      </c>
      <c r="N366" t="s">
        <v>79</v>
      </c>
      <c r="O366" t="s">
        <v>74</v>
      </c>
      <c r="P366" t="s">
        <v>74</v>
      </c>
      <c r="Q366" t="s">
        <v>74</v>
      </c>
      <c r="R366" t="s">
        <v>74</v>
      </c>
      <c r="S366" t="s">
        <v>74</v>
      </c>
      <c r="T366" t="s">
        <v>7583</v>
      </c>
      <c r="U366" t="s">
        <v>7584</v>
      </c>
      <c r="V366" t="s">
        <v>7585</v>
      </c>
      <c r="W366" t="s">
        <v>7586</v>
      </c>
      <c r="X366" t="s">
        <v>7587</v>
      </c>
      <c r="Y366" t="s">
        <v>7588</v>
      </c>
      <c r="Z366" t="s">
        <v>7589</v>
      </c>
      <c r="AA366" t="s">
        <v>74</v>
      </c>
      <c r="AB366" t="s">
        <v>74</v>
      </c>
      <c r="AC366" t="s">
        <v>74</v>
      </c>
      <c r="AD366" t="s">
        <v>74</v>
      </c>
      <c r="AE366" t="s">
        <v>74</v>
      </c>
      <c r="AF366" t="s">
        <v>74</v>
      </c>
      <c r="AG366">
        <v>24</v>
      </c>
      <c r="AH366">
        <v>6</v>
      </c>
      <c r="AI366">
        <v>8</v>
      </c>
      <c r="AJ366">
        <v>0</v>
      </c>
      <c r="AK366">
        <v>3</v>
      </c>
      <c r="AL366" t="s">
        <v>89</v>
      </c>
      <c r="AM366" t="s">
        <v>1497</v>
      </c>
      <c r="AN366" t="s">
        <v>1498</v>
      </c>
      <c r="AO366" t="s">
        <v>1910</v>
      </c>
      <c r="AP366" t="s">
        <v>1911</v>
      </c>
      <c r="AQ366" t="s">
        <v>74</v>
      </c>
      <c r="AR366" t="s">
        <v>1912</v>
      </c>
      <c r="AS366" t="s">
        <v>1913</v>
      </c>
      <c r="AT366" t="s">
        <v>7590</v>
      </c>
      <c r="AU366">
        <v>2019</v>
      </c>
      <c r="AV366">
        <v>11</v>
      </c>
      <c r="AW366">
        <v>3</v>
      </c>
      <c r="AX366" t="s">
        <v>74</v>
      </c>
      <c r="AY366" t="s">
        <v>74</v>
      </c>
      <c r="AZ366" t="s">
        <v>74</v>
      </c>
      <c r="BA366" t="s">
        <v>74</v>
      </c>
      <c r="BB366">
        <v>385</v>
      </c>
      <c r="BC366">
        <v>404</v>
      </c>
      <c r="BD366" t="s">
        <v>74</v>
      </c>
      <c r="BE366" t="s">
        <v>7591</v>
      </c>
      <c r="BF366" t="str">
        <f>HYPERLINK("http://dx.doi.org/10.1108/JFEP-09-2018-0125","http://dx.doi.org/10.1108/JFEP-09-2018-0125")</f>
        <v>http://dx.doi.org/10.1108/JFEP-09-2018-0125</v>
      </c>
      <c r="BG366" t="s">
        <v>74</v>
      </c>
      <c r="BH366" t="s">
        <v>74</v>
      </c>
      <c r="BI366">
        <v>20</v>
      </c>
      <c r="BJ366" t="s">
        <v>291</v>
      </c>
      <c r="BK366" t="s">
        <v>313</v>
      </c>
      <c r="BL366" t="s">
        <v>100</v>
      </c>
      <c r="BM366" t="s">
        <v>7592</v>
      </c>
      <c r="BN366" t="s">
        <v>74</v>
      </c>
      <c r="BO366" t="s">
        <v>74</v>
      </c>
      <c r="BP366" t="s">
        <v>74</v>
      </c>
      <c r="BQ366" t="s">
        <v>74</v>
      </c>
      <c r="BR366" t="s">
        <v>102</v>
      </c>
      <c r="BS366" t="s">
        <v>7593</v>
      </c>
      <c r="BT366" t="str">
        <f>HYPERLINK("https%3A%2F%2Fwww.webofscience.com%2Fwos%2Fwoscc%2Ffull-record%2FWOS:000479245600005","View Full Record in Web of Science")</f>
        <v>View Full Record in Web of Science</v>
      </c>
    </row>
    <row r="367" spans="1:72" x14ac:dyDescent="0.25">
      <c r="A367" t="s">
        <v>132</v>
      </c>
      <c r="B367" t="s">
        <v>7594</v>
      </c>
      <c r="C367" t="s">
        <v>74</v>
      </c>
      <c r="D367" t="s">
        <v>7595</v>
      </c>
      <c r="E367" t="s">
        <v>74</v>
      </c>
      <c r="F367" t="s">
        <v>7596</v>
      </c>
      <c r="G367" t="s">
        <v>74</v>
      </c>
      <c r="H367" t="s">
        <v>74</v>
      </c>
      <c r="I367" t="s">
        <v>7597</v>
      </c>
      <c r="J367" t="s">
        <v>7598</v>
      </c>
      <c r="K367" t="s">
        <v>74</v>
      </c>
      <c r="L367" t="s">
        <v>74</v>
      </c>
      <c r="M367" t="s">
        <v>78</v>
      </c>
      <c r="N367" t="s">
        <v>138</v>
      </c>
      <c r="O367" t="s">
        <v>7599</v>
      </c>
      <c r="P367" t="s">
        <v>7600</v>
      </c>
      <c r="Q367" t="s">
        <v>7601</v>
      </c>
      <c r="R367" t="s">
        <v>74</v>
      </c>
      <c r="S367" t="s">
        <v>7602</v>
      </c>
      <c r="T367" t="s">
        <v>7603</v>
      </c>
      <c r="U367" t="s">
        <v>74</v>
      </c>
      <c r="V367" t="s">
        <v>7604</v>
      </c>
      <c r="W367" t="s">
        <v>74</v>
      </c>
      <c r="X367" t="s">
        <v>74</v>
      </c>
      <c r="Y367" t="s">
        <v>74</v>
      </c>
      <c r="Z367" t="s">
        <v>7605</v>
      </c>
      <c r="AA367" t="s">
        <v>74</v>
      </c>
      <c r="AB367" t="s">
        <v>74</v>
      </c>
      <c r="AC367" t="s">
        <v>74</v>
      </c>
      <c r="AD367" t="s">
        <v>74</v>
      </c>
      <c r="AE367" t="s">
        <v>74</v>
      </c>
      <c r="AF367" t="s">
        <v>74</v>
      </c>
      <c r="AG367">
        <v>9</v>
      </c>
      <c r="AH367">
        <v>0</v>
      </c>
      <c r="AI367">
        <v>0</v>
      </c>
      <c r="AJ367">
        <v>0</v>
      </c>
      <c r="AK367">
        <v>11</v>
      </c>
      <c r="AL367" t="s">
        <v>7606</v>
      </c>
      <c r="AM367" t="s">
        <v>3652</v>
      </c>
      <c r="AN367" t="s">
        <v>3653</v>
      </c>
      <c r="AO367" t="s">
        <v>74</v>
      </c>
      <c r="AP367" t="s">
        <v>74</v>
      </c>
      <c r="AQ367" t="s">
        <v>7607</v>
      </c>
      <c r="AR367" t="s">
        <v>74</v>
      </c>
      <c r="AS367" t="s">
        <v>74</v>
      </c>
      <c r="AT367" t="s">
        <v>74</v>
      </c>
      <c r="AU367">
        <v>2010</v>
      </c>
      <c r="AV367" t="s">
        <v>74</v>
      </c>
      <c r="AW367" t="s">
        <v>74</v>
      </c>
      <c r="AX367" t="s">
        <v>74</v>
      </c>
      <c r="AY367" t="s">
        <v>74</v>
      </c>
      <c r="AZ367" t="s">
        <v>74</v>
      </c>
      <c r="BA367" t="s">
        <v>74</v>
      </c>
      <c r="BB367">
        <v>615</v>
      </c>
      <c r="BC367">
        <v>624</v>
      </c>
      <c r="BD367" t="s">
        <v>74</v>
      </c>
      <c r="BE367" t="s">
        <v>74</v>
      </c>
      <c r="BF367" t="s">
        <v>74</v>
      </c>
      <c r="BG367" t="s">
        <v>74</v>
      </c>
      <c r="BH367" t="s">
        <v>74</v>
      </c>
      <c r="BI367">
        <v>10</v>
      </c>
      <c r="BJ367" t="s">
        <v>3326</v>
      </c>
      <c r="BK367" t="s">
        <v>183</v>
      </c>
      <c r="BL367" t="s">
        <v>184</v>
      </c>
      <c r="BM367" t="s">
        <v>7608</v>
      </c>
      <c r="BN367" t="s">
        <v>74</v>
      </c>
      <c r="BO367" t="s">
        <v>74</v>
      </c>
      <c r="BP367" t="s">
        <v>74</v>
      </c>
      <c r="BQ367" t="s">
        <v>74</v>
      </c>
      <c r="BR367" t="s">
        <v>102</v>
      </c>
      <c r="BS367" t="s">
        <v>7609</v>
      </c>
      <c r="BT367" t="str">
        <f>HYPERLINK("https%3A%2F%2Fwww.webofscience.com%2Fwos%2Fwoscc%2Ffull-record%2FWOS:000284257800071","View Full Record in Web of Science")</f>
        <v>View Full Record in Web of Science</v>
      </c>
    </row>
    <row r="368" spans="1:72" x14ac:dyDescent="0.25">
      <c r="A368" t="s">
        <v>72</v>
      </c>
      <c r="B368" t="s">
        <v>7610</v>
      </c>
      <c r="C368" t="s">
        <v>74</v>
      </c>
      <c r="D368" t="s">
        <v>74</v>
      </c>
      <c r="E368" t="s">
        <v>74</v>
      </c>
      <c r="F368" t="s">
        <v>7611</v>
      </c>
      <c r="G368" t="s">
        <v>74</v>
      </c>
      <c r="H368" t="s">
        <v>74</v>
      </c>
      <c r="I368" t="s">
        <v>7612</v>
      </c>
      <c r="J368" t="s">
        <v>3290</v>
      </c>
      <c r="K368" t="s">
        <v>74</v>
      </c>
      <c r="L368" t="s">
        <v>74</v>
      </c>
      <c r="M368" t="s">
        <v>78</v>
      </c>
      <c r="N368" t="s">
        <v>79</v>
      </c>
      <c r="O368" t="s">
        <v>74</v>
      </c>
      <c r="P368" t="s">
        <v>74</v>
      </c>
      <c r="Q368" t="s">
        <v>74</v>
      </c>
      <c r="R368" t="s">
        <v>74</v>
      </c>
      <c r="S368" t="s">
        <v>74</v>
      </c>
      <c r="T368" t="s">
        <v>7613</v>
      </c>
      <c r="U368" t="s">
        <v>7614</v>
      </c>
      <c r="V368" t="s">
        <v>7615</v>
      </c>
      <c r="W368" t="s">
        <v>7616</v>
      </c>
      <c r="X368" t="s">
        <v>7617</v>
      </c>
      <c r="Y368" t="s">
        <v>7618</v>
      </c>
      <c r="Z368" t="s">
        <v>7619</v>
      </c>
      <c r="AA368" t="s">
        <v>74</v>
      </c>
      <c r="AB368" t="s">
        <v>7620</v>
      </c>
      <c r="AC368" t="s">
        <v>74</v>
      </c>
      <c r="AD368" t="s">
        <v>74</v>
      </c>
      <c r="AE368" t="s">
        <v>74</v>
      </c>
      <c r="AF368" t="s">
        <v>74</v>
      </c>
      <c r="AG368">
        <v>39</v>
      </c>
      <c r="AH368">
        <v>18</v>
      </c>
      <c r="AI368">
        <v>22</v>
      </c>
      <c r="AJ368">
        <v>1</v>
      </c>
      <c r="AK368">
        <v>52</v>
      </c>
      <c r="AL368" t="s">
        <v>201</v>
      </c>
      <c r="AM368" t="s">
        <v>202</v>
      </c>
      <c r="AN368" t="s">
        <v>203</v>
      </c>
      <c r="AO368" t="s">
        <v>3300</v>
      </c>
      <c r="AP368" t="s">
        <v>7621</v>
      </c>
      <c r="AQ368" t="s">
        <v>74</v>
      </c>
      <c r="AR368" t="s">
        <v>3301</v>
      </c>
      <c r="AS368" t="s">
        <v>3302</v>
      </c>
      <c r="AT368" t="s">
        <v>2801</v>
      </c>
      <c r="AU368">
        <v>2016</v>
      </c>
      <c r="AV368">
        <v>17</v>
      </c>
      <c r="AW368" t="s">
        <v>74</v>
      </c>
      <c r="AX368" t="s">
        <v>74</v>
      </c>
      <c r="AY368" t="s">
        <v>74</v>
      </c>
      <c r="AZ368" t="s">
        <v>74</v>
      </c>
      <c r="BA368" t="s">
        <v>74</v>
      </c>
      <c r="BB368">
        <v>12</v>
      </c>
      <c r="BC368">
        <v>18</v>
      </c>
      <c r="BD368" t="s">
        <v>74</v>
      </c>
      <c r="BE368" t="s">
        <v>7622</v>
      </c>
      <c r="BF368" t="str">
        <f>HYPERLINK("http://dx.doi.org/10.1016/j.elerap.2016.02.001","http://dx.doi.org/10.1016/j.elerap.2016.02.001")</f>
        <v>http://dx.doi.org/10.1016/j.elerap.2016.02.001</v>
      </c>
      <c r="BG368" t="s">
        <v>74</v>
      </c>
      <c r="BH368" t="s">
        <v>74</v>
      </c>
      <c r="BI368">
        <v>7</v>
      </c>
      <c r="BJ368" t="s">
        <v>3304</v>
      </c>
      <c r="BK368" t="s">
        <v>2623</v>
      </c>
      <c r="BL368" t="s">
        <v>1070</v>
      </c>
      <c r="BM368" t="s">
        <v>7623</v>
      </c>
      <c r="BN368" t="s">
        <v>74</v>
      </c>
      <c r="BO368" t="s">
        <v>74</v>
      </c>
      <c r="BP368" t="s">
        <v>74</v>
      </c>
      <c r="BQ368" t="s">
        <v>74</v>
      </c>
      <c r="BR368" t="s">
        <v>102</v>
      </c>
      <c r="BS368" t="s">
        <v>7624</v>
      </c>
      <c r="BT368" t="str">
        <f>HYPERLINK("https%3A%2F%2Fwww.webofscience.com%2Fwos%2Fwoscc%2Ffull-record%2FWOS:000376063600002","View Full Record in Web of Science")</f>
        <v>View Full Record in Web of Science</v>
      </c>
    </row>
    <row r="369" spans="1:72" x14ac:dyDescent="0.25">
      <c r="A369" t="s">
        <v>72</v>
      </c>
      <c r="B369" t="s">
        <v>7625</v>
      </c>
      <c r="C369" t="s">
        <v>74</v>
      </c>
      <c r="D369" t="s">
        <v>74</v>
      </c>
      <c r="E369" t="s">
        <v>74</v>
      </c>
      <c r="F369" t="s">
        <v>7626</v>
      </c>
      <c r="G369" t="s">
        <v>74</v>
      </c>
      <c r="H369" t="s">
        <v>74</v>
      </c>
      <c r="I369" t="s">
        <v>7627</v>
      </c>
      <c r="J369" t="s">
        <v>2030</v>
      </c>
      <c r="K369" t="s">
        <v>74</v>
      </c>
      <c r="L369" t="s">
        <v>74</v>
      </c>
      <c r="M369" t="s">
        <v>78</v>
      </c>
      <c r="N369" t="s">
        <v>79</v>
      </c>
      <c r="O369" t="s">
        <v>74</v>
      </c>
      <c r="P369" t="s">
        <v>74</v>
      </c>
      <c r="Q369" t="s">
        <v>74</v>
      </c>
      <c r="R369" t="s">
        <v>74</v>
      </c>
      <c r="S369" t="s">
        <v>74</v>
      </c>
      <c r="T369" t="s">
        <v>7628</v>
      </c>
      <c r="U369" t="s">
        <v>7629</v>
      </c>
      <c r="V369" t="s">
        <v>7630</v>
      </c>
      <c r="W369" t="s">
        <v>7631</v>
      </c>
      <c r="X369" t="s">
        <v>74</v>
      </c>
      <c r="Y369" t="s">
        <v>7632</v>
      </c>
      <c r="Z369" t="s">
        <v>7633</v>
      </c>
      <c r="AA369" t="s">
        <v>74</v>
      </c>
      <c r="AB369" t="s">
        <v>74</v>
      </c>
      <c r="AC369" t="s">
        <v>74</v>
      </c>
      <c r="AD369" t="s">
        <v>74</v>
      </c>
      <c r="AE369" t="s">
        <v>74</v>
      </c>
      <c r="AF369" t="s">
        <v>74</v>
      </c>
      <c r="AG369">
        <v>53</v>
      </c>
      <c r="AH369">
        <v>5</v>
      </c>
      <c r="AI369">
        <v>6</v>
      </c>
      <c r="AJ369">
        <v>2</v>
      </c>
      <c r="AK369">
        <v>9</v>
      </c>
      <c r="AL369" t="s">
        <v>666</v>
      </c>
      <c r="AM369" t="s">
        <v>667</v>
      </c>
      <c r="AN369" t="s">
        <v>668</v>
      </c>
      <c r="AO369" t="s">
        <v>2039</v>
      </c>
      <c r="AP369" t="s">
        <v>74</v>
      </c>
      <c r="AQ369" t="s">
        <v>74</v>
      </c>
      <c r="AR369" t="s">
        <v>2040</v>
      </c>
      <c r="AS369" t="s">
        <v>2041</v>
      </c>
      <c r="AT369" t="s">
        <v>605</v>
      </c>
      <c r="AU369">
        <v>2025</v>
      </c>
      <c r="AV369">
        <v>12</v>
      </c>
      <c r="AW369">
        <v>1</v>
      </c>
      <c r="AX369" t="s">
        <v>74</v>
      </c>
      <c r="AY369" t="s">
        <v>74</v>
      </c>
      <c r="AZ369" t="s">
        <v>74</v>
      </c>
      <c r="BA369" t="s">
        <v>74</v>
      </c>
      <c r="BB369">
        <v>29</v>
      </c>
      <c r="BC369">
        <v>39</v>
      </c>
      <c r="BD369" t="s">
        <v>74</v>
      </c>
      <c r="BE369" t="s">
        <v>7634</v>
      </c>
      <c r="BF369" t="str">
        <f>HYPERLINK("http://dx.doi.org/10.1007/s40609-023-00286-7","http://dx.doi.org/10.1007/s40609-023-00286-7")</f>
        <v>http://dx.doi.org/10.1007/s40609-023-00286-7</v>
      </c>
      <c r="BG369" t="s">
        <v>74</v>
      </c>
      <c r="BH369" t="s">
        <v>6418</v>
      </c>
      <c r="BI369">
        <v>11</v>
      </c>
      <c r="BJ369" t="s">
        <v>2045</v>
      </c>
      <c r="BK369" t="s">
        <v>313</v>
      </c>
      <c r="BL369" t="s">
        <v>2045</v>
      </c>
      <c r="BM369" t="s">
        <v>7635</v>
      </c>
      <c r="BN369" t="s">
        <v>74</v>
      </c>
      <c r="BO369" t="s">
        <v>74</v>
      </c>
      <c r="BP369" t="s">
        <v>74</v>
      </c>
      <c r="BQ369" t="s">
        <v>74</v>
      </c>
      <c r="BR369" t="s">
        <v>102</v>
      </c>
      <c r="BS369" t="s">
        <v>7636</v>
      </c>
      <c r="BT369" t="str">
        <f>HYPERLINK("https%3A%2F%2Fwww.webofscience.com%2Fwos%2Fwoscc%2Ffull-record%2FWOS:000985785300001","View Full Record in Web of Science")</f>
        <v>View Full Record in Web of Science</v>
      </c>
    </row>
    <row r="370" spans="1:72" x14ac:dyDescent="0.25">
      <c r="A370" t="s">
        <v>72</v>
      </c>
      <c r="B370" t="s">
        <v>7637</v>
      </c>
      <c r="C370" t="s">
        <v>74</v>
      </c>
      <c r="D370" t="s">
        <v>74</v>
      </c>
      <c r="E370" t="s">
        <v>74</v>
      </c>
      <c r="F370" t="s">
        <v>7638</v>
      </c>
      <c r="G370" t="s">
        <v>74</v>
      </c>
      <c r="H370" t="s">
        <v>74</v>
      </c>
      <c r="I370" t="s">
        <v>7639</v>
      </c>
      <c r="J370" t="s">
        <v>7640</v>
      </c>
      <c r="K370" t="s">
        <v>74</v>
      </c>
      <c r="L370" t="s">
        <v>74</v>
      </c>
      <c r="M370" t="s">
        <v>78</v>
      </c>
      <c r="N370" t="s">
        <v>372</v>
      </c>
      <c r="O370" t="s">
        <v>74</v>
      </c>
      <c r="P370" t="s">
        <v>74</v>
      </c>
      <c r="Q370" t="s">
        <v>74</v>
      </c>
      <c r="R370" t="s">
        <v>74</v>
      </c>
      <c r="S370" t="s">
        <v>74</v>
      </c>
      <c r="T370" t="s">
        <v>7641</v>
      </c>
      <c r="U370" t="s">
        <v>7642</v>
      </c>
      <c r="V370" t="s">
        <v>7643</v>
      </c>
      <c r="W370" t="s">
        <v>7644</v>
      </c>
      <c r="X370" t="s">
        <v>7645</v>
      </c>
      <c r="Y370" t="s">
        <v>7646</v>
      </c>
      <c r="Z370" t="s">
        <v>7647</v>
      </c>
      <c r="AA370" t="s">
        <v>74</v>
      </c>
      <c r="AB370" t="s">
        <v>74</v>
      </c>
      <c r="AC370" t="s">
        <v>7648</v>
      </c>
      <c r="AD370" t="s">
        <v>7649</v>
      </c>
      <c r="AE370" t="s">
        <v>7650</v>
      </c>
      <c r="AF370" t="s">
        <v>74</v>
      </c>
      <c r="AG370">
        <v>22</v>
      </c>
      <c r="AH370">
        <v>1</v>
      </c>
      <c r="AI370">
        <v>1</v>
      </c>
      <c r="AJ370">
        <v>0</v>
      </c>
      <c r="AK370">
        <v>0</v>
      </c>
      <c r="AL370" t="s">
        <v>385</v>
      </c>
      <c r="AM370" t="s">
        <v>151</v>
      </c>
      <c r="AN370" t="s">
        <v>386</v>
      </c>
      <c r="AO370" t="s">
        <v>7651</v>
      </c>
      <c r="AP370" t="s">
        <v>7652</v>
      </c>
      <c r="AQ370" t="s">
        <v>74</v>
      </c>
      <c r="AR370" t="s">
        <v>7653</v>
      </c>
      <c r="AS370" t="s">
        <v>7654</v>
      </c>
      <c r="AT370" t="s">
        <v>7655</v>
      </c>
      <c r="AU370">
        <v>2025</v>
      </c>
      <c r="AV370" t="s">
        <v>74</v>
      </c>
      <c r="AW370" t="s">
        <v>74</v>
      </c>
      <c r="AX370" t="s">
        <v>74</v>
      </c>
      <c r="AY370" t="s">
        <v>74</v>
      </c>
      <c r="AZ370" t="s">
        <v>74</v>
      </c>
      <c r="BA370" t="s">
        <v>74</v>
      </c>
      <c r="BB370" t="s">
        <v>74</v>
      </c>
      <c r="BC370" t="s">
        <v>74</v>
      </c>
      <c r="BD370" t="s">
        <v>74</v>
      </c>
      <c r="BE370" t="s">
        <v>7656</v>
      </c>
      <c r="BF370" t="str">
        <f>HYPERLINK("http://dx.doi.org/10.1007/s13187-025-02669-0","http://dx.doi.org/10.1007/s13187-025-02669-0")</f>
        <v>http://dx.doi.org/10.1007/s13187-025-02669-0</v>
      </c>
      <c r="BG370" t="s">
        <v>74</v>
      </c>
      <c r="BH370" t="s">
        <v>7657</v>
      </c>
      <c r="BI370">
        <v>6</v>
      </c>
      <c r="BJ370" t="s">
        <v>7658</v>
      </c>
      <c r="BK370" t="s">
        <v>128</v>
      </c>
      <c r="BL370" t="s">
        <v>7659</v>
      </c>
      <c r="BM370" t="s">
        <v>7660</v>
      </c>
      <c r="BN370">
        <v>40540184</v>
      </c>
      <c r="BO370" t="s">
        <v>74</v>
      </c>
      <c r="BP370" t="s">
        <v>74</v>
      </c>
      <c r="BQ370" t="s">
        <v>74</v>
      </c>
      <c r="BR370" t="s">
        <v>102</v>
      </c>
      <c r="BS370" t="s">
        <v>7661</v>
      </c>
      <c r="BT370" t="str">
        <f>HYPERLINK("https%3A%2F%2Fwww.webofscience.com%2Fwos%2Fwoscc%2Ffull-record%2FWOS:001512731300001","View Full Record in Web of Science")</f>
        <v>View Full Record in Web of Science</v>
      </c>
    </row>
    <row r="371" spans="1:72" x14ac:dyDescent="0.25">
      <c r="A371" t="s">
        <v>72</v>
      </c>
      <c r="B371" t="s">
        <v>7662</v>
      </c>
      <c r="C371" t="s">
        <v>74</v>
      </c>
      <c r="D371" t="s">
        <v>74</v>
      </c>
      <c r="E371" t="s">
        <v>74</v>
      </c>
      <c r="F371" t="s">
        <v>7663</v>
      </c>
      <c r="G371" t="s">
        <v>74</v>
      </c>
      <c r="H371" t="s">
        <v>74</v>
      </c>
      <c r="I371" t="s">
        <v>7664</v>
      </c>
      <c r="J371" t="s">
        <v>7665</v>
      </c>
      <c r="K371" t="s">
        <v>74</v>
      </c>
      <c r="L371" t="s">
        <v>74</v>
      </c>
      <c r="M371" t="s">
        <v>78</v>
      </c>
      <c r="N371" t="s">
        <v>79</v>
      </c>
      <c r="O371" t="s">
        <v>74</v>
      </c>
      <c r="P371" t="s">
        <v>74</v>
      </c>
      <c r="Q371" t="s">
        <v>74</v>
      </c>
      <c r="R371" t="s">
        <v>74</v>
      </c>
      <c r="S371" t="s">
        <v>74</v>
      </c>
      <c r="T371" t="s">
        <v>7666</v>
      </c>
      <c r="U371" t="s">
        <v>74</v>
      </c>
      <c r="V371" t="s">
        <v>7667</v>
      </c>
      <c r="W371" t="s">
        <v>7668</v>
      </c>
      <c r="X371" t="s">
        <v>2394</v>
      </c>
      <c r="Y371" t="s">
        <v>7669</v>
      </c>
      <c r="Z371" t="s">
        <v>7670</v>
      </c>
      <c r="AA371" t="s">
        <v>7671</v>
      </c>
      <c r="AB371" t="s">
        <v>74</v>
      </c>
      <c r="AC371" t="s">
        <v>74</v>
      </c>
      <c r="AD371" t="s">
        <v>74</v>
      </c>
      <c r="AE371" t="s">
        <v>74</v>
      </c>
      <c r="AF371" t="s">
        <v>74</v>
      </c>
      <c r="AG371">
        <v>9</v>
      </c>
      <c r="AH371">
        <v>1</v>
      </c>
      <c r="AI371">
        <v>1</v>
      </c>
      <c r="AJ371">
        <v>1</v>
      </c>
      <c r="AK371">
        <v>61</v>
      </c>
      <c r="AL371" t="s">
        <v>7672</v>
      </c>
      <c r="AM371" t="s">
        <v>7673</v>
      </c>
      <c r="AN371" t="s">
        <v>7674</v>
      </c>
      <c r="AO371" t="s">
        <v>7675</v>
      </c>
      <c r="AP371" t="s">
        <v>74</v>
      </c>
      <c r="AQ371" t="s">
        <v>74</v>
      </c>
      <c r="AR371" t="s">
        <v>7676</v>
      </c>
      <c r="AS371" t="s">
        <v>7677</v>
      </c>
      <c r="AT371" t="s">
        <v>74</v>
      </c>
      <c r="AU371">
        <v>2012</v>
      </c>
      <c r="AV371">
        <v>17</v>
      </c>
      <c r="AW371">
        <v>8</v>
      </c>
      <c r="AX371" t="s">
        <v>74</v>
      </c>
      <c r="AY371" t="s">
        <v>74</v>
      </c>
      <c r="AZ371" t="s">
        <v>74</v>
      </c>
      <c r="BA371" t="s">
        <v>74</v>
      </c>
      <c r="BB371">
        <v>219</v>
      </c>
      <c r="BC371">
        <v>222</v>
      </c>
      <c r="BD371" t="s">
        <v>74</v>
      </c>
      <c r="BE371" t="s">
        <v>74</v>
      </c>
      <c r="BF371" t="s">
        <v>74</v>
      </c>
      <c r="BG371" t="s">
        <v>74</v>
      </c>
      <c r="BH371" t="s">
        <v>74</v>
      </c>
      <c r="BI371">
        <v>4</v>
      </c>
      <c r="BJ371" t="s">
        <v>7678</v>
      </c>
      <c r="BK371" t="s">
        <v>128</v>
      </c>
      <c r="BL371" t="s">
        <v>7678</v>
      </c>
      <c r="BM371" t="s">
        <v>7679</v>
      </c>
      <c r="BN371" t="s">
        <v>74</v>
      </c>
      <c r="BO371" t="s">
        <v>74</v>
      </c>
      <c r="BP371" t="s">
        <v>74</v>
      </c>
      <c r="BQ371" t="s">
        <v>74</v>
      </c>
      <c r="BR371" t="s">
        <v>102</v>
      </c>
      <c r="BS371" t="s">
        <v>7680</v>
      </c>
      <c r="BT371" t="str">
        <f>HYPERLINK("https%3A%2F%2Fwww.webofscience.com%2Fwos%2Fwoscc%2Ffull-record%2FWOS:000306160200045","View Full Record in Web of Science")</f>
        <v>View Full Record in Web of Science</v>
      </c>
    </row>
    <row r="372" spans="1:72" x14ac:dyDescent="0.25">
      <c r="A372" t="s">
        <v>72</v>
      </c>
      <c r="B372" t="s">
        <v>7681</v>
      </c>
      <c r="C372" t="s">
        <v>74</v>
      </c>
      <c r="D372" t="s">
        <v>74</v>
      </c>
      <c r="E372" t="s">
        <v>74</v>
      </c>
      <c r="F372" t="s">
        <v>7682</v>
      </c>
      <c r="G372" t="s">
        <v>74</v>
      </c>
      <c r="H372" t="s">
        <v>74</v>
      </c>
      <c r="I372" t="s">
        <v>7683</v>
      </c>
      <c r="J372" t="s">
        <v>7684</v>
      </c>
      <c r="K372" t="s">
        <v>74</v>
      </c>
      <c r="L372" t="s">
        <v>74</v>
      </c>
      <c r="M372" t="s">
        <v>78</v>
      </c>
      <c r="N372" t="s">
        <v>79</v>
      </c>
      <c r="O372" t="s">
        <v>74</v>
      </c>
      <c r="P372" t="s">
        <v>74</v>
      </c>
      <c r="Q372" t="s">
        <v>74</v>
      </c>
      <c r="R372" t="s">
        <v>74</v>
      </c>
      <c r="S372" t="s">
        <v>74</v>
      </c>
      <c r="T372" t="s">
        <v>7685</v>
      </c>
      <c r="U372" t="s">
        <v>7686</v>
      </c>
      <c r="V372" t="s">
        <v>7687</v>
      </c>
      <c r="W372" t="s">
        <v>7688</v>
      </c>
      <c r="X372" t="s">
        <v>2569</v>
      </c>
      <c r="Y372" t="s">
        <v>7689</v>
      </c>
      <c r="Z372" t="s">
        <v>7690</v>
      </c>
      <c r="AA372" t="s">
        <v>7691</v>
      </c>
      <c r="AB372" t="s">
        <v>7692</v>
      </c>
      <c r="AC372" t="s">
        <v>74</v>
      </c>
      <c r="AD372" t="s">
        <v>74</v>
      </c>
      <c r="AE372" t="s">
        <v>74</v>
      </c>
      <c r="AF372" t="s">
        <v>74</v>
      </c>
      <c r="AG372">
        <v>47</v>
      </c>
      <c r="AH372">
        <v>18</v>
      </c>
      <c r="AI372">
        <v>22</v>
      </c>
      <c r="AJ372">
        <v>0</v>
      </c>
      <c r="AK372">
        <v>14</v>
      </c>
      <c r="AL372" t="s">
        <v>479</v>
      </c>
      <c r="AM372" t="s">
        <v>480</v>
      </c>
      <c r="AN372" t="s">
        <v>481</v>
      </c>
      <c r="AO372" t="s">
        <v>7693</v>
      </c>
      <c r="AP372" t="s">
        <v>7694</v>
      </c>
      <c r="AQ372" t="s">
        <v>74</v>
      </c>
      <c r="AR372" t="s">
        <v>7695</v>
      </c>
      <c r="AS372" t="s">
        <v>7696</v>
      </c>
      <c r="AT372" t="s">
        <v>208</v>
      </c>
      <c r="AU372">
        <v>2020</v>
      </c>
      <c r="AV372">
        <v>35</v>
      </c>
      <c r="AW372">
        <v>1</v>
      </c>
      <c r="AX372" t="s">
        <v>74</v>
      </c>
      <c r="AY372" t="s">
        <v>74</v>
      </c>
      <c r="AZ372" t="s">
        <v>74</v>
      </c>
      <c r="BA372" t="s">
        <v>74</v>
      </c>
      <c r="BB372" t="s">
        <v>7697</v>
      </c>
      <c r="BC372" t="s">
        <v>7698</v>
      </c>
      <c r="BD372" t="s">
        <v>74</v>
      </c>
      <c r="BE372" t="s">
        <v>7699</v>
      </c>
      <c r="BF372" t="str">
        <f>HYPERLINK("http://dx.doi.org/10.1002/hpm.2930","http://dx.doi.org/10.1002/hpm.2930")</f>
        <v>http://dx.doi.org/10.1002/hpm.2930</v>
      </c>
      <c r="BG372" t="s">
        <v>74</v>
      </c>
      <c r="BH372" t="s">
        <v>7700</v>
      </c>
      <c r="BI372">
        <v>15</v>
      </c>
      <c r="BJ372" t="s">
        <v>7701</v>
      </c>
      <c r="BK372" t="s">
        <v>99</v>
      </c>
      <c r="BL372" t="s">
        <v>7702</v>
      </c>
      <c r="BM372" t="s">
        <v>7703</v>
      </c>
      <c r="BN372">
        <v>31702079</v>
      </c>
      <c r="BO372" t="s">
        <v>74</v>
      </c>
      <c r="BP372" t="s">
        <v>74</v>
      </c>
      <c r="BQ372" t="s">
        <v>74</v>
      </c>
      <c r="BR372" t="s">
        <v>102</v>
      </c>
      <c r="BS372" t="s">
        <v>7704</v>
      </c>
      <c r="BT372" t="str">
        <f>HYPERLINK("https%3A%2F%2Fwww.webofscience.com%2Fwos%2Fwoscc%2Ffull-record%2FWOS:000495100400001","View Full Record in Web of Science")</f>
        <v>View Full Record in Web of Science</v>
      </c>
    </row>
    <row r="373" spans="1:72" x14ac:dyDescent="0.25">
      <c r="A373" t="s">
        <v>72</v>
      </c>
      <c r="B373" t="s">
        <v>7705</v>
      </c>
      <c r="C373" t="s">
        <v>74</v>
      </c>
      <c r="D373" t="s">
        <v>74</v>
      </c>
      <c r="E373" t="s">
        <v>74</v>
      </c>
      <c r="F373" t="s">
        <v>7706</v>
      </c>
      <c r="G373" t="s">
        <v>74</v>
      </c>
      <c r="H373" t="s">
        <v>74</v>
      </c>
      <c r="I373" t="s">
        <v>7707</v>
      </c>
      <c r="J373" t="s">
        <v>7708</v>
      </c>
      <c r="K373" t="s">
        <v>74</v>
      </c>
      <c r="L373" t="s">
        <v>74</v>
      </c>
      <c r="M373" t="s">
        <v>78</v>
      </c>
      <c r="N373" t="s">
        <v>79</v>
      </c>
      <c r="O373" t="s">
        <v>74</v>
      </c>
      <c r="P373" t="s">
        <v>74</v>
      </c>
      <c r="Q373" t="s">
        <v>74</v>
      </c>
      <c r="R373" t="s">
        <v>74</v>
      </c>
      <c r="S373" t="s">
        <v>74</v>
      </c>
      <c r="T373" t="s">
        <v>7709</v>
      </c>
      <c r="U373" t="s">
        <v>7710</v>
      </c>
      <c r="V373" t="s">
        <v>7711</v>
      </c>
      <c r="W373" t="s">
        <v>7712</v>
      </c>
      <c r="X373" t="s">
        <v>7713</v>
      </c>
      <c r="Y373" t="s">
        <v>7714</v>
      </c>
      <c r="Z373" t="s">
        <v>7715</v>
      </c>
      <c r="AA373" t="s">
        <v>7716</v>
      </c>
      <c r="AB373" t="s">
        <v>7717</v>
      </c>
      <c r="AC373" t="s">
        <v>74</v>
      </c>
      <c r="AD373" t="s">
        <v>74</v>
      </c>
      <c r="AE373" t="s">
        <v>74</v>
      </c>
      <c r="AF373" t="s">
        <v>74</v>
      </c>
      <c r="AG373">
        <v>87</v>
      </c>
      <c r="AH373">
        <v>0</v>
      </c>
      <c r="AI373">
        <v>0</v>
      </c>
      <c r="AJ373">
        <v>1</v>
      </c>
      <c r="AK373">
        <v>2</v>
      </c>
      <c r="AL373" t="s">
        <v>201</v>
      </c>
      <c r="AM373" t="s">
        <v>202</v>
      </c>
      <c r="AN373" t="s">
        <v>203</v>
      </c>
      <c r="AO373" t="s">
        <v>7718</v>
      </c>
      <c r="AP373" t="s">
        <v>74</v>
      </c>
      <c r="AQ373" t="s">
        <v>74</v>
      </c>
      <c r="AR373" t="s">
        <v>7719</v>
      </c>
      <c r="AS373" t="s">
        <v>7720</v>
      </c>
      <c r="AT373" t="s">
        <v>1652</v>
      </c>
      <c r="AU373">
        <v>2025</v>
      </c>
      <c r="AV373">
        <v>45</v>
      </c>
      <c r="AW373" t="s">
        <v>74</v>
      </c>
      <c r="AX373" t="s">
        <v>74</v>
      </c>
      <c r="AY373" t="s">
        <v>74</v>
      </c>
      <c r="AZ373" t="s">
        <v>74</v>
      </c>
      <c r="BA373" t="s">
        <v>74</v>
      </c>
      <c r="BB373" t="s">
        <v>74</v>
      </c>
      <c r="BC373" t="s">
        <v>74</v>
      </c>
      <c r="BD373">
        <v>100847</v>
      </c>
      <c r="BE373" t="s">
        <v>7721</v>
      </c>
      <c r="BF373" t="str">
        <f>HYPERLINK("http://dx.doi.org/10.1016/j.gfs.2025.100847","http://dx.doi.org/10.1016/j.gfs.2025.100847")</f>
        <v>http://dx.doi.org/10.1016/j.gfs.2025.100847</v>
      </c>
      <c r="BG373" t="s">
        <v>74</v>
      </c>
      <c r="BH373" t="s">
        <v>2781</v>
      </c>
      <c r="BI373">
        <v>18</v>
      </c>
      <c r="BJ373" t="s">
        <v>7722</v>
      </c>
      <c r="BK373" t="s">
        <v>128</v>
      </c>
      <c r="BL373" t="s">
        <v>7722</v>
      </c>
      <c r="BM373" t="s">
        <v>7723</v>
      </c>
      <c r="BN373" t="s">
        <v>74</v>
      </c>
      <c r="BO373" t="s">
        <v>270</v>
      </c>
      <c r="BP373" t="s">
        <v>74</v>
      </c>
      <c r="BQ373" t="s">
        <v>74</v>
      </c>
      <c r="BR373" t="s">
        <v>102</v>
      </c>
      <c r="BS373" t="s">
        <v>7724</v>
      </c>
      <c r="BT373" t="str">
        <f>HYPERLINK("https%3A%2F%2Fwww.webofscience.com%2Fwos%2Fwoscc%2Ffull-record%2FWOS:001459963000001","View Full Record in Web of Science")</f>
        <v>View Full Record in Web of Science</v>
      </c>
    </row>
    <row r="374" spans="1:72" x14ac:dyDescent="0.25">
      <c r="A374" t="s">
        <v>72</v>
      </c>
      <c r="B374" t="s">
        <v>7725</v>
      </c>
      <c r="C374" t="s">
        <v>74</v>
      </c>
      <c r="D374" t="s">
        <v>74</v>
      </c>
      <c r="E374" t="s">
        <v>74</v>
      </c>
      <c r="F374" t="s">
        <v>7726</v>
      </c>
      <c r="G374" t="s">
        <v>74</v>
      </c>
      <c r="H374" t="s">
        <v>74</v>
      </c>
      <c r="I374" t="s">
        <v>7727</v>
      </c>
      <c r="J374" t="s">
        <v>7728</v>
      </c>
      <c r="K374" t="s">
        <v>74</v>
      </c>
      <c r="L374" t="s">
        <v>74</v>
      </c>
      <c r="M374" t="s">
        <v>78</v>
      </c>
      <c r="N374" t="s">
        <v>79</v>
      </c>
      <c r="O374" t="s">
        <v>74</v>
      </c>
      <c r="P374" t="s">
        <v>74</v>
      </c>
      <c r="Q374" t="s">
        <v>74</v>
      </c>
      <c r="R374" t="s">
        <v>74</v>
      </c>
      <c r="S374" t="s">
        <v>74</v>
      </c>
      <c r="T374" t="s">
        <v>7729</v>
      </c>
      <c r="U374" t="s">
        <v>7730</v>
      </c>
      <c r="V374" t="s">
        <v>7731</v>
      </c>
      <c r="W374" t="s">
        <v>7732</v>
      </c>
      <c r="X374" t="s">
        <v>7733</v>
      </c>
      <c r="Y374" t="s">
        <v>7734</v>
      </c>
      <c r="Z374" t="s">
        <v>7735</v>
      </c>
      <c r="AA374" t="s">
        <v>7736</v>
      </c>
      <c r="AB374" t="s">
        <v>7737</v>
      </c>
      <c r="AC374" t="s">
        <v>74</v>
      </c>
      <c r="AD374" t="s">
        <v>74</v>
      </c>
      <c r="AE374" t="s">
        <v>74</v>
      </c>
      <c r="AF374" t="s">
        <v>74</v>
      </c>
      <c r="AG374">
        <v>57</v>
      </c>
      <c r="AH374">
        <v>1</v>
      </c>
      <c r="AI374">
        <v>1</v>
      </c>
      <c r="AJ374">
        <v>2</v>
      </c>
      <c r="AK374">
        <v>2</v>
      </c>
      <c r="AL374" t="s">
        <v>2371</v>
      </c>
      <c r="AM374" t="s">
        <v>2372</v>
      </c>
      <c r="AN374" t="s">
        <v>2373</v>
      </c>
      <c r="AO374" t="s">
        <v>7738</v>
      </c>
      <c r="AP374" t="s">
        <v>7739</v>
      </c>
      <c r="AQ374" t="s">
        <v>74</v>
      </c>
      <c r="AR374" t="s">
        <v>7740</v>
      </c>
      <c r="AS374" t="s">
        <v>7741</v>
      </c>
      <c r="AT374" t="s">
        <v>74</v>
      </c>
      <c r="AU374">
        <v>2025</v>
      </c>
      <c r="AV374">
        <v>32</v>
      </c>
      <c r="AW374">
        <v>2</v>
      </c>
      <c r="AX374" t="s">
        <v>74</v>
      </c>
      <c r="AY374" t="s">
        <v>74</v>
      </c>
      <c r="AZ374" t="s">
        <v>74</v>
      </c>
      <c r="BA374" t="s">
        <v>74</v>
      </c>
      <c r="BB374">
        <v>197</v>
      </c>
      <c r="BC374">
        <v>214</v>
      </c>
      <c r="BD374" t="s">
        <v>74</v>
      </c>
      <c r="BE374" t="s">
        <v>7742</v>
      </c>
      <c r="BF374" t="str">
        <f>HYPERLINK("http://dx.doi.org/10.1504/GBER.2025.144241","http://dx.doi.org/10.1504/GBER.2025.144241")</f>
        <v>http://dx.doi.org/10.1504/GBER.2025.144241</v>
      </c>
      <c r="BG374" t="s">
        <v>74</v>
      </c>
      <c r="BH374" t="s">
        <v>74</v>
      </c>
      <c r="BI374">
        <v>18</v>
      </c>
      <c r="BJ374" t="s">
        <v>1453</v>
      </c>
      <c r="BK374" t="s">
        <v>313</v>
      </c>
      <c r="BL374" t="s">
        <v>100</v>
      </c>
      <c r="BM374" t="s">
        <v>7743</v>
      </c>
      <c r="BN374" t="s">
        <v>74</v>
      </c>
      <c r="BO374" t="s">
        <v>74</v>
      </c>
      <c r="BP374" t="s">
        <v>74</v>
      </c>
      <c r="BQ374" t="s">
        <v>74</v>
      </c>
      <c r="BR374" t="s">
        <v>102</v>
      </c>
      <c r="BS374" t="s">
        <v>7744</v>
      </c>
      <c r="BT374" t="str">
        <f>HYPERLINK("https%3A%2F%2Fwww.webofscience.com%2Fwos%2Fwoscc%2Ffull-record%2FWOS:001551746000001","View Full Record in Web of Science")</f>
        <v>View Full Record in Web of Science</v>
      </c>
    </row>
    <row r="375" spans="1:72" x14ac:dyDescent="0.25">
      <c r="A375" t="s">
        <v>72</v>
      </c>
      <c r="B375" t="s">
        <v>7745</v>
      </c>
      <c r="C375" t="s">
        <v>74</v>
      </c>
      <c r="D375" t="s">
        <v>74</v>
      </c>
      <c r="E375" t="s">
        <v>74</v>
      </c>
      <c r="F375" t="s">
        <v>7746</v>
      </c>
      <c r="G375" t="s">
        <v>74</v>
      </c>
      <c r="H375" t="s">
        <v>74</v>
      </c>
      <c r="I375" t="s">
        <v>7747</v>
      </c>
      <c r="J375" t="s">
        <v>7748</v>
      </c>
      <c r="K375" t="s">
        <v>74</v>
      </c>
      <c r="L375" t="s">
        <v>74</v>
      </c>
      <c r="M375" t="s">
        <v>590</v>
      </c>
      <c r="N375" t="s">
        <v>79</v>
      </c>
      <c r="O375" t="s">
        <v>74</v>
      </c>
      <c r="P375" t="s">
        <v>74</v>
      </c>
      <c r="Q375" t="s">
        <v>74</v>
      </c>
      <c r="R375" t="s">
        <v>74</v>
      </c>
      <c r="S375" t="s">
        <v>74</v>
      </c>
      <c r="T375" t="s">
        <v>7749</v>
      </c>
      <c r="U375" t="s">
        <v>74</v>
      </c>
      <c r="V375" t="s">
        <v>7750</v>
      </c>
      <c r="W375" t="s">
        <v>7751</v>
      </c>
      <c r="X375" t="s">
        <v>74</v>
      </c>
      <c r="Y375" t="s">
        <v>7752</v>
      </c>
      <c r="Z375" t="s">
        <v>7753</v>
      </c>
      <c r="AA375" t="s">
        <v>74</v>
      </c>
      <c r="AB375" t="s">
        <v>74</v>
      </c>
      <c r="AC375" t="s">
        <v>74</v>
      </c>
      <c r="AD375" t="s">
        <v>74</v>
      </c>
      <c r="AE375" t="s">
        <v>74</v>
      </c>
      <c r="AF375" t="s">
        <v>74</v>
      </c>
      <c r="AG375">
        <v>5</v>
      </c>
      <c r="AH375">
        <v>2</v>
      </c>
      <c r="AI375">
        <v>2</v>
      </c>
      <c r="AJ375">
        <v>0</v>
      </c>
      <c r="AK375">
        <v>1</v>
      </c>
      <c r="AL375" t="s">
        <v>7754</v>
      </c>
      <c r="AM375" t="s">
        <v>7755</v>
      </c>
      <c r="AN375" t="s">
        <v>7756</v>
      </c>
      <c r="AO375" t="s">
        <v>7757</v>
      </c>
      <c r="AP375" t="s">
        <v>7758</v>
      </c>
      <c r="AQ375" t="s">
        <v>74</v>
      </c>
      <c r="AR375" t="s">
        <v>7759</v>
      </c>
      <c r="AS375" t="s">
        <v>7760</v>
      </c>
      <c r="AT375" t="s">
        <v>1652</v>
      </c>
      <c r="AU375">
        <v>2017</v>
      </c>
      <c r="AV375" t="s">
        <v>74</v>
      </c>
      <c r="AW375">
        <v>24</v>
      </c>
      <c r="AX375" t="s">
        <v>74</v>
      </c>
      <c r="AY375" t="s">
        <v>74</v>
      </c>
      <c r="AZ375" t="s">
        <v>74</v>
      </c>
      <c r="BA375" t="s">
        <v>74</v>
      </c>
      <c r="BB375">
        <v>119</v>
      </c>
      <c r="BC375">
        <v>125</v>
      </c>
      <c r="BD375" t="s">
        <v>74</v>
      </c>
      <c r="BE375" t="s">
        <v>7761</v>
      </c>
      <c r="BF375" t="str">
        <f>HYPERLINK("http://dx.doi.org/10.17223/22253513/24/13","http://dx.doi.org/10.17223/22253513/24/13")</f>
        <v>http://dx.doi.org/10.17223/22253513/24/13</v>
      </c>
      <c r="BG375" t="s">
        <v>74</v>
      </c>
      <c r="BH375" t="s">
        <v>74</v>
      </c>
      <c r="BI375">
        <v>7</v>
      </c>
      <c r="BJ375" t="s">
        <v>182</v>
      </c>
      <c r="BK375" t="s">
        <v>313</v>
      </c>
      <c r="BL375" t="s">
        <v>184</v>
      </c>
      <c r="BM375" t="s">
        <v>7762</v>
      </c>
      <c r="BN375" t="s">
        <v>74</v>
      </c>
      <c r="BO375" t="s">
        <v>1205</v>
      </c>
      <c r="BP375" t="s">
        <v>74</v>
      </c>
      <c r="BQ375" t="s">
        <v>74</v>
      </c>
      <c r="BR375" t="s">
        <v>102</v>
      </c>
      <c r="BS375" t="s">
        <v>7763</v>
      </c>
      <c r="BT375" t="str">
        <f>HYPERLINK("https%3A%2F%2Fwww.webofscience.com%2Fwos%2Fwoscc%2Ffull-record%2FWOS:000444256600013","View Full Record in Web of Science")</f>
        <v>View Full Record in Web of Science</v>
      </c>
    </row>
    <row r="376" spans="1:72" x14ac:dyDescent="0.25">
      <c r="A376" t="s">
        <v>72</v>
      </c>
      <c r="B376" t="s">
        <v>7764</v>
      </c>
      <c r="C376" t="s">
        <v>74</v>
      </c>
      <c r="D376" t="s">
        <v>74</v>
      </c>
      <c r="E376" t="s">
        <v>74</v>
      </c>
      <c r="F376" t="s">
        <v>7765</v>
      </c>
      <c r="G376" t="s">
        <v>74</v>
      </c>
      <c r="H376" t="s">
        <v>74</v>
      </c>
      <c r="I376" t="s">
        <v>7766</v>
      </c>
      <c r="J376" t="s">
        <v>7767</v>
      </c>
      <c r="K376" t="s">
        <v>74</v>
      </c>
      <c r="L376" t="s">
        <v>74</v>
      </c>
      <c r="M376" t="s">
        <v>78</v>
      </c>
      <c r="N376" t="s">
        <v>79</v>
      </c>
      <c r="O376" t="s">
        <v>74</v>
      </c>
      <c r="P376" t="s">
        <v>74</v>
      </c>
      <c r="Q376" t="s">
        <v>74</v>
      </c>
      <c r="R376" t="s">
        <v>74</v>
      </c>
      <c r="S376" t="s">
        <v>74</v>
      </c>
      <c r="T376" t="s">
        <v>7768</v>
      </c>
      <c r="U376" t="s">
        <v>74</v>
      </c>
      <c r="V376" t="s">
        <v>7769</v>
      </c>
      <c r="W376" t="s">
        <v>7770</v>
      </c>
      <c r="X376" t="s">
        <v>7771</v>
      </c>
      <c r="Y376" t="s">
        <v>7772</v>
      </c>
      <c r="Z376" t="s">
        <v>7773</v>
      </c>
      <c r="AA376" t="s">
        <v>7774</v>
      </c>
      <c r="AB376" t="s">
        <v>74</v>
      </c>
      <c r="AC376" t="s">
        <v>7775</v>
      </c>
      <c r="AD376" t="s">
        <v>7776</v>
      </c>
      <c r="AE376" t="s">
        <v>7777</v>
      </c>
      <c r="AF376" t="s">
        <v>74</v>
      </c>
      <c r="AG376">
        <v>59</v>
      </c>
      <c r="AH376">
        <v>3</v>
      </c>
      <c r="AI376">
        <v>4</v>
      </c>
      <c r="AJ376">
        <v>3</v>
      </c>
      <c r="AK376">
        <v>14</v>
      </c>
      <c r="AL376" t="s">
        <v>2398</v>
      </c>
      <c r="AM376" t="s">
        <v>2399</v>
      </c>
      <c r="AN376" t="s">
        <v>7778</v>
      </c>
      <c r="AO376" t="s">
        <v>7779</v>
      </c>
      <c r="AP376" t="s">
        <v>7780</v>
      </c>
      <c r="AQ376" t="s">
        <v>74</v>
      </c>
      <c r="AR376" t="s">
        <v>7781</v>
      </c>
      <c r="AS376" t="s">
        <v>7782</v>
      </c>
      <c r="AT376" t="s">
        <v>1159</v>
      </c>
      <c r="AU376">
        <v>2023</v>
      </c>
      <c r="AV376">
        <v>13</v>
      </c>
      <c r="AW376">
        <v>3</v>
      </c>
      <c r="AX376" t="s">
        <v>74</v>
      </c>
      <c r="AY376" t="s">
        <v>74</v>
      </c>
      <c r="AZ376" t="s">
        <v>74</v>
      </c>
      <c r="BA376" t="s">
        <v>74</v>
      </c>
      <c r="BB376">
        <v>384</v>
      </c>
      <c r="BC376">
        <v>407</v>
      </c>
      <c r="BD376" t="s">
        <v>74</v>
      </c>
      <c r="BE376" t="s">
        <v>7783</v>
      </c>
      <c r="BF376" t="str">
        <f>HYPERLINK("http://dx.doi.org/10.24818/TBJ/2023/13/3.04","http://dx.doi.org/10.24818/TBJ/2023/13/3.04")</f>
        <v>http://dx.doi.org/10.24818/TBJ/2023/13/3.04</v>
      </c>
      <c r="BG376" t="s">
        <v>74</v>
      </c>
      <c r="BH376" t="s">
        <v>74</v>
      </c>
      <c r="BI376">
        <v>24</v>
      </c>
      <c r="BJ376" t="s">
        <v>182</v>
      </c>
      <c r="BK376" t="s">
        <v>313</v>
      </c>
      <c r="BL376" t="s">
        <v>184</v>
      </c>
      <c r="BM376" t="s">
        <v>7784</v>
      </c>
      <c r="BN376" t="s">
        <v>74</v>
      </c>
      <c r="BO376" t="s">
        <v>1205</v>
      </c>
      <c r="BP376" t="s">
        <v>74</v>
      </c>
      <c r="BQ376" t="s">
        <v>74</v>
      </c>
      <c r="BR376" t="s">
        <v>102</v>
      </c>
      <c r="BS376" t="s">
        <v>7785</v>
      </c>
      <c r="BT376" t="str">
        <f>HYPERLINK("https%3A%2F%2Fwww.webofscience.com%2Fwos%2Fwoscc%2Ffull-record%2FWOS:001090715000004","View Full Record in Web of Science")</f>
        <v>View Full Record in Web of Science</v>
      </c>
    </row>
    <row r="377" spans="1:72" x14ac:dyDescent="0.25">
      <c r="A377" t="s">
        <v>72</v>
      </c>
      <c r="B377" t="s">
        <v>7786</v>
      </c>
      <c r="C377" t="s">
        <v>74</v>
      </c>
      <c r="D377" t="s">
        <v>74</v>
      </c>
      <c r="E377" t="s">
        <v>74</v>
      </c>
      <c r="F377" t="s">
        <v>7787</v>
      </c>
      <c r="G377" t="s">
        <v>74</v>
      </c>
      <c r="H377" t="s">
        <v>74</v>
      </c>
      <c r="I377" t="s">
        <v>7788</v>
      </c>
      <c r="J377" t="s">
        <v>7789</v>
      </c>
      <c r="K377" t="s">
        <v>74</v>
      </c>
      <c r="L377" t="s">
        <v>74</v>
      </c>
      <c r="M377" t="s">
        <v>78</v>
      </c>
      <c r="N377" t="s">
        <v>79</v>
      </c>
      <c r="O377" t="s">
        <v>74</v>
      </c>
      <c r="P377" t="s">
        <v>74</v>
      </c>
      <c r="Q377" t="s">
        <v>74</v>
      </c>
      <c r="R377" t="s">
        <v>74</v>
      </c>
      <c r="S377" t="s">
        <v>74</v>
      </c>
      <c r="T377" t="s">
        <v>7790</v>
      </c>
      <c r="U377" t="s">
        <v>7791</v>
      </c>
      <c r="V377" t="s">
        <v>7792</v>
      </c>
      <c r="W377" t="s">
        <v>7793</v>
      </c>
      <c r="X377" t="s">
        <v>7794</v>
      </c>
      <c r="Y377" t="s">
        <v>7795</v>
      </c>
      <c r="Z377" t="s">
        <v>7796</v>
      </c>
      <c r="AA377" t="s">
        <v>7797</v>
      </c>
      <c r="AB377" t="s">
        <v>7798</v>
      </c>
      <c r="AC377" t="s">
        <v>74</v>
      </c>
      <c r="AD377" t="s">
        <v>74</v>
      </c>
      <c r="AE377" t="s">
        <v>74</v>
      </c>
      <c r="AF377" t="s">
        <v>74</v>
      </c>
      <c r="AG377">
        <v>65</v>
      </c>
      <c r="AH377">
        <v>0</v>
      </c>
      <c r="AI377">
        <v>0</v>
      </c>
      <c r="AJ377">
        <v>0</v>
      </c>
      <c r="AK377">
        <v>2</v>
      </c>
      <c r="AL377" t="s">
        <v>385</v>
      </c>
      <c r="AM377" t="s">
        <v>151</v>
      </c>
      <c r="AN377" t="s">
        <v>386</v>
      </c>
      <c r="AO377" t="s">
        <v>7799</v>
      </c>
      <c r="AP377" t="s">
        <v>7800</v>
      </c>
      <c r="AQ377" t="s">
        <v>74</v>
      </c>
      <c r="AR377" t="s">
        <v>7801</v>
      </c>
      <c r="AS377" t="s">
        <v>7802</v>
      </c>
      <c r="AT377" t="s">
        <v>1540</v>
      </c>
      <c r="AU377">
        <v>2024</v>
      </c>
      <c r="AV377">
        <v>205</v>
      </c>
      <c r="AW377">
        <v>1</v>
      </c>
      <c r="AX377" t="s">
        <v>74</v>
      </c>
      <c r="AY377" t="s">
        <v>74</v>
      </c>
      <c r="AZ377" t="s">
        <v>74</v>
      </c>
      <c r="BA377" t="s">
        <v>74</v>
      </c>
      <c r="BB377">
        <v>169</v>
      </c>
      <c r="BC377">
        <v>179</v>
      </c>
      <c r="BD377" t="s">
        <v>74</v>
      </c>
      <c r="BE377" t="s">
        <v>7803</v>
      </c>
      <c r="BF377" t="str">
        <f>HYPERLINK("http://dx.doi.org/10.1007/s10549-024-07244-7","http://dx.doi.org/10.1007/s10549-024-07244-7")</f>
        <v>http://dx.doi.org/10.1007/s10549-024-07244-7</v>
      </c>
      <c r="BG377" t="s">
        <v>74</v>
      </c>
      <c r="BH377" t="s">
        <v>1239</v>
      </c>
      <c r="BI377">
        <v>11</v>
      </c>
      <c r="BJ377" t="s">
        <v>7804</v>
      </c>
      <c r="BK377" t="s">
        <v>128</v>
      </c>
      <c r="BL377" t="s">
        <v>7804</v>
      </c>
      <c r="BM377" t="s">
        <v>7805</v>
      </c>
      <c r="BN377">
        <v>38347257</v>
      </c>
      <c r="BO377" t="s">
        <v>74</v>
      </c>
      <c r="BP377" t="s">
        <v>74</v>
      </c>
      <c r="BQ377" t="s">
        <v>74</v>
      </c>
      <c r="BR377" t="s">
        <v>102</v>
      </c>
      <c r="BS377" t="s">
        <v>7806</v>
      </c>
      <c r="BT377" t="str">
        <f>HYPERLINK("https%3A%2F%2Fwww.webofscience.com%2Fwos%2Fwoscc%2Ffull-record%2FWOS:001160320200001","View Full Record in Web of Science")</f>
        <v>View Full Record in Web of Science</v>
      </c>
    </row>
    <row r="378" spans="1:72" x14ac:dyDescent="0.25">
      <c r="A378" t="s">
        <v>132</v>
      </c>
      <c r="B378" t="s">
        <v>7807</v>
      </c>
      <c r="C378" t="s">
        <v>74</v>
      </c>
      <c r="D378" t="s">
        <v>631</v>
      </c>
      <c r="E378" t="s">
        <v>74</v>
      </c>
      <c r="F378" t="s">
        <v>7808</v>
      </c>
      <c r="G378" t="s">
        <v>74</v>
      </c>
      <c r="H378" t="s">
        <v>74</v>
      </c>
      <c r="I378" t="s">
        <v>7809</v>
      </c>
      <c r="J378" t="s">
        <v>634</v>
      </c>
      <c r="K378" t="s">
        <v>74</v>
      </c>
      <c r="L378" t="s">
        <v>74</v>
      </c>
      <c r="M378" t="s">
        <v>78</v>
      </c>
      <c r="N378" t="s">
        <v>138</v>
      </c>
      <c r="O378" t="s">
        <v>635</v>
      </c>
      <c r="P378" t="s">
        <v>636</v>
      </c>
      <c r="Q378" t="s">
        <v>637</v>
      </c>
      <c r="R378" t="s">
        <v>638</v>
      </c>
      <c r="S378" t="s">
        <v>74</v>
      </c>
      <c r="T378" t="s">
        <v>7810</v>
      </c>
      <c r="U378" t="s">
        <v>74</v>
      </c>
      <c r="V378" t="s">
        <v>7811</v>
      </c>
      <c r="W378" t="s">
        <v>7812</v>
      </c>
      <c r="X378" t="s">
        <v>7813</v>
      </c>
      <c r="Y378" t="s">
        <v>7814</v>
      </c>
      <c r="Z378" t="s">
        <v>7815</v>
      </c>
      <c r="AA378" t="s">
        <v>7816</v>
      </c>
      <c r="AB378" t="s">
        <v>74</v>
      </c>
      <c r="AC378" t="s">
        <v>74</v>
      </c>
      <c r="AD378" t="s">
        <v>74</v>
      </c>
      <c r="AE378" t="s">
        <v>74</v>
      </c>
      <c r="AF378" t="s">
        <v>74</v>
      </c>
      <c r="AG378">
        <v>12</v>
      </c>
      <c r="AH378">
        <v>0</v>
      </c>
      <c r="AI378">
        <v>0</v>
      </c>
      <c r="AJ378">
        <v>0</v>
      </c>
      <c r="AK378">
        <v>1</v>
      </c>
      <c r="AL378" t="s">
        <v>645</v>
      </c>
      <c r="AM378" t="s">
        <v>646</v>
      </c>
      <c r="AN378" t="s">
        <v>647</v>
      </c>
      <c r="AO378" t="s">
        <v>74</v>
      </c>
      <c r="AP378" t="s">
        <v>74</v>
      </c>
      <c r="AQ378" t="s">
        <v>648</v>
      </c>
      <c r="AR378" t="s">
        <v>74</v>
      </c>
      <c r="AS378" t="s">
        <v>74</v>
      </c>
      <c r="AT378" t="s">
        <v>74</v>
      </c>
      <c r="AU378">
        <v>2020</v>
      </c>
      <c r="AV378" t="s">
        <v>74</v>
      </c>
      <c r="AW378" t="s">
        <v>74</v>
      </c>
      <c r="AX378" t="s">
        <v>74</v>
      </c>
      <c r="AY378" t="s">
        <v>74</v>
      </c>
      <c r="AZ378" t="s">
        <v>74</v>
      </c>
      <c r="BA378" t="s">
        <v>74</v>
      </c>
      <c r="BB378">
        <v>13508</v>
      </c>
      <c r="BC378">
        <v>13514</v>
      </c>
      <c r="BD378" t="s">
        <v>74</v>
      </c>
      <c r="BE378" t="s">
        <v>74</v>
      </c>
      <c r="BF378" t="s">
        <v>74</v>
      </c>
      <c r="BG378" t="s">
        <v>74</v>
      </c>
      <c r="BH378" t="s">
        <v>74</v>
      </c>
      <c r="BI378">
        <v>7</v>
      </c>
      <c r="BJ378" t="s">
        <v>649</v>
      </c>
      <c r="BK378" t="s">
        <v>183</v>
      </c>
      <c r="BL378" t="s">
        <v>650</v>
      </c>
      <c r="BM378" t="s">
        <v>651</v>
      </c>
      <c r="BN378" t="s">
        <v>74</v>
      </c>
      <c r="BO378" t="s">
        <v>74</v>
      </c>
      <c r="BP378" t="s">
        <v>74</v>
      </c>
      <c r="BQ378" t="s">
        <v>74</v>
      </c>
      <c r="BR378" t="s">
        <v>102</v>
      </c>
      <c r="BS378" t="s">
        <v>7817</v>
      </c>
      <c r="BT378" t="str">
        <f>HYPERLINK("https%3A%2F%2Fwww.webofscience.com%2Fwos%2Fwoscc%2Ffull-record%2FWOS:000661489804043","View Full Record in Web of Science")</f>
        <v>View Full Record in Web of Science</v>
      </c>
    </row>
    <row r="379" spans="1:72" x14ac:dyDescent="0.25">
      <c r="A379" t="s">
        <v>132</v>
      </c>
      <c r="B379" t="s">
        <v>7818</v>
      </c>
      <c r="C379" t="s">
        <v>74</v>
      </c>
      <c r="D379" t="s">
        <v>74</v>
      </c>
      <c r="E379" t="s">
        <v>771</v>
      </c>
      <c r="F379" t="s">
        <v>7819</v>
      </c>
      <c r="G379" t="s">
        <v>74</v>
      </c>
      <c r="H379" t="s">
        <v>74</v>
      </c>
      <c r="I379" t="s">
        <v>7820</v>
      </c>
      <c r="J379" t="s">
        <v>7821</v>
      </c>
      <c r="K379" t="s">
        <v>74</v>
      </c>
      <c r="L379" t="s">
        <v>74</v>
      </c>
      <c r="M379" t="s">
        <v>78</v>
      </c>
      <c r="N379" t="s">
        <v>138</v>
      </c>
      <c r="O379" t="s">
        <v>7822</v>
      </c>
      <c r="P379" t="s">
        <v>7823</v>
      </c>
      <c r="Q379" t="s">
        <v>543</v>
      </c>
      <c r="R379" t="s">
        <v>7824</v>
      </c>
      <c r="S379" t="s">
        <v>74</v>
      </c>
      <c r="T379" t="s">
        <v>7825</v>
      </c>
      <c r="U379" t="s">
        <v>74</v>
      </c>
      <c r="V379" t="s">
        <v>7826</v>
      </c>
      <c r="W379" t="s">
        <v>7827</v>
      </c>
      <c r="X379" t="s">
        <v>7828</v>
      </c>
      <c r="Y379" t="s">
        <v>7829</v>
      </c>
      <c r="Z379" t="s">
        <v>7830</v>
      </c>
      <c r="AA379" t="s">
        <v>74</v>
      </c>
      <c r="AB379" t="s">
        <v>74</v>
      </c>
      <c r="AC379" t="s">
        <v>74</v>
      </c>
      <c r="AD379" t="s">
        <v>74</v>
      </c>
      <c r="AE379" t="s">
        <v>74</v>
      </c>
      <c r="AF379" t="s">
        <v>74</v>
      </c>
      <c r="AG379">
        <v>18</v>
      </c>
      <c r="AH379">
        <v>1</v>
      </c>
      <c r="AI379">
        <v>2</v>
      </c>
      <c r="AJ379">
        <v>0</v>
      </c>
      <c r="AK379">
        <v>2</v>
      </c>
      <c r="AL379" t="s">
        <v>771</v>
      </c>
      <c r="AM379" t="s">
        <v>151</v>
      </c>
      <c r="AN379" t="s">
        <v>785</v>
      </c>
      <c r="AO379" t="s">
        <v>74</v>
      </c>
      <c r="AP379" t="s">
        <v>74</v>
      </c>
      <c r="AQ379" t="s">
        <v>7831</v>
      </c>
      <c r="AR379" t="s">
        <v>74</v>
      </c>
      <c r="AS379" t="s">
        <v>74</v>
      </c>
      <c r="AT379" t="s">
        <v>74</v>
      </c>
      <c r="AU379">
        <v>2016</v>
      </c>
      <c r="AV379" t="s">
        <v>74</v>
      </c>
      <c r="AW379" t="s">
        <v>74</v>
      </c>
      <c r="AX379" t="s">
        <v>74</v>
      </c>
      <c r="AY379" t="s">
        <v>74</v>
      </c>
      <c r="AZ379" t="s">
        <v>74</v>
      </c>
      <c r="BA379" t="s">
        <v>74</v>
      </c>
      <c r="BB379">
        <v>150</v>
      </c>
      <c r="BC379">
        <v>154</v>
      </c>
      <c r="BD379" t="s">
        <v>74</v>
      </c>
      <c r="BE379" t="s">
        <v>74</v>
      </c>
      <c r="BF379" t="s">
        <v>74</v>
      </c>
      <c r="BG379" t="s">
        <v>74</v>
      </c>
      <c r="BH379" t="s">
        <v>74</v>
      </c>
      <c r="BI379">
        <v>5</v>
      </c>
      <c r="BJ379" t="s">
        <v>1779</v>
      </c>
      <c r="BK379" t="s">
        <v>156</v>
      </c>
      <c r="BL379" t="s">
        <v>157</v>
      </c>
      <c r="BM379" t="s">
        <v>7832</v>
      </c>
      <c r="BN379" t="s">
        <v>74</v>
      </c>
      <c r="BO379" t="s">
        <v>74</v>
      </c>
      <c r="BP379" t="s">
        <v>74</v>
      </c>
      <c r="BQ379" t="s">
        <v>74</v>
      </c>
      <c r="BR379" t="s">
        <v>102</v>
      </c>
      <c r="BS379" t="s">
        <v>7833</v>
      </c>
      <c r="BT379" t="str">
        <f>HYPERLINK("https%3A%2F%2Fwww.webofscience.com%2Fwos%2Fwoscc%2Ffull-record%2FWOS:000405555700028","View Full Record in Web of Science")</f>
        <v>View Full Record in Web of Science</v>
      </c>
    </row>
    <row r="380" spans="1:72" x14ac:dyDescent="0.25">
      <c r="A380" t="s">
        <v>72</v>
      </c>
      <c r="B380" t="s">
        <v>7834</v>
      </c>
      <c r="C380" t="s">
        <v>74</v>
      </c>
      <c r="D380" t="s">
        <v>74</v>
      </c>
      <c r="E380" t="s">
        <v>74</v>
      </c>
      <c r="F380" t="s">
        <v>7835</v>
      </c>
      <c r="G380" t="s">
        <v>74</v>
      </c>
      <c r="H380" t="s">
        <v>74</v>
      </c>
      <c r="I380" t="s">
        <v>7836</v>
      </c>
      <c r="J380" t="s">
        <v>7837</v>
      </c>
      <c r="K380" t="s">
        <v>74</v>
      </c>
      <c r="L380" t="s">
        <v>74</v>
      </c>
      <c r="M380" t="s">
        <v>78</v>
      </c>
      <c r="N380" t="s">
        <v>79</v>
      </c>
      <c r="O380" t="s">
        <v>74</v>
      </c>
      <c r="P380" t="s">
        <v>74</v>
      </c>
      <c r="Q380" t="s">
        <v>74</v>
      </c>
      <c r="R380" t="s">
        <v>74</v>
      </c>
      <c r="S380" t="s">
        <v>74</v>
      </c>
      <c r="T380" t="s">
        <v>7838</v>
      </c>
      <c r="U380" t="s">
        <v>7839</v>
      </c>
      <c r="V380" t="s">
        <v>7840</v>
      </c>
      <c r="W380" t="s">
        <v>7841</v>
      </c>
      <c r="X380" t="s">
        <v>7842</v>
      </c>
      <c r="Y380" t="s">
        <v>7843</v>
      </c>
      <c r="Z380" t="s">
        <v>7844</v>
      </c>
      <c r="AA380" t="s">
        <v>7845</v>
      </c>
      <c r="AB380" t="s">
        <v>7846</v>
      </c>
      <c r="AC380" t="s">
        <v>74</v>
      </c>
      <c r="AD380" t="s">
        <v>74</v>
      </c>
      <c r="AE380" t="s">
        <v>74</v>
      </c>
      <c r="AF380" t="s">
        <v>74</v>
      </c>
      <c r="AG380">
        <v>74</v>
      </c>
      <c r="AH380">
        <v>6</v>
      </c>
      <c r="AI380">
        <v>9</v>
      </c>
      <c r="AJ380">
        <v>0</v>
      </c>
      <c r="AK380">
        <v>20</v>
      </c>
      <c r="AL380" t="s">
        <v>89</v>
      </c>
      <c r="AM380" t="s">
        <v>90</v>
      </c>
      <c r="AN380" t="s">
        <v>91</v>
      </c>
      <c r="AO380" t="s">
        <v>7847</v>
      </c>
      <c r="AP380" t="s">
        <v>7848</v>
      </c>
      <c r="AQ380" t="s">
        <v>74</v>
      </c>
      <c r="AR380" t="s">
        <v>7849</v>
      </c>
      <c r="AS380" t="s">
        <v>7850</v>
      </c>
      <c r="AT380" t="s">
        <v>7851</v>
      </c>
      <c r="AU380">
        <v>2024</v>
      </c>
      <c r="AV380">
        <v>19</v>
      </c>
      <c r="AW380">
        <v>9</v>
      </c>
      <c r="AX380" t="s">
        <v>74</v>
      </c>
      <c r="AY380" t="s">
        <v>74</v>
      </c>
      <c r="AZ380" t="s">
        <v>74</v>
      </c>
      <c r="BA380" t="s">
        <v>74</v>
      </c>
      <c r="BB380">
        <v>2428</v>
      </c>
      <c r="BC380">
        <v>2445</v>
      </c>
      <c r="BD380" t="s">
        <v>74</v>
      </c>
      <c r="BE380" t="s">
        <v>7852</v>
      </c>
      <c r="BF380" t="str">
        <f>HYPERLINK("http://dx.doi.org/10.1108/IJOEM-02-2022-0271","http://dx.doi.org/10.1108/IJOEM-02-2022-0271")</f>
        <v>http://dx.doi.org/10.1108/IJOEM-02-2022-0271</v>
      </c>
      <c r="BG380" t="s">
        <v>74</v>
      </c>
      <c r="BH380" t="s">
        <v>5112</v>
      </c>
      <c r="BI380">
        <v>18</v>
      </c>
      <c r="BJ380" t="s">
        <v>6512</v>
      </c>
      <c r="BK380" t="s">
        <v>99</v>
      </c>
      <c r="BL380" t="s">
        <v>100</v>
      </c>
      <c r="BM380" t="s">
        <v>7853</v>
      </c>
      <c r="BN380" t="s">
        <v>74</v>
      </c>
      <c r="BO380" t="s">
        <v>74</v>
      </c>
      <c r="BP380" t="s">
        <v>74</v>
      </c>
      <c r="BQ380" t="s">
        <v>74</v>
      </c>
      <c r="BR380" t="s">
        <v>102</v>
      </c>
      <c r="BS380" t="s">
        <v>7854</v>
      </c>
      <c r="BT380" t="str">
        <f>HYPERLINK("https%3A%2F%2Fwww.webofscience.com%2Fwos%2Fwoscc%2Ffull-record%2FWOS:000885352300001","View Full Record in Web of Science")</f>
        <v>View Full Record in Web of Science</v>
      </c>
    </row>
    <row r="381" spans="1:72" x14ac:dyDescent="0.25">
      <c r="A381" t="s">
        <v>72</v>
      </c>
      <c r="B381" t="s">
        <v>7855</v>
      </c>
      <c r="C381" t="s">
        <v>74</v>
      </c>
      <c r="D381" t="s">
        <v>74</v>
      </c>
      <c r="E381" t="s">
        <v>74</v>
      </c>
      <c r="F381" t="s">
        <v>7856</v>
      </c>
      <c r="G381" t="s">
        <v>74</v>
      </c>
      <c r="H381" t="s">
        <v>74</v>
      </c>
      <c r="I381" t="s">
        <v>7857</v>
      </c>
      <c r="J381" t="s">
        <v>3036</v>
      </c>
      <c r="K381" t="s">
        <v>74</v>
      </c>
      <c r="L381" t="s">
        <v>74</v>
      </c>
      <c r="M381" t="s">
        <v>78</v>
      </c>
      <c r="N381" t="s">
        <v>79</v>
      </c>
      <c r="O381" t="s">
        <v>74</v>
      </c>
      <c r="P381" t="s">
        <v>74</v>
      </c>
      <c r="Q381" t="s">
        <v>74</v>
      </c>
      <c r="R381" t="s">
        <v>74</v>
      </c>
      <c r="S381" t="s">
        <v>74</v>
      </c>
      <c r="T381" t="s">
        <v>7858</v>
      </c>
      <c r="U381" t="s">
        <v>74</v>
      </c>
      <c r="V381" t="s">
        <v>7859</v>
      </c>
      <c r="W381" t="s">
        <v>7860</v>
      </c>
      <c r="X381" t="s">
        <v>74</v>
      </c>
      <c r="Y381" t="s">
        <v>7861</v>
      </c>
      <c r="Z381" t="s">
        <v>7862</v>
      </c>
      <c r="AA381" t="s">
        <v>7863</v>
      </c>
      <c r="AB381" t="s">
        <v>7864</v>
      </c>
      <c r="AC381" t="s">
        <v>74</v>
      </c>
      <c r="AD381" t="s">
        <v>74</v>
      </c>
      <c r="AE381" t="s">
        <v>74</v>
      </c>
      <c r="AF381" t="s">
        <v>74</v>
      </c>
      <c r="AG381">
        <v>36</v>
      </c>
      <c r="AH381">
        <v>7</v>
      </c>
      <c r="AI381">
        <v>9</v>
      </c>
      <c r="AJ381">
        <v>0</v>
      </c>
      <c r="AK381">
        <v>18</v>
      </c>
      <c r="AL381" t="s">
        <v>385</v>
      </c>
      <c r="AM381" t="s">
        <v>151</v>
      </c>
      <c r="AN381" t="s">
        <v>386</v>
      </c>
      <c r="AO381" t="s">
        <v>3045</v>
      </c>
      <c r="AP381" t="s">
        <v>3046</v>
      </c>
      <c r="AQ381" t="s">
        <v>74</v>
      </c>
      <c r="AR381" t="s">
        <v>3047</v>
      </c>
      <c r="AS381" t="s">
        <v>3048</v>
      </c>
      <c r="AT381" t="s">
        <v>124</v>
      </c>
      <c r="AU381">
        <v>2023</v>
      </c>
      <c r="AV381">
        <v>14</v>
      </c>
      <c r="AW381">
        <v>4</v>
      </c>
      <c r="AX381" t="s">
        <v>74</v>
      </c>
      <c r="AY381" t="s">
        <v>74</v>
      </c>
      <c r="AZ381" t="s">
        <v>74</v>
      </c>
      <c r="BA381" t="s">
        <v>74</v>
      </c>
      <c r="BB381">
        <v>4393</v>
      </c>
      <c r="BC381">
        <v>4412</v>
      </c>
      <c r="BD381" t="s">
        <v>74</v>
      </c>
      <c r="BE381" t="s">
        <v>7865</v>
      </c>
      <c r="BF381" t="str">
        <f>HYPERLINK("http://dx.doi.org/10.1007/s13132-022-01040-8","http://dx.doi.org/10.1007/s13132-022-01040-8")</f>
        <v>http://dx.doi.org/10.1007/s13132-022-01040-8</v>
      </c>
      <c r="BG381" t="s">
        <v>74</v>
      </c>
      <c r="BH381" t="s">
        <v>6014</v>
      </c>
      <c r="BI381">
        <v>20</v>
      </c>
      <c r="BJ381" t="s">
        <v>291</v>
      </c>
      <c r="BK381" t="s">
        <v>99</v>
      </c>
      <c r="BL381" t="s">
        <v>100</v>
      </c>
      <c r="BM381" t="s">
        <v>3051</v>
      </c>
      <c r="BN381" t="s">
        <v>74</v>
      </c>
      <c r="BO381" t="s">
        <v>74</v>
      </c>
      <c r="BP381" t="s">
        <v>74</v>
      </c>
      <c r="BQ381" t="s">
        <v>74</v>
      </c>
      <c r="BR381" t="s">
        <v>102</v>
      </c>
      <c r="BS381" t="s">
        <v>7866</v>
      </c>
      <c r="BT381" t="str">
        <f>HYPERLINK("https%3A%2F%2Fwww.webofscience.com%2Fwos%2Fwoscc%2Ffull-record%2FWOS:000858882100001","View Full Record in Web of Science")</f>
        <v>View Full Record in Web of Science</v>
      </c>
    </row>
    <row r="382" spans="1:72" x14ac:dyDescent="0.25">
      <c r="A382" t="s">
        <v>72</v>
      </c>
      <c r="B382" t="s">
        <v>7867</v>
      </c>
      <c r="C382" t="s">
        <v>74</v>
      </c>
      <c r="D382" t="s">
        <v>74</v>
      </c>
      <c r="E382" t="s">
        <v>74</v>
      </c>
      <c r="F382" t="s">
        <v>7868</v>
      </c>
      <c r="G382" t="s">
        <v>74</v>
      </c>
      <c r="H382" t="s">
        <v>74</v>
      </c>
      <c r="I382" t="s">
        <v>7869</v>
      </c>
      <c r="J382" t="s">
        <v>7870</v>
      </c>
      <c r="K382" t="s">
        <v>74</v>
      </c>
      <c r="L382" t="s">
        <v>74</v>
      </c>
      <c r="M382" t="s">
        <v>78</v>
      </c>
      <c r="N382" t="s">
        <v>79</v>
      </c>
      <c r="O382" t="s">
        <v>74</v>
      </c>
      <c r="P382" t="s">
        <v>74</v>
      </c>
      <c r="Q382" t="s">
        <v>74</v>
      </c>
      <c r="R382" t="s">
        <v>74</v>
      </c>
      <c r="S382" t="s">
        <v>74</v>
      </c>
      <c r="T382" t="s">
        <v>7871</v>
      </c>
      <c r="U382" t="s">
        <v>7872</v>
      </c>
      <c r="V382" t="s">
        <v>7873</v>
      </c>
      <c r="W382" t="s">
        <v>7874</v>
      </c>
      <c r="X382" t="s">
        <v>7875</v>
      </c>
      <c r="Y382" t="s">
        <v>7876</v>
      </c>
      <c r="Z382" t="s">
        <v>7877</v>
      </c>
      <c r="AA382" t="s">
        <v>7878</v>
      </c>
      <c r="AB382" t="s">
        <v>7879</v>
      </c>
      <c r="AC382" t="s">
        <v>74</v>
      </c>
      <c r="AD382" t="s">
        <v>74</v>
      </c>
      <c r="AE382" t="s">
        <v>74</v>
      </c>
      <c r="AF382" t="s">
        <v>74</v>
      </c>
      <c r="AG382">
        <v>29</v>
      </c>
      <c r="AH382">
        <v>4</v>
      </c>
      <c r="AI382">
        <v>5</v>
      </c>
      <c r="AJ382">
        <v>0</v>
      </c>
      <c r="AK382">
        <v>13</v>
      </c>
      <c r="AL382" t="s">
        <v>7880</v>
      </c>
      <c r="AM382" t="s">
        <v>7881</v>
      </c>
      <c r="AN382" t="s">
        <v>7882</v>
      </c>
      <c r="AO382" t="s">
        <v>7883</v>
      </c>
      <c r="AP382" t="s">
        <v>7884</v>
      </c>
      <c r="AQ382" t="s">
        <v>74</v>
      </c>
      <c r="AR382" t="s">
        <v>7885</v>
      </c>
      <c r="AS382" t="s">
        <v>7886</v>
      </c>
      <c r="AT382" t="s">
        <v>1652</v>
      </c>
      <c r="AU382">
        <v>2015</v>
      </c>
      <c r="AV382">
        <v>19</v>
      </c>
      <c r="AW382">
        <v>2</v>
      </c>
      <c r="AX382" t="s">
        <v>74</v>
      </c>
      <c r="AY382" t="s">
        <v>74</v>
      </c>
      <c r="AZ382" t="s">
        <v>74</v>
      </c>
      <c r="BA382" t="s">
        <v>74</v>
      </c>
      <c r="BB382">
        <v>143</v>
      </c>
      <c r="BC382">
        <v>166</v>
      </c>
      <c r="BD382" t="s">
        <v>74</v>
      </c>
      <c r="BE382" t="s">
        <v>7887</v>
      </c>
      <c r="BF382" t="str">
        <f>HYPERLINK("http://dx.doi.org/10.11644/KIEP.JEAI.2015.19.2.294","http://dx.doi.org/10.11644/KIEP.JEAI.2015.19.2.294")</f>
        <v>http://dx.doi.org/10.11644/KIEP.JEAI.2015.19.2.294</v>
      </c>
      <c r="BG382" t="s">
        <v>74</v>
      </c>
      <c r="BH382" t="s">
        <v>74</v>
      </c>
      <c r="BI382">
        <v>24</v>
      </c>
      <c r="BJ382" t="s">
        <v>291</v>
      </c>
      <c r="BK382" t="s">
        <v>313</v>
      </c>
      <c r="BL382" t="s">
        <v>100</v>
      </c>
      <c r="BM382" t="s">
        <v>7888</v>
      </c>
      <c r="BN382" t="s">
        <v>74</v>
      </c>
      <c r="BO382" t="s">
        <v>916</v>
      </c>
      <c r="BP382" t="s">
        <v>74</v>
      </c>
      <c r="BQ382" t="s">
        <v>74</v>
      </c>
      <c r="BR382" t="s">
        <v>102</v>
      </c>
      <c r="BS382" t="s">
        <v>7889</v>
      </c>
      <c r="BT382" t="str">
        <f>HYPERLINK("https%3A%2F%2Fwww.webofscience.com%2Fwos%2Fwoscc%2Ffull-record%2FWOS:000367164600002","View Full Record in Web of Science")</f>
        <v>View Full Record in Web of Science</v>
      </c>
    </row>
    <row r="383" spans="1:72" x14ac:dyDescent="0.25">
      <c r="A383" t="s">
        <v>72</v>
      </c>
      <c r="B383" t="s">
        <v>7890</v>
      </c>
      <c r="C383" t="s">
        <v>74</v>
      </c>
      <c r="D383" t="s">
        <v>74</v>
      </c>
      <c r="E383" t="s">
        <v>74</v>
      </c>
      <c r="F383" t="s">
        <v>7891</v>
      </c>
      <c r="G383" t="s">
        <v>74</v>
      </c>
      <c r="H383" t="s">
        <v>74</v>
      </c>
      <c r="I383" t="s">
        <v>7892</v>
      </c>
      <c r="J383" t="s">
        <v>7220</v>
      </c>
      <c r="K383" t="s">
        <v>74</v>
      </c>
      <c r="L383" t="s">
        <v>74</v>
      </c>
      <c r="M383" t="s">
        <v>78</v>
      </c>
      <c r="N383" t="s">
        <v>79</v>
      </c>
      <c r="O383" t="s">
        <v>74</v>
      </c>
      <c r="P383" t="s">
        <v>74</v>
      </c>
      <c r="Q383" t="s">
        <v>74</v>
      </c>
      <c r="R383" t="s">
        <v>74</v>
      </c>
      <c r="S383" t="s">
        <v>74</v>
      </c>
      <c r="T383" t="s">
        <v>7893</v>
      </c>
      <c r="U383" t="s">
        <v>7894</v>
      </c>
      <c r="V383" t="s">
        <v>7895</v>
      </c>
      <c r="W383" t="s">
        <v>7896</v>
      </c>
      <c r="X383" t="s">
        <v>7897</v>
      </c>
      <c r="Y383" t="s">
        <v>7898</v>
      </c>
      <c r="Z383" t="s">
        <v>7899</v>
      </c>
      <c r="AA383" t="s">
        <v>7900</v>
      </c>
      <c r="AB383" t="s">
        <v>7901</v>
      </c>
      <c r="AC383" t="s">
        <v>74</v>
      </c>
      <c r="AD383" t="s">
        <v>74</v>
      </c>
      <c r="AE383" t="s">
        <v>74</v>
      </c>
      <c r="AF383" t="s">
        <v>74</v>
      </c>
      <c r="AG383">
        <v>50</v>
      </c>
      <c r="AH383">
        <v>5</v>
      </c>
      <c r="AI383">
        <v>6</v>
      </c>
      <c r="AJ383">
        <v>0</v>
      </c>
      <c r="AK383">
        <v>9</v>
      </c>
      <c r="AL383" t="s">
        <v>89</v>
      </c>
      <c r="AM383" t="s">
        <v>90</v>
      </c>
      <c r="AN383" t="s">
        <v>91</v>
      </c>
      <c r="AO383" t="s">
        <v>7230</v>
      </c>
      <c r="AP383" t="s">
        <v>7231</v>
      </c>
      <c r="AQ383" t="s">
        <v>74</v>
      </c>
      <c r="AR383" t="s">
        <v>7232</v>
      </c>
      <c r="AS383" t="s">
        <v>7233</v>
      </c>
      <c r="AT383" t="s">
        <v>7902</v>
      </c>
      <c r="AU383">
        <v>2024</v>
      </c>
      <c r="AV383">
        <v>40</v>
      </c>
      <c r="AW383">
        <v>3</v>
      </c>
      <c r="AX383" t="s">
        <v>74</v>
      </c>
      <c r="AY383" t="s">
        <v>74</v>
      </c>
      <c r="AZ383" t="s">
        <v>74</v>
      </c>
      <c r="BA383" t="s">
        <v>74</v>
      </c>
      <c r="BB383">
        <v>569</v>
      </c>
      <c r="BC383">
        <v>590</v>
      </c>
      <c r="BD383" t="s">
        <v>74</v>
      </c>
      <c r="BE383" t="s">
        <v>7903</v>
      </c>
      <c r="BF383" t="str">
        <f>HYPERLINK("http://dx.doi.org/10.1108/JEAS-12-2021-0266","http://dx.doi.org/10.1108/JEAS-12-2021-0266")</f>
        <v>http://dx.doi.org/10.1108/JEAS-12-2021-0266</v>
      </c>
      <c r="BG383" t="s">
        <v>74</v>
      </c>
      <c r="BH383" t="s">
        <v>7904</v>
      </c>
      <c r="BI383">
        <v>22</v>
      </c>
      <c r="BJ383" t="s">
        <v>291</v>
      </c>
      <c r="BK383" t="s">
        <v>313</v>
      </c>
      <c r="BL383" t="s">
        <v>100</v>
      </c>
      <c r="BM383" t="s">
        <v>7905</v>
      </c>
      <c r="BN383" t="s">
        <v>74</v>
      </c>
      <c r="BO383" t="s">
        <v>74</v>
      </c>
      <c r="BP383" t="s">
        <v>74</v>
      </c>
      <c r="BQ383" t="s">
        <v>74</v>
      </c>
      <c r="BR383" t="s">
        <v>102</v>
      </c>
      <c r="BS383" t="s">
        <v>7906</v>
      </c>
      <c r="BT383" t="str">
        <f>HYPERLINK("https%3A%2F%2Fwww.webofscience.com%2Fwos%2Fwoscc%2Ffull-record%2FWOS:000897921400001","View Full Record in Web of Science")</f>
        <v>View Full Record in Web of Science</v>
      </c>
    </row>
    <row r="384" spans="1:72" x14ac:dyDescent="0.25">
      <c r="A384" t="s">
        <v>72</v>
      </c>
      <c r="B384" t="s">
        <v>7907</v>
      </c>
      <c r="C384" t="s">
        <v>74</v>
      </c>
      <c r="D384" t="s">
        <v>74</v>
      </c>
      <c r="E384" t="s">
        <v>74</v>
      </c>
      <c r="F384" t="s">
        <v>7908</v>
      </c>
      <c r="G384" t="s">
        <v>74</v>
      </c>
      <c r="H384" t="s">
        <v>74</v>
      </c>
      <c r="I384" t="s">
        <v>7909</v>
      </c>
      <c r="J384" t="s">
        <v>7910</v>
      </c>
      <c r="K384" t="s">
        <v>74</v>
      </c>
      <c r="L384" t="s">
        <v>74</v>
      </c>
      <c r="M384" t="s">
        <v>78</v>
      </c>
      <c r="N384" t="s">
        <v>372</v>
      </c>
      <c r="O384" t="s">
        <v>74</v>
      </c>
      <c r="P384" t="s">
        <v>74</v>
      </c>
      <c r="Q384" t="s">
        <v>74</v>
      </c>
      <c r="R384" t="s">
        <v>74</v>
      </c>
      <c r="S384" t="s">
        <v>74</v>
      </c>
      <c r="T384" t="s">
        <v>7911</v>
      </c>
      <c r="U384" t="s">
        <v>7912</v>
      </c>
      <c r="V384" t="s">
        <v>7913</v>
      </c>
      <c r="W384" t="s">
        <v>7914</v>
      </c>
      <c r="X384" t="s">
        <v>7915</v>
      </c>
      <c r="Y384" t="s">
        <v>7916</v>
      </c>
      <c r="Z384" t="s">
        <v>7917</v>
      </c>
      <c r="AA384" t="s">
        <v>7918</v>
      </c>
      <c r="AB384" t="s">
        <v>7919</v>
      </c>
      <c r="AC384" t="s">
        <v>74</v>
      </c>
      <c r="AD384" t="s">
        <v>74</v>
      </c>
      <c r="AE384" t="s">
        <v>74</v>
      </c>
      <c r="AF384" t="s">
        <v>74</v>
      </c>
      <c r="AG384">
        <v>46</v>
      </c>
      <c r="AH384">
        <v>0</v>
      </c>
      <c r="AI384">
        <v>0</v>
      </c>
      <c r="AJ384">
        <v>2</v>
      </c>
      <c r="AK384">
        <v>2</v>
      </c>
      <c r="AL384" t="s">
        <v>994</v>
      </c>
      <c r="AM384" t="s">
        <v>995</v>
      </c>
      <c r="AN384" t="s">
        <v>2061</v>
      </c>
      <c r="AO384" t="s">
        <v>7920</v>
      </c>
      <c r="AP384" t="s">
        <v>7921</v>
      </c>
      <c r="AQ384" t="s">
        <v>74</v>
      </c>
      <c r="AR384" t="s">
        <v>7922</v>
      </c>
      <c r="AS384" t="s">
        <v>7923</v>
      </c>
      <c r="AT384" t="s">
        <v>7924</v>
      </c>
      <c r="AU384">
        <v>2025</v>
      </c>
      <c r="AV384" t="s">
        <v>74</v>
      </c>
      <c r="AW384" t="s">
        <v>74</v>
      </c>
      <c r="AX384" t="s">
        <v>74</v>
      </c>
      <c r="AY384" t="s">
        <v>74</v>
      </c>
      <c r="AZ384" t="s">
        <v>74</v>
      </c>
      <c r="BA384" t="s">
        <v>74</v>
      </c>
      <c r="BB384" t="s">
        <v>74</v>
      </c>
      <c r="BC384" t="s">
        <v>74</v>
      </c>
      <c r="BD384" t="s">
        <v>74</v>
      </c>
      <c r="BE384" t="s">
        <v>7925</v>
      </c>
      <c r="BF384" t="str">
        <f>HYPERLINK("http://dx.doi.org/10.1177/09721509251333478","http://dx.doi.org/10.1177/09721509251333478")</f>
        <v>http://dx.doi.org/10.1177/09721509251333478</v>
      </c>
      <c r="BG384" t="s">
        <v>74</v>
      </c>
      <c r="BH384" t="s">
        <v>2359</v>
      </c>
      <c r="BI384">
        <v>16</v>
      </c>
      <c r="BJ384" t="s">
        <v>98</v>
      </c>
      <c r="BK384" t="s">
        <v>313</v>
      </c>
      <c r="BL384" t="s">
        <v>100</v>
      </c>
      <c r="BM384" t="s">
        <v>7926</v>
      </c>
      <c r="BN384" t="s">
        <v>74</v>
      </c>
      <c r="BO384" t="s">
        <v>74</v>
      </c>
      <c r="BP384" t="s">
        <v>74</v>
      </c>
      <c r="BQ384" t="s">
        <v>74</v>
      </c>
      <c r="BR384" t="s">
        <v>102</v>
      </c>
      <c r="BS384" t="s">
        <v>7927</v>
      </c>
      <c r="BT384" t="str">
        <f>HYPERLINK("https%3A%2F%2Fwww.webofscience.com%2Fwos%2Fwoscc%2Ffull-record%2FWOS:001480379800001","View Full Record in Web of Science")</f>
        <v>View Full Record in Web of Science</v>
      </c>
    </row>
    <row r="385" spans="1:72" x14ac:dyDescent="0.25">
      <c r="A385" t="s">
        <v>72</v>
      </c>
      <c r="B385" t="s">
        <v>7928</v>
      </c>
      <c r="C385" t="s">
        <v>74</v>
      </c>
      <c r="D385" t="s">
        <v>74</v>
      </c>
      <c r="E385" t="s">
        <v>74</v>
      </c>
      <c r="F385" t="s">
        <v>7929</v>
      </c>
      <c r="G385" t="s">
        <v>74</v>
      </c>
      <c r="H385" t="s">
        <v>74</v>
      </c>
      <c r="I385" t="s">
        <v>7930</v>
      </c>
      <c r="J385" t="s">
        <v>7931</v>
      </c>
      <c r="K385" t="s">
        <v>74</v>
      </c>
      <c r="L385" t="s">
        <v>74</v>
      </c>
      <c r="M385" t="s">
        <v>78</v>
      </c>
      <c r="N385" t="s">
        <v>79</v>
      </c>
      <c r="O385" t="s">
        <v>74</v>
      </c>
      <c r="P385" t="s">
        <v>74</v>
      </c>
      <c r="Q385" t="s">
        <v>74</v>
      </c>
      <c r="R385" t="s">
        <v>74</v>
      </c>
      <c r="S385" t="s">
        <v>74</v>
      </c>
      <c r="T385" t="s">
        <v>74</v>
      </c>
      <c r="U385" t="s">
        <v>74</v>
      </c>
      <c r="V385" t="s">
        <v>7932</v>
      </c>
      <c r="W385" t="s">
        <v>7933</v>
      </c>
      <c r="X385" t="s">
        <v>7934</v>
      </c>
      <c r="Y385" t="s">
        <v>7935</v>
      </c>
      <c r="Z385" t="s">
        <v>7936</v>
      </c>
      <c r="AA385" t="s">
        <v>74</v>
      </c>
      <c r="AB385" t="s">
        <v>7937</v>
      </c>
      <c r="AC385" t="s">
        <v>74</v>
      </c>
      <c r="AD385" t="s">
        <v>74</v>
      </c>
      <c r="AE385" t="s">
        <v>74</v>
      </c>
      <c r="AF385" t="s">
        <v>74</v>
      </c>
      <c r="AG385">
        <v>20</v>
      </c>
      <c r="AH385">
        <v>19</v>
      </c>
      <c r="AI385">
        <v>25</v>
      </c>
      <c r="AJ385">
        <v>0</v>
      </c>
      <c r="AK385">
        <v>43</v>
      </c>
      <c r="AL385" t="s">
        <v>7938</v>
      </c>
      <c r="AM385" t="s">
        <v>231</v>
      </c>
      <c r="AN385" t="s">
        <v>7939</v>
      </c>
      <c r="AO385" t="s">
        <v>7940</v>
      </c>
      <c r="AP385" t="s">
        <v>7941</v>
      </c>
      <c r="AQ385" t="s">
        <v>74</v>
      </c>
      <c r="AR385" t="s">
        <v>7942</v>
      </c>
      <c r="AS385" t="s">
        <v>7943</v>
      </c>
      <c r="AT385" t="s">
        <v>1159</v>
      </c>
      <c r="AU385">
        <v>2019</v>
      </c>
      <c r="AV385">
        <v>35</v>
      </c>
      <c r="AW385">
        <v>5</v>
      </c>
      <c r="AX385" t="s">
        <v>74</v>
      </c>
      <c r="AY385" t="s">
        <v>74</v>
      </c>
      <c r="AZ385" t="s">
        <v>74</v>
      </c>
      <c r="BA385" t="s">
        <v>74</v>
      </c>
      <c r="BB385" t="s">
        <v>74</v>
      </c>
      <c r="BC385" t="s">
        <v>74</v>
      </c>
      <c r="BD385">
        <v>105322</v>
      </c>
      <c r="BE385" t="s">
        <v>7944</v>
      </c>
      <c r="BF385" t="str">
        <f>HYPERLINK("http://dx.doi.org/10.1016/j.clsr.2019.04.005","http://dx.doi.org/10.1016/j.clsr.2019.04.005")</f>
        <v>http://dx.doi.org/10.1016/j.clsr.2019.04.005</v>
      </c>
      <c r="BG385" t="s">
        <v>74</v>
      </c>
      <c r="BH385" t="s">
        <v>74</v>
      </c>
      <c r="BI385">
        <v>11</v>
      </c>
      <c r="BJ385" t="s">
        <v>182</v>
      </c>
      <c r="BK385" t="s">
        <v>99</v>
      </c>
      <c r="BL385" t="s">
        <v>184</v>
      </c>
      <c r="BM385" t="s">
        <v>7945</v>
      </c>
      <c r="BN385" t="s">
        <v>74</v>
      </c>
      <c r="BO385" t="s">
        <v>74</v>
      </c>
      <c r="BP385" t="s">
        <v>74</v>
      </c>
      <c r="BQ385" t="s">
        <v>74</v>
      </c>
      <c r="BR385" t="s">
        <v>102</v>
      </c>
      <c r="BS385" t="s">
        <v>7946</v>
      </c>
      <c r="BT385" t="str">
        <f>HYPERLINK("https%3A%2F%2Fwww.webofscience.com%2Fwos%2Fwoscc%2Ffull-record%2FWOS:000491685200003","View Full Record in Web of Science")</f>
        <v>View Full Record in Web of Science</v>
      </c>
    </row>
    <row r="386" spans="1:72" x14ac:dyDescent="0.25">
      <c r="A386" t="s">
        <v>72</v>
      </c>
      <c r="B386" t="s">
        <v>7947</v>
      </c>
      <c r="C386" t="s">
        <v>74</v>
      </c>
      <c r="D386" t="s">
        <v>74</v>
      </c>
      <c r="E386" t="s">
        <v>74</v>
      </c>
      <c r="F386" t="s">
        <v>7948</v>
      </c>
      <c r="G386" t="s">
        <v>74</v>
      </c>
      <c r="H386" t="s">
        <v>74</v>
      </c>
      <c r="I386" t="s">
        <v>7949</v>
      </c>
      <c r="J386" t="s">
        <v>4250</v>
      </c>
      <c r="K386" t="s">
        <v>74</v>
      </c>
      <c r="L386" t="s">
        <v>74</v>
      </c>
      <c r="M386" t="s">
        <v>78</v>
      </c>
      <c r="N386" t="s">
        <v>79</v>
      </c>
      <c r="O386" t="s">
        <v>74</v>
      </c>
      <c r="P386" t="s">
        <v>74</v>
      </c>
      <c r="Q386" t="s">
        <v>74</v>
      </c>
      <c r="R386" t="s">
        <v>74</v>
      </c>
      <c r="S386" t="s">
        <v>74</v>
      </c>
      <c r="T386" t="s">
        <v>7950</v>
      </c>
      <c r="U386" t="s">
        <v>7951</v>
      </c>
      <c r="V386" t="s">
        <v>7952</v>
      </c>
      <c r="W386" t="s">
        <v>7953</v>
      </c>
      <c r="X386" t="s">
        <v>7954</v>
      </c>
      <c r="Y386" t="s">
        <v>7955</v>
      </c>
      <c r="Z386" t="s">
        <v>7956</v>
      </c>
      <c r="AA386" t="s">
        <v>74</v>
      </c>
      <c r="AB386" t="s">
        <v>7957</v>
      </c>
      <c r="AC386" t="s">
        <v>74</v>
      </c>
      <c r="AD386" t="s">
        <v>74</v>
      </c>
      <c r="AE386" t="s">
        <v>74</v>
      </c>
      <c r="AF386" t="s">
        <v>74</v>
      </c>
      <c r="AG386">
        <v>62</v>
      </c>
      <c r="AH386">
        <v>2</v>
      </c>
      <c r="AI386">
        <v>3</v>
      </c>
      <c r="AJ386">
        <v>0</v>
      </c>
      <c r="AK386">
        <v>6</v>
      </c>
      <c r="AL386" t="s">
        <v>4258</v>
      </c>
      <c r="AM386" t="s">
        <v>118</v>
      </c>
      <c r="AN386" t="s">
        <v>4259</v>
      </c>
      <c r="AO386" t="s">
        <v>4260</v>
      </c>
      <c r="AP386" t="s">
        <v>4261</v>
      </c>
      <c r="AQ386" t="s">
        <v>74</v>
      </c>
      <c r="AR386" t="s">
        <v>4262</v>
      </c>
      <c r="AS386" t="s">
        <v>4263</v>
      </c>
      <c r="AT386" t="s">
        <v>1159</v>
      </c>
      <c r="AU386">
        <v>2023</v>
      </c>
      <c r="AV386">
        <v>65</v>
      </c>
      <c r="AW386">
        <v>4</v>
      </c>
      <c r="AX386" t="s">
        <v>74</v>
      </c>
      <c r="AY386" t="s">
        <v>74</v>
      </c>
      <c r="AZ386" t="s">
        <v>74</v>
      </c>
      <c r="BA386" t="s">
        <v>74</v>
      </c>
      <c r="BB386">
        <v>1823</v>
      </c>
      <c r="BC386">
        <v>1854</v>
      </c>
      <c r="BD386" t="s">
        <v>74</v>
      </c>
      <c r="BE386" t="s">
        <v>7958</v>
      </c>
      <c r="BF386" t="str">
        <f>HYPERLINK("http://dx.doi.org/10.1007/s00181-023-02393-y","http://dx.doi.org/10.1007/s00181-023-02393-y")</f>
        <v>http://dx.doi.org/10.1007/s00181-023-02393-y</v>
      </c>
      <c r="BG386" t="s">
        <v>74</v>
      </c>
      <c r="BH386" t="s">
        <v>3595</v>
      </c>
      <c r="BI386">
        <v>32</v>
      </c>
      <c r="BJ386" t="s">
        <v>2023</v>
      </c>
      <c r="BK386" t="s">
        <v>99</v>
      </c>
      <c r="BL386" t="s">
        <v>2024</v>
      </c>
      <c r="BM386" t="s">
        <v>7959</v>
      </c>
      <c r="BN386" t="s">
        <v>74</v>
      </c>
      <c r="BO386" t="s">
        <v>74</v>
      </c>
      <c r="BP386" t="s">
        <v>74</v>
      </c>
      <c r="BQ386" t="s">
        <v>74</v>
      </c>
      <c r="BR386" t="s">
        <v>102</v>
      </c>
      <c r="BS386" t="s">
        <v>7960</v>
      </c>
      <c r="BT386" t="str">
        <f>HYPERLINK("https%3A%2F%2Fwww.webofscience.com%2Fwos%2Fwoscc%2Ffull-record%2FWOS:000943680200001","View Full Record in Web of Science")</f>
        <v>View Full Record in Web of Science</v>
      </c>
    </row>
    <row r="387" spans="1:72" x14ac:dyDescent="0.25">
      <c r="A387" t="s">
        <v>72</v>
      </c>
      <c r="B387" t="s">
        <v>7961</v>
      </c>
      <c r="C387" t="s">
        <v>74</v>
      </c>
      <c r="D387" t="s">
        <v>74</v>
      </c>
      <c r="E387" t="s">
        <v>74</v>
      </c>
      <c r="F387" t="s">
        <v>7962</v>
      </c>
      <c r="G387" t="s">
        <v>74</v>
      </c>
      <c r="H387" t="s">
        <v>74</v>
      </c>
      <c r="I387" t="s">
        <v>7963</v>
      </c>
      <c r="J387" t="s">
        <v>4539</v>
      </c>
      <c r="K387" t="s">
        <v>74</v>
      </c>
      <c r="L387" t="s">
        <v>74</v>
      </c>
      <c r="M387" t="s">
        <v>78</v>
      </c>
      <c r="N387" t="s">
        <v>79</v>
      </c>
      <c r="O387" t="s">
        <v>74</v>
      </c>
      <c r="P387" t="s">
        <v>74</v>
      </c>
      <c r="Q387" t="s">
        <v>74</v>
      </c>
      <c r="R387" t="s">
        <v>74</v>
      </c>
      <c r="S387" t="s">
        <v>74</v>
      </c>
      <c r="T387" t="s">
        <v>7964</v>
      </c>
      <c r="U387" t="s">
        <v>7965</v>
      </c>
      <c r="V387" t="s">
        <v>7966</v>
      </c>
      <c r="W387" t="s">
        <v>7967</v>
      </c>
      <c r="X387" t="s">
        <v>7968</v>
      </c>
      <c r="Y387" t="s">
        <v>7969</v>
      </c>
      <c r="Z387" t="s">
        <v>7970</v>
      </c>
      <c r="AA387" t="s">
        <v>74</v>
      </c>
      <c r="AB387" t="s">
        <v>7971</v>
      </c>
      <c r="AC387" t="s">
        <v>74</v>
      </c>
      <c r="AD387" t="s">
        <v>74</v>
      </c>
      <c r="AE387" t="s">
        <v>74</v>
      </c>
      <c r="AF387" t="s">
        <v>74</v>
      </c>
      <c r="AG387">
        <v>63</v>
      </c>
      <c r="AH387">
        <v>1</v>
      </c>
      <c r="AI387">
        <v>1</v>
      </c>
      <c r="AJ387">
        <v>3</v>
      </c>
      <c r="AK387">
        <v>9</v>
      </c>
      <c r="AL387" t="s">
        <v>479</v>
      </c>
      <c r="AM387" t="s">
        <v>480</v>
      </c>
      <c r="AN387" t="s">
        <v>481</v>
      </c>
      <c r="AO387" t="s">
        <v>4548</v>
      </c>
      <c r="AP387" t="s">
        <v>4549</v>
      </c>
      <c r="AQ387" t="s">
        <v>74</v>
      </c>
      <c r="AR387" t="s">
        <v>4550</v>
      </c>
      <c r="AS387" t="s">
        <v>4551</v>
      </c>
      <c r="AT387" t="s">
        <v>208</v>
      </c>
      <c r="AU387">
        <v>2025</v>
      </c>
      <c r="AV387">
        <v>43</v>
      </c>
      <c r="AW387">
        <v>1</v>
      </c>
      <c r="AX387" t="s">
        <v>74</v>
      </c>
      <c r="AY387" t="s">
        <v>74</v>
      </c>
      <c r="AZ387" t="s">
        <v>74</v>
      </c>
      <c r="BA387" t="s">
        <v>74</v>
      </c>
      <c r="BB387" t="s">
        <v>74</v>
      </c>
      <c r="BC387" t="s">
        <v>74</v>
      </c>
      <c r="BD387" t="s">
        <v>74</v>
      </c>
      <c r="BE387" t="s">
        <v>7972</v>
      </c>
      <c r="BF387" t="str">
        <f>HYPERLINK("http://dx.doi.org/10.1111/dpr.12818","http://dx.doi.org/10.1111/dpr.12818")</f>
        <v>http://dx.doi.org/10.1111/dpr.12818</v>
      </c>
      <c r="BG387" t="s">
        <v>74</v>
      </c>
      <c r="BH387" t="s">
        <v>267</v>
      </c>
      <c r="BI387">
        <v>25</v>
      </c>
      <c r="BJ387" t="s">
        <v>1137</v>
      </c>
      <c r="BK387" t="s">
        <v>99</v>
      </c>
      <c r="BL387" t="s">
        <v>1137</v>
      </c>
      <c r="BM387" t="s">
        <v>7973</v>
      </c>
      <c r="BN387" t="s">
        <v>74</v>
      </c>
      <c r="BO387" t="s">
        <v>74</v>
      </c>
      <c r="BP387" t="s">
        <v>74</v>
      </c>
      <c r="BQ387" t="s">
        <v>74</v>
      </c>
      <c r="BR387" t="s">
        <v>102</v>
      </c>
      <c r="BS387" t="s">
        <v>7974</v>
      </c>
      <c r="BT387" t="str">
        <f>HYPERLINK("https%3A%2F%2Fwww.webofscience.com%2Fwos%2Fwoscc%2Ffull-record%2FWOS:001358052900001","View Full Record in Web of Science")</f>
        <v>View Full Record in Web of Science</v>
      </c>
    </row>
    <row r="388" spans="1:72" x14ac:dyDescent="0.25">
      <c r="A388" t="s">
        <v>72</v>
      </c>
      <c r="B388" t="s">
        <v>7975</v>
      </c>
      <c r="C388" t="s">
        <v>74</v>
      </c>
      <c r="D388" t="s">
        <v>74</v>
      </c>
      <c r="E388" t="s">
        <v>74</v>
      </c>
      <c r="F388" t="s">
        <v>7976</v>
      </c>
      <c r="G388" t="s">
        <v>74</v>
      </c>
      <c r="H388" t="s">
        <v>74</v>
      </c>
      <c r="I388" t="s">
        <v>7977</v>
      </c>
      <c r="J388" t="s">
        <v>7978</v>
      </c>
      <c r="K388" t="s">
        <v>74</v>
      </c>
      <c r="L388" t="s">
        <v>74</v>
      </c>
      <c r="M388" t="s">
        <v>78</v>
      </c>
      <c r="N388" t="s">
        <v>79</v>
      </c>
      <c r="O388" t="s">
        <v>74</v>
      </c>
      <c r="P388" t="s">
        <v>74</v>
      </c>
      <c r="Q388" t="s">
        <v>74</v>
      </c>
      <c r="R388" t="s">
        <v>74</v>
      </c>
      <c r="S388" t="s">
        <v>74</v>
      </c>
      <c r="T388" t="s">
        <v>7979</v>
      </c>
      <c r="U388" t="s">
        <v>74</v>
      </c>
      <c r="V388" t="s">
        <v>7980</v>
      </c>
      <c r="W388" t="s">
        <v>7981</v>
      </c>
      <c r="X388" t="s">
        <v>6388</v>
      </c>
      <c r="Y388" t="s">
        <v>7982</v>
      </c>
      <c r="Z388" t="s">
        <v>7983</v>
      </c>
      <c r="AA388" t="s">
        <v>7984</v>
      </c>
      <c r="AB388" t="s">
        <v>7985</v>
      </c>
      <c r="AC388" t="s">
        <v>7986</v>
      </c>
      <c r="AD388" t="s">
        <v>7987</v>
      </c>
      <c r="AE388" t="s">
        <v>7988</v>
      </c>
      <c r="AF388" t="s">
        <v>74</v>
      </c>
      <c r="AG388">
        <v>104</v>
      </c>
      <c r="AH388">
        <v>5</v>
      </c>
      <c r="AI388">
        <v>7</v>
      </c>
      <c r="AJ388">
        <v>0</v>
      </c>
      <c r="AK388">
        <v>2</v>
      </c>
      <c r="AL388" t="s">
        <v>201</v>
      </c>
      <c r="AM388" t="s">
        <v>202</v>
      </c>
      <c r="AN388" t="s">
        <v>203</v>
      </c>
      <c r="AO388" t="s">
        <v>7989</v>
      </c>
      <c r="AP388" t="s">
        <v>74</v>
      </c>
      <c r="AQ388" t="s">
        <v>74</v>
      </c>
      <c r="AR388" t="s">
        <v>7990</v>
      </c>
      <c r="AS388" t="s">
        <v>7991</v>
      </c>
      <c r="AT388" t="s">
        <v>868</v>
      </c>
      <c r="AU388">
        <v>2023</v>
      </c>
      <c r="AV388">
        <v>96</v>
      </c>
      <c r="AW388" t="s">
        <v>74</v>
      </c>
      <c r="AX388" t="s">
        <v>74</v>
      </c>
      <c r="AY388" t="s">
        <v>74</v>
      </c>
      <c r="AZ388" t="s">
        <v>74</v>
      </c>
      <c r="BA388" t="s">
        <v>74</v>
      </c>
      <c r="BB388" t="s">
        <v>74</v>
      </c>
      <c r="BC388" t="s">
        <v>74</v>
      </c>
      <c r="BD388">
        <v>103907</v>
      </c>
      <c r="BE388" t="s">
        <v>7992</v>
      </c>
      <c r="BF388" t="str">
        <f>HYPERLINK("http://dx.doi.org/10.1016/j.ijdrr.2023.103907","http://dx.doi.org/10.1016/j.ijdrr.2023.103907")</f>
        <v>http://dx.doi.org/10.1016/j.ijdrr.2023.103907</v>
      </c>
      <c r="BG388" t="s">
        <v>74</v>
      </c>
      <c r="BH388" t="s">
        <v>7993</v>
      </c>
      <c r="BI388">
        <v>27</v>
      </c>
      <c r="BJ388" t="s">
        <v>7994</v>
      </c>
      <c r="BK388" t="s">
        <v>128</v>
      </c>
      <c r="BL388" t="s">
        <v>7995</v>
      </c>
      <c r="BM388" t="s">
        <v>7996</v>
      </c>
      <c r="BN388" t="s">
        <v>74</v>
      </c>
      <c r="BO388" t="s">
        <v>270</v>
      </c>
      <c r="BP388" t="s">
        <v>74</v>
      </c>
      <c r="BQ388" t="s">
        <v>74</v>
      </c>
      <c r="BR388" t="s">
        <v>102</v>
      </c>
      <c r="BS388" t="s">
        <v>7997</v>
      </c>
      <c r="BT388" t="str">
        <f>HYPERLINK("https%3A%2F%2Fwww.webofscience.com%2Fwos%2Fwoscc%2Ffull-record%2FWOS:001059579000001","View Full Record in Web of Science")</f>
        <v>View Full Record in Web of Science</v>
      </c>
    </row>
    <row r="389" spans="1:72" x14ac:dyDescent="0.25">
      <c r="A389" t="s">
        <v>72</v>
      </c>
      <c r="B389" t="s">
        <v>7998</v>
      </c>
      <c r="C389" t="s">
        <v>74</v>
      </c>
      <c r="D389" t="s">
        <v>74</v>
      </c>
      <c r="E389" t="s">
        <v>74</v>
      </c>
      <c r="F389" t="s">
        <v>7999</v>
      </c>
      <c r="G389" t="s">
        <v>74</v>
      </c>
      <c r="H389" t="s">
        <v>74</v>
      </c>
      <c r="I389" t="s">
        <v>8000</v>
      </c>
      <c r="J389" t="s">
        <v>8001</v>
      </c>
      <c r="K389" t="s">
        <v>74</v>
      </c>
      <c r="L389" t="s">
        <v>74</v>
      </c>
      <c r="M389" t="s">
        <v>78</v>
      </c>
      <c r="N389" t="s">
        <v>79</v>
      </c>
      <c r="O389" t="s">
        <v>74</v>
      </c>
      <c r="P389" t="s">
        <v>74</v>
      </c>
      <c r="Q389" t="s">
        <v>74</v>
      </c>
      <c r="R389" t="s">
        <v>74</v>
      </c>
      <c r="S389" t="s">
        <v>74</v>
      </c>
      <c r="T389" t="s">
        <v>8002</v>
      </c>
      <c r="U389" t="s">
        <v>8003</v>
      </c>
      <c r="V389" t="s">
        <v>8004</v>
      </c>
      <c r="W389" t="s">
        <v>8005</v>
      </c>
      <c r="X389" t="s">
        <v>8006</v>
      </c>
      <c r="Y389" t="s">
        <v>8007</v>
      </c>
      <c r="Z389" t="s">
        <v>8008</v>
      </c>
      <c r="AA389" t="s">
        <v>74</v>
      </c>
      <c r="AB389" t="s">
        <v>8009</v>
      </c>
      <c r="AC389" t="s">
        <v>8010</v>
      </c>
      <c r="AD389" t="s">
        <v>8011</v>
      </c>
      <c r="AE389" t="s">
        <v>8012</v>
      </c>
      <c r="AF389" t="s">
        <v>74</v>
      </c>
      <c r="AG389">
        <v>23</v>
      </c>
      <c r="AH389">
        <v>4</v>
      </c>
      <c r="AI389">
        <v>4</v>
      </c>
      <c r="AJ389">
        <v>0</v>
      </c>
      <c r="AK389">
        <v>4</v>
      </c>
      <c r="AL389" t="s">
        <v>385</v>
      </c>
      <c r="AM389" t="s">
        <v>151</v>
      </c>
      <c r="AN389" t="s">
        <v>386</v>
      </c>
      <c r="AO389" t="s">
        <v>74</v>
      </c>
      <c r="AP389" t="s">
        <v>8013</v>
      </c>
      <c r="AQ389" t="s">
        <v>74</v>
      </c>
      <c r="AR389" t="s">
        <v>8014</v>
      </c>
      <c r="AS389" t="s">
        <v>8015</v>
      </c>
      <c r="AT389" t="s">
        <v>8016</v>
      </c>
      <c r="AU389">
        <v>2021</v>
      </c>
      <c r="AV389">
        <v>10</v>
      </c>
      <c r="AW389">
        <v>1</v>
      </c>
      <c r="AX389" t="s">
        <v>74</v>
      </c>
      <c r="AY389" t="s">
        <v>74</v>
      </c>
      <c r="AZ389" t="s">
        <v>74</v>
      </c>
      <c r="BA389" t="s">
        <v>74</v>
      </c>
      <c r="BB389" t="s">
        <v>74</v>
      </c>
      <c r="BC389" t="s">
        <v>74</v>
      </c>
      <c r="BD389">
        <v>19</v>
      </c>
      <c r="BE389" t="s">
        <v>8017</v>
      </c>
      <c r="BF389" t="str">
        <f>HYPERLINK("http://dx.doi.org/10.1140/epjds/s13688-021-00274-x","http://dx.doi.org/10.1140/epjds/s13688-021-00274-x")</f>
        <v>http://dx.doi.org/10.1140/epjds/s13688-021-00274-x</v>
      </c>
      <c r="BG389" t="s">
        <v>74</v>
      </c>
      <c r="BH389" t="s">
        <v>74</v>
      </c>
      <c r="BI389">
        <v>26</v>
      </c>
      <c r="BJ389" t="s">
        <v>8018</v>
      </c>
      <c r="BK389" t="s">
        <v>2623</v>
      </c>
      <c r="BL389" t="s">
        <v>8019</v>
      </c>
      <c r="BM389" t="s">
        <v>8020</v>
      </c>
      <c r="BN389">
        <v>33898158</v>
      </c>
      <c r="BO389" t="s">
        <v>8021</v>
      </c>
      <c r="BP389" t="s">
        <v>74</v>
      </c>
      <c r="BQ389" t="s">
        <v>74</v>
      </c>
      <c r="BR389" t="s">
        <v>102</v>
      </c>
      <c r="BS389" t="s">
        <v>8022</v>
      </c>
      <c r="BT389" t="str">
        <f>HYPERLINK("https%3A%2F%2Fwww.webofscience.com%2Fwos%2Fwoscc%2Ffull-record%2FWOS:000642144800001","View Full Record in Web of Science")</f>
        <v>View Full Record in Web of Science</v>
      </c>
    </row>
    <row r="390" spans="1:72" x14ac:dyDescent="0.25">
      <c r="A390" t="s">
        <v>72</v>
      </c>
      <c r="B390" t="s">
        <v>8023</v>
      </c>
      <c r="C390" t="s">
        <v>74</v>
      </c>
      <c r="D390" t="s">
        <v>74</v>
      </c>
      <c r="E390" t="s">
        <v>74</v>
      </c>
      <c r="F390" t="s">
        <v>8024</v>
      </c>
      <c r="G390" t="s">
        <v>74</v>
      </c>
      <c r="H390" t="s">
        <v>74</v>
      </c>
      <c r="I390" t="s">
        <v>8025</v>
      </c>
      <c r="J390" t="s">
        <v>4208</v>
      </c>
      <c r="K390" t="s">
        <v>74</v>
      </c>
      <c r="L390" t="s">
        <v>74</v>
      </c>
      <c r="M390" t="s">
        <v>78</v>
      </c>
      <c r="N390" t="s">
        <v>79</v>
      </c>
      <c r="O390" t="s">
        <v>74</v>
      </c>
      <c r="P390" t="s">
        <v>74</v>
      </c>
      <c r="Q390" t="s">
        <v>74</v>
      </c>
      <c r="R390" t="s">
        <v>74</v>
      </c>
      <c r="S390" t="s">
        <v>74</v>
      </c>
      <c r="T390" t="s">
        <v>74</v>
      </c>
      <c r="U390" t="s">
        <v>8026</v>
      </c>
      <c r="V390" t="s">
        <v>8027</v>
      </c>
      <c r="W390" t="s">
        <v>8028</v>
      </c>
      <c r="X390" t="s">
        <v>7713</v>
      </c>
      <c r="Y390" t="s">
        <v>8029</v>
      </c>
      <c r="Z390" t="s">
        <v>8030</v>
      </c>
      <c r="AA390" t="s">
        <v>8031</v>
      </c>
      <c r="AB390" t="s">
        <v>8032</v>
      </c>
      <c r="AC390" t="s">
        <v>8033</v>
      </c>
      <c r="AD390" t="s">
        <v>8033</v>
      </c>
      <c r="AE390" t="s">
        <v>8034</v>
      </c>
      <c r="AF390" t="s">
        <v>74</v>
      </c>
      <c r="AG390">
        <v>56</v>
      </c>
      <c r="AH390">
        <v>1</v>
      </c>
      <c r="AI390">
        <v>1</v>
      </c>
      <c r="AJ390">
        <v>0</v>
      </c>
      <c r="AK390">
        <v>0</v>
      </c>
      <c r="AL390" t="s">
        <v>4218</v>
      </c>
      <c r="AM390" t="s">
        <v>4219</v>
      </c>
      <c r="AN390" t="s">
        <v>4220</v>
      </c>
      <c r="AO390" t="s">
        <v>74</v>
      </c>
      <c r="AP390" t="s">
        <v>4221</v>
      </c>
      <c r="AQ390" t="s">
        <v>74</v>
      </c>
      <c r="AR390" t="s">
        <v>4208</v>
      </c>
      <c r="AS390" t="s">
        <v>4222</v>
      </c>
      <c r="AT390" t="s">
        <v>74</v>
      </c>
      <c r="AU390">
        <v>2025</v>
      </c>
      <c r="AV390">
        <v>20</v>
      </c>
      <c r="AW390">
        <v>7</v>
      </c>
      <c r="AX390" t="s">
        <v>74</v>
      </c>
      <c r="AY390" t="s">
        <v>74</v>
      </c>
      <c r="AZ390" t="s">
        <v>74</v>
      </c>
      <c r="BA390" t="s">
        <v>74</v>
      </c>
      <c r="BB390" t="s">
        <v>74</v>
      </c>
      <c r="BC390" t="s">
        <v>74</v>
      </c>
      <c r="BD390" t="s">
        <v>8035</v>
      </c>
      <c r="BE390" t="s">
        <v>8036</v>
      </c>
      <c r="BF390" t="str">
        <f>HYPERLINK("http://dx.doi.org/10.1371/journal.pone.0326873","http://dx.doi.org/10.1371/journal.pone.0326873")</f>
        <v>http://dx.doi.org/10.1371/journal.pone.0326873</v>
      </c>
      <c r="BG390" t="s">
        <v>74</v>
      </c>
      <c r="BH390" t="s">
        <v>74</v>
      </c>
      <c r="BI390">
        <v>18</v>
      </c>
      <c r="BJ390" t="s">
        <v>559</v>
      </c>
      <c r="BK390" t="s">
        <v>128</v>
      </c>
      <c r="BL390" t="s">
        <v>560</v>
      </c>
      <c r="BM390" t="s">
        <v>8037</v>
      </c>
      <c r="BN390">
        <v>40644434</v>
      </c>
      <c r="BO390" t="s">
        <v>916</v>
      </c>
      <c r="BP390" t="s">
        <v>74</v>
      </c>
      <c r="BQ390" t="s">
        <v>74</v>
      </c>
      <c r="BR390" t="s">
        <v>102</v>
      </c>
      <c r="BS390" t="s">
        <v>8038</v>
      </c>
      <c r="BT390" t="str">
        <f>HYPERLINK("https%3A%2F%2Fwww.webofscience.com%2Fwos%2Fwoscc%2Ffull-record%2FWOS:001527644500036","View Full Record in Web of Science")</f>
        <v>View Full Record in Web of Science</v>
      </c>
    </row>
    <row r="391" spans="1:72" x14ac:dyDescent="0.25">
      <c r="A391" t="s">
        <v>72</v>
      </c>
      <c r="B391" t="s">
        <v>8039</v>
      </c>
      <c r="C391" t="s">
        <v>74</v>
      </c>
      <c r="D391" t="s">
        <v>74</v>
      </c>
      <c r="E391" t="s">
        <v>74</v>
      </c>
      <c r="F391" t="s">
        <v>8040</v>
      </c>
      <c r="G391" t="s">
        <v>74</v>
      </c>
      <c r="H391" t="s">
        <v>74</v>
      </c>
      <c r="I391" t="s">
        <v>8041</v>
      </c>
      <c r="J391" t="s">
        <v>4956</v>
      </c>
      <c r="K391" t="s">
        <v>74</v>
      </c>
      <c r="L391" t="s">
        <v>74</v>
      </c>
      <c r="M391" t="s">
        <v>78</v>
      </c>
      <c r="N391" t="s">
        <v>79</v>
      </c>
      <c r="O391" t="s">
        <v>74</v>
      </c>
      <c r="P391" t="s">
        <v>74</v>
      </c>
      <c r="Q391" t="s">
        <v>74</v>
      </c>
      <c r="R391" t="s">
        <v>74</v>
      </c>
      <c r="S391" t="s">
        <v>74</v>
      </c>
      <c r="T391" t="s">
        <v>8042</v>
      </c>
      <c r="U391" t="s">
        <v>8043</v>
      </c>
      <c r="V391" t="s">
        <v>8044</v>
      </c>
      <c r="W391" t="s">
        <v>8045</v>
      </c>
      <c r="X391" t="s">
        <v>8046</v>
      </c>
      <c r="Y391" t="s">
        <v>8047</v>
      </c>
      <c r="Z391" t="s">
        <v>8048</v>
      </c>
      <c r="AA391" t="s">
        <v>8049</v>
      </c>
      <c r="AB391" t="s">
        <v>8050</v>
      </c>
      <c r="AC391" t="s">
        <v>74</v>
      </c>
      <c r="AD391" t="s">
        <v>74</v>
      </c>
      <c r="AE391" t="s">
        <v>74</v>
      </c>
      <c r="AF391" t="s">
        <v>74</v>
      </c>
      <c r="AG391">
        <v>68</v>
      </c>
      <c r="AH391">
        <v>1</v>
      </c>
      <c r="AI391">
        <v>1</v>
      </c>
      <c r="AJ391">
        <v>2</v>
      </c>
      <c r="AK391">
        <v>8</v>
      </c>
      <c r="AL391" t="s">
        <v>230</v>
      </c>
      <c r="AM391" t="s">
        <v>231</v>
      </c>
      <c r="AN391" t="s">
        <v>232</v>
      </c>
      <c r="AO391" t="s">
        <v>4966</v>
      </c>
      <c r="AP391" t="s">
        <v>4967</v>
      </c>
      <c r="AQ391" t="s">
        <v>74</v>
      </c>
      <c r="AR391" t="s">
        <v>4968</v>
      </c>
      <c r="AS391" t="s">
        <v>4969</v>
      </c>
      <c r="AT391" t="s">
        <v>743</v>
      </c>
      <c r="AU391">
        <v>2025</v>
      </c>
      <c r="AV391">
        <v>188</v>
      </c>
      <c r="AW391" t="s">
        <v>74</v>
      </c>
      <c r="AX391" t="s">
        <v>74</v>
      </c>
      <c r="AY391" t="s">
        <v>74</v>
      </c>
      <c r="AZ391" t="s">
        <v>74</v>
      </c>
      <c r="BA391" t="s">
        <v>74</v>
      </c>
      <c r="BB391" t="s">
        <v>74</v>
      </c>
      <c r="BC391" t="s">
        <v>74</v>
      </c>
      <c r="BD391">
        <v>106924</v>
      </c>
      <c r="BE391" t="s">
        <v>8051</v>
      </c>
      <c r="BF391" t="str">
        <f>HYPERLINK("http://dx.doi.org/10.1016/j.worlddev.2025.106924","http://dx.doi.org/10.1016/j.worlddev.2025.106924")</f>
        <v>http://dx.doi.org/10.1016/j.worlddev.2025.106924</v>
      </c>
      <c r="BG391" t="s">
        <v>74</v>
      </c>
      <c r="BH391" t="s">
        <v>1485</v>
      </c>
      <c r="BI391">
        <v>14</v>
      </c>
      <c r="BJ391" t="s">
        <v>701</v>
      </c>
      <c r="BK391" t="s">
        <v>99</v>
      </c>
      <c r="BL391" t="s">
        <v>702</v>
      </c>
      <c r="BM391" t="s">
        <v>8052</v>
      </c>
      <c r="BN391" t="s">
        <v>74</v>
      </c>
      <c r="BO391" t="s">
        <v>270</v>
      </c>
      <c r="BP391" t="s">
        <v>74</v>
      </c>
      <c r="BQ391" t="s">
        <v>74</v>
      </c>
      <c r="BR391" t="s">
        <v>102</v>
      </c>
      <c r="BS391" t="s">
        <v>8053</v>
      </c>
      <c r="BT391" t="str">
        <f>HYPERLINK("https%3A%2F%2Fwww.webofscience.com%2Fwos%2Fwoscc%2Ffull-record%2FWOS:001414729000001","View Full Record in Web of Science")</f>
        <v>View Full Record in Web of Science</v>
      </c>
    </row>
    <row r="392" spans="1:72" x14ac:dyDescent="0.25">
      <c r="A392" t="s">
        <v>72</v>
      </c>
      <c r="B392" t="s">
        <v>8054</v>
      </c>
      <c r="C392" t="s">
        <v>74</v>
      </c>
      <c r="D392" t="s">
        <v>74</v>
      </c>
      <c r="E392" t="s">
        <v>74</v>
      </c>
      <c r="F392" t="s">
        <v>8055</v>
      </c>
      <c r="G392" t="s">
        <v>74</v>
      </c>
      <c r="H392" t="s">
        <v>74</v>
      </c>
      <c r="I392" t="s">
        <v>8056</v>
      </c>
      <c r="J392" t="s">
        <v>683</v>
      </c>
      <c r="K392" t="s">
        <v>74</v>
      </c>
      <c r="L392" t="s">
        <v>74</v>
      </c>
      <c r="M392" t="s">
        <v>78</v>
      </c>
      <c r="N392" t="s">
        <v>79</v>
      </c>
      <c r="O392" t="s">
        <v>74</v>
      </c>
      <c r="P392" t="s">
        <v>74</v>
      </c>
      <c r="Q392" t="s">
        <v>74</v>
      </c>
      <c r="R392" t="s">
        <v>74</v>
      </c>
      <c r="S392" t="s">
        <v>74</v>
      </c>
      <c r="T392" t="s">
        <v>8057</v>
      </c>
      <c r="U392" t="s">
        <v>8058</v>
      </c>
      <c r="V392" t="s">
        <v>8059</v>
      </c>
      <c r="W392" t="s">
        <v>8060</v>
      </c>
      <c r="X392" t="s">
        <v>74</v>
      </c>
      <c r="Y392" t="s">
        <v>8061</v>
      </c>
      <c r="Z392" t="s">
        <v>8062</v>
      </c>
      <c r="AA392" t="s">
        <v>8063</v>
      </c>
      <c r="AB392" t="s">
        <v>8064</v>
      </c>
      <c r="AC392" t="s">
        <v>8065</v>
      </c>
      <c r="AD392" t="s">
        <v>8065</v>
      </c>
      <c r="AE392" t="s">
        <v>8066</v>
      </c>
      <c r="AF392" t="s">
        <v>74</v>
      </c>
      <c r="AG392">
        <v>73</v>
      </c>
      <c r="AH392">
        <v>10</v>
      </c>
      <c r="AI392">
        <v>15</v>
      </c>
      <c r="AJ392">
        <v>0</v>
      </c>
      <c r="AK392">
        <v>6</v>
      </c>
      <c r="AL392" t="s">
        <v>201</v>
      </c>
      <c r="AM392" t="s">
        <v>202</v>
      </c>
      <c r="AN392" t="s">
        <v>203</v>
      </c>
      <c r="AO392" t="s">
        <v>695</v>
      </c>
      <c r="AP392" t="s">
        <v>74</v>
      </c>
      <c r="AQ392" t="s">
        <v>74</v>
      </c>
      <c r="AR392" t="s">
        <v>696</v>
      </c>
      <c r="AS392" t="s">
        <v>697</v>
      </c>
      <c r="AT392" t="s">
        <v>124</v>
      </c>
      <c r="AU392">
        <v>2020</v>
      </c>
      <c r="AV392">
        <v>20</v>
      </c>
      <c r="AW392" t="s">
        <v>74</v>
      </c>
      <c r="AX392" t="s">
        <v>74</v>
      </c>
      <c r="AY392" t="s">
        <v>74</v>
      </c>
      <c r="AZ392" t="s">
        <v>74</v>
      </c>
      <c r="BA392" t="s">
        <v>74</v>
      </c>
      <c r="BB392" t="s">
        <v>74</v>
      </c>
      <c r="BC392" t="s">
        <v>74</v>
      </c>
      <c r="BD392">
        <v>100246</v>
      </c>
      <c r="BE392" t="s">
        <v>8067</v>
      </c>
      <c r="BF392" t="str">
        <f>HYPERLINK("http://dx.doi.org/10.1016/j.wdp.2020.100246","http://dx.doi.org/10.1016/j.wdp.2020.100246")</f>
        <v>http://dx.doi.org/10.1016/j.wdp.2020.100246</v>
      </c>
      <c r="BG392" t="s">
        <v>74</v>
      </c>
      <c r="BH392" t="s">
        <v>74</v>
      </c>
      <c r="BI392">
        <v>12</v>
      </c>
      <c r="BJ392" t="s">
        <v>701</v>
      </c>
      <c r="BK392" t="s">
        <v>313</v>
      </c>
      <c r="BL392" t="s">
        <v>702</v>
      </c>
      <c r="BM392" t="s">
        <v>8068</v>
      </c>
      <c r="BN392" t="s">
        <v>74</v>
      </c>
      <c r="BO392" t="s">
        <v>74</v>
      </c>
      <c r="BP392" t="s">
        <v>74</v>
      </c>
      <c r="BQ392" t="s">
        <v>74</v>
      </c>
      <c r="BR392" t="s">
        <v>102</v>
      </c>
      <c r="BS392" t="s">
        <v>8069</v>
      </c>
      <c r="BT392" t="str">
        <f>HYPERLINK("https%3A%2F%2Fwww.webofscience.com%2Fwos%2Fwoscc%2Ffull-record%2FWOS:000693688200015","View Full Record in Web of Science")</f>
        <v>View Full Record in Web of Science</v>
      </c>
    </row>
    <row r="393" spans="1:72" x14ac:dyDescent="0.25">
      <c r="A393" t="s">
        <v>72</v>
      </c>
      <c r="B393" t="s">
        <v>8070</v>
      </c>
      <c r="C393" t="s">
        <v>74</v>
      </c>
      <c r="D393" t="s">
        <v>74</v>
      </c>
      <c r="E393" t="s">
        <v>74</v>
      </c>
      <c r="F393" t="s">
        <v>8071</v>
      </c>
      <c r="G393" t="s">
        <v>74</v>
      </c>
      <c r="H393" t="s">
        <v>74</v>
      </c>
      <c r="I393" t="s">
        <v>8072</v>
      </c>
      <c r="J393" t="s">
        <v>3231</v>
      </c>
      <c r="K393" t="s">
        <v>74</v>
      </c>
      <c r="L393" t="s">
        <v>74</v>
      </c>
      <c r="M393" t="s">
        <v>78</v>
      </c>
      <c r="N393" t="s">
        <v>79</v>
      </c>
      <c r="O393" t="s">
        <v>74</v>
      </c>
      <c r="P393" t="s">
        <v>74</v>
      </c>
      <c r="Q393" t="s">
        <v>74</v>
      </c>
      <c r="R393" t="s">
        <v>74</v>
      </c>
      <c r="S393" t="s">
        <v>74</v>
      </c>
      <c r="T393" t="s">
        <v>8073</v>
      </c>
      <c r="U393" t="s">
        <v>74</v>
      </c>
      <c r="V393" t="s">
        <v>8074</v>
      </c>
      <c r="W393" t="s">
        <v>8075</v>
      </c>
      <c r="X393" t="s">
        <v>8076</v>
      </c>
      <c r="Y393" t="s">
        <v>8077</v>
      </c>
      <c r="Z393" t="s">
        <v>8078</v>
      </c>
      <c r="AA393" t="s">
        <v>8079</v>
      </c>
      <c r="AB393" t="s">
        <v>8080</v>
      </c>
      <c r="AC393" t="s">
        <v>74</v>
      </c>
      <c r="AD393" t="s">
        <v>74</v>
      </c>
      <c r="AE393" t="s">
        <v>74</v>
      </c>
      <c r="AF393" t="s">
        <v>74</v>
      </c>
      <c r="AG393">
        <v>29</v>
      </c>
      <c r="AH393">
        <v>28</v>
      </c>
      <c r="AI393">
        <v>43</v>
      </c>
      <c r="AJ393">
        <v>0</v>
      </c>
      <c r="AK393">
        <v>25</v>
      </c>
      <c r="AL393" t="s">
        <v>575</v>
      </c>
      <c r="AM393" t="s">
        <v>576</v>
      </c>
      <c r="AN393" t="s">
        <v>3242</v>
      </c>
      <c r="AO393" t="s">
        <v>74</v>
      </c>
      <c r="AP393" t="s">
        <v>3243</v>
      </c>
      <c r="AQ393" t="s">
        <v>74</v>
      </c>
      <c r="AR393" t="s">
        <v>3244</v>
      </c>
      <c r="AS393" t="s">
        <v>3245</v>
      </c>
      <c r="AT393" t="s">
        <v>289</v>
      </c>
      <c r="AU393">
        <v>2018</v>
      </c>
      <c r="AV393">
        <v>10</v>
      </c>
      <c r="AW393">
        <v>8</v>
      </c>
      <c r="AX393" t="s">
        <v>74</v>
      </c>
      <c r="AY393" t="s">
        <v>74</v>
      </c>
      <c r="AZ393" t="s">
        <v>74</v>
      </c>
      <c r="BA393" t="s">
        <v>74</v>
      </c>
      <c r="BB393" t="s">
        <v>74</v>
      </c>
      <c r="BC393" t="s">
        <v>74</v>
      </c>
      <c r="BD393">
        <v>2873</v>
      </c>
      <c r="BE393" t="s">
        <v>8081</v>
      </c>
      <c r="BF393" t="str">
        <f>HYPERLINK("http://dx.doi.org/10.3390/su10082873","http://dx.doi.org/10.3390/su10082873")</f>
        <v>http://dx.doi.org/10.3390/su10082873</v>
      </c>
      <c r="BG393" t="s">
        <v>74</v>
      </c>
      <c r="BH393" t="s">
        <v>74</v>
      </c>
      <c r="BI393">
        <v>15</v>
      </c>
      <c r="BJ393" t="s">
        <v>3247</v>
      </c>
      <c r="BK393" t="s">
        <v>2623</v>
      </c>
      <c r="BL393" t="s">
        <v>3248</v>
      </c>
      <c r="BM393" t="s">
        <v>8082</v>
      </c>
      <c r="BN393" t="s">
        <v>74</v>
      </c>
      <c r="BO393" t="s">
        <v>916</v>
      </c>
      <c r="BP393" t="s">
        <v>74</v>
      </c>
      <c r="BQ393" t="s">
        <v>74</v>
      </c>
      <c r="BR393" t="s">
        <v>102</v>
      </c>
      <c r="BS393" t="s">
        <v>8083</v>
      </c>
      <c r="BT393" t="str">
        <f>HYPERLINK("https%3A%2F%2Fwww.webofscience.com%2Fwos%2Fwoscc%2Ffull-record%2FWOS:000446767700289","View Full Record in Web of Science")</f>
        <v>View Full Record in Web of Science</v>
      </c>
    </row>
    <row r="394" spans="1:72" x14ac:dyDescent="0.25">
      <c r="A394" t="s">
        <v>72</v>
      </c>
      <c r="B394" t="s">
        <v>8084</v>
      </c>
      <c r="C394" t="s">
        <v>74</v>
      </c>
      <c r="D394" t="s">
        <v>74</v>
      </c>
      <c r="E394" t="s">
        <v>74</v>
      </c>
      <c r="F394" t="s">
        <v>8085</v>
      </c>
      <c r="G394" t="s">
        <v>74</v>
      </c>
      <c r="H394" t="s">
        <v>74</v>
      </c>
      <c r="I394" t="s">
        <v>8086</v>
      </c>
      <c r="J394" t="s">
        <v>8087</v>
      </c>
      <c r="K394" t="s">
        <v>74</v>
      </c>
      <c r="L394" t="s">
        <v>74</v>
      </c>
      <c r="M394" t="s">
        <v>78</v>
      </c>
      <c r="N394" t="s">
        <v>79</v>
      </c>
      <c r="O394" t="s">
        <v>74</v>
      </c>
      <c r="P394" t="s">
        <v>74</v>
      </c>
      <c r="Q394" t="s">
        <v>74</v>
      </c>
      <c r="R394" t="s">
        <v>74</v>
      </c>
      <c r="S394" t="s">
        <v>74</v>
      </c>
      <c r="T394" t="s">
        <v>8088</v>
      </c>
      <c r="U394" t="s">
        <v>8089</v>
      </c>
      <c r="V394" t="s">
        <v>8090</v>
      </c>
      <c r="W394" t="s">
        <v>8091</v>
      </c>
      <c r="X394" t="s">
        <v>8092</v>
      </c>
      <c r="Y394" t="s">
        <v>8093</v>
      </c>
      <c r="Z394" t="s">
        <v>8094</v>
      </c>
      <c r="AA394" t="s">
        <v>8095</v>
      </c>
      <c r="AB394" t="s">
        <v>8096</v>
      </c>
      <c r="AC394" t="s">
        <v>74</v>
      </c>
      <c r="AD394" t="s">
        <v>74</v>
      </c>
      <c r="AE394" t="s">
        <v>74</v>
      </c>
      <c r="AF394" t="s">
        <v>74</v>
      </c>
      <c r="AG394">
        <v>90</v>
      </c>
      <c r="AH394">
        <v>25</v>
      </c>
      <c r="AI394">
        <v>35</v>
      </c>
      <c r="AJ394">
        <v>2</v>
      </c>
      <c r="AK394">
        <v>26</v>
      </c>
      <c r="AL394" t="s">
        <v>479</v>
      </c>
      <c r="AM394" t="s">
        <v>480</v>
      </c>
      <c r="AN394" t="s">
        <v>481</v>
      </c>
      <c r="AO394" t="s">
        <v>8097</v>
      </c>
      <c r="AP394" t="s">
        <v>8098</v>
      </c>
      <c r="AQ394" t="s">
        <v>74</v>
      </c>
      <c r="AR394" t="s">
        <v>8099</v>
      </c>
      <c r="AS394" t="s">
        <v>8100</v>
      </c>
      <c r="AT394" t="s">
        <v>848</v>
      </c>
      <c r="AU394">
        <v>2019</v>
      </c>
      <c r="AV394">
        <v>43</v>
      </c>
      <c r="AW394">
        <v>4</v>
      </c>
      <c r="AX394" t="s">
        <v>74</v>
      </c>
      <c r="AY394" t="s">
        <v>74</v>
      </c>
      <c r="AZ394" t="s">
        <v>74</v>
      </c>
      <c r="BA394" t="s">
        <v>74</v>
      </c>
      <c r="BB394">
        <v>335</v>
      </c>
      <c r="BC394">
        <v>347</v>
      </c>
      <c r="BD394" t="s">
        <v>74</v>
      </c>
      <c r="BE394" t="s">
        <v>8101</v>
      </c>
      <c r="BF394" t="str">
        <f>HYPERLINK("http://dx.doi.org/10.1111/ijcs.12520","http://dx.doi.org/10.1111/ijcs.12520")</f>
        <v>http://dx.doi.org/10.1111/ijcs.12520</v>
      </c>
      <c r="BG394" t="s">
        <v>74</v>
      </c>
      <c r="BH394" t="s">
        <v>74</v>
      </c>
      <c r="BI394">
        <v>13</v>
      </c>
      <c r="BJ394" t="s">
        <v>418</v>
      </c>
      <c r="BK394" t="s">
        <v>99</v>
      </c>
      <c r="BL394" t="s">
        <v>100</v>
      </c>
      <c r="BM394" t="s">
        <v>8102</v>
      </c>
      <c r="BN394" t="s">
        <v>74</v>
      </c>
      <c r="BO394" t="s">
        <v>74</v>
      </c>
      <c r="BP394" t="s">
        <v>74</v>
      </c>
      <c r="BQ394" t="s">
        <v>74</v>
      </c>
      <c r="BR394" t="s">
        <v>102</v>
      </c>
      <c r="BS394" t="s">
        <v>8103</v>
      </c>
      <c r="BT394" t="str">
        <f>HYPERLINK("https%3A%2F%2Fwww.webofscience.com%2Fwos%2Fwoscc%2Ffull-record%2FWOS:000471345000002","View Full Record in Web of Science")</f>
        <v>View Full Record in Web of Science</v>
      </c>
    </row>
    <row r="395" spans="1:72" x14ac:dyDescent="0.25">
      <c r="A395" t="s">
        <v>72</v>
      </c>
      <c r="B395" t="s">
        <v>8104</v>
      </c>
      <c r="C395" t="s">
        <v>74</v>
      </c>
      <c r="D395" t="s">
        <v>74</v>
      </c>
      <c r="E395" t="s">
        <v>74</v>
      </c>
      <c r="F395" t="s">
        <v>8105</v>
      </c>
      <c r="G395" t="s">
        <v>74</v>
      </c>
      <c r="H395" t="s">
        <v>74</v>
      </c>
      <c r="I395" t="s">
        <v>8106</v>
      </c>
      <c r="J395" t="s">
        <v>8107</v>
      </c>
      <c r="K395" t="s">
        <v>74</v>
      </c>
      <c r="L395" t="s">
        <v>74</v>
      </c>
      <c r="M395" t="s">
        <v>78</v>
      </c>
      <c r="N395" t="s">
        <v>79</v>
      </c>
      <c r="O395" t="s">
        <v>74</v>
      </c>
      <c r="P395" t="s">
        <v>74</v>
      </c>
      <c r="Q395" t="s">
        <v>74</v>
      </c>
      <c r="R395" t="s">
        <v>74</v>
      </c>
      <c r="S395" t="s">
        <v>74</v>
      </c>
      <c r="T395" t="s">
        <v>8108</v>
      </c>
      <c r="U395" t="s">
        <v>74</v>
      </c>
      <c r="V395" t="s">
        <v>8109</v>
      </c>
      <c r="W395" t="s">
        <v>8110</v>
      </c>
      <c r="X395" t="s">
        <v>8111</v>
      </c>
      <c r="Y395" t="s">
        <v>8112</v>
      </c>
      <c r="Z395" t="s">
        <v>8113</v>
      </c>
      <c r="AA395" t="s">
        <v>74</v>
      </c>
      <c r="AB395" t="s">
        <v>74</v>
      </c>
      <c r="AC395" t="s">
        <v>74</v>
      </c>
      <c r="AD395" t="s">
        <v>74</v>
      </c>
      <c r="AE395" t="s">
        <v>74</v>
      </c>
      <c r="AF395" t="s">
        <v>74</v>
      </c>
      <c r="AG395">
        <v>26</v>
      </c>
      <c r="AH395">
        <v>0</v>
      </c>
      <c r="AI395">
        <v>0</v>
      </c>
      <c r="AJ395">
        <v>0</v>
      </c>
      <c r="AK395">
        <v>5</v>
      </c>
      <c r="AL395" t="s">
        <v>8114</v>
      </c>
      <c r="AM395" t="s">
        <v>8115</v>
      </c>
      <c r="AN395" t="s">
        <v>8116</v>
      </c>
      <c r="AO395" t="s">
        <v>8117</v>
      </c>
      <c r="AP395" t="s">
        <v>8118</v>
      </c>
      <c r="AQ395" t="s">
        <v>74</v>
      </c>
      <c r="AR395" t="s">
        <v>8119</v>
      </c>
      <c r="AS395" t="s">
        <v>8120</v>
      </c>
      <c r="AT395" t="s">
        <v>74</v>
      </c>
      <c r="AU395">
        <v>2023</v>
      </c>
      <c r="AV395">
        <v>17</v>
      </c>
      <c r="AW395">
        <v>1</v>
      </c>
      <c r="AX395" t="s">
        <v>74</v>
      </c>
      <c r="AY395" t="s">
        <v>74</v>
      </c>
      <c r="AZ395" t="s">
        <v>74</v>
      </c>
      <c r="BA395" t="s">
        <v>74</v>
      </c>
      <c r="BB395">
        <v>35</v>
      </c>
      <c r="BC395">
        <v>43</v>
      </c>
      <c r="BD395" t="s">
        <v>74</v>
      </c>
      <c r="BE395" t="s">
        <v>8121</v>
      </c>
      <c r="BF395" t="str">
        <f>HYPERLINK("http://dx.doi.org/10.17150/2500-1442.2023.17(1).35-43","http://dx.doi.org/10.17150/2500-1442.2023.17(1).35-43")</f>
        <v>http://dx.doi.org/10.17150/2500-1442.2023.17(1).35-43</v>
      </c>
      <c r="BG395" t="s">
        <v>74</v>
      </c>
      <c r="BH395" t="s">
        <v>74</v>
      </c>
      <c r="BI395">
        <v>9</v>
      </c>
      <c r="BJ395" t="s">
        <v>3573</v>
      </c>
      <c r="BK395" t="s">
        <v>313</v>
      </c>
      <c r="BL395" t="s">
        <v>3573</v>
      </c>
      <c r="BM395" t="s">
        <v>8122</v>
      </c>
      <c r="BN395" t="s">
        <v>74</v>
      </c>
      <c r="BO395" t="s">
        <v>212</v>
      </c>
      <c r="BP395" t="s">
        <v>74</v>
      </c>
      <c r="BQ395" t="s">
        <v>74</v>
      </c>
      <c r="BR395" t="s">
        <v>102</v>
      </c>
      <c r="BS395" t="s">
        <v>8123</v>
      </c>
      <c r="BT395" t="str">
        <f>HYPERLINK("https%3A%2F%2Fwww.webofscience.com%2Fwos%2Fwoscc%2Ffull-record%2FWOS:000953399900004","View Full Record in Web of Science")</f>
        <v>View Full Record in Web of Science</v>
      </c>
    </row>
    <row r="396" spans="1:72" x14ac:dyDescent="0.25">
      <c r="A396" t="s">
        <v>72</v>
      </c>
      <c r="B396" t="s">
        <v>8124</v>
      </c>
      <c r="C396" t="s">
        <v>74</v>
      </c>
      <c r="D396" t="s">
        <v>74</v>
      </c>
      <c r="E396" t="s">
        <v>74</v>
      </c>
      <c r="F396" t="s">
        <v>8125</v>
      </c>
      <c r="G396" t="s">
        <v>74</v>
      </c>
      <c r="H396" t="s">
        <v>74</v>
      </c>
      <c r="I396" t="s">
        <v>8126</v>
      </c>
      <c r="J396" t="s">
        <v>8127</v>
      </c>
      <c r="K396" t="s">
        <v>74</v>
      </c>
      <c r="L396" t="s">
        <v>74</v>
      </c>
      <c r="M396" t="s">
        <v>78</v>
      </c>
      <c r="N396" t="s">
        <v>79</v>
      </c>
      <c r="O396" t="s">
        <v>74</v>
      </c>
      <c r="P396" t="s">
        <v>74</v>
      </c>
      <c r="Q396" t="s">
        <v>74</v>
      </c>
      <c r="R396" t="s">
        <v>74</v>
      </c>
      <c r="S396" t="s">
        <v>74</v>
      </c>
      <c r="T396" t="s">
        <v>74</v>
      </c>
      <c r="U396" t="s">
        <v>8128</v>
      </c>
      <c r="V396" t="s">
        <v>8129</v>
      </c>
      <c r="W396" t="s">
        <v>8130</v>
      </c>
      <c r="X396" t="s">
        <v>8131</v>
      </c>
      <c r="Y396" t="s">
        <v>8132</v>
      </c>
      <c r="Z396" t="s">
        <v>74</v>
      </c>
      <c r="AA396" t="s">
        <v>74</v>
      </c>
      <c r="AB396" t="s">
        <v>74</v>
      </c>
      <c r="AC396" t="s">
        <v>74</v>
      </c>
      <c r="AD396" t="s">
        <v>74</v>
      </c>
      <c r="AE396" t="s">
        <v>74</v>
      </c>
      <c r="AF396" t="s">
        <v>74</v>
      </c>
      <c r="AG396">
        <v>319</v>
      </c>
      <c r="AH396">
        <v>3</v>
      </c>
      <c r="AI396">
        <v>3</v>
      </c>
      <c r="AJ396">
        <v>1</v>
      </c>
      <c r="AK396">
        <v>6</v>
      </c>
      <c r="AL396" t="s">
        <v>8127</v>
      </c>
      <c r="AM396" t="s">
        <v>8133</v>
      </c>
      <c r="AN396" t="s">
        <v>8134</v>
      </c>
      <c r="AO396" t="s">
        <v>8135</v>
      </c>
      <c r="AP396" t="s">
        <v>8136</v>
      </c>
      <c r="AQ396" t="s">
        <v>74</v>
      </c>
      <c r="AR396" t="s">
        <v>8137</v>
      </c>
      <c r="AS396" t="s">
        <v>8138</v>
      </c>
      <c r="AT396" t="s">
        <v>74</v>
      </c>
      <c r="AU396">
        <v>2024</v>
      </c>
      <c r="AV396">
        <v>41</v>
      </c>
      <c r="AW396">
        <v>3</v>
      </c>
      <c r="AX396" t="s">
        <v>74</v>
      </c>
      <c r="AY396" t="s">
        <v>74</v>
      </c>
      <c r="AZ396" t="s">
        <v>74</v>
      </c>
      <c r="BA396" t="s">
        <v>74</v>
      </c>
      <c r="BB396" t="s">
        <v>74</v>
      </c>
      <c r="BC396" t="s">
        <v>74</v>
      </c>
      <c r="BD396" t="s">
        <v>74</v>
      </c>
      <c r="BE396" t="s">
        <v>74</v>
      </c>
      <c r="BF396" t="s">
        <v>74</v>
      </c>
      <c r="BG396" t="s">
        <v>74</v>
      </c>
      <c r="BH396" t="s">
        <v>74</v>
      </c>
      <c r="BI396">
        <v>71</v>
      </c>
      <c r="BJ396" t="s">
        <v>182</v>
      </c>
      <c r="BK396" t="s">
        <v>99</v>
      </c>
      <c r="BL396" t="s">
        <v>184</v>
      </c>
      <c r="BM396" t="s">
        <v>8139</v>
      </c>
      <c r="BN396" t="s">
        <v>74</v>
      </c>
      <c r="BO396" t="s">
        <v>74</v>
      </c>
      <c r="BP396" t="s">
        <v>74</v>
      </c>
      <c r="BQ396" t="s">
        <v>74</v>
      </c>
      <c r="BR396" t="s">
        <v>102</v>
      </c>
      <c r="BS396" t="s">
        <v>8140</v>
      </c>
      <c r="BT396" t="str">
        <f>HYPERLINK("https%3A%2F%2Fwww.webofscience.com%2Fwos%2Fwoscc%2Ffull-record%2FWOS:001328291200003","View Full Record in Web of Science")</f>
        <v>View Full Record in Web of Science</v>
      </c>
    </row>
    <row r="397" spans="1:72" x14ac:dyDescent="0.25">
      <c r="A397" t="s">
        <v>72</v>
      </c>
      <c r="B397" t="s">
        <v>8141</v>
      </c>
      <c r="C397" t="s">
        <v>74</v>
      </c>
      <c r="D397" t="s">
        <v>74</v>
      </c>
      <c r="E397" t="s">
        <v>74</v>
      </c>
      <c r="F397" t="s">
        <v>8142</v>
      </c>
      <c r="G397" t="s">
        <v>74</v>
      </c>
      <c r="H397" t="s">
        <v>74</v>
      </c>
      <c r="I397" t="s">
        <v>8143</v>
      </c>
      <c r="J397" t="s">
        <v>3056</v>
      </c>
      <c r="K397" t="s">
        <v>74</v>
      </c>
      <c r="L397" t="s">
        <v>74</v>
      </c>
      <c r="M397" t="s">
        <v>78</v>
      </c>
      <c r="N397" t="s">
        <v>79</v>
      </c>
      <c r="O397" t="s">
        <v>74</v>
      </c>
      <c r="P397" t="s">
        <v>74</v>
      </c>
      <c r="Q397" t="s">
        <v>74</v>
      </c>
      <c r="R397" t="s">
        <v>74</v>
      </c>
      <c r="S397" t="s">
        <v>74</v>
      </c>
      <c r="T397" t="s">
        <v>8144</v>
      </c>
      <c r="U397" t="s">
        <v>74</v>
      </c>
      <c r="V397" t="s">
        <v>8145</v>
      </c>
      <c r="W397" t="s">
        <v>8146</v>
      </c>
      <c r="X397" t="s">
        <v>8147</v>
      </c>
      <c r="Y397" t="s">
        <v>8148</v>
      </c>
      <c r="Z397" t="s">
        <v>8149</v>
      </c>
      <c r="AA397" t="s">
        <v>74</v>
      </c>
      <c r="AB397" t="s">
        <v>8150</v>
      </c>
      <c r="AC397" t="s">
        <v>74</v>
      </c>
      <c r="AD397" t="s">
        <v>74</v>
      </c>
      <c r="AE397" t="s">
        <v>74</v>
      </c>
      <c r="AF397" t="s">
        <v>74</v>
      </c>
      <c r="AG397">
        <v>18</v>
      </c>
      <c r="AH397">
        <v>0</v>
      </c>
      <c r="AI397">
        <v>0</v>
      </c>
      <c r="AJ397">
        <v>0</v>
      </c>
      <c r="AK397">
        <v>28</v>
      </c>
      <c r="AL397" t="s">
        <v>3064</v>
      </c>
      <c r="AM397" t="s">
        <v>3065</v>
      </c>
      <c r="AN397" t="s">
        <v>3066</v>
      </c>
      <c r="AO397" t="s">
        <v>3067</v>
      </c>
      <c r="AP397" t="s">
        <v>3068</v>
      </c>
      <c r="AQ397" t="s">
        <v>74</v>
      </c>
      <c r="AR397" t="s">
        <v>3069</v>
      </c>
      <c r="AS397" t="s">
        <v>3070</v>
      </c>
      <c r="AT397" t="s">
        <v>74</v>
      </c>
      <c r="AU397">
        <v>2021</v>
      </c>
      <c r="AV397">
        <v>17</v>
      </c>
      <c r="AW397">
        <v>3</v>
      </c>
      <c r="AX397" t="s">
        <v>74</v>
      </c>
      <c r="AY397" t="s">
        <v>74</v>
      </c>
      <c r="AZ397" t="s">
        <v>74</v>
      </c>
      <c r="BA397" t="s">
        <v>74</v>
      </c>
      <c r="BB397">
        <v>632</v>
      </c>
      <c r="BC397">
        <v>639</v>
      </c>
      <c r="BD397" t="s">
        <v>74</v>
      </c>
      <c r="BE397" t="s">
        <v>8151</v>
      </c>
      <c r="BF397" t="str">
        <f>HYPERLINK("http://dx.doi.org/10.35716/IJED/20308","http://dx.doi.org/10.35716/IJED/20308")</f>
        <v>http://dx.doi.org/10.35716/IJED/20308</v>
      </c>
      <c r="BG397" t="s">
        <v>74</v>
      </c>
      <c r="BH397" t="s">
        <v>74</v>
      </c>
      <c r="BI397">
        <v>8</v>
      </c>
      <c r="BJ397" t="s">
        <v>291</v>
      </c>
      <c r="BK397" t="s">
        <v>313</v>
      </c>
      <c r="BL397" t="s">
        <v>100</v>
      </c>
      <c r="BM397" t="s">
        <v>8152</v>
      </c>
      <c r="BN397" t="s">
        <v>74</v>
      </c>
      <c r="BO397" t="s">
        <v>74</v>
      </c>
      <c r="BP397" t="s">
        <v>74</v>
      </c>
      <c r="BQ397" t="s">
        <v>74</v>
      </c>
      <c r="BR397" t="s">
        <v>102</v>
      </c>
      <c r="BS397" t="s">
        <v>8153</v>
      </c>
      <c r="BT397" t="str">
        <f>HYPERLINK("https%3A%2F%2Fwww.webofscience.com%2Fwos%2Fwoscc%2Ffull-record%2FWOS:000704700400018","View Full Record in Web of Science")</f>
        <v>View Full Record in Web of Science</v>
      </c>
    </row>
    <row r="398" spans="1:72" x14ac:dyDescent="0.25">
      <c r="A398" t="s">
        <v>72</v>
      </c>
      <c r="B398" t="s">
        <v>8154</v>
      </c>
      <c r="C398" t="s">
        <v>74</v>
      </c>
      <c r="D398" t="s">
        <v>74</v>
      </c>
      <c r="E398" t="s">
        <v>74</v>
      </c>
      <c r="F398" t="s">
        <v>8155</v>
      </c>
      <c r="G398" t="s">
        <v>74</v>
      </c>
      <c r="H398" t="s">
        <v>74</v>
      </c>
      <c r="I398" t="s">
        <v>8156</v>
      </c>
      <c r="J398" t="s">
        <v>1245</v>
      </c>
      <c r="K398" t="s">
        <v>74</v>
      </c>
      <c r="L398" t="s">
        <v>74</v>
      </c>
      <c r="M398" t="s">
        <v>78</v>
      </c>
      <c r="N398" t="s">
        <v>79</v>
      </c>
      <c r="O398" t="s">
        <v>74</v>
      </c>
      <c r="P398" t="s">
        <v>74</v>
      </c>
      <c r="Q398" t="s">
        <v>74</v>
      </c>
      <c r="R398" t="s">
        <v>74</v>
      </c>
      <c r="S398" t="s">
        <v>74</v>
      </c>
      <c r="T398" t="s">
        <v>8157</v>
      </c>
      <c r="U398" t="s">
        <v>74</v>
      </c>
      <c r="V398" t="s">
        <v>8158</v>
      </c>
      <c r="W398" t="s">
        <v>8159</v>
      </c>
      <c r="X398" t="s">
        <v>8160</v>
      </c>
      <c r="Y398" t="s">
        <v>8161</v>
      </c>
      <c r="Z398" t="s">
        <v>8162</v>
      </c>
      <c r="AA398" t="s">
        <v>8163</v>
      </c>
      <c r="AB398" t="s">
        <v>8164</v>
      </c>
      <c r="AC398" t="s">
        <v>74</v>
      </c>
      <c r="AD398" t="s">
        <v>74</v>
      </c>
      <c r="AE398" t="s">
        <v>8165</v>
      </c>
      <c r="AF398" t="s">
        <v>74</v>
      </c>
      <c r="AG398">
        <v>27</v>
      </c>
      <c r="AH398">
        <v>0</v>
      </c>
      <c r="AI398">
        <v>0</v>
      </c>
      <c r="AJ398">
        <v>0</v>
      </c>
      <c r="AK398">
        <v>4</v>
      </c>
      <c r="AL398" t="s">
        <v>1254</v>
      </c>
      <c r="AM398" t="s">
        <v>1255</v>
      </c>
      <c r="AN398" t="s">
        <v>1256</v>
      </c>
      <c r="AO398" t="s">
        <v>1257</v>
      </c>
      <c r="AP398" t="s">
        <v>1258</v>
      </c>
      <c r="AQ398" t="s">
        <v>74</v>
      </c>
      <c r="AR398" t="s">
        <v>1259</v>
      </c>
      <c r="AS398" t="s">
        <v>1260</v>
      </c>
      <c r="AT398" t="s">
        <v>74</v>
      </c>
      <c r="AU398">
        <v>2024</v>
      </c>
      <c r="AV398">
        <v>2</v>
      </c>
      <c r="AW398">
        <v>55</v>
      </c>
      <c r="AX398" t="s">
        <v>74</v>
      </c>
      <c r="AY398" t="s">
        <v>74</v>
      </c>
      <c r="AZ398" t="s">
        <v>74</v>
      </c>
      <c r="BA398" t="s">
        <v>74</v>
      </c>
      <c r="BB398">
        <v>20</v>
      </c>
      <c r="BC398">
        <v>34</v>
      </c>
      <c r="BD398" t="s">
        <v>74</v>
      </c>
      <c r="BE398" t="s">
        <v>8166</v>
      </c>
      <c r="BF398" t="str">
        <f>HYPERLINK("http://dx.doi.org/10.55643/fcaptp.2.55.2024.4343","http://dx.doi.org/10.55643/fcaptp.2.55.2024.4343")</f>
        <v>http://dx.doi.org/10.55643/fcaptp.2.55.2024.4343</v>
      </c>
      <c r="BG398" t="s">
        <v>74</v>
      </c>
      <c r="BH398" t="s">
        <v>74</v>
      </c>
      <c r="BI398">
        <v>15</v>
      </c>
      <c r="BJ398" t="s">
        <v>268</v>
      </c>
      <c r="BK398" t="s">
        <v>313</v>
      </c>
      <c r="BL398" t="s">
        <v>100</v>
      </c>
      <c r="BM398" t="s">
        <v>8167</v>
      </c>
      <c r="BN398" t="s">
        <v>74</v>
      </c>
      <c r="BO398" t="s">
        <v>212</v>
      </c>
      <c r="BP398" t="s">
        <v>74</v>
      </c>
      <c r="BQ398" t="s">
        <v>74</v>
      </c>
      <c r="BR398" t="s">
        <v>102</v>
      </c>
      <c r="BS398" t="s">
        <v>8168</v>
      </c>
      <c r="BT398" t="str">
        <f>HYPERLINK("https%3A%2F%2Fwww.webofscience.com%2Fwos%2Fwoscc%2Ffull-record%2FWOS:001313958700003","View Full Record in Web of Science")</f>
        <v>View Full Record in Web of Science</v>
      </c>
    </row>
    <row r="399" spans="1:72" x14ac:dyDescent="0.25">
      <c r="A399" t="s">
        <v>72</v>
      </c>
      <c r="B399" t="s">
        <v>8169</v>
      </c>
      <c r="C399" t="s">
        <v>74</v>
      </c>
      <c r="D399" t="s">
        <v>74</v>
      </c>
      <c r="E399" t="s">
        <v>74</v>
      </c>
      <c r="F399" t="s">
        <v>8170</v>
      </c>
      <c r="G399" t="s">
        <v>74</v>
      </c>
      <c r="H399" t="s">
        <v>74</v>
      </c>
      <c r="I399" t="s">
        <v>8171</v>
      </c>
      <c r="J399" t="s">
        <v>1902</v>
      </c>
      <c r="K399" t="s">
        <v>74</v>
      </c>
      <c r="L399" t="s">
        <v>74</v>
      </c>
      <c r="M399" t="s">
        <v>78</v>
      </c>
      <c r="N399" t="s">
        <v>79</v>
      </c>
      <c r="O399" t="s">
        <v>74</v>
      </c>
      <c r="P399" t="s">
        <v>74</v>
      </c>
      <c r="Q399" t="s">
        <v>74</v>
      </c>
      <c r="R399" t="s">
        <v>74</v>
      </c>
      <c r="S399" t="s">
        <v>74</v>
      </c>
      <c r="T399" t="s">
        <v>8172</v>
      </c>
      <c r="U399" t="s">
        <v>8173</v>
      </c>
      <c r="V399" t="s">
        <v>8174</v>
      </c>
      <c r="W399" t="s">
        <v>8175</v>
      </c>
      <c r="X399" t="s">
        <v>3513</v>
      </c>
      <c r="Y399" t="s">
        <v>8176</v>
      </c>
      <c r="Z399" t="s">
        <v>8177</v>
      </c>
      <c r="AA399" t="s">
        <v>8178</v>
      </c>
      <c r="AB399" t="s">
        <v>8179</v>
      </c>
      <c r="AC399" t="s">
        <v>74</v>
      </c>
      <c r="AD399" t="s">
        <v>74</v>
      </c>
      <c r="AE399" t="s">
        <v>74</v>
      </c>
      <c r="AF399" t="s">
        <v>74</v>
      </c>
      <c r="AG399">
        <v>54</v>
      </c>
      <c r="AH399">
        <v>13</v>
      </c>
      <c r="AI399">
        <v>16</v>
      </c>
      <c r="AJ399">
        <v>3</v>
      </c>
      <c r="AK399">
        <v>36</v>
      </c>
      <c r="AL399" t="s">
        <v>89</v>
      </c>
      <c r="AM399" t="s">
        <v>90</v>
      </c>
      <c r="AN399" t="s">
        <v>91</v>
      </c>
      <c r="AO399" t="s">
        <v>1910</v>
      </c>
      <c r="AP399" t="s">
        <v>1911</v>
      </c>
      <c r="AQ399" t="s">
        <v>74</v>
      </c>
      <c r="AR399" t="s">
        <v>1912</v>
      </c>
      <c r="AS399" t="s">
        <v>1913</v>
      </c>
      <c r="AT399" t="s">
        <v>8180</v>
      </c>
      <c r="AU399">
        <v>2023</v>
      </c>
      <c r="AV399">
        <v>15</v>
      </c>
      <c r="AW399">
        <v>3</v>
      </c>
      <c r="AX399" t="s">
        <v>74</v>
      </c>
      <c r="AY399" t="s">
        <v>74</v>
      </c>
      <c r="AZ399" t="s">
        <v>74</v>
      </c>
      <c r="BA399" t="s">
        <v>74</v>
      </c>
      <c r="BB399">
        <v>208</v>
      </c>
      <c r="BC399">
        <v>225</v>
      </c>
      <c r="BD399" t="s">
        <v>74</v>
      </c>
      <c r="BE399" t="s">
        <v>8181</v>
      </c>
      <c r="BF399" t="str">
        <f>HYPERLINK("http://dx.doi.org/10.1108/JFEP-01-2023-0012","http://dx.doi.org/10.1108/JFEP-01-2023-0012")</f>
        <v>http://dx.doi.org/10.1108/JFEP-01-2023-0012</v>
      </c>
      <c r="BG399" t="s">
        <v>74</v>
      </c>
      <c r="BH399" t="s">
        <v>6298</v>
      </c>
      <c r="BI399">
        <v>18</v>
      </c>
      <c r="BJ399" t="s">
        <v>291</v>
      </c>
      <c r="BK399" t="s">
        <v>313</v>
      </c>
      <c r="BL399" t="s">
        <v>100</v>
      </c>
      <c r="BM399" t="s">
        <v>8182</v>
      </c>
      <c r="BN399" t="s">
        <v>74</v>
      </c>
      <c r="BO399" t="s">
        <v>74</v>
      </c>
      <c r="BP399" t="s">
        <v>74</v>
      </c>
      <c r="BQ399" t="s">
        <v>74</v>
      </c>
      <c r="BR399" t="s">
        <v>102</v>
      </c>
      <c r="BS399" t="s">
        <v>8183</v>
      </c>
      <c r="BT399" t="str">
        <f>HYPERLINK("https%3A%2F%2Fwww.webofscience.com%2Fwos%2Fwoscc%2Ffull-record%2FWOS:000971170900001","View Full Record in Web of Science")</f>
        <v>View Full Record in Web of Science</v>
      </c>
    </row>
    <row r="400" spans="1:72" x14ac:dyDescent="0.25">
      <c r="A400" t="s">
        <v>72</v>
      </c>
      <c r="B400" t="s">
        <v>8184</v>
      </c>
      <c r="C400" t="s">
        <v>74</v>
      </c>
      <c r="D400" t="s">
        <v>74</v>
      </c>
      <c r="E400" t="s">
        <v>74</v>
      </c>
      <c r="F400" t="s">
        <v>8185</v>
      </c>
      <c r="G400" t="s">
        <v>74</v>
      </c>
      <c r="H400" t="s">
        <v>74</v>
      </c>
      <c r="I400" t="s">
        <v>8186</v>
      </c>
      <c r="J400" t="s">
        <v>3579</v>
      </c>
      <c r="K400" t="s">
        <v>74</v>
      </c>
      <c r="L400" t="s">
        <v>74</v>
      </c>
      <c r="M400" t="s">
        <v>78</v>
      </c>
      <c r="N400" t="s">
        <v>79</v>
      </c>
      <c r="O400" t="s">
        <v>74</v>
      </c>
      <c r="P400" t="s">
        <v>74</v>
      </c>
      <c r="Q400" t="s">
        <v>74</v>
      </c>
      <c r="R400" t="s">
        <v>74</v>
      </c>
      <c r="S400" t="s">
        <v>74</v>
      </c>
      <c r="T400" t="s">
        <v>8187</v>
      </c>
      <c r="U400" t="s">
        <v>74</v>
      </c>
      <c r="V400" t="s">
        <v>8188</v>
      </c>
      <c r="W400" t="s">
        <v>8189</v>
      </c>
      <c r="X400" t="s">
        <v>8190</v>
      </c>
      <c r="Y400" t="s">
        <v>8191</v>
      </c>
      <c r="Z400" t="s">
        <v>8192</v>
      </c>
      <c r="AA400" t="s">
        <v>8193</v>
      </c>
      <c r="AB400" t="s">
        <v>74</v>
      </c>
      <c r="AC400" t="s">
        <v>74</v>
      </c>
      <c r="AD400" t="s">
        <v>74</v>
      </c>
      <c r="AE400" t="s">
        <v>74</v>
      </c>
      <c r="AF400" t="s">
        <v>74</v>
      </c>
      <c r="AG400">
        <v>34</v>
      </c>
      <c r="AH400">
        <v>6</v>
      </c>
      <c r="AI400">
        <v>11</v>
      </c>
      <c r="AJ400">
        <v>3</v>
      </c>
      <c r="AK400">
        <v>19</v>
      </c>
      <c r="AL400" t="s">
        <v>3588</v>
      </c>
      <c r="AM400" t="s">
        <v>410</v>
      </c>
      <c r="AN400" t="s">
        <v>3589</v>
      </c>
      <c r="AO400" t="s">
        <v>3590</v>
      </c>
      <c r="AP400" t="s">
        <v>3591</v>
      </c>
      <c r="AQ400" t="s">
        <v>74</v>
      </c>
      <c r="AR400" t="s">
        <v>3592</v>
      </c>
      <c r="AS400" t="s">
        <v>3593</v>
      </c>
      <c r="AT400" t="s">
        <v>124</v>
      </c>
      <c r="AU400">
        <v>2020</v>
      </c>
      <c r="AV400">
        <v>22</v>
      </c>
      <c r="AW400">
        <v>2</v>
      </c>
      <c r="AX400" t="s">
        <v>74</v>
      </c>
      <c r="AY400" t="s">
        <v>74</v>
      </c>
      <c r="AZ400" t="s">
        <v>74</v>
      </c>
      <c r="BA400" t="s">
        <v>74</v>
      </c>
      <c r="BB400">
        <v>443</v>
      </c>
      <c r="BC400">
        <v>459</v>
      </c>
      <c r="BD400" t="s">
        <v>74</v>
      </c>
      <c r="BE400" t="s">
        <v>8194</v>
      </c>
      <c r="BF400" t="str">
        <f>HYPERLINK("http://dx.doi.org/10.1007/s40847-020-00112-2","http://dx.doi.org/10.1007/s40847-020-00112-2")</f>
        <v>http://dx.doi.org/10.1007/s40847-020-00112-2</v>
      </c>
      <c r="BG400" t="s">
        <v>74</v>
      </c>
      <c r="BH400" t="s">
        <v>74</v>
      </c>
      <c r="BI400">
        <v>17</v>
      </c>
      <c r="BJ400" t="s">
        <v>701</v>
      </c>
      <c r="BK400" t="s">
        <v>313</v>
      </c>
      <c r="BL400" t="s">
        <v>702</v>
      </c>
      <c r="BM400" t="s">
        <v>8195</v>
      </c>
      <c r="BN400" t="s">
        <v>74</v>
      </c>
      <c r="BO400" t="s">
        <v>74</v>
      </c>
      <c r="BP400" t="s">
        <v>74</v>
      </c>
      <c r="BQ400" t="s">
        <v>74</v>
      </c>
      <c r="BR400" t="s">
        <v>102</v>
      </c>
      <c r="BS400" t="s">
        <v>8196</v>
      </c>
      <c r="BT400" t="str">
        <f>HYPERLINK("https%3A%2F%2Fwww.webofscience.com%2Fwos%2Fwoscc%2Ffull-record%2FWOS:000710542500010","View Full Record in Web of Science")</f>
        <v>View Full Record in Web of Science</v>
      </c>
    </row>
    <row r="401" spans="1:72" x14ac:dyDescent="0.25">
      <c r="A401" t="s">
        <v>72</v>
      </c>
      <c r="B401" t="s">
        <v>8197</v>
      </c>
      <c r="C401" t="s">
        <v>74</v>
      </c>
      <c r="D401" t="s">
        <v>74</v>
      </c>
      <c r="E401" t="s">
        <v>74</v>
      </c>
      <c r="F401" t="s">
        <v>8198</v>
      </c>
      <c r="G401" t="s">
        <v>74</v>
      </c>
      <c r="H401" t="s">
        <v>74</v>
      </c>
      <c r="I401" t="s">
        <v>8199</v>
      </c>
      <c r="J401" t="s">
        <v>8200</v>
      </c>
      <c r="K401" t="s">
        <v>74</v>
      </c>
      <c r="L401" t="s">
        <v>74</v>
      </c>
      <c r="M401" t="s">
        <v>78</v>
      </c>
      <c r="N401" t="s">
        <v>79</v>
      </c>
      <c r="O401" t="s">
        <v>74</v>
      </c>
      <c r="P401" t="s">
        <v>74</v>
      </c>
      <c r="Q401" t="s">
        <v>74</v>
      </c>
      <c r="R401" t="s">
        <v>74</v>
      </c>
      <c r="S401" t="s">
        <v>74</v>
      </c>
      <c r="T401" t="s">
        <v>8201</v>
      </c>
      <c r="U401" t="s">
        <v>8202</v>
      </c>
      <c r="V401" t="s">
        <v>8203</v>
      </c>
      <c r="W401" t="s">
        <v>8204</v>
      </c>
      <c r="X401" t="s">
        <v>8205</v>
      </c>
      <c r="Y401" t="s">
        <v>8206</v>
      </c>
      <c r="Z401" t="s">
        <v>8207</v>
      </c>
      <c r="AA401" t="s">
        <v>8208</v>
      </c>
      <c r="AB401" t="s">
        <v>8209</v>
      </c>
      <c r="AC401" t="s">
        <v>74</v>
      </c>
      <c r="AD401" t="s">
        <v>74</v>
      </c>
      <c r="AE401" t="s">
        <v>74</v>
      </c>
      <c r="AF401" t="s">
        <v>74</v>
      </c>
      <c r="AG401">
        <v>49</v>
      </c>
      <c r="AH401">
        <v>0</v>
      </c>
      <c r="AI401">
        <v>0</v>
      </c>
      <c r="AJ401">
        <v>0</v>
      </c>
      <c r="AK401">
        <v>3</v>
      </c>
      <c r="AL401" t="s">
        <v>8210</v>
      </c>
      <c r="AM401" t="s">
        <v>8211</v>
      </c>
      <c r="AN401" t="s">
        <v>8212</v>
      </c>
      <c r="AO401" t="s">
        <v>8213</v>
      </c>
      <c r="AP401" t="s">
        <v>74</v>
      </c>
      <c r="AQ401" t="s">
        <v>74</v>
      </c>
      <c r="AR401" t="s">
        <v>8214</v>
      </c>
      <c r="AS401" t="s">
        <v>8215</v>
      </c>
      <c r="AT401" t="s">
        <v>289</v>
      </c>
      <c r="AU401">
        <v>2023</v>
      </c>
      <c r="AV401">
        <v>16</v>
      </c>
      <c r="AW401">
        <v>2</v>
      </c>
      <c r="AX401" t="s">
        <v>74</v>
      </c>
      <c r="AY401" t="s">
        <v>74</v>
      </c>
      <c r="AZ401" t="s">
        <v>74</v>
      </c>
      <c r="BA401" t="s">
        <v>74</v>
      </c>
      <c r="BB401">
        <v>58</v>
      </c>
      <c r="BC401">
        <v>70</v>
      </c>
      <c r="BD401" t="s">
        <v>74</v>
      </c>
      <c r="BE401" t="s">
        <v>74</v>
      </c>
      <c r="BF401" t="s">
        <v>74</v>
      </c>
      <c r="BG401" t="s">
        <v>74</v>
      </c>
      <c r="BH401" t="s">
        <v>74</v>
      </c>
      <c r="BI401">
        <v>13</v>
      </c>
      <c r="BJ401" t="s">
        <v>418</v>
      </c>
      <c r="BK401" t="s">
        <v>313</v>
      </c>
      <c r="BL401" t="s">
        <v>100</v>
      </c>
      <c r="BM401" t="s">
        <v>8216</v>
      </c>
      <c r="BN401" t="s">
        <v>74</v>
      </c>
      <c r="BO401" t="s">
        <v>74</v>
      </c>
      <c r="BP401" t="s">
        <v>74</v>
      </c>
      <c r="BQ401" t="s">
        <v>74</v>
      </c>
      <c r="BR401" t="s">
        <v>102</v>
      </c>
      <c r="BS401" t="s">
        <v>8217</v>
      </c>
      <c r="BT401" t="str">
        <f>HYPERLINK("https%3A%2F%2Fwww.webofscience.com%2Fwos%2Fwoscc%2Ffull-record%2FWOS:001086964500007","View Full Record in Web of Science")</f>
        <v>View Full Record in Web of Science</v>
      </c>
    </row>
    <row r="402" spans="1:72" x14ac:dyDescent="0.25">
      <c r="A402" t="s">
        <v>72</v>
      </c>
      <c r="B402" t="s">
        <v>8218</v>
      </c>
      <c r="C402" t="s">
        <v>74</v>
      </c>
      <c r="D402" t="s">
        <v>74</v>
      </c>
      <c r="E402" t="s">
        <v>74</v>
      </c>
      <c r="F402" t="s">
        <v>8219</v>
      </c>
      <c r="G402" t="s">
        <v>74</v>
      </c>
      <c r="H402" t="s">
        <v>74</v>
      </c>
      <c r="I402" t="s">
        <v>8220</v>
      </c>
      <c r="J402" t="s">
        <v>3439</v>
      </c>
      <c r="K402" t="s">
        <v>74</v>
      </c>
      <c r="L402" t="s">
        <v>74</v>
      </c>
      <c r="M402" t="s">
        <v>78</v>
      </c>
      <c r="N402" t="s">
        <v>79</v>
      </c>
      <c r="O402" t="s">
        <v>74</v>
      </c>
      <c r="P402" t="s">
        <v>74</v>
      </c>
      <c r="Q402" t="s">
        <v>74</v>
      </c>
      <c r="R402" t="s">
        <v>74</v>
      </c>
      <c r="S402" t="s">
        <v>74</v>
      </c>
      <c r="T402" t="s">
        <v>8221</v>
      </c>
      <c r="U402" t="s">
        <v>8222</v>
      </c>
      <c r="V402" t="s">
        <v>8223</v>
      </c>
      <c r="W402" t="s">
        <v>8224</v>
      </c>
      <c r="X402" t="s">
        <v>8225</v>
      </c>
      <c r="Y402" t="s">
        <v>8226</v>
      </c>
      <c r="Z402" t="s">
        <v>8227</v>
      </c>
      <c r="AA402" t="s">
        <v>8228</v>
      </c>
      <c r="AB402" t="s">
        <v>8229</v>
      </c>
      <c r="AC402" t="s">
        <v>74</v>
      </c>
      <c r="AD402" t="s">
        <v>74</v>
      </c>
      <c r="AE402" t="s">
        <v>74</v>
      </c>
      <c r="AF402" t="s">
        <v>74</v>
      </c>
      <c r="AG402">
        <v>126</v>
      </c>
      <c r="AH402">
        <v>25</v>
      </c>
      <c r="AI402">
        <v>49</v>
      </c>
      <c r="AJ402">
        <v>4</v>
      </c>
      <c r="AK402">
        <v>24</v>
      </c>
      <c r="AL402" t="s">
        <v>2481</v>
      </c>
      <c r="AM402" t="s">
        <v>2482</v>
      </c>
      <c r="AN402" t="s">
        <v>2483</v>
      </c>
      <c r="AO402" t="s">
        <v>3443</v>
      </c>
      <c r="AP402" t="s">
        <v>74</v>
      </c>
      <c r="AQ402" t="s">
        <v>74</v>
      </c>
      <c r="AR402" t="s">
        <v>3444</v>
      </c>
      <c r="AS402" t="s">
        <v>3445</v>
      </c>
      <c r="AT402" t="s">
        <v>2970</v>
      </c>
      <c r="AU402">
        <v>2022</v>
      </c>
      <c r="AV402">
        <v>10</v>
      </c>
      <c r="AW402">
        <v>1</v>
      </c>
      <c r="AX402" t="s">
        <v>74</v>
      </c>
      <c r="AY402" t="s">
        <v>74</v>
      </c>
      <c r="AZ402" t="s">
        <v>74</v>
      </c>
      <c r="BA402" t="s">
        <v>74</v>
      </c>
      <c r="BB402" t="s">
        <v>74</v>
      </c>
      <c r="BC402" t="s">
        <v>74</v>
      </c>
      <c r="BD402">
        <v>2060551</v>
      </c>
      <c r="BE402" t="s">
        <v>8230</v>
      </c>
      <c r="BF402" t="str">
        <f>HYPERLINK("http://dx.doi.org/10.1080/23322039.2022.2060551","http://dx.doi.org/10.1080/23322039.2022.2060551")</f>
        <v>http://dx.doi.org/10.1080/23322039.2022.2060551</v>
      </c>
      <c r="BG402" t="s">
        <v>74</v>
      </c>
      <c r="BH402" t="s">
        <v>74</v>
      </c>
      <c r="BI402">
        <v>27</v>
      </c>
      <c r="BJ402" t="s">
        <v>291</v>
      </c>
      <c r="BK402" t="s">
        <v>313</v>
      </c>
      <c r="BL402" t="s">
        <v>100</v>
      </c>
      <c r="BM402" t="s">
        <v>8231</v>
      </c>
      <c r="BN402" t="s">
        <v>74</v>
      </c>
      <c r="BO402" t="s">
        <v>916</v>
      </c>
      <c r="BP402" t="s">
        <v>74</v>
      </c>
      <c r="BQ402" t="s">
        <v>74</v>
      </c>
      <c r="BR402" t="s">
        <v>102</v>
      </c>
      <c r="BS402" t="s">
        <v>8232</v>
      </c>
      <c r="BT402" t="str">
        <f>HYPERLINK("https%3A%2F%2Fwww.webofscience.com%2Fwos%2Fwoscc%2Ffull-record%2FWOS:000782968600001","View Full Record in Web of Science")</f>
        <v>View Full Record in Web of Science</v>
      </c>
    </row>
    <row r="403" spans="1:72" x14ac:dyDescent="0.25">
      <c r="A403" t="s">
        <v>72</v>
      </c>
      <c r="B403" t="s">
        <v>4399</v>
      </c>
      <c r="C403" t="s">
        <v>74</v>
      </c>
      <c r="D403" t="s">
        <v>74</v>
      </c>
      <c r="E403" t="s">
        <v>74</v>
      </c>
      <c r="F403" t="s">
        <v>4400</v>
      </c>
      <c r="G403" t="s">
        <v>74</v>
      </c>
      <c r="H403" t="s">
        <v>74</v>
      </c>
      <c r="I403" t="s">
        <v>8233</v>
      </c>
      <c r="J403" t="s">
        <v>217</v>
      </c>
      <c r="K403" t="s">
        <v>74</v>
      </c>
      <c r="L403" t="s">
        <v>74</v>
      </c>
      <c r="M403" t="s">
        <v>78</v>
      </c>
      <c r="N403" t="s">
        <v>79</v>
      </c>
      <c r="O403" t="s">
        <v>74</v>
      </c>
      <c r="P403" t="s">
        <v>74</v>
      </c>
      <c r="Q403" t="s">
        <v>74</v>
      </c>
      <c r="R403" t="s">
        <v>74</v>
      </c>
      <c r="S403" t="s">
        <v>74</v>
      </c>
      <c r="T403" t="s">
        <v>8234</v>
      </c>
      <c r="U403" t="s">
        <v>8235</v>
      </c>
      <c r="V403" t="s">
        <v>8236</v>
      </c>
      <c r="W403" t="s">
        <v>8237</v>
      </c>
      <c r="X403" t="s">
        <v>4407</v>
      </c>
      <c r="Y403" t="s">
        <v>8238</v>
      </c>
      <c r="Z403" t="s">
        <v>4409</v>
      </c>
      <c r="AA403" t="s">
        <v>4410</v>
      </c>
      <c r="AB403" t="s">
        <v>4411</v>
      </c>
      <c r="AC403" t="s">
        <v>74</v>
      </c>
      <c r="AD403" t="s">
        <v>74</v>
      </c>
      <c r="AE403" t="s">
        <v>74</v>
      </c>
      <c r="AF403" t="s">
        <v>74</v>
      </c>
      <c r="AG403">
        <v>57</v>
      </c>
      <c r="AH403">
        <v>43</v>
      </c>
      <c r="AI403">
        <v>63</v>
      </c>
      <c r="AJ403">
        <v>6</v>
      </c>
      <c r="AK403">
        <v>88</v>
      </c>
      <c r="AL403" t="s">
        <v>230</v>
      </c>
      <c r="AM403" t="s">
        <v>231</v>
      </c>
      <c r="AN403" t="s">
        <v>232</v>
      </c>
      <c r="AO403" t="s">
        <v>233</v>
      </c>
      <c r="AP403" t="s">
        <v>234</v>
      </c>
      <c r="AQ403" t="s">
        <v>74</v>
      </c>
      <c r="AR403" t="s">
        <v>235</v>
      </c>
      <c r="AS403" t="s">
        <v>236</v>
      </c>
      <c r="AT403" t="s">
        <v>124</v>
      </c>
      <c r="AU403">
        <v>2018</v>
      </c>
      <c r="AV403">
        <v>95</v>
      </c>
      <c r="AW403" t="s">
        <v>74</v>
      </c>
      <c r="AX403" t="s">
        <v>74</v>
      </c>
      <c r="AY403" t="s">
        <v>74</v>
      </c>
      <c r="AZ403" t="s">
        <v>74</v>
      </c>
      <c r="BA403" t="s">
        <v>74</v>
      </c>
      <c r="BB403">
        <v>334</v>
      </c>
      <c r="BC403">
        <v>351</v>
      </c>
      <c r="BD403" t="s">
        <v>74</v>
      </c>
      <c r="BE403" t="s">
        <v>8239</v>
      </c>
      <c r="BF403" t="str">
        <f>HYPERLINK("http://dx.doi.org/10.1016/j.childyouth.2018.10.042","http://dx.doi.org/10.1016/j.childyouth.2018.10.042")</f>
        <v>http://dx.doi.org/10.1016/j.childyouth.2018.10.042</v>
      </c>
      <c r="BG403" t="s">
        <v>74</v>
      </c>
      <c r="BH403" t="s">
        <v>74</v>
      </c>
      <c r="BI403">
        <v>18</v>
      </c>
      <c r="BJ403" t="s">
        <v>240</v>
      </c>
      <c r="BK403" t="s">
        <v>99</v>
      </c>
      <c r="BL403" t="s">
        <v>240</v>
      </c>
      <c r="BM403" t="s">
        <v>8240</v>
      </c>
      <c r="BN403" t="s">
        <v>74</v>
      </c>
      <c r="BO403" t="s">
        <v>74</v>
      </c>
      <c r="BP403" t="s">
        <v>74</v>
      </c>
      <c r="BQ403" t="s">
        <v>74</v>
      </c>
      <c r="BR403" t="s">
        <v>102</v>
      </c>
      <c r="BS403" t="s">
        <v>8241</v>
      </c>
      <c r="BT403" t="str">
        <f>HYPERLINK("https%3A%2F%2Fwww.webofscience.com%2Fwos%2Fwoscc%2Ffull-record%2FWOS:000454972800036","View Full Record in Web of Science")</f>
        <v>View Full Record in Web of Science</v>
      </c>
    </row>
    <row r="404" spans="1:72" x14ac:dyDescent="0.25">
      <c r="A404" t="s">
        <v>72</v>
      </c>
      <c r="B404" t="s">
        <v>8242</v>
      </c>
      <c r="C404" t="s">
        <v>74</v>
      </c>
      <c r="D404" t="s">
        <v>74</v>
      </c>
      <c r="E404" t="s">
        <v>74</v>
      </c>
      <c r="F404" t="s">
        <v>8243</v>
      </c>
      <c r="G404" t="s">
        <v>74</v>
      </c>
      <c r="H404" t="s">
        <v>74</v>
      </c>
      <c r="I404" t="s">
        <v>8244</v>
      </c>
      <c r="J404" t="s">
        <v>8245</v>
      </c>
      <c r="K404" t="s">
        <v>74</v>
      </c>
      <c r="L404" t="s">
        <v>74</v>
      </c>
      <c r="M404" t="s">
        <v>78</v>
      </c>
      <c r="N404" t="s">
        <v>79</v>
      </c>
      <c r="O404" t="s">
        <v>74</v>
      </c>
      <c r="P404" t="s">
        <v>74</v>
      </c>
      <c r="Q404" t="s">
        <v>74</v>
      </c>
      <c r="R404" t="s">
        <v>74</v>
      </c>
      <c r="S404" t="s">
        <v>74</v>
      </c>
      <c r="T404" t="s">
        <v>8246</v>
      </c>
      <c r="U404" t="s">
        <v>8247</v>
      </c>
      <c r="V404" t="s">
        <v>8248</v>
      </c>
      <c r="W404" t="s">
        <v>8249</v>
      </c>
      <c r="X404" t="s">
        <v>8250</v>
      </c>
      <c r="Y404" t="s">
        <v>8251</v>
      </c>
      <c r="Z404" t="s">
        <v>8252</v>
      </c>
      <c r="AA404" t="s">
        <v>8253</v>
      </c>
      <c r="AB404" t="s">
        <v>8254</v>
      </c>
      <c r="AC404" t="s">
        <v>74</v>
      </c>
      <c r="AD404" t="s">
        <v>74</v>
      </c>
      <c r="AE404" t="s">
        <v>74</v>
      </c>
      <c r="AF404" t="s">
        <v>74</v>
      </c>
      <c r="AG404">
        <v>53</v>
      </c>
      <c r="AH404">
        <v>3</v>
      </c>
      <c r="AI404">
        <v>4</v>
      </c>
      <c r="AJ404">
        <v>0</v>
      </c>
      <c r="AK404">
        <v>8</v>
      </c>
      <c r="AL404" t="s">
        <v>823</v>
      </c>
      <c r="AM404" t="s">
        <v>333</v>
      </c>
      <c r="AN404" t="s">
        <v>824</v>
      </c>
      <c r="AO404" t="s">
        <v>8255</v>
      </c>
      <c r="AP404" t="s">
        <v>8256</v>
      </c>
      <c r="AQ404" t="s">
        <v>74</v>
      </c>
      <c r="AR404" t="s">
        <v>8257</v>
      </c>
      <c r="AS404" t="s">
        <v>8258</v>
      </c>
      <c r="AT404" t="s">
        <v>8259</v>
      </c>
      <c r="AU404">
        <v>2022</v>
      </c>
      <c r="AV404">
        <v>25</v>
      </c>
      <c r="AW404">
        <v>4</v>
      </c>
      <c r="AX404" t="s">
        <v>74</v>
      </c>
      <c r="AY404" t="s">
        <v>74</v>
      </c>
      <c r="AZ404" t="s">
        <v>441</v>
      </c>
      <c r="BA404" t="s">
        <v>74</v>
      </c>
      <c r="BB404">
        <v>1137</v>
      </c>
      <c r="BC404">
        <v>1155</v>
      </c>
      <c r="BD404" t="s">
        <v>74</v>
      </c>
      <c r="BE404" t="s">
        <v>8260</v>
      </c>
      <c r="BF404" t="str">
        <f>HYPERLINK("http://dx.doi.org/10.1080/09720529.2022.2075089","http://dx.doi.org/10.1080/09720529.2022.2075089")</f>
        <v>http://dx.doi.org/10.1080/09720529.2022.2075089</v>
      </c>
      <c r="BG404" t="s">
        <v>74</v>
      </c>
      <c r="BH404" t="s">
        <v>1802</v>
      </c>
      <c r="BI404">
        <v>19</v>
      </c>
      <c r="BJ404" t="s">
        <v>8261</v>
      </c>
      <c r="BK404" t="s">
        <v>313</v>
      </c>
      <c r="BL404" t="s">
        <v>8262</v>
      </c>
      <c r="BM404" t="s">
        <v>8263</v>
      </c>
      <c r="BN404" t="s">
        <v>74</v>
      </c>
      <c r="BO404" t="s">
        <v>74</v>
      </c>
      <c r="BP404" t="s">
        <v>74</v>
      </c>
      <c r="BQ404" t="s">
        <v>74</v>
      </c>
      <c r="BR404" t="s">
        <v>102</v>
      </c>
      <c r="BS404" t="s">
        <v>8264</v>
      </c>
      <c r="BT404" t="str">
        <f>HYPERLINK("https%3A%2F%2Fwww.webofscience.com%2Fwos%2Fwoscc%2Ffull-record%2FWOS:000815475000001","View Full Record in Web of Science")</f>
        <v>View Full Record in Web of Science</v>
      </c>
    </row>
    <row r="405" spans="1:72" x14ac:dyDescent="0.25">
      <c r="A405" t="s">
        <v>72</v>
      </c>
      <c r="B405" t="s">
        <v>8265</v>
      </c>
      <c r="C405" t="s">
        <v>74</v>
      </c>
      <c r="D405" t="s">
        <v>74</v>
      </c>
      <c r="E405" t="s">
        <v>74</v>
      </c>
      <c r="F405" t="s">
        <v>8266</v>
      </c>
      <c r="G405" t="s">
        <v>74</v>
      </c>
      <c r="H405" t="s">
        <v>74</v>
      </c>
      <c r="I405" t="s">
        <v>8267</v>
      </c>
      <c r="J405" t="s">
        <v>7177</v>
      </c>
      <c r="K405" t="s">
        <v>74</v>
      </c>
      <c r="L405" t="s">
        <v>74</v>
      </c>
      <c r="M405" t="s">
        <v>78</v>
      </c>
      <c r="N405" t="s">
        <v>79</v>
      </c>
      <c r="O405" t="s">
        <v>74</v>
      </c>
      <c r="P405" t="s">
        <v>74</v>
      </c>
      <c r="Q405" t="s">
        <v>74</v>
      </c>
      <c r="R405" t="s">
        <v>74</v>
      </c>
      <c r="S405" t="s">
        <v>74</v>
      </c>
      <c r="T405" t="s">
        <v>8268</v>
      </c>
      <c r="U405" t="s">
        <v>8269</v>
      </c>
      <c r="V405" t="s">
        <v>8270</v>
      </c>
      <c r="W405" t="s">
        <v>8271</v>
      </c>
      <c r="X405" t="s">
        <v>8272</v>
      </c>
      <c r="Y405" t="s">
        <v>8273</v>
      </c>
      <c r="Z405" t="s">
        <v>8274</v>
      </c>
      <c r="AA405" t="s">
        <v>8275</v>
      </c>
      <c r="AB405" t="s">
        <v>8276</v>
      </c>
      <c r="AC405" t="s">
        <v>8277</v>
      </c>
      <c r="AD405" t="s">
        <v>8278</v>
      </c>
      <c r="AE405" t="s">
        <v>8279</v>
      </c>
      <c r="AF405" t="s">
        <v>74</v>
      </c>
      <c r="AG405">
        <v>40</v>
      </c>
      <c r="AH405">
        <v>10</v>
      </c>
      <c r="AI405">
        <v>15</v>
      </c>
      <c r="AJ405">
        <v>10</v>
      </c>
      <c r="AK405">
        <v>86</v>
      </c>
      <c r="AL405" t="s">
        <v>575</v>
      </c>
      <c r="AM405" t="s">
        <v>576</v>
      </c>
      <c r="AN405" t="s">
        <v>3242</v>
      </c>
      <c r="AO405" t="s">
        <v>74</v>
      </c>
      <c r="AP405" t="s">
        <v>7188</v>
      </c>
      <c r="AQ405" t="s">
        <v>74</v>
      </c>
      <c r="AR405" t="s">
        <v>7189</v>
      </c>
      <c r="AS405" t="s">
        <v>7190</v>
      </c>
      <c r="AT405" t="s">
        <v>237</v>
      </c>
      <c r="AU405">
        <v>2023</v>
      </c>
      <c r="AV405">
        <v>23</v>
      </c>
      <c r="AW405">
        <v>3</v>
      </c>
      <c r="AX405" t="s">
        <v>74</v>
      </c>
      <c r="AY405" t="s">
        <v>74</v>
      </c>
      <c r="AZ405" t="s">
        <v>74</v>
      </c>
      <c r="BA405" t="s">
        <v>74</v>
      </c>
      <c r="BB405" t="s">
        <v>74</v>
      </c>
      <c r="BC405" t="s">
        <v>74</v>
      </c>
      <c r="BD405">
        <v>1497</v>
      </c>
      <c r="BE405" t="s">
        <v>8280</v>
      </c>
      <c r="BF405" t="str">
        <f>HYPERLINK("http://dx.doi.org/10.3390/s23031497","http://dx.doi.org/10.3390/s23031497")</f>
        <v>http://dx.doi.org/10.3390/s23031497</v>
      </c>
      <c r="BG405" t="s">
        <v>74</v>
      </c>
      <c r="BH405" t="s">
        <v>74</v>
      </c>
      <c r="BI405">
        <v>20</v>
      </c>
      <c r="BJ405" t="s">
        <v>7192</v>
      </c>
      <c r="BK405" t="s">
        <v>128</v>
      </c>
      <c r="BL405" t="s">
        <v>7193</v>
      </c>
      <c r="BM405" t="s">
        <v>8281</v>
      </c>
      <c r="BN405">
        <v>36772538</v>
      </c>
      <c r="BO405" t="s">
        <v>916</v>
      </c>
      <c r="BP405" t="s">
        <v>74</v>
      </c>
      <c r="BQ405" t="s">
        <v>74</v>
      </c>
      <c r="BR405" t="s">
        <v>102</v>
      </c>
      <c r="BS405" t="s">
        <v>8282</v>
      </c>
      <c r="BT405" t="str">
        <f>HYPERLINK("https%3A%2F%2Fwww.webofscience.com%2Fwos%2Fwoscc%2Ffull-record%2FWOS:000930025400001","View Full Record in Web of Science")</f>
        <v>View Full Record in Web of Science</v>
      </c>
    </row>
    <row r="406" spans="1:72" x14ac:dyDescent="0.25">
      <c r="A406" t="s">
        <v>72</v>
      </c>
      <c r="B406" t="s">
        <v>8283</v>
      </c>
      <c r="C406" t="s">
        <v>74</v>
      </c>
      <c r="D406" t="s">
        <v>74</v>
      </c>
      <c r="E406" t="s">
        <v>74</v>
      </c>
      <c r="F406" t="s">
        <v>8284</v>
      </c>
      <c r="G406" t="s">
        <v>74</v>
      </c>
      <c r="H406" t="s">
        <v>74</v>
      </c>
      <c r="I406" t="s">
        <v>8285</v>
      </c>
      <c r="J406" t="s">
        <v>8286</v>
      </c>
      <c r="K406" t="s">
        <v>74</v>
      </c>
      <c r="L406" t="s">
        <v>74</v>
      </c>
      <c r="M406" t="s">
        <v>78</v>
      </c>
      <c r="N406" t="s">
        <v>79</v>
      </c>
      <c r="O406" t="s">
        <v>74</v>
      </c>
      <c r="P406" t="s">
        <v>74</v>
      </c>
      <c r="Q406" t="s">
        <v>74</v>
      </c>
      <c r="R406" t="s">
        <v>74</v>
      </c>
      <c r="S406" t="s">
        <v>74</v>
      </c>
      <c r="T406" t="s">
        <v>8287</v>
      </c>
      <c r="U406" t="s">
        <v>8288</v>
      </c>
      <c r="V406" t="s">
        <v>8289</v>
      </c>
      <c r="W406" t="s">
        <v>8290</v>
      </c>
      <c r="X406" t="s">
        <v>8291</v>
      </c>
      <c r="Y406" t="s">
        <v>8292</v>
      </c>
      <c r="Z406" t="s">
        <v>8293</v>
      </c>
      <c r="AA406" t="s">
        <v>8294</v>
      </c>
      <c r="AB406" t="s">
        <v>8295</v>
      </c>
      <c r="AC406" t="s">
        <v>74</v>
      </c>
      <c r="AD406" t="s">
        <v>74</v>
      </c>
      <c r="AE406" t="s">
        <v>74</v>
      </c>
      <c r="AF406" t="s">
        <v>74</v>
      </c>
      <c r="AG406">
        <v>33</v>
      </c>
      <c r="AH406">
        <v>2</v>
      </c>
      <c r="AI406">
        <v>3</v>
      </c>
      <c r="AJ406">
        <v>0</v>
      </c>
      <c r="AK406">
        <v>11</v>
      </c>
      <c r="AL406" t="s">
        <v>479</v>
      </c>
      <c r="AM406" t="s">
        <v>480</v>
      </c>
      <c r="AN406" t="s">
        <v>481</v>
      </c>
      <c r="AO406" t="s">
        <v>8296</v>
      </c>
      <c r="AP406" t="s">
        <v>8297</v>
      </c>
      <c r="AQ406" t="s">
        <v>74</v>
      </c>
      <c r="AR406" t="s">
        <v>8298</v>
      </c>
      <c r="AS406" t="s">
        <v>8299</v>
      </c>
      <c r="AT406" t="s">
        <v>1652</v>
      </c>
      <c r="AU406">
        <v>2017</v>
      </c>
      <c r="AV406">
        <v>11</v>
      </c>
      <c r="AW406">
        <v>2</v>
      </c>
      <c r="AX406" t="s">
        <v>74</v>
      </c>
      <c r="AY406" t="s">
        <v>74</v>
      </c>
      <c r="AZ406" t="s">
        <v>74</v>
      </c>
      <c r="BA406" t="s">
        <v>74</v>
      </c>
      <c r="BB406">
        <v>124</v>
      </c>
      <c r="BC406">
        <v>131</v>
      </c>
      <c r="BD406" t="s">
        <v>74</v>
      </c>
      <c r="BE406" t="s">
        <v>8300</v>
      </c>
      <c r="BF406" t="str">
        <f>HYPERLINK("http://dx.doi.org/10.1111/aswp.12119","http://dx.doi.org/10.1111/aswp.12119")</f>
        <v>http://dx.doi.org/10.1111/aswp.12119</v>
      </c>
      <c r="BG406" t="s">
        <v>74</v>
      </c>
      <c r="BH406" t="s">
        <v>74</v>
      </c>
      <c r="BI406">
        <v>8</v>
      </c>
      <c r="BJ406" t="s">
        <v>2045</v>
      </c>
      <c r="BK406" t="s">
        <v>313</v>
      </c>
      <c r="BL406" t="s">
        <v>2045</v>
      </c>
      <c r="BM406" t="s">
        <v>8301</v>
      </c>
      <c r="BN406" t="s">
        <v>74</v>
      </c>
      <c r="BO406" t="s">
        <v>74</v>
      </c>
      <c r="BP406" t="s">
        <v>74</v>
      </c>
      <c r="BQ406" t="s">
        <v>74</v>
      </c>
      <c r="BR406" t="s">
        <v>102</v>
      </c>
      <c r="BS406" t="s">
        <v>8302</v>
      </c>
      <c r="BT406" t="str">
        <f>HYPERLINK("https%3A%2F%2Fwww.webofscience.com%2Fwos%2Fwoscc%2Ffull-record%2FWOS:000403322900003","View Full Record in Web of Science")</f>
        <v>View Full Record in Web of Science</v>
      </c>
    </row>
    <row r="407" spans="1:72" x14ac:dyDescent="0.25">
      <c r="A407" t="s">
        <v>8303</v>
      </c>
      <c r="B407" t="s">
        <v>8304</v>
      </c>
      <c r="C407" t="s">
        <v>74</v>
      </c>
      <c r="D407" t="s">
        <v>8305</v>
      </c>
      <c r="E407" t="s">
        <v>74</v>
      </c>
      <c r="F407" t="s">
        <v>8306</v>
      </c>
      <c r="G407" t="s">
        <v>74</v>
      </c>
      <c r="H407" t="s">
        <v>74</v>
      </c>
      <c r="I407" t="s">
        <v>8307</v>
      </c>
      <c r="J407" t="s">
        <v>8308</v>
      </c>
      <c r="K407" t="s">
        <v>74</v>
      </c>
      <c r="L407" t="s">
        <v>74</v>
      </c>
      <c r="M407" t="s">
        <v>78</v>
      </c>
      <c r="N407" t="s">
        <v>6023</v>
      </c>
      <c r="O407" t="s">
        <v>74</v>
      </c>
      <c r="P407" t="s">
        <v>74</v>
      </c>
      <c r="Q407" t="s">
        <v>74</v>
      </c>
      <c r="R407" t="s">
        <v>74</v>
      </c>
      <c r="S407" t="s">
        <v>74</v>
      </c>
      <c r="T407" t="s">
        <v>74</v>
      </c>
      <c r="U407" t="s">
        <v>74</v>
      </c>
      <c r="V407" t="s">
        <v>8309</v>
      </c>
      <c r="W407" t="s">
        <v>74</v>
      </c>
      <c r="X407" t="s">
        <v>74</v>
      </c>
      <c r="Y407" t="s">
        <v>74</v>
      </c>
      <c r="Z407" t="s">
        <v>74</v>
      </c>
      <c r="AA407" t="s">
        <v>74</v>
      </c>
      <c r="AB407" t="s">
        <v>74</v>
      </c>
      <c r="AC407" t="s">
        <v>74</v>
      </c>
      <c r="AD407" t="s">
        <v>74</v>
      </c>
      <c r="AE407" t="s">
        <v>74</v>
      </c>
      <c r="AF407" t="s">
        <v>74</v>
      </c>
      <c r="AG407">
        <v>0</v>
      </c>
      <c r="AH407">
        <v>1</v>
      </c>
      <c r="AI407">
        <v>1</v>
      </c>
      <c r="AJ407">
        <v>0</v>
      </c>
      <c r="AK407">
        <v>15</v>
      </c>
      <c r="AL407" t="s">
        <v>8310</v>
      </c>
      <c r="AM407" t="s">
        <v>2908</v>
      </c>
      <c r="AN407" t="s">
        <v>8311</v>
      </c>
      <c r="AO407" t="s">
        <v>74</v>
      </c>
      <c r="AP407" t="s">
        <v>74</v>
      </c>
      <c r="AQ407" t="s">
        <v>8312</v>
      </c>
      <c r="AR407" t="s">
        <v>74</v>
      </c>
      <c r="AS407" t="s">
        <v>74</v>
      </c>
      <c r="AT407" t="s">
        <v>74</v>
      </c>
      <c r="AU407">
        <v>2011</v>
      </c>
      <c r="AV407" t="s">
        <v>74</v>
      </c>
      <c r="AW407" t="s">
        <v>74</v>
      </c>
      <c r="AX407" t="s">
        <v>74</v>
      </c>
      <c r="AY407" t="s">
        <v>74</v>
      </c>
      <c r="AZ407" t="s">
        <v>74</v>
      </c>
      <c r="BA407" t="s">
        <v>74</v>
      </c>
      <c r="BB407">
        <v>69</v>
      </c>
      <c r="BC407" t="s">
        <v>2190</v>
      </c>
      <c r="BD407" t="s">
        <v>74</v>
      </c>
      <c r="BE407" t="s">
        <v>74</v>
      </c>
      <c r="BF407" t="s">
        <v>74</v>
      </c>
      <c r="BG407" t="s">
        <v>8313</v>
      </c>
      <c r="BH407" t="s">
        <v>74</v>
      </c>
      <c r="BI407">
        <v>38</v>
      </c>
      <c r="BJ407" t="s">
        <v>291</v>
      </c>
      <c r="BK407" t="s">
        <v>8314</v>
      </c>
      <c r="BL407" t="s">
        <v>100</v>
      </c>
      <c r="BM407" t="s">
        <v>8315</v>
      </c>
      <c r="BN407" t="s">
        <v>74</v>
      </c>
      <c r="BO407" t="s">
        <v>1205</v>
      </c>
      <c r="BP407" t="s">
        <v>74</v>
      </c>
      <c r="BQ407" t="s">
        <v>74</v>
      </c>
      <c r="BR407" t="s">
        <v>102</v>
      </c>
      <c r="BS407" t="s">
        <v>8316</v>
      </c>
      <c r="BT407" t="str">
        <f>HYPERLINK("https%3A%2F%2Fwww.webofscience.com%2Fwos%2Fwoscc%2Ffull-record%2FWOS:000292912400004","View Full Record in Web of Science")</f>
        <v>View Full Record in Web of Science</v>
      </c>
    </row>
    <row r="408" spans="1:72" x14ac:dyDescent="0.25">
      <c r="A408" t="s">
        <v>72</v>
      </c>
      <c r="B408" t="s">
        <v>8317</v>
      </c>
      <c r="C408" t="s">
        <v>74</v>
      </c>
      <c r="D408" t="s">
        <v>74</v>
      </c>
      <c r="E408" t="s">
        <v>74</v>
      </c>
      <c r="F408" t="s">
        <v>8318</v>
      </c>
      <c r="G408" t="s">
        <v>74</v>
      </c>
      <c r="H408" t="s">
        <v>74</v>
      </c>
      <c r="I408" t="s">
        <v>8319</v>
      </c>
      <c r="J408" t="s">
        <v>8320</v>
      </c>
      <c r="K408" t="s">
        <v>74</v>
      </c>
      <c r="L408" t="s">
        <v>74</v>
      </c>
      <c r="M408" t="s">
        <v>78</v>
      </c>
      <c r="N408" t="s">
        <v>79</v>
      </c>
      <c r="O408" t="s">
        <v>74</v>
      </c>
      <c r="P408" t="s">
        <v>74</v>
      </c>
      <c r="Q408" t="s">
        <v>74</v>
      </c>
      <c r="R408" t="s">
        <v>74</v>
      </c>
      <c r="S408" t="s">
        <v>74</v>
      </c>
      <c r="T408" t="s">
        <v>8321</v>
      </c>
      <c r="U408" t="s">
        <v>74</v>
      </c>
      <c r="V408" t="s">
        <v>8322</v>
      </c>
      <c r="W408" t="s">
        <v>8323</v>
      </c>
      <c r="X408" t="s">
        <v>8324</v>
      </c>
      <c r="Y408" t="s">
        <v>8325</v>
      </c>
      <c r="Z408" t="s">
        <v>8326</v>
      </c>
      <c r="AA408" t="s">
        <v>74</v>
      </c>
      <c r="AB408" t="s">
        <v>8327</v>
      </c>
      <c r="AC408" t="s">
        <v>8328</v>
      </c>
      <c r="AD408" t="s">
        <v>8329</v>
      </c>
      <c r="AE408" t="s">
        <v>8330</v>
      </c>
      <c r="AF408" t="s">
        <v>74</v>
      </c>
      <c r="AG408">
        <v>18</v>
      </c>
      <c r="AH408">
        <v>7</v>
      </c>
      <c r="AI408">
        <v>13</v>
      </c>
      <c r="AJ408">
        <v>0</v>
      </c>
      <c r="AK408">
        <v>10</v>
      </c>
      <c r="AL408" t="s">
        <v>994</v>
      </c>
      <c r="AM408" t="s">
        <v>995</v>
      </c>
      <c r="AN408" t="s">
        <v>2061</v>
      </c>
      <c r="AO408" t="s">
        <v>8331</v>
      </c>
      <c r="AP408" t="s">
        <v>74</v>
      </c>
      <c r="AQ408" t="s">
        <v>74</v>
      </c>
      <c r="AR408" t="s">
        <v>8332</v>
      </c>
      <c r="AS408" t="s">
        <v>8333</v>
      </c>
      <c r="AT408" t="s">
        <v>848</v>
      </c>
      <c r="AU408">
        <v>2010</v>
      </c>
      <c r="AV408">
        <v>10</v>
      </c>
      <c r="AW408">
        <v>2</v>
      </c>
      <c r="AX408" t="s">
        <v>74</v>
      </c>
      <c r="AY408" t="s">
        <v>74</v>
      </c>
      <c r="AZ408" t="s">
        <v>74</v>
      </c>
      <c r="BA408" t="s">
        <v>74</v>
      </c>
      <c r="BB408">
        <v>197</v>
      </c>
      <c r="BC408">
        <v>214</v>
      </c>
      <c r="BD408" t="s">
        <v>74</v>
      </c>
      <c r="BE408" t="s">
        <v>8334</v>
      </c>
      <c r="BF408" t="str">
        <f>HYPERLINK("http://dx.doi.org/10.1177/1471082X0801000205","http://dx.doi.org/10.1177/1471082X0801000205")</f>
        <v>http://dx.doi.org/10.1177/1471082X0801000205</v>
      </c>
      <c r="BG408" t="s">
        <v>74</v>
      </c>
      <c r="BH408" t="s">
        <v>74</v>
      </c>
      <c r="BI408">
        <v>18</v>
      </c>
      <c r="BJ408" t="s">
        <v>8335</v>
      </c>
      <c r="BK408" t="s">
        <v>128</v>
      </c>
      <c r="BL408" t="s">
        <v>8262</v>
      </c>
      <c r="BM408" t="s">
        <v>8336</v>
      </c>
      <c r="BN408" t="s">
        <v>74</v>
      </c>
      <c r="BO408" t="s">
        <v>74</v>
      </c>
      <c r="BP408" t="s">
        <v>74</v>
      </c>
      <c r="BQ408" t="s">
        <v>74</v>
      </c>
      <c r="BR408" t="s">
        <v>102</v>
      </c>
      <c r="BS408" t="s">
        <v>8337</v>
      </c>
      <c r="BT408" t="str">
        <f>HYPERLINK("https%3A%2F%2Fwww.webofscience.com%2Fwos%2Fwoscc%2Ffull-record%2FWOS:000278436800005","View Full Record in Web of Science")</f>
        <v>View Full Record in Web of Science</v>
      </c>
    </row>
    <row r="409" spans="1:72" x14ac:dyDescent="0.25">
      <c r="A409" t="s">
        <v>72</v>
      </c>
      <c r="B409" t="s">
        <v>8338</v>
      </c>
      <c r="C409" t="s">
        <v>74</v>
      </c>
      <c r="D409" t="s">
        <v>74</v>
      </c>
      <c r="E409" t="s">
        <v>74</v>
      </c>
      <c r="F409" t="s">
        <v>8339</v>
      </c>
      <c r="G409" t="s">
        <v>74</v>
      </c>
      <c r="H409" t="s">
        <v>74</v>
      </c>
      <c r="I409" t="s">
        <v>8340</v>
      </c>
      <c r="J409" t="s">
        <v>8341</v>
      </c>
      <c r="K409" t="s">
        <v>74</v>
      </c>
      <c r="L409" t="s">
        <v>74</v>
      </c>
      <c r="M409" t="s">
        <v>78</v>
      </c>
      <c r="N409" t="s">
        <v>79</v>
      </c>
      <c r="O409" t="s">
        <v>74</v>
      </c>
      <c r="P409" t="s">
        <v>74</v>
      </c>
      <c r="Q409" t="s">
        <v>74</v>
      </c>
      <c r="R409" t="s">
        <v>74</v>
      </c>
      <c r="S409" t="s">
        <v>74</v>
      </c>
      <c r="T409" t="s">
        <v>8342</v>
      </c>
      <c r="U409" t="s">
        <v>8343</v>
      </c>
      <c r="V409" t="s">
        <v>8344</v>
      </c>
      <c r="W409" t="s">
        <v>8345</v>
      </c>
      <c r="X409" t="s">
        <v>74</v>
      </c>
      <c r="Y409" t="s">
        <v>8346</v>
      </c>
      <c r="Z409" t="s">
        <v>8347</v>
      </c>
      <c r="AA409" t="s">
        <v>8348</v>
      </c>
      <c r="AB409" t="s">
        <v>74</v>
      </c>
      <c r="AC409" t="s">
        <v>74</v>
      </c>
      <c r="AD409" t="s">
        <v>74</v>
      </c>
      <c r="AE409" t="s">
        <v>74</v>
      </c>
      <c r="AF409" t="s">
        <v>74</v>
      </c>
      <c r="AG409">
        <v>91</v>
      </c>
      <c r="AH409">
        <v>0</v>
      </c>
      <c r="AI409">
        <v>0</v>
      </c>
      <c r="AJ409">
        <v>1</v>
      </c>
      <c r="AK409">
        <v>1</v>
      </c>
      <c r="AL409" t="s">
        <v>1216</v>
      </c>
      <c r="AM409" t="s">
        <v>283</v>
      </c>
      <c r="AN409" t="s">
        <v>1217</v>
      </c>
      <c r="AO409" t="s">
        <v>74</v>
      </c>
      <c r="AP409" t="s">
        <v>8349</v>
      </c>
      <c r="AQ409" t="s">
        <v>74</v>
      </c>
      <c r="AR409" t="s">
        <v>8350</v>
      </c>
      <c r="AS409" t="s">
        <v>8351</v>
      </c>
      <c r="AT409" t="s">
        <v>8352</v>
      </c>
      <c r="AU409">
        <v>2025</v>
      </c>
      <c r="AV409">
        <v>9</v>
      </c>
      <c r="AW409" t="s">
        <v>74</v>
      </c>
      <c r="AX409" t="s">
        <v>74</v>
      </c>
      <c r="AY409" t="s">
        <v>74</v>
      </c>
      <c r="AZ409" t="s">
        <v>74</v>
      </c>
      <c r="BA409" t="s">
        <v>74</v>
      </c>
      <c r="BB409" t="s">
        <v>74</v>
      </c>
      <c r="BC409" t="s">
        <v>74</v>
      </c>
      <c r="BD409">
        <v>1503322</v>
      </c>
      <c r="BE409" t="s">
        <v>8353</v>
      </c>
      <c r="BF409" t="str">
        <f>HYPERLINK("http://dx.doi.org/10.3389/fsufs.2025.1503322","http://dx.doi.org/10.3389/fsufs.2025.1503322")</f>
        <v>http://dx.doi.org/10.3389/fsufs.2025.1503322</v>
      </c>
      <c r="BG409" t="s">
        <v>74</v>
      </c>
      <c r="BH409" t="s">
        <v>74</v>
      </c>
      <c r="BI409">
        <v>16</v>
      </c>
      <c r="BJ409" t="s">
        <v>7722</v>
      </c>
      <c r="BK409" t="s">
        <v>128</v>
      </c>
      <c r="BL409" t="s">
        <v>7722</v>
      </c>
      <c r="BM409" t="s">
        <v>8354</v>
      </c>
      <c r="BN409" t="s">
        <v>74</v>
      </c>
      <c r="BO409" t="s">
        <v>212</v>
      </c>
      <c r="BP409" t="s">
        <v>74</v>
      </c>
      <c r="BQ409" t="s">
        <v>74</v>
      </c>
      <c r="BR409" t="s">
        <v>102</v>
      </c>
      <c r="BS409" t="s">
        <v>8355</v>
      </c>
      <c r="BT409" t="str">
        <f>HYPERLINK("https%3A%2F%2Fwww.webofscience.com%2Fwos%2Fwoscc%2Ffull-record%2FWOS:001537956800001","View Full Record in Web of Science")</f>
        <v>View Full Record in Web of Science</v>
      </c>
    </row>
    <row r="410" spans="1:72" x14ac:dyDescent="0.25">
      <c r="A410" t="s">
        <v>72</v>
      </c>
      <c r="B410" t="s">
        <v>8356</v>
      </c>
      <c r="C410" t="s">
        <v>74</v>
      </c>
      <c r="D410" t="s">
        <v>74</v>
      </c>
      <c r="E410" t="s">
        <v>74</v>
      </c>
      <c r="F410" t="s">
        <v>8357</v>
      </c>
      <c r="G410" t="s">
        <v>74</v>
      </c>
      <c r="H410" t="s">
        <v>74</v>
      </c>
      <c r="I410" t="s">
        <v>8358</v>
      </c>
      <c r="J410" t="s">
        <v>8359</v>
      </c>
      <c r="K410" t="s">
        <v>74</v>
      </c>
      <c r="L410" t="s">
        <v>74</v>
      </c>
      <c r="M410" t="s">
        <v>78</v>
      </c>
      <c r="N410" t="s">
        <v>79</v>
      </c>
      <c r="O410" t="s">
        <v>74</v>
      </c>
      <c r="P410" t="s">
        <v>74</v>
      </c>
      <c r="Q410" t="s">
        <v>74</v>
      </c>
      <c r="R410" t="s">
        <v>74</v>
      </c>
      <c r="S410" t="s">
        <v>74</v>
      </c>
      <c r="T410" t="s">
        <v>74</v>
      </c>
      <c r="U410" t="s">
        <v>74</v>
      </c>
      <c r="V410" t="s">
        <v>8360</v>
      </c>
      <c r="W410" t="s">
        <v>8361</v>
      </c>
      <c r="X410" t="s">
        <v>8362</v>
      </c>
      <c r="Y410" t="s">
        <v>8363</v>
      </c>
      <c r="Z410" t="s">
        <v>8364</v>
      </c>
      <c r="AA410" t="s">
        <v>74</v>
      </c>
      <c r="AB410" t="s">
        <v>8365</v>
      </c>
      <c r="AC410" t="s">
        <v>74</v>
      </c>
      <c r="AD410" t="s">
        <v>74</v>
      </c>
      <c r="AE410" t="s">
        <v>74</v>
      </c>
      <c r="AF410" t="s">
        <v>74</v>
      </c>
      <c r="AG410">
        <v>42</v>
      </c>
      <c r="AH410">
        <v>11</v>
      </c>
      <c r="AI410">
        <v>13</v>
      </c>
      <c r="AJ410">
        <v>15</v>
      </c>
      <c r="AK410">
        <v>61</v>
      </c>
      <c r="AL410" t="s">
        <v>8366</v>
      </c>
      <c r="AM410" t="s">
        <v>995</v>
      </c>
      <c r="AN410" t="s">
        <v>8367</v>
      </c>
      <c r="AO410" t="s">
        <v>8368</v>
      </c>
      <c r="AP410" t="s">
        <v>8369</v>
      </c>
      <c r="AQ410" t="s">
        <v>74</v>
      </c>
      <c r="AR410" t="s">
        <v>8370</v>
      </c>
      <c r="AS410" t="s">
        <v>8371</v>
      </c>
      <c r="AT410" t="s">
        <v>440</v>
      </c>
      <c r="AU410">
        <v>2022</v>
      </c>
      <c r="AV410">
        <v>2022</v>
      </c>
      <c r="AW410" t="s">
        <v>74</v>
      </c>
      <c r="AX410" t="s">
        <v>74</v>
      </c>
      <c r="AY410" t="s">
        <v>74</v>
      </c>
      <c r="AZ410" t="s">
        <v>74</v>
      </c>
      <c r="BA410" t="s">
        <v>74</v>
      </c>
      <c r="BB410" t="s">
        <v>74</v>
      </c>
      <c r="BC410" t="s">
        <v>74</v>
      </c>
      <c r="BD410">
        <v>7295395</v>
      </c>
      <c r="BE410" t="s">
        <v>8372</v>
      </c>
      <c r="BF410" t="str">
        <f>HYPERLINK("http://dx.doi.org/10.1155/2022/7295395","http://dx.doi.org/10.1155/2022/7295395")</f>
        <v>http://dx.doi.org/10.1155/2022/7295395</v>
      </c>
      <c r="BG410" t="s">
        <v>74</v>
      </c>
      <c r="BH410" t="s">
        <v>74</v>
      </c>
      <c r="BI410">
        <v>10</v>
      </c>
      <c r="BJ410" t="s">
        <v>8373</v>
      </c>
      <c r="BK410" t="s">
        <v>128</v>
      </c>
      <c r="BL410" t="s">
        <v>8374</v>
      </c>
      <c r="BM410" t="s">
        <v>8375</v>
      </c>
      <c r="BN410" t="s">
        <v>74</v>
      </c>
      <c r="BO410" t="s">
        <v>270</v>
      </c>
      <c r="BP410" t="s">
        <v>74</v>
      </c>
      <c r="BQ410" t="s">
        <v>74</v>
      </c>
      <c r="BR410" t="s">
        <v>102</v>
      </c>
      <c r="BS410" t="s">
        <v>8376</v>
      </c>
      <c r="BT410" t="str">
        <f>HYPERLINK("https%3A%2F%2Fwww.webofscience.com%2Fwos%2Fwoscc%2Ffull-record%2FWOS:000813900800001","View Full Record in Web of Science")</f>
        <v>View Full Record in Web of Science</v>
      </c>
    </row>
    <row r="411" spans="1:72" x14ac:dyDescent="0.25">
      <c r="A411" t="s">
        <v>72</v>
      </c>
      <c r="B411" t="s">
        <v>8377</v>
      </c>
      <c r="C411" t="s">
        <v>74</v>
      </c>
      <c r="D411" t="s">
        <v>74</v>
      </c>
      <c r="E411" t="s">
        <v>74</v>
      </c>
      <c r="F411" t="s">
        <v>8378</v>
      </c>
      <c r="G411" t="s">
        <v>74</v>
      </c>
      <c r="H411" t="s">
        <v>74</v>
      </c>
      <c r="I411" t="s">
        <v>8379</v>
      </c>
      <c r="J411" t="s">
        <v>8380</v>
      </c>
      <c r="K411" t="s">
        <v>74</v>
      </c>
      <c r="L411" t="s">
        <v>74</v>
      </c>
      <c r="M411" t="s">
        <v>78</v>
      </c>
      <c r="N411" t="s">
        <v>79</v>
      </c>
      <c r="O411" t="s">
        <v>74</v>
      </c>
      <c r="P411" t="s">
        <v>74</v>
      </c>
      <c r="Q411" t="s">
        <v>74</v>
      </c>
      <c r="R411" t="s">
        <v>74</v>
      </c>
      <c r="S411" t="s">
        <v>74</v>
      </c>
      <c r="T411" t="s">
        <v>8381</v>
      </c>
      <c r="U411" t="s">
        <v>8382</v>
      </c>
      <c r="V411" t="s">
        <v>8383</v>
      </c>
      <c r="W411" t="s">
        <v>8384</v>
      </c>
      <c r="X411" t="s">
        <v>8385</v>
      </c>
      <c r="Y411" t="s">
        <v>8386</v>
      </c>
      <c r="Z411" t="s">
        <v>8387</v>
      </c>
      <c r="AA411" t="s">
        <v>8388</v>
      </c>
      <c r="AB411" t="s">
        <v>8389</v>
      </c>
      <c r="AC411" t="s">
        <v>74</v>
      </c>
      <c r="AD411" t="s">
        <v>74</v>
      </c>
      <c r="AE411" t="s">
        <v>74</v>
      </c>
      <c r="AF411" t="s">
        <v>74</v>
      </c>
      <c r="AG411">
        <v>49</v>
      </c>
      <c r="AH411">
        <v>33</v>
      </c>
      <c r="AI411">
        <v>35</v>
      </c>
      <c r="AJ411">
        <v>0</v>
      </c>
      <c r="AK411">
        <v>29</v>
      </c>
      <c r="AL411" t="s">
        <v>479</v>
      </c>
      <c r="AM411" t="s">
        <v>480</v>
      </c>
      <c r="AN411" t="s">
        <v>481</v>
      </c>
      <c r="AO411" t="s">
        <v>8390</v>
      </c>
      <c r="AP411" t="s">
        <v>8391</v>
      </c>
      <c r="AQ411" t="s">
        <v>74</v>
      </c>
      <c r="AR411" t="s">
        <v>8392</v>
      </c>
      <c r="AS411" t="s">
        <v>8393</v>
      </c>
      <c r="AT411" t="s">
        <v>1159</v>
      </c>
      <c r="AU411">
        <v>2016</v>
      </c>
      <c r="AV411">
        <v>60</v>
      </c>
      <c r="AW411">
        <v>10</v>
      </c>
      <c r="AX411" t="s">
        <v>74</v>
      </c>
      <c r="AY411" t="s">
        <v>74</v>
      </c>
      <c r="AZ411" t="s">
        <v>441</v>
      </c>
      <c r="BA411" t="s">
        <v>74</v>
      </c>
      <c r="BB411">
        <v>1020</v>
      </c>
      <c r="BC411">
        <v>1030</v>
      </c>
      <c r="BD411" t="s">
        <v>74</v>
      </c>
      <c r="BE411" t="s">
        <v>8394</v>
      </c>
      <c r="BF411" t="str">
        <f>HYPERLINK("http://dx.doi.org/10.1111/jir.12281","http://dx.doi.org/10.1111/jir.12281")</f>
        <v>http://dx.doi.org/10.1111/jir.12281</v>
      </c>
      <c r="BG411" t="s">
        <v>74</v>
      </c>
      <c r="BH411" t="s">
        <v>74</v>
      </c>
      <c r="BI411">
        <v>11</v>
      </c>
      <c r="BJ411" t="s">
        <v>8395</v>
      </c>
      <c r="BK411" t="s">
        <v>99</v>
      </c>
      <c r="BL411" t="s">
        <v>8396</v>
      </c>
      <c r="BM411" t="s">
        <v>8397</v>
      </c>
      <c r="BN411">
        <v>27174494</v>
      </c>
      <c r="BO411" t="s">
        <v>74</v>
      </c>
      <c r="BP411" t="s">
        <v>74</v>
      </c>
      <c r="BQ411" t="s">
        <v>74</v>
      </c>
      <c r="BR411" t="s">
        <v>102</v>
      </c>
      <c r="BS411" t="s">
        <v>8398</v>
      </c>
      <c r="BT411" t="str">
        <f>HYPERLINK("https%3A%2F%2Fwww.webofscience.com%2Fwos%2Fwoscc%2Ffull-record%2FWOS:000385737600011","View Full Record in Web of Science")</f>
        <v>View Full Record in Web of Science</v>
      </c>
    </row>
    <row r="412" spans="1:72" x14ac:dyDescent="0.25">
      <c r="A412" t="s">
        <v>72</v>
      </c>
      <c r="B412" t="s">
        <v>8399</v>
      </c>
      <c r="C412" t="s">
        <v>74</v>
      </c>
      <c r="D412" t="s">
        <v>74</v>
      </c>
      <c r="E412" t="s">
        <v>74</v>
      </c>
      <c r="F412" t="s">
        <v>8400</v>
      </c>
      <c r="G412" t="s">
        <v>74</v>
      </c>
      <c r="H412" t="s">
        <v>74</v>
      </c>
      <c r="I412" t="s">
        <v>8401</v>
      </c>
      <c r="J412" t="s">
        <v>8402</v>
      </c>
      <c r="K412" t="s">
        <v>74</v>
      </c>
      <c r="L412" t="s">
        <v>74</v>
      </c>
      <c r="M412" t="s">
        <v>78</v>
      </c>
      <c r="N412" t="s">
        <v>79</v>
      </c>
      <c r="O412" t="s">
        <v>74</v>
      </c>
      <c r="P412" t="s">
        <v>74</v>
      </c>
      <c r="Q412" t="s">
        <v>74</v>
      </c>
      <c r="R412" t="s">
        <v>74</v>
      </c>
      <c r="S412" t="s">
        <v>74</v>
      </c>
      <c r="T412" t="s">
        <v>74</v>
      </c>
      <c r="U412" t="s">
        <v>8403</v>
      </c>
      <c r="V412" t="s">
        <v>8404</v>
      </c>
      <c r="W412" t="s">
        <v>8405</v>
      </c>
      <c r="X412" t="s">
        <v>8406</v>
      </c>
      <c r="Y412" t="s">
        <v>8407</v>
      </c>
      <c r="Z412" t="s">
        <v>74</v>
      </c>
      <c r="AA412" t="s">
        <v>74</v>
      </c>
      <c r="AB412" t="s">
        <v>8408</v>
      </c>
      <c r="AC412" t="s">
        <v>74</v>
      </c>
      <c r="AD412" t="s">
        <v>74</v>
      </c>
      <c r="AE412" t="s">
        <v>74</v>
      </c>
      <c r="AF412" t="s">
        <v>74</v>
      </c>
      <c r="AG412">
        <v>288</v>
      </c>
      <c r="AH412">
        <v>32</v>
      </c>
      <c r="AI412">
        <v>34</v>
      </c>
      <c r="AJ412">
        <v>0</v>
      </c>
      <c r="AK412">
        <v>30</v>
      </c>
      <c r="AL412" t="s">
        <v>8409</v>
      </c>
      <c r="AM412" t="s">
        <v>8410</v>
      </c>
      <c r="AN412" t="s">
        <v>8411</v>
      </c>
      <c r="AO412" t="s">
        <v>8412</v>
      </c>
      <c r="AP412" t="s">
        <v>8413</v>
      </c>
      <c r="AQ412" t="s">
        <v>74</v>
      </c>
      <c r="AR412" t="s">
        <v>8414</v>
      </c>
      <c r="AS412" t="s">
        <v>8415</v>
      </c>
      <c r="AT412" t="s">
        <v>605</v>
      </c>
      <c r="AU412">
        <v>2019</v>
      </c>
      <c r="AV412">
        <v>117</v>
      </c>
      <c r="AW412">
        <v>5</v>
      </c>
      <c r="AX412" t="s">
        <v>74</v>
      </c>
      <c r="AY412" t="s">
        <v>74</v>
      </c>
      <c r="AZ412" t="s">
        <v>74</v>
      </c>
      <c r="BA412" t="s">
        <v>74</v>
      </c>
      <c r="BB412">
        <v>815</v>
      </c>
      <c r="BC412">
        <v>883</v>
      </c>
      <c r="BD412" t="s">
        <v>74</v>
      </c>
      <c r="BE412" t="s">
        <v>74</v>
      </c>
      <c r="BF412" t="s">
        <v>74</v>
      </c>
      <c r="BG412" t="s">
        <v>74</v>
      </c>
      <c r="BH412" t="s">
        <v>74</v>
      </c>
      <c r="BI412">
        <v>69</v>
      </c>
      <c r="BJ412" t="s">
        <v>182</v>
      </c>
      <c r="BK412" t="s">
        <v>99</v>
      </c>
      <c r="BL412" t="s">
        <v>184</v>
      </c>
      <c r="BM412" t="s">
        <v>8416</v>
      </c>
      <c r="BN412" t="s">
        <v>74</v>
      </c>
      <c r="BO412" t="s">
        <v>74</v>
      </c>
      <c r="BP412" t="s">
        <v>74</v>
      </c>
      <c r="BQ412" t="s">
        <v>74</v>
      </c>
      <c r="BR412" t="s">
        <v>102</v>
      </c>
      <c r="BS412" t="s">
        <v>8417</v>
      </c>
      <c r="BT412" t="str">
        <f>HYPERLINK("https%3A%2F%2Fwww.webofscience.com%2Fwos%2Fwoscc%2Ffull-record%2FWOS:000463176100001","View Full Record in Web of Science")</f>
        <v>View Full Record in Web of Science</v>
      </c>
    </row>
    <row r="413" spans="1:72" x14ac:dyDescent="0.25">
      <c r="A413" t="s">
        <v>72</v>
      </c>
      <c r="B413" t="s">
        <v>8418</v>
      </c>
      <c r="C413" t="s">
        <v>74</v>
      </c>
      <c r="D413" t="s">
        <v>74</v>
      </c>
      <c r="E413" t="s">
        <v>74</v>
      </c>
      <c r="F413" t="s">
        <v>8419</v>
      </c>
      <c r="G413" t="s">
        <v>74</v>
      </c>
      <c r="H413" t="s">
        <v>74</v>
      </c>
      <c r="I413" t="s">
        <v>8420</v>
      </c>
      <c r="J413" t="s">
        <v>2137</v>
      </c>
      <c r="K413" t="s">
        <v>74</v>
      </c>
      <c r="L413" t="s">
        <v>74</v>
      </c>
      <c r="M413" t="s">
        <v>78</v>
      </c>
      <c r="N413" t="s">
        <v>79</v>
      </c>
      <c r="O413" t="s">
        <v>74</v>
      </c>
      <c r="P413" t="s">
        <v>74</v>
      </c>
      <c r="Q413" t="s">
        <v>74</v>
      </c>
      <c r="R413" t="s">
        <v>74</v>
      </c>
      <c r="S413" t="s">
        <v>74</v>
      </c>
      <c r="T413" t="s">
        <v>8421</v>
      </c>
      <c r="U413" t="s">
        <v>8422</v>
      </c>
      <c r="V413" t="s">
        <v>8423</v>
      </c>
      <c r="W413" t="s">
        <v>8424</v>
      </c>
      <c r="X413" t="s">
        <v>74</v>
      </c>
      <c r="Y413" t="s">
        <v>8425</v>
      </c>
      <c r="Z413" t="s">
        <v>8426</v>
      </c>
      <c r="AA413" t="s">
        <v>8427</v>
      </c>
      <c r="AB413" t="s">
        <v>74</v>
      </c>
      <c r="AC413" t="s">
        <v>74</v>
      </c>
      <c r="AD413" t="s">
        <v>74</v>
      </c>
      <c r="AE413" t="s">
        <v>74</v>
      </c>
      <c r="AF413" t="s">
        <v>74</v>
      </c>
      <c r="AG413">
        <v>65</v>
      </c>
      <c r="AH413">
        <v>2</v>
      </c>
      <c r="AI413">
        <v>3</v>
      </c>
      <c r="AJ413">
        <v>1</v>
      </c>
      <c r="AK413">
        <v>7</v>
      </c>
      <c r="AL413" t="s">
        <v>2145</v>
      </c>
      <c r="AM413" t="s">
        <v>151</v>
      </c>
      <c r="AN413" t="s">
        <v>2146</v>
      </c>
      <c r="AO413" t="s">
        <v>2147</v>
      </c>
      <c r="AP413" t="s">
        <v>2148</v>
      </c>
      <c r="AQ413" t="s">
        <v>74</v>
      </c>
      <c r="AR413" t="s">
        <v>2149</v>
      </c>
      <c r="AS413" t="s">
        <v>2150</v>
      </c>
      <c r="AT413" t="s">
        <v>74</v>
      </c>
      <c r="AU413">
        <v>2023</v>
      </c>
      <c r="AV413">
        <v>34</v>
      </c>
      <c r="AW413">
        <v>2</v>
      </c>
      <c r="AX413" t="s">
        <v>74</v>
      </c>
      <c r="AY413" t="s">
        <v>74</v>
      </c>
      <c r="AZ413" t="s">
        <v>74</v>
      </c>
      <c r="BA413" t="s">
        <v>74</v>
      </c>
      <c r="BB413">
        <v>169</v>
      </c>
      <c r="BC413">
        <v>183</v>
      </c>
      <c r="BD413" t="s">
        <v>74</v>
      </c>
      <c r="BE413" t="s">
        <v>8428</v>
      </c>
      <c r="BF413" t="str">
        <f>HYPERLINK("http://dx.doi.org/10.1891/JFCP-2021-0022","http://dx.doi.org/10.1891/JFCP-2021-0022")</f>
        <v>http://dx.doi.org/10.1891/JFCP-2021-0022</v>
      </c>
      <c r="BG413" t="s">
        <v>74</v>
      </c>
      <c r="BH413" t="s">
        <v>74</v>
      </c>
      <c r="BI413">
        <v>15</v>
      </c>
      <c r="BJ413" t="s">
        <v>1453</v>
      </c>
      <c r="BK413" t="s">
        <v>313</v>
      </c>
      <c r="BL413" t="s">
        <v>100</v>
      </c>
      <c r="BM413" t="s">
        <v>8429</v>
      </c>
      <c r="BN413" t="s">
        <v>74</v>
      </c>
      <c r="BO413" t="s">
        <v>74</v>
      </c>
      <c r="BP413" t="s">
        <v>74</v>
      </c>
      <c r="BQ413" t="s">
        <v>74</v>
      </c>
      <c r="BR413" t="s">
        <v>102</v>
      </c>
      <c r="BS413" t="s">
        <v>8430</v>
      </c>
      <c r="BT413" t="str">
        <f>HYPERLINK("https%3A%2F%2Fwww.webofscience.com%2Fwos%2Fwoscc%2Ffull-record%2FWOS:001041749400002","View Full Record in Web of Science")</f>
        <v>View Full Record in Web of Science</v>
      </c>
    </row>
    <row r="414" spans="1:72" x14ac:dyDescent="0.25">
      <c r="A414" t="s">
        <v>72</v>
      </c>
      <c r="B414" t="s">
        <v>8431</v>
      </c>
      <c r="C414" t="s">
        <v>74</v>
      </c>
      <c r="D414" t="s">
        <v>74</v>
      </c>
      <c r="E414" t="s">
        <v>74</v>
      </c>
      <c r="F414" t="s">
        <v>8432</v>
      </c>
      <c r="G414" t="s">
        <v>74</v>
      </c>
      <c r="H414" t="s">
        <v>74</v>
      </c>
      <c r="I414" t="s">
        <v>8433</v>
      </c>
      <c r="J414" t="s">
        <v>7298</v>
      </c>
      <c r="K414" t="s">
        <v>74</v>
      </c>
      <c r="L414" t="s">
        <v>74</v>
      </c>
      <c r="M414" t="s">
        <v>78</v>
      </c>
      <c r="N414" t="s">
        <v>79</v>
      </c>
      <c r="O414" t="s">
        <v>74</v>
      </c>
      <c r="P414" t="s">
        <v>74</v>
      </c>
      <c r="Q414" t="s">
        <v>74</v>
      </c>
      <c r="R414" t="s">
        <v>74</v>
      </c>
      <c r="S414" t="s">
        <v>74</v>
      </c>
      <c r="T414" t="s">
        <v>8434</v>
      </c>
      <c r="U414" t="s">
        <v>8435</v>
      </c>
      <c r="V414" t="s">
        <v>8436</v>
      </c>
      <c r="W414" t="s">
        <v>8437</v>
      </c>
      <c r="X414" t="s">
        <v>8438</v>
      </c>
      <c r="Y414" t="s">
        <v>8439</v>
      </c>
      <c r="Z414" t="s">
        <v>8440</v>
      </c>
      <c r="AA414" t="s">
        <v>8441</v>
      </c>
      <c r="AB414" t="s">
        <v>74</v>
      </c>
      <c r="AC414" t="s">
        <v>74</v>
      </c>
      <c r="AD414" t="s">
        <v>74</v>
      </c>
      <c r="AE414" t="s">
        <v>74</v>
      </c>
      <c r="AF414" t="s">
        <v>74</v>
      </c>
      <c r="AG414">
        <v>121</v>
      </c>
      <c r="AH414">
        <v>12</v>
      </c>
      <c r="AI414">
        <v>14</v>
      </c>
      <c r="AJ414">
        <v>5</v>
      </c>
      <c r="AK414">
        <v>39</v>
      </c>
      <c r="AL414" t="s">
        <v>479</v>
      </c>
      <c r="AM414" t="s">
        <v>480</v>
      </c>
      <c r="AN414" t="s">
        <v>481</v>
      </c>
      <c r="AO414" t="s">
        <v>7308</v>
      </c>
      <c r="AP414" t="s">
        <v>7309</v>
      </c>
      <c r="AQ414" t="s">
        <v>74</v>
      </c>
      <c r="AR414" t="s">
        <v>7310</v>
      </c>
      <c r="AS414" t="s">
        <v>7311</v>
      </c>
      <c r="AT414" t="s">
        <v>1652</v>
      </c>
      <c r="AU414">
        <v>2024</v>
      </c>
      <c r="AV414">
        <v>95</v>
      </c>
      <c r="AW414">
        <v>2</v>
      </c>
      <c r="AX414" t="s">
        <v>74</v>
      </c>
      <c r="AY414" t="s">
        <v>74</v>
      </c>
      <c r="AZ414" t="s">
        <v>74</v>
      </c>
      <c r="BA414" t="s">
        <v>74</v>
      </c>
      <c r="BB414">
        <v>527</v>
      </c>
      <c r="BC414">
        <v>551</v>
      </c>
      <c r="BD414" t="s">
        <v>74</v>
      </c>
      <c r="BE414" t="s">
        <v>8442</v>
      </c>
      <c r="BF414" t="str">
        <f>HYPERLINK("http://dx.doi.org/10.1111/apce.12427","http://dx.doi.org/10.1111/apce.12427")</f>
        <v>http://dx.doi.org/10.1111/apce.12427</v>
      </c>
      <c r="BG414" t="s">
        <v>74</v>
      </c>
      <c r="BH414" t="s">
        <v>6418</v>
      </c>
      <c r="BI414">
        <v>25</v>
      </c>
      <c r="BJ414" t="s">
        <v>291</v>
      </c>
      <c r="BK414" t="s">
        <v>99</v>
      </c>
      <c r="BL414" t="s">
        <v>100</v>
      </c>
      <c r="BM414" t="s">
        <v>8443</v>
      </c>
      <c r="BN414" t="s">
        <v>74</v>
      </c>
      <c r="BO414" t="s">
        <v>74</v>
      </c>
      <c r="BP414" t="s">
        <v>74</v>
      </c>
      <c r="BQ414" t="s">
        <v>74</v>
      </c>
      <c r="BR414" t="s">
        <v>102</v>
      </c>
      <c r="BS414" t="s">
        <v>8444</v>
      </c>
      <c r="BT414" t="str">
        <f>HYPERLINK("https%3A%2F%2Fwww.webofscience.com%2Fwos%2Fwoscc%2Ffull-record%2FWOS:000988363700001","View Full Record in Web of Science")</f>
        <v>View Full Record in Web of Science</v>
      </c>
    </row>
    <row r="415" spans="1:72" x14ac:dyDescent="0.25">
      <c r="A415" t="s">
        <v>72</v>
      </c>
      <c r="B415" t="s">
        <v>8445</v>
      </c>
      <c r="C415" t="s">
        <v>74</v>
      </c>
      <c r="D415" t="s">
        <v>74</v>
      </c>
      <c r="E415" t="s">
        <v>74</v>
      </c>
      <c r="F415" t="s">
        <v>8445</v>
      </c>
      <c r="G415" t="s">
        <v>74</v>
      </c>
      <c r="H415" t="s">
        <v>74</v>
      </c>
      <c r="I415" t="s">
        <v>8446</v>
      </c>
      <c r="J415" t="s">
        <v>8447</v>
      </c>
      <c r="K415" t="s">
        <v>74</v>
      </c>
      <c r="L415" t="s">
        <v>74</v>
      </c>
      <c r="M415" t="s">
        <v>78</v>
      </c>
      <c r="N415" t="s">
        <v>79</v>
      </c>
      <c r="O415" t="s">
        <v>74</v>
      </c>
      <c r="P415" t="s">
        <v>74</v>
      </c>
      <c r="Q415" t="s">
        <v>74</v>
      </c>
      <c r="R415" t="s">
        <v>74</v>
      </c>
      <c r="S415" t="s">
        <v>74</v>
      </c>
      <c r="T415" t="s">
        <v>74</v>
      </c>
      <c r="U415" t="s">
        <v>8448</v>
      </c>
      <c r="V415" t="s">
        <v>8449</v>
      </c>
      <c r="W415" t="s">
        <v>74</v>
      </c>
      <c r="X415" t="s">
        <v>74</v>
      </c>
      <c r="Y415" t="s">
        <v>8450</v>
      </c>
      <c r="Z415" t="s">
        <v>74</v>
      </c>
      <c r="AA415" t="s">
        <v>8451</v>
      </c>
      <c r="AB415" t="s">
        <v>8452</v>
      </c>
      <c r="AC415" t="s">
        <v>74</v>
      </c>
      <c r="AD415" t="s">
        <v>74</v>
      </c>
      <c r="AE415" t="s">
        <v>74</v>
      </c>
      <c r="AF415" t="s">
        <v>74</v>
      </c>
      <c r="AG415">
        <v>27</v>
      </c>
      <c r="AH415">
        <v>199</v>
      </c>
      <c r="AI415">
        <v>273</v>
      </c>
      <c r="AJ415">
        <v>1</v>
      </c>
      <c r="AK415">
        <v>55</v>
      </c>
      <c r="AL415" t="s">
        <v>3298</v>
      </c>
      <c r="AM415" t="s">
        <v>202</v>
      </c>
      <c r="AN415" t="s">
        <v>3299</v>
      </c>
      <c r="AO415" t="s">
        <v>8453</v>
      </c>
      <c r="AP415" t="s">
        <v>74</v>
      </c>
      <c r="AQ415" t="s">
        <v>74</v>
      </c>
      <c r="AR415" t="s">
        <v>8454</v>
      </c>
      <c r="AS415" t="s">
        <v>8455</v>
      </c>
      <c r="AT415" t="s">
        <v>124</v>
      </c>
      <c r="AU415">
        <v>1995</v>
      </c>
      <c r="AV415">
        <v>16</v>
      </c>
      <c r="AW415">
        <v>4</v>
      </c>
      <c r="AX415" t="s">
        <v>74</v>
      </c>
      <c r="AY415" t="s">
        <v>74</v>
      </c>
      <c r="AZ415" t="s">
        <v>74</v>
      </c>
      <c r="BA415" t="s">
        <v>74</v>
      </c>
      <c r="BB415">
        <v>681</v>
      </c>
      <c r="BC415">
        <v>701</v>
      </c>
      <c r="BD415" t="s">
        <v>74</v>
      </c>
      <c r="BE415" t="s">
        <v>8456</v>
      </c>
      <c r="BF415" t="str">
        <f>HYPERLINK("http://dx.doi.org/10.1016/0167-4870(95)00013-4","http://dx.doi.org/10.1016/0167-4870(95)00013-4")</f>
        <v>http://dx.doi.org/10.1016/0167-4870(95)00013-4</v>
      </c>
      <c r="BG415" t="s">
        <v>74</v>
      </c>
      <c r="BH415" t="s">
        <v>74</v>
      </c>
      <c r="BI415">
        <v>21</v>
      </c>
      <c r="BJ415" t="s">
        <v>6780</v>
      </c>
      <c r="BK415" t="s">
        <v>99</v>
      </c>
      <c r="BL415" t="s">
        <v>6781</v>
      </c>
      <c r="BM415" t="s">
        <v>8457</v>
      </c>
      <c r="BN415" t="s">
        <v>74</v>
      </c>
      <c r="BO415" t="s">
        <v>74</v>
      </c>
      <c r="BP415" t="s">
        <v>74</v>
      </c>
      <c r="BQ415" t="s">
        <v>74</v>
      </c>
      <c r="BR415" t="s">
        <v>102</v>
      </c>
      <c r="BS415" t="s">
        <v>8458</v>
      </c>
      <c r="BT415" t="str">
        <f>HYPERLINK("https%3A%2F%2Fwww.webofscience.com%2Fwos%2Fwoscc%2Ffull-record%2FWOS:A1995TK07800008","View Full Record in Web of Science")</f>
        <v>View Full Record in Web of Science</v>
      </c>
    </row>
    <row r="416" spans="1:72" x14ac:dyDescent="0.25">
      <c r="A416" t="s">
        <v>132</v>
      </c>
      <c r="B416" t="s">
        <v>8459</v>
      </c>
      <c r="C416" t="s">
        <v>74</v>
      </c>
      <c r="D416" t="s">
        <v>74</v>
      </c>
      <c r="E416" t="s">
        <v>771</v>
      </c>
      <c r="F416" t="s">
        <v>8460</v>
      </c>
      <c r="G416" t="s">
        <v>74</v>
      </c>
      <c r="H416" t="s">
        <v>74</v>
      </c>
      <c r="I416" t="s">
        <v>8461</v>
      </c>
      <c r="J416" t="s">
        <v>8462</v>
      </c>
      <c r="K416" t="s">
        <v>74</v>
      </c>
      <c r="L416" t="s">
        <v>74</v>
      </c>
      <c r="M416" t="s">
        <v>78</v>
      </c>
      <c r="N416" t="s">
        <v>138</v>
      </c>
      <c r="O416" t="s">
        <v>8463</v>
      </c>
      <c r="P416" t="s">
        <v>8464</v>
      </c>
      <c r="Q416" t="s">
        <v>8465</v>
      </c>
      <c r="R416" t="s">
        <v>771</v>
      </c>
      <c r="S416" t="s">
        <v>74</v>
      </c>
      <c r="T416" t="s">
        <v>74</v>
      </c>
      <c r="U416" t="s">
        <v>74</v>
      </c>
      <c r="V416" t="s">
        <v>8466</v>
      </c>
      <c r="W416" t="s">
        <v>8467</v>
      </c>
      <c r="X416" t="s">
        <v>8468</v>
      </c>
      <c r="Y416" t="s">
        <v>8469</v>
      </c>
      <c r="Z416" t="s">
        <v>8470</v>
      </c>
      <c r="AA416" t="s">
        <v>8471</v>
      </c>
      <c r="AB416" t="s">
        <v>8472</v>
      </c>
      <c r="AC416" t="s">
        <v>74</v>
      </c>
      <c r="AD416" t="s">
        <v>74</v>
      </c>
      <c r="AE416" t="s">
        <v>74</v>
      </c>
      <c r="AF416" t="s">
        <v>74</v>
      </c>
      <c r="AG416">
        <v>18</v>
      </c>
      <c r="AH416">
        <v>3</v>
      </c>
      <c r="AI416">
        <v>3</v>
      </c>
      <c r="AJ416">
        <v>0</v>
      </c>
      <c r="AK416">
        <v>5</v>
      </c>
      <c r="AL416" t="s">
        <v>771</v>
      </c>
      <c r="AM416" t="s">
        <v>151</v>
      </c>
      <c r="AN416" t="s">
        <v>785</v>
      </c>
      <c r="AO416" t="s">
        <v>74</v>
      </c>
      <c r="AP416" t="s">
        <v>74</v>
      </c>
      <c r="AQ416" t="s">
        <v>8473</v>
      </c>
      <c r="AR416" t="s">
        <v>74</v>
      </c>
      <c r="AS416" t="s">
        <v>74</v>
      </c>
      <c r="AT416" t="s">
        <v>74</v>
      </c>
      <c r="AU416">
        <v>2013</v>
      </c>
      <c r="AV416" t="s">
        <v>74</v>
      </c>
      <c r="AW416" t="s">
        <v>74</v>
      </c>
      <c r="AX416" t="s">
        <v>74</v>
      </c>
      <c r="AY416" t="s">
        <v>74</v>
      </c>
      <c r="AZ416" t="s">
        <v>74</v>
      </c>
      <c r="BA416" t="s">
        <v>74</v>
      </c>
      <c r="BB416">
        <v>494</v>
      </c>
      <c r="BC416">
        <v>499</v>
      </c>
      <c r="BD416" t="s">
        <v>74</v>
      </c>
      <c r="BE416" t="s">
        <v>74</v>
      </c>
      <c r="BF416" t="s">
        <v>74</v>
      </c>
      <c r="BG416" t="s">
        <v>74</v>
      </c>
      <c r="BH416" t="s">
        <v>74</v>
      </c>
      <c r="BI416">
        <v>6</v>
      </c>
      <c r="BJ416" t="s">
        <v>8474</v>
      </c>
      <c r="BK416" t="s">
        <v>156</v>
      </c>
      <c r="BL416" t="s">
        <v>981</v>
      </c>
      <c r="BM416" t="s">
        <v>8475</v>
      </c>
      <c r="BN416" t="s">
        <v>74</v>
      </c>
      <c r="BO416" t="s">
        <v>74</v>
      </c>
      <c r="BP416" t="s">
        <v>74</v>
      </c>
      <c r="BQ416" t="s">
        <v>74</v>
      </c>
      <c r="BR416" t="s">
        <v>102</v>
      </c>
      <c r="BS416" t="s">
        <v>8476</v>
      </c>
      <c r="BT416" t="str">
        <f>HYPERLINK("https%3A%2F%2Fwww.webofscience.com%2Fwos%2Fwoscc%2Ffull-record%2FWOS:000333901500095","View Full Record in Web of Science")</f>
        <v>View Full Record in Web of Science</v>
      </c>
    </row>
    <row r="417" spans="1:72" x14ac:dyDescent="0.25">
      <c r="A417" t="s">
        <v>72</v>
      </c>
      <c r="B417" t="s">
        <v>8477</v>
      </c>
      <c r="C417" t="s">
        <v>74</v>
      </c>
      <c r="D417" t="s">
        <v>74</v>
      </c>
      <c r="E417" t="s">
        <v>74</v>
      </c>
      <c r="F417" t="s">
        <v>8478</v>
      </c>
      <c r="G417" t="s">
        <v>74</v>
      </c>
      <c r="H417" t="s">
        <v>74</v>
      </c>
      <c r="I417" t="s">
        <v>8479</v>
      </c>
      <c r="J417" t="s">
        <v>274</v>
      </c>
      <c r="K417" t="s">
        <v>74</v>
      </c>
      <c r="L417" t="s">
        <v>74</v>
      </c>
      <c r="M417" t="s">
        <v>78</v>
      </c>
      <c r="N417" t="s">
        <v>79</v>
      </c>
      <c r="O417" t="s">
        <v>74</v>
      </c>
      <c r="P417" t="s">
        <v>74</v>
      </c>
      <c r="Q417" t="s">
        <v>74</v>
      </c>
      <c r="R417" t="s">
        <v>74</v>
      </c>
      <c r="S417" t="s">
        <v>74</v>
      </c>
      <c r="T417" t="s">
        <v>8480</v>
      </c>
      <c r="U417" t="s">
        <v>8481</v>
      </c>
      <c r="V417" t="s">
        <v>8482</v>
      </c>
      <c r="W417" t="s">
        <v>8483</v>
      </c>
      <c r="X417" t="s">
        <v>8484</v>
      </c>
      <c r="Y417" t="s">
        <v>8485</v>
      </c>
      <c r="Z417" t="s">
        <v>8486</v>
      </c>
      <c r="AA417" t="s">
        <v>74</v>
      </c>
      <c r="AB417" t="s">
        <v>8487</v>
      </c>
      <c r="AC417" t="s">
        <v>8488</v>
      </c>
      <c r="AD417" t="s">
        <v>8489</v>
      </c>
      <c r="AE417" t="s">
        <v>8490</v>
      </c>
      <c r="AF417" t="s">
        <v>74</v>
      </c>
      <c r="AG417">
        <v>18</v>
      </c>
      <c r="AH417">
        <v>6</v>
      </c>
      <c r="AI417">
        <v>8</v>
      </c>
      <c r="AJ417">
        <v>2</v>
      </c>
      <c r="AK417">
        <v>11</v>
      </c>
      <c r="AL417" t="s">
        <v>282</v>
      </c>
      <c r="AM417" t="s">
        <v>283</v>
      </c>
      <c r="AN417" t="s">
        <v>284</v>
      </c>
      <c r="AO417" t="s">
        <v>285</v>
      </c>
      <c r="AP417" t="s">
        <v>286</v>
      </c>
      <c r="AQ417" t="s">
        <v>74</v>
      </c>
      <c r="AR417" t="s">
        <v>287</v>
      </c>
      <c r="AS417" t="s">
        <v>288</v>
      </c>
      <c r="AT417" t="s">
        <v>208</v>
      </c>
      <c r="AU417">
        <v>2022</v>
      </c>
      <c r="AV417">
        <v>210</v>
      </c>
      <c r="AW417" t="s">
        <v>74</v>
      </c>
      <c r="AX417" t="s">
        <v>74</v>
      </c>
      <c r="AY417" t="s">
        <v>74</v>
      </c>
      <c r="AZ417" t="s">
        <v>74</v>
      </c>
      <c r="BA417" t="s">
        <v>74</v>
      </c>
      <c r="BB417" t="s">
        <v>74</v>
      </c>
      <c r="BC417" t="s">
        <v>74</v>
      </c>
      <c r="BD417">
        <v>110170</v>
      </c>
      <c r="BE417" t="s">
        <v>8491</v>
      </c>
      <c r="BF417" t="str">
        <f>HYPERLINK("http://dx.doi.org/10.1016/j.econlet.2021.110170","http://dx.doi.org/10.1016/j.econlet.2021.110170")</f>
        <v>http://dx.doi.org/10.1016/j.econlet.2021.110170</v>
      </c>
      <c r="BG417" t="s">
        <v>74</v>
      </c>
      <c r="BH417" t="s">
        <v>6548</v>
      </c>
      <c r="BI417">
        <v>4</v>
      </c>
      <c r="BJ417" t="s">
        <v>291</v>
      </c>
      <c r="BK417" t="s">
        <v>99</v>
      </c>
      <c r="BL417" t="s">
        <v>100</v>
      </c>
      <c r="BM417" t="s">
        <v>8492</v>
      </c>
      <c r="BN417" t="s">
        <v>74</v>
      </c>
      <c r="BO417" t="s">
        <v>74</v>
      </c>
      <c r="BP417" t="s">
        <v>74</v>
      </c>
      <c r="BQ417" t="s">
        <v>74</v>
      </c>
      <c r="BR417" t="s">
        <v>102</v>
      </c>
      <c r="BS417" t="s">
        <v>8493</v>
      </c>
      <c r="BT417" t="str">
        <f>HYPERLINK("https%3A%2F%2Fwww.webofscience.com%2Fwos%2Fwoscc%2Ffull-record%2FWOS:000788099600026","View Full Record in Web of Science")</f>
        <v>View Full Record in Web of Science</v>
      </c>
    </row>
    <row r="418" spans="1:72" x14ac:dyDescent="0.25">
      <c r="A418" t="s">
        <v>72</v>
      </c>
      <c r="B418" t="s">
        <v>8494</v>
      </c>
      <c r="C418" t="s">
        <v>74</v>
      </c>
      <c r="D418" t="s">
        <v>74</v>
      </c>
      <c r="E418" t="s">
        <v>74</v>
      </c>
      <c r="F418" t="s">
        <v>8495</v>
      </c>
      <c r="G418" t="s">
        <v>74</v>
      </c>
      <c r="H418" t="s">
        <v>74</v>
      </c>
      <c r="I418" t="s">
        <v>8496</v>
      </c>
      <c r="J418" t="s">
        <v>8497</v>
      </c>
      <c r="K418" t="s">
        <v>74</v>
      </c>
      <c r="L418" t="s">
        <v>74</v>
      </c>
      <c r="M418" t="s">
        <v>78</v>
      </c>
      <c r="N418" t="s">
        <v>79</v>
      </c>
      <c r="O418" t="s">
        <v>74</v>
      </c>
      <c r="P418" t="s">
        <v>74</v>
      </c>
      <c r="Q418" t="s">
        <v>74</v>
      </c>
      <c r="R418" t="s">
        <v>74</v>
      </c>
      <c r="S418" t="s">
        <v>74</v>
      </c>
      <c r="T418" t="s">
        <v>8498</v>
      </c>
      <c r="U418" t="s">
        <v>74</v>
      </c>
      <c r="V418" t="s">
        <v>8499</v>
      </c>
      <c r="W418" t="s">
        <v>8500</v>
      </c>
      <c r="X418" t="s">
        <v>74</v>
      </c>
      <c r="Y418" t="s">
        <v>8501</v>
      </c>
      <c r="Z418" t="s">
        <v>8502</v>
      </c>
      <c r="AA418" t="s">
        <v>74</v>
      </c>
      <c r="AB418" t="s">
        <v>74</v>
      </c>
      <c r="AC418" t="s">
        <v>74</v>
      </c>
      <c r="AD418" t="s">
        <v>74</v>
      </c>
      <c r="AE418" t="s">
        <v>74</v>
      </c>
      <c r="AF418" t="s">
        <v>74</v>
      </c>
      <c r="AG418">
        <v>21</v>
      </c>
      <c r="AH418">
        <v>17</v>
      </c>
      <c r="AI418">
        <v>19</v>
      </c>
      <c r="AJ418">
        <v>0</v>
      </c>
      <c r="AK418">
        <v>1</v>
      </c>
      <c r="AL418" t="s">
        <v>8503</v>
      </c>
      <c r="AM418" t="s">
        <v>995</v>
      </c>
      <c r="AN418" t="s">
        <v>8504</v>
      </c>
      <c r="AO418" t="s">
        <v>74</v>
      </c>
      <c r="AP418" t="s">
        <v>8505</v>
      </c>
      <c r="AQ418" t="s">
        <v>74</v>
      </c>
      <c r="AR418" t="s">
        <v>8506</v>
      </c>
      <c r="AS418" t="s">
        <v>8507</v>
      </c>
      <c r="AT418" t="s">
        <v>4947</v>
      </c>
      <c r="AU418">
        <v>2019</v>
      </c>
      <c r="AV418">
        <v>18</v>
      </c>
      <c r="AW418">
        <v>1</v>
      </c>
      <c r="AX418" t="s">
        <v>74</v>
      </c>
      <c r="AY418" t="s">
        <v>74</v>
      </c>
      <c r="AZ418" t="s">
        <v>74</v>
      </c>
      <c r="BA418" t="s">
        <v>74</v>
      </c>
      <c r="BB418" t="s">
        <v>74</v>
      </c>
      <c r="BC418" t="s">
        <v>74</v>
      </c>
      <c r="BD418">
        <v>278</v>
      </c>
      <c r="BE418" t="s">
        <v>8508</v>
      </c>
      <c r="BF418" t="str">
        <f>HYPERLINK("http://dx.doi.org/10.1186/s12936-019-2912-x","http://dx.doi.org/10.1186/s12936-019-2912-x")</f>
        <v>http://dx.doi.org/10.1186/s12936-019-2912-x</v>
      </c>
      <c r="BG418" t="s">
        <v>74</v>
      </c>
      <c r="BH418" t="s">
        <v>74</v>
      </c>
      <c r="BI418">
        <v>7</v>
      </c>
      <c r="BJ418" t="s">
        <v>8509</v>
      </c>
      <c r="BK418" t="s">
        <v>2623</v>
      </c>
      <c r="BL418" t="s">
        <v>8509</v>
      </c>
      <c r="BM418" t="s">
        <v>8510</v>
      </c>
      <c r="BN418">
        <v>31429761</v>
      </c>
      <c r="BO418" t="s">
        <v>916</v>
      </c>
      <c r="BP418" t="s">
        <v>74</v>
      </c>
      <c r="BQ418" t="s">
        <v>74</v>
      </c>
      <c r="BR418" t="s">
        <v>102</v>
      </c>
      <c r="BS418" t="s">
        <v>8511</v>
      </c>
      <c r="BT418" t="str">
        <f>HYPERLINK("https%3A%2F%2Fwww.webofscience.com%2Fwos%2Fwoscc%2Ffull-record%2FWOS:000482894800002","View Full Record in Web of Science")</f>
        <v>View Full Record in Web of Science</v>
      </c>
    </row>
    <row r="419" spans="1:72" x14ac:dyDescent="0.25">
      <c r="A419" t="s">
        <v>72</v>
      </c>
      <c r="B419" t="s">
        <v>8512</v>
      </c>
      <c r="C419" t="s">
        <v>74</v>
      </c>
      <c r="D419" t="s">
        <v>74</v>
      </c>
      <c r="E419" t="s">
        <v>74</v>
      </c>
      <c r="F419" t="s">
        <v>8513</v>
      </c>
      <c r="G419" t="s">
        <v>74</v>
      </c>
      <c r="H419" t="s">
        <v>74</v>
      </c>
      <c r="I419" t="s">
        <v>8514</v>
      </c>
      <c r="J419" t="s">
        <v>3439</v>
      </c>
      <c r="K419" t="s">
        <v>74</v>
      </c>
      <c r="L419" t="s">
        <v>74</v>
      </c>
      <c r="M419" t="s">
        <v>78</v>
      </c>
      <c r="N419" t="s">
        <v>79</v>
      </c>
      <c r="O419" t="s">
        <v>74</v>
      </c>
      <c r="P419" t="s">
        <v>74</v>
      </c>
      <c r="Q419" t="s">
        <v>74</v>
      </c>
      <c r="R419" t="s">
        <v>74</v>
      </c>
      <c r="S419" t="s">
        <v>74</v>
      </c>
      <c r="T419" t="s">
        <v>8515</v>
      </c>
      <c r="U419" t="s">
        <v>8516</v>
      </c>
      <c r="V419" t="s">
        <v>8517</v>
      </c>
      <c r="W419" t="s">
        <v>8518</v>
      </c>
      <c r="X419" t="s">
        <v>8519</v>
      </c>
      <c r="Y419" t="s">
        <v>8520</v>
      </c>
      <c r="Z419" t="s">
        <v>8521</v>
      </c>
      <c r="AA419" t="s">
        <v>8522</v>
      </c>
      <c r="AB419" t="s">
        <v>8523</v>
      </c>
      <c r="AC419" t="s">
        <v>74</v>
      </c>
      <c r="AD419" t="s">
        <v>74</v>
      </c>
      <c r="AE419" t="s">
        <v>74</v>
      </c>
      <c r="AF419" t="s">
        <v>74</v>
      </c>
      <c r="AG419">
        <v>69</v>
      </c>
      <c r="AH419">
        <v>26</v>
      </c>
      <c r="AI419">
        <v>38</v>
      </c>
      <c r="AJ419">
        <v>0</v>
      </c>
      <c r="AK419">
        <v>20</v>
      </c>
      <c r="AL419" t="s">
        <v>823</v>
      </c>
      <c r="AM419" t="s">
        <v>333</v>
      </c>
      <c r="AN419" t="s">
        <v>824</v>
      </c>
      <c r="AO419" t="s">
        <v>3443</v>
      </c>
      <c r="AP419" t="s">
        <v>74</v>
      </c>
      <c r="AQ419" t="s">
        <v>74</v>
      </c>
      <c r="AR419" t="s">
        <v>3444</v>
      </c>
      <c r="AS419" t="s">
        <v>3445</v>
      </c>
      <c r="AT419" t="s">
        <v>2970</v>
      </c>
      <c r="AU419">
        <v>2022</v>
      </c>
      <c r="AV419">
        <v>10</v>
      </c>
      <c r="AW419">
        <v>1</v>
      </c>
      <c r="AX419" t="s">
        <v>74</v>
      </c>
      <c r="AY419" t="s">
        <v>74</v>
      </c>
      <c r="AZ419" t="s">
        <v>74</v>
      </c>
      <c r="BA419" t="s">
        <v>74</v>
      </c>
      <c r="BB419" t="s">
        <v>74</v>
      </c>
      <c r="BC419" t="s">
        <v>74</v>
      </c>
      <c r="BD419">
        <v>2058734</v>
      </c>
      <c r="BE419" t="s">
        <v>8524</v>
      </c>
      <c r="BF419" t="str">
        <f>HYPERLINK("http://dx.doi.org/10.1080/23322039.2022.2058734","http://dx.doi.org/10.1080/23322039.2022.2058734")</f>
        <v>http://dx.doi.org/10.1080/23322039.2022.2058734</v>
      </c>
      <c r="BG419" t="s">
        <v>74</v>
      </c>
      <c r="BH419" t="s">
        <v>74</v>
      </c>
      <c r="BI419">
        <v>17</v>
      </c>
      <c r="BJ419" t="s">
        <v>291</v>
      </c>
      <c r="BK419" t="s">
        <v>313</v>
      </c>
      <c r="BL419" t="s">
        <v>100</v>
      </c>
      <c r="BM419" t="s">
        <v>8525</v>
      </c>
      <c r="BN419" t="s">
        <v>74</v>
      </c>
      <c r="BO419" t="s">
        <v>916</v>
      </c>
      <c r="BP419" t="s">
        <v>74</v>
      </c>
      <c r="BQ419" t="s">
        <v>74</v>
      </c>
      <c r="BR419" t="s">
        <v>102</v>
      </c>
      <c r="BS419" t="s">
        <v>8526</v>
      </c>
      <c r="BT419" t="str">
        <f>HYPERLINK("https%3A%2F%2Fwww.webofscience.com%2Fwos%2Fwoscc%2Ffull-record%2FWOS:000778426600001","View Full Record in Web of Science")</f>
        <v>View Full Record in Web of Science</v>
      </c>
    </row>
    <row r="420" spans="1:72" x14ac:dyDescent="0.25">
      <c r="A420" t="s">
        <v>72</v>
      </c>
      <c r="B420" t="s">
        <v>8527</v>
      </c>
      <c r="C420" t="s">
        <v>74</v>
      </c>
      <c r="D420" t="s">
        <v>74</v>
      </c>
      <c r="E420" t="s">
        <v>74</v>
      </c>
      <c r="F420" t="s">
        <v>8528</v>
      </c>
      <c r="G420" t="s">
        <v>74</v>
      </c>
      <c r="H420" t="s">
        <v>74</v>
      </c>
      <c r="I420" t="s">
        <v>8529</v>
      </c>
      <c r="J420" t="s">
        <v>1902</v>
      </c>
      <c r="K420" t="s">
        <v>74</v>
      </c>
      <c r="L420" t="s">
        <v>74</v>
      </c>
      <c r="M420" t="s">
        <v>78</v>
      </c>
      <c r="N420" t="s">
        <v>79</v>
      </c>
      <c r="O420" t="s">
        <v>74</v>
      </c>
      <c r="P420" t="s">
        <v>74</v>
      </c>
      <c r="Q420" t="s">
        <v>74</v>
      </c>
      <c r="R420" t="s">
        <v>74</v>
      </c>
      <c r="S420" t="s">
        <v>74</v>
      </c>
      <c r="T420" t="s">
        <v>8530</v>
      </c>
      <c r="U420" t="s">
        <v>8531</v>
      </c>
      <c r="V420" t="s">
        <v>8532</v>
      </c>
      <c r="W420" t="s">
        <v>8533</v>
      </c>
      <c r="X420" t="s">
        <v>74</v>
      </c>
      <c r="Y420" t="s">
        <v>8534</v>
      </c>
      <c r="Z420" t="s">
        <v>8535</v>
      </c>
      <c r="AA420" t="s">
        <v>8536</v>
      </c>
      <c r="AB420" t="s">
        <v>8537</v>
      </c>
      <c r="AC420" t="s">
        <v>74</v>
      </c>
      <c r="AD420" t="s">
        <v>74</v>
      </c>
      <c r="AE420" t="s">
        <v>8538</v>
      </c>
      <c r="AF420" t="s">
        <v>74</v>
      </c>
      <c r="AG420">
        <v>64</v>
      </c>
      <c r="AH420">
        <v>6</v>
      </c>
      <c r="AI420">
        <v>8</v>
      </c>
      <c r="AJ420">
        <v>4</v>
      </c>
      <c r="AK420">
        <v>6</v>
      </c>
      <c r="AL420" t="s">
        <v>89</v>
      </c>
      <c r="AM420" t="s">
        <v>90</v>
      </c>
      <c r="AN420" t="s">
        <v>91</v>
      </c>
      <c r="AO420" t="s">
        <v>1910</v>
      </c>
      <c r="AP420" t="s">
        <v>1911</v>
      </c>
      <c r="AQ420" t="s">
        <v>74</v>
      </c>
      <c r="AR420" t="s">
        <v>1912</v>
      </c>
      <c r="AS420" t="s">
        <v>1913</v>
      </c>
      <c r="AT420" t="s">
        <v>8539</v>
      </c>
      <c r="AU420">
        <v>2025</v>
      </c>
      <c r="AV420">
        <v>17</v>
      </c>
      <c r="AW420">
        <v>2</v>
      </c>
      <c r="AX420" t="s">
        <v>74</v>
      </c>
      <c r="AY420" t="s">
        <v>74</v>
      </c>
      <c r="AZ420" t="s">
        <v>74</v>
      </c>
      <c r="BA420" t="s">
        <v>74</v>
      </c>
      <c r="BB420">
        <v>270</v>
      </c>
      <c r="BC420">
        <v>294</v>
      </c>
      <c r="BD420" t="s">
        <v>74</v>
      </c>
      <c r="BE420" t="s">
        <v>8540</v>
      </c>
      <c r="BF420" t="str">
        <f>HYPERLINK("http://dx.doi.org/10.1108/JFEP-04-2024-0105","http://dx.doi.org/10.1108/JFEP-04-2024-0105")</f>
        <v>http://dx.doi.org/10.1108/JFEP-04-2024-0105</v>
      </c>
      <c r="BG420" t="s">
        <v>74</v>
      </c>
      <c r="BH420" t="s">
        <v>393</v>
      </c>
      <c r="BI420">
        <v>25</v>
      </c>
      <c r="BJ420" t="s">
        <v>291</v>
      </c>
      <c r="BK420" t="s">
        <v>313</v>
      </c>
      <c r="BL420" t="s">
        <v>100</v>
      </c>
      <c r="BM420" t="s">
        <v>8541</v>
      </c>
      <c r="BN420" t="s">
        <v>74</v>
      </c>
      <c r="BO420" t="s">
        <v>74</v>
      </c>
      <c r="BP420" t="s">
        <v>74</v>
      </c>
      <c r="BQ420" t="s">
        <v>74</v>
      </c>
      <c r="BR420" t="s">
        <v>102</v>
      </c>
      <c r="BS420" t="s">
        <v>8542</v>
      </c>
      <c r="BT420" t="str">
        <f>HYPERLINK("https%3A%2F%2Fwww.webofscience.com%2Fwos%2Fwoscc%2Ffull-record%2FWOS:001295325900001","View Full Record in Web of Science")</f>
        <v>View Full Record in Web of Science</v>
      </c>
    </row>
    <row r="421" spans="1:72" x14ac:dyDescent="0.25">
      <c r="A421" t="s">
        <v>72</v>
      </c>
      <c r="B421" t="s">
        <v>8543</v>
      </c>
      <c r="C421" t="s">
        <v>74</v>
      </c>
      <c r="D421" t="s">
        <v>74</v>
      </c>
      <c r="E421" t="s">
        <v>74</v>
      </c>
      <c r="F421" t="s">
        <v>8544</v>
      </c>
      <c r="G421" t="s">
        <v>74</v>
      </c>
      <c r="H421" t="s">
        <v>74</v>
      </c>
      <c r="I421" t="s">
        <v>8545</v>
      </c>
      <c r="J421" t="s">
        <v>8546</v>
      </c>
      <c r="K421" t="s">
        <v>74</v>
      </c>
      <c r="L421" t="s">
        <v>74</v>
      </c>
      <c r="M421" t="s">
        <v>78</v>
      </c>
      <c r="N421" t="s">
        <v>79</v>
      </c>
      <c r="O421" t="s">
        <v>74</v>
      </c>
      <c r="P421" t="s">
        <v>74</v>
      </c>
      <c r="Q421" t="s">
        <v>74</v>
      </c>
      <c r="R421" t="s">
        <v>74</v>
      </c>
      <c r="S421" t="s">
        <v>74</v>
      </c>
      <c r="T421" t="s">
        <v>8547</v>
      </c>
      <c r="U421" t="s">
        <v>8548</v>
      </c>
      <c r="V421" t="s">
        <v>8549</v>
      </c>
      <c r="W421" t="s">
        <v>8550</v>
      </c>
      <c r="X421" t="s">
        <v>74</v>
      </c>
      <c r="Y421" t="s">
        <v>8551</v>
      </c>
      <c r="Z421" t="s">
        <v>8552</v>
      </c>
      <c r="AA421" t="s">
        <v>74</v>
      </c>
      <c r="AB421" t="s">
        <v>74</v>
      </c>
      <c r="AC421" t="s">
        <v>74</v>
      </c>
      <c r="AD421" t="s">
        <v>74</v>
      </c>
      <c r="AE421" t="s">
        <v>74</v>
      </c>
      <c r="AF421" t="s">
        <v>74</v>
      </c>
      <c r="AG421">
        <v>33</v>
      </c>
      <c r="AH421">
        <v>5</v>
      </c>
      <c r="AI421">
        <v>9</v>
      </c>
      <c r="AJ421">
        <v>0</v>
      </c>
      <c r="AK421">
        <v>9</v>
      </c>
      <c r="AL421" t="s">
        <v>332</v>
      </c>
      <c r="AM421" t="s">
        <v>333</v>
      </c>
      <c r="AN421" t="s">
        <v>334</v>
      </c>
      <c r="AO421" t="s">
        <v>8553</v>
      </c>
      <c r="AP421" t="s">
        <v>8554</v>
      </c>
      <c r="AQ421" t="s">
        <v>74</v>
      </c>
      <c r="AR421" t="s">
        <v>8555</v>
      </c>
      <c r="AS421" t="s">
        <v>8556</v>
      </c>
      <c r="AT421" t="s">
        <v>1427</v>
      </c>
      <c r="AU421">
        <v>2023</v>
      </c>
      <c r="AV421">
        <v>13</v>
      </c>
      <c r="AW421">
        <v>1</v>
      </c>
      <c r="AX421" t="s">
        <v>74</v>
      </c>
      <c r="AY421" t="s">
        <v>74</v>
      </c>
      <c r="AZ421" t="s">
        <v>74</v>
      </c>
      <c r="BA421" t="s">
        <v>74</v>
      </c>
      <c r="BB421">
        <v>463</v>
      </c>
      <c r="BC421">
        <v>476</v>
      </c>
      <c r="BD421" t="s">
        <v>74</v>
      </c>
      <c r="BE421" t="s">
        <v>8557</v>
      </c>
      <c r="BF421" t="str">
        <f>HYPERLINK("http://dx.doi.org/10.1080/20430795.2021.1962661","http://dx.doi.org/10.1080/20430795.2021.1962661")</f>
        <v>http://dx.doi.org/10.1080/20430795.2021.1962661</v>
      </c>
      <c r="BG421" t="s">
        <v>74</v>
      </c>
      <c r="BH421" t="s">
        <v>1818</v>
      </c>
      <c r="BI421">
        <v>14</v>
      </c>
      <c r="BJ421" t="s">
        <v>8558</v>
      </c>
      <c r="BK421" t="s">
        <v>313</v>
      </c>
      <c r="BL421" t="s">
        <v>650</v>
      </c>
      <c r="BM421" t="s">
        <v>8559</v>
      </c>
      <c r="BN421" t="s">
        <v>74</v>
      </c>
      <c r="BO421" t="s">
        <v>74</v>
      </c>
      <c r="BP421" t="s">
        <v>74</v>
      </c>
      <c r="BQ421" t="s">
        <v>74</v>
      </c>
      <c r="BR421" t="s">
        <v>102</v>
      </c>
      <c r="BS421" t="s">
        <v>8560</v>
      </c>
      <c r="BT421" t="str">
        <f>HYPERLINK("https%3A%2F%2Fwww.webofscience.com%2Fwos%2Fwoscc%2Ffull-record%2FWOS:000683232900001","View Full Record in Web of Science")</f>
        <v>View Full Record in Web of Science</v>
      </c>
    </row>
    <row r="422" spans="1:72" x14ac:dyDescent="0.25">
      <c r="A422" t="s">
        <v>72</v>
      </c>
      <c r="B422" t="s">
        <v>8561</v>
      </c>
      <c r="C422" t="s">
        <v>74</v>
      </c>
      <c r="D422" t="s">
        <v>74</v>
      </c>
      <c r="E422" t="s">
        <v>74</v>
      </c>
      <c r="F422" t="s">
        <v>8562</v>
      </c>
      <c r="G422" t="s">
        <v>74</v>
      </c>
      <c r="H422" t="s">
        <v>74</v>
      </c>
      <c r="I422" t="s">
        <v>8563</v>
      </c>
      <c r="J422" t="s">
        <v>1367</v>
      </c>
      <c r="K422" t="s">
        <v>74</v>
      </c>
      <c r="L422" t="s">
        <v>74</v>
      </c>
      <c r="M422" t="s">
        <v>78</v>
      </c>
      <c r="N422" t="s">
        <v>79</v>
      </c>
      <c r="O422" t="s">
        <v>74</v>
      </c>
      <c r="P422" t="s">
        <v>74</v>
      </c>
      <c r="Q422" t="s">
        <v>74</v>
      </c>
      <c r="R422" t="s">
        <v>74</v>
      </c>
      <c r="S422" t="s">
        <v>74</v>
      </c>
      <c r="T422" t="s">
        <v>8564</v>
      </c>
      <c r="U422" t="s">
        <v>8565</v>
      </c>
      <c r="V422" t="s">
        <v>8566</v>
      </c>
      <c r="W422" t="s">
        <v>8567</v>
      </c>
      <c r="X422" t="s">
        <v>8568</v>
      </c>
      <c r="Y422" t="s">
        <v>8569</v>
      </c>
      <c r="Z422" t="s">
        <v>8570</v>
      </c>
      <c r="AA422" t="s">
        <v>74</v>
      </c>
      <c r="AB422" t="s">
        <v>74</v>
      </c>
      <c r="AC422" t="s">
        <v>74</v>
      </c>
      <c r="AD422" t="s">
        <v>74</v>
      </c>
      <c r="AE422" t="s">
        <v>74</v>
      </c>
      <c r="AF422" t="s">
        <v>74</v>
      </c>
      <c r="AG422">
        <v>28</v>
      </c>
      <c r="AH422">
        <v>1</v>
      </c>
      <c r="AI422">
        <v>2</v>
      </c>
      <c r="AJ422">
        <v>1</v>
      </c>
      <c r="AK422">
        <v>12</v>
      </c>
      <c r="AL422" t="s">
        <v>1376</v>
      </c>
      <c r="AM422" t="s">
        <v>1377</v>
      </c>
      <c r="AN422" t="s">
        <v>1378</v>
      </c>
      <c r="AO422" t="s">
        <v>1379</v>
      </c>
      <c r="AP422" t="s">
        <v>1380</v>
      </c>
      <c r="AQ422" t="s">
        <v>74</v>
      </c>
      <c r="AR422" t="s">
        <v>1381</v>
      </c>
      <c r="AS422" t="s">
        <v>1382</v>
      </c>
      <c r="AT422" t="s">
        <v>74</v>
      </c>
      <c r="AU422">
        <v>2020</v>
      </c>
      <c r="AV422">
        <v>12</v>
      </c>
      <c r="AW422">
        <v>2</v>
      </c>
      <c r="AX422" t="s">
        <v>74</v>
      </c>
      <c r="AY422" t="s">
        <v>74</v>
      </c>
      <c r="AZ422" t="s">
        <v>74</v>
      </c>
      <c r="BA422" t="s">
        <v>74</v>
      </c>
      <c r="BB422">
        <v>220</v>
      </c>
      <c r="BC422">
        <v>233</v>
      </c>
      <c r="BD422" t="s">
        <v>74</v>
      </c>
      <c r="BE422" t="s">
        <v>8571</v>
      </c>
      <c r="BF422" t="str">
        <f>HYPERLINK("http://dx.doi.org/10.20885/ejem.vol12.iss2.art8","http://dx.doi.org/10.20885/ejem.vol12.iss2.art8")</f>
        <v>http://dx.doi.org/10.20885/ejem.vol12.iss2.art8</v>
      </c>
      <c r="BG422" t="s">
        <v>74</v>
      </c>
      <c r="BH422" t="s">
        <v>74</v>
      </c>
      <c r="BI422">
        <v>14</v>
      </c>
      <c r="BJ422" t="s">
        <v>291</v>
      </c>
      <c r="BK422" t="s">
        <v>313</v>
      </c>
      <c r="BL422" t="s">
        <v>100</v>
      </c>
      <c r="BM422" t="s">
        <v>8572</v>
      </c>
      <c r="BN422" t="s">
        <v>74</v>
      </c>
      <c r="BO422" t="s">
        <v>916</v>
      </c>
      <c r="BP422" t="s">
        <v>74</v>
      </c>
      <c r="BQ422" t="s">
        <v>74</v>
      </c>
      <c r="BR422" t="s">
        <v>102</v>
      </c>
      <c r="BS422" t="s">
        <v>8573</v>
      </c>
      <c r="BT422" t="str">
        <f>HYPERLINK("https%3A%2F%2Fwww.webofscience.com%2Fwos%2Fwoscc%2Ffull-record%2FWOS:000607266800008","View Full Record in Web of Science")</f>
        <v>View Full Record in Web of Science</v>
      </c>
    </row>
    <row r="423" spans="1:72" x14ac:dyDescent="0.25">
      <c r="A423" t="s">
        <v>72</v>
      </c>
      <c r="B423" t="s">
        <v>8574</v>
      </c>
      <c r="C423" t="s">
        <v>74</v>
      </c>
      <c r="D423" t="s">
        <v>74</v>
      </c>
      <c r="E423" t="s">
        <v>74</v>
      </c>
      <c r="F423" t="s">
        <v>8575</v>
      </c>
      <c r="G423" t="s">
        <v>74</v>
      </c>
      <c r="H423" t="s">
        <v>74</v>
      </c>
      <c r="I423" t="s">
        <v>8576</v>
      </c>
      <c r="J423" t="s">
        <v>8577</v>
      </c>
      <c r="K423" t="s">
        <v>74</v>
      </c>
      <c r="L423" t="s">
        <v>74</v>
      </c>
      <c r="M423" t="s">
        <v>78</v>
      </c>
      <c r="N423" t="s">
        <v>79</v>
      </c>
      <c r="O423" t="s">
        <v>74</v>
      </c>
      <c r="P423" t="s">
        <v>74</v>
      </c>
      <c r="Q423" t="s">
        <v>74</v>
      </c>
      <c r="R423" t="s">
        <v>74</v>
      </c>
      <c r="S423" t="s">
        <v>74</v>
      </c>
      <c r="T423" t="s">
        <v>8578</v>
      </c>
      <c r="U423" t="s">
        <v>8579</v>
      </c>
      <c r="V423" t="s">
        <v>8580</v>
      </c>
      <c r="W423" t="s">
        <v>8581</v>
      </c>
      <c r="X423" t="s">
        <v>8582</v>
      </c>
      <c r="Y423" t="s">
        <v>8583</v>
      </c>
      <c r="Z423" t="s">
        <v>8584</v>
      </c>
      <c r="AA423" t="s">
        <v>8585</v>
      </c>
      <c r="AB423" t="s">
        <v>8586</v>
      </c>
      <c r="AC423" t="s">
        <v>74</v>
      </c>
      <c r="AD423" t="s">
        <v>74</v>
      </c>
      <c r="AE423" t="s">
        <v>74</v>
      </c>
      <c r="AF423" t="s">
        <v>74</v>
      </c>
      <c r="AG423">
        <v>46</v>
      </c>
      <c r="AH423">
        <v>10</v>
      </c>
      <c r="AI423">
        <v>13</v>
      </c>
      <c r="AJ423">
        <v>0</v>
      </c>
      <c r="AK423">
        <v>16</v>
      </c>
      <c r="AL423" t="s">
        <v>8587</v>
      </c>
      <c r="AM423" t="s">
        <v>5144</v>
      </c>
      <c r="AN423" t="s">
        <v>8588</v>
      </c>
      <c r="AO423" t="s">
        <v>8589</v>
      </c>
      <c r="AP423" t="s">
        <v>74</v>
      </c>
      <c r="AQ423" t="s">
        <v>74</v>
      </c>
      <c r="AR423" t="s">
        <v>8590</v>
      </c>
      <c r="AS423" t="s">
        <v>8591</v>
      </c>
      <c r="AT423" t="s">
        <v>74</v>
      </c>
      <c r="AU423">
        <v>2021</v>
      </c>
      <c r="AV423">
        <v>18</v>
      </c>
      <c r="AW423">
        <v>11</v>
      </c>
      <c r="AX423" t="s">
        <v>74</v>
      </c>
      <c r="AY423" t="s">
        <v>74</v>
      </c>
      <c r="AZ423" t="s">
        <v>74</v>
      </c>
      <c r="BA423" t="s">
        <v>74</v>
      </c>
      <c r="BB423">
        <v>151</v>
      </c>
      <c r="BC423">
        <v>169</v>
      </c>
      <c r="BD423" t="s">
        <v>74</v>
      </c>
      <c r="BE423" t="s">
        <v>74</v>
      </c>
      <c r="BF423" t="s">
        <v>74</v>
      </c>
      <c r="BG423" t="s">
        <v>74</v>
      </c>
      <c r="BH423" t="s">
        <v>74</v>
      </c>
      <c r="BI423">
        <v>19</v>
      </c>
      <c r="BJ423" t="s">
        <v>8592</v>
      </c>
      <c r="BK423" t="s">
        <v>128</v>
      </c>
      <c r="BL423" t="s">
        <v>2581</v>
      </c>
      <c r="BM423" t="s">
        <v>8593</v>
      </c>
      <c r="BN423" t="s">
        <v>74</v>
      </c>
      <c r="BO423" t="s">
        <v>74</v>
      </c>
      <c r="BP423" t="s">
        <v>74</v>
      </c>
      <c r="BQ423" t="s">
        <v>74</v>
      </c>
      <c r="BR423" t="s">
        <v>102</v>
      </c>
      <c r="BS423" t="s">
        <v>8594</v>
      </c>
      <c r="BT423" t="str">
        <f>HYPERLINK("https%3A%2F%2Fwww.webofscience.com%2Fwos%2Fwoscc%2Ffull-record%2FWOS:000735528400001","View Full Record in Web of Science")</f>
        <v>View Full Record in Web of Science</v>
      </c>
    </row>
    <row r="424" spans="1:72" x14ac:dyDescent="0.25">
      <c r="A424" t="s">
        <v>72</v>
      </c>
      <c r="B424" t="s">
        <v>8595</v>
      </c>
      <c r="C424" t="s">
        <v>74</v>
      </c>
      <c r="D424" t="s">
        <v>74</v>
      </c>
      <c r="E424" t="s">
        <v>74</v>
      </c>
      <c r="F424" t="s">
        <v>8596</v>
      </c>
      <c r="G424" t="s">
        <v>74</v>
      </c>
      <c r="H424" t="s">
        <v>74</v>
      </c>
      <c r="I424" t="s">
        <v>8597</v>
      </c>
      <c r="J424" t="s">
        <v>8598</v>
      </c>
      <c r="K424" t="s">
        <v>74</v>
      </c>
      <c r="L424" t="s">
        <v>74</v>
      </c>
      <c r="M424" t="s">
        <v>78</v>
      </c>
      <c r="N424" t="s">
        <v>79</v>
      </c>
      <c r="O424" t="s">
        <v>74</v>
      </c>
      <c r="P424" t="s">
        <v>74</v>
      </c>
      <c r="Q424" t="s">
        <v>74</v>
      </c>
      <c r="R424" t="s">
        <v>74</v>
      </c>
      <c r="S424" t="s">
        <v>74</v>
      </c>
      <c r="T424" t="s">
        <v>8599</v>
      </c>
      <c r="U424" t="s">
        <v>8600</v>
      </c>
      <c r="V424" t="s">
        <v>8601</v>
      </c>
      <c r="W424" t="s">
        <v>8602</v>
      </c>
      <c r="X424" t="s">
        <v>8603</v>
      </c>
      <c r="Y424" t="s">
        <v>8604</v>
      </c>
      <c r="Z424" t="s">
        <v>8605</v>
      </c>
      <c r="AA424" t="s">
        <v>74</v>
      </c>
      <c r="AB424" t="s">
        <v>74</v>
      </c>
      <c r="AC424" t="s">
        <v>74</v>
      </c>
      <c r="AD424" t="s">
        <v>74</v>
      </c>
      <c r="AE424" t="s">
        <v>74</v>
      </c>
      <c r="AF424" t="s">
        <v>74</v>
      </c>
      <c r="AG424">
        <v>59</v>
      </c>
      <c r="AH424">
        <v>0</v>
      </c>
      <c r="AI424">
        <v>0</v>
      </c>
      <c r="AJ424">
        <v>2</v>
      </c>
      <c r="AK424">
        <v>2</v>
      </c>
      <c r="AL424" t="s">
        <v>8606</v>
      </c>
      <c r="AM424" t="s">
        <v>1840</v>
      </c>
      <c r="AN424" t="s">
        <v>8607</v>
      </c>
      <c r="AO424" t="s">
        <v>8608</v>
      </c>
      <c r="AP424" t="s">
        <v>8609</v>
      </c>
      <c r="AQ424" t="s">
        <v>74</v>
      </c>
      <c r="AR424" t="s">
        <v>8610</v>
      </c>
      <c r="AS424" t="s">
        <v>8611</v>
      </c>
      <c r="AT424" t="s">
        <v>74</v>
      </c>
      <c r="AU424">
        <v>2025</v>
      </c>
      <c r="AV424">
        <v>34</v>
      </c>
      <c r="AW424">
        <v>3</v>
      </c>
      <c r="AX424" t="s">
        <v>74</v>
      </c>
      <c r="AY424" t="s">
        <v>74</v>
      </c>
      <c r="AZ424" t="s">
        <v>74</v>
      </c>
      <c r="BA424" t="s">
        <v>74</v>
      </c>
      <c r="BB424">
        <v>278</v>
      </c>
      <c r="BC424">
        <v>303</v>
      </c>
      <c r="BD424" t="s">
        <v>74</v>
      </c>
      <c r="BE424" t="s">
        <v>8612</v>
      </c>
      <c r="BF424" t="str">
        <f>HYPERLINK("http://dx.doi.org/10.18267/j.pep.893","http://dx.doi.org/10.18267/j.pep.893")</f>
        <v>http://dx.doi.org/10.18267/j.pep.893</v>
      </c>
      <c r="BG424" t="s">
        <v>74</v>
      </c>
      <c r="BH424" t="s">
        <v>74</v>
      </c>
      <c r="BI424">
        <v>26</v>
      </c>
      <c r="BJ424" t="s">
        <v>291</v>
      </c>
      <c r="BK424" t="s">
        <v>99</v>
      </c>
      <c r="BL424" t="s">
        <v>100</v>
      </c>
      <c r="BM424" t="s">
        <v>8613</v>
      </c>
      <c r="BN424" t="s">
        <v>74</v>
      </c>
      <c r="BO424" t="s">
        <v>212</v>
      </c>
      <c r="BP424" t="s">
        <v>74</v>
      </c>
      <c r="BQ424" t="s">
        <v>74</v>
      </c>
      <c r="BR424" t="s">
        <v>102</v>
      </c>
      <c r="BS424" t="s">
        <v>8614</v>
      </c>
      <c r="BT424" t="str">
        <f>HYPERLINK("https%3A%2F%2Fwww.webofscience.com%2Fwos%2Fwoscc%2Ffull-record%2FWOS:001606364600001","View Full Record in Web of Science")</f>
        <v>View Full Record in Web of Science</v>
      </c>
    </row>
    <row r="425" spans="1:72" x14ac:dyDescent="0.25">
      <c r="A425" t="s">
        <v>72</v>
      </c>
      <c r="B425" t="s">
        <v>8615</v>
      </c>
      <c r="C425" t="s">
        <v>74</v>
      </c>
      <c r="D425" t="s">
        <v>74</v>
      </c>
      <c r="E425" t="s">
        <v>74</v>
      </c>
      <c r="F425" t="s">
        <v>8616</v>
      </c>
      <c r="G425" t="s">
        <v>74</v>
      </c>
      <c r="H425" t="s">
        <v>74</v>
      </c>
      <c r="I425" t="s">
        <v>8617</v>
      </c>
      <c r="J425" t="s">
        <v>8618</v>
      </c>
      <c r="K425" t="s">
        <v>74</v>
      </c>
      <c r="L425" t="s">
        <v>74</v>
      </c>
      <c r="M425" t="s">
        <v>78</v>
      </c>
      <c r="N425" t="s">
        <v>79</v>
      </c>
      <c r="O425" t="s">
        <v>74</v>
      </c>
      <c r="P425" t="s">
        <v>74</v>
      </c>
      <c r="Q425" t="s">
        <v>74</v>
      </c>
      <c r="R425" t="s">
        <v>74</v>
      </c>
      <c r="S425" t="s">
        <v>74</v>
      </c>
      <c r="T425" t="s">
        <v>74</v>
      </c>
      <c r="U425" t="s">
        <v>8619</v>
      </c>
      <c r="V425" t="s">
        <v>8620</v>
      </c>
      <c r="W425" t="s">
        <v>8621</v>
      </c>
      <c r="X425" t="s">
        <v>8622</v>
      </c>
      <c r="Y425" t="s">
        <v>8623</v>
      </c>
      <c r="Z425" t="s">
        <v>8624</v>
      </c>
      <c r="AA425" t="s">
        <v>74</v>
      </c>
      <c r="AB425" t="s">
        <v>8625</v>
      </c>
      <c r="AC425" t="s">
        <v>8626</v>
      </c>
      <c r="AD425" t="s">
        <v>8626</v>
      </c>
      <c r="AE425" t="s">
        <v>8627</v>
      </c>
      <c r="AF425" t="s">
        <v>74</v>
      </c>
      <c r="AG425">
        <v>63</v>
      </c>
      <c r="AH425">
        <v>346</v>
      </c>
      <c r="AI425">
        <v>561</v>
      </c>
      <c r="AJ425">
        <v>54</v>
      </c>
      <c r="AK425">
        <v>454</v>
      </c>
      <c r="AL425" t="s">
        <v>2597</v>
      </c>
      <c r="AM425" t="s">
        <v>2598</v>
      </c>
      <c r="AN425" t="s">
        <v>2599</v>
      </c>
      <c r="AO425" t="s">
        <v>8628</v>
      </c>
      <c r="AP425" t="s">
        <v>8629</v>
      </c>
      <c r="AQ425" t="s">
        <v>74</v>
      </c>
      <c r="AR425" t="s">
        <v>8630</v>
      </c>
      <c r="AS425" t="s">
        <v>8631</v>
      </c>
      <c r="AT425" t="s">
        <v>848</v>
      </c>
      <c r="AU425">
        <v>2020</v>
      </c>
      <c r="AV425">
        <v>33</v>
      </c>
      <c r="AW425">
        <v>7</v>
      </c>
      <c r="AX425" t="s">
        <v>74</v>
      </c>
      <c r="AY425" t="s">
        <v>74</v>
      </c>
      <c r="AZ425" t="s">
        <v>74</v>
      </c>
      <c r="BA425" t="s">
        <v>74</v>
      </c>
      <c r="BB425">
        <v>2845</v>
      </c>
      <c r="BC425">
        <v>2897</v>
      </c>
      <c r="BD425" t="s">
        <v>74</v>
      </c>
      <c r="BE425" t="s">
        <v>8632</v>
      </c>
      <c r="BF425" t="str">
        <f>HYPERLINK("http://dx.doi.org/10.1093/rfs/hhz099","http://dx.doi.org/10.1093/rfs/hhz099")</f>
        <v>http://dx.doi.org/10.1093/rfs/hhz099</v>
      </c>
      <c r="BG425" t="s">
        <v>74</v>
      </c>
      <c r="BH425" t="s">
        <v>74</v>
      </c>
      <c r="BI425">
        <v>53</v>
      </c>
      <c r="BJ425" t="s">
        <v>210</v>
      </c>
      <c r="BK425" t="s">
        <v>99</v>
      </c>
      <c r="BL425" t="s">
        <v>100</v>
      </c>
      <c r="BM425" t="s">
        <v>8633</v>
      </c>
      <c r="BN425" t="s">
        <v>74</v>
      </c>
      <c r="BO425" t="s">
        <v>74</v>
      </c>
      <c r="BP425" t="s">
        <v>74</v>
      </c>
      <c r="BQ425" t="s">
        <v>74</v>
      </c>
      <c r="BR425" t="s">
        <v>102</v>
      </c>
      <c r="BS425" t="s">
        <v>8634</v>
      </c>
      <c r="BT425" t="str">
        <f>HYPERLINK("https%3A%2F%2Fwww.webofscience.com%2Fwos%2Fwoscc%2Ffull-record%2FWOS:000562481500001","View Full Record in Web of Science")</f>
        <v>View Full Record in Web of Science</v>
      </c>
    </row>
    <row r="426" spans="1:72" x14ac:dyDescent="0.25">
      <c r="A426" t="s">
        <v>72</v>
      </c>
      <c r="B426" t="s">
        <v>8635</v>
      </c>
      <c r="C426" t="s">
        <v>74</v>
      </c>
      <c r="D426" t="s">
        <v>74</v>
      </c>
      <c r="E426" t="s">
        <v>74</v>
      </c>
      <c r="F426" t="s">
        <v>8636</v>
      </c>
      <c r="G426" t="s">
        <v>74</v>
      </c>
      <c r="H426" t="s">
        <v>74</v>
      </c>
      <c r="I426" t="s">
        <v>8637</v>
      </c>
      <c r="J426" t="s">
        <v>1963</v>
      </c>
      <c r="K426" t="s">
        <v>74</v>
      </c>
      <c r="L426" t="s">
        <v>74</v>
      </c>
      <c r="M426" t="s">
        <v>78</v>
      </c>
      <c r="N426" t="s">
        <v>79</v>
      </c>
      <c r="O426" t="s">
        <v>74</v>
      </c>
      <c r="P426" t="s">
        <v>74</v>
      </c>
      <c r="Q426" t="s">
        <v>74</v>
      </c>
      <c r="R426" t="s">
        <v>74</v>
      </c>
      <c r="S426" t="s">
        <v>74</v>
      </c>
      <c r="T426" t="s">
        <v>8638</v>
      </c>
      <c r="U426" t="s">
        <v>8288</v>
      </c>
      <c r="V426" t="s">
        <v>8639</v>
      </c>
      <c r="W426" t="s">
        <v>8640</v>
      </c>
      <c r="X426" t="s">
        <v>8641</v>
      </c>
      <c r="Y426" t="s">
        <v>8642</v>
      </c>
      <c r="Z426" t="s">
        <v>8643</v>
      </c>
      <c r="AA426" t="s">
        <v>8644</v>
      </c>
      <c r="AB426" t="s">
        <v>8645</v>
      </c>
      <c r="AC426" t="s">
        <v>8646</v>
      </c>
      <c r="AD426" t="s">
        <v>8646</v>
      </c>
      <c r="AE426" t="s">
        <v>8647</v>
      </c>
      <c r="AF426" t="s">
        <v>74</v>
      </c>
      <c r="AG426">
        <v>43</v>
      </c>
      <c r="AH426">
        <v>68</v>
      </c>
      <c r="AI426">
        <v>80</v>
      </c>
      <c r="AJ426">
        <v>5</v>
      </c>
      <c r="AK426">
        <v>73</v>
      </c>
      <c r="AL426" t="s">
        <v>332</v>
      </c>
      <c r="AM426" t="s">
        <v>333</v>
      </c>
      <c r="AN426" t="s">
        <v>334</v>
      </c>
      <c r="AO426" t="s">
        <v>1975</v>
      </c>
      <c r="AP426" t="s">
        <v>1976</v>
      </c>
      <c r="AQ426" t="s">
        <v>74</v>
      </c>
      <c r="AR426" t="s">
        <v>1977</v>
      </c>
      <c r="AS426" t="s">
        <v>1978</v>
      </c>
      <c r="AT426" t="s">
        <v>8648</v>
      </c>
      <c r="AU426">
        <v>2020</v>
      </c>
      <c r="AV426">
        <v>52</v>
      </c>
      <c r="AW426">
        <v>4</v>
      </c>
      <c r="AX426" t="s">
        <v>74</v>
      </c>
      <c r="AY426" t="s">
        <v>74</v>
      </c>
      <c r="AZ426" t="s">
        <v>74</v>
      </c>
      <c r="BA426" t="s">
        <v>74</v>
      </c>
      <c r="BB426">
        <v>375</v>
      </c>
      <c r="BC426">
        <v>387</v>
      </c>
      <c r="BD426" t="s">
        <v>74</v>
      </c>
      <c r="BE426" t="s">
        <v>8649</v>
      </c>
      <c r="BF426" t="str">
        <f>HYPERLINK("http://dx.doi.org/10.1080/00036846.2019.1645943","http://dx.doi.org/10.1080/00036846.2019.1645943")</f>
        <v>http://dx.doi.org/10.1080/00036846.2019.1645943</v>
      </c>
      <c r="BG426" t="s">
        <v>74</v>
      </c>
      <c r="BH426" t="s">
        <v>8650</v>
      </c>
      <c r="BI426">
        <v>13</v>
      </c>
      <c r="BJ426" t="s">
        <v>291</v>
      </c>
      <c r="BK426" t="s">
        <v>99</v>
      </c>
      <c r="BL426" t="s">
        <v>100</v>
      </c>
      <c r="BM426" t="s">
        <v>8651</v>
      </c>
      <c r="BN426" t="s">
        <v>74</v>
      </c>
      <c r="BO426" t="s">
        <v>74</v>
      </c>
      <c r="BP426" t="s">
        <v>74</v>
      </c>
      <c r="BQ426" t="s">
        <v>74</v>
      </c>
      <c r="BR426" t="s">
        <v>102</v>
      </c>
      <c r="BS426" t="s">
        <v>8652</v>
      </c>
      <c r="BT426" t="str">
        <f>HYPERLINK("https%3A%2F%2Fwww.webofscience.com%2Fwos%2Fwoscc%2Ffull-record%2FWOS:000478550200001","View Full Record in Web of Science")</f>
        <v>View Full Record in Web of Science</v>
      </c>
    </row>
    <row r="427" spans="1:72" x14ac:dyDescent="0.25">
      <c r="A427" t="s">
        <v>132</v>
      </c>
      <c r="B427" t="s">
        <v>8653</v>
      </c>
      <c r="C427" t="s">
        <v>74</v>
      </c>
      <c r="D427" t="s">
        <v>8654</v>
      </c>
      <c r="E427" t="s">
        <v>74</v>
      </c>
      <c r="F427" t="s">
        <v>8655</v>
      </c>
      <c r="G427" t="s">
        <v>74</v>
      </c>
      <c r="H427" t="s">
        <v>74</v>
      </c>
      <c r="I427" t="s">
        <v>8656</v>
      </c>
      <c r="J427" t="s">
        <v>8657</v>
      </c>
      <c r="K427" t="s">
        <v>8658</v>
      </c>
      <c r="L427" t="s">
        <v>74</v>
      </c>
      <c r="M427" t="s">
        <v>78</v>
      </c>
      <c r="N427" t="s">
        <v>138</v>
      </c>
      <c r="O427" t="s">
        <v>8659</v>
      </c>
      <c r="P427" t="s">
        <v>8660</v>
      </c>
      <c r="Q427" t="s">
        <v>1550</v>
      </c>
      <c r="R427" t="s">
        <v>8661</v>
      </c>
      <c r="S427" t="s">
        <v>74</v>
      </c>
      <c r="T427" t="s">
        <v>8662</v>
      </c>
      <c r="U427" t="s">
        <v>8663</v>
      </c>
      <c r="V427" t="s">
        <v>8664</v>
      </c>
      <c r="W427" t="s">
        <v>8665</v>
      </c>
      <c r="X427" t="s">
        <v>8666</v>
      </c>
      <c r="Y427" t="s">
        <v>8667</v>
      </c>
      <c r="Z427" t="s">
        <v>8668</v>
      </c>
      <c r="AA427" t="s">
        <v>8669</v>
      </c>
      <c r="AB427" t="s">
        <v>8670</v>
      </c>
      <c r="AC427" t="s">
        <v>74</v>
      </c>
      <c r="AD427" t="s">
        <v>74</v>
      </c>
      <c r="AE427" t="s">
        <v>74</v>
      </c>
      <c r="AF427" t="s">
        <v>74</v>
      </c>
      <c r="AG427">
        <v>35</v>
      </c>
      <c r="AH427">
        <v>2</v>
      </c>
      <c r="AI427">
        <v>3</v>
      </c>
      <c r="AJ427">
        <v>0</v>
      </c>
      <c r="AK427">
        <v>15</v>
      </c>
      <c r="AL427" t="s">
        <v>4605</v>
      </c>
      <c r="AM427" t="s">
        <v>4280</v>
      </c>
      <c r="AN427" t="s">
        <v>8671</v>
      </c>
      <c r="AO427" t="s">
        <v>8672</v>
      </c>
      <c r="AP427" t="s">
        <v>74</v>
      </c>
      <c r="AQ427" t="s">
        <v>8673</v>
      </c>
      <c r="AR427" t="s">
        <v>8674</v>
      </c>
      <c r="AS427" t="s">
        <v>74</v>
      </c>
      <c r="AT427" t="s">
        <v>74</v>
      </c>
      <c r="AU427">
        <v>2020</v>
      </c>
      <c r="AV427" t="s">
        <v>74</v>
      </c>
      <c r="AW427" t="s">
        <v>74</v>
      </c>
      <c r="AX427" t="s">
        <v>74</v>
      </c>
      <c r="AY427" t="s">
        <v>74</v>
      </c>
      <c r="AZ427" t="s">
        <v>74</v>
      </c>
      <c r="BA427" t="s">
        <v>74</v>
      </c>
      <c r="BB427">
        <v>841</v>
      </c>
      <c r="BC427">
        <v>850</v>
      </c>
      <c r="BD427" t="s">
        <v>74</v>
      </c>
      <c r="BE427" t="s">
        <v>8675</v>
      </c>
      <c r="BF427" t="str">
        <f>HYPERLINK("http://dx.doi.org/10.2478/9788366675162-083","http://dx.doi.org/10.2478/9788366675162-083")</f>
        <v>http://dx.doi.org/10.2478/9788366675162-083</v>
      </c>
      <c r="BG427" t="s">
        <v>74</v>
      </c>
      <c r="BH427" t="s">
        <v>74</v>
      </c>
      <c r="BI427">
        <v>10</v>
      </c>
      <c r="BJ427" t="s">
        <v>8676</v>
      </c>
      <c r="BK427" t="s">
        <v>183</v>
      </c>
      <c r="BL427" t="s">
        <v>7292</v>
      </c>
      <c r="BM427" t="s">
        <v>8677</v>
      </c>
      <c r="BN427" t="s">
        <v>74</v>
      </c>
      <c r="BO427" t="s">
        <v>74</v>
      </c>
      <c r="BP427" t="s">
        <v>74</v>
      </c>
      <c r="BQ427" t="s">
        <v>74</v>
      </c>
      <c r="BR427" t="s">
        <v>102</v>
      </c>
      <c r="BS427" t="s">
        <v>8678</v>
      </c>
      <c r="BT427" t="str">
        <f>HYPERLINK("https%3A%2F%2Fwww.webofscience.com%2Fwos%2Fwoscc%2Ffull-record%2FWOS:000763773400082","View Full Record in Web of Science")</f>
        <v>View Full Record in Web of Science</v>
      </c>
    </row>
    <row r="428" spans="1:72" x14ac:dyDescent="0.25">
      <c r="A428" t="s">
        <v>132</v>
      </c>
      <c r="B428" t="s">
        <v>8679</v>
      </c>
      <c r="C428" t="s">
        <v>74</v>
      </c>
      <c r="D428" t="s">
        <v>5829</v>
      </c>
      <c r="E428" t="s">
        <v>74</v>
      </c>
      <c r="F428" t="s">
        <v>8680</v>
      </c>
      <c r="G428" t="s">
        <v>74</v>
      </c>
      <c r="H428" t="s">
        <v>74</v>
      </c>
      <c r="I428" t="s">
        <v>8681</v>
      </c>
      <c r="J428" t="s">
        <v>5832</v>
      </c>
      <c r="K428" t="s">
        <v>5833</v>
      </c>
      <c r="L428" t="s">
        <v>74</v>
      </c>
      <c r="M428" t="s">
        <v>78</v>
      </c>
      <c r="N428" t="s">
        <v>138</v>
      </c>
      <c r="O428" t="s">
        <v>5834</v>
      </c>
      <c r="P428" t="s">
        <v>5835</v>
      </c>
      <c r="Q428" t="s">
        <v>5836</v>
      </c>
      <c r="R428" t="s">
        <v>74</v>
      </c>
      <c r="S428" t="s">
        <v>74</v>
      </c>
      <c r="T428" t="s">
        <v>8682</v>
      </c>
      <c r="U428" t="s">
        <v>8683</v>
      </c>
      <c r="V428" t="s">
        <v>8684</v>
      </c>
      <c r="W428" t="s">
        <v>8685</v>
      </c>
      <c r="X428" t="s">
        <v>5841</v>
      </c>
      <c r="Y428" t="s">
        <v>8686</v>
      </c>
      <c r="Z428" t="s">
        <v>8687</v>
      </c>
      <c r="AA428" t="s">
        <v>8688</v>
      </c>
      <c r="AB428" t="s">
        <v>8689</v>
      </c>
      <c r="AC428" t="s">
        <v>8690</v>
      </c>
      <c r="AD428" t="s">
        <v>8691</v>
      </c>
      <c r="AE428" t="s">
        <v>8692</v>
      </c>
      <c r="AF428" t="s">
        <v>74</v>
      </c>
      <c r="AG428">
        <v>34</v>
      </c>
      <c r="AH428">
        <v>0</v>
      </c>
      <c r="AI428">
        <v>0</v>
      </c>
      <c r="AJ428">
        <v>0</v>
      </c>
      <c r="AK428">
        <v>0</v>
      </c>
      <c r="AL428" t="s">
        <v>1062</v>
      </c>
      <c r="AM428" t="s">
        <v>667</v>
      </c>
      <c r="AN428" t="s">
        <v>668</v>
      </c>
      <c r="AO428" t="s">
        <v>5849</v>
      </c>
      <c r="AP428" t="s">
        <v>5850</v>
      </c>
      <c r="AQ428" t="s">
        <v>5851</v>
      </c>
      <c r="AR428" t="s">
        <v>5852</v>
      </c>
      <c r="AS428" t="s">
        <v>74</v>
      </c>
      <c r="AT428" t="s">
        <v>74</v>
      </c>
      <c r="AU428">
        <v>2019</v>
      </c>
      <c r="AV428">
        <v>341</v>
      </c>
      <c r="AW428" t="s">
        <v>74</v>
      </c>
      <c r="AX428" t="s">
        <v>74</v>
      </c>
      <c r="AY428" t="s">
        <v>74</v>
      </c>
      <c r="AZ428" t="s">
        <v>74</v>
      </c>
      <c r="BA428" t="s">
        <v>74</v>
      </c>
      <c r="BB428">
        <v>518</v>
      </c>
      <c r="BC428">
        <v>531</v>
      </c>
      <c r="BD428" t="s">
        <v>74</v>
      </c>
      <c r="BE428" t="s">
        <v>8693</v>
      </c>
      <c r="BF428" t="str">
        <f>HYPERLINK("http://dx.doi.org/10.1007/978-3-030-11395-7_40","http://dx.doi.org/10.1007/978-3-030-11395-7_40")</f>
        <v>http://dx.doi.org/10.1007/978-3-030-11395-7_40</v>
      </c>
      <c r="BG428" t="s">
        <v>74</v>
      </c>
      <c r="BH428" t="s">
        <v>74</v>
      </c>
      <c r="BI428">
        <v>14</v>
      </c>
      <c r="BJ428" t="s">
        <v>5854</v>
      </c>
      <c r="BK428" t="s">
        <v>156</v>
      </c>
      <c r="BL428" t="s">
        <v>157</v>
      </c>
      <c r="BM428" t="s">
        <v>5855</v>
      </c>
      <c r="BN428" t="s">
        <v>74</v>
      </c>
      <c r="BO428" t="s">
        <v>74</v>
      </c>
      <c r="BP428" t="s">
        <v>74</v>
      </c>
      <c r="BQ428" t="s">
        <v>74</v>
      </c>
      <c r="BR428" t="s">
        <v>102</v>
      </c>
      <c r="BS428" t="s">
        <v>8694</v>
      </c>
      <c r="BT428" t="str">
        <f>HYPERLINK("https%3A%2F%2Fwww.webofscience.com%2Fwos%2Fwoscc%2Ffull-record%2FWOS:001308337900040","View Full Record in Web of Science")</f>
        <v>View Full Record in Web of Science</v>
      </c>
    </row>
    <row r="429" spans="1:72" x14ac:dyDescent="0.25">
      <c r="A429" t="s">
        <v>72</v>
      </c>
      <c r="B429" t="s">
        <v>8695</v>
      </c>
      <c r="C429" t="s">
        <v>74</v>
      </c>
      <c r="D429" t="s">
        <v>74</v>
      </c>
      <c r="E429" t="s">
        <v>74</v>
      </c>
      <c r="F429" t="s">
        <v>8696</v>
      </c>
      <c r="G429" t="s">
        <v>74</v>
      </c>
      <c r="H429" t="s">
        <v>74</v>
      </c>
      <c r="I429" t="s">
        <v>8697</v>
      </c>
      <c r="J429" t="s">
        <v>1143</v>
      </c>
      <c r="K429" t="s">
        <v>74</v>
      </c>
      <c r="L429" t="s">
        <v>74</v>
      </c>
      <c r="M429" t="s">
        <v>78</v>
      </c>
      <c r="N429" t="s">
        <v>79</v>
      </c>
      <c r="O429" t="s">
        <v>74</v>
      </c>
      <c r="P429" t="s">
        <v>74</v>
      </c>
      <c r="Q429" t="s">
        <v>74</v>
      </c>
      <c r="R429" t="s">
        <v>74</v>
      </c>
      <c r="S429" t="s">
        <v>74</v>
      </c>
      <c r="T429" t="s">
        <v>8698</v>
      </c>
      <c r="U429" t="s">
        <v>8699</v>
      </c>
      <c r="V429" t="s">
        <v>8700</v>
      </c>
      <c r="W429" t="s">
        <v>8701</v>
      </c>
      <c r="X429" t="s">
        <v>8702</v>
      </c>
      <c r="Y429" t="s">
        <v>8703</v>
      </c>
      <c r="Z429" t="s">
        <v>8704</v>
      </c>
      <c r="AA429" t="s">
        <v>8705</v>
      </c>
      <c r="AB429" t="s">
        <v>74</v>
      </c>
      <c r="AC429" t="s">
        <v>8706</v>
      </c>
      <c r="AD429" t="s">
        <v>8707</v>
      </c>
      <c r="AE429" t="s">
        <v>8708</v>
      </c>
      <c r="AF429" t="s">
        <v>74</v>
      </c>
      <c r="AG429">
        <v>83</v>
      </c>
      <c r="AH429">
        <v>1</v>
      </c>
      <c r="AI429">
        <v>1</v>
      </c>
      <c r="AJ429">
        <v>3</v>
      </c>
      <c r="AK429">
        <v>3</v>
      </c>
      <c r="AL429" t="s">
        <v>385</v>
      </c>
      <c r="AM429" t="s">
        <v>1153</v>
      </c>
      <c r="AN429" t="s">
        <v>1154</v>
      </c>
      <c r="AO429" t="s">
        <v>1155</v>
      </c>
      <c r="AP429" t="s">
        <v>1156</v>
      </c>
      <c r="AQ429" t="s">
        <v>74</v>
      </c>
      <c r="AR429" t="s">
        <v>1157</v>
      </c>
      <c r="AS429" t="s">
        <v>1158</v>
      </c>
      <c r="AT429" t="s">
        <v>891</v>
      </c>
      <c r="AU429">
        <v>2025</v>
      </c>
      <c r="AV429">
        <v>180</v>
      </c>
      <c r="AW429">
        <v>2</v>
      </c>
      <c r="AX429" t="s">
        <v>74</v>
      </c>
      <c r="AY429" t="s">
        <v>74</v>
      </c>
      <c r="AZ429" t="s">
        <v>74</v>
      </c>
      <c r="BA429" t="s">
        <v>74</v>
      </c>
      <c r="BB429">
        <v>1041</v>
      </c>
      <c r="BC429">
        <v>1065</v>
      </c>
      <c r="BD429" t="s">
        <v>74</v>
      </c>
      <c r="BE429" t="s">
        <v>8709</v>
      </c>
      <c r="BF429" t="str">
        <f>HYPERLINK("http://dx.doi.org/10.1007/s11205-025-03705-8","http://dx.doi.org/10.1007/s11205-025-03705-8")</f>
        <v>http://dx.doi.org/10.1007/s11205-025-03705-8</v>
      </c>
      <c r="BG429" t="s">
        <v>74</v>
      </c>
      <c r="BH429" t="s">
        <v>3411</v>
      </c>
      <c r="BI429">
        <v>25</v>
      </c>
      <c r="BJ429" t="s">
        <v>1161</v>
      </c>
      <c r="BK429" t="s">
        <v>99</v>
      </c>
      <c r="BL429" t="s">
        <v>1162</v>
      </c>
      <c r="BM429" t="s">
        <v>8710</v>
      </c>
      <c r="BN429" t="s">
        <v>74</v>
      </c>
      <c r="BO429" t="s">
        <v>74</v>
      </c>
      <c r="BP429" t="s">
        <v>74</v>
      </c>
      <c r="BQ429" t="s">
        <v>74</v>
      </c>
      <c r="BR429" t="s">
        <v>102</v>
      </c>
      <c r="BS429" t="s">
        <v>8711</v>
      </c>
      <c r="BT429" t="str">
        <f>HYPERLINK("https%3A%2F%2Fwww.webofscience.com%2Fwos%2Fwoscc%2Ffull-record%2FWOS:001578717100001","View Full Record in Web of Science")</f>
        <v>View Full Record in Web of Science</v>
      </c>
    </row>
    <row r="430" spans="1:72" x14ac:dyDescent="0.25">
      <c r="A430" t="s">
        <v>72</v>
      </c>
      <c r="B430" t="s">
        <v>8712</v>
      </c>
      <c r="C430" t="s">
        <v>74</v>
      </c>
      <c r="D430" t="s">
        <v>74</v>
      </c>
      <c r="E430" t="s">
        <v>74</v>
      </c>
      <c r="F430" t="s">
        <v>8713</v>
      </c>
      <c r="G430" t="s">
        <v>74</v>
      </c>
      <c r="H430" t="s">
        <v>74</v>
      </c>
      <c r="I430" t="s">
        <v>8714</v>
      </c>
      <c r="J430" t="s">
        <v>8715</v>
      </c>
      <c r="K430" t="s">
        <v>74</v>
      </c>
      <c r="L430" t="s">
        <v>74</v>
      </c>
      <c r="M430" t="s">
        <v>78</v>
      </c>
      <c r="N430" t="s">
        <v>79</v>
      </c>
      <c r="O430" t="s">
        <v>74</v>
      </c>
      <c r="P430" t="s">
        <v>74</v>
      </c>
      <c r="Q430" t="s">
        <v>74</v>
      </c>
      <c r="R430" t="s">
        <v>74</v>
      </c>
      <c r="S430" t="s">
        <v>74</v>
      </c>
      <c r="T430" t="s">
        <v>8716</v>
      </c>
      <c r="U430" t="s">
        <v>74</v>
      </c>
      <c r="V430" t="s">
        <v>8717</v>
      </c>
      <c r="W430" t="s">
        <v>8718</v>
      </c>
      <c r="X430" t="s">
        <v>74</v>
      </c>
      <c r="Y430" t="s">
        <v>8719</v>
      </c>
      <c r="Z430" t="s">
        <v>8720</v>
      </c>
      <c r="AA430" t="s">
        <v>74</v>
      </c>
      <c r="AB430" t="s">
        <v>74</v>
      </c>
      <c r="AC430" t="s">
        <v>74</v>
      </c>
      <c r="AD430" t="s">
        <v>74</v>
      </c>
      <c r="AE430" t="s">
        <v>74</v>
      </c>
      <c r="AF430" t="s">
        <v>74</v>
      </c>
      <c r="AG430">
        <v>13</v>
      </c>
      <c r="AH430">
        <v>0</v>
      </c>
      <c r="AI430">
        <v>2</v>
      </c>
      <c r="AJ430">
        <v>1</v>
      </c>
      <c r="AK430">
        <v>5</v>
      </c>
      <c r="AL430" t="s">
        <v>757</v>
      </c>
      <c r="AM430" t="s">
        <v>758</v>
      </c>
      <c r="AN430" t="s">
        <v>759</v>
      </c>
      <c r="AO430" t="s">
        <v>8721</v>
      </c>
      <c r="AP430" t="s">
        <v>74</v>
      </c>
      <c r="AQ430" t="s">
        <v>74</v>
      </c>
      <c r="AR430" t="s">
        <v>8722</v>
      </c>
      <c r="AS430" t="s">
        <v>8723</v>
      </c>
      <c r="AT430" t="s">
        <v>848</v>
      </c>
      <c r="AU430">
        <v>2022</v>
      </c>
      <c r="AV430">
        <v>30</v>
      </c>
      <c r="AW430">
        <v>4</v>
      </c>
      <c r="AX430" t="s">
        <v>74</v>
      </c>
      <c r="AY430" t="s">
        <v>74</v>
      </c>
      <c r="AZ430" t="s">
        <v>74</v>
      </c>
      <c r="BA430" t="s">
        <v>74</v>
      </c>
      <c r="BB430">
        <v>90</v>
      </c>
      <c r="BC430">
        <v>103</v>
      </c>
      <c r="BD430" t="s">
        <v>74</v>
      </c>
      <c r="BE430" t="s">
        <v>8724</v>
      </c>
      <c r="BF430" t="str">
        <f>HYPERLINK("http://dx.doi.org/10.53908/NMMR.300405","http://dx.doi.org/10.53908/NMMR.300405")</f>
        <v>http://dx.doi.org/10.53908/NMMR.300405</v>
      </c>
      <c r="BG430" t="s">
        <v>74</v>
      </c>
      <c r="BH430" t="s">
        <v>74</v>
      </c>
      <c r="BI430">
        <v>14</v>
      </c>
      <c r="BJ430" t="s">
        <v>583</v>
      </c>
      <c r="BK430" t="s">
        <v>313</v>
      </c>
      <c r="BL430" t="s">
        <v>100</v>
      </c>
      <c r="BM430" t="s">
        <v>8725</v>
      </c>
      <c r="BN430" t="s">
        <v>74</v>
      </c>
      <c r="BO430" t="s">
        <v>1205</v>
      </c>
      <c r="BP430" t="s">
        <v>74</v>
      </c>
      <c r="BQ430" t="s">
        <v>74</v>
      </c>
      <c r="BR430" t="s">
        <v>102</v>
      </c>
      <c r="BS430" t="s">
        <v>8726</v>
      </c>
      <c r="BT430" t="str">
        <f>HYPERLINK("https%3A%2F%2Fwww.webofscience.com%2Fwos%2Fwoscc%2Ffull-record%2FWOS:001128486000001","View Full Record in Web of Science")</f>
        <v>View Full Record in Web of Science</v>
      </c>
    </row>
    <row r="431" spans="1:72" x14ac:dyDescent="0.25">
      <c r="A431" t="s">
        <v>72</v>
      </c>
      <c r="B431" t="s">
        <v>8727</v>
      </c>
      <c r="C431" t="s">
        <v>74</v>
      </c>
      <c r="D431" t="s">
        <v>74</v>
      </c>
      <c r="E431" t="s">
        <v>74</v>
      </c>
      <c r="F431" t="s">
        <v>8728</v>
      </c>
      <c r="G431" t="s">
        <v>74</v>
      </c>
      <c r="H431" t="s">
        <v>74</v>
      </c>
      <c r="I431" t="s">
        <v>8729</v>
      </c>
      <c r="J431" t="s">
        <v>8730</v>
      </c>
      <c r="K431" t="s">
        <v>74</v>
      </c>
      <c r="L431" t="s">
        <v>74</v>
      </c>
      <c r="M431" t="s">
        <v>78</v>
      </c>
      <c r="N431" t="s">
        <v>79</v>
      </c>
      <c r="O431" t="s">
        <v>74</v>
      </c>
      <c r="P431" t="s">
        <v>74</v>
      </c>
      <c r="Q431" t="s">
        <v>74</v>
      </c>
      <c r="R431" t="s">
        <v>74</v>
      </c>
      <c r="S431" t="s">
        <v>74</v>
      </c>
      <c r="T431" t="s">
        <v>8731</v>
      </c>
      <c r="U431" t="s">
        <v>74</v>
      </c>
      <c r="V431" t="s">
        <v>8732</v>
      </c>
      <c r="W431" t="s">
        <v>8733</v>
      </c>
      <c r="X431" t="s">
        <v>8734</v>
      </c>
      <c r="Y431" t="s">
        <v>8735</v>
      </c>
      <c r="Z431" t="s">
        <v>8736</v>
      </c>
      <c r="AA431" t="s">
        <v>74</v>
      </c>
      <c r="AB431" t="s">
        <v>74</v>
      </c>
      <c r="AC431" t="s">
        <v>8737</v>
      </c>
      <c r="AD431" t="s">
        <v>2906</v>
      </c>
      <c r="AE431" t="s">
        <v>74</v>
      </c>
      <c r="AF431" t="s">
        <v>74</v>
      </c>
      <c r="AG431">
        <v>26</v>
      </c>
      <c r="AH431">
        <v>94</v>
      </c>
      <c r="AI431">
        <v>123</v>
      </c>
      <c r="AJ431">
        <v>0</v>
      </c>
      <c r="AK431">
        <v>21</v>
      </c>
      <c r="AL431" t="s">
        <v>332</v>
      </c>
      <c r="AM431" t="s">
        <v>333</v>
      </c>
      <c r="AN431" t="s">
        <v>334</v>
      </c>
      <c r="AO431" t="s">
        <v>8738</v>
      </c>
      <c r="AP431" t="s">
        <v>8739</v>
      </c>
      <c r="AQ431" t="s">
        <v>74</v>
      </c>
      <c r="AR431" t="s">
        <v>8740</v>
      </c>
      <c r="AS431" t="s">
        <v>8741</v>
      </c>
      <c r="AT431" t="s">
        <v>74</v>
      </c>
      <c r="AU431">
        <v>2016</v>
      </c>
      <c r="AV431">
        <v>8</v>
      </c>
      <c r="AW431">
        <v>4</v>
      </c>
      <c r="AX431" t="s">
        <v>74</v>
      </c>
      <c r="AY431" t="s">
        <v>74</v>
      </c>
      <c r="AZ431" t="s">
        <v>74</v>
      </c>
      <c r="BA431" t="s">
        <v>74</v>
      </c>
      <c r="BB431">
        <v>231</v>
      </c>
      <c r="BC431">
        <v>249</v>
      </c>
      <c r="BD431" t="s">
        <v>74</v>
      </c>
      <c r="BE431" t="s">
        <v>8742</v>
      </c>
      <c r="BF431" t="str">
        <f>HYPERLINK("http://dx.doi.org/10.1080/19186444.2016.1265763","http://dx.doi.org/10.1080/19186444.2016.1265763")</f>
        <v>http://dx.doi.org/10.1080/19186444.2016.1265763</v>
      </c>
      <c r="BG431" t="s">
        <v>74</v>
      </c>
      <c r="BH431" t="s">
        <v>74</v>
      </c>
      <c r="BI431">
        <v>19</v>
      </c>
      <c r="BJ431" t="s">
        <v>1453</v>
      </c>
      <c r="BK431" t="s">
        <v>313</v>
      </c>
      <c r="BL431" t="s">
        <v>100</v>
      </c>
      <c r="BM431" t="s">
        <v>8743</v>
      </c>
      <c r="BN431" t="s">
        <v>74</v>
      </c>
      <c r="BO431" t="s">
        <v>74</v>
      </c>
      <c r="BP431" t="s">
        <v>74</v>
      </c>
      <c r="BQ431" t="s">
        <v>74</v>
      </c>
      <c r="BR431" t="s">
        <v>102</v>
      </c>
      <c r="BS431" t="s">
        <v>8744</v>
      </c>
      <c r="BT431" t="str">
        <f>HYPERLINK("https%3A%2F%2Fwww.webofscience.com%2Fwos%2Fwoscc%2Ffull-record%2FWOS:000443603500001","View Full Record in Web of Science")</f>
        <v>View Full Record in Web of Science</v>
      </c>
    </row>
    <row r="432" spans="1:72" x14ac:dyDescent="0.25">
      <c r="A432" t="s">
        <v>72</v>
      </c>
      <c r="B432" t="s">
        <v>8745</v>
      </c>
      <c r="C432" t="s">
        <v>74</v>
      </c>
      <c r="D432" t="s">
        <v>74</v>
      </c>
      <c r="E432" t="s">
        <v>74</v>
      </c>
      <c r="F432" t="s">
        <v>8746</v>
      </c>
      <c r="G432" t="s">
        <v>74</v>
      </c>
      <c r="H432" t="s">
        <v>74</v>
      </c>
      <c r="I432" t="s">
        <v>8747</v>
      </c>
      <c r="J432" t="s">
        <v>7064</v>
      </c>
      <c r="K432" t="s">
        <v>74</v>
      </c>
      <c r="L432" t="s">
        <v>74</v>
      </c>
      <c r="M432" t="s">
        <v>78</v>
      </c>
      <c r="N432" t="s">
        <v>79</v>
      </c>
      <c r="O432" t="s">
        <v>74</v>
      </c>
      <c r="P432" t="s">
        <v>74</v>
      </c>
      <c r="Q432" t="s">
        <v>74</v>
      </c>
      <c r="R432" t="s">
        <v>74</v>
      </c>
      <c r="S432" t="s">
        <v>74</v>
      </c>
      <c r="T432" t="s">
        <v>8748</v>
      </c>
      <c r="U432" t="s">
        <v>8749</v>
      </c>
      <c r="V432" t="s">
        <v>8750</v>
      </c>
      <c r="W432" t="s">
        <v>8751</v>
      </c>
      <c r="X432" t="s">
        <v>8752</v>
      </c>
      <c r="Y432" t="s">
        <v>8753</v>
      </c>
      <c r="Z432" t="s">
        <v>8754</v>
      </c>
      <c r="AA432" t="s">
        <v>8755</v>
      </c>
      <c r="AB432" t="s">
        <v>74</v>
      </c>
      <c r="AC432" t="s">
        <v>74</v>
      </c>
      <c r="AD432" t="s">
        <v>74</v>
      </c>
      <c r="AE432" t="s">
        <v>74</v>
      </c>
      <c r="AF432" t="s">
        <v>74</v>
      </c>
      <c r="AG432">
        <v>54</v>
      </c>
      <c r="AH432">
        <v>0</v>
      </c>
      <c r="AI432">
        <v>0</v>
      </c>
      <c r="AJ432">
        <v>0</v>
      </c>
      <c r="AK432">
        <v>0</v>
      </c>
      <c r="AL432" t="s">
        <v>8503</v>
      </c>
      <c r="AM432" t="s">
        <v>995</v>
      </c>
      <c r="AN432" t="s">
        <v>8504</v>
      </c>
      <c r="AO432" t="s">
        <v>74</v>
      </c>
      <c r="AP432" t="s">
        <v>7076</v>
      </c>
      <c r="AQ432" t="s">
        <v>74</v>
      </c>
      <c r="AR432" t="s">
        <v>7064</v>
      </c>
      <c r="AS432" t="s">
        <v>7077</v>
      </c>
      <c r="AT432" t="s">
        <v>8756</v>
      </c>
      <c r="AU432">
        <v>2025</v>
      </c>
      <c r="AV432">
        <v>25</v>
      </c>
      <c r="AW432">
        <v>1</v>
      </c>
      <c r="AX432" t="s">
        <v>74</v>
      </c>
      <c r="AY432" t="s">
        <v>74</v>
      </c>
      <c r="AZ432" t="s">
        <v>74</v>
      </c>
      <c r="BA432" t="s">
        <v>74</v>
      </c>
      <c r="BB432" t="s">
        <v>74</v>
      </c>
      <c r="BC432" t="s">
        <v>74</v>
      </c>
      <c r="BD432">
        <v>2797</v>
      </c>
      <c r="BE432" t="s">
        <v>8757</v>
      </c>
      <c r="BF432" t="str">
        <f>HYPERLINK("http://dx.doi.org/10.1186/s12889-025-23856-0","http://dx.doi.org/10.1186/s12889-025-23856-0")</f>
        <v>http://dx.doi.org/10.1186/s12889-025-23856-0</v>
      </c>
      <c r="BG432" t="s">
        <v>74</v>
      </c>
      <c r="BH432" t="s">
        <v>74</v>
      </c>
      <c r="BI432">
        <v>10</v>
      </c>
      <c r="BJ432" t="s">
        <v>7080</v>
      </c>
      <c r="BK432" t="s">
        <v>128</v>
      </c>
      <c r="BL432" t="s">
        <v>7080</v>
      </c>
      <c r="BM432" t="s">
        <v>8758</v>
      </c>
      <c r="BN432">
        <v>40818953</v>
      </c>
      <c r="BO432" t="s">
        <v>916</v>
      </c>
      <c r="BP432" t="s">
        <v>74</v>
      </c>
      <c r="BQ432" t="s">
        <v>74</v>
      </c>
      <c r="BR432" t="s">
        <v>102</v>
      </c>
      <c r="BS432" t="s">
        <v>8759</v>
      </c>
      <c r="BT432" t="str">
        <f>HYPERLINK("https%3A%2F%2Fwww.webofscience.com%2Fwos%2Fwoscc%2Ffull-record%2FWOS:001551829900021","View Full Record in Web of Science")</f>
        <v>View Full Record in Web of Science</v>
      </c>
    </row>
    <row r="433" spans="1:72" x14ac:dyDescent="0.25">
      <c r="A433" t="s">
        <v>72</v>
      </c>
      <c r="B433" t="s">
        <v>8760</v>
      </c>
      <c r="C433" t="s">
        <v>74</v>
      </c>
      <c r="D433" t="s">
        <v>74</v>
      </c>
      <c r="E433" t="s">
        <v>74</v>
      </c>
      <c r="F433" t="s">
        <v>8761</v>
      </c>
      <c r="G433" t="s">
        <v>74</v>
      </c>
      <c r="H433" t="s">
        <v>74</v>
      </c>
      <c r="I433" t="s">
        <v>8762</v>
      </c>
      <c r="J433" t="s">
        <v>8763</v>
      </c>
      <c r="K433" t="s">
        <v>74</v>
      </c>
      <c r="L433" t="s">
        <v>74</v>
      </c>
      <c r="M433" t="s">
        <v>78</v>
      </c>
      <c r="N433" t="s">
        <v>79</v>
      </c>
      <c r="O433" t="s">
        <v>74</v>
      </c>
      <c r="P433" t="s">
        <v>74</v>
      </c>
      <c r="Q433" t="s">
        <v>74</v>
      </c>
      <c r="R433" t="s">
        <v>74</v>
      </c>
      <c r="S433" t="s">
        <v>74</v>
      </c>
      <c r="T433" t="s">
        <v>8764</v>
      </c>
      <c r="U433" t="s">
        <v>8765</v>
      </c>
      <c r="V433" t="s">
        <v>8766</v>
      </c>
      <c r="W433" t="s">
        <v>8767</v>
      </c>
      <c r="X433" t="s">
        <v>8768</v>
      </c>
      <c r="Y433" t="s">
        <v>8769</v>
      </c>
      <c r="Z433" t="s">
        <v>8770</v>
      </c>
      <c r="AA433" t="s">
        <v>8771</v>
      </c>
      <c r="AB433" t="s">
        <v>8772</v>
      </c>
      <c r="AC433" t="s">
        <v>8773</v>
      </c>
      <c r="AD433" t="s">
        <v>8774</v>
      </c>
      <c r="AE433" t="s">
        <v>8775</v>
      </c>
      <c r="AF433" t="s">
        <v>74</v>
      </c>
      <c r="AG433">
        <v>43</v>
      </c>
      <c r="AH433">
        <v>44</v>
      </c>
      <c r="AI433">
        <v>54</v>
      </c>
      <c r="AJ433">
        <v>0</v>
      </c>
      <c r="AK433">
        <v>7</v>
      </c>
      <c r="AL433" t="s">
        <v>8503</v>
      </c>
      <c r="AM433" t="s">
        <v>995</v>
      </c>
      <c r="AN433" t="s">
        <v>8504</v>
      </c>
      <c r="AO433" t="s">
        <v>8776</v>
      </c>
      <c r="AP433" t="s">
        <v>74</v>
      </c>
      <c r="AQ433" t="s">
        <v>74</v>
      </c>
      <c r="AR433" t="s">
        <v>8777</v>
      </c>
      <c r="AS433" t="s">
        <v>8778</v>
      </c>
      <c r="AT433" t="s">
        <v>8779</v>
      </c>
      <c r="AU433">
        <v>2015</v>
      </c>
      <c r="AV433">
        <v>10</v>
      </c>
      <c r="AW433" t="s">
        <v>74</v>
      </c>
      <c r="AX433" t="s">
        <v>74</v>
      </c>
      <c r="AY433" t="s">
        <v>74</v>
      </c>
      <c r="AZ433" t="s">
        <v>74</v>
      </c>
      <c r="BA433" t="s">
        <v>74</v>
      </c>
      <c r="BB433" t="s">
        <v>74</v>
      </c>
      <c r="BC433" t="s">
        <v>74</v>
      </c>
      <c r="BD433">
        <v>30</v>
      </c>
      <c r="BE433" t="s">
        <v>8780</v>
      </c>
      <c r="BF433" t="str">
        <f>HYPERLINK("http://dx.doi.org/10.1186/s13006-015-0055-4","http://dx.doi.org/10.1186/s13006-015-0055-4")</f>
        <v>http://dx.doi.org/10.1186/s13006-015-0055-4</v>
      </c>
      <c r="BG433" t="s">
        <v>74</v>
      </c>
      <c r="BH433" t="s">
        <v>74</v>
      </c>
      <c r="BI433">
        <v>6</v>
      </c>
      <c r="BJ433" t="s">
        <v>8781</v>
      </c>
      <c r="BK433" t="s">
        <v>128</v>
      </c>
      <c r="BL433" t="s">
        <v>8781</v>
      </c>
      <c r="BM433" t="s">
        <v>8782</v>
      </c>
      <c r="BN433">
        <v>26594231</v>
      </c>
      <c r="BO433" t="s">
        <v>916</v>
      </c>
      <c r="BP433" t="s">
        <v>74</v>
      </c>
      <c r="BQ433" t="s">
        <v>74</v>
      </c>
      <c r="BR433" t="s">
        <v>102</v>
      </c>
      <c r="BS433" t="s">
        <v>8783</v>
      </c>
      <c r="BT433" t="str">
        <f>HYPERLINK("https%3A%2F%2Fwww.webofscience.com%2Fwos%2Fwoscc%2Ffull-record%2FWOS:000365324300001","View Full Record in Web of Science")</f>
        <v>View Full Record in Web of Science</v>
      </c>
    </row>
    <row r="434" spans="1:72" x14ac:dyDescent="0.25">
      <c r="A434" t="s">
        <v>72</v>
      </c>
      <c r="B434" t="s">
        <v>8784</v>
      </c>
      <c r="C434" t="s">
        <v>74</v>
      </c>
      <c r="D434" t="s">
        <v>74</v>
      </c>
      <c r="E434" t="s">
        <v>74</v>
      </c>
      <c r="F434" t="s">
        <v>8785</v>
      </c>
      <c r="G434" t="s">
        <v>74</v>
      </c>
      <c r="H434" t="s">
        <v>74</v>
      </c>
      <c r="I434" t="s">
        <v>8786</v>
      </c>
      <c r="J434" t="s">
        <v>8787</v>
      </c>
      <c r="K434" t="s">
        <v>74</v>
      </c>
      <c r="L434" t="s">
        <v>74</v>
      </c>
      <c r="M434" t="s">
        <v>78</v>
      </c>
      <c r="N434" t="s">
        <v>1766</v>
      </c>
      <c r="O434" t="s">
        <v>74</v>
      </c>
      <c r="P434" t="s">
        <v>74</v>
      </c>
      <c r="Q434" t="s">
        <v>74</v>
      </c>
      <c r="R434" t="s">
        <v>74</v>
      </c>
      <c r="S434" t="s">
        <v>74</v>
      </c>
      <c r="T434" t="s">
        <v>74</v>
      </c>
      <c r="U434" t="s">
        <v>8788</v>
      </c>
      <c r="V434" t="s">
        <v>8789</v>
      </c>
      <c r="W434" t="s">
        <v>8790</v>
      </c>
      <c r="X434" t="s">
        <v>8791</v>
      </c>
      <c r="Y434" t="s">
        <v>662</v>
      </c>
      <c r="Z434" t="s">
        <v>2926</v>
      </c>
      <c r="AA434" t="s">
        <v>1151</v>
      </c>
      <c r="AB434" t="s">
        <v>74</v>
      </c>
      <c r="AC434" t="s">
        <v>74</v>
      </c>
      <c r="AD434" t="s">
        <v>74</v>
      </c>
      <c r="AE434" t="s">
        <v>74</v>
      </c>
      <c r="AF434" t="s">
        <v>74</v>
      </c>
      <c r="AG434">
        <v>103</v>
      </c>
      <c r="AH434">
        <v>14</v>
      </c>
      <c r="AI434">
        <v>15</v>
      </c>
      <c r="AJ434">
        <v>1</v>
      </c>
      <c r="AK434">
        <v>17</v>
      </c>
      <c r="AL434" t="s">
        <v>479</v>
      </c>
      <c r="AM434" t="s">
        <v>480</v>
      </c>
      <c r="AN434" t="s">
        <v>481</v>
      </c>
      <c r="AO434" t="s">
        <v>74</v>
      </c>
      <c r="AP434" t="s">
        <v>8792</v>
      </c>
      <c r="AQ434" t="s">
        <v>74</v>
      </c>
      <c r="AR434" t="s">
        <v>8793</v>
      </c>
      <c r="AS434" t="s">
        <v>8794</v>
      </c>
      <c r="AT434" t="s">
        <v>605</v>
      </c>
      <c r="AU434">
        <v>2022</v>
      </c>
      <c r="AV434">
        <v>18</v>
      </c>
      <c r="AW434">
        <v>1</v>
      </c>
      <c r="AX434" t="s">
        <v>74</v>
      </c>
      <c r="AY434" t="s">
        <v>74</v>
      </c>
      <c r="AZ434" t="s">
        <v>74</v>
      </c>
      <c r="BA434" t="s">
        <v>74</v>
      </c>
      <c r="BB434" t="s">
        <v>74</v>
      </c>
      <c r="BC434" t="s">
        <v>74</v>
      </c>
      <c r="BD434" t="s">
        <v>8795</v>
      </c>
      <c r="BE434" t="s">
        <v>8796</v>
      </c>
      <c r="BF434" t="str">
        <f>HYPERLINK("http://dx.doi.org/10.1002/cl2.1225","http://dx.doi.org/10.1002/cl2.1225")</f>
        <v>http://dx.doi.org/10.1002/cl2.1225</v>
      </c>
      <c r="BG434" t="s">
        <v>74</v>
      </c>
      <c r="BH434" t="s">
        <v>74</v>
      </c>
      <c r="BI434">
        <v>54</v>
      </c>
      <c r="BJ434" t="s">
        <v>364</v>
      </c>
      <c r="BK434" t="s">
        <v>313</v>
      </c>
      <c r="BL434" t="s">
        <v>365</v>
      </c>
      <c r="BM434" t="s">
        <v>8797</v>
      </c>
      <c r="BN434">
        <v>36913196</v>
      </c>
      <c r="BO434" t="s">
        <v>916</v>
      </c>
      <c r="BP434" t="s">
        <v>74</v>
      </c>
      <c r="BQ434" t="s">
        <v>74</v>
      </c>
      <c r="BR434" t="s">
        <v>102</v>
      </c>
      <c r="BS434" t="s">
        <v>8798</v>
      </c>
      <c r="BT434" t="str">
        <f>HYPERLINK("https%3A%2F%2Fwww.webofscience.com%2Fwos%2Fwoscc%2Ffull-record%2FWOS:000770389000007","View Full Record in Web of Science")</f>
        <v>View Full Record in Web of Science</v>
      </c>
    </row>
    <row r="435" spans="1:72" x14ac:dyDescent="0.25">
      <c r="A435" t="s">
        <v>72</v>
      </c>
      <c r="B435" t="s">
        <v>8799</v>
      </c>
      <c r="C435" t="s">
        <v>74</v>
      </c>
      <c r="D435" t="s">
        <v>74</v>
      </c>
      <c r="E435" t="s">
        <v>74</v>
      </c>
      <c r="F435" t="s">
        <v>8799</v>
      </c>
      <c r="G435" t="s">
        <v>74</v>
      </c>
      <c r="H435" t="s">
        <v>74</v>
      </c>
      <c r="I435" t="s">
        <v>8800</v>
      </c>
      <c r="J435" t="s">
        <v>8801</v>
      </c>
      <c r="K435" t="s">
        <v>74</v>
      </c>
      <c r="L435" t="s">
        <v>74</v>
      </c>
      <c r="M435" t="s">
        <v>78</v>
      </c>
      <c r="N435" t="s">
        <v>79</v>
      </c>
      <c r="O435" t="s">
        <v>74</v>
      </c>
      <c r="P435" t="s">
        <v>74</v>
      </c>
      <c r="Q435" t="s">
        <v>74</v>
      </c>
      <c r="R435" t="s">
        <v>74</v>
      </c>
      <c r="S435" t="s">
        <v>74</v>
      </c>
      <c r="T435" t="s">
        <v>8802</v>
      </c>
      <c r="U435" t="s">
        <v>74</v>
      </c>
      <c r="V435" t="s">
        <v>8803</v>
      </c>
      <c r="W435" t="s">
        <v>8804</v>
      </c>
      <c r="X435" t="s">
        <v>8805</v>
      </c>
      <c r="Y435" t="s">
        <v>8806</v>
      </c>
      <c r="Z435" t="s">
        <v>74</v>
      </c>
      <c r="AA435" t="s">
        <v>74</v>
      </c>
      <c r="AB435" t="s">
        <v>74</v>
      </c>
      <c r="AC435" t="s">
        <v>74</v>
      </c>
      <c r="AD435" t="s">
        <v>74</v>
      </c>
      <c r="AE435" t="s">
        <v>74</v>
      </c>
      <c r="AF435" t="s">
        <v>74</v>
      </c>
      <c r="AG435">
        <v>5</v>
      </c>
      <c r="AH435">
        <v>2</v>
      </c>
      <c r="AI435">
        <v>3</v>
      </c>
      <c r="AJ435">
        <v>0</v>
      </c>
      <c r="AK435">
        <v>18</v>
      </c>
      <c r="AL435" t="s">
        <v>8807</v>
      </c>
      <c r="AM435" t="s">
        <v>995</v>
      </c>
      <c r="AN435" t="s">
        <v>8808</v>
      </c>
      <c r="AO435" t="s">
        <v>8809</v>
      </c>
      <c r="AP435" t="s">
        <v>74</v>
      </c>
      <c r="AQ435" t="s">
        <v>74</v>
      </c>
      <c r="AR435" t="s">
        <v>8810</v>
      </c>
      <c r="AS435" t="s">
        <v>8811</v>
      </c>
      <c r="AT435" t="s">
        <v>124</v>
      </c>
      <c r="AU435">
        <v>2002</v>
      </c>
      <c r="AV435">
        <v>31</v>
      </c>
      <c r="AW435">
        <v>4</v>
      </c>
      <c r="AX435" t="s">
        <v>74</v>
      </c>
      <c r="AY435" t="s">
        <v>74</v>
      </c>
      <c r="AZ435" t="s">
        <v>74</v>
      </c>
      <c r="BA435" t="s">
        <v>74</v>
      </c>
      <c r="BB435">
        <v>253</v>
      </c>
      <c r="BC435">
        <v>258</v>
      </c>
      <c r="BD435" t="s">
        <v>74</v>
      </c>
      <c r="BE435" t="s">
        <v>8812</v>
      </c>
      <c r="BF435" t="str">
        <f>HYPERLINK("http://dx.doi.org/10.5367/000000002101294146","http://dx.doi.org/10.5367/000000002101294146")</f>
        <v>http://dx.doi.org/10.5367/000000002101294146</v>
      </c>
      <c r="BG435" t="s">
        <v>74</v>
      </c>
      <c r="BH435" t="s">
        <v>74</v>
      </c>
      <c r="BI435">
        <v>6</v>
      </c>
      <c r="BJ435" t="s">
        <v>6236</v>
      </c>
      <c r="BK435" t="s">
        <v>128</v>
      </c>
      <c r="BL435" t="s">
        <v>5152</v>
      </c>
      <c r="BM435" t="s">
        <v>8813</v>
      </c>
      <c r="BN435" t="s">
        <v>74</v>
      </c>
      <c r="BO435" t="s">
        <v>74</v>
      </c>
      <c r="BP435" t="s">
        <v>74</v>
      </c>
      <c r="BQ435" t="s">
        <v>74</v>
      </c>
      <c r="BR435" t="s">
        <v>102</v>
      </c>
      <c r="BS435" t="s">
        <v>8814</v>
      </c>
      <c r="BT435" t="str">
        <f>HYPERLINK("https%3A%2F%2Fwww.webofscience.com%2Fwos%2Fwoscc%2Ffull-record%2FWOS:000180182700005","View Full Record in Web of Science")</f>
        <v>View Full Record in Web of Science</v>
      </c>
    </row>
    <row r="436" spans="1:72" x14ac:dyDescent="0.25">
      <c r="A436" t="s">
        <v>72</v>
      </c>
      <c r="B436" t="s">
        <v>8815</v>
      </c>
      <c r="C436" t="s">
        <v>74</v>
      </c>
      <c r="D436" t="s">
        <v>74</v>
      </c>
      <c r="E436" t="s">
        <v>74</v>
      </c>
      <c r="F436" t="s">
        <v>8816</v>
      </c>
      <c r="G436" t="s">
        <v>74</v>
      </c>
      <c r="H436" t="s">
        <v>74</v>
      </c>
      <c r="I436" t="s">
        <v>8817</v>
      </c>
      <c r="J436" t="s">
        <v>729</v>
      </c>
      <c r="K436" t="s">
        <v>74</v>
      </c>
      <c r="L436" t="s">
        <v>74</v>
      </c>
      <c r="M436" t="s">
        <v>78</v>
      </c>
      <c r="N436" t="s">
        <v>79</v>
      </c>
      <c r="O436" t="s">
        <v>74</v>
      </c>
      <c r="P436" t="s">
        <v>74</v>
      </c>
      <c r="Q436" t="s">
        <v>74</v>
      </c>
      <c r="R436" t="s">
        <v>74</v>
      </c>
      <c r="S436" t="s">
        <v>74</v>
      </c>
      <c r="T436" t="s">
        <v>8818</v>
      </c>
      <c r="U436" t="s">
        <v>8819</v>
      </c>
      <c r="V436" t="s">
        <v>8820</v>
      </c>
      <c r="W436" t="s">
        <v>8821</v>
      </c>
      <c r="X436" t="s">
        <v>8822</v>
      </c>
      <c r="Y436" t="s">
        <v>8823</v>
      </c>
      <c r="Z436" t="s">
        <v>8824</v>
      </c>
      <c r="AA436" t="s">
        <v>8825</v>
      </c>
      <c r="AB436" t="s">
        <v>74</v>
      </c>
      <c r="AC436" t="s">
        <v>8826</v>
      </c>
      <c r="AD436" t="s">
        <v>8827</v>
      </c>
      <c r="AE436" t="s">
        <v>8828</v>
      </c>
      <c r="AF436" t="s">
        <v>74</v>
      </c>
      <c r="AG436">
        <v>66</v>
      </c>
      <c r="AH436">
        <v>15</v>
      </c>
      <c r="AI436">
        <v>15</v>
      </c>
      <c r="AJ436">
        <v>12</v>
      </c>
      <c r="AK436">
        <v>136</v>
      </c>
      <c r="AL436" t="s">
        <v>479</v>
      </c>
      <c r="AM436" t="s">
        <v>480</v>
      </c>
      <c r="AN436" t="s">
        <v>481</v>
      </c>
      <c r="AO436" t="s">
        <v>739</v>
      </c>
      <c r="AP436" t="s">
        <v>740</v>
      </c>
      <c r="AQ436" t="s">
        <v>74</v>
      </c>
      <c r="AR436" t="s">
        <v>741</v>
      </c>
      <c r="AS436" t="s">
        <v>742</v>
      </c>
      <c r="AT436" t="s">
        <v>848</v>
      </c>
      <c r="AU436">
        <v>2024</v>
      </c>
      <c r="AV436">
        <v>29</v>
      </c>
      <c r="AW436">
        <v>3</v>
      </c>
      <c r="AX436" t="s">
        <v>74</v>
      </c>
      <c r="AY436" t="s">
        <v>74</v>
      </c>
      <c r="AZ436" t="s">
        <v>74</v>
      </c>
      <c r="BA436" t="s">
        <v>74</v>
      </c>
      <c r="BB436">
        <v>2927</v>
      </c>
      <c r="BC436">
        <v>2949</v>
      </c>
      <c r="BD436" t="s">
        <v>74</v>
      </c>
      <c r="BE436" t="s">
        <v>8829</v>
      </c>
      <c r="BF436" t="str">
        <f>HYPERLINK("http://dx.doi.org/10.1002/ijfe.2812","http://dx.doi.org/10.1002/ijfe.2812")</f>
        <v>http://dx.doi.org/10.1002/ijfe.2812</v>
      </c>
      <c r="BG436" t="s">
        <v>74</v>
      </c>
      <c r="BH436" t="s">
        <v>6298</v>
      </c>
      <c r="BI436">
        <v>23</v>
      </c>
      <c r="BJ436" t="s">
        <v>268</v>
      </c>
      <c r="BK436" t="s">
        <v>99</v>
      </c>
      <c r="BL436" t="s">
        <v>100</v>
      </c>
      <c r="BM436" t="s">
        <v>8830</v>
      </c>
      <c r="BN436" t="s">
        <v>74</v>
      </c>
      <c r="BO436" t="s">
        <v>74</v>
      </c>
      <c r="BP436" t="s">
        <v>74</v>
      </c>
      <c r="BQ436" t="s">
        <v>74</v>
      </c>
      <c r="BR436" t="s">
        <v>102</v>
      </c>
      <c r="BS436" t="s">
        <v>8831</v>
      </c>
      <c r="BT436" t="str">
        <f>HYPERLINK("https%3A%2F%2Fwww.webofscience.com%2Fwos%2Fwoscc%2Ffull-record%2FWOS:000963752700001","View Full Record in Web of Science")</f>
        <v>View Full Record in Web of Science</v>
      </c>
    </row>
    <row r="437" spans="1:72" x14ac:dyDescent="0.25">
      <c r="A437" t="s">
        <v>72</v>
      </c>
      <c r="B437" t="s">
        <v>8832</v>
      </c>
      <c r="C437" t="s">
        <v>74</v>
      </c>
      <c r="D437" t="s">
        <v>74</v>
      </c>
      <c r="E437" t="s">
        <v>74</v>
      </c>
      <c r="F437" t="s">
        <v>8833</v>
      </c>
      <c r="G437" t="s">
        <v>74</v>
      </c>
      <c r="H437" t="s">
        <v>74</v>
      </c>
      <c r="I437" t="s">
        <v>8834</v>
      </c>
      <c r="J437" t="s">
        <v>8835</v>
      </c>
      <c r="K437" t="s">
        <v>74</v>
      </c>
      <c r="L437" t="s">
        <v>74</v>
      </c>
      <c r="M437" t="s">
        <v>78</v>
      </c>
      <c r="N437" t="s">
        <v>79</v>
      </c>
      <c r="O437" t="s">
        <v>74</v>
      </c>
      <c r="P437" t="s">
        <v>74</v>
      </c>
      <c r="Q437" t="s">
        <v>74</v>
      </c>
      <c r="R437" t="s">
        <v>74</v>
      </c>
      <c r="S437" t="s">
        <v>74</v>
      </c>
      <c r="T437" t="s">
        <v>8836</v>
      </c>
      <c r="U437" t="s">
        <v>8837</v>
      </c>
      <c r="V437" t="s">
        <v>8838</v>
      </c>
      <c r="W437" t="s">
        <v>8839</v>
      </c>
      <c r="X437" t="s">
        <v>8840</v>
      </c>
      <c r="Y437" t="s">
        <v>8841</v>
      </c>
      <c r="Z437" t="s">
        <v>8842</v>
      </c>
      <c r="AA437" t="s">
        <v>8843</v>
      </c>
      <c r="AB437" t="s">
        <v>74</v>
      </c>
      <c r="AC437" t="s">
        <v>74</v>
      </c>
      <c r="AD437" t="s">
        <v>74</v>
      </c>
      <c r="AE437" t="s">
        <v>74</v>
      </c>
      <c r="AF437" t="s">
        <v>74</v>
      </c>
      <c r="AG437">
        <v>82</v>
      </c>
      <c r="AH437">
        <v>6</v>
      </c>
      <c r="AI437">
        <v>9</v>
      </c>
      <c r="AJ437">
        <v>2</v>
      </c>
      <c r="AK437">
        <v>5</v>
      </c>
      <c r="AL437" t="s">
        <v>332</v>
      </c>
      <c r="AM437" t="s">
        <v>333</v>
      </c>
      <c r="AN437" t="s">
        <v>334</v>
      </c>
      <c r="AO437" t="s">
        <v>8844</v>
      </c>
      <c r="AP437" t="s">
        <v>8845</v>
      </c>
      <c r="AQ437" t="s">
        <v>74</v>
      </c>
      <c r="AR437" t="s">
        <v>8846</v>
      </c>
      <c r="AS437" t="s">
        <v>8847</v>
      </c>
      <c r="AT437" t="s">
        <v>8848</v>
      </c>
      <c r="AU437">
        <v>2025</v>
      </c>
      <c r="AV437">
        <v>18</v>
      </c>
      <c r="AW437">
        <v>2</v>
      </c>
      <c r="AX437" t="s">
        <v>74</v>
      </c>
      <c r="AY437" t="s">
        <v>74</v>
      </c>
      <c r="AZ437" t="s">
        <v>441</v>
      </c>
      <c r="BA437" t="s">
        <v>74</v>
      </c>
      <c r="BB437">
        <v>319</v>
      </c>
      <c r="BC437">
        <v>342</v>
      </c>
      <c r="BD437" t="s">
        <v>74</v>
      </c>
      <c r="BE437" t="s">
        <v>8849</v>
      </c>
      <c r="BF437" t="str">
        <f>HYPERLINK("http://dx.doi.org/10.1080/17520843.2023.2284455","http://dx.doi.org/10.1080/17520843.2023.2284455")</f>
        <v>http://dx.doi.org/10.1080/17520843.2023.2284455</v>
      </c>
      <c r="BG437" t="s">
        <v>74</v>
      </c>
      <c r="BH437" t="s">
        <v>3535</v>
      </c>
      <c r="BI437">
        <v>24</v>
      </c>
      <c r="BJ437" t="s">
        <v>291</v>
      </c>
      <c r="BK437" t="s">
        <v>313</v>
      </c>
      <c r="BL437" t="s">
        <v>100</v>
      </c>
      <c r="BM437" t="s">
        <v>8850</v>
      </c>
      <c r="BN437" t="s">
        <v>74</v>
      </c>
      <c r="BO437" t="s">
        <v>74</v>
      </c>
      <c r="BP437" t="s">
        <v>74</v>
      </c>
      <c r="BQ437" t="s">
        <v>74</v>
      </c>
      <c r="BR437" t="s">
        <v>102</v>
      </c>
      <c r="BS437" t="s">
        <v>8851</v>
      </c>
      <c r="BT437" t="str">
        <f>HYPERLINK("https%3A%2F%2Fwww.webofscience.com%2Fwos%2Fwoscc%2Ffull-record%2FWOS:001106107900001","View Full Record in Web of Science")</f>
        <v>View Full Record in Web of Science</v>
      </c>
    </row>
    <row r="438" spans="1:72" x14ac:dyDescent="0.25">
      <c r="A438" t="s">
        <v>72</v>
      </c>
      <c r="B438" t="s">
        <v>8852</v>
      </c>
      <c r="C438" t="s">
        <v>74</v>
      </c>
      <c r="D438" t="s">
        <v>74</v>
      </c>
      <c r="E438" t="s">
        <v>74</v>
      </c>
      <c r="F438" t="s">
        <v>8853</v>
      </c>
      <c r="G438" t="s">
        <v>74</v>
      </c>
      <c r="H438" t="s">
        <v>74</v>
      </c>
      <c r="I438" t="s">
        <v>8854</v>
      </c>
      <c r="J438" t="s">
        <v>8855</v>
      </c>
      <c r="K438" t="s">
        <v>74</v>
      </c>
      <c r="L438" t="s">
        <v>74</v>
      </c>
      <c r="M438" t="s">
        <v>78</v>
      </c>
      <c r="N438" t="s">
        <v>8856</v>
      </c>
      <c r="O438" t="s">
        <v>74</v>
      </c>
      <c r="P438" t="s">
        <v>74</v>
      </c>
      <c r="Q438" t="s">
        <v>74</v>
      </c>
      <c r="R438" t="s">
        <v>74</v>
      </c>
      <c r="S438" t="s">
        <v>74</v>
      </c>
      <c r="T438" t="s">
        <v>74</v>
      </c>
      <c r="U438" t="s">
        <v>74</v>
      </c>
      <c r="V438" t="s">
        <v>8857</v>
      </c>
      <c r="W438" t="s">
        <v>8858</v>
      </c>
      <c r="X438" t="s">
        <v>74</v>
      </c>
      <c r="Y438" t="s">
        <v>8859</v>
      </c>
      <c r="Z438" t="s">
        <v>8860</v>
      </c>
      <c r="AA438" t="s">
        <v>8861</v>
      </c>
      <c r="AB438" t="s">
        <v>8862</v>
      </c>
      <c r="AC438" t="s">
        <v>8863</v>
      </c>
      <c r="AD438" t="s">
        <v>8864</v>
      </c>
      <c r="AE438" t="s">
        <v>8865</v>
      </c>
      <c r="AF438" t="s">
        <v>74</v>
      </c>
      <c r="AG438">
        <v>9</v>
      </c>
      <c r="AH438">
        <v>2</v>
      </c>
      <c r="AI438">
        <v>2</v>
      </c>
      <c r="AJ438">
        <v>0</v>
      </c>
      <c r="AK438">
        <v>12</v>
      </c>
      <c r="AL438" t="s">
        <v>201</v>
      </c>
      <c r="AM438" t="s">
        <v>202</v>
      </c>
      <c r="AN438" t="s">
        <v>203</v>
      </c>
      <c r="AO438" t="s">
        <v>8866</v>
      </c>
      <c r="AP438" t="s">
        <v>74</v>
      </c>
      <c r="AQ438" t="s">
        <v>74</v>
      </c>
      <c r="AR438" t="s">
        <v>8867</v>
      </c>
      <c r="AS438" t="s">
        <v>8868</v>
      </c>
      <c r="AT438" t="s">
        <v>237</v>
      </c>
      <c r="AU438">
        <v>2021</v>
      </c>
      <c r="AV438">
        <v>34</v>
      </c>
      <c r="AW438" t="s">
        <v>74</v>
      </c>
      <c r="AX438" t="s">
        <v>74</v>
      </c>
      <c r="AY438" t="s">
        <v>74</v>
      </c>
      <c r="AZ438" t="s">
        <v>74</v>
      </c>
      <c r="BA438" t="s">
        <v>74</v>
      </c>
      <c r="BB438" t="s">
        <v>74</v>
      </c>
      <c r="BC438" t="s">
        <v>74</v>
      </c>
      <c r="BD438">
        <v>106665</v>
      </c>
      <c r="BE438" t="s">
        <v>8869</v>
      </c>
      <c r="BF438" t="str">
        <f>HYPERLINK("http://dx.doi.org/10.1016/j.dib.2020.106665","http://dx.doi.org/10.1016/j.dib.2020.106665")</f>
        <v>http://dx.doi.org/10.1016/j.dib.2020.106665</v>
      </c>
      <c r="BG438" t="s">
        <v>74</v>
      </c>
      <c r="BH438" t="s">
        <v>74</v>
      </c>
      <c r="BI438">
        <v>9</v>
      </c>
      <c r="BJ438" t="s">
        <v>559</v>
      </c>
      <c r="BK438" t="s">
        <v>313</v>
      </c>
      <c r="BL438" t="s">
        <v>560</v>
      </c>
      <c r="BM438" t="s">
        <v>8870</v>
      </c>
      <c r="BN438">
        <v>33385030</v>
      </c>
      <c r="BO438" t="s">
        <v>916</v>
      </c>
      <c r="BP438" t="s">
        <v>74</v>
      </c>
      <c r="BQ438" t="s">
        <v>74</v>
      </c>
      <c r="BR438" t="s">
        <v>102</v>
      </c>
      <c r="BS438" t="s">
        <v>8871</v>
      </c>
      <c r="BT438" t="str">
        <f>HYPERLINK("https%3A%2F%2Fwww.webofscience.com%2Fwos%2Fwoscc%2Ffull-record%2FWOS:000617525400053","View Full Record in Web of Science")</f>
        <v>View Full Record in Web of Science</v>
      </c>
    </row>
    <row r="439" spans="1:72" x14ac:dyDescent="0.25">
      <c r="A439" t="s">
        <v>72</v>
      </c>
      <c r="B439" t="s">
        <v>8872</v>
      </c>
      <c r="C439" t="s">
        <v>74</v>
      </c>
      <c r="D439" t="s">
        <v>74</v>
      </c>
      <c r="E439" t="s">
        <v>74</v>
      </c>
      <c r="F439" t="s">
        <v>8873</v>
      </c>
      <c r="G439" t="s">
        <v>74</v>
      </c>
      <c r="H439" t="s">
        <v>74</v>
      </c>
      <c r="I439" t="s">
        <v>8874</v>
      </c>
      <c r="J439" t="s">
        <v>3561</v>
      </c>
      <c r="K439" t="s">
        <v>74</v>
      </c>
      <c r="L439" t="s">
        <v>74</v>
      </c>
      <c r="M439" t="s">
        <v>78</v>
      </c>
      <c r="N439" t="s">
        <v>79</v>
      </c>
      <c r="O439" t="s">
        <v>74</v>
      </c>
      <c r="P439" t="s">
        <v>74</v>
      </c>
      <c r="Q439" t="s">
        <v>74</v>
      </c>
      <c r="R439" t="s">
        <v>74</v>
      </c>
      <c r="S439" t="s">
        <v>74</v>
      </c>
      <c r="T439" t="s">
        <v>8875</v>
      </c>
      <c r="U439" t="s">
        <v>74</v>
      </c>
      <c r="V439" t="s">
        <v>8876</v>
      </c>
      <c r="W439" t="s">
        <v>8877</v>
      </c>
      <c r="X439" t="s">
        <v>8878</v>
      </c>
      <c r="Y439" t="s">
        <v>8879</v>
      </c>
      <c r="Z439" t="s">
        <v>8880</v>
      </c>
      <c r="AA439" t="s">
        <v>74</v>
      </c>
      <c r="AB439" t="s">
        <v>74</v>
      </c>
      <c r="AC439" t="s">
        <v>8881</v>
      </c>
      <c r="AD439" t="s">
        <v>8882</v>
      </c>
      <c r="AE439" t="s">
        <v>8883</v>
      </c>
      <c r="AF439" t="s">
        <v>74</v>
      </c>
      <c r="AG439">
        <v>79</v>
      </c>
      <c r="AH439">
        <v>5</v>
      </c>
      <c r="AI439">
        <v>7</v>
      </c>
      <c r="AJ439">
        <v>1</v>
      </c>
      <c r="AK439">
        <v>4</v>
      </c>
      <c r="AL439" t="s">
        <v>89</v>
      </c>
      <c r="AM439" t="s">
        <v>1497</v>
      </c>
      <c r="AN439" t="s">
        <v>1498</v>
      </c>
      <c r="AO439" t="s">
        <v>3568</v>
      </c>
      <c r="AP439" t="s">
        <v>3569</v>
      </c>
      <c r="AQ439" t="s">
        <v>74</v>
      </c>
      <c r="AR439" t="s">
        <v>3570</v>
      </c>
      <c r="AS439" t="s">
        <v>3571</v>
      </c>
      <c r="AT439" t="s">
        <v>8884</v>
      </c>
      <c r="AU439">
        <v>2022</v>
      </c>
      <c r="AV439">
        <v>26</v>
      </c>
      <c r="AW439">
        <v>7</v>
      </c>
      <c r="AX439" t="s">
        <v>74</v>
      </c>
      <c r="AY439" t="s">
        <v>74</v>
      </c>
      <c r="AZ439" t="s">
        <v>74</v>
      </c>
      <c r="BA439" t="s">
        <v>74</v>
      </c>
      <c r="BB439">
        <v>63</v>
      </c>
      <c r="BC439">
        <v>84</v>
      </c>
      <c r="BD439" t="s">
        <v>74</v>
      </c>
      <c r="BE439" t="s">
        <v>8885</v>
      </c>
      <c r="BF439" t="str">
        <f>HYPERLINK("http://dx.doi.org/10.1108/JMLC-09-2022-0134","http://dx.doi.org/10.1108/JMLC-09-2022-0134")</f>
        <v>http://dx.doi.org/10.1108/JMLC-09-2022-0134</v>
      </c>
      <c r="BG439" t="s">
        <v>74</v>
      </c>
      <c r="BH439" t="s">
        <v>7904</v>
      </c>
      <c r="BI439">
        <v>22</v>
      </c>
      <c r="BJ439" t="s">
        <v>3573</v>
      </c>
      <c r="BK439" t="s">
        <v>313</v>
      </c>
      <c r="BL439" t="s">
        <v>3573</v>
      </c>
      <c r="BM439" t="s">
        <v>8886</v>
      </c>
      <c r="BN439" t="s">
        <v>74</v>
      </c>
      <c r="BO439" t="s">
        <v>466</v>
      </c>
      <c r="BP439" t="s">
        <v>74</v>
      </c>
      <c r="BQ439" t="s">
        <v>74</v>
      </c>
      <c r="BR439" t="s">
        <v>102</v>
      </c>
      <c r="BS439" t="s">
        <v>8887</v>
      </c>
      <c r="BT439" t="str">
        <f>HYPERLINK("https%3A%2F%2Fwww.webofscience.com%2Fwos%2Fwoscc%2Ffull-record%2FWOS:000893984500001","View Full Record in Web of Science")</f>
        <v>View Full Record in Web of Science</v>
      </c>
    </row>
    <row r="440" spans="1:72" x14ac:dyDescent="0.25">
      <c r="A440" t="s">
        <v>72</v>
      </c>
      <c r="B440" t="s">
        <v>8888</v>
      </c>
      <c r="C440" t="s">
        <v>74</v>
      </c>
      <c r="D440" t="s">
        <v>74</v>
      </c>
      <c r="E440" t="s">
        <v>74</v>
      </c>
      <c r="F440" t="s">
        <v>8889</v>
      </c>
      <c r="G440" t="s">
        <v>74</v>
      </c>
      <c r="H440" t="s">
        <v>74</v>
      </c>
      <c r="I440" t="s">
        <v>8890</v>
      </c>
      <c r="J440" t="s">
        <v>4842</v>
      </c>
      <c r="K440" t="s">
        <v>74</v>
      </c>
      <c r="L440" t="s">
        <v>74</v>
      </c>
      <c r="M440" t="s">
        <v>78</v>
      </c>
      <c r="N440" t="s">
        <v>79</v>
      </c>
      <c r="O440" t="s">
        <v>74</v>
      </c>
      <c r="P440" t="s">
        <v>74</v>
      </c>
      <c r="Q440" t="s">
        <v>74</v>
      </c>
      <c r="R440" t="s">
        <v>74</v>
      </c>
      <c r="S440" t="s">
        <v>74</v>
      </c>
      <c r="T440" t="s">
        <v>8891</v>
      </c>
      <c r="U440" t="s">
        <v>8892</v>
      </c>
      <c r="V440" t="s">
        <v>8893</v>
      </c>
      <c r="W440" t="s">
        <v>8894</v>
      </c>
      <c r="X440" t="s">
        <v>8895</v>
      </c>
      <c r="Y440" t="s">
        <v>8896</v>
      </c>
      <c r="Z440" t="s">
        <v>8897</v>
      </c>
      <c r="AA440" t="s">
        <v>8898</v>
      </c>
      <c r="AB440" t="s">
        <v>8899</v>
      </c>
      <c r="AC440" t="s">
        <v>8900</v>
      </c>
      <c r="AD440" t="s">
        <v>8901</v>
      </c>
      <c r="AE440" t="s">
        <v>8902</v>
      </c>
      <c r="AF440" t="s">
        <v>74</v>
      </c>
      <c r="AG440">
        <v>81</v>
      </c>
      <c r="AH440">
        <v>7</v>
      </c>
      <c r="AI440">
        <v>8</v>
      </c>
      <c r="AJ440">
        <v>0</v>
      </c>
      <c r="AK440">
        <v>18</v>
      </c>
      <c r="AL440" t="s">
        <v>823</v>
      </c>
      <c r="AM440" t="s">
        <v>333</v>
      </c>
      <c r="AN440" t="s">
        <v>824</v>
      </c>
      <c r="AO440" t="s">
        <v>4853</v>
      </c>
      <c r="AP440" t="s">
        <v>74</v>
      </c>
      <c r="AQ440" t="s">
        <v>74</v>
      </c>
      <c r="AR440" t="s">
        <v>4854</v>
      </c>
      <c r="AS440" t="s">
        <v>4855</v>
      </c>
      <c r="AT440" t="s">
        <v>2970</v>
      </c>
      <c r="AU440">
        <v>2022</v>
      </c>
      <c r="AV440">
        <v>9</v>
      </c>
      <c r="AW440">
        <v>1</v>
      </c>
      <c r="AX440" t="s">
        <v>74</v>
      </c>
      <c r="AY440" t="s">
        <v>74</v>
      </c>
      <c r="AZ440" t="s">
        <v>74</v>
      </c>
      <c r="BA440" t="s">
        <v>74</v>
      </c>
      <c r="BB440" t="s">
        <v>74</v>
      </c>
      <c r="BC440" t="s">
        <v>74</v>
      </c>
      <c r="BD440">
        <v>2071099</v>
      </c>
      <c r="BE440" t="s">
        <v>8903</v>
      </c>
      <c r="BF440" t="str">
        <f>HYPERLINK("http://dx.doi.org/10.1080/23311975.2022.2071099","http://dx.doi.org/10.1080/23311975.2022.2071099")</f>
        <v>http://dx.doi.org/10.1080/23311975.2022.2071099</v>
      </c>
      <c r="BG440" t="s">
        <v>74</v>
      </c>
      <c r="BH440" t="s">
        <v>74</v>
      </c>
      <c r="BI440">
        <v>20</v>
      </c>
      <c r="BJ440" t="s">
        <v>418</v>
      </c>
      <c r="BK440" t="s">
        <v>313</v>
      </c>
      <c r="BL440" t="s">
        <v>100</v>
      </c>
      <c r="BM440" t="s">
        <v>8904</v>
      </c>
      <c r="BN440" t="s">
        <v>74</v>
      </c>
      <c r="BO440" t="s">
        <v>916</v>
      </c>
      <c r="BP440" t="s">
        <v>74</v>
      </c>
      <c r="BQ440" t="s">
        <v>74</v>
      </c>
      <c r="BR440" t="s">
        <v>102</v>
      </c>
      <c r="BS440" t="s">
        <v>8905</v>
      </c>
      <c r="BT440" t="str">
        <f>HYPERLINK("https%3A%2F%2Fwww.webofscience.com%2Fwos%2Fwoscc%2Ffull-record%2FWOS:000796770000001","View Full Record in Web of Science")</f>
        <v>View Full Record in Web of Science</v>
      </c>
    </row>
    <row r="441" spans="1:72" x14ac:dyDescent="0.25">
      <c r="A441" t="s">
        <v>72</v>
      </c>
      <c r="B441" t="s">
        <v>8906</v>
      </c>
      <c r="C441" t="s">
        <v>74</v>
      </c>
      <c r="D441" t="s">
        <v>74</v>
      </c>
      <c r="E441" t="s">
        <v>74</v>
      </c>
      <c r="F441" t="s">
        <v>8907</v>
      </c>
      <c r="G441" t="s">
        <v>74</v>
      </c>
      <c r="H441" t="s">
        <v>74</v>
      </c>
      <c r="I441" t="s">
        <v>8908</v>
      </c>
      <c r="J441" t="s">
        <v>2471</v>
      </c>
      <c r="K441" t="s">
        <v>74</v>
      </c>
      <c r="L441" t="s">
        <v>74</v>
      </c>
      <c r="M441" t="s">
        <v>78</v>
      </c>
      <c r="N441" t="s">
        <v>79</v>
      </c>
      <c r="O441" t="s">
        <v>74</v>
      </c>
      <c r="P441" t="s">
        <v>74</v>
      </c>
      <c r="Q441" t="s">
        <v>74</v>
      </c>
      <c r="R441" t="s">
        <v>74</v>
      </c>
      <c r="S441" t="s">
        <v>74</v>
      </c>
      <c r="T441" t="s">
        <v>8909</v>
      </c>
      <c r="U441" t="s">
        <v>8910</v>
      </c>
      <c r="V441" t="s">
        <v>8911</v>
      </c>
      <c r="W441" t="s">
        <v>8912</v>
      </c>
      <c r="X441" t="s">
        <v>8913</v>
      </c>
      <c r="Y441" t="s">
        <v>8914</v>
      </c>
      <c r="Z441" t="s">
        <v>8915</v>
      </c>
      <c r="AA441" t="s">
        <v>8916</v>
      </c>
      <c r="AB441" t="s">
        <v>8917</v>
      </c>
      <c r="AC441" t="s">
        <v>8918</v>
      </c>
      <c r="AD441" t="s">
        <v>8919</v>
      </c>
      <c r="AE441" t="s">
        <v>8920</v>
      </c>
      <c r="AF441" t="s">
        <v>74</v>
      </c>
      <c r="AG441">
        <v>42</v>
      </c>
      <c r="AH441">
        <v>2</v>
      </c>
      <c r="AI441">
        <v>2</v>
      </c>
      <c r="AJ441">
        <v>3</v>
      </c>
      <c r="AK441">
        <v>4</v>
      </c>
      <c r="AL441" t="s">
        <v>823</v>
      </c>
      <c r="AM441" t="s">
        <v>333</v>
      </c>
      <c r="AN441" t="s">
        <v>824</v>
      </c>
      <c r="AO441" t="s">
        <v>2484</v>
      </c>
      <c r="AP441" t="s">
        <v>74</v>
      </c>
      <c r="AQ441" t="s">
        <v>74</v>
      </c>
      <c r="AR441" t="s">
        <v>2485</v>
      </c>
      <c r="AS441" t="s">
        <v>2486</v>
      </c>
      <c r="AT441" t="s">
        <v>2970</v>
      </c>
      <c r="AU441">
        <v>2025</v>
      </c>
      <c r="AV441">
        <v>11</v>
      </c>
      <c r="AW441">
        <v>1</v>
      </c>
      <c r="AX441" t="s">
        <v>74</v>
      </c>
      <c r="AY441" t="s">
        <v>74</v>
      </c>
      <c r="AZ441" t="s">
        <v>74</v>
      </c>
      <c r="BA441" t="s">
        <v>74</v>
      </c>
      <c r="BB441" t="s">
        <v>74</v>
      </c>
      <c r="BC441" t="s">
        <v>74</v>
      </c>
      <c r="BD441">
        <v>2499900</v>
      </c>
      <c r="BE441" t="s">
        <v>8921</v>
      </c>
      <c r="BF441" t="str">
        <f>HYPERLINK("http://dx.doi.org/10.1080/23311886.2025.2499900","http://dx.doi.org/10.1080/23311886.2025.2499900")</f>
        <v>http://dx.doi.org/10.1080/23311886.2025.2499900</v>
      </c>
      <c r="BG441" t="s">
        <v>74</v>
      </c>
      <c r="BH441" t="s">
        <v>74</v>
      </c>
      <c r="BI441">
        <v>19</v>
      </c>
      <c r="BJ441" t="s">
        <v>364</v>
      </c>
      <c r="BK441" t="s">
        <v>313</v>
      </c>
      <c r="BL441" t="s">
        <v>365</v>
      </c>
      <c r="BM441" t="s">
        <v>8922</v>
      </c>
      <c r="BN441" t="s">
        <v>74</v>
      </c>
      <c r="BO441" t="s">
        <v>916</v>
      </c>
      <c r="BP441" t="s">
        <v>74</v>
      </c>
      <c r="BQ441" t="s">
        <v>74</v>
      </c>
      <c r="BR441" t="s">
        <v>102</v>
      </c>
      <c r="BS441" t="s">
        <v>8923</v>
      </c>
      <c r="BT441" t="str">
        <f>HYPERLINK("https%3A%2F%2Fwww.webofscience.com%2Fwos%2Fwoscc%2Ffull-record%2FWOS:001487998600001","View Full Record in Web of Science")</f>
        <v>View Full Record in Web of Science</v>
      </c>
    </row>
    <row r="442" spans="1:72" x14ac:dyDescent="0.25">
      <c r="A442" t="s">
        <v>132</v>
      </c>
      <c r="B442" t="s">
        <v>8924</v>
      </c>
      <c r="C442" t="s">
        <v>74</v>
      </c>
      <c r="D442" t="s">
        <v>631</v>
      </c>
      <c r="E442" t="s">
        <v>74</v>
      </c>
      <c r="F442" t="s">
        <v>8925</v>
      </c>
      <c r="G442" t="s">
        <v>74</v>
      </c>
      <c r="H442" t="s">
        <v>74</v>
      </c>
      <c r="I442" t="s">
        <v>8926</v>
      </c>
      <c r="J442" t="s">
        <v>634</v>
      </c>
      <c r="K442" t="s">
        <v>74</v>
      </c>
      <c r="L442" t="s">
        <v>74</v>
      </c>
      <c r="M442" t="s">
        <v>78</v>
      </c>
      <c r="N442" t="s">
        <v>138</v>
      </c>
      <c r="O442" t="s">
        <v>635</v>
      </c>
      <c r="P442" t="s">
        <v>636</v>
      </c>
      <c r="Q442" t="s">
        <v>637</v>
      </c>
      <c r="R442" t="s">
        <v>638</v>
      </c>
      <c r="S442" t="s">
        <v>74</v>
      </c>
      <c r="T442" t="s">
        <v>8927</v>
      </c>
      <c r="U442" t="s">
        <v>8928</v>
      </c>
      <c r="V442" t="s">
        <v>8929</v>
      </c>
      <c r="W442" t="s">
        <v>8930</v>
      </c>
      <c r="X442" t="s">
        <v>8931</v>
      </c>
      <c r="Y442" t="s">
        <v>8932</v>
      </c>
      <c r="Z442" t="s">
        <v>8933</v>
      </c>
      <c r="AA442" t="s">
        <v>8934</v>
      </c>
      <c r="AB442" t="s">
        <v>74</v>
      </c>
      <c r="AC442" t="s">
        <v>8935</v>
      </c>
      <c r="AD442" t="s">
        <v>8936</v>
      </c>
      <c r="AE442" t="s">
        <v>8937</v>
      </c>
      <c r="AF442" t="s">
        <v>74</v>
      </c>
      <c r="AG442">
        <v>49</v>
      </c>
      <c r="AH442">
        <v>0</v>
      </c>
      <c r="AI442">
        <v>0</v>
      </c>
      <c r="AJ442">
        <v>0</v>
      </c>
      <c r="AK442">
        <v>3</v>
      </c>
      <c r="AL442" t="s">
        <v>645</v>
      </c>
      <c r="AM442" t="s">
        <v>646</v>
      </c>
      <c r="AN442" t="s">
        <v>647</v>
      </c>
      <c r="AO442" t="s">
        <v>74</v>
      </c>
      <c r="AP442" t="s">
        <v>74</v>
      </c>
      <c r="AQ442" t="s">
        <v>648</v>
      </c>
      <c r="AR442" t="s">
        <v>74</v>
      </c>
      <c r="AS442" t="s">
        <v>74</v>
      </c>
      <c r="AT442" t="s">
        <v>74</v>
      </c>
      <c r="AU442">
        <v>2020</v>
      </c>
      <c r="AV442" t="s">
        <v>74</v>
      </c>
      <c r="AW442" t="s">
        <v>74</v>
      </c>
      <c r="AX442" t="s">
        <v>74</v>
      </c>
      <c r="AY442" t="s">
        <v>74</v>
      </c>
      <c r="AZ442" t="s">
        <v>74</v>
      </c>
      <c r="BA442" t="s">
        <v>74</v>
      </c>
      <c r="BB442">
        <v>8471</v>
      </c>
      <c r="BC442">
        <v>8484</v>
      </c>
      <c r="BD442" t="s">
        <v>74</v>
      </c>
      <c r="BE442" t="s">
        <v>74</v>
      </c>
      <c r="BF442" t="s">
        <v>74</v>
      </c>
      <c r="BG442" t="s">
        <v>74</v>
      </c>
      <c r="BH442" t="s">
        <v>74</v>
      </c>
      <c r="BI442">
        <v>14</v>
      </c>
      <c r="BJ442" t="s">
        <v>649</v>
      </c>
      <c r="BK442" t="s">
        <v>183</v>
      </c>
      <c r="BL442" t="s">
        <v>650</v>
      </c>
      <c r="BM442" t="s">
        <v>6489</v>
      </c>
      <c r="BN442" t="s">
        <v>74</v>
      </c>
      <c r="BO442" t="s">
        <v>74</v>
      </c>
      <c r="BP442" t="s">
        <v>74</v>
      </c>
      <c r="BQ442" t="s">
        <v>74</v>
      </c>
      <c r="BR442" t="s">
        <v>102</v>
      </c>
      <c r="BS442" t="s">
        <v>8938</v>
      </c>
      <c r="BT442" t="str">
        <f>HYPERLINK("https%3A%2F%2Fwww.webofscience.com%2Fwos%2Fwoscc%2Ffull-record%2FWOS:000661127409002","View Full Record in Web of Science")</f>
        <v>View Full Record in Web of Science</v>
      </c>
    </row>
    <row r="443" spans="1:72" x14ac:dyDescent="0.25">
      <c r="A443" t="s">
        <v>72</v>
      </c>
      <c r="B443" t="s">
        <v>8939</v>
      </c>
      <c r="C443" t="s">
        <v>74</v>
      </c>
      <c r="D443" t="s">
        <v>74</v>
      </c>
      <c r="E443" t="s">
        <v>74</v>
      </c>
      <c r="F443" t="s">
        <v>8940</v>
      </c>
      <c r="G443" t="s">
        <v>74</v>
      </c>
      <c r="H443" t="s">
        <v>74</v>
      </c>
      <c r="I443" t="s">
        <v>8941</v>
      </c>
      <c r="J443" t="s">
        <v>8942</v>
      </c>
      <c r="K443" t="s">
        <v>74</v>
      </c>
      <c r="L443" t="s">
        <v>74</v>
      </c>
      <c r="M443" t="s">
        <v>78</v>
      </c>
      <c r="N443" t="s">
        <v>79</v>
      </c>
      <c r="O443" t="s">
        <v>74</v>
      </c>
      <c r="P443" t="s">
        <v>74</v>
      </c>
      <c r="Q443" t="s">
        <v>74</v>
      </c>
      <c r="R443" t="s">
        <v>74</v>
      </c>
      <c r="S443" t="s">
        <v>74</v>
      </c>
      <c r="T443" t="s">
        <v>8943</v>
      </c>
      <c r="U443" t="s">
        <v>8944</v>
      </c>
      <c r="V443" t="s">
        <v>8945</v>
      </c>
      <c r="W443" t="s">
        <v>8946</v>
      </c>
      <c r="X443" t="s">
        <v>8947</v>
      </c>
      <c r="Y443" t="s">
        <v>8948</v>
      </c>
      <c r="Z443" t="s">
        <v>8949</v>
      </c>
      <c r="AA443" t="s">
        <v>8950</v>
      </c>
      <c r="AB443" t="s">
        <v>8951</v>
      </c>
      <c r="AC443" t="s">
        <v>74</v>
      </c>
      <c r="AD443" t="s">
        <v>74</v>
      </c>
      <c r="AE443" t="s">
        <v>74</v>
      </c>
      <c r="AF443" t="s">
        <v>74</v>
      </c>
      <c r="AG443">
        <v>58</v>
      </c>
      <c r="AH443">
        <v>3</v>
      </c>
      <c r="AI443">
        <v>3</v>
      </c>
      <c r="AJ443">
        <v>1</v>
      </c>
      <c r="AK443">
        <v>11</v>
      </c>
      <c r="AL443" t="s">
        <v>89</v>
      </c>
      <c r="AM443" t="s">
        <v>90</v>
      </c>
      <c r="AN443" t="s">
        <v>91</v>
      </c>
      <c r="AO443" t="s">
        <v>8952</v>
      </c>
      <c r="AP443" t="s">
        <v>8953</v>
      </c>
      <c r="AQ443" t="s">
        <v>74</v>
      </c>
      <c r="AR443" t="s">
        <v>8954</v>
      </c>
      <c r="AS443" t="s">
        <v>8955</v>
      </c>
      <c r="AT443" t="s">
        <v>8956</v>
      </c>
      <c r="AU443">
        <v>2024</v>
      </c>
      <c r="AV443">
        <v>15</v>
      </c>
      <c r="AW443">
        <v>3</v>
      </c>
      <c r="AX443" t="s">
        <v>74</v>
      </c>
      <c r="AY443" t="s">
        <v>74</v>
      </c>
      <c r="AZ443" t="s">
        <v>74</v>
      </c>
      <c r="BA443" t="s">
        <v>74</v>
      </c>
      <c r="BB443">
        <v>402</v>
      </c>
      <c r="BC443">
        <v>418</v>
      </c>
      <c r="BD443" t="s">
        <v>74</v>
      </c>
      <c r="BE443" t="s">
        <v>8957</v>
      </c>
      <c r="BF443" t="str">
        <f>HYPERLINK("http://dx.doi.org/10.1108/AJEMS-09-2022-0391","http://dx.doi.org/10.1108/AJEMS-09-2022-0391")</f>
        <v>http://dx.doi.org/10.1108/AJEMS-09-2022-0391</v>
      </c>
      <c r="BG443" t="s">
        <v>74</v>
      </c>
      <c r="BH443" t="s">
        <v>3535</v>
      </c>
      <c r="BI443">
        <v>17</v>
      </c>
      <c r="BJ443" t="s">
        <v>291</v>
      </c>
      <c r="BK443" t="s">
        <v>313</v>
      </c>
      <c r="BL443" t="s">
        <v>100</v>
      </c>
      <c r="BM443" t="s">
        <v>8958</v>
      </c>
      <c r="BN443" t="s">
        <v>74</v>
      </c>
      <c r="BO443" t="s">
        <v>74</v>
      </c>
      <c r="BP443" t="s">
        <v>74</v>
      </c>
      <c r="BQ443" t="s">
        <v>74</v>
      </c>
      <c r="BR443" t="s">
        <v>102</v>
      </c>
      <c r="BS443" t="s">
        <v>8959</v>
      </c>
      <c r="BT443" t="str">
        <f>HYPERLINK("https%3A%2F%2Fwww.webofscience.com%2Fwos%2Fwoscc%2Ffull-record%2FWOS:001103768400001","View Full Record in Web of Science")</f>
        <v>View Full Record in Web of Science</v>
      </c>
    </row>
    <row r="444" spans="1:72" x14ac:dyDescent="0.25">
      <c r="A444" t="s">
        <v>72</v>
      </c>
      <c r="B444" t="s">
        <v>8960</v>
      </c>
      <c r="C444" t="s">
        <v>74</v>
      </c>
      <c r="D444" t="s">
        <v>74</v>
      </c>
      <c r="E444" t="s">
        <v>74</v>
      </c>
      <c r="F444" t="s">
        <v>8961</v>
      </c>
      <c r="G444" t="s">
        <v>74</v>
      </c>
      <c r="H444" t="s">
        <v>74</v>
      </c>
      <c r="I444" t="s">
        <v>8962</v>
      </c>
      <c r="J444" t="s">
        <v>4208</v>
      </c>
      <c r="K444" t="s">
        <v>74</v>
      </c>
      <c r="L444" t="s">
        <v>74</v>
      </c>
      <c r="M444" t="s">
        <v>78</v>
      </c>
      <c r="N444" t="s">
        <v>79</v>
      </c>
      <c r="O444" t="s">
        <v>74</v>
      </c>
      <c r="P444" t="s">
        <v>74</v>
      </c>
      <c r="Q444" t="s">
        <v>74</v>
      </c>
      <c r="R444" t="s">
        <v>74</v>
      </c>
      <c r="S444" t="s">
        <v>74</v>
      </c>
      <c r="T444" t="s">
        <v>74</v>
      </c>
      <c r="U444" t="s">
        <v>8963</v>
      </c>
      <c r="V444" t="s">
        <v>8964</v>
      </c>
      <c r="W444" t="s">
        <v>8965</v>
      </c>
      <c r="X444" t="s">
        <v>8966</v>
      </c>
      <c r="Y444" t="s">
        <v>8967</v>
      </c>
      <c r="Z444" t="s">
        <v>8968</v>
      </c>
      <c r="AA444" t="s">
        <v>8969</v>
      </c>
      <c r="AB444" t="s">
        <v>74</v>
      </c>
      <c r="AC444" t="s">
        <v>74</v>
      </c>
      <c r="AD444" t="s">
        <v>74</v>
      </c>
      <c r="AE444" t="s">
        <v>74</v>
      </c>
      <c r="AF444" t="s">
        <v>74</v>
      </c>
      <c r="AG444">
        <v>86</v>
      </c>
      <c r="AH444">
        <v>9</v>
      </c>
      <c r="AI444">
        <v>10</v>
      </c>
      <c r="AJ444">
        <v>7</v>
      </c>
      <c r="AK444">
        <v>17</v>
      </c>
      <c r="AL444" t="s">
        <v>4218</v>
      </c>
      <c r="AM444" t="s">
        <v>4219</v>
      </c>
      <c r="AN444" t="s">
        <v>4220</v>
      </c>
      <c r="AO444" t="s">
        <v>74</v>
      </c>
      <c r="AP444" t="s">
        <v>4221</v>
      </c>
      <c r="AQ444" t="s">
        <v>74</v>
      </c>
      <c r="AR444" t="s">
        <v>4208</v>
      </c>
      <c r="AS444" t="s">
        <v>4222</v>
      </c>
      <c r="AT444" t="s">
        <v>8970</v>
      </c>
      <c r="AU444">
        <v>2024</v>
      </c>
      <c r="AV444">
        <v>19</v>
      </c>
      <c r="AW444">
        <v>12</v>
      </c>
      <c r="AX444" t="s">
        <v>74</v>
      </c>
      <c r="AY444" t="s">
        <v>74</v>
      </c>
      <c r="AZ444" t="s">
        <v>74</v>
      </c>
      <c r="BA444" t="s">
        <v>74</v>
      </c>
      <c r="BB444" t="s">
        <v>74</v>
      </c>
      <c r="BC444" t="s">
        <v>74</v>
      </c>
      <c r="BD444" t="s">
        <v>8971</v>
      </c>
      <c r="BE444" t="s">
        <v>8972</v>
      </c>
      <c r="BF444" t="str">
        <f>HYPERLINK("http://dx.doi.org/10.1371/journal.pone.0315174","http://dx.doi.org/10.1371/journal.pone.0315174")</f>
        <v>http://dx.doi.org/10.1371/journal.pone.0315174</v>
      </c>
      <c r="BG444" t="s">
        <v>74</v>
      </c>
      <c r="BH444" t="s">
        <v>74</v>
      </c>
      <c r="BI444">
        <v>22</v>
      </c>
      <c r="BJ444" t="s">
        <v>559</v>
      </c>
      <c r="BK444" t="s">
        <v>128</v>
      </c>
      <c r="BL444" t="s">
        <v>560</v>
      </c>
      <c r="BM444" t="s">
        <v>8973</v>
      </c>
      <c r="BN444">
        <v>39637120</v>
      </c>
      <c r="BO444" t="s">
        <v>916</v>
      </c>
      <c r="BP444" t="s">
        <v>74</v>
      </c>
      <c r="BQ444" t="s">
        <v>74</v>
      </c>
      <c r="BR444" t="s">
        <v>102</v>
      </c>
      <c r="BS444" t="s">
        <v>8974</v>
      </c>
      <c r="BT444" t="str">
        <f>HYPERLINK("https%3A%2F%2Fwww.webofscience.com%2Fwos%2Fwoscc%2Ffull-record%2FWOS:001383041800204","View Full Record in Web of Science")</f>
        <v>View Full Record in Web of Science</v>
      </c>
    </row>
    <row r="445" spans="1:72" x14ac:dyDescent="0.25">
      <c r="A445" t="s">
        <v>72</v>
      </c>
      <c r="B445" t="s">
        <v>8975</v>
      </c>
      <c r="C445" t="s">
        <v>74</v>
      </c>
      <c r="D445" t="s">
        <v>74</v>
      </c>
      <c r="E445" t="s">
        <v>74</v>
      </c>
      <c r="F445" t="s">
        <v>8976</v>
      </c>
      <c r="G445" t="s">
        <v>74</v>
      </c>
      <c r="H445" t="s">
        <v>74</v>
      </c>
      <c r="I445" t="s">
        <v>8977</v>
      </c>
      <c r="J445" t="s">
        <v>4842</v>
      </c>
      <c r="K445" t="s">
        <v>74</v>
      </c>
      <c r="L445" t="s">
        <v>74</v>
      </c>
      <c r="M445" t="s">
        <v>78</v>
      </c>
      <c r="N445" t="s">
        <v>79</v>
      </c>
      <c r="O445" t="s">
        <v>74</v>
      </c>
      <c r="P445" t="s">
        <v>74</v>
      </c>
      <c r="Q445" t="s">
        <v>74</v>
      </c>
      <c r="R445" t="s">
        <v>74</v>
      </c>
      <c r="S445" t="s">
        <v>74</v>
      </c>
      <c r="T445" t="s">
        <v>8978</v>
      </c>
      <c r="U445" t="s">
        <v>6145</v>
      </c>
      <c r="V445" t="s">
        <v>8979</v>
      </c>
      <c r="W445" t="s">
        <v>8980</v>
      </c>
      <c r="X445" t="s">
        <v>74</v>
      </c>
      <c r="Y445" t="s">
        <v>8981</v>
      </c>
      <c r="Z445" t="s">
        <v>8982</v>
      </c>
      <c r="AA445" t="s">
        <v>8983</v>
      </c>
      <c r="AB445" t="s">
        <v>8984</v>
      </c>
      <c r="AC445" t="s">
        <v>74</v>
      </c>
      <c r="AD445" t="s">
        <v>74</v>
      </c>
      <c r="AE445" t="s">
        <v>74</v>
      </c>
      <c r="AF445" t="s">
        <v>74</v>
      </c>
      <c r="AG445">
        <v>39</v>
      </c>
      <c r="AH445">
        <v>13</v>
      </c>
      <c r="AI445">
        <v>17</v>
      </c>
      <c r="AJ445">
        <v>0</v>
      </c>
      <c r="AK445">
        <v>24</v>
      </c>
      <c r="AL445" t="s">
        <v>2481</v>
      </c>
      <c r="AM445" t="s">
        <v>2482</v>
      </c>
      <c r="AN445" t="s">
        <v>2483</v>
      </c>
      <c r="AO445" t="s">
        <v>4853</v>
      </c>
      <c r="AP445" t="s">
        <v>74</v>
      </c>
      <c r="AQ445" t="s">
        <v>74</v>
      </c>
      <c r="AR445" t="s">
        <v>4854</v>
      </c>
      <c r="AS445" t="s">
        <v>4855</v>
      </c>
      <c r="AT445" t="s">
        <v>2970</v>
      </c>
      <c r="AU445">
        <v>2023</v>
      </c>
      <c r="AV445">
        <v>10</v>
      </c>
      <c r="AW445">
        <v>1</v>
      </c>
      <c r="AX445" t="s">
        <v>74</v>
      </c>
      <c r="AY445" t="s">
        <v>74</v>
      </c>
      <c r="AZ445" t="s">
        <v>74</v>
      </c>
      <c r="BA445" t="s">
        <v>74</v>
      </c>
      <c r="BB445" t="s">
        <v>74</v>
      </c>
      <c r="BC445" t="s">
        <v>74</v>
      </c>
      <c r="BD445">
        <v>2167291</v>
      </c>
      <c r="BE445" t="s">
        <v>8985</v>
      </c>
      <c r="BF445" t="str">
        <f>HYPERLINK("http://dx.doi.org/10.1080/23311975.2023.2167291","http://dx.doi.org/10.1080/23311975.2023.2167291")</f>
        <v>http://dx.doi.org/10.1080/23311975.2023.2167291</v>
      </c>
      <c r="BG445" t="s">
        <v>74</v>
      </c>
      <c r="BH445" t="s">
        <v>74</v>
      </c>
      <c r="BI445">
        <v>22</v>
      </c>
      <c r="BJ445" t="s">
        <v>418</v>
      </c>
      <c r="BK445" t="s">
        <v>313</v>
      </c>
      <c r="BL445" t="s">
        <v>100</v>
      </c>
      <c r="BM445" t="s">
        <v>8986</v>
      </c>
      <c r="BN445" t="s">
        <v>74</v>
      </c>
      <c r="BO445" t="s">
        <v>916</v>
      </c>
      <c r="BP445" t="s">
        <v>74</v>
      </c>
      <c r="BQ445" t="s">
        <v>74</v>
      </c>
      <c r="BR445" t="s">
        <v>102</v>
      </c>
      <c r="BS445" t="s">
        <v>8987</v>
      </c>
      <c r="BT445" t="str">
        <f>HYPERLINK("https%3A%2F%2Fwww.webofscience.com%2Fwos%2Fwoscc%2Ffull-record%2FWOS:000914126800001","View Full Record in Web of Science")</f>
        <v>View Full Record in Web of Science</v>
      </c>
    </row>
    <row r="446" spans="1:72" x14ac:dyDescent="0.25">
      <c r="A446" t="s">
        <v>132</v>
      </c>
      <c r="B446" t="s">
        <v>8988</v>
      </c>
      <c r="C446" t="s">
        <v>74</v>
      </c>
      <c r="D446" t="s">
        <v>8989</v>
      </c>
      <c r="E446" t="s">
        <v>74</v>
      </c>
      <c r="F446" t="s">
        <v>8990</v>
      </c>
      <c r="G446" t="s">
        <v>74</v>
      </c>
      <c r="H446" t="s">
        <v>74</v>
      </c>
      <c r="I446" t="s">
        <v>8991</v>
      </c>
      <c r="J446" t="s">
        <v>8992</v>
      </c>
      <c r="K446" t="s">
        <v>1049</v>
      </c>
      <c r="L446" t="s">
        <v>74</v>
      </c>
      <c r="M446" t="s">
        <v>78</v>
      </c>
      <c r="N446" t="s">
        <v>138</v>
      </c>
      <c r="O446" t="s">
        <v>8993</v>
      </c>
      <c r="P446" t="s">
        <v>8994</v>
      </c>
      <c r="Q446" t="s">
        <v>8995</v>
      </c>
      <c r="R446" t="s">
        <v>74</v>
      </c>
      <c r="S446" t="s">
        <v>74</v>
      </c>
      <c r="T446" t="s">
        <v>8996</v>
      </c>
      <c r="U446" t="s">
        <v>8997</v>
      </c>
      <c r="V446" t="s">
        <v>8998</v>
      </c>
      <c r="W446" t="s">
        <v>8999</v>
      </c>
      <c r="X446" t="s">
        <v>9000</v>
      </c>
      <c r="Y446" t="s">
        <v>9001</v>
      </c>
      <c r="Z446" t="s">
        <v>9002</v>
      </c>
      <c r="AA446" t="s">
        <v>9003</v>
      </c>
      <c r="AB446" t="s">
        <v>9004</v>
      </c>
      <c r="AC446" t="s">
        <v>74</v>
      </c>
      <c r="AD446" t="s">
        <v>74</v>
      </c>
      <c r="AE446" t="s">
        <v>74</v>
      </c>
      <c r="AF446" t="s">
        <v>74</v>
      </c>
      <c r="AG446">
        <v>24</v>
      </c>
      <c r="AH446">
        <v>0</v>
      </c>
      <c r="AI446">
        <v>0</v>
      </c>
      <c r="AJ446">
        <v>0</v>
      </c>
      <c r="AK446">
        <v>2</v>
      </c>
      <c r="AL446" t="s">
        <v>2105</v>
      </c>
      <c r="AM446" t="s">
        <v>1890</v>
      </c>
      <c r="AN446" t="s">
        <v>4110</v>
      </c>
      <c r="AO446" t="s">
        <v>1063</v>
      </c>
      <c r="AP446" t="s">
        <v>1064</v>
      </c>
      <c r="AQ446" t="s">
        <v>9005</v>
      </c>
      <c r="AR446" t="s">
        <v>1066</v>
      </c>
      <c r="AS446" t="s">
        <v>74</v>
      </c>
      <c r="AT446" t="s">
        <v>74</v>
      </c>
      <c r="AU446">
        <v>2024</v>
      </c>
      <c r="AV446">
        <v>948</v>
      </c>
      <c r="AW446" t="s">
        <v>74</v>
      </c>
      <c r="AX446" t="s">
        <v>74</v>
      </c>
      <c r="AY446" t="s">
        <v>74</v>
      </c>
      <c r="AZ446" t="s">
        <v>74</v>
      </c>
      <c r="BA446" t="s">
        <v>74</v>
      </c>
      <c r="BB446">
        <v>409</v>
      </c>
      <c r="BC446">
        <v>417</v>
      </c>
      <c r="BD446" t="s">
        <v>74</v>
      </c>
      <c r="BE446" t="s">
        <v>9006</v>
      </c>
      <c r="BF446" t="str">
        <f>HYPERLINK("http://dx.doi.org/10.1007/978-981-97-1329-5_33","http://dx.doi.org/10.1007/978-981-97-1329-5_33")</f>
        <v>http://dx.doi.org/10.1007/978-981-97-1329-5_33</v>
      </c>
      <c r="BG446" t="s">
        <v>74</v>
      </c>
      <c r="BH446" t="s">
        <v>74</v>
      </c>
      <c r="BI446">
        <v>9</v>
      </c>
      <c r="BJ446" t="s">
        <v>9007</v>
      </c>
      <c r="BK446" t="s">
        <v>156</v>
      </c>
      <c r="BL446" t="s">
        <v>157</v>
      </c>
      <c r="BM446" t="s">
        <v>9008</v>
      </c>
      <c r="BN446" t="s">
        <v>74</v>
      </c>
      <c r="BO446" t="s">
        <v>74</v>
      </c>
      <c r="BP446" t="s">
        <v>74</v>
      </c>
      <c r="BQ446" t="s">
        <v>74</v>
      </c>
      <c r="BR446" t="s">
        <v>102</v>
      </c>
      <c r="BS446" t="s">
        <v>9009</v>
      </c>
      <c r="BT446" t="str">
        <f>HYPERLINK("https%3A%2F%2Fwww.webofscience.com%2Fwos%2Fwoscc%2Ffull-record%2FWOS:001291179100033","View Full Record in Web of Science")</f>
        <v>View Full Record in Web of Science</v>
      </c>
    </row>
    <row r="447" spans="1:72" x14ac:dyDescent="0.25">
      <c r="A447" t="s">
        <v>72</v>
      </c>
      <c r="B447" t="s">
        <v>9010</v>
      </c>
      <c r="C447" t="s">
        <v>74</v>
      </c>
      <c r="D447" t="s">
        <v>74</v>
      </c>
      <c r="E447" t="s">
        <v>74</v>
      </c>
      <c r="F447" t="s">
        <v>9011</v>
      </c>
      <c r="G447" t="s">
        <v>74</v>
      </c>
      <c r="H447" t="s">
        <v>74</v>
      </c>
      <c r="I447" t="s">
        <v>9012</v>
      </c>
      <c r="J447" t="s">
        <v>3439</v>
      </c>
      <c r="K447" t="s">
        <v>74</v>
      </c>
      <c r="L447" t="s">
        <v>74</v>
      </c>
      <c r="M447" t="s">
        <v>78</v>
      </c>
      <c r="N447" t="s">
        <v>79</v>
      </c>
      <c r="O447" t="s">
        <v>74</v>
      </c>
      <c r="P447" t="s">
        <v>74</v>
      </c>
      <c r="Q447" t="s">
        <v>74</v>
      </c>
      <c r="R447" t="s">
        <v>74</v>
      </c>
      <c r="S447" t="s">
        <v>74</v>
      </c>
      <c r="T447" t="s">
        <v>9013</v>
      </c>
      <c r="U447" t="s">
        <v>9014</v>
      </c>
      <c r="V447" t="s">
        <v>9015</v>
      </c>
      <c r="W447" t="s">
        <v>9016</v>
      </c>
      <c r="X447" t="s">
        <v>9017</v>
      </c>
      <c r="Y447" t="s">
        <v>9018</v>
      </c>
      <c r="Z447" t="s">
        <v>9019</v>
      </c>
      <c r="AA447" t="s">
        <v>9020</v>
      </c>
      <c r="AB447" t="s">
        <v>74</v>
      </c>
      <c r="AC447" t="s">
        <v>9021</v>
      </c>
      <c r="AD447" t="s">
        <v>9022</v>
      </c>
      <c r="AE447" t="s">
        <v>9023</v>
      </c>
      <c r="AF447" t="s">
        <v>74</v>
      </c>
      <c r="AG447">
        <v>60</v>
      </c>
      <c r="AH447">
        <v>4</v>
      </c>
      <c r="AI447">
        <v>5</v>
      </c>
      <c r="AJ447">
        <v>4</v>
      </c>
      <c r="AK447">
        <v>11</v>
      </c>
      <c r="AL447" t="s">
        <v>823</v>
      </c>
      <c r="AM447" t="s">
        <v>333</v>
      </c>
      <c r="AN447" t="s">
        <v>824</v>
      </c>
      <c r="AO447" t="s">
        <v>3443</v>
      </c>
      <c r="AP447" t="s">
        <v>74</v>
      </c>
      <c r="AQ447" t="s">
        <v>74</v>
      </c>
      <c r="AR447" t="s">
        <v>3444</v>
      </c>
      <c r="AS447" t="s">
        <v>3445</v>
      </c>
      <c r="AT447" t="s">
        <v>2970</v>
      </c>
      <c r="AU447">
        <v>2025</v>
      </c>
      <c r="AV447">
        <v>13</v>
      </c>
      <c r="AW447">
        <v>1</v>
      </c>
      <c r="AX447" t="s">
        <v>74</v>
      </c>
      <c r="AY447" t="s">
        <v>74</v>
      </c>
      <c r="AZ447" t="s">
        <v>74</v>
      </c>
      <c r="BA447" t="s">
        <v>74</v>
      </c>
      <c r="BB447" t="s">
        <v>74</v>
      </c>
      <c r="BC447" t="s">
        <v>74</v>
      </c>
      <c r="BD447">
        <v>2457486</v>
      </c>
      <c r="BE447" t="s">
        <v>9024</v>
      </c>
      <c r="BF447" t="str">
        <f>HYPERLINK("http://dx.doi.org/10.1080/23322039.2025.2457486","http://dx.doi.org/10.1080/23322039.2025.2457486")</f>
        <v>http://dx.doi.org/10.1080/23322039.2025.2457486</v>
      </c>
      <c r="BG447" t="s">
        <v>74</v>
      </c>
      <c r="BH447" t="s">
        <v>74</v>
      </c>
      <c r="BI447">
        <v>13</v>
      </c>
      <c r="BJ447" t="s">
        <v>291</v>
      </c>
      <c r="BK447" t="s">
        <v>313</v>
      </c>
      <c r="BL447" t="s">
        <v>100</v>
      </c>
      <c r="BM447" t="s">
        <v>9025</v>
      </c>
      <c r="BN447" t="s">
        <v>74</v>
      </c>
      <c r="BO447" t="s">
        <v>212</v>
      </c>
      <c r="BP447" t="s">
        <v>74</v>
      </c>
      <c r="BQ447" t="s">
        <v>74</v>
      </c>
      <c r="BR447" t="s">
        <v>102</v>
      </c>
      <c r="BS447" t="s">
        <v>9026</v>
      </c>
      <c r="BT447" t="str">
        <f>HYPERLINK("https%3A%2F%2Fwww.webofscience.com%2Fwos%2Fwoscc%2Ffull-record%2FWOS:001416972100001","View Full Record in Web of Science")</f>
        <v>View Full Record in Web of Science</v>
      </c>
    </row>
    <row r="448" spans="1:72" x14ac:dyDescent="0.25">
      <c r="A448" t="s">
        <v>72</v>
      </c>
      <c r="B448" t="s">
        <v>9027</v>
      </c>
      <c r="C448" t="s">
        <v>74</v>
      </c>
      <c r="D448" t="s">
        <v>74</v>
      </c>
      <c r="E448" t="s">
        <v>74</v>
      </c>
      <c r="F448" t="s">
        <v>9028</v>
      </c>
      <c r="G448" t="s">
        <v>74</v>
      </c>
      <c r="H448" t="s">
        <v>74</v>
      </c>
      <c r="I448" t="s">
        <v>9029</v>
      </c>
      <c r="J448" t="s">
        <v>493</v>
      </c>
      <c r="K448" t="s">
        <v>74</v>
      </c>
      <c r="L448" t="s">
        <v>74</v>
      </c>
      <c r="M448" t="s">
        <v>78</v>
      </c>
      <c r="N448" t="s">
        <v>79</v>
      </c>
      <c r="O448" t="s">
        <v>74</v>
      </c>
      <c r="P448" t="s">
        <v>74</v>
      </c>
      <c r="Q448" t="s">
        <v>74</v>
      </c>
      <c r="R448" t="s">
        <v>74</v>
      </c>
      <c r="S448" t="s">
        <v>74</v>
      </c>
      <c r="T448" t="s">
        <v>9030</v>
      </c>
      <c r="U448" t="s">
        <v>9031</v>
      </c>
      <c r="V448" t="s">
        <v>9032</v>
      </c>
      <c r="W448" t="s">
        <v>9033</v>
      </c>
      <c r="X448" t="s">
        <v>5335</v>
      </c>
      <c r="Y448" t="s">
        <v>9034</v>
      </c>
      <c r="Z448" t="s">
        <v>9035</v>
      </c>
      <c r="AA448" t="s">
        <v>74</v>
      </c>
      <c r="AB448" t="s">
        <v>9036</v>
      </c>
      <c r="AC448" t="s">
        <v>74</v>
      </c>
      <c r="AD448" t="s">
        <v>74</v>
      </c>
      <c r="AE448" t="s">
        <v>74</v>
      </c>
      <c r="AF448" t="s">
        <v>74</v>
      </c>
      <c r="AG448">
        <v>43</v>
      </c>
      <c r="AH448">
        <v>4</v>
      </c>
      <c r="AI448">
        <v>5</v>
      </c>
      <c r="AJ448">
        <v>7</v>
      </c>
      <c r="AK448">
        <v>11</v>
      </c>
      <c r="AL448" t="s">
        <v>503</v>
      </c>
      <c r="AM448" t="s">
        <v>151</v>
      </c>
      <c r="AN448" t="s">
        <v>504</v>
      </c>
      <c r="AO448" t="s">
        <v>505</v>
      </c>
      <c r="AP448" t="s">
        <v>506</v>
      </c>
      <c r="AQ448" t="s">
        <v>74</v>
      </c>
      <c r="AR448" t="s">
        <v>507</v>
      </c>
      <c r="AS448" t="s">
        <v>508</v>
      </c>
      <c r="AT448" t="s">
        <v>2801</v>
      </c>
      <c r="AU448">
        <v>2024</v>
      </c>
      <c r="AV448">
        <v>46</v>
      </c>
      <c r="AW448">
        <v>3</v>
      </c>
      <c r="AX448" t="s">
        <v>74</v>
      </c>
      <c r="AY448" t="s">
        <v>74</v>
      </c>
      <c r="AZ448" t="s">
        <v>74</v>
      </c>
      <c r="BA448" t="s">
        <v>74</v>
      </c>
      <c r="BB448">
        <v>655</v>
      </c>
      <c r="BC448">
        <v>682</v>
      </c>
      <c r="BD448" t="s">
        <v>74</v>
      </c>
      <c r="BE448" t="s">
        <v>9037</v>
      </c>
      <c r="BF448" t="str">
        <f>HYPERLINK("http://dx.doi.org/10.1016/j.jpolmod.2024.03.002","http://dx.doi.org/10.1016/j.jpolmod.2024.03.002")</f>
        <v>http://dx.doi.org/10.1016/j.jpolmod.2024.03.002</v>
      </c>
      <c r="BG448" t="s">
        <v>74</v>
      </c>
      <c r="BH448" t="s">
        <v>5285</v>
      </c>
      <c r="BI448">
        <v>28</v>
      </c>
      <c r="BJ448" t="s">
        <v>291</v>
      </c>
      <c r="BK448" t="s">
        <v>99</v>
      </c>
      <c r="BL448" t="s">
        <v>100</v>
      </c>
      <c r="BM448" t="s">
        <v>9038</v>
      </c>
      <c r="BN448" t="s">
        <v>74</v>
      </c>
      <c r="BO448" t="s">
        <v>74</v>
      </c>
      <c r="BP448" t="s">
        <v>74</v>
      </c>
      <c r="BQ448" t="s">
        <v>74</v>
      </c>
      <c r="BR448" t="s">
        <v>102</v>
      </c>
      <c r="BS448" t="s">
        <v>9039</v>
      </c>
      <c r="BT448" t="str">
        <f>HYPERLINK("https%3A%2F%2Fwww.webofscience.com%2Fwos%2Fwoscc%2Ffull-record%2FWOS:001247340000001","View Full Record in Web of Science")</f>
        <v>View Full Record in Web of Science</v>
      </c>
    </row>
    <row r="449" spans="1:72" x14ac:dyDescent="0.25">
      <c r="A449" t="s">
        <v>132</v>
      </c>
      <c r="B449" t="s">
        <v>9040</v>
      </c>
      <c r="C449" t="s">
        <v>74</v>
      </c>
      <c r="D449" t="s">
        <v>9041</v>
      </c>
      <c r="E449" t="s">
        <v>74</v>
      </c>
      <c r="F449" t="s">
        <v>9042</v>
      </c>
      <c r="G449" t="s">
        <v>74</v>
      </c>
      <c r="H449" t="s">
        <v>74</v>
      </c>
      <c r="I449" t="s">
        <v>9043</v>
      </c>
      <c r="J449" t="s">
        <v>9044</v>
      </c>
      <c r="K449" t="s">
        <v>2425</v>
      </c>
      <c r="L449" t="s">
        <v>74</v>
      </c>
      <c r="M449" t="s">
        <v>78</v>
      </c>
      <c r="N449" t="s">
        <v>138</v>
      </c>
      <c r="O449" t="s">
        <v>9045</v>
      </c>
      <c r="P449" t="s">
        <v>9046</v>
      </c>
      <c r="Q449" t="s">
        <v>9047</v>
      </c>
      <c r="R449" t="s">
        <v>9048</v>
      </c>
      <c r="S449" t="s">
        <v>74</v>
      </c>
      <c r="T449" t="s">
        <v>9049</v>
      </c>
      <c r="U449" t="s">
        <v>74</v>
      </c>
      <c r="V449" t="s">
        <v>9050</v>
      </c>
      <c r="W449" t="s">
        <v>9051</v>
      </c>
      <c r="X449" t="s">
        <v>9052</v>
      </c>
      <c r="Y449" t="s">
        <v>9053</v>
      </c>
      <c r="Z449" t="s">
        <v>9054</v>
      </c>
      <c r="AA449" t="s">
        <v>74</v>
      </c>
      <c r="AB449" t="s">
        <v>74</v>
      </c>
      <c r="AC449" t="s">
        <v>74</v>
      </c>
      <c r="AD449" t="s">
        <v>74</v>
      </c>
      <c r="AE449" t="s">
        <v>74</v>
      </c>
      <c r="AF449" t="s">
        <v>74</v>
      </c>
      <c r="AG449">
        <v>34</v>
      </c>
      <c r="AH449">
        <v>1</v>
      </c>
      <c r="AI449">
        <v>2</v>
      </c>
      <c r="AJ449">
        <v>0</v>
      </c>
      <c r="AK449">
        <v>0</v>
      </c>
      <c r="AL449" t="s">
        <v>1062</v>
      </c>
      <c r="AM449" t="s">
        <v>667</v>
      </c>
      <c r="AN449" t="s">
        <v>668</v>
      </c>
      <c r="AO449" t="s">
        <v>2437</v>
      </c>
      <c r="AP449" t="s">
        <v>2438</v>
      </c>
      <c r="AQ449" t="s">
        <v>9055</v>
      </c>
      <c r="AR449" t="s">
        <v>2440</v>
      </c>
      <c r="AS449" t="s">
        <v>74</v>
      </c>
      <c r="AT449" t="s">
        <v>74</v>
      </c>
      <c r="AU449">
        <v>2017</v>
      </c>
      <c r="AV449">
        <v>10428</v>
      </c>
      <c r="AW449" t="s">
        <v>74</v>
      </c>
      <c r="AX449" t="s">
        <v>74</v>
      </c>
      <c r="AY449" t="s">
        <v>74</v>
      </c>
      <c r="AZ449" t="s">
        <v>74</v>
      </c>
      <c r="BA449" t="s">
        <v>74</v>
      </c>
      <c r="BB449">
        <v>199</v>
      </c>
      <c r="BC449">
        <v>211</v>
      </c>
      <c r="BD449" t="s">
        <v>74</v>
      </c>
      <c r="BE449" t="s">
        <v>9056</v>
      </c>
      <c r="BF449" t="str">
        <f>HYPERLINK("http://dx.doi.org/10.1007/978-3-319-64677-0_17","http://dx.doi.org/10.1007/978-3-319-64677-0_17")</f>
        <v>http://dx.doi.org/10.1007/978-3-319-64677-0_17</v>
      </c>
      <c r="BG449" t="s">
        <v>74</v>
      </c>
      <c r="BH449" t="s">
        <v>74</v>
      </c>
      <c r="BI449">
        <v>13</v>
      </c>
      <c r="BJ449" t="s">
        <v>9057</v>
      </c>
      <c r="BK449" t="s">
        <v>1069</v>
      </c>
      <c r="BL449" t="s">
        <v>9058</v>
      </c>
      <c r="BM449" t="s">
        <v>9059</v>
      </c>
      <c r="BN449" t="s">
        <v>74</v>
      </c>
      <c r="BO449" t="s">
        <v>1696</v>
      </c>
      <c r="BP449" t="s">
        <v>74</v>
      </c>
      <c r="BQ449" t="s">
        <v>74</v>
      </c>
      <c r="BR449" t="s">
        <v>102</v>
      </c>
      <c r="BS449" t="s">
        <v>9060</v>
      </c>
      <c r="BT449" t="str">
        <f>HYPERLINK("https%3A%2F%2Fwww.webofscience.com%2Fwos%2Fwoscc%2Ffull-record%2FWOS:000769669600017","View Full Record in Web of Science")</f>
        <v>View Full Record in Web of Science</v>
      </c>
    </row>
    <row r="450" spans="1:72" x14ac:dyDescent="0.25">
      <c r="A450" t="s">
        <v>72</v>
      </c>
      <c r="B450" t="s">
        <v>9061</v>
      </c>
      <c r="C450" t="s">
        <v>74</v>
      </c>
      <c r="D450" t="s">
        <v>74</v>
      </c>
      <c r="E450" t="s">
        <v>74</v>
      </c>
      <c r="F450" t="s">
        <v>9062</v>
      </c>
      <c r="G450" t="s">
        <v>74</v>
      </c>
      <c r="H450" t="s">
        <v>74</v>
      </c>
      <c r="I450" t="s">
        <v>9063</v>
      </c>
      <c r="J450" t="s">
        <v>877</v>
      </c>
      <c r="K450" t="s">
        <v>74</v>
      </c>
      <c r="L450" t="s">
        <v>74</v>
      </c>
      <c r="M450" t="s">
        <v>78</v>
      </c>
      <c r="N450" t="s">
        <v>79</v>
      </c>
      <c r="O450" t="s">
        <v>74</v>
      </c>
      <c r="P450" t="s">
        <v>74</v>
      </c>
      <c r="Q450" t="s">
        <v>74</v>
      </c>
      <c r="R450" t="s">
        <v>74</v>
      </c>
      <c r="S450" t="s">
        <v>74</v>
      </c>
      <c r="T450" t="s">
        <v>9064</v>
      </c>
      <c r="U450" t="s">
        <v>9065</v>
      </c>
      <c r="V450" t="s">
        <v>9066</v>
      </c>
      <c r="W450" t="s">
        <v>9067</v>
      </c>
      <c r="X450" t="s">
        <v>9068</v>
      </c>
      <c r="Y450" t="s">
        <v>9069</v>
      </c>
      <c r="Z450" t="s">
        <v>9070</v>
      </c>
      <c r="AA450" t="s">
        <v>9071</v>
      </c>
      <c r="AB450" t="s">
        <v>9072</v>
      </c>
      <c r="AC450" t="s">
        <v>74</v>
      </c>
      <c r="AD450" t="s">
        <v>74</v>
      </c>
      <c r="AE450" t="s">
        <v>74</v>
      </c>
      <c r="AF450" t="s">
        <v>74</v>
      </c>
      <c r="AG450">
        <v>32</v>
      </c>
      <c r="AH450">
        <v>2</v>
      </c>
      <c r="AI450">
        <v>2</v>
      </c>
      <c r="AJ450">
        <v>0</v>
      </c>
      <c r="AK450">
        <v>16</v>
      </c>
      <c r="AL450" t="s">
        <v>884</v>
      </c>
      <c r="AM450" t="s">
        <v>5203</v>
      </c>
      <c r="AN450" t="s">
        <v>5204</v>
      </c>
      <c r="AO450" t="s">
        <v>887</v>
      </c>
      <c r="AP450" t="s">
        <v>888</v>
      </c>
      <c r="AQ450" t="s">
        <v>74</v>
      </c>
      <c r="AR450" t="s">
        <v>889</v>
      </c>
      <c r="AS450" t="s">
        <v>890</v>
      </c>
      <c r="AT450" t="s">
        <v>124</v>
      </c>
      <c r="AU450">
        <v>2021</v>
      </c>
      <c r="AV450">
        <v>8</v>
      </c>
      <c r="AW450">
        <v>12</v>
      </c>
      <c r="AX450" t="s">
        <v>74</v>
      </c>
      <c r="AY450" t="s">
        <v>74</v>
      </c>
      <c r="AZ450" t="s">
        <v>74</v>
      </c>
      <c r="BA450" t="s">
        <v>74</v>
      </c>
      <c r="BB450">
        <v>363</v>
      </c>
      <c r="BC450">
        <v>370</v>
      </c>
      <c r="BD450" t="s">
        <v>74</v>
      </c>
      <c r="BE450" t="s">
        <v>9073</v>
      </c>
      <c r="BF450" t="str">
        <f>HYPERLINK("http://dx.doi.org/10.13106/jafeb.2021.vol8.no12.0363","http://dx.doi.org/10.13106/jafeb.2021.vol8.no12.0363")</f>
        <v>http://dx.doi.org/10.13106/jafeb.2021.vol8.no12.0363</v>
      </c>
      <c r="BG450" t="s">
        <v>74</v>
      </c>
      <c r="BH450" t="s">
        <v>74</v>
      </c>
      <c r="BI450">
        <v>8</v>
      </c>
      <c r="BJ450" t="s">
        <v>418</v>
      </c>
      <c r="BK450" t="s">
        <v>313</v>
      </c>
      <c r="BL450" t="s">
        <v>100</v>
      </c>
      <c r="BM450" t="s">
        <v>9074</v>
      </c>
      <c r="BN450" t="s">
        <v>74</v>
      </c>
      <c r="BO450" t="s">
        <v>74</v>
      </c>
      <c r="BP450" t="s">
        <v>74</v>
      </c>
      <c r="BQ450" t="s">
        <v>74</v>
      </c>
      <c r="BR450" t="s">
        <v>102</v>
      </c>
      <c r="BS450" t="s">
        <v>9075</v>
      </c>
      <c r="BT450" t="str">
        <f>HYPERLINK("https%3A%2F%2Fwww.webofscience.com%2Fwos%2Fwoscc%2Ffull-record%2FWOS:000756204000036","View Full Record in Web of Science")</f>
        <v>View Full Record in Web of Science</v>
      </c>
    </row>
    <row r="451" spans="1:72" x14ac:dyDescent="0.25">
      <c r="A451" t="s">
        <v>72</v>
      </c>
      <c r="B451" t="s">
        <v>9076</v>
      </c>
      <c r="C451" t="s">
        <v>74</v>
      </c>
      <c r="D451" t="s">
        <v>74</v>
      </c>
      <c r="E451" t="s">
        <v>74</v>
      </c>
      <c r="F451" t="s">
        <v>9077</v>
      </c>
      <c r="G451" t="s">
        <v>74</v>
      </c>
      <c r="H451" t="s">
        <v>74</v>
      </c>
      <c r="I451" t="s">
        <v>9078</v>
      </c>
      <c r="J451" t="s">
        <v>9079</v>
      </c>
      <c r="K451" t="s">
        <v>74</v>
      </c>
      <c r="L451" t="s">
        <v>74</v>
      </c>
      <c r="M451" t="s">
        <v>78</v>
      </c>
      <c r="N451" t="s">
        <v>79</v>
      </c>
      <c r="O451" t="s">
        <v>74</v>
      </c>
      <c r="P451" t="s">
        <v>74</v>
      </c>
      <c r="Q451" t="s">
        <v>74</v>
      </c>
      <c r="R451" t="s">
        <v>74</v>
      </c>
      <c r="S451" t="s">
        <v>74</v>
      </c>
      <c r="T451" t="s">
        <v>74</v>
      </c>
      <c r="U451" t="s">
        <v>74</v>
      </c>
      <c r="V451" t="s">
        <v>9080</v>
      </c>
      <c r="W451" t="s">
        <v>9081</v>
      </c>
      <c r="X451" t="s">
        <v>9082</v>
      </c>
      <c r="Y451" t="s">
        <v>9083</v>
      </c>
      <c r="Z451" t="s">
        <v>9084</v>
      </c>
      <c r="AA451" t="s">
        <v>9085</v>
      </c>
      <c r="AB451" t="s">
        <v>9086</v>
      </c>
      <c r="AC451" t="s">
        <v>9087</v>
      </c>
      <c r="AD451" t="s">
        <v>9088</v>
      </c>
      <c r="AE451" t="s">
        <v>9089</v>
      </c>
      <c r="AF451" t="s">
        <v>74</v>
      </c>
      <c r="AG451">
        <v>39</v>
      </c>
      <c r="AH451">
        <v>6</v>
      </c>
      <c r="AI451">
        <v>8</v>
      </c>
      <c r="AJ451">
        <v>4</v>
      </c>
      <c r="AK451">
        <v>33</v>
      </c>
      <c r="AL451" t="s">
        <v>9090</v>
      </c>
      <c r="AM451" t="s">
        <v>995</v>
      </c>
      <c r="AN451" t="s">
        <v>9091</v>
      </c>
      <c r="AO451" t="s">
        <v>9092</v>
      </c>
      <c r="AP451" t="s">
        <v>9093</v>
      </c>
      <c r="AQ451" t="s">
        <v>74</v>
      </c>
      <c r="AR451" t="s">
        <v>9094</v>
      </c>
      <c r="AS451" t="s">
        <v>9095</v>
      </c>
      <c r="AT451" t="s">
        <v>9096</v>
      </c>
      <c r="AU451">
        <v>2022</v>
      </c>
      <c r="AV451">
        <v>2022</v>
      </c>
      <c r="AW451" t="s">
        <v>74</v>
      </c>
      <c r="AX451" t="s">
        <v>74</v>
      </c>
      <c r="AY451" t="s">
        <v>74</v>
      </c>
      <c r="AZ451" t="s">
        <v>74</v>
      </c>
      <c r="BA451" t="s">
        <v>74</v>
      </c>
      <c r="BB451" t="s">
        <v>74</v>
      </c>
      <c r="BC451" t="s">
        <v>74</v>
      </c>
      <c r="BD451">
        <v>2792639</v>
      </c>
      <c r="BE451" t="s">
        <v>9097</v>
      </c>
      <c r="BF451" t="str">
        <f>HYPERLINK("http://dx.doi.org/10.1155/2022/2792639","http://dx.doi.org/10.1155/2022/2792639")</f>
        <v>http://dx.doi.org/10.1155/2022/2792639</v>
      </c>
      <c r="BG451" t="s">
        <v>74</v>
      </c>
      <c r="BH451" t="s">
        <v>74</v>
      </c>
      <c r="BI451">
        <v>9</v>
      </c>
      <c r="BJ451" t="s">
        <v>3467</v>
      </c>
      <c r="BK451" t="s">
        <v>128</v>
      </c>
      <c r="BL451" t="s">
        <v>1023</v>
      </c>
      <c r="BM451" t="s">
        <v>9098</v>
      </c>
      <c r="BN451" t="s">
        <v>74</v>
      </c>
      <c r="BO451" t="s">
        <v>270</v>
      </c>
      <c r="BP451" t="s">
        <v>74</v>
      </c>
      <c r="BQ451" t="s">
        <v>74</v>
      </c>
      <c r="BR451" t="s">
        <v>102</v>
      </c>
      <c r="BS451" t="s">
        <v>9099</v>
      </c>
      <c r="BT451" t="str">
        <f>HYPERLINK("https%3A%2F%2Fwww.webofscience.com%2Fwos%2Fwoscc%2Ffull-record%2FWOS:000797534900006","View Full Record in Web of Science")</f>
        <v>View Full Record in Web of Science</v>
      </c>
    </row>
    <row r="452" spans="1:72" x14ac:dyDescent="0.25">
      <c r="A452" t="s">
        <v>72</v>
      </c>
      <c r="B452" t="s">
        <v>9100</v>
      </c>
      <c r="C452" t="s">
        <v>74</v>
      </c>
      <c r="D452" t="s">
        <v>74</v>
      </c>
      <c r="E452" t="s">
        <v>74</v>
      </c>
      <c r="F452" t="s">
        <v>9101</v>
      </c>
      <c r="G452" t="s">
        <v>74</v>
      </c>
      <c r="H452" t="s">
        <v>74</v>
      </c>
      <c r="I452" t="s">
        <v>9102</v>
      </c>
      <c r="J452" t="s">
        <v>246</v>
      </c>
      <c r="K452" t="s">
        <v>74</v>
      </c>
      <c r="L452" t="s">
        <v>74</v>
      </c>
      <c r="M452" t="s">
        <v>78</v>
      </c>
      <c r="N452" t="s">
        <v>79</v>
      </c>
      <c r="O452" t="s">
        <v>74</v>
      </c>
      <c r="P452" t="s">
        <v>74</v>
      </c>
      <c r="Q452" t="s">
        <v>74</v>
      </c>
      <c r="R452" t="s">
        <v>74</v>
      </c>
      <c r="S452" t="s">
        <v>74</v>
      </c>
      <c r="T452" t="s">
        <v>9103</v>
      </c>
      <c r="U452" t="s">
        <v>74</v>
      </c>
      <c r="V452" t="s">
        <v>9104</v>
      </c>
      <c r="W452" t="s">
        <v>9105</v>
      </c>
      <c r="X452" t="s">
        <v>9106</v>
      </c>
      <c r="Y452" t="s">
        <v>9107</v>
      </c>
      <c r="Z452" t="s">
        <v>9108</v>
      </c>
      <c r="AA452" t="s">
        <v>74</v>
      </c>
      <c r="AB452" t="s">
        <v>74</v>
      </c>
      <c r="AC452" t="s">
        <v>74</v>
      </c>
      <c r="AD452" t="s">
        <v>74</v>
      </c>
      <c r="AE452" t="s">
        <v>74</v>
      </c>
      <c r="AF452" t="s">
        <v>74</v>
      </c>
      <c r="AG452">
        <v>19</v>
      </c>
      <c r="AH452">
        <v>5</v>
      </c>
      <c r="AI452">
        <v>5</v>
      </c>
      <c r="AJ452">
        <v>32</v>
      </c>
      <c r="AK452">
        <v>32</v>
      </c>
      <c r="AL452" t="s">
        <v>259</v>
      </c>
      <c r="AM452" t="s">
        <v>260</v>
      </c>
      <c r="AN452" t="s">
        <v>261</v>
      </c>
      <c r="AO452" t="s">
        <v>262</v>
      </c>
      <c r="AP452" t="s">
        <v>263</v>
      </c>
      <c r="AQ452" t="s">
        <v>74</v>
      </c>
      <c r="AR452" t="s">
        <v>264</v>
      </c>
      <c r="AS452" t="s">
        <v>265</v>
      </c>
      <c r="AT452" t="s">
        <v>891</v>
      </c>
      <c r="AU452">
        <v>2025</v>
      </c>
      <c r="AV452">
        <v>85</v>
      </c>
      <c r="AW452" t="s">
        <v>74</v>
      </c>
      <c r="AX452" t="s">
        <v>3828</v>
      </c>
      <c r="AY452" t="s">
        <v>74</v>
      </c>
      <c r="AZ452" t="s">
        <v>74</v>
      </c>
      <c r="BA452" t="s">
        <v>74</v>
      </c>
      <c r="BB452" t="s">
        <v>74</v>
      </c>
      <c r="BC452" t="s">
        <v>74</v>
      </c>
      <c r="BD452">
        <v>107848</v>
      </c>
      <c r="BE452" t="s">
        <v>9109</v>
      </c>
      <c r="BF452" t="str">
        <f>HYPERLINK("http://dx.doi.org/10.1016/j.frl.2025.107848","http://dx.doi.org/10.1016/j.frl.2025.107848")</f>
        <v>http://dx.doi.org/10.1016/j.frl.2025.107848</v>
      </c>
      <c r="BG452" t="s">
        <v>74</v>
      </c>
      <c r="BH452" t="s">
        <v>3389</v>
      </c>
      <c r="BI452">
        <v>8</v>
      </c>
      <c r="BJ452" t="s">
        <v>268</v>
      </c>
      <c r="BK452" t="s">
        <v>99</v>
      </c>
      <c r="BL452" t="s">
        <v>100</v>
      </c>
      <c r="BM452" t="s">
        <v>9110</v>
      </c>
      <c r="BN452" t="s">
        <v>74</v>
      </c>
      <c r="BO452" t="s">
        <v>74</v>
      </c>
      <c r="BP452" t="s">
        <v>74</v>
      </c>
      <c r="BQ452" t="s">
        <v>74</v>
      </c>
      <c r="BR452" t="s">
        <v>102</v>
      </c>
      <c r="BS452" t="s">
        <v>9111</v>
      </c>
      <c r="BT452" t="str">
        <f>HYPERLINK("https%3A%2F%2Fwww.webofscience.com%2Fwos%2Fwoscc%2Ffull-record%2FWOS:001524902200010","View Full Record in Web of Science")</f>
        <v>View Full Record in Web of Science</v>
      </c>
    </row>
    <row r="453" spans="1:72" x14ac:dyDescent="0.25">
      <c r="A453" t="s">
        <v>72</v>
      </c>
      <c r="B453" t="s">
        <v>9112</v>
      </c>
      <c r="C453" t="s">
        <v>74</v>
      </c>
      <c r="D453" t="s">
        <v>74</v>
      </c>
      <c r="E453" t="s">
        <v>74</v>
      </c>
      <c r="F453" t="s">
        <v>9113</v>
      </c>
      <c r="G453" t="s">
        <v>74</v>
      </c>
      <c r="H453" t="s">
        <v>74</v>
      </c>
      <c r="I453" t="s">
        <v>9114</v>
      </c>
      <c r="J453" t="s">
        <v>9115</v>
      </c>
      <c r="K453" t="s">
        <v>74</v>
      </c>
      <c r="L453" t="s">
        <v>74</v>
      </c>
      <c r="M453" t="s">
        <v>78</v>
      </c>
      <c r="N453" t="s">
        <v>79</v>
      </c>
      <c r="O453" t="s">
        <v>74</v>
      </c>
      <c r="P453" t="s">
        <v>74</v>
      </c>
      <c r="Q453" t="s">
        <v>74</v>
      </c>
      <c r="R453" t="s">
        <v>74</v>
      </c>
      <c r="S453" t="s">
        <v>74</v>
      </c>
      <c r="T453" t="s">
        <v>9116</v>
      </c>
      <c r="U453" t="s">
        <v>74</v>
      </c>
      <c r="V453" t="s">
        <v>9117</v>
      </c>
      <c r="W453" t="s">
        <v>9118</v>
      </c>
      <c r="X453" t="s">
        <v>9119</v>
      </c>
      <c r="Y453" t="s">
        <v>9120</v>
      </c>
      <c r="Z453" t="s">
        <v>9121</v>
      </c>
      <c r="AA453" t="s">
        <v>9122</v>
      </c>
      <c r="AB453" t="s">
        <v>9123</v>
      </c>
      <c r="AC453" t="s">
        <v>9124</v>
      </c>
      <c r="AD453" t="s">
        <v>9124</v>
      </c>
      <c r="AE453" t="s">
        <v>9125</v>
      </c>
      <c r="AF453" t="s">
        <v>74</v>
      </c>
      <c r="AG453">
        <v>41</v>
      </c>
      <c r="AH453">
        <v>1</v>
      </c>
      <c r="AI453">
        <v>1</v>
      </c>
      <c r="AJ453">
        <v>0</v>
      </c>
      <c r="AK453">
        <v>1</v>
      </c>
      <c r="AL453" t="s">
        <v>8503</v>
      </c>
      <c r="AM453" t="s">
        <v>995</v>
      </c>
      <c r="AN453" t="s">
        <v>8504</v>
      </c>
      <c r="AO453" t="s">
        <v>74</v>
      </c>
      <c r="AP453" t="s">
        <v>9126</v>
      </c>
      <c r="AQ453" t="s">
        <v>74</v>
      </c>
      <c r="AR453" t="s">
        <v>9127</v>
      </c>
      <c r="AS453" t="s">
        <v>9128</v>
      </c>
      <c r="AT453" t="s">
        <v>9129</v>
      </c>
      <c r="AU453">
        <v>2018</v>
      </c>
      <c r="AV453">
        <v>3</v>
      </c>
      <c r="AW453">
        <v>1</v>
      </c>
      <c r="AX453" t="s">
        <v>74</v>
      </c>
      <c r="AY453" t="s">
        <v>74</v>
      </c>
      <c r="AZ453" t="s">
        <v>74</v>
      </c>
      <c r="BA453" t="s">
        <v>74</v>
      </c>
      <c r="BB453" t="s">
        <v>74</v>
      </c>
      <c r="BC453" t="s">
        <v>74</v>
      </c>
      <c r="BD453" t="s">
        <v>74</v>
      </c>
      <c r="BE453" t="s">
        <v>9130</v>
      </c>
      <c r="BF453" t="str">
        <f>HYPERLINK("http://dx.doi.org/10.1186/s41256-018-0089-4","http://dx.doi.org/10.1186/s41256-018-0089-4")</f>
        <v>http://dx.doi.org/10.1186/s41256-018-0089-4</v>
      </c>
      <c r="BG453" t="s">
        <v>74</v>
      </c>
      <c r="BH453" t="s">
        <v>74</v>
      </c>
      <c r="BI453">
        <v>10</v>
      </c>
      <c r="BJ453" t="s">
        <v>7080</v>
      </c>
      <c r="BK453" t="s">
        <v>313</v>
      </c>
      <c r="BL453" t="s">
        <v>7080</v>
      </c>
      <c r="BM453" t="s">
        <v>9131</v>
      </c>
      <c r="BN453">
        <v>30534600</v>
      </c>
      <c r="BO453" t="s">
        <v>916</v>
      </c>
      <c r="BP453" t="s">
        <v>74</v>
      </c>
      <c r="BQ453" t="s">
        <v>74</v>
      </c>
      <c r="BR453" t="s">
        <v>102</v>
      </c>
      <c r="BS453" t="s">
        <v>9132</v>
      </c>
      <c r="BT453" t="str">
        <f>HYPERLINK("https%3A%2F%2Fwww.webofscience.com%2Fwos%2Fwoscc%2Ffull-record%2FWOS:000529112300001","View Full Record in Web of Science")</f>
        <v>View Full Record in Web of Science</v>
      </c>
    </row>
    <row r="454" spans="1:72" x14ac:dyDescent="0.25">
      <c r="A454" t="s">
        <v>72</v>
      </c>
      <c r="B454" t="s">
        <v>9133</v>
      </c>
      <c r="C454" t="s">
        <v>74</v>
      </c>
      <c r="D454" t="s">
        <v>74</v>
      </c>
      <c r="E454" t="s">
        <v>74</v>
      </c>
      <c r="F454" t="s">
        <v>9134</v>
      </c>
      <c r="G454" t="s">
        <v>74</v>
      </c>
      <c r="H454" t="s">
        <v>74</v>
      </c>
      <c r="I454" t="s">
        <v>9135</v>
      </c>
      <c r="J454" t="s">
        <v>7119</v>
      </c>
      <c r="K454" t="s">
        <v>74</v>
      </c>
      <c r="L454" t="s">
        <v>74</v>
      </c>
      <c r="M454" t="s">
        <v>78</v>
      </c>
      <c r="N454" t="s">
        <v>79</v>
      </c>
      <c r="O454" t="s">
        <v>74</v>
      </c>
      <c r="P454" t="s">
        <v>74</v>
      </c>
      <c r="Q454" t="s">
        <v>74</v>
      </c>
      <c r="R454" t="s">
        <v>74</v>
      </c>
      <c r="S454" t="s">
        <v>74</v>
      </c>
      <c r="T454" t="s">
        <v>9136</v>
      </c>
      <c r="U454" t="s">
        <v>9137</v>
      </c>
      <c r="V454" t="s">
        <v>9138</v>
      </c>
      <c r="W454" t="s">
        <v>9139</v>
      </c>
      <c r="X454" t="s">
        <v>9140</v>
      </c>
      <c r="Y454" t="s">
        <v>9141</v>
      </c>
      <c r="Z454" t="s">
        <v>9142</v>
      </c>
      <c r="AA454" t="s">
        <v>9143</v>
      </c>
      <c r="AB454" t="s">
        <v>74</v>
      </c>
      <c r="AC454" t="s">
        <v>74</v>
      </c>
      <c r="AD454" t="s">
        <v>74</v>
      </c>
      <c r="AE454" t="s">
        <v>74</v>
      </c>
      <c r="AF454" t="s">
        <v>74</v>
      </c>
      <c r="AG454">
        <v>74</v>
      </c>
      <c r="AH454">
        <v>9</v>
      </c>
      <c r="AI454">
        <v>11</v>
      </c>
      <c r="AJ454">
        <v>0</v>
      </c>
      <c r="AK454">
        <v>7</v>
      </c>
      <c r="AL454" t="s">
        <v>89</v>
      </c>
      <c r="AM454" t="s">
        <v>90</v>
      </c>
      <c r="AN454" t="s">
        <v>91</v>
      </c>
      <c r="AO454" t="s">
        <v>7128</v>
      </c>
      <c r="AP454" t="s">
        <v>74</v>
      </c>
      <c r="AQ454" t="s">
        <v>74</v>
      </c>
      <c r="AR454" t="s">
        <v>7129</v>
      </c>
      <c r="AS454" t="s">
        <v>7130</v>
      </c>
      <c r="AT454" t="s">
        <v>1302</v>
      </c>
      <c r="AU454">
        <v>2024</v>
      </c>
      <c r="AV454">
        <v>16</v>
      </c>
      <c r="AW454">
        <v>1</v>
      </c>
      <c r="AX454" t="s">
        <v>74</v>
      </c>
      <c r="AY454" t="s">
        <v>74</v>
      </c>
      <c r="AZ454" t="s">
        <v>74</v>
      </c>
      <c r="BA454" t="s">
        <v>74</v>
      </c>
      <c r="BB454">
        <v>9</v>
      </c>
      <c r="BC454">
        <v>31</v>
      </c>
      <c r="BD454" t="s">
        <v>74</v>
      </c>
      <c r="BE454" t="s">
        <v>9144</v>
      </c>
      <c r="BF454" t="str">
        <f>HYPERLINK("http://dx.doi.org/10.1108/QRFM-02-2022-0027","http://dx.doi.org/10.1108/QRFM-02-2022-0027")</f>
        <v>http://dx.doi.org/10.1108/QRFM-02-2022-0027</v>
      </c>
      <c r="BG454" t="s">
        <v>74</v>
      </c>
      <c r="BH454" t="s">
        <v>9145</v>
      </c>
      <c r="BI454">
        <v>23</v>
      </c>
      <c r="BJ454" t="s">
        <v>268</v>
      </c>
      <c r="BK454" t="s">
        <v>313</v>
      </c>
      <c r="BL454" t="s">
        <v>100</v>
      </c>
      <c r="BM454" t="s">
        <v>9146</v>
      </c>
      <c r="BN454" t="s">
        <v>74</v>
      </c>
      <c r="BO454" t="s">
        <v>74</v>
      </c>
      <c r="BP454" t="s">
        <v>74</v>
      </c>
      <c r="BQ454" t="s">
        <v>74</v>
      </c>
      <c r="BR454" t="s">
        <v>102</v>
      </c>
      <c r="BS454" t="s">
        <v>9147</v>
      </c>
      <c r="BT454" t="str">
        <f>HYPERLINK("https%3A%2F%2Fwww.webofscience.com%2Fwos%2Fwoscc%2Ffull-record%2FWOS:000939705800001","View Full Record in Web of Science")</f>
        <v>View Full Record in Web of Science</v>
      </c>
    </row>
    <row r="455" spans="1:72" x14ac:dyDescent="0.25">
      <c r="A455" t="s">
        <v>72</v>
      </c>
      <c r="B455" t="s">
        <v>9148</v>
      </c>
      <c r="C455" t="s">
        <v>74</v>
      </c>
      <c r="D455" t="s">
        <v>74</v>
      </c>
      <c r="E455" t="s">
        <v>74</v>
      </c>
      <c r="F455" t="s">
        <v>9149</v>
      </c>
      <c r="G455" t="s">
        <v>74</v>
      </c>
      <c r="H455" t="s">
        <v>74</v>
      </c>
      <c r="I455" t="s">
        <v>9150</v>
      </c>
      <c r="J455" t="s">
        <v>9151</v>
      </c>
      <c r="K455" t="s">
        <v>74</v>
      </c>
      <c r="L455" t="s">
        <v>74</v>
      </c>
      <c r="M455" t="s">
        <v>78</v>
      </c>
      <c r="N455" t="s">
        <v>79</v>
      </c>
      <c r="O455" t="s">
        <v>74</v>
      </c>
      <c r="P455" t="s">
        <v>74</v>
      </c>
      <c r="Q455" t="s">
        <v>74</v>
      </c>
      <c r="R455" t="s">
        <v>74</v>
      </c>
      <c r="S455" t="s">
        <v>74</v>
      </c>
      <c r="T455" t="s">
        <v>9152</v>
      </c>
      <c r="U455" t="s">
        <v>9153</v>
      </c>
      <c r="V455" t="s">
        <v>9154</v>
      </c>
      <c r="W455" t="s">
        <v>9155</v>
      </c>
      <c r="X455" t="s">
        <v>9156</v>
      </c>
      <c r="Y455" t="s">
        <v>9157</v>
      </c>
      <c r="Z455" t="s">
        <v>9158</v>
      </c>
      <c r="AA455" t="s">
        <v>74</v>
      </c>
      <c r="AB455" t="s">
        <v>74</v>
      </c>
      <c r="AC455" t="s">
        <v>9159</v>
      </c>
      <c r="AD455" t="s">
        <v>9160</v>
      </c>
      <c r="AE455" t="s">
        <v>9161</v>
      </c>
      <c r="AF455" t="s">
        <v>74</v>
      </c>
      <c r="AG455">
        <v>68</v>
      </c>
      <c r="AH455">
        <v>8</v>
      </c>
      <c r="AI455">
        <v>13</v>
      </c>
      <c r="AJ455">
        <v>1</v>
      </c>
      <c r="AK455">
        <v>44</v>
      </c>
      <c r="AL455" t="s">
        <v>150</v>
      </c>
      <c r="AM455" t="s">
        <v>151</v>
      </c>
      <c r="AN455" t="s">
        <v>9162</v>
      </c>
      <c r="AO455" t="s">
        <v>9163</v>
      </c>
      <c r="AP455" t="s">
        <v>9164</v>
      </c>
      <c r="AQ455" t="s">
        <v>74</v>
      </c>
      <c r="AR455" t="s">
        <v>9165</v>
      </c>
      <c r="AS455" t="s">
        <v>9166</v>
      </c>
      <c r="AT455" t="s">
        <v>605</v>
      </c>
      <c r="AU455">
        <v>2021</v>
      </c>
      <c r="AV455">
        <v>12</v>
      </c>
      <c r="AW455">
        <v>1</v>
      </c>
      <c r="AX455" t="s">
        <v>74</v>
      </c>
      <c r="AY455" t="s">
        <v>74</v>
      </c>
      <c r="AZ455" t="s">
        <v>441</v>
      </c>
      <c r="BA455" t="s">
        <v>74</v>
      </c>
      <c r="BB455" t="s">
        <v>74</v>
      </c>
      <c r="BC455" t="s">
        <v>74</v>
      </c>
      <c r="BD455">
        <v>7</v>
      </c>
      <c r="BE455" t="s">
        <v>9167</v>
      </c>
      <c r="BF455" t="str">
        <f>HYPERLINK("http://dx.doi.org/10.1145/3403949","http://dx.doi.org/10.1145/3403949")</f>
        <v>http://dx.doi.org/10.1145/3403949</v>
      </c>
      <c r="BG455" t="s">
        <v>74</v>
      </c>
      <c r="BH455" t="s">
        <v>74</v>
      </c>
      <c r="BI455">
        <v>21</v>
      </c>
      <c r="BJ455" t="s">
        <v>1779</v>
      </c>
      <c r="BK455" t="s">
        <v>313</v>
      </c>
      <c r="BL455" t="s">
        <v>157</v>
      </c>
      <c r="BM455" t="s">
        <v>9168</v>
      </c>
      <c r="BN455" t="s">
        <v>74</v>
      </c>
      <c r="BO455" t="s">
        <v>74</v>
      </c>
      <c r="BP455" t="s">
        <v>74</v>
      </c>
      <c r="BQ455" t="s">
        <v>74</v>
      </c>
      <c r="BR455" t="s">
        <v>102</v>
      </c>
      <c r="BS455" t="s">
        <v>9169</v>
      </c>
      <c r="BT455" t="str">
        <f>HYPERLINK("https%3A%2F%2Fwww.webofscience.com%2Fwos%2Fwoscc%2Ffull-record%2FWOS:000631101400007","View Full Record in Web of Science")</f>
        <v>View Full Record in Web of Science</v>
      </c>
    </row>
    <row r="456" spans="1:72" x14ac:dyDescent="0.25">
      <c r="A456" t="s">
        <v>72</v>
      </c>
      <c r="B456" t="s">
        <v>9170</v>
      </c>
      <c r="C456" t="s">
        <v>74</v>
      </c>
      <c r="D456" t="s">
        <v>74</v>
      </c>
      <c r="E456" t="s">
        <v>74</v>
      </c>
      <c r="F456" t="s">
        <v>9171</v>
      </c>
      <c r="G456" t="s">
        <v>74</v>
      </c>
      <c r="H456" t="s">
        <v>74</v>
      </c>
      <c r="I456" t="s">
        <v>9172</v>
      </c>
      <c r="J456" t="s">
        <v>9173</v>
      </c>
      <c r="K456" t="s">
        <v>74</v>
      </c>
      <c r="L456" t="s">
        <v>74</v>
      </c>
      <c r="M456" t="s">
        <v>78</v>
      </c>
      <c r="N456" t="s">
        <v>79</v>
      </c>
      <c r="O456" t="s">
        <v>74</v>
      </c>
      <c r="P456" t="s">
        <v>74</v>
      </c>
      <c r="Q456" t="s">
        <v>74</v>
      </c>
      <c r="R456" t="s">
        <v>74</v>
      </c>
      <c r="S456" t="s">
        <v>74</v>
      </c>
      <c r="T456" t="s">
        <v>9174</v>
      </c>
      <c r="U456" t="s">
        <v>9175</v>
      </c>
      <c r="V456" t="s">
        <v>9176</v>
      </c>
      <c r="W456" t="s">
        <v>9177</v>
      </c>
      <c r="X456" t="s">
        <v>74</v>
      </c>
      <c r="Y456" t="s">
        <v>9178</v>
      </c>
      <c r="Z456" t="s">
        <v>9179</v>
      </c>
      <c r="AA456" t="s">
        <v>9180</v>
      </c>
      <c r="AB456" t="s">
        <v>74</v>
      </c>
      <c r="AC456" t="s">
        <v>74</v>
      </c>
      <c r="AD456" t="s">
        <v>74</v>
      </c>
      <c r="AE456" t="s">
        <v>74</v>
      </c>
      <c r="AF456" t="s">
        <v>74</v>
      </c>
      <c r="AG456">
        <v>48</v>
      </c>
      <c r="AH456">
        <v>19</v>
      </c>
      <c r="AI456">
        <v>24</v>
      </c>
      <c r="AJ456">
        <v>5</v>
      </c>
      <c r="AK456">
        <v>28</v>
      </c>
      <c r="AL456" t="s">
        <v>89</v>
      </c>
      <c r="AM456" t="s">
        <v>90</v>
      </c>
      <c r="AN456" t="s">
        <v>91</v>
      </c>
      <c r="AO456" t="s">
        <v>9181</v>
      </c>
      <c r="AP456" t="s">
        <v>74</v>
      </c>
      <c r="AQ456" t="s">
        <v>74</v>
      </c>
      <c r="AR456" t="s">
        <v>9182</v>
      </c>
      <c r="AS456" t="s">
        <v>9183</v>
      </c>
      <c r="AT456" t="s">
        <v>9184</v>
      </c>
      <c r="AU456">
        <v>2024</v>
      </c>
      <c r="AV456">
        <v>52</v>
      </c>
      <c r="AW456">
        <v>1</v>
      </c>
      <c r="AX456" t="s">
        <v>74</v>
      </c>
      <c r="AY456" t="s">
        <v>74</v>
      </c>
      <c r="AZ456" t="s">
        <v>74</v>
      </c>
      <c r="BA456" t="s">
        <v>74</v>
      </c>
      <c r="BB456">
        <v>114</v>
      </c>
      <c r="BC456">
        <v>122</v>
      </c>
      <c r="BD456" t="s">
        <v>74</v>
      </c>
      <c r="BE456" t="s">
        <v>9185</v>
      </c>
      <c r="BF456" t="str">
        <f>HYPERLINK("http://dx.doi.org/10.1108/IDD-08-2022-0080","http://dx.doi.org/10.1108/IDD-08-2022-0080")</f>
        <v>http://dx.doi.org/10.1108/IDD-08-2022-0080</v>
      </c>
      <c r="BG456" t="s">
        <v>74</v>
      </c>
      <c r="BH456" t="s">
        <v>6418</v>
      </c>
      <c r="BI456">
        <v>9</v>
      </c>
      <c r="BJ456" t="s">
        <v>2351</v>
      </c>
      <c r="BK456" t="s">
        <v>313</v>
      </c>
      <c r="BL456" t="s">
        <v>2351</v>
      </c>
      <c r="BM456" t="s">
        <v>9186</v>
      </c>
      <c r="BN456" t="s">
        <v>74</v>
      </c>
      <c r="BO456" t="s">
        <v>74</v>
      </c>
      <c r="BP456" t="s">
        <v>74</v>
      </c>
      <c r="BQ456" t="s">
        <v>74</v>
      </c>
      <c r="BR456" t="s">
        <v>102</v>
      </c>
      <c r="BS456" t="s">
        <v>9187</v>
      </c>
      <c r="BT456" t="str">
        <f>HYPERLINK("https%3A%2F%2Fwww.webofscience.com%2Fwos%2Fwoscc%2Ffull-record%2FWOS:000990584600001","View Full Record in Web of Science")</f>
        <v>View Full Record in Web of Science</v>
      </c>
    </row>
    <row r="457" spans="1:72" x14ac:dyDescent="0.25">
      <c r="A457" t="s">
        <v>72</v>
      </c>
      <c r="B457" t="s">
        <v>9188</v>
      </c>
      <c r="C457" t="s">
        <v>74</v>
      </c>
      <c r="D457" t="s">
        <v>74</v>
      </c>
      <c r="E457" t="s">
        <v>74</v>
      </c>
      <c r="F457" t="s">
        <v>9189</v>
      </c>
      <c r="G457" t="s">
        <v>74</v>
      </c>
      <c r="H457" t="s">
        <v>74</v>
      </c>
      <c r="I457" t="s">
        <v>9190</v>
      </c>
      <c r="J457" t="s">
        <v>9191</v>
      </c>
      <c r="K457" t="s">
        <v>74</v>
      </c>
      <c r="L457" t="s">
        <v>74</v>
      </c>
      <c r="M457" t="s">
        <v>78</v>
      </c>
      <c r="N457" t="s">
        <v>79</v>
      </c>
      <c r="O457" t="s">
        <v>74</v>
      </c>
      <c r="P457" t="s">
        <v>74</v>
      </c>
      <c r="Q457" t="s">
        <v>74</v>
      </c>
      <c r="R457" t="s">
        <v>74</v>
      </c>
      <c r="S457" t="s">
        <v>74</v>
      </c>
      <c r="T457" t="s">
        <v>9192</v>
      </c>
      <c r="U457" t="s">
        <v>9193</v>
      </c>
      <c r="V457" t="s">
        <v>9194</v>
      </c>
      <c r="W457" t="s">
        <v>9195</v>
      </c>
      <c r="X457" t="s">
        <v>9196</v>
      </c>
      <c r="Y457" t="s">
        <v>9197</v>
      </c>
      <c r="Z457" t="s">
        <v>9198</v>
      </c>
      <c r="AA457" t="s">
        <v>9199</v>
      </c>
      <c r="AB457" t="s">
        <v>9200</v>
      </c>
      <c r="AC457" t="s">
        <v>9201</v>
      </c>
      <c r="AD457" t="s">
        <v>9202</v>
      </c>
      <c r="AE457" t="s">
        <v>9203</v>
      </c>
      <c r="AF457" t="s">
        <v>74</v>
      </c>
      <c r="AG457">
        <v>85</v>
      </c>
      <c r="AH457">
        <v>2</v>
      </c>
      <c r="AI457">
        <v>6</v>
      </c>
      <c r="AJ457">
        <v>4</v>
      </c>
      <c r="AK457">
        <v>19</v>
      </c>
      <c r="AL457" t="s">
        <v>9204</v>
      </c>
      <c r="AM457" t="s">
        <v>2016</v>
      </c>
      <c r="AN457" t="s">
        <v>9205</v>
      </c>
      <c r="AO457" t="s">
        <v>74</v>
      </c>
      <c r="AP457" t="s">
        <v>9206</v>
      </c>
      <c r="AQ457" t="s">
        <v>74</v>
      </c>
      <c r="AR457" t="s">
        <v>9191</v>
      </c>
      <c r="AS457" t="s">
        <v>9207</v>
      </c>
      <c r="AT457" t="s">
        <v>9208</v>
      </c>
      <c r="AU457">
        <v>2024</v>
      </c>
      <c r="AV457">
        <v>10</v>
      </c>
      <c r="AW457">
        <v>2</v>
      </c>
      <c r="AX457" t="s">
        <v>74</v>
      </c>
      <c r="AY457" t="s">
        <v>74</v>
      </c>
      <c r="AZ457" t="s">
        <v>74</v>
      </c>
      <c r="BA457" t="s">
        <v>74</v>
      </c>
      <c r="BB457" t="s">
        <v>74</v>
      </c>
      <c r="BC457" t="s">
        <v>74</v>
      </c>
      <c r="BD457" t="s">
        <v>9209</v>
      </c>
      <c r="BE457" t="s">
        <v>9210</v>
      </c>
      <c r="BF457" t="str">
        <f>HYPERLINK("http://dx.doi.org/10.1016/j.heliyon.2024.e24127","http://dx.doi.org/10.1016/j.heliyon.2024.e24127")</f>
        <v>http://dx.doi.org/10.1016/j.heliyon.2024.e24127</v>
      </c>
      <c r="BG457" t="s">
        <v>74</v>
      </c>
      <c r="BH457" t="s">
        <v>239</v>
      </c>
      <c r="BI457">
        <v>18</v>
      </c>
      <c r="BJ457" t="s">
        <v>559</v>
      </c>
      <c r="BK457" t="s">
        <v>128</v>
      </c>
      <c r="BL457" t="s">
        <v>560</v>
      </c>
      <c r="BM457" t="s">
        <v>9211</v>
      </c>
      <c r="BN457">
        <v>38298640</v>
      </c>
      <c r="BO457" t="s">
        <v>916</v>
      </c>
      <c r="BP457" t="s">
        <v>74</v>
      </c>
      <c r="BQ457" t="s">
        <v>74</v>
      </c>
      <c r="BR457" t="s">
        <v>102</v>
      </c>
      <c r="BS457" t="s">
        <v>9212</v>
      </c>
      <c r="BT457" t="str">
        <f>HYPERLINK("https%3A%2F%2Fwww.webofscience.com%2Fwos%2Fwoscc%2Ffull-record%2FWOS:001164589200001","View Full Record in Web of Science")</f>
        <v>View Full Record in Web of Science</v>
      </c>
    </row>
    <row r="458" spans="1:72" x14ac:dyDescent="0.25">
      <c r="A458" t="s">
        <v>72</v>
      </c>
      <c r="B458" t="s">
        <v>9213</v>
      </c>
      <c r="C458" t="s">
        <v>74</v>
      </c>
      <c r="D458" t="s">
        <v>74</v>
      </c>
      <c r="E458" t="s">
        <v>74</v>
      </c>
      <c r="F458" t="s">
        <v>9214</v>
      </c>
      <c r="G458" t="s">
        <v>74</v>
      </c>
      <c r="H458" t="s">
        <v>74</v>
      </c>
      <c r="I458" t="s">
        <v>9215</v>
      </c>
      <c r="J458" t="s">
        <v>9216</v>
      </c>
      <c r="K458" t="s">
        <v>74</v>
      </c>
      <c r="L458" t="s">
        <v>74</v>
      </c>
      <c r="M458" t="s">
        <v>78</v>
      </c>
      <c r="N458" t="s">
        <v>79</v>
      </c>
      <c r="O458" t="s">
        <v>74</v>
      </c>
      <c r="P458" t="s">
        <v>74</v>
      </c>
      <c r="Q458" t="s">
        <v>74</v>
      </c>
      <c r="R458" t="s">
        <v>74</v>
      </c>
      <c r="S458" t="s">
        <v>74</v>
      </c>
      <c r="T458" t="s">
        <v>74</v>
      </c>
      <c r="U458" t="s">
        <v>9217</v>
      </c>
      <c r="V458" t="s">
        <v>9218</v>
      </c>
      <c r="W458" t="s">
        <v>9219</v>
      </c>
      <c r="X458" t="s">
        <v>926</v>
      </c>
      <c r="Y458" t="s">
        <v>9220</v>
      </c>
      <c r="Z458" t="s">
        <v>9221</v>
      </c>
      <c r="AA458" t="s">
        <v>9222</v>
      </c>
      <c r="AB458" t="s">
        <v>74</v>
      </c>
      <c r="AC458" t="s">
        <v>9223</v>
      </c>
      <c r="AD458" t="s">
        <v>9224</v>
      </c>
      <c r="AE458" t="s">
        <v>9225</v>
      </c>
      <c r="AF458" t="s">
        <v>74</v>
      </c>
      <c r="AG458">
        <v>35</v>
      </c>
      <c r="AH458">
        <v>46</v>
      </c>
      <c r="AI458">
        <v>52</v>
      </c>
      <c r="AJ458">
        <v>5</v>
      </c>
      <c r="AK458">
        <v>71</v>
      </c>
      <c r="AL458" t="s">
        <v>2015</v>
      </c>
      <c r="AM458" t="s">
        <v>2016</v>
      </c>
      <c r="AN458" t="s">
        <v>2017</v>
      </c>
      <c r="AO458" t="s">
        <v>9226</v>
      </c>
      <c r="AP458" t="s">
        <v>9227</v>
      </c>
      <c r="AQ458" t="s">
        <v>74</v>
      </c>
      <c r="AR458" t="s">
        <v>9228</v>
      </c>
      <c r="AS458" t="s">
        <v>9229</v>
      </c>
      <c r="AT458" t="s">
        <v>1159</v>
      </c>
      <c r="AU458">
        <v>2020</v>
      </c>
      <c r="AV458">
        <v>19</v>
      </c>
      <c r="AW458">
        <v>3</v>
      </c>
      <c r="AX458" t="s">
        <v>74</v>
      </c>
      <c r="AY458" t="s">
        <v>74</v>
      </c>
      <c r="AZ458" t="s">
        <v>74</v>
      </c>
      <c r="BA458" t="s">
        <v>74</v>
      </c>
      <c r="BB458">
        <v>1</v>
      </c>
      <c r="BC458">
        <v>18</v>
      </c>
      <c r="BD458" t="s">
        <v>74</v>
      </c>
      <c r="BE458" t="s">
        <v>9230</v>
      </c>
      <c r="BF458" t="str">
        <f>HYPERLINK("http://dx.doi.org/10.1162/asep_a_00779","http://dx.doi.org/10.1162/asep_a_00779")</f>
        <v>http://dx.doi.org/10.1162/asep_a_00779</v>
      </c>
      <c r="BG458" t="s">
        <v>74</v>
      </c>
      <c r="BH458" t="s">
        <v>74</v>
      </c>
      <c r="BI458">
        <v>18</v>
      </c>
      <c r="BJ458" t="s">
        <v>291</v>
      </c>
      <c r="BK458" t="s">
        <v>99</v>
      </c>
      <c r="BL458" t="s">
        <v>100</v>
      </c>
      <c r="BM458" t="s">
        <v>9231</v>
      </c>
      <c r="BN458" t="s">
        <v>74</v>
      </c>
      <c r="BO458" t="s">
        <v>1205</v>
      </c>
      <c r="BP458" t="s">
        <v>74</v>
      </c>
      <c r="BQ458" t="s">
        <v>74</v>
      </c>
      <c r="BR458" t="s">
        <v>102</v>
      </c>
      <c r="BS458" t="s">
        <v>9232</v>
      </c>
      <c r="BT458" t="str">
        <f>HYPERLINK("https%3A%2F%2Fwww.webofscience.com%2Fwos%2Fwoscc%2Ffull-record%2FWOS:000571453700001","View Full Record in Web of Science")</f>
        <v>View Full Record in Web of Science</v>
      </c>
    </row>
    <row r="459" spans="1:72" x14ac:dyDescent="0.25">
      <c r="A459" t="s">
        <v>132</v>
      </c>
      <c r="B459" t="s">
        <v>9233</v>
      </c>
      <c r="C459" t="s">
        <v>74</v>
      </c>
      <c r="D459" t="s">
        <v>9234</v>
      </c>
      <c r="E459" t="s">
        <v>74</v>
      </c>
      <c r="F459" t="s">
        <v>9235</v>
      </c>
      <c r="G459" t="s">
        <v>74</v>
      </c>
      <c r="H459" t="s">
        <v>74</v>
      </c>
      <c r="I459" t="s">
        <v>9236</v>
      </c>
      <c r="J459" t="s">
        <v>9237</v>
      </c>
      <c r="K459" t="s">
        <v>1049</v>
      </c>
      <c r="L459" t="s">
        <v>74</v>
      </c>
      <c r="M459" t="s">
        <v>78</v>
      </c>
      <c r="N459" t="s">
        <v>138</v>
      </c>
      <c r="O459" t="s">
        <v>9238</v>
      </c>
      <c r="P459" t="s">
        <v>9239</v>
      </c>
      <c r="Q459" t="s">
        <v>9240</v>
      </c>
      <c r="R459" t="s">
        <v>9241</v>
      </c>
      <c r="S459" t="s">
        <v>74</v>
      </c>
      <c r="T459" t="s">
        <v>9242</v>
      </c>
      <c r="U459" t="s">
        <v>74</v>
      </c>
      <c r="V459" t="s">
        <v>9243</v>
      </c>
      <c r="W459" t="s">
        <v>9244</v>
      </c>
      <c r="X459" t="s">
        <v>74</v>
      </c>
      <c r="Y459" t="s">
        <v>9245</v>
      </c>
      <c r="Z459" t="s">
        <v>9246</v>
      </c>
      <c r="AA459" t="s">
        <v>74</v>
      </c>
      <c r="AB459" t="s">
        <v>74</v>
      </c>
      <c r="AC459" t="s">
        <v>74</v>
      </c>
      <c r="AD459" t="s">
        <v>74</v>
      </c>
      <c r="AE459" t="s">
        <v>74</v>
      </c>
      <c r="AF459" t="s">
        <v>74</v>
      </c>
      <c r="AG459">
        <v>3</v>
      </c>
      <c r="AH459">
        <v>1</v>
      </c>
      <c r="AI459">
        <v>1</v>
      </c>
      <c r="AJ459">
        <v>1</v>
      </c>
      <c r="AK459">
        <v>7</v>
      </c>
      <c r="AL459" t="s">
        <v>1062</v>
      </c>
      <c r="AM459" t="s">
        <v>667</v>
      </c>
      <c r="AN459" t="s">
        <v>668</v>
      </c>
      <c r="AO459" t="s">
        <v>1063</v>
      </c>
      <c r="AP459" t="s">
        <v>1064</v>
      </c>
      <c r="AQ459" t="s">
        <v>9247</v>
      </c>
      <c r="AR459" t="s">
        <v>1066</v>
      </c>
      <c r="AS459" t="s">
        <v>74</v>
      </c>
      <c r="AT459" t="s">
        <v>74</v>
      </c>
      <c r="AU459">
        <v>2019</v>
      </c>
      <c r="AV459">
        <v>75</v>
      </c>
      <c r="AW459" t="s">
        <v>74</v>
      </c>
      <c r="AX459" t="s">
        <v>74</v>
      </c>
      <c r="AY459" t="s">
        <v>74</v>
      </c>
      <c r="AZ459" t="s">
        <v>74</v>
      </c>
      <c r="BA459" t="s">
        <v>74</v>
      </c>
      <c r="BB459" t="s">
        <v>74</v>
      </c>
      <c r="BC459" t="s">
        <v>74</v>
      </c>
      <c r="BD459" t="s">
        <v>74</v>
      </c>
      <c r="BE459" t="s">
        <v>9248</v>
      </c>
      <c r="BF459" t="str">
        <f>HYPERLINK("http://dx.doi.org/10.1007/978-981-13-7150-9_10","http://dx.doi.org/10.1007/978-981-13-7150-9_10")</f>
        <v>http://dx.doi.org/10.1007/978-981-13-7150-9_10</v>
      </c>
      <c r="BG459" t="s">
        <v>74</v>
      </c>
      <c r="BH459" t="s">
        <v>74</v>
      </c>
      <c r="BI459">
        <v>13</v>
      </c>
      <c r="BJ459" t="s">
        <v>9249</v>
      </c>
      <c r="BK459" t="s">
        <v>156</v>
      </c>
      <c r="BL459" t="s">
        <v>981</v>
      </c>
      <c r="BM459" t="s">
        <v>9250</v>
      </c>
      <c r="BN459" t="s">
        <v>74</v>
      </c>
      <c r="BO459" t="s">
        <v>74</v>
      </c>
      <c r="BP459" t="s">
        <v>74</v>
      </c>
      <c r="BQ459" t="s">
        <v>74</v>
      </c>
      <c r="BR459" t="s">
        <v>102</v>
      </c>
      <c r="BS459" t="s">
        <v>9251</v>
      </c>
      <c r="BT459" t="str">
        <f>HYPERLINK("https%3A%2F%2Fwww.webofscience.com%2Fwos%2Fwoscc%2Ffull-record%2FWOS:000485154100010","View Full Record in Web of Science")</f>
        <v>View Full Record in Web of Science</v>
      </c>
    </row>
    <row r="460" spans="1:72" x14ac:dyDescent="0.25">
      <c r="A460" t="s">
        <v>72</v>
      </c>
      <c r="B460" t="s">
        <v>9252</v>
      </c>
      <c r="C460" t="s">
        <v>74</v>
      </c>
      <c r="D460" t="s">
        <v>74</v>
      </c>
      <c r="E460" t="s">
        <v>74</v>
      </c>
      <c r="F460" t="s">
        <v>9253</v>
      </c>
      <c r="G460" t="s">
        <v>74</v>
      </c>
      <c r="H460" t="s">
        <v>74</v>
      </c>
      <c r="I460" t="s">
        <v>9254</v>
      </c>
      <c r="J460" t="s">
        <v>1412</v>
      </c>
      <c r="K460" t="s">
        <v>74</v>
      </c>
      <c r="L460" t="s">
        <v>74</v>
      </c>
      <c r="M460" t="s">
        <v>78</v>
      </c>
      <c r="N460" t="s">
        <v>79</v>
      </c>
      <c r="O460" t="s">
        <v>74</v>
      </c>
      <c r="P460" t="s">
        <v>74</v>
      </c>
      <c r="Q460" t="s">
        <v>74</v>
      </c>
      <c r="R460" t="s">
        <v>74</v>
      </c>
      <c r="S460" t="s">
        <v>74</v>
      </c>
      <c r="T460" t="s">
        <v>9255</v>
      </c>
      <c r="U460" t="s">
        <v>9256</v>
      </c>
      <c r="V460" t="s">
        <v>9257</v>
      </c>
      <c r="W460" t="s">
        <v>9258</v>
      </c>
      <c r="X460" t="s">
        <v>9259</v>
      </c>
      <c r="Y460" t="s">
        <v>9260</v>
      </c>
      <c r="Z460" t="s">
        <v>9261</v>
      </c>
      <c r="AA460" t="s">
        <v>9262</v>
      </c>
      <c r="AB460" t="s">
        <v>9263</v>
      </c>
      <c r="AC460" t="s">
        <v>74</v>
      </c>
      <c r="AD460" t="s">
        <v>74</v>
      </c>
      <c r="AE460" t="s">
        <v>74</v>
      </c>
      <c r="AF460" t="s">
        <v>74</v>
      </c>
      <c r="AG460">
        <v>201</v>
      </c>
      <c r="AH460">
        <v>101</v>
      </c>
      <c r="AI460">
        <v>121</v>
      </c>
      <c r="AJ460">
        <v>6</v>
      </c>
      <c r="AK460">
        <v>109</v>
      </c>
      <c r="AL460" t="s">
        <v>332</v>
      </c>
      <c r="AM460" t="s">
        <v>333</v>
      </c>
      <c r="AN460" t="s">
        <v>334</v>
      </c>
      <c r="AO460" t="s">
        <v>1423</v>
      </c>
      <c r="AP460" t="s">
        <v>1424</v>
      </c>
      <c r="AQ460" t="s">
        <v>74</v>
      </c>
      <c r="AR460" t="s">
        <v>1425</v>
      </c>
      <c r="AS460" t="s">
        <v>1426</v>
      </c>
      <c r="AT460" t="s">
        <v>2206</v>
      </c>
      <c r="AU460">
        <v>2020</v>
      </c>
      <c r="AV460">
        <v>26</v>
      </c>
      <c r="AW460">
        <v>2</v>
      </c>
      <c r="AX460" t="s">
        <v>74</v>
      </c>
      <c r="AY460" t="s">
        <v>74</v>
      </c>
      <c r="AZ460" t="s">
        <v>441</v>
      </c>
      <c r="BA460" t="s">
        <v>74</v>
      </c>
      <c r="BB460">
        <v>394</v>
      </c>
      <c r="BC460">
        <v>420</v>
      </c>
      <c r="BD460" t="s">
        <v>74</v>
      </c>
      <c r="BE460" t="s">
        <v>9264</v>
      </c>
      <c r="BF460" t="str">
        <f>HYPERLINK("http://dx.doi.org/10.1080/02681102.2019.1701969","http://dx.doi.org/10.1080/02681102.2019.1701969")</f>
        <v>http://dx.doi.org/10.1080/02681102.2019.1701969</v>
      </c>
      <c r="BG460" t="s">
        <v>74</v>
      </c>
      <c r="BH460" t="s">
        <v>9265</v>
      </c>
      <c r="BI460">
        <v>27</v>
      </c>
      <c r="BJ460" t="s">
        <v>1429</v>
      </c>
      <c r="BK460" t="s">
        <v>99</v>
      </c>
      <c r="BL460" t="s">
        <v>1429</v>
      </c>
      <c r="BM460" t="s">
        <v>2209</v>
      </c>
      <c r="BN460" t="s">
        <v>74</v>
      </c>
      <c r="BO460" t="s">
        <v>74</v>
      </c>
      <c r="BP460" t="s">
        <v>74</v>
      </c>
      <c r="BQ460" t="s">
        <v>74</v>
      </c>
      <c r="BR460" t="s">
        <v>102</v>
      </c>
      <c r="BS460" t="s">
        <v>9266</v>
      </c>
      <c r="BT460" t="str">
        <f>HYPERLINK("https%3A%2F%2Fwww.webofscience.com%2Fwos%2Fwoscc%2Ffull-record%2FWOS:000505450200001","View Full Record in Web of Science")</f>
        <v>View Full Record in Web of Science</v>
      </c>
    </row>
    <row r="461" spans="1:72" x14ac:dyDescent="0.25">
      <c r="A461" t="s">
        <v>72</v>
      </c>
      <c r="B461" t="s">
        <v>9267</v>
      </c>
      <c r="C461" t="s">
        <v>74</v>
      </c>
      <c r="D461" t="s">
        <v>74</v>
      </c>
      <c r="E461" t="s">
        <v>74</v>
      </c>
      <c r="F461" t="s">
        <v>9268</v>
      </c>
      <c r="G461" t="s">
        <v>74</v>
      </c>
      <c r="H461" t="s">
        <v>74</v>
      </c>
      <c r="I461" t="s">
        <v>9269</v>
      </c>
      <c r="J461" t="s">
        <v>1510</v>
      </c>
      <c r="K461" t="s">
        <v>74</v>
      </c>
      <c r="L461" t="s">
        <v>74</v>
      </c>
      <c r="M461" t="s">
        <v>78</v>
      </c>
      <c r="N461" t="s">
        <v>79</v>
      </c>
      <c r="O461" t="s">
        <v>74</v>
      </c>
      <c r="P461" t="s">
        <v>74</v>
      </c>
      <c r="Q461" t="s">
        <v>74</v>
      </c>
      <c r="R461" t="s">
        <v>74</v>
      </c>
      <c r="S461" t="s">
        <v>74</v>
      </c>
      <c r="T461" t="s">
        <v>9270</v>
      </c>
      <c r="U461" t="s">
        <v>9271</v>
      </c>
      <c r="V461" t="s">
        <v>9272</v>
      </c>
      <c r="W461" t="s">
        <v>9273</v>
      </c>
      <c r="X461" t="s">
        <v>74</v>
      </c>
      <c r="Y461" t="s">
        <v>9274</v>
      </c>
      <c r="Z461" t="s">
        <v>9275</v>
      </c>
      <c r="AA461" t="s">
        <v>9276</v>
      </c>
      <c r="AB461" t="s">
        <v>9277</v>
      </c>
      <c r="AC461" t="s">
        <v>74</v>
      </c>
      <c r="AD461" t="s">
        <v>74</v>
      </c>
      <c r="AE461" t="s">
        <v>74</v>
      </c>
      <c r="AF461" t="s">
        <v>74</v>
      </c>
      <c r="AG461">
        <v>56</v>
      </c>
      <c r="AH461">
        <v>4</v>
      </c>
      <c r="AI461">
        <v>5</v>
      </c>
      <c r="AJ461">
        <v>0</v>
      </c>
      <c r="AK461">
        <v>2</v>
      </c>
      <c r="AL461" t="s">
        <v>89</v>
      </c>
      <c r="AM461" t="s">
        <v>90</v>
      </c>
      <c r="AN461" t="s">
        <v>91</v>
      </c>
      <c r="AO461" t="s">
        <v>1519</v>
      </c>
      <c r="AP461" t="s">
        <v>1520</v>
      </c>
      <c r="AQ461" t="s">
        <v>74</v>
      </c>
      <c r="AR461" t="s">
        <v>1521</v>
      </c>
      <c r="AS461" t="s">
        <v>1522</v>
      </c>
      <c r="AT461" t="s">
        <v>9278</v>
      </c>
      <c r="AU461">
        <v>2024</v>
      </c>
      <c r="AV461">
        <v>51</v>
      </c>
      <c r="AW461">
        <v>9</v>
      </c>
      <c r="AX461" t="s">
        <v>74</v>
      </c>
      <c r="AY461" t="s">
        <v>74</v>
      </c>
      <c r="AZ461" t="s">
        <v>74</v>
      </c>
      <c r="BA461" t="s">
        <v>74</v>
      </c>
      <c r="BB461">
        <v>1167</v>
      </c>
      <c r="BC461">
        <v>1181</v>
      </c>
      <c r="BD461" t="s">
        <v>74</v>
      </c>
      <c r="BE461" t="s">
        <v>9279</v>
      </c>
      <c r="BF461" t="str">
        <f>HYPERLINK("http://dx.doi.org/10.1108/IJSE-03-2023-0162","http://dx.doi.org/10.1108/IJSE-03-2023-0162")</f>
        <v>http://dx.doi.org/10.1108/IJSE-03-2023-0162</v>
      </c>
      <c r="BG461" t="s">
        <v>74</v>
      </c>
      <c r="BH461" t="s">
        <v>239</v>
      </c>
      <c r="BI461">
        <v>15</v>
      </c>
      <c r="BJ461" t="s">
        <v>291</v>
      </c>
      <c r="BK461" t="s">
        <v>313</v>
      </c>
      <c r="BL461" t="s">
        <v>100</v>
      </c>
      <c r="BM461" t="s">
        <v>9280</v>
      </c>
      <c r="BN461" t="s">
        <v>74</v>
      </c>
      <c r="BO461" t="s">
        <v>74</v>
      </c>
      <c r="BP461" t="s">
        <v>74</v>
      </c>
      <c r="BQ461" t="s">
        <v>74</v>
      </c>
      <c r="BR461" t="s">
        <v>102</v>
      </c>
      <c r="BS461" t="s">
        <v>9281</v>
      </c>
      <c r="BT461" t="str">
        <f>HYPERLINK("https%3A%2F%2Fwww.webofscience.com%2Fwos%2Fwoscc%2Ffull-record%2FWOS:001143098800001","View Full Record in Web of Science")</f>
        <v>View Full Record in Web of Science</v>
      </c>
    </row>
    <row r="462" spans="1:72" x14ac:dyDescent="0.25">
      <c r="A462" t="s">
        <v>72</v>
      </c>
      <c r="B462" t="s">
        <v>9282</v>
      </c>
      <c r="C462" t="s">
        <v>74</v>
      </c>
      <c r="D462" t="s">
        <v>74</v>
      </c>
      <c r="E462" t="s">
        <v>74</v>
      </c>
      <c r="F462" t="s">
        <v>9283</v>
      </c>
      <c r="G462" t="s">
        <v>74</v>
      </c>
      <c r="H462" t="s">
        <v>74</v>
      </c>
      <c r="I462" t="s">
        <v>9284</v>
      </c>
      <c r="J462" t="s">
        <v>2137</v>
      </c>
      <c r="K462" t="s">
        <v>74</v>
      </c>
      <c r="L462" t="s">
        <v>74</v>
      </c>
      <c r="M462" t="s">
        <v>78</v>
      </c>
      <c r="N462" t="s">
        <v>79</v>
      </c>
      <c r="O462" t="s">
        <v>74</v>
      </c>
      <c r="P462" t="s">
        <v>74</v>
      </c>
      <c r="Q462" t="s">
        <v>74</v>
      </c>
      <c r="R462" t="s">
        <v>74</v>
      </c>
      <c r="S462" t="s">
        <v>74</v>
      </c>
      <c r="T462" t="s">
        <v>9285</v>
      </c>
      <c r="U462" t="s">
        <v>9286</v>
      </c>
      <c r="V462" t="s">
        <v>9287</v>
      </c>
      <c r="W462" t="s">
        <v>9288</v>
      </c>
      <c r="X462" t="s">
        <v>9289</v>
      </c>
      <c r="Y462" t="s">
        <v>9290</v>
      </c>
      <c r="Z462" t="s">
        <v>9291</v>
      </c>
      <c r="AA462" t="s">
        <v>74</v>
      </c>
      <c r="AB462" t="s">
        <v>9292</v>
      </c>
      <c r="AC462" t="s">
        <v>74</v>
      </c>
      <c r="AD462" t="s">
        <v>74</v>
      </c>
      <c r="AE462" t="s">
        <v>74</v>
      </c>
      <c r="AF462" t="s">
        <v>74</v>
      </c>
      <c r="AG462">
        <v>51</v>
      </c>
      <c r="AH462">
        <v>32</v>
      </c>
      <c r="AI462">
        <v>40</v>
      </c>
      <c r="AJ462">
        <v>3</v>
      </c>
      <c r="AK462">
        <v>71</v>
      </c>
      <c r="AL462" t="s">
        <v>2145</v>
      </c>
      <c r="AM462" t="s">
        <v>151</v>
      </c>
      <c r="AN462" t="s">
        <v>2146</v>
      </c>
      <c r="AO462" t="s">
        <v>2147</v>
      </c>
      <c r="AP462" t="s">
        <v>2148</v>
      </c>
      <c r="AQ462" t="s">
        <v>74</v>
      </c>
      <c r="AR462" t="s">
        <v>2149</v>
      </c>
      <c r="AS462" t="s">
        <v>2150</v>
      </c>
      <c r="AT462" t="s">
        <v>74</v>
      </c>
      <c r="AU462">
        <v>2020</v>
      </c>
      <c r="AV462">
        <v>31</v>
      </c>
      <c r="AW462">
        <v>1</v>
      </c>
      <c r="AX462" t="s">
        <v>74</v>
      </c>
      <c r="AY462" t="s">
        <v>74</v>
      </c>
      <c r="AZ462" t="s">
        <v>74</v>
      </c>
      <c r="BA462" t="s">
        <v>74</v>
      </c>
      <c r="BB462">
        <v>83</v>
      </c>
      <c r="BC462">
        <v>100</v>
      </c>
      <c r="BD462" t="s">
        <v>74</v>
      </c>
      <c r="BE462" t="s">
        <v>9293</v>
      </c>
      <c r="BF462" t="str">
        <f>HYPERLINK("http://dx.doi.org/10.1891/JFCP-18-00083","http://dx.doi.org/10.1891/JFCP-18-00083")</f>
        <v>http://dx.doi.org/10.1891/JFCP-18-00083</v>
      </c>
      <c r="BG462" t="s">
        <v>74</v>
      </c>
      <c r="BH462" t="s">
        <v>74</v>
      </c>
      <c r="BI462">
        <v>18</v>
      </c>
      <c r="BJ462" t="s">
        <v>1453</v>
      </c>
      <c r="BK462" t="s">
        <v>313</v>
      </c>
      <c r="BL462" t="s">
        <v>100</v>
      </c>
      <c r="BM462" t="s">
        <v>9294</v>
      </c>
      <c r="BN462" t="s">
        <v>74</v>
      </c>
      <c r="BO462" t="s">
        <v>1696</v>
      </c>
      <c r="BP462" t="s">
        <v>74</v>
      </c>
      <c r="BQ462" t="s">
        <v>74</v>
      </c>
      <c r="BR462" t="s">
        <v>102</v>
      </c>
      <c r="BS462" t="s">
        <v>9295</v>
      </c>
      <c r="BT462" t="str">
        <f>HYPERLINK("https%3A%2F%2Fwww.webofscience.com%2Fwos%2Fwoscc%2Ffull-record%2FWOS:000543736300007","View Full Record in Web of Science")</f>
        <v>View Full Record in Web of Science</v>
      </c>
    </row>
    <row r="463" spans="1:72" x14ac:dyDescent="0.25">
      <c r="A463" t="s">
        <v>72</v>
      </c>
      <c r="B463" t="s">
        <v>9296</v>
      </c>
      <c r="C463" t="s">
        <v>74</v>
      </c>
      <c r="D463" t="s">
        <v>74</v>
      </c>
      <c r="E463" t="s">
        <v>74</v>
      </c>
      <c r="F463" t="s">
        <v>9297</v>
      </c>
      <c r="G463" t="s">
        <v>74</v>
      </c>
      <c r="H463" t="s">
        <v>74</v>
      </c>
      <c r="I463" t="s">
        <v>9298</v>
      </c>
      <c r="J463" t="s">
        <v>7220</v>
      </c>
      <c r="K463" t="s">
        <v>74</v>
      </c>
      <c r="L463" t="s">
        <v>74</v>
      </c>
      <c r="M463" t="s">
        <v>78</v>
      </c>
      <c r="N463" t="s">
        <v>372</v>
      </c>
      <c r="O463" t="s">
        <v>74</v>
      </c>
      <c r="P463" t="s">
        <v>74</v>
      </c>
      <c r="Q463" t="s">
        <v>74</v>
      </c>
      <c r="R463" t="s">
        <v>74</v>
      </c>
      <c r="S463" t="s">
        <v>74</v>
      </c>
      <c r="T463" t="s">
        <v>9299</v>
      </c>
      <c r="U463" t="s">
        <v>9300</v>
      </c>
      <c r="V463" t="s">
        <v>9301</v>
      </c>
      <c r="W463" t="s">
        <v>9302</v>
      </c>
      <c r="X463" t="s">
        <v>9303</v>
      </c>
      <c r="Y463" t="s">
        <v>9304</v>
      </c>
      <c r="Z463" t="s">
        <v>9305</v>
      </c>
      <c r="AA463" t="s">
        <v>74</v>
      </c>
      <c r="AB463" t="s">
        <v>74</v>
      </c>
      <c r="AC463" t="s">
        <v>74</v>
      </c>
      <c r="AD463" t="s">
        <v>74</v>
      </c>
      <c r="AE463" t="s">
        <v>74</v>
      </c>
      <c r="AF463" t="s">
        <v>74</v>
      </c>
      <c r="AG463">
        <v>70</v>
      </c>
      <c r="AH463">
        <v>1</v>
      </c>
      <c r="AI463">
        <v>2</v>
      </c>
      <c r="AJ463">
        <v>3</v>
      </c>
      <c r="AK463">
        <v>13</v>
      </c>
      <c r="AL463" t="s">
        <v>89</v>
      </c>
      <c r="AM463" t="s">
        <v>90</v>
      </c>
      <c r="AN463" t="s">
        <v>91</v>
      </c>
      <c r="AO463" t="s">
        <v>7230</v>
      </c>
      <c r="AP463" t="s">
        <v>7231</v>
      </c>
      <c r="AQ463" t="s">
        <v>74</v>
      </c>
      <c r="AR463" t="s">
        <v>7232</v>
      </c>
      <c r="AS463" t="s">
        <v>7233</v>
      </c>
      <c r="AT463" t="s">
        <v>9306</v>
      </c>
      <c r="AU463">
        <v>2024</v>
      </c>
      <c r="AV463" t="s">
        <v>74</v>
      </c>
      <c r="AW463" t="s">
        <v>74</v>
      </c>
      <c r="AX463" t="s">
        <v>74</v>
      </c>
      <c r="AY463" t="s">
        <v>74</v>
      </c>
      <c r="AZ463" t="s">
        <v>74</v>
      </c>
      <c r="BA463" t="s">
        <v>74</v>
      </c>
      <c r="BB463" t="s">
        <v>74</v>
      </c>
      <c r="BC463" t="s">
        <v>74</v>
      </c>
      <c r="BD463" t="s">
        <v>74</v>
      </c>
      <c r="BE463" t="s">
        <v>9307</v>
      </c>
      <c r="BF463" t="str">
        <f>HYPERLINK("http://dx.doi.org/10.1108/JEAS-02-2024-0062","http://dx.doi.org/10.1108/JEAS-02-2024-0062")</f>
        <v>http://dx.doi.org/10.1108/JEAS-02-2024-0062</v>
      </c>
      <c r="BG463" t="s">
        <v>74</v>
      </c>
      <c r="BH463" t="s">
        <v>6256</v>
      </c>
      <c r="BI463">
        <v>16</v>
      </c>
      <c r="BJ463" t="s">
        <v>291</v>
      </c>
      <c r="BK463" t="s">
        <v>313</v>
      </c>
      <c r="BL463" t="s">
        <v>100</v>
      </c>
      <c r="BM463" t="s">
        <v>9308</v>
      </c>
      <c r="BN463" t="s">
        <v>74</v>
      </c>
      <c r="BO463" t="s">
        <v>74</v>
      </c>
      <c r="BP463" t="s">
        <v>74</v>
      </c>
      <c r="BQ463" t="s">
        <v>74</v>
      </c>
      <c r="BR463" t="s">
        <v>102</v>
      </c>
      <c r="BS463" t="s">
        <v>9309</v>
      </c>
      <c r="BT463" t="str">
        <f>HYPERLINK("https%3A%2F%2Fwww.webofscience.com%2Fwos%2Fwoscc%2Ffull-record%2FWOS:001248839500001","View Full Record in Web of Science")</f>
        <v>View Full Record in Web of Science</v>
      </c>
    </row>
    <row r="464" spans="1:72" x14ac:dyDescent="0.25">
      <c r="A464" t="s">
        <v>72</v>
      </c>
      <c r="B464" t="s">
        <v>9310</v>
      </c>
      <c r="C464" t="s">
        <v>74</v>
      </c>
      <c r="D464" t="s">
        <v>74</v>
      </c>
      <c r="E464" t="s">
        <v>74</v>
      </c>
      <c r="F464" t="s">
        <v>9311</v>
      </c>
      <c r="G464" t="s">
        <v>74</v>
      </c>
      <c r="H464" t="s">
        <v>74</v>
      </c>
      <c r="I464" t="s">
        <v>9312</v>
      </c>
      <c r="J464" t="s">
        <v>9313</v>
      </c>
      <c r="K464" t="s">
        <v>74</v>
      </c>
      <c r="L464" t="s">
        <v>74</v>
      </c>
      <c r="M464" t="s">
        <v>78</v>
      </c>
      <c r="N464" t="s">
        <v>79</v>
      </c>
      <c r="O464" t="s">
        <v>74</v>
      </c>
      <c r="P464" t="s">
        <v>74</v>
      </c>
      <c r="Q464" t="s">
        <v>74</v>
      </c>
      <c r="R464" t="s">
        <v>74</v>
      </c>
      <c r="S464" t="s">
        <v>74</v>
      </c>
      <c r="T464" t="s">
        <v>9314</v>
      </c>
      <c r="U464" t="s">
        <v>74</v>
      </c>
      <c r="V464" t="s">
        <v>9315</v>
      </c>
      <c r="W464" t="s">
        <v>9316</v>
      </c>
      <c r="X464" t="s">
        <v>74</v>
      </c>
      <c r="Y464" t="s">
        <v>9317</v>
      </c>
      <c r="Z464" t="s">
        <v>9318</v>
      </c>
      <c r="AA464" t="s">
        <v>9319</v>
      </c>
      <c r="AB464" t="s">
        <v>9320</v>
      </c>
      <c r="AC464" t="s">
        <v>74</v>
      </c>
      <c r="AD464" t="s">
        <v>74</v>
      </c>
      <c r="AE464" t="s">
        <v>74</v>
      </c>
      <c r="AF464" t="s">
        <v>74</v>
      </c>
      <c r="AG464">
        <v>73</v>
      </c>
      <c r="AH464">
        <v>0</v>
      </c>
      <c r="AI464">
        <v>0</v>
      </c>
      <c r="AJ464">
        <v>0</v>
      </c>
      <c r="AK464">
        <v>0</v>
      </c>
      <c r="AL464" t="s">
        <v>1216</v>
      </c>
      <c r="AM464" t="s">
        <v>283</v>
      </c>
      <c r="AN464" t="s">
        <v>1217</v>
      </c>
      <c r="AO464" t="s">
        <v>74</v>
      </c>
      <c r="AP464" t="s">
        <v>9321</v>
      </c>
      <c r="AQ464" t="s">
        <v>74</v>
      </c>
      <c r="AR464" t="s">
        <v>9322</v>
      </c>
      <c r="AS464" t="s">
        <v>9323</v>
      </c>
      <c r="AT464" t="s">
        <v>9324</v>
      </c>
      <c r="AU464">
        <v>2025</v>
      </c>
      <c r="AV464">
        <v>7</v>
      </c>
      <c r="AW464" t="s">
        <v>74</v>
      </c>
      <c r="AX464" t="s">
        <v>74</v>
      </c>
      <c r="AY464" t="s">
        <v>74</v>
      </c>
      <c r="AZ464" t="s">
        <v>74</v>
      </c>
      <c r="BA464" t="s">
        <v>74</v>
      </c>
      <c r="BB464" t="s">
        <v>74</v>
      </c>
      <c r="BC464" t="s">
        <v>74</v>
      </c>
      <c r="BD464">
        <v>1528337</v>
      </c>
      <c r="BE464" t="s">
        <v>9325</v>
      </c>
      <c r="BF464" t="str">
        <f>HYPERLINK("http://dx.doi.org/10.3389/fpos.2025.1528337","http://dx.doi.org/10.3389/fpos.2025.1528337")</f>
        <v>http://dx.doi.org/10.3389/fpos.2025.1528337</v>
      </c>
      <c r="BG464" t="s">
        <v>74</v>
      </c>
      <c r="BH464" t="s">
        <v>74</v>
      </c>
      <c r="BI464">
        <v>13</v>
      </c>
      <c r="BJ464" t="s">
        <v>1040</v>
      </c>
      <c r="BK464" t="s">
        <v>313</v>
      </c>
      <c r="BL464" t="s">
        <v>1041</v>
      </c>
      <c r="BM464" t="s">
        <v>9326</v>
      </c>
      <c r="BN464" t="s">
        <v>74</v>
      </c>
      <c r="BO464" t="s">
        <v>212</v>
      </c>
      <c r="BP464" t="s">
        <v>74</v>
      </c>
      <c r="BQ464" t="s">
        <v>74</v>
      </c>
      <c r="BR464" t="s">
        <v>102</v>
      </c>
      <c r="BS464" t="s">
        <v>9327</v>
      </c>
      <c r="BT464" t="str">
        <f>HYPERLINK("https%3A%2F%2Fwww.webofscience.com%2Fwos%2Fwoscc%2Ffull-record%2FWOS:001487227900001","View Full Record in Web of Science")</f>
        <v>View Full Record in Web of Science</v>
      </c>
    </row>
    <row r="465" spans="1:72" x14ac:dyDescent="0.25">
      <c r="A465" t="s">
        <v>72</v>
      </c>
      <c r="B465" t="s">
        <v>9328</v>
      </c>
      <c r="C465" t="s">
        <v>74</v>
      </c>
      <c r="D465" t="s">
        <v>74</v>
      </c>
      <c r="E465" t="s">
        <v>74</v>
      </c>
      <c r="F465" t="s">
        <v>9329</v>
      </c>
      <c r="G465" t="s">
        <v>74</v>
      </c>
      <c r="H465" t="s">
        <v>74</v>
      </c>
      <c r="I465" t="s">
        <v>9330</v>
      </c>
      <c r="J465" t="s">
        <v>3056</v>
      </c>
      <c r="K465" t="s">
        <v>74</v>
      </c>
      <c r="L465" t="s">
        <v>74</v>
      </c>
      <c r="M465" t="s">
        <v>78</v>
      </c>
      <c r="N465" t="s">
        <v>79</v>
      </c>
      <c r="O465" t="s">
        <v>74</v>
      </c>
      <c r="P465" t="s">
        <v>74</v>
      </c>
      <c r="Q465" t="s">
        <v>74</v>
      </c>
      <c r="R465" t="s">
        <v>74</v>
      </c>
      <c r="S465" t="s">
        <v>74</v>
      </c>
      <c r="T465" t="s">
        <v>9331</v>
      </c>
      <c r="U465" t="s">
        <v>74</v>
      </c>
      <c r="V465" t="s">
        <v>9332</v>
      </c>
      <c r="W465" t="s">
        <v>9333</v>
      </c>
      <c r="X465" t="s">
        <v>3605</v>
      </c>
      <c r="Y465" t="s">
        <v>9334</v>
      </c>
      <c r="Z465" t="s">
        <v>9335</v>
      </c>
      <c r="AA465" t="s">
        <v>74</v>
      </c>
      <c r="AB465" t="s">
        <v>74</v>
      </c>
      <c r="AC465" t="s">
        <v>74</v>
      </c>
      <c r="AD465" t="s">
        <v>74</v>
      </c>
      <c r="AE465" t="s">
        <v>74</v>
      </c>
      <c r="AF465" t="s">
        <v>74</v>
      </c>
      <c r="AG465">
        <v>16</v>
      </c>
      <c r="AH465">
        <v>0</v>
      </c>
      <c r="AI465">
        <v>2</v>
      </c>
      <c r="AJ465">
        <v>1</v>
      </c>
      <c r="AK465">
        <v>11</v>
      </c>
      <c r="AL465" t="s">
        <v>3064</v>
      </c>
      <c r="AM465" t="s">
        <v>3065</v>
      </c>
      <c r="AN465" t="s">
        <v>3066</v>
      </c>
      <c r="AO465" t="s">
        <v>3067</v>
      </c>
      <c r="AP465" t="s">
        <v>3068</v>
      </c>
      <c r="AQ465" t="s">
        <v>74</v>
      </c>
      <c r="AR465" t="s">
        <v>3069</v>
      </c>
      <c r="AS465" t="s">
        <v>3070</v>
      </c>
      <c r="AT465" t="s">
        <v>7558</v>
      </c>
      <c r="AU465">
        <v>2016</v>
      </c>
      <c r="AV465">
        <v>12</v>
      </c>
      <c r="AW465">
        <v>4</v>
      </c>
      <c r="AX465" t="s">
        <v>74</v>
      </c>
      <c r="AY465" t="s">
        <v>74</v>
      </c>
      <c r="AZ465" t="s">
        <v>74</v>
      </c>
      <c r="BA465" t="s">
        <v>74</v>
      </c>
      <c r="BB465">
        <v>641</v>
      </c>
      <c r="BC465">
        <v>651</v>
      </c>
      <c r="BD465" t="s">
        <v>74</v>
      </c>
      <c r="BE465" t="s">
        <v>9336</v>
      </c>
      <c r="BF465" t="str">
        <f>HYPERLINK("http://dx.doi.org/10.5958/2322-0430.2016.00187.6","http://dx.doi.org/10.5958/2322-0430.2016.00187.6")</f>
        <v>http://dx.doi.org/10.5958/2322-0430.2016.00187.6</v>
      </c>
      <c r="BG465" t="s">
        <v>74</v>
      </c>
      <c r="BH465" t="s">
        <v>74</v>
      </c>
      <c r="BI465">
        <v>11</v>
      </c>
      <c r="BJ465" t="s">
        <v>291</v>
      </c>
      <c r="BK465" t="s">
        <v>313</v>
      </c>
      <c r="BL465" t="s">
        <v>100</v>
      </c>
      <c r="BM465" t="s">
        <v>9337</v>
      </c>
      <c r="BN465" t="s">
        <v>74</v>
      </c>
      <c r="BO465" t="s">
        <v>270</v>
      </c>
      <c r="BP465" t="s">
        <v>74</v>
      </c>
      <c r="BQ465" t="s">
        <v>74</v>
      </c>
      <c r="BR465" t="s">
        <v>102</v>
      </c>
      <c r="BS465" t="s">
        <v>9338</v>
      </c>
      <c r="BT465" t="str">
        <f>HYPERLINK("https%3A%2F%2Fwww.webofscience.com%2Fwos%2Fwoscc%2Ffull-record%2FWOS:000407673700004","View Full Record in Web of Science")</f>
        <v>View Full Record in Web of Science</v>
      </c>
    </row>
    <row r="466" spans="1:72" x14ac:dyDescent="0.25">
      <c r="A466" t="s">
        <v>72</v>
      </c>
      <c r="B466" t="s">
        <v>9339</v>
      </c>
      <c r="C466" t="s">
        <v>74</v>
      </c>
      <c r="D466" t="s">
        <v>74</v>
      </c>
      <c r="E466" t="s">
        <v>74</v>
      </c>
      <c r="F466" t="s">
        <v>9340</v>
      </c>
      <c r="G466" t="s">
        <v>74</v>
      </c>
      <c r="H466" t="s">
        <v>74</v>
      </c>
      <c r="I466" t="s">
        <v>9341</v>
      </c>
      <c r="J466" t="s">
        <v>424</v>
      </c>
      <c r="K466" t="s">
        <v>74</v>
      </c>
      <c r="L466" t="s">
        <v>74</v>
      </c>
      <c r="M466" t="s">
        <v>78</v>
      </c>
      <c r="N466" t="s">
        <v>79</v>
      </c>
      <c r="O466" t="s">
        <v>74</v>
      </c>
      <c r="P466" t="s">
        <v>74</v>
      </c>
      <c r="Q466" t="s">
        <v>74</v>
      </c>
      <c r="R466" t="s">
        <v>74</v>
      </c>
      <c r="S466" t="s">
        <v>74</v>
      </c>
      <c r="T466" t="s">
        <v>9342</v>
      </c>
      <c r="U466" t="s">
        <v>9343</v>
      </c>
      <c r="V466" t="s">
        <v>9344</v>
      </c>
      <c r="W466" t="s">
        <v>9345</v>
      </c>
      <c r="X466" t="s">
        <v>9346</v>
      </c>
      <c r="Y466" t="s">
        <v>9347</v>
      </c>
      <c r="Z466" t="s">
        <v>9348</v>
      </c>
      <c r="AA466" t="s">
        <v>74</v>
      </c>
      <c r="AB466" t="s">
        <v>74</v>
      </c>
      <c r="AC466" t="s">
        <v>9349</v>
      </c>
      <c r="AD466" t="s">
        <v>9350</v>
      </c>
      <c r="AE466" t="s">
        <v>9351</v>
      </c>
      <c r="AF466" t="s">
        <v>74</v>
      </c>
      <c r="AG466">
        <v>102</v>
      </c>
      <c r="AH466">
        <v>8</v>
      </c>
      <c r="AI466">
        <v>9</v>
      </c>
      <c r="AJ466">
        <v>8</v>
      </c>
      <c r="AK466">
        <v>32</v>
      </c>
      <c r="AL466" t="s">
        <v>89</v>
      </c>
      <c r="AM466" t="s">
        <v>90</v>
      </c>
      <c r="AN466" t="s">
        <v>91</v>
      </c>
      <c r="AO466" t="s">
        <v>436</v>
      </c>
      <c r="AP466" t="s">
        <v>437</v>
      </c>
      <c r="AQ466" t="s">
        <v>74</v>
      </c>
      <c r="AR466" t="s">
        <v>438</v>
      </c>
      <c r="AS466" t="s">
        <v>439</v>
      </c>
      <c r="AT466" t="s">
        <v>3387</v>
      </c>
      <c r="AU466">
        <v>2024</v>
      </c>
      <c r="AV466">
        <v>42</v>
      </c>
      <c r="AW466">
        <v>5</v>
      </c>
      <c r="AX466" t="s">
        <v>74</v>
      </c>
      <c r="AY466" t="s">
        <v>74</v>
      </c>
      <c r="AZ466" t="s">
        <v>74</v>
      </c>
      <c r="BA466" t="s">
        <v>74</v>
      </c>
      <c r="BB466">
        <v>897</v>
      </c>
      <c r="BC466">
        <v>923</v>
      </c>
      <c r="BD466" t="s">
        <v>74</v>
      </c>
      <c r="BE466" t="s">
        <v>9352</v>
      </c>
      <c r="BF466" t="str">
        <f>HYPERLINK("http://dx.doi.org/10.1108/IJBM-03-2023-0195","http://dx.doi.org/10.1108/IJBM-03-2023-0195")</f>
        <v>http://dx.doi.org/10.1108/IJBM-03-2023-0195</v>
      </c>
      <c r="BG466" t="s">
        <v>74</v>
      </c>
      <c r="BH466" t="s">
        <v>938</v>
      </c>
      <c r="BI466">
        <v>27</v>
      </c>
      <c r="BJ466" t="s">
        <v>418</v>
      </c>
      <c r="BK466" t="s">
        <v>99</v>
      </c>
      <c r="BL466" t="s">
        <v>100</v>
      </c>
      <c r="BM466" t="s">
        <v>9353</v>
      </c>
      <c r="BN466" t="s">
        <v>74</v>
      </c>
      <c r="BO466" t="s">
        <v>74</v>
      </c>
      <c r="BP466" t="s">
        <v>74</v>
      </c>
      <c r="BQ466" t="s">
        <v>74</v>
      </c>
      <c r="BR466" t="s">
        <v>102</v>
      </c>
      <c r="BS466" t="s">
        <v>9354</v>
      </c>
      <c r="BT466" t="str">
        <f>HYPERLINK("https%3A%2F%2Fwww.webofscience.com%2Fwos%2Fwoscc%2Ffull-record%2FWOS:001202492200001","View Full Record in Web of Science")</f>
        <v>View Full Record in Web of Science</v>
      </c>
    </row>
    <row r="467" spans="1:72" x14ac:dyDescent="0.25">
      <c r="A467" t="s">
        <v>72</v>
      </c>
      <c r="B467" t="s">
        <v>9355</v>
      </c>
      <c r="C467" t="s">
        <v>74</v>
      </c>
      <c r="D467" t="s">
        <v>74</v>
      </c>
      <c r="E467" t="s">
        <v>74</v>
      </c>
      <c r="F467" t="s">
        <v>9356</v>
      </c>
      <c r="G467" t="s">
        <v>74</v>
      </c>
      <c r="H467" t="s">
        <v>74</v>
      </c>
      <c r="I467" t="s">
        <v>9357</v>
      </c>
      <c r="J467" t="s">
        <v>3231</v>
      </c>
      <c r="K467" t="s">
        <v>74</v>
      </c>
      <c r="L467" t="s">
        <v>74</v>
      </c>
      <c r="M467" t="s">
        <v>78</v>
      </c>
      <c r="N467" t="s">
        <v>79</v>
      </c>
      <c r="O467" t="s">
        <v>74</v>
      </c>
      <c r="P467" t="s">
        <v>74</v>
      </c>
      <c r="Q467" t="s">
        <v>74</v>
      </c>
      <c r="R467" t="s">
        <v>74</v>
      </c>
      <c r="S467" t="s">
        <v>74</v>
      </c>
      <c r="T467" t="s">
        <v>9358</v>
      </c>
      <c r="U467" t="s">
        <v>74</v>
      </c>
      <c r="V467" t="s">
        <v>9359</v>
      </c>
      <c r="W467" t="s">
        <v>9360</v>
      </c>
      <c r="X467" t="s">
        <v>9361</v>
      </c>
      <c r="Y467" t="s">
        <v>9362</v>
      </c>
      <c r="Z467" t="s">
        <v>9363</v>
      </c>
      <c r="AA467" t="s">
        <v>9364</v>
      </c>
      <c r="AB467" t="s">
        <v>9365</v>
      </c>
      <c r="AC467" t="s">
        <v>74</v>
      </c>
      <c r="AD467" t="s">
        <v>74</v>
      </c>
      <c r="AE467" t="s">
        <v>74</v>
      </c>
      <c r="AF467" t="s">
        <v>74</v>
      </c>
      <c r="AG467">
        <v>46</v>
      </c>
      <c r="AH467">
        <v>4</v>
      </c>
      <c r="AI467">
        <v>5</v>
      </c>
      <c r="AJ467">
        <v>7</v>
      </c>
      <c r="AK467">
        <v>24</v>
      </c>
      <c r="AL467" t="s">
        <v>575</v>
      </c>
      <c r="AM467" t="s">
        <v>576</v>
      </c>
      <c r="AN467" t="s">
        <v>3242</v>
      </c>
      <c r="AO467" t="s">
        <v>74</v>
      </c>
      <c r="AP467" t="s">
        <v>3243</v>
      </c>
      <c r="AQ467" t="s">
        <v>74</v>
      </c>
      <c r="AR467" t="s">
        <v>3244</v>
      </c>
      <c r="AS467" t="s">
        <v>3245</v>
      </c>
      <c r="AT467" t="s">
        <v>1540</v>
      </c>
      <c r="AU467">
        <v>2024</v>
      </c>
      <c r="AV467">
        <v>16</v>
      </c>
      <c r="AW467">
        <v>10</v>
      </c>
      <c r="AX467" t="s">
        <v>74</v>
      </c>
      <c r="AY467" t="s">
        <v>74</v>
      </c>
      <c r="AZ467" t="s">
        <v>74</v>
      </c>
      <c r="BA467" t="s">
        <v>74</v>
      </c>
      <c r="BB467" t="s">
        <v>74</v>
      </c>
      <c r="BC467" t="s">
        <v>74</v>
      </c>
      <c r="BD467">
        <v>4151</v>
      </c>
      <c r="BE467" t="s">
        <v>9366</v>
      </c>
      <c r="BF467" t="str">
        <f>HYPERLINK("http://dx.doi.org/10.3390/su16104151","http://dx.doi.org/10.3390/su16104151")</f>
        <v>http://dx.doi.org/10.3390/su16104151</v>
      </c>
      <c r="BG467" t="s">
        <v>74</v>
      </c>
      <c r="BH467" t="s">
        <v>74</v>
      </c>
      <c r="BI467">
        <v>18</v>
      </c>
      <c r="BJ467" t="s">
        <v>3247</v>
      </c>
      <c r="BK467" t="s">
        <v>2623</v>
      </c>
      <c r="BL467" t="s">
        <v>3248</v>
      </c>
      <c r="BM467" t="s">
        <v>9367</v>
      </c>
      <c r="BN467" t="s">
        <v>74</v>
      </c>
      <c r="BO467" t="s">
        <v>212</v>
      </c>
      <c r="BP467" t="s">
        <v>74</v>
      </c>
      <c r="BQ467" t="s">
        <v>74</v>
      </c>
      <c r="BR467" t="s">
        <v>102</v>
      </c>
      <c r="BS467" t="s">
        <v>9368</v>
      </c>
      <c r="BT467" t="str">
        <f>HYPERLINK("https%3A%2F%2Fwww.webofscience.com%2Fwos%2Fwoscc%2Ffull-record%2FWOS:001231229000001","View Full Record in Web of Science")</f>
        <v>View Full Record in Web of Science</v>
      </c>
    </row>
    <row r="468" spans="1:72" x14ac:dyDescent="0.25">
      <c r="A468" t="s">
        <v>72</v>
      </c>
      <c r="B468" t="s">
        <v>9369</v>
      </c>
      <c r="C468" t="s">
        <v>74</v>
      </c>
      <c r="D468" t="s">
        <v>74</v>
      </c>
      <c r="E468" t="s">
        <v>74</v>
      </c>
      <c r="F468" t="s">
        <v>9370</v>
      </c>
      <c r="G468" t="s">
        <v>74</v>
      </c>
      <c r="H468" t="s">
        <v>74</v>
      </c>
      <c r="I468" t="s">
        <v>9371</v>
      </c>
      <c r="J468" t="s">
        <v>9372</v>
      </c>
      <c r="K468" t="s">
        <v>74</v>
      </c>
      <c r="L468" t="s">
        <v>74</v>
      </c>
      <c r="M468" t="s">
        <v>78</v>
      </c>
      <c r="N468" t="s">
        <v>79</v>
      </c>
      <c r="O468" t="s">
        <v>74</v>
      </c>
      <c r="P468" t="s">
        <v>74</v>
      </c>
      <c r="Q468" t="s">
        <v>74</v>
      </c>
      <c r="R468" t="s">
        <v>74</v>
      </c>
      <c r="S468" t="s">
        <v>74</v>
      </c>
      <c r="T468" t="s">
        <v>9373</v>
      </c>
      <c r="U468" t="s">
        <v>9374</v>
      </c>
      <c r="V468" t="s">
        <v>9375</v>
      </c>
      <c r="W468" t="s">
        <v>9376</v>
      </c>
      <c r="X468" t="s">
        <v>9377</v>
      </c>
      <c r="Y468" t="s">
        <v>9378</v>
      </c>
      <c r="Z468" t="s">
        <v>9379</v>
      </c>
      <c r="AA468" t="s">
        <v>9380</v>
      </c>
      <c r="AB468" t="s">
        <v>9381</v>
      </c>
      <c r="AC468" t="s">
        <v>9382</v>
      </c>
      <c r="AD468" t="s">
        <v>9382</v>
      </c>
      <c r="AE468" t="s">
        <v>9383</v>
      </c>
      <c r="AF468" t="s">
        <v>74</v>
      </c>
      <c r="AG468">
        <v>128</v>
      </c>
      <c r="AH468">
        <v>15</v>
      </c>
      <c r="AI468">
        <v>21</v>
      </c>
      <c r="AJ468">
        <v>13</v>
      </c>
      <c r="AK468">
        <v>39</v>
      </c>
      <c r="AL468" t="s">
        <v>201</v>
      </c>
      <c r="AM468" t="s">
        <v>202</v>
      </c>
      <c r="AN468" t="s">
        <v>203</v>
      </c>
      <c r="AO468" t="s">
        <v>9384</v>
      </c>
      <c r="AP468" t="s">
        <v>9385</v>
      </c>
      <c r="AQ468" t="s">
        <v>74</v>
      </c>
      <c r="AR468" t="s">
        <v>9386</v>
      </c>
      <c r="AS468" t="s">
        <v>9387</v>
      </c>
      <c r="AT468" t="s">
        <v>208</v>
      </c>
      <c r="AU468">
        <v>2025</v>
      </c>
      <c r="AV468">
        <v>73</v>
      </c>
      <c r="AW468" t="s">
        <v>74</v>
      </c>
      <c r="AX468" t="s">
        <v>3828</v>
      </c>
      <c r="AY468" t="s">
        <v>74</v>
      </c>
      <c r="AZ468" t="s">
        <v>74</v>
      </c>
      <c r="BA468" t="s">
        <v>74</v>
      </c>
      <c r="BB468" t="s">
        <v>74</v>
      </c>
      <c r="BC468" t="s">
        <v>74</v>
      </c>
      <c r="BD468">
        <v>102529</v>
      </c>
      <c r="BE468" t="s">
        <v>9388</v>
      </c>
      <c r="BF468" t="str">
        <f>HYPERLINK("http://dx.doi.org/10.1016/j.ribaf.2024.102529","http://dx.doi.org/10.1016/j.ribaf.2024.102529")</f>
        <v>http://dx.doi.org/10.1016/j.ribaf.2024.102529</v>
      </c>
      <c r="BG468" t="s">
        <v>74</v>
      </c>
      <c r="BH468" t="s">
        <v>9389</v>
      </c>
      <c r="BI468">
        <v>44</v>
      </c>
      <c r="BJ468" t="s">
        <v>268</v>
      </c>
      <c r="BK468" t="s">
        <v>99</v>
      </c>
      <c r="BL468" t="s">
        <v>100</v>
      </c>
      <c r="BM468" t="s">
        <v>9390</v>
      </c>
      <c r="BN468" t="s">
        <v>74</v>
      </c>
      <c r="BO468" t="s">
        <v>270</v>
      </c>
      <c r="BP468" t="s">
        <v>74</v>
      </c>
      <c r="BQ468" t="s">
        <v>74</v>
      </c>
      <c r="BR468" t="s">
        <v>102</v>
      </c>
      <c r="BS468" t="s">
        <v>9391</v>
      </c>
      <c r="BT468" t="str">
        <f>HYPERLINK("https%3A%2F%2Fwww.webofscience.com%2Fwos%2Fwoscc%2Ffull-record%2FWOS:001309759700001","View Full Record in Web of Science")</f>
        <v>View Full Record in Web of Science</v>
      </c>
    </row>
    <row r="469" spans="1:72" x14ac:dyDescent="0.25">
      <c r="A469" t="s">
        <v>72</v>
      </c>
      <c r="B469" t="s">
        <v>9392</v>
      </c>
      <c r="C469" t="s">
        <v>74</v>
      </c>
      <c r="D469" t="s">
        <v>74</v>
      </c>
      <c r="E469" t="s">
        <v>74</v>
      </c>
      <c r="F469" t="s">
        <v>9393</v>
      </c>
      <c r="G469" t="s">
        <v>74</v>
      </c>
      <c r="H469" t="s">
        <v>74</v>
      </c>
      <c r="I469" t="s">
        <v>9394</v>
      </c>
      <c r="J469" t="s">
        <v>9395</v>
      </c>
      <c r="K469" t="s">
        <v>74</v>
      </c>
      <c r="L469" t="s">
        <v>74</v>
      </c>
      <c r="M469" t="s">
        <v>298</v>
      </c>
      <c r="N469" t="s">
        <v>79</v>
      </c>
      <c r="O469" t="s">
        <v>74</v>
      </c>
      <c r="P469" t="s">
        <v>74</v>
      </c>
      <c r="Q469" t="s">
        <v>74</v>
      </c>
      <c r="R469" t="s">
        <v>74</v>
      </c>
      <c r="S469" t="s">
        <v>74</v>
      </c>
      <c r="T469" t="s">
        <v>9396</v>
      </c>
      <c r="U469" t="s">
        <v>74</v>
      </c>
      <c r="V469" t="s">
        <v>9397</v>
      </c>
      <c r="W469" t="s">
        <v>9398</v>
      </c>
      <c r="X469" t="s">
        <v>9399</v>
      </c>
      <c r="Y469" t="s">
        <v>9400</v>
      </c>
      <c r="Z469" t="s">
        <v>9401</v>
      </c>
      <c r="AA469" t="s">
        <v>74</v>
      </c>
      <c r="AB469" t="s">
        <v>74</v>
      </c>
      <c r="AC469" t="s">
        <v>74</v>
      </c>
      <c r="AD469" t="s">
        <v>74</v>
      </c>
      <c r="AE469" t="s">
        <v>74</v>
      </c>
      <c r="AF469" t="s">
        <v>74</v>
      </c>
      <c r="AG469">
        <v>39</v>
      </c>
      <c r="AH469">
        <v>0</v>
      </c>
      <c r="AI469">
        <v>0</v>
      </c>
      <c r="AJ469">
        <v>0</v>
      </c>
      <c r="AK469">
        <v>0</v>
      </c>
      <c r="AL469" t="s">
        <v>9402</v>
      </c>
      <c r="AM469" t="s">
        <v>9403</v>
      </c>
      <c r="AN469" t="s">
        <v>9404</v>
      </c>
      <c r="AO469" t="s">
        <v>9405</v>
      </c>
      <c r="AP469" t="s">
        <v>74</v>
      </c>
      <c r="AQ469" t="s">
        <v>74</v>
      </c>
      <c r="AR469" t="s">
        <v>9406</v>
      </c>
      <c r="AS469" t="s">
        <v>9407</v>
      </c>
      <c r="AT469" t="s">
        <v>74</v>
      </c>
      <c r="AU469">
        <v>2025</v>
      </c>
      <c r="AV469">
        <v>17</v>
      </c>
      <c r="AW469">
        <v>3</v>
      </c>
      <c r="AX469" t="s">
        <v>74</v>
      </c>
      <c r="AY469" t="s">
        <v>74</v>
      </c>
      <c r="AZ469" t="s">
        <v>74</v>
      </c>
      <c r="BA469" t="s">
        <v>74</v>
      </c>
      <c r="BB469">
        <v>141</v>
      </c>
      <c r="BC469">
        <v>166</v>
      </c>
      <c r="BD469" t="s">
        <v>74</v>
      </c>
      <c r="BE469" t="s">
        <v>9408</v>
      </c>
      <c r="BF469" t="str">
        <f>HYPERLINK("http://dx.doi.org/10.22305/ict-unpa.v17.n3.1212","http://dx.doi.org/10.22305/ict-unpa.v17.n3.1212")</f>
        <v>http://dx.doi.org/10.22305/ict-unpa.v17.n3.1212</v>
      </c>
      <c r="BG469" t="s">
        <v>74</v>
      </c>
      <c r="BH469" t="s">
        <v>74</v>
      </c>
      <c r="BI469">
        <v>26</v>
      </c>
      <c r="BJ469" t="s">
        <v>559</v>
      </c>
      <c r="BK469" t="s">
        <v>313</v>
      </c>
      <c r="BL469" t="s">
        <v>560</v>
      </c>
      <c r="BM469" t="s">
        <v>9409</v>
      </c>
      <c r="BN469" t="s">
        <v>74</v>
      </c>
      <c r="BO469" t="s">
        <v>212</v>
      </c>
      <c r="BP469" t="s">
        <v>74</v>
      </c>
      <c r="BQ469" t="s">
        <v>74</v>
      </c>
      <c r="BR469" t="s">
        <v>102</v>
      </c>
      <c r="BS469" t="s">
        <v>9410</v>
      </c>
      <c r="BT469" t="str">
        <f>HYPERLINK("https%3A%2F%2Fwww.webofscience.com%2Fwos%2Fwoscc%2Ffull-record%2FWOS:001598031200008","View Full Record in Web of Science")</f>
        <v>View Full Record in Web of Science</v>
      </c>
    </row>
    <row r="470" spans="1:72" x14ac:dyDescent="0.25">
      <c r="A470" t="s">
        <v>72</v>
      </c>
      <c r="B470" t="s">
        <v>9411</v>
      </c>
      <c r="C470" t="s">
        <v>74</v>
      </c>
      <c r="D470" t="s">
        <v>74</v>
      </c>
      <c r="E470" t="s">
        <v>74</v>
      </c>
      <c r="F470" t="s">
        <v>9412</v>
      </c>
      <c r="G470" t="s">
        <v>74</v>
      </c>
      <c r="H470" t="s">
        <v>74</v>
      </c>
      <c r="I470" t="s">
        <v>9413</v>
      </c>
      <c r="J470" t="s">
        <v>9414</v>
      </c>
      <c r="K470" t="s">
        <v>74</v>
      </c>
      <c r="L470" t="s">
        <v>74</v>
      </c>
      <c r="M470" t="s">
        <v>78</v>
      </c>
      <c r="N470" t="s">
        <v>79</v>
      </c>
      <c r="O470" t="s">
        <v>74</v>
      </c>
      <c r="P470" t="s">
        <v>74</v>
      </c>
      <c r="Q470" t="s">
        <v>74</v>
      </c>
      <c r="R470" t="s">
        <v>74</v>
      </c>
      <c r="S470" t="s">
        <v>74</v>
      </c>
      <c r="T470" t="s">
        <v>9415</v>
      </c>
      <c r="U470" t="s">
        <v>9416</v>
      </c>
      <c r="V470" t="s">
        <v>9417</v>
      </c>
      <c r="W470" t="s">
        <v>9418</v>
      </c>
      <c r="X470" t="s">
        <v>9419</v>
      </c>
      <c r="Y470" t="s">
        <v>9420</v>
      </c>
      <c r="Z470" t="s">
        <v>9421</v>
      </c>
      <c r="AA470" t="s">
        <v>9422</v>
      </c>
      <c r="AB470" t="s">
        <v>9423</v>
      </c>
      <c r="AC470" t="s">
        <v>74</v>
      </c>
      <c r="AD470" t="s">
        <v>74</v>
      </c>
      <c r="AE470" t="s">
        <v>74</v>
      </c>
      <c r="AF470" t="s">
        <v>74</v>
      </c>
      <c r="AG470">
        <v>170</v>
      </c>
      <c r="AH470">
        <v>7</v>
      </c>
      <c r="AI470">
        <v>9</v>
      </c>
      <c r="AJ470">
        <v>1</v>
      </c>
      <c r="AK470">
        <v>19</v>
      </c>
      <c r="AL470" t="s">
        <v>9424</v>
      </c>
      <c r="AM470" t="s">
        <v>9425</v>
      </c>
      <c r="AN470" t="s">
        <v>9426</v>
      </c>
      <c r="AO470" t="s">
        <v>74</v>
      </c>
      <c r="AP470" t="s">
        <v>9427</v>
      </c>
      <c r="AQ470" t="s">
        <v>74</v>
      </c>
      <c r="AR470" t="s">
        <v>9428</v>
      </c>
      <c r="AS470" t="s">
        <v>9429</v>
      </c>
      <c r="AT470" t="s">
        <v>124</v>
      </c>
      <c r="AU470">
        <v>2021</v>
      </c>
      <c r="AV470">
        <v>8</v>
      </c>
      <c r="AW470">
        <v>2</v>
      </c>
      <c r="AX470" t="s">
        <v>74</v>
      </c>
      <c r="AY470" t="s">
        <v>74</v>
      </c>
      <c r="AZ470" t="s">
        <v>74</v>
      </c>
      <c r="BA470" t="s">
        <v>74</v>
      </c>
      <c r="BB470">
        <v>405</v>
      </c>
      <c r="BC470">
        <v>433</v>
      </c>
      <c r="BD470" t="s">
        <v>74</v>
      </c>
      <c r="BE470" t="s">
        <v>74</v>
      </c>
      <c r="BF470" t="s">
        <v>74</v>
      </c>
      <c r="BG470" t="s">
        <v>74</v>
      </c>
      <c r="BH470" t="s">
        <v>74</v>
      </c>
      <c r="BI470">
        <v>29</v>
      </c>
      <c r="BJ470" t="s">
        <v>182</v>
      </c>
      <c r="BK470" t="s">
        <v>313</v>
      </c>
      <c r="BL470" t="s">
        <v>184</v>
      </c>
      <c r="BM470" t="s">
        <v>9430</v>
      </c>
      <c r="BN470" t="s">
        <v>74</v>
      </c>
      <c r="BO470" t="s">
        <v>74</v>
      </c>
      <c r="BP470" t="s">
        <v>74</v>
      </c>
      <c r="BQ470" t="s">
        <v>74</v>
      </c>
      <c r="BR470" t="s">
        <v>102</v>
      </c>
      <c r="BS470" t="s">
        <v>9431</v>
      </c>
      <c r="BT470" t="str">
        <f>HYPERLINK("https%3A%2F%2Fwww.webofscience.com%2Fwos%2Fwoscc%2Ffull-record%2FWOS:000734552100005","View Full Record in Web of Science")</f>
        <v>View Full Record in Web of Science</v>
      </c>
    </row>
    <row r="471" spans="1:72" x14ac:dyDescent="0.25">
      <c r="A471" t="s">
        <v>72</v>
      </c>
      <c r="B471" t="s">
        <v>9432</v>
      </c>
      <c r="C471" t="s">
        <v>74</v>
      </c>
      <c r="D471" t="s">
        <v>74</v>
      </c>
      <c r="E471" t="s">
        <v>74</v>
      </c>
      <c r="F471" t="s">
        <v>9433</v>
      </c>
      <c r="G471" t="s">
        <v>74</v>
      </c>
      <c r="H471" t="s">
        <v>74</v>
      </c>
      <c r="I471" t="s">
        <v>9434</v>
      </c>
      <c r="J471" t="s">
        <v>9435</v>
      </c>
      <c r="K471" t="s">
        <v>74</v>
      </c>
      <c r="L471" t="s">
        <v>74</v>
      </c>
      <c r="M471" t="s">
        <v>78</v>
      </c>
      <c r="N471" t="s">
        <v>79</v>
      </c>
      <c r="O471" t="s">
        <v>74</v>
      </c>
      <c r="P471" t="s">
        <v>74</v>
      </c>
      <c r="Q471" t="s">
        <v>74</v>
      </c>
      <c r="R471" t="s">
        <v>74</v>
      </c>
      <c r="S471" t="s">
        <v>74</v>
      </c>
      <c r="T471" t="s">
        <v>9436</v>
      </c>
      <c r="U471" t="s">
        <v>9437</v>
      </c>
      <c r="V471" t="s">
        <v>9438</v>
      </c>
      <c r="W471" t="s">
        <v>9439</v>
      </c>
      <c r="X471" t="s">
        <v>9440</v>
      </c>
      <c r="Y471" t="s">
        <v>9441</v>
      </c>
      <c r="Z471" t="s">
        <v>9442</v>
      </c>
      <c r="AA471" t="s">
        <v>9443</v>
      </c>
      <c r="AB471" t="s">
        <v>9444</v>
      </c>
      <c r="AC471" t="s">
        <v>74</v>
      </c>
      <c r="AD471" t="s">
        <v>74</v>
      </c>
      <c r="AE471" t="s">
        <v>74</v>
      </c>
      <c r="AF471" t="s">
        <v>74</v>
      </c>
      <c r="AG471">
        <v>62</v>
      </c>
      <c r="AH471">
        <v>0</v>
      </c>
      <c r="AI471">
        <v>0</v>
      </c>
      <c r="AJ471">
        <v>1</v>
      </c>
      <c r="AK471">
        <v>6</v>
      </c>
      <c r="AL471" t="s">
        <v>5619</v>
      </c>
      <c r="AM471" t="s">
        <v>5620</v>
      </c>
      <c r="AN471" t="s">
        <v>9445</v>
      </c>
      <c r="AO471" t="s">
        <v>9446</v>
      </c>
      <c r="AP471" t="s">
        <v>9447</v>
      </c>
      <c r="AQ471" t="s">
        <v>74</v>
      </c>
      <c r="AR471" t="s">
        <v>9448</v>
      </c>
      <c r="AS471" t="s">
        <v>9449</v>
      </c>
      <c r="AT471" t="s">
        <v>698</v>
      </c>
      <c r="AU471">
        <v>2022</v>
      </c>
      <c r="AV471">
        <v>21</v>
      </c>
      <c r="AW471">
        <v>2</v>
      </c>
      <c r="AX471" t="s">
        <v>74</v>
      </c>
      <c r="AY471" t="s">
        <v>74</v>
      </c>
      <c r="AZ471" t="s">
        <v>74</v>
      </c>
      <c r="BA471" t="s">
        <v>74</v>
      </c>
      <c r="BB471">
        <v>123</v>
      </c>
      <c r="BC471">
        <v>151</v>
      </c>
      <c r="BD471" t="s">
        <v>74</v>
      </c>
      <c r="BE471" t="s">
        <v>9450</v>
      </c>
      <c r="BF471" t="str">
        <f>HYPERLINK("http://dx.doi.org/10.1163/15691497-12341621","http://dx.doi.org/10.1163/15691497-12341621")</f>
        <v>http://dx.doi.org/10.1163/15691497-12341621</v>
      </c>
      <c r="BG471" t="s">
        <v>74</v>
      </c>
      <c r="BH471" t="s">
        <v>74</v>
      </c>
      <c r="BI471">
        <v>29</v>
      </c>
      <c r="BJ471" t="s">
        <v>1137</v>
      </c>
      <c r="BK471" t="s">
        <v>313</v>
      </c>
      <c r="BL471" t="s">
        <v>1137</v>
      </c>
      <c r="BM471" t="s">
        <v>9451</v>
      </c>
      <c r="BN471" t="s">
        <v>74</v>
      </c>
      <c r="BO471" t="s">
        <v>74</v>
      </c>
      <c r="BP471" t="s">
        <v>74</v>
      </c>
      <c r="BQ471" t="s">
        <v>74</v>
      </c>
      <c r="BR471" t="s">
        <v>102</v>
      </c>
      <c r="BS471" t="s">
        <v>9452</v>
      </c>
      <c r="BT471" t="str">
        <f>HYPERLINK("https%3A%2F%2Fwww.webofscience.com%2Fwos%2Fwoscc%2Ffull-record%2FWOS:000858719800001","View Full Record in Web of Science")</f>
        <v>View Full Record in Web of Science</v>
      </c>
    </row>
    <row r="472" spans="1:72" x14ac:dyDescent="0.25">
      <c r="A472" t="s">
        <v>72</v>
      </c>
      <c r="B472" t="s">
        <v>9453</v>
      </c>
      <c r="C472" t="s">
        <v>74</v>
      </c>
      <c r="D472" t="s">
        <v>74</v>
      </c>
      <c r="E472" t="s">
        <v>74</v>
      </c>
      <c r="F472" t="s">
        <v>9454</v>
      </c>
      <c r="G472" t="s">
        <v>74</v>
      </c>
      <c r="H472" t="s">
        <v>74</v>
      </c>
      <c r="I472" t="s">
        <v>9455</v>
      </c>
      <c r="J472" t="s">
        <v>751</v>
      </c>
      <c r="K472" t="s">
        <v>74</v>
      </c>
      <c r="L472" t="s">
        <v>74</v>
      </c>
      <c r="M472" t="s">
        <v>78</v>
      </c>
      <c r="N472" t="s">
        <v>372</v>
      </c>
      <c r="O472" t="s">
        <v>74</v>
      </c>
      <c r="P472" t="s">
        <v>74</v>
      </c>
      <c r="Q472" t="s">
        <v>74</v>
      </c>
      <c r="R472" t="s">
        <v>74</v>
      </c>
      <c r="S472" t="s">
        <v>74</v>
      </c>
      <c r="T472" t="s">
        <v>9456</v>
      </c>
      <c r="U472" t="s">
        <v>74</v>
      </c>
      <c r="V472" t="s">
        <v>9457</v>
      </c>
      <c r="W472" t="s">
        <v>9458</v>
      </c>
      <c r="X472" t="s">
        <v>9459</v>
      </c>
      <c r="Y472" t="s">
        <v>9460</v>
      </c>
      <c r="Z472" t="s">
        <v>9461</v>
      </c>
      <c r="AA472" t="s">
        <v>9462</v>
      </c>
      <c r="AB472" t="s">
        <v>74</v>
      </c>
      <c r="AC472" t="s">
        <v>74</v>
      </c>
      <c r="AD472" t="s">
        <v>74</v>
      </c>
      <c r="AE472" t="s">
        <v>74</v>
      </c>
      <c r="AF472" t="s">
        <v>74</v>
      </c>
      <c r="AG472">
        <v>21</v>
      </c>
      <c r="AH472">
        <v>0</v>
      </c>
      <c r="AI472">
        <v>0</v>
      </c>
      <c r="AJ472">
        <v>0</v>
      </c>
      <c r="AK472">
        <v>0</v>
      </c>
      <c r="AL472" t="s">
        <v>757</v>
      </c>
      <c r="AM472" t="s">
        <v>758</v>
      </c>
      <c r="AN472" t="s">
        <v>759</v>
      </c>
      <c r="AO472" t="s">
        <v>760</v>
      </c>
      <c r="AP472" t="s">
        <v>761</v>
      </c>
      <c r="AQ472" t="s">
        <v>74</v>
      </c>
      <c r="AR472" t="s">
        <v>762</v>
      </c>
      <c r="AS472" t="s">
        <v>763</v>
      </c>
      <c r="AT472" t="s">
        <v>9463</v>
      </c>
      <c r="AU472">
        <v>2023</v>
      </c>
      <c r="AV472" t="s">
        <v>74</v>
      </c>
      <c r="AW472" t="s">
        <v>74</v>
      </c>
      <c r="AX472" t="s">
        <v>74</v>
      </c>
      <c r="AY472" t="s">
        <v>74</v>
      </c>
      <c r="AZ472" t="s">
        <v>74</v>
      </c>
      <c r="BA472" t="s">
        <v>74</v>
      </c>
      <c r="BB472" t="s">
        <v>74</v>
      </c>
      <c r="BC472" t="s">
        <v>74</v>
      </c>
      <c r="BD472" t="s">
        <v>74</v>
      </c>
      <c r="BE472" t="s">
        <v>9464</v>
      </c>
      <c r="BF472" t="str">
        <f>HYPERLINK("http://dx.doi.org/10.1177/2455328X221150560","http://dx.doi.org/10.1177/2455328X221150560")</f>
        <v>http://dx.doi.org/10.1177/2455328X221150560</v>
      </c>
      <c r="BG472" t="s">
        <v>74</v>
      </c>
      <c r="BH472" t="s">
        <v>6418</v>
      </c>
      <c r="BI472">
        <v>10</v>
      </c>
      <c r="BJ472" t="s">
        <v>364</v>
      </c>
      <c r="BK472" t="s">
        <v>313</v>
      </c>
      <c r="BL472" t="s">
        <v>365</v>
      </c>
      <c r="BM472" t="s">
        <v>9465</v>
      </c>
      <c r="BN472" t="s">
        <v>74</v>
      </c>
      <c r="BO472" t="s">
        <v>74</v>
      </c>
      <c r="BP472" t="s">
        <v>74</v>
      </c>
      <c r="BQ472" t="s">
        <v>74</v>
      </c>
      <c r="BR472" t="s">
        <v>102</v>
      </c>
      <c r="BS472" t="s">
        <v>9466</v>
      </c>
      <c r="BT472" t="str">
        <f>HYPERLINK("https%3A%2F%2Fwww.webofscience.com%2Fwos%2Fwoscc%2Ffull-record%2FWOS:001000991400001","View Full Record in Web of Science")</f>
        <v>View Full Record in Web of Science</v>
      </c>
    </row>
    <row r="473" spans="1:72" x14ac:dyDescent="0.25">
      <c r="A473" t="s">
        <v>72</v>
      </c>
      <c r="B473" t="s">
        <v>9467</v>
      </c>
      <c r="C473" t="s">
        <v>74</v>
      </c>
      <c r="D473" t="s">
        <v>74</v>
      </c>
      <c r="E473" t="s">
        <v>74</v>
      </c>
      <c r="F473" t="s">
        <v>9468</v>
      </c>
      <c r="G473" t="s">
        <v>74</v>
      </c>
      <c r="H473" t="s">
        <v>74</v>
      </c>
      <c r="I473" t="s">
        <v>9469</v>
      </c>
      <c r="J473" t="s">
        <v>9470</v>
      </c>
      <c r="K473" t="s">
        <v>74</v>
      </c>
      <c r="L473" t="s">
        <v>74</v>
      </c>
      <c r="M473" t="s">
        <v>78</v>
      </c>
      <c r="N473" t="s">
        <v>79</v>
      </c>
      <c r="O473" t="s">
        <v>74</v>
      </c>
      <c r="P473" t="s">
        <v>74</v>
      </c>
      <c r="Q473" t="s">
        <v>74</v>
      </c>
      <c r="R473" t="s">
        <v>74</v>
      </c>
      <c r="S473" t="s">
        <v>74</v>
      </c>
      <c r="T473" t="s">
        <v>9471</v>
      </c>
      <c r="U473" t="s">
        <v>74</v>
      </c>
      <c r="V473" t="s">
        <v>9472</v>
      </c>
      <c r="W473" t="s">
        <v>9473</v>
      </c>
      <c r="X473" t="s">
        <v>2320</v>
      </c>
      <c r="Y473" t="s">
        <v>9474</v>
      </c>
      <c r="Z473" t="s">
        <v>9475</v>
      </c>
      <c r="AA473" t="s">
        <v>9476</v>
      </c>
      <c r="AB473" t="s">
        <v>9477</v>
      </c>
      <c r="AC473" t="s">
        <v>74</v>
      </c>
      <c r="AD473" t="s">
        <v>74</v>
      </c>
      <c r="AE473" t="s">
        <v>74</v>
      </c>
      <c r="AF473" t="s">
        <v>74</v>
      </c>
      <c r="AG473">
        <v>12</v>
      </c>
      <c r="AH473">
        <v>201</v>
      </c>
      <c r="AI473">
        <v>251</v>
      </c>
      <c r="AJ473">
        <v>10</v>
      </c>
      <c r="AK473">
        <v>191</v>
      </c>
      <c r="AL473" t="s">
        <v>1889</v>
      </c>
      <c r="AM473" t="s">
        <v>1890</v>
      </c>
      <c r="AN473" t="s">
        <v>1891</v>
      </c>
      <c r="AO473" t="s">
        <v>9478</v>
      </c>
      <c r="AP473" t="s">
        <v>9479</v>
      </c>
      <c r="AQ473" t="s">
        <v>74</v>
      </c>
      <c r="AR473" t="s">
        <v>9480</v>
      </c>
      <c r="AS473" t="s">
        <v>9481</v>
      </c>
      <c r="AT473" t="s">
        <v>605</v>
      </c>
      <c r="AU473">
        <v>2018</v>
      </c>
      <c r="AV473">
        <v>63</v>
      </c>
      <c r="AW473">
        <v>1</v>
      </c>
      <c r="AX473" t="s">
        <v>74</v>
      </c>
      <c r="AY473" t="s">
        <v>74</v>
      </c>
      <c r="AZ473" t="s">
        <v>74</v>
      </c>
      <c r="BA473" t="s">
        <v>74</v>
      </c>
      <c r="BB473">
        <v>185</v>
      </c>
      <c r="BC473">
        <v>206</v>
      </c>
      <c r="BD473" t="s">
        <v>74</v>
      </c>
      <c r="BE473" t="s">
        <v>9482</v>
      </c>
      <c r="BF473" t="str">
        <f>HYPERLINK("http://dx.doi.org/10.1142/S0217590818410059","http://dx.doi.org/10.1142/S0217590818410059")</f>
        <v>http://dx.doi.org/10.1142/S0217590818410059</v>
      </c>
      <c r="BG473" t="s">
        <v>74</v>
      </c>
      <c r="BH473" t="s">
        <v>74</v>
      </c>
      <c r="BI473">
        <v>22</v>
      </c>
      <c r="BJ473" t="s">
        <v>291</v>
      </c>
      <c r="BK473" t="s">
        <v>99</v>
      </c>
      <c r="BL473" t="s">
        <v>100</v>
      </c>
      <c r="BM473" t="s">
        <v>9483</v>
      </c>
      <c r="BN473" t="s">
        <v>74</v>
      </c>
      <c r="BO473" t="s">
        <v>74</v>
      </c>
      <c r="BP473" t="s">
        <v>74</v>
      </c>
      <c r="BQ473" t="s">
        <v>74</v>
      </c>
      <c r="BR473" t="s">
        <v>102</v>
      </c>
      <c r="BS473" t="s">
        <v>9484</v>
      </c>
      <c r="BT473" t="str">
        <f>HYPERLINK("https%3A%2F%2Fwww.webofscience.com%2Fwos%2Fwoscc%2Ffull-record%2FWOS:000424737100011","View Full Record in Web of Science")</f>
        <v>View Full Record in Web of Science</v>
      </c>
    </row>
    <row r="474" spans="1:72" x14ac:dyDescent="0.25">
      <c r="A474" t="s">
        <v>132</v>
      </c>
      <c r="B474" t="s">
        <v>9485</v>
      </c>
      <c r="C474" t="s">
        <v>74</v>
      </c>
      <c r="D474" t="s">
        <v>6856</v>
      </c>
      <c r="E474" t="s">
        <v>74</v>
      </c>
      <c r="F474" t="s">
        <v>9486</v>
      </c>
      <c r="G474" t="s">
        <v>74</v>
      </c>
      <c r="H474" t="s">
        <v>74</v>
      </c>
      <c r="I474" t="s">
        <v>9487</v>
      </c>
      <c r="J474" t="s">
        <v>9488</v>
      </c>
      <c r="K474" t="s">
        <v>6860</v>
      </c>
      <c r="L474" t="s">
        <v>74</v>
      </c>
      <c r="M474" t="s">
        <v>78</v>
      </c>
      <c r="N474" t="s">
        <v>138</v>
      </c>
      <c r="O474" t="s">
        <v>6861</v>
      </c>
      <c r="P474" t="s">
        <v>6862</v>
      </c>
      <c r="Q474" t="s">
        <v>6863</v>
      </c>
      <c r="R474" t="s">
        <v>74</v>
      </c>
      <c r="S474" t="s">
        <v>74</v>
      </c>
      <c r="T474" t="s">
        <v>9489</v>
      </c>
      <c r="U474" t="s">
        <v>9490</v>
      </c>
      <c r="V474" t="s">
        <v>9491</v>
      </c>
      <c r="W474" t="s">
        <v>9492</v>
      </c>
      <c r="X474" t="s">
        <v>9493</v>
      </c>
      <c r="Y474" t="s">
        <v>9494</v>
      </c>
      <c r="Z474" t="s">
        <v>9495</v>
      </c>
      <c r="AA474" t="s">
        <v>74</v>
      </c>
      <c r="AB474" t="s">
        <v>9496</v>
      </c>
      <c r="AC474" t="s">
        <v>9497</v>
      </c>
      <c r="AD474" t="s">
        <v>9497</v>
      </c>
      <c r="AE474" t="s">
        <v>9498</v>
      </c>
      <c r="AF474" t="s">
        <v>74</v>
      </c>
      <c r="AG474">
        <v>27</v>
      </c>
      <c r="AH474">
        <v>1</v>
      </c>
      <c r="AI474">
        <v>1</v>
      </c>
      <c r="AJ474">
        <v>1</v>
      </c>
      <c r="AK474">
        <v>11</v>
      </c>
      <c r="AL474" t="s">
        <v>1062</v>
      </c>
      <c r="AM474" t="s">
        <v>667</v>
      </c>
      <c r="AN474" t="s">
        <v>668</v>
      </c>
      <c r="AO474" t="s">
        <v>74</v>
      </c>
      <c r="AP474" t="s">
        <v>74</v>
      </c>
      <c r="AQ474" t="s">
        <v>9499</v>
      </c>
      <c r="AR474" t="s">
        <v>6873</v>
      </c>
      <c r="AS474" t="s">
        <v>74</v>
      </c>
      <c r="AT474" t="s">
        <v>74</v>
      </c>
      <c r="AU474">
        <v>2020</v>
      </c>
      <c r="AV474">
        <v>12195</v>
      </c>
      <c r="AW474" t="s">
        <v>74</v>
      </c>
      <c r="AX474" t="s">
        <v>74</v>
      </c>
      <c r="AY474" t="s">
        <v>74</v>
      </c>
      <c r="AZ474" t="s">
        <v>74</v>
      </c>
      <c r="BA474" t="s">
        <v>74</v>
      </c>
      <c r="BB474">
        <v>44</v>
      </c>
      <c r="BC474">
        <v>56</v>
      </c>
      <c r="BD474" t="s">
        <v>74</v>
      </c>
      <c r="BE474" t="s">
        <v>9500</v>
      </c>
      <c r="BF474" t="str">
        <f>HYPERLINK("http://dx.doi.org/10.1007/978-3-030-49576-3_4","http://dx.doi.org/10.1007/978-3-030-49576-3_4")</f>
        <v>http://dx.doi.org/10.1007/978-3-030-49576-3_4</v>
      </c>
      <c r="BG474" t="s">
        <v>74</v>
      </c>
      <c r="BH474" t="s">
        <v>74</v>
      </c>
      <c r="BI474">
        <v>13</v>
      </c>
      <c r="BJ474" t="s">
        <v>9501</v>
      </c>
      <c r="BK474" t="s">
        <v>1069</v>
      </c>
      <c r="BL474" t="s">
        <v>6876</v>
      </c>
      <c r="BM474" t="s">
        <v>9502</v>
      </c>
      <c r="BN474" t="s">
        <v>74</v>
      </c>
      <c r="BO474" t="s">
        <v>74</v>
      </c>
      <c r="BP474" t="s">
        <v>74</v>
      </c>
      <c r="BQ474" t="s">
        <v>74</v>
      </c>
      <c r="BR474" t="s">
        <v>102</v>
      </c>
      <c r="BS474" t="s">
        <v>9503</v>
      </c>
      <c r="BT474" t="str">
        <f>HYPERLINK("https%3A%2F%2Fwww.webofscience.com%2Fwos%2Fwoscc%2Ffull-record%2FWOS:001297926500004","View Full Record in Web of Science")</f>
        <v>View Full Record in Web of Science</v>
      </c>
    </row>
    <row r="475" spans="1:72" x14ac:dyDescent="0.25">
      <c r="A475" t="s">
        <v>72</v>
      </c>
      <c r="B475" t="s">
        <v>9504</v>
      </c>
      <c r="C475" t="s">
        <v>74</v>
      </c>
      <c r="D475" t="s">
        <v>74</v>
      </c>
      <c r="E475" t="s">
        <v>74</v>
      </c>
      <c r="F475" t="s">
        <v>9505</v>
      </c>
      <c r="G475" t="s">
        <v>74</v>
      </c>
      <c r="H475" t="s">
        <v>74</v>
      </c>
      <c r="I475" t="s">
        <v>9506</v>
      </c>
      <c r="J475" t="s">
        <v>4822</v>
      </c>
      <c r="K475" t="s">
        <v>74</v>
      </c>
      <c r="L475" t="s">
        <v>74</v>
      </c>
      <c r="M475" t="s">
        <v>78</v>
      </c>
      <c r="N475" t="s">
        <v>79</v>
      </c>
      <c r="O475" t="s">
        <v>74</v>
      </c>
      <c r="P475" t="s">
        <v>74</v>
      </c>
      <c r="Q475" t="s">
        <v>74</v>
      </c>
      <c r="R475" t="s">
        <v>74</v>
      </c>
      <c r="S475" t="s">
        <v>74</v>
      </c>
      <c r="T475" t="s">
        <v>9507</v>
      </c>
      <c r="U475" t="s">
        <v>9508</v>
      </c>
      <c r="V475" t="s">
        <v>9509</v>
      </c>
      <c r="W475" t="s">
        <v>9510</v>
      </c>
      <c r="X475" t="s">
        <v>74</v>
      </c>
      <c r="Y475" t="s">
        <v>9511</v>
      </c>
      <c r="Z475" t="s">
        <v>9512</v>
      </c>
      <c r="AA475" t="s">
        <v>9513</v>
      </c>
      <c r="AB475" t="s">
        <v>9514</v>
      </c>
      <c r="AC475" t="s">
        <v>74</v>
      </c>
      <c r="AD475" t="s">
        <v>74</v>
      </c>
      <c r="AE475" t="s">
        <v>74</v>
      </c>
      <c r="AF475" t="s">
        <v>74</v>
      </c>
      <c r="AG475">
        <v>77</v>
      </c>
      <c r="AH475">
        <v>0</v>
      </c>
      <c r="AI475">
        <v>0</v>
      </c>
      <c r="AJ475">
        <v>7</v>
      </c>
      <c r="AK475">
        <v>7</v>
      </c>
      <c r="AL475" t="s">
        <v>201</v>
      </c>
      <c r="AM475" t="s">
        <v>202</v>
      </c>
      <c r="AN475" t="s">
        <v>203</v>
      </c>
      <c r="AO475" t="s">
        <v>4833</v>
      </c>
      <c r="AP475" t="s">
        <v>9515</v>
      </c>
      <c r="AQ475" t="s">
        <v>74</v>
      </c>
      <c r="AR475" t="s">
        <v>4834</v>
      </c>
      <c r="AS475" t="s">
        <v>4835</v>
      </c>
      <c r="AT475" t="s">
        <v>698</v>
      </c>
      <c r="AU475">
        <v>2025</v>
      </c>
      <c r="AV475">
        <v>87</v>
      </c>
      <c r="AW475" t="s">
        <v>74</v>
      </c>
      <c r="AX475" t="s">
        <v>74</v>
      </c>
      <c r="AY475" t="s">
        <v>74</v>
      </c>
      <c r="AZ475" t="s">
        <v>74</v>
      </c>
      <c r="BA475" t="s">
        <v>74</v>
      </c>
      <c r="BB475">
        <v>2636</v>
      </c>
      <c r="BC475">
        <v>2657</v>
      </c>
      <c r="BD475" t="s">
        <v>74</v>
      </c>
      <c r="BE475" t="s">
        <v>9516</v>
      </c>
      <c r="BF475" t="str">
        <f>HYPERLINK("http://dx.doi.org/10.1016/j.eap.2025.08.026","http://dx.doi.org/10.1016/j.eap.2025.08.026")</f>
        <v>http://dx.doi.org/10.1016/j.eap.2025.08.026</v>
      </c>
      <c r="BG475" t="s">
        <v>74</v>
      </c>
      <c r="BH475" t="s">
        <v>3411</v>
      </c>
      <c r="BI475">
        <v>22</v>
      </c>
      <c r="BJ475" t="s">
        <v>291</v>
      </c>
      <c r="BK475" t="s">
        <v>99</v>
      </c>
      <c r="BL475" t="s">
        <v>100</v>
      </c>
      <c r="BM475" t="s">
        <v>9517</v>
      </c>
      <c r="BN475" t="s">
        <v>74</v>
      </c>
      <c r="BO475" t="s">
        <v>74</v>
      </c>
      <c r="BP475" t="s">
        <v>74</v>
      </c>
      <c r="BQ475" t="s">
        <v>74</v>
      </c>
      <c r="BR475" t="s">
        <v>102</v>
      </c>
      <c r="BS475" t="s">
        <v>9518</v>
      </c>
      <c r="BT475" t="str">
        <f>HYPERLINK("https%3A%2F%2Fwww.webofscience.com%2Fwos%2Fwoscc%2Ffull-record%2FWOS:001566894000001","View Full Record in Web of Science")</f>
        <v>View Full Record in Web of Science</v>
      </c>
    </row>
    <row r="476" spans="1:72" x14ac:dyDescent="0.25">
      <c r="A476" t="s">
        <v>72</v>
      </c>
      <c r="B476" t="s">
        <v>9519</v>
      </c>
      <c r="C476" t="s">
        <v>74</v>
      </c>
      <c r="D476" t="s">
        <v>74</v>
      </c>
      <c r="E476" t="s">
        <v>74</v>
      </c>
      <c r="F476" t="s">
        <v>9520</v>
      </c>
      <c r="G476" t="s">
        <v>74</v>
      </c>
      <c r="H476" t="s">
        <v>74</v>
      </c>
      <c r="I476" t="s">
        <v>9521</v>
      </c>
      <c r="J476" t="s">
        <v>944</v>
      </c>
      <c r="K476" t="s">
        <v>74</v>
      </c>
      <c r="L476" t="s">
        <v>74</v>
      </c>
      <c r="M476" t="s">
        <v>78</v>
      </c>
      <c r="N476" t="s">
        <v>372</v>
      </c>
      <c r="O476" t="s">
        <v>74</v>
      </c>
      <c r="P476" t="s">
        <v>74</v>
      </c>
      <c r="Q476" t="s">
        <v>74</v>
      </c>
      <c r="R476" t="s">
        <v>74</v>
      </c>
      <c r="S476" t="s">
        <v>74</v>
      </c>
      <c r="T476" t="s">
        <v>9522</v>
      </c>
      <c r="U476" t="s">
        <v>9523</v>
      </c>
      <c r="V476" t="s">
        <v>9524</v>
      </c>
      <c r="W476" t="s">
        <v>9525</v>
      </c>
      <c r="X476" t="s">
        <v>9526</v>
      </c>
      <c r="Y476" t="s">
        <v>9527</v>
      </c>
      <c r="Z476" t="s">
        <v>9528</v>
      </c>
      <c r="AA476" t="s">
        <v>9529</v>
      </c>
      <c r="AB476" t="s">
        <v>9530</v>
      </c>
      <c r="AC476" t="s">
        <v>74</v>
      </c>
      <c r="AD476" t="s">
        <v>74</v>
      </c>
      <c r="AE476" t="s">
        <v>74</v>
      </c>
      <c r="AF476" t="s">
        <v>74</v>
      </c>
      <c r="AG476">
        <v>93</v>
      </c>
      <c r="AH476">
        <v>1</v>
      </c>
      <c r="AI476">
        <v>1</v>
      </c>
      <c r="AJ476">
        <v>8</v>
      </c>
      <c r="AK476">
        <v>26</v>
      </c>
      <c r="AL476" t="s">
        <v>332</v>
      </c>
      <c r="AM476" t="s">
        <v>333</v>
      </c>
      <c r="AN476" t="s">
        <v>334</v>
      </c>
      <c r="AO476" t="s">
        <v>954</v>
      </c>
      <c r="AP476" t="s">
        <v>955</v>
      </c>
      <c r="AQ476" t="s">
        <v>74</v>
      </c>
      <c r="AR476" t="s">
        <v>956</v>
      </c>
      <c r="AS476" t="s">
        <v>957</v>
      </c>
      <c r="AT476" t="s">
        <v>9531</v>
      </c>
      <c r="AU476">
        <v>2024</v>
      </c>
      <c r="AV476" t="s">
        <v>74</v>
      </c>
      <c r="AW476" t="s">
        <v>74</v>
      </c>
      <c r="AX476" t="s">
        <v>74</v>
      </c>
      <c r="AY476" t="s">
        <v>74</v>
      </c>
      <c r="AZ476" t="s">
        <v>74</v>
      </c>
      <c r="BA476" t="s">
        <v>74</v>
      </c>
      <c r="BB476" t="s">
        <v>74</v>
      </c>
      <c r="BC476" t="s">
        <v>74</v>
      </c>
      <c r="BD476" t="s">
        <v>74</v>
      </c>
      <c r="BE476" t="s">
        <v>9532</v>
      </c>
      <c r="BF476" t="str">
        <f>HYPERLINK("http://dx.doi.org/10.1080/13691066.2024.2436911","http://dx.doi.org/10.1080/13691066.2024.2436911")</f>
        <v>http://dx.doi.org/10.1080/13691066.2024.2436911</v>
      </c>
      <c r="BG476" t="s">
        <v>74</v>
      </c>
      <c r="BH476" t="s">
        <v>809</v>
      </c>
      <c r="BI476">
        <v>23</v>
      </c>
      <c r="BJ476" t="s">
        <v>268</v>
      </c>
      <c r="BK476" t="s">
        <v>99</v>
      </c>
      <c r="BL476" t="s">
        <v>100</v>
      </c>
      <c r="BM476" t="s">
        <v>9533</v>
      </c>
      <c r="BN476" t="s">
        <v>74</v>
      </c>
      <c r="BO476" t="s">
        <v>74</v>
      </c>
      <c r="BP476" t="s">
        <v>74</v>
      </c>
      <c r="BQ476" t="s">
        <v>74</v>
      </c>
      <c r="BR476" t="s">
        <v>102</v>
      </c>
      <c r="BS476" t="s">
        <v>9534</v>
      </c>
      <c r="BT476" t="str">
        <f>HYPERLINK("https%3A%2F%2Fwww.webofscience.com%2Fwos%2Fwoscc%2Ffull-record%2FWOS:001372382700001","View Full Record in Web of Science")</f>
        <v>View Full Record in Web of Science</v>
      </c>
    </row>
    <row r="477" spans="1:72" x14ac:dyDescent="0.25">
      <c r="A477" t="s">
        <v>132</v>
      </c>
      <c r="B477" t="s">
        <v>9535</v>
      </c>
      <c r="C477" t="s">
        <v>74</v>
      </c>
      <c r="D477" t="s">
        <v>9536</v>
      </c>
      <c r="E477" t="s">
        <v>74</v>
      </c>
      <c r="F477" t="s">
        <v>9537</v>
      </c>
      <c r="G477" t="s">
        <v>74</v>
      </c>
      <c r="H477" t="s">
        <v>74</v>
      </c>
      <c r="I477" t="s">
        <v>9538</v>
      </c>
      <c r="J477" t="s">
        <v>9539</v>
      </c>
      <c r="K477" t="s">
        <v>9540</v>
      </c>
      <c r="L477" t="s">
        <v>74</v>
      </c>
      <c r="M477" t="s">
        <v>78</v>
      </c>
      <c r="N477" t="s">
        <v>138</v>
      </c>
      <c r="O477" t="s">
        <v>9541</v>
      </c>
      <c r="P477" t="s">
        <v>9542</v>
      </c>
      <c r="Q477" t="s">
        <v>9543</v>
      </c>
      <c r="R477" t="s">
        <v>9544</v>
      </c>
      <c r="S477" t="s">
        <v>74</v>
      </c>
      <c r="T477" t="s">
        <v>9545</v>
      </c>
      <c r="U477" t="s">
        <v>74</v>
      </c>
      <c r="V477" t="s">
        <v>9546</v>
      </c>
      <c r="W477" t="s">
        <v>9547</v>
      </c>
      <c r="X477" t="s">
        <v>2854</v>
      </c>
      <c r="Y477" t="s">
        <v>9548</v>
      </c>
      <c r="Z477" t="s">
        <v>9549</v>
      </c>
      <c r="AA477" t="s">
        <v>9550</v>
      </c>
      <c r="AB477" t="s">
        <v>74</v>
      </c>
      <c r="AC477" t="s">
        <v>74</v>
      </c>
      <c r="AD477" t="s">
        <v>74</v>
      </c>
      <c r="AE477" t="s">
        <v>74</v>
      </c>
      <c r="AF477" t="s">
        <v>74</v>
      </c>
      <c r="AG477">
        <v>36</v>
      </c>
      <c r="AH477">
        <v>0</v>
      </c>
      <c r="AI477">
        <v>0</v>
      </c>
      <c r="AJ477">
        <v>3</v>
      </c>
      <c r="AK477">
        <v>3</v>
      </c>
      <c r="AL477" t="s">
        <v>9551</v>
      </c>
      <c r="AM477" t="s">
        <v>9552</v>
      </c>
      <c r="AN477" t="s">
        <v>9553</v>
      </c>
      <c r="AO477" t="s">
        <v>9554</v>
      </c>
      <c r="AP477" t="s">
        <v>74</v>
      </c>
      <c r="AQ477" t="s">
        <v>74</v>
      </c>
      <c r="AR477" t="s">
        <v>9555</v>
      </c>
      <c r="AS477" t="s">
        <v>74</v>
      </c>
      <c r="AT477" t="s">
        <v>74</v>
      </c>
      <c r="AU477">
        <v>2024</v>
      </c>
      <c r="AV477" t="s">
        <v>74</v>
      </c>
      <c r="AW477" t="s">
        <v>74</v>
      </c>
      <c r="AX477" t="s">
        <v>74</v>
      </c>
      <c r="AY477" t="s">
        <v>74</v>
      </c>
      <c r="AZ477" t="s">
        <v>74</v>
      </c>
      <c r="BA477" t="s">
        <v>74</v>
      </c>
      <c r="BB477">
        <v>267</v>
      </c>
      <c r="BC477">
        <v>286</v>
      </c>
      <c r="BD477" t="s">
        <v>74</v>
      </c>
      <c r="BE477" t="s">
        <v>74</v>
      </c>
      <c r="BF477" t="s">
        <v>74</v>
      </c>
      <c r="BG477" t="s">
        <v>74</v>
      </c>
      <c r="BH477" t="s">
        <v>74</v>
      </c>
      <c r="BI477">
        <v>20</v>
      </c>
      <c r="BJ477" t="s">
        <v>9556</v>
      </c>
      <c r="BK477" t="s">
        <v>183</v>
      </c>
      <c r="BL477" t="s">
        <v>100</v>
      </c>
      <c r="BM477" t="s">
        <v>9557</v>
      </c>
      <c r="BN477" t="s">
        <v>74</v>
      </c>
      <c r="BO477" t="s">
        <v>74</v>
      </c>
      <c r="BP477" t="s">
        <v>74</v>
      </c>
      <c r="BQ477" t="s">
        <v>74</v>
      </c>
      <c r="BR477" t="s">
        <v>102</v>
      </c>
      <c r="BS477" t="s">
        <v>9558</v>
      </c>
      <c r="BT477" t="str">
        <f>HYPERLINK("https%3A%2F%2Fwww.webofscience.com%2Fwos%2Fwoscc%2Ffull-record%2FWOS:001512885300015","View Full Record in Web of Science")</f>
        <v>View Full Record in Web of Science</v>
      </c>
    </row>
    <row r="478" spans="1:72" x14ac:dyDescent="0.25">
      <c r="A478" t="s">
        <v>132</v>
      </c>
      <c r="B478" t="s">
        <v>9559</v>
      </c>
      <c r="C478" t="s">
        <v>74</v>
      </c>
      <c r="D478" t="s">
        <v>9560</v>
      </c>
      <c r="E478" t="s">
        <v>74</v>
      </c>
      <c r="F478" t="s">
        <v>9561</v>
      </c>
      <c r="G478" t="s">
        <v>74</v>
      </c>
      <c r="H478" t="s">
        <v>74</v>
      </c>
      <c r="I478" t="s">
        <v>9562</v>
      </c>
      <c r="J478" t="s">
        <v>9563</v>
      </c>
      <c r="K478" t="s">
        <v>9564</v>
      </c>
      <c r="L478" t="s">
        <v>74</v>
      </c>
      <c r="M478" t="s">
        <v>78</v>
      </c>
      <c r="N478" t="s">
        <v>138</v>
      </c>
      <c r="O478" t="s">
        <v>9565</v>
      </c>
      <c r="P478" t="s">
        <v>9566</v>
      </c>
      <c r="Q478" t="s">
        <v>9567</v>
      </c>
      <c r="R478" t="s">
        <v>74</v>
      </c>
      <c r="S478" t="s">
        <v>74</v>
      </c>
      <c r="T478" t="s">
        <v>74</v>
      </c>
      <c r="U478" t="s">
        <v>74</v>
      </c>
      <c r="V478" t="s">
        <v>9568</v>
      </c>
      <c r="W478" t="s">
        <v>9569</v>
      </c>
      <c r="X478" t="s">
        <v>9570</v>
      </c>
      <c r="Y478" t="s">
        <v>9571</v>
      </c>
      <c r="Z478" t="s">
        <v>9572</v>
      </c>
      <c r="AA478" t="s">
        <v>74</v>
      </c>
      <c r="AB478" t="s">
        <v>74</v>
      </c>
      <c r="AC478" t="s">
        <v>74</v>
      </c>
      <c r="AD478" t="s">
        <v>74</v>
      </c>
      <c r="AE478" t="s">
        <v>74</v>
      </c>
      <c r="AF478" t="s">
        <v>74</v>
      </c>
      <c r="AG478">
        <v>4</v>
      </c>
      <c r="AH478">
        <v>0</v>
      </c>
      <c r="AI478">
        <v>2</v>
      </c>
      <c r="AJ478">
        <v>0</v>
      </c>
      <c r="AK478">
        <v>23</v>
      </c>
      <c r="AL478" t="s">
        <v>9573</v>
      </c>
      <c r="AM478" t="s">
        <v>9574</v>
      </c>
      <c r="AN478" t="s">
        <v>9575</v>
      </c>
      <c r="AO478" t="s">
        <v>9576</v>
      </c>
      <c r="AP478" t="s">
        <v>74</v>
      </c>
      <c r="AQ478" t="s">
        <v>74</v>
      </c>
      <c r="AR478" t="s">
        <v>9577</v>
      </c>
      <c r="AS478" t="s">
        <v>74</v>
      </c>
      <c r="AT478" t="s">
        <v>74</v>
      </c>
      <c r="AU478">
        <v>2021</v>
      </c>
      <c r="AV478">
        <v>336</v>
      </c>
      <c r="AW478" t="s">
        <v>74</v>
      </c>
      <c r="AX478" t="s">
        <v>74</v>
      </c>
      <c r="AY478" t="s">
        <v>74</v>
      </c>
      <c r="AZ478" t="s">
        <v>74</v>
      </c>
      <c r="BA478" t="s">
        <v>74</v>
      </c>
      <c r="BB478" t="s">
        <v>74</v>
      </c>
      <c r="BC478" t="s">
        <v>74</v>
      </c>
      <c r="BD478">
        <v>9026</v>
      </c>
      <c r="BE478" t="s">
        <v>9578</v>
      </c>
      <c r="BF478" t="str">
        <f>HYPERLINK("http://dx.doi.org/10.1051/matecconf/202133609026","http://dx.doi.org/10.1051/matecconf/202133609026")</f>
        <v>http://dx.doi.org/10.1051/matecconf/202133609026</v>
      </c>
      <c r="BG478" t="s">
        <v>74</v>
      </c>
      <c r="BH478" t="s">
        <v>74</v>
      </c>
      <c r="BI478">
        <v>5</v>
      </c>
      <c r="BJ478" t="s">
        <v>5806</v>
      </c>
      <c r="BK478" t="s">
        <v>156</v>
      </c>
      <c r="BL478" t="s">
        <v>2648</v>
      </c>
      <c r="BM478" t="s">
        <v>9579</v>
      </c>
      <c r="BN478" t="s">
        <v>74</v>
      </c>
      <c r="BO478" t="s">
        <v>916</v>
      </c>
      <c r="BP478" t="s">
        <v>74</v>
      </c>
      <c r="BQ478" t="s">
        <v>74</v>
      </c>
      <c r="BR478" t="s">
        <v>102</v>
      </c>
      <c r="BS478" t="s">
        <v>9580</v>
      </c>
      <c r="BT478" t="str">
        <f>HYPERLINK("https%3A%2F%2Fwww.webofscience.com%2Fwos%2Fwoscc%2Ffull-record%2FWOS:000664122500201","View Full Record in Web of Science")</f>
        <v>View Full Record in Web of Science</v>
      </c>
    </row>
    <row r="479" spans="1:72" x14ac:dyDescent="0.25">
      <c r="A479" t="s">
        <v>72</v>
      </c>
      <c r="B479" t="s">
        <v>9581</v>
      </c>
      <c r="C479" t="s">
        <v>74</v>
      </c>
      <c r="D479" t="s">
        <v>74</v>
      </c>
      <c r="E479" t="s">
        <v>74</v>
      </c>
      <c r="F479" t="s">
        <v>9582</v>
      </c>
      <c r="G479" t="s">
        <v>74</v>
      </c>
      <c r="H479" t="s">
        <v>74</v>
      </c>
      <c r="I479" t="s">
        <v>9583</v>
      </c>
      <c r="J479" t="s">
        <v>1347</v>
      </c>
      <c r="K479" t="s">
        <v>74</v>
      </c>
      <c r="L479" t="s">
        <v>74</v>
      </c>
      <c r="M479" t="s">
        <v>78</v>
      </c>
      <c r="N479" t="s">
        <v>79</v>
      </c>
      <c r="O479" t="s">
        <v>74</v>
      </c>
      <c r="P479" t="s">
        <v>74</v>
      </c>
      <c r="Q479" t="s">
        <v>74</v>
      </c>
      <c r="R479" t="s">
        <v>74</v>
      </c>
      <c r="S479" t="s">
        <v>74</v>
      </c>
      <c r="T479" t="s">
        <v>9584</v>
      </c>
      <c r="U479" t="s">
        <v>8579</v>
      </c>
      <c r="V479" t="s">
        <v>9585</v>
      </c>
      <c r="W479" t="s">
        <v>9586</v>
      </c>
      <c r="X479" t="s">
        <v>74</v>
      </c>
      <c r="Y479" t="s">
        <v>9587</v>
      </c>
      <c r="Z479" t="s">
        <v>74</v>
      </c>
      <c r="AA479" t="s">
        <v>9588</v>
      </c>
      <c r="AB479" t="s">
        <v>74</v>
      </c>
      <c r="AC479" t="s">
        <v>74</v>
      </c>
      <c r="AD479" t="s">
        <v>74</v>
      </c>
      <c r="AE479" t="s">
        <v>74</v>
      </c>
      <c r="AF479" t="s">
        <v>74</v>
      </c>
      <c r="AG479">
        <v>43</v>
      </c>
      <c r="AH479">
        <v>2</v>
      </c>
      <c r="AI479">
        <v>4</v>
      </c>
      <c r="AJ479">
        <v>0</v>
      </c>
      <c r="AK479">
        <v>10</v>
      </c>
      <c r="AL479" t="s">
        <v>7415</v>
      </c>
      <c r="AM479" t="s">
        <v>1356</v>
      </c>
      <c r="AN479" t="s">
        <v>1357</v>
      </c>
      <c r="AO479" t="s">
        <v>1358</v>
      </c>
      <c r="AP479" t="s">
        <v>74</v>
      </c>
      <c r="AQ479" t="s">
        <v>74</v>
      </c>
      <c r="AR479" t="s">
        <v>1359</v>
      </c>
      <c r="AS479" t="s">
        <v>1360</v>
      </c>
      <c r="AT479" t="s">
        <v>74</v>
      </c>
      <c r="AU479">
        <v>2018</v>
      </c>
      <c r="AV479" t="s">
        <v>74</v>
      </c>
      <c r="AW479">
        <v>2</v>
      </c>
      <c r="AX479" t="s">
        <v>74</v>
      </c>
      <c r="AY479" t="s">
        <v>74</v>
      </c>
      <c r="AZ479" t="s">
        <v>74</v>
      </c>
      <c r="BA479" t="s">
        <v>74</v>
      </c>
      <c r="BB479">
        <v>378</v>
      </c>
      <c r="BC479">
        <v>387</v>
      </c>
      <c r="BD479" t="s">
        <v>74</v>
      </c>
      <c r="BE479" t="s">
        <v>9589</v>
      </c>
      <c r="BF479" t="str">
        <f>HYPERLINK("http://dx.doi.org/10.21272/mmi.2018.2-29","http://dx.doi.org/10.21272/mmi.2018.2-29")</f>
        <v>http://dx.doi.org/10.21272/mmi.2018.2-29</v>
      </c>
      <c r="BG479" t="s">
        <v>74</v>
      </c>
      <c r="BH479" t="s">
        <v>74</v>
      </c>
      <c r="BI479">
        <v>10</v>
      </c>
      <c r="BJ479" t="s">
        <v>583</v>
      </c>
      <c r="BK479" t="s">
        <v>313</v>
      </c>
      <c r="BL479" t="s">
        <v>100</v>
      </c>
      <c r="BM479" t="s">
        <v>9590</v>
      </c>
      <c r="BN479" t="s">
        <v>74</v>
      </c>
      <c r="BO479" t="s">
        <v>212</v>
      </c>
      <c r="BP479" t="s">
        <v>74</v>
      </c>
      <c r="BQ479" t="s">
        <v>74</v>
      </c>
      <c r="BR479" t="s">
        <v>102</v>
      </c>
      <c r="BS479" t="s">
        <v>9591</v>
      </c>
      <c r="BT479" t="str">
        <f>HYPERLINK("https%3A%2F%2Fwww.webofscience.com%2Fwos%2Fwoscc%2Ffull-record%2FWOS:000445433200029","View Full Record in Web of Science")</f>
        <v>View Full Record in Web of Science</v>
      </c>
    </row>
    <row r="480" spans="1:72" x14ac:dyDescent="0.25">
      <c r="A480" t="s">
        <v>72</v>
      </c>
      <c r="B480" t="s">
        <v>9592</v>
      </c>
      <c r="C480" t="s">
        <v>74</v>
      </c>
      <c r="D480" t="s">
        <v>74</v>
      </c>
      <c r="E480" t="s">
        <v>74</v>
      </c>
      <c r="F480" t="s">
        <v>9593</v>
      </c>
      <c r="G480" t="s">
        <v>74</v>
      </c>
      <c r="H480" t="s">
        <v>74</v>
      </c>
      <c r="I480" t="s">
        <v>9594</v>
      </c>
      <c r="J480" t="s">
        <v>9595</v>
      </c>
      <c r="K480" t="s">
        <v>74</v>
      </c>
      <c r="L480" t="s">
        <v>74</v>
      </c>
      <c r="M480" t="s">
        <v>78</v>
      </c>
      <c r="N480" t="s">
        <v>79</v>
      </c>
      <c r="O480" t="s">
        <v>74</v>
      </c>
      <c r="P480" t="s">
        <v>74</v>
      </c>
      <c r="Q480" t="s">
        <v>74</v>
      </c>
      <c r="R480" t="s">
        <v>74</v>
      </c>
      <c r="S480" t="s">
        <v>74</v>
      </c>
      <c r="T480" t="s">
        <v>9596</v>
      </c>
      <c r="U480" t="s">
        <v>74</v>
      </c>
      <c r="V480" t="s">
        <v>9597</v>
      </c>
      <c r="W480" t="s">
        <v>9598</v>
      </c>
      <c r="X480" t="s">
        <v>9599</v>
      </c>
      <c r="Y480" t="s">
        <v>9600</v>
      </c>
      <c r="Z480" t="s">
        <v>9601</v>
      </c>
      <c r="AA480" t="s">
        <v>9602</v>
      </c>
      <c r="AB480" t="s">
        <v>9603</v>
      </c>
      <c r="AC480" t="s">
        <v>74</v>
      </c>
      <c r="AD480" t="s">
        <v>74</v>
      </c>
      <c r="AE480" t="s">
        <v>74</v>
      </c>
      <c r="AF480" t="s">
        <v>74</v>
      </c>
      <c r="AG480">
        <v>15</v>
      </c>
      <c r="AH480">
        <v>1</v>
      </c>
      <c r="AI480">
        <v>1</v>
      </c>
      <c r="AJ480">
        <v>0</v>
      </c>
      <c r="AK480">
        <v>7</v>
      </c>
      <c r="AL480" t="s">
        <v>9604</v>
      </c>
      <c r="AM480" t="s">
        <v>9605</v>
      </c>
      <c r="AN480" t="s">
        <v>9606</v>
      </c>
      <c r="AO480" t="s">
        <v>9607</v>
      </c>
      <c r="AP480" t="s">
        <v>74</v>
      </c>
      <c r="AQ480" t="s">
        <v>74</v>
      </c>
      <c r="AR480" t="s">
        <v>9608</v>
      </c>
      <c r="AS480" t="s">
        <v>9609</v>
      </c>
      <c r="AT480" t="s">
        <v>74</v>
      </c>
      <c r="AU480">
        <v>2015</v>
      </c>
      <c r="AV480">
        <v>13</v>
      </c>
      <c r="AW480">
        <v>33</v>
      </c>
      <c r="AX480" t="s">
        <v>74</v>
      </c>
      <c r="AY480" t="s">
        <v>74</v>
      </c>
      <c r="AZ480" t="s">
        <v>74</v>
      </c>
      <c r="BA480" t="s">
        <v>74</v>
      </c>
      <c r="BB480">
        <v>77</v>
      </c>
      <c r="BC480">
        <v>87</v>
      </c>
      <c r="BD480" t="s">
        <v>74</v>
      </c>
      <c r="BE480" t="s">
        <v>9610</v>
      </c>
      <c r="BF480" t="str">
        <f>HYPERLINK("http://dx.doi.org/10.18046/syt.v13i33.2082","http://dx.doi.org/10.18046/syt.v13i33.2082")</f>
        <v>http://dx.doi.org/10.18046/syt.v13i33.2082</v>
      </c>
      <c r="BG480" t="s">
        <v>74</v>
      </c>
      <c r="BH480" t="s">
        <v>74</v>
      </c>
      <c r="BI480">
        <v>11</v>
      </c>
      <c r="BJ480" t="s">
        <v>1779</v>
      </c>
      <c r="BK480" t="s">
        <v>313</v>
      </c>
      <c r="BL480" t="s">
        <v>157</v>
      </c>
      <c r="BM480" t="s">
        <v>9611</v>
      </c>
      <c r="BN480" t="s">
        <v>74</v>
      </c>
      <c r="BO480" t="s">
        <v>466</v>
      </c>
      <c r="BP480" t="s">
        <v>74</v>
      </c>
      <c r="BQ480" t="s">
        <v>74</v>
      </c>
      <c r="BR480" t="s">
        <v>102</v>
      </c>
      <c r="BS480" t="s">
        <v>9612</v>
      </c>
      <c r="BT480" t="str">
        <f>HYPERLINK("https%3A%2F%2Fwww.webofscience.com%2Fwos%2Fwoscc%2Ffull-record%2FWOS:000420075400006","View Full Record in Web of Science")</f>
        <v>View Full Record in Web of Science</v>
      </c>
    </row>
    <row r="481" spans="1:72" x14ac:dyDescent="0.25">
      <c r="A481" t="s">
        <v>72</v>
      </c>
      <c r="B481" t="s">
        <v>9613</v>
      </c>
      <c r="C481" t="s">
        <v>74</v>
      </c>
      <c r="D481" t="s">
        <v>74</v>
      </c>
      <c r="E481" t="s">
        <v>74</v>
      </c>
      <c r="F481" t="s">
        <v>9614</v>
      </c>
      <c r="G481" t="s">
        <v>74</v>
      </c>
      <c r="H481" t="s">
        <v>74</v>
      </c>
      <c r="I481" t="s">
        <v>9615</v>
      </c>
      <c r="J481" t="s">
        <v>9616</v>
      </c>
      <c r="K481" t="s">
        <v>74</v>
      </c>
      <c r="L481" t="s">
        <v>74</v>
      </c>
      <c r="M481" t="s">
        <v>78</v>
      </c>
      <c r="N481" t="s">
        <v>79</v>
      </c>
      <c r="O481" t="s">
        <v>74</v>
      </c>
      <c r="P481" t="s">
        <v>74</v>
      </c>
      <c r="Q481" t="s">
        <v>74</v>
      </c>
      <c r="R481" t="s">
        <v>74</v>
      </c>
      <c r="S481" t="s">
        <v>74</v>
      </c>
      <c r="T481" t="s">
        <v>9617</v>
      </c>
      <c r="U481" t="s">
        <v>9618</v>
      </c>
      <c r="V481" t="s">
        <v>9619</v>
      </c>
      <c r="W481" t="s">
        <v>9620</v>
      </c>
      <c r="X481" t="s">
        <v>9621</v>
      </c>
      <c r="Y481" t="s">
        <v>9622</v>
      </c>
      <c r="Z481" t="s">
        <v>9623</v>
      </c>
      <c r="AA481" t="s">
        <v>9624</v>
      </c>
      <c r="AB481" t="s">
        <v>9625</v>
      </c>
      <c r="AC481" t="s">
        <v>74</v>
      </c>
      <c r="AD481" t="s">
        <v>74</v>
      </c>
      <c r="AE481" t="s">
        <v>74</v>
      </c>
      <c r="AF481" t="s">
        <v>74</v>
      </c>
      <c r="AG481">
        <v>79</v>
      </c>
      <c r="AH481">
        <v>9</v>
      </c>
      <c r="AI481">
        <v>17</v>
      </c>
      <c r="AJ481">
        <v>0</v>
      </c>
      <c r="AK481">
        <v>14</v>
      </c>
      <c r="AL481" t="s">
        <v>575</v>
      </c>
      <c r="AM481" t="s">
        <v>576</v>
      </c>
      <c r="AN481" t="s">
        <v>3242</v>
      </c>
      <c r="AO481" t="s">
        <v>74</v>
      </c>
      <c r="AP481" t="s">
        <v>9626</v>
      </c>
      <c r="AQ481" t="s">
        <v>74</v>
      </c>
      <c r="AR481" t="s">
        <v>9616</v>
      </c>
      <c r="AS481" t="s">
        <v>9627</v>
      </c>
      <c r="AT481" t="s">
        <v>237</v>
      </c>
      <c r="AU481">
        <v>2022</v>
      </c>
      <c r="AV481">
        <v>10</v>
      </c>
      <c r="AW481">
        <v>2</v>
      </c>
      <c r="AX481" t="s">
        <v>74</v>
      </c>
      <c r="AY481" t="s">
        <v>74</v>
      </c>
      <c r="AZ481" t="s">
        <v>74</v>
      </c>
      <c r="BA481" t="s">
        <v>74</v>
      </c>
      <c r="BB481" t="s">
        <v>74</v>
      </c>
      <c r="BC481" t="s">
        <v>74</v>
      </c>
      <c r="BD481">
        <v>38</v>
      </c>
      <c r="BE481" t="s">
        <v>9628</v>
      </c>
      <c r="BF481" t="str">
        <f>HYPERLINK("http://dx.doi.org/10.3390/economies10020038","http://dx.doi.org/10.3390/economies10020038")</f>
        <v>http://dx.doi.org/10.3390/economies10020038</v>
      </c>
      <c r="BG481" t="s">
        <v>74</v>
      </c>
      <c r="BH481" t="s">
        <v>74</v>
      </c>
      <c r="BI481">
        <v>13</v>
      </c>
      <c r="BJ481" t="s">
        <v>291</v>
      </c>
      <c r="BK481" t="s">
        <v>313</v>
      </c>
      <c r="BL481" t="s">
        <v>100</v>
      </c>
      <c r="BM481" t="s">
        <v>9629</v>
      </c>
      <c r="BN481" t="s">
        <v>74</v>
      </c>
      <c r="BO481" t="s">
        <v>916</v>
      </c>
      <c r="BP481" t="s">
        <v>74</v>
      </c>
      <c r="BQ481" t="s">
        <v>74</v>
      </c>
      <c r="BR481" t="s">
        <v>102</v>
      </c>
      <c r="BS481" t="s">
        <v>9630</v>
      </c>
      <c r="BT481" t="str">
        <f>HYPERLINK("https%3A%2F%2Fwww.webofscience.com%2Fwos%2Fwoscc%2Ffull-record%2FWOS:000969070600001","View Full Record in Web of Science")</f>
        <v>View Full Record in Web of Science</v>
      </c>
    </row>
    <row r="482" spans="1:72" x14ac:dyDescent="0.25">
      <c r="A482" t="s">
        <v>72</v>
      </c>
      <c r="B482" t="s">
        <v>9631</v>
      </c>
      <c r="C482" t="s">
        <v>74</v>
      </c>
      <c r="D482" t="s">
        <v>74</v>
      </c>
      <c r="E482" t="s">
        <v>74</v>
      </c>
      <c r="F482" t="s">
        <v>9632</v>
      </c>
      <c r="G482" t="s">
        <v>74</v>
      </c>
      <c r="H482" t="s">
        <v>74</v>
      </c>
      <c r="I482" t="s">
        <v>9633</v>
      </c>
      <c r="J482" t="s">
        <v>6713</v>
      </c>
      <c r="K482" t="s">
        <v>74</v>
      </c>
      <c r="L482" t="s">
        <v>74</v>
      </c>
      <c r="M482" t="s">
        <v>78</v>
      </c>
      <c r="N482" t="s">
        <v>79</v>
      </c>
      <c r="O482" t="s">
        <v>74</v>
      </c>
      <c r="P482" t="s">
        <v>74</v>
      </c>
      <c r="Q482" t="s">
        <v>74</v>
      </c>
      <c r="R482" t="s">
        <v>74</v>
      </c>
      <c r="S482" t="s">
        <v>74</v>
      </c>
      <c r="T482" t="s">
        <v>9634</v>
      </c>
      <c r="U482" t="s">
        <v>74</v>
      </c>
      <c r="V482" t="s">
        <v>9635</v>
      </c>
      <c r="W482" t="s">
        <v>9636</v>
      </c>
      <c r="X482" t="s">
        <v>9637</v>
      </c>
      <c r="Y482" t="s">
        <v>9638</v>
      </c>
      <c r="Z482" t="s">
        <v>9639</v>
      </c>
      <c r="AA482" t="s">
        <v>74</v>
      </c>
      <c r="AB482" t="s">
        <v>74</v>
      </c>
      <c r="AC482" t="s">
        <v>74</v>
      </c>
      <c r="AD482" t="s">
        <v>74</v>
      </c>
      <c r="AE482" t="s">
        <v>74</v>
      </c>
      <c r="AF482" t="s">
        <v>74</v>
      </c>
      <c r="AG482">
        <v>44</v>
      </c>
      <c r="AH482">
        <v>28</v>
      </c>
      <c r="AI482">
        <v>38</v>
      </c>
      <c r="AJ482">
        <v>0</v>
      </c>
      <c r="AK482">
        <v>29</v>
      </c>
      <c r="AL482" t="s">
        <v>4485</v>
      </c>
      <c r="AM482" t="s">
        <v>231</v>
      </c>
      <c r="AN482" t="s">
        <v>4486</v>
      </c>
      <c r="AO482" t="s">
        <v>6726</v>
      </c>
      <c r="AP482" t="s">
        <v>6727</v>
      </c>
      <c r="AQ482" t="s">
        <v>74</v>
      </c>
      <c r="AR482" t="s">
        <v>6728</v>
      </c>
      <c r="AS482" t="s">
        <v>6729</v>
      </c>
      <c r="AT482" t="s">
        <v>1159</v>
      </c>
      <c r="AU482">
        <v>2016</v>
      </c>
      <c r="AV482">
        <v>40</v>
      </c>
      <c r="AW482" t="s">
        <v>9640</v>
      </c>
      <c r="AX482" t="s">
        <v>74</v>
      </c>
      <c r="AY482" t="s">
        <v>74</v>
      </c>
      <c r="AZ482" t="s">
        <v>74</v>
      </c>
      <c r="BA482" t="s">
        <v>74</v>
      </c>
      <c r="BB482">
        <v>945</v>
      </c>
      <c r="BC482">
        <v>955</v>
      </c>
      <c r="BD482" t="s">
        <v>74</v>
      </c>
      <c r="BE482" t="s">
        <v>9641</v>
      </c>
      <c r="BF482" t="str">
        <f>HYPERLINK("http://dx.doi.org/10.1016/j.telpol.2016.03.001","http://dx.doi.org/10.1016/j.telpol.2016.03.001")</f>
        <v>http://dx.doi.org/10.1016/j.telpol.2016.03.001</v>
      </c>
      <c r="BG482" t="s">
        <v>74</v>
      </c>
      <c r="BH482" t="s">
        <v>74</v>
      </c>
      <c r="BI482">
        <v>11</v>
      </c>
      <c r="BJ482" t="s">
        <v>6731</v>
      </c>
      <c r="BK482" t="s">
        <v>2623</v>
      </c>
      <c r="BL482" t="s">
        <v>6731</v>
      </c>
      <c r="BM482" t="s">
        <v>9642</v>
      </c>
      <c r="BN482" t="s">
        <v>74</v>
      </c>
      <c r="BO482" t="s">
        <v>74</v>
      </c>
      <c r="BP482" t="s">
        <v>74</v>
      </c>
      <c r="BQ482" t="s">
        <v>74</v>
      </c>
      <c r="BR482" t="s">
        <v>102</v>
      </c>
      <c r="BS482" t="s">
        <v>9643</v>
      </c>
      <c r="BT482" t="str">
        <f>HYPERLINK("https%3A%2F%2Fwww.webofscience.com%2Fwos%2Fwoscc%2Ffull-record%2FWOS:000390639100002","View Full Record in Web of Science")</f>
        <v>View Full Record in Web of Science</v>
      </c>
    </row>
    <row r="483" spans="1:72" x14ac:dyDescent="0.25">
      <c r="A483" t="s">
        <v>132</v>
      </c>
      <c r="B483" t="s">
        <v>9644</v>
      </c>
      <c r="C483" t="s">
        <v>74</v>
      </c>
      <c r="D483" t="s">
        <v>9645</v>
      </c>
      <c r="E483" t="s">
        <v>74</v>
      </c>
      <c r="F483" t="s">
        <v>9646</v>
      </c>
      <c r="G483" t="s">
        <v>74</v>
      </c>
      <c r="H483" t="s">
        <v>74</v>
      </c>
      <c r="I483" t="s">
        <v>9647</v>
      </c>
      <c r="J483" t="s">
        <v>9648</v>
      </c>
      <c r="K483" t="s">
        <v>9649</v>
      </c>
      <c r="L483" t="s">
        <v>74</v>
      </c>
      <c r="M483" t="s">
        <v>78</v>
      </c>
      <c r="N483" t="s">
        <v>138</v>
      </c>
      <c r="O483" t="s">
        <v>9650</v>
      </c>
      <c r="P483" t="s">
        <v>9651</v>
      </c>
      <c r="Q483" t="s">
        <v>9652</v>
      </c>
      <c r="R483" t="s">
        <v>9653</v>
      </c>
      <c r="S483" t="s">
        <v>74</v>
      </c>
      <c r="T483" t="s">
        <v>9654</v>
      </c>
      <c r="U483" t="s">
        <v>9655</v>
      </c>
      <c r="V483" t="s">
        <v>9656</v>
      </c>
      <c r="W483" t="s">
        <v>9657</v>
      </c>
      <c r="X483" t="s">
        <v>9658</v>
      </c>
      <c r="Y483" t="s">
        <v>9659</v>
      </c>
      <c r="Z483" t="s">
        <v>9660</v>
      </c>
      <c r="AA483" t="s">
        <v>74</v>
      </c>
      <c r="AB483" t="s">
        <v>74</v>
      </c>
      <c r="AC483" t="s">
        <v>74</v>
      </c>
      <c r="AD483" t="s">
        <v>74</v>
      </c>
      <c r="AE483" t="s">
        <v>74</v>
      </c>
      <c r="AF483" t="s">
        <v>74</v>
      </c>
      <c r="AG483">
        <v>45</v>
      </c>
      <c r="AH483">
        <v>10</v>
      </c>
      <c r="AI483">
        <v>14</v>
      </c>
      <c r="AJ483">
        <v>0</v>
      </c>
      <c r="AK483">
        <v>16</v>
      </c>
      <c r="AL483" t="s">
        <v>3807</v>
      </c>
      <c r="AM483" t="s">
        <v>3098</v>
      </c>
      <c r="AN483" t="s">
        <v>3808</v>
      </c>
      <c r="AO483" t="s">
        <v>9661</v>
      </c>
      <c r="AP483" t="s">
        <v>9662</v>
      </c>
      <c r="AQ483" t="s">
        <v>9663</v>
      </c>
      <c r="AR483" t="s">
        <v>9664</v>
      </c>
      <c r="AS483" t="s">
        <v>74</v>
      </c>
      <c r="AT483" t="s">
        <v>74</v>
      </c>
      <c r="AU483">
        <v>2019</v>
      </c>
      <c r="AV483">
        <v>552</v>
      </c>
      <c r="AW483" t="s">
        <v>74</v>
      </c>
      <c r="AX483" t="s">
        <v>74</v>
      </c>
      <c r="AY483" t="s">
        <v>74</v>
      </c>
      <c r="AZ483" t="s">
        <v>74</v>
      </c>
      <c r="BA483" t="s">
        <v>74</v>
      </c>
      <c r="BB483">
        <v>280</v>
      </c>
      <c r="BC483">
        <v>293</v>
      </c>
      <c r="BD483" t="s">
        <v>74</v>
      </c>
      <c r="BE483" t="s">
        <v>9665</v>
      </c>
      <c r="BF483" t="str">
        <f>HYPERLINK("http://dx.doi.org/10.1007/978-3-030-19115-3_23","http://dx.doi.org/10.1007/978-3-030-19115-3_23")</f>
        <v>http://dx.doi.org/10.1007/978-3-030-19115-3_23</v>
      </c>
      <c r="BG483" t="s">
        <v>74</v>
      </c>
      <c r="BH483" t="s">
        <v>74</v>
      </c>
      <c r="BI483">
        <v>14</v>
      </c>
      <c r="BJ483" t="s">
        <v>9666</v>
      </c>
      <c r="BK483" t="s">
        <v>156</v>
      </c>
      <c r="BL483" t="s">
        <v>2648</v>
      </c>
      <c r="BM483" t="s">
        <v>9667</v>
      </c>
      <c r="BN483" t="s">
        <v>74</v>
      </c>
      <c r="BO483" t="s">
        <v>1696</v>
      </c>
      <c r="BP483" t="s">
        <v>74</v>
      </c>
      <c r="BQ483" t="s">
        <v>74</v>
      </c>
      <c r="BR483" t="s">
        <v>102</v>
      </c>
      <c r="BS483" t="s">
        <v>9668</v>
      </c>
      <c r="BT483" t="str">
        <f>HYPERLINK("https%3A%2F%2Fwww.webofscience.com%2Fwos%2Fwoscc%2Ffull-record%2FWOS:000493513600023","View Full Record in Web of Science")</f>
        <v>View Full Record in Web of Science</v>
      </c>
    </row>
    <row r="484" spans="1:72" x14ac:dyDescent="0.25">
      <c r="A484" t="s">
        <v>132</v>
      </c>
      <c r="B484" t="s">
        <v>9669</v>
      </c>
      <c r="C484" t="s">
        <v>74</v>
      </c>
      <c r="D484" t="s">
        <v>74</v>
      </c>
      <c r="E484" t="s">
        <v>771</v>
      </c>
      <c r="F484" t="s">
        <v>9670</v>
      </c>
      <c r="G484" t="s">
        <v>74</v>
      </c>
      <c r="H484" t="s">
        <v>74</v>
      </c>
      <c r="I484" t="s">
        <v>9671</v>
      </c>
      <c r="J484" t="s">
        <v>9672</v>
      </c>
      <c r="K484" t="s">
        <v>74</v>
      </c>
      <c r="L484" t="s">
        <v>74</v>
      </c>
      <c r="M484" t="s">
        <v>78</v>
      </c>
      <c r="N484" t="s">
        <v>138</v>
      </c>
      <c r="O484" t="s">
        <v>9673</v>
      </c>
      <c r="P484" t="s">
        <v>9674</v>
      </c>
      <c r="Q484" t="s">
        <v>9675</v>
      </c>
      <c r="R484" t="s">
        <v>9676</v>
      </c>
      <c r="S484" t="s">
        <v>9677</v>
      </c>
      <c r="T484" t="s">
        <v>9678</v>
      </c>
      <c r="U484" t="s">
        <v>9655</v>
      </c>
      <c r="V484" t="s">
        <v>9679</v>
      </c>
      <c r="W484" t="s">
        <v>9680</v>
      </c>
      <c r="X484" t="s">
        <v>9681</v>
      </c>
      <c r="Y484" t="s">
        <v>9682</v>
      </c>
      <c r="Z484" t="s">
        <v>9683</v>
      </c>
      <c r="AA484" t="s">
        <v>9684</v>
      </c>
      <c r="AB484" t="s">
        <v>9685</v>
      </c>
      <c r="AC484" t="s">
        <v>74</v>
      </c>
      <c r="AD484" t="s">
        <v>74</v>
      </c>
      <c r="AE484" t="s">
        <v>74</v>
      </c>
      <c r="AF484" t="s">
        <v>74</v>
      </c>
      <c r="AG484">
        <v>37</v>
      </c>
      <c r="AH484">
        <v>14</v>
      </c>
      <c r="AI484">
        <v>17</v>
      </c>
      <c r="AJ484">
        <v>2</v>
      </c>
      <c r="AK484">
        <v>20</v>
      </c>
      <c r="AL484" t="s">
        <v>771</v>
      </c>
      <c r="AM484" t="s">
        <v>151</v>
      </c>
      <c r="AN484" t="s">
        <v>785</v>
      </c>
      <c r="AO484" t="s">
        <v>74</v>
      </c>
      <c r="AP484" t="s">
        <v>74</v>
      </c>
      <c r="AQ484" t="s">
        <v>9686</v>
      </c>
      <c r="AR484" t="s">
        <v>74</v>
      </c>
      <c r="AS484" t="s">
        <v>74</v>
      </c>
      <c r="AT484" t="s">
        <v>74</v>
      </c>
      <c r="AU484">
        <v>2020</v>
      </c>
      <c r="AV484" t="s">
        <v>74</v>
      </c>
      <c r="AW484" t="s">
        <v>74</v>
      </c>
      <c r="AX484" t="s">
        <v>74</v>
      </c>
      <c r="AY484" t="s">
        <v>74</v>
      </c>
      <c r="AZ484" t="s">
        <v>74</v>
      </c>
      <c r="BA484" t="s">
        <v>74</v>
      </c>
      <c r="BB484">
        <v>905</v>
      </c>
      <c r="BC484">
        <v>910</v>
      </c>
      <c r="BD484" t="s">
        <v>74</v>
      </c>
      <c r="BE484" t="s">
        <v>9687</v>
      </c>
      <c r="BF484" t="str">
        <f>HYPERLINK("http://dx.doi.org/10.1109/icimtech50083.2020.9211157","http://dx.doi.org/10.1109/icimtech50083.2020.9211157")</f>
        <v>http://dx.doi.org/10.1109/icimtech50083.2020.9211157</v>
      </c>
      <c r="BG484" t="s">
        <v>74</v>
      </c>
      <c r="BH484" t="s">
        <v>74</v>
      </c>
      <c r="BI484">
        <v>6</v>
      </c>
      <c r="BJ484" t="s">
        <v>1803</v>
      </c>
      <c r="BK484" t="s">
        <v>156</v>
      </c>
      <c r="BL484" t="s">
        <v>157</v>
      </c>
      <c r="BM484" t="s">
        <v>9688</v>
      </c>
      <c r="BN484" t="s">
        <v>74</v>
      </c>
      <c r="BO484" t="s">
        <v>74</v>
      </c>
      <c r="BP484" t="s">
        <v>74</v>
      </c>
      <c r="BQ484" t="s">
        <v>74</v>
      </c>
      <c r="BR484" t="s">
        <v>102</v>
      </c>
      <c r="BS484" t="s">
        <v>9689</v>
      </c>
      <c r="BT484" t="str">
        <f>HYPERLINK("https%3A%2F%2Fwww.webofscience.com%2Fwos%2Fwoscc%2Ffull-record%2FWOS:000632207600163","View Full Record in Web of Science")</f>
        <v>View Full Record in Web of Science</v>
      </c>
    </row>
    <row r="485" spans="1:72" x14ac:dyDescent="0.25">
      <c r="A485" t="s">
        <v>72</v>
      </c>
      <c r="B485" t="s">
        <v>9690</v>
      </c>
      <c r="C485" t="s">
        <v>74</v>
      </c>
      <c r="D485" t="s">
        <v>74</v>
      </c>
      <c r="E485" t="s">
        <v>74</v>
      </c>
      <c r="F485" t="s">
        <v>9691</v>
      </c>
      <c r="G485" t="s">
        <v>74</v>
      </c>
      <c r="H485" t="s">
        <v>74</v>
      </c>
      <c r="I485" t="s">
        <v>9692</v>
      </c>
      <c r="J485" t="s">
        <v>9693</v>
      </c>
      <c r="K485" t="s">
        <v>74</v>
      </c>
      <c r="L485" t="s">
        <v>74</v>
      </c>
      <c r="M485" t="s">
        <v>298</v>
      </c>
      <c r="N485" t="s">
        <v>79</v>
      </c>
      <c r="O485" t="s">
        <v>74</v>
      </c>
      <c r="P485" t="s">
        <v>74</v>
      </c>
      <c r="Q485" t="s">
        <v>74</v>
      </c>
      <c r="R485" t="s">
        <v>74</v>
      </c>
      <c r="S485" t="s">
        <v>74</v>
      </c>
      <c r="T485" t="s">
        <v>9694</v>
      </c>
      <c r="U485" t="s">
        <v>74</v>
      </c>
      <c r="V485" t="s">
        <v>9695</v>
      </c>
      <c r="W485" t="s">
        <v>9696</v>
      </c>
      <c r="X485" t="s">
        <v>9697</v>
      </c>
      <c r="Y485" t="s">
        <v>9698</v>
      </c>
      <c r="Z485" t="s">
        <v>9699</v>
      </c>
      <c r="AA485" t="s">
        <v>9700</v>
      </c>
      <c r="AB485" t="s">
        <v>74</v>
      </c>
      <c r="AC485" t="s">
        <v>74</v>
      </c>
      <c r="AD485" t="s">
        <v>74</v>
      </c>
      <c r="AE485" t="s">
        <v>74</v>
      </c>
      <c r="AF485" t="s">
        <v>74</v>
      </c>
      <c r="AG485">
        <v>22</v>
      </c>
      <c r="AH485">
        <v>1</v>
      </c>
      <c r="AI485">
        <v>1</v>
      </c>
      <c r="AJ485">
        <v>0</v>
      </c>
      <c r="AK485">
        <v>2</v>
      </c>
      <c r="AL485" t="s">
        <v>9701</v>
      </c>
      <c r="AM485" t="s">
        <v>9702</v>
      </c>
      <c r="AN485" t="s">
        <v>9703</v>
      </c>
      <c r="AO485" t="s">
        <v>9704</v>
      </c>
      <c r="AP485" t="s">
        <v>74</v>
      </c>
      <c r="AQ485" t="s">
        <v>74</v>
      </c>
      <c r="AR485" t="s">
        <v>9705</v>
      </c>
      <c r="AS485" t="s">
        <v>9706</v>
      </c>
      <c r="AT485" t="s">
        <v>743</v>
      </c>
      <c r="AU485">
        <v>2015</v>
      </c>
      <c r="AV485">
        <v>8</v>
      </c>
      <c r="AW485">
        <v>13</v>
      </c>
      <c r="AX485" t="s">
        <v>74</v>
      </c>
      <c r="AY485" t="s">
        <v>74</v>
      </c>
      <c r="AZ485" t="s">
        <v>74</v>
      </c>
      <c r="BA485" t="s">
        <v>74</v>
      </c>
      <c r="BB485">
        <v>100</v>
      </c>
      <c r="BC485">
        <v>111</v>
      </c>
      <c r="BD485" t="s">
        <v>74</v>
      </c>
      <c r="BE485" t="s">
        <v>74</v>
      </c>
      <c r="BF485" t="s">
        <v>74</v>
      </c>
      <c r="BG485" t="s">
        <v>74</v>
      </c>
      <c r="BH485" t="s">
        <v>74</v>
      </c>
      <c r="BI485">
        <v>12</v>
      </c>
      <c r="BJ485" t="s">
        <v>364</v>
      </c>
      <c r="BK485" t="s">
        <v>313</v>
      </c>
      <c r="BL485" t="s">
        <v>365</v>
      </c>
      <c r="BM485" t="s">
        <v>9707</v>
      </c>
      <c r="BN485" t="s">
        <v>74</v>
      </c>
      <c r="BO485" t="s">
        <v>74</v>
      </c>
      <c r="BP485" t="s">
        <v>74</v>
      </c>
      <c r="BQ485" t="s">
        <v>74</v>
      </c>
      <c r="BR485" t="s">
        <v>102</v>
      </c>
      <c r="BS485" t="s">
        <v>9708</v>
      </c>
      <c r="BT485" t="str">
        <f>HYPERLINK("https%3A%2F%2Fwww.webofscience.com%2Fwos%2Fwoscc%2Ffull-record%2FWOS:000216038900012","View Full Record in Web of Science")</f>
        <v>View Full Record in Web of Science</v>
      </c>
    </row>
    <row r="486" spans="1:72" x14ac:dyDescent="0.25">
      <c r="A486" t="s">
        <v>72</v>
      </c>
      <c r="B486" t="s">
        <v>9709</v>
      </c>
      <c r="C486" t="s">
        <v>74</v>
      </c>
      <c r="D486" t="s">
        <v>74</v>
      </c>
      <c r="E486" t="s">
        <v>74</v>
      </c>
      <c r="F486" t="s">
        <v>9710</v>
      </c>
      <c r="G486" t="s">
        <v>74</v>
      </c>
      <c r="H486" t="s">
        <v>74</v>
      </c>
      <c r="I486" t="s">
        <v>9711</v>
      </c>
      <c r="J486" t="s">
        <v>7298</v>
      </c>
      <c r="K486" t="s">
        <v>74</v>
      </c>
      <c r="L486" t="s">
        <v>74</v>
      </c>
      <c r="M486" t="s">
        <v>78</v>
      </c>
      <c r="N486" t="s">
        <v>79</v>
      </c>
      <c r="O486" t="s">
        <v>74</v>
      </c>
      <c r="P486" t="s">
        <v>74</v>
      </c>
      <c r="Q486" t="s">
        <v>74</v>
      </c>
      <c r="R486" t="s">
        <v>74</v>
      </c>
      <c r="S486" t="s">
        <v>74</v>
      </c>
      <c r="T486" t="s">
        <v>9712</v>
      </c>
      <c r="U486" t="s">
        <v>9713</v>
      </c>
      <c r="V486" t="s">
        <v>9714</v>
      </c>
      <c r="W486" t="s">
        <v>9715</v>
      </c>
      <c r="X486" t="s">
        <v>9716</v>
      </c>
      <c r="Y486" t="s">
        <v>9717</v>
      </c>
      <c r="Z486" t="s">
        <v>9718</v>
      </c>
      <c r="AA486" t="s">
        <v>9719</v>
      </c>
      <c r="AB486" t="s">
        <v>9720</v>
      </c>
      <c r="AC486" t="s">
        <v>74</v>
      </c>
      <c r="AD486" t="s">
        <v>74</v>
      </c>
      <c r="AE486" t="s">
        <v>74</v>
      </c>
      <c r="AF486" t="s">
        <v>74</v>
      </c>
      <c r="AG486">
        <v>150</v>
      </c>
      <c r="AH486">
        <v>4</v>
      </c>
      <c r="AI486">
        <v>4</v>
      </c>
      <c r="AJ486">
        <v>8</v>
      </c>
      <c r="AK486">
        <v>8</v>
      </c>
      <c r="AL486" t="s">
        <v>479</v>
      </c>
      <c r="AM486" t="s">
        <v>480</v>
      </c>
      <c r="AN486" t="s">
        <v>481</v>
      </c>
      <c r="AO486" t="s">
        <v>7308</v>
      </c>
      <c r="AP486" t="s">
        <v>7309</v>
      </c>
      <c r="AQ486" t="s">
        <v>74</v>
      </c>
      <c r="AR486" t="s">
        <v>7310</v>
      </c>
      <c r="AS486" t="s">
        <v>7311</v>
      </c>
      <c r="AT486" t="s">
        <v>605</v>
      </c>
      <c r="AU486">
        <v>2025</v>
      </c>
      <c r="AV486">
        <v>96</v>
      </c>
      <c r="AW486">
        <v>1</v>
      </c>
      <c r="AX486" t="s">
        <v>74</v>
      </c>
      <c r="AY486" t="s">
        <v>74</v>
      </c>
      <c r="AZ486" t="s">
        <v>74</v>
      </c>
      <c r="BA486" t="s">
        <v>74</v>
      </c>
      <c r="BB486">
        <v>65</v>
      </c>
      <c r="BC486">
        <v>97</v>
      </c>
      <c r="BD486" t="s">
        <v>74</v>
      </c>
      <c r="BE486" t="s">
        <v>9721</v>
      </c>
      <c r="BF486" t="str">
        <f>HYPERLINK("http://dx.doi.org/10.1111/apce.12496","http://dx.doi.org/10.1111/apce.12496")</f>
        <v>http://dx.doi.org/10.1111/apce.12496</v>
      </c>
      <c r="BG486" t="s">
        <v>74</v>
      </c>
      <c r="BH486" t="s">
        <v>417</v>
      </c>
      <c r="BI486">
        <v>33</v>
      </c>
      <c r="BJ486" t="s">
        <v>291</v>
      </c>
      <c r="BK486" t="s">
        <v>99</v>
      </c>
      <c r="BL486" t="s">
        <v>100</v>
      </c>
      <c r="BM486" t="s">
        <v>9722</v>
      </c>
      <c r="BN486" t="s">
        <v>74</v>
      </c>
      <c r="BO486" t="s">
        <v>1205</v>
      </c>
      <c r="BP486" t="s">
        <v>74</v>
      </c>
      <c r="BQ486" t="s">
        <v>74</v>
      </c>
      <c r="BR486" t="s">
        <v>102</v>
      </c>
      <c r="BS486" t="s">
        <v>9723</v>
      </c>
      <c r="BT486" t="str">
        <f>HYPERLINK("https%3A%2F%2Fwww.webofscience.com%2Fwos%2Fwoscc%2Ffull-record%2FWOS:001419168200001","View Full Record in Web of Science")</f>
        <v>View Full Record in Web of Science</v>
      </c>
    </row>
    <row r="487" spans="1:72" x14ac:dyDescent="0.25">
      <c r="A487" t="s">
        <v>72</v>
      </c>
      <c r="B487" t="s">
        <v>9724</v>
      </c>
      <c r="C487" t="s">
        <v>74</v>
      </c>
      <c r="D487" t="s">
        <v>74</v>
      </c>
      <c r="E487" t="s">
        <v>74</v>
      </c>
      <c r="F487" t="s">
        <v>9725</v>
      </c>
      <c r="G487" t="s">
        <v>74</v>
      </c>
      <c r="H487" t="s">
        <v>74</v>
      </c>
      <c r="I487" t="s">
        <v>9726</v>
      </c>
      <c r="J487" t="s">
        <v>9727</v>
      </c>
      <c r="K487" t="s">
        <v>74</v>
      </c>
      <c r="L487" t="s">
        <v>74</v>
      </c>
      <c r="M487" t="s">
        <v>78</v>
      </c>
      <c r="N487" t="s">
        <v>79</v>
      </c>
      <c r="O487" t="s">
        <v>74</v>
      </c>
      <c r="P487" t="s">
        <v>74</v>
      </c>
      <c r="Q487" t="s">
        <v>74</v>
      </c>
      <c r="R487" t="s">
        <v>74</v>
      </c>
      <c r="S487" t="s">
        <v>74</v>
      </c>
      <c r="T487" t="s">
        <v>9728</v>
      </c>
      <c r="U487" t="s">
        <v>9729</v>
      </c>
      <c r="V487" t="s">
        <v>9730</v>
      </c>
      <c r="W487" t="s">
        <v>9731</v>
      </c>
      <c r="X487" t="s">
        <v>9732</v>
      </c>
      <c r="Y487" t="s">
        <v>9733</v>
      </c>
      <c r="Z487" t="s">
        <v>9734</v>
      </c>
      <c r="AA487" t="s">
        <v>9735</v>
      </c>
      <c r="AB487" t="s">
        <v>9736</v>
      </c>
      <c r="AC487" t="s">
        <v>74</v>
      </c>
      <c r="AD487" t="s">
        <v>74</v>
      </c>
      <c r="AE487" t="s">
        <v>74</v>
      </c>
      <c r="AF487" t="s">
        <v>74</v>
      </c>
      <c r="AG487">
        <v>76</v>
      </c>
      <c r="AH487">
        <v>2</v>
      </c>
      <c r="AI487">
        <v>4</v>
      </c>
      <c r="AJ487">
        <v>3</v>
      </c>
      <c r="AK487">
        <v>54</v>
      </c>
      <c r="AL487" t="s">
        <v>5449</v>
      </c>
      <c r="AM487" t="s">
        <v>5450</v>
      </c>
      <c r="AN487" t="s">
        <v>5451</v>
      </c>
      <c r="AO487" t="s">
        <v>9737</v>
      </c>
      <c r="AP487" t="s">
        <v>9738</v>
      </c>
      <c r="AQ487" t="s">
        <v>74</v>
      </c>
      <c r="AR487" t="s">
        <v>9739</v>
      </c>
      <c r="AS487" t="s">
        <v>9740</v>
      </c>
      <c r="AT487" t="s">
        <v>4759</v>
      </c>
      <c r="AU487">
        <v>2023</v>
      </c>
      <c r="AV487">
        <v>25</v>
      </c>
      <c r="AW487">
        <v>6</v>
      </c>
      <c r="AX487" t="s">
        <v>74</v>
      </c>
      <c r="AY487" t="s">
        <v>74</v>
      </c>
      <c r="AZ487" t="s">
        <v>74</v>
      </c>
      <c r="BA487" t="s">
        <v>74</v>
      </c>
      <c r="BB487">
        <v>2002</v>
      </c>
      <c r="BC487">
        <v>2020</v>
      </c>
      <c r="BD487" t="s">
        <v>74</v>
      </c>
      <c r="BE487" t="s">
        <v>9741</v>
      </c>
      <c r="BF487" t="str">
        <f>HYPERLINK("http://dx.doi.org/10.1287/msom.2021.1068","http://dx.doi.org/10.1287/msom.2021.1068")</f>
        <v>http://dx.doi.org/10.1287/msom.2021.1068</v>
      </c>
      <c r="BG487" t="s">
        <v>74</v>
      </c>
      <c r="BH487" t="s">
        <v>6548</v>
      </c>
      <c r="BI487">
        <v>20</v>
      </c>
      <c r="BJ487" t="s">
        <v>5169</v>
      </c>
      <c r="BK487" t="s">
        <v>2623</v>
      </c>
      <c r="BL487" t="s">
        <v>5170</v>
      </c>
      <c r="BM487" t="s">
        <v>9742</v>
      </c>
      <c r="BN487" t="s">
        <v>74</v>
      </c>
      <c r="BO487" t="s">
        <v>74</v>
      </c>
      <c r="BP487" t="s">
        <v>74</v>
      </c>
      <c r="BQ487" t="s">
        <v>74</v>
      </c>
      <c r="BR487" t="s">
        <v>102</v>
      </c>
      <c r="BS487" t="s">
        <v>9743</v>
      </c>
      <c r="BT487" t="str">
        <f>HYPERLINK("https%3A%2F%2Fwww.webofscience.com%2Fwos%2Fwoscc%2Ffull-record%2FWOS:000742666800001","View Full Record in Web of Science")</f>
        <v>View Full Record in Web of Science</v>
      </c>
    </row>
    <row r="488" spans="1:72" x14ac:dyDescent="0.25">
      <c r="A488" t="s">
        <v>72</v>
      </c>
      <c r="B488" t="s">
        <v>9744</v>
      </c>
      <c r="C488" t="s">
        <v>74</v>
      </c>
      <c r="D488" t="s">
        <v>74</v>
      </c>
      <c r="E488" t="s">
        <v>74</v>
      </c>
      <c r="F488" t="s">
        <v>9745</v>
      </c>
      <c r="G488" t="s">
        <v>74</v>
      </c>
      <c r="H488" t="s">
        <v>74</v>
      </c>
      <c r="I488" t="s">
        <v>9746</v>
      </c>
      <c r="J488" t="s">
        <v>7837</v>
      </c>
      <c r="K488" t="s">
        <v>74</v>
      </c>
      <c r="L488" t="s">
        <v>74</v>
      </c>
      <c r="M488" t="s">
        <v>78</v>
      </c>
      <c r="N488" t="s">
        <v>79</v>
      </c>
      <c r="O488" t="s">
        <v>74</v>
      </c>
      <c r="P488" t="s">
        <v>74</v>
      </c>
      <c r="Q488" t="s">
        <v>74</v>
      </c>
      <c r="R488" t="s">
        <v>74</v>
      </c>
      <c r="S488" t="s">
        <v>74</v>
      </c>
      <c r="T488" t="s">
        <v>9747</v>
      </c>
      <c r="U488" t="s">
        <v>9748</v>
      </c>
      <c r="V488" t="s">
        <v>9749</v>
      </c>
      <c r="W488" t="s">
        <v>9750</v>
      </c>
      <c r="X488" t="s">
        <v>74</v>
      </c>
      <c r="Y488" t="s">
        <v>9751</v>
      </c>
      <c r="Z488" t="s">
        <v>9752</v>
      </c>
      <c r="AA488" t="s">
        <v>9753</v>
      </c>
      <c r="AB488" t="s">
        <v>9754</v>
      </c>
      <c r="AC488" t="s">
        <v>74</v>
      </c>
      <c r="AD488" t="s">
        <v>74</v>
      </c>
      <c r="AE488" t="s">
        <v>74</v>
      </c>
      <c r="AF488" t="s">
        <v>74</v>
      </c>
      <c r="AG488">
        <v>129</v>
      </c>
      <c r="AH488">
        <v>58</v>
      </c>
      <c r="AI488">
        <v>65</v>
      </c>
      <c r="AJ488">
        <v>15</v>
      </c>
      <c r="AK488">
        <v>62</v>
      </c>
      <c r="AL488" t="s">
        <v>89</v>
      </c>
      <c r="AM488" t="s">
        <v>90</v>
      </c>
      <c r="AN488" t="s">
        <v>91</v>
      </c>
      <c r="AO488" t="s">
        <v>7847</v>
      </c>
      <c r="AP488" t="s">
        <v>7848</v>
      </c>
      <c r="AQ488" t="s">
        <v>74</v>
      </c>
      <c r="AR488" t="s">
        <v>7849</v>
      </c>
      <c r="AS488" t="s">
        <v>7850</v>
      </c>
      <c r="AT488" t="s">
        <v>96</v>
      </c>
      <c r="AU488">
        <v>2025</v>
      </c>
      <c r="AV488">
        <v>20</v>
      </c>
      <c r="AW488">
        <v>6</v>
      </c>
      <c r="AX488" t="s">
        <v>74</v>
      </c>
      <c r="AY488" t="s">
        <v>74</v>
      </c>
      <c r="AZ488" t="s">
        <v>74</v>
      </c>
      <c r="BA488" t="s">
        <v>74</v>
      </c>
      <c r="BB488">
        <v>2428</v>
      </c>
      <c r="BC488">
        <v>2454</v>
      </c>
      <c r="BD488" t="s">
        <v>74</v>
      </c>
      <c r="BE488" t="s">
        <v>9755</v>
      </c>
      <c r="BF488" t="str">
        <f>HYPERLINK("http://dx.doi.org/10.1108/IJOEM-08-2022-1313","http://dx.doi.org/10.1108/IJOEM-08-2022-1313")</f>
        <v>http://dx.doi.org/10.1108/IJOEM-08-2022-1313</v>
      </c>
      <c r="BG488" t="s">
        <v>74</v>
      </c>
      <c r="BH488" t="s">
        <v>2417</v>
      </c>
      <c r="BI488">
        <v>27</v>
      </c>
      <c r="BJ488" t="s">
        <v>6512</v>
      </c>
      <c r="BK488" t="s">
        <v>99</v>
      </c>
      <c r="BL488" t="s">
        <v>100</v>
      </c>
      <c r="BM488" t="s">
        <v>9756</v>
      </c>
      <c r="BN488" t="s">
        <v>74</v>
      </c>
      <c r="BO488" t="s">
        <v>74</v>
      </c>
      <c r="BP488" t="s">
        <v>74</v>
      </c>
      <c r="BQ488" t="s">
        <v>74</v>
      </c>
      <c r="BR488" t="s">
        <v>102</v>
      </c>
      <c r="BS488" t="s">
        <v>9757</v>
      </c>
      <c r="BT488" t="str">
        <f>HYPERLINK("https%3A%2F%2Fwww.webofscience.com%2Fwos%2Fwoscc%2Ffull-record%2FWOS:001085785500001","View Full Record in Web of Science")</f>
        <v>View Full Record in Web of Science</v>
      </c>
    </row>
    <row r="489" spans="1:72" x14ac:dyDescent="0.25">
      <c r="A489" t="s">
        <v>132</v>
      </c>
      <c r="B489" t="s">
        <v>9758</v>
      </c>
      <c r="C489" t="s">
        <v>74</v>
      </c>
      <c r="D489" t="s">
        <v>74</v>
      </c>
      <c r="E489" t="s">
        <v>9759</v>
      </c>
      <c r="F489" t="s">
        <v>9760</v>
      </c>
      <c r="G489" t="s">
        <v>74</v>
      </c>
      <c r="H489" t="s">
        <v>74</v>
      </c>
      <c r="I489" t="s">
        <v>9761</v>
      </c>
      <c r="J489" t="s">
        <v>9762</v>
      </c>
      <c r="K489" t="s">
        <v>74</v>
      </c>
      <c r="L489" t="s">
        <v>74</v>
      </c>
      <c r="M489" t="s">
        <v>78</v>
      </c>
      <c r="N489" t="s">
        <v>138</v>
      </c>
      <c r="O489" t="s">
        <v>9763</v>
      </c>
      <c r="P489" t="s">
        <v>9764</v>
      </c>
      <c r="Q489" t="s">
        <v>9765</v>
      </c>
      <c r="R489" t="s">
        <v>74</v>
      </c>
      <c r="S489" t="s">
        <v>74</v>
      </c>
      <c r="T489" t="s">
        <v>9766</v>
      </c>
      <c r="U489" t="s">
        <v>74</v>
      </c>
      <c r="V489" t="s">
        <v>9767</v>
      </c>
      <c r="W489" t="s">
        <v>9768</v>
      </c>
      <c r="X489" t="s">
        <v>9769</v>
      </c>
      <c r="Y489" t="s">
        <v>9770</v>
      </c>
      <c r="Z489" t="s">
        <v>9771</v>
      </c>
      <c r="AA489" t="s">
        <v>74</v>
      </c>
      <c r="AB489" t="s">
        <v>74</v>
      </c>
      <c r="AC489" t="s">
        <v>9772</v>
      </c>
      <c r="AD489" t="s">
        <v>9772</v>
      </c>
      <c r="AE489" t="s">
        <v>9773</v>
      </c>
      <c r="AF489" t="s">
        <v>74</v>
      </c>
      <c r="AG489">
        <v>24</v>
      </c>
      <c r="AH489">
        <v>0</v>
      </c>
      <c r="AI489">
        <v>0</v>
      </c>
      <c r="AJ489">
        <v>1</v>
      </c>
      <c r="AK489">
        <v>1</v>
      </c>
      <c r="AL489" t="s">
        <v>5379</v>
      </c>
      <c r="AM489" t="s">
        <v>5380</v>
      </c>
      <c r="AN489" t="s">
        <v>5381</v>
      </c>
      <c r="AO489" t="s">
        <v>74</v>
      </c>
      <c r="AP489" t="s">
        <v>74</v>
      </c>
      <c r="AQ489" t="s">
        <v>9774</v>
      </c>
      <c r="AR489" t="s">
        <v>74</v>
      </c>
      <c r="AS489" t="s">
        <v>74</v>
      </c>
      <c r="AT489" t="s">
        <v>74</v>
      </c>
      <c r="AU489">
        <v>2023</v>
      </c>
      <c r="AV489" t="s">
        <v>74</v>
      </c>
      <c r="AW489" t="s">
        <v>74</v>
      </c>
      <c r="AX489" t="s">
        <v>74</v>
      </c>
      <c r="AY489" t="s">
        <v>74</v>
      </c>
      <c r="AZ489" t="s">
        <v>74</v>
      </c>
      <c r="BA489" t="s">
        <v>74</v>
      </c>
      <c r="BB489">
        <v>136</v>
      </c>
      <c r="BC489">
        <v>140</v>
      </c>
      <c r="BD489" t="s">
        <v>74</v>
      </c>
      <c r="BE489" t="s">
        <v>9775</v>
      </c>
      <c r="BF489" t="str">
        <f>HYPERLINK("http://dx.doi.org/10.1109/AEIS61544.2023.00029","http://dx.doi.org/10.1109/AEIS61544.2023.00029")</f>
        <v>http://dx.doi.org/10.1109/AEIS61544.2023.00029</v>
      </c>
      <c r="BG489" t="s">
        <v>74</v>
      </c>
      <c r="BH489" t="s">
        <v>74</v>
      </c>
      <c r="BI489">
        <v>5</v>
      </c>
      <c r="BJ489" t="s">
        <v>9776</v>
      </c>
      <c r="BK489" t="s">
        <v>156</v>
      </c>
      <c r="BL489" t="s">
        <v>9777</v>
      </c>
      <c r="BM489" t="s">
        <v>9778</v>
      </c>
      <c r="BN489" t="s">
        <v>74</v>
      </c>
      <c r="BO489" t="s">
        <v>74</v>
      </c>
      <c r="BP489" t="s">
        <v>74</v>
      </c>
      <c r="BQ489" t="s">
        <v>74</v>
      </c>
      <c r="BR489" t="s">
        <v>102</v>
      </c>
      <c r="BS489" t="s">
        <v>9779</v>
      </c>
      <c r="BT489" t="str">
        <f>HYPERLINK("https%3A%2F%2Fwww.webofscience.com%2Fwos%2Fwoscc%2Ffull-record%2FWOS:001207050400022","View Full Record in Web of Science")</f>
        <v>View Full Record in Web of Science</v>
      </c>
    </row>
    <row r="490" spans="1:72" x14ac:dyDescent="0.25">
      <c r="A490" t="s">
        <v>72</v>
      </c>
      <c r="B490" t="s">
        <v>9780</v>
      </c>
      <c r="C490" t="s">
        <v>74</v>
      </c>
      <c r="D490" t="s">
        <v>74</v>
      </c>
      <c r="E490" t="s">
        <v>74</v>
      </c>
      <c r="F490" t="s">
        <v>9781</v>
      </c>
      <c r="G490" t="s">
        <v>74</v>
      </c>
      <c r="H490" t="s">
        <v>74</v>
      </c>
      <c r="I490" t="s">
        <v>9782</v>
      </c>
      <c r="J490" t="s">
        <v>9783</v>
      </c>
      <c r="K490" t="s">
        <v>74</v>
      </c>
      <c r="L490" t="s">
        <v>74</v>
      </c>
      <c r="M490" t="s">
        <v>78</v>
      </c>
      <c r="N490" t="s">
        <v>79</v>
      </c>
      <c r="O490" t="s">
        <v>74</v>
      </c>
      <c r="P490" t="s">
        <v>74</v>
      </c>
      <c r="Q490" t="s">
        <v>74</v>
      </c>
      <c r="R490" t="s">
        <v>74</v>
      </c>
      <c r="S490" t="s">
        <v>74</v>
      </c>
      <c r="T490" t="s">
        <v>9784</v>
      </c>
      <c r="U490" t="s">
        <v>74</v>
      </c>
      <c r="V490" t="s">
        <v>9785</v>
      </c>
      <c r="W490" t="s">
        <v>9786</v>
      </c>
      <c r="X490" t="s">
        <v>9787</v>
      </c>
      <c r="Y490" t="s">
        <v>9788</v>
      </c>
      <c r="Z490" t="s">
        <v>9789</v>
      </c>
      <c r="AA490" t="s">
        <v>9790</v>
      </c>
      <c r="AB490" t="s">
        <v>9791</v>
      </c>
      <c r="AC490" t="s">
        <v>74</v>
      </c>
      <c r="AD490" t="s">
        <v>74</v>
      </c>
      <c r="AE490" t="s">
        <v>74</v>
      </c>
      <c r="AF490" t="s">
        <v>74</v>
      </c>
      <c r="AG490">
        <v>47</v>
      </c>
      <c r="AH490">
        <v>11</v>
      </c>
      <c r="AI490">
        <v>14</v>
      </c>
      <c r="AJ490">
        <v>0</v>
      </c>
      <c r="AK490">
        <v>9</v>
      </c>
      <c r="AL490" t="s">
        <v>9792</v>
      </c>
      <c r="AM490" t="s">
        <v>9793</v>
      </c>
      <c r="AN490" t="s">
        <v>9794</v>
      </c>
      <c r="AO490" t="s">
        <v>9795</v>
      </c>
      <c r="AP490" t="s">
        <v>9796</v>
      </c>
      <c r="AQ490" t="s">
        <v>74</v>
      </c>
      <c r="AR490" t="s">
        <v>9797</v>
      </c>
      <c r="AS490" t="s">
        <v>9798</v>
      </c>
      <c r="AT490" t="s">
        <v>74</v>
      </c>
      <c r="AU490">
        <v>2016</v>
      </c>
      <c r="AV490">
        <v>24</v>
      </c>
      <c r="AW490" t="s">
        <v>74</v>
      </c>
      <c r="AX490" t="s">
        <v>74</v>
      </c>
      <c r="AY490" t="s">
        <v>74</v>
      </c>
      <c r="AZ490" t="s">
        <v>441</v>
      </c>
      <c r="BA490" t="s">
        <v>74</v>
      </c>
      <c r="BB490">
        <v>409</v>
      </c>
      <c r="BC490">
        <v>433</v>
      </c>
      <c r="BD490" t="s">
        <v>74</v>
      </c>
      <c r="BE490" t="s">
        <v>74</v>
      </c>
      <c r="BF490" t="s">
        <v>74</v>
      </c>
      <c r="BG490" t="s">
        <v>74</v>
      </c>
      <c r="BH490" t="s">
        <v>74</v>
      </c>
      <c r="BI490">
        <v>25</v>
      </c>
      <c r="BJ490" t="s">
        <v>9799</v>
      </c>
      <c r="BK490" t="s">
        <v>313</v>
      </c>
      <c r="BL490" t="s">
        <v>9799</v>
      </c>
      <c r="BM490" t="s">
        <v>9800</v>
      </c>
      <c r="BN490" t="s">
        <v>74</v>
      </c>
      <c r="BO490" t="s">
        <v>74</v>
      </c>
      <c r="BP490" t="s">
        <v>74</v>
      </c>
      <c r="BQ490" t="s">
        <v>74</v>
      </c>
      <c r="BR490" t="s">
        <v>102</v>
      </c>
      <c r="BS490" t="s">
        <v>9801</v>
      </c>
      <c r="BT490" t="str">
        <f>HYPERLINK("https%3A%2F%2Fwww.webofscience.com%2Fwos%2Fwoscc%2Ffull-record%2FWOS:000406144000004","View Full Record in Web of Science")</f>
        <v>View Full Record in Web of Science</v>
      </c>
    </row>
    <row r="491" spans="1:72" x14ac:dyDescent="0.25">
      <c r="A491" t="s">
        <v>72</v>
      </c>
      <c r="B491" t="s">
        <v>9802</v>
      </c>
      <c r="C491" t="s">
        <v>74</v>
      </c>
      <c r="D491" t="s">
        <v>74</v>
      </c>
      <c r="E491" t="s">
        <v>74</v>
      </c>
      <c r="F491" t="s">
        <v>9803</v>
      </c>
      <c r="G491" t="s">
        <v>74</v>
      </c>
      <c r="H491" t="s">
        <v>74</v>
      </c>
      <c r="I491" t="s">
        <v>9804</v>
      </c>
      <c r="J491" t="s">
        <v>9805</v>
      </c>
      <c r="K491" t="s">
        <v>74</v>
      </c>
      <c r="L491" t="s">
        <v>74</v>
      </c>
      <c r="M491" t="s">
        <v>78</v>
      </c>
      <c r="N491" t="s">
        <v>79</v>
      </c>
      <c r="O491" t="s">
        <v>74</v>
      </c>
      <c r="P491" t="s">
        <v>74</v>
      </c>
      <c r="Q491" t="s">
        <v>74</v>
      </c>
      <c r="R491" t="s">
        <v>74</v>
      </c>
      <c r="S491" t="s">
        <v>74</v>
      </c>
      <c r="T491" t="s">
        <v>9806</v>
      </c>
      <c r="U491" t="s">
        <v>9807</v>
      </c>
      <c r="V491" t="s">
        <v>9808</v>
      </c>
      <c r="W491" t="s">
        <v>9809</v>
      </c>
      <c r="X491" t="s">
        <v>9810</v>
      </c>
      <c r="Y491" t="s">
        <v>9811</v>
      </c>
      <c r="Z491" t="s">
        <v>9812</v>
      </c>
      <c r="AA491" t="s">
        <v>9813</v>
      </c>
      <c r="AB491" t="s">
        <v>9814</v>
      </c>
      <c r="AC491" t="s">
        <v>9815</v>
      </c>
      <c r="AD491" t="s">
        <v>9816</v>
      </c>
      <c r="AE491" t="s">
        <v>9817</v>
      </c>
      <c r="AF491" t="s">
        <v>74</v>
      </c>
      <c r="AG491">
        <v>113</v>
      </c>
      <c r="AH491">
        <v>4</v>
      </c>
      <c r="AI491">
        <v>4</v>
      </c>
      <c r="AJ491">
        <v>7</v>
      </c>
      <c r="AK491">
        <v>18</v>
      </c>
      <c r="AL491" t="s">
        <v>332</v>
      </c>
      <c r="AM491" t="s">
        <v>333</v>
      </c>
      <c r="AN491" t="s">
        <v>334</v>
      </c>
      <c r="AO491" t="s">
        <v>9818</v>
      </c>
      <c r="AP491" t="s">
        <v>9819</v>
      </c>
      <c r="AQ491" t="s">
        <v>74</v>
      </c>
      <c r="AR491" t="s">
        <v>9820</v>
      </c>
      <c r="AS491" t="s">
        <v>9821</v>
      </c>
      <c r="AT491" t="s">
        <v>9822</v>
      </c>
      <c r="AU491">
        <v>2024</v>
      </c>
      <c r="AV491">
        <v>35</v>
      </c>
      <c r="AW491" t="s">
        <v>9823</v>
      </c>
      <c r="AX491" t="s">
        <v>74</v>
      </c>
      <c r="AY491" t="s">
        <v>74</v>
      </c>
      <c r="AZ491" t="s">
        <v>74</v>
      </c>
      <c r="BA491" t="s">
        <v>74</v>
      </c>
      <c r="BB491">
        <v>1847</v>
      </c>
      <c r="BC491">
        <v>1878</v>
      </c>
      <c r="BD491" t="s">
        <v>74</v>
      </c>
      <c r="BE491" t="s">
        <v>9824</v>
      </c>
      <c r="BF491" t="str">
        <f>HYPERLINK("http://dx.doi.org/10.1080/14783363.2024.2407932","http://dx.doi.org/10.1080/14783363.2024.2407932")</f>
        <v>http://dx.doi.org/10.1080/14783363.2024.2407932</v>
      </c>
      <c r="BG491" t="s">
        <v>74</v>
      </c>
      <c r="BH491" t="s">
        <v>9389</v>
      </c>
      <c r="BI491">
        <v>32</v>
      </c>
      <c r="BJ491" t="s">
        <v>583</v>
      </c>
      <c r="BK491" t="s">
        <v>99</v>
      </c>
      <c r="BL491" t="s">
        <v>100</v>
      </c>
      <c r="BM491" t="s">
        <v>9825</v>
      </c>
      <c r="BN491" t="s">
        <v>74</v>
      </c>
      <c r="BO491" t="s">
        <v>74</v>
      </c>
      <c r="BP491" t="s">
        <v>74</v>
      </c>
      <c r="BQ491" t="s">
        <v>74</v>
      </c>
      <c r="BR491" t="s">
        <v>102</v>
      </c>
      <c r="BS491" t="s">
        <v>9826</v>
      </c>
      <c r="BT491" t="str">
        <f>HYPERLINK("https%3A%2F%2Fwww.webofscience.com%2Fwos%2Fwoscc%2Ffull-record%2FWOS:001321006700001","View Full Record in Web of Science")</f>
        <v>View Full Record in Web of Science</v>
      </c>
    </row>
    <row r="492" spans="1:72" x14ac:dyDescent="0.25">
      <c r="A492" t="s">
        <v>132</v>
      </c>
      <c r="B492" t="s">
        <v>9827</v>
      </c>
      <c r="C492" t="s">
        <v>74</v>
      </c>
      <c r="D492" t="s">
        <v>9828</v>
      </c>
      <c r="E492" t="s">
        <v>74</v>
      </c>
      <c r="F492" t="s">
        <v>9829</v>
      </c>
      <c r="G492" t="s">
        <v>74</v>
      </c>
      <c r="H492" t="s">
        <v>74</v>
      </c>
      <c r="I492" t="s">
        <v>9830</v>
      </c>
      <c r="J492" t="s">
        <v>9831</v>
      </c>
      <c r="K492" t="s">
        <v>74</v>
      </c>
      <c r="L492" t="s">
        <v>74</v>
      </c>
      <c r="M492" t="s">
        <v>78</v>
      </c>
      <c r="N492" t="s">
        <v>138</v>
      </c>
      <c r="O492" t="s">
        <v>9832</v>
      </c>
      <c r="P492" t="s">
        <v>9833</v>
      </c>
      <c r="Q492" t="s">
        <v>9834</v>
      </c>
      <c r="R492" t="s">
        <v>9835</v>
      </c>
      <c r="S492" t="s">
        <v>9836</v>
      </c>
      <c r="T492" t="s">
        <v>9837</v>
      </c>
      <c r="U492" t="s">
        <v>9838</v>
      </c>
      <c r="V492" t="s">
        <v>9839</v>
      </c>
      <c r="W492" t="s">
        <v>9840</v>
      </c>
      <c r="X492" t="s">
        <v>9841</v>
      </c>
      <c r="Y492" t="s">
        <v>9842</v>
      </c>
      <c r="Z492" t="s">
        <v>9843</v>
      </c>
      <c r="AA492" t="s">
        <v>74</v>
      </c>
      <c r="AB492" t="s">
        <v>74</v>
      </c>
      <c r="AC492" t="s">
        <v>74</v>
      </c>
      <c r="AD492" t="s">
        <v>74</v>
      </c>
      <c r="AE492" t="s">
        <v>74</v>
      </c>
      <c r="AF492" t="s">
        <v>74</v>
      </c>
      <c r="AG492">
        <v>53</v>
      </c>
      <c r="AH492">
        <v>0</v>
      </c>
      <c r="AI492">
        <v>0</v>
      </c>
      <c r="AJ492">
        <v>0</v>
      </c>
      <c r="AK492">
        <v>18</v>
      </c>
      <c r="AL492" t="s">
        <v>9844</v>
      </c>
      <c r="AM492" t="s">
        <v>4084</v>
      </c>
      <c r="AN492" t="s">
        <v>9845</v>
      </c>
      <c r="AO492" t="s">
        <v>74</v>
      </c>
      <c r="AP492" t="s">
        <v>74</v>
      </c>
      <c r="AQ492" t="s">
        <v>9846</v>
      </c>
      <c r="AR492" t="s">
        <v>74</v>
      </c>
      <c r="AS492" t="s">
        <v>74</v>
      </c>
      <c r="AT492" t="s">
        <v>74</v>
      </c>
      <c r="AU492">
        <v>2019</v>
      </c>
      <c r="AV492" t="s">
        <v>74</v>
      </c>
      <c r="AW492" t="s">
        <v>74</v>
      </c>
      <c r="AX492" t="s">
        <v>74</v>
      </c>
      <c r="AY492" t="s">
        <v>74</v>
      </c>
      <c r="AZ492" t="s">
        <v>74</v>
      </c>
      <c r="BA492" t="s">
        <v>74</v>
      </c>
      <c r="BB492">
        <v>300</v>
      </c>
      <c r="BC492">
        <v>330</v>
      </c>
      <c r="BD492" t="s">
        <v>74</v>
      </c>
      <c r="BE492" t="s">
        <v>74</v>
      </c>
      <c r="BF492" t="s">
        <v>74</v>
      </c>
      <c r="BG492" t="s">
        <v>74</v>
      </c>
      <c r="BH492" t="s">
        <v>74</v>
      </c>
      <c r="BI492">
        <v>31</v>
      </c>
      <c r="BJ492" t="s">
        <v>210</v>
      </c>
      <c r="BK492" t="s">
        <v>183</v>
      </c>
      <c r="BL492" t="s">
        <v>100</v>
      </c>
      <c r="BM492" t="s">
        <v>9847</v>
      </c>
      <c r="BN492" t="s">
        <v>74</v>
      </c>
      <c r="BO492" t="s">
        <v>74</v>
      </c>
      <c r="BP492" t="s">
        <v>74</v>
      </c>
      <c r="BQ492" t="s">
        <v>74</v>
      </c>
      <c r="BR492" t="s">
        <v>102</v>
      </c>
      <c r="BS492" t="s">
        <v>9848</v>
      </c>
      <c r="BT492" t="str">
        <f>HYPERLINK("https%3A%2F%2Fwww.webofscience.com%2Fwos%2Fwoscc%2Ffull-record%2FWOS:000519108000021","View Full Record in Web of Science")</f>
        <v>View Full Record in Web of Science</v>
      </c>
    </row>
    <row r="493" spans="1:72" x14ac:dyDescent="0.25">
      <c r="A493" t="s">
        <v>72</v>
      </c>
      <c r="B493" t="s">
        <v>9849</v>
      </c>
      <c r="C493" t="s">
        <v>74</v>
      </c>
      <c r="D493" t="s">
        <v>74</v>
      </c>
      <c r="E493" t="s">
        <v>74</v>
      </c>
      <c r="F493" t="s">
        <v>9850</v>
      </c>
      <c r="G493" t="s">
        <v>74</v>
      </c>
      <c r="H493" t="s">
        <v>74</v>
      </c>
      <c r="I493" t="s">
        <v>9851</v>
      </c>
      <c r="J493" t="s">
        <v>9852</v>
      </c>
      <c r="K493" t="s">
        <v>74</v>
      </c>
      <c r="L493" t="s">
        <v>74</v>
      </c>
      <c r="M493" t="s">
        <v>78</v>
      </c>
      <c r="N493" t="s">
        <v>79</v>
      </c>
      <c r="O493" t="s">
        <v>74</v>
      </c>
      <c r="P493" t="s">
        <v>74</v>
      </c>
      <c r="Q493" t="s">
        <v>74</v>
      </c>
      <c r="R493" t="s">
        <v>74</v>
      </c>
      <c r="S493" t="s">
        <v>74</v>
      </c>
      <c r="T493" t="s">
        <v>9853</v>
      </c>
      <c r="U493" t="s">
        <v>9854</v>
      </c>
      <c r="V493" t="s">
        <v>9855</v>
      </c>
      <c r="W493" t="s">
        <v>9856</v>
      </c>
      <c r="X493" t="s">
        <v>9857</v>
      </c>
      <c r="Y493" t="s">
        <v>9858</v>
      </c>
      <c r="Z493" t="s">
        <v>9859</v>
      </c>
      <c r="AA493" t="s">
        <v>9860</v>
      </c>
      <c r="AB493" t="s">
        <v>74</v>
      </c>
      <c r="AC493" t="s">
        <v>74</v>
      </c>
      <c r="AD493" t="s">
        <v>74</v>
      </c>
      <c r="AE493" t="s">
        <v>74</v>
      </c>
      <c r="AF493" t="s">
        <v>74</v>
      </c>
      <c r="AG493">
        <v>70</v>
      </c>
      <c r="AH493">
        <v>0</v>
      </c>
      <c r="AI493">
        <v>0</v>
      </c>
      <c r="AJ493">
        <v>0</v>
      </c>
      <c r="AK493">
        <v>0</v>
      </c>
      <c r="AL493" t="s">
        <v>9861</v>
      </c>
      <c r="AM493" t="s">
        <v>9862</v>
      </c>
      <c r="AN493" t="s">
        <v>9863</v>
      </c>
      <c r="AO493" t="s">
        <v>74</v>
      </c>
      <c r="AP493" t="s">
        <v>9864</v>
      </c>
      <c r="AQ493" t="s">
        <v>74</v>
      </c>
      <c r="AR493" t="s">
        <v>9865</v>
      </c>
      <c r="AS493" t="s">
        <v>9866</v>
      </c>
      <c r="AT493" t="s">
        <v>208</v>
      </c>
      <c r="AU493">
        <v>2026</v>
      </c>
      <c r="AV493">
        <v>19</v>
      </c>
      <c r="AW493">
        <v>1</v>
      </c>
      <c r="AX493" t="s">
        <v>74</v>
      </c>
      <c r="AY493" t="s">
        <v>74</v>
      </c>
      <c r="AZ493" t="s">
        <v>74</v>
      </c>
      <c r="BA493" t="s">
        <v>74</v>
      </c>
      <c r="BB493">
        <v>41</v>
      </c>
      <c r="BC493">
        <v>56</v>
      </c>
      <c r="BD493" t="s">
        <v>74</v>
      </c>
      <c r="BE493" t="s">
        <v>9867</v>
      </c>
      <c r="BF493" t="str">
        <f>HYPERLINK("http://dx.doi.org/10.22059/ijms.2025.374206.676627","http://dx.doi.org/10.22059/ijms.2025.374206.676627")</f>
        <v>http://dx.doi.org/10.22059/ijms.2025.374206.676627</v>
      </c>
      <c r="BG493" t="s">
        <v>74</v>
      </c>
      <c r="BH493" t="s">
        <v>74</v>
      </c>
      <c r="BI493">
        <v>16</v>
      </c>
      <c r="BJ493" t="s">
        <v>583</v>
      </c>
      <c r="BK493" t="s">
        <v>313</v>
      </c>
      <c r="BL493" t="s">
        <v>100</v>
      </c>
      <c r="BM493" t="s">
        <v>9868</v>
      </c>
      <c r="BN493" t="s">
        <v>74</v>
      </c>
      <c r="BO493" t="s">
        <v>74</v>
      </c>
      <c r="BP493" t="s">
        <v>74</v>
      </c>
      <c r="BQ493" t="s">
        <v>74</v>
      </c>
      <c r="BR493" t="s">
        <v>102</v>
      </c>
      <c r="BS493" t="s">
        <v>9869</v>
      </c>
      <c r="BT493" t="str">
        <f>HYPERLINK("https%3A%2F%2Fwww.webofscience.com%2Fwos%2Fwoscc%2Ffull-record%2FWOS:001644131400004","View Full Record in Web of Science")</f>
        <v>View Full Record in Web of Science</v>
      </c>
    </row>
    <row r="494" spans="1:72" x14ac:dyDescent="0.25">
      <c r="A494" t="s">
        <v>72</v>
      </c>
      <c r="B494" t="s">
        <v>9870</v>
      </c>
      <c r="C494" t="s">
        <v>74</v>
      </c>
      <c r="D494" t="s">
        <v>74</v>
      </c>
      <c r="E494" t="s">
        <v>74</v>
      </c>
      <c r="F494" t="s">
        <v>9871</v>
      </c>
      <c r="G494" t="s">
        <v>74</v>
      </c>
      <c r="H494" t="s">
        <v>74</v>
      </c>
      <c r="I494" t="s">
        <v>9872</v>
      </c>
      <c r="J494" t="s">
        <v>9873</v>
      </c>
      <c r="K494" t="s">
        <v>74</v>
      </c>
      <c r="L494" t="s">
        <v>74</v>
      </c>
      <c r="M494" t="s">
        <v>78</v>
      </c>
      <c r="N494" t="s">
        <v>79</v>
      </c>
      <c r="O494" t="s">
        <v>74</v>
      </c>
      <c r="P494" t="s">
        <v>74</v>
      </c>
      <c r="Q494" t="s">
        <v>74</v>
      </c>
      <c r="R494" t="s">
        <v>74</v>
      </c>
      <c r="S494" t="s">
        <v>74</v>
      </c>
      <c r="T494" t="s">
        <v>9874</v>
      </c>
      <c r="U494" t="s">
        <v>9875</v>
      </c>
      <c r="V494" t="s">
        <v>9876</v>
      </c>
      <c r="W494" t="s">
        <v>9877</v>
      </c>
      <c r="X494" t="s">
        <v>9878</v>
      </c>
      <c r="Y494" t="s">
        <v>9879</v>
      </c>
      <c r="Z494" t="s">
        <v>9880</v>
      </c>
      <c r="AA494" t="s">
        <v>9881</v>
      </c>
      <c r="AB494" t="s">
        <v>9882</v>
      </c>
      <c r="AC494" t="s">
        <v>9883</v>
      </c>
      <c r="AD494" t="s">
        <v>9884</v>
      </c>
      <c r="AE494" t="s">
        <v>9885</v>
      </c>
      <c r="AF494" t="s">
        <v>74</v>
      </c>
      <c r="AG494">
        <v>92</v>
      </c>
      <c r="AH494">
        <v>102</v>
      </c>
      <c r="AI494">
        <v>108</v>
      </c>
      <c r="AJ494">
        <v>23</v>
      </c>
      <c r="AK494">
        <v>298</v>
      </c>
      <c r="AL494" t="s">
        <v>503</v>
      </c>
      <c r="AM494" t="s">
        <v>151</v>
      </c>
      <c r="AN494" t="s">
        <v>504</v>
      </c>
      <c r="AO494" t="s">
        <v>9886</v>
      </c>
      <c r="AP494" t="s">
        <v>9887</v>
      </c>
      <c r="AQ494" t="s">
        <v>74</v>
      </c>
      <c r="AR494" t="s">
        <v>9888</v>
      </c>
      <c r="AS494" t="s">
        <v>9889</v>
      </c>
      <c r="AT494" t="s">
        <v>237</v>
      </c>
      <c r="AU494">
        <v>2022</v>
      </c>
      <c r="AV494">
        <v>71</v>
      </c>
      <c r="AW494" t="s">
        <v>74</v>
      </c>
      <c r="AX494" t="s">
        <v>74</v>
      </c>
      <c r="AY494" t="s">
        <v>74</v>
      </c>
      <c r="AZ494" t="s">
        <v>74</v>
      </c>
      <c r="BA494" t="s">
        <v>74</v>
      </c>
      <c r="BB494" t="s">
        <v>74</v>
      </c>
      <c r="BC494" t="s">
        <v>74</v>
      </c>
      <c r="BD494">
        <v>101719</v>
      </c>
      <c r="BE494" t="s">
        <v>9890</v>
      </c>
      <c r="BF494" t="str">
        <f>HYPERLINK("http://dx.doi.org/10.1016/j.chieco.2021.101719","http://dx.doi.org/10.1016/j.chieco.2021.101719")</f>
        <v>http://dx.doi.org/10.1016/j.chieco.2021.101719</v>
      </c>
      <c r="BG494" t="s">
        <v>74</v>
      </c>
      <c r="BH494" t="s">
        <v>74</v>
      </c>
      <c r="BI494">
        <v>27</v>
      </c>
      <c r="BJ494" t="s">
        <v>291</v>
      </c>
      <c r="BK494" t="s">
        <v>99</v>
      </c>
      <c r="BL494" t="s">
        <v>100</v>
      </c>
      <c r="BM494" t="s">
        <v>9891</v>
      </c>
      <c r="BN494" t="s">
        <v>74</v>
      </c>
      <c r="BO494" t="s">
        <v>74</v>
      </c>
      <c r="BP494" t="s">
        <v>74</v>
      </c>
      <c r="BQ494" t="s">
        <v>74</v>
      </c>
      <c r="BR494" t="s">
        <v>102</v>
      </c>
      <c r="BS494" t="s">
        <v>9892</v>
      </c>
      <c r="BT494" t="str">
        <f>HYPERLINK("https%3A%2F%2Fwww.webofscience.com%2Fwos%2Fwoscc%2Ffull-record%2FWOS:000819928900002","View Full Record in Web of Science")</f>
        <v>View Full Record in Web of Science</v>
      </c>
    </row>
    <row r="495" spans="1:72" x14ac:dyDescent="0.25">
      <c r="A495" t="s">
        <v>72</v>
      </c>
      <c r="B495" t="s">
        <v>9893</v>
      </c>
      <c r="C495" t="s">
        <v>74</v>
      </c>
      <c r="D495" t="s">
        <v>74</v>
      </c>
      <c r="E495" t="s">
        <v>74</v>
      </c>
      <c r="F495" t="s">
        <v>9894</v>
      </c>
      <c r="G495" t="s">
        <v>74</v>
      </c>
      <c r="H495" t="s">
        <v>74</v>
      </c>
      <c r="I495" t="s">
        <v>9895</v>
      </c>
      <c r="J495" t="s">
        <v>9896</v>
      </c>
      <c r="K495" t="s">
        <v>74</v>
      </c>
      <c r="L495" t="s">
        <v>74</v>
      </c>
      <c r="M495" t="s">
        <v>78</v>
      </c>
      <c r="N495" t="s">
        <v>79</v>
      </c>
      <c r="O495" t="s">
        <v>74</v>
      </c>
      <c r="P495" t="s">
        <v>74</v>
      </c>
      <c r="Q495" t="s">
        <v>74</v>
      </c>
      <c r="R495" t="s">
        <v>74</v>
      </c>
      <c r="S495" t="s">
        <v>74</v>
      </c>
      <c r="T495" t="s">
        <v>9897</v>
      </c>
      <c r="U495" t="s">
        <v>9898</v>
      </c>
      <c r="V495" t="s">
        <v>9899</v>
      </c>
      <c r="W495" t="s">
        <v>9900</v>
      </c>
      <c r="X495" t="s">
        <v>9901</v>
      </c>
      <c r="Y495" t="s">
        <v>9902</v>
      </c>
      <c r="Z495" t="s">
        <v>9903</v>
      </c>
      <c r="AA495" t="s">
        <v>9904</v>
      </c>
      <c r="AB495" t="s">
        <v>74</v>
      </c>
      <c r="AC495" t="s">
        <v>74</v>
      </c>
      <c r="AD495" t="s">
        <v>74</v>
      </c>
      <c r="AE495" t="s">
        <v>74</v>
      </c>
      <c r="AF495" t="s">
        <v>74</v>
      </c>
      <c r="AG495">
        <v>87</v>
      </c>
      <c r="AH495">
        <v>9</v>
      </c>
      <c r="AI495">
        <v>14</v>
      </c>
      <c r="AJ495">
        <v>0</v>
      </c>
      <c r="AK495">
        <v>9</v>
      </c>
      <c r="AL495" t="s">
        <v>89</v>
      </c>
      <c r="AM495" t="s">
        <v>1497</v>
      </c>
      <c r="AN495" t="s">
        <v>1498</v>
      </c>
      <c r="AO495" t="s">
        <v>9905</v>
      </c>
      <c r="AP495" t="s">
        <v>9906</v>
      </c>
      <c r="AQ495" t="s">
        <v>74</v>
      </c>
      <c r="AR495" t="s">
        <v>9907</v>
      </c>
      <c r="AS495" t="s">
        <v>9908</v>
      </c>
      <c r="AT495" t="s">
        <v>9909</v>
      </c>
      <c r="AU495">
        <v>2020</v>
      </c>
      <c r="AV495">
        <v>80</v>
      </c>
      <c r="AW495">
        <v>4</v>
      </c>
      <c r="AX495" t="s">
        <v>74</v>
      </c>
      <c r="AY495" t="s">
        <v>74</v>
      </c>
      <c r="AZ495" t="s">
        <v>74</v>
      </c>
      <c r="BA495" t="s">
        <v>74</v>
      </c>
      <c r="BB495">
        <v>471</v>
      </c>
      <c r="BC495">
        <v>489</v>
      </c>
      <c r="BD495" t="s">
        <v>74</v>
      </c>
      <c r="BE495" t="s">
        <v>9910</v>
      </c>
      <c r="BF495" t="str">
        <f>HYPERLINK("http://dx.doi.org/10.1108/AFR-09-2019-0096","http://dx.doi.org/10.1108/AFR-09-2019-0096")</f>
        <v>http://dx.doi.org/10.1108/AFR-09-2019-0096</v>
      </c>
      <c r="BG495" t="s">
        <v>74</v>
      </c>
      <c r="BH495" t="s">
        <v>2506</v>
      </c>
      <c r="BI495">
        <v>19</v>
      </c>
      <c r="BJ495" t="s">
        <v>5151</v>
      </c>
      <c r="BK495" t="s">
        <v>313</v>
      </c>
      <c r="BL495" t="s">
        <v>5152</v>
      </c>
      <c r="BM495" t="s">
        <v>9911</v>
      </c>
      <c r="BN495" t="s">
        <v>74</v>
      </c>
      <c r="BO495" t="s">
        <v>74</v>
      </c>
      <c r="BP495" t="s">
        <v>74</v>
      </c>
      <c r="BQ495" t="s">
        <v>74</v>
      </c>
      <c r="BR495" t="s">
        <v>102</v>
      </c>
      <c r="BS495" t="s">
        <v>9912</v>
      </c>
      <c r="BT495" t="str">
        <f>HYPERLINK("https%3A%2F%2Fwww.webofscience.com%2Fwos%2Fwoscc%2Ffull-record%2FWOS:000524798500001","View Full Record in Web of Science")</f>
        <v>View Full Record in Web of Science</v>
      </c>
    </row>
    <row r="496" spans="1:72" x14ac:dyDescent="0.25">
      <c r="A496" t="s">
        <v>72</v>
      </c>
      <c r="B496" t="s">
        <v>9913</v>
      </c>
      <c r="C496" t="s">
        <v>74</v>
      </c>
      <c r="D496" t="s">
        <v>74</v>
      </c>
      <c r="E496" t="s">
        <v>74</v>
      </c>
      <c r="F496" t="s">
        <v>9914</v>
      </c>
      <c r="G496" t="s">
        <v>74</v>
      </c>
      <c r="H496" t="s">
        <v>74</v>
      </c>
      <c r="I496" t="s">
        <v>9915</v>
      </c>
      <c r="J496" t="s">
        <v>4842</v>
      </c>
      <c r="K496" t="s">
        <v>74</v>
      </c>
      <c r="L496" t="s">
        <v>74</v>
      </c>
      <c r="M496" t="s">
        <v>78</v>
      </c>
      <c r="N496" t="s">
        <v>79</v>
      </c>
      <c r="O496" t="s">
        <v>74</v>
      </c>
      <c r="P496" t="s">
        <v>74</v>
      </c>
      <c r="Q496" t="s">
        <v>74</v>
      </c>
      <c r="R496" t="s">
        <v>74</v>
      </c>
      <c r="S496" t="s">
        <v>74</v>
      </c>
      <c r="T496" t="s">
        <v>9916</v>
      </c>
      <c r="U496" t="s">
        <v>9917</v>
      </c>
      <c r="V496" t="s">
        <v>9918</v>
      </c>
      <c r="W496" t="s">
        <v>9919</v>
      </c>
      <c r="X496" t="s">
        <v>9920</v>
      </c>
      <c r="Y496" t="s">
        <v>9921</v>
      </c>
      <c r="Z496" t="s">
        <v>9922</v>
      </c>
      <c r="AA496" t="s">
        <v>9923</v>
      </c>
      <c r="AB496" t="s">
        <v>9924</v>
      </c>
      <c r="AC496" t="s">
        <v>9925</v>
      </c>
      <c r="AD496" t="s">
        <v>9925</v>
      </c>
      <c r="AE496" t="s">
        <v>9926</v>
      </c>
      <c r="AF496" t="s">
        <v>74</v>
      </c>
      <c r="AG496">
        <v>62</v>
      </c>
      <c r="AH496">
        <v>32</v>
      </c>
      <c r="AI496">
        <v>47</v>
      </c>
      <c r="AJ496">
        <v>2</v>
      </c>
      <c r="AK496">
        <v>31</v>
      </c>
      <c r="AL496" t="s">
        <v>2481</v>
      </c>
      <c r="AM496" t="s">
        <v>2482</v>
      </c>
      <c r="AN496" t="s">
        <v>2483</v>
      </c>
      <c r="AO496" t="s">
        <v>4853</v>
      </c>
      <c r="AP496" t="s">
        <v>74</v>
      </c>
      <c r="AQ496" t="s">
        <v>74</v>
      </c>
      <c r="AR496" t="s">
        <v>4854</v>
      </c>
      <c r="AS496" t="s">
        <v>4855</v>
      </c>
      <c r="AT496" t="s">
        <v>2970</v>
      </c>
      <c r="AU496">
        <v>2022</v>
      </c>
      <c r="AV496">
        <v>9</v>
      </c>
      <c r="AW496">
        <v>1</v>
      </c>
      <c r="AX496" t="s">
        <v>74</v>
      </c>
      <c r="AY496" t="s">
        <v>74</v>
      </c>
      <c r="AZ496" t="s">
        <v>74</v>
      </c>
      <c r="BA496" t="s">
        <v>74</v>
      </c>
      <c r="BB496" t="s">
        <v>74</v>
      </c>
      <c r="BC496" t="s">
        <v>74</v>
      </c>
      <c r="BD496">
        <v>2041792</v>
      </c>
      <c r="BE496" t="s">
        <v>9927</v>
      </c>
      <c r="BF496" t="str">
        <f>HYPERLINK("http://dx.doi.org/10.1080/23311975.2022.2041792","http://dx.doi.org/10.1080/23311975.2022.2041792")</f>
        <v>http://dx.doi.org/10.1080/23311975.2022.2041792</v>
      </c>
      <c r="BG496" t="s">
        <v>74</v>
      </c>
      <c r="BH496" t="s">
        <v>74</v>
      </c>
      <c r="BI496">
        <v>20</v>
      </c>
      <c r="BJ496" t="s">
        <v>418</v>
      </c>
      <c r="BK496" t="s">
        <v>313</v>
      </c>
      <c r="BL496" t="s">
        <v>100</v>
      </c>
      <c r="BM496" t="s">
        <v>9928</v>
      </c>
      <c r="BN496" t="s">
        <v>74</v>
      </c>
      <c r="BO496" t="s">
        <v>916</v>
      </c>
      <c r="BP496" t="s">
        <v>74</v>
      </c>
      <c r="BQ496" t="s">
        <v>74</v>
      </c>
      <c r="BR496" t="s">
        <v>102</v>
      </c>
      <c r="BS496" t="s">
        <v>9929</v>
      </c>
      <c r="BT496" t="str">
        <f>HYPERLINK("https%3A%2F%2Fwww.webofscience.com%2Fwos%2Fwoscc%2Ffull-record%2FWOS:000763704800001","View Full Record in Web of Science")</f>
        <v>View Full Record in Web of Science</v>
      </c>
    </row>
    <row r="497" spans="1:72" x14ac:dyDescent="0.25">
      <c r="A497" t="s">
        <v>72</v>
      </c>
      <c r="B497" t="s">
        <v>9930</v>
      </c>
      <c r="C497" t="s">
        <v>74</v>
      </c>
      <c r="D497" t="s">
        <v>74</v>
      </c>
      <c r="E497" t="s">
        <v>74</v>
      </c>
      <c r="F497" t="s">
        <v>9931</v>
      </c>
      <c r="G497" t="s">
        <v>74</v>
      </c>
      <c r="H497" t="s">
        <v>74</v>
      </c>
      <c r="I497" t="s">
        <v>9932</v>
      </c>
      <c r="J497" t="s">
        <v>1491</v>
      </c>
      <c r="K497" t="s">
        <v>74</v>
      </c>
      <c r="L497" t="s">
        <v>74</v>
      </c>
      <c r="M497" t="s">
        <v>78</v>
      </c>
      <c r="N497" t="s">
        <v>79</v>
      </c>
      <c r="O497" t="s">
        <v>74</v>
      </c>
      <c r="P497" t="s">
        <v>74</v>
      </c>
      <c r="Q497" t="s">
        <v>74</v>
      </c>
      <c r="R497" t="s">
        <v>74</v>
      </c>
      <c r="S497" t="s">
        <v>74</v>
      </c>
      <c r="T497" t="s">
        <v>9933</v>
      </c>
      <c r="U497" t="s">
        <v>9934</v>
      </c>
      <c r="V497" t="s">
        <v>9935</v>
      </c>
      <c r="W497" t="s">
        <v>9936</v>
      </c>
      <c r="X497" t="s">
        <v>9937</v>
      </c>
      <c r="Y497" t="s">
        <v>9938</v>
      </c>
      <c r="Z497" t="s">
        <v>9939</v>
      </c>
      <c r="AA497" t="s">
        <v>9940</v>
      </c>
      <c r="AB497" t="s">
        <v>74</v>
      </c>
      <c r="AC497" t="s">
        <v>74</v>
      </c>
      <c r="AD497" t="s">
        <v>74</v>
      </c>
      <c r="AE497" t="s">
        <v>74</v>
      </c>
      <c r="AF497" t="s">
        <v>74</v>
      </c>
      <c r="AG497">
        <v>79</v>
      </c>
      <c r="AH497">
        <v>21</v>
      </c>
      <c r="AI497">
        <v>28</v>
      </c>
      <c r="AJ497">
        <v>0</v>
      </c>
      <c r="AK497">
        <v>15</v>
      </c>
      <c r="AL497" t="s">
        <v>89</v>
      </c>
      <c r="AM497" t="s">
        <v>1497</v>
      </c>
      <c r="AN497" t="s">
        <v>1498</v>
      </c>
      <c r="AO497" t="s">
        <v>1499</v>
      </c>
      <c r="AP497" t="s">
        <v>1500</v>
      </c>
      <c r="AQ497" t="s">
        <v>74</v>
      </c>
      <c r="AR497" t="s">
        <v>1501</v>
      </c>
      <c r="AS497" t="s">
        <v>1502</v>
      </c>
      <c r="AT497" t="s">
        <v>9278</v>
      </c>
      <c r="AU497">
        <v>2023</v>
      </c>
      <c r="AV497">
        <v>31</v>
      </c>
      <c r="AW497">
        <v>4</v>
      </c>
      <c r="AX497" t="s">
        <v>74</v>
      </c>
      <c r="AY497" t="s">
        <v>74</v>
      </c>
      <c r="AZ497" t="s">
        <v>74</v>
      </c>
      <c r="BA497" t="s">
        <v>74</v>
      </c>
      <c r="BB497">
        <v>420</v>
      </c>
      <c r="BC497">
        <v>444</v>
      </c>
      <c r="BD497" t="s">
        <v>74</v>
      </c>
      <c r="BE497" t="s">
        <v>9941</v>
      </c>
      <c r="BF497" t="str">
        <f>HYPERLINK("http://dx.doi.org/10.1108/JFRC-08-2022-0093","http://dx.doi.org/10.1108/JFRC-08-2022-0093")</f>
        <v>http://dx.doi.org/10.1108/JFRC-08-2022-0093</v>
      </c>
      <c r="BG497" t="s">
        <v>74</v>
      </c>
      <c r="BH497" t="s">
        <v>9145</v>
      </c>
      <c r="BI497">
        <v>25</v>
      </c>
      <c r="BJ497" t="s">
        <v>268</v>
      </c>
      <c r="BK497" t="s">
        <v>313</v>
      </c>
      <c r="BL497" t="s">
        <v>100</v>
      </c>
      <c r="BM497" t="s">
        <v>9942</v>
      </c>
      <c r="BN497" t="s">
        <v>74</v>
      </c>
      <c r="BO497" t="s">
        <v>74</v>
      </c>
      <c r="BP497" t="s">
        <v>74</v>
      </c>
      <c r="BQ497" t="s">
        <v>74</v>
      </c>
      <c r="BR497" t="s">
        <v>102</v>
      </c>
      <c r="BS497" t="s">
        <v>9943</v>
      </c>
      <c r="BT497" t="str">
        <f>HYPERLINK("https%3A%2F%2Fwww.webofscience.com%2Fwos%2Fwoscc%2Ffull-record%2FWOS:000927658400001","View Full Record in Web of Science")</f>
        <v>View Full Record in Web of Science</v>
      </c>
    </row>
    <row r="498" spans="1:72" x14ac:dyDescent="0.25">
      <c r="A498" t="s">
        <v>72</v>
      </c>
      <c r="B498" t="s">
        <v>9944</v>
      </c>
      <c r="C498" t="s">
        <v>74</v>
      </c>
      <c r="D498" t="s">
        <v>74</v>
      </c>
      <c r="E498" t="s">
        <v>74</v>
      </c>
      <c r="F498" t="s">
        <v>9945</v>
      </c>
      <c r="G498" t="s">
        <v>74</v>
      </c>
      <c r="H498" t="s">
        <v>74</v>
      </c>
      <c r="I498" t="s">
        <v>9946</v>
      </c>
      <c r="J498" t="s">
        <v>6713</v>
      </c>
      <c r="K498" t="s">
        <v>74</v>
      </c>
      <c r="L498" t="s">
        <v>74</v>
      </c>
      <c r="M498" t="s">
        <v>78</v>
      </c>
      <c r="N498" t="s">
        <v>79</v>
      </c>
      <c r="O498" t="s">
        <v>74</v>
      </c>
      <c r="P498" t="s">
        <v>74</v>
      </c>
      <c r="Q498" t="s">
        <v>74</v>
      </c>
      <c r="R498" t="s">
        <v>74</v>
      </c>
      <c r="S498" t="s">
        <v>74</v>
      </c>
      <c r="T498" t="s">
        <v>9947</v>
      </c>
      <c r="U498" t="s">
        <v>9948</v>
      </c>
      <c r="V498" t="s">
        <v>9949</v>
      </c>
      <c r="W498" t="s">
        <v>9950</v>
      </c>
      <c r="X498" t="s">
        <v>9951</v>
      </c>
      <c r="Y498" t="s">
        <v>9952</v>
      </c>
      <c r="Z498" t="s">
        <v>9953</v>
      </c>
      <c r="AA498" t="s">
        <v>74</v>
      </c>
      <c r="AB498" t="s">
        <v>9954</v>
      </c>
      <c r="AC498" t="s">
        <v>9955</v>
      </c>
      <c r="AD498" t="s">
        <v>9956</v>
      </c>
      <c r="AE498" t="s">
        <v>9957</v>
      </c>
      <c r="AF498" t="s">
        <v>74</v>
      </c>
      <c r="AG498">
        <v>130</v>
      </c>
      <c r="AH498">
        <v>70</v>
      </c>
      <c r="AI498">
        <v>76</v>
      </c>
      <c r="AJ498">
        <v>17</v>
      </c>
      <c r="AK498">
        <v>200</v>
      </c>
      <c r="AL498" t="s">
        <v>4485</v>
      </c>
      <c r="AM498" t="s">
        <v>6724</v>
      </c>
      <c r="AN498" t="s">
        <v>6725</v>
      </c>
      <c r="AO498" t="s">
        <v>6726</v>
      </c>
      <c r="AP498" t="s">
        <v>6727</v>
      </c>
      <c r="AQ498" t="s">
        <v>74</v>
      </c>
      <c r="AR498" t="s">
        <v>6728</v>
      </c>
      <c r="AS498" t="s">
        <v>6729</v>
      </c>
      <c r="AT498" t="s">
        <v>605</v>
      </c>
      <c r="AU498">
        <v>2022</v>
      </c>
      <c r="AV498">
        <v>46</v>
      </c>
      <c r="AW498">
        <v>3</v>
      </c>
      <c r="AX498" t="s">
        <v>74</v>
      </c>
      <c r="AY498" t="s">
        <v>74</v>
      </c>
      <c r="AZ498" t="s">
        <v>74</v>
      </c>
      <c r="BA498" t="s">
        <v>74</v>
      </c>
      <c r="BB498" t="s">
        <v>74</v>
      </c>
      <c r="BC498" t="s">
        <v>74</v>
      </c>
      <c r="BD498">
        <v>102276</v>
      </c>
      <c r="BE498" t="s">
        <v>9958</v>
      </c>
      <c r="BF498" t="str">
        <f>HYPERLINK("http://dx.doi.org/10.1016/j.telpol.2021.102276","http://dx.doi.org/10.1016/j.telpol.2021.102276")</f>
        <v>http://dx.doi.org/10.1016/j.telpol.2021.102276</v>
      </c>
      <c r="BG498" t="s">
        <v>74</v>
      </c>
      <c r="BH498" t="s">
        <v>767</v>
      </c>
      <c r="BI498">
        <v>19</v>
      </c>
      <c r="BJ498" t="s">
        <v>6731</v>
      </c>
      <c r="BK498" t="s">
        <v>2623</v>
      </c>
      <c r="BL498" t="s">
        <v>6731</v>
      </c>
      <c r="BM498" t="s">
        <v>9959</v>
      </c>
      <c r="BN498" t="s">
        <v>74</v>
      </c>
      <c r="BO498" t="s">
        <v>74</v>
      </c>
      <c r="BP498" t="s">
        <v>74</v>
      </c>
      <c r="BQ498" t="s">
        <v>74</v>
      </c>
      <c r="BR498" t="s">
        <v>102</v>
      </c>
      <c r="BS498" t="s">
        <v>9960</v>
      </c>
      <c r="BT498" t="str">
        <f>HYPERLINK("https%3A%2F%2Fwww.webofscience.com%2Fwos%2Fwoscc%2Ffull-record%2FWOS:000819868300007","View Full Record in Web of Science")</f>
        <v>View Full Record in Web of Science</v>
      </c>
    </row>
    <row r="499" spans="1:72" x14ac:dyDescent="0.25">
      <c r="A499" t="s">
        <v>72</v>
      </c>
      <c r="B499" t="s">
        <v>9961</v>
      </c>
      <c r="C499" t="s">
        <v>74</v>
      </c>
      <c r="D499" t="s">
        <v>74</v>
      </c>
      <c r="E499" t="s">
        <v>74</v>
      </c>
      <c r="F499" t="s">
        <v>9962</v>
      </c>
      <c r="G499" t="s">
        <v>74</v>
      </c>
      <c r="H499" t="s">
        <v>74</v>
      </c>
      <c r="I499" t="s">
        <v>9963</v>
      </c>
      <c r="J499" t="s">
        <v>9964</v>
      </c>
      <c r="K499" t="s">
        <v>74</v>
      </c>
      <c r="L499" t="s">
        <v>74</v>
      </c>
      <c r="M499" t="s">
        <v>78</v>
      </c>
      <c r="N499" t="s">
        <v>372</v>
      </c>
      <c r="O499" t="s">
        <v>74</v>
      </c>
      <c r="P499" t="s">
        <v>74</v>
      </c>
      <c r="Q499" t="s">
        <v>74</v>
      </c>
      <c r="R499" t="s">
        <v>74</v>
      </c>
      <c r="S499" t="s">
        <v>74</v>
      </c>
      <c r="T499" t="s">
        <v>9965</v>
      </c>
      <c r="U499" t="s">
        <v>74</v>
      </c>
      <c r="V499" t="s">
        <v>9966</v>
      </c>
      <c r="W499" t="s">
        <v>9967</v>
      </c>
      <c r="X499" t="s">
        <v>74</v>
      </c>
      <c r="Y499" t="s">
        <v>9968</v>
      </c>
      <c r="Z499" t="s">
        <v>9969</v>
      </c>
      <c r="AA499" t="s">
        <v>9970</v>
      </c>
      <c r="AB499" t="s">
        <v>9971</v>
      </c>
      <c r="AC499" t="s">
        <v>74</v>
      </c>
      <c r="AD499" t="s">
        <v>74</v>
      </c>
      <c r="AE499" t="s">
        <v>74</v>
      </c>
      <c r="AF499" t="s">
        <v>74</v>
      </c>
      <c r="AG499">
        <v>59</v>
      </c>
      <c r="AH499">
        <v>0</v>
      </c>
      <c r="AI499">
        <v>0</v>
      </c>
      <c r="AJ499">
        <v>0</v>
      </c>
      <c r="AK499">
        <v>0</v>
      </c>
      <c r="AL499" t="s">
        <v>89</v>
      </c>
      <c r="AM499" t="s">
        <v>90</v>
      </c>
      <c r="AN499" t="s">
        <v>91</v>
      </c>
      <c r="AO499" t="s">
        <v>9972</v>
      </c>
      <c r="AP499" t="s">
        <v>9973</v>
      </c>
      <c r="AQ499" t="s">
        <v>74</v>
      </c>
      <c r="AR499" t="s">
        <v>9974</v>
      </c>
      <c r="AS499" t="s">
        <v>9975</v>
      </c>
      <c r="AT499" t="s">
        <v>9976</v>
      </c>
      <c r="AU499">
        <v>2025</v>
      </c>
      <c r="AV499" t="s">
        <v>74</v>
      </c>
      <c r="AW499" t="s">
        <v>74</v>
      </c>
      <c r="AX499" t="s">
        <v>74</v>
      </c>
      <c r="AY499" t="s">
        <v>74</v>
      </c>
      <c r="AZ499" t="s">
        <v>74</v>
      </c>
      <c r="BA499" t="s">
        <v>74</v>
      </c>
      <c r="BB499" t="s">
        <v>74</v>
      </c>
      <c r="BC499" t="s">
        <v>74</v>
      </c>
      <c r="BD499" t="s">
        <v>74</v>
      </c>
      <c r="BE499" t="s">
        <v>9977</v>
      </c>
      <c r="BF499" t="str">
        <f>HYPERLINK("http://dx.doi.org/10.1108/IJESM-10-2024-0058","http://dx.doi.org/10.1108/IJESM-10-2024-0058")</f>
        <v>http://dx.doi.org/10.1108/IJESM-10-2024-0058</v>
      </c>
      <c r="BG499" t="s">
        <v>74</v>
      </c>
      <c r="BH499" t="s">
        <v>2781</v>
      </c>
      <c r="BI499">
        <v>24</v>
      </c>
      <c r="BJ499" t="s">
        <v>583</v>
      </c>
      <c r="BK499" t="s">
        <v>313</v>
      </c>
      <c r="BL499" t="s">
        <v>100</v>
      </c>
      <c r="BM499" t="s">
        <v>9978</v>
      </c>
      <c r="BN499" t="s">
        <v>74</v>
      </c>
      <c r="BO499" t="s">
        <v>74</v>
      </c>
      <c r="BP499" t="s">
        <v>74</v>
      </c>
      <c r="BQ499" t="s">
        <v>74</v>
      </c>
      <c r="BR499" t="s">
        <v>102</v>
      </c>
      <c r="BS499" t="s">
        <v>9979</v>
      </c>
      <c r="BT499" t="str">
        <f>HYPERLINK("https%3A%2F%2Fwww.webofscience.com%2Fwos%2Fwoscc%2Ffull-record%2FWOS:001447653400001","View Full Record in Web of Science")</f>
        <v>View Full Record in Web of Science</v>
      </c>
    </row>
    <row r="500" spans="1:72" x14ac:dyDescent="0.25">
      <c r="A500" t="s">
        <v>72</v>
      </c>
      <c r="B500" t="s">
        <v>9980</v>
      </c>
      <c r="C500" t="s">
        <v>74</v>
      </c>
      <c r="D500" t="s">
        <v>74</v>
      </c>
      <c r="E500" t="s">
        <v>74</v>
      </c>
      <c r="F500" t="s">
        <v>9981</v>
      </c>
      <c r="G500" t="s">
        <v>74</v>
      </c>
      <c r="H500" t="s">
        <v>74</v>
      </c>
      <c r="I500" t="s">
        <v>9982</v>
      </c>
      <c r="J500" t="s">
        <v>9983</v>
      </c>
      <c r="K500" t="s">
        <v>74</v>
      </c>
      <c r="L500" t="s">
        <v>74</v>
      </c>
      <c r="M500" t="s">
        <v>78</v>
      </c>
      <c r="N500" t="s">
        <v>79</v>
      </c>
      <c r="O500" t="s">
        <v>74</v>
      </c>
      <c r="P500" t="s">
        <v>74</v>
      </c>
      <c r="Q500" t="s">
        <v>74</v>
      </c>
      <c r="R500" t="s">
        <v>74</v>
      </c>
      <c r="S500" t="s">
        <v>74</v>
      </c>
      <c r="T500" t="s">
        <v>9984</v>
      </c>
      <c r="U500" t="s">
        <v>9985</v>
      </c>
      <c r="V500" t="s">
        <v>9986</v>
      </c>
      <c r="W500" t="s">
        <v>9987</v>
      </c>
      <c r="X500" t="s">
        <v>9988</v>
      </c>
      <c r="Y500" t="s">
        <v>9989</v>
      </c>
      <c r="Z500" t="s">
        <v>9990</v>
      </c>
      <c r="AA500" t="s">
        <v>74</v>
      </c>
      <c r="AB500" t="s">
        <v>9991</v>
      </c>
      <c r="AC500" t="s">
        <v>9992</v>
      </c>
      <c r="AD500" t="s">
        <v>9993</v>
      </c>
      <c r="AE500" t="s">
        <v>9994</v>
      </c>
      <c r="AF500" t="s">
        <v>74</v>
      </c>
      <c r="AG500">
        <v>184</v>
      </c>
      <c r="AH500">
        <v>0</v>
      </c>
      <c r="AI500">
        <v>0</v>
      </c>
      <c r="AJ500">
        <v>7</v>
      </c>
      <c r="AK500">
        <v>7</v>
      </c>
      <c r="AL500" t="s">
        <v>575</v>
      </c>
      <c r="AM500" t="s">
        <v>576</v>
      </c>
      <c r="AN500" t="s">
        <v>577</v>
      </c>
      <c r="AO500" t="s">
        <v>74</v>
      </c>
      <c r="AP500" t="s">
        <v>9995</v>
      </c>
      <c r="AQ500" t="s">
        <v>74</v>
      </c>
      <c r="AR500" t="s">
        <v>9996</v>
      </c>
      <c r="AS500" t="s">
        <v>9997</v>
      </c>
      <c r="AT500" t="s">
        <v>9998</v>
      </c>
      <c r="AU500">
        <v>2025</v>
      </c>
      <c r="AV500">
        <v>13</v>
      </c>
      <c r="AW500">
        <v>6</v>
      </c>
      <c r="AX500" t="s">
        <v>74</v>
      </c>
      <c r="AY500" t="s">
        <v>74</v>
      </c>
      <c r="AZ500" t="s">
        <v>74</v>
      </c>
      <c r="BA500" t="s">
        <v>74</v>
      </c>
      <c r="BB500" t="s">
        <v>74</v>
      </c>
      <c r="BC500" t="s">
        <v>74</v>
      </c>
      <c r="BD500">
        <v>456</v>
      </c>
      <c r="BE500" t="s">
        <v>9999</v>
      </c>
      <c r="BF500" t="str">
        <f>HYPERLINK("http://dx.doi.org/10.3390/systems13060456","http://dx.doi.org/10.3390/systems13060456")</f>
        <v>http://dx.doi.org/10.3390/systems13060456</v>
      </c>
      <c r="BG500" t="s">
        <v>74</v>
      </c>
      <c r="BH500" t="s">
        <v>74</v>
      </c>
      <c r="BI500">
        <v>37</v>
      </c>
      <c r="BJ500" t="s">
        <v>364</v>
      </c>
      <c r="BK500" t="s">
        <v>99</v>
      </c>
      <c r="BL500" t="s">
        <v>365</v>
      </c>
      <c r="BM500" t="s">
        <v>10000</v>
      </c>
      <c r="BN500" t="s">
        <v>74</v>
      </c>
      <c r="BO500" t="s">
        <v>212</v>
      </c>
      <c r="BP500" t="s">
        <v>74</v>
      </c>
      <c r="BQ500" t="s">
        <v>74</v>
      </c>
      <c r="BR500" t="s">
        <v>102</v>
      </c>
      <c r="BS500" t="s">
        <v>10001</v>
      </c>
      <c r="BT500" t="str">
        <f>HYPERLINK("https%3A%2F%2Fwww.webofscience.com%2Fwos%2Fwoscc%2Ffull-record%2FWOS:001516261400001","View Full Record in Web of Science")</f>
        <v>View Full Record in Web of Science</v>
      </c>
    </row>
    <row r="501" spans="1:72" x14ac:dyDescent="0.25">
      <c r="A501" t="s">
        <v>72</v>
      </c>
      <c r="B501" t="s">
        <v>10002</v>
      </c>
      <c r="C501" t="s">
        <v>74</v>
      </c>
      <c r="D501" t="s">
        <v>74</v>
      </c>
      <c r="E501" t="s">
        <v>74</v>
      </c>
      <c r="F501" t="s">
        <v>10003</v>
      </c>
      <c r="G501" t="s">
        <v>74</v>
      </c>
      <c r="H501" t="s">
        <v>74</v>
      </c>
      <c r="I501" t="s">
        <v>10004</v>
      </c>
      <c r="J501" t="s">
        <v>10005</v>
      </c>
      <c r="K501" t="s">
        <v>74</v>
      </c>
      <c r="L501" t="s">
        <v>74</v>
      </c>
      <c r="M501" t="s">
        <v>78</v>
      </c>
      <c r="N501" t="s">
        <v>79</v>
      </c>
      <c r="O501" t="s">
        <v>74</v>
      </c>
      <c r="P501" t="s">
        <v>74</v>
      </c>
      <c r="Q501" t="s">
        <v>74</v>
      </c>
      <c r="R501" t="s">
        <v>74</v>
      </c>
      <c r="S501" t="s">
        <v>74</v>
      </c>
      <c r="T501" t="s">
        <v>10006</v>
      </c>
      <c r="U501" t="s">
        <v>10007</v>
      </c>
      <c r="V501" t="s">
        <v>10008</v>
      </c>
      <c r="W501" t="s">
        <v>10009</v>
      </c>
      <c r="X501" t="s">
        <v>10010</v>
      </c>
      <c r="Y501" t="s">
        <v>10011</v>
      </c>
      <c r="Z501" t="s">
        <v>10012</v>
      </c>
      <c r="AA501" t="s">
        <v>10013</v>
      </c>
      <c r="AB501" t="s">
        <v>10014</v>
      </c>
      <c r="AC501" t="s">
        <v>74</v>
      </c>
      <c r="AD501" t="s">
        <v>74</v>
      </c>
      <c r="AE501" t="s">
        <v>74</v>
      </c>
      <c r="AF501" t="s">
        <v>74</v>
      </c>
      <c r="AG501">
        <v>30</v>
      </c>
      <c r="AH501">
        <v>13</v>
      </c>
      <c r="AI501">
        <v>19</v>
      </c>
      <c r="AJ501">
        <v>2</v>
      </c>
      <c r="AK501">
        <v>7</v>
      </c>
      <c r="AL501" t="s">
        <v>201</v>
      </c>
      <c r="AM501" t="s">
        <v>202</v>
      </c>
      <c r="AN501" t="s">
        <v>203</v>
      </c>
      <c r="AO501" t="s">
        <v>10015</v>
      </c>
      <c r="AP501" t="s">
        <v>10016</v>
      </c>
      <c r="AQ501" t="s">
        <v>74</v>
      </c>
      <c r="AR501" t="s">
        <v>10017</v>
      </c>
      <c r="AS501" t="s">
        <v>10018</v>
      </c>
      <c r="AT501" t="s">
        <v>124</v>
      </c>
      <c r="AU501">
        <v>2023</v>
      </c>
      <c r="AV501">
        <v>65</v>
      </c>
      <c r="AW501" t="s">
        <v>74</v>
      </c>
      <c r="AX501" t="s">
        <v>74</v>
      </c>
      <c r="AY501" t="s">
        <v>74</v>
      </c>
      <c r="AZ501" t="s">
        <v>74</v>
      </c>
      <c r="BA501" t="s">
        <v>74</v>
      </c>
      <c r="BB501" t="s">
        <v>74</v>
      </c>
      <c r="BC501" t="s">
        <v>74</v>
      </c>
      <c r="BD501">
        <v>101064</v>
      </c>
      <c r="BE501" t="s">
        <v>10019</v>
      </c>
      <c r="BF501" t="str">
        <f>HYPERLINK("http://dx.doi.org/10.1016/j.infoecopol.2023.101064","http://dx.doi.org/10.1016/j.infoecopol.2023.101064")</f>
        <v>http://dx.doi.org/10.1016/j.infoecopol.2023.101064</v>
      </c>
      <c r="BG501" t="s">
        <v>74</v>
      </c>
      <c r="BH501" t="s">
        <v>1524</v>
      </c>
      <c r="BI501">
        <v>18</v>
      </c>
      <c r="BJ501" t="s">
        <v>291</v>
      </c>
      <c r="BK501" t="s">
        <v>99</v>
      </c>
      <c r="BL501" t="s">
        <v>100</v>
      </c>
      <c r="BM501" t="s">
        <v>10020</v>
      </c>
      <c r="BN501" t="s">
        <v>74</v>
      </c>
      <c r="BO501" t="s">
        <v>74</v>
      </c>
      <c r="BP501" t="s">
        <v>74</v>
      </c>
      <c r="BQ501" t="s">
        <v>74</v>
      </c>
      <c r="BR501" t="s">
        <v>102</v>
      </c>
      <c r="BS501" t="s">
        <v>10021</v>
      </c>
      <c r="BT501" t="str">
        <f>HYPERLINK("https%3A%2F%2Fwww.webofscience.com%2Fwos%2Fwoscc%2Ffull-record%2FWOS:001132217400001","View Full Record in Web of Science")</f>
        <v>View Full Record in Web of Science</v>
      </c>
    </row>
    <row r="502" spans="1:72" x14ac:dyDescent="0.25">
      <c r="A502" t="s">
        <v>72</v>
      </c>
      <c r="B502" t="s">
        <v>10022</v>
      </c>
      <c r="C502" t="s">
        <v>74</v>
      </c>
      <c r="D502" t="s">
        <v>74</v>
      </c>
      <c r="E502" t="s">
        <v>74</v>
      </c>
      <c r="F502" t="s">
        <v>10023</v>
      </c>
      <c r="G502" t="s">
        <v>74</v>
      </c>
      <c r="H502" t="s">
        <v>74</v>
      </c>
      <c r="I502" t="s">
        <v>10024</v>
      </c>
      <c r="J502" t="s">
        <v>10025</v>
      </c>
      <c r="K502" t="s">
        <v>74</v>
      </c>
      <c r="L502" t="s">
        <v>74</v>
      </c>
      <c r="M502" t="s">
        <v>78</v>
      </c>
      <c r="N502" t="s">
        <v>79</v>
      </c>
      <c r="O502" t="s">
        <v>74</v>
      </c>
      <c r="P502" t="s">
        <v>74</v>
      </c>
      <c r="Q502" t="s">
        <v>74</v>
      </c>
      <c r="R502" t="s">
        <v>74</v>
      </c>
      <c r="S502" t="s">
        <v>74</v>
      </c>
      <c r="T502" t="s">
        <v>10026</v>
      </c>
      <c r="U502" t="s">
        <v>10027</v>
      </c>
      <c r="V502" t="s">
        <v>10028</v>
      </c>
      <c r="W502" t="s">
        <v>10029</v>
      </c>
      <c r="X502" t="s">
        <v>10030</v>
      </c>
      <c r="Y502" t="s">
        <v>10031</v>
      </c>
      <c r="Z502" t="s">
        <v>10032</v>
      </c>
      <c r="AA502" t="s">
        <v>74</v>
      </c>
      <c r="AB502" t="s">
        <v>74</v>
      </c>
      <c r="AC502" t="s">
        <v>74</v>
      </c>
      <c r="AD502" t="s">
        <v>74</v>
      </c>
      <c r="AE502" t="s">
        <v>74</v>
      </c>
      <c r="AF502" t="s">
        <v>74</v>
      </c>
      <c r="AG502">
        <v>74</v>
      </c>
      <c r="AH502">
        <v>0</v>
      </c>
      <c r="AI502">
        <v>0</v>
      </c>
      <c r="AJ502">
        <v>6</v>
      </c>
      <c r="AK502">
        <v>23</v>
      </c>
      <c r="AL502" t="s">
        <v>10033</v>
      </c>
      <c r="AM502" t="s">
        <v>10034</v>
      </c>
      <c r="AN502" t="s">
        <v>10035</v>
      </c>
      <c r="AO502" t="s">
        <v>10036</v>
      </c>
      <c r="AP502" t="s">
        <v>74</v>
      </c>
      <c r="AQ502" t="s">
        <v>74</v>
      </c>
      <c r="AR502" t="s">
        <v>10037</v>
      </c>
      <c r="AS502" t="s">
        <v>10038</v>
      </c>
      <c r="AT502" t="s">
        <v>74</v>
      </c>
      <c r="AU502">
        <v>2023</v>
      </c>
      <c r="AV502">
        <v>16</v>
      </c>
      <c r="AW502">
        <v>2</v>
      </c>
      <c r="AX502" t="s">
        <v>74</v>
      </c>
      <c r="AY502" t="s">
        <v>74</v>
      </c>
      <c r="AZ502" t="s">
        <v>74</v>
      </c>
      <c r="BA502" t="s">
        <v>74</v>
      </c>
      <c r="BB502" t="s">
        <v>74</v>
      </c>
      <c r="BC502" t="s">
        <v>74</v>
      </c>
      <c r="BD502" t="s">
        <v>74</v>
      </c>
      <c r="BE502" t="s">
        <v>10039</v>
      </c>
      <c r="BF502" t="str">
        <f>HYPERLINK("http://dx.doi.org/10.14330/jeail.2023.16.2.01","http://dx.doi.org/10.14330/jeail.2023.16.2.01")</f>
        <v>http://dx.doi.org/10.14330/jeail.2023.16.2.01</v>
      </c>
      <c r="BG502" t="s">
        <v>74</v>
      </c>
      <c r="BH502" t="s">
        <v>74</v>
      </c>
      <c r="BI502">
        <v>248</v>
      </c>
      <c r="BJ502" t="s">
        <v>182</v>
      </c>
      <c r="BK502" t="s">
        <v>313</v>
      </c>
      <c r="BL502" t="s">
        <v>184</v>
      </c>
      <c r="BM502" t="s">
        <v>10040</v>
      </c>
      <c r="BN502" t="s">
        <v>74</v>
      </c>
      <c r="BO502" t="s">
        <v>270</v>
      </c>
      <c r="BP502" t="s">
        <v>74</v>
      </c>
      <c r="BQ502" t="s">
        <v>74</v>
      </c>
      <c r="BR502" t="s">
        <v>102</v>
      </c>
      <c r="BS502" t="s">
        <v>10041</v>
      </c>
      <c r="BT502" t="str">
        <f>HYPERLINK("https%3A%2F%2Fwww.webofscience.com%2Fwos%2Fwoscc%2Ffull-record%2FWOS:001143070000002","View Full Record in Web of Science")</f>
        <v>View Full Record in Web of Science</v>
      </c>
    </row>
    <row r="503" spans="1:72" x14ac:dyDescent="0.25">
      <c r="A503" t="s">
        <v>72</v>
      </c>
      <c r="B503" t="s">
        <v>10042</v>
      </c>
      <c r="C503" t="s">
        <v>74</v>
      </c>
      <c r="D503" t="s">
        <v>74</v>
      </c>
      <c r="E503" t="s">
        <v>74</v>
      </c>
      <c r="F503" t="s">
        <v>10043</v>
      </c>
      <c r="G503" t="s">
        <v>74</v>
      </c>
      <c r="H503" t="s">
        <v>74</v>
      </c>
      <c r="I503" t="s">
        <v>10044</v>
      </c>
      <c r="J503" t="s">
        <v>4208</v>
      </c>
      <c r="K503" t="s">
        <v>74</v>
      </c>
      <c r="L503" t="s">
        <v>74</v>
      </c>
      <c r="M503" t="s">
        <v>78</v>
      </c>
      <c r="N503" t="s">
        <v>79</v>
      </c>
      <c r="O503" t="s">
        <v>74</v>
      </c>
      <c r="P503" t="s">
        <v>74</v>
      </c>
      <c r="Q503" t="s">
        <v>74</v>
      </c>
      <c r="R503" t="s">
        <v>74</v>
      </c>
      <c r="S503" t="s">
        <v>74</v>
      </c>
      <c r="T503" t="s">
        <v>74</v>
      </c>
      <c r="U503" t="s">
        <v>74</v>
      </c>
      <c r="V503" t="s">
        <v>10045</v>
      </c>
      <c r="W503" t="s">
        <v>10046</v>
      </c>
      <c r="X503" t="s">
        <v>10047</v>
      </c>
      <c r="Y503" t="s">
        <v>10048</v>
      </c>
      <c r="Z503" t="s">
        <v>10049</v>
      </c>
      <c r="AA503" t="s">
        <v>74</v>
      </c>
      <c r="AB503" t="s">
        <v>74</v>
      </c>
      <c r="AC503" t="s">
        <v>74</v>
      </c>
      <c r="AD503" t="s">
        <v>74</v>
      </c>
      <c r="AE503" t="s">
        <v>74</v>
      </c>
      <c r="AF503" t="s">
        <v>74</v>
      </c>
      <c r="AG503">
        <v>22</v>
      </c>
      <c r="AH503">
        <v>3</v>
      </c>
      <c r="AI503">
        <v>3</v>
      </c>
      <c r="AJ503">
        <v>22</v>
      </c>
      <c r="AK503">
        <v>82</v>
      </c>
      <c r="AL503" t="s">
        <v>4218</v>
      </c>
      <c r="AM503" t="s">
        <v>4219</v>
      </c>
      <c r="AN503" t="s">
        <v>4220</v>
      </c>
      <c r="AO503" t="s">
        <v>4221</v>
      </c>
      <c r="AP503" t="s">
        <v>74</v>
      </c>
      <c r="AQ503" t="s">
        <v>74</v>
      </c>
      <c r="AR503" t="s">
        <v>4208</v>
      </c>
      <c r="AS503" t="s">
        <v>4222</v>
      </c>
      <c r="AT503" t="s">
        <v>10050</v>
      </c>
      <c r="AU503">
        <v>2024</v>
      </c>
      <c r="AV503">
        <v>19</v>
      </c>
      <c r="AW503">
        <v>7</v>
      </c>
      <c r="AX503" t="s">
        <v>74</v>
      </c>
      <c r="AY503" t="s">
        <v>74</v>
      </c>
      <c r="AZ503" t="s">
        <v>74</v>
      </c>
      <c r="BA503" t="s">
        <v>74</v>
      </c>
      <c r="BB503" t="s">
        <v>74</v>
      </c>
      <c r="BC503" t="s">
        <v>74</v>
      </c>
      <c r="BD503" t="s">
        <v>10051</v>
      </c>
      <c r="BE503" t="s">
        <v>10052</v>
      </c>
      <c r="BF503" t="str">
        <f>HYPERLINK("http://dx.doi.org/10.1371/journal.pone.0288679","http://dx.doi.org/10.1371/journal.pone.0288679")</f>
        <v>http://dx.doi.org/10.1371/journal.pone.0288679</v>
      </c>
      <c r="BG503" t="s">
        <v>74</v>
      </c>
      <c r="BH503" t="s">
        <v>74</v>
      </c>
      <c r="BI503">
        <v>20</v>
      </c>
      <c r="BJ503" t="s">
        <v>559</v>
      </c>
      <c r="BK503" t="s">
        <v>128</v>
      </c>
      <c r="BL503" t="s">
        <v>560</v>
      </c>
      <c r="BM503" t="s">
        <v>10053</v>
      </c>
      <c r="BN503">
        <v>39037958</v>
      </c>
      <c r="BO503" t="s">
        <v>916</v>
      </c>
      <c r="BP503" t="s">
        <v>74</v>
      </c>
      <c r="BQ503" t="s">
        <v>74</v>
      </c>
      <c r="BR503" t="s">
        <v>102</v>
      </c>
      <c r="BS503" t="s">
        <v>10054</v>
      </c>
      <c r="BT503" t="str">
        <f>HYPERLINK("https%3A%2F%2Fwww.webofscience.com%2Fwos%2Fwoscc%2Ffull-record%2FWOS:001275033300004","View Full Record in Web of Science")</f>
        <v>View Full Record in Web of Science</v>
      </c>
    </row>
    <row r="504" spans="1:72" x14ac:dyDescent="0.25">
      <c r="A504" t="s">
        <v>72</v>
      </c>
      <c r="B504" t="s">
        <v>10055</v>
      </c>
      <c r="C504" t="s">
        <v>74</v>
      </c>
      <c r="D504" t="s">
        <v>74</v>
      </c>
      <c r="E504" t="s">
        <v>74</v>
      </c>
      <c r="F504" t="s">
        <v>10056</v>
      </c>
      <c r="G504" t="s">
        <v>74</v>
      </c>
      <c r="H504" t="s">
        <v>74</v>
      </c>
      <c r="I504" t="s">
        <v>10057</v>
      </c>
      <c r="J504" t="s">
        <v>10058</v>
      </c>
      <c r="K504" t="s">
        <v>74</v>
      </c>
      <c r="L504" t="s">
        <v>74</v>
      </c>
      <c r="M504" t="s">
        <v>78</v>
      </c>
      <c r="N504" t="s">
        <v>79</v>
      </c>
      <c r="O504" t="s">
        <v>74</v>
      </c>
      <c r="P504" t="s">
        <v>74</v>
      </c>
      <c r="Q504" t="s">
        <v>74</v>
      </c>
      <c r="R504" t="s">
        <v>74</v>
      </c>
      <c r="S504" t="s">
        <v>74</v>
      </c>
      <c r="T504" t="s">
        <v>10059</v>
      </c>
      <c r="U504" t="s">
        <v>10060</v>
      </c>
      <c r="V504" t="s">
        <v>10061</v>
      </c>
      <c r="W504" t="s">
        <v>10062</v>
      </c>
      <c r="X504" t="s">
        <v>10063</v>
      </c>
      <c r="Y504" t="s">
        <v>10064</v>
      </c>
      <c r="Z504" t="s">
        <v>10065</v>
      </c>
      <c r="AA504" t="s">
        <v>10066</v>
      </c>
      <c r="AB504" t="s">
        <v>10067</v>
      </c>
      <c r="AC504" t="s">
        <v>10068</v>
      </c>
      <c r="AD504" t="s">
        <v>10069</v>
      </c>
      <c r="AE504" t="s">
        <v>10070</v>
      </c>
      <c r="AF504" t="s">
        <v>74</v>
      </c>
      <c r="AG504">
        <v>107</v>
      </c>
      <c r="AH504">
        <v>2</v>
      </c>
      <c r="AI504">
        <v>3</v>
      </c>
      <c r="AJ504">
        <v>8</v>
      </c>
      <c r="AK504">
        <v>45</v>
      </c>
      <c r="AL504" t="s">
        <v>332</v>
      </c>
      <c r="AM504" t="s">
        <v>333</v>
      </c>
      <c r="AN504" t="s">
        <v>334</v>
      </c>
      <c r="AO504" t="s">
        <v>10071</v>
      </c>
      <c r="AP504" t="s">
        <v>10072</v>
      </c>
      <c r="AQ504" t="s">
        <v>74</v>
      </c>
      <c r="AR504" t="s">
        <v>10073</v>
      </c>
      <c r="AS504" t="s">
        <v>10074</v>
      </c>
      <c r="AT504" t="s">
        <v>5028</v>
      </c>
      <c r="AU504">
        <v>2025</v>
      </c>
      <c r="AV504">
        <v>30</v>
      </c>
      <c r="AW504">
        <v>4</v>
      </c>
      <c r="AX504" t="s">
        <v>74</v>
      </c>
      <c r="AY504" t="s">
        <v>74</v>
      </c>
      <c r="AZ504" t="s">
        <v>74</v>
      </c>
      <c r="BA504" t="s">
        <v>74</v>
      </c>
      <c r="BB504">
        <v>1574</v>
      </c>
      <c r="BC504">
        <v>1610</v>
      </c>
      <c r="BD504" t="s">
        <v>74</v>
      </c>
      <c r="BE504" t="s">
        <v>10075</v>
      </c>
      <c r="BF504" t="str">
        <f>HYPERLINK("http://dx.doi.org/10.1080/13547860.2024.2386825","http://dx.doi.org/10.1080/13547860.2024.2386825")</f>
        <v>http://dx.doi.org/10.1080/13547860.2024.2386825</v>
      </c>
      <c r="BG504" t="s">
        <v>74</v>
      </c>
      <c r="BH504" t="s">
        <v>2524</v>
      </c>
      <c r="BI504">
        <v>37</v>
      </c>
      <c r="BJ504" t="s">
        <v>291</v>
      </c>
      <c r="BK504" t="s">
        <v>99</v>
      </c>
      <c r="BL504" t="s">
        <v>100</v>
      </c>
      <c r="BM504" t="s">
        <v>10076</v>
      </c>
      <c r="BN504" t="s">
        <v>74</v>
      </c>
      <c r="BO504" t="s">
        <v>74</v>
      </c>
      <c r="BP504" t="s">
        <v>74</v>
      </c>
      <c r="BQ504" t="s">
        <v>74</v>
      </c>
      <c r="BR504" t="s">
        <v>102</v>
      </c>
      <c r="BS504" t="s">
        <v>10077</v>
      </c>
      <c r="BT504" t="str">
        <f>HYPERLINK("https%3A%2F%2Fwww.webofscience.com%2Fwos%2Fwoscc%2Ffull-record%2FWOS:001287720800001","View Full Record in Web of Science")</f>
        <v>View Full Record in Web of Science</v>
      </c>
    </row>
    <row r="505" spans="1:72" x14ac:dyDescent="0.25">
      <c r="A505" t="s">
        <v>132</v>
      </c>
      <c r="B505" t="s">
        <v>10078</v>
      </c>
      <c r="C505" t="s">
        <v>74</v>
      </c>
      <c r="D505" t="s">
        <v>74</v>
      </c>
      <c r="E505" t="s">
        <v>771</v>
      </c>
      <c r="F505" t="s">
        <v>10079</v>
      </c>
      <c r="G505" t="s">
        <v>74</v>
      </c>
      <c r="H505" t="s">
        <v>74</v>
      </c>
      <c r="I505" t="s">
        <v>10080</v>
      </c>
      <c r="J505" t="s">
        <v>10081</v>
      </c>
      <c r="K505" t="s">
        <v>74</v>
      </c>
      <c r="L505" t="s">
        <v>74</v>
      </c>
      <c r="M505" t="s">
        <v>78</v>
      </c>
      <c r="N505" t="s">
        <v>138</v>
      </c>
      <c r="O505" t="s">
        <v>10082</v>
      </c>
      <c r="P505" t="s">
        <v>10083</v>
      </c>
      <c r="Q505" t="s">
        <v>10084</v>
      </c>
      <c r="R505" t="s">
        <v>74</v>
      </c>
      <c r="S505" t="s">
        <v>74</v>
      </c>
      <c r="T505" t="s">
        <v>10085</v>
      </c>
      <c r="U505" t="s">
        <v>74</v>
      </c>
      <c r="V505" t="s">
        <v>10086</v>
      </c>
      <c r="W505" t="s">
        <v>10087</v>
      </c>
      <c r="X505" t="s">
        <v>10088</v>
      </c>
      <c r="Y505" t="s">
        <v>10089</v>
      </c>
      <c r="Z505" t="s">
        <v>10090</v>
      </c>
      <c r="AA505" t="s">
        <v>10091</v>
      </c>
      <c r="AB505" t="s">
        <v>10092</v>
      </c>
      <c r="AC505" t="s">
        <v>74</v>
      </c>
      <c r="AD505" t="s">
        <v>74</v>
      </c>
      <c r="AE505" t="s">
        <v>74</v>
      </c>
      <c r="AF505" t="s">
        <v>74</v>
      </c>
      <c r="AG505">
        <v>29</v>
      </c>
      <c r="AH505">
        <v>14</v>
      </c>
      <c r="AI505">
        <v>19</v>
      </c>
      <c r="AJ505">
        <v>0</v>
      </c>
      <c r="AK505">
        <v>9</v>
      </c>
      <c r="AL505" t="s">
        <v>771</v>
      </c>
      <c r="AM505" t="s">
        <v>151</v>
      </c>
      <c r="AN505" t="s">
        <v>785</v>
      </c>
      <c r="AO505" t="s">
        <v>74</v>
      </c>
      <c r="AP505" t="s">
        <v>74</v>
      </c>
      <c r="AQ505" t="s">
        <v>10093</v>
      </c>
      <c r="AR505" t="s">
        <v>74</v>
      </c>
      <c r="AS505" t="s">
        <v>74</v>
      </c>
      <c r="AT505" t="s">
        <v>74</v>
      </c>
      <c r="AU505">
        <v>2015</v>
      </c>
      <c r="AV505" t="s">
        <v>74</v>
      </c>
      <c r="AW505" t="s">
        <v>74</v>
      </c>
      <c r="AX505" t="s">
        <v>74</v>
      </c>
      <c r="AY505" t="s">
        <v>74</v>
      </c>
      <c r="AZ505" t="s">
        <v>74</v>
      </c>
      <c r="BA505" t="s">
        <v>74</v>
      </c>
      <c r="BB505">
        <v>93</v>
      </c>
      <c r="BC505">
        <v>98</v>
      </c>
      <c r="BD505" t="s">
        <v>74</v>
      </c>
      <c r="BE505" t="s">
        <v>74</v>
      </c>
      <c r="BF505" t="s">
        <v>74</v>
      </c>
      <c r="BG505" t="s">
        <v>74</v>
      </c>
      <c r="BH505" t="s">
        <v>74</v>
      </c>
      <c r="BI505">
        <v>6</v>
      </c>
      <c r="BJ505" t="s">
        <v>2843</v>
      </c>
      <c r="BK505" t="s">
        <v>156</v>
      </c>
      <c r="BL505" t="s">
        <v>157</v>
      </c>
      <c r="BM505" t="s">
        <v>10094</v>
      </c>
      <c r="BN505" t="s">
        <v>74</v>
      </c>
      <c r="BO505" t="s">
        <v>74</v>
      </c>
      <c r="BP505" t="s">
        <v>74</v>
      </c>
      <c r="BQ505" t="s">
        <v>74</v>
      </c>
      <c r="BR505" t="s">
        <v>102</v>
      </c>
      <c r="BS505" t="s">
        <v>10095</v>
      </c>
      <c r="BT505" t="str">
        <f>HYPERLINK("https%3A%2F%2Fwww.webofscience.com%2Fwos%2Fwoscc%2Ffull-record%2FWOS:000389308000018","View Full Record in Web of Science")</f>
        <v>View Full Record in Web of Science</v>
      </c>
    </row>
    <row r="506" spans="1:72" x14ac:dyDescent="0.25">
      <c r="A506" t="s">
        <v>72</v>
      </c>
      <c r="B506" t="s">
        <v>10096</v>
      </c>
      <c r="C506" t="s">
        <v>74</v>
      </c>
      <c r="D506" t="s">
        <v>74</v>
      </c>
      <c r="E506" t="s">
        <v>74</v>
      </c>
      <c r="F506" t="s">
        <v>10097</v>
      </c>
      <c r="G506" t="s">
        <v>74</v>
      </c>
      <c r="H506" t="s">
        <v>74</v>
      </c>
      <c r="I506" t="s">
        <v>10098</v>
      </c>
      <c r="J506" t="s">
        <v>3332</v>
      </c>
      <c r="K506" t="s">
        <v>74</v>
      </c>
      <c r="L506" t="s">
        <v>74</v>
      </c>
      <c r="M506" t="s">
        <v>78</v>
      </c>
      <c r="N506" t="s">
        <v>79</v>
      </c>
      <c r="O506" t="s">
        <v>74</v>
      </c>
      <c r="P506" t="s">
        <v>74</v>
      </c>
      <c r="Q506" t="s">
        <v>74</v>
      </c>
      <c r="R506" t="s">
        <v>74</v>
      </c>
      <c r="S506" t="s">
        <v>74</v>
      </c>
      <c r="T506" t="s">
        <v>10099</v>
      </c>
      <c r="U506" t="s">
        <v>10100</v>
      </c>
      <c r="V506" t="s">
        <v>10101</v>
      </c>
      <c r="W506" t="s">
        <v>10102</v>
      </c>
      <c r="X506" t="s">
        <v>10103</v>
      </c>
      <c r="Y506" t="s">
        <v>10104</v>
      </c>
      <c r="Z506" t="s">
        <v>10105</v>
      </c>
      <c r="AA506" t="s">
        <v>10106</v>
      </c>
      <c r="AB506" t="s">
        <v>74</v>
      </c>
      <c r="AC506" t="s">
        <v>74</v>
      </c>
      <c r="AD506" t="s">
        <v>74</v>
      </c>
      <c r="AE506" t="s">
        <v>74</v>
      </c>
      <c r="AF506" t="s">
        <v>74</v>
      </c>
      <c r="AG506">
        <v>122</v>
      </c>
      <c r="AH506">
        <v>12</v>
      </c>
      <c r="AI506">
        <v>13</v>
      </c>
      <c r="AJ506">
        <v>9</v>
      </c>
      <c r="AK506">
        <v>23</v>
      </c>
      <c r="AL506" t="s">
        <v>89</v>
      </c>
      <c r="AM506" t="s">
        <v>90</v>
      </c>
      <c r="AN506" t="s">
        <v>91</v>
      </c>
      <c r="AO506" t="s">
        <v>3345</v>
      </c>
      <c r="AP506" t="s">
        <v>3346</v>
      </c>
      <c r="AQ506" t="s">
        <v>74</v>
      </c>
      <c r="AR506" t="s">
        <v>3347</v>
      </c>
      <c r="AS506" t="s">
        <v>3348</v>
      </c>
      <c r="AT506" t="s">
        <v>10107</v>
      </c>
      <c r="AU506">
        <v>2025</v>
      </c>
      <c r="AV506">
        <v>16</v>
      </c>
      <c r="AW506">
        <v>4</v>
      </c>
      <c r="AX506" t="s">
        <v>74</v>
      </c>
      <c r="AY506" t="s">
        <v>74</v>
      </c>
      <c r="AZ506" t="s">
        <v>74</v>
      </c>
      <c r="BA506" t="s">
        <v>74</v>
      </c>
      <c r="BB506">
        <v>1229</v>
      </c>
      <c r="BC506">
        <v>1257</v>
      </c>
      <c r="BD506" t="s">
        <v>74</v>
      </c>
      <c r="BE506" t="s">
        <v>10108</v>
      </c>
      <c r="BF506" t="str">
        <f>HYPERLINK("http://dx.doi.org/10.1108/JIMA-02-2024-0073","http://dx.doi.org/10.1108/JIMA-02-2024-0073")</f>
        <v>http://dx.doi.org/10.1108/JIMA-02-2024-0073</v>
      </c>
      <c r="BG506" t="s">
        <v>74</v>
      </c>
      <c r="BH506" t="s">
        <v>267</v>
      </c>
      <c r="BI506">
        <v>29</v>
      </c>
      <c r="BJ506" t="s">
        <v>418</v>
      </c>
      <c r="BK506" t="s">
        <v>313</v>
      </c>
      <c r="BL506" t="s">
        <v>100</v>
      </c>
      <c r="BM506" t="s">
        <v>10109</v>
      </c>
      <c r="BN506" t="s">
        <v>74</v>
      </c>
      <c r="BO506" t="s">
        <v>74</v>
      </c>
      <c r="BP506" t="s">
        <v>74</v>
      </c>
      <c r="BQ506" t="s">
        <v>74</v>
      </c>
      <c r="BR506" t="s">
        <v>102</v>
      </c>
      <c r="BS506" t="s">
        <v>10110</v>
      </c>
      <c r="BT506" t="str">
        <f>HYPERLINK("https%3A%2F%2Fwww.webofscience.com%2Fwos%2Fwoscc%2Ffull-record%2FWOS:001357025400001","View Full Record in Web of Science")</f>
        <v>View Full Record in Web of Science</v>
      </c>
    </row>
    <row r="507" spans="1:72" x14ac:dyDescent="0.25">
      <c r="A507" t="s">
        <v>72</v>
      </c>
      <c r="B507" t="s">
        <v>10111</v>
      </c>
      <c r="C507" t="s">
        <v>74</v>
      </c>
      <c r="D507" t="s">
        <v>74</v>
      </c>
      <c r="E507" t="s">
        <v>74</v>
      </c>
      <c r="F507" t="s">
        <v>10112</v>
      </c>
      <c r="G507" t="s">
        <v>74</v>
      </c>
      <c r="H507" t="s">
        <v>74</v>
      </c>
      <c r="I507" t="s">
        <v>10113</v>
      </c>
      <c r="J507" t="s">
        <v>2071</v>
      </c>
      <c r="K507" t="s">
        <v>74</v>
      </c>
      <c r="L507" t="s">
        <v>74</v>
      </c>
      <c r="M507" t="s">
        <v>78</v>
      </c>
      <c r="N507" t="s">
        <v>79</v>
      </c>
      <c r="O507" t="s">
        <v>74</v>
      </c>
      <c r="P507" t="s">
        <v>74</v>
      </c>
      <c r="Q507" t="s">
        <v>74</v>
      </c>
      <c r="R507" t="s">
        <v>74</v>
      </c>
      <c r="S507" t="s">
        <v>74</v>
      </c>
      <c r="T507" t="s">
        <v>10114</v>
      </c>
      <c r="U507" t="s">
        <v>74</v>
      </c>
      <c r="V507" t="s">
        <v>10115</v>
      </c>
      <c r="W507" t="s">
        <v>10116</v>
      </c>
      <c r="X507" t="s">
        <v>10117</v>
      </c>
      <c r="Y507" t="s">
        <v>10118</v>
      </c>
      <c r="Z507" t="s">
        <v>10119</v>
      </c>
      <c r="AA507" t="s">
        <v>10120</v>
      </c>
      <c r="AB507" t="s">
        <v>10121</v>
      </c>
      <c r="AC507" t="s">
        <v>74</v>
      </c>
      <c r="AD507" t="s">
        <v>74</v>
      </c>
      <c r="AE507" t="s">
        <v>74</v>
      </c>
      <c r="AF507" t="s">
        <v>74</v>
      </c>
      <c r="AG507">
        <v>23</v>
      </c>
      <c r="AH507">
        <v>8</v>
      </c>
      <c r="AI507">
        <v>9</v>
      </c>
      <c r="AJ507">
        <v>4</v>
      </c>
      <c r="AK507">
        <v>30</v>
      </c>
      <c r="AL507" t="s">
        <v>332</v>
      </c>
      <c r="AM507" t="s">
        <v>333</v>
      </c>
      <c r="AN507" t="s">
        <v>334</v>
      </c>
      <c r="AO507" t="s">
        <v>2078</v>
      </c>
      <c r="AP507" t="s">
        <v>2079</v>
      </c>
      <c r="AQ507" t="s">
        <v>74</v>
      </c>
      <c r="AR507" t="s">
        <v>2080</v>
      </c>
      <c r="AS507" t="s">
        <v>2081</v>
      </c>
      <c r="AT507" t="s">
        <v>6450</v>
      </c>
      <c r="AU507">
        <v>2023</v>
      </c>
      <c r="AV507">
        <v>40</v>
      </c>
      <c r="AW507">
        <v>5</v>
      </c>
      <c r="AX507" t="s">
        <v>74</v>
      </c>
      <c r="AY507" t="s">
        <v>74</v>
      </c>
      <c r="AZ507" t="s">
        <v>74</v>
      </c>
      <c r="BA507" t="s">
        <v>74</v>
      </c>
      <c r="BB507">
        <v>1100</v>
      </c>
      <c r="BC507">
        <v>1116</v>
      </c>
      <c r="BD507" t="s">
        <v>74</v>
      </c>
      <c r="BE507" t="s">
        <v>10122</v>
      </c>
      <c r="BF507" t="str">
        <f>HYPERLINK("http://dx.doi.org/10.1080/0376835X.2023.2182759","http://dx.doi.org/10.1080/0376835X.2023.2182759")</f>
        <v>http://dx.doi.org/10.1080/0376835X.2023.2182759</v>
      </c>
      <c r="BG507" t="s">
        <v>74</v>
      </c>
      <c r="BH507" t="s">
        <v>3595</v>
      </c>
      <c r="BI507">
        <v>17</v>
      </c>
      <c r="BJ507" t="s">
        <v>2084</v>
      </c>
      <c r="BK507" t="s">
        <v>99</v>
      </c>
      <c r="BL507" t="s">
        <v>2085</v>
      </c>
      <c r="BM507" t="s">
        <v>10123</v>
      </c>
      <c r="BN507" t="s">
        <v>74</v>
      </c>
      <c r="BO507" t="s">
        <v>74</v>
      </c>
      <c r="BP507" t="s">
        <v>74</v>
      </c>
      <c r="BQ507" t="s">
        <v>74</v>
      </c>
      <c r="BR507" t="s">
        <v>102</v>
      </c>
      <c r="BS507" t="s">
        <v>10124</v>
      </c>
      <c r="BT507" t="str">
        <f>HYPERLINK("https%3A%2F%2Fwww.webofscience.com%2Fwos%2Fwoscc%2Ffull-record%2FWOS:000946746300001","View Full Record in Web of Science")</f>
        <v>View Full Record in Web of Science</v>
      </c>
    </row>
    <row r="508" spans="1:72" x14ac:dyDescent="0.25">
      <c r="A508" t="s">
        <v>72</v>
      </c>
      <c r="B508" t="s">
        <v>10125</v>
      </c>
      <c r="C508" t="s">
        <v>74</v>
      </c>
      <c r="D508" t="s">
        <v>74</v>
      </c>
      <c r="E508" t="s">
        <v>74</v>
      </c>
      <c r="F508" t="s">
        <v>10126</v>
      </c>
      <c r="G508" t="s">
        <v>74</v>
      </c>
      <c r="H508" t="s">
        <v>74</v>
      </c>
      <c r="I508" t="s">
        <v>10127</v>
      </c>
      <c r="J508" t="s">
        <v>424</v>
      </c>
      <c r="K508" t="s">
        <v>74</v>
      </c>
      <c r="L508" t="s">
        <v>74</v>
      </c>
      <c r="M508" t="s">
        <v>78</v>
      </c>
      <c r="N508" t="s">
        <v>79</v>
      </c>
      <c r="O508" t="s">
        <v>74</v>
      </c>
      <c r="P508" t="s">
        <v>74</v>
      </c>
      <c r="Q508" t="s">
        <v>74</v>
      </c>
      <c r="R508" t="s">
        <v>74</v>
      </c>
      <c r="S508" t="s">
        <v>74</v>
      </c>
      <c r="T508" t="s">
        <v>10128</v>
      </c>
      <c r="U508" t="s">
        <v>10129</v>
      </c>
      <c r="V508" t="s">
        <v>10130</v>
      </c>
      <c r="W508" t="s">
        <v>10131</v>
      </c>
      <c r="X508" t="s">
        <v>10132</v>
      </c>
      <c r="Y508" t="s">
        <v>10133</v>
      </c>
      <c r="Z508" t="s">
        <v>10134</v>
      </c>
      <c r="AA508" t="s">
        <v>74</v>
      </c>
      <c r="AB508" t="s">
        <v>10135</v>
      </c>
      <c r="AC508" t="s">
        <v>74</v>
      </c>
      <c r="AD508" t="s">
        <v>74</v>
      </c>
      <c r="AE508" t="s">
        <v>74</v>
      </c>
      <c r="AF508" t="s">
        <v>74</v>
      </c>
      <c r="AG508">
        <v>56</v>
      </c>
      <c r="AH508">
        <v>6</v>
      </c>
      <c r="AI508">
        <v>8</v>
      </c>
      <c r="AJ508">
        <v>0</v>
      </c>
      <c r="AK508">
        <v>19</v>
      </c>
      <c r="AL508" t="s">
        <v>89</v>
      </c>
      <c r="AM508" t="s">
        <v>90</v>
      </c>
      <c r="AN508" t="s">
        <v>91</v>
      </c>
      <c r="AO508" t="s">
        <v>436</v>
      </c>
      <c r="AP508" t="s">
        <v>437</v>
      </c>
      <c r="AQ508" t="s">
        <v>74</v>
      </c>
      <c r="AR508" t="s">
        <v>438</v>
      </c>
      <c r="AS508" t="s">
        <v>439</v>
      </c>
      <c r="AT508" t="s">
        <v>10136</v>
      </c>
      <c r="AU508">
        <v>2023</v>
      </c>
      <c r="AV508">
        <v>41</v>
      </c>
      <c r="AW508">
        <v>1</v>
      </c>
      <c r="AX508" t="s">
        <v>74</v>
      </c>
      <c r="AY508" t="s">
        <v>74</v>
      </c>
      <c r="AZ508" t="s">
        <v>74</v>
      </c>
      <c r="BA508" t="s">
        <v>74</v>
      </c>
      <c r="BB508">
        <v>52</v>
      </c>
      <c r="BC508">
        <v>69</v>
      </c>
      <c r="BD508" t="s">
        <v>74</v>
      </c>
      <c r="BE508" t="s">
        <v>10137</v>
      </c>
      <c r="BF508" t="str">
        <f>HYPERLINK("http://dx.doi.org/10.1108/IJBM-11-2021-0516","http://dx.doi.org/10.1108/IJBM-11-2021-0516")</f>
        <v>http://dx.doi.org/10.1108/IJBM-11-2021-0516</v>
      </c>
      <c r="BG508" t="s">
        <v>74</v>
      </c>
      <c r="BH508" t="s">
        <v>3050</v>
      </c>
      <c r="BI508">
        <v>18</v>
      </c>
      <c r="BJ508" t="s">
        <v>418</v>
      </c>
      <c r="BK508" t="s">
        <v>99</v>
      </c>
      <c r="BL508" t="s">
        <v>100</v>
      </c>
      <c r="BM508" t="s">
        <v>10138</v>
      </c>
      <c r="BN508" t="s">
        <v>74</v>
      </c>
      <c r="BO508" t="s">
        <v>74</v>
      </c>
      <c r="BP508" t="s">
        <v>74</v>
      </c>
      <c r="BQ508" t="s">
        <v>74</v>
      </c>
      <c r="BR508" t="s">
        <v>102</v>
      </c>
      <c r="BS508" t="s">
        <v>10139</v>
      </c>
      <c r="BT508" t="str">
        <f>HYPERLINK("https%3A%2F%2Fwww.webofscience.com%2Fwos%2Fwoscc%2Ffull-record%2FWOS:000866311400001","View Full Record in Web of Science")</f>
        <v>View Full Record in Web of Science</v>
      </c>
    </row>
    <row r="509" spans="1:72" x14ac:dyDescent="0.25">
      <c r="A509" t="s">
        <v>72</v>
      </c>
      <c r="B509" t="s">
        <v>10140</v>
      </c>
      <c r="C509" t="s">
        <v>74</v>
      </c>
      <c r="D509" t="s">
        <v>74</v>
      </c>
      <c r="E509" t="s">
        <v>74</v>
      </c>
      <c r="F509" t="s">
        <v>10141</v>
      </c>
      <c r="G509" t="s">
        <v>74</v>
      </c>
      <c r="H509" t="s">
        <v>74</v>
      </c>
      <c r="I509" t="s">
        <v>10142</v>
      </c>
      <c r="J509" t="s">
        <v>10143</v>
      </c>
      <c r="K509" t="s">
        <v>74</v>
      </c>
      <c r="L509" t="s">
        <v>74</v>
      </c>
      <c r="M509" t="s">
        <v>78</v>
      </c>
      <c r="N509" t="s">
        <v>79</v>
      </c>
      <c r="O509" t="s">
        <v>74</v>
      </c>
      <c r="P509" t="s">
        <v>74</v>
      </c>
      <c r="Q509" t="s">
        <v>74</v>
      </c>
      <c r="R509" t="s">
        <v>74</v>
      </c>
      <c r="S509" t="s">
        <v>74</v>
      </c>
      <c r="T509" t="s">
        <v>10144</v>
      </c>
      <c r="U509" t="s">
        <v>10145</v>
      </c>
      <c r="V509" t="s">
        <v>10146</v>
      </c>
      <c r="W509" t="s">
        <v>10147</v>
      </c>
      <c r="X509" t="s">
        <v>10148</v>
      </c>
      <c r="Y509" t="s">
        <v>10149</v>
      </c>
      <c r="Z509" t="s">
        <v>10150</v>
      </c>
      <c r="AA509" t="s">
        <v>9262</v>
      </c>
      <c r="AB509" t="s">
        <v>10151</v>
      </c>
      <c r="AC509" t="s">
        <v>10152</v>
      </c>
      <c r="AD509" t="s">
        <v>10153</v>
      </c>
      <c r="AE509" t="s">
        <v>10154</v>
      </c>
      <c r="AF509" t="s">
        <v>74</v>
      </c>
      <c r="AG509">
        <v>191</v>
      </c>
      <c r="AH509">
        <v>82</v>
      </c>
      <c r="AI509">
        <v>105</v>
      </c>
      <c r="AJ509">
        <v>10</v>
      </c>
      <c r="AK509">
        <v>198</v>
      </c>
      <c r="AL509" t="s">
        <v>201</v>
      </c>
      <c r="AM509" t="s">
        <v>202</v>
      </c>
      <c r="AN509" t="s">
        <v>203</v>
      </c>
      <c r="AO509" t="s">
        <v>10155</v>
      </c>
      <c r="AP509" t="s">
        <v>10156</v>
      </c>
      <c r="AQ509" t="s">
        <v>74</v>
      </c>
      <c r="AR509" t="s">
        <v>10157</v>
      </c>
      <c r="AS509" t="s">
        <v>10158</v>
      </c>
      <c r="AT509" t="s">
        <v>848</v>
      </c>
      <c r="AU509">
        <v>2021</v>
      </c>
      <c r="AV509">
        <v>50</v>
      </c>
      <c r="AW509">
        <v>6</v>
      </c>
      <c r="AX509" t="s">
        <v>74</v>
      </c>
      <c r="AY509" t="s">
        <v>74</v>
      </c>
      <c r="AZ509" t="s">
        <v>74</v>
      </c>
      <c r="BA509" t="s">
        <v>74</v>
      </c>
      <c r="BB509" t="s">
        <v>74</v>
      </c>
      <c r="BC509" t="s">
        <v>74</v>
      </c>
      <c r="BD509">
        <v>104228</v>
      </c>
      <c r="BE509" t="s">
        <v>10159</v>
      </c>
      <c r="BF509" t="str">
        <f>HYPERLINK("http://dx.doi.org/10.1016/j.respol.2021.104228","http://dx.doi.org/10.1016/j.respol.2021.104228")</f>
        <v>http://dx.doi.org/10.1016/j.respol.2021.104228</v>
      </c>
      <c r="BG509" t="s">
        <v>74</v>
      </c>
      <c r="BH509" t="s">
        <v>10160</v>
      </c>
      <c r="BI509">
        <v>24</v>
      </c>
      <c r="BJ509" t="s">
        <v>583</v>
      </c>
      <c r="BK509" t="s">
        <v>99</v>
      </c>
      <c r="BL509" t="s">
        <v>100</v>
      </c>
      <c r="BM509" t="s">
        <v>10161</v>
      </c>
      <c r="BN509" t="s">
        <v>74</v>
      </c>
      <c r="BO509" t="s">
        <v>74</v>
      </c>
      <c r="BP509" t="s">
        <v>74</v>
      </c>
      <c r="BQ509" t="s">
        <v>74</v>
      </c>
      <c r="BR509" t="s">
        <v>102</v>
      </c>
      <c r="BS509" t="s">
        <v>10162</v>
      </c>
      <c r="BT509" t="str">
        <f>HYPERLINK("https%3A%2F%2Fwww.webofscience.com%2Fwos%2Fwoscc%2Ffull-record%2FWOS:000646310500007","View Full Record in Web of Science")</f>
        <v>View Full Record in Web of Science</v>
      </c>
    </row>
    <row r="510" spans="1:72" x14ac:dyDescent="0.25">
      <c r="A510" t="s">
        <v>72</v>
      </c>
      <c r="B510" t="s">
        <v>10163</v>
      </c>
      <c r="C510" t="s">
        <v>74</v>
      </c>
      <c r="D510" t="s">
        <v>74</v>
      </c>
      <c r="E510" t="s">
        <v>74</v>
      </c>
      <c r="F510" t="s">
        <v>10164</v>
      </c>
      <c r="G510" t="s">
        <v>74</v>
      </c>
      <c r="H510" t="s">
        <v>74</v>
      </c>
      <c r="I510" t="s">
        <v>10165</v>
      </c>
      <c r="J510" t="s">
        <v>10166</v>
      </c>
      <c r="K510" t="s">
        <v>74</v>
      </c>
      <c r="L510" t="s">
        <v>74</v>
      </c>
      <c r="M510" t="s">
        <v>78</v>
      </c>
      <c r="N510" t="s">
        <v>79</v>
      </c>
      <c r="O510" t="s">
        <v>74</v>
      </c>
      <c r="P510" t="s">
        <v>74</v>
      </c>
      <c r="Q510" t="s">
        <v>74</v>
      </c>
      <c r="R510" t="s">
        <v>74</v>
      </c>
      <c r="S510" t="s">
        <v>74</v>
      </c>
      <c r="T510" t="s">
        <v>10167</v>
      </c>
      <c r="U510" t="s">
        <v>10168</v>
      </c>
      <c r="V510" t="s">
        <v>10169</v>
      </c>
      <c r="W510" t="s">
        <v>10170</v>
      </c>
      <c r="X510" t="s">
        <v>10171</v>
      </c>
      <c r="Y510" t="s">
        <v>10172</v>
      </c>
      <c r="Z510" t="s">
        <v>10173</v>
      </c>
      <c r="AA510" t="s">
        <v>74</v>
      </c>
      <c r="AB510" t="s">
        <v>10174</v>
      </c>
      <c r="AC510" t="s">
        <v>74</v>
      </c>
      <c r="AD510" t="s">
        <v>74</v>
      </c>
      <c r="AE510" t="s">
        <v>74</v>
      </c>
      <c r="AF510" t="s">
        <v>74</v>
      </c>
      <c r="AG510">
        <v>97</v>
      </c>
      <c r="AH510">
        <v>1</v>
      </c>
      <c r="AI510">
        <v>2</v>
      </c>
      <c r="AJ510">
        <v>2</v>
      </c>
      <c r="AK510">
        <v>8</v>
      </c>
      <c r="AL510" t="s">
        <v>3861</v>
      </c>
      <c r="AM510" t="s">
        <v>2016</v>
      </c>
      <c r="AN510" t="s">
        <v>3862</v>
      </c>
      <c r="AO510" t="s">
        <v>10175</v>
      </c>
      <c r="AP510" t="s">
        <v>10176</v>
      </c>
      <c r="AQ510" t="s">
        <v>74</v>
      </c>
      <c r="AR510" t="s">
        <v>10177</v>
      </c>
      <c r="AS510" t="s">
        <v>10178</v>
      </c>
      <c r="AT510" t="s">
        <v>1159</v>
      </c>
      <c r="AU510">
        <v>2021</v>
      </c>
      <c r="AV510">
        <v>65</v>
      </c>
      <c r="AW510">
        <v>3</v>
      </c>
      <c r="AX510" t="s">
        <v>74</v>
      </c>
      <c r="AY510" t="s">
        <v>74</v>
      </c>
      <c r="AZ510" t="s">
        <v>74</v>
      </c>
      <c r="BA510" t="s">
        <v>74</v>
      </c>
      <c r="BB510">
        <v>431</v>
      </c>
      <c r="BC510">
        <v>459</v>
      </c>
      <c r="BD510" t="s">
        <v>10179</v>
      </c>
      <c r="BE510" t="s">
        <v>10180</v>
      </c>
      <c r="BF510" t="str">
        <f>HYPERLINK("http://dx.doi.org/10.1017/S0021855321000279","http://dx.doi.org/10.1017/S0021855321000279")</f>
        <v>http://dx.doi.org/10.1017/S0021855321000279</v>
      </c>
      <c r="BG510" t="s">
        <v>74</v>
      </c>
      <c r="BH510" t="s">
        <v>74</v>
      </c>
      <c r="BI510">
        <v>29</v>
      </c>
      <c r="BJ510" t="s">
        <v>182</v>
      </c>
      <c r="BK510" t="s">
        <v>99</v>
      </c>
      <c r="BL510" t="s">
        <v>184</v>
      </c>
      <c r="BM510" t="s">
        <v>10181</v>
      </c>
      <c r="BN510" t="s">
        <v>74</v>
      </c>
      <c r="BO510" t="s">
        <v>466</v>
      </c>
      <c r="BP510" t="s">
        <v>74</v>
      </c>
      <c r="BQ510" t="s">
        <v>74</v>
      </c>
      <c r="BR510" t="s">
        <v>102</v>
      </c>
      <c r="BS510" t="s">
        <v>10182</v>
      </c>
      <c r="BT510" t="str">
        <f>HYPERLINK("https%3A%2F%2Fwww.webofscience.com%2Fwos%2Fwoscc%2Ffull-record%2FWOS:000721279400007","View Full Record in Web of Science")</f>
        <v>View Full Record in Web of Science</v>
      </c>
    </row>
    <row r="511" spans="1:72" x14ac:dyDescent="0.25">
      <c r="A511" t="s">
        <v>72</v>
      </c>
      <c r="B511" t="s">
        <v>10183</v>
      </c>
      <c r="C511" t="s">
        <v>74</v>
      </c>
      <c r="D511" t="s">
        <v>74</v>
      </c>
      <c r="E511" t="s">
        <v>74</v>
      </c>
      <c r="F511" t="s">
        <v>10184</v>
      </c>
      <c r="G511" t="s">
        <v>74</v>
      </c>
      <c r="H511" t="s">
        <v>74</v>
      </c>
      <c r="I511" t="s">
        <v>10185</v>
      </c>
      <c r="J511" t="s">
        <v>10186</v>
      </c>
      <c r="K511" t="s">
        <v>74</v>
      </c>
      <c r="L511" t="s">
        <v>74</v>
      </c>
      <c r="M511" t="s">
        <v>78</v>
      </c>
      <c r="N511" t="s">
        <v>79</v>
      </c>
      <c r="O511" t="s">
        <v>74</v>
      </c>
      <c r="P511" t="s">
        <v>74</v>
      </c>
      <c r="Q511" t="s">
        <v>74</v>
      </c>
      <c r="R511" t="s">
        <v>74</v>
      </c>
      <c r="S511" t="s">
        <v>74</v>
      </c>
      <c r="T511" t="s">
        <v>10187</v>
      </c>
      <c r="U511" t="s">
        <v>10188</v>
      </c>
      <c r="V511" t="s">
        <v>10189</v>
      </c>
      <c r="W511" t="s">
        <v>10190</v>
      </c>
      <c r="X511" t="s">
        <v>10191</v>
      </c>
      <c r="Y511" t="s">
        <v>10192</v>
      </c>
      <c r="Z511" t="s">
        <v>10193</v>
      </c>
      <c r="AA511" t="s">
        <v>10194</v>
      </c>
      <c r="AB511" t="s">
        <v>10195</v>
      </c>
      <c r="AC511" t="s">
        <v>10196</v>
      </c>
      <c r="AD511" t="s">
        <v>10197</v>
      </c>
      <c r="AE511" t="s">
        <v>10198</v>
      </c>
      <c r="AF511" t="s">
        <v>74</v>
      </c>
      <c r="AG511">
        <v>67</v>
      </c>
      <c r="AH511">
        <v>9</v>
      </c>
      <c r="AI511">
        <v>11</v>
      </c>
      <c r="AJ511">
        <v>4</v>
      </c>
      <c r="AK511">
        <v>117</v>
      </c>
      <c r="AL511" t="s">
        <v>575</v>
      </c>
      <c r="AM511" t="s">
        <v>576</v>
      </c>
      <c r="AN511" t="s">
        <v>3242</v>
      </c>
      <c r="AO511" t="s">
        <v>74</v>
      </c>
      <c r="AP511" t="s">
        <v>10199</v>
      </c>
      <c r="AQ511" t="s">
        <v>74</v>
      </c>
      <c r="AR511" t="s">
        <v>10200</v>
      </c>
      <c r="AS511" t="s">
        <v>10201</v>
      </c>
      <c r="AT511" t="s">
        <v>891</v>
      </c>
      <c r="AU511">
        <v>2022</v>
      </c>
      <c r="AV511">
        <v>19</v>
      </c>
      <c r="AW511">
        <v>21</v>
      </c>
      <c r="AX511" t="s">
        <v>74</v>
      </c>
      <c r="AY511" t="s">
        <v>74</v>
      </c>
      <c r="AZ511" t="s">
        <v>74</v>
      </c>
      <c r="BA511" t="s">
        <v>74</v>
      </c>
      <c r="BB511" t="s">
        <v>74</v>
      </c>
      <c r="BC511" t="s">
        <v>74</v>
      </c>
      <c r="BD511">
        <v>14001</v>
      </c>
      <c r="BE511" t="s">
        <v>10202</v>
      </c>
      <c r="BF511" t="str">
        <f>HYPERLINK("http://dx.doi.org/10.3390/ijerph192114001","http://dx.doi.org/10.3390/ijerph192114001")</f>
        <v>http://dx.doi.org/10.3390/ijerph192114001</v>
      </c>
      <c r="BG511" t="s">
        <v>74</v>
      </c>
      <c r="BH511" t="s">
        <v>74</v>
      </c>
      <c r="BI511">
        <v>20</v>
      </c>
      <c r="BJ511" t="s">
        <v>10203</v>
      </c>
      <c r="BK511" t="s">
        <v>2623</v>
      </c>
      <c r="BL511" t="s">
        <v>10204</v>
      </c>
      <c r="BM511" t="s">
        <v>10205</v>
      </c>
      <c r="BN511">
        <v>36360883</v>
      </c>
      <c r="BO511" t="s">
        <v>916</v>
      </c>
      <c r="BP511" t="s">
        <v>74</v>
      </c>
      <c r="BQ511" t="s">
        <v>74</v>
      </c>
      <c r="BR511" t="s">
        <v>102</v>
      </c>
      <c r="BS511" t="s">
        <v>10206</v>
      </c>
      <c r="BT511" t="str">
        <f>HYPERLINK("https%3A%2F%2Fwww.webofscience.com%2Fwos%2Fwoscc%2Ffull-record%2FWOS:000881422600001","View Full Record in Web of Science")</f>
        <v>View Full Record in Web of Science</v>
      </c>
    </row>
    <row r="512" spans="1:72" x14ac:dyDescent="0.25">
      <c r="A512" t="s">
        <v>72</v>
      </c>
      <c r="B512" t="s">
        <v>10207</v>
      </c>
      <c r="C512" t="s">
        <v>74</v>
      </c>
      <c r="D512" t="s">
        <v>74</v>
      </c>
      <c r="E512" t="s">
        <v>74</v>
      </c>
      <c r="F512" t="s">
        <v>10208</v>
      </c>
      <c r="G512" t="s">
        <v>74</v>
      </c>
      <c r="H512" t="s">
        <v>74</v>
      </c>
      <c r="I512" t="s">
        <v>10209</v>
      </c>
      <c r="J512" t="s">
        <v>10210</v>
      </c>
      <c r="K512" t="s">
        <v>74</v>
      </c>
      <c r="L512" t="s">
        <v>74</v>
      </c>
      <c r="M512" t="s">
        <v>78</v>
      </c>
      <c r="N512" t="s">
        <v>79</v>
      </c>
      <c r="O512" t="s">
        <v>74</v>
      </c>
      <c r="P512" t="s">
        <v>74</v>
      </c>
      <c r="Q512" t="s">
        <v>74</v>
      </c>
      <c r="R512" t="s">
        <v>74</v>
      </c>
      <c r="S512" t="s">
        <v>74</v>
      </c>
      <c r="T512" t="s">
        <v>10211</v>
      </c>
      <c r="U512" t="s">
        <v>10212</v>
      </c>
      <c r="V512" t="s">
        <v>10213</v>
      </c>
      <c r="W512" t="s">
        <v>10214</v>
      </c>
      <c r="X512" t="s">
        <v>74</v>
      </c>
      <c r="Y512" t="s">
        <v>10215</v>
      </c>
      <c r="Z512" t="s">
        <v>74</v>
      </c>
      <c r="AA512" t="s">
        <v>10216</v>
      </c>
      <c r="AB512" t="s">
        <v>10217</v>
      </c>
      <c r="AC512" t="s">
        <v>74</v>
      </c>
      <c r="AD512" t="s">
        <v>74</v>
      </c>
      <c r="AE512" t="s">
        <v>74</v>
      </c>
      <c r="AF512" t="s">
        <v>74</v>
      </c>
      <c r="AG512">
        <v>98</v>
      </c>
      <c r="AH512">
        <v>3</v>
      </c>
      <c r="AI512">
        <v>3</v>
      </c>
      <c r="AJ512">
        <v>0</v>
      </c>
      <c r="AK512">
        <v>9</v>
      </c>
      <c r="AL512" t="s">
        <v>7551</v>
      </c>
      <c r="AM512" t="s">
        <v>7552</v>
      </c>
      <c r="AN512" t="s">
        <v>7553</v>
      </c>
      <c r="AO512" t="s">
        <v>10218</v>
      </c>
      <c r="AP512" t="s">
        <v>10219</v>
      </c>
      <c r="AQ512" t="s">
        <v>74</v>
      </c>
      <c r="AR512" t="s">
        <v>10220</v>
      </c>
      <c r="AS512" t="s">
        <v>10221</v>
      </c>
      <c r="AT512" t="s">
        <v>7020</v>
      </c>
      <c r="AU512">
        <v>2021</v>
      </c>
      <c r="AV512">
        <v>17</v>
      </c>
      <c r="AW512">
        <v>1</v>
      </c>
      <c r="AX512" t="s">
        <v>74</v>
      </c>
      <c r="AY512" t="s">
        <v>74</v>
      </c>
      <c r="AZ512" t="s">
        <v>74</v>
      </c>
      <c r="BA512" t="s">
        <v>74</v>
      </c>
      <c r="BB512">
        <v>42</v>
      </c>
      <c r="BC512">
        <v>64</v>
      </c>
      <c r="BD512" t="s">
        <v>74</v>
      </c>
      <c r="BE512" t="s">
        <v>10222</v>
      </c>
      <c r="BF512" t="str">
        <f>HYPERLINK("http://dx.doi.org/10.4018/IJEBR.2021010104","http://dx.doi.org/10.4018/IJEBR.2021010104")</f>
        <v>http://dx.doi.org/10.4018/IJEBR.2021010104</v>
      </c>
      <c r="BG512" t="s">
        <v>74</v>
      </c>
      <c r="BH512" t="s">
        <v>74</v>
      </c>
      <c r="BI512">
        <v>23</v>
      </c>
      <c r="BJ512" t="s">
        <v>418</v>
      </c>
      <c r="BK512" t="s">
        <v>313</v>
      </c>
      <c r="BL512" t="s">
        <v>100</v>
      </c>
      <c r="BM512" t="s">
        <v>10223</v>
      </c>
      <c r="BN512" t="s">
        <v>74</v>
      </c>
      <c r="BO512" t="s">
        <v>1205</v>
      </c>
      <c r="BP512" t="s">
        <v>74</v>
      </c>
      <c r="BQ512" t="s">
        <v>74</v>
      </c>
      <c r="BR512" t="s">
        <v>102</v>
      </c>
      <c r="BS512" t="s">
        <v>10224</v>
      </c>
      <c r="BT512" t="str">
        <f>HYPERLINK("https%3A%2F%2Fwww.webofscience.com%2Fwos%2Fwoscc%2Ffull-record%2FWOS:000595587300004","View Full Record in Web of Science")</f>
        <v>View Full Record in Web of Science</v>
      </c>
    </row>
    <row r="513" spans="1:72" x14ac:dyDescent="0.25">
      <c r="A513" t="s">
        <v>132</v>
      </c>
      <c r="B513" t="s">
        <v>10225</v>
      </c>
      <c r="C513" t="s">
        <v>74</v>
      </c>
      <c r="D513" t="s">
        <v>74</v>
      </c>
      <c r="E513" t="s">
        <v>5379</v>
      </c>
      <c r="F513" t="s">
        <v>10226</v>
      </c>
      <c r="G513" t="s">
        <v>74</v>
      </c>
      <c r="H513" t="s">
        <v>74</v>
      </c>
      <c r="I513" t="s">
        <v>10227</v>
      </c>
      <c r="J513" t="s">
        <v>10228</v>
      </c>
      <c r="K513" t="s">
        <v>10229</v>
      </c>
      <c r="L513" t="s">
        <v>74</v>
      </c>
      <c r="M513" t="s">
        <v>78</v>
      </c>
      <c r="N513" t="s">
        <v>138</v>
      </c>
      <c r="O513" t="s">
        <v>10230</v>
      </c>
      <c r="P513" t="s">
        <v>10231</v>
      </c>
      <c r="Q513" t="s">
        <v>10232</v>
      </c>
      <c r="R513" t="s">
        <v>10233</v>
      </c>
      <c r="S513" t="s">
        <v>74</v>
      </c>
      <c r="T513" t="s">
        <v>10234</v>
      </c>
      <c r="U513" t="s">
        <v>10235</v>
      </c>
      <c r="V513" t="s">
        <v>10236</v>
      </c>
      <c r="W513" t="s">
        <v>10237</v>
      </c>
      <c r="X513" t="s">
        <v>10238</v>
      </c>
      <c r="Y513" t="s">
        <v>10239</v>
      </c>
      <c r="Z513" t="s">
        <v>74</v>
      </c>
      <c r="AA513" t="s">
        <v>74</v>
      </c>
      <c r="AB513" t="s">
        <v>10240</v>
      </c>
      <c r="AC513" t="s">
        <v>10241</v>
      </c>
      <c r="AD513" t="s">
        <v>10242</v>
      </c>
      <c r="AE513" t="s">
        <v>10243</v>
      </c>
      <c r="AF513" t="s">
        <v>74</v>
      </c>
      <c r="AG513">
        <v>57</v>
      </c>
      <c r="AH513">
        <v>0</v>
      </c>
      <c r="AI513">
        <v>0</v>
      </c>
      <c r="AJ513">
        <v>3</v>
      </c>
      <c r="AK513">
        <v>3</v>
      </c>
      <c r="AL513" t="s">
        <v>5379</v>
      </c>
      <c r="AM513" t="s">
        <v>5380</v>
      </c>
      <c r="AN513" t="s">
        <v>5381</v>
      </c>
      <c r="AO513" t="s">
        <v>10244</v>
      </c>
      <c r="AP513" t="s">
        <v>74</v>
      </c>
      <c r="AQ513" t="s">
        <v>10245</v>
      </c>
      <c r="AR513" t="s">
        <v>10246</v>
      </c>
      <c r="AS513" t="s">
        <v>74</v>
      </c>
      <c r="AT513" t="s">
        <v>74</v>
      </c>
      <c r="AU513">
        <v>2024</v>
      </c>
      <c r="AV513" t="s">
        <v>74</v>
      </c>
      <c r="AW513" t="s">
        <v>74</v>
      </c>
      <c r="AX513" t="s">
        <v>74</v>
      </c>
      <c r="AY513" t="s">
        <v>74</v>
      </c>
      <c r="AZ513" t="s">
        <v>74</v>
      </c>
      <c r="BA513" t="s">
        <v>74</v>
      </c>
      <c r="BB513">
        <v>752</v>
      </c>
      <c r="BC513">
        <v>769</v>
      </c>
      <c r="BD513" t="s">
        <v>74</v>
      </c>
      <c r="BE513" t="s">
        <v>10247</v>
      </c>
      <c r="BF513" t="str">
        <f>HYPERLINK("http://dx.doi.org/10.1109/SP54263.2024.00184","http://dx.doi.org/10.1109/SP54263.2024.00184")</f>
        <v>http://dx.doi.org/10.1109/SP54263.2024.00184</v>
      </c>
      <c r="BG513" t="s">
        <v>74</v>
      </c>
      <c r="BH513" t="s">
        <v>74</v>
      </c>
      <c r="BI513">
        <v>18</v>
      </c>
      <c r="BJ513" t="s">
        <v>4466</v>
      </c>
      <c r="BK513" t="s">
        <v>156</v>
      </c>
      <c r="BL513" t="s">
        <v>157</v>
      </c>
      <c r="BM513" t="s">
        <v>10248</v>
      </c>
      <c r="BN513" t="s">
        <v>74</v>
      </c>
      <c r="BO513" t="s">
        <v>74</v>
      </c>
      <c r="BP513" t="s">
        <v>74</v>
      </c>
      <c r="BQ513" t="s">
        <v>74</v>
      </c>
      <c r="BR513" t="s">
        <v>102</v>
      </c>
      <c r="BS513" t="s">
        <v>10249</v>
      </c>
      <c r="BT513" t="str">
        <f>HYPERLINK("https%3A%2F%2Fwww.webofscience.com%2Fwos%2Fwoscc%2Ffull-record%2FWOS:001310833900041","View Full Record in Web of Science")</f>
        <v>View Full Record in Web of Science</v>
      </c>
    </row>
    <row r="514" spans="1:72" x14ac:dyDescent="0.25">
      <c r="A514" t="s">
        <v>72</v>
      </c>
      <c r="B514" t="s">
        <v>10250</v>
      </c>
      <c r="C514" t="s">
        <v>74</v>
      </c>
      <c r="D514" t="s">
        <v>74</v>
      </c>
      <c r="E514" t="s">
        <v>74</v>
      </c>
      <c r="F514" t="s">
        <v>10251</v>
      </c>
      <c r="G514" t="s">
        <v>74</v>
      </c>
      <c r="H514" t="s">
        <v>74</v>
      </c>
      <c r="I514" t="s">
        <v>10252</v>
      </c>
      <c r="J514" t="s">
        <v>424</v>
      </c>
      <c r="K514" t="s">
        <v>74</v>
      </c>
      <c r="L514" t="s">
        <v>74</v>
      </c>
      <c r="M514" t="s">
        <v>78</v>
      </c>
      <c r="N514" t="s">
        <v>79</v>
      </c>
      <c r="O514" t="s">
        <v>74</v>
      </c>
      <c r="P514" t="s">
        <v>74</v>
      </c>
      <c r="Q514" t="s">
        <v>74</v>
      </c>
      <c r="R514" t="s">
        <v>74</v>
      </c>
      <c r="S514" t="s">
        <v>74</v>
      </c>
      <c r="T514" t="s">
        <v>10253</v>
      </c>
      <c r="U514" t="s">
        <v>10254</v>
      </c>
      <c r="V514" t="s">
        <v>10255</v>
      </c>
      <c r="W514" t="s">
        <v>10256</v>
      </c>
      <c r="X514" t="s">
        <v>10257</v>
      </c>
      <c r="Y514" t="s">
        <v>10258</v>
      </c>
      <c r="Z514" t="s">
        <v>10259</v>
      </c>
      <c r="AA514" t="s">
        <v>10260</v>
      </c>
      <c r="AB514" t="s">
        <v>10261</v>
      </c>
      <c r="AC514" t="s">
        <v>74</v>
      </c>
      <c r="AD514" t="s">
        <v>74</v>
      </c>
      <c r="AE514" t="s">
        <v>74</v>
      </c>
      <c r="AF514" t="s">
        <v>74</v>
      </c>
      <c r="AG514">
        <v>62</v>
      </c>
      <c r="AH514">
        <v>7</v>
      </c>
      <c r="AI514">
        <v>9</v>
      </c>
      <c r="AJ514">
        <v>22</v>
      </c>
      <c r="AK514">
        <v>36</v>
      </c>
      <c r="AL514" t="s">
        <v>89</v>
      </c>
      <c r="AM514" t="s">
        <v>90</v>
      </c>
      <c r="AN514" t="s">
        <v>91</v>
      </c>
      <c r="AO514" t="s">
        <v>436</v>
      </c>
      <c r="AP514" t="s">
        <v>437</v>
      </c>
      <c r="AQ514" t="s">
        <v>74</v>
      </c>
      <c r="AR514" t="s">
        <v>438</v>
      </c>
      <c r="AS514" t="s">
        <v>439</v>
      </c>
      <c r="AT514" t="s">
        <v>10262</v>
      </c>
      <c r="AU514">
        <v>2025</v>
      </c>
      <c r="AV514">
        <v>43</v>
      </c>
      <c r="AW514">
        <v>3</v>
      </c>
      <c r="AX514" t="s">
        <v>74</v>
      </c>
      <c r="AY514" t="s">
        <v>74</v>
      </c>
      <c r="AZ514" t="s">
        <v>74</v>
      </c>
      <c r="BA514" t="s">
        <v>74</v>
      </c>
      <c r="BB514">
        <v>549</v>
      </c>
      <c r="BC514">
        <v>568</v>
      </c>
      <c r="BD514" t="s">
        <v>74</v>
      </c>
      <c r="BE514" t="s">
        <v>10263</v>
      </c>
      <c r="BF514" t="str">
        <f>HYPERLINK("http://dx.doi.org/10.1108/IJBM-07-2024-0402","http://dx.doi.org/10.1108/IJBM-07-2024-0402")</f>
        <v>http://dx.doi.org/10.1108/IJBM-07-2024-0402</v>
      </c>
      <c r="BG514" t="s">
        <v>74</v>
      </c>
      <c r="BH514" t="s">
        <v>267</v>
      </c>
      <c r="BI514">
        <v>20</v>
      </c>
      <c r="BJ514" t="s">
        <v>418</v>
      </c>
      <c r="BK514" t="s">
        <v>99</v>
      </c>
      <c r="BL514" t="s">
        <v>100</v>
      </c>
      <c r="BM514" t="s">
        <v>10264</v>
      </c>
      <c r="BN514" t="s">
        <v>74</v>
      </c>
      <c r="BO514" t="s">
        <v>1696</v>
      </c>
      <c r="BP514" t="s">
        <v>74</v>
      </c>
      <c r="BQ514" t="s">
        <v>74</v>
      </c>
      <c r="BR514" t="s">
        <v>102</v>
      </c>
      <c r="BS514" t="s">
        <v>10265</v>
      </c>
      <c r="BT514" t="str">
        <f>HYPERLINK("https%3A%2F%2Fwww.webofscience.com%2Fwos%2Fwoscc%2Ffull-record%2FWOS:001349802400001","View Full Record in Web of Science")</f>
        <v>View Full Record in Web of Science</v>
      </c>
    </row>
    <row r="515" spans="1:72" x14ac:dyDescent="0.25">
      <c r="A515" t="s">
        <v>72</v>
      </c>
      <c r="B515" t="s">
        <v>10266</v>
      </c>
      <c r="C515" t="s">
        <v>74</v>
      </c>
      <c r="D515" t="s">
        <v>74</v>
      </c>
      <c r="E515" t="s">
        <v>74</v>
      </c>
      <c r="F515" t="s">
        <v>10267</v>
      </c>
      <c r="G515" t="s">
        <v>74</v>
      </c>
      <c r="H515" t="s">
        <v>74</v>
      </c>
      <c r="I515" t="s">
        <v>10268</v>
      </c>
      <c r="J515" t="s">
        <v>10269</v>
      </c>
      <c r="K515" t="s">
        <v>74</v>
      </c>
      <c r="L515" t="s">
        <v>74</v>
      </c>
      <c r="M515" t="s">
        <v>10270</v>
      </c>
      <c r="N515" t="s">
        <v>79</v>
      </c>
      <c r="O515" t="s">
        <v>74</v>
      </c>
      <c r="P515" t="s">
        <v>74</v>
      </c>
      <c r="Q515" t="s">
        <v>74</v>
      </c>
      <c r="R515" t="s">
        <v>74</v>
      </c>
      <c r="S515" t="s">
        <v>74</v>
      </c>
      <c r="T515" t="s">
        <v>74</v>
      </c>
      <c r="U515" t="s">
        <v>74</v>
      </c>
      <c r="V515" t="s">
        <v>10271</v>
      </c>
      <c r="W515" t="s">
        <v>10272</v>
      </c>
      <c r="X515" t="s">
        <v>10273</v>
      </c>
      <c r="Y515" t="s">
        <v>10274</v>
      </c>
      <c r="Z515" t="s">
        <v>10275</v>
      </c>
      <c r="AA515" t="s">
        <v>74</v>
      </c>
      <c r="AB515" t="s">
        <v>74</v>
      </c>
      <c r="AC515" t="s">
        <v>74</v>
      </c>
      <c r="AD515" t="s">
        <v>74</v>
      </c>
      <c r="AE515" t="s">
        <v>74</v>
      </c>
      <c r="AF515" t="s">
        <v>74</v>
      </c>
      <c r="AG515">
        <v>37</v>
      </c>
      <c r="AH515">
        <v>10</v>
      </c>
      <c r="AI515">
        <v>15</v>
      </c>
      <c r="AJ515">
        <v>0</v>
      </c>
      <c r="AK515">
        <v>6</v>
      </c>
      <c r="AL515" t="s">
        <v>10276</v>
      </c>
      <c r="AM515" t="s">
        <v>10277</v>
      </c>
      <c r="AN515" t="s">
        <v>10278</v>
      </c>
      <c r="AO515" t="s">
        <v>10279</v>
      </c>
      <c r="AP515" t="s">
        <v>10280</v>
      </c>
      <c r="AQ515" t="s">
        <v>74</v>
      </c>
      <c r="AR515" t="s">
        <v>10281</v>
      </c>
      <c r="AS515" t="s">
        <v>10282</v>
      </c>
      <c r="AT515" t="s">
        <v>848</v>
      </c>
      <c r="AU515">
        <v>2015</v>
      </c>
      <c r="AV515">
        <v>66</v>
      </c>
      <c r="AW515">
        <v>4</v>
      </c>
      <c r="AX515" t="s">
        <v>74</v>
      </c>
      <c r="AY515" t="s">
        <v>74</v>
      </c>
      <c r="AZ515" t="s">
        <v>74</v>
      </c>
      <c r="BA515" t="s">
        <v>74</v>
      </c>
      <c r="BB515">
        <v>703</v>
      </c>
      <c r="BC515">
        <v>727</v>
      </c>
      <c r="BD515" t="s">
        <v>74</v>
      </c>
      <c r="BE515" t="s">
        <v>10283</v>
      </c>
      <c r="BF515" t="str">
        <f>HYPERLINK("http://dx.doi.org/10.3917/reco.664.0703","http://dx.doi.org/10.3917/reco.664.0703")</f>
        <v>http://dx.doi.org/10.3917/reco.664.0703</v>
      </c>
      <c r="BG515" t="s">
        <v>74</v>
      </c>
      <c r="BH515" t="s">
        <v>74</v>
      </c>
      <c r="BI515">
        <v>25</v>
      </c>
      <c r="BJ515" t="s">
        <v>291</v>
      </c>
      <c r="BK515" t="s">
        <v>313</v>
      </c>
      <c r="BL515" t="s">
        <v>100</v>
      </c>
      <c r="BM515" t="s">
        <v>10284</v>
      </c>
      <c r="BN515" t="s">
        <v>74</v>
      </c>
      <c r="BO515" t="s">
        <v>74</v>
      </c>
      <c r="BP515" t="s">
        <v>74</v>
      </c>
      <c r="BQ515" t="s">
        <v>74</v>
      </c>
      <c r="BR515" t="s">
        <v>102</v>
      </c>
      <c r="BS515" t="s">
        <v>10285</v>
      </c>
      <c r="BT515" t="str">
        <f>HYPERLINK("https%3A%2F%2Fwww.webofscience.com%2Fwos%2Fwoscc%2Ffull-record%2FWOS:000453992700004","View Full Record in Web of Science")</f>
        <v>View Full Record in Web of Science</v>
      </c>
    </row>
    <row r="516" spans="1:72" x14ac:dyDescent="0.25">
      <c r="A516" t="s">
        <v>72</v>
      </c>
      <c r="B516" t="s">
        <v>10286</v>
      </c>
      <c r="C516" t="s">
        <v>74</v>
      </c>
      <c r="D516" t="s">
        <v>74</v>
      </c>
      <c r="E516" t="s">
        <v>74</v>
      </c>
      <c r="F516" t="s">
        <v>10287</v>
      </c>
      <c r="G516" t="s">
        <v>74</v>
      </c>
      <c r="H516" t="s">
        <v>74</v>
      </c>
      <c r="I516" t="s">
        <v>10288</v>
      </c>
      <c r="J516" t="s">
        <v>9873</v>
      </c>
      <c r="K516" t="s">
        <v>74</v>
      </c>
      <c r="L516" t="s">
        <v>74</v>
      </c>
      <c r="M516" t="s">
        <v>78</v>
      </c>
      <c r="N516" t="s">
        <v>1766</v>
      </c>
      <c r="O516" t="s">
        <v>74</v>
      </c>
      <c r="P516" t="s">
        <v>74</v>
      </c>
      <c r="Q516" t="s">
        <v>74</v>
      </c>
      <c r="R516" t="s">
        <v>74</v>
      </c>
      <c r="S516" t="s">
        <v>74</v>
      </c>
      <c r="T516" t="s">
        <v>10289</v>
      </c>
      <c r="U516" t="s">
        <v>10290</v>
      </c>
      <c r="V516" t="s">
        <v>10291</v>
      </c>
      <c r="W516" t="s">
        <v>10292</v>
      </c>
      <c r="X516" t="s">
        <v>10293</v>
      </c>
      <c r="Y516" t="s">
        <v>10294</v>
      </c>
      <c r="Z516" t="s">
        <v>10295</v>
      </c>
      <c r="AA516" t="s">
        <v>74</v>
      </c>
      <c r="AB516" t="s">
        <v>10296</v>
      </c>
      <c r="AC516" t="s">
        <v>74</v>
      </c>
      <c r="AD516" t="s">
        <v>74</v>
      </c>
      <c r="AE516" t="s">
        <v>74</v>
      </c>
      <c r="AF516" t="s">
        <v>74</v>
      </c>
      <c r="AG516">
        <v>31</v>
      </c>
      <c r="AH516">
        <v>20</v>
      </c>
      <c r="AI516">
        <v>23</v>
      </c>
      <c r="AJ516">
        <v>5</v>
      </c>
      <c r="AK516">
        <v>65</v>
      </c>
      <c r="AL516" t="s">
        <v>503</v>
      </c>
      <c r="AM516" t="s">
        <v>151</v>
      </c>
      <c r="AN516" t="s">
        <v>504</v>
      </c>
      <c r="AO516" t="s">
        <v>9886</v>
      </c>
      <c r="AP516" t="s">
        <v>9887</v>
      </c>
      <c r="AQ516" t="s">
        <v>74</v>
      </c>
      <c r="AR516" t="s">
        <v>9888</v>
      </c>
      <c r="AS516" t="s">
        <v>9889</v>
      </c>
      <c r="AT516" t="s">
        <v>237</v>
      </c>
      <c r="AU516">
        <v>2023</v>
      </c>
      <c r="AV516">
        <v>77</v>
      </c>
      <c r="AW516" t="s">
        <v>74</v>
      </c>
      <c r="AX516" t="s">
        <v>74</v>
      </c>
      <c r="AY516" t="s">
        <v>74</v>
      </c>
      <c r="AZ516" t="s">
        <v>74</v>
      </c>
      <c r="BA516" t="s">
        <v>74</v>
      </c>
      <c r="BB516" t="s">
        <v>74</v>
      </c>
      <c r="BC516" t="s">
        <v>74</v>
      </c>
      <c r="BD516">
        <v>101907</v>
      </c>
      <c r="BE516" t="s">
        <v>10297</v>
      </c>
      <c r="BF516" t="str">
        <f>HYPERLINK("http://dx.doi.org/10.1016/j.chieco.2022.101907","http://dx.doi.org/10.1016/j.chieco.2022.101907")</f>
        <v>http://dx.doi.org/10.1016/j.chieco.2022.101907</v>
      </c>
      <c r="BG516" t="s">
        <v>74</v>
      </c>
      <c r="BH516" t="s">
        <v>7904</v>
      </c>
      <c r="BI516">
        <v>22</v>
      </c>
      <c r="BJ516" t="s">
        <v>291</v>
      </c>
      <c r="BK516" t="s">
        <v>99</v>
      </c>
      <c r="BL516" t="s">
        <v>100</v>
      </c>
      <c r="BM516" t="s">
        <v>10298</v>
      </c>
      <c r="BN516" t="s">
        <v>74</v>
      </c>
      <c r="BO516" t="s">
        <v>74</v>
      </c>
      <c r="BP516" t="s">
        <v>74</v>
      </c>
      <c r="BQ516" t="s">
        <v>74</v>
      </c>
      <c r="BR516" t="s">
        <v>102</v>
      </c>
      <c r="BS516" t="s">
        <v>10299</v>
      </c>
      <c r="BT516" t="str">
        <f>HYPERLINK("https%3A%2F%2Fwww.webofscience.com%2Fwos%2Fwoscc%2Ffull-record%2FWOS:000912386700001","View Full Record in Web of Science")</f>
        <v>View Full Record in Web of Science</v>
      </c>
    </row>
    <row r="517" spans="1:72" x14ac:dyDescent="0.25">
      <c r="A517" t="s">
        <v>72</v>
      </c>
      <c r="B517" t="s">
        <v>10300</v>
      </c>
      <c r="C517" t="s">
        <v>74</v>
      </c>
      <c r="D517" t="s">
        <v>74</v>
      </c>
      <c r="E517" t="s">
        <v>74</v>
      </c>
      <c r="F517" t="s">
        <v>10301</v>
      </c>
      <c r="G517" t="s">
        <v>74</v>
      </c>
      <c r="H517" t="s">
        <v>74</v>
      </c>
      <c r="I517" t="s">
        <v>10302</v>
      </c>
      <c r="J517" t="s">
        <v>10303</v>
      </c>
      <c r="K517" t="s">
        <v>74</v>
      </c>
      <c r="L517" t="s">
        <v>74</v>
      </c>
      <c r="M517" t="s">
        <v>78</v>
      </c>
      <c r="N517" t="s">
        <v>79</v>
      </c>
      <c r="O517" t="s">
        <v>74</v>
      </c>
      <c r="P517" t="s">
        <v>74</v>
      </c>
      <c r="Q517" t="s">
        <v>74</v>
      </c>
      <c r="R517" t="s">
        <v>74</v>
      </c>
      <c r="S517" t="s">
        <v>74</v>
      </c>
      <c r="T517" t="s">
        <v>10304</v>
      </c>
      <c r="U517" t="s">
        <v>10305</v>
      </c>
      <c r="V517" t="s">
        <v>10306</v>
      </c>
      <c r="W517" t="s">
        <v>10307</v>
      </c>
      <c r="X517" t="s">
        <v>10308</v>
      </c>
      <c r="Y517" t="s">
        <v>10309</v>
      </c>
      <c r="Z517" t="s">
        <v>10310</v>
      </c>
      <c r="AA517" t="s">
        <v>74</v>
      </c>
      <c r="AB517" t="s">
        <v>10311</v>
      </c>
      <c r="AC517" t="s">
        <v>74</v>
      </c>
      <c r="AD517" t="s">
        <v>74</v>
      </c>
      <c r="AE517" t="s">
        <v>74</v>
      </c>
      <c r="AF517" t="s">
        <v>74</v>
      </c>
      <c r="AG517">
        <v>76</v>
      </c>
      <c r="AH517">
        <v>32</v>
      </c>
      <c r="AI517">
        <v>37</v>
      </c>
      <c r="AJ517">
        <v>5</v>
      </c>
      <c r="AK517">
        <v>101</v>
      </c>
      <c r="AL517" t="s">
        <v>230</v>
      </c>
      <c r="AM517" t="s">
        <v>231</v>
      </c>
      <c r="AN517" t="s">
        <v>232</v>
      </c>
      <c r="AO517" t="s">
        <v>10312</v>
      </c>
      <c r="AP517" t="s">
        <v>10313</v>
      </c>
      <c r="AQ517" t="s">
        <v>74</v>
      </c>
      <c r="AR517" t="s">
        <v>10314</v>
      </c>
      <c r="AS517" t="s">
        <v>10315</v>
      </c>
      <c r="AT517" t="s">
        <v>698</v>
      </c>
      <c r="AU517">
        <v>2022</v>
      </c>
      <c r="AV517">
        <v>134</v>
      </c>
      <c r="AW517" t="s">
        <v>74</v>
      </c>
      <c r="AX517" t="s">
        <v>74</v>
      </c>
      <c r="AY517" t="s">
        <v>74</v>
      </c>
      <c r="AZ517" t="s">
        <v>74</v>
      </c>
      <c r="BA517" t="s">
        <v>74</v>
      </c>
      <c r="BB517" t="s">
        <v>74</v>
      </c>
      <c r="BC517" t="s">
        <v>74</v>
      </c>
      <c r="BD517">
        <v>107319</v>
      </c>
      <c r="BE517" t="s">
        <v>10316</v>
      </c>
      <c r="BF517" t="str">
        <f>HYPERLINK("http://dx.doi.org/10.1016/j.chb.2022.107319","http://dx.doi.org/10.1016/j.chb.2022.107319")</f>
        <v>http://dx.doi.org/10.1016/j.chb.2022.107319</v>
      </c>
      <c r="BG517" t="s">
        <v>74</v>
      </c>
      <c r="BH517" t="s">
        <v>1091</v>
      </c>
      <c r="BI517">
        <v>11</v>
      </c>
      <c r="BJ517" t="s">
        <v>10317</v>
      </c>
      <c r="BK517" t="s">
        <v>99</v>
      </c>
      <c r="BL517" t="s">
        <v>2993</v>
      </c>
      <c r="BM517" t="s">
        <v>10318</v>
      </c>
      <c r="BN517" t="s">
        <v>74</v>
      </c>
      <c r="BO517" t="s">
        <v>74</v>
      </c>
      <c r="BP517" t="s">
        <v>74</v>
      </c>
      <c r="BQ517" t="s">
        <v>74</v>
      </c>
      <c r="BR517" t="s">
        <v>102</v>
      </c>
      <c r="BS517" t="s">
        <v>10319</v>
      </c>
      <c r="BT517" t="str">
        <f>HYPERLINK("https%3A%2F%2Fwww.webofscience.com%2Fwos%2Fwoscc%2Ffull-record%2FWOS:000798167300001","View Full Record in Web of Science")</f>
        <v>View Full Record in Web of Science</v>
      </c>
    </row>
    <row r="518" spans="1:72" x14ac:dyDescent="0.25">
      <c r="A518" t="s">
        <v>72</v>
      </c>
      <c r="B518" t="s">
        <v>10320</v>
      </c>
      <c r="C518" t="s">
        <v>74</v>
      </c>
      <c r="D518" t="s">
        <v>74</v>
      </c>
      <c r="E518" t="s">
        <v>74</v>
      </c>
      <c r="F518" t="s">
        <v>10321</v>
      </c>
      <c r="G518" t="s">
        <v>74</v>
      </c>
      <c r="H518" t="s">
        <v>74</v>
      </c>
      <c r="I518" t="s">
        <v>10322</v>
      </c>
      <c r="J518" t="s">
        <v>1963</v>
      </c>
      <c r="K518" t="s">
        <v>74</v>
      </c>
      <c r="L518" t="s">
        <v>74</v>
      </c>
      <c r="M518" t="s">
        <v>78</v>
      </c>
      <c r="N518" t="s">
        <v>372</v>
      </c>
      <c r="O518" t="s">
        <v>74</v>
      </c>
      <c r="P518" t="s">
        <v>74</v>
      </c>
      <c r="Q518" t="s">
        <v>74</v>
      </c>
      <c r="R518" t="s">
        <v>74</v>
      </c>
      <c r="S518" t="s">
        <v>74</v>
      </c>
      <c r="T518" t="s">
        <v>10323</v>
      </c>
      <c r="U518" t="s">
        <v>10324</v>
      </c>
      <c r="V518" t="s">
        <v>10325</v>
      </c>
      <c r="W518" t="s">
        <v>10326</v>
      </c>
      <c r="X518" t="s">
        <v>10327</v>
      </c>
      <c r="Y518" t="s">
        <v>10328</v>
      </c>
      <c r="Z518" t="s">
        <v>10329</v>
      </c>
      <c r="AA518" t="s">
        <v>10330</v>
      </c>
      <c r="AB518" t="s">
        <v>10331</v>
      </c>
      <c r="AC518" t="s">
        <v>10332</v>
      </c>
      <c r="AD518" t="s">
        <v>10333</v>
      </c>
      <c r="AE518" t="s">
        <v>10334</v>
      </c>
      <c r="AF518" t="s">
        <v>74</v>
      </c>
      <c r="AG518">
        <v>64</v>
      </c>
      <c r="AH518">
        <v>1</v>
      </c>
      <c r="AI518">
        <v>1</v>
      </c>
      <c r="AJ518">
        <v>2</v>
      </c>
      <c r="AK518">
        <v>3</v>
      </c>
      <c r="AL518" t="s">
        <v>332</v>
      </c>
      <c r="AM518" t="s">
        <v>333</v>
      </c>
      <c r="AN518" t="s">
        <v>334</v>
      </c>
      <c r="AO518" t="s">
        <v>1975</v>
      </c>
      <c r="AP518" t="s">
        <v>1976</v>
      </c>
      <c r="AQ518" t="s">
        <v>74</v>
      </c>
      <c r="AR518" t="s">
        <v>1977</v>
      </c>
      <c r="AS518" t="s">
        <v>1978</v>
      </c>
      <c r="AT518" t="s">
        <v>10335</v>
      </c>
      <c r="AU518">
        <v>2025</v>
      </c>
      <c r="AV518" t="s">
        <v>74</v>
      </c>
      <c r="AW518" t="s">
        <v>74</v>
      </c>
      <c r="AX518" t="s">
        <v>74</v>
      </c>
      <c r="AY518" t="s">
        <v>74</v>
      </c>
      <c r="AZ518" t="s">
        <v>74</v>
      </c>
      <c r="BA518" t="s">
        <v>74</v>
      </c>
      <c r="BB518" t="s">
        <v>74</v>
      </c>
      <c r="BC518" t="s">
        <v>74</v>
      </c>
      <c r="BD518" t="s">
        <v>74</v>
      </c>
      <c r="BE518" t="s">
        <v>10336</v>
      </c>
      <c r="BF518" t="str">
        <f>HYPERLINK("http://dx.doi.org/10.1080/00036846.2025.2502174","http://dx.doi.org/10.1080/00036846.2025.2502174")</f>
        <v>http://dx.doi.org/10.1080/00036846.2025.2502174</v>
      </c>
      <c r="BG518" t="s">
        <v>74</v>
      </c>
      <c r="BH518" t="s">
        <v>2359</v>
      </c>
      <c r="BI518">
        <v>20</v>
      </c>
      <c r="BJ518" t="s">
        <v>291</v>
      </c>
      <c r="BK518" t="s">
        <v>99</v>
      </c>
      <c r="BL518" t="s">
        <v>100</v>
      </c>
      <c r="BM518" t="s">
        <v>10337</v>
      </c>
      <c r="BN518" t="s">
        <v>74</v>
      </c>
      <c r="BO518" t="s">
        <v>74</v>
      </c>
      <c r="BP518" t="s">
        <v>74</v>
      </c>
      <c r="BQ518" t="s">
        <v>74</v>
      </c>
      <c r="BR518" t="s">
        <v>102</v>
      </c>
      <c r="BS518" t="s">
        <v>10338</v>
      </c>
      <c r="BT518" t="str">
        <f>HYPERLINK("https%3A%2F%2Fwww.webofscience.com%2Fwos%2Fwoscc%2Ffull-record%2FWOS:001486118300001","View Full Record in Web of Science")</f>
        <v>View Full Record in Web of Science</v>
      </c>
    </row>
    <row r="519" spans="1:72" x14ac:dyDescent="0.25">
      <c r="A519" t="s">
        <v>72</v>
      </c>
      <c r="B519" t="s">
        <v>10339</v>
      </c>
      <c r="C519" t="s">
        <v>74</v>
      </c>
      <c r="D519" t="s">
        <v>74</v>
      </c>
      <c r="E519" t="s">
        <v>74</v>
      </c>
      <c r="F519" t="s">
        <v>10340</v>
      </c>
      <c r="G519" t="s">
        <v>74</v>
      </c>
      <c r="H519" t="s">
        <v>74</v>
      </c>
      <c r="I519" t="s">
        <v>10341</v>
      </c>
      <c r="J519" t="s">
        <v>10342</v>
      </c>
      <c r="K519" t="s">
        <v>74</v>
      </c>
      <c r="L519" t="s">
        <v>74</v>
      </c>
      <c r="M519" t="s">
        <v>78</v>
      </c>
      <c r="N519" t="s">
        <v>79</v>
      </c>
      <c r="O519" t="s">
        <v>74</v>
      </c>
      <c r="P519" t="s">
        <v>74</v>
      </c>
      <c r="Q519" t="s">
        <v>74</v>
      </c>
      <c r="R519" t="s">
        <v>74</v>
      </c>
      <c r="S519" t="s">
        <v>74</v>
      </c>
      <c r="T519" t="s">
        <v>10343</v>
      </c>
      <c r="U519" t="s">
        <v>4348</v>
      </c>
      <c r="V519" t="s">
        <v>10344</v>
      </c>
      <c r="W519" t="s">
        <v>10345</v>
      </c>
      <c r="X519" t="s">
        <v>7915</v>
      </c>
      <c r="Y519" t="s">
        <v>10346</v>
      </c>
      <c r="Z519" t="s">
        <v>10347</v>
      </c>
      <c r="AA519" t="s">
        <v>74</v>
      </c>
      <c r="AB519" t="s">
        <v>74</v>
      </c>
      <c r="AC519" t="s">
        <v>74</v>
      </c>
      <c r="AD519" t="s">
        <v>74</v>
      </c>
      <c r="AE519" t="s">
        <v>74</v>
      </c>
      <c r="AF519" t="s">
        <v>74</v>
      </c>
      <c r="AG519">
        <v>40</v>
      </c>
      <c r="AH519">
        <v>0</v>
      </c>
      <c r="AI519">
        <v>0</v>
      </c>
      <c r="AJ519">
        <v>1</v>
      </c>
      <c r="AK519">
        <v>1</v>
      </c>
      <c r="AL519" t="s">
        <v>5989</v>
      </c>
      <c r="AM519" t="s">
        <v>995</v>
      </c>
      <c r="AN519" t="s">
        <v>5990</v>
      </c>
      <c r="AO519" t="s">
        <v>10348</v>
      </c>
      <c r="AP519" t="s">
        <v>10349</v>
      </c>
      <c r="AQ519" t="s">
        <v>74</v>
      </c>
      <c r="AR519" t="s">
        <v>10350</v>
      </c>
      <c r="AS519" t="s">
        <v>10351</v>
      </c>
      <c r="AT519" t="s">
        <v>1652</v>
      </c>
      <c r="AU519">
        <v>2025</v>
      </c>
      <c r="AV519">
        <v>21</v>
      </c>
      <c r="AW519">
        <v>2</v>
      </c>
      <c r="AX519" t="s">
        <v>74</v>
      </c>
      <c r="AY519" t="s">
        <v>74</v>
      </c>
      <c r="AZ519" t="s">
        <v>74</v>
      </c>
      <c r="BA519" t="s">
        <v>74</v>
      </c>
      <c r="BB519">
        <v>1</v>
      </c>
      <c r="BC519">
        <v>22</v>
      </c>
      <c r="BD519" t="s">
        <v>74</v>
      </c>
      <c r="BE519" t="s">
        <v>10352</v>
      </c>
      <c r="BF519" t="str">
        <f>HYPERLINK("http://dx.doi.org/10.21314/JCR.2025.006","http://dx.doi.org/10.21314/JCR.2025.006")</f>
        <v>http://dx.doi.org/10.21314/JCR.2025.006</v>
      </c>
      <c r="BG519" t="s">
        <v>74</v>
      </c>
      <c r="BH519" t="s">
        <v>74</v>
      </c>
      <c r="BI519">
        <v>22</v>
      </c>
      <c r="BJ519" t="s">
        <v>268</v>
      </c>
      <c r="BK519" t="s">
        <v>99</v>
      </c>
      <c r="BL519" t="s">
        <v>100</v>
      </c>
      <c r="BM519" t="s">
        <v>10353</v>
      </c>
      <c r="BN519" t="s">
        <v>74</v>
      </c>
      <c r="BO519" t="s">
        <v>74</v>
      </c>
      <c r="BP519" t="s">
        <v>74</v>
      </c>
      <c r="BQ519" t="s">
        <v>74</v>
      </c>
      <c r="BR519" t="s">
        <v>102</v>
      </c>
      <c r="BS519" t="s">
        <v>10354</v>
      </c>
      <c r="BT519" t="str">
        <f>HYPERLINK("https%3A%2F%2Fwww.webofscience.com%2Fwos%2Fwoscc%2Ffull-record%2FWOS:001606063600001","View Full Record in Web of Science")</f>
        <v>View Full Record in Web of Science</v>
      </c>
    </row>
    <row r="520" spans="1:72" x14ac:dyDescent="0.25">
      <c r="A520" t="s">
        <v>72</v>
      </c>
      <c r="B520" t="s">
        <v>10355</v>
      </c>
      <c r="C520" t="s">
        <v>74</v>
      </c>
      <c r="D520" t="s">
        <v>74</v>
      </c>
      <c r="E520" t="s">
        <v>74</v>
      </c>
      <c r="F520" t="s">
        <v>10356</v>
      </c>
      <c r="G520" t="s">
        <v>74</v>
      </c>
      <c r="H520" t="s">
        <v>74</v>
      </c>
      <c r="I520" t="s">
        <v>10357</v>
      </c>
      <c r="J520" t="s">
        <v>449</v>
      </c>
      <c r="K520" t="s">
        <v>74</v>
      </c>
      <c r="L520" t="s">
        <v>74</v>
      </c>
      <c r="M520" t="s">
        <v>78</v>
      </c>
      <c r="N520" t="s">
        <v>79</v>
      </c>
      <c r="O520" t="s">
        <v>74</v>
      </c>
      <c r="P520" t="s">
        <v>74</v>
      </c>
      <c r="Q520" t="s">
        <v>74</v>
      </c>
      <c r="R520" t="s">
        <v>74</v>
      </c>
      <c r="S520" t="s">
        <v>74</v>
      </c>
      <c r="T520" t="s">
        <v>10358</v>
      </c>
      <c r="U520" t="s">
        <v>10359</v>
      </c>
      <c r="V520" t="s">
        <v>10360</v>
      </c>
      <c r="W520" t="s">
        <v>10361</v>
      </c>
      <c r="X520" t="s">
        <v>10362</v>
      </c>
      <c r="Y520" t="s">
        <v>10363</v>
      </c>
      <c r="Z520" t="s">
        <v>10364</v>
      </c>
      <c r="AA520" t="s">
        <v>10365</v>
      </c>
      <c r="AB520" t="s">
        <v>10366</v>
      </c>
      <c r="AC520" t="s">
        <v>10367</v>
      </c>
      <c r="AD520" t="s">
        <v>10368</v>
      </c>
      <c r="AE520" t="s">
        <v>10369</v>
      </c>
      <c r="AF520" t="s">
        <v>74</v>
      </c>
      <c r="AG520">
        <v>70</v>
      </c>
      <c r="AH520">
        <v>408</v>
      </c>
      <c r="AI520">
        <v>514</v>
      </c>
      <c r="AJ520">
        <v>39</v>
      </c>
      <c r="AK520">
        <v>1161</v>
      </c>
      <c r="AL520" t="s">
        <v>332</v>
      </c>
      <c r="AM520" t="s">
        <v>333</v>
      </c>
      <c r="AN520" t="s">
        <v>334</v>
      </c>
      <c r="AO520" t="s">
        <v>459</v>
      </c>
      <c r="AP520" t="s">
        <v>460</v>
      </c>
      <c r="AQ520" t="s">
        <v>74</v>
      </c>
      <c r="AR520" t="s">
        <v>461</v>
      </c>
      <c r="AS520" t="s">
        <v>462</v>
      </c>
      <c r="AT520" t="s">
        <v>74</v>
      </c>
      <c r="AU520">
        <v>2017</v>
      </c>
      <c r="AV520">
        <v>22</v>
      </c>
      <c r="AW520">
        <v>4</v>
      </c>
      <c r="AX520" t="s">
        <v>74</v>
      </c>
      <c r="AY520" t="s">
        <v>74</v>
      </c>
      <c r="AZ520" t="s">
        <v>441</v>
      </c>
      <c r="BA520" t="s">
        <v>74</v>
      </c>
      <c r="BB520">
        <v>423</v>
      </c>
      <c r="BC520">
        <v>436</v>
      </c>
      <c r="BD520" t="s">
        <v>74</v>
      </c>
      <c r="BE520" t="s">
        <v>10370</v>
      </c>
      <c r="BF520" t="str">
        <f>HYPERLINK("http://dx.doi.org/10.1080/13563467.2017.1259298","http://dx.doi.org/10.1080/13563467.2017.1259298")</f>
        <v>http://dx.doi.org/10.1080/13563467.2017.1259298</v>
      </c>
      <c r="BG520" t="s">
        <v>74</v>
      </c>
      <c r="BH520" t="s">
        <v>74</v>
      </c>
      <c r="BI520">
        <v>14</v>
      </c>
      <c r="BJ520" t="s">
        <v>342</v>
      </c>
      <c r="BK520" t="s">
        <v>99</v>
      </c>
      <c r="BL520" t="s">
        <v>343</v>
      </c>
      <c r="BM520" t="s">
        <v>10371</v>
      </c>
      <c r="BN520" t="s">
        <v>74</v>
      </c>
      <c r="BO520" t="s">
        <v>74</v>
      </c>
      <c r="BP520" t="s">
        <v>74</v>
      </c>
      <c r="BQ520" t="s">
        <v>74</v>
      </c>
      <c r="BR520" t="s">
        <v>102</v>
      </c>
      <c r="BS520" t="s">
        <v>10372</v>
      </c>
      <c r="BT520" t="str">
        <f>HYPERLINK("https%3A%2F%2Fwww.webofscience.com%2Fwos%2Fwoscc%2Ffull-record%2FWOS:000402863400006","View Full Record in Web of Science")</f>
        <v>View Full Record in Web of Science</v>
      </c>
    </row>
    <row r="521" spans="1:72" x14ac:dyDescent="0.25">
      <c r="A521" t="s">
        <v>72</v>
      </c>
      <c r="B521" t="s">
        <v>10373</v>
      </c>
      <c r="C521" t="s">
        <v>74</v>
      </c>
      <c r="D521" t="s">
        <v>74</v>
      </c>
      <c r="E521" t="s">
        <v>74</v>
      </c>
      <c r="F521" t="s">
        <v>10374</v>
      </c>
      <c r="G521" t="s">
        <v>74</v>
      </c>
      <c r="H521" t="s">
        <v>74</v>
      </c>
      <c r="I521" t="s">
        <v>10375</v>
      </c>
      <c r="J521" t="s">
        <v>10376</v>
      </c>
      <c r="K521" t="s">
        <v>74</v>
      </c>
      <c r="L521" t="s">
        <v>74</v>
      </c>
      <c r="M521" t="s">
        <v>78</v>
      </c>
      <c r="N521" t="s">
        <v>372</v>
      </c>
      <c r="O521" t="s">
        <v>74</v>
      </c>
      <c r="P521" t="s">
        <v>74</v>
      </c>
      <c r="Q521" t="s">
        <v>74</v>
      </c>
      <c r="R521" t="s">
        <v>74</v>
      </c>
      <c r="S521" t="s">
        <v>74</v>
      </c>
      <c r="T521" t="s">
        <v>10377</v>
      </c>
      <c r="U521" t="s">
        <v>10378</v>
      </c>
      <c r="V521" t="s">
        <v>10379</v>
      </c>
      <c r="W521" t="s">
        <v>10380</v>
      </c>
      <c r="X521" t="s">
        <v>10381</v>
      </c>
      <c r="Y521" t="s">
        <v>10382</v>
      </c>
      <c r="Z521" t="s">
        <v>10383</v>
      </c>
      <c r="AA521" t="s">
        <v>10384</v>
      </c>
      <c r="AB521" t="s">
        <v>74</v>
      </c>
      <c r="AC521" t="s">
        <v>74</v>
      </c>
      <c r="AD521" t="s">
        <v>74</v>
      </c>
      <c r="AE521" t="s">
        <v>74</v>
      </c>
      <c r="AF521" t="s">
        <v>74</v>
      </c>
      <c r="AG521">
        <v>88</v>
      </c>
      <c r="AH521">
        <v>0</v>
      </c>
      <c r="AI521">
        <v>0</v>
      </c>
      <c r="AJ521">
        <v>0</v>
      </c>
      <c r="AK521">
        <v>0</v>
      </c>
      <c r="AL521" t="s">
        <v>89</v>
      </c>
      <c r="AM521" t="s">
        <v>90</v>
      </c>
      <c r="AN521" t="s">
        <v>91</v>
      </c>
      <c r="AO521" t="s">
        <v>10385</v>
      </c>
      <c r="AP521" t="s">
        <v>10386</v>
      </c>
      <c r="AQ521" t="s">
        <v>74</v>
      </c>
      <c r="AR521" t="s">
        <v>10387</v>
      </c>
      <c r="AS521" t="s">
        <v>10388</v>
      </c>
      <c r="AT521" t="s">
        <v>10389</v>
      </c>
      <c r="AU521">
        <v>2025</v>
      </c>
      <c r="AV521" t="s">
        <v>74</v>
      </c>
      <c r="AW521" t="s">
        <v>74</v>
      </c>
      <c r="AX521" t="s">
        <v>74</v>
      </c>
      <c r="AY521" t="s">
        <v>74</v>
      </c>
      <c r="AZ521" t="s">
        <v>74</v>
      </c>
      <c r="BA521" t="s">
        <v>74</v>
      </c>
      <c r="BB521" t="s">
        <v>74</v>
      </c>
      <c r="BC521" t="s">
        <v>74</v>
      </c>
      <c r="BD521" t="s">
        <v>74</v>
      </c>
      <c r="BE521" t="s">
        <v>10390</v>
      </c>
      <c r="BF521" t="str">
        <f>HYPERLINK("http://dx.doi.org/10.1108/IJLMA-12-2024-0463","http://dx.doi.org/10.1108/IJLMA-12-2024-0463")</f>
        <v>http://dx.doi.org/10.1108/IJLMA-12-2024-0463</v>
      </c>
      <c r="BG521" t="s">
        <v>74</v>
      </c>
      <c r="BH521" t="s">
        <v>3411</v>
      </c>
      <c r="BI521">
        <v>25</v>
      </c>
      <c r="BJ521" t="s">
        <v>182</v>
      </c>
      <c r="BK521" t="s">
        <v>313</v>
      </c>
      <c r="BL521" t="s">
        <v>184</v>
      </c>
      <c r="BM521" t="s">
        <v>10391</v>
      </c>
      <c r="BN521" t="s">
        <v>74</v>
      </c>
      <c r="BO521" t="s">
        <v>74</v>
      </c>
      <c r="BP521" t="s">
        <v>74</v>
      </c>
      <c r="BQ521" t="s">
        <v>74</v>
      </c>
      <c r="BR521" t="s">
        <v>102</v>
      </c>
      <c r="BS521" t="s">
        <v>10392</v>
      </c>
      <c r="BT521" t="str">
        <f>HYPERLINK("https%3A%2F%2Fwww.webofscience.com%2Fwos%2Fwoscc%2Ffull-record%2FWOS:001575959500001","View Full Record in Web of Science")</f>
        <v>View Full Record in Web of Science</v>
      </c>
    </row>
    <row r="522" spans="1:72" x14ac:dyDescent="0.25">
      <c r="A522" t="s">
        <v>72</v>
      </c>
      <c r="B522" t="s">
        <v>10393</v>
      </c>
      <c r="C522" t="s">
        <v>74</v>
      </c>
      <c r="D522" t="s">
        <v>74</v>
      </c>
      <c r="E522" t="s">
        <v>74</v>
      </c>
      <c r="F522" t="s">
        <v>10394</v>
      </c>
      <c r="G522" t="s">
        <v>74</v>
      </c>
      <c r="H522" t="s">
        <v>74</v>
      </c>
      <c r="I522" t="s">
        <v>10395</v>
      </c>
      <c r="J522" t="s">
        <v>424</v>
      </c>
      <c r="K522" t="s">
        <v>74</v>
      </c>
      <c r="L522" t="s">
        <v>74</v>
      </c>
      <c r="M522" t="s">
        <v>78</v>
      </c>
      <c r="N522" t="s">
        <v>79</v>
      </c>
      <c r="O522" t="s">
        <v>74</v>
      </c>
      <c r="P522" t="s">
        <v>74</v>
      </c>
      <c r="Q522" t="s">
        <v>74</v>
      </c>
      <c r="R522" t="s">
        <v>74</v>
      </c>
      <c r="S522" t="s">
        <v>74</v>
      </c>
      <c r="T522" t="s">
        <v>10396</v>
      </c>
      <c r="U522" t="s">
        <v>10397</v>
      </c>
      <c r="V522" t="s">
        <v>10398</v>
      </c>
      <c r="W522" t="s">
        <v>10399</v>
      </c>
      <c r="X522" t="s">
        <v>10400</v>
      </c>
      <c r="Y522" t="s">
        <v>10401</v>
      </c>
      <c r="Z522" t="s">
        <v>10402</v>
      </c>
      <c r="AA522" t="s">
        <v>10403</v>
      </c>
      <c r="AB522" t="s">
        <v>10404</v>
      </c>
      <c r="AC522" t="s">
        <v>74</v>
      </c>
      <c r="AD522" t="s">
        <v>74</v>
      </c>
      <c r="AE522" t="s">
        <v>74</v>
      </c>
      <c r="AF522" t="s">
        <v>74</v>
      </c>
      <c r="AG522">
        <v>109</v>
      </c>
      <c r="AH522">
        <v>43</v>
      </c>
      <c r="AI522">
        <v>57</v>
      </c>
      <c r="AJ522">
        <v>3</v>
      </c>
      <c r="AK522">
        <v>49</v>
      </c>
      <c r="AL522" t="s">
        <v>89</v>
      </c>
      <c r="AM522" t="s">
        <v>90</v>
      </c>
      <c r="AN522" t="s">
        <v>91</v>
      </c>
      <c r="AO522" t="s">
        <v>436</v>
      </c>
      <c r="AP522" t="s">
        <v>437</v>
      </c>
      <c r="AQ522" t="s">
        <v>74</v>
      </c>
      <c r="AR522" t="s">
        <v>438</v>
      </c>
      <c r="AS522" t="s">
        <v>439</v>
      </c>
      <c r="AT522" t="s">
        <v>10405</v>
      </c>
      <c r="AU522">
        <v>2022</v>
      </c>
      <c r="AV522">
        <v>40</v>
      </c>
      <c r="AW522">
        <v>4</v>
      </c>
      <c r="AX522" t="s">
        <v>74</v>
      </c>
      <c r="AY522" t="s">
        <v>74</v>
      </c>
      <c r="AZ522" t="s">
        <v>74</v>
      </c>
      <c r="BA522" t="s">
        <v>74</v>
      </c>
      <c r="BB522">
        <v>791</v>
      </c>
      <c r="BC522">
        <v>819</v>
      </c>
      <c r="BD522" t="s">
        <v>74</v>
      </c>
      <c r="BE522" t="s">
        <v>10406</v>
      </c>
      <c r="BF522" t="str">
        <f>HYPERLINK("http://dx.doi.org/10.1108/IJBM-06-2021-0258","http://dx.doi.org/10.1108/IJBM-06-2021-0258")</f>
        <v>http://dx.doi.org/10.1108/IJBM-06-2021-0258</v>
      </c>
      <c r="BG522" t="s">
        <v>74</v>
      </c>
      <c r="BH522" t="s">
        <v>767</v>
      </c>
      <c r="BI522">
        <v>29</v>
      </c>
      <c r="BJ522" t="s">
        <v>418</v>
      </c>
      <c r="BK522" t="s">
        <v>99</v>
      </c>
      <c r="BL522" t="s">
        <v>100</v>
      </c>
      <c r="BM522" t="s">
        <v>10407</v>
      </c>
      <c r="BN522" t="s">
        <v>74</v>
      </c>
      <c r="BO522" t="s">
        <v>74</v>
      </c>
      <c r="BP522" t="s">
        <v>74</v>
      </c>
      <c r="BQ522" t="s">
        <v>74</v>
      </c>
      <c r="BR522" t="s">
        <v>102</v>
      </c>
      <c r="BS522" t="s">
        <v>10408</v>
      </c>
      <c r="BT522" t="str">
        <f>HYPERLINK("https%3A%2F%2Fwww.webofscience.com%2Fwos%2Fwoscc%2Ffull-record%2FWOS:000767086100001","View Full Record in Web of Science")</f>
        <v>View Full Record in Web of Science</v>
      </c>
    </row>
    <row r="523" spans="1:72" x14ac:dyDescent="0.25">
      <c r="A523" t="s">
        <v>72</v>
      </c>
      <c r="B523" t="s">
        <v>10409</v>
      </c>
      <c r="C523" t="s">
        <v>74</v>
      </c>
      <c r="D523" t="s">
        <v>74</v>
      </c>
      <c r="E523" t="s">
        <v>74</v>
      </c>
      <c r="F523" t="s">
        <v>10410</v>
      </c>
      <c r="G523" t="s">
        <v>74</v>
      </c>
      <c r="H523" t="s">
        <v>74</v>
      </c>
      <c r="I523" t="s">
        <v>10411</v>
      </c>
      <c r="J523" t="s">
        <v>4306</v>
      </c>
      <c r="K523" t="s">
        <v>74</v>
      </c>
      <c r="L523" t="s">
        <v>74</v>
      </c>
      <c r="M523" t="s">
        <v>78</v>
      </c>
      <c r="N523" t="s">
        <v>79</v>
      </c>
      <c r="O523" t="s">
        <v>74</v>
      </c>
      <c r="P523" t="s">
        <v>74</v>
      </c>
      <c r="Q523" t="s">
        <v>74</v>
      </c>
      <c r="R523" t="s">
        <v>74</v>
      </c>
      <c r="S523" t="s">
        <v>74</v>
      </c>
      <c r="T523" t="s">
        <v>10412</v>
      </c>
      <c r="U523" t="s">
        <v>10413</v>
      </c>
      <c r="V523" t="s">
        <v>10414</v>
      </c>
      <c r="W523" t="s">
        <v>10415</v>
      </c>
      <c r="X523" t="s">
        <v>10416</v>
      </c>
      <c r="Y523" t="s">
        <v>10417</v>
      </c>
      <c r="Z523" t="s">
        <v>10418</v>
      </c>
      <c r="AA523" t="s">
        <v>10419</v>
      </c>
      <c r="AB523" t="s">
        <v>10420</v>
      </c>
      <c r="AC523" t="s">
        <v>74</v>
      </c>
      <c r="AD523" t="s">
        <v>74</v>
      </c>
      <c r="AE523" t="s">
        <v>74</v>
      </c>
      <c r="AF523" t="s">
        <v>74</v>
      </c>
      <c r="AG523">
        <v>128</v>
      </c>
      <c r="AH523">
        <v>5</v>
      </c>
      <c r="AI523">
        <v>8</v>
      </c>
      <c r="AJ523">
        <v>8</v>
      </c>
      <c r="AK523">
        <v>21</v>
      </c>
      <c r="AL523" t="s">
        <v>503</v>
      </c>
      <c r="AM523" t="s">
        <v>151</v>
      </c>
      <c r="AN523" t="s">
        <v>504</v>
      </c>
      <c r="AO523" t="s">
        <v>4315</v>
      </c>
      <c r="AP523" t="s">
        <v>4316</v>
      </c>
      <c r="AQ523" t="s">
        <v>74</v>
      </c>
      <c r="AR523" t="s">
        <v>4317</v>
      </c>
      <c r="AS523" t="s">
        <v>4318</v>
      </c>
      <c r="AT523" t="s">
        <v>1652</v>
      </c>
      <c r="AU523">
        <v>2024</v>
      </c>
      <c r="AV523">
        <v>203</v>
      </c>
      <c r="AW523" t="s">
        <v>74</v>
      </c>
      <c r="AX523" t="s">
        <v>74</v>
      </c>
      <c r="AY523" t="s">
        <v>74</v>
      </c>
      <c r="AZ523" t="s">
        <v>74</v>
      </c>
      <c r="BA523" t="s">
        <v>74</v>
      </c>
      <c r="BB523" t="s">
        <v>74</v>
      </c>
      <c r="BC523" t="s">
        <v>74</v>
      </c>
      <c r="BD523">
        <v>123400</v>
      </c>
      <c r="BE523" t="s">
        <v>10421</v>
      </c>
      <c r="BF523" t="str">
        <f>HYPERLINK("http://dx.doi.org/10.1016/j.techfore.2024.123400","http://dx.doi.org/10.1016/j.techfore.2024.123400")</f>
        <v>http://dx.doi.org/10.1016/j.techfore.2024.123400</v>
      </c>
      <c r="BG523" t="s">
        <v>74</v>
      </c>
      <c r="BH523" t="s">
        <v>938</v>
      </c>
      <c r="BI523">
        <v>14</v>
      </c>
      <c r="BJ523" t="s">
        <v>1627</v>
      </c>
      <c r="BK523" t="s">
        <v>99</v>
      </c>
      <c r="BL523" t="s">
        <v>1406</v>
      </c>
      <c r="BM523" t="s">
        <v>10422</v>
      </c>
      <c r="BN523" t="s">
        <v>74</v>
      </c>
      <c r="BO523" t="s">
        <v>74</v>
      </c>
      <c r="BP523" t="s">
        <v>74</v>
      </c>
      <c r="BQ523" t="s">
        <v>74</v>
      </c>
      <c r="BR523" t="s">
        <v>102</v>
      </c>
      <c r="BS523" t="s">
        <v>10423</v>
      </c>
      <c r="BT523" t="str">
        <f>HYPERLINK("https%3A%2F%2Fwww.webofscience.com%2Fwos%2Fwoscc%2Ffull-record%2FWOS:001298902200001","View Full Record in Web of Science")</f>
        <v>View Full Record in Web of Science</v>
      </c>
    </row>
    <row r="524" spans="1:72" x14ac:dyDescent="0.25">
      <c r="A524" t="s">
        <v>72</v>
      </c>
      <c r="B524" t="s">
        <v>10424</v>
      </c>
      <c r="C524" t="s">
        <v>74</v>
      </c>
      <c r="D524" t="s">
        <v>74</v>
      </c>
      <c r="E524" t="s">
        <v>74</v>
      </c>
      <c r="F524" t="s">
        <v>10425</v>
      </c>
      <c r="G524" t="s">
        <v>74</v>
      </c>
      <c r="H524" t="s">
        <v>74</v>
      </c>
      <c r="I524" t="s">
        <v>10426</v>
      </c>
      <c r="J524" t="s">
        <v>10427</v>
      </c>
      <c r="K524" t="s">
        <v>74</v>
      </c>
      <c r="L524" t="s">
        <v>74</v>
      </c>
      <c r="M524" t="s">
        <v>78</v>
      </c>
      <c r="N524" t="s">
        <v>79</v>
      </c>
      <c r="O524" t="s">
        <v>74</v>
      </c>
      <c r="P524" t="s">
        <v>74</v>
      </c>
      <c r="Q524" t="s">
        <v>74</v>
      </c>
      <c r="R524" t="s">
        <v>74</v>
      </c>
      <c r="S524" t="s">
        <v>74</v>
      </c>
      <c r="T524" t="s">
        <v>10428</v>
      </c>
      <c r="U524" t="s">
        <v>10429</v>
      </c>
      <c r="V524" t="s">
        <v>10430</v>
      </c>
      <c r="W524" t="s">
        <v>10431</v>
      </c>
      <c r="X524" t="s">
        <v>10432</v>
      </c>
      <c r="Y524" t="s">
        <v>10433</v>
      </c>
      <c r="Z524" t="s">
        <v>10434</v>
      </c>
      <c r="AA524" t="s">
        <v>10435</v>
      </c>
      <c r="AB524" t="s">
        <v>10436</v>
      </c>
      <c r="AC524" t="s">
        <v>10437</v>
      </c>
      <c r="AD524" t="s">
        <v>10438</v>
      </c>
      <c r="AE524" t="s">
        <v>10439</v>
      </c>
      <c r="AF524" t="s">
        <v>74</v>
      </c>
      <c r="AG524">
        <v>50</v>
      </c>
      <c r="AH524">
        <v>14</v>
      </c>
      <c r="AI524">
        <v>18</v>
      </c>
      <c r="AJ524">
        <v>19</v>
      </c>
      <c r="AK524">
        <v>44</v>
      </c>
      <c r="AL524" t="s">
        <v>479</v>
      </c>
      <c r="AM524" t="s">
        <v>480</v>
      </c>
      <c r="AN524" t="s">
        <v>481</v>
      </c>
      <c r="AO524" t="s">
        <v>10440</v>
      </c>
      <c r="AP524" t="s">
        <v>10441</v>
      </c>
      <c r="AQ524" t="s">
        <v>74</v>
      </c>
      <c r="AR524" t="s">
        <v>10442</v>
      </c>
      <c r="AS524" t="s">
        <v>10443</v>
      </c>
      <c r="AT524" t="s">
        <v>237</v>
      </c>
      <c r="AU524">
        <v>2025</v>
      </c>
      <c r="AV524">
        <v>60</v>
      </c>
      <c r="AW524">
        <v>1</v>
      </c>
      <c r="AX524" t="s">
        <v>74</v>
      </c>
      <c r="AY524" t="s">
        <v>74</v>
      </c>
      <c r="AZ524" t="s">
        <v>74</v>
      </c>
      <c r="BA524" t="s">
        <v>74</v>
      </c>
      <c r="BB524">
        <v>71</v>
      </c>
      <c r="BC524">
        <v>93</v>
      </c>
      <c r="BD524" t="s">
        <v>74</v>
      </c>
      <c r="BE524" t="s">
        <v>10444</v>
      </c>
      <c r="BF524" t="str">
        <f>HYPERLINK("http://dx.doi.org/10.1111/fire.12404","http://dx.doi.org/10.1111/fire.12404")</f>
        <v>http://dx.doi.org/10.1111/fire.12404</v>
      </c>
      <c r="BG524" t="s">
        <v>74</v>
      </c>
      <c r="BH524" t="s">
        <v>5285</v>
      </c>
      <c r="BI524">
        <v>23</v>
      </c>
      <c r="BJ524" t="s">
        <v>268</v>
      </c>
      <c r="BK524" t="s">
        <v>313</v>
      </c>
      <c r="BL524" t="s">
        <v>100</v>
      </c>
      <c r="BM524" t="s">
        <v>10445</v>
      </c>
      <c r="BN524" t="s">
        <v>74</v>
      </c>
      <c r="BO524" t="s">
        <v>74</v>
      </c>
      <c r="BP524" t="s">
        <v>74</v>
      </c>
      <c r="BQ524" t="s">
        <v>74</v>
      </c>
      <c r="BR524" t="s">
        <v>102</v>
      </c>
      <c r="BS524" t="s">
        <v>10446</v>
      </c>
      <c r="BT524" t="str">
        <f>HYPERLINK("https%3A%2F%2Fwww.webofscience.com%2Fwos%2Fwoscc%2Ffull-record%2FWOS:001227488200001","View Full Record in Web of Science")</f>
        <v>View Full Record in Web of Science</v>
      </c>
    </row>
    <row r="525" spans="1:72" x14ac:dyDescent="0.25">
      <c r="A525" t="s">
        <v>72</v>
      </c>
      <c r="B525" t="s">
        <v>10447</v>
      </c>
      <c r="C525" t="s">
        <v>74</v>
      </c>
      <c r="D525" t="s">
        <v>74</v>
      </c>
      <c r="E525" t="s">
        <v>74</v>
      </c>
      <c r="F525" t="s">
        <v>10448</v>
      </c>
      <c r="G525" t="s">
        <v>74</v>
      </c>
      <c r="H525" t="s">
        <v>74</v>
      </c>
      <c r="I525" t="s">
        <v>10449</v>
      </c>
      <c r="J525" t="s">
        <v>10450</v>
      </c>
      <c r="K525" t="s">
        <v>74</v>
      </c>
      <c r="L525" t="s">
        <v>74</v>
      </c>
      <c r="M525" t="s">
        <v>78</v>
      </c>
      <c r="N525" t="s">
        <v>79</v>
      </c>
      <c r="O525" t="s">
        <v>74</v>
      </c>
      <c r="P525" t="s">
        <v>74</v>
      </c>
      <c r="Q525" t="s">
        <v>74</v>
      </c>
      <c r="R525" t="s">
        <v>74</v>
      </c>
      <c r="S525" t="s">
        <v>74</v>
      </c>
      <c r="T525" t="s">
        <v>10451</v>
      </c>
      <c r="U525" t="s">
        <v>10452</v>
      </c>
      <c r="V525" t="s">
        <v>10453</v>
      </c>
      <c r="W525" t="s">
        <v>10454</v>
      </c>
      <c r="X525" t="s">
        <v>10455</v>
      </c>
      <c r="Y525" t="s">
        <v>10456</v>
      </c>
      <c r="Z525" t="s">
        <v>10457</v>
      </c>
      <c r="AA525" t="s">
        <v>74</v>
      </c>
      <c r="AB525" t="s">
        <v>74</v>
      </c>
      <c r="AC525" t="s">
        <v>9223</v>
      </c>
      <c r="AD525" t="s">
        <v>9224</v>
      </c>
      <c r="AE525" t="s">
        <v>10458</v>
      </c>
      <c r="AF525" t="s">
        <v>74</v>
      </c>
      <c r="AG525">
        <v>36</v>
      </c>
      <c r="AH525">
        <v>34</v>
      </c>
      <c r="AI525">
        <v>34</v>
      </c>
      <c r="AJ525">
        <v>1</v>
      </c>
      <c r="AK525">
        <v>46</v>
      </c>
      <c r="AL525" t="s">
        <v>479</v>
      </c>
      <c r="AM525" t="s">
        <v>480</v>
      </c>
      <c r="AN525" t="s">
        <v>481</v>
      </c>
      <c r="AO525" t="s">
        <v>10459</v>
      </c>
      <c r="AP525" t="s">
        <v>10460</v>
      </c>
      <c r="AQ525" t="s">
        <v>74</v>
      </c>
      <c r="AR525" t="s">
        <v>10461</v>
      </c>
      <c r="AS525" t="s">
        <v>10462</v>
      </c>
      <c r="AT525" t="s">
        <v>1540</v>
      </c>
      <c r="AU525">
        <v>2020</v>
      </c>
      <c r="AV525">
        <v>28</v>
      </c>
      <c r="AW525">
        <v>3</v>
      </c>
      <c r="AX525" t="s">
        <v>74</v>
      </c>
      <c r="AY525" t="s">
        <v>74</v>
      </c>
      <c r="AZ525" t="s">
        <v>74</v>
      </c>
      <c r="BA525" t="s">
        <v>74</v>
      </c>
      <c r="BB525">
        <v>90</v>
      </c>
      <c r="BC525">
        <v>115</v>
      </c>
      <c r="BD525" t="s">
        <v>74</v>
      </c>
      <c r="BE525" t="s">
        <v>10463</v>
      </c>
      <c r="BF525" t="str">
        <f>HYPERLINK("http://dx.doi.org/10.1111/cwe.12334","http://dx.doi.org/10.1111/cwe.12334")</f>
        <v>http://dx.doi.org/10.1111/cwe.12334</v>
      </c>
      <c r="BG525" t="s">
        <v>74</v>
      </c>
      <c r="BH525" t="s">
        <v>74</v>
      </c>
      <c r="BI525">
        <v>26</v>
      </c>
      <c r="BJ525" t="s">
        <v>291</v>
      </c>
      <c r="BK525" t="s">
        <v>99</v>
      </c>
      <c r="BL525" t="s">
        <v>100</v>
      </c>
      <c r="BM525" t="s">
        <v>10464</v>
      </c>
      <c r="BN525" t="s">
        <v>74</v>
      </c>
      <c r="BO525" t="s">
        <v>74</v>
      </c>
      <c r="BP525" t="s">
        <v>74</v>
      </c>
      <c r="BQ525" t="s">
        <v>74</v>
      </c>
      <c r="BR525" t="s">
        <v>102</v>
      </c>
      <c r="BS525" t="s">
        <v>10465</v>
      </c>
      <c r="BT525" t="str">
        <f>HYPERLINK("https%3A%2F%2Fwww.webofscience.com%2Fwos%2Fwoscc%2Ffull-record%2FWOS:000535459500005","View Full Record in Web of Science")</f>
        <v>View Full Record in Web of Science</v>
      </c>
    </row>
    <row r="526" spans="1:72" x14ac:dyDescent="0.25">
      <c r="A526" t="s">
        <v>72</v>
      </c>
      <c r="B526" t="s">
        <v>10466</v>
      </c>
      <c r="C526" t="s">
        <v>74</v>
      </c>
      <c r="D526" t="s">
        <v>74</v>
      </c>
      <c r="E526" t="s">
        <v>74</v>
      </c>
      <c r="F526" t="s">
        <v>10467</v>
      </c>
      <c r="G526" t="s">
        <v>74</v>
      </c>
      <c r="H526" t="s">
        <v>74</v>
      </c>
      <c r="I526" t="s">
        <v>10468</v>
      </c>
      <c r="J526" t="s">
        <v>10469</v>
      </c>
      <c r="K526" t="s">
        <v>74</v>
      </c>
      <c r="L526" t="s">
        <v>74</v>
      </c>
      <c r="M526" t="s">
        <v>78</v>
      </c>
      <c r="N526" t="s">
        <v>79</v>
      </c>
      <c r="O526" t="s">
        <v>74</v>
      </c>
      <c r="P526" t="s">
        <v>74</v>
      </c>
      <c r="Q526" t="s">
        <v>74</v>
      </c>
      <c r="R526" t="s">
        <v>74</v>
      </c>
      <c r="S526" t="s">
        <v>74</v>
      </c>
      <c r="T526" t="s">
        <v>10470</v>
      </c>
      <c r="U526" t="s">
        <v>74</v>
      </c>
      <c r="V526" t="s">
        <v>10471</v>
      </c>
      <c r="W526" t="s">
        <v>10472</v>
      </c>
      <c r="X526" t="s">
        <v>74</v>
      </c>
      <c r="Y526" t="s">
        <v>10473</v>
      </c>
      <c r="Z526" t="s">
        <v>10474</v>
      </c>
      <c r="AA526" t="s">
        <v>74</v>
      </c>
      <c r="AB526" t="s">
        <v>74</v>
      </c>
      <c r="AC526" t="s">
        <v>10475</v>
      </c>
      <c r="AD526" t="s">
        <v>10475</v>
      </c>
      <c r="AE526" t="s">
        <v>10476</v>
      </c>
      <c r="AF526" t="s">
        <v>74</v>
      </c>
      <c r="AG526">
        <v>40</v>
      </c>
      <c r="AH526">
        <v>22</v>
      </c>
      <c r="AI526">
        <v>24</v>
      </c>
      <c r="AJ526">
        <v>1</v>
      </c>
      <c r="AK526">
        <v>42</v>
      </c>
      <c r="AL526" t="s">
        <v>332</v>
      </c>
      <c r="AM526" t="s">
        <v>333</v>
      </c>
      <c r="AN526" t="s">
        <v>334</v>
      </c>
      <c r="AO526" t="s">
        <v>10477</v>
      </c>
      <c r="AP526" t="s">
        <v>10478</v>
      </c>
      <c r="AQ526" t="s">
        <v>74</v>
      </c>
      <c r="AR526" t="s">
        <v>10479</v>
      </c>
      <c r="AS526" t="s">
        <v>10480</v>
      </c>
      <c r="AT526" t="s">
        <v>4361</v>
      </c>
      <c r="AU526">
        <v>2019</v>
      </c>
      <c r="AV526">
        <v>29</v>
      </c>
      <c r="AW526">
        <v>8</v>
      </c>
      <c r="AX526" t="s">
        <v>74</v>
      </c>
      <c r="AY526" t="s">
        <v>74</v>
      </c>
      <c r="AZ526" t="s">
        <v>74</v>
      </c>
      <c r="BA526" t="s">
        <v>74</v>
      </c>
      <c r="BB526">
        <v>1014</v>
      </c>
      <c r="BC526">
        <v>1028</v>
      </c>
      <c r="BD526" t="s">
        <v>74</v>
      </c>
      <c r="BE526" t="s">
        <v>10481</v>
      </c>
      <c r="BF526" t="str">
        <f>HYPERLINK("http://dx.doi.org/10.1080/09614524.2019.1654979","http://dx.doi.org/10.1080/09614524.2019.1654979")</f>
        <v>http://dx.doi.org/10.1080/09614524.2019.1654979</v>
      </c>
      <c r="BG526" t="s">
        <v>74</v>
      </c>
      <c r="BH526" t="s">
        <v>10482</v>
      </c>
      <c r="BI526">
        <v>15</v>
      </c>
      <c r="BJ526" t="s">
        <v>1137</v>
      </c>
      <c r="BK526" t="s">
        <v>313</v>
      </c>
      <c r="BL526" t="s">
        <v>1137</v>
      </c>
      <c r="BM526" t="s">
        <v>10483</v>
      </c>
      <c r="BN526" t="s">
        <v>74</v>
      </c>
      <c r="BO526" t="s">
        <v>270</v>
      </c>
      <c r="BP526" t="s">
        <v>74</v>
      </c>
      <c r="BQ526" t="s">
        <v>74</v>
      </c>
      <c r="BR526" t="s">
        <v>102</v>
      </c>
      <c r="BS526" t="s">
        <v>10484</v>
      </c>
      <c r="BT526" t="str">
        <f>HYPERLINK("https%3A%2F%2Fwww.webofscience.com%2Fwos%2Fwoscc%2Ffull-record%2FWOS:000490690900001","View Full Record in Web of Science")</f>
        <v>View Full Record in Web of Science</v>
      </c>
    </row>
    <row r="527" spans="1:72" x14ac:dyDescent="0.25">
      <c r="A527" t="s">
        <v>72</v>
      </c>
      <c r="B527" t="s">
        <v>10485</v>
      </c>
      <c r="C527" t="s">
        <v>74</v>
      </c>
      <c r="D527" t="s">
        <v>74</v>
      </c>
      <c r="E527" t="s">
        <v>74</v>
      </c>
      <c r="F527" t="s">
        <v>10486</v>
      </c>
      <c r="G527" t="s">
        <v>74</v>
      </c>
      <c r="H527" t="s">
        <v>74</v>
      </c>
      <c r="I527" t="s">
        <v>10487</v>
      </c>
      <c r="J527" t="s">
        <v>900</v>
      </c>
      <c r="K527" t="s">
        <v>74</v>
      </c>
      <c r="L527" t="s">
        <v>74</v>
      </c>
      <c r="M527" t="s">
        <v>78</v>
      </c>
      <c r="N527" t="s">
        <v>79</v>
      </c>
      <c r="O527" t="s">
        <v>74</v>
      </c>
      <c r="P527" t="s">
        <v>74</v>
      </c>
      <c r="Q527" t="s">
        <v>74</v>
      </c>
      <c r="R527" t="s">
        <v>74</v>
      </c>
      <c r="S527" t="s">
        <v>74</v>
      </c>
      <c r="T527" t="s">
        <v>10488</v>
      </c>
      <c r="U527" t="s">
        <v>10489</v>
      </c>
      <c r="V527" t="s">
        <v>10490</v>
      </c>
      <c r="W527" t="s">
        <v>10491</v>
      </c>
      <c r="X527" t="s">
        <v>10492</v>
      </c>
      <c r="Y527" t="s">
        <v>10493</v>
      </c>
      <c r="Z527" t="s">
        <v>10494</v>
      </c>
      <c r="AA527" t="s">
        <v>10495</v>
      </c>
      <c r="AB527" t="s">
        <v>74</v>
      </c>
      <c r="AC527" t="s">
        <v>74</v>
      </c>
      <c r="AD527" t="s">
        <v>74</v>
      </c>
      <c r="AE527" t="s">
        <v>74</v>
      </c>
      <c r="AF527" t="s">
        <v>74</v>
      </c>
      <c r="AG527">
        <v>63</v>
      </c>
      <c r="AH527">
        <v>1</v>
      </c>
      <c r="AI527">
        <v>1</v>
      </c>
      <c r="AJ527">
        <v>0</v>
      </c>
      <c r="AK527">
        <v>0</v>
      </c>
      <c r="AL527" t="s">
        <v>575</v>
      </c>
      <c r="AM527" t="s">
        <v>576</v>
      </c>
      <c r="AN527" t="s">
        <v>577</v>
      </c>
      <c r="AO527" t="s">
        <v>74</v>
      </c>
      <c r="AP527" t="s">
        <v>4045</v>
      </c>
      <c r="AQ527" t="s">
        <v>74</v>
      </c>
      <c r="AR527" t="s">
        <v>4046</v>
      </c>
      <c r="AS527" t="s">
        <v>4047</v>
      </c>
      <c r="AT527" t="s">
        <v>10496</v>
      </c>
      <c r="AU527">
        <v>2025</v>
      </c>
      <c r="AV527">
        <v>4</v>
      </c>
      <c r="AW527">
        <v>1</v>
      </c>
      <c r="AX527" t="s">
        <v>74</v>
      </c>
      <c r="AY527" t="s">
        <v>74</v>
      </c>
      <c r="AZ527" t="s">
        <v>74</v>
      </c>
      <c r="BA527" t="s">
        <v>74</v>
      </c>
      <c r="BB527" t="s">
        <v>74</v>
      </c>
      <c r="BC527" t="s">
        <v>74</v>
      </c>
      <c r="BD527">
        <v>9</v>
      </c>
      <c r="BE527" t="s">
        <v>10497</v>
      </c>
      <c r="BF527" t="str">
        <f>HYPERLINK("http://dx.doi.org/10.3390/fintech4010009","http://dx.doi.org/10.3390/fintech4010009")</f>
        <v>http://dx.doi.org/10.3390/fintech4010009</v>
      </c>
      <c r="BG527" t="s">
        <v>74</v>
      </c>
      <c r="BH527" t="s">
        <v>74</v>
      </c>
      <c r="BI527">
        <v>18</v>
      </c>
      <c r="BJ527" t="s">
        <v>4049</v>
      </c>
      <c r="BK527" t="s">
        <v>313</v>
      </c>
      <c r="BL527" t="s">
        <v>1070</v>
      </c>
      <c r="BM527" t="s">
        <v>10498</v>
      </c>
      <c r="BN527" t="s">
        <v>74</v>
      </c>
      <c r="BO527" t="s">
        <v>212</v>
      </c>
      <c r="BP527" t="s">
        <v>74</v>
      </c>
      <c r="BQ527" t="s">
        <v>74</v>
      </c>
      <c r="BR527" t="s">
        <v>102</v>
      </c>
      <c r="BS527" t="s">
        <v>10499</v>
      </c>
      <c r="BT527" t="str">
        <f>HYPERLINK("https%3A%2F%2Fwww.webofscience.com%2Fwos%2Fwoscc%2Ffull-record%2FWOS:001572613900001","View Full Record in Web of Science")</f>
        <v>View Full Record in Web of Science</v>
      </c>
    </row>
    <row r="528" spans="1:72" x14ac:dyDescent="0.25">
      <c r="A528" t="s">
        <v>72</v>
      </c>
      <c r="B528" t="s">
        <v>10500</v>
      </c>
      <c r="C528" t="s">
        <v>74</v>
      </c>
      <c r="D528" t="s">
        <v>74</v>
      </c>
      <c r="E528" t="s">
        <v>74</v>
      </c>
      <c r="F528" t="s">
        <v>10501</v>
      </c>
      <c r="G528" t="s">
        <v>74</v>
      </c>
      <c r="H528" t="s">
        <v>74</v>
      </c>
      <c r="I528" t="s">
        <v>10502</v>
      </c>
      <c r="J528" t="s">
        <v>10503</v>
      </c>
      <c r="K528" t="s">
        <v>74</v>
      </c>
      <c r="L528" t="s">
        <v>74</v>
      </c>
      <c r="M528" t="s">
        <v>78</v>
      </c>
      <c r="N528" t="s">
        <v>79</v>
      </c>
      <c r="O528" t="s">
        <v>74</v>
      </c>
      <c r="P528" t="s">
        <v>74</v>
      </c>
      <c r="Q528" t="s">
        <v>74</v>
      </c>
      <c r="R528" t="s">
        <v>74</v>
      </c>
      <c r="S528" t="s">
        <v>74</v>
      </c>
      <c r="T528" t="s">
        <v>10504</v>
      </c>
      <c r="U528" t="s">
        <v>10505</v>
      </c>
      <c r="V528" t="s">
        <v>10506</v>
      </c>
      <c r="W528" t="s">
        <v>10507</v>
      </c>
      <c r="X528" t="s">
        <v>10508</v>
      </c>
      <c r="Y528" t="s">
        <v>10509</v>
      </c>
      <c r="Z528" t="s">
        <v>74</v>
      </c>
      <c r="AA528" t="s">
        <v>10510</v>
      </c>
      <c r="AB528" t="s">
        <v>10511</v>
      </c>
      <c r="AC528" t="s">
        <v>74</v>
      </c>
      <c r="AD528" t="s">
        <v>74</v>
      </c>
      <c r="AE528" t="s">
        <v>74</v>
      </c>
      <c r="AF528" t="s">
        <v>74</v>
      </c>
      <c r="AG528">
        <v>108</v>
      </c>
      <c r="AH528">
        <v>26</v>
      </c>
      <c r="AI528">
        <v>31</v>
      </c>
      <c r="AJ528">
        <v>3</v>
      </c>
      <c r="AK528">
        <v>51</v>
      </c>
      <c r="AL528" t="s">
        <v>7551</v>
      </c>
      <c r="AM528" t="s">
        <v>7552</v>
      </c>
      <c r="AN528" t="s">
        <v>7553</v>
      </c>
      <c r="AO528" t="s">
        <v>10512</v>
      </c>
      <c r="AP528" t="s">
        <v>10513</v>
      </c>
      <c r="AQ528" t="s">
        <v>74</v>
      </c>
      <c r="AR528" t="s">
        <v>10514</v>
      </c>
      <c r="AS528" t="s">
        <v>10515</v>
      </c>
      <c r="AT528" t="s">
        <v>10516</v>
      </c>
      <c r="AU528">
        <v>2021</v>
      </c>
      <c r="AV528">
        <v>29</v>
      </c>
      <c r="AW528">
        <v>4</v>
      </c>
      <c r="AX528" t="s">
        <v>74</v>
      </c>
      <c r="AY528" t="s">
        <v>74</v>
      </c>
      <c r="AZ528" t="s">
        <v>74</v>
      </c>
      <c r="BA528" t="s">
        <v>74</v>
      </c>
      <c r="BB528">
        <v>195</v>
      </c>
      <c r="BC528">
        <v>220</v>
      </c>
      <c r="BD528" t="s">
        <v>74</v>
      </c>
      <c r="BE528" t="s">
        <v>10517</v>
      </c>
      <c r="BF528" t="str">
        <f>HYPERLINK("http://dx.doi.org/10.4018/JGIM.20210701.oa9","http://dx.doi.org/10.4018/JGIM.20210701.oa9")</f>
        <v>http://dx.doi.org/10.4018/JGIM.20210701.oa9</v>
      </c>
      <c r="BG528" t="s">
        <v>74</v>
      </c>
      <c r="BH528" t="s">
        <v>74</v>
      </c>
      <c r="BI528">
        <v>26</v>
      </c>
      <c r="BJ528" t="s">
        <v>2351</v>
      </c>
      <c r="BK528" t="s">
        <v>99</v>
      </c>
      <c r="BL528" t="s">
        <v>2351</v>
      </c>
      <c r="BM528" t="s">
        <v>10518</v>
      </c>
      <c r="BN528" t="s">
        <v>74</v>
      </c>
      <c r="BO528" t="s">
        <v>1676</v>
      </c>
      <c r="BP528" t="s">
        <v>74</v>
      </c>
      <c r="BQ528" t="s">
        <v>74</v>
      </c>
      <c r="BR528" t="s">
        <v>102</v>
      </c>
      <c r="BS528" t="s">
        <v>10519</v>
      </c>
      <c r="BT528" t="str">
        <f>HYPERLINK("https%3A%2F%2Fwww.webofscience.com%2Fwos%2Fwoscc%2Ffull-record%2FWOS:000649479400009","View Full Record in Web of Science")</f>
        <v>View Full Record in Web of Science</v>
      </c>
    </row>
    <row r="529" spans="1:72" x14ac:dyDescent="0.25">
      <c r="A529" t="s">
        <v>72</v>
      </c>
      <c r="B529" t="s">
        <v>10520</v>
      </c>
      <c r="C529" t="s">
        <v>74</v>
      </c>
      <c r="D529" t="s">
        <v>74</v>
      </c>
      <c r="E529" t="s">
        <v>74</v>
      </c>
      <c r="F529" t="s">
        <v>10521</v>
      </c>
      <c r="G529" t="s">
        <v>74</v>
      </c>
      <c r="H529" t="s">
        <v>74</v>
      </c>
      <c r="I529" t="s">
        <v>10522</v>
      </c>
      <c r="J529" t="s">
        <v>1435</v>
      </c>
      <c r="K529" t="s">
        <v>74</v>
      </c>
      <c r="L529" t="s">
        <v>74</v>
      </c>
      <c r="M529" t="s">
        <v>78</v>
      </c>
      <c r="N529" t="s">
        <v>79</v>
      </c>
      <c r="O529" t="s">
        <v>74</v>
      </c>
      <c r="P529" t="s">
        <v>74</v>
      </c>
      <c r="Q529" t="s">
        <v>74</v>
      </c>
      <c r="R529" t="s">
        <v>74</v>
      </c>
      <c r="S529" t="s">
        <v>74</v>
      </c>
      <c r="T529" t="s">
        <v>10523</v>
      </c>
      <c r="U529" t="s">
        <v>10524</v>
      </c>
      <c r="V529" t="s">
        <v>10525</v>
      </c>
      <c r="W529" t="s">
        <v>10526</v>
      </c>
      <c r="X529" t="s">
        <v>10527</v>
      </c>
      <c r="Y529" t="s">
        <v>10528</v>
      </c>
      <c r="Z529" t="s">
        <v>10529</v>
      </c>
      <c r="AA529" t="s">
        <v>10530</v>
      </c>
      <c r="AB529" t="s">
        <v>74</v>
      </c>
      <c r="AC529" t="s">
        <v>10531</v>
      </c>
      <c r="AD529" t="s">
        <v>10532</v>
      </c>
      <c r="AE529" t="s">
        <v>10533</v>
      </c>
      <c r="AF529" t="s">
        <v>74</v>
      </c>
      <c r="AG529">
        <v>73</v>
      </c>
      <c r="AH529">
        <v>13</v>
      </c>
      <c r="AI529">
        <v>24</v>
      </c>
      <c r="AJ529">
        <v>1</v>
      </c>
      <c r="AK529">
        <v>16</v>
      </c>
      <c r="AL529" t="s">
        <v>1445</v>
      </c>
      <c r="AM529" t="s">
        <v>1446</v>
      </c>
      <c r="AN529" t="s">
        <v>10534</v>
      </c>
      <c r="AO529" t="s">
        <v>1448</v>
      </c>
      <c r="AP529" t="s">
        <v>1449</v>
      </c>
      <c r="AQ529" t="s">
        <v>74</v>
      </c>
      <c r="AR529" t="s">
        <v>1450</v>
      </c>
      <c r="AS529" t="s">
        <v>1451</v>
      </c>
      <c r="AT529" t="s">
        <v>74</v>
      </c>
      <c r="AU529">
        <v>2021</v>
      </c>
      <c r="AV529">
        <v>14</v>
      </c>
      <c r="AW529">
        <v>4</v>
      </c>
      <c r="AX529" t="s">
        <v>74</v>
      </c>
      <c r="AY529" t="s">
        <v>74</v>
      </c>
      <c r="AZ529" t="s">
        <v>74</v>
      </c>
      <c r="BA529" t="s">
        <v>74</v>
      </c>
      <c r="BB529">
        <v>326</v>
      </c>
      <c r="BC529">
        <v>354</v>
      </c>
      <c r="BD529" t="s">
        <v>74</v>
      </c>
      <c r="BE529" t="s">
        <v>10535</v>
      </c>
      <c r="BF529" t="str">
        <f>HYPERLINK("http://dx.doi.org/10.14254/2071-789X.2021/14-4/19","http://dx.doi.org/10.14254/2071-789X.2021/14-4/19")</f>
        <v>http://dx.doi.org/10.14254/2071-789X.2021/14-4/19</v>
      </c>
      <c r="BG529" t="s">
        <v>74</v>
      </c>
      <c r="BH529" t="s">
        <v>74</v>
      </c>
      <c r="BI529">
        <v>29</v>
      </c>
      <c r="BJ529" t="s">
        <v>1453</v>
      </c>
      <c r="BK529" t="s">
        <v>313</v>
      </c>
      <c r="BL529" t="s">
        <v>100</v>
      </c>
      <c r="BM529" t="s">
        <v>10536</v>
      </c>
      <c r="BN529" t="s">
        <v>74</v>
      </c>
      <c r="BO529" t="s">
        <v>916</v>
      </c>
      <c r="BP529" t="s">
        <v>74</v>
      </c>
      <c r="BQ529" t="s">
        <v>74</v>
      </c>
      <c r="BR529" t="s">
        <v>102</v>
      </c>
      <c r="BS529" t="s">
        <v>10537</v>
      </c>
      <c r="BT529" t="str">
        <f>HYPERLINK("https%3A%2F%2Fwww.webofscience.com%2Fwos%2Fwoscc%2Ffull-record%2FWOS:000745009700019","View Full Record in Web of Science")</f>
        <v>View Full Record in Web of Science</v>
      </c>
    </row>
    <row r="530" spans="1:72" x14ac:dyDescent="0.25">
      <c r="A530" t="s">
        <v>72</v>
      </c>
      <c r="B530" t="s">
        <v>10538</v>
      </c>
      <c r="C530" t="s">
        <v>74</v>
      </c>
      <c r="D530" t="s">
        <v>74</v>
      </c>
      <c r="E530" t="s">
        <v>74</v>
      </c>
      <c r="F530" t="s">
        <v>10539</v>
      </c>
      <c r="G530" t="s">
        <v>74</v>
      </c>
      <c r="H530" t="s">
        <v>74</v>
      </c>
      <c r="I530" t="s">
        <v>10540</v>
      </c>
      <c r="J530" t="s">
        <v>4743</v>
      </c>
      <c r="K530" t="s">
        <v>74</v>
      </c>
      <c r="L530" t="s">
        <v>74</v>
      </c>
      <c r="M530" t="s">
        <v>78</v>
      </c>
      <c r="N530" t="s">
        <v>79</v>
      </c>
      <c r="O530" t="s">
        <v>74</v>
      </c>
      <c r="P530" t="s">
        <v>74</v>
      </c>
      <c r="Q530" t="s">
        <v>74</v>
      </c>
      <c r="R530" t="s">
        <v>74</v>
      </c>
      <c r="S530" t="s">
        <v>74</v>
      </c>
      <c r="T530" t="s">
        <v>10541</v>
      </c>
      <c r="U530" t="s">
        <v>10542</v>
      </c>
      <c r="V530" t="s">
        <v>10543</v>
      </c>
      <c r="W530" t="s">
        <v>10544</v>
      </c>
      <c r="X530" t="s">
        <v>10545</v>
      </c>
      <c r="Y530" t="s">
        <v>10546</v>
      </c>
      <c r="Z530" t="s">
        <v>10547</v>
      </c>
      <c r="AA530" t="s">
        <v>74</v>
      </c>
      <c r="AB530" t="s">
        <v>10548</v>
      </c>
      <c r="AC530" t="s">
        <v>10549</v>
      </c>
      <c r="AD530" t="s">
        <v>10550</v>
      </c>
      <c r="AE530" t="s">
        <v>10551</v>
      </c>
      <c r="AF530" t="s">
        <v>74</v>
      </c>
      <c r="AG530">
        <v>34</v>
      </c>
      <c r="AH530">
        <v>65</v>
      </c>
      <c r="AI530">
        <v>81</v>
      </c>
      <c r="AJ530">
        <v>4</v>
      </c>
      <c r="AK530">
        <v>50</v>
      </c>
      <c r="AL530" t="s">
        <v>230</v>
      </c>
      <c r="AM530" t="s">
        <v>231</v>
      </c>
      <c r="AN530" t="s">
        <v>232</v>
      </c>
      <c r="AO530" t="s">
        <v>4755</v>
      </c>
      <c r="AP530" t="s">
        <v>74</v>
      </c>
      <c r="AQ530" t="s">
        <v>74</v>
      </c>
      <c r="AR530" t="s">
        <v>4757</v>
      </c>
      <c r="AS530" t="s">
        <v>4758</v>
      </c>
      <c r="AT530" t="s">
        <v>1933</v>
      </c>
      <c r="AU530">
        <v>2018</v>
      </c>
      <c r="AV530">
        <v>67</v>
      </c>
      <c r="AW530" t="s">
        <v>74</v>
      </c>
      <c r="AX530" t="s">
        <v>74</v>
      </c>
      <c r="AY530" t="s">
        <v>74</v>
      </c>
      <c r="AZ530" t="s">
        <v>74</v>
      </c>
      <c r="BA530" t="s">
        <v>74</v>
      </c>
      <c r="BB530">
        <v>18</v>
      </c>
      <c r="BC530">
        <v>22</v>
      </c>
      <c r="BD530" t="s">
        <v>74</v>
      </c>
      <c r="BE530" t="s">
        <v>10552</v>
      </c>
      <c r="BF530" t="str">
        <f>HYPERLINK("http://dx.doi.org/10.1016/j.wsif.2017.11.013","http://dx.doi.org/10.1016/j.wsif.2017.11.013")</f>
        <v>http://dx.doi.org/10.1016/j.wsif.2017.11.013</v>
      </c>
      <c r="BG530" t="s">
        <v>74</v>
      </c>
      <c r="BH530" t="s">
        <v>74</v>
      </c>
      <c r="BI530">
        <v>5</v>
      </c>
      <c r="BJ530" t="s">
        <v>4761</v>
      </c>
      <c r="BK530" t="s">
        <v>99</v>
      </c>
      <c r="BL530" t="s">
        <v>4761</v>
      </c>
      <c r="BM530" t="s">
        <v>10553</v>
      </c>
      <c r="BN530" t="s">
        <v>74</v>
      </c>
      <c r="BO530" t="s">
        <v>212</v>
      </c>
      <c r="BP530" t="s">
        <v>74</v>
      </c>
      <c r="BQ530" t="s">
        <v>74</v>
      </c>
      <c r="BR530" t="s">
        <v>102</v>
      </c>
      <c r="BS530" t="s">
        <v>10554</v>
      </c>
      <c r="BT530" t="str">
        <f>HYPERLINK("https%3A%2F%2Fwww.webofscience.com%2Fwos%2Fwoscc%2Ffull-record%2FWOS:000430770900003","View Full Record in Web of Science")</f>
        <v>View Full Record in Web of Science</v>
      </c>
    </row>
    <row r="531" spans="1:72" x14ac:dyDescent="0.25">
      <c r="A531" t="s">
        <v>72</v>
      </c>
      <c r="B531" t="s">
        <v>10555</v>
      </c>
      <c r="C531" t="s">
        <v>74</v>
      </c>
      <c r="D531" t="s">
        <v>74</v>
      </c>
      <c r="E531" t="s">
        <v>74</v>
      </c>
      <c r="F531" t="s">
        <v>10556</v>
      </c>
      <c r="G531" t="s">
        <v>74</v>
      </c>
      <c r="H531" t="s">
        <v>74</v>
      </c>
      <c r="I531" t="s">
        <v>10557</v>
      </c>
      <c r="J531" t="s">
        <v>3231</v>
      </c>
      <c r="K531" t="s">
        <v>74</v>
      </c>
      <c r="L531" t="s">
        <v>74</v>
      </c>
      <c r="M531" t="s">
        <v>78</v>
      </c>
      <c r="N531" t="s">
        <v>79</v>
      </c>
      <c r="O531" t="s">
        <v>74</v>
      </c>
      <c r="P531" t="s">
        <v>74</v>
      </c>
      <c r="Q531" t="s">
        <v>74</v>
      </c>
      <c r="R531" t="s">
        <v>74</v>
      </c>
      <c r="S531" t="s">
        <v>74</v>
      </c>
      <c r="T531" t="s">
        <v>10558</v>
      </c>
      <c r="U531" t="s">
        <v>10559</v>
      </c>
      <c r="V531" t="s">
        <v>10560</v>
      </c>
      <c r="W531" t="s">
        <v>10561</v>
      </c>
      <c r="X531" t="s">
        <v>10562</v>
      </c>
      <c r="Y531" t="s">
        <v>10563</v>
      </c>
      <c r="Z531" t="s">
        <v>10564</v>
      </c>
      <c r="AA531" t="s">
        <v>10565</v>
      </c>
      <c r="AB531" t="s">
        <v>10566</v>
      </c>
      <c r="AC531" t="s">
        <v>10567</v>
      </c>
      <c r="AD531" t="s">
        <v>10568</v>
      </c>
      <c r="AE531" t="s">
        <v>10569</v>
      </c>
      <c r="AF531" t="s">
        <v>74</v>
      </c>
      <c r="AG531">
        <v>52</v>
      </c>
      <c r="AH531">
        <v>18</v>
      </c>
      <c r="AI531">
        <v>23</v>
      </c>
      <c r="AJ531">
        <v>1</v>
      </c>
      <c r="AK531">
        <v>35</v>
      </c>
      <c r="AL531" t="s">
        <v>575</v>
      </c>
      <c r="AM531" t="s">
        <v>576</v>
      </c>
      <c r="AN531" t="s">
        <v>3242</v>
      </c>
      <c r="AO531" t="s">
        <v>74</v>
      </c>
      <c r="AP531" t="s">
        <v>3243</v>
      </c>
      <c r="AQ531" t="s">
        <v>74</v>
      </c>
      <c r="AR531" t="s">
        <v>3244</v>
      </c>
      <c r="AS531" t="s">
        <v>3245</v>
      </c>
      <c r="AT531" t="s">
        <v>237</v>
      </c>
      <c r="AU531">
        <v>2020</v>
      </c>
      <c r="AV531">
        <v>12</v>
      </c>
      <c r="AW531">
        <v>3</v>
      </c>
      <c r="AX531" t="s">
        <v>74</v>
      </c>
      <c r="AY531" t="s">
        <v>74</v>
      </c>
      <c r="AZ531" t="s">
        <v>74</v>
      </c>
      <c r="BA531" t="s">
        <v>74</v>
      </c>
      <c r="BB531" t="s">
        <v>74</v>
      </c>
      <c r="BC531" t="s">
        <v>74</v>
      </c>
      <c r="BD531">
        <v>895</v>
      </c>
      <c r="BE531" t="s">
        <v>10570</v>
      </c>
      <c r="BF531" t="str">
        <f>HYPERLINK("http://dx.doi.org/10.3390/su12030895","http://dx.doi.org/10.3390/su12030895")</f>
        <v>http://dx.doi.org/10.3390/su12030895</v>
      </c>
      <c r="BG531" t="s">
        <v>74</v>
      </c>
      <c r="BH531" t="s">
        <v>74</v>
      </c>
      <c r="BI531">
        <v>20</v>
      </c>
      <c r="BJ531" t="s">
        <v>3247</v>
      </c>
      <c r="BK531" t="s">
        <v>2623</v>
      </c>
      <c r="BL531" t="s">
        <v>3248</v>
      </c>
      <c r="BM531" t="s">
        <v>10571</v>
      </c>
      <c r="BN531" t="s">
        <v>74</v>
      </c>
      <c r="BO531" t="s">
        <v>916</v>
      </c>
      <c r="BP531" t="s">
        <v>74</v>
      </c>
      <c r="BQ531" t="s">
        <v>74</v>
      </c>
      <c r="BR531" t="s">
        <v>102</v>
      </c>
      <c r="BS531" t="s">
        <v>10572</v>
      </c>
      <c r="BT531" t="str">
        <f>HYPERLINK("https%3A%2F%2Fwww.webofscience.com%2Fwos%2Fwoscc%2Ffull-record%2FWOS:000519135102051","View Full Record in Web of Science")</f>
        <v>View Full Record in Web of Science</v>
      </c>
    </row>
    <row r="532" spans="1:72" x14ac:dyDescent="0.25">
      <c r="A532" t="s">
        <v>72</v>
      </c>
      <c r="B532" t="s">
        <v>10573</v>
      </c>
      <c r="C532" t="s">
        <v>74</v>
      </c>
      <c r="D532" t="s">
        <v>74</v>
      </c>
      <c r="E532" t="s">
        <v>74</v>
      </c>
      <c r="F532" t="s">
        <v>10574</v>
      </c>
      <c r="G532" t="s">
        <v>74</v>
      </c>
      <c r="H532" t="s">
        <v>74</v>
      </c>
      <c r="I532" t="s">
        <v>10575</v>
      </c>
      <c r="J532" t="s">
        <v>7220</v>
      </c>
      <c r="K532" t="s">
        <v>74</v>
      </c>
      <c r="L532" t="s">
        <v>74</v>
      </c>
      <c r="M532" t="s">
        <v>78</v>
      </c>
      <c r="N532" t="s">
        <v>372</v>
      </c>
      <c r="O532" t="s">
        <v>74</v>
      </c>
      <c r="P532" t="s">
        <v>74</v>
      </c>
      <c r="Q532" t="s">
        <v>74</v>
      </c>
      <c r="R532" t="s">
        <v>74</v>
      </c>
      <c r="S532" t="s">
        <v>74</v>
      </c>
      <c r="T532" t="s">
        <v>10576</v>
      </c>
      <c r="U532" t="s">
        <v>10577</v>
      </c>
      <c r="V532" t="s">
        <v>10578</v>
      </c>
      <c r="W532" t="s">
        <v>10579</v>
      </c>
      <c r="X532" t="s">
        <v>10580</v>
      </c>
      <c r="Y532" t="s">
        <v>10581</v>
      </c>
      <c r="Z532" t="s">
        <v>10582</v>
      </c>
      <c r="AA532" t="s">
        <v>10583</v>
      </c>
      <c r="AB532" t="s">
        <v>10584</v>
      </c>
      <c r="AC532" t="s">
        <v>74</v>
      </c>
      <c r="AD532" t="s">
        <v>74</v>
      </c>
      <c r="AE532" t="s">
        <v>74</v>
      </c>
      <c r="AF532" t="s">
        <v>74</v>
      </c>
      <c r="AG532">
        <v>126</v>
      </c>
      <c r="AH532">
        <v>3</v>
      </c>
      <c r="AI532">
        <v>4</v>
      </c>
      <c r="AJ532">
        <v>5</v>
      </c>
      <c r="AK532">
        <v>8</v>
      </c>
      <c r="AL532" t="s">
        <v>89</v>
      </c>
      <c r="AM532" t="s">
        <v>90</v>
      </c>
      <c r="AN532" t="s">
        <v>91</v>
      </c>
      <c r="AO532" t="s">
        <v>7230</v>
      </c>
      <c r="AP532" t="s">
        <v>7231</v>
      </c>
      <c r="AQ532" t="s">
        <v>74</v>
      </c>
      <c r="AR532" t="s">
        <v>7232</v>
      </c>
      <c r="AS532" t="s">
        <v>7233</v>
      </c>
      <c r="AT532" t="s">
        <v>10585</v>
      </c>
      <c r="AU532">
        <v>2025</v>
      </c>
      <c r="AV532" t="s">
        <v>74</v>
      </c>
      <c r="AW532" t="s">
        <v>74</v>
      </c>
      <c r="AX532" t="s">
        <v>74</v>
      </c>
      <c r="AY532" t="s">
        <v>74</v>
      </c>
      <c r="AZ532" t="s">
        <v>74</v>
      </c>
      <c r="BA532" t="s">
        <v>74</v>
      </c>
      <c r="BB532" t="s">
        <v>74</v>
      </c>
      <c r="BC532" t="s">
        <v>74</v>
      </c>
      <c r="BD532" t="s">
        <v>74</v>
      </c>
      <c r="BE532" t="s">
        <v>10586</v>
      </c>
      <c r="BF532" t="str">
        <f>HYPERLINK("http://dx.doi.org/10.1108/JEAS-07-2024-0243","http://dx.doi.org/10.1108/JEAS-07-2024-0243")</f>
        <v>http://dx.doi.org/10.1108/JEAS-07-2024-0243</v>
      </c>
      <c r="BG532" t="s">
        <v>74</v>
      </c>
      <c r="BH532" t="s">
        <v>417</v>
      </c>
      <c r="BI532">
        <v>22</v>
      </c>
      <c r="BJ532" t="s">
        <v>291</v>
      </c>
      <c r="BK532" t="s">
        <v>313</v>
      </c>
      <c r="BL532" t="s">
        <v>100</v>
      </c>
      <c r="BM532" t="s">
        <v>10587</v>
      </c>
      <c r="BN532" t="s">
        <v>74</v>
      </c>
      <c r="BO532" t="s">
        <v>74</v>
      </c>
      <c r="BP532" t="s">
        <v>74</v>
      </c>
      <c r="BQ532" t="s">
        <v>74</v>
      </c>
      <c r="BR532" t="s">
        <v>102</v>
      </c>
      <c r="BS532" t="s">
        <v>10588</v>
      </c>
      <c r="BT532" t="str">
        <f>HYPERLINK("https%3A%2F%2Fwww.webofscience.com%2Fwos%2Fwoscc%2Ffull-record%2FWOS:001420314700001","View Full Record in Web of Science")</f>
        <v>View Full Record in Web of Science</v>
      </c>
    </row>
    <row r="533" spans="1:72" x14ac:dyDescent="0.25">
      <c r="A533" t="s">
        <v>132</v>
      </c>
      <c r="B533" t="s">
        <v>10589</v>
      </c>
      <c r="C533" t="s">
        <v>74</v>
      </c>
      <c r="D533" t="s">
        <v>74</v>
      </c>
      <c r="E533" t="s">
        <v>771</v>
      </c>
      <c r="F533" t="s">
        <v>10590</v>
      </c>
      <c r="G533" t="s">
        <v>74</v>
      </c>
      <c r="H533" t="s">
        <v>74</v>
      </c>
      <c r="I533" t="s">
        <v>10591</v>
      </c>
      <c r="J533" t="s">
        <v>10592</v>
      </c>
      <c r="K533" t="s">
        <v>10593</v>
      </c>
      <c r="L533" t="s">
        <v>74</v>
      </c>
      <c r="M533" t="s">
        <v>78</v>
      </c>
      <c r="N533" t="s">
        <v>138</v>
      </c>
      <c r="O533" t="s">
        <v>10594</v>
      </c>
      <c r="P533" t="s">
        <v>10595</v>
      </c>
      <c r="Q533" t="s">
        <v>10596</v>
      </c>
      <c r="R533" t="s">
        <v>10597</v>
      </c>
      <c r="S533" t="s">
        <v>74</v>
      </c>
      <c r="T533" t="s">
        <v>10598</v>
      </c>
      <c r="U533" t="s">
        <v>74</v>
      </c>
      <c r="V533" t="s">
        <v>10599</v>
      </c>
      <c r="W533" t="s">
        <v>10600</v>
      </c>
      <c r="X533" t="s">
        <v>74</v>
      </c>
      <c r="Y533" t="s">
        <v>10601</v>
      </c>
      <c r="Z533" t="s">
        <v>10602</v>
      </c>
      <c r="AA533" t="s">
        <v>74</v>
      </c>
      <c r="AB533" t="s">
        <v>74</v>
      </c>
      <c r="AC533" t="s">
        <v>74</v>
      </c>
      <c r="AD533" t="s">
        <v>74</v>
      </c>
      <c r="AE533" t="s">
        <v>74</v>
      </c>
      <c r="AF533" t="s">
        <v>74</v>
      </c>
      <c r="AG533">
        <v>16</v>
      </c>
      <c r="AH533">
        <v>0</v>
      </c>
      <c r="AI533">
        <v>0</v>
      </c>
      <c r="AJ533">
        <v>0</v>
      </c>
      <c r="AK533">
        <v>3</v>
      </c>
      <c r="AL533" t="s">
        <v>771</v>
      </c>
      <c r="AM533" t="s">
        <v>151</v>
      </c>
      <c r="AN533" t="s">
        <v>785</v>
      </c>
      <c r="AO533" t="s">
        <v>10603</v>
      </c>
      <c r="AP533" t="s">
        <v>74</v>
      </c>
      <c r="AQ533" t="s">
        <v>10604</v>
      </c>
      <c r="AR533" t="s">
        <v>10605</v>
      </c>
      <c r="AS533" t="s">
        <v>74</v>
      </c>
      <c r="AT533" t="s">
        <v>74</v>
      </c>
      <c r="AU533">
        <v>2021</v>
      </c>
      <c r="AV533" t="s">
        <v>74</v>
      </c>
      <c r="AW533" t="s">
        <v>74</v>
      </c>
      <c r="AX533" t="s">
        <v>74</v>
      </c>
      <c r="AY533" t="s">
        <v>74</v>
      </c>
      <c r="AZ533" t="s">
        <v>74</v>
      </c>
      <c r="BA533" t="s">
        <v>74</v>
      </c>
      <c r="BB533" t="s">
        <v>74</v>
      </c>
      <c r="BC533" t="s">
        <v>74</v>
      </c>
      <c r="BD533" t="s">
        <v>74</v>
      </c>
      <c r="BE533" t="s">
        <v>10606</v>
      </c>
      <c r="BF533" t="str">
        <f>HYPERLINK("http://dx.doi.org/10.1109/TENSYMP52854.2021.9550839","http://dx.doi.org/10.1109/TENSYMP52854.2021.9550839")</f>
        <v>http://dx.doi.org/10.1109/TENSYMP52854.2021.9550839</v>
      </c>
      <c r="BG533" t="s">
        <v>74</v>
      </c>
      <c r="BH533" t="s">
        <v>74</v>
      </c>
      <c r="BI533">
        <v>7</v>
      </c>
      <c r="BJ533" t="s">
        <v>10607</v>
      </c>
      <c r="BK533" t="s">
        <v>156</v>
      </c>
      <c r="BL533" t="s">
        <v>2581</v>
      </c>
      <c r="BM533" t="s">
        <v>10608</v>
      </c>
      <c r="BN533" t="s">
        <v>74</v>
      </c>
      <c r="BO533" t="s">
        <v>74</v>
      </c>
      <c r="BP533" t="s">
        <v>74</v>
      </c>
      <c r="BQ533" t="s">
        <v>74</v>
      </c>
      <c r="BR533" t="s">
        <v>102</v>
      </c>
      <c r="BS533" t="s">
        <v>10609</v>
      </c>
      <c r="BT533" t="str">
        <f>HYPERLINK("https%3A%2F%2Fwww.webofscience.com%2Fwos%2Fwoscc%2Ffull-record%2FWOS:000786502700030","View Full Record in Web of Science")</f>
        <v>View Full Record in Web of Science</v>
      </c>
    </row>
    <row r="534" spans="1:72" x14ac:dyDescent="0.25">
      <c r="A534" t="s">
        <v>132</v>
      </c>
      <c r="B534" t="s">
        <v>10610</v>
      </c>
      <c r="C534" t="s">
        <v>74</v>
      </c>
      <c r="D534" t="s">
        <v>74</v>
      </c>
      <c r="E534" t="s">
        <v>771</v>
      </c>
      <c r="F534" t="s">
        <v>10611</v>
      </c>
      <c r="G534" t="s">
        <v>74</v>
      </c>
      <c r="H534" t="s">
        <v>74</v>
      </c>
      <c r="I534" t="s">
        <v>10612</v>
      </c>
      <c r="J534" t="s">
        <v>10613</v>
      </c>
      <c r="K534" t="s">
        <v>10614</v>
      </c>
      <c r="L534" t="s">
        <v>74</v>
      </c>
      <c r="M534" t="s">
        <v>78</v>
      </c>
      <c r="N534" t="s">
        <v>138</v>
      </c>
      <c r="O534" t="s">
        <v>10615</v>
      </c>
      <c r="P534" t="s">
        <v>10616</v>
      </c>
      <c r="Q534" t="s">
        <v>10617</v>
      </c>
      <c r="R534" t="s">
        <v>10618</v>
      </c>
      <c r="S534" t="s">
        <v>74</v>
      </c>
      <c r="T534" t="s">
        <v>10619</v>
      </c>
      <c r="U534" t="s">
        <v>74</v>
      </c>
      <c r="V534" t="s">
        <v>10620</v>
      </c>
      <c r="W534" t="s">
        <v>10621</v>
      </c>
      <c r="X534" t="s">
        <v>2476</v>
      </c>
      <c r="Y534" t="s">
        <v>10622</v>
      </c>
      <c r="Z534" t="s">
        <v>10623</v>
      </c>
      <c r="AA534" t="s">
        <v>74</v>
      </c>
      <c r="AB534" t="s">
        <v>74</v>
      </c>
      <c r="AC534" t="s">
        <v>74</v>
      </c>
      <c r="AD534" t="s">
        <v>74</v>
      </c>
      <c r="AE534" t="s">
        <v>74</v>
      </c>
      <c r="AF534" t="s">
        <v>74</v>
      </c>
      <c r="AG534">
        <v>22</v>
      </c>
      <c r="AH534">
        <v>0</v>
      </c>
      <c r="AI534">
        <v>0</v>
      </c>
      <c r="AJ534">
        <v>0</v>
      </c>
      <c r="AK534">
        <v>10</v>
      </c>
      <c r="AL534" t="s">
        <v>771</v>
      </c>
      <c r="AM534" t="s">
        <v>151</v>
      </c>
      <c r="AN534" t="s">
        <v>785</v>
      </c>
      <c r="AO534" t="s">
        <v>10624</v>
      </c>
      <c r="AP534" t="s">
        <v>74</v>
      </c>
      <c r="AQ534" t="s">
        <v>10625</v>
      </c>
      <c r="AR534" t="s">
        <v>10626</v>
      </c>
      <c r="AS534" t="s">
        <v>74</v>
      </c>
      <c r="AT534" t="s">
        <v>74</v>
      </c>
      <c r="AU534">
        <v>2023</v>
      </c>
      <c r="AV534" t="s">
        <v>74</v>
      </c>
      <c r="AW534" t="s">
        <v>74</v>
      </c>
      <c r="AX534" t="s">
        <v>74</v>
      </c>
      <c r="AY534" t="s">
        <v>74</v>
      </c>
      <c r="AZ534" t="s">
        <v>74</v>
      </c>
      <c r="BA534" t="s">
        <v>74</v>
      </c>
      <c r="BB534" t="s">
        <v>74</v>
      </c>
      <c r="BC534" t="s">
        <v>74</v>
      </c>
      <c r="BD534" t="s">
        <v>74</v>
      </c>
      <c r="BE534" t="s">
        <v>10627</v>
      </c>
      <c r="BF534" t="str">
        <f>HYPERLINK("http://dx.doi.org/10.23919/IST-Africa60249.2023.10187800","http://dx.doi.org/10.23919/IST-Africa60249.2023.10187800")</f>
        <v>http://dx.doi.org/10.23919/IST-Africa60249.2023.10187800</v>
      </c>
      <c r="BG534" t="s">
        <v>74</v>
      </c>
      <c r="BH534" t="s">
        <v>74</v>
      </c>
      <c r="BI534">
        <v>9</v>
      </c>
      <c r="BJ534" t="s">
        <v>10628</v>
      </c>
      <c r="BK534" t="s">
        <v>156</v>
      </c>
      <c r="BL534" t="s">
        <v>981</v>
      </c>
      <c r="BM534" t="s">
        <v>10629</v>
      </c>
      <c r="BN534" t="s">
        <v>74</v>
      </c>
      <c r="BO534" t="s">
        <v>74</v>
      </c>
      <c r="BP534" t="s">
        <v>74</v>
      </c>
      <c r="BQ534" t="s">
        <v>74</v>
      </c>
      <c r="BR534" t="s">
        <v>102</v>
      </c>
      <c r="BS534" t="s">
        <v>10630</v>
      </c>
      <c r="BT534" t="str">
        <f>HYPERLINK("https%3A%2F%2Fwww.webofscience.com%2Fwos%2Fwoscc%2Ffull-record%2FWOS:001043065600029","View Full Record in Web of Science")</f>
        <v>View Full Record in Web of Science</v>
      </c>
    </row>
    <row r="535" spans="1:72" x14ac:dyDescent="0.25">
      <c r="A535" t="s">
        <v>132</v>
      </c>
      <c r="B535" t="s">
        <v>10631</v>
      </c>
      <c r="C535" t="s">
        <v>74</v>
      </c>
      <c r="D535" t="s">
        <v>74</v>
      </c>
      <c r="E535" t="s">
        <v>771</v>
      </c>
      <c r="F535" t="s">
        <v>10632</v>
      </c>
      <c r="G535" t="s">
        <v>74</v>
      </c>
      <c r="H535" t="s">
        <v>74</v>
      </c>
      <c r="I535" t="s">
        <v>10633</v>
      </c>
      <c r="J535" t="s">
        <v>10634</v>
      </c>
      <c r="K535" t="s">
        <v>74</v>
      </c>
      <c r="L535" t="s">
        <v>74</v>
      </c>
      <c r="M535" t="s">
        <v>78</v>
      </c>
      <c r="N535" t="s">
        <v>138</v>
      </c>
      <c r="O535" t="s">
        <v>10635</v>
      </c>
      <c r="P535" t="s">
        <v>10636</v>
      </c>
      <c r="Q535" t="s">
        <v>10637</v>
      </c>
      <c r="R535" t="s">
        <v>74</v>
      </c>
      <c r="S535" t="s">
        <v>74</v>
      </c>
      <c r="T535" t="s">
        <v>10638</v>
      </c>
      <c r="U535" t="s">
        <v>74</v>
      </c>
      <c r="V535" t="s">
        <v>10639</v>
      </c>
      <c r="W535" t="s">
        <v>10640</v>
      </c>
      <c r="X535" t="s">
        <v>781</v>
      </c>
      <c r="Y535" t="s">
        <v>10641</v>
      </c>
      <c r="Z535" t="s">
        <v>10642</v>
      </c>
      <c r="AA535" t="s">
        <v>74</v>
      </c>
      <c r="AB535" t="s">
        <v>74</v>
      </c>
      <c r="AC535" t="s">
        <v>74</v>
      </c>
      <c r="AD535" t="s">
        <v>74</v>
      </c>
      <c r="AE535" t="s">
        <v>74</v>
      </c>
      <c r="AF535" t="s">
        <v>74</v>
      </c>
      <c r="AG535">
        <v>33</v>
      </c>
      <c r="AH535">
        <v>1</v>
      </c>
      <c r="AI535">
        <v>1</v>
      </c>
      <c r="AJ535">
        <v>0</v>
      </c>
      <c r="AK535">
        <v>2</v>
      </c>
      <c r="AL535" t="s">
        <v>771</v>
      </c>
      <c r="AM535" t="s">
        <v>151</v>
      </c>
      <c r="AN535" t="s">
        <v>785</v>
      </c>
      <c r="AO535" t="s">
        <v>74</v>
      </c>
      <c r="AP535" t="s">
        <v>74</v>
      </c>
      <c r="AQ535" t="s">
        <v>74</v>
      </c>
      <c r="AR535" t="s">
        <v>74</v>
      </c>
      <c r="AS535" t="s">
        <v>74</v>
      </c>
      <c r="AT535" t="s">
        <v>74</v>
      </c>
      <c r="AU535">
        <v>2017</v>
      </c>
      <c r="AV535" t="s">
        <v>74</v>
      </c>
      <c r="AW535" t="s">
        <v>74</v>
      </c>
      <c r="AX535" t="s">
        <v>74</v>
      </c>
      <c r="AY535" t="s">
        <v>74</v>
      </c>
      <c r="AZ535" t="s">
        <v>74</v>
      </c>
      <c r="BA535" t="s">
        <v>74</v>
      </c>
      <c r="BB535" t="s">
        <v>74</v>
      </c>
      <c r="BC535" t="s">
        <v>74</v>
      </c>
      <c r="BD535" t="s">
        <v>74</v>
      </c>
      <c r="BE535" t="s">
        <v>74</v>
      </c>
      <c r="BF535" t="s">
        <v>74</v>
      </c>
      <c r="BG535" t="s">
        <v>74</v>
      </c>
      <c r="BH535" t="s">
        <v>74</v>
      </c>
      <c r="BI535">
        <v>11</v>
      </c>
      <c r="BJ535" t="s">
        <v>4694</v>
      </c>
      <c r="BK535" t="s">
        <v>156</v>
      </c>
      <c r="BL535" t="s">
        <v>157</v>
      </c>
      <c r="BM535" t="s">
        <v>10643</v>
      </c>
      <c r="BN535" t="s">
        <v>74</v>
      </c>
      <c r="BO535" t="s">
        <v>74</v>
      </c>
      <c r="BP535" t="s">
        <v>74</v>
      </c>
      <c r="BQ535" t="s">
        <v>74</v>
      </c>
      <c r="BR535" t="s">
        <v>102</v>
      </c>
      <c r="BS535" t="s">
        <v>10644</v>
      </c>
      <c r="BT535" t="str">
        <f>HYPERLINK("https%3A%2F%2Fwww.webofscience.com%2Fwos%2Fwoscc%2Ffull-record%2FWOS:000426893600138","View Full Record in Web of Science")</f>
        <v>View Full Record in Web of Science</v>
      </c>
    </row>
    <row r="536" spans="1:72" x14ac:dyDescent="0.25">
      <c r="A536" t="s">
        <v>72</v>
      </c>
      <c r="B536" t="s">
        <v>10645</v>
      </c>
      <c r="C536" t="s">
        <v>74</v>
      </c>
      <c r="D536" t="s">
        <v>74</v>
      </c>
      <c r="E536" t="s">
        <v>74</v>
      </c>
      <c r="F536" t="s">
        <v>10646</v>
      </c>
      <c r="G536" t="s">
        <v>74</v>
      </c>
      <c r="H536" t="s">
        <v>74</v>
      </c>
      <c r="I536" t="s">
        <v>10647</v>
      </c>
      <c r="J536" t="s">
        <v>10648</v>
      </c>
      <c r="K536" t="s">
        <v>74</v>
      </c>
      <c r="L536" t="s">
        <v>74</v>
      </c>
      <c r="M536" t="s">
        <v>78</v>
      </c>
      <c r="N536" t="s">
        <v>79</v>
      </c>
      <c r="O536" t="s">
        <v>74</v>
      </c>
      <c r="P536" t="s">
        <v>74</v>
      </c>
      <c r="Q536" t="s">
        <v>74</v>
      </c>
      <c r="R536" t="s">
        <v>74</v>
      </c>
      <c r="S536" t="s">
        <v>74</v>
      </c>
      <c r="T536" t="s">
        <v>10649</v>
      </c>
      <c r="U536" t="s">
        <v>10650</v>
      </c>
      <c r="V536" t="s">
        <v>10651</v>
      </c>
      <c r="W536" t="s">
        <v>10652</v>
      </c>
      <c r="X536" t="s">
        <v>10653</v>
      </c>
      <c r="Y536" t="s">
        <v>10654</v>
      </c>
      <c r="Z536" t="s">
        <v>10655</v>
      </c>
      <c r="AA536" t="s">
        <v>74</v>
      </c>
      <c r="AB536" t="s">
        <v>74</v>
      </c>
      <c r="AC536" t="s">
        <v>74</v>
      </c>
      <c r="AD536" t="s">
        <v>74</v>
      </c>
      <c r="AE536" t="s">
        <v>74</v>
      </c>
      <c r="AF536" t="s">
        <v>74</v>
      </c>
      <c r="AG536">
        <v>77</v>
      </c>
      <c r="AH536">
        <v>2</v>
      </c>
      <c r="AI536">
        <v>8</v>
      </c>
      <c r="AJ536">
        <v>1</v>
      </c>
      <c r="AK536">
        <v>11</v>
      </c>
      <c r="AL536" t="s">
        <v>10656</v>
      </c>
      <c r="AM536" t="s">
        <v>10657</v>
      </c>
      <c r="AN536" t="s">
        <v>10658</v>
      </c>
      <c r="AO536" t="s">
        <v>74</v>
      </c>
      <c r="AP536" t="s">
        <v>10659</v>
      </c>
      <c r="AQ536" t="s">
        <v>74</v>
      </c>
      <c r="AR536" t="s">
        <v>10660</v>
      </c>
      <c r="AS536" t="s">
        <v>10661</v>
      </c>
      <c r="AT536" t="s">
        <v>74</v>
      </c>
      <c r="AU536">
        <v>2023</v>
      </c>
      <c r="AV536">
        <v>11</v>
      </c>
      <c r="AW536">
        <v>3</v>
      </c>
      <c r="AX536" t="s">
        <v>74</v>
      </c>
      <c r="AY536" t="s">
        <v>74</v>
      </c>
      <c r="AZ536" t="s">
        <v>74</v>
      </c>
      <c r="BA536" t="s">
        <v>74</v>
      </c>
      <c r="BB536">
        <v>320</v>
      </c>
      <c r="BC536">
        <v>331</v>
      </c>
      <c r="BD536" t="s">
        <v>74</v>
      </c>
      <c r="BE536" t="s">
        <v>10662</v>
      </c>
      <c r="BF536" t="str">
        <f>HYPERLINK("http://dx.doi.org/10.17645/si.v11i3.6687","http://dx.doi.org/10.17645/si.v11i3.6687")</f>
        <v>http://dx.doi.org/10.17645/si.v11i3.6687</v>
      </c>
      <c r="BG536" t="s">
        <v>74</v>
      </c>
      <c r="BH536" t="s">
        <v>74</v>
      </c>
      <c r="BI536">
        <v>12</v>
      </c>
      <c r="BJ536" t="s">
        <v>4492</v>
      </c>
      <c r="BK536" t="s">
        <v>99</v>
      </c>
      <c r="BL536" t="s">
        <v>4494</v>
      </c>
      <c r="BM536" t="s">
        <v>10663</v>
      </c>
      <c r="BN536" t="s">
        <v>74</v>
      </c>
      <c r="BO536" t="s">
        <v>916</v>
      </c>
      <c r="BP536" t="s">
        <v>74</v>
      </c>
      <c r="BQ536" t="s">
        <v>74</v>
      </c>
      <c r="BR536" t="s">
        <v>102</v>
      </c>
      <c r="BS536" t="s">
        <v>10664</v>
      </c>
      <c r="BT536" t="str">
        <f>HYPERLINK("https%3A%2F%2Fwww.webofscience.com%2Fwos%2Fwoscc%2Ffull-record%2FWOS:001071213100008","View Full Record in Web of Science")</f>
        <v>View Full Record in Web of Science</v>
      </c>
    </row>
    <row r="537" spans="1:72" x14ac:dyDescent="0.25">
      <c r="A537" t="s">
        <v>72</v>
      </c>
      <c r="B537" t="s">
        <v>10665</v>
      </c>
      <c r="C537" t="s">
        <v>74</v>
      </c>
      <c r="D537" t="s">
        <v>74</v>
      </c>
      <c r="E537" t="s">
        <v>74</v>
      </c>
      <c r="F537" t="s">
        <v>10666</v>
      </c>
      <c r="G537" t="s">
        <v>74</v>
      </c>
      <c r="H537" t="s">
        <v>74</v>
      </c>
      <c r="I537" t="s">
        <v>10667</v>
      </c>
      <c r="J537" t="s">
        <v>10668</v>
      </c>
      <c r="K537" t="s">
        <v>74</v>
      </c>
      <c r="L537" t="s">
        <v>74</v>
      </c>
      <c r="M537" t="s">
        <v>4271</v>
      </c>
      <c r="N537" t="s">
        <v>79</v>
      </c>
      <c r="O537" t="s">
        <v>74</v>
      </c>
      <c r="P537" t="s">
        <v>74</v>
      </c>
      <c r="Q537" t="s">
        <v>74</v>
      </c>
      <c r="R537" t="s">
        <v>74</v>
      </c>
      <c r="S537" t="s">
        <v>74</v>
      </c>
      <c r="T537" t="s">
        <v>10669</v>
      </c>
      <c r="U537" t="s">
        <v>74</v>
      </c>
      <c r="V537" t="s">
        <v>10670</v>
      </c>
      <c r="W537" t="s">
        <v>10671</v>
      </c>
      <c r="X537" t="s">
        <v>10672</v>
      </c>
      <c r="Y537" t="s">
        <v>10673</v>
      </c>
      <c r="Z537" t="s">
        <v>10674</v>
      </c>
      <c r="AA537" t="s">
        <v>74</v>
      </c>
      <c r="AB537" t="s">
        <v>74</v>
      </c>
      <c r="AC537" t="s">
        <v>74</v>
      </c>
      <c r="AD537" t="s">
        <v>74</v>
      </c>
      <c r="AE537" t="s">
        <v>74</v>
      </c>
      <c r="AF537" t="s">
        <v>74</v>
      </c>
      <c r="AG537">
        <v>35</v>
      </c>
      <c r="AH537">
        <v>0</v>
      </c>
      <c r="AI537">
        <v>0</v>
      </c>
      <c r="AJ537">
        <v>2</v>
      </c>
      <c r="AK537">
        <v>2</v>
      </c>
      <c r="AL537" t="s">
        <v>10675</v>
      </c>
      <c r="AM537" t="s">
        <v>10676</v>
      </c>
      <c r="AN537" t="s">
        <v>10677</v>
      </c>
      <c r="AO537" t="s">
        <v>10678</v>
      </c>
      <c r="AP537" t="s">
        <v>10679</v>
      </c>
      <c r="AQ537" t="s">
        <v>74</v>
      </c>
      <c r="AR537" t="s">
        <v>10680</v>
      </c>
      <c r="AS537" t="s">
        <v>10681</v>
      </c>
      <c r="AT537" t="s">
        <v>74</v>
      </c>
      <c r="AU537">
        <v>2025</v>
      </c>
      <c r="AV537">
        <v>87</v>
      </c>
      <c r="AW537">
        <v>3</v>
      </c>
      <c r="AX537" t="s">
        <v>74</v>
      </c>
      <c r="AY537" t="s">
        <v>74</v>
      </c>
      <c r="AZ537" t="s">
        <v>74</v>
      </c>
      <c r="BA537" t="s">
        <v>74</v>
      </c>
      <c r="BB537" t="s">
        <v>74</v>
      </c>
      <c r="BC537" t="s">
        <v>74</v>
      </c>
      <c r="BD537" t="s">
        <v>74</v>
      </c>
      <c r="BE537" t="s">
        <v>10682</v>
      </c>
      <c r="BF537" t="str">
        <f>HYPERLINK("http://dx.doi.org/10.14746/rpeis.2025.87.3.04","http://dx.doi.org/10.14746/rpeis.2025.87.3.04")</f>
        <v>http://dx.doi.org/10.14746/rpeis.2025.87.3.04</v>
      </c>
      <c r="BG537" t="s">
        <v>74</v>
      </c>
      <c r="BH537" t="s">
        <v>74</v>
      </c>
      <c r="BI537">
        <v>16</v>
      </c>
      <c r="BJ537" t="s">
        <v>10683</v>
      </c>
      <c r="BK537" t="s">
        <v>313</v>
      </c>
      <c r="BL537" t="s">
        <v>10684</v>
      </c>
      <c r="BM537" t="s">
        <v>10685</v>
      </c>
      <c r="BN537" t="s">
        <v>74</v>
      </c>
      <c r="BO537" t="s">
        <v>916</v>
      </c>
      <c r="BP537" t="s">
        <v>74</v>
      </c>
      <c r="BQ537" t="s">
        <v>74</v>
      </c>
      <c r="BR537" t="s">
        <v>102</v>
      </c>
      <c r="BS537" t="s">
        <v>10686</v>
      </c>
      <c r="BT537" t="str">
        <f>HYPERLINK("https%3A%2F%2Fwww.webofscience.com%2Fwos%2Fwoscc%2Ffull-record%2FWOS:001639327000004","View Full Record in Web of Science")</f>
        <v>View Full Record in Web of Science</v>
      </c>
    </row>
    <row r="538" spans="1:72" x14ac:dyDescent="0.25">
      <c r="A538" t="s">
        <v>132</v>
      </c>
      <c r="B538" t="s">
        <v>10687</v>
      </c>
      <c r="C538" t="s">
        <v>74</v>
      </c>
      <c r="D538" t="s">
        <v>1045</v>
      </c>
      <c r="E538" t="s">
        <v>74</v>
      </c>
      <c r="F538" t="s">
        <v>10688</v>
      </c>
      <c r="G538" t="s">
        <v>74</v>
      </c>
      <c r="H538" t="s">
        <v>74</v>
      </c>
      <c r="I538" t="s">
        <v>10689</v>
      </c>
      <c r="J538" t="s">
        <v>10690</v>
      </c>
      <c r="K538" t="s">
        <v>1049</v>
      </c>
      <c r="L538" t="s">
        <v>74</v>
      </c>
      <c r="M538" t="s">
        <v>78</v>
      </c>
      <c r="N538" t="s">
        <v>138</v>
      </c>
      <c r="O538" t="s">
        <v>1050</v>
      </c>
      <c r="P538" t="s">
        <v>1051</v>
      </c>
      <c r="Q538" t="s">
        <v>1052</v>
      </c>
      <c r="R538" t="s">
        <v>1053</v>
      </c>
      <c r="S538" t="s">
        <v>74</v>
      </c>
      <c r="T538" t="s">
        <v>10691</v>
      </c>
      <c r="U538" t="s">
        <v>74</v>
      </c>
      <c r="V538" t="s">
        <v>10692</v>
      </c>
      <c r="W538" t="s">
        <v>10693</v>
      </c>
      <c r="X538" t="s">
        <v>10694</v>
      </c>
      <c r="Y538" t="s">
        <v>10695</v>
      </c>
      <c r="Z538" t="s">
        <v>10696</v>
      </c>
      <c r="AA538" t="s">
        <v>10697</v>
      </c>
      <c r="AB538" t="s">
        <v>74</v>
      </c>
      <c r="AC538" t="s">
        <v>10698</v>
      </c>
      <c r="AD538" t="s">
        <v>10699</v>
      </c>
      <c r="AE538" t="s">
        <v>10700</v>
      </c>
      <c r="AF538" t="s">
        <v>74</v>
      </c>
      <c r="AG538">
        <v>26</v>
      </c>
      <c r="AH538">
        <v>1</v>
      </c>
      <c r="AI538">
        <v>1</v>
      </c>
      <c r="AJ538">
        <v>0</v>
      </c>
      <c r="AK538">
        <v>4</v>
      </c>
      <c r="AL538" t="s">
        <v>1062</v>
      </c>
      <c r="AM538" t="s">
        <v>667</v>
      </c>
      <c r="AN538" t="s">
        <v>668</v>
      </c>
      <c r="AO538" t="s">
        <v>1063</v>
      </c>
      <c r="AP538" t="s">
        <v>1064</v>
      </c>
      <c r="AQ538" t="s">
        <v>10701</v>
      </c>
      <c r="AR538" t="s">
        <v>1066</v>
      </c>
      <c r="AS538" t="s">
        <v>74</v>
      </c>
      <c r="AT538" t="s">
        <v>74</v>
      </c>
      <c r="AU538">
        <v>2023</v>
      </c>
      <c r="AV538">
        <v>487</v>
      </c>
      <c r="AW538" t="s">
        <v>74</v>
      </c>
      <c r="AX538" t="s">
        <v>74</v>
      </c>
      <c r="AY538" t="s">
        <v>74</v>
      </c>
      <c r="AZ538" t="s">
        <v>74</v>
      </c>
      <c r="BA538" t="s">
        <v>74</v>
      </c>
      <c r="BB538">
        <v>671</v>
      </c>
      <c r="BC538">
        <v>688</v>
      </c>
      <c r="BD538" t="s">
        <v>74</v>
      </c>
      <c r="BE538" t="s">
        <v>10702</v>
      </c>
      <c r="BF538" t="str">
        <f>HYPERLINK("http://dx.doi.org/10.1007/978-3-031-08084-5_49","http://dx.doi.org/10.1007/978-3-031-08084-5_49")</f>
        <v>http://dx.doi.org/10.1007/978-3-031-08084-5_49</v>
      </c>
      <c r="BG538" t="s">
        <v>74</v>
      </c>
      <c r="BH538" t="s">
        <v>74</v>
      </c>
      <c r="BI538">
        <v>18</v>
      </c>
      <c r="BJ538" t="s">
        <v>1068</v>
      </c>
      <c r="BK538" t="s">
        <v>1069</v>
      </c>
      <c r="BL538" t="s">
        <v>1070</v>
      </c>
      <c r="BM538" t="s">
        <v>10703</v>
      </c>
      <c r="BN538" t="s">
        <v>74</v>
      </c>
      <c r="BO538" t="s">
        <v>74</v>
      </c>
      <c r="BP538" t="s">
        <v>74</v>
      </c>
      <c r="BQ538" t="s">
        <v>74</v>
      </c>
      <c r="BR538" t="s">
        <v>102</v>
      </c>
      <c r="BS538" t="s">
        <v>10704</v>
      </c>
      <c r="BT538" t="str">
        <f>HYPERLINK("https%3A%2F%2Fwww.webofscience.com%2Fwos%2Fwoscc%2Ffull-record%2FWOS:000892373200046","View Full Record in Web of Science")</f>
        <v>View Full Record in Web of Science</v>
      </c>
    </row>
    <row r="539" spans="1:72" x14ac:dyDescent="0.25">
      <c r="A539" t="s">
        <v>72</v>
      </c>
      <c r="B539" t="s">
        <v>10705</v>
      </c>
      <c r="C539" t="s">
        <v>74</v>
      </c>
      <c r="D539" t="s">
        <v>74</v>
      </c>
      <c r="E539" t="s">
        <v>74</v>
      </c>
      <c r="F539" t="s">
        <v>10706</v>
      </c>
      <c r="G539" t="s">
        <v>74</v>
      </c>
      <c r="H539" t="s">
        <v>74</v>
      </c>
      <c r="I539" t="s">
        <v>10707</v>
      </c>
      <c r="J539" t="s">
        <v>4306</v>
      </c>
      <c r="K539" t="s">
        <v>74</v>
      </c>
      <c r="L539" t="s">
        <v>74</v>
      </c>
      <c r="M539" t="s">
        <v>78</v>
      </c>
      <c r="N539" t="s">
        <v>79</v>
      </c>
      <c r="O539" t="s">
        <v>74</v>
      </c>
      <c r="P539" t="s">
        <v>74</v>
      </c>
      <c r="Q539" t="s">
        <v>74</v>
      </c>
      <c r="R539" t="s">
        <v>74</v>
      </c>
      <c r="S539" t="s">
        <v>74</v>
      </c>
      <c r="T539" t="s">
        <v>10708</v>
      </c>
      <c r="U539" t="s">
        <v>10709</v>
      </c>
      <c r="V539" t="s">
        <v>10710</v>
      </c>
      <c r="W539" t="s">
        <v>10711</v>
      </c>
      <c r="X539" t="s">
        <v>10712</v>
      </c>
      <c r="Y539" t="s">
        <v>10713</v>
      </c>
      <c r="Z539" t="s">
        <v>10714</v>
      </c>
      <c r="AA539" t="s">
        <v>10715</v>
      </c>
      <c r="AB539" t="s">
        <v>10716</v>
      </c>
      <c r="AC539" t="s">
        <v>74</v>
      </c>
      <c r="AD539" t="s">
        <v>74</v>
      </c>
      <c r="AE539" t="s">
        <v>74</v>
      </c>
      <c r="AF539" t="s">
        <v>74</v>
      </c>
      <c r="AG539">
        <v>97</v>
      </c>
      <c r="AH539">
        <v>13</v>
      </c>
      <c r="AI539">
        <v>17</v>
      </c>
      <c r="AJ539">
        <v>11</v>
      </c>
      <c r="AK539">
        <v>33</v>
      </c>
      <c r="AL539" t="s">
        <v>503</v>
      </c>
      <c r="AM539" t="s">
        <v>151</v>
      </c>
      <c r="AN539" t="s">
        <v>504</v>
      </c>
      <c r="AO539" t="s">
        <v>4315</v>
      </c>
      <c r="AP539" t="s">
        <v>4316</v>
      </c>
      <c r="AQ539" t="s">
        <v>74</v>
      </c>
      <c r="AR539" t="s">
        <v>4317</v>
      </c>
      <c r="AS539" t="s">
        <v>4318</v>
      </c>
      <c r="AT539" t="s">
        <v>1540</v>
      </c>
      <c r="AU539">
        <v>2024</v>
      </c>
      <c r="AV539">
        <v>202</v>
      </c>
      <c r="AW539" t="s">
        <v>74</v>
      </c>
      <c r="AX539" t="s">
        <v>74</v>
      </c>
      <c r="AY539" t="s">
        <v>74</v>
      </c>
      <c r="AZ539" t="s">
        <v>74</v>
      </c>
      <c r="BA539" t="s">
        <v>74</v>
      </c>
      <c r="BB539" t="s">
        <v>74</v>
      </c>
      <c r="BC539" t="s">
        <v>74</v>
      </c>
      <c r="BD539">
        <v>123313</v>
      </c>
      <c r="BE539" t="s">
        <v>10717</v>
      </c>
      <c r="BF539" t="str">
        <f>HYPERLINK("http://dx.doi.org/10.1016/j.techfore.2024.123313","http://dx.doi.org/10.1016/j.techfore.2024.123313")</f>
        <v>http://dx.doi.org/10.1016/j.techfore.2024.123313</v>
      </c>
      <c r="BG539" t="s">
        <v>74</v>
      </c>
      <c r="BH539" t="s">
        <v>1981</v>
      </c>
      <c r="BI539">
        <v>13</v>
      </c>
      <c r="BJ539" t="s">
        <v>1627</v>
      </c>
      <c r="BK539" t="s">
        <v>99</v>
      </c>
      <c r="BL539" t="s">
        <v>1406</v>
      </c>
      <c r="BM539" t="s">
        <v>10718</v>
      </c>
      <c r="BN539" t="s">
        <v>74</v>
      </c>
      <c r="BO539" t="s">
        <v>270</v>
      </c>
      <c r="BP539" t="s">
        <v>74</v>
      </c>
      <c r="BQ539" t="s">
        <v>74</v>
      </c>
      <c r="BR539" t="s">
        <v>102</v>
      </c>
      <c r="BS539" t="s">
        <v>10719</v>
      </c>
      <c r="BT539" t="str">
        <f>HYPERLINK("https%3A%2F%2Fwww.webofscience.com%2Fwos%2Fwoscc%2Ffull-record%2FWOS:001218996700001","View Full Record in Web of Science")</f>
        <v>View Full Record in Web of Science</v>
      </c>
    </row>
    <row r="540" spans="1:72" x14ac:dyDescent="0.25">
      <c r="A540" t="s">
        <v>72</v>
      </c>
      <c r="B540" t="s">
        <v>10720</v>
      </c>
      <c r="C540" t="s">
        <v>74</v>
      </c>
      <c r="D540" t="s">
        <v>74</v>
      </c>
      <c r="E540" t="s">
        <v>74</v>
      </c>
      <c r="F540" t="s">
        <v>10721</v>
      </c>
      <c r="G540" t="s">
        <v>74</v>
      </c>
      <c r="H540" t="s">
        <v>74</v>
      </c>
      <c r="I540" t="s">
        <v>10722</v>
      </c>
      <c r="J540" t="s">
        <v>836</v>
      </c>
      <c r="K540" t="s">
        <v>74</v>
      </c>
      <c r="L540" t="s">
        <v>74</v>
      </c>
      <c r="M540" t="s">
        <v>78</v>
      </c>
      <c r="N540" t="s">
        <v>79</v>
      </c>
      <c r="O540" t="s">
        <v>74</v>
      </c>
      <c r="P540" t="s">
        <v>74</v>
      </c>
      <c r="Q540" t="s">
        <v>74</v>
      </c>
      <c r="R540" t="s">
        <v>74</v>
      </c>
      <c r="S540" t="s">
        <v>74</v>
      </c>
      <c r="T540" t="s">
        <v>10723</v>
      </c>
      <c r="U540" t="s">
        <v>10724</v>
      </c>
      <c r="V540" t="s">
        <v>10725</v>
      </c>
      <c r="W540" t="s">
        <v>10726</v>
      </c>
      <c r="X540" t="s">
        <v>10727</v>
      </c>
      <c r="Y540" t="s">
        <v>10728</v>
      </c>
      <c r="Z540" t="s">
        <v>10729</v>
      </c>
      <c r="AA540" t="s">
        <v>10730</v>
      </c>
      <c r="AB540" t="s">
        <v>10731</v>
      </c>
      <c r="AC540" t="s">
        <v>74</v>
      </c>
      <c r="AD540" t="s">
        <v>74</v>
      </c>
      <c r="AE540" t="s">
        <v>74</v>
      </c>
      <c r="AF540" t="s">
        <v>74</v>
      </c>
      <c r="AG540">
        <v>63</v>
      </c>
      <c r="AH540">
        <v>9</v>
      </c>
      <c r="AI540">
        <v>9</v>
      </c>
      <c r="AJ540">
        <v>11</v>
      </c>
      <c r="AK540">
        <v>22</v>
      </c>
      <c r="AL540" t="s">
        <v>503</v>
      </c>
      <c r="AM540" t="s">
        <v>151</v>
      </c>
      <c r="AN540" t="s">
        <v>504</v>
      </c>
      <c r="AO540" t="s">
        <v>844</v>
      </c>
      <c r="AP540" t="s">
        <v>845</v>
      </c>
      <c r="AQ540" t="s">
        <v>74</v>
      </c>
      <c r="AR540" t="s">
        <v>846</v>
      </c>
      <c r="AS540" t="s">
        <v>847</v>
      </c>
      <c r="AT540" t="s">
        <v>1540</v>
      </c>
      <c r="AU540">
        <v>2024</v>
      </c>
      <c r="AV540">
        <v>93</v>
      </c>
      <c r="AW540" t="s">
        <v>74</v>
      </c>
      <c r="AX540" t="s">
        <v>74</v>
      </c>
      <c r="AY540" t="s">
        <v>74</v>
      </c>
      <c r="AZ540" t="s">
        <v>74</v>
      </c>
      <c r="BA540" t="s">
        <v>74</v>
      </c>
      <c r="BB540" t="s">
        <v>74</v>
      </c>
      <c r="BC540" t="s">
        <v>74</v>
      </c>
      <c r="BD540">
        <v>103220</v>
      </c>
      <c r="BE540" t="s">
        <v>10732</v>
      </c>
      <c r="BF540" t="str">
        <f>HYPERLINK("http://dx.doi.org/10.1016/j.irfa.2024.103220","http://dx.doi.org/10.1016/j.irfa.2024.103220")</f>
        <v>http://dx.doi.org/10.1016/j.irfa.2024.103220</v>
      </c>
      <c r="BG540" t="s">
        <v>74</v>
      </c>
      <c r="BH540" t="s">
        <v>1981</v>
      </c>
      <c r="BI540">
        <v>12</v>
      </c>
      <c r="BJ540" t="s">
        <v>268</v>
      </c>
      <c r="BK540" t="s">
        <v>99</v>
      </c>
      <c r="BL540" t="s">
        <v>100</v>
      </c>
      <c r="BM540" t="s">
        <v>10733</v>
      </c>
      <c r="BN540" t="s">
        <v>74</v>
      </c>
      <c r="BO540" t="s">
        <v>74</v>
      </c>
      <c r="BP540" t="s">
        <v>74</v>
      </c>
      <c r="BQ540" t="s">
        <v>74</v>
      </c>
      <c r="BR540" t="s">
        <v>102</v>
      </c>
      <c r="BS540" t="s">
        <v>10734</v>
      </c>
      <c r="BT540" t="str">
        <f>HYPERLINK("https%3A%2F%2Fwww.webofscience.com%2Fwos%2Fwoscc%2Ffull-record%2FWOS:001218201500001","View Full Record in Web of Science")</f>
        <v>View Full Record in Web of Science</v>
      </c>
    </row>
    <row r="541" spans="1:72" x14ac:dyDescent="0.25">
      <c r="A541" t="s">
        <v>132</v>
      </c>
      <c r="B541" t="s">
        <v>10735</v>
      </c>
      <c r="C541" t="s">
        <v>74</v>
      </c>
      <c r="D541" t="s">
        <v>74</v>
      </c>
      <c r="E541" t="s">
        <v>134</v>
      </c>
      <c r="F541" t="s">
        <v>10736</v>
      </c>
      <c r="G541" t="s">
        <v>74</v>
      </c>
      <c r="H541" t="s">
        <v>74</v>
      </c>
      <c r="I541" t="s">
        <v>10737</v>
      </c>
      <c r="J541" t="s">
        <v>10738</v>
      </c>
      <c r="K541" t="s">
        <v>74</v>
      </c>
      <c r="L541" t="s">
        <v>74</v>
      </c>
      <c r="M541" t="s">
        <v>78</v>
      </c>
      <c r="N541" t="s">
        <v>138</v>
      </c>
      <c r="O541" t="s">
        <v>10739</v>
      </c>
      <c r="P541" t="s">
        <v>10740</v>
      </c>
      <c r="Q541" t="s">
        <v>4726</v>
      </c>
      <c r="R541" t="s">
        <v>10741</v>
      </c>
      <c r="S541" t="s">
        <v>74</v>
      </c>
      <c r="T541" t="s">
        <v>10742</v>
      </c>
      <c r="U541" t="s">
        <v>74</v>
      </c>
      <c r="V541" t="s">
        <v>10743</v>
      </c>
      <c r="W541" t="s">
        <v>10744</v>
      </c>
      <c r="X541" t="s">
        <v>10745</v>
      </c>
      <c r="Y541" t="s">
        <v>10746</v>
      </c>
      <c r="Z541" t="s">
        <v>10747</v>
      </c>
      <c r="AA541" t="s">
        <v>74</v>
      </c>
      <c r="AB541" t="s">
        <v>74</v>
      </c>
      <c r="AC541" t="s">
        <v>74</v>
      </c>
      <c r="AD541" t="s">
        <v>74</v>
      </c>
      <c r="AE541" t="s">
        <v>74</v>
      </c>
      <c r="AF541" t="s">
        <v>74</v>
      </c>
      <c r="AG541">
        <v>15</v>
      </c>
      <c r="AH541">
        <v>193</v>
      </c>
      <c r="AI541">
        <v>202</v>
      </c>
      <c r="AJ541">
        <v>0</v>
      </c>
      <c r="AK541">
        <v>1</v>
      </c>
      <c r="AL541" t="s">
        <v>150</v>
      </c>
      <c r="AM541" t="s">
        <v>151</v>
      </c>
      <c r="AN541" t="s">
        <v>152</v>
      </c>
      <c r="AO541" t="s">
        <v>74</v>
      </c>
      <c r="AP541" t="s">
        <v>74</v>
      </c>
      <c r="AQ541" t="s">
        <v>10748</v>
      </c>
      <c r="AR541" t="s">
        <v>74</v>
      </c>
      <c r="AS541" t="s">
        <v>74</v>
      </c>
      <c r="AT541" t="s">
        <v>74</v>
      </c>
      <c r="AU541">
        <v>2011</v>
      </c>
      <c r="AV541" t="s">
        <v>74</v>
      </c>
      <c r="AW541" t="s">
        <v>74</v>
      </c>
      <c r="AX541" t="s">
        <v>74</v>
      </c>
      <c r="AY541" t="s">
        <v>74</v>
      </c>
      <c r="AZ541" t="s">
        <v>74</v>
      </c>
      <c r="BA541" t="s">
        <v>74</v>
      </c>
      <c r="BB541">
        <v>1413</v>
      </c>
      <c r="BC541">
        <v>1422</v>
      </c>
      <c r="BD541" t="s">
        <v>74</v>
      </c>
      <c r="BE541" t="s">
        <v>74</v>
      </c>
      <c r="BF541" t="s">
        <v>74</v>
      </c>
      <c r="BG541" t="s">
        <v>74</v>
      </c>
      <c r="BH541" t="s">
        <v>74</v>
      </c>
      <c r="BI541">
        <v>10</v>
      </c>
      <c r="BJ541" t="s">
        <v>4466</v>
      </c>
      <c r="BK541" t="s">
        <v>156</v>
      </c>
      <c r="BL541" t="s">
        <v>157</v>
      </c>
      <c r="BM541" t="s">
        <v>10749</v>
      </c>
      <c r="BN541" t="s">
        <v>74</v>
      </c>
      <c r="BO541" t="s">
        <v>74</v>
      </c>
      <c r="BP541" t="s">
        <v>74</v>
      </c>
      <c r="BQ541" t="s">
        <v>74</v>
      </c>
      <c r="BR541" t="s">
        <v>102</v>
      </c>
      <c r="BS541" t="s">
        <v>10750</v>
      </c>
      <c r="BT541" t="str">
        <f>HYPERLINK("https%3A%2F%2Fwww.webofscience.com%2Fwos%2Fwoscc%2Ffull-record%2FWOS:000395171601055","View Full Record in Web of Science")</f>
        <v>View Full Record in Web of Science</v>
      </c>
    </row>
    <row r="542" spans="1:72" x14ac:dyDescent="0.25">
      <c r="A542" t="s">
        <v>72</v>
      </c>
      <c r="B542" t="s">
        <v>10751</v>
      </c>
      <c r="C542" t="s">
        <v>74</v>
      </c>
      <c r="D542" t="s">
        <v>74</v>
      </c>
      <c r="E542" t="s">
        <v>74</v>
      </c>
      <c r="F542" t="s">
        <v>10752</v>
      </c>
      <c r="G542" t="s">
        <v>74</v>
      </c>
      <c r="H542" t="s">
        <v>74</v>
      </c>
      <c r="I542" t="s">
        <v>10753</v>
      </c>
      <c r="J542" t="s">
        <v>1210</v>
      </c>
      <c r="K542" t="s">
        <v>74</v>
      </c>
      <c r="L542" t="s">
        <v>74</v>
      </c>
      <c r="M542" t="s">
        <v>78</v>
      </c>
      <c r="N542" t="s">
        <v>79</v>
      </c>
      <c r="O542" t="s">
        <v>74</v>
      </c>
      <c r="P542" t="s">
        <v>74</v>
      </c>
      <c r="Q542" t="s">
        <v>74</v>
      </c>
      <c r="R542" t="s">
        <v>74</v>
      </c>
      <c r="S542" t="s">
        <v>74</v>
      </c>
      <c r="T542" t="s">
        <v>10754</v>
      </c>
      <c r="U542" t="s">
        <v>74</v>
      </c>
      <c r="V542" t="s">
        <v>10755</v>
      </c>
      <c r="W542" t="s">
        <v>10756</v>
      </c>
      <c r="X542" t="s">
        <v>10757</v>
      </c>
      <c r="Y542" t="s">
        <v>10758</v>
      </c>
      <c r="Z542" t="s">
        <v>10759</v>
      </c>
      <c r="AA542" t="s">
        <v>10760</v>
      </c>
      <c r="AB542" t="s">
        <v>10761</v>
      </c>
      <c r="AC542" t="s">
        <v>10762</v>
      </c>
      <c r="AD542" t="s">
        <v>10763</v>
      </c>
      <c r="AE542" t="s">
        <v>10764</v>
      </c>
      <c r="AF542" t="s">
        <v>74</v>
      </c>
      <c r="AG542">
        <v>180</v>
      </c>
      <c r="AH542">
        <v>22</v>
      </c>
      <c r="AI542">
        <v>33</v>
      </c>
      <c r="AJ542">
        <v>0</v>
      </c>
      <c r="AK542">
        <v>28</v>
      </c>
      <c r="AL542" t="s">
        <v>1216</v>
      </c>
      <c r="AM542" t="s">
        <v>283</v>
      </c>
      <c r="AN542" t="s">
        <v>1217</v>
      </c>
      <c r="AO542" t="s">
        <v>1218</v>
      </c>
      <c r="AP542" t="s">
        <v>74</v>
      </c>
      <c r="AQ542" t="s">
        <v>74</v>
      </c>
      <c r="AR542" t="s">
        <v>1219</v>
      </c>
      <c r="AS542" t="s">
        <v>1220</v>
      </c>
      <c r="AT542" t="s">
        <v>10765</v>
      </c>
      <c r="AU542">
        <v>2019</v>
      </c>
      <c r="AV542">
        <v>2</v>
      </c>
      <c r="AW542" t="s">
        <v>74</v>
      </c>
      <c r="AX542" t="s">
        <v>74</v>
      </c>
      <c r="AY542" t="s">
        <v>74</v>
      </c>
      <c r="AZ542" t="s">
        <v>74</v>
      </c>
      <c r="BA542" t="s">
        <v>74</v>
      </c>
      <c r="BB542" t="s">
        <v>74</v>
      </c>
      <c r="BC542" t="s">
        <v>74</v>
      </c>
      <c r="BD542">
        <v>14</v>
      </c>
      <c r="BE542" t="s">
        <v>10766</v>
      </c>
      <c r="BF542" t="str">
        <f>HYPERLINK("http://dx.doi.org/10.3389/fbloc.2019.00014","http://dx.doi.org/10.3389/fbloc.2019.00014")</f>
        <v>http://dx.doi.org/10.3389/fbloc.2019.00014</v>
      </c>
      <c r="BG542" t="s">
        <v>74</v>
      </c>
      <c r="BH542" t="s">
        <v>74</v>
      </c>
      <c r="BI542">
        <v>14</v>
      </c>
      <c r="BJ542" t="s">
        <v>1223</v>
      </c>
      <c r="BK542" t="s">
        <v>313</v>
      </c>
      <c r="BL542" t="s">
        <v>157</v>
      </c>
      <c r="BM542" t="s">
        <v>10767</v>
      </c>
      <c r="BN542" t="s">
        <v>74</v>
      </c>
      <c r="BO542" t="s">
        <v>10768</v>
      </c>
      <c r="BP542" t="s">
        <v>74</v>
      </c>
      <c r="BQ542" t="s">
        <v>74</v>
      </c>
      <c r="BR542" t="s">
        <v>102</v>
      </c>
      <c r="BS542" t="s">
        <v>10769</v>
      </c>
      <c r="BT542" t="str">
        <f>HYPERLINK("https%3A%2F%2Fwww.webofscience.com%2Fwos%2Fwoscc%2Ffull-record%2FWOS:000679372500001","View Full Record in Web of Science")</f>
        <v>View Full Record in Web of Science</v>
      </c>
    </row>
    <row r="543" spans="1:72" x14ac:dyDescent="0.25">
      <c r="A543" t="s">
        <v>72</v>
      </c>
      <c r="B543" t="s">
        <v>10770</v>
      </c>
      <c r="C543" t="s">
        <v>74</v>
      </c>
      <c r="D543" t="s">
        <v>74</v>
      </c>
      <c r="E543" t="s">
        <v>74</v>
      </c>
      <c r="F543" t="s">
        <v>10771</v>
      </c>
      <c r="G543" t="s">
        <v>74</v>
      </c>
      <c r="H543" t="s">
        <v>74</v>
      </c>
      <c r="I543" t="s">
        <v>10772</v>
      </c>
      <c r="J543" t="s">
        <v>2875</v>
      </c>
      <c r="K543" t="s">
        <v>74</v>
      </c>
      <c r="L543" t="s">
        <v>74</v>
      </c>
      <c r="M543" t="s">
        <v>78</v>
      </c>
      <c r="N543" t="s">
        <v>79</v>
      </c>
      <c r="O543" t="s">
        <v>74</v>
      </c>
      <c r="P543" t="s">
        <v>74</v>
      </c>
      <c r="Q543" t="s">
        <v>74</v>
      </c>
      <c r="R543" t="s">
        <v>74</v>
      </c>
      <c r="S543" t="s">
        <v>74</v>
      </c>
      <c r="T543" t="s">
        <v>10773</v>
      </c>
      <c r="U543" t="s">
        <v>10774</v>
      </c>
      <c r="V543" t="s">
        <v>10775</v>
      </c>
      <c r="W543" t="s">
        <v>10776</v>
      </c>
      <c r="X543" t="s">
        <v>10777</v>
      </c>
      <c r="Y543" t="s">
        <v>10778</v>
      </c>
      <c r="Z543" t="s">
        <v>10779</v>
      </c>
      <c r="AA543" t="s">
        <v>74</v>
      </c>
      <c r="AB543" t="s">
        <v>9954</v>
      </c>
      <c r="AC543" t="s">
        <v>10780</v>
      </c>
      <c r="AD543" t="s">
        <v>10781</v>
      </c>
      <c r="AE543" t="s">
        <v>10782</v>
      </c>
      <c r="AF543" t="s">
        <v>74</v>
      </c>
      <c r="AG543">
        <v>126</v>
      </c>
      <c r="AH543">
        <v>2</v>
      </c>
      <c r="AI543">
        <v>2</v>
      </c>
      <c r="AJ543">
        <v>6</v>
      </c>
      <c r="AK543">
        <v>22</v>
      </c>
      <c r="AL543" t="s">
        <v>575</v>
      </c>
      <c r="AM543" t="s">
        <v>576</v>
      </c>
      <c r="AN543" t="s">
        <v>3242</v>
      </c>
      <c r="AO543" t="s">
        <v>2887</v>
      </c>
      <c r="AP543" t="s">
        <v>74</v>
      </c>
      <c r="AQ543" t="s">
        <v>74</v>
      </c>
      <c r="AR543" t="s">
        <v>2888</v>
      </c>
      <c r="AS543" t="s">
        <v>2889</v>
      </c>
      <c r="AT543" t="s">
        <v>1652</v>
      </c>
      <c r="AU543">
        <v>2024</v>
      </c>
      <c r="AV543">
        <v>19</v>
      </c>
      <c r="AW543">
        <v>2</v>
      </c>
      <c r="AX543" t="s">
        <v>74</v>
      </c>
      <c r="AY543" t="s">
        <v>74</v>
      </c>
      <c r="AZ543" t="s">
        <v>74</v>
      </c>
      <c r="BA543" t="s">
        <v>74</v>
      </c>
      <c r="BB543">
        <v>1222</v>
      </c>
      <c r="BC543">
        <v>1242</v>
      </c>
      <c r="BD543" t="s">
        <v>74</v>
      </c>
      <c r="BE543" t="s">
        <v>10783</v>
      </c>
      <c r="BF543" t="str">
        <f>HYPERLINK("http://dx.doi.org/10.3390/jtaer19020063","http://dx.doi.org/10.3390/jtaer19020063")</f>
        <v>http://dx.doi.org/10.3390/jtaer19020063</v>
      </c>
      <c r="BG543" t="s">
        <v>74</v>
      </c>
      <c r="BH543" t="s">
        <v>74</v>
      </c>
      <c r="BI543">
        <v>21</v>
      </c>
      <c r="BJ543" t="s">
        <v>418</v>
      </c>
      <c r="BK543" t="s">
        <v>99</v>
      </c>
      <c r="BL543" t="s">
        <v>100</v>
      </c>
      <c r="BM543" t="s">
        <v>10784</v>
      </c>
      <c r="BN543" t="s">
        <v>74</v>
      </c>
      <c r="BO543" t="s">
        <v>916</v>
      </c>
      <c r="BP543" t="s">
        <v>74</v>
      </c>
      <c r="BQ543" t="s">
        <v>74</v>
      </c>
      <c r="BR543" t="s">
        <v>102</v>
      </c>
      <c r="BS543" t="s">
        <v>10785</v>
      </c>
      <c r="BT543" t="str">
        <f>HYPERLINK("https%3A%2F%2Fwww.webofscience.com%2Fwos%2Fwoscc%2Ffull-record%2FWOS:001256773400001","View Full Record in Web of Science")</f>
        <v>View Full Record in Web of Science</v>
      </c>
    </row>
    <row r="544" spans="1:72" x14ac:dyDescent="0.25">
      <c r="A544" t="s">
        <v>72</v>
      </c>
      <c r="B544" t="s">
        <v>10786</v>
      </c>
      <c r="C544" t="s">
        <v>74</v>
      </c>
      <c r="D544" t="s">
        <v>74</v>
      </c>
      <c r="E544" t="s">
        <v>74</v>
      </c>
      <c r="F544" t="s">
        <v>10787</v>
      </c>
      <c r="G544" t="s">
        <v>74</v>
      </c>
      <c r="H544" t="s">
        <v>74</v>
      </c>
      <c r="I544" t="s">
        <v>10788</v>
      </c>
      <c r="J544" t="s">
        <v>4822</v>
      </c>
      <c r="K544" t="s">
        <v>74</v>
      </c>
      <c r="L544" t="s">
        <v>74</v>
      </c>
      <c r="M544" t="s">
        <v>78</v>
      </c>
      <c r="N544" t="s">
        <v>79</v>
      </c>
      <c r="O544" t="s">
        <v>74</v>
      </c>
      <c r="P544" t="s">
        <v>74</v>
      </c>
      <c r="Q544" t="s">
        <v>74</v>
      </c>
      <c r="R544" t="s">
        <v>74</v>
      </c>
      <c r="S544" t="s">
        <v>74</v>
      </c>
      <c r="T544" t="s">
        <v>10789</v>
      </c>
      <c r="U544" t="s">
        <v>10790</v>
      </c>
      <c r="V544" t="s">
        <v>10791</v>
      </c>
      <c r="W544" t="s">
        <v>10792</v>
      </c>
      <c r="X544" t="s">
        <v>10793</v>
      </c>
      <c r="Y544" t="s">
        <v>10794</v>
      </c>
      <c r="Z544" t="s">
        <v>10795</v>
      </c>
      <c r="AA544" t="s">
        <v>10796</v>
      </c>
      <c r="AB544" t="s">
        <v>74</v>
      </c>
      <c r="AC544" t="s">
        <v>10797</v>
      </c>
      <c r="AD544" t="s">
        <v>10798</v>
      </c>
      <c r="AE544" t="s">
        <v>10799</v>
      </c>
      <c r="AF544" t="s">
        <v>74</v>
      </c>
      <c r="AG544">
        <v>55</v>
      </c>
      <c r="AH544">
        <v>0</v>
      </c>
      <c r="AI544">
        <v>0</v>
      </c>
      <c r="AJ544">
        <v>11</v>
      </c>
      <c r="AK544">
        <v>11</v>
      </c>
      <c r="AL544" t="s">
        <v>201</v>
      </c>
      <c r="AM544" t="s">
        <v>202</v>
      </c>
      <c r="AN544" t="s">
        <v>203</v>
      </c>
      <c r="AO544" t="s">
        <v>4833</v>
      </c>
      <c r="AP544" t="s">
        <v>9515</v>
      </c>
      <c r="AQ544" t="s">
        <v>74</v>
      </c>
      <c r="AR544" t="s">
        <v>4834</v>
      </c>
      <c r="AS544" t="s">
        <v>4835</v>
      </c>
      <c r="AT544" t="s">
        <v>698</v>
      </c>
      <c r="AU544">
        <v>2025</v>
      </c>
      <c r="AV544">
        <v>87</v>
      </c>
      <c r="AW544" t="s">
        <v>74</v>
      </c>
      <c r="AX544" t="s">
        <v>74</v>
      </c>
      <c r="AY544" t="s">
        <v>74</v>
      </c>
      <c r="AZ544" t="s">
        <v>74</v>
      </c>
      <c r="BA544" t="s">
        <v>74</v>
      </c>
      <c r="BB544">
        <v>1482</v>
      </c>
      <c r="BC544">
        <v>1500</v>
      </c>
      <c r="BD544" t="s">
        <v>74</v>
      </c>
      <c r="BE544" t="s">
        <v>10800</v>
      </c>
      <c r="BF544" t="str">
        <f>HYPERLINK("http://dx.doi.org/10.1016/j.eap.2025.07.017","http://dx.doi.org/10.1016/j.eap.2025.07.017")</f>
        <v>http://dx.doi.org/10.1016/j.eap.2025.07.017</v>
      </c>
      <c r="BG544" t="s">
        <v>74</v>
      </c>
      <c r="BH544" t="s">
        <v>3389</v>
      </c>
      <c r="BI544">
        <v>19</v>
      </c>
      <c r="BJ544" t="s">
        <v>291</v>
      </c>
      <c r="BK544" t="s">
        <v>99</v>
      </c>
      <c r="BL544" t="s">
        <v>100</v>
      </c>
      <c r="BM544" t="s">
        <v>10801</v>
      </c>
      <c r="BN544" t="s">
        <v>74</v>
      </c>
      <c r="BO544" t="s">
        <v>74</v>
      </c>
      <c r="BP544" t="s">
        <v>74</v>
      </c>
      <c r="BQ544" t="s">
        <v>74</v>
      </c>
      <c r="BR544" t="s">
        <v>102</v>
      </c>
      <c r="BS544" t="s">
        <v>10802</v>
      </c>
      <c r="BT544" t="str">
        <f>HYPERLINK("https%3A%2F%2Fwww.webofscience.com%2Fwos%2Fwoscc%2Ffull-record%2FWOS:001538261400002","View Full Record in Web of Science")</f>
        <v>View Full Record in Web of Science</v>
      </c>
    </row>
    <row r="545" spans="1:72" x14ac:dyDescent="0.25">
      <c r="A545" t="s">
        <v>72</v>
      </c>
      <c r="B545" t="s">
        <v>10803</v>
      </c>
      <c r="C545" t="s">
        <v>74</v>
      </c>
      <c r="D545" t="s">
        <v>74</v>
      </c>
      <c r="E545" t="s">
        <v>74</v>
      </c>
      <c r="F545" t="s">
        <v>10804</v>
      </c>
      <c r="G545" t="s">
        <v>74</v>
      </c>
      <c r="H545" t="s">
        <v>74</v>
      </c>
      <c r="I545" t="s">
        <v>10805</v>
      </c>
      <c r="J545" t="s">
        <v>10806</v>
      </c>
      <c r="K545" t="s">
        <v>74</v>
      </c>
      <c r="L545" t="s">
        <v>74</v>
      </c>
      <c r="M545" t="s">
        <v>78</v>
      </c>
      <c r="N545" t="s">
        <v>79</v>
      </c>
      <c r="O545" t="s">
        <v>74</v>
      </c>
      <c r="P545" t="s">
        <v>74</v>
      </c>
      <c r="Q545" t="s">
        <v>74</v>
      </c>
      <c r="R545" t="s">
        <v>74</v>
      </c>
      <c r="S545" t="s">
        <v>74</v>
      </c>
      <c r="T545" t="s">
        <v>10807</v>
      </c>
      <c r="U545" t="s">
        <v>10808</v>
      </c>
      <c r="V545" t="s">
        <v>10809</v>
      </c>
      <c r="W545" t="s">
        <v>10810</v>
      </c>
      <c r="X545" t="s">
        <v>10811</v>
      </c>
      <c r="Y545" t="s">
        <v>10812</v>
      </c>
      <c r="Z545" t="s">
        <v>10813</v>
      </c>
      <c r="AA545" t="s">
        <v>10814</v>
      </c>
      <c r="AB545" t="s">
        <v>74</v>
      </c>
      <c r="AC545" t="s">
        <v>10815</v>
      </c>
      <c r="AD545" t="s">
        <v>10816</v>
      </c>
      <c r="AE545" t="s">
        <v>10817</v>
      </c>
      <c r="AF545" t="s">
        <v>74</v>
      </c>
      <c r="AG545">
        <v>67</v>
      </c>
      <c r="AH545">
        <v>0</v>
      </c>
      <c r="AI545">
        <v>0</v>
      </c>
      <c r="AJ545">
        <v>11</v>
      </c>
      <c r="AK545">
        <v>11</v>
      </c>
      <c r="AL545" t="s">
        <v>201</v>
      </c>
      <c r="AM545" t="s">
        <v>202</v>
      </c>
      <c r="AN545" t="s">
        <v>203</v>
      </c>
      <c r="AO545" t="s">
        <v>10818</v>
      </c>
      <c r="AP545" t="s">
        <v>10819</v>
      </c>
      <c r="AQ545" t="s">
        <v>74</v>
      </c>
      <c r="AR545" t="s">
        <v>10820</v>
      </c>
      <c r="AS545" t="s">
        <v>10821</v>
      </c>
      <c r="AT545" t="s">
        <v>1159</v>
      </c>
      <c r="AU545">
        <v>2025</v>
      </c>
      <c r="AV545">
        <v>151</v>
      </c>
      <c r="AW545" t="s">
        <v>74</v>
      </c>
      <c r="AX545" t="s">
        <v>74</v>
      </c>
      <c r="AY545" t="s">
        <v>74</v>
      </c>
      <c r="AZ545" t="s">
        <v>74</v>
      </c>
      <c r="BA545" t="s">
        <v>74</v>
      </c>
      <c r="BB545" t="s">
        <v>74</v>
      </c>
      <c r="BC545" t="s">
        <v>74</v>
      </c>
      <c r="BD545">
        <v>107205</v>
      </c>
      <c r="BE545" t="s">
        <v>10822</v>
      </c>
      <c r="BF545" t="str">
        <f>HYPERLINK("http://dx.doi.org/10.1016/j.econmod.2025.107205","http://dx.doi.org/10.1016/j.econmod.2025.107205")</f>
        <v>http://dx.doi.org/10.1016/j.econmod.2025.107205</v>
      </c>
      <c r="BG545" t="s">
        <v>74</v>
      </c>
      <c r="BH545" t="s">
        <v>7657</v>
      </c>
      <c r="BI545">
        <v>21</v>
      </c>
      <c r="BJ545" t="s">
        <v>291</v>
      </c>
      <c r="BK545" t="s">
        <v>99</v>
      </c>
      <c r="BL545" t="s">
        <v>100</v>
      </c>
      <c r="BM545" t="s">
        <v>10823</v>
      </c>
      <c r="BN545" t="s">
        <v>74</v>
      </c>
      <c r="BO545" t="s">
        <v>74</v>
      </c>
      <c r="BP545" t="s">
        <v>74</v>
      </c>
      <c r="BQ545" t="s">
        <v>74</v>
      </c>
      <c r="BR545" t="s">
        <v>102</v>
      </c>
      <c r="BS545" t="s">
        <v>10824</v>
      </c>
      <c r="BT545" t="str">
        <f>HYPERLINK("https%3A%2F%2Fwww.webofscience.com%2Fwos%2Fwoscc%2Ffull-record%2FWOS:001530596100001","View Full Record in Web of Science")</f>
        <v>View Full Record in Web of Science</v>
      </c>
    </row>
    <row r="546" spans="1:72" x14ac:dyDescent="0.25">
      <c r="A546" t="s">
        <v>132</v>
      </c>
      <c r="B546" t="s">
        <v>10825</v>
      </c>
      <c r="C546" t="s">
        <v>74</v>
      </c>
      <c r="D546" t="s">
        <v>74</v>
      </c>
      <c r="E546" t="s">
        <v>150</v>
      </c>
      <c r="F546" t="s">
        <v>10826</v>
      </c>
      <c r="G546" t="s">
        <v>74</v>
      </c>
      <c r="H546" t="s">
        <v>74</v>
      </c>
      <c r="I546" t="s">
        <v>10827</v>
      </c>
      <c r="J546" t="s">
        <v>10828</v>
      </c>
      <c r="K546" t="s">
        <v>74</v>
      </c>
      <c r="L546" t="s">
        <v>74</v>
      </c>
      <c r="M546" t="s">
        <v>78</v>
      </c>
      <c r="N546" t="s">
        <v>138</v>
      </c>
      <c r="O546" t="s">
        <v>10829</v>
      </c>
      <c r="P546" t="s">
        <v>10830</v>
      </c>
      <c r="Q546" t="s">
        <v>10831</v>
      </c>
      <c r="R546" t="s">
        <v>10832</v>
      </c>
      <c r="S546" t="s">
        <v>74</v>
      </c>
      <c r="T546" t="s">
        <v>10833</v>
      </c>
      <c r="U546" t="s">
        <v>10834</v>
      </c>
      <c r="V546" t="s">
        <v>10835</v>
      </c>
      <c r="W546" t="s">
        <v>10836</v>
      </c>
      <c r="X546" t="s">
        <v>10837</v>
      </c>
      <c r="Y546" t="s">
        <v>10838</v>
      </c>
      <c r="Z546" t="s">
        <v>10839</v>
      </c>
      <c r="AA546" t="s">
        <v>74</v>
      </c>
      <c r="AB546" t="s">
        <v>10840</v>
      </c>
      <c r="AC546" t="s">
        <v>10841</v>
      </c>
      <c r="AD546" t="s">
        <v>10841</v>
      </c>
      <c r="AE546" t="s">
        <v>10842</v>
      </c>
      <c r="AF546" t="s">
        <v>74</v>
      </c>
      <c r="AG546">
        <v>15</v>
      </c>
      <c r="AH546">
        <v>0</v>
      </c>
      <c r="AI546">
        <v>0</v>
      </c>
      <c r="AJ546">
        <v>2</v>
      </c>
      <c r="AK546">
        <v>3</v>
      </c>
      <c r="AL546" t="s">
        <v>150</v>
      </c>
      <c r="AM546" t="s">
        <v>151</v>
      </c>
      <c r="AN546" t="s">
        <v>1560</v>
      </c>
      <c r="AO546" t="s">
        <v>74</v>
      </c>
      <c r="AP546" t="s">
        <v>74</v>
      </c>
      <c r="AQ546" t="s">
        <v>10843</v>
      </c>
      <c r="AR546" t="s">
        <v>74</v>
      </c>
      <c r="AS546" t="s">
        <v>74</v>
      </c>
      <c r="AT546" t="s">
        <v>74</v>
      </c>
      <c r="AU546">
        <v>2024</v>
      </c>
      <c r="AV546" t="s">
        <v>74</v>
      </c>
      <c r="AW546" t="s">
        <v>74</v>
      </c>
      <c r="AX546" t="s">
        <v>74</v>
      </c>
      <c r="AY546" t="s">
        <v>74</v>
      </c>
      <c r="AZ546" t="s">
        <v>74</v>
      </c>
      <c r="BA546" t="s">
        <v>74</v>
      </c>
      <c r="BB546">
        <v>149</v>
      </c>
      <c r="BC546">
        <v>154</v>
      </c>
      <c r="BD546" t="s">
        <v>74</v>
      </c>
      <c r="BE546" t="s">
        <v>10844</v>
      </c>
      <c r="BF546" t="str">
        <f>HYPERLINK("http://dx.doi.org/10.1145/3691422.3691463","http://dx.doi.org/10.1145/3691422.3691463")</f>
        <v>http://dx.doi.org/10.1145/3691422.3691463</v>
      </c>
      <c r="BG546" t="s">
        <v>74</v>
      </c>
      <c r="BH546" t="s">
        <v>74</v>
      </c>
      <c r="BI546">
        <v>6</v>
      </c>
      <c r="BJ546" t="s">
        <v>10845</v>
      </c>
      <c r="BK546" t="s">
        <v>1069</v>
      </c>
      <c r="BL546" t="s">
        <v>1070</v>
      </c>
      <c r="BM546" t="s">
        <v>10846</v>
      </c>
      <c r="BN546" t="s">
        <v>74</v>
      </c>
      <c r="BO546" t="s">
        <v>212</v>
      </c>
      <c r="BP546" t="s">
        <v>74</v>
      </c>
      <c r="BQ546" t="s">
        <v>74</v>
      </c>
      <c r="BR546" t="s">
        <v>102</v>
      </c>
      <c r="BS546" t="s">
        <v>10847</v>
      </c>
      <c r="BT546" t="str">
        <f>HYPERLINK("https%3A%2F%2Fwww.webofscience.com%2Fwos%2Fwoscc%2Ffull-record%2FWOS:001435012500023","View Full Record in Web of Science")</f>
        <v>View Full Record in Web of Science</v>
      </c>
    </row>
    <row r="547" spans="1:72" x14ac:dyDescent="0.25">
      <c r="A547" t="s">
        <v>132</v>
      </c>
      <c r="B547" t="s">
        <v>10848</v>
      </c>
      <c r="C547" t="s">
        <v>74</v>
      </c>
      <c r="D547" t="s">
        <v>10849</v>
      </c>
      <c r="E547" t="s">
        <v>74</v>
      </c>
      <c r="F547" t="s">
        <v>10850</v>
      </c>
      <c r="G547" t="s">
        <v>74</v>
      </c>
      <c r="H547" t="s">
        <v>74</v>
      </c>
      <c r="I547" t="s">
        <v>10851</v>
      </c>
      <c r="J547" t="s">
        <v>10852</v>
      </c>
      <c r="K547" t="s">
        <v>10853</v>
      </c>
      <c r="L547" t="s">
        <v>74</v>
      </c>
      <c r="M547" t="s">
        <v>78</v>
      </c>
      <c r="N547" t="s">
        <v>138</v>
      </c>
      <c r="O547" t="s">
        <v>10854</v>
      </c>
      <c r="P547" t="s">
        <v>10855</v>
      </c>
      <c r="Q547" t="s">
        <v>10856</v>
      </c>
      <c r="R547" t="s">
        <v>10857</v>
      </c>
      <c r="S547" t="s">
        <v>74</v>
      </c>
      <c r="T547" t="s">
        <v>10858</v>
      </c>
      <c r="U547" t="s">
        <v>74</v>
      </c>
      <c r="V547" t="s">
        <v>10859</v>
      </c>
      <c r="W547" t="s">
        <v>10860</v>
      </c>
      <c r="X547" t="s">
        <v>74</v>
      </c>
      <c r="Y547" t="s">
        <v>10861</v>
      </c>
      <c r="Z547" t="s">
        <v>74</v>
      </c>
      <c r="AA547" t="s">
        <v>74</v>
      </c>
      <c r="AB547" t="s">
        <v>74</v>
      </c>
      <c r="AC547" t="s">
        <v>74</v>
      </c>
      <c r="AD547" t="s">
        <v>74</v>
      </c>
      <c r="AE547" t="s">
        <v>74</v>
      </c>
      <c r="AF547" t="s">
        <v>74</v>
      </c>
      <c r="AG547">
        <v>36</v>
      </c>
      <c r="AH547">
        <v>1</v>
      </c>
      <c r="AI547">
        <v>1</v>
      </c>
      <c r="AJ547">
        <v>0</v>
      </c>
      <c r="AK547">
        <v>1</v>
      </c>
      <c r="AL547" t="s">
        <v>771</v>
      </c>
      <c r="AM547" t="s">
        <v>151</v>
      </c>
      <c r="AN547" t="s">
        <v>785</v>
      </c>
      <c r="AO547" t="s">
        <v>10862</v>
      </c>
      <c r="AP547" t="s">
        <v>74</v>
      </c>
      <c r="AQ547" t="s">
        <v>10863</v>
      </c>
      <c r="AR547" t="s">
        <v>10864</v>
      </c>
      <c r="AS547" t="s">
        <v>74</v>
      </c>
      <c r="AT547" t="s">
        <v>74</v>
      </c>
      <c r="AU547">
        <v>2017</v>
      </c>
      <c r="AV547" t="s">
        <v>74</v>
      </c>
      <c r="AW547" t="s">
        <v>74</v>
      </c>
      <c r="AX547" t="s">
        <v>74</v>
      </c>
      <c r="AY547" t="s">
        <v>74</v>
      </c>
      <c r="AZ547" t="s">
        <v>74</v>
      </c>
      <c r="BA547" t="s">
        <v>74</v>
      </c>
      <c r="BB547">
        <v>446</v>
      </c>
      <c r="BC547">
        <v>453</v>
      </c>
      <c r="BD547" t="s">
        <v>74</v>
      </c>
      <c r="BE547" t="s">
        <v>74</v>
      </c>
      <c r="BF547" t="s">
        <v>74</v>
      </c>
      <c r="BG547" t="s">
        <v>74</v>
      </c>
      <c r="BH547" t="s">
        <v>74</v>
      </c>
      <c r="BI547">
        <v>8</v>
      </c>
      <c r="BJ547" t="s">
        <v>10865</v>
      </c>
      <c r="BK547" t="s">
        <v>156</v>
      </c>
      <c r="BL547" t="s">
        <v>981</v>
      </c>
      <c r="BM547" t="s">
        <v>10866</v>
      </c>
      <c r="BN547" t="s">
        <v>74</v>
      </c>
      <c r="BO547" t="s">
        <v>74</v>
      </c>
      <c r="BP547" t="s">
        <v>74</v>
      </c>
      <c r="BQ547" t="s">
        <v>74</v>
      </c>
      <c r="BR547" t="s">
        <v>102</v>
      </c>
      <c r="BS547" t="s">
        <v>10867</v>
      </c>
      <c r="BT547" t="str">
        <f>HYPERLINK("https%3A%2F%2Fwww.webofscience.com%2Fwos%2Fwoscc%2Ffull-record%2FWOS:000464318300059","View Full Record in Web of Science")</f>
        <v>View Full Record in Web of Science</v>
      </c>
    </row>
    <row r="548" spans="1:72" x14ac:dyDescent="0.25">
      <c r="A548" t="s">
        <v>72</v>
      </c>
      <c r="B548" t="s">
        <v>10868</v>
      </c>
      <c r="C548" t="s">
        <v>74</v>
      </c>
      <c r="D548" t="s">
        <v>74</v>
      </c>
      <c r="E548" t="s">
        <v>74</v>
      </c>
      <c r="F548" t="s">
        <v>10869</v>
      </c>
      <c r="G548" t="s">
        <v>74</v>
      </c>
      <c r="H548" t="s">
        <v>74</v>
      </c>
      <c r="I548" t="s">
        <v>10870</v>
      </c>
      <c r="J548" t="s">
        <v>10871</v>
      </c>
      <c r="K548" t="s">
        <v>74</v>
      </c>
      <c r="L548" t="s">
        <v>74</v>
      </c>
      <c r="M548" t="s">
        <v>78</v>
      </c>
      <c r="N548" t="s">
        <v>79</v>
      </c>
      <c r="O548" t="s">
        <v>74</v>
      </c>
      <c r="P548" t="s">
        <v>74</v>
      </c>
      <c r="Q548" t="s">
        <v>74</v>
      </c>
      <c r="R548" t="s">
        <v>74</v>
      </c>
      <c r="S548" t="s">
        <v>74</v>
      </c>
      <c r="T548" t="s">
        <v>10872</v>
      </c>
      <c r="U548" t="s">
        <v>10873</v>
      </c>
      <c r="V548" t="s">
        <v>10874</v>
      </c>
      <c r="W548" t="s">
        <v>10875</v>
      </c>
      <c r="X548" t="s">
        <v>10876</v>
      </c>
      <c r="Y548" t="s">
        <v>10877</v>
      </c>
      <c r="Z548" t="s">
        <v>10878</v>
      </c>
      <c r="AA548" t="s">
        <v>10879</v>
      </c>
      <c r="AB548" t="s">
        <v>10880</v>
      </c>
      <c r="AC548" t="s">
        <v>10881</v>
      </c>
      <c r="AD548" t="s">
        <v>10882</v>
      </c>
      <c r="AE548" t="s">
        <v>10883</v>
      </c>
      <c r="AF548" t="s">
        <v>74</v>
      </c>
      <c r="AG548">
        <v>79</v>
      </c>
      <c r="AH548">
        <v>34</v>
      </c>
      <c r="AI548">
        <v>41</v>
      </c>
      <c r="AJ548">
        <v>6</v>
      </c>
      <c r="AK548">
        <v>83</v>
      </c>
      <c r="AL548" t="s">
        <v>823</v>
      </c>
      <c r="AM548" t="s">
        <v>333</v>
      </c>
      <c r="AN548" t="s">
        <v>824</v>
      </c>
      <c r="AO548" t="s">
        <v>10884</v>
      </c>
      <c r="AP548" t="s">
        <v>10885</v>
      </c>
      <c r="AQ548" t="s">
        <v>74</v>
      </c>
      <c r="AR548" t="s">
        <v>10886</v>
      </c>
      <c r="AS548" t="s">
        <v>10887</v>
      </c>
      <c r="AT548" t="s">
        <v>1427</v>
      </c>
      <c r="AU548">
        <v>2022</v>
      </c>
      <c r="AV548">
        <v>31</v>
      </c>
      <c r="AW548">
        <v>1</v>
      </c>
      <c r="AX548" t="s">
        <v>74</v>
      </c>
      <c r="AY548" t="s">
        <v>74</v>
      </c>
      <c r="AZ548" t="s">
        <v>441</v>
      </c>
      <c r="BA548" t="s">
        <v>74</v>
      </c>
      <c r="BB548">
        <v>74</v>
      </c>
      <c r="BC548">
        <v>90</v>
      </c>
      <c r="BD548" t="s">
        <v>74</v>
      </c>
      <c r="BE548" t="s">
        <v>10888</v>
      </c>
      <c r="BF548" t="str">
        <f>HYPERLINK("http://dx.doi.org/10.1080/0960085X.2021.1978338","http://dx.doi.org/10.1080/0960085X.2021.1978338")</f>
        <v>http://dx.doi.org/10.1080/0960085X.2021.1978338</v>
      </c>
      <c r="BG548" t="s">
        <v>74</v>
      </c>
      <c r="BH548" t="s">
        <v>10889</v>
      </c>
      <c r="BI548">
        <v>17</v>
      </c>
      <c r="BJ548" t="s">
        <v>10890</v>
      </c>
      <c r="BK548" t="s">
        <v>2623</v>
      </c>
      <c r="BL548" t="s">
        <v>10891</v>
      </c>
      <c r="BM548" t="s">
        <v>10892</v>
      </c>
      <c r="BN548" t="s">
        <v>74</v>
      </c>
      <c r="BO548" t="s">
        <v>74</v>
      </c>
      <c r="BP548" t="s">
        <v>74</v>
      </c>
      <c r="BQ548" t="s">
        <v>74</v>
      </c>
      <c r="BR548" t="s">
        <v>102</v>
      </c>
      <c r="BS548" t="s">
        <v>10893</v>
      </c>
      <c r="BT548" t="str">
        <f>HYPERLINK("https%3A%2F%2Fwww.webofscience.com%2Fwos%2Fwoscc%2Ffull-record%2FWOS:000700463400001","View Full Record in Web of Science")</f>
        <v>View Full Record in Web of Science</v>
      </c>
    </row>
    <row r="549" spans="1:72" x14ac:dyDescent="0.25">
      <c r="A549" t="s">
        <v>72</v>
      </c>
      <c r="B549" t="s">
        <v>10894</v>
      </c>
      <c r="C549" t="s">
        <v>74</v>
      </c>
      <c r="D549" t="s">
        <v>74</v>
      </c>
      <c r="E549" t="s">
        <v>74</v>
      </c>
      <c r="F549" t="s">
        <v>10895</v>
      </c>
      <c r="G549" t="s">
        <v>74</v>
      </c>
      <c r="H549" t="s">
        <v>74</v>
      </c>
      <c r="I549" t="s">
        <v>10896</v>
      </c>
      <c r="J549" t="s">
        <v>4657</v>
      </c>
      <c r="K549" t="s">
        <v>74</v>
      </c>
      <c r="L549" t="s">
        <v>74</v>
      </c>
      <c r="M549" t="s">
        <v>78</v>
      </c>
      <c r="N549" t="s">
        <v>79</v>
      </c>
      <c r="O549" t="s">
        <v>74</v>
      </c>
      <c r="P549" t="s">
        <v>74</v>
      </c>
      <c r="Q549" t="s">
        <v>74</v>
      </c>
      <c r="R549" t="s">
        <v>74</v>
      </c>
      <c r="S549" t="s">
        <v>74</v>
      </c>
      <c r="T549" t="s">
        <v>10897</v>
      </c>
      <c r="U549" t="s">
        <v>10898</v>
      </c>
      <c r="V549" t="s">
        <v>10899</v>
      </c>
      <c r="W549" t="s">
        <v>10900</v>
      </c>
      <c r="X549" t="s">
        <v>10901</v>
      </c>
      <c r="Y549" t="s">
        <v>10902</v>
      </c>
      <c r="Z549" t="s">
        <v>10903</v>
      </c>
      <c r="AA549" t="s">
        <v>10904</v>
      </c>
      <c r="AB549" t="s">
        <v>74</v>
      </c>
      <c r="AC549" t="s">
        <v>74</v>
      </c>
      <c r="AD549" t="s">
        <v>74</v>
      </c>
      <c r="AE549" t="s">
        <v>74</v>
      </c>
      <c r="AF549" t="s">
        <v>74</v>
      </c>
      <c r="AG549">
        <v>79</v>
      </c>
      <c r="AH549">
        <v>0</v>
      </c>
      <c r="AI549">
        <v>0</v>
      </c>
      <c r="AJ549">
        <v>1</v>
      </c>
      <c r="AK549">
        <v>1</v>
      </c>
      <c r="AL549" t="s">
        <v>4666</v>
      </c>
      <c r="AM549" t="s">
        <v>995</v>
      </c>
      <c r="AN549" t="s">
        <v>4025</v>
      </c>
      <c r="AO549" t="s">
        <v>74</v>
      </c>
      <c r="AP549" t="s">
        <v>4667</v>
      </c>
      <c r="AQ549" t="s">
        <v>74</v>
      </c>
      <c r="AR549" t="s">
        <v>4668</v>
      </c>
      <c r="AS549" t="s">
        <v>4669</v>
      </c>
      <c r="AT549" t="s">
        <v>5028</v>
      </c>
      <c r="AU549">
        <v>2025</v>
      </c>
      <c r="AV549">
        <v>6</v>
      </c>
      <c r="AW549">
        <v>1</v>
      </c>
      <c r="AX549" t="s">
        <v>74</v>
      </c>
      <c r="AY549" t="s">
        <v>74</v>
      </c>
      <c r="AZ549" t="s">
        <v>74</v>
      </c>
      <c r="BA549" t="s">
        <v>74</v>
      </c>
      <c r="BB549" t="s">
        <v>74</v>
      </c>
      <c r="BC549" t="s">
        <v>74</v>
      </c>
      <c r="BD549">
        <v>1004</v>
      </c>
      <c r="BE549" t="s">
        <v>10905</v>
      </c>
      <c r="BF549" t="str">
        <f>HYPERLINK("http://dx.doi.org/10.1007/s43621-025-01890-7","http://dx.doi.org/10.1007/s43621-025-01890-7")</f>
        <v>http://dx.doi.org/10.1007/s43621-025-01890-7</v>
      </c>
      <c r="BG549" t="s">
        <v>74</v>
      </c>
      <c r="BH549" t="s">
        <v>74</v>
      </c>
      <c r="BI549">
        <v>28</v>
      </c>
      <c r="BJ549" t="s">
        <v>3247</v>
      </c>
      <c r="BK549" t="s">
        <v>313</v>
      </c>
      <c r="BL549" t="s">
        <v>3248</v>
      </c>
      <c r="BM549" t="s">
        <v>10906</v>
      </c>
      <c r="BN549" t="s">
        <v>74</v>
      </c>
      <c r="BO549" t="s">
        <v>212</v>
      </c>
      <c r="BP549" t="s">
        <v>74</v>
      </c>
      <c r="BQ549" t="s">
        <v>74</v>
      </c>
      <c r="BR549" t="s">
        <v>102</v>
      </c>
      <c r="BS549" t="s">
        <v>10907</v>
      </c>
      <c r="BT549" t="str">
        <f>HYPERLINK("https%3A%2F%2Fwww.webofscience.com%2Fwos%2Fwoscc%2Ffull-record%2FWOS:001586971300009","View Full Record in Web of Science")</f>
        <v>View Full Record in Web of Science</v>
      </c>
    </row>
    <row r="550" spans="1:72" x14ac:dyDescent="0.25">
      <c r="A550" t="s">
        <v>72</v>
      </c>
      <c r="B550" t="s">
        <v>10908</v>
      </c>
      <c r="C550" t="s">
        <v>74</v>
      </c>
      <c r="D550" t="s">
        <v>74</v>
      </c>
      <c r="E550" t="s">
        <v>74</v>
      </c>
      <c r="F550" t="s">
        <v>10909</v>
      </c>
      <c r="G550" t="s">
        <v>74</v>
      </c>
      <c r="H550" t="s">
        <v>74</v>
      </c>
      <c r="I550" t="s">
        <v>10910</v>
      </c>
      <c r="J550" t="s">
        <v>3231</v>
      </c>
      <c r="K550" t="s">
        <v>74</v>
      </c>
      <c r="L550" t="s">
        <v>74</v>
      </c>
      <c r="M550" t="s">
        <v>78</v>
      </c>
      <c r="N550" t="s">
        <v>79</v>
      </c>
      <c r="O550" t="s">
        <v>74</v>
      </c>
      <c r="P550" t="s">
        <v>74</v>
      </c>
      <c r="Q550" t="s">
        <v>74</v>
      </c>
      <c r="R550" t="s">
        <v>74</v>
      </c>
      <c r="S550" t="s">
        <v>74</v>
      </c>
      <c r="T550" t="s">
        <v>10911</v>
      </c>
      <c r="U550" t="s">
        <v>10912</v>
      </c>
      <c r="V550" t="s">
        <v>10913</v>
      </c>
      <c r="W550" t="s">
        <v>10914</v>
      </c>
      <c r="X550" t="s">
        <v>10915</v>
      </c>
      <c r="Y550" t="s">
        <v>10916</v>
      </c>
      <c r="Z550" t="s">
        <v>10917</v>
      </c>
      <c r="AA550" t="s">
        <v>10918</v>
      </c>
      <c r="AB550" t="s">
        <v>10919</v>
      </c>
      <c r="AC550" t="s">
        <v>74</v>
      </c>
      <c r="AD550" t="s">
        <v>74</v>
      </c>
      <c r="AE550" t="s">
        <v>74</v>
      </c>
      <c r="AF550" t="s">
        <v>74</v>
      </c>
      <c r="AG550">
        <v>47</v>
      </c>
      <c r="AH550">
        <v>50</v>
      </c>
      <c r="AI550">
        <v>71</v>
      </c>
      <c r="AJ550">
        <v>2</v>
      </c>
      <c r="AK550">
        <v>83</v>
      </c>
      <c r="AL550" t="s">
        <v>575</v>
      </c>
      <c r="AM550" t="s">
        <v>576</v>
      </c>
      <c r="AN550" t="s">
        <v>3242</v>
      </c>
      <c r="AO550" t="s">
        <v>74</v>
      </c>
      <c r="AP550" t="s">
        <v>3243</v>
      </c>
      <c r="AQ550" t="s">
        <v>74</v>
      </c>
      <c r="AR550" t="s">
        <v>3244</v>
      </c>
      <c r="AS550" t="s">
        <v>3245</v>
      </c>
      <c r="AT550" t="s">
        <v>1652</v>
      </c>
      <c r="AU550">
        <v>2021</v>
      </c>
      <c r="AV550">
        <v>13</v>
      </c>
      <c r="AW550">
        <v>11</v>
      </c>
      <c r="AX550" t="s">
        <v>74</v>
      </c>
      <c r="AY550" t="s">
        <v>74</v>
      </c>
      <c r="AZ550" t="s">
        <v>74</v>
      </c>
      <c r="BA550" t="s">
        <v>74</v>
      </c>
      <c r="BB550" t="s">
        <v>74</v>
      </c>
      <c r="BC550" t="s">
        <v>74</v>
      </c>
      <c r="BD550">
        <v>6312</v>
      </c>
      <c r="BE550" t="s">
        <v>10920</v>
      </c>
      <c r="BF550" t="str">
        <f>HYPERLINK("http://dx.doi.org/10.3390/su13116312","http://dx.doi.org/10.3390/su13116312")</f>
        <v>http://dx.doi.org/10.3390/su13116312</v>
      </c>
      <c r="BG550" t="s">
        <v>74</v>
      </c>
      <c r="BH550" t="s">
        <v>74</v>
      </c>
      <c r="BI550">
        <v>13</v>
      </c>
      <c r="BJ550" t="s">
        <v>3247</v>
      </c>
      <c r="BK550" t="s">
        <v>2623</v>
      </c>
      <c r="BL550" t="s">
        <v>3248</v>
      </c>
      <c r="BM550" t="s">
        <v>10921</v>
      </c>
      <c r="BN550" t="s">
        <v>74</v>
      </c>
      <c r="BO550" t="s">
        <v>916</v>
      </c>
      <c r="BP550" t="s">
        <v>74</v>
      </c>
      <c r="BQ550" t="s">
        <v>74</v>
      </c>
      <c r="BR550" t="s">
        <v>102</v>
      </c>
      <c r="BS550" t="s">
        <v>10922</v>
      </c>
      <c r="BT550" t="str">
        <f>HYPERLINK("https%3A%2F%2Fwww.webofscience.com%2Fwos%2Fwoscc%2Ffull-record%2FWOS:000660708300001","View Full Record in Web of Science")</f>
        <v>View Full Record in Web of Science</v>
      </c>
    </row>
    <row r="551" spans="1:72" x14ac:dyDescent="0.25">
      <c r="A551" t="s">
        <v>72</v>
      </c>
      <c r="B551" t="s">
        <v>10923</v>
      </c>
      <c r="C551" t="s">
        <v>74</v>
      </c>
      <c r="D551" t="s">
        <v>74</v>
      </c>
      <c r="E551" t="s">
        <v>74</v>
      </c>
      <c r="F551" t="s">
        <v>10924</v>
      </c>
      <c r="G551" t="s">
        <v>74</v>
      </c>
      <c r="H551" t="s">
        <v>74</v>
      </c>
      <c r="I551" t="s">
        <v>10925</v>
      </c>
      <c r="J551" t="s">
        <v>10926</v>
      </c>
      <c r="K551" t="s">
        <v>74</v>
      </c>
      <c r="L551" t="s">
        <v>74</v>
      </c>
      <c r="M551" t="s">
        <v>78</v>
      </c>
      <c r="N551" t="s">
        <v>79</v>
      </c>
      <c r="O551" t="s">
        <v>74</v>
      </c>
      <c r="P551" t="s">
        <v>74</v>
      </c>
      <c r="Q551" t="s">
        <v>74</v>
      </c>
      <c r="R551" t="s">
        <v>74</v>
      </c>
      <c r="S551" t="s">
        <v>74</v>
      </c>
      <c r="T551" t="s">
        <v>10927</v>
      </c>
      <c r="U551" t="s">
        <v>10928</v>
      </c>
      <c r="V551" t="s">
        <v>10929</v>
      </c>
      <c r="W551" t="s">
        <v>10930</v>
      </c>
      <c r="X551" t="s">
        <v>10931</v>
      </c>
      <c r="Y551" t="s">
        <v>10932</v>
      </c>
      <c r="Z551" t="s">
        <v>10933</v>
      </c>
      <c r="AA551" t="s">
        <v>10934</v>
      </c>
      <c r="AB551" t="s">
        <v>74</v>
      </c>
      <c r="AC551" t="s">
        <v>74</v>
      </c>
      <c r="AD551" t="s">
        <v>74</v>
      </c>
      <c r="AE551" t="s">
        <v>74</v>
      </c>
      <c r="AF551" t="s">
        <v>74</v>
      </c>
      <c r="AG551">
        <v>131</v>
      </c>
      <c r="AH551">
        <v>2</v>
      </c>
      <c r="AI551">
        <v>2</v>
      </c>
      <c r="AJ551">
        <v>9</v>
      </c>
      <c r="AK551">
        <v>9</v>
      </c>
      <c r="AL551" t="s">
        <v>2371</v>
      </c>
      <c r="AM551" t="s">
        <v>2372</v>
      </c>
      <c r="AN551" t="s">
        <v>2373</v>
      </c>
      <c r="AO551" t="s">
        <v>10935</v>
      </c>
      <c r="AP551" t="s">
        <v>10936</v>
      </c>
      <c r="AQ551" t="s">
        <v>74</v>
      </c>
      <c r="AR551" t="s">
        <v>10937</v>
      </c>
      <c r="AS551" t="s">
        <v>10938</v>
      </c>
      <c r="AT551" t="s">
        <v>74</v>
      </c>
      <c r="AU551">
        <v>2025</v>
      </c>
      <c r="AV551">
        <v>27</v>
      </c>
      <c r="AW551">
        <v>2</v>
      </c>
      <c r="AX551" t="s">
        <v>74</v>
      </c>
      <c r="AY551" t="s">
        <v>74</v>
      </c>
      <c r="AZ551" t="s">
        <v>74</v>
      </c>
      <c r="BA551" t="s">
        <v>74</v>
      </c>
      <c r="BB551" t="s">
        <v>74</v>
      </c>
      <c r="BC551" t="s">
        <v>74</v>
      </c>
      <c r="BD551" t="s">
        <v>74</v>
      </c>
      <c r="BE551" t="s">
        <v>10939</v>
      </c>
      <c r="BF551" t="str">
        <f>HYPERLINK("http://dx.doi.org/10.1504/EJIM.2025.148801","http://dx.doi.org/10.1504/EJIM.2025.148801")</f>
        <v>http://dx.doi.org/10.1504/EJIM.2025.148801</v>
      </c>
      <c r="BG551" t="s">
        <v>74</v>
      </c>
      <c r="BH551" t="s">
        <v>74</v>
      </c>
      <c r="BI551">
        <v>28</v>
      </c>
      <c r="BJ551" t="s">
        <v>583</v>
      </c>
      <c r="BK551" t="s">
        <v>99</v>
      </c>
      <c r="BL551" t="s">
        <v>100</v>
      </c>
      <c r="BM551" t="s">
        <v>10940</v>
      </c>
      <c r="BN551" t="s">
        <v>74</v>
      </c>
      <c r="BO551" t="s">
        <v>74</v>
      </c>
      <c r="BP551" t="s">
        <v>74</v>
      </c>
      <c r="BQ551" t="s">
        <v>74</v>
      </c>
      <c r="BR551" t="s">
        <v>102</v>
      </c>
      <c r="BS551" t="s">
        <v>10941</v>
      </c>
      <c r="BT551" t="str">
        <f>HYPERLINK("https%3A%2F%2Fwww.webofscience.com%2Fwos%2Fwoscc%2Ffull-record%2FWOS:001581183700005","View Full Record in Web of Science")</f>
        <v>View Full Record in Web of Science</v>
      </c>
    </row>
    <row r="552" spans="1:72" x14ac:dyDescent="0.25">
      <c r="A552" t="s">
        <v>72</v>
      </c>
      <c r="B552" t="s">
        <v>10942</v>
      </c>
      <c r="C552" t="s">
        <v>74</v>
      </c>
      <c r="D552" t="s">
        <v>74</v>
      </c>
      <c r="E552" t="s">
        <v>74</v>
      </c>
      <c r="F552" t="s">
        <v>10943</v>
      </c>
      <c r="G552" t="s">
        <v>74</v>
      </c>
      <c r="H552" t="s">
        <v>74</v>
      </c>
      <c r="I552" t="s">
        <v>10944</v>
      </c>
      <c r="J552" t="s">
        <v>6242</v>
      </c>
      <c r="K552" t="s">
        <v>74</v>
      </c>
      <c r="L552" t="s">
        <v>74</v>
      </c>
      <c r="M552" t="s">
        <v>78</v>
      </c>
      <c r="N552" t="s">
        <v>79</v>
      </c>
      <c r="O552" t="s">
        <v>74</v>
      </c>
      <c r="P552" t="s">
        <v>74</v>
      </c>
      <c r="Q552" t="s">
        <v>74</v>
      </c>
      <c r="R552" t="s">
        <v>74</v>
      </c>
      <c r="S552" t="s">
        <v>74</v>
      </c>
      <c r="T552" t="s">
        <v>10945</v>
      </c>
      <c r="U552" t="s">
        <v>10946</v>
      </c>
      <c r="V552" t="s">
        <v>10947</v>
      </c>
      <c r="W552" t="s">
        <v>10948</v>
      </c>
      <c r="X552" t="s">
        <v>10949</v>
      </c>
      <c r="Y552" t="s">
        <v>10950</v>
      </c>
      <c r="Z552" t="s">
        <v>10951</v>
      </c>
      <c r="AA552" t="s">
        <v>9262</v>
      </c>
      <c r="AB552" t="s">
        <v>9263</v>
      </c>
      <c r="AC552" t="s">
        <v>74</v>
      </c>
      <c r="AD552" t="s">
        <v>74</v>
      </c>
      <c r="AE552" t="s">
        <v>74</v>
      </c>
      <c r="AF552" t="s">
        <v>74</v>
      </c>
      <c r="AG552">
        <v>168</v>
      </c>
      <c r="AH552">
        <v>33</v>
      </c>
      <c r="AI552">
        <v>40</v>
      </c>
      <c r="AJ552">
        <v>1</v>
      </c>
      <c r="AK552">
        <v>30</v>
      </c>
      <c r="AL552" t="s">
        <v>385</v>
      </c>
      <c r="AM552" t="s">
        <v>1153</v>
      </c>
      <c r="AN552" t="s">
        <v>1154</v>
      </c>
      <c r="AO552" t="s">
        <v>6250</v>
      </c>
      <c r="AP552" t="s">
        <v>6251</v>
      </c>
      <c r="AQ552" t="s">
        <v>74</v>
      </c>
      <c r="AR552" t="s">
        <v>6252</v>
      </c>
      <c r="AS552" t="s">
        <v>6253</v>
      </c>
      <c r="AT552" t="s">
        <v>1652</v>
      </c>
      <c r="AU552">
        <v>2020</v>
      </c>
      <c r="AV552">
        <v>22</v>
      </c>
      <c r="AW552">
        <v>3</v>
      </c>
      <c r="AX552" t="s">
        <v>74</v>
      </c>
      <c r="AY552" t="s">
        <v>74</v>
      </c>
      <c r="AZ552" t="s">
        <v>441</v>
      </c>
      <c r="BA552" t="s">
        <v>74</v>
      </c>
      <c r="BB552">
        <v>607</v>
      </c>
      <c r="BC552">
        <v>631</v>
      </c>
      <c r="BD552" t="s">
        <v>74</v>
      </c>
      <c r="BE552" t="s">
        <v>10952</v>
      </c>
      <c r="BF552" t="str">
        <f>HYPERLINK("http://dx.doi.org/10.1007/s10796-020-09982-7","http://dx.doi.org/10.1007/s10796-020-09982-7")</f>
        <v>http://dx.doi.org/10.1007/s10796-020-09982-7</v>
      </c>
      <c r="BG552" t="s">
        <v>74</v>
      </c>
      <c r="BH552" t="s">
        <v>74</v>
      </c>
      <c r="BI552">
        <v>25</v>
      </c>
      <c r="BJ552" t="s">
        <v>4466</v>
      </c>
      <c r="BK552" t="s">
        <v>2623</v>
      </c>
      <c r="BL552" t="s">
        <v>157</v>
      </c>
      <c r="BM552" t="s">
        <v>10953</v>
      </c>
      <c r="BN552" t="s">
        <v>74</v>
      </c>
      <c r="BO552" t="s">
        <v>74</v>
      </c>
      <c r="BP552" t="s">
        <v>74</v>
      </c>
      <c r="BQ552" t="s">
        <v>74</v>
      </c>
      <c r="BR552" t="s">
        <v>102</v>
      </c>
      <c r="BS552" t="s">
        <v>10954</v>
      </c>
      <c r="BT552" t="str">
        <f>HYPERLINK("https%3A%2F%2Fwww.webofscience.com%2Fwos%2Fwoscc%2Ffull-record%2FWOS:000541238200006","View Full Record in Web of Science")</f>
        <v>View Full Record in Web of Science</v>
      </c>
    </row>
    <row r="553" spans="1:72" x14ac:dyDescent="0.25">
      <c r="A553" t="s">
        <v>72</v>
      </c>
      <c r="B553" t="s">
        <v>10955</v>
      </c>
      <c r="C553" t="s">
        <v>74</v>
      </c>
      <c r="D553" t="s">
        <v>74</v>
      </c>
      <c r="E553" t="s">
        <v>74</v>
      </c>
      <c r="F553" t="s">
        <v>10956</v>
      </c>
      <c r="G553" t="s">
        <v>74</v>
      </c>
      <c r="H553" t="s">
        <v>74</v>
      </c>
      <c r="I553" t="s">
        <v>10957</v>
      </c>
      <c r="J553" t="s">
        <v>10958</v>
      </c>
      <c r="K553" t="s">
        <v>74</v>
      </c>
      <c r="L553" t="s">
        <v>74</v>
      </c>
      <c r="M553" t="s">
        <v>78</v>
      </c>
      <c r="N553" t="s">
        <v>79</v>
      </c>
      <c r="O553" t="s">
        <v>74</v>
      </c>
      <c r="P553" t="s">
        <v>74</v>
      </c>
      <c r="Q553" t="s">
        <v>74</v>
      </c>
      <c r="R553" t="s">
        <v>74</v>
      </c>
      <c r="S553" t="s">
        <v>74</v>
      </c>
      <c r="T553" t="s">
        <v>10959</v>
      </c>
      <c r="U553" t="s">
        <v>74</v>
      </c>
      <c r="V553" t="s">
        <v>10960</v>
      </c>
      <c r="W553" t="s">
        <v>10961</v>
      </c>
      <c r="X553" t="s">
        <v>10962</v>
      </c>
      <c r="Y553" t="s">
        <v>10963</v>
      </c>
      <c r="Z553" t="s">
        <v>74</v>
      </c>
      <c r="AA553" t="s">
        <v>74</v>
      </c>
      <c r="AB553" t="s">
        <v>10964</v>
      </c>
      <c r="AC553" t="s">
        <v>10965</v>
      </c>
      <c r="AD553" t="s">
        <v>10965</v>
      </c>
      <c r="AE553" t="s">
        <v>10966</v>
      </c>
      <c r="AF553" t="s">
        <v>74</v>
      </c>
      <c r="AG553">
        <v>32</v>
      </c>
      <c r="AH553">
        <v>2</v>
      </c>
      <c r="AI553">
        <v>3</v>
      </c>
      <c r="AJ553">
        <v>0</v>
      </c>
      <c r="AK553">
        <v>7</v>
      </c>
      <c r="AL553" t="s">
        <v>10967</v>
      </c>
      <c r="AM553" t="s">
        <v>10968</v>
      </c>
      <c r="AN553" t="s">
        <v>10969</v>
      </c>
      <c r="AO553" t="s">
        <v>10970</v>
      </c>
      <c r="AP553" t="s">
        <v>10971</v>
      </c>
      <c r="AQ553" t="s">
        <v>74</v>
      </c>
      <c r="AR553" t="s">
        <v>10972</v>
      </c>
      <c r="AS553" t="s">
        <v>10973</v>
      </c>
      <c r="AT553" t="s">
        <v>208</v>
      </c>
      <c r="AU553">
        <v>2020</v>
      </c>
      <c r="AV553">
        <v>11</v>
      </c>
      <c r="AW553">
        <v>1</v>
      </c>
      <c r="AX553" t="s">
        <v>74</v>
      </c>
      <c r="AY553" t="s">
        <v>74</v>
      </c>
      <c r="AZ553" t="s">
        <v>74</v>
      </c>
      <c r="BA553" t="s">
        <v>74</v>
      </c>
      <c r="BB553">
        <v>132</v>
      </c>
      <c r="BC553">
        <v>140</v>
      </c>
      <c r="BD553" t="s">
        <v>74</v>
      </c>
      <c r="BE553" t="s">
        <v>74</v>
      </c>
      <c r="BF553" t="s">
        <v>74</v>
      </c>
      <c r="BG553" t="s">
        <v>74</v>
      </c>
      <c r="BH553" t="s">
        <v>74</v>
      </c>
      <c r="BI553">
        <v>9</v>
      </c>
      <c r="BJ553" t="s">
        <v>1803</v>
      </c>
      <c r="BK553" t="s">
        <v>313</v>
      </c>
      <c r="BL553" t="s">
        <v>157</v>
      </c>
      <c r="BM553" t="s">
        <v>10974</v>
      </c>
      <c r="BN553" t="s">
        <v>74</v>
      </c>
      <c r="BO553" t="s">
        <v>74</v>
      </c>
      <c r="BP553" t="s">
        <v>74</v>
      </c>
      <c r="BQ553" t="s">
        <v>74</v>
      </c>
      <c r="BR553" t="s">
        <v>102</v>
      </c>
      <c r="BS553" t="s">
        <v>10975</v>
      </c>
      <c r="BT553" t="str">
        <f>HYPERLINK("https%3A%2F%2Fwww.webofscience.com%2Fwos%2Fwoscc%2Ffull-record%2FWOS:000518467600017","View Full Record in Web of Science")</f>
        <v>View Full Record in Web of Science</v>
      </c>
    </row>
    <row r="554" spans="1:72" x14ac:dyDescent="0.25">
      <c r="A554" t="s">
        <v>72</v>
      </c>
      <c r="B554" t="s">
        <v>10976</v>
      </c>
      <c r="C554" t="s">
        <v>74</v>
      </c>
      <c r="D554" t="s">
        <v>74</v>
      </c>
      <c r="E554" t="s">
        <v>74</v>
      </c>
      <c r="F554" t="s">
        <v>10977</v>
      </c>
      <c r="G554" t="s">
        <v>74</v>
      </c>
      <c r="H554" t="s">
        <v>74</v>
      </c>
      <c r="I554" t="s">
        <v>10978</v>
      </c>
      <c r="J554" t="s">
        <v>1122</v>
      </c>
      <c r="K554" t="s">
        <v>74</v>
      </c>
      <c r="L554" t="s">
        <v>74</v>
      </c>
      <c r="M554" t="s">
        <v>78</v>
      </c>
      <c r="N554" t="s">
        <v>79</v>
      </c>
      <c r="O554" t="s">
        <v>74</v>
      </c>
      <c r="P554" t="s">
        <v>74</v>
      </c>
      <c r="Q554" t="s">
        <v>74</v>
      </c>
      <c r="R554" t="s">
        <v>74</v>
      </c>
      <c r="S554" t="s">
        <v>74</v>
      </c>
      <c r="T554" t="s">
        <v>10979</v>
      </c>
      <c r="U554" t="s">
        <v>10980</v>
      </c>
      <c r="V554" t="s">
        <v>10981</v>
      </c>
      <c r="W554" t="s">
        <v>10982</v>
      </c>
      <c r="X554" t="s">
        <v>10983</v>
      </c>
      <c r="Y554" t="s">
        <v>10984</v>
      </c>
      <c r="Z554" t="s">
        <v>10985</v>
      </c>
      <c r="AA554" t="s">
        <v>74</v>
      </c>
      <c r="AB554" t="s">
        <v>10986</v>
      </c>
      <c r="AC554" t="s">
        <v>74</v>
      </c>
      <c r="AD554" t="s">
        <v>74</v>
      </c>
      <c r="AE554" t="s">
        <v>74</v>
      </c>
      <c r="AF554" t="s">
        <v>74</v>
      </c>
      <c r="AG554">
        <v>53</v>
      </c>
      <c r="AH554">
        <v>1</v>
      </c>
      <c r="AI554">
        <v>1</v>
      </c>
      <c r="AJ554">
        <v>0</v>
      </c>
      <c r="AK554">
        <v>0</v>
      </c>
      <c r="AL554" t="s">
        <v>479</v>
      </c>
      <c r="AM554" t="s">
        <v>480</v>
      </c>
      <c r="AN554" t="s">
        <v>481</v>
      </c>
      <c r="AO554" t="s">
        <v>1131</v>
      </c>
      <c r="AP554" t="s">
        <v>1132</v>
      </c>
      <c r="AQ554" t="s">
        <v>74</v>
      </c>
      <c r="AR554" t="s">
        <v>1133</v>
      </c>
      <c r="AS554" t="s">
        <v>1134</v>
      </c>
      <c r="AT554" t="s">
        <v>1652</v>
      </c>
      <c r="AU554">
        <v>2025</v>
      </c>
      <c r="AV554">
        <v>37</v>
      </c>
      <c r="AW554">
        <v>2</v>
      </c>
      <c r="AX554" t="s">
        <v>74</v>
      </c>
      <c r="AY554" t="s">
        <v>74</v>
      </c>
      <c r="AZ554" t="s">
        <v>74</v>
      </c>
      <c r="BA554" t="s">
        <v>74</v>
      </c>
      <c r="BB554" t="s">
        <v>74</v>
      </c>
      <c r="BC554" t="s">
        <v>74</v>
      </c>
      <c r="BD554" t="s">
        <v>10987</v>
      </c>
      <c r="BE554" t="s">
        <v>10988</v>
      </c>
      <c r="BF554" t="str">
        <f>HYPERLINK("http://dx.doi.org/10.1111/1467-8268.70015","http://dx.doi.org/10.1111/1467-8268.70015")</f>
        <v>http://dx.doi.org/10.1111/1467-8268.70015</v>
      </c>
      <c r="BG554" t="s">
        <v>74</v>
      </c>
      <c r="BH554" t="s">
        <v>74</v>
      </c>
      <c r="BI554">
        <v>10</v>
      </c>
      <c r="BJ554" t="s">
        <v>1137</v>
      </c>
      <c r="BK554" t="s">
        <v>99</v>
      </c>
      <c r="BL554" t="s">
        <v>1137</v>
      </c>
      <c r="BM554" t="s">
        <v>10989</v>
      </c>
      <c r="BN554" t="s">
        <v>74</v>
      </c>
      <c r="BO554" t="s">
        <v>1205</v>
      </c>
      <c r="BP554" t="s">
        <v>74</v>
      </c>
      <c r="BQ554" t="s">
        <v>74</v>
      </c>
      <c r="BR554" t="s">
        <v>102</v>
      </c>
      <c r="BS554" t="s">
        <v>10990</v>
      </c>
      <c r="BT554" t="str">
        <f>HYPERLINK("https%3A%2F%2Fwww.webofscience.com%2Fwos%2Fwoscc%2Ffull-record%2FWOS:001506037100007","View Full Record in Web of Science")</f>
        <v>View Full Record in Web of Science</v>
      </c>
    </row>
    <row r="555" spans="1:72" x14ac:dyDescent="0.25">
      <c r="A555" t="s">
        <v>72</v>
      </c>
      <c r="B555" t="s">
        <v>10991</v>
      </c>
      <c r="C555" t="s">
        <v>74</v>
      </c>
      <c r="D555" t="s">
        <v>74</v>
      </c>
      <c r="E555" t="s">
        <v>74</v>
      </c>
      <c r="F555" t="s">
        <v>10992</v>
      </c>
      <c r="G555" t="s">
        <v>74</v>
      </c>
      <c r="H555" t="s">
        <v>74</v>
      </c>
      <c r="I555" t="s">
        <v>10993</v>
      </c>
      <c r="J555" t="s">
        <v>10994</v>
      </c>
      <c r="K555" t="s">
        <v>74</v>
      </c>
      <c r="L555" t="s">
        <v>74</v>
      </c>
      <c r="M555" t="s">
        <v>78</v>
      </c>
      <c r="N555" t="s">
        <v>79</v>
      </c>
      <c r="O555" t="s">
        <v>74</v>
      </c>
      <c r="P555" t="s">
        <v>74</v>
      </c>
      <c r="Q555" t="s">
        <v>74</v>
      </c>
      <c r="R555" t="s">
        <v>74</v>
      </c>
      <c r="S555" t="s">
        <v>74</v>
      </c>
      <c r="T555" t="s">
        <v>10995</v>
      </c>
      <c r="U555" t="s">
        <v>74</v>
      </c>
      <c r="V555" t="s">
        <v>10996</v>
      </c>
      <c r="W555" t="s">
        <v>10997</v>
      </c>
      <c r="X555" t="s">
        <v>10998</v>
      </c>
      <c r="Y555" t="s">
        <v>10999</v>
      </c>
      <c r="Z555" t="s">
        <v>74</v>
      </c>
      <c r="AA555" t="s">
        <v>74</v>
      </c>
      <c r="AB555" t="s">
        <v>74</v>
      </c>
      <c r="AC555" t="s">
        <v>74</v>
      </c>
      <c r="AD555" t="s">
        <v>74</v>
      </c>
      <c r="AE555" t="s">
        <v>74</v>
      </c>
      <c r="AF555" t="s">
        <v>74</v>
      </c>
      <c r="AG555">
        <v>45</v>
      </c>
      <c r="AH555">
        <v>59</v>
      </c>
      <c r="AI555">
        <v>80</v>
      </c>
      <c r="AJ555">
        <v>1</v>
      </c>
      <c r="AK555">
        <v>195</v>
      </c>
      <c r="AL555" t="s">
        <v>3861</v>
      </c>
      <c r="AM555" t="s">
        <v>2016</v>
      </c>
      <c r="AN555" t="s">
        <v>3862</v>
      </c>
      <c r="AO555" t="s">
        <v>11000</v>
      </c>
      <c r="AP555" t="s">
        <v>11001</v>
      </c>
      <c r="AQ555" t="s">
        <v>74</v>
      </c>
      <c r="AR555" t="s">
        <v>11002</v>
      </c>
      <c r="AS555" t="s">
        <v>11003</v>
      </c>
      <c r="AT555" t="s">
        <v>1540</v>
      </c>
      <c r="AU555">
        <v>2017</v>
      </c>
      <c r="AV555">
        <v>4</v>
      </c>
      <c r="AW555">
        <v>1</v>
      </c>
      <c r="AX555" t="s">
        <v>74</v>
      </c>
      <c r="AY555" t="s">
        <v>74</v>
      </c>
      <c r="AZ555" t="s">
        <v>74</v>
      </c>
      <c r="BA555" t="s">
        <v>74</v>
      </c>
      <c r="BB555">
        <v>109</v>
      </c>
      <c r="BC555">
        <v>132</v>
      </c>
      <c r="BD555" t="s">
        <v>74</v>
      </c>
      <c r="BE555" t="s">
        <v>11004</v>
      </c>
      <c r="BF555" t="str">
        <f>HYPERLINK("http://dx.doi.org/10.1017/als.2016.65","http://dx.doi.org/10.1017/als.2016.65")</f>
        <v>http://dx.doi.org/10.1017/als.2016.65</v>
      </c>
      <c r="BG555" t="s">
        <v>74</v>
      </c>
      <c r="BH555" t="s">
        <v>74</v>
      </c>
      <c r="BI555">
        <v>24</v>
      </c>
      <c r="BJ555" t="s">
        <v>182</v>
      </c>
      <c r="BK555" t="s">
        <v>313</v>
      </c>
      <c r="BL555" t="s">
        <v>184</v>
      </c>
      <c r="BM555" t="s">
        <v>11005</v>
      </c>
      <c r="BN555" t="s">
        <v>74</v>
      </c>
      <c r="BO555" t="s">
        <v>1696</v>
      </c>
      <c r="BP555" t="s">
        <v>74</v>
      </c>
      <c r="BQ555" t="s">
        <v>74</v>
      </c>
      <c r="BR555" t="s">
        <v>102</v>
      </c>
      <c r="BS555" t="s">
        <v>11006</v>
      </c>
      <c r="BT555" t="str">
        <f>HYPERLINK("https%3A%2F%2Fwww.webofscience.com%2Fwos%2Fwoscc%2Ffull-record%2FWOS:000400498900004","View Full Record in Web of Science")</f>
        <v>View Full Record in Web of Science</v>
      </c>
    </row>
    <row r="556" spans="1:72" x14ac:dyDescent="0.25">
      <c r="A556" t="s">
        <v>72</v>
      </c>
      <c r="B556" t="s">
        <v>11007</v>
      </c>
      <c r="C556" t="s">
        <v>74</v>
      </c>
      <c r="D556" t="s">
        <v>74</v>
      </c>
      <c r="E556" t="s">
        <v>74</v>
      </c>
      <c r="F556" t="s">
        <v>11008</v>
      </c>
      <c r="G556" t="s">
        <v>74</v>
      </c>
      <c r="H556" t="s">
        <v>74</v>
      </c>
      <c r="I556" t="s">
        <v>11009</v>
      </c>
      <c r="J556" t="s">
        <v>424</v>
      </c>
      <c r="K556" t="s">
        <v>74</v>
      </c>
      <c r="L556" t="s">
        <v>74</v>
      </c>
      <c r="M556" t="s">
        <v>78</v>
      </c>
      <c r="N556" t="s">
        <v>79</v>
      </c>
      <c r="O556" t="s">
        <v>74</v>
      </c>
      <c r="P556" t="s">
        <v>74</v>
      </c>
      <c r="Q556" t="s">
        <v>74</v>
      </c>
      <c r="R556" t="s">
        <v>74</v>
      </c>
      <c r="S556" t="s">
        <v>74</v>
      </c>
      <c r="T556" t="s">
        <v>11010</v>
      </c>
      <c r="U556" t="s">
        <v>11011</v>
      </c>
      <c r="V556" t="s">
        <v>11012</v>
      </c>
      <c r="W556" t="s">
        <v>11013</v>
      </c>
      <c r="X556" t="s">
        <v>11014</v>
      </c>
      <c r="Y556" t="s">
        <v>11015</v>
      </c>
      <c r="Z556" t="s">
        <v>11016</v>
      </c>
      <c r="AA556" t="s">
        <v>11017</v>
      </c>
      <c r="AB556" t="s">
        <v>74</v>
      </c>
      <c r="AC556" t="s">
        <v>74</v>
      </c>
      <c r="AD556" t="s">
        <v>74</v>
      </c>
      <c r="AE556" t="s">
        <v>74</v>
      </c>
      <c r="AF556" t="s">
        <v>74</v>
      </c>
      <c r="AG556">
        <v>79</v>
      </c>
      <c r="AH556">
        <v>18</v>
      </c>
      <c r="AI556">
        <v>29</v>
      </c>
      <c r="AJ556">
        <v>18</v>
      </c>
      <c r="AK556">
        <v>42</v>
      </c>
      <c r="AL556" t="s">
        <v>89</v>
      </c>
      <c r="AM556" t="s">
        <v>90</v>
      </c>
      <c r="AN556" t="s">
        <v>91</v>
      </c>
      <c r="AO556" t="s">
        <v>436</v>
      </c>
      <c r="AP556" t="s">
        <v>437</v>
      </c>
      <c r="AQ556" t="s">
        <v>74</v>
      </c>
      <c r="AR556" t="s">
        <v>438</v>
      </c>
      <c r="AS556" t="s">
        <v>439</v>
      </c>
      <c r="AT556" t="s">
        <v>11018</v>
      </c>
      <c r="AU556">
        <v>2024</v>
      </c>
      <c r="AV556">
        <v>42</v>
      </c>
      <c r="AW556">
        <v>7</v>
      </c>
      <c r="AX556" t="s">
        <v>74</v>
      </c>
      <c r="AY556" t="s">
        <v>74</v>
      </c>
      <c r="AZ556" t="s">
        <v>74</v>
      </c>
      <c r="BA556" t="s">
        <v>74</v>
      </c>
      <c r="BB556">
        <v>1789</v>
      </c>
      <c r="BC556">
        <v>1812</v>
      </c>
      <c r="BD556" t="s">
        <v>74</v>
      </c>
      <c r="BE556" t="s">
        <v>11019</v>
      </c>
      <c r="BF556" t="str">
        <f>HYPERLINK("http://dx.doi.org/10.1108/IJBM-09-2023-0531","http://dx.doi.org/10.1108/IJBM-09-2023-0531")</f>
        <v>http://dx.doi.org/10.1108/IJBM-09-2023-0531</v>
      </c>
      <c r="BG556" t="s">
        <v>74</v>
      </c>
      <c r="BH556" t="s">
        <v>6256</v>
      </c>
      <c r="BI556">
        <v>24</v>
      </c>
      <c r="BJ556" t="s">
        <v>418</v>
      </c>
      <c r="BK556" t="s">
        <v>99</v>
      </c>
      <c r="BL556" t="s">
        <v>100</v>
      </c>
      <c r="BM556" t="s">
        <v>11020</v>
      </c>
      <c r="BN556" t="s">
        <v>74</v>
      </c>
      <c r="BO556" t="s">
        <v>74</v>
      </c>
      <c r="BP556" t="s">
        <v>74</v>
      </c>
      <c r="BQ556" t="s">
        <v>74</v>
      </c>
      <c r="BR556" t="s">
        <v>102</v>
      </c>
      <c r="BS556" t="s">
        <v>11021</v>
      </c>
      <c r="BT556" t="str">
        <f>HYPERLINK("https%3A%2F%2Fwww.webofscience.com%2Fwos%2Fwoscc%2Ffull-record%2FWOS:001251325800001","View Full Record in Web of Science")</f>
        <v>View Full Record in Web of Science</v>
      </c>
    </row>
    <row r="557" spans="1:72" x14ac:dyDescent="0.25">
      <c r="A557" t="s">
        <v>132</v>
      </c>
      <c r="B557" t="s">
        <v>11022</v>
      </c>
      <c r="C557" t="s">
        <v>74</v>
      </c>
      <c r="D557" t="s">
        <v>74</v>
      </c>
      <c r="E557" t="s">
        <v>771</v>
      </c>
      <c r="F557" t="s">
        <v>11023</v>
      </c>
      <c r="G557" t="s">
        <v>74</v>
      </c>
      <c r="H557" t="s">
        <v>74</v>
      </c>
      <c r="I557" t="s">
        <v>11024</v>
      </c>
      <c r="J557" t="s">
        <v>11025</v>
      </c>
      <c r="K557" t="s">
        <v>11026</v>
      </c>
      <c r="L557" t="s">
        <v>74</v>
      </c>
      <c r="M557" t="s">
        <v>78</v>
      </c>
      <c r="N557" t="s">
        <v>138</v>
      </c>
      <c r="O557" t="s">
        <v>11027</v>
      </c>
      <c r="P557" t="s">
        <v>11028</v>
      </c>
      <c r="Q557" t="s">
        <v>11029</v>
      </c>
      <c r="R557" t="s">
        <v>74</v>
      </c>
      <c r="S557" t="s">
        <v>74</v>
      </c>
      <c r="T557" t="s">
        <v>11030</v>
      </c>
      <c r="U557" t="s">
        <v>11031</v>
      </c>
      <c r="V557" t="s">
        <v>11032</v>
      </c>
      <c r="W557" t="s">
        <v>11033</v>
      </c>
      <c r="X557" t="s">
        <v>11034</v>
      </c>
      <c r="Y557" t="s">
        <v>11035</v>
      </c>
      <c r="Z557" t="s">
        <v>11036</v>
      </c>
      <c r="AA557" t="s">
        <v>11037</v>
      </c>
      <c r="AB557" t="s">
        <v>74</v>
      </c>
      <c r="AC557" t="s">
        <v>74</v>
      </c>
      <c r="AD557" t="s">
        <v>74</v>
      </c>
      <c r="AE557" t="s">
        <v>74</v>
      </c>
      <c r="AF557" t="s">
        <v>74</v>
      </c>
      <c r="AG557">
        <v>36</v>
      </c>
      <c r="AH557">
        <v>1</v>
      </c>
      <c r="AI557">
        <v>2</v>
      </c>
      <c r="AJ557">
        <v>0</v>
      </c>
      <c r="AK557">
        <v>5</v>
      </c>
      <c r="AL557" t="s">
        <v>771</v>
      </c>
      <c r="AM557" t="s">
        <v>151</v>
      </c>
      <c r="AN557" t="s">
        <v>785</v>
      </c>
      <c r="AO557" t="s">
        <v>11038</v>
      </c>
      <c r="AP557" t="s">
        <v>74</v>
      </c>
      <c r="AQ557" t="s">
        <v>11039</v>
      </c>
      <c r="AR557" t="s">
        <v>11040</v>
      </c>
      <c r="AS557" t="s">
        <v>74</v>
      </c>
      <c r="AT557" t="s">
        <v>74</v>
      </c>
      <c r="AU557">
        <v>2017</v>
      </c>
      <c r="AV557" t="s">
        <v>74</v>
      </c>
      <c r="AW557" t="s">
        <v>74</v>
      </c>
      <c r="AX557" t="s">
        <v>74</v>
      </c>
      <c r="AY557" t="s">
        <v>74</v>
      </c>
      <c r="AZ557" t="s">
        <v>74</v>
      </c>
      <c r="BA557" t="s">
        <v>74</v>
      </c>
      <c r="BB557" t="s">
        <v>74</v>
      </c>
      <c r="BC557" t="s">
        <v>74</v>
      </c>
      <c r="BD557" t="s">
        <v>74</v>
      </c>
      <c r="BE557" t="s">
        <v>74</v>
      </c>
      <c r="BF557" t="s">
        <v>74</v>
      </c>
      <c r="BG557" t="s">
        <v>74</v>
      </c>
      <c r="BH557" t="s">
        <v>74</v>
      </c>
      <c r="BI557">
        <v>6</v>
      </c>
      <c r="BJ557" t="s">
        <v>1779</v>
      </c>
      <c r="BK557" t="s">
        <v>156</v>
      </c>
      <c r="BL557" t="s">
        <v>157</v>
      </c>
      <c r="BM557" t="s">
        <v>11041</v>
      </c>
      <c r="BN557" t="s">
        <v>74</v>
      </c>
      <c r="BO557" t="s">
        <v>74</v>
      </c>
      <c r="BP557" t="s">
        <v>74</v>
      </c>
      <c r="BQ557" t="s">
        <v>74</v>
      </c>
      <c r="BR557" t="s">
        <v>102</v>
      </c>
      <c r="BS557" t="s">
        <v>11042</v>
      </c>
      <c r="BT557" t="str">
        <f>HYPERLINK("https%3A%2F%2Fwww.webofscience.com%2Fwos%2Fwoscc%2Ffull-record%2FWOS:000425930700041","View Full Record in Web of Science")</f>
        <v>View Full Record in Web of Science</v>
      </c>
    </row>
    <row r="558" spans="1:72" x14ac:dyDescent="0.25">
      <c r="A558" t="s">
        <v>72</v>
      </c>
      <c r="B558" t="s">
        <v>11043</v>
      </c>
      <c r="C558" t="s">
        <v>74</v>
      </c>
      <c r="D558" t="s">
        <v>74</v>
      </c>
      <c r="E558" t="s">
        <v>74</v>
      </c>
      <c r="F558" t="s">
        <v>11044</v>
      </c>
      <c r="G558" t="s">
        <v>74</v>
      </c>
      <c r="H558" t="s">
        <v>74</v>
      </c>
      <c r="I558" t="s">
        <v>11045</v>
      </c>
      <c r="J558" t="s">
        <v>1412</v>
      </c>
      <c r="K558" t="s">
        <v>74</v>
      </c>
      <c r="L558" t="s">
        <v>74</v>
      </c>
      <c r="M558" t="s">
        <v>78</v>
      </c>
      <c r="N558" t="s">
        <v>79</v>
      </c>
      <c r="O558" t="s">
        <v>74</v>
      </c>
      <c r="P558" t="s">
        <v>74</v>
      </c>
      <c r="Q558" t="s">
        <v>74</v>
      </c>
      <c r="R558" t="s">
        <v>74</v>
      </c>
      <c r="S558" t="s">
        <v>74</v>
      </c>
      <c r="T558" t="s">
        <v>11046</v>
      </c>
      <c r="U558" t="s">
        <v>11047</v>
      </c>
      <c r="V558" t="s">
        <v>11048</v>
      </c>
      <c r="W558" t="s">
        <v>11049</v>
      </c>
      <c r="X558" t="s">
        <v>11050</v>
      </c>
      <c r="Y558" t="s">
        <v>11051</v>
      </c>
      <c r="Z558" t="s">
        <v>11052</v>
      </c>
      <c r="AA558" t="s">
        <v>74</v>
      </c>
      <c r="AB558" t="s">
        <v>74</v>
      </c>
      <c r="AC558" t="s">
        <v>74</v>
      </c>
      <c r="AD558" t="s">
        <v>74</v>
      </c>
      <c r="AE558" t="s">
        <v>74</v>
      </c>
      <c r="AF558" t="s">
        <v>74</v>
      </c>
      <c r="AG558">
        <v>136</v>
      </c>
      <c r="AH558">
        <v>20</v>
      </c>
      <c r="AI558">
        <v>22</v>
      </c>
      <c r="AJ558">
        <v>0</v>
      </c>
      <c r="AK558">
        <v>28</v>
      </c>
      <c r="AL558" t="s">
        <v>332</v>
      </c>
      <c r="AM558" t="s">
        <v>333</v>
      </c>
      <c r="AN558" t="s">
        <v>334</v>
      </c>
      <c r="AO558" t="s">
        <v>1423</v>
      </c>
      <c r="AP558" t="s">
        <v>1424</v>
      </c>
      <c r="AQ558" t="s">
        <v>74</v>
      </c>
      <c r="AR558" t="s">
        <v>1425</v>
      </c>
      <c r="AS558" t="s">
        <v>1426</v>
      </c>
      <c r="AT558" t="s">
        <v>1427</v>
      </c>
      <c r="AU558">
        <v>2020</v>
      </c>
      <c r="AV558">
        <v>26</v>
      </c>
      <c r="AW558">
        <v>1</v>
      </c>
      <c r="AX558" t="s">
        <v>74</v>
      </c>
      <c r="AY558" t="s">
        <v>74</v>
      </c>
      <c r="AZ558" t="s">
        <v>74</v>
      </c>
      <c r="BA558" t="s">
        <v>74</v>
      </c>
      <c r="BB558">
        <v>108</v>
      </c>
      <c r="BC558">
        <v>127</v>
      </c>
      <c r="BD558" t="s">
        <v>74</v>
      </c>
      <c r="BE558" t="s">
        <v>11053</v>
      </c>
      <c r="BF558" t="str">
        <f>HYPERLINK("http://dx.doi.org/10.1080/02681102.2018.1564725","http://dx.doi.org/10.1080/02681102.2018.1564725")</f>
        <v>http://dx.doi.org/10.1080/02681102.2018.1564725</v>
      </c>
      <c r="BG558" t="s">
        <v>74</v>
      </c>
      <c r="BH558" t="s">
        <v>74</v>
      </c>
      <c r="BI558">
        <v>20</v>
      </c>
      <c r="BJ558" t="s">
        <v>1429</v>
      </c>
      <c r="BK558" t="s">
        <v>99</v>
      </c>
      <c r="BL558" t="s">
        <v>1429</v>
      </c>
      <c r="BM558" t="s">
        <v>11054</v>
      </c>
      <c r="BN558" t="s">
        <v>74</v>
      </c>
      <c r="BO558" t="s">
        <v>74</v>
      </c>
      <c r="BP558" t="s">
        <v>74</v>
      </c>
      <c r="BQ558" t="s">
        <v>74</v>
      </c>
      <c r="BR558" t="s">
        <v>102</v>
      </c>
      <c r="BS558" t="s">
        <v>11055</v>
      </c>
      <c r="BT558" t="str">
        <f>HYPERLINK("https%3A%2F%2Fwww.webofscience.com%2Fwos%2Fwoscc%2Ffull-record%2FWOS:000505613200005","View Full Record in Web of Science")</f>
        <v>View Full Record in Web of Science</v>
      </c>
    </row>
    <row r="559" spans="1:72" x14ac:dyDescent="0.25">
      <c r="A559" t="s">
        <v>72</v>
      </c>
      <c r="B559" t="s">
        <v>11056</v>
      </c>
      <c r="C559" t="s">
        <v>74</v>
      </c>
      <c r="D559" t="s">
        <v>74</v>
      </c>
      <c r="E559" t="s">
        <v>74</v>
      </c>
      <c r="F559" t="s">
        <v>11057</v>
      </c>
      <c r="G559" t="s">
        <v>74</v>
      </c>
      <c r="H559" t="s">
        <v>74</v>
      </c>
      <c r="I559" t="s">
        <v>11058</v>
      </c>
      <c r="J559" t="s">
        <v>7220</v>
      </c>
      <c r="K559" t="s">
        <v>74</v>
      </c>
      <c r="L559" t="s">
        <v>74</v>
      </c>
      <c r="M559" t="s">
        <v>78</v>
      </c>
      <c r="N559" t="s">
        <v>372</v>
      </c>
      <c r="O559" t="s">
        <v>74</v>
      </c>
      <c r="P559" t="s">
        <v>74</v>
      </c>
      <c r="Q559" t="s">
        <v>74</v>
      </c>
      <c r="R559" t="s">
        <v>74</v>
      </c>
      <c r="S559" t="s">
        <v>74</v>
      </c>
      <c r="T559" t="s">
        <v>11059</v>
      </c>
      <c r="U559" t="s">
        <v>74</v>
      </c>
      <c r="V559" t="s">
        <v>11060</v>
      </c>
      <c r="W559" t="s">
        <v>11061</v>
      </c>
      <c r="X559" t="s">
        <v>11062</v>
      </c>
      <c r="Y559" t="s">
        <v>11063</v>
      </c>
      <c r="Z559" t="s">
        <v>11064</v>
      </c>
      <c r="AA559" t="s">
        <v>11065</v>
      </c>
      <c r="AB559" t="s">
        <v>11066</v>
      </c>
      <c r="AC559" t="s">
        <v>74</v>
      </c>
      <c r="AD559" t="s">
        <v>74</v>
      </c>
      <c r="AE559" t="s">
        <v>74</v>
      </c>
      <c r="AF559" t="s">
        <v>74</v>
      </c>
      <c r="AG559">
        <v>34</v>
      </c>
      <c r="AH559">
        <v>3</v>
      </c>
      <c r="AI559">
        <v>3</v>
      </c>
      <c r="AJ559">
        <v>2</v>
      </c>
      <c r="AK559">
        <v>13</v>
      </c>
      <c r="AL559" t="s">
        <v>89</v>
      </c>
      <c r="AM559" t="s">
        <v>90</v>
      </c>
      <c r="AN559" t="s">
        <v>91</v>
      </c>
      <c r="AO559" t="s">
        <v>7230</v>
      </c>
      <c r="AP559" t="s">
        <v>7231</v>
      </c>
      <c r="AQ559" t="s">
        <v>74</v>
      </c>
      <c r="AR559" t="s">
        <v>7232</v>
      </c>
      <c r="AS559" t="s">
        <v>7233</v>
      </c>
      <c r="AT559" t="s">
        <v>11067</v>
      </c>
      <c r="AU559">
        <v>2024</v>
      </c>
      <c r="AV559" t="s">
        <v>74</v>
      </c>
      <c r="AW559" t="s">
        <v>74</v>
      </c>
      <c r="AX559" t="s">
        <v>74</v>
      </c>
      <c r="AY559" t="s">
        <v>74</v>
      </c>
      <c r="AZ559" t="s">
        <v>74</v>
      </c>
      <c r="BA559" t="s">
        <v>74</v>
      </c>
      <c r="BB559" t="s">
        <v>74</v>
      </c>
      <c r="BC559" t="s">
        <v>74</v>
      </c>
      <c r="BD559" t="s">
        <v>74</v>
      </c>
      <c r="BE559" t="s">
        <v>11068</v>
      </c>
      <c r="BF559" t="str">
        <f>HYPERLINK("http://dx.doi.org/10.1108/JEAS-09-2023-0253","http://dx.doi.org/10.1108/JEAS-09-2023-0253")</f>
        <v>http://dx.doi.org/10.1108/JEAS-09-2023-0253</v>
      </c>
      <c r="BG559" t="s">
        <v>74</v>
      </c>
      <c r="BH559" t="s">
        <v>1981</v>
      </c>
      <c r="BI559">
        <v>17</v>
      </c>
      <c r="BJ559" t="s">
        <v>291</v>
      </c>
      <c r="BK559" t="s">
        <v>313</v>
      </c>
      <c r="BL559" t="s">
        <v>100</v>
      </c>
      <c r="BM559" t="s">
        <v>11069</v>
      </c>
      <c r="BN559" t="s">
        <v>74</v>
      </c>
      <c r="BO559" t="s">
        <v>74</v>
      </c>
      <c r="BP559" t="s">
        <v>74</v>
      </c>
      <c r="BQ559" t="s">
        <v>74</v>
      </c>
      <c r="BR559" t="s">
        <v>102</v>
      </c>
      <c r="BS559" t="s">
        <v>11070</v>
      </c>
      <c r="BT559" t="str">
        <f>HYPERLINK("https%3A%2F%2Fwww.webofscience.com%2Fwos%2Fwoscc%2Ffull-record%2FWOS:001189362300001","View Full Record in Web of Science")</f>
        <v>View Full Record in Web of Science</v>
      </c>
    </row>
    <row r="560" spans="1:72" x14ac:dyDescent="0.25">
      <c r="A560" t="s">
        <v>72</v>
      </c>
      <c r="B560" t="s">
        <v>11071</v>
      </c>
      <c r="C560" t="s">
        <v>74</v>
      </c>
      <c r="D560" t="s">
        <v>74</v>
      </c>
      <c r="E560" t="s">
        <v>74</v>
      </c>
      <c r="F560" t="s">
        <v>11072</v>
      </c>
      <c r="G560" t="s">
        <v>74</v>
      </c>
      <c r="H560" t="s">
        <v>74</v>
      </c>
      <c r="I560" t="s">
        <v>11073</v>
      </c>
      <c r="J560" t="s">
        <v>11074</v>
      </c>
      <c r="K560" t="s">
        <v>74</v>
      </c>
      <c r="L560" t="s">
        <v>74</v>
      </c>
      <c r="M560" t="s">
        <v>78</v>
      </c>
      <c r="N560" t="s">
        <v>79</v>
      </c>
      <c r="O560" t="s">
        <v>74</v>
      </c>
      <c r="P560" t="s">
        <v>74</v>
      </c>
      <c r="Q560" t="s">
        <v>74</v>
      </c>
      <c r="R560" t="s">
        <v>74</v>
      </c>
      <c r="S560" t="s">
        <v>74</v>
      </c>
      <c r="T560" t="s">
        <v>11075</v>
      </c>
      <c r="U560" t="s">
        <v>11076</v>
      </c>
      <c r="V560" t="s">
        <v>11077</v>
      </c>
      <c r="W560" t="s">
        <v>11078</v>
      </c>
      <c r="X560" t="s">
        <v>11079</v>
      </c>
      <c r="Y560" t="s">
        <v>11080</v>
      </c>
      <c r="Z560" t="s">
        <v>11081</v>
      </c>
      <c r="AA560" t="s">
        <v>11082</v>
      </c>
      <c r="AB560" t="s">
        <v>74</v>
      </c>
      <c r="AC560" t="s">
        <v>74</v>
      </c>
      <c r="AD560" t="s">
        <v>74</v>
      </c>
      <c r="AE560" t="s">
        <v>74</v>
      </c>
      <c r="AF560" t="s">
        <v>74</v>
      </c>
      <c r="AG560">
        <v>76</v>
      </c>
      <c r="AH560">
        <v>37</v>
      </c>
      <c r="AI560">
        <v>52</v>
      </c>
      <c r="AJ560">
        <v>10</v>
      </c>
      <c r="AK560">
        <v>99</v>
      </c>
      <c r="AL560" t="s">
        <v>89</v>
      </c>
      <c r="AM560" t="s">
        <v>1497</v>
      </c>
      <c r="AN560" t="s">
        <v>1498</v>
      </c>
      <c r="AO560" t="s">
        <v>11083</v>
      </c>
      <c r="AP560" t="s">
        <v>11084</v>
      </c>
      <c r="AQ560" t="s">
        <v>74</v>
      </c>
      <c r="AR560" t="s">
        <v>11085</v>
      </c>
      <c r="AS560" t="s">
        <v>11086</v>
      </c>
      <c r="AT560" t="s">
        <v>11087</v>
      </c>
      <c r="AU560">
        <v>2023</v>
      </c>
      <c r="AV560">
        <v>25</v>
      </c>
      <c r="AW560">
        <v>1</v>
      </c>
      <c r="AX560" t="s">
        <v>74</v>
      </c>
      <c r="AY560" t="s">
        <v>74</v>
      </c>
      <c r="AZ560" t="s">
        <v>74</v>
      </c>
      <c r="BA560" t="s">
        <v>74</v>
      </c>
      <c r="BB560">
        <v>40</v>
      </c>
      <c r="BC560">
        <v>57</v>
      </c>
      <c r="BD560" t="s">
        <v>74</v>
      </c>
      <c r="BE560" t="s">
        <v>11088</v>
      </c>
      <c r="BF560" t="str">
        <f>HYPERLINK("http://dx.doi.org/10.1108/DPRG-04-2022-0033","http://dx.doi.org/10.1108/DPRG-04-2022-0033")</f>
        <v>http://dx.doi.org/10.1108/DPRG-04-2022-0033</v>
      </c>
      <c r="BG560" t="s">
        <v>74</v>
      </c>
      <c r="BH560" t="s">
        <v>5112</v>
      </c>
      <c r="BI560">
        <v>18</v>
      </c>
      <c r="BJ560" t="s">
        <v>2351</v>
      </c>
      <c r="BK560" t="s">
        <v>313</v>
      </c>
      <c r="BL560" t="s">
        <v>2351</v>
      </c>
      <c r="BM560" t="s">
        <v>11089</v>
      </c>
      <c r="BN560" t="s">
        <v>74</v>
      </c>
      <c r="BO560" t="s">
        <v>74</v>
      </c>
      <c r="BP560" t="s">
        <v>74</v>
      </c>
      <c r="BQ560" t="s">
        <v>74</v>
      </c>
      <c r="BR560" t="s">
        <v>102</v>
      </c>
      <c r="BS560" t="s">
        <v>11090</v>
      </c>
      <c r="BT560" t="str">
        <f>HYPERLINK("https%3A%2F%2Fwww.webofscience.com%2Fwos%2Fwoscc%2Ffull-record%2FWOS:000888980600001","View Full Record in Web of Science")</f>
        <v>View Full Record in Web of Science</v>
      </c>
    </row>
    <row r="561" spans="1:72" x14ac:dyDescent="0.25">
      <c r="A561" t="s">
        <v>72</v>
      </c>
      <c r="B561" t="s">
        <v>11091</v>
      </c>
      <c r="C561" t="s">
        <v>74</v>
      </c>
      <c r="D561" t="s">
        <v>74</v>
      </c>
      <c r="E561" t="s">
        <v>74</v>
      </c>
      <c r="F561" t="s">
        <v>11092</v>
      </c>
      <c r="G561" t="s">
        <v>74</v>
      </c>
      <c r="H561" t="s">
        <v>74</v>
      </c>
      <c r="I561" t="s">
        <v>11093</v>
      </c>
      <c r="J561" t="s">
        <v>8200</v>
      </c>
      <c r="K561" t="s">
        <v>74</v>
      </c>
      <c r="L561" t="s">
        <v>74</v>
      </c>
      <c r="M561" t="s">
        <v>78</v>
      </c>
      <c r="N561" t="s">
        <v>79</v>
      </c>
      <c r="O561" t="s">
        <v>74</v>
      </c>
      <c r="P561" t="s">
        <v>74</v>
      </c>
      <c r="Q561" t="s">
        <v>74</v>
      </c>
      <c r="R561" t="s">
        <v>74</v>
      </c>
      <c r="S561" t="s">
        <v>74</v>
      </c>
      <c r="T561" t="s">
        <v>11094</v>
      </c>
      <c r="U561" t="s">
        <v>11095</v>
      </c>
      <c r="V561" t="s">
        <v>11096</v>
      </c>
      <c r="W561" t="s">
        <v>11097</v>
      </c>
      <c r="X561" t="s">
        <v>74</v>
      </c>
      <c r="Y561" t="s">
        <v>11098</v>
      </c>
      <c r="Z561" t="s">
        <v>11099</v>
      </c>
      <c r="AA561" t="s">
        <v>74</v>
      </c>
      <c r="AB561" t="s">
        <v>74</v>
      </c>
      <c r="AC561" t="s">
        <v>74</v>
      </c>
      <c r="AD561" t="s">
        <v>74</v>
      </c>
      <c r="AE561" t="s">
        <v>74</v>
      </c>
      <c r="AF561" t="s">
        <v>74</v>
      </c>
      <c r="AG561">
        <v>79</v>
      </c>
      <c r="AH561">
        <v>0</v>
      </c>
      <c r="AI561">
        <v>0</v>
      </c>
      <c r="AJ561">
        <v>0</v>
      </c>
      <c r="AK561">
        <v>0</v>
      </c>
      <c r="AL561" t="s">
        <v>8210</v>
      </c>
      <c r="AM561" t="s">
        <v>8211</v>
      </c>
      <c r="AN561" t="s">
        <v>8212</v>
      </c>
      <c r="AO561" t="s">
        <v>8213</v>
      </c>
      <c r="AP561" t="s">
        <v>74</v>
      </c>
      <c r="AQ561" t="s">
        <v>74</v>
      </c>
      <c r="AR561" t="s">
        <v>8214</v>
      </c>
      <c r="AS561" t="s">
        <v>8215</v>
      </c>
      <c r="AT561" t="s">
        <v>891</v>
      </c>
      <c r="AU561">
        <v>2025</v>
      </c>
      <c r="AV561">
        <v>18</v>
      </c>
      <c r="AW561">
        <v>5</v>
      </c>
      <c r="AX561" t="s">
        <v>74</v>
      </c>
      <c r="AY561" t="s">
        <v>74</v>
      </c>
      <c r="AZ561" t="s">
        <v>74</v>
      </c>
      <c r="BA561" t="s">
        <v>74</v>
      </c>
      <c r="BB561">
        <v>76</v>
      </c>
      <c r="BC561">
        <v>93</v>
      </c>
      <c r="BD561" t="s">
        <v>74</v>
      </c>
      <c r="BE561" t="s">
        <v>74</v>
      </c>
      <c r="BF561" t="s">
        <v>74</v>
      </c>
      <c r="BG561" t="s">
        <v>74</v>
      </c>
      <c r="BH561" t="s">
        <v>74</v>
      </c>
      <c r="BI561">
        <v>18</v>
      </c>
      <c r="BJ561" t="s">
        <v>418</v>
      </c>
      <c r="BK561" t="s">
        <v>313</v>
      </c>
      <c r="BL561" t="s">
        <v>100</v>
      </c>
      <c r="BM561" t="s">
        <v>11100</v>
      </c>
      <c r="BN561" t="s">
        <v>74</v>
      </c>
      <c r="BO561" t="s">
        <v>74</v>
      </c>
      <c r="BP561" t="s">
        <v>74</v>
      </c>
      <c r="BQ561" t="s">
        <v>74</v>
      </c>
      <c r="BR561" t="s">
        <v>102</v>
      </c>
      <c r="BS561" t="s">
        <v>11101</v>
      </c>
      <c r="BT561" t="str">
        <f>HYPERLINK("https%3A%2F%2Fwww.webofscience.com%2Fwos%2Fwoscc%2Ffull-record%2FWOS:001640960000006","View Full Record in Web of Science")</f>
        <v>View Full Record in Web of Science</v>
      </c>
    </row>
    <row r="562" spans="1:72" x14ac:dyDescent="0.25">
      <c r="A562" t="s">
        <v>72</v>
      </c>
      <c r="B562" t="s">
        <v>11102</v>
      </c>
      <c r="C562" t="s">
        <v>74</v>
      </c>
      <c r="D562" t="s">
        <v>74</v>
      </c>
      <c r="E562" t="s">
        <v>74</v>
      </c>
      <c r="F562" t="s">
        <v>11103</v>
      </c>
      <c r="G562" t="s">
        <v>74</v>
      </c>
      <c r="H562" t="s">
        <v>74</v>
      </c>
      <c r="I562" t="s">
        <v>11104</v>
      </c>
      <c r="J562" t="s">
        <v>5078</v>
      </c>
      <c r="K562" t="s">
        <v>74</v>
      </c>
      <c r="L562" t="s">
        <v>74</v>
      </c>
      <c r="M562" t="s">
        <v>78</v>
      </c>
      <c r="N562" t="s">
        <v>79</v>
      </c>
      <c r="O562" t="s">
        <v>74</v>
      </c>
      <c r="P562" t="s">
        <v>74</v>
      </c>
      <c r="Q562" t="s">
        <v>74</v>
      </c>
      <c r="R562" t="s">
        <v>74</v>
      </c>
      <c r="S562" t="s">
        <v>74</v>
      </c>
      <c r="T562" t="s">
        <v>11105</v>
      </c>
      <c r="U562" t="s">
        <v>11106</v>
      </c>
      <c r="V562" t="s">
        <v>11107</v>
      </c>
      <c r="W562" t="s">
        <v>11108</v>
      </c>
      <c r="X562" t="s">
        <v>11109</v>
      </c>
      <c r="Y562" t="s">
        <v>11110</v>
      </c>
      <c r="Z562" t="s">
        <v>11111</v>
      </c>
      <c r="AA562" t="s">
        <v>11112</v>
      </c>
      <c r="AB562" t="s">
        <v>11113</v>
      </c>
      <c r="AC562" t="s">
        <v>74</v>
      </c>
      <c r="AD562" t="s">
        <v>74</v>
      </c>
      <c r="AE562" t="s">
        <v>74</v>
      </c>
      <c r="AF562" t="s">
        <v>74</v>
      </c>
      <c r="AG562">
        <v>78</v>
      </c>
      <c r="AH562">
        <v>136</v>
      </c>
      <c r="AI562">
        <v>183</v>
      </c>
      <c r="AJ562">
        <v>16</v>
      </c>
      <c r="AK562">
        <v>258</v>
      </c>
      <c r="AL562" t="s">
        <v>385</v>
      </c>
      <c r="AM562" t="s">
        <v>151</v>
      </c>
      <c r="AN562" t="s">
        <v>386</v>
      </c>
      <c r="AO562" t="s">
        <v>74</v>
      </c>
      <c r="AP562" t="s">
        <v>5087</v>
      </c>
      <c r="AQ562" t="s">
        <v>74</v>
      </c>
      <c r="AR562" t="s">
        <v>5088</v>
      </c>
      <c r="AS562" t="s">
        <v>5089</v>
      </c>
      <c r="AT562" t="s">
        <v>11114</v>
      </c>
      <c r="AU562">
        <v>2021</v>
      </c>
      <c r="AV562">
        <v>7</v>
      </c>
      <c r="AW562">
        <v>1</v>
      </c>
      <c r="AX562" t="s">
        <v>74</v>
      </c>
      <c r="AY562" t="s">
        <v>74</v>
      </c>
      <c r="AZ562" t="s">
        <v>74</v>
      </c>
      <c r="BA562" t="s">
        <v>74</v>
      </c>
      <c r="BB562" t="s">
        <v>74</v>
      </c>
      <c r="BC562" t="s">
        <v>74</v>
      </c>
      <c r="BD562">
        <v>40</v>
      </c>
      <c r="BE562" t="s">
        <v>11115</v>
      </c>
      <c r="BF562" t="str">
        <f>HYPERLINK("http://dx.doi.org/10.1186/s40854-021-00259-9","http://dx.doi.org/10.1186/s40854-021-00259-9")</f>
        <v>http://dx.doi.org/10.1186/s40854-021-00259-9</v>
      </c>
      <c r="BG562" t="s">
        <v>74</v>
      </c>
      <c r="BH562" t="s">
        <v>74</v>
      </c>
      <c r="BI562">
        <v>23</v>
      </c>
      <c r="BJ562" t="s">
        <v>5092</v>
      </c>
      <c r="BK562" t="s">
        <v>99</v>
      </c>
      <c r="BL562" t="s">
        <v>2024</v>
      </c>
      <c r="BM562" t="s">
        <v>11116</v>
      </c>
      <c r="BN562" t="s">
        <v>74</v>
      </c>
      <c r="BO562" t="s">
        <v>916</v>
      </c>
      <c r="BP562" t="s">
        <v>74</v>
      </c>
      <c r="BQ562" t="s">
        <v>74</v>
      </c>
      <c r="BR562" t="s">
        <v>102</v>
      </c>
      <c r="BS562" t="s">
        <v>11117</v>
      </c>
      <c r="BT562" t="str">
        <f>HYPERLINK("https%3A%2F%2Fwww.webofscience.com%2Fwos%2Fwoscc%2Ffull-record%2FWOS:000657726000001","View Full Record in Web of Science")</f>
        <v>View Full Record in Web of Science</v>
      </c>
    </row>
    <row r="563" spans="1:72" x14ac:dyDescent="0.25">
      <c r="A563" t="s">
        <v>72</v>
      </c>
      <c r="B563" t="s">
        <v>11118</v>
      </c>
      <c r="C563" t="s">
        <v>74</v>
      </c>
      <c r="D563" t="s">
        <v>74</v>
      </c>
      <c r="E563" t="s">
        <v>74</v>
      </c>
      <c r="F563" t="s">
        <v>11119</v>
      </c>
      <c r="G563" t="s">
        <v>74</v>
      </c>
      <c r="H563" t="s">
        <v>74</v>
      </c>
      <c r="I563" t="s">
        <v>11120</v>
      </c>
      <c r="J563" t="s">
        <v>5937</v>
      </c>
      <c r="K563" t="s">
        <v>74</v>
      </c>
      <c r="L563" t="s">
        <v>74</v>
      </c>
      <c r="M563" t="s">
        <v>78</v>
      </c>
      <c r="N563" t="s">
        <v>372</v>
      </c>
      <c r="O563" t="s">
        <v>74</v>
      </c>
      <c r="P563" t="s">
        <v>74</v>
      </c>
      <c r="Q563" t="s">
        <v>74</v>
      </c>
      <c r="R563" t="s">
        <v>74</v>
      </c>
      <c r="S563" t="s">
        <v>74</v>
      </c>
      <c r="T563" t="s">
        <v>11121</v>
      </c>
      <c r="U563" t="s">
        <v>10168</v>
      </c>
      <c r="V563" t="s">
        <v>11122</v>
      </c>
      <c r="W563" t="s">
        <v>11123</v>
      </c>
      <c r="X563" t="s">
        <v>5942</v>
      </c>
      <c r="Y563" t="s">
        <v>11124</v>
      </c>
      <c r="Z563" t="s">
        <v>11125</v>
      </c>
      <c r="AA563" t="s">
        <v>11126</v>
      </c>
      <c r="AB563" t="s">
        <v>11127</v>
      </c>
      <c r="AC563" t="s">
        <v>74</v>
      </c>
      <c r="AD563" t="s">
        <v>74</v>
      </c>
      <c r="AE563" t="s">
        <v>74</v>
      </c>
      <c r="AF563" t="s">
        <v>74</v>
      </c>
      <c r="AG563">
        <v>41</v>
      </c>
      <c r="AH563">
        <v>8</v>
      </c>
      <c r="AI563">
        <v>9</v>
      </c>
      <c r="AJ563">
        <v>4</v>
      </c>
      <c r="AK563">
        <v>12</v>
      </c>
      <c r="AL563" t="s">
        <v>89</v>
      </c>
      <c r="AM563" t="s">
        <v>90</v>
      </c>
      <c r="AN563" t="s">
        <v>91</v>
      </c>
      <c r="AO563" t="s">
        <v>5946</v>
      </c>
      <c r="AP563" t="s">
        <v>5947</v>
      </c>
      <c r="AQ563" t="s">
        <v>74</v>
      </c>
      <c r="AR563" t="s">
        <v>5948</v>
      </c>
      <c r="AS563" t="s">
        <v>5949</v>
      </c>
      <c r="AT563" t="s">
        <v>11128</v>
      </c>
      <c r="AU563">
        <v>2024</v>
      </c>
      <c r="AV563" t="s">
        <v>74</v>
      </c>
      <c r="AW563" t="s">
        <v>74</v>
      </c>
      <c r="AX563" t="s">
        <v>74</v>
      </c>
      <c r="AY563" t="s">
        <v>74</v>
      </c>
      <c r="AZ563" t="s">
        <v>74</v>
      </c>
      <c r="BA563" t="s">
        <v>74</v>
      </c>
      <c r="BB563" t="s">
        <v>74</v>
      </c>
      <c r="BC563" t="s">
        <v>74</v>
      </c>
      <c r="BD563" t="s">
        <v>74</v>
      </c>
      <c r="BE563" t="s">
        <v>11129</v>
      </c>
      <c r="BF563" t="str">
        <f>HYPERLINK("http://dx.doi.org/10.1108/JSTPM-01-2024-0005","http://dx.doi.org/10.1108/JSTPM-01-2024-0005")</f>
        <v>http://dx.doi.org/10.1108/JSTPM-01-2024-0005</v>
      </c>
      <c r="BG563" t="s">
        <v>74</v>
      </c>
      <c r="BH563" t="s">
        <v>1981</v>
      </c>
      <c r="BI563">
        <v>20</v>
      </c>
      <c r="BJ563" t="s">
        <v>583</v>
      </c>
      <c r="BK563" t="s">
        <v>313</v>
      </c>
      <c r="BL563" t="s">
        <v>100</v>
      </c>
      <c r="BM563" t="s">
        <v>11130</v>
      </c>
      <c r="BN563" t="s">
        <v>74</v>
      </c>
      <c r="BO563" t="s">
        <v>74</v>
      </c>
      <c r="BP563" t="s">
        <v>74</v>
      </c>
      <c r="BQ563" t="s">
        <v>74</v>
      </c>
      <c r="BR563" t="s">
        <v>102</v>
      </c>
      <c r="BS563" t="s">
        <v>11131</v>
      </c>
      <c r="BT563" t="str">
        <f>HYPERLINK("https%3A%2F%2Fwww.webofscience.com%2Fwos%2Fwoscc%2Ffull-record%2FWOS:001187732600001","View Full Record in Web of Science")</f>
        <v>View Full Record in Web of Science</v>
      </c>
    </row>
    <row r="564" spans="1:72" x14ac:dyDescent="0.25">
      <c r="A564" t="s">
        <v>72</v>
      </c>
      <c r="B564" t="s">
        <v>11132</v>
      </c>
      <c r="C564" t="s">
        <v>74</v>
      </c>
      <c r="D564" t="s">
        <v>74</v>
      </c>
      <c r="E564" t="s">
        <v>74</v>
      </c>
      <c r="F564" t="s">
        <v>11133</v>
      </c>
      <c r="G564" t="s">
        <v>74</v>
      </c>
      <c r="H564" t="s">
        <v>74</v>
      </c>
      <c r="I564" t="s">
        <v>11134</v>
      </c>
      <c r="J564" t="s">
        <v>11135</v>
      </c>
      <c r="K564" t="s">
        <v>74</v>
      </c>
      <c r="L564" t="s">
        <v>74</v>
      </c>
      <c r="M564" t="s">
        <v>78</v>
      </c>
      <c r="N564" t="s">
        <v>79</v>
      </c>
      <c r="O564" t="s">
        <v>74</v>
      </c>
      <c r="P564" t="s">
        <v>74</v>
      </c>
      <c r="Q564" t="s">
        <v>74</v>
      </c>
      <c r="R564" t="s">
        <v>74</v>
      </c>
      <c r="S564" t="s">
        <v>74</v>
      </c>
      <c r="T564" t="s">
        <v>11136</v>
      </c>
      <c r="U564" t="s">
        <v>11137</v>
      </c>
      <c r="V564" t="s">
        <v>11138</v>
      </c>
      <c r="W564" t="s">
        <v>11139</v>
      </c>
      <c r="X564" t="s">
        <v>11140</v>
      </c>
      <c r="Y564" t="s">
        <v>11141</v>
      </c>
      <c r="Z564" t="s">
        <v>11142</v>
      </c>
      <c r="AA564" t="s">
        <v>11143</v>
      </c>
      <c r="AB564" t="s">
        <v>11144</v>
      </c>
      <c r="AC564" t="s">
        <v>74</v>
      </c>
      <c r="AD564" t="s">
        <v>74</v>
      </c>
      <c r="AE564" t="s">
        <v>74</v>
      </c>
      <c r="AF564" t="s">
        <v>74</v>
      </c>
      <c r="AG564">
        <v>56</v>
      </c>
      <c r="AH564">
        <v>7</v>
      </c>
      <c r="AI564">
        <v>9</v>
      </c>
      <c r="AJ564">
        <v>3</v>
      </c>
      <c r="AK564">
        <v>29</v>
      </c>
      <c r="AL564" t="s">
        <v>332</v>
      </c>
      <c r="AM564" t="s">
        <v>333</v>
      </c>
      <c r="AN564" t="s">
        <v>334</v>
      </c>
      <c r="AO564" t="s">
        <v>11145</v>
      </c>
      <c r="AP564" t="s">
        <v>11146</v>
      </c>
      <c r="AQ564" t="s">
        <v>74</v>
      </c>
      <c r="AR564" t="s">
        <v>11147</v>
      </c>
      <c r="AS564" t="s">
        <v>11148</v>
      </c>
      <c r="AT564" t="s">
        <v>11149</v>
      </c>
      <c r="AU564">
        <v>2022</v>
      </c>
      <c r="AV564">
        <v>34</v>
      </c>
      <c r="AW564">
        <v>10</v>
      </c>
      <c r="AX564" t="s">
        <v>74</v>
      </c>
      <c r="AY564" t="s">
        <v>74</v>
      </c>
      <c r="AZ564" t="s">
        <v>74</v>
      </c>
      <c r="BA564" t="s">
        <v>74</v>
      </c>
      <c r="BB564">
        <v>1215</v>
      </c>
      <c r="BC564">
        <v>1233</v>
      </c>
      <c r="BD564" t="s">
        <v>74</v>
      </c>
      <c r="BE564" t="s">
        <v>11150</v>
      </c>
      <c r="BF564" t="str">
        <f>HYPERLINK("http://dx.doi.org/10.1080/09537325.2021.1950675","http://dx.doi.org/10.1080/09537325.2021.1950675")</f>
        <v>http://dx.doi.org/10.1080/09537325.2021.1950675</v>
      </c>
      <c r="BG564" t="s">
        <v>74</v>
      </c>
      <c r="BH564" t="s">
        <v>11151</v>
      </c>
      <c r="BI564">
        <v>19</v>
      </c>
      <c r="BJ564" t="s">
        <v>11152</v>
      </c>
      <c r="BK564" t="s">
        <v>99</v>
      </c>
      <c r="BL564" t="s">
        <v>650</v>
      </c>
      <c r="BM564" t="s">
        <v>11153</v>
      </c>
      <c r="BN564" t="s">
        <v>74</v>
      </c>
      <c r="BO564" t="s">
        <v>74</v>
      </c>
      <c r="BP564" t="s">
        <v>74</v>
      </c>
      <c r="BQ564" t="s">
        <v>74</v>
      </c>
      <c r="BR564" t="s">
        <v>102</v>
      </c>
      <c r="BS564" t="s">
        <v>11154</v>
      </c>
      <c r="BT564" t="str">
        <f>HYPERLINK("https%3A%2F%2Fwww.webofscience.com%2Fwos%2Fwoscc%2Ffull-record%2FWOS:000673063000001","View Full Record in Web of Science")</f>
        <v>View Full Record in Web of Science</v>
      </c>
    </row>
    <row r="565" spans="1:72" x14ac:dyDescent="0.25">
      <c r="A565" t="s">
        <v>72</v>
      </c>
      <c r="B565" t="s">
        <v>11155</v>
      </c>
      <c r="C565" t="s">
        <v>74</v>
      </c>
      <c r="D565" t="s">
        <v>74</v>
      </c>
      <c r="E565" t="s">
        <v>74</v>
      </c>
      <c r="F565" t="s">
        <v>11156</v>
      </c>
      <c r="G565" t="s">
        <v>74</v>
      </c>
      <c r="H565" t="s">
        <v>74</v>
      </c>
      <c r="I565" t="s">
        <v>11157</v>
      </c>
      <c r="J565" t="s">
        <v>3231</v>
      </c>
      <c r="K565" t="s">
        <v>74</v>
      </c>
      <c r="L565" t="s">
        <v>74</v>
      </c>
      <c r="M565" t="s">
        <v>78</v>
      </c>
      <c r="N565" t="s">
        <v>79</v>
      </c>
      <c r="O565" t="s">
        <v>74</v>
      </c>
      <c r="P565" t="s">
        <v>74</v>
      </c>
      <c r="Q565" t="s">
        <v>74</v>
      </c>
      <c r="R565" t="s">
        <v>74</v>
      </c>
      <c r="S565" t="s">
        <v>74</v>
      </c>
      <c r="T565" t="s">
        <v>11158</v>
      </c>
      <c r="U565" t="s">
        <v>11159</v>
      </c>
      <c r="V565" t="s">
        <v>11160</v>
      </c>
      <c r="W565" t="s">
        <v>11161</v>
      </c>
      <c r="X565" t="s">
        <v>11162</v>
      </c>
      <c r="Y565" t="s">
        <v>11163</v>
      </c>
      <c r="Z565" t="s">
        <v>11164</v>
      </c>
      <c r="AA565" t="s">
        <v>74</v>
      </c>
      <c r="AB565" t="s">
        <v>74</v>
      </c>
      <c r="AC565" t="s">
        <v>11165</v>
      </c>
      <c r="AD565" t="s">
        <v>9224</v>
      </c>
      <c r="AE565" t="s">
        <v>11166</v>
      </c>
      <c r="AF565" t="s">
        <v>74</v>
      </c>
      <c r="AG565">
        <v>60</v>
      </c>
      <c r="AH565">
        <v>7</v>
      </c>
      <c r="AI565">
        <v>10</v>
      </c>
      <c r="AJ565">
        <v>4</v>
      </c>
      <c r="AK565">
        <v>171</v>
      </c>
      <c r="AL565" t="s">
        <v>575</v>
      </c>
      <c r="AM565" t="s">
        <v>576</v>
      </c>
      <c r="AN565" t="s">
        <v>3242</v>
      </c>
      <c r="AO565" t="s">
        <v>74</v>
      </c>
      <c r="AP565" t="s">
        <v>3243</v>
      </c>
      <c r="AQ565" t="s">
        <v>74</v>
      </c>
      <c r="AR565" t="s">
        <v>3244</v>
      </c>
      <c r="AS565" t="s">
        <v>3245</v>
      </c>
      <c r="AT565" t="s">
        <v>891</v>
      </c>
      <c r="AU565">
        <v>2022</v>
      </c>
      <c r="AV565">
        <v>14</v>
      </c>
      <c r="AW565">
        <v>22</v>
      </c>
      <c r="AX565" t="s">
        <v>74</v>
      </c>
      <c r="AY565" t="s">
        <v>74</v>
      </c>
      <c r="AZ565" t="s">
        <v>74</v>
      </c>
      <c r="BA565" t="s">
        <v>74</v>
      </c>
      <c r="BB565" t="s">
        <v>74</v>
      </c>
      <c r="BC565" t="s">
        <v>74</v>
      </c>
      <c r="BD565">
        <v>15363</v>
      </c>
      <c r="BE565" t="s">
        <v>11167</v>
      </c>
      <c r="BF565" t="str">
        <f>HYPERLINK("http://dx.doi.org/10.3390/su142215363","http://dx.doi.org/10.3390/su142215363")</f>
        <v>http://dx.doi.org/10.3390/su142215363</v>
      </c>
      <c r="BG565" t="s">
        <v>74</v>
      </c>
      <c r="BH565" t="s">
        <v>74</v>
      </c>
      <c r="BI565">
        <v>19</v>
      </c>
      <c r="BJ565" t="s">
        <v>3247</v>
      </c>
      <c r="BK565" t="s">
        <v>2623</v>
      </c>
      <c r="BL565" t="s">
        <v>3248</v>
      </c>
      <c r="BM565" t="s">
        <v>11168</v>
      </c>
      <c r="BN565" t="s">
        <v>74</v>
      </c>
      <c r="BO565" t="s">
        <v>916</v>
      </c>
      <c r="BP565" t="s">
        <v>74</v>
      </c>
      <c r="BQ565" t="s">
        <v>74</v>
      </c>
      <c r="BR565" t="s">
        <v>102</v>
      </c>
      <c r="BS565" t="s">
        <v>11169</v>
      </c>
      <c r="BT565" t="str">
        <f>HYPERLINK("https%3A%2F%2Fwww.webofscience.com%2Fwos%2Fwoscc%2Ffull-record%2FWOS:000887677100001","View Full Record in Web of Science")</f>
        <v>View Full Record in Web of Science</v>
      </c>
    </row>
    <row r="566" spans="1:72" x14ac:dyDescent="0.25">
      <c r="A566" t="s">
        <v>72</v>
      </c>
      <c r="B566" t="s">
        <v>11170</v>
      </c>
      <c r="C566" t="s">
        <v>74</v>
      </c>
      <c r="D566" t="s">
        <v>74</v>
      </c>
      <c r="E566" t="s">
        <v>74</v>
      </c>
      <c r="F566" t="s">
        <v>11171</v>
      </c>
      <c r="G566" t="s">
        <v>74</v>
      </c>
      <c r="H566" t="s">
        <v>74</v>
      </c>
      <c r="I566" t="s">
        <v>11172</v>
      </c>
      <c r="J566" t="s">
        <v>11173</v>
      </c>
      <c r="K566" t="s">
        <v>74</v>
      </c>
      <c r="L566" t="s">
        <v>74</v>
      </c>
      <c r="M566" t="s">
        <v>78</v>
      </c>
      <c r="N566" t="s">
        <v>79</v>
      </c>
      <c r="O566" t="s">
        <v>74</v>
      </c>
      <c r="P566" t="s">
        <v>74</v>
      </c>
      <c r="Q566" t="s">
        <v>74</v>
      </c>
      <c r="R566" t="s">
        <v>74</v>
      </c>
      <c r="S566" t="s">
        <v>74</v>
      </c>
      <c r="T566" t="s">
        <v>11174</v>
      </c>
      <c r="U566" t="s">
        <v>11175</v>
      </c>
      <c r="V566" t="s">
        <v>11176</v>
      </c>
      <c r="W566" t="s">
        <v>11177</v>
      </c>
      <c r="X566" t="s">
        <v>11178</v>
      </c>
      <c r="Y566" t="s">
        <v>11179</v>
      </c>
      <c r="Z566" t="s">
        <v>11180</v>
      </c>
      <c r="AA566" t="s">
        <v>11181</v>
      </c>
      <c r="AB566" t="s">
        <v>74</v>
      </c>
      <c r="AC566" t="s">
        <v>11182</v>
      </c>
      <c r="AD566" t="s">
        <v>11183</v>
      </c>
      <c r="AE566" t="s">
        <v>11184</v>
      </c>
      <c r="AF566" t="s">
        <v>74</v>
      </c>
      <c r="AG566">
        <v>41</v>
      </c>
      <c r="AH566">
        <v>5</v>
      </c>
      <c r="AI566">
        <v>8</v>
      </c>
      <c r="AJ566">
        <v>1</v>
      </c>
      <c r="AK566">
        <v>23</v>
      </c>
      <c r="AL566" t="s">
        <v>575</v>
      </c>
      <c r="AM566" t="s">
        <v>576</v>
      </c>
      <c r="AN566" t="s">
        <v>3242</v>
      </c>
      <c r="AO566" t="s">
        <v>74</v>
      </c>
      <c r="AP566" t="s">
        <v>11185</v>
      </c>
      <c r="AQ566" t="s">
        <v>74</v>
      </c>
      <c r="AR566" t="s">
        <v>11186</v>
      </c>
      <c r="AS566" t="s">
        <v>8262</v>
      </c>
      <c r="AT566" t="s">
        <v>208</v>
      </c>
      <c r="AU566">
        <v>2023</v>
      </c>
      <c r="AV566">
        <v>11</v>
      </c>
      <c r="AW566">
        <v>2</v>
      </c>
      <c r="AX566" t="s">
        <v>74</v>
      </c>
      <c r="AY566" t="s">
        <v>74</v>
      </c>
      <c r="AZ566" t="s">
        <v>74</v>
      </c>
      <c r="BA566" t="s">
        <v>74</v>
      </c>
      <c r="BB566" t="s">
        <v>74</v>
      </c>
      <c r="BC566" t="s">
        <v>74</v>
      </c>
      <c r="BD566">
        <v>363</v>
      </c>
      <c r="BE566" t="s">
        <v>11187</v>
      </c>
      <c r="BF566" t="str">
        <f>HYPERLINK("http://dx.doi.org/10.3390/math11020363","http://dx.doi.org/10.3390/math11020363")</f>
        <v>http://dx.doi.org/10.3390/math11020363</v>
      </c>
      <c r="BG566" t="s">
        <v>74</v>
      </c>
      <c r="BH566" t="s">
        <v>74</v>
      </c>
      <c r="BI566">
        <v>17</v>
      </c>
      <c r="BJ566" t="s">
        <v>8262</v>
      </c>
      <c r="BK566" t="s">
        <v>128</v>
      </c>
      <c r="BL566" t="s">
        <v>8262</v>
      </c>
      <c r="BM566" t="s">
        <v>11188</v>
      </c>
      <c r="BN566" t="s">
        <v>74</v>
      </c>
      <c r="BO566" t="s">
        <v>916</v>
      </c>
      <c r="BP566" t="s">
        <v>74</v>
      </c>
      <c r="BQ566" t="s">
        <v>74</v>
      </c>
      <c r="BR566" t="s">
        <v>102</v>
      </c>
      <c r="BS566" t="s">
        <v>11189</v>
      </c>
      <c r="BT566" t="str">
        <f>HYPERLINK("https%3A%2F%2Fwww.webofscience.com%2Fwos%2Fwoscc%2Ffull-record%2FWOS:000916377400001","View Full Record in Web of Science")</f>
        <v>View Full Record in Web of Science</v>
      </c>
    </row>
    <row r="567" spans="1:72" x14ac:dyDescent="0.25">
      <c r="A567" t="s">
        <v>132</v>
      </c>
      <c r="B567" t="s">
        <v>11190</v>
      </c>
      <c r="C567" t="s">
        <v>74</v>
      </c>
      <c r="D567" t="s">
        <v>74</v>
      </c>
      <c r="E567" t="s">
        <v>771</v>
      </c>
      <c r="F567" t="s">
        <v>11191</v>
      </c>
      <c r="G567" t="s">
        <v>74</v>
      </c>
      <c r="H567" t="s">
        <v>74</v>
      </c>
      <c r="I567" t="s">
        <v>11192</v>
      </c>
      <c r="J567" t="s">
        <v>11193</v>
      </c>
      <c r="K567" t="s">
        <v>11194</v>
      </c>
      <c r="L567" t="s">
        <v>74</v>
      </c>
      <c r="M567" t="s">
        <v>78</v>
      </c>
      <c r="N567" t="s">
        <v>138</v>
      </c>
      <c r="O567" t="s">
        <v>11195</v>
      </c>
      <c r="P567" t="s">
        <v>11196</v>
      </c>
      <c r="Q567" t="s">
        <v>11197</v>
      </c>
      <c r="R567" t="s">
        <v>771</v>
      </c>
      <c r="S567" t="s">
        <v>74</v>
      </c>
      <c r="T567" t="s">
        <v>11198</v>
      </c>
      <c r="U567" t="s">
        <v>74</v>
      </c>
      <c r="V567" t="s">
        <v>11199</v>
      </c>
      <c r="W567" t="s">
        <v>11200</v>
      </c>
      <c r="X567" t="s">
        <v>7713</v>
      </c>
      <c r="Y567" t="s">
        <v>11201</v>
      </c>
      <c r="Z567" t="s">
        <v>11202</v>
      </c>
      <c r="AA567" t="s">
        <v>11203</v>
      </c>
      <c r="AB567" t="s">
        <v>11204</v>
      </c>
      <c r="AC567" t="s">
        <v>74</v>
      </c>
      <c r="AD567" t="s">
        <v>74</v>
      </c>
      <c r="AE567" t="s">
        <v>74</v>
      </c>
      <c r="AF567" t="s">
        <v>74</v>
      </c>
      <c r="AG567">
        <v>30</v>
      </c>
      <c r="AH567">
        <v>14</v>
      </c>
      <c r="AI567">
        <v>22</v>
      </c>
      <c r="AJ567">
        <v>8</v>
      </c>
      <c r="AK567">
        <v>29</v>
      </c>
      <c r="AL567" t="s">
        <v>771</v>
      </c>
      <c r="AM567" t="s">
        <v>151</v>
      </c>
      <c r="AN567" t="s">
        <v>785</v>
      </c>
      <c r="AO567" t="s">
        <v>11205</v>
      </c>
      <c r="AP567" t="s">
        <v>74</v>
      </c>
      <c r="AQ567" t="s">
        <v>11206</v>
      </c>
      <c r="AR567" t="s">
        <v>11207</v>
      </c>
      <c r="AS567" t="s">
        <v>74</v>
      </c>
      <c r="AT567" t="s">
        <v>74</v>
      </c>
      <c r="AU567">
        <v>2019</v>
      </c>
      <c r="AV567" t="s">
        <v>74</v>
      </c>
      <c r="AW567" t="s">
        <v>74</v>
      </c>
      <c r="AX567" t="s">
        <v>74</v>
      </c>
      <c r="AY567" t="s">
        <v>74</v>
      </c>
      <c r="AZ567" t="s">
        <v>74</v>
      </c>
      <c r="BA567" t="s">
        <v>74</v>
      </c>
      <c r="BB567">
        <v>319</v>
      </c>
      <c r="BC567">
        <v>324</v>
      </c>
      <c r="BD567" t="s">
        <v>74</v>
      </c>
      <c r="BE567" t="s">
        <v>11208</v>
      </c>
      <c r="BF567" t="str">
        <f>HYPERLINK("http://dx.doi.org/10.1109/infcomw.2019.8845177","http://dx.doi.org/10.1109/infcomw.2019.8845177")</f>
        <v>http://dx.doi.org/10.1109/infcomw.2019.8845177</v>
      </c>
      <c r="BG567" t="s">
        <v>74</v>
      </c>
      <c r="BH567" t="s">
        <v>74</v>
      </c>
      <c r="BI567">
        <v>6</v>
      </c>
      <c r="BJ567" t="s">
        <v>5649</v>
      </c>
      <c r="BK567" t="s">
        <v>156</v>
      </c>
      <c r="BL567" t="s">
        <v>5650</v>
      </c>
      <c r="BM567" t="s">
        <v>11209</v>
      </c>
      <c r="BN567" t="s">
        <v>74</v>
      </c>
      <c r="BO567" t="s">
        <v>212</v>
      </c>
      <c r="BP567" t="s">
        <v>74</v>
      </c>
      <c r="BQ567" t="s">
        <v>74</v>
      </c>
      <c r="BR567" t="s">
        <v>102</v>
      </c>
      <c r="BS567" t="s">
        <v>11210</v>
      </c>
      <c r="BT567" t="str">
        <f>HYPERLINK("https%3A%2F%2Fwww.webofscience.com%2Fwos%2Fwoscc%2Ffull-record%2FWOS:000526051100054","View Full Record in Web of Science")</f>
        <v>View Full Record in Web of Science</v>
      </c>
    </row>
    <row r="568" spans="1:72" x14ac:dyDescent="0.25">
      <c r="A568" t="s">
        <v>72</v>
      </c>
      <c r="B568" t="s">
        <v>11211</v>
      </c>
      <c r="C568" t="s">
        <v>74</v>
      </c>
      <c r="D568" t="s">
        <v>74</v>
      </c>
      <c r="E568" t="s">
        <v>74</v>
      </c>
      <c r="F568" t="s">
        <v>11212</v>
      </c>
      <c r="G568" t="s">
        <v>74</v>
      </c>
      <c r="H568" t="s">
        <v>74</v>
      </c>
      <c r="I568" t="s">
        <v>11213</v>
      </c>
      <c r="J568" t="s">
        <v>11214</v>
      </c>
      <c r="K568" t="s">
        <v>74</v>
      </c>
      <c r="L568" t="s">
        <v>74</v>
      </c>
      <c r="M568" t="s">
        <v>298</v>
      </c>
      <c r="N568" t="s">
        <v>79</v>
      </c>
      <c r="O568" t="s">
        <v>74</v>
      </c>
      <c r="P568" t="s">
        <v>74</v>
      </c>
      <c r="Q568" t="s">
        <v>74</v>
      </c>
      <c r="R568" t="s">
        <v>74</v>
      </c>
      <c r="S568" t="s">
        <v>74</v>
      </c>
      <c r="T568" t="s">
        <v>11215</v>
      </c>
      <c r="U568" t="s">
        <v>11216</v>
      </c>
      <c r="V568" t="s">
        <v>11217</v>
      </c>
      <c r="W568" t="s">
        <v>11218</v>
      </c>
      <c r="X568" t="s">
        <v>11219</v>
      </c>
      <c r="Y568" t="s">
        <v>11220</v>
      </c>
      <c r="Z568" t="s">
        <v>11221</v>
      </c>
      <c r="AA568" t="s">
        <v>74</v>
      </c>
      <c r="AB568" t="s">
        <v>74</v>
      </c>
      <c r="AC568" t="s">
        <v>74</v>
      </c>
      <c r="AD568" t="s">
        <v>74</v>
      </c>
      <c r="AE568" t="s">
        <v>74</v>
      </c>
      <c r="AF568" t="s">
        <v>74</v>
      </c>
      <c r="AG568">
        <v>104</v>
      </c>
      <c r="AH568">
        <v>0</v>
      </c>
      <c r="AI568">
        <v>0</v>
      </c>
      <c r="AJ568">
        <v>1</v>
      </c>
      <c r="AK568">
        <v>2</v>
      </c>
      <c r="AL568" t="s">
        <v>11222</v>
      </c>
      <c r="AM568" t="s">
        <v>11223</v>
      </c>
      <c r="AN568" t="s">
        <v>11224</v>
      </c>
      <c r="AO568" t="s">
        <v>11225</v>
      </c>
      <c r="AP568" t="s">
        <v>74</v>
      </c>
      <c r="AQ568" t="s">
        <v>74</v>
      </c>
      <c r="AR568" t="s">
        <v>11226</v>
      </c>
      <c r="AS568" t="s">
        <v>11227</v>
      </c>
      <c r="AT568" t="s">
        <v>7558</v>
      </c>
      <c r="AU568">
        <v>2024</v>
      </c>
      <c r="AV568">
        <v>91</v>
      </c>
      <c r="AW568">
        <v>364</v>
      </c>
      <c r="AX568" t="s">
        <v>74</v>
      </c>
      <c r="AY568" t="s">
        <v>74</v>
      </c>
      <c r="AZ568" t="s">
        <v>74</v>
      </c>
      <c r="BA568" t="s">
        <v>74</v>
      </c>
      <c r="BB568">
        <v>925</v>
      </c>
      <c r="BC568">
        <v>970</v>
      </c>
      <c r="BD568" t="s">
        <v>74</v>
      </c>
      <c r="BE568" t="s">
        <v>11228</v>
      </c>
      <c r="BF568" t="str">
        <f>HYPERLINK("http://dx.doi.org/10.20430/ete.v91i364.2516","http://dx.doi.org/10.20430/ete.v91i364.2516")</f>
        <v>http://dx.doi.org/10.20430/ete.v91i364.2516</v>
      </c>
      <c r="BG568" t="s">
        <v>74</v>
      </c>
      <c r="BH568" t="s">
        <v>74</v>
      </c>
      <c r="BI568">
        <v>46</v>
      </c>
      <c r="BJ568" t="s">
        <v>291</v>
      </c>
      <c r="BK568" t="s">
        <v>99</v>
      </c>
      <c r="BL568" t="s">
        <v>100</v>
      </c>
      <c r="BM568" t="s">
        <v>11229</v>
      </c>
      <c r="BN568" t="s">
        <v>74</v>
      </c>
      <c r="BO568" t="s">
        <v>916</v>
      </c>
      <c r="BP568" t="s">
        <v>74</v>
      </c>
      <c r="BQ568" t="s">
        <v>74</v>
      </c>
      <c r="BR568" t="s">
        <v>102</v>
      </c>
      <c r="BS568" t="s">
        <v>11230</v>
      </c>
      <c r="BT568" t="str">
        <f>HYPERLINK("https%3A%2F%2Fwww.webofscience.com%2Fwos%2Fwoscc%2Ffull-record%2FWOS:001335965800006","View Full Record in Web of Science")</f>
        <v>View Full Record in Web of Science</v>
      </c>
    </row>
    <row r="569" spans="1:72" x14ac:dyDescent="0.25">
      <c r="A569" t="s">
        <v>72</v>
      </c>
      <c r="B569" t="s">
        <v>11231</v>
      </c>
      <c r="C569" t="s">
        <v>74</v>
      </c>
      <c r="D569" t="s">
        <v>74</v>
      </c>
      <c r="E569" t="s">
        <v>74</v>
      </c>
      <c r="F569" t="s">
        <v>11232</v>
      </c>
      <c r="G569" t="s">
        <v>74</v>
      </c>
      <c r="H569" t="s">
        <v>74</v>
      </c>
      <c r="I569" t="s">
        <v>11233</v>
      </c>
      <c r="J569" t="s">
        <v>6538</v>
      </c>
      <c r="K569" t="s">
        <v>74</v>
      </c>
      <c r="L569" t="s">
        <v>74</v>
      </c>
      <c r="M569" t="s">
        <v>78</v>
      </c>
      <c r="N569" t="s">
        <v>79</v>
      </c>
      <c r="O569" t="s">
        <v>74</v>
      </c>
      <c r="P569" t="s">
        <v>74</v>
      </c>
      <c r="Q569" t="s">
        <v>74</v>
      </c>
      <c r="R569" t="s">
        <v>74</v>
      </c>
      <c r="S569" t="s">
        <v>74</v>
      </c>
      <c r="T569" t="s">
        <v>3037</v>
      </c>
      <c r="U569" t="s">
        <v>11234</v>
      </c>
      <c r="V569" t="s">
        <v>11235</v>
      </c>
      <c r="W569" t="s">
        <v>11236</v>
      </c>
      <c r="X569" t="s">
        <v>11237</v>
      </c>
      <c r="Y569" t="s">
        <v>11238</v>
      </c>
      <c r="Z569" t="s">
        <v>11239</v>
      </c>
      <c r="AA569" t="s">
        <v>11240</v>
      </c>
      <c r="AB569" t="s">
        <v>74</v>
      </c>
      <c r="AC569" t="s">
        <v>74</v>
      </c>
      <c r="AD569" t="s">
        <v>74</v>
      </c>
      <c r="AE569" t="s">
        <v>74</v>
      </c>
      <c r="AF569" t="s">
        <v>74</v>
      </c>
      <c r="AG569">
        <v>60</v>
      </c>
      <c r="AH569">
        <v>11</v>
      </c>
      <c r="AI569">
        <v>14</v>
      </c>
      <c r="AJ569">
        <v>3</v>
      </c>
      <c r="AK569">
        <v>17</v>
      </c>
      <c r="AL569" t="s">
        <v>2907</v>
      </c>
      <c r="AM569" t="s">
        <v>2908</v>
      </c>
      <c r="AN569" t="s">
        <v>2909</v>
      </c>
      <c r="AO569" t="s">
        <v>6543</v>
      </c>
      <c r="AP569" t="s">
        <v>6544</v>
      </c>
      <c r="AQ569" t="s">
        <v>74</v>
      </c>
      <c r="AR569" t="s">
        <v>6545</v>
      </c>
      <c r="AS569" t="s">
        <v>6546</v>
      </c>
      <c r="AT569" t="s">
        <v>698</v>
      </c>
      <c r="AU569">
        <v>2022</v>
      </c>
      <c r="AV569">
        <v>23</v>
      </c>
      <c r="AW569">
        <v>3</v>
      </c>
      <c r="AX569" t="s">
        <v>74</v>
      </c>
      <c r="AY569" t="s">
        <v>74</v>
      </c>
      <c r="AZ569" t="s">
        <v>74</v>
      </c>
      <c r="BA569" t="s">
        <v>74</v>
      </c>
      <c r="BB569">
        <v>288</v>
      </c>
      <c r="BC569">
        <v>301</v>
      </c>
      <c r="BD569" t="s">
        <v>74</v>
      </c>
      <c r="BE569" t="s">
        <v>11241</v>
      </c>
      <c r="BF569" t="str">
        <f>HYPERLINK("http://dx.doi.org/10.1057/s41261-021-00167-z","http://dx.doi.org/10.1057/s41261-021-00167-z")</f>
        <v>http://dx.doi.org/10.1057/s41261-021-00167-z</v>
      </c>
      <c r="BG569" t="s">
        <v>74</v>
      </c>
      <c r="BH569" t="s">
        <v>11242</v>
      </c>
      <c r="BI569">
        <v>14</v>
      </c>
      <c r="BJ569" t="s">
        <v>268</v>
      </c>
      <c r="BK569" t="s">
        <v>313</v>
      </c>
      <c r="BL569" t="s">
        <v>100</v>
      </c>
      <c r="BM569" t="s">
        <v>11243</v>
      </c>
      <c r="BN569" t="s">
        <v>74</v>
      </c>
      <c r="BO569" t="s">
        <v>74</v>
      </c>
      <c r="BP569" t="s">
        <v>74</v>
      </c>
      <c r="BQ569" t="s">
        <v>74</v>
      </c>
      <c r="BR569" t="s">
        <v>102</v>
      </c>
      <c r="BS569" t="s">
        <v>11244</v>
      </c>
      <c r="BT569" t="str">
        <f>HYPERLINK("https%3A%2F%2Fwww.webofscience.com%2Fwos%2Fwoscc%2Ffull-record%2FWOS:000663489500001","View Full Record in Web of Science")</f>
        <v>View Full Record in Web of Science</v>
      </c>
    </row>
    <row r="570" spans="1:72" x14ac:dyDescent="0.25">
      <c r="A570" t="s">
        <v>72</v>
      </c>
      <c r="B570" t="s">
        <v>11245</v>
      </c>
      <c r="C570" t="s">
        <v>74</v>
      </c>
      <c r="D570" t="s">
        <v>74</v>
      </c>
      <c r="E570" t="s">
        <v>74</v>
      </c>
      <c r="F570" t="s">
        <v>11246</v>
      </c>
      <c r="G570" t="s">
        <v>74</v>
      </c>
      <c r="H570" t="s">
        <v>74</v>
      </c>
      <c r="I570" t="s">
        <v>11247</v>
      </c>
      <c r="J570" t="s">
        <v>3231</v>
      </c>
      <c r="K570" t="s">
        <v>74</v>
      </c>
      <c r="L570" t="s">
        <v>74</v>
      </c>
      <c r="M570" t="s">
        <v>78</v>
      </c>
      <c r="N570" t="s">
        <v>79</v>
      </c>
      <c r="O570" t="s">
        <v>74</v>
      </c>
      <c r="P570" t="s">
        <v>74</v>
      </c>
      <c r="Q570" t="s">
        <v>74</v>
      </c>
      <c r="R570" t="s">
        <v>74</v>
      </c>
      <c r="S570" t="s">
        <v>74</v>
      </c>
      <c r="T570" t="s">
        <v>11248</v>
      </c>
      <c r="U570" t="s">
        <v>74</v>
      </c>
      <c r="V570" t="s">
        <v>11249</v>
      </c>
      <c r="W570" t="s">
        <v>11250</v>
      </c>
      <c r="X570" t="s">
        <v>11251</v>
      </c>
      <c r="Y570" t="s">
        <v>11252</v>
      </c>
      <c r="Z570" t="s">
        <v>11253</v>
      </c>
      <c r="AA570" t="s">
        <v>11254</v>
      </c>
      <c r="AB570" t="s">
        <v>11255</v>
      </c>
      <c r="AC570" t="s">
        <v>11256</v>
      </c>
      <c r="AD570" t="s">
        <v>8936</v>
      </c>
      <c r="AE570" t="s">
        <v>11257</v>
      </c>
      <c r="AF570" t="s">
        <v>74</v>
      </c>
      <c r="AG570">
        <v>69</v>
      </c>
      <c r="AH570">
        <v>24</v>
      </c>
      <c r="AI570">
        <v>38</v>
      </c>
      <c r="AJ570">
        <v>7</v>
      </c>
      <c r="AK570">
        <v>119</v>
      </c>
      <c r="AL570" t="s">
        <v>575</v>
      </c>
      <c r="AM570" t="s">
        <v>576</v>
      </c>
      <c r="AN570" t="s">
        <v>3242</v>
      </c>
      <c r="AO570" t="s">
        <v>74</v>
      </c>
      <c r="AP570" t="s">
        <v>3243</v>
      </c>
      <c r="AQ570" t="s">
        <v>74</v>
      </c>
      <c r="AR570" t="s">
        <v>3244</v>
      </c>
      <c r="AS570" t="s">
        <v>3245</v>
      </c>
      <c r="AT570" t="s">
        <v>237</v>
      </c>
      <c r="AU570">
        <v>2023</v>
      </c>
      <c r="AV570">
        <v>15</v>
      </c>
      <c r="AW570">
        <v>3</v>
      </c>
      <c r="AX570" t="s">
        <v>74</v>
      </c>
      <c r="AY570" t="s">
        <v>74</v>
      </c>
      <c r="AZ570" t="s">
        <v>74</v>
      </c>
      <c r="BA570" t="s">
        <v>74</v>
      </c>
      <c r="BB570" t="s">
        <v>74</v>
      </c>
      <c r="BC570" t="s">
        <v>74</v>
      </c>
      <c r="BD570">
        <v>2383</v>
      </c>
      <c r="BE570" t="s">
        <v>11258</v>
      </c>
      <c r="BF570" t="str">
        <f>HYPERLINK("http://dx.doi.org/10.3390/su15032383","http://dx.doi.org/10.3390/su15032383")</f>
        <v>http://dx.doi.org/10.3390/su15032383</v>
      </c>
      <c r="BG570" t="s">
        <v>74</v>
      </c>
      <c r="BH570" t="s">
        <v>74</v>
      </c>
      <c r="BI570">
        <v>20</v>
      </c>
      <c r="BJ570" t="s">
        <v>3247</v>
      </c>
      <c r="BK570" t="s">
        <v>2623</v>
      </c>
      <c r="BL570" t="s">
        <v>3248</v>
      </c>
      <c r="BM570" t="s">
        <v>11259</v>
      </c>
      <c r="BN570" t="s">
        <v>74</v>
      </c>
      <c r="BO570" t="s">
        <v>916</v>
      </c>
      <c r="BP570" t="s">
        <v>74</v>
      </c>
      <c r="BQ570" t="s">
        <v>74</v>
      </c>
      <c r="BR570" t="s">
        <v>102</v>
      </c>
      <c r="BS570" t="s">
        <v>11260</v>
      </c>
      <c r="BT570" t="str">
        <f>HYPERLINK("https%3A%2F%2Fwww.webofscience.com%2Fwos%2Fwoscc%2Ffull-record%2FWOS:000930869400001","View Full Record in Web of Science")</f>
        <v>View Full Record in Web of Science</v>
      </c>
    </row>
    <row r="571" spans="1:72" x14ac:dyDescent="0.25">
      <c r="A571" t="s">
        <v>72</v>
      </c>
      <c r="B571" t="s">
        <v>11261</v>
      </c>
      <c r="C571" t="s">
        <v>74</v>
      </c>
      <c r="D571" t="s">
        <v>74</v>
      </c>
      <c r="E571" t="s">
        <v>74</v>
      </c>
      <c r="F571" t="s">
        <v>11262</v>
      </c>
      <c r="G571" t="s">
        <v>74</v>
      </c>
      <c r="H571" t="s">
        <v>74</v>
      </c>
      <c r="I571" t="s">
        <v>11263</v>
      </c>
      <c r="J571" t="s">
        <v>1491</v>
      </c>
      <c r="K571" t="s">
        <v>74</v>
      </c>
      <c r="L571" t="s">
        <v>74</v>
      </c>
      <c r="M571" t="s">
        <v>78</v>
      </c>
      <c r="N571" t="s">
        <v>79</v>
      </c>
      <c r="O571" t="s">
        <v>74</v>
      </c>
      <c r="P571" t="s">
        <v>74</v>
      </c>
      <c r="Q571" t="s">
        <v>74</v>
      </c>
      <c r="R571" t="s">
        <v>74</v>
      </c>
      <c r="S571" t="s">
        <v>74</v>
      </c>
      <c r="T571" t="s">
        <v>11264</v>
      </c>
      <c r="U571" t="s">
        <v>11265</v>
      </c>
      <c r="V571" t="s">
        <v>11266</v>
      </c>
      <c r="W571" t="s">
        <v>11267</v>
      </c>
      <c r="X571" t="s">
        <v>11237</v>
      </c>
      <c r="Y571" t="s">
        <v>11268</v>
      </c>
      <c r="Z571" t="s">
        <v>11269</v>
      </c>
      <c r="AA571" t="s">
        <v>11240</v>
      </c>
      <c r="AB571" t="s">
        <v>74</v>
      </c>
      <c r="AC571" t="s">
        <v>74</v>
      </c>
      <c r="AD571" t="s">
        <v>74</v>
      </c>
      <c r="AE571" t="s">
        <v>74</v>
      </c>
      <c r="AF571" t="s">
        <v>74</v>
      </c>
      <c r="AG571">
        <v>69</v>
      </c>
      <c r="AH571">
        <v>4</v>
      </c>
      <c r="AI571">
        <v>5</v>
      </c>
      <c r="AJ571">
        <v>1</v>
      </c>
      <c r="AK571">
        <v>15</v>
      </c>
      <c r="AL571" t="s">
        <v>89</v>
      </c>
      <c r="AM571" t="s">
        <v>1497</v>
      </c>
      <c r="AN571" t="s">
        <v>1498</v>
      </c>
      <c r="AO571" t="s">
        <v>1499</v>
      </c>
      <c r="AP571" t="s">
        <v>1500</v>
      </c>
      <c r="AQ571" t="s">
        <v>74</v>
      </c>
      <c r="AR571" t="s">
        <v>1501</v>
      </c>
      <c r="AS571" t="s">
        <v>1502</v>
      </c>
      <c r="AT571" t="s">
        <v>9278</v>
      </c>
      <c r="AU571">
        <v>2023</v>
      </c>
      <c r="AV571">
        <v>31</v>
      </c>
      <c r="AW571">
        <v>4</v>
      </c>
      <c r="AX571" t="s">
        <v>74</v>
      </c>
      <c r="AY571" t="s">
        <v>74</v>
      </c>
      <c r="AZ571" t="s">
        <v>74</v>
      </c>
      <c r="BA571" t="s">
        <v>74</v>
      </c>
      <c r="BB571">
        <v>503</v>
      </c>
      <c r="BC571">
        <v>521</v>
      </c>
      <c r="BD571" t="s">
        <v>74</v>
      </c>
      <c r="BE571" t="s">
        <v>11270</v>
      </c>
      <c r="BF571" t="str">
        <f>HYPERLINK("http://dx.doi.org/10.1108/JFRC-01-2023-0003","http://dx.doi.org/10.1108/JFRC-01-2023-0003")</f>
        <v>http://dx.doi.org/10.1108/JFRC-01-2023-0003</v>
      </c>
      <c r="BG571" t="s">
        <v>74</v>
      </c>
      <c r="BH571" t="s">
        <v>6298</v>
      </c>
      <c r="BI571">
        <v>19</v>
      </c>
      <c r="BJ571" t="s">
        <v>268</v>
      </c>
      <c r="BK571" t="s">
        <v>313</v>
      </c>
      <c r="BL571" t="s">
        <v>100</v>
      </c>
      <c r="BM571" t="s">
        <v>9942</v>
      </c>
      <c r="BN571" t="s">
        <v>74</v>
      </c>
      <c r="BO571" t="s">
        <v>74</v>
      </c>
      <c r="BP571" t="s">
        <v>74</v>
      </c>
      <c r="BQ571" t="s">
        <v>74</v>
      </c>
      <c r="BR571" t="s">
        <v>102</v>
      </c>
      <c r="BS571" t="s">
        <v>11271</v>
      </c>
      <c r="BT571" t="str">
        <f>HYPERLINK("https%3A%2F%2Fwww.webofscience.com%2Fwos%2Fwoscc%2Ffull-record%2FWOS:000974890900001","View Full Record in Web of Science")</f>
        <v>View Full Record in Web of Science</v>
      </c>
    </row>
    <row r="572" spans="1:72" x14ac:dyDescent="0.25">
      <c r="A572" t="s">
        <v>72</v>
      </c>
      <c r="B572" t="s">
        <v>11272</v>
      </c>
      <c r="C572" t="s">
        <v>74</v>
      </c>
      <c r="D572" t="s">
        <v>74</v>
      </c>
      <c r="E572" t="s">
        <v>74</v>
      </c>
      <c r="F572" t="s">
        <v>11273</v>
      </c>
      <c r="G572" t="s">
        <v>74</v>
      </c>
      <c r="H572" t="s">
        <v>74</v>
      </c>
      <c r="I572" t="s">
        <v>11274</v>
      </c>
      <c r="J572" t="s">
        <v>11275</v>
      </c>
      <c r="K572" t="s">
        <v>74</v>
      </c>
      <c r="L572" t="s">
        <v>74</v>
      </c>
      <c r="M572" t="s">
        <v>78</v>
      </c>
      <c r="N572" t="s">
        <v>79</v>
      </c>
      <c r="O572" t="s">
        <v>74</v>
      </c>
      <c r="P572" t="s">
        <v>74</v>
      </c>
      <c r="Q572" t="s">
        <v>74</v>
      </c>
      <c r="R572" t="s">
        <v>74</v>
      </c>
      <c r="S572" t="s">
        <v>74</v>
      </c>
      <c r="T572" t="s">
        <v>11276</v>
      </c>
      <c r="U572" t="s">
        <v>74</v>
      </c>
      <c r="V572" t="s">
        <v>11277</v>
      </c>
      <c r="W572" t="s">
        <v>11278</v>
      </c>
      <c r="X572" t="s">
        <v>11279</v>
      </c>
      <c r="Y572" t="s">
        <v>11280</v>
      </c>
      <c r="Z572" t="s">
        <v>11281</v>
      </c>
      <c r="AA572" t="s">
        <v>74</v>
      </c>
      <c r="AB572" t="s">
        <v>74</v>
      </c>
      <c r="AC572" t="s">
        <v>74</v>
      </c>
      <c r="AD572" t="s">
        <v>74</v>
      </c>
      <c r="AE572" t="s">
        <v>74</v>
      </c>
      <c r="AF572" t="s">
        <v>74</v>
      </c>
      <c r="AG572">
        <v>48</v>
      </c>
      <c r="AH572">
        <v>11</v>
      </c>
      <c r="AI572">
        <v>19</v>
      </c>
      <c r="AJ572">
        <v>0</v>
      </c>
      <c r="AK572">
        <v>6</v>
      </c>
      <c r="AL572" t="s">
        <v>89</v>
      </c>
      <c r="AM572" t="s">
        <v>90</v>
      </c>
      <c r="AN572" t="s">
        <v>91</v>
      </c>
      <c r="AO572" t="s">
        <v>11282</v>
      </c>
      <c r="AP572" t="s">
        <v>11283</v>
      </c>
      <c r="AQ572" t="s">
        <v>74</v>
      </c>
      <c r="AR572" t="s">
        <v>11284</v>
      </c>
      <c r="AS572" t="s">
        <v>11285</v>
      </c>
      <c r="AT572" t="s">
        <v>11286</v>
      </c>
      <c r="AU572">
        <v>2025</v>
      </c>
      <c r="AV572">
        <v>10</v>
      </c>
      <c r="AW572">
        <v>2</v>
      </c>
      <c r="AX572" t="s">
        <v>74</v>
      </c>
      <c r="AY572" t="s">
        <v>74</v>
      </c>
      <c r="AZ572" t="s">
        <v>74</v>
      </c>
      <c r="BA572" t="s">
        <v>74</v>
      </c>
      <c r="BB572">
        <v>90</v>
      </c>
      <c r="BC572">
        <v>111</v>
      </c>
      <c r="BD572" t="s">
        <v>74</v>
      </c>
      <c r="BE572" t="s">
        <v>11287</v>
      </c>
      <c r="BF572" t="str">
        <f>HYPERLINK("http://dx.doi.org/10.1108/REPS-06-2022-0034","http://dx.doi.org/10.1108/REPS-06-2022-0034")</f>
        <v>http://dx.doi.org/10.1108/REPS-06-2022-0034</v>
      </c>
      <c r="BG572" t="s">
        <v>74</v>
      </c>
      <c r="BH572" t="s">
        <v>11288</v>
      </c>
      <c r="BI572">
        <v>22</v>
      </c>
      <c r="BJ572" t="s">
        <v>11289</v>
      </c>
      <c r="BK572" t="s">
        <v>313</v>
      </c>
      <c r="BL572" t="s">
        <v>2282</v>
      </c>
      <c r="BM572" t="s">
        <v>11290</v>
      </c>
      <c r="BN572" t="s">
        <v>74</v>
      </c>
      <c r="BO572" t="s">
        <v>916</v>
      </c>
      <c r="BP572" t="s">
        <v>74</v>
      </c>
      <c r="BQ572" t="s">
        <v>74</v>
      </c>
      <c r="BR572" t="s">
        <v>102</v>
      </c>
      <c r="BS572" t="s">
        <v>11291</v>
      </c>
      <c r="BT572" t="str">
        <f>HYPERLINK("https%3A%2F%2Fwww.webofscience.com%2Fwos%2Fwoscc%2Ffull-record%2FWOS:000916090000001","View Full Record in Web of Science")</f>
        <v>View Full Record in Web of Science</v>
      </c>
    </row>
    <row r="573" spans="1:72" x14ac:dyDescent="0.25">
      <c r="A573" t="s">
        <v>72</v>
      </c>
      <c r="B573" t="s">
        <v>11292</v>
      </c>
      <c r="C573" t="s">
        <v>74</v>
      </c>
      <c r="D573" t="s">
        <v>74</v>
      </c>
      <c r="E573" t="s">
        <v>74</v>
      </c>
      <c r="F573" t="s">
        <v>11293</v>
      </c>
      <c r="G573" t="s">
        <v>74</v>
      </c>
      <c r="H573" t="s">
        <v>74</v>
      </c>
      <c r="I573" t="s">
        <v>11294</v>
      </c>
      <c r="J573" t="s">
        <v>4842</v>
      </c>
      <c r="K573" t="s">
        <v>74</v>
      </c>
      <c r="L573" t="s">
        <v>74</v>
      </c>
      <c r="M573" t="s">
        <v>78</v>
      </c>
      <c r="N573" t="s">
        <v>79</v>
      </c>
      <c r="O573" t="s">
        <v>74</v>
      </c>
      <c r="P573" t="s">
        <v>74</v>
      </c>
      <c r="Q573" t="s">
        <v>74</v>
      </c>
      <c r="R573" t="s">
        <v>74</v>
      </c>
      <c r="S573" t="s">
        <v>74</v>
      </c>
      <c r="T573" t="s">
        <v>11295</v>
      </c>
      <c r="U573" t="s">
        <v>11296</v>
      </c>
      <c r="V573" t="s">
        <v>11297</v>
      </c>
      <c r="W573" t="s">
        <v>11298</v>
      </c>
      <c r="X573" t="s">
        <v>11299</v>
      </c>
      <c r="Y573" t="s">
        <v>11300</v>
      </c>
      <c r="Z573" t="s">
        <v>74</v>
      </c>
      <c r="AA573" t="s">
        <v>11301</v>
      </c>
      <c r="AB573" t="s">
        <v>11302</v>
      </c>
      <c r="AC573" t="s">
        <v>74</v>
      </c>
      <c r="AD573" t="s">
        <v>74</v>
      </c>
      <c r="AE573" t="s">
        <v>11303</v>
      </c>
      <c r="AF573" t="s">
        <v>74</v>
      </c>
      <c r="AG573">
        <v>75</v>
      </c>
      <c r="AH573">
        <v>1</v>
      </c>
      <c r="AI573">
        <v>2</v>
      </c>
      <c r="AJ573">
        <v>1</v>
      </c>
      <c r="AK573">
        <v>15</v>
      </c>
      <c r="AL573" t="s">
        <v>2481</v>
      </c>
      <c r="AM573" t="s">
        <v>2482</v>
      </c>
      <c r="AN573" t="s">
        <v>2483</v>
      </c>
      <c r="AO573" t="s">
        <v>4853</v>
      </c>
      <c r="AP573" t="s">
        <v>74</v>
      </c>
      <c r="AQ573" t="s">
        <v>74</v>
      </c>
      <c r="AR573" t="s">
        <v>4854</v>
      </c>
      <c r="AS573" t="s">
        <v>4855</v>
      </c>
      <c r="AT573" t="s">
        <v>2970</v>
      </c>
      <c r="AU573">
        <v>2024</v>
      </c>
      <c r="AV573">
        <v>11</v>
      </c>
      <c r="AW573">
        <v>1</v>
      </c>
      <c r="AX573" t="s">
        <v>74</v>
      </c>
      <c r="AY573" t="s">
        <v>74</v>
      </c>
      <c r="AZ573" t="s">
        <v>74</v>
      </c>
      <c r="BA573" t="s">
        <v>74</v>
      </c>
      <c r="BB573" t="s">
        <v>74</v>
      </c>
      <c r="BC573" t="s">
        <v>74</v>
      </c>
      <c r="BD573">
        <v>2365426</v>
      </c>
      <c r="BE573" t="s">
        <v>11304</v>
      </c>
      <c r="BF573" t="str">
        <f>HYPERLINK("http://dx.doi.org/10.1080/23311975.2024.2365426","http://dx.doi.org/10.1080/23311975.2024.2365426")</f>
        <v>http://dx.doi.org/10.1080/23311975.2024.2365426</v>
      </c>
      <c r="BG573" t="s">
        <v>74</v>
      </c>
      <c r="BH573" t="s">
        <v>74</v>
      </c>
      <c r="BI573">
        <v>16</v>
      </c>
      <c r="BJ573" t="s">
        <v>418</v>
      </c>
      <c r="BK573" t="s">
        <v>313</v>
      </c>
      <c r="BL573" t="s">
        <v>100</v>
      </c>
      <c r="BM573" t="s">
        <v>11305</v>
      </c>
      <c r="BN573" t="s">
        <v>74</v>
      </c>
      <c r="BO573" t="s">
        <v>916</v>
      </c>
      <c r="BP573" t="s">
        <v>74</v>
      </c>
      <c r="BQ573" t="s">
        <v>74</v>
      </c>
      <c r="BR573" t="s">
        <v>102</v>
      </c>
      <c r="BS573" t="s">
        <v>11306</v>
      </c>
      <c r="BT573" t="str">
        <f>HYPERLINK("https%3A%2F%2Fwww.webofscience.com%2Fwos%2Fwoscc%2Ffull-record%2FWOS:001262158700001","View Full Record in Web of Science")</f>
        <v>View Full Record in Web of Science</v>
      </c>
    </row>
    <row r="574" spans="1:72" x14ac:dyDescent="0.25">
      <c r="A574" t="s">
        <v>72</v>
      </c>
      <c r="B574" t="s">
        <v>11307</v>
      </c>
      <c r="C574" t="s">
        <v>74</v>
      </c>
      <c r="D574" t="s">
        <v>74</v>
      </c>
      <c r="E574" t="s">
        <v>74</v>
      </c>
      <c r="F574" t="s">
        <v>11308</v>
      </c>
      <c r="G574" t="s">
        <v>74</v>
      </c>
      <c r="H574" t="s">
        <v>74</v>
      </c>
      <c r="I574" t="s">
        <v>11309</v>
      </c>
      <c r="J574" t="s">
        <v>424</v>
      </c>
      <c r="K574" t="s">
        <v>74</v>
      </c>
      <c r="L574" t="s">
        <v>74</v>
      </c>
      <c r="M574" t="s">
        <v>78</v>
      </c>
      <c r="N574" t="s">
        <v>79</v>
      </c>
      <c r="O574" t="s">
        <v>74</v>
      </c>
      <c r="P574" t="s">
        <v>74</v>
      </c>
      <c r="Q574" t="s">
        <v>74</v>
      </c>
      <c r="R574" t="s">
        <v>74</v>
      </c>
      <c r="S574" t="s">
        <v>74</v>
      </c>
      <c r="T574" t="s">
        <v>11310</v>
      </c>
      <c r="U574" t="s">
        <v>11311</v>
      </c>
      <c r="V574" t="s">
        <v>11312</v>
      </c>
      <c r="W574" t="s">
        <v>11313</v>
      </c>
      <c r="X574" t="s">
        <v>11314</v>
      </c>
      <c r="Y574" t="s">
        <v>11315</v>
      </c>
      <c r="Z574" t="s">
        <v>11316</v>
      </c>
      <c r="AA574" t="s">
        <v>11317</v>
      </c>
      <c r="AB574" t="s">
        <v>11318</v>
      </c>
      <c r="AC574" t="s">
        <v>74</v>
      </c>
      <c r="AD574" t="s">
        <v>74</v>
      </c>
      <c r="AE574" t="s">
        <v>74</v>
      </c>
      <c r="AF574" t="s">
        <v>74</v>
      </c>
      <c r="AG574">
        <v>97</v>
      </c>
      <c r="AH574">
        <v>24</v>
      </c>
      <c r="AI574">
        <v>29</v>
      </c>
      <c r="AJ574">
        <v>14</v>
      </c>
      <c r="AK574">
        <v>55</v>
      </c>
      <c r="AL574" t="s">
        <v>89</v>
      </c>
      <c r="AM574" t="s">
        <v>90</v>
      </c>
      <c r="AN574" t="s">
        <v>91</v>
      </c>
      <c r="AO574" t="s">
        <v>436</v>
      </c>
      <c r="AP574" t="s">
        <v>437</v>
      </c>
      <c r="AQ574" t="s">
        <v>74</v>
      </c>
      <c r="AR574" t="s">
        <v>438</v>
      </c>
      <c r="AS574" t="s">
        <v>439</v>
      </c>
      <c r="AT574" t="s">
        <v>3387</v>
      </c>
      <c r="AU574">
        <v>2024</v>
      </c>
      <c r="AV574">
        <v>42</v>
      </c>
      <c r="AW574">
        <v>5</v>
      </c>
      <c r="AX574" t="s">
        <v>74</v>
      </c>
      <c r="AY574" t="s">
        <v>74</v>
      </c>
      <c r="AZ574" t="s">
        <v>74</v>
      </c>
      <c r="BA574" t="s">
        <v>74</v>
      </c>
      <c r="BB574">
        <v>841</v>
      </c>
      <c r="BC574">
        <v>869</v>
      </c>
      <c r="BD574" t="s">
        <v>74</v>
      </c>
      <c r="BE574" t="s">
        <v>11319</v>
      </c>
      <c r="BF574" t="str">
        <f>HYPERLINK("http://dx.doi.org/10.1108/IJBM-01-2023-0033","http://dx.doi.org/10.1108/IJBM-01-2023-0033")</f>
        <v>http://dx.doi.org/10.1108/IJBM-01-2023-0033</v>
      </c>
      <c r="BG574" t="s">
        <v>74</v>
      </c>
      <c r="BH574" t="s">
        <v>239</v>
      </c>
      <c r="BI574">
        <v>29</v>
      </c>
      <c r="BJ574" t="s">
        <v>418</v>
      </c>
      <c r="BK574" t="s">
        <v>99</v>
      </c>
      <c r="BL574" t="s">
        <v>100</v>
      </c>
      <c r="BM574" t="s">
        <v>9353</v>
      </c>
      <c r="BN574" t="s">
        <v>74</v>
      </c>
      <c r="BO574" t="s">
        <v>466</v>
      </c>
      <c r="BP574" t="s">
        <v>74</v>
      </c>
      <c r="BQ574" t="s">
        <v>74</v>
      </c>
      <c r="BR574" t="s">
        <v>102</v>
      </c>
      <c r="BS574" t="s">
        <v>11320</v>
      </c>
      <c r="BT574" t="str">
        <f>HYPERLINK("https%3A%2F%2Fwww.webofscience.com%2Fwos%2Fwoscc%2Ffull-record%2FWOS:001150756300001","View Full Record in Web of Science")</f>
        <v>View Full Record in Web of Science</v>
      </c>
    </row>
    <row r="575" spans="1:72" x14ac:dyDescent="0.25">
      <c r="A575" t="s">
        <v>72</v>
      </c>
      <c r="B575" t="s">
        <v>11071</v>
      </c>
      <c r="C575" t="s">
        <v>74</v>
      </c>
      <c r="D575" t="s">
        <v>74</v>
      </c>
      <c r="E575" t="s">
        <v>74</v>
      </c>
      <c r="F575" t="s">
        <v>11072</v>
      </c>
      <c r="G575" t="s">
        <v>74</v>
      </c>
      <c r="H575" t="s">
        <v>74</v>
      </c>
      <c r="I575" t="s">
        <v>11321</v>
      </c>
      <c r="J575" t="s">
        <v>3561</v>
      </c>
      <c r="K575" t="s">
        <v>74</v>
      </c>
      <c r="L575" t="s">
        <v>74</v>
      </c>
      <c r="M575" t="s">
        <v>78</v>
      </c>
      <c r="N575" t="s">
        <v>1766</v>
      </c>
      <c r="O575" t="s">
        <v>74</v>
      </c>
      <c r="P575" t="s">
        <v>74</v>
      </c>
      <c r="Q575" t="s">
        <v>74</v>
      </c>
      <c r="R575" t="s">
        <v>74</v>
      </c>
      <c r="S575" t="s">
        <v>74</v>
      </c>
      <c r="T575" t="s">
        <v>11322</v>
      </c>
      <c r="U575" t="s">
        <v>74</v>
      </c>
      <c r="V575" t="s">
        <v>11323</v>
      </c>
      <c r="W575" t="s">
        <v>11324</v>
      </c>
      <c r="X575" t="s">
        <v>11079</v>
      </c>
      <c r="Y575" t="s">
        <v>11325</v>
      </c>
      <c r="Z575" t="s">
        <v>11081</v>
      </c>
      <c r="AA575" t="s">
        <v>11082</v>
      </c>
      <c r="AB575" t="s">
        <v>74</v>
      </c>
      <c r="AC575" t="s">
        <v>74</v>
      </c>
      <c r="AD575" t="s">
        <v>74</v>
      </c>
      <c r="AE575" t="s">
        <v>74</v>
      </c>
      <c r="AF575" t="s">
        <v>74</v>
      </c>
      <c r="AG575">
        <v>48</v>
      </c>
      <c r="AH575">
        <v>69</v>
      </c>
      <c r="AI575">
        <v>117</v>
      </c>
      <c r="AJ575">
        <v>15</v>
      </c>
      <c r="AK575">
        <v>214</v>
      </c>
      <c r="AL575" t="s">
        <v>89</v>
      </c>
      <c r="AM575" t="s">
        <v>1497</v>
      </c>
      <c r="AN575" t="s">
        <v>1498</v>
      </c>
      <c r="AO575" t="s">
        <v>3568</v>
      </c>
      <c r="AP575" t="s">
        <v>3569</v>
      </c>
      <c r="AQ575" t="s">
        <v>74</v>
      </c>
      <c r="AR575" t="s">
        <v>3570</v>
      </c>
      <c r="AS575" t="s">
        <v>3571</v>
      </c>
      <c r="AT575" t="s">
        <v>11326</v>
      </c>
      <c r="AU575">
        <v>2023</v>
      </c>
      <c r="AV575">
        <v>26</v>
      </c>
      <c r="AW575">
        <v>2</v>
      </c>
      <c r="AX575" t="s">
        <v>74</v>
      </c>
      <c r="AY575" t="s">
        <v>74</v>
      </c>
      <c r="AZ575" t="s">
        <v>74</v>
      </c>
      <c r="BA575" t="s">
        <v>74</v>
      </c>
      <c r="BB575">
        <v>215</v>
      </c>
      <c r="BC575">
        <v>226</v>
      </c>
      <c r="BD575" t="s">
        <v>74</v>
      </c>
      <c r="BE575" t="s">
        <v>11327</v>
      </c>
      <c r="BF575" t="str">
        <f>HYPERLINK("http://dx.doi.org/10.1108/JMLC-11-2021-0126","http://dx.doi.org/10.1108/JMLC-11-2021-0126")</f>
        <v>http://dx.doi.org/10.1108/JMLC-11-2021-0126</v>
      </c>
      <c r="BG575" t="s">
        <v>74</v>
      </c>
      <c r="BH575" t="s">
        <v>6548</v>
      </c>
      <c r="BI575">
        <v>12</v>
      </c>
      <c r="BJ575" t="s">
        <v>3573</v>
      </c>
      <c r="BK575" t="s">
        <v>313</v>
      </c>
      <c r="BL575" t="s">
        <v>3573</v>
      </c>
      <c r="BM575" t="s">
        <v>11328</v>
      </c>
      <c r="BN575" t="s">
        <v>74</v>
      </c>
      <c r="BO575" t="s">
        <v>74</v>
      </c>
      <c r="BP575" t="s">
        <v>74</v>
      </c>
      <c r="BQ575" t="s">
        <v>74</v>
      </c>
      <c r="BR575" t="s">
        <v>102</v>
      </c>
      <c r="BS575" t="s">
        <v>11329</v>
      </c>
      <c r="BT575" t="str">
        <f>HYPERLINK("https%3A%2F%2Fwww.webofscience.com%2Fwos%2Fwoscc%2Ffull-record%2FWOS:000739862300001","View Full Record in Web of Science")</f>
        <v>View Full Record in Web of Science</v>
      </c>
    </row>
    <row r="576" spans="1:72" x14ac:dyDescent="0.25">
      <c r="A576" t="s">
        <v>72</v>
      </c>
      <c r="B576" t="s">
        <v>11330</v>
      </c>
      <c r="C576" t="s">
        <v>74</v>
      </c>
      <c r="D576" t="s">
        <v>74</v>
      </c>
      <c r="E576" t="s">
        <v>74</v>
      </c>
      <c r="F576" t="s">
        <v>11331</v>
      </c>
      <c r="G576" t="s">
        <v>74</v>
      </c>
      <c r="H576" t="s">
        <v>74</v>
      </c>
      <c r="I576" t="s">
        <v>11332</v>
      </c>
      <c r="J576" t="s">
        <v>11333</v>
      </c>
      <c r="K576" t="s">
        <v>74</v>
      </c>
      <c r="L576" t="s">
        <v>74</v>
      </c>
      <c r="M576" t="s">
        <v>78</v>
      </c>
      <c r="N576" t="s">
        <v>79</v>
      </c>
      <c r="O576" t="s">
        <v>74</v>
      </c>
      <c r="P576" t="s">
        <v>74</v>
      </c>
      <c r="Q576" t="s">
        <v>74</v>
      </c>
      <c r="R576" t="s">
        <v>74</v>
      </c>
      <c r="S576" t="s">
        <v>74</v>
      </c>
      <c r="T576" t="s">
        <v>11334</v>
      </c>
      <c r="U576" t="s">
        <v>11335</v>
      </c>
      <c r="V576" t="s">
        <v>11336</v>
      </c>
      <c r="W576" t="s">
        <v>11337</v>
      </c>
      <c r="X576" t="s">
        <v>11338</v>
      </c>
      <c r="Y576" t="s">
        <v>11339</v>
      </c>
      <c r="Z576" t="s">
        <v>11340</v>
      </c>
      <c r="AA576" t="s">
        <v>11341</v>
      </c>
      <c r="AB576" t="s">
        <v>11342</v>
      </c>
      <c r="AC576" t="s">
        <v>74</v>
      </c>
      <c r="AD576" t="s">
        <v>74</v>
      </c>
      <c r="AE576" t="s">
        <v>74</v>
      </c>
      <c r="AF576" t="s">
        <v>74</v>
      </c>
      <c r="AG576">
        <v>113</v>
      </c>
      <c r="AH576">
        <v>92</v>
      </c>
      <c r="AI576">
        <v>106</v>
      </c>
      <c r="AJ576">
        <v>0</v>
      </c>
      <c r="AK576">
        <v>30</v>
      </c>
      <c r="AL576" t="s">
        <v>89</v>
      </c>
      <c r="AM576" t="s">
        <v>1497</v>
      </c>
      <c r="AN576" t="s">
        <v>1498</v>
      </c>
      <c r="AO576" t="s">
        <v>11343</v>
      </c>
      <c r="AP576" t="s">
        <v>11344</v>
      </c>
      <c r="AQ576" t="s">
        <v>74</v>
      </c>
      <c r="AR576" t="s">
        <v>11345</v>
      </c>
      <c r="AS576" t="s">
        <v>11346</v>
      </c>
      <c r="AT576" t="s">
        <v>11347</v>
      </c>
      <c r="AU576">
        <v>2019</v>
      </c>
      <c r="AV576">
        <v>13</v>
      </c>
      <c r="AW576">
        <v>2</v>
      </c>
      <c r="AX576" t="s">
        <v>74</v>
      </c>
      <c r="AY576" t="s">
        <v>74</v>
      </c>
      <c r="AZ576" t="s">
        <v>74</v>
      </c>
      <c r="BA576" t="s">
        <v>74</v>
      </c>
      <c r="BB576">
        <v>173</v>
      </c>
      <c r="BC576">
        <v>195</v>
      </c>
      <c r="BD576" t="s">
        <v>74</v>
      </c>
      <c r="BE576" t="s">
        <v>11348</v>
      </c>
      <c r="BF576" t="str">
        <f>HYPERLINK("http://dx.doi.org/10.1108/JABS-07-2017-0111","http://dx.doi.org/10.1108/JABS-07-2017-0111")</f>
        <v>http://dx.doi.org/10.1108/JABS-07-2017-0111</v>
      </c>
      <c r="BG576" t="s">
        <v>74</v>
      </c>
      <c r="BH576" t="s">
        <v>74</v>
      </c>
      <c r="BI576">
        <v>23</v>
      </c>
      <c r="BJ576" t="s">
        <v>418</v>
      </c>
      <c r="BK576" t="s">
        <v>313</v>
      </c>
      <c r="BL576" t="s">
        <v>100</v>
      </c>
      <c r="BM576" t="s">
        <v>11349</v>
      </c>
      <c r="BN576" t="s">
        <v>74</v>
      </c>
      <c r="BO576" t="s">
        <v>74</v>
      </c>
      <c r="BP576" t="s">
        <v>74</v>
      </c>
      <c r="BQ576" t="s">
        <v>74</v>
      </c>
      <c r="BR576" t="s">
        <v>102</v>
      </c>
      <c r="BS576" t="s">
        <v>11350</v>
      </c>
      <c r="BT576" t="str">
        <f>HYPERLINK("https%3A%2F%2Fwww.webofscience.com%2Fwos%2Fwoscc%2Ffull-record%2FWOS:000479245500001","View Full Record in Web of Science")</f>
        <v>View Full Record in Web of Science</v>
      </c>
    </row>
    <row r="577" spans="1:72" x14ac:dyDescent="0.25">
      <c r="A577" t="s">
        <v>72</v>
      </c>
      <c r="B577" t="s">
        <v>11351</v>
      </c>
      <c r="C577" t="s">
        <v>74</v>
      </c>
      <c r="D577" t="s">
        <v>74</v>
      </c>
      <c r="E577" t="s">
        <v>74</v>
      </c>
      <c r="F577" t="s">
        <v>11352</v>
      </c>
      <c r="G577" t="s">
        <v>74</v>
      </c>
      <c r="H577" t="s">
        <v>74</v>
      </c>
      <c r="I577" t="s">
        <v>11353</v>
      </c>
      <c r="J577" t="s">
        <v>5234</v>
      </c>
      <c r="K577" t="s">
        <v>74</v>
      </c>
      <c r="L577" t="s">
        <v>74</v>
      </c>
      <c r="M577" t="s">
        <v>78</v>
      </c>
      <c r="N577" t="s">
        <v>79</v>
      </c>
      <c r="O577" t="s">
        <v>74</v>
      </c>
      <c r="P577" t="s">
        <v>74</v>
      </c>
      <c r="Q577" t="s">
        <v>74</v>
      </c>
      <c r="R577" t="s">
        <v>74</v>
      </c>
      <c r="S577" t="s">
        <v>74</v>
      </c>
      <c r="T577" t="s">
        <v>11354</v>
      </c>
      <c r="U577" t="s">
        <v>11355</v>
      </c>
      <c r="V577" t="s">
        <v>11356</v>
      </c>
      <c r="W577" t="s">
        <v>11357</v>
      </c>
      <c r="X577" t="s">
        <v>11358</v>
      </c>
      <c r="Y577" t="s">
        <v>11359</v>
      </c>
      <c r="Z577" t="s">
        <v>11269</v>
      </c>
      <c r="AA577" t="s">
        <v>11360</v>
      </c>
      <c r="AB577" t="s">
        <v>4314</v>
      </c>
      <c r="AC577" t="s">
        <v>74</v>
      </c>
      <c r="AD577" t="s">
        <v>74</v>
      </c>
      <c r="AE577" t="s">
        <v>74</v>
      </c>
      <c r="AF577" t="s">
        <v>74</v>
      </c>
      <c r="AG577">
        <v>98</v>
      </c>
      <c r="AH577">
        <v>21</v>
      </c>
      <c r="AI577">
        <v>28</v>
      </c>
      <c r="AJ577">
        <v>0</v>
      </c>
      <c r="AK577">
        <v>9</v>
      </c>
      <c r="AL577" t="s">
        <v>332</v>
      </c>
      <c r="AM577" t="s">
        <v>333</v>
      </c>
      <c r="AN577" t="s">
        <v>334</v>
      </c>
      <c r="AO577" t="s">
        <v>5244</v>
      </c>
      <c r="AP577" t="s">
        <v>5245</v>
      </c>
      <c r="AQ577" t="s">
        <v>74</v>
      </c>
      <c r="AR577" t="s">
        <v>5246</v>
      </c>
      <c r="AS577" t="s">
        <v>5247</v>
      </c>
      <c r="AT577" t="s">
        <v>11361</v>
      </c>
      <c r="AU577">
        <v>2020</v>
      </c>
      <c r="AV577">
        <v>43</v>
      </c>
      <c r="AW577">
        <v>12</v>
      </c>
      <c r="AX577" t="s">
        <v>74</v>
      </c>
      <c r="AY577" t="s">
        <v>74</v>
      </c>
      <c r="AZ577" t="s">
        <v>74</v>
      </c>
      <c r="BA577" t="s">
        <v>74</v>
      </c>
      <c r="BB577">
        <v>1029</v>
      </c>
      <c r="BC577">
        <v>1041</v>
      </c>
      <c r="BD577" t="s">
        <v>74</v>
      </c>
      <c r="BE577" t="s">
        <v>11362</v>
      </c>
      <c r="BF577" t="str">
        <f>HYPERLINK("http://dx.doi.org/10.1080/01900692.2019.1664570","http://dx.doi.org/10.1080/01900692.2019.1664570")</f>
        <v>http://dx.doi.org/10.1080/01900692.2019.1664570</v>
      </c>
      <c r="BG577" t="s">
        <v>74</v>
      </c>
      <c r="BH577" t="s">
        <v>74</v>
      </c>
      <c r="BI577">
        <v>13</v>
      </c>
      <c r="BJ577" t="s">
        <v>3868</v>
      </c>
      <c r="BK577" t="s">
        <v>313</v>
      </c>
      <c r="BL577" t="s">
        <v>3868</v>
      </c>
      <c r="BM577" t="s">
        <v>11363</v>
      </c>
      <c r="BN577" t="s">
        <v>74</v>
      </c>
      <c r="BO577" t="s">
        <v>74</v>
      </c>
      <c r="BP577" t="s">
        <v>74</v>
      </c>
      <c r="BQ577" t="s">
        <v>74</v>
      </c>
      <c r="BR577" t="s">
        <v>102</v>
      </c>
      <c r="BS577" t="s">
        <v>11364</v>
      </c>
      <c r="BT577" t="str">
        <f>HYPERLINK("https%3A%2F%2Fwww.webofscience.com%2Fwos%2Fwoscc%2Ffull-record%2FWOS:000559296100002","View Full Record in Web of Science")</f>
        <v>View Full Record in Web of Science</v>
      </c>
    </row>
    <row r="578" spans="1:72" x14ac:dyDescent="0.25">
      <c r="A578" t="s">
        <v>72</v>
      </c>
      <c r="B578" t="s">
        <v>11365</v>
      </c>
      <c r="C578" t="s">
        <v>74</v>
      </c>
      <c r="D578" t="s">
        <v>74</v>
      </c>
      <c r="E578" t="s">
        <v>74</v>
      </c>
      <c r="F578" t="s">
        <v>11366</v>
      </c>
      <c r="G578" t="s">
        <v>74</v>
      </c>
      <c r="H578" t="s">
        <v>74</v>
      </c>
      <c r="I578" t="s">
        <v>11367</v>
      </c>
      <c r="J578" t="s">
        <v>4472</v>
      </c>
      <c r="K578" t="s">
        <v>74</v>
      </c>
      <c r="L578" t="s">
        <v>74</v>
      </c>
      <c r="M578" t="s">
        <v>78</v>
      </c>
      <c r="N578" t="s">
        <v>79</v>
      </c>
      <c r="O578" t="s">
        <v>74</v>
      </c>
      <c r="P578" t="s">
        <v>74</v>
      </c>
      <c r="Q578" t="s">
        <v>74</v>
      </c>
      <c r="R578" t="s">
        <v>74</v>
      </c>
      <c r="S578" t="s">
        <v>74</v>
      </c>
      <c r="T578" t="s">
        <v>3037</v>
      </c>
      <c r="U578" t="s">
        <v>11368</v>
      </c>
      <c r="V578" t="s">
        <v>11369</v>
      </c>
      <c r="W578" t="s">
        <v>11370</v>
      </c>
      <c r="X578" t="s">
        <v>11371</v>
      </c>
      <c r="Y578" t="s">
        <v>4311</v>
      </c>
      <c r="Z578" t="s">
        <v>11372</v>
      </c>
      <c r="AA578" t="s">
        <v>11373</v>
      </c>
      <c r="AB578" t="s">
        <v>11374</v>
      </c>
      <c r="AC578" t="s">
        <v>74</v>
      </c>
      <c r="AD578" t="s">
        <v>74</v>
      </c>
      <c r="AE578" t="s">
        <v>74</v>
      </c>
      <c r="AF578" t="s">
        <v>74</v>
      </c>
      <c r="AG578">
        <v>51</v>
      </c>
      <c r="AH578">
        <v>44</v>
      </c>
      <c r="AI578">
        <v>60</v>
      </c>
      <c r="AJ578">
        <v>3</v>
      </c>
      <c r="AK578">
        <v>30</v>
      </c>
      <c r="AL578" t="s">
        <v>4485</v>
      </c>
      <c r="AM578" t="s">
        <v>6724</v>
      </c>
      <c r="AN578" t="s">
        <v>6725</v>
      </c>
      <c r="AO578" t="s">
        <v>4487</v>
      </c>
      <c r="AP578" t="s">
        <v>4488</v>
      </c>
      <c r="AQ578" t="s">
        <v>74</v>
      </c>
      <c r="AR578" t="s">
        <v>4489</v>
      </c>
      <c r="AS578" t="s">
        <v>4490</v>
      </c>
      <c r="AT578" t="s">
        <v>1540</v>
      </c>
      <c r="AU578">
        <v>2021</v>
      </c>
      <c r="AV578">
        <v>65</v>
      </c>
      <c r="AW578" t="s">
        <v>74</v>
      </c>
      <c r="AX578" t="s">
        <v>74</v>
      </c>
      <c r="AY578" t="s">
        <v>74</v>
      </c>
      <c r="AZ578" t="s">
        <v>74</v>
      </c>
      <c r="BA578" t="s">
        <v>74</v>
      </c>
      <c r="BB578" t="s">
        <v>74</v>
      </c>
      <c r="BC578" t="s">
        <v>74</v>
      </c>
      <c r="BD578">
        <v>101542</v>
      </c>
      <c r="BE578" t="s">
        <v>11375</v>
      </c>
      <c r="BF578" t="str">
        <f>HYPERLINK("http://dx.doi.org/10.1016/j.techsoc.2021.101542","http://dx.doi.org/10.1016/j.techsoc.2021.101542")</f>
        <v>http://dx.doi.org/10.1016/j.techsoc.2021.101542</v>
      </c>
      <c r="BG578" t="s">
        <v>74</v>
      </c>
      <c r="BH578" t="s">
        <v>11376</v>
      </c>
      <c r="BI578">
        <v>9</v>
      </c>
      <c r="BJ578" t="s">
        <v>4492</v>
      </c>
      <c r="BK578" t="s">
        <v>99</v>
      </c>
      <c r="BL578" t="s">
        <v>4494</v>
      </c>
      <c r="BM578" t="s">
        <v>11377</v>
      </c>
      <c r="BN578" t="s">
        <v>74</v>
      </c>
      <c r="BO578" t="s">
        <v>2734</v>
      </c>
      <c r="BP578" t="s">
        <v>74</v>
      </c>
      <c r="BQ578" t="s">
        <v>74</v>
      </c>
      <c r="BR578" t="s">
        <v>102</v>
      </c>
      <c r="BS578" t="s">
        <v>11378</v>
      </c>
      <c r="BT578" t="str">
        <f>HYPERLINK("https%3A%2F%2Fwww.webofscience.com%2Fwos%2Fwoscc%2Ffull-record%2FWOS:000661118100018","View Full Record in Web of Science")</f>
        <v>View Full Record in Web of Science</v>
      </c>
    </row>
    <row r="579" spans="1:72" x14ac:dyDescent="0.25">
      <c r="A579" t="s">
        <v>132</v>
      </c>
      <c r="B579" t="s">
        <v>11379</v>
      </c>
      <c r="C579" t="s">
        <v>74</v>
      </c>
      <c r="D579" t="s">
        <v>74</v>
      </c>
      <c r="E579" t="s">
        <v>11380</v>
      </c>
      <c r="F579" t="s">
        <v>11381</v>
      </c>
      <c r="G579" t="s">
        <v>74</v>
      </c>
      <c r="H579" t="s">
        <v>74</v>
      </c>
      <c r="I579" t="s">
        <v>11382</v>
      </c>
      <c r="J579" t="s">
        <v>11383</v>
      </c>
      <c r="K579" t="s">
        <v>11384</v>
      </c>
      <c r="L579" t="s">
        <v>74</v>
      </c>
      <c r="M579" t="s">
        <v>78</v>
      </c>
      <c r="N579" t="s">
        <v>138</v>
      </c>
      <c r="O579" t="s">
        <v>11385</v>
      </c>
      <c r="P579" t="s">
        <v>11386</v>
      </c>
      <c r="Q579" t="s">
        <v>1550</v>
      </c>
      <c r="R579" t="s">
        <v>11380</v>
      </c>
      <c r="S579" t="s">
        <v>74</v>
      </c>
      <c r="T579" t="s">
        <v>74</v>
      </c>
      <c r="U579" t="s">
        <v>11387</v>
      </c>
      <c r="V579" t="s">
        <v>11388</v>
      </c>
      <c r="W579" t="s">
        <v>11389</v>
      </c>
      <c r="X579" t="s">
        <v>11390</v>
      </c>
      <c r="Y579" t="s">
        <v>11391</v>
      </c>
      <c r="Z579" t="s">
        <v>11392</v>
      </c>
      <c r="AA579" t="s">
        <v>11393</v>
      </c>
      <c r="AB579" t="s">
        <v>74</v>
      </c>
      <c r="AC579" t="s">
        <v>74</v>
      </c>
      <c r="AD579" t="s">
        <v>74</v>
      </c>
      <c r="AE579" t="s">
        <v>74</v>
      </c>
      <c r="AF579" t="s">
        <v>74</v>
      </c>
      <c r="AG579">
        <v>26</v>
      </c>
      <c r="AH579">
        <v>9</v>
      </c>
      <c r="AI579">
        <v>9</v>
      </c>
      <c r="AJ579">
        <v>0</v>
      </c>
      <c r="AK579">
        <v>3</v>
      </c>
      <c r="AL579" t="s">
        <v>11394</v>
      </c>
      <c r="AM579" t="s">
        <v>6031</v>
      </c>
      <c r="AN579" t="s">
        <v>11395</v>
      </c>
      <c r="AO579" t="s">
        <v>11396</v>
      </c>
      <c r="AP579" t="s">
        <v>11397</v>
      </c>
      <c r="AQ579" t="s">
        <v>11398</v>
      </c>
      <c r="AR579" t="s">
        <v>11399</v>
      </c>
      <c r="AS579" t="s">
        <v>74</v>
      </c>
      <c r="AT579" t="s">
        <v>74</v>
      </c>
      <c r="AU579">
        <v>2021</v>
      </c>
      <c r="AV579">
        <v>35</v>
      </c>
      <c r="AW579" t="s">
        <v>74</v>
      </c>
      <c r="AX579" t="s">
        <v>74</v>
      </c>
      <c r="AY579" t="s">
        <v>74</v>
      </c>
      <c r="AZ579" t="s">
        <v>74</v>
      </c>
      <c r="BA579" t="s">
        <v>74</v>
      </c>
      <c r="BB579">
        <v>15000</v>
      </c>
      <c r="BC579">
        <v>15007</v>
      </c>
      <c r="BD579" t="s">
        <v>74</v>
      </c>
      <c r="BE579" t="s">
        <v>74</v>
      </c>
      <c r="BF579" t="s">
        <v>74</v>
      </c>
      <c r="BG579" t="s">
        <v>74</v>
      </c>
      <c r="BH579" t="s">
        <v>74</v>
      </c>
      <c r="BI579">
        <v>8</v>
      </c>
      <c r="BJ579" t="s">
        <v>11400</v>
      </c>
      <c r="BK579" t="s">
        <v>156</v>
      </c>
      <c r="BL579" t="s">
        <v>11401</v>
      </c>
      <c r="BM579" t="s">
        <v>11402</v>
      </c>
      <c r="BN579" t="s">
        <v>74</v>
      </c>
      <c r="BO579" t="s">
        <v>74</v>
      </c>
      <c r="BP579" t="s">
        <v>74</v>
      </c>
      <c r="BQ579" t="s">
        <v>74</v>
      </c>
      <c r="BR579" t="s">
        <v>102</v>
      </c>
      <c r="BS579" t="s">
        <v>11403</v>
      </c>
      <c r="BT579" t="str">
        <f>HYPERLINK("https%3A%2F%2Fwww.webofscience.com%2Fwos%2Fwoscc%2Ffull-record%2FWOS:000681269806077","View Full Record in Web of Science")</f>
        <v>View Full Record in Web of Science</v>
      </c>
    </row>
    <row r="580" spans="1:72" x14ac:dyDescent="0.25">
      <c r="A580" t="s">
        <v>72</v>
      </c>
      <c r="B580" t="s">
        <v>11404</v>
      </c>
      <c r="C580" t="s">
        <v>74</v>
      </c>
      <c r="D580" t="s">
        <v>74</v>
      </c>
      <c r="E580" t="s">
        <v>74</v>
      </c>
      <c r="F580" t="s">
        <v>11405</v>
      </c>
      <c r="G580" t="s">
        <v>74</v>
      </c>
      <c r="H580" t="s">
        <v>74</v>
      </c>
      <c r="I580" t="s">
        <v>11406</v>
      </c>
      <c r="J580" t="s">
        <v>1122</v>
      </c>
      <c r="K580" t="s">
        <v>74</v>
      </c>
      <c r="L580" t="s">
        <v>74</v>
      </c>
      <c r="M580" t="s">
        <v>78</v>
      </c>
      <c r="N580" t="s">
        <v>79</v>
      </c>
      <c r="O580" t="s">
        <v>74</v>
      </c>
      <c r="P580" t="s">
        <v>74</v>
      </c>
      <c r="Q580" t="s">
        <v>74</v>
      </c>
      <c r="R580" t="s">
        <v>74</v>
      </c>
      <c r="S580" t="s">
        <v>74</v>
      </c>
      <c r="T580" t="s">
        <v>11407</v>
      </c>
      <c r="U580" t="s">
        <v>74</v>
      </c>
      <c r="V580" t="s">
        <v>11408</v>
      </c>
      <c r="W580" t="s">
        <v>11409</v>
      </c>
      <c r="X580" t="s">
        <v>11410</v>
      </c>
      <c r="Y580" t="s">
        <v>11411</v>
      </c>
      <c r="Z580" t="s">
        <v>11412</v>
      </c>
      <c r="AA580" t="s">
        <v>11413</v>
      </c>
      <c r="AB580" t="s">
        <v>11414</v>
      </c>
      <c r="AC580" t="s">
        <v>74</v>
      </c>
      <c r="AD580" t="s">
        <v>74</v>
      </c>
      <c r="AE580" t="s">
        <v>74</v>
      </c>
      <c r="AF580" t="s">
        <v>74</v>
      </c>
      <c r="AG580">
        <v>65</v>
      </c>
      <c r="AH580">
        <v>10</v>
      </c>
      <c r="AI580">
        <v>14</v>
      </c>
      <c r="AJ580">
        <v>3</v>
      </c>
      <c r="AK580">
        <v>20</v>
      </c>
      <c r="AL580" t="s">
        <v>479</v>
      </c>
      <c r="AM580" t="s">
        <v>480</v>
      </c>
      <c r="AN580" t="s">
        <v>481</v>
      </c>
      <c r="AO580" t="s">
        <v>1131</v>
      </c>
      <c r="AP580" t="s">
        <v>1132</v>
      </c>
      <c r="AQ580" t="s">
        <v>74</v>
      </c>
      <c r="AR580" t="s">
        <v>1133</v>
      </c>
      <c r="AS580" t="s">
        <v>1134</v>
      </c>
      <c r="AT580" t="s">
        <v>605</v>
      </c>
      <c r="AU580">
        <v>2024</v>
      </c>
      <c r="AV580">
        <v>36</v>
      </c>
      <c r="AW580">
        <v>1</v>
      </c>
      <c r="AX580" t="s">
        <v>74</v>
      </c>
      <c r="AY580" t="s">
        <v>74</v>
      </c>
      <c r="AZ580" t="s">
        <v>74</v>
      </c>
      <c r="BA580" t="s">
        <v>74</v>
      </c>
      <c r="BB580">
        <v>84</v>
      </c>
      <c r="BC580">
        <v>96</v>
      </c>
      <c r="BD580" t="s">
        <v>74</v>
      </c>
      <c r="BE580" t="s">
        <v>11415</v>
      </c>
      <c r="BF580" t="str">
        <f>HYPERLINK("http://dx.doi.org/10.1111/1467-8268.12733","http://dx.doi.org/10.1111/1467-8268.12733")</f>
        <v>http://dx.doi.org/10.1111/1467-8268.12733</v>
      </c>
      <c r="BG580" t="s">
        <v>74</v>
      </c>
      <c r="BH580" t="s">
        <v>239</v>
      </c>
      <c r="BI580">
        <v>13</v>
      </c>
      <c r="BJ580" t="s">
        <v>1137</v>
      </c>
      <c r="BK580" t="s">
        <v>99</v>
      </c>
      <c r="BL580" t="s">
        <v>1137</v>
      </c>
      <c r="BM580" t="s">
        <v>11416</v>
      </c>
      <c r="BN580" t="s">
        <v>74</v>
      </c>
      <c r="BO580" t="s">
        <v>74</v>
      </c>
      <c r="BP580" t="s">
        <v>74</v>
      </c>
      <c r="BQ580" t="s">
        <v>74</v>
      </c>
      <c r="BR580" t="s">
        <v>102</v>
      </c>
      <c r="BS580" t="s">
        <v>11417</v>
      </c>
      <c r="BT580" t="str">
        <f>HYPERLINK("https%3A%2F%2Fwww.webofscience.com%2Fwos%2Fwoscc%2Ffull-record%2FWOS:001148334100001","View Full Record in Web of Science")</f>
        <v>View Full Record in Web of Science</v>
      </c>
    </row>
    <row r="581" spans="1:72" x14ac:dyDescent="0.25">
      <c r="A581" t="s">
        <v>72</v>
      </c>
      <c r="B581" t="s">
        <v>11418</v>
      </c>
      <c r="C581" t="s">
        <v>74</v>
      </c>
      <c r="D581" t="s">
        <v>74</v>
      </c>
      <c r="E581" t="s">
        <v>74</v>
      </c>
      <c r="F581" t="s">
        <v>11419</v>
      </c>
      <c r="G581" t="s">
        <v>74</v>
      </c>
      <c r="H581" t="s">
        <v>74</v>
      </c>
      <c r="I581" t="s">
        <v>11420</v>
      </c>
      <c r="J581" t="s">
        <v>11421</v>
      </c>
      <c r="K581" t="s">
        <v>74</v>
      </c>
      <c r="L581" t="s">
        <v>74</v>
      </c>
      <c r="M581" t="s">
        <v>298</v>
      </c>
      <c r="N581" t="s">
        <v>79</v>
      </c>
      <c r="O581" t="s">
        <v>74</v>
      </c>
      <c r="P581" t="s">
        <v>74</v>
      </c>
      <c r="Q581" t="s">
        <v>74</v>
      </c>
      <c r="R581" t="s">
        <v>74</v>
      </c>
      <c r="S581" t="s">
        <v>74</v>
      </c>
      <c r="T581" t="s">
        <v>11422</v>
      </c>
      <c r="U581" t="s">
        <v>74</v>
      </c>
      <c r="V581" t="s">
        <v>11423</v>
      </c>
      <c r="W581" t="s">
        <v>11424</v>
      </c>
      <c r="X581" t="s">
        <v>11425</v>
      </c>
      <c r="Y581" t="s">
        <v>11426</v>
      </c>
      <c r="Z581" t="s">
        <v>74</v>
      </c>
      <c r="AA581" t="s">
        <v>74</v>
      </c>
      <c r="AB581" t="s">
        <v>74</v>
      </c>
      <c r="AC581" t="s">
        <v>74</v>
      </c>
      <c r="AD581" t="s">
        <v>74</v>
      </c>
      <c r="AE581" t="s">
        <v>74</v>
      </c>
      <c r="AF581" t="s">
        <v>74</v>
      </c>
      <c r="AG581">
        <v>23</v>
      </c>
      <c r="AH581">
        <v>0</v>
      </c>
      <c r="AI581">
        <v>0</v>
      </c>
      <c r="AJ581">
        <v>1</v>
      </c>
      <c r="AK581">
        <v>4</v>
      </c>
      <c r="AL581" t="s">
        <v>11427</v>
      </c>
      <c r="AM581" t="s">
        <v>11428</v>
      </c>
      <c r="AN581" t="s">
        <v>11429</v>
      </c>
      <c r="AO581" t="s">
        <v>11430</v>
      </c>
      <c r="AP581" t="s">
        <v>11431</v>
      </c>
      <c r="AQ581" t="s">
        <v>74</v>
      </c>
      <c r="AR581" t="s">
        <v>11432</v>
      </c>
      <c r="AS581" t="s">
        <v>11433</v>
      </c>
      <c r="AT581" t="s">
        <v>698</v>
      </c>
      <c r="AU581">
        <v>2024</v>
      </c>
      <c r="AV581" t="s">
        <v>74</v>
      </c>
      <c r="AW581">
        <v>59</v>
      </c>
      <c r="AX581" t="s">
        <v>74</v>
      </c>
      <c r="AY581" t="s">
        <v>74</v>
      </c>
      <c r="AZ581" t="s">
        <v>74</v>
      </c>
      <c r="BA581" t="s">
        <v>74</v>
      </c>
      <c r="BB581">
        <v>11</v>
      </c>
      <c r="BC581">
        <v>18</v>
      </c>
      <c r="BD581" t="s">
        <v>74</v>
      </c>
      <c r="BE581" t="s">
        <v>11434</v>
      </c>
      <c r="BF581" t="str">
        <f>HYPERLINK("http://dx.doi.org/10.36097/rsan.v1i59.2911","http://dx.doi.org/10.36097/rsan.v1i59.2911")</f>
        <v>http://dx.doi.org/10.36097/rsan.v1i59.2911</v>
      </c>
      <c r="BG581" t="s">
        <v>74</v>
      </c>
      <c r="BH581" t="s">
        <v>74</v>
      </c>
      <c r="BI581">
        <v>8</v>
      </c>
      <c r="BJ581" t="s">
        <v>364</v>
      </c>
      <c r="BK581" t="s">
        <v>313</v>
      </c>
      <c r="BL581" t="s">
        <v>365</v>
      </c>
      <c r="BM581" t="s">
        <v>11435</v>
      </c>
      <c r="BN581" t="s">
        <v>74</v>
      </c>
      <c r="BO581" t="s">
        <v>212</v>
      </c>
      <c r="BP581" t="s">
        <v>74</v>
      </c>
      <c r="BQ581" t="s">
        <v>74</v>
      </c>
      <c r="BR581" t="s">
        <v>102</v>
      </c>
      <c r="BS581" t="s">
        <v>11436</v>
      </c>
      <c r="BT581" t="str">
        <f>HYPERLINK("https%3A%2F%2Fwww.webofscience.com%2Fwos%2Fwoscc%2Ffull-record%2FWOS:001369011100003","View Full Record in Web of Science")</f>
        <v>View Full Record in Web of Science</v>
      </c>
    </row>
    <row r="582" spans="1:72" x14ac:dyDescent="0.25">
      <c r="A582" t="s">
        <v>72</v>
      </c>
      <c r="B582" t="s">
        <v>11437</v>
      </c>
      <c r="C582" t="s">
        <v>74</v>
      </c>
      <c r="D582" t="s">
        <v>74</v>
      </c>
      <c r="E582" t="s">
        <v>74</v>
      </c>
      <c r="F582" t="s">
        <v>11438</v>
      </c>
      <c r="G582" t="s">
        <v>74</v>
      </c>
      <c r="H582" t="s">
        <v>74</v>
      </c>
      <c r="I582" t="s">
        <v>11439</v>
      </c>
      <c r="J582" t="s">
        <v>1435</v>
      </c>
      <c r="K582" t="s">
        <v>74</v>
      </c>
      <c r="L582" t="s">
        <v>74</v>
      </c>
      <c r="M582" t="s">
        <v>78</v>
      </c>
      <c r="N582" t="s">
        <v>79</v>
      </c>
      <c r="O582" t="s">
        <v>74</v>
      </c>
      <c r="P582" t="s">
        <v>74</v>
      </c>
      <c r="Q582" t="s">
        <v>74</v>
      </c>
      <c r="R582" t="s">
        <v>74</v>
      </c>
      <c r="S582" t="s">
        <v>74</v>
      </c>
      <c r="T582" t="s">
        <v>11440</v>
      </c>
      <c r="U582" t="s">
        <v>11441</v>
      </c>
      <c r="V582" t="s">
        <v>11442</v>
      </c>
      <c r="W582" t="s">
        <v>11443</v>
      </c>
      <c r="X582" t="s">
        <v>11444</v>
      </c>
      <c r="Y582" t="s">
        <v>11445</v>
      </c>
      <c r="Z582" t="s">
        <v>11446</v>
      </c>
      <c r="AA582" t="s">
        <v>11447</v>
      </c>
      <c r="AB582" t="s">
        <v>74</v>
      </c>
      <c r="AC582" t="s">
        <v>74</v>
      </c>
      <c r="AD582" t="s">
        <v>74</v>
      </c>
      <c r="AE582" t="s">
        <v>74</v>
      </c>
      <c r="AF582" t="s">
        <v>74</v>
      </c>
      <c r="AG582">
        <v>64</v>
      </c>
      <c r="AH582">
        <v>3</v>
      </c>
      <c r="AI582">
        <v>3</v>
      </c>
      <c r="AJ582">
        <v>1</v>
      </c>
      <c r="AK582">
        <v>16</v>
      </c>
      <c r="AL582" t="s">
        <v>1445</v>
      </c>
      <c r="AM582" t="s">
        <v>1446</v>
      </c>
      <c r="AN582" t="s">
        <v>10534</v>
      </c>
      <c r="AO582" t="s">
        <v>1448</v>
      </c>
      <c r="AP582" t="s">
        <v>1449</v>
      </c>
      <c r="AQ582" t="s">
        <v>74</v>
      </c>
      <c r="AR582" t="s">
        <v>1450</v>
      </c>
      <c r="AS582" t="s">
        <v>1451</v>
      </c>
      <c r="AT582" t="s">
        <v>74</v>
      </c>
      <c r="AU582">
        <v>2023</v>
      </c>
      <c r="AV582">
        <v>16</v>
      </c>
      <c r="AW582">
        <v>2</v>
      </c>
      <c r="AX582" t="s">
        <v>74</v>
      </c>
      <c r="AY582" t="s">
        <v>74</v>
      </c>
      <c r="AZ582" t="s">
        <v>74</v>
      </c>
      <c r="BA582" t="s">
        <v>74</v>
      </c>
      <c r="BB582">
        <v>265</v>
      </c>
      <c r="BC582">
        <v>281</v>
      </c>
      <c r="BD582" t="s">
        <v>74</v>
      </c>
      <c r="BE582" t="s">
        <v>11448</v>
      </c>
      <c r="BF582" t="str">
        <f>HYPERLINK("http://dx.doi.org/10.14254/2071-789X.2023/16-2/16","http://dx.doi.org/10.14254/2071-789X.2023/16-2/16")</f>
        <v>http://dx.doi.org/10.14254/2071-789X.2023/16-2/16</v>
      </c>
      <c r="BG582" t="s">
        <v>74</v>
      </c>
      <c r="BH582" t="s">
        <v>74</v>
      </c>
      <c r="BI582">
        <v>17</v>
      </c>
      <c r="BJ582" t="s">
        <v>1453</v>
      </c>
      <c r="BK582" t="s">
        <v>313</v>
      </c>
      <c r="BL582" t="s">
        <v>100</v>
      </c>
      <c r="BM582" t="s">
        <v>11449</v>
      </c>
      <c r="BN582" t="s">
        <v>74</v>
      </c>
      <c r="BO582" t="s">
        <v>212</v>
      </c>
      <c r="BP582" t="s">
        <v>74</v>
      </c>
      <c r="BQ582" t="s">
        <v>74</v>
      </c>
      <c r="BR582" t="s">
        <v>102</v>
      </c>
      <c r="BS582" t="s">
        <v>11450</v>
      </c>
      <c r="BT582" t="str">
        <f>HYPERLINK("https%3A%2F%2Fwww.webofscience.com%2Fwos%2Fwoscc%2Ffull-record%2FWOS:001024105500015","View Full Record in Web of Science")</f>
        <v>View Full Record in Web of Science</v>
      </c>
    </row>
    <row r="583" spans="1:72" x14ac:dyDescent="0.25">
      <c r="A583" t="s">
        <v>72</v>
      </c>
      <c r="B583" t="s">
        <v>11451</v>
      </c>
      <c r="C583" t="s">
        <v>74</v>
      </c>
      <c r="D583" t="s">
        <v>74</v>
      </c>
      <c r="E583" t="s">
        <v>74</v>
      </c>
      <c r="F583" t="s">
        <v>11452</v>
      </c>
      <c r="G583" t="s">
        <v>74</v>
      </c>
      <c r="H583" t="s">
        <v>74</v>
      </c>
      <c r="I583" t="s">
        <v>11453</v>
      </c>
      <c r="J583" t="s">
        <v>11454</v>
      </c>
      <c r="K583" t="s">
        <v>74</v>
      </c>
      <c r="L583" t="s">
        <v>74</v>
      </c>
      <c r="M583" t="s">
        <v>78</v>
      </c>
      <c r="N583" t="s">
        <v>79</v>
      </c>
      <c r="O583" t="s">
        <v>74</v>
      </c>
      <c r="P583" t="s">
        <v>74</v>
      </c>
      <c r="Q583" t="s">
        <v>74</v>
      </c>
      <c r="R583" t="s">
        <v>74</v>
      </c>
      <c r="S583" t="s">
        <v>74</v>
      </c>
      <c r="T583" t="s">
        <v>11455</v>
      </c>
      <c r="U583" t="s">
        <v>74</v>
      </c>
      <c r="V583" t="s">
        <v>11456</v>
      </c>
      <c r="W583" t="s">
        <v>11457</v>
      </c>
      <c r="X583" t="s">
        <v>11458</v>
      </c>
      <c r="Y583" t="s">
        <v>11459</v>
      </c>
      <c r="Z583" t="s">
        <v>11460</v>
      </c>
      <c r="AA583" t="s">
        <v>74</v>
      </c>
      <c r="AB583" t="s">
        <v>11461</v>
      </c>
      <c r="AC583" t="s">
        <v>74</v>
      </c>
      <c r="AD583" t="s">
        <v>74</v>
      </c>
      <c r="AE583" t="s">
        <v>74</v>
      </c>
      <c r="AF583" t="s">
        <v>74</v>
      </c>
      <c r="AG583">
        <v>31</v>
      </c>
      <c r="AH583">
        <v>0</v>
      </c>
      <c r="AI583">
        <v>0</v>
      </c>
      <c r="AJ583">
        <v>2</v>
      </c>
      <c r="AK583">
        <v>5</v>
      </c>
      <c r="AL583" t="s">
        <v>11462</v>
      </c>
      <c r="AM583" t="s">
        <v>11463</v>
      </c>
      <c r="AN583" t="s">
        <v>11464</v>
      </c>
      <c r="AO583" t="s">
        <v>74</v>
      </c>
      <c r="AP583" t="s">
        <v>11465</v>
      </c>
      <c r="AQ583" t="s">
        <v>74</v>
      </c>
      <c r="AR583" t="s">
        <v>11466</v>
      </c>
      <c r="AS583" t="s">
        <v>11467</v>
      </c>
      <c r="AT583" t="s">
        <v>74</v>
      </c>
      <c r="AU583">
        <v>2024</v>
      </c>
      <c r="AV583">
        <v>9</v>
      </c>
      <c r="AW583">
        <v>4</v>
      </c>
      <c r="AX583" t="s">
        <v>74</v>
      </c>
      <c r="AY583" t="s">
        <v>74</v>
      </c>
      <c r="AZ583" t="s">
        <v>74</v>
      </c>
      <c r="BA583" t="s">
        <v>74</v>
      </c>
      <c r="BB583">
        <v>700</v>
      </c>
      <c r="BC583">
        <v>714</v>
      </c>
      <c r="BD583" t="s">
        <v>74</v>
      </c>
      <c r="BE583" t="s">
        <v>11468</v>
      </c>
      <c r="BF583" t="str">
        <f>HYPERLINK("http://dx.doi.org/10.30784/epfad.1517200","http://dx.doi.org/10.30784/epfad.1517200")</f>
        <v>http://dx.doi.org/10.30784/epfad.1517200</v>
      </c>
      <c r="BG583" t="s">
        <v>74</v>
      </c>
      <c r="BH583" t="s">
        <v>74</v>
      </c>
      <c r="BI583">
        <v>15</v>
      </c>
      <c r="BJ583" t="s">
        <v>210</v>
      </c>
      <c r="BK583" t="s">
        <v>313</v>
      </c>
      <c r="BL583" t="s">
        <v>100</v>
      </c>
      <c r="BM583" t="s">
        <v>11469</v>
      </c>
      <c r="BN583" t="s">
        <v>74</v>
      </c>
      <c r="BO583" t="s">
        <v>212</v>
      </c>
      <c r="BP583" t="s">
        <v>74</v>
      </c>
      <c r="BQ583" t="s">
        <v>74</v>
      </c>
      <c r="BR583" t="s">
        <v>102</v>
      </c>
      <c r="BS583" t="s">
        <v>11470</v>
      </c>
      <c r="BT583" t="str">
        <f>HYPERLINK("https%3A%2F%2Fwww.webofscience.com%2Fwos%2Fwoscc%2Ffull-record%2FWOS:001390416100004","View Full Record in Web of Science")</f>
        <v>View Full Record in Web of Science</v>
      </c>
    </row>
    <row r="584" spans="1:72" x14ac:dyDescent="0.25">
      <c r="A584" t="s">
        <v>72</v>
      </c>
      <c r="B584" t="s">
        <v>11471</v>
      </c>
      <c r="C584" t="s">
        <v>74</v>
      </c>
      <c r="D584" t="s">
        <v>74</v>
      </c>
      <c r="E584" t="s">
        <v>74</v>
      </c>
      <c r="F584" t="s">
        <v>11472</v>
      </c>
      <c r="G584" t="s">
        <v>74</v>
      </c>
      <c r="H584" t="s">
        <v>74</v>
      </c>
      <c r="I584" t="s">
        <v>11473</v>
      </c>
      <c r="J584" t="s">
        <v>1412</v>
      </c>
      <c r="K584" t="s">
        <v>74</v>
      </c>
      <c r="L584" t="s">
        <v>74</v>
      </c>
      <c r="M584" t="s">
        <v>78</v>
      </c>
      <c r="N584" t="s">
        <v>79</v>
      </c>
      <c r="O584" t="s">
        <v>74</v>
      </c>
      <c r="P584" t="s">
        <v>74</v>
      </c>
      <c r="Q584" t="s">
        <v>74</v>
      </c>
      <c r="R584" t="s">
        <v>74</v>
      </c>
      <c r="S584" t="s">
        <v>74</v>
      </c>
      <c r="T584" t="s">
        <v>11474</v>
      </c>
      <c r="U584" t="s">
        <v>11475</v>
      </c>
      <c r="V584" t="s">
        <v>11476</v>
      </c>
      <c r="W584" t="s">
        <v>11477</v>
      </c>
      <c r="X584" t="s">
        <v>11478</v>
      </c>
      <c r="Y584" t="s">
        <v>11479</v>
      </c>
      <c r="Z584" t="s">
        <v>11480</v>
      </c>
      <c r="AA584" t="s">
        <v>11481</v>
      </c>
      <c r="AB584" t="s">
        <v>11482</v>
      </c>
      <c r="AC584" t="s">
        <v>74</v>
      </c>
      <c r="AD584" t="s">
        <v>74</v>
      </c>
      <c r="AE584" t="s">
        <v>11483</v>
      </c>
      <c r="AF584" t="s">
        <v>74</v>
      </c>
      <c r="AG584">
        <v>147</v>
      </c>
      <c r="AH584">
        <v>1</v>
      </c>
      <c r="AI584">
        <v>3</v>
      </c>
      <c r="AJ584">
        <v>0</v>
      </c>
      <c r="AK584">
        <v>3</v>
      </c>
      <c r="AL584" t="s">
        <v>332</v>
      </c>
      <c r="AM584" t="s">
        <v>333</v>
      </c>
      <c r="AN584" t="s">
        <v>334</v>
      </c>
      <c r="AO584" t="s">
        <v>1423</v>
      </c>
      <c r="AP584" t="s">
        <v>1424</v>
      </c>
      <c r="AQ584" t="s">
        <v>74</v>
      </c>
      <c r="AR584" t="s">
        <v>1425</v>
      </c>
      <c r="AS584" t="s">
        <v>1426</v>
      </c>
      <c r="AT584" t="s">
        <v>1693</v>
      </c>
      <c r="AU584">
        <v>2025</v>
      </c>
      <c r="AV584">
        <v>31</v>
      </c>
      <c r="AW584">
        <v>2</v>
      </c>
      <c r="AX584" t="s">
        <v>74</v>
      </c>
      <c r="AY584" t="s">
        <v>74</v>
      </c>
      <c r="AZ584" t="s">
        <v>441</v>
      </c>
      <c r="BA584" t="s">
        <v>74</v>
      </c>
      <c r="BB584">
        <v>435</v>
      </c>
      <c r="BC584">
        <v>472</v>
      </c>
      <c r="BD584" t="s">
        <v>74</v>
      </c>
      <c r="BE584" t="s">
        <v>11484</v>
      </c>
      <c r="BF584" t="str">
        <f>HYPERLINK("http://dx.doi.org/10.1080/02681102.2024.2377279","http://dx.doi.org/10.1080/02681102.2024.2377279")</f>
        <v>http://dx.doi.org/10.1080/02681102.2024.2377279</v>
      </c>
      <c r="BG584" t="s">
        <v>74</v>
      </c>
      <c r="BH584" t="s">
        <v>2524</v>
      </c>
      <c r="BI584">
        <v>38</v>
      </c>
      <c r="BJ584" t="s">
        <v>1429</v>
      </c>
      <c r="BK584" t="s">
        <v>99</v>
      </c>
      <c r="BL584" t="s">
        <v>1429</v>
      </c>
      <c r="BM584" t="s">
        <v>11485</v>
      </c>
      <c r="BN584" t="s">
        <v>74</v>
      </c>
      <c r="BO584" t="s">
        <v>74</v>
      </c>
      <c r="BP584" t="s">
        <v>74</v>
      </c>
      <c r="BQ584" t="s">
        <v>74</v>
      </c>
      <c r="BR584" t="s">
        <v>102</v>
      </c>
      <c r="BS584" t="s">
        <v>11486</v>
      </c>
      <c r="BT584" t="str">
        <f>HYPERLINK("https%3A%2F%2Fwww.webofscience.com%2Fwos%2Fwoscc%2Ffull-record%2FWOS:001271386300001","View Full Record in Web of Science")</f>
        <v>View Full Record in Web of Science</v>
      </c>
    </row>
    <row r="585" spans="1:72" x14ac:dyDescent="0.25">
      <c r="A585" t="s">
        <v>72</v>
      </c>
      <c r="B585" t="s">
        <v>11487</v>
      </c>
      <c r="C585" t="s">
        <v>74</v>
      </c>
      <c r="D585" t="s">
        <v>74</v>
      </c>
      <c r="E585" t="s">
        <v>74</v>
      </c>
      <c r="F585" t="s">
        <v>11488</v>
      </c>
      <c r="G585" t="s">
        <v>74</v>
      </c>
      <c r="H585" t="s">
        <v>74</v>
      </c>
      <c r="I585" t="s">
        <v>11489</v>
      </c>
      <c r="J585" t="s">
        <v>11490</v>
      </c>
      <c r="K585" t="s">
        <v>74</v>
      </c>
      <c r="L585" t="s">
        <v>74</v>
      </c>
      <c r="M585" t="s">
        <v>78</v>
      </c>
      <c r="N585" t="s">
        <v>79</v>
      </c>
      <c r="O585" t="s">
        <v>74</v>
      </c>
      <c r="P585" t="s">
        <v>74</v>
      </c>
      <c r="Q585" t="s">
        <v>74</v>
      </c>
      <c r="R585" t="s">
        <v>74</v>
      </c>
      <c r="S585" t="s">
        <v>74</v>
      </c>
      <c r="T585" t="s">
        <v>11491</v>
      </c>
      <c r="U585" t="s">
        <v>11492</v>
      </c>
      <c r="V585" t="s">
        <v>11493</v>
      </c>
      <c r="W585" t="s">
        <v>11494</v>
      </c>
      <c r="X585" t="s">
        <v>11495</v>
      </c>
      <c r="Y585" t="s">
        <v>11496</v>
      </c>
      <c r="Z585" t="s">
        <v>11497</v>
      </c>
      <c r="AA585" t="s">
        <v>74</v>
      </c>
      <c r="AB585" t="s">
        <v>11498</v>
      </c>
      <c r="AC585" t="s">
        <v>11499</v>
      </c>
      <c r="AD585" t="s">
        <v>11500</v>
      </c>
      <c r="AE585" t="s">
        <v>11501</v>
      </c>
      <c r="AF585" t="s">
        <v>74</v>
      </c>
      <c r="AG585">
        <v>79</v>
      </c>
      <c r="AH585">
        <v>410</v>
      </c>
      <c r="AI585">
        <v>504</v>
      </c>
      <c r="AJ585">
        <v>57</v>
      </c>
      <c r="AK585">
        <v>522</v>
      </c>
      <c r="AL585" t="s">
        <v>332</v>
      </c>
      <c r="AM585" t="s">
        <v>333</v>
      </c>
      <c r="AN585" t="s">
        <v>334</v>
      </c>
      <c r="AO585" t="s">
        <v>11502</v>
      </c>
      <c r="AP585" t="s">
        <v>11503</v>
      </c>
      <c r="AQ585" t="s">
        <v>74</v>
      </c>
      <c r="AR585" t="s">
        <v>11504</v>
      </c>
      <c r="AS585" t="s">
        <v>11505</v>
      </c>
      <c r="AT585" t="s">
        <v>1427</v>
      </c>
      <c r="AU585">
        <v>2022</v>
      </c>
      <c r="AV585">
        <v>28</v>
      </c>
      <c r="AW585">
        <v>1</v>
      </c>
      <c r="AX585" t="s">
        <v>74</v>
      </c>
      <c r="AY585" t="s">
        <v>74</v>
      </c>
      <c r="AZ585" t="s">
        <v>74</v>
      </c>
      <c r="BA585" t="s">
        <v>74</v>
      </c>
      <c r="BB585">
        <v>86</v>
      </c>
      <c r="BC585">
        <v>107</v>
      </c>
      <c r="BD585" t="s">
        <v>74</v>
      </c>
      <c r="BE585" t="s">
        <v>11506</v>
      </c>
      <c r="BF585" t="str">
        <f>HYPERLINK("http://dx.doi.org/10.1080/1351847X.2020.1772335","http://dx.doi.org/10.1080/1351847X.2020.1772335")</f>
        <v>http://dx.doi.org/10.1080/1351847X.2020.1772335</v>
      </c>
      <c r="BG585" t="s">
        <v>74</v>
      </c>
      <c r="BH585" t="s">
        <v>341</v>
      </c>
      <c r="BI585">
        <v>22</v>
      </c>
      <c r="BJ585" t="s">
        <v>268</v>
      </c>
      <c r="BK585" t="s">
        <v>99</v>
      </c>
      <c r="BL585" t="s">
        <v>100</v>
      </c>
      <c r="BM585" t="s">
        <v>11507</v>
      </c>
      <c r="BN585" t="s">
        <v>74</v>
      </c>
      <c r="BO585" t="s">
        <v>466</v>
      </c>
      <c r="BP585" t="s">
        <v>74</v>
      </c>
      <c r="BQ585" t="s">
        <v>74</v>
      </c>
      <c r="BR585" t="s">
        <v>102</v>
      </c>
      <c r="BS585" t="s">
        <v>11508</v>
      </c>
      <c r="BT585" t="str">
        <f>HYPERLINK("https%3A%2F%2Fwww.webofscience.com%2Fwos%2Fwoscc%2Ffull-record%2FWOS:000541982200001","View Full Record in Web of Science")</f>
        <v>View Full Record in Web of Science</v>
      </c>
    </row>
    <row r="586" spans="1:72" x14ac:dyDescent="0.25">
      <c r="A586" t="s">
        <v>72</v>
      </c>
      <c r="B586" t="s">
        <v>11509</v>
      </c>
      <c r="C586" t="s">
        <v>74</v>
      </c>
      <c r="D586" t="s">
        <v>74</v>
      </c>
      <c r="E586" t="s">
        <v>74</v>
      </c>
      <c r="F586" t="s">
        <v>11510</v>
      </c>
      <c r="G586" t="s">
        <v>74</v>
      </c>
      <c r="H586" t="s">
        <v>74</v>
      </c>
      <c r="I586" t="s">
        <v>11511</v>
      </c>
      <c r="J586" t="s">
        <v>4055</v>
      </c>
      <c r="K586" t="s">
        <v>74</v>
      </c>
      <c r="L586" t="s">
        <v>74</v>
      </c>
      <c r="M586" t="s">
        <v>78</v>
      </c>
      <c r="N586" t="s">
        <v>79</v>
      </c>
      <c r="O586" t="s">
        <v>74</v>
      </c>
      <c r="P586" t="s">
        <v>74</v>
      </c>
      <c r="Q586" t="s">
        <v>74</v>
      </c>
      <c r="R586" t="s">
        <v>74</v>
      </c>
      <c r="S586" t="s">
        <v>74</v>
      </c>
      <c r="T586" t="s">
        <v>11512</v>
      </c>
      <c r="U586" t="s">
        <v>11513</v>
      </c>
      <c r="V586" t="s">
        <v>11514</v>
      </c>
      <c r="W586" t="s">
        <v>11515</v>
      </c>
      <c r="X586" t="s">
        <v>11516</v>
      </c>
      <c r="Y586" t="s">
        <v>11517</v>
      </c>
      <c r="Z586" t="s">
        <v>11518</v>
      </c>
      <c r="AA586" t="s">
        <v>11519</v>
      </c>
      <c r="AB586" t="s">
        <v>11520</v>
      </c>
      <c r="AC586" t="s">
        <v>74</v>
      </c>
      <c r="AD586" t="s">
        <v>74</v>
      </c>
      <c r="AE586" t="s">
        <v>74</v>
      </c>
      <c r="AF586" t="s">
        <v>74</v>
      </c>
      <c r="AG586">
        <v>50</v>
      </c>
      <c r="AH586">
        <v>0</v>
      </c>
      <c r="AI586">
        <v>0</v>
      </c>
      <c r="AJ586">
        <v>1</v>
      </c>
      <c r="AK586">
        <v>1</v>
      </c>
      <c r="AL586" t="s">
        <v>2907</v>
      </c>
      <c r="AM586" t="s">
        <v>2908</v>
      </c>
      <c r="AN586" t="s">
        <v>2909</v>
      </c>
      <c r="AO586" t="s">
        <v>4064</v>
      </c>
      <c r="AP586" t="s">
        <v>4065</v>
      </c>
      <c r="AQ586" t="s">
        <v>74</v>
      </c>
      <c r="AR586" t="s">
        <v>4066</v>
      </c>
      <c r="AS586" t="s">
        <v>4067</v>
      </c>
      <c r="AT586" t="s">
        <v>11521</v>
      </c>
      <c r="AU586">
        <v>2025</v>
      </c>
      <c r="AV586">
        <v>30</v>
      </c>
      <c r="AW586">
        <v>4</v>
      </c>
      <c r="AX586" t="s">
        <v>74</v>
      </c>
      <c r="AY586" t="s">
        <v>74</v>
      </c>
      <c r="AZ586" t="s">
        <v>74</v>
      </c>
      <c r="BA586" t="s">
        <v>74</v>
      </c>
      <c r="BB586" t="s">
        <v>74</v>
      </c>
      <c r="BC586" t="s">
        <v>74</v>
      </c>
      <c r="BD586">
        <v>26</v>
      </c>
      <c r="BE586" t="s">
        <v>11522</v>
      </c>
      <c r="BF586" t="str">
        <f>HYPERLINK("http://dx.doi.org/10.1057/s41264-025-00319-6","http://dx.doi.org/10.1057/s41264-025-00319-6")</f>
        <v>http://dx.doi.org/10.1057/s41264-025-00319-6</v>
      </c>
      <c r="BG586" t="s">
        <v>74</v>
      </c>
      <c r="BH586" t="s">
        <v>74</v>
      </c>
      <c r="BI586">
        <v>11</v>
      </c>
      <c r="BJ586" t="s">
        <v>418</v>
      </c>
      <c r="BK586" t="s">
        <v>313</v>
      </c>
      <c r="BL586" t="s">
        <v>100</v>
      </c>
      <c r="BM586" t="s">
        <v>11523</v>
      </c>
      <c r="BN586" t="s">
        <v>74</v>
      </c>
      <c r="BO586" t="s">
        <v>270</v>
      </c>
      <c r="BP586" t="s">
        <v>74</v>
      </c>
      <c r="BQ586" t="s">
        <v>74</v>
      </c>
      <c r="BR586" t="s">
        <v>102</v>
      </c>
      <c r="BS586" t="s">
        <v>11524</v>
      </c>
      <c r="BT586" t="str">
        <f>HYPERLINK("https%3A%2F%2Fwww.webofscience.com%2Fwos%2Fwoscc%2Ffull-record%2FWOS:001590747300001","View Full Record in Web of Science")</f>
        <v>View Full Record in Web of Science</v>
      </c>
    </row>
    <row r="587" spans="1:72" x14ac:dyDescent="0.25">
      <c r="A587" t="s">
        <v>72</v>
      </c>
      <c r="B587" t="s">
        <v>11525</v>
      </c>
      <c r="C587" t="s">
        <v>74</v>
      </c>
      <c r="D587" t="s">
        <v>74</v>
      </c>
      <c r="E587" t="s">
        <v>74</v>
      </c>
      <c r="F587" t="s">
        <v>11526</v>
      </c>
      <c r="G587" t="s">
        <v>74</v>
      </c>
      <c r="H587" t="s">
        <v>74</v>
      </c>
      <c r="I587" t="s">
        <v>11527</v>
      </c>
      <c r="J587" t="s">
        <v>11528</v>
      </c>
      <c r="K587" t="s">
        <v>74</v>
      </c>
      <c r="L587" t="s">
        <v>74</v>
      </c>
      <c r="M587" t="s">
        <v>78</v>
      </c>
      <c r="N587" t="s">
        <v>79</v>
      </c>
      <c r="O587" t="s">
        <v>74</v>
      </c>
      <c r="P587" t="s">
        <v>74</v>
      </c>
      <c r="Q587" t="s">
        <v>74</v>
      </c>
      <c r="R587" t="s">
        <v>74</v>
      </c>
      <c r="S587" t="s">
        <v>74</v>
      </c>
      <c r="T587" t="s">
        <v>11529</v>
      </c>
      <c r="U587" t="s">
        <v>11530</v>
      </c>
      <c r="V587" t="s">
        <v>11531</v>
      </c>
      <c r="W587" t="s">
        <v>11532</v>
      </c>
      <c r="X587" t="s">
        <v>11533</v>
      </c>
      <c r="Y587" t="s">
        <v>11534</v>
      </c>
      <c r="Z587" t="s">
        <v>11535</v>
      </c>
      <c r="AA587" t="s">
        <v>74</v>
      </c>
      <c r="AB587" t="s">
        <v>74</v>
      </c>
      <c r="AC587" t="s">
        <v>11536</v>
      </c>
      <c r="AD587" t="s">
        <v>11537</v>
      </c>
      <c r="AE587" t="s">
        <v>11538</v>
      </c>
      <c r="AF587" t="s">
        <v>74</v>
      </c>
      <c r="AG587">
        <v>73</v>
      </c>
      <c r="AH587">
        <v>47</v>
      </c>
      <c r="AI587">
        <v>59</v>
      </c>
      <c r="AJ587">
        <v>1</v>
      </c>
      <c r="AK587">
        <v>6</v>
      </c>
      <c r="AL587" t="s">
        <v>332</v>
      </c>
      <c r="AM587" t="s">
        <v>333</v>
      </c>
      <c r="AN587" t="s">
        <v>334</v>
      </c>
      <c r="AO587" t="s">
        <v>11539</v>
      </c>
      <c r="AP587" t="s">
        <v>11540</v>
      </c>
      <c r="AQ587" t="s">
        <v>74</v>
      </c>
      <c r="AR587" t="s">
        <v>11541</v>
      </c>
      <c r="AS587" t="s">
        <v>11542</v>
      </c>
      <c r="AT587" t="s">
        <v>5472</v>
      </c>
      <c r="AU587">
        <v>2020</v>
      </c>
      <c r="AV587">
        <v>24</v>
      </c>
      <c r="AW587">
        <v>5</v>
      </c>
      <c r="AX587" t="s">
        <v>74</v>
      </c>
      <c r="AY587" t="s">
        <v>74</v>
      </c>
      <c r="AZ587" t="s">
        <v>441</v>
      </c>
      <c r="BA587" t="s">
        <v>74</v>
      </c>
      <c r="BB587">
        <v>607</v>
      </c>
      <c r="BC587">
        <v>624</v>
      </c>
      <c r="BD587" t="s">
        <v>74</v>
      </c>
      <c r="BE587" t="s">
        <v>11543</v>
      </c>
      <c r="BF587" t="str">
        <f>HYPERLINK("http://dx.doi.org/10.1080/13621025.2020.1784641","http://dx.doi.org/10.1080/13621025.2020.1784641")</f>
        <v>http://dx.doi.org/10.1080/13621025.2020.1784641</v>
      </c>
      <c r="BG587" t="s">
        <v>74</v>
      </c>
      <c r="BH587" t="s">
        <v>3351</v>
      </c>
      <c r="BI587">
        <v>18</v>
      </c>
      <c r="BJ587" t="s">
        <v>3326</v>
      </c>
      <c r="BK587" t="s">
        <v>99</v>
      </c>
      <c r="BL587" t="s">
        <v>184</v>
      </c>
      <c r="BM587" t="s">
        <v>11544</v>
      </c>
      <c r="BN587" t="s">
        <v>74</v>
      </c>
      <c r="BO587" t="s">
        <v>1205</v>
      </c>
      <c r="BP587" t="s">
        <v>74</v>
      </c>
      <c r="BQ587" t="s">
        <v>74</v>
      </c>
      <c r="BR587" t="s">
        <v>102</v>
      </c>
      <c r="BS587" t="s">
        <v>11545</v>
      </c>
      <c r="BT587" t="str">
        <f>HYPERLINK("https%3A%2F%2Fwww.webofscience.com%2Fwos%2Fwoscc%2Ffull-record%2FWOS:000547395100001","View Full Record in Web of Science")</f>
        <v>View Full Record in Web of Science</v>
      </c>
    </row>
    <row r="588" spans="1:72" x14ac:dyDescent="0.25">
      <c r="A588" t="s">
        <v>72</v>
      </c>
      <c r="B588" t="s">
        <v>11546</v>
      </c>
      <c r="C588" t="s">
        <v>74</v>
      </c>
      <c r="D588" t="s">
        <v>74</v>
      </c>
      <c r="E588" t="s">
        <v>74</v>
      </c>
      <c r="F588" t="s">
        <v>11547</v>
      </c>
      <c r="G588" t="s">
        <v>74</v>
      </c>
      <c r="H588" t="s">
        <v>74</v>
      </c>
      <c r="I588" t="s">
        <v>11548</v>
      </c>
      <c r="J588" t="s">
        <v>921</v>
      </c>
      <c r="K588" t="s">
        <v>74</v>
      </c>
      <c r="L588" t="s">
        <v>74</v>
      </c>
      <c r="M588" t="s">
        <v>78</v>
      </c>
      <c r="N588" t="s">
        <v>79</v>
      </c>
      <c r="O588" t="s">
        <v>74</v>
      </c>
      <c r="P588" t="s">
        <v>74</v>
      </c>
      <c r="Q588" t="s">
        <v>74</v>
      </c>
      <c r="R588" t="s">
        <v>74</v>
      </c>
      <c r="S588" t="s">
        <v>74</v>
      </c>
      <c r="T588" t="s">
        <v>11549</v>
      </c>
      <c r="U588" t="s">
        <v>74</v>
      </c>
      <c r="V588" t="s">
        <v>11550</v>
      </c>
      <c r="W588" t="s">
        <v>11551</v>
      </c>
      <c r="X588" t="s">
        <v>11552</v>
      </c>
      <c r="Y588" t="s">
        <v>11553</v>
      </c>
      <c r="Z588" t="s">
        <v>11554</v>
      </c>
      <c r="AA588" t="s">
        <v>74</v>
      </c>
      <c r="AB588" t="s">
        <v>74</v>
      </c>
      <c r="AC588" t="s">
        <v>74</v>
      </c>
      <c r="AD588" t="s">
        <v>74</v>
      </c>
      <c r="AE588" t="s">
        <v>74</v>
      </c>
      <c r="AF588" t="s">
        <v>74</v>
      </c>
      <c r="AG588">
        <v>18</v>
      </c>
      <c r="AH588">
        <v>81</v>
      </c>
      <c r="AI588">
        <v>113</v>
      </c>
      <c r="AJ588">
        <v>4</v>
      </c>
      <c r="AK588">
        <v>134</v>
      </c>
      <c r="AL588" t="s">
        <v>332</v>
      </c>
      <c r="AM588" t="s">
        <v>333</v>
      </c>
      <c r="AN588" t="s">
        <v>334</v>
      </c>
      <c r="AO588" t="s">
        <v>932</v>
      </c>
      <c r="AP588" t="s">
        <v>933</v>
      </c>
      <c r="AQ588" t="s">
        <v>74</v>
      </c>
      <c r="AR588" t="s">
        <v>934</v>
      </c>
      <c r="AS588" t="s">
        <v>935</v>
      </c>
      <c r="AT588" t="s">
        <v>1427</v>
      </c>
      <c r="AU588">
        <v>2021</v>
      </c>
      <c r="AV588">
        <v>14</v>
      </c>
      <c r="AW588">
        <v>1</v>
      </c>
      <c r="AX588" t="s">
        <v>74</v>
      </c>
      <c r="AY588" t="s">
        <v>74</v>
      </c>
      <c r="AZ588" t="s">
        <v>441</v>
      </c>
      <c r="BA588" t="s">
        <v>74</v>
      </c>
      <c r="BB588">
        <v>52</v>
      </c>
      <c r="BC588">
        <v>66</v>
      </c>
      <c r="BD588" t="s">
        <v>74</v>
      </c>
      <c r="BE588" t="s">
        <v>11555</v>
      </c>
      <c r="BF588" t="str">
        <f>HYPERLINK("http://dx.doi.org/10.1080/17538963.2020.1870279","http://dx.doi.org/10.1080/17538963.2020.1870279")</f>
        <v>http://dx.doi.org/10.1080/17538963.2020.1870279</v>
      </c>
      <c r="BG588" t="s">
        <v>74</v>
      </c>
      <c r="BH588" t="s">
        <v>11556</v>
      </c>
      <c r="BI588">
        <v>15</v>
      </c>
      <c r="BJ588" t="s">
        <v>291</v>
      </c>
      <c r="BK588" t="s">
        <v>313</v>
      </c>
      <c r="BL588" t="s">
        <v>100</v>
      </c>
      <c r="BM588" t="s">
        <v>11557</v>
      </c>
      <c r="BN588" t="s">
        <v>74</v>
      </c>
      <c r="BO588" t="s">
        <v>74</v>
      </c>
      <c r="BP588" t="s">
        <v>74</v>
      </c>
      <c r="BQ588" t="s">
        <v>74</v>
      </c>
      <c r="BR588" t="s">
        <v>102</v>
      </c>
      <c r="BS588" t="s">
        <v>11558</v>
      </c>
      <c r="BT588" t="str">
        <f>HYPERLINK("https%3A%2F%2Fwww.webofscience.com%2Fwos%2Fwoscc%2Ffull-record%2FWOS:000610586000001","View Full Record in Web of Science")</f>
        <v>View Full Record in Web of Science</v>
      </c>
    </row>
    <row r="589" spans="1:72" x14ac:dyDescent="0.25">
      <c r="A589" t="s">
        <v>72</v>
      </c>
      <c r="B589" t="s">
        <v>11559</v>
      </c>
      <c r="C589" t="s">
        <v>74</v>
      </c>
      <c r="D589" t="s">
        <v>74</v>
      </c>
      <c r="E589" t="s">
        <v>74</v>
      </c>
      <c r="F589" t="s">
        <v>11560</v>
      </c>
      <c r="G589" t="s">
        <v>74</v>
      </c>
      <c r="H589" t="s">
        <v>74</v>
      </c>
      <c r="I589" t="s">
        <v>11561</v>
      </c>
      <c r="J589" t="s">
        <v>11562</v>
      </c>
      <c r="K589" t="s">
        <v>74</v>
      </c>
      <c r="L589" t="s">
        <v>74</v>
      </c>
      <c r="M589" t="s">
        <v>78</v>
      </c>
      <c r="N589" t="s">
        <v>79</v>
      </c>
      <c r="O589" t="s">
        <v>74</v>
      </c>
      <c r="P589" t="s">
        <v>74</v>
      </c>
      <c r="Q589" t="s">
        <v>74</v>
      </c>
      <c r="R589" t="s">
        <v>74</v>
      </c>
      <c r="S589" t="s">
        <v>74</v>
      </c>
      <c r="T589" t="s">
        <v>74</v>
      </c>
      <c r="U589" t="s">
        <v>11563</v>
      </c>
      <c r="V589" t="s">
        <v>11564</v>
      </c>
      <c r="W589" t="s">
        <v>11565</v>
      </c>
      <c r="X589" t="s">
        <v>11566</v>
      </c>
      <c r="Y589" t="s">
        <v>11567</v>
      </c>
      <c r="Z589" t="s">
        <v>11568</v>
      </c>
      <c r="AA589" t="s">
        <v>74</v>
      </c>
      <c r="AB589" t="s">
        <v>11569</v>
      </c>
      <c r="AC589" t="s">
        <v>74</v>
      </c>
      <c r="AD589" t="s">
        <v>74</v>
      </c>
      <c r="AE589" t="s">
        <v>74</v>
      </c>
      <c r="AF589" t="s">
        <v>74</v>
      </c>
      <c r="AG589">
        <v>104</v>
      </c>
      <c r="AH589">
        <v>16</v>
      </c>
      <c r="AI589">
        <v>23</v>
      </c>
      <c r="AJ589">
        <v>1</v>
      </c>
      <c r="AK589">
        <v>1</v>
      </c>
      <c r="AL589" t="s">
        <v>201</v>
      </c>
      <c r="AM589" t="s">
        <v>202</v>
      </c>
      <c r="AN589" t="s">
        <v>203</v>
      </c>
      <c r="AO589" t="s">
        <v>11570</v>
      </c>
      <c r="AP589" t="s">
        <v>74</v>
      </c>
      <c r="AQ589" t="s">
        <v>74</v>
      </c>
      <c r="AR589" t="s">
        <v>11571</v>
      </c>
      <c r="AS589" t="s">
        <v>11572</v>
      </c>
      <c r="AT589" t="s">
        <v>1652</v>
      </c>
      <c r="AU589">
        <v>2021</v>
      </c>
      <c r="AV589">
        <v>2</v>
      </c>
      <c r="AW589">
        <v>2</v>
      </c>
      <c r="AX589" t="s">
        <v>74</v>
      </c>
      <c r="AY589" t="s">
        <v>74</v>
      </c>
      <c r="AZ589" t="s">
        <v>74</v>
      </c>
      <c r="BA589" t="s">
        <v>74</v>
      </c>
      <c r="BB589" t="s">
        <v>74</v>
      </c>
      <c r="BC589" t="s">
        <v>74</v>
      </c>
      <c r="BD589">
        <v>100030</v>
      </c>
      <c r="BE589" t="s">
        <v>11573</v>
      </c>
      <c r="BF589" t="str">
        <f>HYPERLINK("http://dx.doi.org/10.1016/j.latcb.2021.100030","http://dx.doi.org/10.1016/j.latcb.2021.100030")</f>
        <v>http://dx.doi.org/10.1016/j.latcb.2021.100030</v>
      </c>
      <c r="BG589" t="s">
        <v>74</v>
      </c>
      <c r="BH589" t="s">
        <v>74</v>
      </c>
      <c r="BI589">
        <v>10</v>
      </c>
      <c r="BJ589" t="s">
        <v>210</v>
      </c>
      <c r="BK589" t="s">
        <v>313</v>
      </c>
      <c r="BL589" t="s">
        <v>100</v>
      </c>
      <c r="BM589" t="s">
        <v>11574</v>
      </c>
      <c r="BN589" t="s">
        <v>74</v>
      </c>
      <c r="BO589" t="s">
        <v>916</v>
      </c>
      <c r="BP589" t="s">
        <v>74</v>
      </c>
      <c r="BQ589" t="s">
        <v>74</v>
      </c>
      <c r="BR589" t="s">
        <v>102</v>
      </c>
      <c r="BS589" t="s">
        <v>11575</v>
      </c>
      <c r="BT589" t="str">
        <f>HYPERLINK("https%3A%2F%2Fwww.webofscience.com%2Fwos%2Fwoscc%2Ffull-record%2FWOS:001336200200003","View Full Record in Web of Science")</f>
        <v>View Full Record in Web of Science</v>
      </c>
    </row>
    <row r="590" spans="1:72" x14ac:dyDescent="0.25">
      <c r="A590" t="s">
        <v>72</v>
      </c>
      <c r="B590" t="s">
        <v>11576</v>
      </c>
      <c r="C590" t="s">
        <v>74</v>
      </c>
      <c r="D590" t="s">
        <v>74</v>
      </c>
      <c r="E590" t="s">
        <v>74</v>
      </c>
      <c r="F590" t="s">
        <v>11577</v>
      </c>
      <c r="G590" t="s">
        <v>74</v>
      </c>
      <c r="H590" t="s">
        <v>74</v>
      </c>
      <c r="I590" t="s">
        <v>11578</v>
      </c>
      <c r="J590" t="s">
        <v>8546</v>
      </c>
      <c r="K590" t="s">
        <v>74</v>
      </c>
      <c r="L590" t="s">
        <v>74</v>
      </c>
      <c r="M590" t="s">
        <v>78</v>
      </c>
      <c r="N590" t="s">
        <v>372</v>
      </c>
      <c r="O590" t="s">
        <v>74</v>
      </c>
      <c r="P590" t="s">
        <v>74</v>
      </c>
      <c r="Q590" t="s">
        <v>74</v>
      </c>
      <c r="R590" t="s">
        <v>74</v>
      </c>
      <c r="S590" t="s">
        <v>74</v>
      </c>
      <c r="T590" t="s">
        <v>11579</v>
      </c>
      <c r="U590" t="s">
        <v>11580</v>
      </c>
      <c r="V590" t="s">
        <v>11581</v>
      </c>
      <c r="W590" t="s">
        <v>11582</v>
      </c>
      <c r="X590" t="s">
        <v>74</v>
      </c>
      <c r="Y590" t="s">
        <v>11583</v>
      </c>
      <c r="Z590" t="s">
        <v>11584</v>
      </c>
      <c r="AA590" t="s">
        <v>74</v>
      </c>
      <c r="AB590" t="s">
        <v>11585</v>
      </c>
      <c r="AC590" t="s">
        <v>74</v>
      </c>
      <c r="AD590" t="s">
        <v>74</v>
      </c>
      <c r="AE590" t="s">
        <v>74</v>
      </c>
      <c r="AF590" t="s">
        <v>74</v>
      </c>
      <c r="AG590">
        <v>38</v>
      </c>
      <c r="AH590">
        <v>12</v>
      </c>
      <c r="AI590">
        <v>16</v>
      </c>
      <c r="AJ590">
        <v>0</v>
      </c>
      <c r="AK590">
        <v>34</v>
      </c>
      <c r="AL590" t="s">
        <v>332</v>
      </c>
      <c r="AM590" t="s">
        <v>333</v>
      </c>
      <c r="AN590" t="s">
        <v>334</v>
      </c>
      <c r="AO590" t="s">
        <v>8553</v>
      </c>
      <c r="AP590" t="s">
        <v>8554</v>
      </c>
      <c r="AQ590" t="s">
        <v>74</v>
      </c>
      <c r="AR590" t="s">
        <v>8555</v>
      </c>
      <c r="AS590" t="s">
        <v>8556</v>
      </c>
      <c r="AT590" t="s">
        <v>11586</v>
      </c>
      <c r="AU590">
        <v>2022</v>
      </c>
      <c r="AV590" t="s">
        <v>74</v>
      </c>
      <c r="AW590" t="s">
        <v>74</v>
      </c>
      <c r="AX590" t="s">
        <v>74</v>
      </c>
      <c r="AY590" t="s">
        <v>74</v>
      </c>
      <c r="AZ590" t="s">
        <v>74</v>
      </c>
      <c r="BA590" t="s">
        <v>74</v>
      </c>
      <c r="BB590" t="s">
        <v>74</v>
      </c>
      <c r="BC590" t="s">
        <v>74</v>
      </c>
      <c r="BD590" t="s">
        <v>74</v>
      </c>
      <c r="BE590" t="s">
        <v>11587</v>
      </c>
      <c r="BF590" t="str">
        <f>HYPERLINK("http://dx.doi.org/10.1080/20430795.2022.2034595","http://dx.doi.org/10.1080/20430795.2022.2034595")</f>
        <v>http://dx.doi.org/10.1080/20430795.2022.2034595</v>
      </c>
      <c r="BG590" t="s">
        <v>74</v>
      </c>
      <c r="BH590" t="s">
        <v>674</v>
      </c>
      <c r="BI590">
        <v>13</v>
      </c>
      <c r="BJ590" t="s">
        <v>8558</v>
      </c>
      <c r="BK590" t="s">
        <v>313</v>
      </c>
      <c r="BL590" t="s">
        <v>650</v>
      </c>
      <c r="BM590" t="s">
        <v>11588</v>
      </c>
      <c r="BN590" t="s">
        <v>74</v>
      </c>
      <c r="BO590" t="s">
        <v>74</v>
      </c>
      <c r="BP590" t="s">
        <v>74</v>
      </c>
      <c r="BQ590" t="s">
        <v>74</v>
      </c>
      <c r="BR590" t="s">
        <v>102</v>
      </c>
      <c r="BS590" t="s">
        <v>11589</v>
      </c>
      <c r="BT590" t="str">
        <f>HYPERLINK("https%3A%2F%2Fwww.webofscience.com%2Fwos%2Fwoscc%2Ffull-record%2FWOS:000753931600001","View Full Record in Web of Science")</f>
        <v>View Full Record in Web of Science</v>
      </c>
    </row>
    <row r="591" spans="1:72" x14ac:dyDescent="0.25">
      <c r="A591" t="s">
        <v>72</v>
      </c>
      <c r="B591" t="s">
        <v>11590</v>
      </c>
      <c r="C591" t="s">
        <v>74</v>
      </c>
      <c r="D591" t="s">
        <v>74</v>
      </c>
      <c r="E591" t="s">
        <v>74</v>
      </c>
      <c r="F591" t="s">
        <v>11591</v>
      </c>
      <c r="G591" t="s">
        <v>74</v>
      </c>
      <c r="H591" t="s">
        <v>74</v>
      </c>
      <c r="I591" t="s">
        <v>11592</v>
      </c>
      <c r="J591" t="s">
        <v>1491</v>
      </c>
      <c r="K591" t="s">
        <v>74</v>
      </c>
      <c r="L591" t="s">
        <v>74</v>
      </c>
      <c r="M591" t="s">
        <v>78</v>
      </c>
      <c r="N591" t="s">
        <v>79</v>
      </c>
      <c r="O591" t="s">
        <v>74</v>
      </c>
      <c r="P591" t="s">
        <v>74</v>
      </c>
      <c r="Q591" t="s">
        <v>74</v>
      </c>
      <c r="R591" t="s">
        <v>74</v>
      </c>
      <c r="S591" t="s">
        <v>74</v>
      </c>
      <c r="T591" t="s">
        <v>11593</v>
      </c>
      <c r="U591" t="s">
        <v>11594</v>
      </c>
      <c r="V591" t="s">
        <v>11595</v>
      </c>
      <c r="W591" t="s">
        <v>11596</v>
      </c>
      <c r="X591" t="s">
        <v>11597</v>
      </c>
      <c r="Y591" t="s">
        <v>11598</v>
      </c>
      <c r="Z591" t="s">
        <v>11599</v>
      </c>
      <c r="AA591" t="s">
        <v>11600</v>
      </c>
      <c r="AB591" t="s">
        <v>74</v>
      </c>
      <c r="AC591" t="s">
        <v>11601</v>
      </c>
      <c r="AD591" t="s">
        <v>11602</v>
      </c>
      <c r="AE591" t="s">
        <v>11603</v>
      </c>
      <c r="AF591" t="s">
        <v>74</v>
      </c>
      <c r="AG591">
        <v>30</v>
      </c>
      <c r="AH591">
        <v>4</v>
      </c>
      <c r="AI591">
        <v>5</v>
      </c>
      <c r="AJ591">
        <v>4</v>
      </c>
      <c r="AK591">
        <v>18</v>
      </c>
      <c r="AL591" t="s">
        <v>89</v>
      </c>
      <c r="AM591" t="s">
        <v>90</v>
      </c>
      <c r="AN591" t="s">
        <v>91</v>
      </c>
      <c r="AO591" t="s">
        <v>1499</v>
      </c>
      <c r="AP591" t="s">
        <v>1500</v>
      </c>
      <c r="AQ591" t="s">
        <v>74</v>
      </c>
      <c r="AR591" t="s">
        <v>1501</v>
      </c>
      <c r="AS591" t="s">
        <v>1502</v>
      </c>
      <c r="AT591" t="s">
        <v>11604</v>
      </c>
      <c r="AU591">
        <v>2024</v>
      </c>
      <c r="AV591">
        <v>32</v>
      </c>
      <c r="AW591">
        <v>4</v>
      </c>
      <c r="AX591" t="s">
        <v>74</v>
      </c>
      <c r="AY591" t="s">
        <v>74</v>
      </c>
      <c r="AZ591" t="s">
        <v>74</v>
      </c>
      <c r="BA591" t="s">
        <v>74</v>
      </c>
      <c r="BB591">
        <v>445</v>
      </c>
      <c r="BC591">
        <v>461</v>
      </c>
      <c r="BD591" t="s">
        <v>74</v>
      </c>
      <c r="BE591" t="s">
        <v>11605</v>
      </c>
      <c r="BF591" t="str">
        <f>HYPERLINK("http://dx.doi.org/10.1108/JFRC-11-2023-0180","http://dx.doi.org/10.1108/JFRC-11-2023-0180")</f>
        <v>http://dx.doi.org/10.1108/JFRC-11-2023-0180</v>
      </c>
      <c r="BG591" t="s">
        <v>74</v>
      </c>
      <c r="BH591" t="s">
        <v>5285</v>
      </c>
      <c r="BI591">
        <v>17</v>
      </c>
      <c r="BJ591" t="s">
        <v>268</v>
      </c>
      <c r="BK591" t="s">
        <v>313</v>
      </c>
      <c r="BL591" t="s">
        <v>100</v>
      </c>
      <c r="BM591" t="s">
        <v>11606</v>
      </c>
      <c r="BN591" t="s">
        <v>74</v>
      </c>
      <c r="BO591" t="s">
        <v>270</v>
      </c>
      <c r="BP591" t="s">
        <v>74</v>
      </c>
      <c r="BQ591" t="s">
        <v>74</v>
      </c>
      <c r="BR591" t="s">
        <v>102</v>
      </c>
      <c r="BS591" t="s">
        <v>11607</v>
      </c>
      <c r="BT591" t="str">
        <f>HYPERLINK("https%3A%2F%2Fwww.webofscience.com%2Fwos%2Fwoscc%2Ffull-record%2FWOS:001209320000001","View Full Record in Web of Science")</f>
        <v>View Full Record in Web of Science</v>
      </c>
    </row>
    <row r="592" spans="1:72" x14ac:dyDescent="0.25">
      <c r="A592" t="s">
        <v>72</v>
      </c>
      <c r="B592" t="s">
        <v>11608</v>
      </c>
      <c r="C592" t="s">
        <v>74</v>
      </c>
      <c r="D592" t="s">
        <v>74</v>
      </c>
      <c r="E592" t="s">
        <v>74</v>
      </c>
      <c r="F592" t="s">
        <v>11609</v>
      </c>
      <c r="G592" t="s">
        <v>74</v>
      </c>
      <c r="H592" t="s">
        <v>74</v>
      </c>
      <c r="I592" t="s">
        <v>11610</v>
      </c>
      <c r="J592" t="s">
        <v>9435</v>
      </c>
      <c r="K592" t="s">
        <v>74</v>
      </c>
      <c r="L592" t="s">
        <v>74</v>
      </c>
      <c r="M592" t="s">
        <v>78</v>
      </c>
      <c r="N592" t="s">
        <v>1766</v>
      </c>
      <c r="O592" t="s">
        <v>74</v>
      </c>
      <c r="P592" t="s">
        <v>74</v>
      </c>
      <c r="Q592" t="s">
        <v>74</v>
      </c>
      <c r="R592" t="s">
        <v>74</v>
      </c>
      <c r="S592" t="s">
        <v>74</v>
      </c>
      <c r="T592" t="s">
        <v>11611</v>
      </c>
      <c r="U592" t="s">
        <v>11612</v>
      </c>
      <c r="V592" t="s">
        <v>11613</v>
      </c>
      <c r="W592" t="s">
        <v>11614</v>
      </c>
      <c r="X592" t="s">
        <v>11615</v>
      </c>
      <c r="Y592" t="s">
        <v>11616</v>
      </c>
      <c r="Z592" t="s">
        <v>11617</v>
      </c>
      <c r="AA592" t="s">
        <v>11618</v>
      </c>
      <c r="AB592" t="s">
        <v>11619</v>
      </c>
      <c r="AC592" t="s">
        <v>74</v>
      </c>
      <c r="AD592" t="s">
        <v>74</v>
      </c>
      <c r="AE592" t="s">
        <v>74</v>
      </c>
      <c r="AF592" t="s">
        <v>74</v>
      </c>
      <c r="AG592">
        <v>77</v>
      </c>
      <c r="AH592">
        <v>5</v>
      </c>
      <c r="AI592">
        <v>5</v>
      </c>
      <c r="AJ592">
        <v>0</v>
      </c>
      <c r="AK592">
        <v>15</v>
      </c>
      <c r="AL592" t="s">
        <v>5619</v>
      </c>
      <c r="AM592" t="s">
        <v>5620</v>
      </c>
      <c r="AN592" t="s">
        <v>9445</v>
      </c>
      <c r="AO592" t="s">
        <v>9446</v>
      </c>
      <c r="AP592" t="s">
        <v>9447</v>
      </c>
      <c r="AQ592" t="s">
        <v>74</v>
      </c>
      <c r="AR592" t="s">
        <v>9448</v>
      </c>
      <c r="AS592" t="s">
        <v>9449</v>
      </c>
      <c r="AT592" t="s">
        <v>289</v>
      </c>
      <c r="AU592">
        <v>2021</v>
      </c>
      <c r="AV592">
        <v>20</v>
      </c>
      <c r="AW592">
        <v>3</v>
      </c>
      <c r="AX592" t="s">
        <v>74</v>
      </c>
      <c r="AY592" t="s">
        <v>74</v>
      </c>
      <c r="AZ592" t="s">
        <v>74</v>
      </c>
      <c r="BA592" t="s">
        <v>74</v>
      </c>
      <c r="BB592">
        <v>205</v>
      </c>
      <c r="BC592">
        <v>224</v>
      </c>
      <c r="BD592" t="s">
        <v>74</v>
      </c>
      <c r="BE592" t="s">
        <v>11620</v>
      </c>
      <c r="BF592" t="str">
        <f>HYPERLINK("http://dx.doi.org/10.1163/15691497-12341592","http://dx.doi.org/10.1163/15691497-12341592")</f>
        <v>http://dx.doi.org/10.1163/15691497-12341592</v>
      </c>
      <c r="BG592" t="s">
        <v>74</v>
      </c>
      <c r="BH592" t="s">
        <v>74</v>
      </c>
      <c r="BI592">
        <v>20</v>
      </c>
      <c r="BJ592" t="s">
        <v>1137</v>
      </c>
      <c r="BK592" t="s">
        <v>313</v>
      </c>
      <c r="BL592" t="s">
        <v>1137</v>
      </c>
      <c r="BM592" t="s">
        <v>11621</v>
      </c>
      <c r="BN592" t="s">
        <v>74</v>
      </c>
      <c r="BO592" t="s">
        <v>74</v>
      </c>
      <c r="BP592" t="s">
        <v>74</v>
      </c>
      <c r="BQ592" t="s">
        <v>74</v>
      </c>
      <c r="BR592" t="s">
        <v>102</v>
      </c>
      <c r="BS592" t="s">
        <v>11622</v>
      </c>
      <c r="BT592" t="str">
        <f>HYPERLINK("https%3A%2F%2Fwww.webofscience.com%2Fwos%2Fwoscc%2Ffull-record%2FWOS:000685247000002","View Full Record in Web of Science")</f>
        <v>View Full Record in Web of Science</v>
      </c>
    </row>
    <row r="593" spans="1:72" x14ac:dyDescent="0.25">
      <c r="A593" t="s">
        <v>72</v>
      </c>
      <c r="B593" t="s">
        <v>11623</v>
      </c>
      <c r="C593" t="s">
        <v>74</v>
      </c>
      <c r="D593" t="s">
        <v>74</v>
      </c>
      <c r="E593" t="s">
        <v>74</v>
      </c>
      <c r="F593" t="s">
        <v>11624</v>
      </c>
      <c r="G593" t="s">
        <v>74</v>
      </c>
      <c r="H593" t="s">
        <v>74</v>
      </c>
      <c r="I593" t="s">
        <v>11625</v>
      </c>
      <c r="J593" t="s">
        <v>3231</v>
      </c>
      <c r="K593" t="s">
        <v>74</v>
      </c>
      <c r="L593" t="s">
        <v>74</v>
      </c>
      <c r="M593" t="s">
        <v>78</v>
      </c>
      <c r="N593" t="s">
        <v>79</v>
      </c>
      <c r="O593" t="s">
        <v>74</v>
      </c>
      <c r="P593" t="s">
        <v>74</v>
      </c>
      <c r="Q593" t="s">
        <v>74</v>
      </c>
      <c r="R593" t="s">
        <v>74</v>
      </c>
      <c r="S593" t="s">
        <v>74</v>
      </c>
      <c r="T593" t="s">
        <v>11626</v>
      </c>
      <c r="U593" t="s">
        <v>11627</v>
      </c>
      <c r="V593" t="s">
        <v>11628</v>
      </c>
      <c r="W593" t="s">
        <v>11629</v>
      </c>
      <c r="X593" t="s">
        <v>74</v>
      </c>
      <c r="Y593" t="s">
        <v>11630</v>
      </c>
      <c r="Z593" t="s">
        <v>11631</v>
      </c>
      <c r="AA593" t="s">
        <v>11632</v>
      </c>
      <c r="AB593" t="s">
        <v>11633</v>
      </c>
      <c r="AC593" t="s">
        <v>11634</v>
      </c>
      <c r="AD593" t="s">
        <v>11634</v>
      </c>
      <c r="AE593" t="s">
        <v>11635</v>
      </c>
      <c r="AF593" t="s">
        <v>74</v>
      </c>
      <c r="AG593">
        <v>82</v>
      </c>
      <c r="AH593">
        <v>18</v>
      </c>
      <c r="AI593">
        <v>31</v>
      </c>
      <c r="AJ593">
        <v>10</v>
      </c>
      <c r="AK593">
        <v>69</v>
      </c>
      <c r="AL593" t="s">
        <v>575</v>
      </c>
      <c r="AM593" t="s">
        <v>576</v>
      </c>
      <c r="AN593" t="s">
        <v>3242</v>
      </c>
      <c r="AO593" t="s">
        <v>74</v>
      </c>
      <c r="AP593" t="s">
        <v>3243</v>
      </c>
      <c r="AQ593" t="s">
        <v>74</v>
      </c>
      <c r="AR593" t="s">
        <v>3244</v>
      </c>
      <c r="AS593" t="s">
        <v>3245</v>
      </c>
      <c r="AT593" t="s">
        <v>848</v>
      </c>
      <c r="AU593">
        <v>2023</v>
      </c>
      <c r="AV593">
        <v>15</v>
      </c>
      <c r="AW593">
        <v>13</v>
      </c>
      <c r="AX593" t="s">
        <v>74</v>
      </c>
      <c r="AY593" t="s">
        <v>74</v>
      </c>
      <c r="AZ593" t="s">
        <v>74</v>
      </c>
      <c r="BA593" t="s">
        <v>74</v>
      </c>
      <c r="BB593" t="s">
        <v>74</v>
      </c>
      <c r="BC593" t="s">
        <v>74</v>
      </c>
      <c r="BD593">
        <v>10253</v>
      </c>
      <c r="BE593" t="s">
        <v>11636</v>
      </c>
      <c r="BF593" t="str">
        <f>HYPERLINK("http://dx.doi.org/10.3390/su151310253","http://dx.doi.org/10.3390/su151310253")</f>
        <v>http://dx.doi.org/10.3390/su151310253</v>
      </c>
      <c r="BG593" t="s">
        <v>74</v>
      </c>
      <c r="BH593" t="s">
        <v>74</v>
      </c>
      <c r="BI593">
        <v>34</v>
      </c>
      <c r="BJ593" t="s">
        <v>3247</v>
      </c>
      <c r="BK593" t="s">
        <v>2623</v>
      </c>
      <c r="BL593" t="s">
        <v>3248</v>
      </c>
      <c r="BM593" t="s">
        <v>11637</v>
      </c>
      <c r="BN593" t="s">
        <v>74</v>
      </c>
      <c r="BO593" t="s">
        <v>916</v>
      </c>
      <c r="BP593" t="s">
        <v>74</v>
      </c>
      <c r="BQ593" t="s">
        <v>74</v>
      </c>
      <c r="BR593" t="s">
        <v>102</v>
      </c>
      <c r="BS593" t="s">
        <v>11638</v>
      </c>
      <c r="BT593" t="str">
        <f>HYPERLINK("https%3A%2F%2Fwww.webofscience.com%2Fwos%2Fwoscc%2Ffull-record%2FWOS:001031095800001","View Full Record in Web of Science")</f>
        <v>View Full Record in Web of Science</v>
      </c>
    </row>
    <row r="594" spans="1:72" x14ac:dyDescent="0.25">
      <c r="A594" t="s">
        <v>72</v>
      </c>
      <c r="B594" t="s">
        <v>11639</v>
      </c>
      <c r="C594" t="s">
        <v>74</v>
      </c>
      <c r="D594" t="s">
        <v>74</v>
      </c>
      <c r="E594" t="s">
        <v>74</v>
      </c>
      <c r="F594" t="s">
        <v>11640</v>
      </c>
      <c r="G594" t="s">
        <v>74</v>
      </c>
      <c r="H594" t="s">
        <v>74</v>
      </c>
      <c r="I594" t="s">
        <v>11641</v>
      </c>
      <c r="J594" t="s">
        <v>515</v>
      </c>
      <c r="K594" t="s">
        <v>74</v>
      </c>
      <c r="L594" t="s">
        <v>74</v>
      </c>
      <c r="M594" t="s">
        <v>78</v>
      </c>
      <c r="N594" t="s">
        <v>79</v>
      </c>
      <c r="O594" t="s">
        <v>74</v>
      </c>
      <c r="P594" t="s">
        <v>74</v>
      </c>
      <c r="Q594" t="s">
        <v>74</v>
      </c>
      <c r="R594" t="s">
        <v>74</v>
      </c>
      <c r="S594" t="s">
        <v>74</v>
      </c>
      <c r="T594" t="s">
        <v>11642</v>
      </c>
      <c r="U594" t="s">
        <v>11643</v>
      </c>
      <c r="V594" t="s">
        <v>11644</v>
      </c>
      <c r="W594" t="s">
        <v>11645</v>
      </c>
      <c r="X594" t="s">
        <v>74</v>
      </c>
      <c r="Y594" t="s">
        <v>11646</v>
      </c>
      <c r="Z594" t="s">
        <v>11647</v>
      </c>
      <c r="AA594" t="s">
        <v>6996</v>
      </c>
      <c r="AB594" t="s">
        <v>11648</v>
      </c>
      <c r="AC594" t="s">
        <v>74</v>
      </c>
      <c r="AD594" t="s">
        <v>74</v>
      </c>
      <c r="AE594" t="s">
        <v>74</v>
      </c>
      <c r="AF594" t="s">
        <v>74</v>
      </c>
      <c r="AG594">
        <v>75</v>
      </c>
      <c r="AH594">
        <v>2</v>
      </c>
      <c r="AI594">
        <v>2</v>
      </c>
      <c r="AJ594">
        <v>2</v>
      </c>
      <c r="AK594">
        <v>5</v>
      </c>
      <c r="AL594" t="s">
        <v>230</v>
      </c>
      <c r="AM594" t="s">
        <v>231</v>
      </c>
      <c r="AN594" t="s">
        <v>232</v>
      </c>
      <c r="AO594" t="s">
        <v>528</v>
      </c>
      <c r="AP594" t="s">
        <v>529</v>
      </c>
      <c r="AQ594" t="s">
        <v>74</v>
      </c>
      <c r="AR594" t="s">
        <v>530</v>
      </c>
      <c r="AS594" t="s">
        <v>531</v>
      </c>
      <c r="AT594" t="s">
        <v>848</v>
      </c>
      <c r="AU594">
        <v>2025</v>
      </c>
      <c r="AV594">
        <v>117</v>
      </c>
      <c r="AW594" t="s">
        <v>74</v>
      </c>
      <c r="AX594" t="s">
        <v>74</v>
      </c>
      <c r="AY594" t="s">
        <v>74</v>
      </c>
      <c r="AZ594" t="s">
        <v>74</v>
      </c>
      <c r="BA594" t="s">
        <v>74</v>
      </c>
      <c r="BB594" t="s">
        <v>74</v>
      </c>
      <c r="BC594" t="s">
        <v>74</v>
      </c>
      <c r="BD594">
        <v>103637</v>
      </c>
      <c r="BE594" t="s">
        <v>11649</v>
      </c>
      <c r="BF594" t="str">
        <f>HYPERLINK("http://dx.doi.org/10.1016/j.jrurstud.2025.103637","http://dx.doi.org/10.1016/j.jrurstud.2025.103637")</f>
        <v>http://dx.doi.org/10.1016/j.jrurstud.2025.103637</v>
      </c>
      <c r="BG594" t="s">
        <v>74</v>
      </c>
      <c r="BH594" t="s">
        <v>2781</v>
      </c>
      <c r="BI594">
        <v>11</v>
      </c>
      <c r="BJ594" t="s">
        <v>533</v>
      </c>
      <c r="BK594" t="s">
        <v>99</v>
      </c>
      <c r="BL594" t="s">
        <v>534</v>
      </c>
      <c r="BM594" t="s">
        <v>11650</v>
      </c>
      <c r="BN594" t="s">
        <v>74</v>
      </c>
      <c r="BO594" t="s">
        <v>74</v>
      </c>
      <c r="BP594" t="s">
        <v>74</v>
      </c>
      <c r="BQ594" t="s">
        <v>74</v>
      </c>
      <c r="BR594" t="s">
        <v>102</v>
      </c>
      <c r="BS594" t="s">
        <v>11651</v>
      </c>
      <c r="BT594" t="str">
        <f>HYPERLINK("https%3A%2F%2Fwww.webofscience.com%2Fwos%2Fwoscc%2Ffull-record%2FWOS:001457143300001","View Full Record in Web of Science")</f>
        <v>View Full Record in Web of Science</v>
      </c>
    </row>
    <row r="595" spans="1:72" x14ac:dyDescent="0.25">
      <c r="A595" t="s">
        <v>72</v>
      </c>
      <c r="B595" t="s">
        <v>11652</v>
      </c>
      <c r="C595" t="s">
        <v>74</v>
      </c>
      <c r="D595" t="s">
        <v>74</v>
      </c>
      <c r="E595" t="s">
        <v>74</v>
      </c>
      <c r="F595" t="s">
        <v>11653</v>
      </c>
      <c r="G595" t="s">
        <v>74</v>
      </c>
      <c r="H595" t="s">
        <v>74</v>
      </c>
      <c r="I595" t="s">
        <v>11654</v>
      </c>
      <c r="J595" t="s">
        <v>11655</v>
      </c>
      <c r="K595" t="s">
        <v>74</v>
      </c>
      <c r="L595" t="s">
        <v>74</v>
      </c>
      <c r="M595" t="s">
        <v>78</v>
      </c>
      <c r="N595" t="s">
        <v>79</v>
      </c>
      <c r="O595" t="s">
        <v>74</v>
      </c>
      <c r="P595" t="s">
        <v>74</v>
      </c>
      <c r="Q595" t="s">
        <v>74</v>
      </c>
      <c r="R595" t="s">
        <v>74</v>
      </c>
      <c r="S595" t="s">
        <v>74</v>
      </c>
      <c r="T595" t="s">
        <v>11656</v>
      </c>
      <c r="U595" t="s">
        <v>11657</v>
      </c>
      <c r="V595" t="s">
        <v>11658</v>
      </c>
      <c r="W595" t="s">
        <v>11659</v>
      </c>
      <c r="X595" t="s">
        <v>11660</v>
      </c>
      <c r="Y595" t="s">
        <v>11661</v>
      </c>
      <c r="Z595" t="s">
        <v>11662</v>
      </c>
      <c r="AA595" t="s">
        <v>11663</v>
      </c>
      <c r="AB595" t="s">
        <v>11664</v>
      </c>
      <c r="AC595" t="s">
        <v>74</v>
      </c>
      <c r="AD595" t="s">
        <v>74</v>
      </c>
      <c r="AE595" t="s">
        <v>74</v>
      </c>
      <c r="AF595" t="s">
        <v>74</v>
      </c>
      <c r="AG595">
        <v>138</v>
      </c>
      <c r="AH595">
        <v>12</v>
      </c>
      <c r="AI595">
        <v>13</v>
      </c>
      <c r="AJ595">
        <v>2</v>
      </c>
      <c r="AK595">
        <v>27</v>
      </c>
      <c r="AL595" t="s">
        <v>503</v>
      </c>
      <c r="AM595" t="s">
        <v>151</v>
      </c>
      <c r="AN595" t="s">
        <v>504</v>
      </c>
      <c r="AO595" t="s">
        <v>11665</v>
      </c>
      <c r="AP595" t="s">
        <v>11666</v>
      </c>
      <c r="AQ595" t="s">
        <v>74</v>
      </c>
      <c r="AR595" t="s">
        <v>11667</v>
      </c>
      <c r="AS595" t="s">
        <v>11668</v>
      </c>
      <c r="AT595" t="s">
        <v>289</v>
      </c>
      <c r="AU595">
        <v>2023</v>
      </c>
      <c r="AV595">
        <v>163</v>
      </c>
      <c r="AW595" t="s">
        <v>74</v>
      </c>
      <c r="AX595" t="s">
        <v>74</v>
      </c>
      <c r="AY595" t="s">
        <v>74</v>
      </c>
      <c r="AZ595" t="s">
        <v>74</v>
      </c>
      <c r="BA595" t="s">
        <v>74</v>
      </c>
      <c r="BB595" t="s">
        <v>74</v>
      </c>
      <c r="BC595" t="s">
        <v>74</v>
      </c>
      <c r="BD595">
        <v>113845</v>
      </c>
      <c r="BE595" t="s">
        <v>11669</v>
      </c>
      <c r="BF595" t="str">
        <f>HYPERLINK("http://dx.doi.org/10.1016/j.jbusres.2023.113845","http://dx.doi.org/10.1016/j.jbusres.2023.113845")</f>
        <v>http://dx.doi.org/10.1016/j.jbusres.2023.113845</v>
      </c>
      <c r="BG595" t="s">
        <v>74</v>
      </c>
      <c r="BH595" t="s">
        <v>6298</v>
      </c>
      <c r="BI595">
        <v>18</v>
      </c>
      <c r="BJ595" t="s">
        <v>418</v>
      </c>
      <c r="BK595" t="s">
        <v>99</v>
      </c>
      <c r="BL595" t="s">
        <v>100</v>
      </c>
      <c r="BM595" t="s">
        <v>11670</v>
      </c>
      <c r="BN595" t="s">
        <v>74</v>
      </c>
      <c r="BO595" t="s">
        <v>466</v>
      </c>
      <c r="BP595" t="s">
        <v>74</v>
      </c>
      <c r="BQ595" t="s">
        <v>74</v>
      </c>
      <c r="BR595" t="s">
        <v>102</v>
      </c>
      <c r="BS595" t="s">
        <v>11671</v>
      </c>
      <c r="BT595" t="str">
        <f>HYPERLINK("https%3A%2F%2Fwww.webofscience.com%2Fwos%2Fwoscc%2Ffull-record%2FWOS:000979296900001","View Full Record in Web of Science")</f>
        <v>View Full Record in Web of Science</v>
      </c>
    </row>
    <row r="596" spans="1:72" x14ac:dyDescent="0.25">
      <c r="A596" t="s">
        <v>72</v>
      </c>
      <c r="B596" t="s">
        <v>11672</v>
      </c>
      <c r="C596" t="s">
        <v>74</v>
      </c>
      <c r="D596" t="s">
        <v>74</v>
      </c>
      <c r="E596" t="s">
        <v>74</v>
      </c>
      <c r="F596" t="s">
        <v>11673</v>
      </c>
      <c r="G596" t="s">
        <v>74</v>
      </c>
      <c r="H596" t="s">
        <v>74</v>
      </c>
      <c r="I596" t="s">
        <v>11674</v>
      </c>
      <c r="J596" t="s">
        <v>4700</v>
      </c>
      <c r="K596" t="s">
        <v>74</v>
      </c>
      <c r="L596" t="s">
        <v>74</v>
      </c>
      <c r="M596" t="s">
        <v>78</v>
      </c>
      <c r="N596" t="s">
        <v>79</v>
      </c>
      <c r="O596" t="s">
        <v>74</v>
      </c>
      <c r="P596" t="s">
        <v>74</v>
      </c>
      <c r="Q596" t="s">
        <v>74</v>
      </c>
      <c r="R596" t="s">
        <v>74</v>
      </c>
      <c r="S596" t="s">
        <v>74</v>
      </c>
      <c r="T596" t="s">
        <v>11675</v>
      </c>
      <c r="U596" t="s">
        <v>11676</v>
      </c>
      <c r="V596" t="s">
        <v>11677</v>
      </c>
      <c r="W596" t="s">
        <v>11678</v>
      </c>
      <c r="X596" t="s">
        <v>11679</v>
      </c>
      <c r="Y596" t="s">
        <v>11680</v>
      </c>
      <c r="Z596" t="s">
        <v>11681</v>
      </c>
      <c r="AA596" t="s">
        <v>74</v>
      </c>
      <c r="AB596" t="s">
        <v>74</v>
      </c>
      <c r="AC596" t="s">
        <v>74</v>
      </c>
      <c r="AD596" t="s">
        <v>74</v>
      </c>
      <c r="AE596" t="s">
        <v>74</v>
      </c>
      <c r="AF596" t="s">
        <v>74</v>
      </c>
      <c r="AG596">
        <v>77</v>
      </c>
      <c r="AH596">
        <v>0</v>
      </c>
      <c r="AI596">
        <v>0</v>
      </c>
      <c r="AJ596">
        <v>1</v>
      </c>
      <c r="AK596">
        <v>1</v>
      </c>
      <c r="AL596" t="s">
        <v>332</v>
      </c>
      <c r="AM596" t="s">
        <v>333</v>
      </c>
      <c r="AN596" t="s">
        <v>334</v>
      </c>
      <c r="AO596" t="s">
        <v>4711</v>
      </c>
      <c r="AP596" t="s">
        <v>4712</v>
      </c>
      <c r="AQ596" t="s">
        <v>74</v>
      </c>
      <c r="AR596" t="s">
        <v>4713</v>
      </c>
      <c r="AS596" t="s">
        <v>4714</v>
      </c>
      <c r="AT596" t="s">
        <v>11682</v>
      </c>
      <c r="AU596">
        <v>2025</v>
      </c>
      <c r="AV596">
        <v>17</v>
      </c>
      <c r="AW596">
        <v>7</v>
      </c>
      <c r="AX596" t="s">
        <v>74</v>
      </c>
      <c r="AY596" t="s">
        <v>74</v>
      </c>
      <c r="AZ596" t="s">
        <v>74</v>
      </c>
      <c r="BA596" t="s">
        <v>74</v>
      </c>
      <c r="BB596">
        <v>1051</v>
      </c>
      <c r="BC596">
        <v>1063</v>
      </c>
      <c r="BD596" t="s">
        <v>74</v>
      </c>
      <c r="BE596" t="s">
        <v>11683</v>
      </c>
      <c r="BF596" t="str">
        <f>HYPERLINK("http://dx.doi.org/10.1080/20421338.2025.2582927","http://dx.doi.org/10.1080/20421338.2025.2582927")</f>
        <v>http://dx.doi.org/10.1080/20421338.2025.2582927</v>
      </c>
      <c r="BG596" t="s">
        <v>74</v>
      </c>
      <c r="BH596" t="s">
        <v>2044</v>
      </c>
      <c r="BI596">
        <v>13</v>
      </c>
      <c r="BJ596" t="s">
        <v>559</v>
      </c>
      <c r="BK596" t="s">
        <v>313</v>
      </c>
      <c r="BL596" t="s">
        <v>560</v>
      </c>
      <c r="BM596" t="s">
        <v>11684</v>
      </c>
      <c r="BN596" t="s">
        <v>74</v>
      </c>
      <c r="BO596" t="s">
        <v>74</v>
      </c>
      <c r="BP596" t="s">
        <v>74</v>
      </c>
      <c r="BQ596" t="s">
        <v>74</v>
      </c>
      <c r="BR596" t="s">
        <v>102</v>
      </c>
      <c r="BS596" t="s">
        <v>11685</v>
      </c>
      <c r="BT596" t="str">
        <f>HYPERLINK("https%3A%2F%2Fwww.webofscience.com%2Fwos%2Fwoscc%2Ffull-record%2FWOS:001629105900001","View Full Record in Web of Science")</f>
        <v>View Full Record in Web of Science</v>
      </c>
    </row>
    <row r="597" spans="1:72" x14ac:dyDescent="0.25">
      <c r="A597" t="s">
        <v>72</v>
      </c>
      <c r="B597" t="s">
        <v>11686</v>
      </c>
      <c r="C597" t="s">
        <v>74</v>
      </c>
      <c r="D597" t="s">
        <v>74</v>
      </c>
      <c r="E597" t="s">
        <v>74</v>
      </c>
      <c r="F597" t="s">
        <v>11687</v>
      </c>
      <c r="G597" t="s">
        <v>74</v>
      </c>
      <c r="H597" t="s">
        <v>74</v>
      </c>
      <c r="I597" t="s">
        <v>11688</v>
      </c>
      <c r="J597" t="s">
        <v>11689</v>
      </c>
      <c r="K597" t="s">
        <v>74</v>
      </c>
      <c r="L597" t="s">
        <v>74</v>
      </c>
      <c r="M597" t="s">
        <v>78</v>
      </c>
      <c r="N597" t="s">
        <v>79</v>
      </c>
      <c r="O597" t="s">
        <v>74</v>
      </c>
      <c r="P597" t="s">
        <v>74</v>
      </c>
      <c r="Q597" t="s">
        <v>74</v>
      </c>
      <c r="R597" t="s">
        <v>74</v>
      </c>
      <c r="S597" t="s">
        <v>74</v>
      </c>
      <c r="T597" t="s">
        <v>11690</v>
      </c>
      <c r="U597" t="s">
        <v>11691</v>
      </c>
      <c r="V597" t="s">
        <v>11692</v>
      </c>
      <c r="W597" t="s">
        <v>11693</v>
      </c>
      <c r="X597" t="s">
        <v>11694</v>
      </c>
      <c r="Y597" t="s">
        <v>11695</v>
      </c>
      <c r="Z597" t="s">
        <v>74</v>
      </c>
      <c r="AA597" t="s">
        <v>74</v>
      </c>
      <c r="AB597" t="s">
        <v>11696</v>
      </c>
      <c r="AC597" t="s">
        <v>74</v>
      </c>
      <c r="AD597" t="s">
        <v>74</v>
      </c>
      <c r="AE597" t="s">
        <v>74</v>
      </c>
      <c r="AF597" t="s">
        <v>74</v>
      </c>
      <c r="AG597">
        <v>43</v>
      </c>
      <c r="AH597">
        <v>1</v>
      </c>
      <c r="AI597">
        <v>2</v>
      </c>
      <c r="AJ597">
        <v>0</v>
      </c>
      <c r="AK597">
        <v>6</v>
      </c>
      <c r="AL597" t="s">
        <v>7551</v>
      </c>
      <c r="AM597" t="s">
        <v>7552</v>
      </c>
      <c r="AN597" t="s">
        <v>7553</v>
      </c>
      <c r="AO597" t="s">
        <v>11697</v>
      </c>
      <c r="AP597" t="s">
        <v>11698</v>
      </c>
      <c r="AQ597" t="s">
        <v>74</v>
      </c>
      <c r="AR597" t="s">
        <v>11699</v>
      </c>
      <c r="AS597" t="s">
        <v>11700</v>
      </c>
      <c r="AT597" t="s">
        <v>74</v>
      </c>
      <c r="AU597">
        <v>2023</v>
      </c>
      <c r="AV597">
        <v>19</v>
      </c>
      <c r="AW597">
        <v>1</v>
      </c>
      <c r="AX597" t="s">
        <v>74</v>
      </c>
      <c r="AY597" t="s">
        <v>74</v>
      </c>
      <c r="AZ597" t="s">
        <v>74</v>
      </c>
      <c r="BA597" t="s">
        <v>74</v>
      </c>
      <c r="BB597" t="s">
        <v>74</v>
      </c>
      <c r="BC597" t="s">
        <v>74</v>
      </c>
      <c r="BD597" t="s">
        <v>74</v>
      </c>
      <c r="BE597" t="s">
        <v>11701</v>
      </c>
      <c r="BF597" t="str">
        <f>HYPERLINK("http://dx.doi.org/10.4018/IJeC.315780","http://dx.doi.org/10.4018/IJeC.315780")</f>
        <v>http://dx.doi.org/10.4018/IJeC.315780</v>
      </c>
      <c r="BG597" t="s">
        <v>74</v>
      </c>
      <c r="BH597" t="s">
        <v>74</v>
      </c>
      <c r="BI597">
        <v>1</v>
      </c>
      <c r="BJ597" t="s">
        <v>1779</v>
      </c>
      <c r="BK597" t="s">
        <v>313</v>
      </c>
      <c r="BL597" t="s">
        <v>157</v>
      </c>
      <c r="BM597" t="s">
        <v>11702</v>
      </c>
      <c r="BN597" t="s">
        <v>74</v>
      </c>
      <c r="BO597" t="s">
        <v>270</v>
      </c>
      <c r="BP597" t="s">
        <v>74</v>
      </c>
      <c r="BQ597" t="s">
        <v>74</v>
      </c>
      <c r="BR597" t="s">
        <v>102</v>
      </c>
      <c r="BS597" t="s">
        <v>11703</v>
      </c>
      <c r="BT597" t="str">
        <f>HYPERLINK("https%3A%2F%2Fwww.webofscience.com%2Fwos%2Fwoscc%2Ffull-record%2FWOS:000950668800007","View Full Record in Web of Science")</f>
        <v>View Full Record in Web of Science</v>
      </c>
    </row>
    <row r="598" spans="1:72" x14ac:dyDescent="0.25">
      <c r="A598" t="s">
        <v>72</v>
      </c>
      <c r="B598" t="s">
        <v>11704</v>
      </c>
      <c r="C598" t="s">
        <v>74</v>
      </c>
      <c r="D598" t="s">
        <v>74</v>
      </c>
      <c r="E598" t="s">
        <v>74</v>
      </c>
      <c r="F598" t="s">
        <v>11705</v>
      </c>
      <c r="G598" t="s">
        <v>74</v>
      </c>
      <c r="H598" t="s">
        <v>74</v>
      </c>
      <c r="I598" t="s">
        <v>11706</v>
      </c>
      <c r="J598" t="s">
        <v>11707</v>
      </c>
      <c r="K598" t="s">
        <v>74</v>
      </c>
      <c r="L598" t="s">
        <v>74</v>
      </c>
      <c r="M598" t="s">
        <v>298</v>
      </c>
      <c r="N598" t="s">
        <v>79</v>
      </c>
      <c r="O598" t="s">
        <v>74</v>
      </c>
      <c r="P598" t="s">
        <v>74</v>
      </c>
      <c r="Q598" t="s">
        <v>74</v>
      </c>
      <c r="R598" t="s">
        <v>74</v>
      </c>
      <c r="S598" t="s">
        <v>74</v>
      </c>
      <c r="T598" t="s">
        <v>11708</v>
      </c>
      <c r="U598" t="s">
        <v>11709</v>
      </c>
      <c r="V598" t="s">
        <v>11710</v>
      </c>
      <c r="W598" t="s">
        <v>11711</v>
      </c>
      <c r="X598" t="s">
        <v>11712</v>
      </c>
      <c r="Y598" t="s">
        <v>11713</v>
      </c>
      <c r="Z598" t="s">
        <v>11714</v>
      </c>
      <c r="AA598" t="s">
        <v>11715</v>
      </c>
      <c r="AB598" t="s">
        <v>74</v>
      </c>
      <c r="AC598" t="s">
        <v>74</v>
      </c>
      <c r="AD598" t="s">
        <v>74</v>
      </c>
      <c r="AE598" t="s">
        <v>74</v>
      </c>
      <c r="AF598" t="s">
        <v>74</v>
      </c>
      <c r="AG598">
        <v>103</v>
      </c>
      <c r="AH598">
        <v>0</v>
      </c>
      <c r="AI598">
        <v>1</v>
      </c>
      <c r="AJ598">
        <v>3</v>
      </c>
      <c r="AK598">
        <v>26</v>
      </c>
      <c r="AL598" t="s">
        <v>11716</v>
      </c>
      <c r="AM598" t="s">
        <v>11717</v>
      </c>
      <c r="AN598" t="s">
        <v>11718</v>
      </c>
      <c r="AO598" t="s">
        <v>11719</v>
      </c>
      <c r="AP598" t="s">
        <v>74</v>
      </c>
      <c r="AQ598" t="s">
        <v>74</v>
      </c>
      <c r="AR598" t="s">
        <v>11720</v>
      </c>
      <c r="AS598" t="s">
        <v>11721</v>
      </c>
      <c r="AT598" t="s">
        <v>74</v>
      </c>
      <c r="AU598">
        <v>2024</v>
      </c>
      <c r="AV598" t="s">
        <v>74</v>
      </c>
      <c r="AW598">
        <v>80</v>
      </c>
      <c r="AX598" t="s">
        <v>74</v>
      </c>
      <c r="AY598" t="s">
        <v>74</v>
      </c>
      <c r="AZ598" t="s">
        <v>74</v>
      </c>
      <c r="BA598" t="s">
        <v>74</v>
      </c>
      <c r="BB598">
        <v>456</v>
      </c>
      <c r="BC598">
        <v>511</v>
      </c>
      <c r="BD598" t="s">
        <v>74</v>
      </c>
      <c r="BE598" t="s">
        <v>11722</v>
      </c>
      <c r="BF598" t="str">
        <f>HYPERLINK("http://dx.doi.org/10.3232/UBR.2024.V21.N1.11","http://dx.doi.org/10.3232/UBR.2024.V21.N1.11")</f>
        <v>http://dx.doi.org/10.3232/UBR.2024.V21.N1.11</v>
      </c>
      <c r="BG598" t="s">
        <v>74</v>
      </c>
      <c r="BH598" t="s">
        <v>74</v>
      </c>
      <c r="BI598">
        <v>56</v>
      </c>
      <c r="BJ598" t="s">
        <v>418</v>
      </c>
      <c r="BK598" t="s">
        <v>313</v>
      </c>
      <c r="BL598" t="s">
        <v>100</v>
      </c>
      <c r="BM598" t="s">
        <v>11723</v>
      </c>
      <c r="BN598" t="s">
        <v>74</v>
      </c>
      <c r="BO598" t="s">
        <v>212</v>
      </c>
      <c r="BP598" t="s">
        <v>74</v>
      </c>
      <c r="BQ598" t="s">
        <v>74</v>
      </c>
      <c r="BR598" t="s">
        <v>102</v>
      </c>
      <c r="BS598" t="s">
        <v>11724</v>
      </c>
      <c r="BT598" t="str">
        <f>HYPERLINK("https%3A%2F%2Fwww.webofscience.com%2Fwos%2Fwoscc%2Ffull-record%2FWOS:001146094500013","View Full Record in Web of Science")</f>
        <v>View Full Record in Web of Science</v>
      </c>
    </row>
    <row r="599" spans="1:72" x14ac:dyDescent="0.25">
      <c r="A599" t="s">
        <v>72</v>
      </c>
      <c r="B599" t="s">
        <v>11725</v>
      </c>
      <c r="C599" t="s">
        <v>74</v>
      </c>
      <c r="D599" t="s">
        <v>74</v>
      </c>
      <c r="E599" t="s">
        <v>74</v>
      </c>
      <c r="F599" t="s">
        <v>11726</v>
      </c>
      <c r="G599" t="s">
        <v>74</v>
      </c>
      <c r="H599" t="s">
        <v>74</v>
      </c>
      <c r="I599" t="s">
        <v>11727</v>
      </c>
      <c r="J599" t="s">
        <v>1963</v>
      </c>
      <c r="K599" t="s">
        <v>74</v>
      </c>
      <c r="L599" t="s">
        <v>74</v>
      </c>
      <c r="M599" t="s">
        <v>78</v>
      </c>
      <c r="N599" t="s">
        <v>79</v>
      </c>
      <c r="O599" t="s">
        <v>74</v>
      </c>
      <c r="P599" t="s">
        <v>74</v>
      </c>
      <c r="Q599" t="s">
        <v>74</v>
      </c>
      <c r="R599" t="s">
        <v>74</v>
      </c>
      <c r="S599" t="s">
        <v>74</v>
      </c>
      <c r="T599" t="s">
        <v>11728</v>
      </c>
      <c r="U599" t="s">
        <v>11729</v>
      </c>
      <c r="V599" t="s">
        <v>11730</v>
      </c>
      <c r="W599" t="s">
        <v>11731</v>
      </c>
      <c r="X599" t="s">
        <v>11732</v>
      </c>
      <c r="Y599" t="s">
        <v>11733</v>
      </c>
      <c r="Z599" t="s">
        <v>11734</v>
      </c>
      <c r="AA599" t="s">
        <v>74</v>
      </c>
      <c r="AB599" t="s">
        <v>11735</v>
      </c>
      <c r="AC599" t="s">
        <v>11736</v>
      </c>
      <c r="AD599" t="s">
        <v>8707</v>
      </c>
      <c r="AE599" t="s">
        <v>11737</v>
      </c>
      <c r="AF599" t="s">
        <v>74</v>
      </c>
      <c r="AG599">
        <v>17</v>
      </c>
      <c r="AH599">
        <v>141</v>
      </c>
      <c r="AI599">
        <v>172</v>
      </c>
      <c r="AJ599">
        <v>5</v>
      </c>
      <c r="AK599">
        <v>171</v>
      </c>
      <c r="AL599" t="s">
        <v>332</v>
      </c>
      <c r="AM599" t="s">
        <v>333</v>
      </c>
      <c r="AN599" t="s">
        <v>334</v>
      </c>
      <c r="AO599" t="s">
        <v>1975</v>
      </c>
      <c r="AP599" t="s">
        <v>1976</v>
      </c>
      <c r="AQ599" t="s">
        <v>74</v>
      </c>
      <c r="AR599" t="s">
        <v>1977</v>
      </c>
      <c r="AS599" t="s">
        <v>1978</v>
      </c>
      <c r="AT599" t="s">
        <v>74</v>
      </c>
      <c r="AU599">
        <v>2017</v>
      </c>
      <c r="AV599">
        <v>49</v>
      </c>
      <c r="AW599">
        <v>18</v>
      </c>
      <c r="AX599" t="s">
        <v>74</v>
      </c>
      <c r="AY599" t="s">
        <v>74</v>
      </c>
      <c r="AZ599" t="s">
        <v>74</v>
      </c>
      <c r="BA599" t="s">
        <v>74</v>
      </c>
      <c r="BB599">
        <v>1751</v>
      </c>
      <c r="BC599">
        <v>1762</v>
      </c>
      <c r="BD599" t="s">
        <v>74</v>
      </c>
      <c r="BE599" t="s">
        <v>11738</v>
      </c>
      <c r="BF599" t="str">
        <f>HYPERLINK("http://dx.doi.org/10.1080/00036846.2016.1226488","http://dx.doi.org/10.1080/00036846.2016.1226488")</f>
        <v>http://dx.doi.org/10.1080/00036846.2016.1226488</v>
      </c>
      <c r="BG599" t="s">
        <v>74</v>
      </c>
      <c r="BH599" t="s">
        <v>74</v>
      </c>
      <c r="BI599">
        <v>12</v>
      </c>
      <c r="BJ599" t="s">
        <v>291</v>
      </c>
      <c r="BK599" t="s">
        <v>99</v>
      </c>
      <c r="BL599" t="s">
        <v>100</v>
      </c>
      <c r="BM599" t="s">
        <v>11739</v>
      </c>
      <c r="BN599" t="s">
        <v>74</v>
      </c>
      <c r="BO599" t="s">
        <v>74</v>
      </c>
      <c r="BP599" t="s">
        <v>74</v>
      </c>
      <c r="BQ599" t="s">
        <v>74</v>
      </c>
      <c r="BR599" t="s">
        <v>102</v>
      </c>
      <c r="BS599" t="s">
        <v>11740</v>
      </c>
      <c r="BT599" t="str">
        <f>HYPERLINK("https%3A%2F%2Fwww.webofscience.com%2Fwos%2Fwoscc%2Ffull-record%2FWOS:000394350300002","View Full Record in Web of Science")</f>
        <v>View Full Record in Web of Science</v>
      </c>
    </row>
    <row r="600" spans="1:72" x14ac:dyDescent="0.25">
      <c r="A600" t="s">
        <v>132</v>
      </c>
      <c r="B600" t="s">
        <v>11741</v>
      </c>
      <c r="C600" t="s">
        <v>74</v>
      </c>
      <c r="D600" t="s">
        <v>11742</v>
      </c>
      <c r="E600" t="s">
        <v>74</v>
      </c>
      <c r="F600" t="s">
        <v>11743</v>
      </c>
      <c r="G600" t="s">
        <v>74</v>
      </c>
      <c r="H600" t="s">
        <v>74</v>
      </c>
      <c r="I600" t="s">
        <v>11744</v>
      </c>
      <c r="J600" t="s">
        <v>11745</v>
      </c>
      <c r="K600" t="s">
        <v>11746</v>
      </c>
      <c r="L600" t="s">
        <v>74</v>
      </c>
      <c r="M600" t="s">
        <v>78</v>
      </c>
      <c r="N600" t="s">
        <v>138</v>
      </c>
      <c r="O600" t="s">
        <v>11747</v>
      </c>
      <c r="P600" t="s">
        <v>11748</v>
      </c>
      <c r="Q600" t="s">
        <v>11749</v>
      </c>
      <c r="R600" t="s">
        <v>74</v>
      </c>
      <c r="S600" t="s">
        <v>11750</v>
      </c>
      <c r="T600" t="s">
        <v>11751</v>
      </c>
      <c r="U600" t="s">
        <v>74</v>
      </c>
      <c r="V600" t="s">
        <v>11752</v>
      </c>
      <c r="W600" t="s">
        <v>11753</v>
      </c>
      <c r="X600" t="s">
        <v>2854</v>
      </c>
      <c r="Y600" t="s">
        <v>11754</v>
      </c>
      <c r="Z600" t="s">
        <v>11755</v>
      </c>
      <c r="AA600" t="s">
        <v>74</v>
      </c>
      <c r="AB600" t="s">
        <v>74</v>
      </c>
      <c r="AC600" t="s">
        <v>74</v>
      </c>
      <c r="AD600" t="s">
        <v>74</v>
      </c>
      <c r="AE600" t="s">
        <v>74</v>
      </c>
      <c r="AF600" t="s">
        <v>74</v>
      </c>
      <c r="AG600">
        <v>55</v>
      </c>
      <c r="AH600">
        <v>3</v>
      </c>
      <c r="AI600">
        <v>3</v>
      </c>
      <c r="AJ600">
        <v>0</v>
      </c>
      <c r="AK600">
        <v>6</v>
      </c>
      <c r="AL600" t="s">
        <v>11756</v>
      </c>
      <c r="AM600" t="s">
        <v>11757</v>
      </c>
      <c r="AN600" t="s">
        <v>11758</v>
      </c>
      <c r="AO600" t="s">
        <v>11759</v>
      </c>
      <c r="AP600" t="s">
        <v>74</v>
      </c>
      <c r="AQ600" t="s">
        <v>11760</v>
      </c>
      <c r="AR600" t="s">
        <v>11761</v>
      </c>
      <c r="AS600" t="s">
        <v>74</v>
      </c>
      <c r="AT600" t="s">
        <v>74</v>
      </c>
      <c r="AU600">
        <v>2020</v>
      </c>
      <c r="AV600">
        <v>4</v>
      </c>
      <c r="AW600" t="s">
        <v>74</v>
      </c>
      <c r="AX600" t="s">
        <v>74</v>
      </c>
      <c r="AY600" t="s">
        <v>74</v>
      </c>
      <c r="AZ600" t="s">
        <v>74</v>
      </c>
      <c r="BA600" t="s">
        <v>74</v>
      </c>
      <c r="BB600">
        <v>917</v>
      </c>
      <c r="BC600">
        <v>946</v>
      </c>
      <c r="BD600" t="s">
        <v>74</v>
      </c>
      <c r="BE600" t="s">
        <v>74</v>
      </c>
      <c r="BF600" t="s">
        <v>74</v>
      </c>
      <c r="BG600" t="s">
        <v>74</v>
      </c>
      <c r="BH600" t="s">
        <v>74</v>
      </c>
      <c r="BI600">
        <v>30</v>
      </c>
      <c r="BJ600" t="s">
        <v>182</v>
      </c>
      <c r="BK600" t="s">
        <v>183</v>
      </c>
      <c r="BL600" t="s">
        <v>184</v>
      </c>
      <c r="BM600" t="s">
        <v>11762</v>
      </c>
      <c r="BN600" t="s">
        <v>74</v>
      </c>
      <c r="BO600" t="s">
        <v>74</v>
      </c>
      <c r="BP600" t="s">
        <v>74</v>
      </c>
      <c r="BQ600" t="s">
        <v>74</v>
      </c>
      <c r="BR600" t="s">
        <v>102</v>
      </c>
      <c r="BS600" t="s">
        <v>11763</v>
      </c>
      <c r="BT600" t="str">
        <f>HYPERLINK("https%3A%2F%2Fwww.webofscience.com%2Fwos%2Fwoscc%2Ffull-record%2FWOS:000675380500037","View Full Record in Web of Science")</f>
        <v>View Full Record in Web of Science</v>
      </c>
    </row>
    <row r="601" spans="1:72" x14ac:dyDescent="0.25">
      <c r="A601" t="s">
        <v>72</v>
      </c>
      <c r="B601" t="s">
        <v>11764</v>
      </c>
      <c r="C601" t="s">
        <v>74</v>
      </c>
      <c r="D601" t="s">
        <v>74</v>
      </c>
      <c r="E601" t="s">
        <v>74</v>
      </c>
      <c r="F601" t="s">
        <v>11765</v>
      </c>
      <c r="G601" t="s">
        <v>74</v>
      </c>
      <c r="H601" t="s">
        <v>74</v>
      </c>
      <c r="I601" t="s">
        <v>11766</v>
      </c>
      <c r="J601" t="s">
        <v>656</v>
      </c>
      <c r="K601" t="s">
        <v>74</v>
      </c>
      <c r="L601" t="s">
        <v>74</v>
      </c>
      <c r="M601" t="s">
        <v>78</v>
      </c>
      <c r="N601" t="s">
        <v>79</v>
      </c>
      <c r="O601" t="s">
        <v>74</v>
      </c>
      <c r="P601" t="s">
        <v>74</v>
      </c>
      <c r="Q601" t="s">
        <v>74</v>
      </c>
      <c r="R601" t="s">
        <v>74</v>
      </c>
      <c r="S601" t="s">
        <v>74</v>
      </c>
      <c r="T601" t="s">
        <v>11767</v>
      </c>
      <c r="U601" t="s">
        <v>11768</v>
      </c>
      <c r="V601" t="s">
        <v>11769</v>
      </c>
      <c r="W601" t="s">
        <v>11770</v>
      </c>
      <c r="X601" t="s">
        <v>11771</v>
      </c>
      <c r="Y601" t="s">
        <v>11772</v>
      </c>
      <c r="Z601" t="s">
        <v>11773</v>
      </c>
      <c r="AA601" t="s">
        <v>11774</v>
      </c>
      <c r="AB601" t="s">
        <v>11775</v>
      </c>
      <c r="AC601" t="s">
        <v>74</v>
      </c>
      <c r="AD601" t="s">
        <v>74</v>
      </c>
      <c r="AE601" t="s">
        <v>74</v>
      </c>
      <c r="AF601" t="s">
        <v>74</v>
      </c>
      <c r="AG601">
        <v>70</v>
      </c>
      <c r="AH601">
        <v>24</v>
      </c>
      <c r="AI601">
        <v>31</v>
      </c>
      <c r="AJ601">
        <v>5</v>
      </c>
      <c r="AK601">
        <v>38</v>
      </c>
      <c r="AL601" t="s">
        <v>666</v>
      </c>
      <c r="AM601" t="s">
        <v>667</v>
      </c>
      <c r="AN601" t="s">
        <v>668</v>
      </c>
      <c r="AO601" t="s">
        <v>669</v>
      </c>
      <c r="AP601" t="s">
        <v>670</v>
      </c>
      <c r="AQ601" t="s">
        <v>74</v>
      </c>
      <c r="AR601" t="s">
        <v>671</v>
      </c>
      <c r="AS601" t="s">
        <v>672</v>
      </c>
      <c r="AT601" t="s">
        <v>124</v>
      </c>
      <c r="AU601">
        <v>2022</v>
      </c>
      <c r="AV601">
        <v>43</v>
      </c>
      <c r="AW601">
        <v>4</v>
      </c>
      <c r="AX601" t="s">
        <v>74</v>
      </c>
      <c r="AY601" t="s">
        <v>74</v>
      </c>
      <c r="AZ601" t="s">
        <v>441</v>
      </c>
      <c r="BA601" t="s">
        <v>74</v>
      </c>
      <c r="BB601">
        <v>716</v>
      </c>
      <c r="BC601">
        <v>729</v>
      </c>
      <c r="BD601" t="s">
        <v>74</v>
      </c>
      <c r="BE601" t="s">
        <v>11776</v>
      </c>
      <c r="BF601" t="str">
        <f>HYPERLINK("http://dx.doi.org/10.1007/s10834-022-09816-5","http://dx.doi.org/10.1007/s10834-022-09816-5")</f>
        <v>http://dx.doi.org/10.1007/s10834-022-09816-5</v>
      </c>
      <c r="BG601" t="s">
        <v>74</v>
      </c>
      <c r="BH601" t="s">
        <v>6548</v>
      </c>
      <c r="BI601">
        <v>14</v>
      </c>
      <c r="BJ601" t="s">
        <v>675</v>
      </c>
      <c r="BK601" t="s">
        <v>99</v>
      </c>
      <c r="BL601" t="s">
        <v>676</v>
      </c>
      <c r="BM601" t="s">
        <v>677</v>
      </c>
      <c r="BN601">
        <v>35095251</v>
      </c>
      <c r="BO601" t="s">
        <v>3694</v>
      </c>
      <c r="BP601" t="s">
        <v>74</v>
      </c>
      <c r="BQ601" t="s">
        <v>74</v>
      </c>
      <c r="BR601" t="s">
        <v>102</v>
      </c>
      <c r="BS601" t="s">
        <v>11777</v>
      </c>
      <c r="BT601" t="str">
        <f>HYPERLINK("https%3A%2F%2Fwww.webofscience.com%2Fwos%2Fwoscc%2Ffull-record%2FWOS:000745752100001","View Full Record in Web of Science")</f>
        <v>View Full Record in Web of Science</v>
      </c>
    </row>
    <row r="602" spans="1:72" x14ac:dyDescent="0.25">
      <c r="A602" t="s">
        <v>72</v>
      </c>
      <c r="B602" t="s">
        <v>11778</v>
      </c>
      <c r="C602" t="s">
        <v>74</v>
      </c>
      <c r="D602" t="s">
        <v>74</v>
      </c>
      <c r="E602" t="s">
        <v>74</v>
      </c>
      <c r="F602" t="s">
        <v>11779</v>
      </c>
      <c r="G602" t="s">
        <v>74</v>
      </c>
      <c r="H602" t="s">
        <v>74</v>
      </c>
      <c r="I602" t="s">
        <v>11780</v>
      </c>
      <c r="J602" t="s">
        <v>11074</v>
      </c>
      <c r="K602" t="s">
        <v>74</v>
      </c>
      <c r="L602" t="s">
        <v>74</v>
      </c>
      <c r="M602" t="s">
        <v>78</v>
      </c>
      <c r="N602" t="s">
        <v>79</v>
      </c>
      <c r="O602" t="s">
        <v>74</v>
      </c>
      <c r="P602" t="s">
        <v>74</v>
      </c>
      <c r="Q602" t="s">
        <v>74</v>
      </c>
      <c r="R602" t="s">
        <v>74</v>
      </c>
      <c r="S602" t="s">
        <v>74</v>
      </c>
      <c r="T602" t="s">
        <v>11781</v>
      </c>
      <c r="U602" t="s">
        <v>74</v>
      </c>
      <c r="V602" t="s">
        <v>11782</v>
      </c>
      <c r="W602" t="s">
        <v>11783</v>
      </c>
      <c r="X602" t="s">
        <v>11784</v>
      </c>
      <c r="Y602" t="s">
        <v>11785</v>
      </c>
      <c r="Z602" t="s">
        <v>11786</v>
      </c>
      <c r="AA602" t="s">
        <v>74</v>
      </c>
      <c r="AB602" t="s">
        <v>74</v>
      </c>
      <c r="AC602" t="s">
        <v>74</v>
      </c>
      <c r="AD602" t="s">
        <v>74</v>
      </c>
      <c r="AE602" t="s">
        <v>11787</v>
      </c>
      <c r="AF602" t="s">
        <v>74</v>
      </c>
      <c r="AG602">
        <v>43</v>
      </c>
      <c r="AH602">
        <v>1</v>
      </c>
      <c r="AI602">
        <v>3</v>
      </c>
      <c r="AJ602">
        <v>4</v>
      </c>
      <c r="AK602">
        <v>6</v>
      </c>
      <c r="AL602" t="s">
        <v>89</v>
      </c>
      <c r="AM602" t="s">
        <v>90</v>
      </c>
      <c r="AN602" t="s">
        <v>91</v>
      </c>
      <c r="AO602" t="s">
        <v>11083</v>
      </c>
      <c r="AP602" t="s">
        <v>11084</v>
      </c>
      <c r="AQ602" t="s">
        <v>74</v>
      </c>
      <c r="AR602" t="s">
        <v>11085</v>
      </c>
      <c r="AS602" t="s">
        <v>11086</v>
      </c>
      <c r="AT602" t="s">
        <v>11788</v>
      </c>
      <c r="AU602">
        <v>2025</v>
      </c>
      <c r="AV602">
        <v>27</v>
      </c>
      <c r="AW602">
        <v>4</v>
      </c>
      <c r="AX602" t="s">
        <v>74</v>
      </c>
      <c r="AY602" t="s">
        <v>74</v>
      </c>
      <c r="AZ602" t="s">
        <v>74</v>
      </c>
      <c r="BA602" t="s">
        <v>74</v>
      </c>
      <c r="BB602">
        <v>389</v>
      </c>
      <c r="BC602">
        <v>403</v>
      </c>
      <c r="BD602" t="s">
        <v>74</v>
      </c>
      <c r="BE602" t="s">
        <v>11789</v>
      </c>
      <c r="BF602" t="str">
        <f>HYPERLINK("http://dx.doi.org/10.1108/DPRG-04-2024-0060","http://dx.doi.org/10.1108/DPRG-04-2024-0060")</f>
        <v>http://dx.doi.org/10.1108/DPRG-04-2024-0060</v>
      </c>
      <c r="BG602" t="s">
        <v>74</v>
      </c>
      <c r="BH602" t="s">
        <v>9389</v>
      </c>
      <c r="BI602">
        <v>15</v>
      </c>
      <c r="BJ602" t="s">
        <v>2351</v>
      </c>
      <c r="BK602" t="s">
        <v>313</v>
      </c>
      <c r="BL602" t="s">
        <v>2351</v>
      </c>
      <c r="BM602" t="s">
        <v>11790</v>
      </c>
      <c r="BN602" t="s">
        <v>74</v>
      </c>
      <c r="BO602" t="s">
        <v>74</v>
      </c>
      <c r="BP602" t="s">
        <v>74</v>
      </c>
      <c r="BQ602" t="s">
        <v>74</v>
      </c>
      <c r="BR602" t="s">
        <v>102</v>
      </c>
      <c r="BS602" t="s">
        <v>11791</v>
      </c>
      <c r="BT602" t="str">
        <f>HYPERLINK("https%3A%2F%2Fwww.webofscience.com%2Fwos%2Fwoscc%2Ffull-record%2FWOS:001306234600001","View Full Record in Web of Science")</f>
        <v>View Full Record in Web of Science</v>
      </c>
    </row>
    <row r="603" spans="1:72" x14ac:dyDescent="0.25">
      <c r="A603" t="s">
        <v>132</v>
      </c>
      <c r="B603" t="s">
        <v>11792</v>
      </c>
      <c r="C603" t="s">
        <v>74</v>
      </c>
      <c r="D603" t="s">
        <v>11793</v>
      </c>
      <c r="E603" t="s">
        <v>74</v>
      </c>
      <c r="F603" t="s">
        <v>11794</v>
      </c>
      <c r="G603" t="s">
        <v>74</v>
      </c>
      <c r="H603" t="s">
        <v>74</v>
      </c>
      <c r="I603" t="s">
        <v>11795</v>
      </c>
      <c r="J603" t="s">
        <v>11796</v>
      </c>
      <c r="K603" t="s">
        <v>9649</v>
      </c>
      <c r="L603" t="s">
        <v>74</v>
      </c>
      <c r="M603" t="s">
        <v>78</v>
      </c>
      <c r="N603" t="s">
        <v>138</v>
      </c>
      <c r="O603" t="s">
        <v>11797</v>
      </c>
      <c r="P603" t="s">
        <v>11798</v>
      </c>
      <c r="Q603" t="s">
        <v>11799</v>
      </c>
      <c r="R603" t="s">
        <v>74</v>
      </c>
      <c r="S603" t="s">
        <v>74</v>
      </c>
      <c r="T603" t="s">
        <v>11800</v>
      </c>
      <c r="U603" t="s">
        <v>11801</v>
      </c>
      <c r="V603" t="s">
        <v>11802</v>
      </c>
      <c r="W603" t="s">
        <v>11803</v>
      </c>
      <c r="X603" t="s">
        <v>11804</v>
      </c>
      <c r="Y603" t="s">
        <v>11805</v>
      </c>
      <c r="Z603" t="s">
        <v>11806</v>
      </c>
      <c r="AA603" t="s">
        <v>11807</v>
      </c>
      <c r="AB603" t="s">
        <v>11808</v>
      </c>
      <c r="AC603" t="s">
        <v>74</v>
      </c>
      <c r="AD603" t="s">
        <v>74</v>
      </c>
      <c r="AE603" t="s">
        <v>74</v>
      </c>
      <c r="AF603" t="s">
        <v>74</v>
      </c>
      <c r="AG603">
        <v>45</v>
      </c>
      <c r="AH603">
        <v>0</v>
      </c>
      <c r="AI603">
        <v>0</v>
      </c>
      <c r="AJ603">
        <v>0</v>
      </c>
      <c r="AK603">
        <v>1</v>
      </c>
      <c r="AL603" t="s">
        <v>1062</v>
      </c>
      <c r="AM603" t="s">
        <v>667</v>
      </c>
      <c r="AN603" t="s">
        <v>668</v>
      </c>
      <c r="AO603" t="s">
        <v>9661</v>
      </c>
      <c r="AP603" t="s">
        <v>9662</v>
      </c>
      <c r="AQ603" t="s">
        <v>11809</v>
      </c>
      <c r="AR603" t="s">
        <v>9664</v>
      </c>
      <c r="AS603" t="s">
        <v>74</v>
      </c>
      <c r="AT603" t="s">
        <v>74</v>
      </c>
      <c r="AU603">
        <v>2024</v>
      </c>
      <c r="AV603">
        <v>708</v>
      </c>
      <c r="AW603" t="s">
        <v>74</v>
      </c>
      <c r="AX603" t="s">
        <v>74</v>
      </c>
      <c r="AY603" t="s">
        <v>74</v>
      </c>
      <c r="AZ603" t="s">
        <v>74</v>
      </c>
      <c r="BA603" t="s">
        <v>74</v>
      </c>
      <c r="BB603">
        <v>108</v>
      </c>
      <c r="BC603">
        <v>120</v>
      </c>
      <c r="BD603" t="s">
        <v>74</v>
      </c>
      <c r="BE603" t="s">
        <v>11810</v>
      </c>
      <c r="BF603" t="str">
        <f>HYPERLINK("http://dx.doi.org/10.1007/978-3-031-66982-8_8","http://dx.doi.org/10.1007/978-3-031-66982-8_8")</f>
        <v>http://dx.doi.org/10.1007/978-3-031-66982-8_8</v>
      </c>
      <c r="BG603" t="s">
        <v>74</v>
      </c>
      <c r="BH603" t="s">
        <v>74</v>
      </c>
      <c r="BI603">
        <v>13</v>
      </c>
      <c r="BJ603" t="s">
        <v>11811</v>
      </c>
      <c r="BK603" t="s">
        <v>1069</v>
      </c>
      <c r="BL603" t="s">
        <v>11812</v>
      </c>
      <c r="BM603" t="s">
        <v>11813</v>
      </c>
      <c r="BN603" t="s">
        <v>74</v>
      </c>
      <c r="BO603" t="s">
        <v>1696</v>
      </c>
      <c r="BP603" t="s">
        <v>74</v>
      </c>
      <c r="BQ603" t="s">
        <v>74</v>
      </c>
      <c r="BR603" t="s">
        <v>102</v>
      </c>
      <c r="BS603" t="s">
        <v>11814</v>
      </c>
      <c r="BT603" t="str">
        <f>HYPERLINK("https%3A%2F%2Fwww.webofscience.com%2Fwos%2Fwoscc%2Ffull-record%2FWOS:001307344800008","View Full Record in Web of Science")</f>
        <v>View Full Record in Web of Science</v>
      </c>
    </row>
    <row r="604" spans="1:72" x14ac:dyDescent="0.25">
      <c r="A604" t="s">
        <v>72</v>
      </c>
      <c r="B604" t="s">
        <v>11815</v>
      </c>
      <c r="C604" t="s">
        <v>74</v>
      </c>
      <c r="D604" t="s">
        <v>74</v>
      </c>
      <c r="E604" t="s">
        <v>74</v>
      </c>
      <c r="F604" t="s">
        <v>11816</v>
      </c>
      <c r="G604" t="s">
        <v>74</v>
      </c>
      <c r="H604" t="s">
        <v>74</v>
      </c>
      <c r="I604" t="s">
        <v>11817</v>
      </c>
      <c r="J604" t="s">
        <v>3231</v>
      </c>
      <c r="K604" t="s">
        <v>74</v>
      </c>
      <c r="L604" t="s">
        <v>74</v>
      </c>
      <c r="M604" t="s">
        <v>78</v>
      </c>
      <c r="N604" t="s">
        <v>79</v>
      </c>
      <c r="O604" t="s">
        <v>74</v>
      </c>
      <c r="P604" t="s">
        <v>74</v>
      </c>
      <c r="Q604" t="s">
        <v>74</v>
      </c>
      <c r="R604" t="s">
        <v>74</v>
      </c>
      <c r="S604" t="s">
        <v>74</v>
      </c>
      <c r="T604" t="s">
        <v>11818</v>
      </c>
      <c r="U604" t="s">
        <v>11819</v>
      </c>
      <c r="V604" t="s">
        <v>11820</v>
      </c>
      <c r="W604" t="s">
        <v>11821</v>
      </c>
      <c r="X604" t="s">
        <v>11822</v>
      </c>
      <c r="Y604" t="s">
        <v>11823</v>
      </c>
      <c r="Z604" t="s">
        <v>11824</v>
      </c>
      <c r="AA604" t="s">
        <v>74</v>
      </c>
      <c r="AB604" t="s">
        <v>74</v>
      </c>
      <c r="AC604" t="s">
        <v>74</v>
      </c>
      <c r="AD604" t="s">
        <v>74</v>
      </c>
      <c r="AE604" t="s">
        <v>74</v>
      </c>
      <c r="AF604" t="s">
        <v>74</v>
      </c>
      <c r="AG604">
        <v>43</v>
      </c>
      <c r="AH604">
        <v>8</v>
      </c>
      <c r="AI604">
        <v>9</v>
      </c>
      <c r="AJ604">
        <v>27</v>
      </c>
      <c r="AK604">
        <v>120</v>
      </c>
      <c r="AL604" t="s">
        <v>575</v>
      </c>
      <c r="AM604" t="s">
        <v>576</v>
      </c>
      <c r="AN604" t="s">
        <v>3242</v>
      </c>
      <c r="AO604" t="s">
        <v>74</v>
      </c>
      <c r="AP604" t="s">
        <v>3243</v>
      </c>
      <c r="AQ604" t="s">
        <v>74</v>
      </c>
      <c r="AR604" t="s">
        <v>3244</v>
      </c>
      <c r="AS604" t="s">
        <v>3245</v>
      </c>
      <c r="AT604" t="s">
        <v>237</v>
      </c>
      <c r="AU604">
        <v>2024</v>
      </c>
      <c r="AV604">
        <v>16</v>
      </c>
      <c r="AW604">
        <v>4</v>
      </c>
      <c r="AX604" t="s">
        <v>74</v>
      </c>
      <c r="AY604" t="s">
        <v>74</v>
      </c>
      <c r="AZ604" t="s">
        <v>74</v>
      </c>
      <c r="BA604" t="s">
        <v>74</v>
      </c>
      <c r="BB604" t="s">
        <v>74</v>
      </c>
      <c r="BC604" t="s">
        <v>74</v>
      </c>
      <c r="BD604">
        <v>1404</v>
      </c>
      <c r="BE604" t="s">
        <v>11825</v>
      </c>
      <c r="BF604" t="str">
        <f>HYPERLINK("http://dx.doi.org/10.3390/su16041404","http://dx.doi.org/10.3390/su16041404")</f>
        <v>http://dx.doi.org/10.3390/su16041404</v>
      </c>
      <c r="BG604" t="s">
        <v>74</v>
      </c>
      <c r="BH604" t="s">
        <v>74</v>
      </c>
      <c r="BI604">
        <v>18</v>
      </c>
      <c r="BJ604" t="s">
        <v>3247</v>
      </c>
      <c r="BK604" t="s">
        <v>2623</v>
      </c>
      <c r="BL604" t="s">
        <v>3248</v>
      </c>
      <c r="BM604" t="s">
        <v>11826</v>
      </c>
      <c r="BN604" t="s">
        <v>74</v>
      </c>
      <c r="BO604" t="s">
        <v>212</v>
      </c>
      <c r="BP604" t="s">
        <v>74</v>
      </c>
      <c r="BQ604" t="s">
        <v>74</v>
      </c>
      <c r="BR604" t="s">
        <v>102</v>
      </c>
      <c r="BS604" t="s">
        <v>11827</v>
      </c>
      <c r="BT604" t="str">
        <f>HYPERLINK("https%3A%2F%2Fwww.webofscience.com%2Fwos%2Fwoscc%2Ffull-record%2FWOS:001172340500001","View Full Record in Web of Science")</f>
        <v>View Full Record in Web of Science</v>
      </c>
    </row>
    <row r="605" spans="1:72" x14ac:dyDescent="0.25">
      <c r="A605" t="s">
        <v>72</v>
      </c>
      <c r="B605" t="s">
        <v>11828</v>
      </c>
      <c r="C605" t="s">
        <v>74</v>
      </c>
      <c r="D605" t="s">
        <v>74</v>
      </c>
      <c r="E605" t="s">
        <v>74</v>
      </c>
      <c r="F605" t="s">
        <v>11829</v>
      </c>
      <c r="G605" t="s">
        <v>74</v>
      </c>
      <c r="H605" t="s">
        <v>74</v>
      </c>
      <c r="I605" t="s">
        <v>11830</v>
      </c>
      <c r="J605" t="s">
        <v>4842</v>
      </c>
      <c r="K605" t="s">
        <v>74</v>
      </c>
      <c r="L605" t="s">
        <v>74</v>
      </c>
      <c r="M605" t="s">
        <v>78</v>
      </c>
      <c r="N605" t="s">
        <v>79</v>
      </c>
      <c r="O605" t="s">
        <v>74</v>
      </c>
      <c r="P605" t="s">
        <v>74</v>
      </c>
      <c r="Q605" t="s">
        <v>74</v>
      </c>
      <c r="R605" t="s">
        <v>74</v>
      </c>
      <c r="S605" t="s">
        <v>74</v>
      </c>
      <c r="T605" t="s">
        <v>11831</v>
      </c>
      <c r="U605" t="s">
        <v>11832</v>
      </c>
      <c r="V605" t="s">
        <v>11833</v>
      </c>
      <c r="W605" t="s">
        <v>11834</v>
      </c>
      <c r="X605" t="s">
        <v>11835</v>
      </c>
      <c r="Y605" t="s">
        <v>11836</v>
      </c>
      <c r="Z605" t="s">
        <v>11837</v>
      </c>
      <c r="AA605" t="s">
        <v>74</v>
      </c>
      <c r="AB605" t="s">
        <v>11838</v>
      </c>
      <c r="AC605" t="s">
        <v>74</v>
      </c>
      <c r="AD605" t="s">
        <v>74</v>
      </c>
      <c r="AE605" t="s">
        <v>74</v>
      </c>
      <c r="AF605" t="s">
        <v>74</v>
      </c>
      <c r="AG605">
        <v>97</v>
      </c>
      <c r="AH605">
        <v>3</v>
      </c>
      <c r="AI605">
        <v>4</v>
      </c>
      <c r="AJ605">
        <v>6</v>
      </c>
      <c r="AK605">
        <v>12</v>
      </c>
      <c r="AL605" t="s">
        <v>823</v>
      </c>
      <c r="AM605" t="s">
        <v>333</v>
      </c>
      <c r="AN605" t="s">
        <v>824</v>
      </c>
      <c r="AO605" t="s">
        <v>4853</v>
      </c>
      <c r="AP605" t="s">
        <v>74</v>
      </c>
      <c r="AQ605" t="s">
        <v>74</v>
      </c>
      <c r="AR605" t="s">
        <v>4854</v>
      </c>
      <c r="AS605" t="s">
        <v>4855</v>
      </c>
      <c r="AT605" t="s">
        <v>4856</v>
      </c>
      <c r="AU605">
        <v>2025</v>
      </c>
      <c r="AV605">
        <v>12</v>
      </c>
      <c r="AW605">
        <v>1</v>
      </c>
      <c r="AX605" t="s">
        <v>74</v>
      </c>
      <c r="AY605" t="s">
        <v>74</v>
      </c>
      <c r="AZ605" t="s">
        <v>74</v>
      </c>
      <c r="BA605" t="s">
        <v>74</v>
      </c>
      <c r="BB605" t="s">
        <v>74</v>
      </c>
      <c r="BC605" t="s">
        <v>74</v>
      </c>
      <c r="BD605">
        <v>2448285</v>
      </c>
      <c r="BE605" t="s">
        <v>11839</v>
      </c>
      <c r="BF605" t="str">
        <f>HYPERLINK("http://dx.doi.org/10.1080/23311975.2024.2448285","http://dx.doi.org/10.1080/23311975.2024.2448285")</f>
        <v>http://dx.doi.org/10.1080/23311975.2024.2448285</v>
      </c>
      <c r="BG605" t="s">
        <v>74</v>
      </c>
      <c r="BH605" t="s">
        <v>74</v>
      </c>
      <c r="BI605">
        <v>21</v>
      </c>
      <c r="BJ605" t="s">
        <v>418</v>
      </c>
      <c r="BK605" t="s">
        <v>313</v>
      </c>
      <c r="BL605" t="s">
        <v>100</v>
      </c>
      <c r="BM605" t="s">
        <v>11840</v>
      </c>
      <c r="BN605" t="s">
        <v>74</v>
      </c>
      <c r="BO605" t="s">
        <v>212</v>
      </c>
      <c r="BP605" t="s">
        <v>74</v>
      </c>
      <c r="BQ605" t="s">
        <v>74</v>
      </c>
      <c r="BR605" t="s">
        <v>102</v>
      </c>
      <c r="BS605" t="s">
        <v>11841</v>
      </c>
      <c r="BT605" t="str">
        <f>HYPERLINK("https%3A%2F%2Fwww.webofscience.com%2Fwos%2Fwoscc%2Ffull-record%2FWOS:001388964900001","View Full Record in Web of Science")</f>
        <v>View Full Record in Web of Science</v>
      </c>
    </row>
    <row r="606" spans="1:72" x14ac:dyDescent="0.25">
      <c r="A606" t="s">
        <v>72</v>
      </c>
      <c r="B606" t="s">
        <v>11842</v>
      </c>
      <c r="C606" t="s">
        <v>74</v>
      </c>
      <c r="D606" t="s">
        <v>74</v>
      </c>
      <c r="E606" t="s">
        <v>74</v>
      </c>
      <c r="F606" t="s">
        <v>11843</v>
      </c>
      <c r="G606" t="s">
        <v>74</v>
      </c>
      <c r="H606" t="s">
        <v>74</v>
      </c>
      <c r="I606" t="s">
        <v>11844</v>
      </c>
      <c r="J606" t="s">
        <v>4842</v>
      </c>
      <c r="K606" t="s">
        <v>74</v>
      </c>
      <c r="L606" t="s">
        <v>74</v>
      </c>
      <c r="M606" t="s">
        <v>78</v>
      </c>
      <c r="N606" t="s">
        <v>1766</v>
      </c>
      <c r="O606" t="s">
        <v>74</v>
      </c>
      <c r="P606" t="s">
        <v>74</v>
      </c>
      <c r="Q606" t="s">
        <v>74</v>
      </c>
      <c r="R606" t="s">
        <v>74</v>
      </c>
      <c r="S606" t="s">
        <v>74</v>
      </c>
      <c r="T606" t="s">
        <v>11845</v>
      </c>
      <c r="U606" t="s">
        <v>11846</v>
      </c>
      <c r="V606" t="s">
        <v>11847</v>
      </c>
      <c r="W606" t="s">
        <v>11848</v>
      </c>
      <c r="X606" t="s">
        <v>11849</v>
      </c>
      <c r="Y606" t="s">
        <v>11850</v>
      </c>
      <c r="Z606" t="s">
        <v>11851</v>
      </c>
      <c r="AA606" t="s">
        <v>11852</v>
      </c>
      <c r="AB606" t="s">
        <v>11853</v>
      </c>
      <c r="AC606" t="s">
        <v>11854</v>
      </c>
      <c r="AD606" t="s">
        <v>11854</v>
      </c>
      <c r="AE606" t="s">
        <v>11855</v>
      </c>
      <c r="AF606" t="s">
        <v>74</v>
      </c>
      <c r="AG606">
        <v>84</v>
      </c>
      <c r="AH606">
        <v>0</v>
      </c>
      <c r="AI606">
        <v>0</v>
      </c>
      <c r="AJ606">
        <v>4</v>
      </c>
      <c r="AK606">
        <v>4</v>
      </c>
      <c r="AL606" t="s">
        <v>823</v>
      </c>
      <c r="AM606" t="s">
        <v>333</v>
      </c>
      <c r="AN606" t="s">
        <v>824</v>
      </c>
      <c r="AO606" t="s">
        <v>4853</v>
      </c>
      <c r="AP606" t="s">
        <v>74</v>
      </c>
      <c r="AQ606" t="s">
        <v>74</v>
      </c>
      <c r="AR606" t="s">
        <v>4854</v>
      </c>
      <c r="AS606" t="s">
        <v>4855</v>
      </c>
      <c r="AT606" t="s">
        <v>4856</v>
      </c>
      <c r="AU606">
        <v>2025</v>
      </c>
      <c r="AV606">
        <v>12</v>
      </c>
      <c r="AW606">
        <v>1</v>
      </c>
      <c r="AX606" t="s">
        <v>74</v>
      </c>
      <c r="AY606" t="s">
        <v>74</v>
      </c>
      <c r="AZ606" t="s">
        <v>74</v>
      </c>
      <c r="BA606" t="s">
        <v>74</v>
      </c>
      <c r="BB606" t="s">
        <v>74</v>
      </c>
      <c r="BC606" t="s">
        <v>74</v>
      </c>
      <c r="BD606">
        <v>2557966</v>
      </c>
      <c r="BE606" t="s">
        <v>11856</v>
      </c>
      <c r="BF606" t="str">
        <f>HYPERLINK("http://dx.doi.org/10.1080/23311975.2025.2557966","http://dx.doi.org/10.1080/23311975.2025.2557966")</f>
        <v>http://dx.doi.org/10.1080/23311975.2025.2557966</v>
      </c>
      <c r="BG606" t="s">
        <v>74</v>
      </c>
      <c r="BH606" t="s">
        <v>74</v>
      </c>
      <c r="BI606">
        <v>17</v>
      </c>
      <c r="BJ606" t="s">
        <v>418</v>
      </c>
      <c r="BK606" t="s">
        <v>313</v>
      </c>
      <c r="BL606" t="s">
        <v>100</v>
      </c>
      <c r="BM606" t="s">
        <v>11857</v>
      </c>
      <c r="BN606" t="s">
        <v>74</v>
      </c>
      <c r="BO606" t="s">
        <v>916</v>
      </c>
      <c r="BP606" t="s">
        <v>74</v>
      </c>
      <c r="BQ606" t="s">
        <v>74</v>
      </c>
      <c r="BR606" t="s">
        <v>102</v>
      </c>
      <c r="BS606" t="s">
        <v>11858</v>
      </c>
      <c r="BT606" t="str">
        <f>HYPERLINK("https%3A%2F%2Fwww.webofscience.com%2Fwos%2Fwoscc%2Ffull-record%2FWOS:001569864200001","View Full Record in Web of Science")</f>
        <v>View Full Record in Web of Science</v>
      </c>
    </row>
    <row r="607" spans="1:72" x14ac:dyDescent="0.25">
      <c r="A607" t="s">
        <v>72</v>
      </c>
      <c r="B607" t="s">
        <v>11859</v>
      </c>
      <c r="C607" t="s">
        <v>74</v>
      </c>
      <c r="D607" t="s">
        <v>74</v>
      </c>
      <c r="E607" t="s">
        <v>74</v>
      </c>
      <c r="F607" t="s">
        <v>11860</v>
      </c>
      <c r="G607" t="s">
        <v>74</v>
      </c>
      <c r="H607" t="s">
        <v>74</v>
      </c>
      <c r="I607" t="s">
        <v>11861</v>
      </c>
      <c r="J607" t="s">
        <v>900</v>
      </c>
      <c r="K607" t="s">
        <v>74</v>
      </c>
      <c r="L607" t="s">
        <v>74</v>
      </c>
      <c r="M607" t="s">
        <v>78</v>
      </c>
      <c r="N607" t="s">
        <v>1766</v>
      </c>
      <c r="O607" t="s">
        <v>74</v>
      </c>
      <c r="P607" t="s">
        <v>74</v>
      </c>
      <c r="Q607" t="s">
        <v>74</v>
      </c>
      <c r="R607" t="s">
        <v>74</v>
      </c>
      <c r="S607" t="s">
        <v>74</v>
      </c>
      <c r="T607" t="s">
        <v>11862</v>
      </c>
      <c r="U607" t="s">
        <v>74</v>
      </c>
      <c r="V607" t="s">
        <v>11863</v>
      </c>
      <c r="W607" t="s">
        <v>11864</v>
      </c>
      <c r="X607" t="s">
        <v>11865</v>
      </c>
      <c r="Y607" t="s">
        <v>11866</v>
      </c>
      <c r="Z607" t="s">
        <v>11867</v>
      </c>
      <c r="AA607" t="s">
        <v>11868</v>
      </c>
      <c r="AB607" t="s">
        <v>74</v>
      </c>
      <c r="AC607" t="s">
        <v>11869</v>
      </c>
      <c r="AD607" t="s">
        <v>11870</v>
      </c>
      <c r="AE607" t="s">
        <v>11871</v>
      </c>
      <c r="AF607" t="s">
        <v>74</v>
      </c>
      <c r="AG607">
        <v>49</v>
      </c>
      <c r="AH607">
        <v>1</v>
      </c>
      <c r="AI607">
        <v>1</v>
      </c>
      <c r="AJ607">
        <v>0</v>
      </c>
      <c r="AK607">
        <v>0</v>
      </c>
      <c r="AL607" t="s">
        <v>575</v>
      </c>
      <c r="AM607" t="s">
        <v>576</v>
      </c>
      <c r="AN607" t="s">
        <v>577</v>
      </c>
      <c r="AO607" t="s">
        <v>74</v>
      </c>
      <c r="AP607" t="s">
        <v>4045</v>
      </c>
      <c r="AQ607" t="s">
        <v>74</v>
      </c>
      <c r="AR607" t="s">
        <v>4046</v>
      </c>
      <c r="AS607" t="s">
        <v>4047</v>
      </c>
      <c r="AT607" t="s">
        <v>11872</v>
      </c>
      <c r="AU607">
        <v>2025</v>
      </c>
      <c r="AV607">
        <v>4</v>
      </c>
      <c r="AW607">
        <v>4</v>
      </c>
      <c r="AX607" t="s">
        <v>74</v>
      </c>
      <c r="AY607" t="s">
        <v>74</v>
      </c>
      <c r="AZ607" t="s">
        <v>74</v>
      </c>
      <c r="BA607" t="s">
        <v>74</v>
      </c>
      <c r="BB607" t="s">
        <v>74</v>
      </c>
      <c r="BC607" t="s">
        <v>74</v>
      </c>
      <c r="BD607">
        <v>59</v>
      </c>
      <c r="BE607" t="s">
        <v>11873</v>
      </c>
      <c r="BF607" t="str">
        <f>HYPERLINK("http://dx.doi.org/10.3390/fintech4040059","http://dx.doi.org/10.3390/fintech4040059")</f>
        <v>http://dx.doi.org/10.3390/fintech4040059</v>
      </c>
      <c r="BG607" t="s">
        <v>74</v>
      </c>
      <c r="BH607" t="s">
        <v>74</v>
      </c>
      <c r="BI607">
        <v>18</v>
      </c>
      <c r="BJ607" t="s">
        <v>4049</v>
      </c>
      <c r="BK607" t="s">
        <v>313</v>
      </c>
      <c r="BL607" t="s">
        <v>1070</v>
      </c>
      <c r="BM607" t="s">
        <v>11874</v>
      </c>
      <c r="BN607" t="s">
        <v>74</v>
      </c>
      <c r="BO607" t="s">
        <v>212</v>
      </c>
      <c r="BP607" t="s">
        <v>74</v>
      </c>
      <c r="BQ607" t="s">
        <v>74</v>
      </c>
      <c r="BR607" t="s">
        <v>102</v>
      </c>
      <c r="BS607" t="s">
        <v>11875</v>
      </c>
      <c r="BT607" t="str">
        <f>HYPERLINK("https%3A%2F%2Fwww.webofscience.com%2Fwos%2Fwoscc%2Ffull-record%2FWOS:001647231800001","View Full Record in Web of Science")</f>
        <v>View Full Record in Web of Science</v>
      </c>
    </row>
    <row r="608" spans="1:72" x14ac:dyDescent="0.25">
      <c r="A608" t="s">
        <v>72</v>
      </c>
      <c r="B608" t="s">
        <v>11876</v>
      </c>
      <c r="C608" t="s">
        <v>74</v>
      </c>
      <c r="D608" t="s">
        <v>74</v>
      </c>
      <c r="E608" t="s">
        <v>74</v>
      </c>
      <c r="F608" t="s">
        <v>11877</v>
      </c>
      <c r="G608" t="s">
        <v>74</v>
      </c>
      <c r="H608" t="s">
        <v>74</v>
      </c>
      <c r="I608" t="s">
        <v>11878</v>
      </c>
      <c r="J608" t="s">
        <v>11879</v>
      </c>
      <c r="K608" t="s">
        <v>74</v>
      </c>
      <c r="L608" t="s">
        <v>74</v>
      </c>
      <c r="M608" t="s">
        <v>78</v>
      </c>
      <c r="N608" t="s">
        <v>79</v>
      </c>
      <c r="O608" t="s">
        <v>74</v>
      </c>
      <c r="P608" t="s">
        <v>74</v>
      </c>
      <c r="Q608" t="s">
        <v>74</v>
      </c>
      <c r="R608" t="s">
        <v>74</v>
      </c>
      <c r="S608" t="s">
        <v>74</v>
      </c>
      <c r="T608" t="s">
        <v>11880</v>
      </c>
      <c r="U608" t="s">
        <v>2073</v>
      </c>
      <c r="V608" t="s">
        <v>11881</v>
      </c>
      <c r="W608" t="s">
        <v>11882</v>
      </c>
      <c r="X608" t="s">
        <v>11883</v>
      </c>
      <c r="Y608" t="s">
        <v>11884</v>
      </c>
      <c r="Z608" t="s">
        <v>11885</v>
      </c>
      <c r="AA608" t="s">
        <v>11886</v>
      </c>
      <c r="AB608" t="s">
        <v>74</v>
      </c>
      <c r="AC608" t="s">
        <v>11887</v>
      </c>
      <c r="AD608" t="s">
        <v>11887</v>
      </c>
      <c r="AE608" t="s">
        <v>11888</v>
      </c>
      <c r="AF608" t="s">
        <v>74</v>
      </c>
      <c r="AG608">
        <v>41</v>
      </c>
      <c r="AH608">
        <v>8</v>
      </c>
      <c r="AI608">
        <v>13</v>
      </c>
      <c r="AJ608">
        <v>4</v>
      </c>
      <c r="AK608">
        <v>37</v>
      </c>
      <c r="AL608" t="s">
        <v>201</v>
      </c>
      <c r="AM608" t="s">
        <v>202</v>
      </c>
      <c r="AN608" t="s">
        <v>203</v>
      </c>
      <c r="AO608" t="s">
        <v>11889</v>
      </c>
      <c r="AP608" t="s">
        <v>11890</v>
      </c>
      <c r="AQ608" t="s">
        <v>74</v>
      </c>
      <c r="AR608" t="s">
        <v>11891</v>
      </c>
      <c r="AS608" t="s">
        <v>11892</v>
      </c>
      <c r="AT608" t="s">
        <v>848</v>
      </c>
      <c r="AU608">
        <v>2023</v>
      </c>
      <c r="AV608">
        <v>23</v>
      </c>
      <c r="AW608">
        <v>4</v>
      </c>
      <c r="AX608" t="s">
        <v>74</v>
      </c>
      <c r="AY608" t="s">
        <v>74</v>
      </c>
      <c r="AZ608" t="s">
        <v>74</v>
      </c>
      <c r="BA608" t="s">
        <v>74</v>
      </c>
      <c r="BB608">
        <v>818</v>
      </c>
      <c r="BC608">
        <v>833</v>
      </c>
      <c r="BD608" t="s">
        <v>74</v>
      </c>
      <c r="BE608" t="s">
        <v>11893</v>
      </c>
      <c r="BF608" t="str">
        <f>HYPERLINK("http://dx.doi.org/10.1016/j.bir.2023.02.003","http://dx.doi.org/10.1016/j.bir.2023.02.003")</f>
        <v>http://dx.doi.org/10.1016/j.bir.2023.02.003</v>
      </c>
      <c r="BG608" t="s">
        <v>74</v>
      </c>
      <c r="BH608" t="s">
        <v>700</v>
      </c>
      <c r="BI608">
        <v>16</v>
      </c>
      <c r="BJ608" t="s">
        <v>210</v>
      </c>
      <c r="BK608" t="s">
        <v>99</v>
      </c>
      <c r="BL608" t="s">
        <v>100</v>
      </c>
      <c r="BM608" t="s">
        <v>11894</v>
      </c>
      <c r="BN608" t="s">
        <v>74</v>
      </c>
      <c r="BO608" t="s">
        <v>916</v>
      </c>
      <c r="BP608" t="s">
        <v>74</v>
      </c>
      <c r="BQ608" t="s">
        <v>74</v>
      </c>
      <c r="BR608" t="s">
        <v>102</v>
      </c>
      <c r="BS608" t="s">
        <v>11895</v>
      </c>
      <c r="BT608" t="str">
        <f>HYPERLINK("https%3A%2F%2Fwww.webofscience.com%2Fwos%2Fwoscc%2Ffull-record%2FWOS:001047366500001","View Full Record in Web of Science")</f>
        <v>View Full Record in Web of Science</v>
      </c>
    </row>
    <row r="609" spans="1:72" x14ac:dyDescent="0.25">
      <c r="A609" t="s">
        <v>72</v>
      </c>
      <c r="B609" t="s">
        <v>11896</v>
      </c>
      <c r="C609" t="s">
        <v>74</v>
      </c>
      <c r="D609" t="s">
        <v>74</v>
      </c>
      <c r="E609" t="s">
        <v>74</v>
      </c>
      <c r="F609" t="s">
        <v>11897</v>
      </c>
      <c r="G609" t="s">
        <v>74</v>
      </c>
      <c r="H609" t="s">
        <v>74</v>
      </c>
      <c r="I609" t="s">
        <v>11898</v>
      </c>
      <c r="J609" t="s">
        <v>1168</v>
      </c>
      <c r="K609" t="s">
        <v>74</v>
      </c>
      <c r="L609" t="s">
        <v>74</v>
      </c>
      <c r="M609" t="s">
        <v>78</v>
      </c>
      <c r="N609" t="s">
        <v>372</v>
      </c>
      <c r="O609" t="s">
        <v>74</v>
      </c>
      <c r="P609" t="s">
        <v>74</v>
      </c>
      <c r="Q609" t="s">
        <v>74</v>
      </c>
      <c r="R609" t="s">
        <v>74</v>
      </c>
      <c r="S609" t="s">
        <v>74</v>
      </c>
      <c r="T609" t="s">
        <v>11899</v>
      </c>
      <c r="U609" t="s">
        <v>74</v>
      </c>
      <c r="V609" t="s">
        <v>11900</v>
      </c>
      <c r="W609" t="s">
        <v>11901</v>
      </c>
      <c r="X609" t="s">
        <v>11902</v>
      </c>
      <c r="Y609" t="s">
        <v>11903</v>
      </c>
      <c r="Z609" t="s">
        <v>11904</v>
      </c>
      <c r="AA609" t="s">
        <v>74</v>
      </c>
      <c r="AB609" t="s">
        <v>11905</v>
      </c>
      <c r="AC609" t="s">
        <v>11906</v>
      </c>
      <c r="AD609" t="s">
        <v>11906</v>
      </c>
      <c r="AE609" t="s">
        <v>11907</v>
      </c>
      <c r="AF609" t="s">
        <v>74</v>
      </c>
      <c r="AG609">
        <v>52</v>
      </c>
      <c r="AH609">
        <v>41</v>
      </c>
      <c r="AI609">
        <v>51</v>
      </c>
      <c r="AJ609">
        <v>1</v>
      </c>
      <c r="AK609">
        <v>16</v>
      </c>
      <c r="AL609" t="s">
        <v>332</v>
      </c>
      <c r="AM609" t="s">
        <v>333</v>
      </c>
      <c r="AN609" t="s">
        <v>334</v>
      </c>
      <c r="AO609" t="s">
        <v>1179</v>
      </c>
      <c r="AP609" t="s">
        <v>1180</v>
      </c>
      <c r="AQ609" t="s">
        <v>74</v>
      </c>
      <c r="AR609" t="s">
        <v>1181</v>
      </c>
      <c r="AS609" t="s">
        <v>1182</v>
      </c>
      <c r="AT609" t="s">
        <v>11908</v>
      </c>
      <c r="AU609">
        <v>2022</v>
      </c>
      <c r="AV609" t="s">
        <v>74</v>
      </c>
      <c r="AW609" t="s">
        <v>74</v>
      </c>
      <c r="AX609" t="s">
        <v>74</v>
      </c>
      <c r="AY609" t="s">
        <v>74</v>
      </c>
      <c r="AZ609" t="s">
        <v>74</v>
      </c>
      <c r="BA609" t="s">
        <v>74</v>
      </c>
      <c r="BB609" t="s">
        <v>74</v>
      </c>
      <c r="BC609" t="s">
        <v>74</v>
      </c>
      <c r="BD609" t="s">
        <v>74</v>
      </c>
      <c r="BE609" t="s">
        <v>11909</v>
      </c>
      <c r="BF609" t="str">
        <f>HYPERLINK("http://dx.doi.org/10.1080/15228916.2022.2078938","http://dx.doi.org/10.1080/15228916.2022.2078938")</f>
        <v>http://dx.doi.org/10.1080/15228916.2022.2078938</v>
      </c>
      <c r="BG609" t="s">
        <v>74</v>
      </c>
      <c r="BH609" t="s">
        <v>1091</v>
      </c>
      <c r="BI609">
        <v>19</v>
      </c>
      <c r="BJ609" t="s">
        <v>418</v>
      </c>
      <c r="BK609" t="s">
        <v>313</v>
      </c>
      <c r="BL609" t="s">
        <v>100</v>
      </c>
      <c r="BM609" t="s">
        <v>11910</v>
      </c>
      <c r="BN609" t="s">
        <v>74</v>
      </c>
      <c r="BO609" t="s">
        <v>270</v>
      </c>
      <c r="BP609" t="s">
        <v>74</v>
      </c>
      <c r="BQ609" t="s">
        <v>74</v>
      </c>
      <c r="BR609" t="s">
        <v>102</v>
      </c>
      <c r="BS609" t="s">
        <v>11911</v>
      </c>
      <c r="BT609" t="str">
        <f>HYPERLINK("https%3A%2F%2Fwww.webofscience.com%2Fwos%2Fwoscc%2Ffull-record%2FWOS:000800872000001","View Full Record in Web of Science")</f>
        <v>View Full Record in Web of Science</v>
      </c>
    </row>
    <row r="610" spans="1:72" x14ac:dyDescent="0.25">
      <c r="A610" t="s">
        <v>72</v>
      </c>
      <c r="B610" t="s">
        <v>11912</v>
      </c>
      <c r="C610" t="s">
        <v>74</v>
      </c>
      <c r="D610" t="s">
        <v>74</v>
      </c>
      <c r="E610" t="s">
        <v>74</v>
      </c>
      <c r="F610" t="s">
        <v>11913</v>
      </c>
      <c r="G610" t="s">
        <v>74</v>
      </c>
      <c r="H610" t="s">
        <v>74</v>
      </c>
      <c r="I610" t="s">
        <v>11914</v>
      </c>
      <c r="J610" t="s">
        <v>1266</v>
      </c>
      <c r="K610" t="s">
        <v>74</v>
      </c>
      <c r="L610" t="s">
        <v>74</v>
      </c>
      <c r="M610" t="s">
        <v>78</v>
      </c>
      <c r="N610" t="s">
        <v>79</v>
      </c>
      <c r="O610" t="s">
        <v>74</v>
      </c>
      <c r="P610" t="s">
        <v>74</v>
      </c>
      <c r="Q610" t="s">
        <v>74</v>
      </c>
      <c r="R610" t="s">
        <v>74</v>
      </c>
      <c r="S610" t="s">
        <v>74</v>
      </c>
      <c r="T610" t="s">
        <v>11915</v>
      </c>
      <c r="U610" t="s">
        <v>11916</v>
      </c>
      <c r="V610" t="s">
        <v>11917</v>
      </c>
      <c r="W610" t="s">
        <v>11918</v>
      </c>
      <c r="X610" t="s">
        <v>11919</v>
      </c>
      <c r="Y610" t="s">
        <v>11920</v>
      </c>
      <c r="Z610" t="s">
        <v>11921</v>
      </c>
      <c r="AA610" t="s">
        <v>11922</v>
      </c>
      <c r="AB610" t="s">
        <v>11923</v>
      </c>
      <c r="AC610" t="s">
        <v>11924</v>
      </c>
      <c r="AD610" t="s">
        <v>11925</v>
      </c>
      <c r="AE610" t="s">
        <v>11926</v>
      </c>
      <c r="AF610" t="s">
        <v>74</v>
      </c>
      <c r="AG610">
        <v>42</v>
      </c>
      <c r="AH610">
        <v>12</v>
      </c>
      <c r="AI610">
        <v>14</v>
      </c>
      <c r="AJ610">
        <v>4</v>
      </c>
      <c r="AK610">
        <v>57</v>
      </c>
      <c r="AL610" t="s">
        <v>332</v>
      </c>
      <c r="AM610" t="s">
        <v>333</v>
      </c>
      <c r="AN610" t="s">
        <v>334</v>
      </c>
      <c r="AO610" t="s">
        <v>1277</v>
      </c>
      <c r="AP610" t="s">
        <v>1278</v>
      </c>
      <c r="AQ610" t="s">
        <v>74</v>
      </c>
      <c r="AR610" t="s">
        <v>1279</v>
      </c>
      <c r="AS610" t="s">
        <v>1280</v>
      </c>
      <c r="AT610" t="s">
        <v>11927</v>
      </c>
      <c r="AU610">
        <v>2022</v>
      </c>
      <c r="AV610">
        <v>58</v>
      </c>
      <c r="AW610">
        <v>10</v>
      </c>
      <c r="AX610" t="s">
        <v>74</v>
      </c>
      <c r="AY610" t="s">
        <v>74</v>
      </c>
      <c r="AZ610" t="s">
        <v>74</v>
      </c>
      <c r="BA610" t="s">
        <v>74</v>
      </c>
      <c r="BB610">
        <v>2867</v>
      </c>
      <c r="BC610">
        <v>2879</v>
      </c>
      <c r="BD610" t="s">
        <v>74</v>
      </c>
      <c r="BE610" t="s">
        <v>11928</v>
      </c>
      <c r="BF610" t="str">
        <f>HYPERLINK("http://dx.doi.org/10.1080/1540496X.2021.2013195","http://dx.doi.org/10.1080/1540496X.2021.2013195")</f>
        <v>http://dx.doi.org/10.1080/1540496X.2021.2013195</v>
      </c>
      <c r="BG610" t="s">
        <v>74</v>
      </c>
      <c r="BH610" t="s">
        <v>2730</v>
      </c>
      <c r="BI610">
        <v>13</v>
      </c>
      <c r="BJ610" t="s">
        <v>1283</v>
      </c>
      <c r="BK610" t="s">
        <v>99</v>
      </c>
      <c r="BL610" t="s">
        <v>1284</v>
      </c>
      <c r="BM610" t="s">
        <v>11929</v>
      </c>
      <c r="BN610" t="s">
        <v>74</v>
      </c>
      <c r="BO610" t="s">
        <v>212</v>
      </c>
      <c r="BP610" t="s">
        <v>74</v>
      </c>
      <c r="BQ610" t="s">
        <v>74</v>
      </c>
      <c r="BR610" t="s">
        <v>102</v>
      </c>
      <c r="BS610" t="s">
        <v>11930</v>
      </c>
      <c r="BT610" t="str">
        <f>HYPERLINK("https%3A%2F%2Fwww.webofscience.com%2Fwos%2Fwoscc%2Ffull-record%2FWOS:000736035100001","View Full Record in Web of Science")</f>
        <v>View Full Record in Web of Science</v>
      </c>
    </row>
    <row r="611" spans="1:72" x14ac:dyDescent="0.25">
      <c r="A611" t="s">
        <v>72</v>
      </c>
      <c r="B611" t="s">
        <v>11931</v>
      </c>
      <c r="C611" t="s">
        <v>74</v>
      </c>
      <c r="D611" t="s">
        <v>74</v>
      </c>
      <c r="E611" t="s">
        <v>74</v>
      </c>
      <c r="F611" t="s">
        <v>11932</v>
      </c>
      <c r="G611" t="s">
        <v>74</v>
      </c>
      <c r="H611" t="s">
        <v>74</v>
      </c>
      <c r="I611" t="s">
        <v>11933</v>
      </c>
      <c r="J611" t="s">
        <v>4500</v>
      </c>
      <c r="K611" t="s">
        <v>74</v>
      </c>
      <c r="L611" t="s">
        <v>74</v>
      </c>
      <c r="M611" t="s">
        <v>78</v>
      </c>
      <c r="N611" t="s">
        <v>79</v>
      </c>
      <c r="O611" t="s">
        <v>74</v>
      </c>
      <c r="P611" t="s">
        <v>74</v>
      </c>
      <c r="Q611" t="s">
        <v>74</v>
      </c>
      <c r="R611" t="s">
        <v>74</v>
      </c>
      <c r="S611" t="s">
        <v>74</v>
      </c>
      <c r="T611" t="s">
        <v>74</v>
      </c>
      <c r="U611" t="s">
        <v>74</v>
      </c>
      <c r="V611" t="s">
        <v>11934</v>
      </c>
      <c r="W611" t="s">
        <v>11935</v>
      </c>
      <c r="X611" t="s">
        <v>11936</v>
      </c>
      <c r="Y611" t="s">
        <v>11937</v>
      </c>
      <c r="Z611" t="s">
        <v>11938</v>
      </c>
      <c r="AA611" t="s">
        <v>74</v>
      </c>
      <c r="AB611" t="s">
        <v>11939</v>
      </c>
      <c r="AC611" t="s">
        <v>74</v>
      </c>
      <c r="AD611" t="s">
        <v>74</v>
      </c>
      <c r="AE611" t="s">
        <v>74</v>
      </c>
      <c r="AF611" t="s">
        <v>74</v>
      </c>
      <c r="AG611">
        <v>6</v>
      </c>
      <c r="AH611">
        <v>10</v>
      </c>
      <c r="AI611">
        <v>16</v>
      </c>
      <c r="AJ611">
        <v>0</v>
      </c>
      <c r="AK611">
        <v>17</v>
      </c>
      <c r="AL611" t="s">
        <v>479</v>
      </c>
      <c r="AM611" t="s">
        <v>480</v>
      </c>
      <c r="AN611" t="s">
        <v>481</v>
      </c>
      <c r="AO611" t="s">
        <v>4509</v>
      </c>
      <c r="AP611" t="s">
        <v>4510</v>
      </c>
      <c r="AQ611" t="s">
        <v>74</v>
      </c>
      <c r="AR611" t="s">
        <v>4511</v>
      </c>
      <c r="AS611" t="s">
        <v>4512</v>
      </c>
      <c r="AT611" t="s">
        <v>1540</v>
      </c>
      <c r="AU611">
        <v>2019</v>
      </c>
      <c r="AV611">
        <v>19</v>
      </c>
      <c r="AW611">
        <v>2</v>
      </c>
      <c r="AX611" t="s">
        <v>74</v>
      </c>
      <c r="AY611" t="s">
        <v>74</v>
      </c>
      <c r="AZ611" t="s">
        <v>441</v>
      </c>
      <c r="BA611" t="s">
        <v>74</v>
      </c>
      <c r="BB611" t="s">
        <v>74</v>
      </c>
      <c r="BC611" t="s">
        <v>74</v>
      </c>
      <c r="BD611" t="s">
        <v>11940</v>
      </c>
      <c r="BE611" t="s">
        <v>11941</v>
      </c>
      <c r="BF611" t="str">
        <f>HYPERLINK("http://dx.doi.org/10.1002/pa.1911","http://dx.doi.org/10.1002/pa.1911")</f>
        <v>http://dx.doi.org/10.1002/pa.1911</v>
      </c>
      <c r="BG611" t="s">
        <v>74</v>
      </c>
      <c r="BH611" t="s">
        <v>74</v>
      </c>
      <c r="BI611">
        <v>5</v>
      </c>
      <c r="BJ611" t="s">
        <v>3868</v>
      </c>
      <c r="BK611" t="s">
        <v>313</v>
      </c>
      <c r="BL611" t="s">
        <v>3868</v>
      </c>
      <c r="BM611" t="s">
        <v>11942</v>
      </c>
      <c r="BN611" t="s">
        <v>74</v>
      </c>
      <c r="BO611" t="s">
        <v>74</v>
      </c>
      <c r="BP611" t="s">
        <v>74</v>
      </c>
      <c r="BQ611" t="s">
        <v>74</v>
      </c>
      <c r="BR611" t="s">
        <v>102</v>
      </c>
      <c r="BS611" t="s">
        <v>11943</v>
      </c>
      <c r="BT611" t="str">
        <f>HYPERLINK("https%3A%2F%2Fwww.webofscience.com%2Fwos%2Fwoscc%2Ffull-record%2FWOS:000468839500025","View Full Record in Web of Science")</f>
        <v>View Full Record in Web of Science</v>
      </c>
    </row>
    <row r="612" spans="1:72" x14ac:dyDescent="0.25">
      <c r="A612" t="s">
        <v>72</v>
      </c>
      <c r="B612" t="s">
        <v>11944</v>
      </c>
      <c r="C612" t="s">
        <v>74</v>
      </c>
      <c r="D612" t="s">
        <v>74</v>
      </c>
      <c r="E612" t="s">
        <v>74</v>
      </c>
      <c r="F612" t="s">
        <v>11945</v>
      </c>
      <c r="G612" t="s">
        <v>74</v>
      </c>
      <c r="H612" t="s">
        <v>74</v>
      </c>
      <c r="I612" t="s">
        <v>11946</v>
      </c>
      <c r="J612" t="s">
        <v>11947</v>
      </c>
      <c r="K612" t="s">
        <v>74</v>
      </c>
      <c r="L612" t="s">
        <v>74</v>
      </c>
      <c r="M612" t="s">
        <v>78</v>
      </c>
      <c r="N612" t="s">
        <v>79</v>
      </c>
      <c r="O612" t="s">
        <v>74</v>
      </c>
      <c r="P612" t="s">
        <v>74</v>
      </c>
      <c r="Q612" t="s">
        <v>74</v>
      </c>
      <c r="R612" t="s">
        <v>74</v>
      </c>
      <c r="S612" t="s">
        <v>74</v>
      </c>
      <c r="T612" t="s">
        <v>11948</v>
      </c>
      <c r="U612" t="s">
        <v>74</v>
      </c>
      <c r="V612" t="s">
        <v>11949</v>
      </c>
      <c r="W612" t="s">
        <v>11950</v>
      </c>
      <c r="X612" t="s">
        <v>11951</v>
      </c>
      <c r="Y612" t="s">
        <v>11952</v>
      </c>
      <c r="Z612" t="s">
        <v>74</v>
      </c>
      <c r="AA612" t="s">
        <v>74</v>
      </c>
      <c r="AB612" t="s">
        <v>74</v>
      </c>
      <c r="AC612" t="s">
        <v>74</v>
      </c>
      <c r="AD612" t="s">
        <v>74</v>
      </c>
      <c r="AE612" t="s">
        <v>74</v>
      </c>
      <c r="AF612" t="s">
        <v>74</v>
      </c>
      <c r="AG612">
        <v>13</v>
      </c>
      <c r="AH612">
        <v>7</v>
      </c>
      <c r="AI612">
        <v>9</v>
      </c>
      <c r="AJ612">
        <v>1</v>
      </c>
      <c r="AK612">
        <v>22</v>
      </c>
      <c r="AL612" t="s">
        <v>332</v>
      </c>
      <c r="AM612" t="s">
        <v>333</v>
      </c>
      <c r="AN612" t="s">
        <v>334</v>
      </c>
      <c r="AO612" t="s">
        <v>11953</v>
      </c>
      <c r="AP612" t="s">
        <v>11954</v>
      </c>
      <c r="AQ612" t="s">
        <v>74</v>
      </c>
      <c r="AR612" t="s">
        <v>11955</v>
      </c>
      <c r="AS612" t="s">
        <v>11956</v>
      </c>
      <c r="AT612" t="s">
        <v>4611</v>
      </c>
      <c r="AU612">
        <v>2013</v>
      </c>
      <c r="AV612">
        <v>49</v>
      </c>
      <c r="AW612">
        <v>3</v>
      </c>
      <c r="AX612" t="s">
        <v>74</v>
      </c>
      <c r="AY612" t="s">
        <v>74</v>
      </c>
      <c r="AZ612" t="s">
        <v>74</v>
      </c>
      <c r="BA612" t="s">
        <v>74</v>
      </c>
      <c r="BB612">
        <v>355</v>
      </c>
      <c r="BC612">
        <v>380</v>
      </c>
      <c r="BD612" t="s">
        <v>74</v>
      </c>
      <c r="BE612" t="s">
        <v>11957</v>
      </c>
      <c r="BF612" t="str">
        <f>HYPERLINK("http://dx.doi.org/10.1080/00074918.2013.850633","http://dx.doi.org/10.1080/00074918.2013.850633")</f>
        <v>http://dx.doi.org/10.1080/00074918.2013.850633</v>
      </c>
      <c r="BG612" t="s">
        <v>74</v>
      </c>
      <c r="BH612" t="s">
        <v>74</v>
      </c>
      <c r="BI612">
        <v>26</v>
      </c>
      <c r="BJ612" t="s">
        <v>1871</v>
      </c>
      <c r="BK612" t="s">
        <v>99</v>
      </c>
      <c r="BL612" t="s">
        <v>1872</v>
      </c>
      <c r="BM612" t="s">
        <v>11958</v>
      </c>
      <c r="BN612" t="s">
        <v>74</v>
      </c>
      <c r="BO612" t="s">
        <v>74</v>
      </c>
      <c r="BP612" t="s">
        <v>74</v>
      </c>
      <c r="BQ612" t="s">
        <v>74</v>
      </c>
      <c r="BR612" t="s">
        <v>102</v>
      </c>
      <c r="BS612" t="s">
        <v>11959</v>
      </c>
      <c r="BT612" t="str">
        <f>HYPERLINK("https%3A%2F%2Fwww.webofscience.com%2Fwos%2Fwoscc%2Ffull-record%2FWOS:000328192900006","View Full Record in Web of Science")</f>
        <v>View Full Record in Web of Science</v>
      </c>
    </row>
    <row r="613" spans="1:72" x14ac:dyDescent="0.25">
      <c r="A613" t="s">
        <v>72</v>
      </c>
      <c r="B613" t="s">
        <v>11960</v>
      </c>
      <c r="C613" t="s">
        <v>74</v>
      </c>
      <c r="D613" t="s">
        <v>74</v>
      </c>
      <c r="E613" t="s">
        <v>74</v>
      </c>
      <c r="F613" t="s">
        <v>11961</v>
      </c>
      <c r="G613" t="s">
        <v>74</v>
      </c>
      <c r="H613" t="s">
        <v>74</v>
      </c>
      <c r="I613" t="s">
        <v>11962</v>
      </c>
      <c r="J613" t="s">
        <v>1902</v>
      </c>
      <c r="K613" t="s">
        <v>74</v>
      </c>
      <c r="L613" t="s">
        <v>74</v>
      </c>
      <c r="M613" t="s">
        <v>78</v>
      </c>
      <c r="N613" t="s">
        <v>79</v>
      </c>
      <c r="O613" t="s">
        <v>74</v>
      </c>
      <c r="P613" t="s">
        <v>74</v>
      </c>
      <c r="Q613" t="s">
        <v>74</v>
      </c>
      <c r="R613" t="s">
        <v>74</v>
      </c>
      <c r="S613" t="s">
        <v>74</v>
      </c>
      <c r="T613" t="s">
        <v>11963</v>
      </c>
      <c r="U613" t="s">
        <v>11964</v>
      </c>
      <c r="V613" t="s">
        <v>11965</v>
      </c>
      <c r="W613" t="s">
        <v>11966</v>
      </c>
      <c r="X613" t="s">
        <v>11967</v>
      </c>
      <c r="Y613" t="s">
        <v>11968</v>
      </c>
      <c r="Z613" t="s">
        <v>11969</v>
      </c>
      <c r="AA613" t="s">
        <v>11970</v>
      </c>
      <c r="AB613" t="s">
        <v>74</v>
      </c>
      <c r="AC613" t="s">
        <v>11971</v>
      </c>
      <c r="AD613" t="s">
        <v>11972</v>
      </c>
      <c r="AE613" t="s">
        <v>11973</v>
      </c>
      <c r="AF613" t="s">
        <v>74</v>
      </c>
      <c r="AG613">
        <v>50</v>
      </c>
      <c r="AH613">
        <v>12</v>
      </c>
      <c r="AI613">
        <v>13</v>
      </c>
      <c r="AJ613">
        <v>2</v>
      </c>
      <c r="AK613">
        <v>22</v>
      </c>
      <c r="AL613" t="s">
        <v>89</v>
      </c>
      <c r="AM613" t="s">
        <v>90</v>
      </c>
      <c r="AN613" t="s">
        <v>91</v>
      </c>
      <c r="AO613" t="s">
        <v>1910</v>
      </c>
      <c r="AP613" t="s">
        <v>1911</v>
      </c>
      <c r="AQ613" t="s">
        <v>74</v>
      </c>
      <c r="AR613" t="s">
        <v>1912</v>
      </c>
      <c r="AS613" t="s">
        <v>1913</v>
      </c>
      <c r="AT613" t="s">
        <v>11974</v>
      </c>
      <c r="AU613">
        <v>2024</v>
      </c>
      <c r="AV613">
        <v>16</v>
      </c>
      <c r="AW613">
        <v>2</v>
      </c>
      <c r="AX613" t="s">
        <v>74</v>
      </c>
      <c r="AY613" t="s">
        <v>74</v>
      </c>
      <c r="AZ613" t="s">
        <v>74</v>
      </c>
      <c r="BA613" t="s">
        <v>74</v>
      </c>
      <c r="BB613">
        <v>247</v>
      </c>
      <c r="BC613">
        <v>271</v>
      </c>
      <c r="BD613" t="s">
        <v>74</v>
      </c>
      <c r="BE613" t="s">
        <v>11975</v>
      </c>
      <c r="BF613" t="str">
        <f>HYPERLINK("http://dx.doi.org/10.1108/JFEP-07-2023-0176","http://dx.doi.org/10.1108/JFEP-07-2023-0176")</f>
        <v>http://dx.doi.org/10.1108/JFEP-07-2023-0176</v>
      </c>
      <c r="BG613" t="s">
        <v>74</v>
      </c>
      <c r="BH613" t="s">
        <v>1524</v>
      </c>
      <c r="BI613">
        <v>25</v>
      </c>
      <c r="BJ613" t="s">
        <v>291</v>
      </c>
      <c r="BK613" t="s">
        <v>313</v>
      </c>
      <c r="BL613" t="s">
        <v>100</v>
      </c>
      <c r="BM613" t="s">
        <v>11976</v>
      </c>
      <c r="BN613" t="s">
        <v>74</v>
      </c>
      <c r="BO613" t="s">
        <v>74</v>
      </c>
      <c r="BP613" t="s">
        <v>74</v>
      </c>
      <c r="BQ613" t="s">
        <v>74</v>
      </c>
      <c r="BR613" t="s">
        <v>102</v>
      </c>
      <c r="BS613" t="s">
        <v>11977</v>
      </c>
      <c r="BT613" t="str">
        <f>HYPERLINK("https%3A%2F%2Fwww.webofscience.com%2Fwos%2Fwoscc%2Ffull-record%2FWOS:001130137300001","View Full Record in Web of Science")</f>
        <v>View Full Record in Web of Science</v>
      </c>
    </row>
    <row r="614" spans="1:72" x14ac:dyDescent="0.25">
      <c r="A614" t="s">
        <v>72</v>
      </c>
      <c r="B614" t="s">
        <v>11978</v>
      </c>
      <c r="C614" t="s">
        <v>74</v>
      </c>
      <c r="D614" t="s">
        <v>74</v>
      </c>
      <c r="E614" t="s">
        <v>74</v>
      </c>
      <c r="F614" t="s">
        <v>11979</v>
      </c>
      <c r="G614" t="s">
        <v>74</v>
      </c>
      <c r="H614" t="s">
        <v>74</v>
      </c>
      <c r="I614" t="s">
        <v>11980</v>
      </c>
      <c r="J614" t="s">
        <v>1143</v>
      </c>
      <c r="K614" t="s">
        <v>74</v>
      </c>
      <c r="L614" t="s">
        <v>74</v>
      </c>
      <c r="M614" t="s">
        <v>78</v>
      </c>
      <c r="N614" t="s">
        <v>79</v>
      </c>
      <c r="O614" t="s">
        <v>74</v>
      </c>
      <c r="P614" t="s">
        <v>74</v>
      </c>
      <c r="Q614" t="s">
        <v>74</v>
      </c>
      <c r="R614" t="s">
        <v>74</v>
      </c>
      <c r="S614" t="s">
        <v>74</v>
      </c>
      <c r="T614" t="s">
        <v>11981</v>
      </c>
      <c r="U614" t="s">
        <v>11982</v>
      </c>
      <c r="V614" t="s">
        <v>11983</v>
      </c>
      <c r="W614" t="s">
        <v>11984</v>
      </c>
      <c r="X614" t="s">
        <v>11985</v>
      </c>
      <c r="Y614" t="s">
        <v>11986</v>
      </c>
      <c r="Z614" t="s">
        <v>11987</v>
      </c>
      <c r="AA614" t="s">
        <v>74</v>
      </c>
      <c r="AB614" t="s">
        <v>74</v>
      </c>
      <c r="AC614" t="s">
        <v>11988</v>
      </c>
      <c r="AD614" t="s">
        <v>11989</v>
      </c>
      <c r="AE614" t="s">
        <v>11990</v>
      </c>
      <c r="AF614" t="s">
        <v>74</v>
      </c>
      <c r="AG614">
        <v>75</v>
      </c>
      <c r="AH614">
        <v>43</v>
      </c>
      <c r="AI614">
        <v>49</v>
      </c>
      <c r="AJ614">
        <v>7</v>
      </c>
      <c r="AK614">
        <v>169</v>
      </c>
      <c r="AL614" t="s">
        <v>385</v>
      </c>
      <c r="AM614" t="s">
        <v>1153</v>
      </c>
      <c r="AN614" t="s">
        <v>1154</v>
      </c>
      <c r="AO614" t="s">
        <v>1155</v>
      </c>
      <c r="AP614" t="s">
        <v>1156</v>
      </c>
      <c r="AQ614" t="s">
        <v>74</v>
      </c>
      <c r="AR614" t="s">
        <v>1157</v>
      </c>
      <c r="AS614" t="s">
        <v>1158</v>
      </c>
      <c r="AT614" t="s">
        <v>208</v>
      </c>
      <c r="AU614">
        <v>2023</v>
      </c>
      <c r="AV614">
        <v>165</v>
      </c>
      <c r="AW614">
        <v>2</v>
      </c>
      <c r="AX614" t="s">
        <v>74</v>
      </c>
      <c r="AY614" t="s">
        <v>74</v>
      </c>
      <c r="AZ614" t="s">
        <v>74</v>
      </c>
      <c r="BA614" t="s">
        <v>74</v>
      </c>
      <c r="BB614">
        <v>377</v>
      </c>
      <c r="BC614">
        <v>407</v>
      </c>
      <c r="BD614" t="s">
        <v>74</v>
      </c>
      <c r="BE614" t="s">
        <v>11991</v>
      </c>
      <c r="BF614" t="str">
        <f>HYPERLINK("http://dx.doi.org/10.1007/s11205-022-03019-z","http://dx.doi.org/10.1007/s11205-022-03019-z")</f>
        <v>http://dx.doi.org/10.1007/s11205-022-03019-z</v>
      </c>
      <c r="BG614" t="s">
        <v>74</v>
      </c>
      <c r="BH614" t="s">
        <v>3050</v>
      </c>
      <c r="BI614">
        <v>31</v>
      </c>
      <c r="BJ614" t="s">
        <v>1161</v>
      </c>
      <c r="BK614" t="s">
        <v>99</v>
      </c>
      <c r="BL614" t="s">
        <v>1162</v>
      </c>
      <c r="BM614" t="s">
        <v>11992</v>
      </c>
      <c r="BN614" t="s">
        <v>74</v>
      </c>
      <c r="BO614" t="s">
        <v>74</v>
      </c>
      <c r="BP614" t="s">
        <v>74</v>
      </c>
      <c r="BQ614" t="s">
        <v>74</v>
      </c>
      <c r="BR614" t="s">
        <v>102</v>
      </c>
      <c r="BS614" t="s">
        <v>11993</v>
      </c>
      <c r="BT614" t="str">
        <f>HYPERLINK("https%3A%2F%2Fwww.webofscience.com%2Fwos%2Fwoscc%2Ffull-record%2FWOS:000869229400001","View Full Record in Web of Science")</f>
        <v>View Full Record in Web of Science</v>
      </c>
    </row>
    <row r="615" spans="1:72" x14ac:dyDescent="0.25">
      <c r="A615" t="s">
        <v>72</v>
      </c>
      <c r="B615" t="s">
        <v>11994</v>
      </c>
      <c r="C615" t="s">
        <v>74</v>
      </c>
      <c r="D615" t="s">
        <v>74</v>
      </c>
      <c r="E615" t="s">
        <v>74</v>
      </c>
      <c r="F615" t="s">
        <v>11995</v>
      </c>
      <c r="G615" t="s">
        <v>74</v>
      </c>
      <c r="H615" t="s">
        <v>74</v>
      </c>
      <c r="I615" t="s">
        <v>11996</v>
      </c>
      <c r="J615" t="s">
        <v>11997</v>
      </c>
      <c r="K615" t="s">
        <v>74</v>
      </c>
      <c r="L615" t="s">
        <v>74</v>
      </c>
      <c r="M615" t="s">
        <v>78</v>
      </c>
      <c r="N615" t="s">
        <v>79</v>
      </c>
      <c r="O615" t="s">
        <v>74</v>
      </c>
      <c r="P615" t="s">
        <v>74</v>
      </c>
      <c r="Q615" t="s">
        <v>74</v>
      </c>
      <c r="R615" t="s">
        <v>74</v>
      </c>
      <c r="S615" t="s">
        <v>74</v>
      </c>
      <c r="T615" t="s">
        <v>11998</v>
      </c>
      <c r="U615" t="s">
        <v>74</v>
      </c>
      <c r="V615" t="s">
        <v>11999</v>
      </c>
      <c r="W615" t="s">
        <v>12000</v>
      </c>
      <c r="X615" t="s">
        <v>12001</v>
      </c>
      <c r="Y615" t="s">
        <v>12002</v>
      </c>
      <c r="Z615" t="s">
        <v>12003</v>
      </c>
      <c r="AA615" t="s">
        <v>12004</v>
      </c>
      <c r="AB615" t="s">
        <v>12005</v>
      </c>
      <c r="AC615" t="s">
        <v>74</v>
      </c>
      <c r="AD615" t="s">
        <v>74</v>
      </c>
      <c r="AE615" t="s">
        <v>74</v>
      </c>
      <c r="AF615" t="s">
        <v>74</v>
      </c>
      <c r="AG615">
        <v>64</v>
      </c>
      <c r="AH615">
        <v>1</v>
      </c>
      <c r="AI615">
        <v>1</v>
      </c>
      <c r="AJ615">
        <v>1</v>
      </c>
      <c r="AK615">
        <v>10</v>
      </c>
      <c r="AL615" t="s">
        <v>12006</v>
      </c>
      <c r="AM615" t="s">
        <v>1953</v>
      </c>
      <c r="AN615" t="s">
        <v>12007</v>
      </c>
      <c r="AO615" t="s">
        <v>74</v>
      </c>
      <c r="AP615" t="s">
        <v>12008</v>
      </c>
      <c r="AQ615" t="s">
        <v>74</v>
      </c>
      <c r="AR615" t="s">
        <v>12009</v>
      </c>
      <c r="AS615" t="s">
        <v>12010</v>
      </c>
      <c r="AT615" t="s">
        <v>891</v>
      </c>
      <c r="AU615">
        <v>2024</v>
      </c>
      <c r="AV615">
        <v>53</v>
      </c>
      <c r="AW615">
        <v>2</v>
      </c>
      <c r="AX615" t="s">
        <v>74</v>
      </c>
      <c r="AY615" t="s">
        <v>74</v>
      </c>
      <c r="AZ615" t="s">
        <v>74</v>
      </c>
      <c r="BA615" t="s">
        <v>74</v>
      </c>
      <c r="BB615" t="s">
        <v>74</v>
      </c>
      <c r="BC615" t="s">
        <v>74</v>
      </c>
      <c r="BD615" t="s">
        <v>74</v>
      </c>
      <c r="BE615" t="s">
        <v>12011</v>
      </c>
      <c r="BF615" t="str">
        <f>HYPERLINK("http://dx.doi.org/10.26650/ibr.2024.53.1232448","http://dx.doi.org/10.26650/ibr.2024.53.1232448")</f>
        <v>http://dx.doi.org/10.26650/ibr.2024.53.1232448</v>
      </c>
      <c r="BG615" t="s">
        <v>74</v>
      </c>
      <c r="BH615" t="s">
        <v>74</v>
      </c>
      <c r="BI615">
        <v>16</v>
      </c>
      <c r="BJ615" t="s">
        <v>268</v>
      </c>
      <c r="BK615" t="s">
        <v>313</v>
      </c>
      <c r="BL615" t="s">
        <v>100</v>
      </c>
      <c r="BM615" t="s">
        <v>12012</v>
      </c>
      <c r="BN615" t="s">
        <v>74</v>
      </c>
      <c r="BO615" t="s">
        <v>212</v>
      </c>
      <c r="BP615" t="s">
        <v>74</v>
      </c>
      <c r="BQ615" t="s">
        <v>74</v>
      </c>
      <c r="BR615" t="s">
        <v>102</v>
      </c>
      <c r="BS615" t="s">
        <v>12013</v>
      </c>
      <c r="BT615" t="str">
        <f>HYPERLINK("https%3A%2F%2Fwww.webofscience.com%2Fwos%2Fwoscc%2Ffull-record%2FWOS:001333691100003","View Full Record in Web of Science")</f>
        <v>View Full Record in Web of Science</v>
      </c>
    </row>
    <row r="616" spans="1:72" x14ac:dyDescent="0.25">
      <c r="A616" t="s">
        <v>72</v>
      </c>
      <c r="B616" t="s">
        <v>11071</v>
      </c>
      <c r="C616" t="s">
        <v>74</v>
      </c>
      <c r="D616" t="s">
        <v>74</v>
      </c>
      <c r="E616" t="s">
        <v>74</v>
      </c>
      <c r="F616" t="s">
        <v>11072</v>
      </c>
      <c r="G616" t="s">
        <v>74</v>
      </c>
      <c r="H616" t="s">
        <v>74</v>
      </c>
      <c r="I616" t="s">
        <v>12014</v>
      </c>
      <c r="J616" t="s">
        <v>6341</v>
      </c>
      <c r="K616" t="s">
        <v>74</v>
      </c>
      <c r="L616" t="s">
        <v>74</v>
      </c>
      <c r="M616" t="s">
        <v>78</v>
      </c>
      <c r="N616" t="s">
        <v>79</v>
      </c>
      <c r="O616" t="s">
        <v>74</v>
      </c>
      <c r="P616" t="s">
        <v>74</v>
      </c>
      <c r="Q616" t="s">
        <v>74</v>
      </c>
      <c r="R616" t="s">
        <v>74</v>
      </c>
      <c r="S616" t="s">
        <v>74</v>
      </c>
      <c r="T616" t="s">
        <v>12015</v>
      </c>
      <c r="U616" t="s">
        <v>12016</v>
      </c>
      <c r="V616" t="s">
        <v>12017</v>
      </c>
      <c r="W616" t="s">
        <v>11324</v>
      </c>
      <c r="X616" t="s">
        <v>11079</v>
      </c>
      <c r="Y616" t="s">
        <v>11325</v>
      </c>
      <c r="Z616" t="s">
        <v>11081</v>
      </c>
      <c r="AA616" t="s">
        <v>12018</v>
      </c>
      <c r="AB616" t="s">
        <v>12019</v>
      </c>
      <c r="AC616" t="s">
        <v>74</v>
      </c>
      <c r="AD616" t="s">
        <v>74</v>
      </c>
      <c r="AE616" t="s">
        <v>74</v>
      </c>
      <c r="AF616" t="s">
        <v>74</v>
      </c>
      <c r="AG616">
        <v>79</v>
      </c>
      <c r="AH616">
        <v>8</v>
      </c>
      <c r="AI616">
        <v>12</v>
      </c>
      <c r="AJ616">
        <v>2</v>
      </c>
      <c r="AK616">
        <v>62</v>
      </c>
      <c r="AL616" t="s">
        <v>3097</v>
      </c>
      <c r="AM616" t="s">
        <v>3098</v>
      </c>
      <c r="AN616" t="s">
        <v>3099</v>
      </c>
      <c r="AO616" t="s">
        <v>74</v>
      </c>
      <c r="AP616" t="s">
        <v>6353</v>
      </c>
      <c r="AQ616" t="s">
        <v>74</v>
      </c>
      <c r="AR616" t="s">
        <v>6354</v>
      </c>
      <c r="AS616" t="s">
        <v>6355</v>
      </c>
      <c r="AT616" t="s">
        <v>2487</v>
      </c>
      <c r="AU616">
        <v>2022</v>
      </c>
      <c r="AV616">
        <v>17</v>
      </c>
      <c r="AW616">
        <v>4</v>
      </c>
      <c r="AX616" t="s">
        <v>74</v>
      </c>
      <c r="AY616" t="s">
        <v>74</v>
      </c>
      <c r="AZ616" t="s">
        <v>74</v>
      </c>
      <c r="BA616" t="s">
        <v>74</v>
      </c>
      <c r="BB616">
        <v>1</v>
      </c>
      <c r="BC616">
        <v>11</v>
      </c>
      <c r="BD616" t="s">
        <v>74</v>
      </c>
      <c r="BE616" t="s">
        <v>12020</v>
      </c>
      <c r="BF616" t="str">
        <f>HYPERLINK("http://dx.doi.org/10.2478/fiqf-2021-0023","http://dx.doi.org/10.2478/fiqf-2021-0023")</f>
        <v>http://dx.doi.org/10.2478/fiqf-2021-0023</v>
      </c>
      <c r="BG616" t="s">
        <v>74</v>
      </c>
      <c r="BH616" t="s">
        <v>74</v>
      </c>
      <c r="BI616">
        <v>11</v>
      </c>
      <c r="BJ616" t="s">
        <v>210</v>
      </c>
      <c r="BK616" t="s">
        <v>313</v>
      </c>
      <c r="BL616" t="s">
        <v>100</v>
      </c>
      <c r="BM616" t="s">
        <v>12021</v>
      </c>
      <c r="BN616" t="s">
        <v>74</v>
      </c>
      <c r="BO616" t="s">
        <v>916</v>
      </c>
      <c r="BP616" t="s">
        <v>74</v>
      </c>
      <c r="BQ616" t="s">
        <v>74</v>
      </c>
      <c r="BR616" t="s">
        <v>102</v>
      </c>
      <c r="BS616" t="s">
        <v>12022</v>
      </c>
      <c r="BT616" t="str">
        <f>HYPERLINK("https%3A%2F%2Fwww.webofscience.com%2Fwos%2Fwoscc%2Ffull-record%2FWOS:000741070400001","View Full Record in Web of Science")</f>
        <v>View Full Record in Web of Science</v>
      </c>
    </row>
    <row r="617" spans="1:72" x14ac:dyDescent="0.25">
      <c r="A617" t="s">
        <v>132</v>
      </c>
      <c r="B617" t="s">
        <v>12023</v>
      </c>
      <c r="C617" t="s">
        <v>74</v>
      </c>
      <c r="D617" t="s">
        <v>12024</v>
      </c>
      <c r="E617" t="s">
        <v>74</v>
      </c>
      <c r="F617" t="s">
        <v>12025</v>
      </c>
      <c r="G617" t="s">
        <v>74</v>
      </c>
      <c r="H617" t="s">
        <v>74</v>
      </c>
      <c r="I617" t="s">
        <v>12026</v>
      </c>
      <c r="J617" t="s">
        <v>12027</v>
      </c>
      <c r="K617" t="s">
        <v>12028</v>
      </c>
      <c r="L617" t="s">
        <v>74</v>
      </c>
      <c r="M617" t="s">
        <v>78</v>
      </c>
      <c r="N617" t="s">
        <v>138</v>
      </c>
      <c r="O617" t="s">
        <v>12029</v>
      </c>
      <c r="P617" t="s">
        <v>12030</v>
      </c>
      <c r="Q617" t="s">
        <v>12031</v>
      </c>
      <c r="R617" t="s">
        <v>74</v>
      </c>
      <c r="S617" t="s">
        <v>74</v>
      </c>
      <c r="T617" t="s">
        <v>12032</v>
      </c>
      <c r="U617" t="s">
        <v>74</v>
      </c>
      <c r="V617" t="s">
        <v>12033</v>
      </c>
      <c r="W617" t="s">
        <v>12034</v>
      </c>
      <c r="X617" t="s">
        <v>12035</v>
      </c>
      <c r="Y617" t="s">
        <v>12036</v>
      </c>
      <c r="Z617" t="s">
        <v>74</v>
      </c>
      <c r="AA617" t="s">
        <v>12037</v>
      </c>
      <c r="AB617" t="s">
        <v>74</v>
      </c>
      <c r="AC617" t="s">
        <v>74</v>
      </c>
      <c r="AD617" t="s">
        <v>74</v>
      </c>
      <c r="AE617" t="s">
        <v>74</v>
      </c>
      <c r="AF617" t="s">
        <v>74</v>
      </c>
      <c r="AG617">
        <v>42</v>
      </c>
      <c r="AH617">
        <v>0</v>
      </c>
      <c r="AI617">
        <v>0</v>
      </c>
      <c r="AJ617">
        <v>0</v>
      </c>
      <c r="AK617">
        <v>0</v>
      </c>
      <c r="AL617" t="s">
        <v>12038</v>
      </c>
      <c r="AM617" t="s">
        <v>12039</v>
      </c>
      <c r="AN617" t="s">
        <v>12040</v>
      </c>
      <c r="AO617" t="s">
        <v>12041</v>
      </c>
      <c r="AP617" t="s">
        <v>74</v>
      </c>
      <c r="AQ617" t="s">
        <v>12042</v>
      </c>
      <c r="AR617" t="s">
        <v>12043</v>
      </c>
      <c r="AS617" t="s">
        <v>74</v>
      </c>
      <c r="AT617" t="s">
        <v>74</v>
      </c>
      <c r="AU617">
        <v>2024</v>
      </c>
      <c r="AV617" t="s">
        <v>74</v>
      </c>
      <c r="AW617" t="s">
        <v>74</v>
      </c>
      <c r="AX617" t="s">
        <v>74</v>
      </c>
      <c r="AY617" t="s">
        <v>74</v>
      </c>
      <c r="AZ617" t="s">
        <v>74</v>
      </c>
      <c r="BA617" t="s">
        <v>74</v>
      </c>
      <c r="BB617">
        <v>2699</v>
      </c>
      <c r="BC617">
        <v>2709</v>
      </c>
      <c r="BD617" t="s">
        <v>74</v>
      </c>
      <c r="BE617" t="s">
        <v>74</v>
      </c>
      <c r="BF617" t="s">
        <v>74</v>
      </c>
      <c r="BG617" t="s">
        <v>74</v>
      </c>
      <c r="BH617" t="s">
        <v>74</v>
      </c>
      <c r="BI617">
        <v>11</v>
      </c>
      <c r="BJ617" t="s">
        <v>12044</v>
      </c>
      <c r="BK617" t="s">
        <v>1069</v>
      </c>
      <c r="BL617" t="s">
        <v>12045</v>
      </c>
      <c r="BM617" t="s">
        <v>12046</v>
      </c>
      <c r="BN617" t="s">
        <v>74</v>
      </c>
      <c r="BO617" t="s">
        <v>74</v>
      </c>
      <c r="BP617" t="s">
        <v>74</v>
      </c>
      <c r="BQ617" t="s">
        <v>74</v>
      </c>
      <c r="BR617" t="s">
        <v>102</v>
      </c>
      <c r="BS617" t="s">
        <v>12047</v>
      </c>
      <c r="BT617" t="str">
        <f>HYPERLINK("https%3A%2F%2Fwww.webofscience.com%2Fwos%2Fwoscc%2Ffull-record%2FWOS:001524978800181","View Full Record in Web of Science")</f>
        <v>View Full Record in Web of Science</v>
      </c>
    </row>
    <row r="618" spans="1:72" x14ac:dyDescent="0.25">
      <c r="A618" t="s">
        <v>72</v>
      </c>
      <c r="B618" t="s">
        <v>12048</v>
      </c>
      <c r="C618" t="s">
        <v>74</v>
      </c>
      <c r="D618" t="s">
        <v>74</v>
      </c>
      <c r="E618" t="s">
        <v>74</v>
      </c>
      <c r="F618" t="s">
        <v>12049</v>
      </c>
      <c r="G618" t="s">
        <v>74</v>
      </c>
      <c r="H618" t="s">
        <v>74</v>
      </c>
      <c r="I618" t="s">
        <v>12050</v>
      </c>
      <c r="J618" t="s">
        <v>3231</v>
      </c>
      <c r="K618" t="s">
        <v>74</v>
      </c>
      <c r="L618" t="s">
        <v>74</v>
      </c>
      <c r="M618" t="s">
        <v>78</v>
      </c>
      <c r="N618" t="s">
        <v>79</v>
      </c>
      <c r="O618" t="s">
        <v>74</v>
      </c>
      <c r="P618" t="s">
        <v>74</v>
      </c>
      <c r="Q618" t="s">
        <v>74</v>
      </c>
      <c r="R618" t="s">
        <v>74</v>
      </c>
      <c r="S618" t="s">
        <v>74</v>
      </c>
      <c r="T618" t="s">
        <v>12051</v>
      </c>
      <c r="U618" t="s">
        <v>12052</v>
      </c>
      <c r="V618" t="s">
        <v>12053</v>
      </c>
      <c r="W618" t="s">
        <v>12054</v>
      </c>
      <c r="X618" t="s">
        <v>12055</v>
      </c>
      <c r="Y618" t="s">
        <v>12056</v>
      </c>
      <c r="Z618" t="s">
        <v>12057</v>
      </c>
      <c r="AA618" t="s">
        <v>12058</v>
      </c>
      <c r="AB618" t="s">
        <v>12059</v>
      </c>
      <c r="AC618" t="s">
        <v>12060</v>
      </c>
      <c r="AD618" t="s">
        <v>12060</v>
      </c>
      <c r="AE618" t="s">
        <v>12061</v>
      </c>
      <c r="AF618" t="s">
        <v>74</v>
      </c>
      <c r="AG618">
        <v>40</v>
      </c>
      <c r="AH618">
        <v>0</v>
      </c>
      <c r="AI618">
        <v>0</v>
      </c>
      <c r="AJ618">
        <v>1</v>
      </c>
      <c r="AK618">
        <v>20</v>
      </c>
      <c r="AL618" t="s">
        <v>575</v>
      </c>
      <c r="AM618" t="s">
        <v>576</v>
      </c>
      <c r="AN618" t="s">
        <v>3242</v>
      </c>
      <c r="AO618" t="s">
        <v>74</v>
      </c>
      <c r="AP618" t="s">
        <v>3243</v>
      </c>
      <c r="AQ618" t="s">
        <v>74</v>
      </c>
      <c r="AR618" t="s">
        <v>3244</v>
      </c>
      <c r="AS618" t="s">
        <v>3245</v>
      </c>
      <c r="AT618" t="s">
        <v>1540</v>
      </c>
      <c r="AU618">
        <v>2024</v>
      </c>
      <c r="AV618">
        <v>16</v>
      </c>
      <c r="AW618">
        <v>9</v>
      </c>
      <c r="AX618" t="s">
        <v>74</v>
      </c>
      <c r="AY618" t="s">
        <v>74</v>
      </c>
      <c r="AZ618" t="s">
        <v>74</v>
      </c>
      <c r="BA618" t="s">
        <v>74</v>
      </c>
      <c r="BB618" t="s">
        <v>74</v>
      </c>
      <c r="BC618" t="s">
        <v>74</v>
      </c>
      <c r="BD618">
        <v>3596</v>
      </c>
      <c r="BE618" t="s">
        <v>12062</v>
      </c>
      <c r="BF618" t="str">
        <f>HYPERLINK("http://dx.doi.org/10.3390/su16093596","http://dx.doi.org/10.3390/su16093596")</f>
        <v>http://dx.doi.org/10.3390/su16093596</v>
      </c>
      <c r="BG618" t="s">
        <v>74</v>
      </c>
      <c r="BH618" t="s">
        <v>74</v>
      </c>
      <c r="BI618">
        <v>16</v>
      </c>
      <c r="BJ618" t="s">
        <v>3247</v>
      </c>
      <c r="BK618" t="s">
        <v>2623</v>
      </c>
      <c r="BL618" t="s">
        <v>3248</v>
      </c>
      <c r="BM618" t="s">
        <v>12063</v>
      </c>
      <c r="BN618" t="s">
        <v>74</v>
      </c>
      <c r="BO618" t="s">
        <v>212</v>
      </c>
      <c r="BP618" t="s">
        <v>74</v>
      </c>
      <c r="BQ618" t="s">
        <v>74</v>
      </c>
      <c r="BR618" t="s">
        <v>102</v>
      </c>
      <c r="BS618" t="s">
        <v>12064</v>
      </c>
      <c r="BT618" t="str">
        <f>HYPERLINK("https%3A%2F%2Fwww.webofscience.com%2Fwos%2Fwoscc%2Ffull-record%2FWOS:001219845300001","View Full Record in Web of Science")</f>
        <v>View Full Record in Web of Science</v>
      </c>
    </row>
    <row r="619" spans="1:72" x14ac:dyDescent="0.25">
      <c r="A619" t="s">
        <v>72</v>
      </c>
      <c r="B619" t="s">
        <v>12065</v>
      </c>
      <c r="C619" t="s">
        <v>74</v>
      </c>
      <c r="D619" t="s">
        <v>74</v>
      </c>
      <c r="E619" t="s">
        <v>74</v>
      </c>
      <c r="F619" t="s">
        <v>12066</v>
      </c>
      <c r="G619" t="s">
        <v>74</v>
      </c>
      <c r="H619" t="s">
        <v>74</v>
      </c>
      <c r="I619" t="s">
        <v>12067</v>
      </c>
      <c r="J619" t="s">
        <v>424</v>
      </c>
      <c r="K619" t="s">
        <v>74</v>
      </c>
      <c r="L619" t="s">
        <v>74</v>
      </c>
      <c r="M619" t="s">
        <v>78</v>
      </c>
      <c r="N619" t="s">
        <v>372</v>
      </c>
      <c r="O619" t="s">
        <v>74</v>
      </c>
      <c r="P619" t="s">
        <v>74</v>
      </c>
      <c r="Q619" t="s">
        <v>74</v>
      </c>
      <c r="R619" t="s">
        <v>74</v>
      </c>
      <c r="S619" t="s">
        <v>74</v>
      </c>
      <c r="T619" t="s">
        <v>12068</v>
      </c>
      <c r="U619" t="s">
        <v>12069</v>
      </c>
      <c r="V619" t="s">
        <v>12070</v>
      </c>
      <c r="W619" t="s">
        <v>12071</v>
      </c>
      <c r="X619" t="s">
        <v>12072</v>
      </c>
      <c r="Y619" t="s">
        <v>12073</v>
      </c>
      <c r="Z619" t="s">
        <v>12074</v>
      </c>
      <c r="AA619" t="s">
        <v>12075</v>
      </c>
      <c r="AB619" t="s">
        <v>74</v>
      </c>
      <c r="AC619" t="s">
        <v>74</v>
      </c>
      <c r="AD619" t="s">
        <v>74</v>
      </c>
      <c r="AE619" t="s">
        <v>74</v>
      </c>
      <c r="AF619" t="s">
        <v>74</v>
      </c>
      <c r="AG619">
        <v>88</v>
      </c>
      <c r="AH619">
        <v>1</v>
      </c>
      <c r="AI619">
        <v>1</v>
      </c>
      <c r="AJ619">
        <v>4</v>
      </c>
      <c r="AK619">
        <v>4</v>
      </c>
      <c r="AL619" t="s">
        <v>89</v>
      </c>
      <c r="AM619" t="s">
        <v>90</v>
      </c>
      <c r="AN619" t="s">
        <v>91</v>
      </c>
      <c r="AO619" t="s">
        <v>436</v>
      </c>
      <c r="AP619" t="s">
        <v>437</v>
      </c>
      <c r="AQ619" t="s">
        <v>74</v>
      </c>
      <c r="AR619" t="s">
        <v>438</v>
      </c>
      <c r="AS619" t="s">
        <v>439</v>
      </c>
      <c r="AT619" t="s">
        <v>12076</v>
      </c>
      <c r="AU619">
        <v>2025</v>
      </c>
      <c r="AV619" t="s">
        <v>74</v>
      </c>
      <c r="AW619" t="s">
        <v>74</v>
      </c>
      <c r="AX619" t="s">
        <v>74</v>
      </c>
      <c r="AY619" t="s">
        <v>74</v>
      </c>
      <c r="AZ619" t="s">
        <v>74</v>
      </c>
      <c r="BA619" t="s">
        <v>74</v>
      </c>
      <c r="BB619" t="s">
        <v>74</v>
      </c>
      <c r="BC619" t="s">
        <v>74</v>
      </c>
      <c r="BD619" t="s">
        <v>74</v>
      </c>
      <c r="BE619" t="s">
        <v>12077</v>
      </c>
      <c r="BF619" t="str">
        <f>HYPERLINK("http://dx.doi.org/10.1108/IJBM-02-2025-0154","http://dx.doi.org/10.1108/IJBM-02-2025-0154")</f>
        <v>http://dx.doi.org/10.1108/IJBM-02-2025-0154</v>
      </c>
      <c r="BG619" t="s">
        <v>74</v>
      </c>
      <c r="BH619" t="s">
        <v>12078</v>
      </c>
      <c r="BI619">
        <v>24</v>
      </c>
      <c r="BJ619" t="s">
        <v>418</v>
      </c>
      <c r="BK619" t="s">
        <v>99</v>
      </c>
      <c r="BL619" t="s">
        <v>100</v>
      </c>
      <c r="BM619" t="s">
        <v>12079</v>
      </c>
      <c r="BN619" t="s">
        <v>74</v>
      </c>
      <c r="BO619" t="s">
        <v>74</v>
      </c>
      <c r="BP619" t="s">
        <v>74</v>
      </c>
      <c r="BQ619" t="s">
        <v>74</v>
      </c>
      <c r="BR619" t="s">
        <v>102</v>
      </c>
      <c r="BS619" t="s">
        <v>12080</v>
      </c>
      <c r="BT619" t="str">
        <f>HYPERLINK("https%3A%2F%2Fwww.webofscience.com%2Fwos%2Fwoscc%2Ffull-record%2FWOS:001590124400001","View Full Record in Web of Science")</f>
        <v>View Full Record in Web of Science</v>
      </c>
    </row>
    <row r="620" spans="1:72" x14ac:dyDescent="0.25">
      <c r="A620" t="s">
        <v>72</v>
      </c>
      <c r="B620" t="s">
        <v>11365</v>
      </c>
      <c r="C620" t="s">
        <v>74</v>
      </c>
      <c r="D620" t="s">
        <v>74</v>
      </c>
      <c r="E620" t="s">
        <v>74</v>
      </c>
      <c r="F620" t="s">
        <v>11366</v>
      </c>
      <c r="G620" t="s">
        <v>74</v>
      </c>
      <c r="H620" t="s">
        <v>74</v>
      </c>
      <c r="I620" t="s">
        <v>12081</v>
      </c>
      <c r="J620" t="s">
        <v>6713</v>
      </c>
      <c r="K620" t="s">
        <v>74</v>
      </c>
      <c r="L620" t="s">
        <v>74</v>
      </c>
      <c r="M620" t="s">
        <v>78</v>
      </c>
      <c r="N620" t="s">
        <v>79</v>
      </c>
      <c r="O620" t="s">
        <v>74</v>
      </c>
      <c r="P620" t="s">
        <v>74</v>
      </c>
      <c r="Q620" t="s">
        <v>74</v>
      </c>
      <c r="R620" t="s">
        <v>74</v>
      </c>
      <c r="S620" t="s">
        <v>74</v>
      </c>
      <c r="T620" t="s">
        <v>3037</v>
      </c>
      <c r="U620" t="s">
        <v>12082</v>
      </c>
      <c r="V620" t="s">
        <v>12083</v>
      </c>
      <c r="W620" t="s">
        <v>12084</v>
      </c>
      <c r="X620" t="s">
        <v>11371</v>
      </c>
      <c r="Y620" t="s">
        <v>12085</v>
      </c>
      <c r="Z620" t="s">
        <v>11372</v>
      </c>
      <c r="AA620" t="s">
        <v>12086</v>
      </c>
      <c r="AB620" t="s">
        <v>12087</v>
      </c>
      <c r="AC620" t="s">
        <v>74</v>
      </c>
      <c r="AD620" t="s">
        <v>74</v>
      </c>
      <c r="AE620" t="s">
        <v>74</v>
      </c>
      <c r="AF620" t="s">
        <v>74</v>
      </c>
      <c r="AG620">
        <v>53</v>
      </c>
      <c r="AH620">
        <v>49</v>
      </c>
      <c r="AI620">
        <v>59</v>
      </c>
      <c r="AJ620">
        <v>1</v>
      </c>
      <c r="AK620">
        <v>27</v>
      </c>
      <c r="AL620" t="s">
        <v>4485</v>
      </c>
      <c r="AM620" t="s">
        <v>231</v>
      </c>
      <c r="AN620" t="s">
        <v>4486</v>
      </c>
      <c r="AO620" t="s">
        <v>6726</v>
      </c>
      <c r="AP620" t="s">
        <v>6727</v>
      </c>
      <c r="AQ620" t="s">
        <v>74</v>
      </c>
      <c r="AR620" t="s">
        <v>6728</v>
      </c>
      <c r="AS620" t="s">
        <v>6729</v>
      </c>
      <c r="AT620" t="s">
        <v>698</v>
      </c>
      <c r="AU620">
        <v>2020</v>
      </c>
      <c r="AV620">
        <v>44</v>
      </c>
      <c r="AW620">
        <v>8</v>
      </c>
      <c r="AX620" t="s">
        <v>74</v>
      </c>
      <c r="AY620" t="s">
        <v>74</v>
      </c>
      <c r="AZ620" t="s">
        <v>74</v>
      </c>
      <c r="BA620" t="s">
        <v>74</v>
      </c>
      <c r="BB620" t="s">
        <v>74</v>
      </c>
      <c r="BC620" t="s">
        <v>74</v>
      </c>
      <c r="BD620">
        <v>102000</v>
      </c>
      <c r="BE620" t="s">
        <v>12088</v>
      </c>
      <c r="BF620" t="str">
        <f>HYPERLINK("http://dx.doi.org/10.1016/j.telpol.2020.102000","http://dx.doi.org/10.1016/j.telpol.2020.102000")</f>
        <v>http://dx.doi.org/10.1016/j.telpol.2020.102000</v>
      </c>
      <c r="BG620" t="s">
        <v>74</v>
      </c>
      <c r="BH620" t="s">
        <v>74</v>
      </c>
      <c r="BI620">
        <v>13</v>
      </c>
      <c r="BJ620" t="s">
        <v>6731</v>
      </c>
      <c r="BK620" t="s">
        <v>2623</v>
      </c>
      <c r="BL620" t="s">
        <v>6731</v>
      </c>
      <c r="BM620" t="s">
        <v>12089</v>
      </c>
      <c r="BN620" t="s">
        <v>74</v>
      </c>
      <c r="BO620" t="s">
        <v>74</v>
      </c>
      <c r="BP620" t="s">
        <v>74</v>
      </c>
      <c r="BQ620" t="s">
        <v>74</v>
      </c>
      <c r="BR620" t="s">
        <v>102</v>
      </c>
      <c r="BS620" t="s">
        <v>12090</v>
      </c>
      <c r="BT620" t="str">
        <f>HYPERLINK("https%3A%2F%2Fwww.webofscience.com%2Fwos%2Fwoscc%2Ffull-record%2FWOS:000575913000004","View Full Record in Web of Science")</f>
        <v>View Full Record in Web of Science</v>
      </c>
    </row>
    <row r="621" spans="1:72" x14ac:dyDescent="0.25">
      <c r="A621" t="s">
        <v>72</v>
      </c>
      <c r="B621" t="s">
        <v>12091</v>
      </c>
      <c r="C621" t="s">
        <v>74</v>
      </c>
      <c r="D621" t="s">
        <v>74</v>
      </c>
      <c r="E621" t="s">
        <v>74</v>
      </c>
      <c r="F621" t="s">
        <v>12092</v>
      </c>
      <c r="G621" t="s">
        <v>74</v>
      </c>
      <c r="H621" t="s">
        <v>74</v>
      </c>
      <c r="I621" t="s">
        <v>12093</v>
      </c>
      <c r="J621" t="s">
        <v>246</v>
      </c>
      <c r="K621" t="s">
        <v>74</v>
      </c>
      <c r="L621" t="s">
        <v>74</v>
      </c>
      <c r="M621" t="s">
        <v>78</v>
      </c>
      <c r="N621" t="s">
        <v>79</v>
      </c>
      <c r="O621" t="s">
        <v>74</v>
      </c>
      <c r="P621" t="s">
        <v>74</v>
      </c>
      <c r="Q621" t="s">
        <v>74</v>
      </c>
      <c r="R621" t="s">
        <v>74</v>
      </c>
      <c r="S621" t="s">
        <v>74</v>
      </c>
      <c r="T621" t="s">
        <v>12094</v>
      </c>
      <c r="U621" t="s">
        <v>12095</v>
      </c>
      <c r="V621" t="s">
        <v>12096</v>
      </c>
      <c r="W621" t="s">
        <v>12097</v>
      </c>
      <c r="X621" t="s">
        <v>12098</v>
      </c>
      <c r="Y621" t="s">
        <v>12099</v>
      </c>
      <c r="Z621" t="s">
        <v>12100</v>
      </c>
      <c r="AA621" t="s">
        <v>74</v>
      </c>
      <c r="AB621" t="s">
        <v>12101</v>
      </c>
      <c r="AC621" t="s">
        <v>74</v>
      </c>
      <c r="AD621" t="s">
        <v>74</v>
      </c>
      <c r="AE621" t="s">
        <v>74</v>
      </c>
      <c r="AF621" t="s">
        <v>74</v>
      </c>
      <c r="AG621">
        <v>22</v>
      </c>
      <c r="AH621">
        <v>7</v>
      </c>
      <c r="AI621">
        <v>8</v>
      </c>
      <c r="AJ621">
        <v>40</v>
      </c>
      <c r="AK621">
        <v>65</v>
      </c>
      <c r="AL621" t="s">
        <v>259</v>
      </c>
      <c r="AM621" t="s">
        <v>260</v>
      </c>
      <c r="AN621" t="s">
        <v>261</v>
      </c>
      <c r="AO621" t="s">
        <v>262</v>
      </c>
      <c r="AP621" t="s">
        <v>263</v>
      </c>
      <c r="AQ621" t="s">
        <v>74</v>
      </c>
      <c r="AR621" t="s">
        <v>264</v>
      </c>
      <c r="AS621" t="s">
        <v>265</v>
      </c>
      <c r="AT621" t="s">
        <v>237</v>
      </c>
      <c r="AU621">
        <v>2025</v>
      </c>
      <c r="AV621">
        <v>72</v>
      </c>
      <c r="AW621" t="s">
        <v>74</v>
      </c>
      <c r="AX621" t="s">
        <v>74</v>
      </c>
      <c r="AY621" t="s">
        <v>74</v>
      </c>
      <c r="AZ621" t="s">
        <v>74</v>
      </c>
      <c r="BA621" t="s">
        <v>74</v>
      </c>
      <c r="BB621" t="s">
        <v>74</v>
      </c>
      <c r="BC621" t="s">
        <v>74</v>
      </c>
      <c r="BD621">
        <v>106614</v>
      </c>
      <c r="BE621" t="s">
        <v>12102</v>
      </c>
      <c r="BF621" t="str">
        <f>HYPERLINK("http://dx.doi.org/10.1016/j.frl.2024.106614","http://dx.doi.org/10.1016/j.frl.2024.106614")</f>
        <v>http://dx.doi.org/10.1016/j.frl.2024.106614</v>
      </c>
      <c r="BG621" t="s">
        <v>74</v>
      </c>
      <c r="BH621" t="s">
        <v>809</v>
      </c>
      <c r="BI621">
        <v>9</v>
      </c>
      <c r="BJ621" t="s">
        <v>268</v>
      </c>
      <c r="BK621" t="s">
        <v>99</v>
      </c>
      <c r="BL621" t="s">
        <v>100</v>
      </c>
      <c r="BM621" t="s">
        <v>12103</v>
      </c>
      <c r="BN621" t="s">
        <v>74</v>
      </c>
      <c r="BO621" t="s">
        <v>74</v>
      </c>
      <c r="BP621" t="s">
        <v>74</v>
      </c>
      <c r="BQ621" t="s">
        <v>74</v>
      </c>
      <c r="BR621" t="s">
        <v>102</v>
      </c>
      <c r="BS621" t="s">
        <v>12104</v>
      </c>
      <c r="BT621" t="str">
        <f>HYPERLINK("https%3A%2F%2Fwww.webofscience.com%2Fwos%2Fwoscc%2Ffull-record%2FWOS:001385929800001","View Full Record in Web of Science")</f>
        <v>View Full Record in Web of Science</v>
      </c>
    </row>
    <row r="622" spans="1:72" x14ac:dyDescent="0.25">
      <c r="A622" t="s">
        <v>72</v>
      </c>
      <c r="B622" t="s">
        <v>12105</v>
      </c>
      <c r="C622" t="s">
        <v>74</v>
      </c>
      <c r="D622" t="s">
        <v>74</v>
      </c>
      <c r="E622" t="s">
        <v>74</v>
      </c>
      <c r="F622" t="s">
        <v>12106</v>
      </c>
      <c r="G622" t="s">
        <v>74</v>
      </c>
      <c r="H622" t="s">
        <v>74</v>
      </c>
      <c r="I622" t="s">
        <v>12107</v>
      </c>
      <c r="J622" t="s">
        <v>12108</v>
      </c>
      <c r="K622" t="s">
        <v>74</v>
      </c>
      <c r="L622" t="s">
        <v>74</v>
      </c>
      <c r="M622" t="s">
        <v>78</v>
      </c>
      <c r="N622" t="s">
        <v>79</v>
      </c>
      <c r="O622" t="s">
        <v>74</v>
      </c>
      <c r="P622" t="s">
        <v>74</v>
      </c>
      <c r="Q622" t="s">
        <v>74</v>
      </c>
      <c r="R622" t="s">
        <v>74</v>
      </c>
      <c r="S622" t="s">
        <v>74</v>
      </c>
      <c r="T622" t="s">
        <v>12109</v>
      </c>
      <c r="U622" t="s">
        <v>74</v>
      </c>
      <c r="V622" t="s">
        <v>12110</v>
      </c>
      <c r="W622" t="s">
        <v>12111</v>
      </c>
      <c r="X622" t="s">
        <v>12112</v>
      </c>
      <c r="Y622" t="s">
        <v>12113</v>
      </c>
      <c r="Z622" t="s">
        <v>12114</v>
      </c>
      <c r="AA622" t="s">
        <v>74</v>
      </c>
      <c r="AB622" t="s">
        <v>74</v>
      </c>
      <c r="AC622" t="s">
        <v>12115</v>
      </c>
      <c r="AD622" t="s">
        <v>12115</v>
      </c>
      <c r="AE622" t="s">
        <v>12116</v>
      </c>
      <c r="AF622" t="s">
        <v>74</v>
      </c>
      <c r="AG622">
        <v>41</v>
      </c>
      <c r="AH622">
        <v>1</v>
      </c>
      <c r="AI622">
        <v>1</v>
      </c>
      <c r="AJ622">
        <v>12</v>
      </c>
      <c r="AK622">
        <v>20</v>
      </c>
      <c r="AL622" t="s">
        <v>4666</v>
      </c>
      <c r="AM622" t="s">
        <v>995</v>
      </c>
      <c r="AN622" t="s">
        <v>4025</v>
      </c>
      <c r="AO622" t="s">
        <v>12117</v>
      </c>
      <c r="AP622" t="s">
        <v>12118</v>
      </c>
      <c r="AQ622" t="s">
        <v>74</v>
      </c>
      <c r="AR622" t="s">
        <v>12119</v>
      </c>
      <c r="AS622" t="s">
        <v>12120</v>
      </c>
      <c r="AT622" t="s">
        <v>605</v>
      </c>
      <c r="AU622">
        <v>2025</v>
      </c>
      <c r="AV622">
        <v>5</v>
      </c>
      <c r="AW622">
        <v>1</v>
      </c>
      <c r="AX622" t="s">
        <v>74</v>
      </c>
      <c r="AY622" t="s">
        <v>74</v>
      </c>
      <c r="AZ622" t="s">
        <v>74</v>
      </c>
      <c r="BA622" t="s">
        <v>74</v>
      </c>
      <c r="BB622">
        <v>63</v>
      </c>
      <c r="BC622">
        <v>81</v>
      </c>
      <c r="BD622" t="s">
        <v>74</v>
      </c>
      <c r="BE622" t="s">
        <v>12121</v>
      </c>
      <c r="BF622" t="str">
        <f>HYPERLINK("http://dx.doi.org/10.1007/s43508-025-00112-0","http://dx.doi.org/10.1007/s43508-025-00112-0")</f>
        <v>http://dx.doi.org/10.1007/s43508-025-00112-0</v>
      </c>
      <c r="BG622" t="s">
        <v>74</v>
      </c>
      <c r="BH622" t="s">
        <v>1485</v>
      </c>
      <c r="BI622">
        <v>19</v>
      </c>
      <c r="BJ622" t="s">
        <v>12122</v>
      </c>
      <c r="BK622" t="s">
        <v>313</v>
      </c>
      <c r="BL622" t="s">
        <v>12123</v>
      </c>
      <c r="BM622" t="s">
        <v>12124</v>
      </c>
      <c r="BN622" t="s">
        <v>74</v>
      </c>
      <c r="BO622" t="s">
        <v>74</v>
      </c>
      <c r="BP622" t="s">
        <v>74</v>
      </c>
      <c r="BQ622" t="s">
        <v>74</v>
      </c>
      <c r="BR622" t="s">
        <v>102</v>
      </c>
      <c r="BS622" t="s">
        <v>12125</v>
      </c>
      <c r="BT622" t="str">
        <f>HYPERLINK("https%3A%2F%2Fwww.webofscience.com%2Fwos%2Fwoscc%2Ffull-record%2FWOS:001470073300001","View Full Record in Web of Science")</f>
        <v>View Full Record in Web of Science</v>
      </c>
    </row>
    <row r="623" spans="1:72" x14ac:dyDescent="0.25">
      <c r="A623" t="s">
        <v>72</v>
      </c>
      <c r="B623" t="s">
        <v>12126</v>
      </c>
      <c r="C623" t="s">
        <v>74</v>
      </c>
      <c r="D623" t="s">
        <v>74</v>
      </c>
      <c r="E623" t="s">
        <v>74</v>
      </c>
      <c r="F623" t="s">
        <v>12127</v>
      </c>
      <c r="G623" t="s">
        <v>74</v>
      </c>
      <c r="H623" t="s">
        <v>74</v>
      </c>
      <c r="I623" t="s">
        <v>12128</v>
      </c>
      <c r="J623" t="s">
        <v>12129</v>
      </c>
      <c r="K623" t="s">
        <v>74</v>
      </c>
      <c r="L623" t="s">
        <v>74</v>
      </c>
      <c r="M623" t="s">
        <v>78</v>
      </c>
      <c r="N623" t="s">
        <v>79</v>
      </c>
      <c r="O623" t="s">
        <v>74</v>
      </c>
      <c r="P623" t="s">
        <v>74</v>
      </c>
      <c r="Q623" t="s">
        <v>74</v>
      </c>
      <c r="R623" t="s">
        <v>74</v>
      </c>
      <c r="S623" t="s">
        <v>74</v>
      </c>
      <c r="T623" t="s">
        <v>12130</v>
      </c>
      <c r="U623" t="s">
        <v>12131</v>
      </c>
      <c r="V623" t="s">
        <v>12132</v>
      </c>
      <c r="W623" t="s">
        <v>12133</v>
      </c>
      <c r="X623" t="s">
        <v>12134</v>
      </c>
      <c r="Y623" t="s">
        <v>12135</v>
      </c>
      <c r="Z623" t="s">
        <v>12136</v>
      </c>
      <c r="AA623" t="s">
        <v>74</v>
      </c>
      <c r="AB623" t="s">
        <v>74</v>
      </c>
      <c r="AC623" t="s">
        <v>12137</v>
      </c>
      <c r="AD623" t="s">
        <v>12138</v>
      </c>
      <c r="AE623" t="s">
        <v>12139</v>
      </c>
      <c r="AF623" t="s">
        <v>74</v>
      </c>
      <c r="AG623">
        <v>47</v>
      </c>
      <c r="AH623">
        <v>21</v>
      </c>
      <c r="AI623">
        <v>23</v>
      </c>
      <c r="AJ623">
        <v>6</v>
      </c>
      <c r="AK623">
        <v>101</v>
      </c>
      <c r="AL623" t="s">
        <v>479</v>
      </c>
      <c r="AM623" t="s">
        <v>480</v>
      </c>
      <c r="AN623" t="s">
        <v>481</v>
      </c>
      <c r="AO623" t="s">
        <v>12140</v>
      </c>
      <c r="AP623" t="s">
        <v>12141</v>
      </c>
      <c r="AQ623" t="s">
        <v>74</v>
      </c>
      <c r="AR623" t="s">
        <v>12142</v>
      </c>
      <c r="AS623" t="s">
        <v>12143</v>
      </c>
      <c r="AT623" t="s">
        <v>1652</v>
      </c>
      <c r="AU623">
        <v>2023</v>
      </c>
      <c r="AV623">
        <v>63</v>
      </c>
      <c r="AW623" t="s">
        <v>74</v>
      </c>
      <c r="AX623" t="s">
        <v>74</v>
      </c>
      <c r="AY623">
        <v>2</v>
      </c>
      <c r="AZ623" t="s">
        <v>74</v>
      </c>
      <c r="BA623" t="s">
        <v>74</v>
      </c>
      <c r="BB623">
        <v>2781</v>
      </c>
      <c r="BC623">
        <v>2799</v>
      </c>
      <c r="BD623" t="s">
        <v>74</v>
      </c>
      <c r="BE623" t="s">
        <v>12144</v>
      </c>
      <c r="BF623" t="str">
        <f>HYPERLINK("http://dx.doi.org/10.1111/acfi.13043","http://dx.doi.org/10.1111/acfi.13043")</f>
        <v>http://dx.doi.org/10.1111/acfi.13043</v>
      </c>
      <c r="BG623" t="s">
        <v>74</v>
      </c>
      <c r="BH623" t="s">
        <v>7904</v>
      </c>
      <c r="BI623">
        <v>19</v>
      </c>
      <c r="BJ623" t="s">
        <v>268</v>
      </c>
      <c r="BK623" t="s">
        <v>99</v>
      </c>
      <c r="BL623" t="s">
        <v>100</v>
      </c>
      <c r="BM623" t="s">
        <v>12145</v>
      </c>
      <c r="BN623" t="s">
        <v>74</v>
      </c>
      <c r="BO623" t="s">
        <v>1205</v>
      </c>
      <c r="BP623" t="s">
        <v>74</v>
      </c>
      <c r="BQ623" t="s">
        <v>74</v>
      </c>
      <c r="BR623" t="s">
        <v>102</v>
      </c>
      <c r="BS623" t="s">
        <v>12146</v>
      </c>
      <c r="BT623" t="str">
        <f>HYPERLINK("https%3A%2F%2Fwww.webofscience.com%2Fwos%2Fwoscc%2Ffull-record%2FWOS:000904002200001","View Full Record in Web of Science")</f>
        <v>View Full Record in Web of Science</v>
      </c>
    </row>
    <row r="624" spans="1:72" x14ac:dyDescent="0.25">
      <c r="A624" t="s">
        <v>72</v>
      </c>
      <c r="B624" t="s">
        <v>12147</v>
      </c>
      <c r="C624" t="s">
        <v>74</v>
      </c>
      <c r="D624" t="s">
        <v>74</v>
      </c>
      <c r="E624" t="s">
        <v>74</v>
      </c>
      <c r="F624" t="s">
        <v>12148</v>
      </c>
      <c r="G624" t="s">
        <v>74</v>
      </c>
      <c r="H624" t="s">
        <v>74</v>
      </c>
      <c r="I624" t="s">
        <v>12149</v>
      </c>
      <c r="J624" t="s">
        <v>12150</v>
      </c>
      <c r="K624" t="s">
        <v>74</v>
      </c>
      <c r="L624" t="s">
        <v>74</v>
      </c>
      <c r="M624" t="s">
        <v>78</v>
      </c>
      <c r="N624" t="s">
        <v>79</v>
      </c>
      <c r="O624" t="s">
        <v>74</v>
      </c>
      <c r="P624" t="s">
        <v>74</v>
      </c>
      <c r="Q624" t="s">
        <v>74</v>
      </c>
      <c r="R624" t="s">
        <v>74</v>
      </c>
      <c r="S624" t="s">
        <v>74</v>
      </c>
      <c r="T624" t="s">
        <v>12151</v>
      </c>
      <c r="U624" t="s">
        <v>12152</v>
      </c>
      <c r="V624" t="s">
        <v>12153</v>
      </c>
      <c r="W624" t="s">
        <v>12154</v>
      </c>
      <c r="X624" t="s">
        <v>7032</v>
      </c>
      <c r="Y624" t="s">
        <v>12155</v>
      </c>
      <c r="Z624" t="s">
        <v>12156</v>
      </c>
      <c r="AA624" t="s">
        <v>74</v>
      </c>
      <c r="AB624" t="s">
        <v>12157</v>
      </c>
      <c r="AC624" t="s">
        <v>12158</v>
      </c>
      <c r="AD624" t="s">
        <v>12159</v>
      </c>
      <c r="AE624" t="s">
        <v>12160</v>
      </c>
      <c r="AF624" t="s">
        <v>74</v>
      </c>
      <c r="AG624">
        <v>103</v>
      </c>
      <c r="AH624">
        <v>13</v>
      </c>
      <c r="AI624">
        <v>13</v>
      </c>
      <c r="AJ624">
        <v>12</v>
      </c>
      <c r="AK624">
        <v>43</v>
      </c>
      <c r="AL624" t="s">
        <v>89</v>
      </c>
      <c r="AM624" t="s">
        <v>90</v>
      </c>
      <c r="AN624" t="s">
        <v>91</v>
      </c>
      <c r="AO624" t="s">
        <v>12161</v>
      </c>
      <c r="AP624" t="s">
        <v>12162</v>
      </c>
      <c r="AQ624" t="s">
        <v>74</v>
      </c>
      <c r="AR624" t="s">
        <v>12163</v>
      </c>
      <c r="AS624" t="s">
        <v>12164</v>
      </c>
      <c r="AT624" t="s">
        <v>12165</v>
      </c>
      <c r="AU624">
        <v>2025</v>
      </c>
      <c r="AV624">
        <v>38</v>
      </c>
      <c r="AW624">
        <v>3</v>
      </c>
      <c r="AX624" t="s">
        <v>74</v>
      </c>
      <c r="AY624" t="s">
        <v>74</v>
      </c>
      <c r="AZ624" t="s">
        <v>74</v>
      </c>
      <c r="BA624" t="s">
        <v>74</v>
      </c>
      <c r="BB624">
        <v>1178</v>
      </c>
      <c r="BC624">
        <v>1207</v>
      </c>
      <c r="BD624" t="s">
        <v>74</v>
      </c>
      <c r="BE624" t="s">
        <v>12166</v>
      </c>
      <c r="BF624" t="str">
        <f>HYPERLINK("http://dx.doi.org/10.1108/ITP-09-2022-0732","http://dx.doi.org/10.1108/ITP-09-2022-0732")</f>
        <v>http://dx.doi.org/10.1108/ITP-09-2022-0732</v>
      </c>
      <c r="BG624" t="s">
        <v>74</v>
      </c>
      <c r="BH624" t="s">
        <v>1981</v>
      </c>
      <c r="BI624">
        <v>30</v>
      </c>
      <c r="BJ624" t="s">
        <v>2351</v>
      </c>
      <c r="BK624" t="s">
        <v>99</v>
      </c>
      <c r="BL624" t="s">
        <v>2351</v>
      </c>
      <c r="BM624" t="s">
        <v>12167</v>
      </c>
      <c r="BN624" t="s">
        <v>74</v>
      </c>
      <c r="BO624" t="s">
        <v>74</v>
      </c>
      <c r="BP624" t="s">
        <v>74</v>
      </c>
      <c r="BQ624" t="s">
        <v>74</v>
      </c>
      <c r="BR624" t="s">
        <v>102</v>
      </c>
      <c r="BS624" t="s">
        <v>12168</v>
      </c>
      <c r="BT624" t="str">
        <f>HYPERLINK("https%3A%2F%2Fwww.webofscience.com%2Fwos%2Fwoscc%2Ffull-record%2FWOS:001186591900001","View Full Record in Web of Science")</f>
        <v>View Full Record in Web of Science</v>
      </c>
    </row>
    <row r="625" spans="1:72" x14ac:dyDescent="0.25">
      <c r="A625" t="s">
        <v>72</v>
      </c>
      <c r="B625" t="s">
        <v>12169</v>
      </c>
      <c r="C625" t="s">
        <v>74</v>
      </c>
      <c r="D625" t="s">
        <v>74</v>
      </c>
      <c r="E625" t="s">
        <v>74</v>
      </c>
      <c r="F625" t="s">
        <v>12170</v>
      </c>
      <c r="G625" t="s">
        <v>74</v>
      </c>
      <c r="H625" t="s">
        <v>74</v>
      </c>
      <c r="I625" t="s">
        <v>12171</v>
      </c>
      <c r="J625" t="s">
        <v>12172</v>
      </c>
      <c r="K625" t="s">
        <v>74</v>
      </c>
      <c r="L625" t="s">
        <v>74</v>
      </c>
      <c r="M625" t="s">
        <v>78</v>
      </c>
      <c r="N625" t="s">
        <v>79</v>
      </c>
      <c r="O625" t="s">
        <v>74</v>
      </c>
      <c r="P625" t="s">
        <v>74</v>
      </c>
      <c r="Q625" t="s">
        <v>74</v>
      </c>
      <c r="R625" t="s">
        <v>74</v>
      </c>
      <c r="S625" t="s">
        <v>74</v>
      </c>
      <c r="T625" t="s">
        <v>12173</v>
      </c>
      <c r="U625" t="s">
        <v>74</v>
      </c>
      <c r="V625" t="s">
        <v>12174</v>
      </c>
      <c r="W625" t="s">
        <v>12175</v>
      </c>
      <c r="X625" t="s">
        <v>12176</v>
      </c>
      <c r="Y625" t="s">
        <v>12177</v>
      </c>
      <c r="Z625" t="s">
        <v>12178</v>
      </c>
      <c r="AA625" t="s">
        <v>74</v>
      </c>
      <c r="AB625" t="s">
        <v>74</v>
      </c>
      <c r="AC625" t="s">
        <v>74</v>
      </c>
      <c r="AD625" t="s">
        <v>74</v>
      </c>
      <c r="AE625" t="s">
        <v>74</v>
      </c>
      <c r="AF625" t="s">
        <v>74</v>
      </c>
      <c r="AG625">
        <v>64</v>
      </c>
      <c r="AH625">
        <v>2</v>
      </c>
      <c r="AI625">
        <v>3</v>
      </c>
      <c r="AJ625">
        <v>6</v>
      </c>
      <c r="AK625">
        <v>7</v>
      </c>
      <c r="AL625" t="s">
        <v>757</v>
      </c>
      <c r="AM625" t="s">
        <v>758</v>
      </c>
      <c r="AN625" t="s">
        <v>759</v>
      </c>
      <c r="AO625" t="s">
        <v>12179</v>
      </c>
      <c r="AP625" t="s">
        <v>74</v>
      </c>
      <c r="AQ625" t="s">
        <v>74</v>
      </c>
      <c r="AR625" t="s">
        <v>12172</v>
      </c>
      <c r="AS625" t="s">
        <v>12180</v>
      </c>
      <c r="AT625" t="s">
        <v>208</v>
      </c>
      <c r="AU625">
        <v>2025</v>
      </c>
      <c r="AV625">
        <v>15</v>
      </c>
      <c r="AW625">
        <v>1</v>
      </c>
      <c r="AX625" t="s">
        <v>74</v>
      </c>
      <c r="AY625" t="s">
        <v>74</v>
      </c>
      <c r="AZ625" t="s">
        <v>74</v>
      </c>
      <c r="BA625" t="s">
        <v>74</v>
      </c>
      <c r="BB625" t="s">
        <v>74</v>
      </c>
      <c r="BC625" t="s">
        <v>74</v>
      </c>
      <c r="BD625">
        <v>2.1582440251315224E+16</v>
      </c>
      <c r="BE625" t="s">
        <v>12181</v>
      </c>
      <c r="BF625" t="str">
        <f>HYPERLINK("http://dx.doi.org/10.1177/21582440251315222","http://dx.doi.org/10.1177/21582440251315222")</f>
        <v>http://dx.doi.org/10.1177/21582440251315222</v>
      </c>
      <c r="BG625" t="s">
        <v>74</v>
      </c>
      <c r="BH625" t="s">
        <v>74</v>
      </c>
      <c r="BI625">
        <v>20</v>
      </c>
      <c r="BJ625" t="s">
        <v>364</v>
      </c>
      <c r="BK625" t="s">
        <v>99</v>
      </c>
      <c r="BL625" t="s">
        <v>365</v>
      </c>
      <c r="BM625" t="s">
        <v>12182</v>
      </c>
      <c r="BN625" t="s">
        <v>74</v>
      </c>
      <c r="BO625" t="s">
        <v>212</v>
      </c>
      <c r="BP625" t="s">
        <v>74</v>
      </c>
      <c r="BQ625" t="s">
        <v>74</v>
      </c>
      <c r="BR625" t="s">
        <v>102</v>
      </c>
      <c r="BS625" t="s">
        <v>12183</v>
      </c>
      <c r="BT625" t="str">
        <f>HYPERLINK("https%3A%2F%2Fwww.webofscience.com%2Fwos%2Fwoscc%2Ffull-record%2FWOS:001426919900001","View Full Record in Web of Science")</f>
        <v>View Full Record in Web of Science</v>
      </c>
    </row>
    <row r="626" spans="1:72" x14ac:dyDescent="0.25">
      <c r="A626" t="s">
        <v>132</v>
      </c>
      <c r="B626" t="s">
        <v>12184</v>
      </c>
      <c r="C626" t="s">
        <v>74</v>
      </c>
      <c r="D626" t="s">
        <v>74</v>
      </c>
      <c r="E626" t="s">
        <v>134</v>
      </c>
      <c r="F626" t="s">
        <v>12185</v>
      </c>
      <c r="G626" t="s">
        <v>74</v>
      </c>
      <c r="H626" t="s">
        <v>74</v>
      </c>
      <c r="I626" t="s">
        <v>12186</v>
      </c>
      <c r="J626" t="s">
        <v>137</v>
      </c>
      <c r="K626" t="s">
        <v>74</v>
      </c>
      <c r="L626" t="s">
        <v>74</v>
      </c>
      <c r="M626" t="s">
        <v>78</v>
      </c>
      <c r="N626" t="s">
        <v>138</v>
      </c>
      <c r="O626" t="s">
        <v>139</v>
      </c>
      <c r="P626" t="s">
        <v>140</v>
      </c>
      <c r="Q626" t="s">
        <v>141</v>
      </c>
      <c r="R626" t="s">
        <v>142</v>
      </c>
      <c r="S626" t="s">
        <v>143</v>
      </c>
      <c r="T626" t="s">
        <v>12187</v>
      </c>
      <c r="U626" t="s">
        <v>12188</v>
      </c>
      <c r="V626" t="s">
        <v>12189</v>
      </c>
      <c r="W626" t="s">
        <v>12190</v>
      </c>
      <c r="X626" t="s">
        <v>12191</v>
      </c>
      <c r="Y626" t="s">
        <v>12192</v>
      </c>
      <c r="Z626" t="s">
        <v>12193</v>
      </c>
      <c r="AA626" t="s">
        <v>74</v>
      </c>
      <c r="AB626" t="s">
        <v>74</v>
      </c>
      <c r="AC626" t="s">
        <v>74</v>
      </c>
      <c r="AD626" t="s">
        <v>74</v>
      </c>
      <c r="AE626" t="s">
        <v>74</v>
      </c>
      <c r="AF626" t="s">
        <v>74</v>
      </c>
      <c r="AG626">
        <v>33</v>
      </c>
      <c r="AH626">
        <v>1</v>
      </c>
      <c r="AI626">
        <v>2</v>
      </c>
      <c r="AJ626">
        <v>0</v>
      </c>
      <c r="AK626">
        <v>3</v>
      </c>
      <c r="AL626" t="s">
        <v>150</v>
      </c>
      <c r="AM626" t="s">
        <v>151</v>
      </c>
      <c r="AN626" t="s">
        <v>152</v>
      </c>
      <c r="AO626" t="s">
        <v>74</v>
      </c>
      <c r="AP626" t="s">
        <v>74</v>
      </c>
      <c r="AQ626" t="s">
        <v>153</v>
      </c>
      <c r="AR626" t="s">
        <v>74</v>
      </c>
      <c r="AS626" t="s">
        <v>74</v>
      </c>
      <c r="AT626" t="s">
        <v>74</v>
      </c>
      <c r="AU626">
        <v>2013</v>
      </c>
      <c r="AV626" t="s">
        <v>74</v>
      </c>
      <c r="AW626" t="s">
        <v>74</v>
      </c>
      <c r="AX626" t="s">
        <v>74</v>
      </c>
      <c r="AY626" t="s">
        <v>74</v>
      </c>
      <c r="AZ626" t="s">
        <v>74</v>
      </c>
      <c r="BA626" t="s">
        <v>74</v>
      </c>
      <c r="BB626">
        <v>65</v>
      </c>
      <c r="BC626">
        <v>68</v>
      </c>
      <c r="BD626" t="s">
        <v>74</v>
      </c>
      <c r="BE626" t="s">
        <v>12194</v>
      </c>
      <c r="BF626" t="str">
        <f>HYPERLINK("http://dx.doi.org/10.1145/2517899.2517910","http://dx.doi.org/10.1145/2517899.2517910")</f>
        <v>http://dx.doi.org/10.1145/2517899.2517910</v>
      </c>
      <c r="BG626" t="s">
        <v>74</v>
      </c>
      <c r="BH626" t="s">
        <v>74</v>
      </c>
      <c r="BI626">
        <v>4</v>
      </c>
      <c r="BJ626" t="s">
        <v>155</v>
      </c>
      <c r="BK626" t="s">
        <v>156</v>
      </c>
      <c r="BL626" t="s">
        <v>157</v>
      </c>
      <c r="BM626" t="s">
        <v>158</v>
      </c>
      <c r="BN626" t="s">
        <v>74</v>
      </c>
      <c r="BO626" t="s">
        <v>74</v>
      </c>
      <c r="BP626" t="s">
        <v>74</v>
      </c>
      <c r="BQ626" t="s">
        <v>74</v>
      </c>
      <c r="BR626" t="s">
        <v>102</v>
      </c>
      <c r="BS626" t="s">
        <v>12195</v>
      </c>
      <c r="BT626" t="str">
        <f>HYPERLINK("https%3A%2F%2Fwww.webofscience.com%2Fwos%2Fwoscc%2Ffull-record%2FWOS:000372068700017","View Full Record in Web of Science")</f>
        <v>View Full Record in Web of Science</v>
      </c>
    </row>
    <row r="627" spans="1:72" x14ac:dyDescent="0.25">
      <c r="A627" t="s">
        <v>72</v>
      </c>
      <c r="B627" t="s">
        <v>12196</v>
      </c>
      <c r="C627" t="s">
        <v>74</v>
      </c>
      <c r="D627" t="s">
        <v>74</v>
      </c>
      <c r="E627" t="s">
        <v>74</v>
      </c>
      <c r="F627" t="s">
        <v>12197</v>
      </c>
      <c r="G627" t="s">
        <v>74</v>
      </c>
      <c r="H627" t="s">
        <v>74</v>
      </c>
      <c r="I627" t="s">
        <v>12198</v>
      </c>
      <c r="J627" t="s">
        <v>3231</v>
      </c>
      <c r="K627" t="s">
        <v>74</v>
      </c>
      <c r="L627" t="s">
        <v>74</v>
      </c>
      <c r="M627" t="s">
        <v>78</v>
      </c>
      <c r="N627" t="s">
        <v>79</v>
      </c>
      <c r="O627" t="s">
        <v>74</v>
      </c>
      <c r="P627" t="s">
        <v>74</v>
      </c>
      <c r="Q627" t="s">
        <v>74</v>
      </c>
      <c r="R627" t="s">
        <v>74</v>
      </c>
      <c r="S627" t="s">
        <v>74</v>
      </c>
      <c r="T627" t="s">
        <v>12199</v>
      </c>
      <c r="U627" t="s">
        <v>12200</v>
      </c>
      <c r="V627" t="s">
        <v>12201</v>
      </c>
      <c r="W627" t="s">
        <v>12202</v>
      </c>
      <c r="X627" t="s">
        <v>12203</v>
      </c>
      <c r="Y627" t="s">
        <v>12204</v>
      </c>
      <c r="Z627" t="s">
        <v>12205</v>
      </c>
      <c r="AA627" t="s">
        <v>12206</v>
      </c>
      <c r="AB627" t="s">
        <v>74</v>
      </c>
      <c r="AC627" t="s">
        <v>74</v>
      </c>
      <c r="AD627" t="s">
        <v>74</v>
      </c>
      <c r="AE627" t="s">
        <v>74</v>
      </c>
      <c r="AF627" t="s">
        <v>74</v>
      </c>
      <c r="AG627">
        <v>49</v>
      </c>
      <c r="AH627">
        <v>10</v>
      </c>
      <c r="AI627">
        <v>12</v>
      </c>
      <c r="AJ627">
        <v>9</v>
      </c>
      <c r="AK627">
        <v>71</v>
      </c>
      <c r="AL627" t="s">
        <v>575</v>
      </c>
      <c r="AM627" t="s">
        <v>576</v>
      </c>
      <c r="AN627" t="s">
        <v>577</v>
      </c>
      <c r="AO627" t="s">
        <v>74</v>
      </c>
      <c r="AP627" t="s">
        <v>3243</v>
      </c>
      <c r="AQ627" t="s">
        <v>74</v>
      </c>
      <c r="AR627" t="s">
        <v>3244</v>
      </c>
      <c r="AS627" t="s">
        <v>3245</v>
      </c>
      <c r="AT627" t="s">
        <v>698</v>
      </c>
      <c r="AU627">
        <v>2023</v>
      </c>
      <c r="AV627">
        <v>15</v>
      </c>
      <c r="AW627">
        <v>18</v>
      </c>
      <c r="AX627" t="s">
        <v>74</v>
      </c>
      <c r="AY627" t="s">
        <v>74</v>
      </c>
      <c r="AZ627" t="s">
        <v>74</v>
      </c>
      <c r="BA627" t="s">
        <v>74</v>
      </c>
      <c r="BB627" t="s">
        <v>74</v>
      </c>
      <c r="BC627" t="s">
        <v>74</v>
      </c>
      <c r="BD627">
        <v>13331</v>
      </c>
      <c r="BE627" t="s">
        <v>12207</v>
      </c>
      <c r="BF627" t="str">
        <f>HYPERLINK("http://dx.doi.org/10.3390/su151813331","http://dx.doi.org/10.3390/su151813331")</f>
        <v>http://dx.doi.org/10.3390/su151813331</v>
      </c>
      <c r="BG627" t="s">
        <v>74</v>
      </c>
      <c r="BH627" t="s">
        <v>74</v>
      </c>
      <c r="BI627">
        <v>20</v>
      </c>
      <c r="BJ627" t="s">
        <v>3247</v>
      </c>
      <c r="BK627" t="s">
        <v>2623</v>
      </c>
      <c r="BL627" t="s">
        <v>3248</v>
      </c>
      <c r="BM627" t="s">
        <v>12208</v>
      </c>
      <c r="BN627" t="s">
        <v>74</v>
      </c>
      <c r="BO627" t="s">
        <v>916</v>
      </c>
      <c r="BP627" t="s">
        <v>74</v>
      </c>
      <c r="BQ627" t="s">
        <v>74</v>
      </c>
      <c r="BR627" t="s">
        <v>102</v>
      </c>
      <c r="BS627" t="s">
        <v>12209</v>
      </c>
      <c r="BT627" t="str">
        <f>HYPERLINK("https%3A%2F%2Fwww.webofscience.com%2Fwos%2Fwoscc%2Ffull-record%2FWOS:001074234600001","View Full Record in Web of Science")</f>
        <v>View Full Record in Web of Science</v>
      </c>
    </row>
    <row r="628" spans="1:72" x14ac:dyDescent="0.25">
      <c r="A628" t="s">
        <v>72</v>
      </c>
      <c r="B628" t="s">
        <v>12210</v>
      </c>
      <c r="C628" t="s">
        <v>74</v>
      </c>
      <c r="D628" t="s">
        <v>74</v>
      </c>
      <c r="E628" t="s">
        <v>74</v>
      </c>
      <c r="F628" t="s">
        <v>12211</v>
      </c>
      <c r="G628" t="s">
        <v>74</v>
      </c>
      <c r="H628" t="s">
        <v>74</v>
      </c>
      <c r="I628" t="s">
        <v>12212</v>
      </c>
      <c r="J628" t="s">
        <v>11562</v>
      </c>
      <c r="K628" t="s">
        <v>74</v>
      </c>
      <c r="L628" t="s">
        <v>74</v>
      </c>
      <c r="M628" t="s">
        <v>78</v>
      </c>
      <c r="N628" t="s">
        <v>79</v>
      </c>
      <c r="O628" t="s">
        <v>74</v>
      </c>
      <c r="P628" t="s">
        <v>74</v>
      </c>
      <c r="Q628" t="s">
        <v>74</v>
      </c>
      <c r="R628" t="s">
        <v>74</v>
      </c>
      <c r="S628" t="s">
        <v>74</v>
      </c>
      <c r="T628" t="s">
        <v>12213</v>
      </c>
      <c r="U628" t="s">
        <v>74</v>
      </c>
      <c r="V628" t="s">
        <v>12214</v>
      </c>
      <c r="W628" t="s">
        <v>12215</v>
      </c>
      <c r="X628" t="s">
        <v>12216</v>
      </c>
      <c r="Y628" t="s">
        <v>12217</v>
      </c>
      <c r="Z628" t="s">
        <v>12218</v>
      </c>
      <c r="AA628" t="s">
        <v>74</v>
      </c>
      <c r="AB628" t="s">
        <v>12219</v>
      </c>
      <c r="AC628" t="s">
        <v>74</v>
      </c>
      <c r="AD628" t="s">
        <v>74</v>
      </c>
      <c r="AE628" t="s">
        <v>74</v>
      </c>
      <c r="AF628" t="s">
        <v>74</v>
      </c>
      <c r="AG628">
        <v>49</v>
      </c>
      <c r="AH628">
        <v>6</v>
      </c>
      <c r="AI628">
        <v>8</v>
      </c>
      <c r="AJ628">
        <v>4</v>
      </c>
      <c r="AK628">
        <v>4</v>
      </c>
      <c r="AL628" t="s">
        <v>201</v>
      </c>
      <c r="AM628" t="s">
        <v>202</v>
      </c>
      <c r="AN628" t="s">
        <v>203</v>
      </c>
      <c r="AO628" t="s">
        <v>11570</v>
      </c>
      <c r="AP628" t="s">
        <v>74</v>
      </c>
      <c r="AQ628" t="s">
        <v>74</v>
      </c>
      <c r="AR628" t="s">
        <v>11571</v>
      </c>
      <c r="AS628" t="s">
        <v>11572</v>
      </c>
      <c r="AT628" t="s">
        <v>605</v>
      </c>
      <c r="AU628">
        <v>2025</v>
      </c>
      <c r="AV628">
        <v>6</v>
      </c>
      <c r="AW628">
        <v>1</v>
      </c>
      <c r="AX628" t="s">
        <v>74</v>
      </c>
      <c r="AY628" t="s">
        <v>74</v>
      </c>
      <c r="AZ628" t="s">
        <v>74</v>
      </c>
      <c r="BA628" t="s">
        <v>74</v>
      </c>
      <c r="BB628" t="s">
        <v>74</v>
      </c>
      <c r="BC628" t="s">
        <v>74</v>
      </c>
      <c r="BD628">
        <v>100140</v>
      </c>
      <c r="BE628" t="s">
        <v>12220</v>
      </c>
      <c r="BF628" t="str">
        <f>HYPERLINK("http://dx.doi.org/10.1016/j.latcb.2024.100140","http://dx.doi.org/10.1016/j.latcb.2024.100140")</f>
        <v>http://dx.doi.org/10.1016/j.latcb.2024.100140</v>
      </c>
      <c r="BG628" t="s">
        <v>74</v>
      </c>
      <c r="BH628" t="s">
        <v>2781</v>
      </c>
      <c r="BI628">
        <v>26</v>
      </c>
      <c r="BJ628" t="s">
        <v>210</v>
      </c>
      <c r="BK628" t="s">
        <v>313</v>
      </c>
      <c r="BL628" t="s">
        <v>100</v>
      </c>
      <c r="BM628" t="s">
        <v>12221</v>
      </c>
      <c r="BN628" t="s">
        <v>74</v>
      </c>
      <c r="BO628" t="s">
        <v>212</v>
      </c>
      <c r="BP628" t="s">
        <v>74</v>
      </c>
      <c r="BQ628" t="s">
        <v>74</v>
      </c>
      <c r="BR628" t="s">
        <v>102</v>
      </c>
      <c r="BS628" t="s">
        <v>12222</v>
      </c>
      <c r="BT628" t="str">
        <f>HYPERLINK("https%3A%2F%2Fwww.webofscience.com%2Fwos%2Fwoscc%2Ffull-record%2FWOS:001440261200001","View Full Record in Web of Science")</f>
        <v>View Full Record in Web of Science</v>
      </c>
    </row>
    <row r="629" spans="1:72" x14ac:dyDescent="0.25">
      <c r="A629" t="s">
        <v>72</v>
      </c>
      <c r="B629" t="s">
        <v>12223</v>
      </c>
      <c r="C629" t="s">
        <v>74</v>
      </c>
      <c r="D629" t="s">
        <v>74</v>
      </c>
      <c r="E629" t="s">
        <v>74</v>
      </c>
      <c r="F629" t="s">
        <v>12224</v>
      </c>
      <c r="G629" t="s">
        <v>74</v>
      </c>
      <c r="H629" t="s">
        <v>74</v>
      </c>
      <c r="I629" t="s">
        <v>12225</v>
      </c>
      <c r="J629" t="s">
        <v>12226</v>
      </c>
      <c r="K629" t="s">
        <v>74</v>
      </c>
      <c r="L629" t="s">
        <v>74</v>
      </c>
      <c r="M629" t="s">
        <v>78</v>
      </c>
      <c r="N629" t="s">
        <v>79</v>
      </c>
      <c r="O629" t="s">
        <v>74</v>
      </c>
      <c r="P629" t="s">
        <v>74</v>
      </c>
      <c r="Q629" t="s">
        <v>74</v>
      </c>
      <c r="R629" t="s">
        <v>74</v>
      </c>
      <c r="S629" t="s">
        <v>74</v>
      </c>
      <c r="T629" t="s">
        <v>12227</v>
      </c>
      <c r="U629" t="s">
        <v>12228</v>
      </c>
      <c r="V629" t="s">
        <v>12229</v>
      </c>
      <c r="W629" t="s">
        <v>12230</v>
      </c>
      <c r="X629" t="s">
        <v>11597</v>
      </c>
      <c r="Y629" t="s">
        <v>12231</v>
      </c>
      <c r="Z629" t="s">
        <v>12232</v>
      </c>
      <c r="AA629" t="s">
        <v>12233</v>
      </c>
      <c r="AB629" t="s">
        <v>74</v>
      </c>
      <c r="AC629" t="s">
        <v>12234</v>
      </c>
      <c r="AD629" t="s">
        <v>12235</v>
      </c>
      <c r="AE629" t="s">
        <v>12236</v>
      </c>
      <c r="AF629" t="s">
        <v>74</v>
      </c>
      <c r="AG629">
        <v>71</v>
      </c>
      <c r="AH629">
        <v>5</v>
      </c>
      <c r="AI629">
        <v>6</v>
      </c>
      <c r="AJ629">
        <v>9</v>
      </c>
      <c r="AK629">
        <v>17</v>
      </c>
      <c r="AL629" t="s">
        <v>4083</v>
      </c>
      <c r="AM629" t="s">
        <v>4084</v>
      </c>
      <c r="AN629" t="s">
        <v>4085</v>
      </c>
      <c r="AO629" t="s">
        <v>74</v>
      </c>
      <c r="AP629" t="s">
        <v>12237</v>
      </c>
      <c r="AQ629" t="s">
        <v>74</v>
      </c>
      <c r="AR629" t="s">
        <v>12238</v>
      </c>
      <c r="AS629" t="s">
        <v>12239</v>
      </c>
      <c r="AT629" t="s">
        <v>124</v>
      </c>
      <c r="AU629">
        <v>2025</v>
      </c>
      <c r="AV629">
        <v>11</v>
      </c>
      <c r="AW629" t="s">
        <v>74</v>
      </c>
      <c r="AX629" t="s">
        <v>74</v>
      </c>
      <c r="AY629" t="s">
        <v>74</v>
      </c>
      <c r="AZ629" t="s">
        <v>74</v>
      </c>
      <c r="BA629" t="s">
        <v>74</v>
      </c>
      <c r="BB629" t="s">
        <v>74</v>
      </c>
      <c r="BC629" t="s">
        <v>74</v>
      </c>
      <c r="BD629">
        <v>100155</v>
      </c>
      <c r="BE629" t="s">
        <v>12240</v>
      </c>
      <c r="BF629" t="str">
        <f>HYPERLINK("http://dx.doi.org/10.1016/j.jfds.2025.100155","http://dx.doi.org/10.1016/j.jfds.2025.100155")</f>
        <v>http://dx.doi.org/10.1016/j.jfds.2025.100155</v>
      </c>
      <c r="BG629" t="s">
        <v>74</v>
      </c>
      <c r="BH629" t="s">
        <v>74</v>
      </c>
      <c r="BI629">
        <v>20</v>
      </c>
      <c r="BJ629" t="s">
        <v>210</v>
      </c>
      <c r="BK629" t="s">
        <v>313</v>
      </c>
      <c r="BL629" t="s">
        <v>100</v>
      </c>
      <c r="BM629" t="s">
        <v>12241</v>
      </c>
      <c r="BN629" t="s">
        <v>74</v>
      </c>
      <c r="BO629" t="s">
        <v>212</v>
      </c>
      <c r="BP629" t="s">
        <v>74</v>
      </c>
      <c r="BQ629" t="s">
        <v>74</v>
      </c>
      <c r="BR629" t="s">
        <v>102</v>
      </c>
      <c r="BS629" t="s">
        <v>12242</v>
      </c>
      <c r="BT629" t="str">
        <f>HYPERLINK("https%3A%2F%2Fwww.webofscience.com%2Fwos%2Fwoscc%2Ffull-record%2FWOS:001447681500001","View Full Record in Web of Science")</f>
        <v>View Full Record in Web of Science</v>
      </c>
    </row>
    <row r="630" spans="1:72" x14ac:dyDescent="0.25">
      <c r="A630" t="s">
        <v>72</v>
      </c>
      <c r="B630" t="s">
        <v>12243</v>
      </c>
      <c r="C630" t="s">
        <v>74</v>
      </c>
      <c r="D630" t="s">
        <v>74</v>
      </c>
      <c r="E630" t="s">
        <v>74</v>
      </c>
      <c r="F630" t="s">
        <v>12244</v>
      </c>
      <c r="G630" t="s">
        <v>74</v>
      </c>
      <c r="H630" t="s">
        <v>74</v>
      </c>
      <c r="I630" t="s">
        <v>12245</v>
      </c>
      <c r="J630" t="s">
        <v>424</v>
      </c>
      <c r="K630" t="s">
        <v>74</v>
      </c>
      <c r="L630" t="s">
        <v>74</v>
      </c>
      <c r="M630" t="s">
        <v>78</v>
      </c>
      <c r="N630" t="s">
        <v>79</v>
      </c>
      <c r="O630" t="s">
        <v>74</v>
      </c>
      <c r="P630" t="s">
        <v>74</v>
      </c>
      <c r="Q630" t="s">
        <v>74</v>
      </c>
      <c r="R630" t="s">
        <v>74</v>
      </c>
      <c r="S630" t="s">
        <v>74</v>
      </c>
      <c r="T630" t="s">
        <v>12246</v>
      </c>
      <c r="U630" t="s">
        <v>12247</v>
      </c>
      <c r="V630" t="s">
        <v>12248</v>
      </c>
      <c r="W630" t="s">
        <v>12249</v>
      </c>
      <c r="X630" t="s">
        <v>12250</v>
      </c>
      <c r="Y630" t="s">
        <v>12251</v>
      </c>
      <c r="Z630" t="s">
        <v>74</v>
      </c>
      <c r="AA630" t="s">
        <v>12252</v>
      </c>
      <c r="AB630" t="s">
        <v>12253</v>
      </c>
      <c r="AC630" t="s">
        <v>74</v>
      </c>
      <c r="AD630" t="s">
        <v>74</v>
      </c>
      <c r="AE630" t="s">
        <v>74</v>
      </c>
      <c r="AF630" t="s">
        <v>74</v>
      </c>
      <c r="AG630">
        <v>78</v>
      </c>
      <c r="AH630">
        <v>63</v>
      </c>
      <c r="AI630">
        <v>81</v>
      </c>
      <c r="AJ630">
        <v>1</v>
      </c>
      <c r="AK630">
        <v>71</v>
      </c>
      <c r="AL630" t="s">
        <v>89</v>
      </c>
      <c r="AM630" t="s">
        <v>1497</v>
      </c>
      <c r="AN630" t="s">
        <v>1498</v>
      </c>
      <c r="AO630" t="s">
        <v>436</v>
      </c>
      <c r="AP630" t="s">
        <v>437</v>
      </c>
      <c r="AQ630" t="s">
        <v>74</v>
      </c>
      <c r="AR630" t="s">
        <v>438</v>
      </c>
      <c r="AS630" t="s">
        <v>439</v>
      </c>
      <c r="AT630" t="s">
        <v>74</v>
      </c>
      <c r="AU630">
        <v>2019</v>
      </c>
      <c r="AV630">
        <v>37</v>
      </c>
      <c r="AW630">
        <v>1</v>
      </c>
      <c r="AX630" t="s">
        <v>74</v>
      </c>
      <c r="AY630" t="s">
        <v>74</v>
      </c>
      <c r="AZ630" t="s">
        <v>74</v>
      </c>
      <c r="BA630" t="s">
        <v>74</v>
      </c>
      <c r="BB630">
        <v>192</v>
      </c>
      <c r="BC630">
        <v>209</v>
      </c>
      <c r="BD630" t="s">
        <v>74</v>
      </c>
      <c r="BE630" t="s">
        <v>12254</v>
      </c>
      <c r="BF630" t="str">
        <f>HYPERLINK("http://dx.doi.org/10.1108/IJBM-05-2017-0099","http://dx.doi.org/10.1108/IJBM-05-2017-0099")</f>
        <v>http://dx.doi.org/10.1108/IJBM-05-2017-0099</v>
      </c>
      <c r="BG630" t="s">
        <v>74</v>
      </c>
      <c r="BH630" t="s">
        <v>74</v>
      </c>
      <c r="BI630">
        <v>18</v>
      </c>
      <c r="BJ630" t="s">
        <v>418</v>
      </c>
      <c r="BK630" t="s">
        <v>99</v>
      </c>
      <c r="BL630" t="s">
        <v>100</v>
      </c>
      <c r="BM630" t="s">
        <v>12255</v>
      </c>
      <c r="BN630" t="s">
        <v>74</v>
      </c>
      <c r="BO630" t="s">
        <v>74</v>
      </c>
      <c r="BP630" t="s">
        <v>74</v>
      </c>
      <c r="BQ630" t="s">
        <v>74</v>
      </c>
      <c r="BR630" t="s">
        <v>102</v>
      </c>
      <c r="BS630" t="s">
        <v>12256</v>
      </c>
      <c r="BT630" t="str">
        <f>HYPERLINK("https%3A%2F%2Fwww.webofscience.com%2Fwos%2Fwoscc%2Ffull-record%2FWOS:000488526000010","View Full Record in Web of Science")</f>
        <v>View Full Record in Web of Science</v>
      </c>
    </row>
    <row r="631" spans="1:72" x14ac:dyDescent="0.25">
      <c r="A631" t="s">
        <v>72</v>
      </c>
      <c r="B631" t="s">
        <v>12257</v>
      </c>
      <c r="C631" t="s">
        <v>74</v>
      </c>
      <c r="D631" t="s">
        <v>74</v>
      </c>
      <c r="E631" t="s">
        <v>74</v>
      </c>
      <c r="F631" t="s">
        <v>12258</v>
      </c>
      <c r="G631" t="s">
        <v>74</v>
      </c>
      <c r="H631" t="s">
        <v>74</v>
      </c>
      <c r="I631" t="s">
        <v>12259</v>
      </c>
      <c r="J631" t="s">
        <v>1328</v>
      </c>
      <c r="K631" t="s">
        <v>74</v>
      </c>
      <c r="L631" t="s">
        <v>74</v>
      </c>
      <c r="M631" t="s">
        <v>78</v>
      </c>
      <c r="N631" t="s">
        <v>1766</v>
      </c>
      <c r="O631" t="s">
        <v>74</v>
      </c>
      <c r="P631" t="s">
        <v>74</v>
      </c>
      <c r="Q631" t="s">
        <v>74</v>
      </c>
      <c r="R631" t="s">
        <v>74</v>
      </c>
      <c r="S631" t="s">
        <v>74</v>
      </c>
      <c r="T631" t="s">
        <v>12260</v>
      </c>
      <c r="U631" t="s">
        <v>12261</v>
      </c>
      <c r="V631" t="s">
        <v>12262</v>
      </c>
      <c r="W631" t="s">
        <v>12263</v>
      </c>
      <c r="X631" t="s">
        <v>12264</v>
      </c>
      <c r="Y631" t="s">
        <v>12265</v>
      </c>
      <c r="Z631" t="s">
        <v>12266</v>
      </c>
      <c r="AA631" t="s">
        <v>12267</v>
      </c>
      <c r="AB631" t="s">
        <v>74</v>
      </c>
      <c r="AC631" t="s">
        <v>74</v>
      </c>
      <c r="AD631" t="s">
        <v>74</v>
      </c>
      <c r="AE631" t="s">
        <v>74</v>
      </c>
      <c r="AF631" t="s">
        <v>74</v>
      </c>
      <c r="AG631">
        <v>113</v>
      </c>
      <c r="AH631">
        <v>3</v>
      </c>
      <c r="AI631">
        <v>3</v>
      </c>
      <c r="AJ631">
        <v>3</v>
      </c>
      <c r="AK631">
        <v>21</v>
      </c>
      <c r="AL631" t="s">
        <v>1335</v>
      </c>
      <c r="AM631" t="s">
        <v>1336</v>
      </c>
      <c r="AN631" t="s">
        <v>1337</v>
      </c>
      <c r="AO631" t="s">
        <v>1338</v>
      </c>
      <c r="AP631" t="s">
        <v>1339</v>
      </c>
      <c r="AQ631" t="s">
        <v>74</v>
      </c>
      <c r="AR631" t="s">
        <v>1340</v>
      </c>
      <c r="AS631" t="s">
        <v>1341</v>
      </c>
      <c r="AT631" t="s">
        <v>74</v>
      </c>
      <c r="AU631">
        <v>2022</v>
      </c>
      <c r="AV631">
        <v>16</v>
      </c>
      <c r="AW631">
        <v>5</v>
      </c>
      <c r="AX631" t="s">
        <v>74</v>
      </c>
      <c r="AY631" t="s">
        <v>74</v>
      </c>
      <c r="AZ631" t="s">
        <v>74</v>
      </c>
      <c r="BA631" t="s">
        <v>74</v>
      </c>
      <c r="BB631">
        <v>170</v>
      </c>
      <c r="BC631">
        <v>184</v>
      </c>
      <c r="BD631" t="s">
        <v>74</v>
      </c>
      <c r="BE631" t="s">
        <v>74</v>
      </c>
      <c r="BF631" t="s">
        <v>74</v>
      </c>
      <c r="BG631" t="s">
        <v>74</v>
      </c>
      <c r="BH631" t="s">
        <v>74</v>
      </c>
      <c r="BI631">
        <v>15</v>
      </c>
      <c r="BJ631" t="s">
        <v>268</v>
      </c>
      <c r="BK631" t="s">
        <v>313</v>
      </c>
      <c r="BL631" t="s">
        <v>100</v>
      </c>
      <c r="BM631" t="s">
        <v>12268</v>
      </c>
      <c r="BN631" t="s">
        <v>74</v>
      </c>
      <c r="BO631" t="s">
        <v>74</v>
      </c>
      <c r="BP631" t="s">
        <v>74</v>
      </c>
      <c r="BQ631" t="s">
        <v>74</v>
      </c>
      <c r="BR631" t="s">
        <v>102</v>
      </c>
      <c r="BS631" t="s">
        <v>12269</v>
      </c>
      <c r="BT631" t="str">
        <f>HYPERLINK("https%3A%2F%2Fwww.webofscience.com%2Fwos%2Fwoscc%2Ffull-record%2FWOS:000914649300011","View Full Record in Web of Science")</f>
        <v>View Full Record in Web of Science</v>
      </c>
    </row>
    <row r="632" spans="1:72" x14ac:dyDescent="0.25">
      <c r="A632" t="s">
        <v>132</v>
      </c>
      <c r="B632" t="s">
        <v>12270</v>
      </c>
      <c r="C632" t="s">
        <v>74</v>
      </c>
      <c r="D632" t="s">
        <v>12271</v>
      </c>
      <c r="E632" t="s">
        <v>74</v>
      </c>
      <c r="F632" t="s">
        <v>12272</v>
      </c>
      <c r="G632" t="s">
        <v>74</v>
      </c>
      <c r="H632" t="s">
        <v>74</v>
      </c>
      <c r="I632" t="s">
        <v>12273</v>
      </c>
      <c r="J632" t="s">
        <v>12274</v>
      </c>
      <c r="K632" t="s">
        <v>74</v>
      </c>
      <c r="L632" t="s">
        <v>74</v>
      </c>
      <c r="M632" t="s">
        <v>78</v>
      </c>
      <c r="N632" t="s">
        <v>138</v>
      </c>
      <c r="O632" t="s">
        <v>12275</v>
      </c>
      <c r="P632" t="s">
        <v>12276</v>
      </c>
      <c r="Q632" t="s">
        <v>12277</v>
      </c>
      <c r="R632" t="s">
        <v>74</v>
      </c>
      <c r="S632" t="s">
        <v>74</v>
      </c>
      <c r="T632" t="s">
        <v>12278</v>
      </c>
      <c r="U632" t="s">
        <v>74</v>
      </c>
      <c r="V632" t="s">
        <v>12279</v>
      </c>
      <c r="W632" t="s">
        <v>12280</v>
      </c>
      <c r="X632" t="s">
        <v>12281</v>
      </c>
      <c r="Y632" t="s">
        <v>12282</v>
      </c>
      <c r="Z632" t="s">
        <v>12283</v>
      </c>
      <c r="AA632" t="s">
        <v>12284</v>
      </c>
      <c r="AB632" t="s">
        <v>74</v>
      </c>
      <c r="AC632" t="s">
        <v>74</v>
      </c>
      <c r="AD632" t="s">
        <v>74</v>
      </c>
      <c r="AE632" t="s">
        <v>74</v>
      </c>
      <c r="AF632" t="s">
        <v>74</v>
      </c>
      <c r="AG632">
        <v>6</v>
      </c>
      <c r="AH632">
        <v>0</v>
      </c>
      <c r="AI632">
        <v>0</v>
      </c>
      <c r="AJ632">
        <v>0</v>
      </c>
      <c r="AK632">
        <v>3</v>
      </c>
      <c r="AL632" t="s">
        <v>12285</v>
      </c>
      <c r="AM632" t="s">
        <v>12286</v>
      </c>
      <c r="AN632" t="s">
        <v>12287</v>
      </c>
      <c r="AO632" t="s">
        <v>74</v>
      </c>
      <c r="AP632" t="s">
        <v>74</v>
      </c>
      <c r="AQ632" t="s">
        <v>12288</v>
      </c>
      <c r="AR632" t="s">
        <v>74</v>
      </c>
      <c r="AS632" t="s">
        <v>74</v>
      </c>
      <c r="AT632" t="s">
        <v>74</v>
      </c>
      <c r="AU632">
        <v>2020</v>
      </c>
      <c r="AV632" t="s">
        <v>74</v>
      </c>
      <c r="AW632" t="s">
        <v>74</v>
      </c>
      <c r="AX632" t="s">
        <v>74</v>
      </c>
      <c r="AY632" t="s">
        <v>74</v>
      </c>
      <c r="AZ632" t="s">
        <v>74</v>
      </c>
      <c r="BA632" t="s">
        <v>74</v>
      </c>
      <c r="BB632">
        <v>51</v>
      </c>
      <c r="BC632">
        <v>56</v>
      </c>
      <c r="BD632" t="s">
        <v>74</v>
      </c>
      <c r="BE632" t="s">
        <v>74</v>
      </c>
      <c r="BF632" t="s">
        <v>74</v>
      </c>
      <c r="BG632" t="s">
        <v>74</v>
      </c>
      <c r="BH632" t="s">
        <v>74</v>
      </c>
      <c r="BI632">
        <v>6</v>
      </c>
      <c r="BJ632" t="s">
        <v>12289</v>
      </c>
      <c r="BK632" t="s">
        <v>1069</v>
      </c>
      <c r="BL632" t="s">
        <v>1070</v>
      </c>
      <c r="BM632" t="s">
        <v>12290</v>
      </c>
      <c r="BN632" t="s">
        <v>74</v>
      </c>
      <c r="BO632" t="s">
        <v>74</v>
      </c>
      <c r="BP632" t="s">
        <v>74</v>
      </c>
      <c r="BQ632" t="s">
        <v>74</v>
      </c>
      <c r="BR632" t="s">
        <v>102</v>
      </c>
      <c r="BS632" t="s">
        <v>12291</v>
      </c>
      <c r="BT632" t="str">
        <f>HYPERLINK("https%3A%2F%2Fwww.webofscience.com%2Fwos%2Fwoscc%2Ffull-record%2FWOS:000716862700008","View Full Record in Web of Science")</f>
        <v>View Full Record in Web of Science</v>
      </c>
    </row>
    <row r="633" spans="1:72" x14ac:dyDescent="0.25">
      <c r="A633" t="s">
        <v>72</v>
      </c>
      <c r="B633" t="s">
        <v>12292</v>
      </c>
      <c r="C633" t="s">
        <v>74</v>
      </c>
      <c r="D633" t="s">
        <v>74</v>
      </c>
      <c r="E633" t="s">
        <v>74</v>
      </c>
      <c r="F633" t="s">
        <v>12293</v>
      </c>
      <c r="G633" t="s">
        <v>74</v>
      </c>
      <c r="H633" t="s">
        <v>74</v>
      </c>
      <c r="I633" t="s">
        <v>12294</v>
      </c>
      <c r="J633" t="s">
        <v>3231</v>
      </c>
      <c r="K633" t="s">
        <v>74</v>
      </c>
      <c r="L633" t="s">
        <v>74</v>
      </c>
      <c r="M633" t="s">
        <v>78</v>
      </c>
      <c r="N633" t="s">
        <v>79</v>
      </c>
      <c r="O633" t="s">
        <v>74</v>
      </c>
      <c r="P633" t="s">
        <v>74</v>
      </c>
      <c r="Q633" t="s">
        <v>74</v>
      </c>
      <c r="R633" t="s">
        <v>74</v>
      </c>
      <c r="S633" t="s">
        <v>74</v>
      </c>
      <c r="T633" t="s">
        <v>12295</v>
      </c>
      <c r="U633" t="s">
        <v>12296</v>
      </c>
      <c r="V633" t="s">
        <v>12297</v>
      </c>
      <c r="W633" t="s">
        <v>12298</v>
      </c>
      <c r="X633" t="s">
        <v>12299</v>
      </c>
      <c r="Y633" t="s">
        <v>12300</v>
      </c>
      <c r="Z633" t="s">
        <v>12301</v>
      </c>
      <c r="AA633" t="s">
        <v>74</v>
      </c>
      <c r="AB633" t="s">
        <v>12302</v>
      </c>
      <c r="AC633" t="s">
        <v>12303</v>
      </c>
      <c r="AD633" t="s">
        <v>12304</v>
      </c>
      <c r="AE633" t="s">
        <v>12305</v>
      </c>
      <c r="AF633" t="s">
        <v>74</v>
      </c>
      <c r="AG633">
        <v>64</v>
      </c>
      <c r="AH633">
        <v>67</v>
      </c>
      <c r="AI633">
        <v>71</v>
      </c>
      <c r="AJ633">
        <v>22</v>
      </c>
      <c r="AK633">
        <v>354</v>
      </c>
      <c r="AL633" t="s">
        <v>575</v>
      </c>
      <c r="AM633" t="s">
        <v>576</v>
      </c>
      <c r="AN633" t="s">
        <v>577</v>
      </c>
      <c r="AO633" t="s">
        <v>74</v>
      </c>
      <c r="AP633" t="s">
        <v>3243</v>
      </c>
      <c r="AQ633" t="s">
        <v>74</v>
      </c>
      <c r="AR633" t="s">
        <v>3244</v>
      </c>
      <c r="AS633" t="s">
        <v>3245</v>
      </c>
      <c r="AT633" t="s">
        <v>698</v>
      </c>
      <c r="AU633">
        <v>2022</v>
      </c>
      <c r="AV633">
        <v>14</v>
      </c>
      <c r="AW633">
        <v>18</v>
      </c>
      <c r="AX633" t="s">
        <v>74</v>
      </c>
      <c r="AY633" t="s">
        <v>74</v>
      </c>
      <c r="AZ633" t="s">
        <v>74</v>
      </c>
      <c r="BA633" t="s">
        <v>74</v>
      </c>
      <c r="BB633" t="s">
        <v>74</v>
      </c>
      <c r="BC633" t="s">
        <v>74</v>
      </c>
      <c r="BD633">
        <v>11450</v>
      </c>
      <c r="BE633" t="s">
        <v>12306</v>
      </c>
      <c r="BF633" t="str">
        <f>HYPERLINK("http://dx.doi.org/10.3390/su141811450","http://dx.doi.org/10.3390/su141811450")</f>
        <v>http://dx.doi.org/10.3390/su141811450</v>
      </c>
      <c r="BG633" t="s">
        <v>74</v>
      </c>
      <c r="BH633" t="s">
        <v>74</v>
      </c>
      <c r="BI633">
        <v>18</v>
      </c>
      <c r="BJ633" t="s">
        <v>3247</v>
      </c>
      <c r="BK633" t="s">
        <v>2623</v>
      </c>
      <c r="BL633" t="s">
        <v>3248</v>
      </c>
      <c r="BM633" t="s">
        <v>12307</v>
      </c>
      <c r="BN633" t="s">
        <v>74</v>
      </c>
      <c r="BO633" t="s">
        <v>916</v>
      </c>
      <c r="BP633" t="s">
        <v>74</v>
      </c>
      <c r="BQ633" t="s">
        <v>74</v>
      </c>
      <c r="BR633" t="s">
        <v>102</v>
      </c>
      <c r="BS633" t="s">
        <v>12308</v>
      </c>
      <c r="BT633" t="str">
        <f>HYPERLINK("https%3A%2F%2Fwww.webofscience.com%2Fwos%2Fwoscc%2Ffull-record%2FWOS:000856680700001","View Full Record in Web of Science")</f>
        <v>View Full Record in Web of Science</v>
      </c>
    </row>
    <row r="634" spans="1:72" x14ac:dyDescent="0.25">
      <c r="A634" t="s">
        <v>72</v>
      </c>
      <c r="B634" t="s">
        <v>12309</v>
      </c>
      <c r="C634" t="s">
        <v>74</v>
      </c>
      <c r="D634" t="s">
        <v>74</v>
      </c>
      <c r="E634" t="s">
        <v>74</v>
      </c>
      <c r="F634" t="s">
        <v>12310</v>
      </c>
      <c r="G634" t="s">
        <v>74</v>
      </c>
      <c r="H634" t="s">
        <v>74</v>
      </c>
      <c r="I634" t="s">
        <v>12311</v>
      </c>
      <c r="J634" t="s">
        <v>1987</v>
      </c>
      <c r="K634" t="s">
        <v>74</v>
      </c>
      <c r="L634" t="s">
        <v>74</v>
      </c>
      <c r="M634" t="s">
        <v>78</v>
      </c>
      <c r="N634" t="s">
        <v>79</v>
      </c>
      <c r="O634" t="s">
        <v>74</v>
      </c>
      <c r="P634" t="s">
        <v>74</v>
      </c>
      <c r="Q634" t="s">
        <v>74</v>
      </c>
      <c r="R634" t="s">
        <v>74</v>
      </c>
      <c r="S634" t="s">
        <v>74</v>
      </c>
      <c r="T634" t="s">
        <v>12312</v>
      </c>
      <c r="U634" t="s">
        <v>12313</v>
      </c>
      <c r="V634" t="s">
        <v>12314</v>
      </c>
      <c r="W634" t="s">
        <v>12315</v>
      </c>
      <c r="X634" t="s">
        <v>12316</v>
      </c>
      <c r="Y634" t="s">
        <v>11325</v>
      </c>
      <c r="Z634" t="s">
        <v>12317</v>
      </c>
      <c r="AA634" t="s">
        <v>12318</v>
      </c>
      <c r="AB634" t="s">
        <v>74</v>
      </c>
      <c r="AC634" t="s">
        <v>74</v>
      </c>
      <c r="AD634" t="s">
        <v>74</v>
      </c>
      <c r="AE634" t="s">
        <v>74</v>
      </c>
      <c r="AF634" t="s">
        <v>74</v>
      </c>
      <c r="AG634">
        <v>72</v>
      </c>
      <c r="AH634">
        <v>6</v>
      </c>
      <c r="AI634">
        <v>9</v>
      </c>
      <c r="AJ634">
        <v>6</v>
      </c>
      <c r="AK634">
        <v>62</v>
      </c>
      <c r="AL634" t="s">
        <v>479</v>
      </c>
      <c r="AM634" t="s">
        <v>480</v>
      </c>
      <c r="AN634" t="s">
        <v>481</v>
      </c>
      <c r="AO634" t="s">
        <v>1997</v>
      </c>
      <c r="AP634" t="s">
        <v>1998</v>
      </c>
      <c r="AQ634" t="s">
        <v>74</v>
      </c>
      <c r="AR634" t="s">
        <v>1999</v>
      </c>
      <c r="AS634" t="s">
        <v>2000</v>
      </c>
      <c r="AT634" t="s">
        <v>208</v>
      </c>
      <c r="AU634">
        <v>2024</v>
      </c>
      <c r="AV634">
        <v>36</v>
      </c>
      <c r="AW634">
        <v>1</v>
      </c>
      <c r="AX634" t="s">
        <v>74</v>
      </c>
      <c r="AY634" t="s">
        <v>74</v>
      </c>
      <c r="AZ634" t="s">
        <v>74</v>
      </c>
      <c r="BA634" t="s">
        <v>74</v>
      </c>
      <c r="BB634">
        <v>231</v>
      </c>
      <c r="BC634">
        <v>253</v>
      </c>
      <c r="BD634" t="s">
        <v>74</v>
      </c>
      <c r="BE634" t="s">
        <v>12319</v>
      </c>
      <c r="BF634" t="str">
        <f>HYPERLINK("http://dx.doi.org/10.1002/jid.3812","http://dx.doi.org/10.1002/jid.3812")</f>
        <v>http://dx.doi.org/10.1002/jid.3812</v>
      </c>
      <c r="BG634" t="s">
        <v>74</v>
      </c>
      <c r="BH634" t="s">
        <v>700</v>
      </c>
      <c r="BI634">
        <v>23</v>
      </c>
      <c r="BJ634" t="s">
        <v>1137</v>
      </c>
      <c r="BK634" t="s">
        <v>99</v>
      </c>
      <c r="BL634" t="s">
        <v>1137</v>
      </c>
      <c r="BM634" t="s">
        <v>12320</v>
      </c>
      <c r="BN634" t="s">
        <v>74</v>
      </c>
      <c r="BO634" t="s">
        <v>1205</v>
      </c>
      <c r="BP634" t="s">
        <v>74</v>
      </c>
      <c r="BQ634" t="s">
        <v>74</v>
      </c>
      <c r="BR634" t="s">
        <v>102</v>
      </c>
      <c r="BS634" t="s">
        <v>12321</v>
      </c>
      <c r="BT634" t="str">
        <f>HYPERLINK("https%3A%2F%2Fwww.webofscience.com%2Fwos%2Fwoscc%2Ffull-record%2FWOS:001027258300001","View Full Record in Web of Science")</f>
        <v>View Full Record in Web of Science</v>
      </c>
    </row>
    <row r="635" spans="1:72" x14ac:dyDescent="0.25">
      <c r="A635" t="s">
        <v>72</v>
      </c>
      <c r="B635" t="s">
        <v>12322</v>
      </c>
      <c r="C635" t="s">
        <v>74</v>
      </c>
      <c r="D635" t="s">
        <v>74</v>
      </c>
      <c r="E635" t="s">
        <v>74</v>
      </c>
      <c r="F635" t="s">
        <v>12323</v>
      </c>
      <c r="G635" t="s">
        <v>74</v>
      </c>
      <c r="H635" t="s">
        <v>74</v>
      </c>
      <c r="I635" t="s">
        <v>12324</v>
      </c>
      <c r="J635" t="s">
        <v>1210</v>
      </c>
      <c r="K635" t="s">
        <v>74</v>
      </c>
      <c r="L635" t="s">
        <v>74</v>
      </c>
      <c r="M635" t="s">
        <v>78</v>
      </c>
      <c r="N635" t="s">
        <v>1766</v>
      </c>
      <c r="O635" t="s">
        <v>74</v>
      </c>
      <c r="P635" t="s">
        <v>74</v>
      </c>
      <c r="Q635" t="s">
        <v>74</v>
      </c>
      <c r="R635" t="s">
        <v>74</v>
      </c>
      <c r="S635" t="s">
        <v>74</v>
      </c>
      <c r="T635" t="s">
        <v>12325</v>
      </c>
      <c r="U635" t="s">
        <v>12326</v>
      </c>
      <c r="V635" t="s">
        <v>12327</v>
      </c>
      <c r="W635" t="s">
        <v>12328</v>
      </c>
      <c r="X635" t="s">
        <v>3960</v>
      </c>
      <c r="Y635" t="s">
        <v>12329</v>
      </c>
      <c r="Z635" t="s">
        <v>12330</v>
      </c>
      <c r="AA635" t="s">
        <v>12331</v>
      </c>
      <c r="AB635" t="s">
        <v>74</v>
      </c>
      <c r="AC635" t="s">
        <v>74</v>
      </c>
      <c r="AD635" t="s">
        <v>74</v>
      </c>
      <c r="AE635" t="s">
        <v>74</v>
      </c>
      <c r="AF635" t="s">
        <v>74</v>
      </c>
      <c r="AG635">
        <v>47</v>
      </c>
      <c r="AH635">
        <v>24</v>
      </c>
      <c r="AI635">
        <v>37</v>
      </c>
      <c r="AJ635">
        <v>0</v>
      </c>
      <c r="AK635">
        <v>24</v>
      </c>
      <c r="AL635" t="s">
        <v>1216</v>
      </c>
      <c r="AM635" t="s">
        <v>283</v>
      </c>
      <c r="AN635" t="s">
        <v>1217</v>
      </c>
      <c r="AO635" t="s">
        <v>1218</v>
      </c>
      <c r="AP635" t="s">
        <v>74</v>
      </c>
      <c r="AQ635" t="s">
        <v>74</v>
      </c>
      <c r="AR635" t="s">
        <v>1219</v>
      </c>
      <c r="AS635" t="s">
        <v>1220</v>
      </c>
      <c r="AT635" t="s">
        <v>12332</v>
      </c>
      <c r="AU635">
        <v>2023</v>
      </c>
      <c r="AV635">
        <v>6</v>
      </c>
      <c r="AW635" t="s">
        <v>74</v>
      </c>
      <c r="AX635" t="s">
        <v>74</v>
      </c>
      <c r="AY635" t="s">
        <v>74</v>
      </c>
      <c r="AZ635" t="s">
        <v>74</v>
      </c>
      <c r="BA635" t="s">
        <v>74</v>
      </c>
      <c r="BB635" t="s">
        <v>74</v>
      </c>
      <c r="BC635" t="s">
        <v>74</v>
      </c>
      <c r="BD635">
        <v>1035405</v>
      </c>
      <c r="BE635" t="s">
        <v>12333</v>
      </c>
      <c r="BF635" t="str">
        <f>HYPERLINK("http://dx.doi.org/10.3389/fbloc.2023.1035405","http://dx.doi.org/10.3389/fbloc.2023.1035405")</f>
        <v>http://dx.doi.org/10.3389/fbloc.2023.1035405</v>
      </c>
      <c r="BG635" t="s">
        <v>74</v>
      </c>
      <c r="BH635" t="s">
        <v>74</v>
      </c>
      <c r="BI635">
        <v>13</v>
      </c>
      <c r="BJ635" t="s">
        <v>1223</v>
      </c>
      <c r="BK635" t="s">
        <v>313</v>
      </c>
      <c r="BL635" t="s">
        <v>157</v>
      </c>
      <c r="BM635" t="s">
        <v>12334</v>
      </c>
      <c r="BN635" t="s">
        <v>74</v>
      </c>
      <c r="BO635" t="s">
        <v>916</v>
      </c>
      <c r="BP635" t="s">
        <v>74</v>
      </c>
      <c r="BQ635" t="s">
        <v>74</v>
      </c>
      <c r="BR635" t="s">
        <v>102</v>
      </c>
      <c r="BS635" t="s">
        <v>12335</v>
      </c>
      <c r="BT635" t="str">
        <f>HYPERLINK("https%3A%2F%2Fwww.webofscience.com%2Fwos%2Fwoscc%2Ffull-record%2FWOS:000935955100001","View Full Record in Web of Science")</f>
        <v>View Full Record in Web of Science</v>
      </c>
    </row>
    <row r="636" spans="1:72" x14ac:dyDescent="0.25">
      <c r="A636" t="s">
        <v>72</v>
      </c>
      <c r="B636" t="s">
        <v>12336</v>
      </c>
      <c r="C636" t="s">
        <v>74</v>
      </c>
      <c r="D636" t="s">
        <v>74</v>
      </c>
      <c r="E636" t="s">
        <v>74</v>
      </c>
      <c r="F636" t="s">
        <v>12337</v>
      </c>
      <c r="G636" t="s">
        <v>74</v>
      </c>
      <c r="H636" t="s">
        <v>74</v>
      </c>
      <c r="I636" t="s">
        <v>12338</v>
      </c>
      <c r="J636" t="s">
        <v>12339</v>
      </c>
      <c r="K636" t="s">
        <v>74</v>
      </c>
      <c r="L636" t="s">
        <v>74</v>
      </c>
      <c r="M636" t="s">
        <v>78</v>
      </c>
      <c r="N636" t="s">
        <v>79</v>
      </c>
      <c r="O636" t="s">
        <v>74</v>
      </c>
      <c r="P636" t="s">
        <v>74</v>
      </c>
      <c r="Q636" t="s">
        <v>74</v>
      </c>
      <c r="R636" t="s">
        <v>74</v>
      </c>
      <c r="S636" t="s">
        <v>74</v>
      </c>
      <c r="T636" t="s">
        <v>12340</v>
      </c>
      <c r="U636" t="s">
        <v>12341</v>
      </c>
      <c r="V636" t="s">
        <v>12342</v>
      </c>
      <c r="W636" t="s">
        <v>12343</v>
      </c>
      <c r="X636" t="s">
        <v>12344</v>
      </c>
      <c r="Y636" t="s">
        <v>12345</v>
      </c>
      <c r="Z636" t="s">
        <v>12346</v>
      </c>
      <c r="AA636" t="s">
        <v>12347</v>
      </c>
      <c r="AB636" t="s">
        <v>12348</v>
      </c>
      <c r="AC636" t="s">
        <v>12349</v>
      </c>
      <c r="AD636" t="s">
        <v>12350</v>
      </c>
      <c r="AE636" t="s">
        <v>12351</v>
      </c>
      <c r="AF636" t="s">
        <v>74</v>
      </c>
      <c r="AG636">
        <v>110</v>
      </c>
      <c r="AH636">
        <v>26</v>
      </c>
      <c r="AI636">
        <v>28</v>
      </c>
      <c r="AJ636">
        <v>4</v>
      </c>
      <c r="AK636">
        <v>57</v>
      </c>
      <c r="AL636" t="s">
        <v>823</v>
      </c>
      <c r="AM636" t="s">
        <v>333</v>
      </c>
      <c r="AN636" t="s">
        <v>824</v>
      </c>
      <c r="AO636" t="s">
        <v>12352</v>
      </c>
      <c r="AP636" t="s">
        <v>12353</v>
      </c>
      <c r="AQ636" t="s">
        <v>74</v>
      </c>
      <c r="AR636" t="s">
        <v>12354</v>
      </c>
      <c r="AS636" t="s">
        <v>12355</v>
      </c>
      <c r="AT636" t="s">
        <v>8259</v>
      </c>
      <c r="AU636">
        <v>2023</v>
      </c>
      <c r="AV636">
        <v>42</v>
      </c>
      <c r="AW636">
        <v>7</v>
      </c>
      <c r="AX636" t="s">
        <v>74</v>
      </c>
      <c r="AY636" t="s">
        <v>74</v>
      </c>
      <c r="AZ636" t="s">
        <v>74</v>
      </c>
      <c r="BA636" t="s">
        <v>74</v>
      </c>
      <c r="BB636">
        <v>1005</v>
      </c>
      <c r="BC636">
        <v>1023</v>
      </c>
      <c r="BD636" t="s">
        <v>74</v>
      </c>
      <c r="BE636" t="s">
        <v>12356</v>
      </c>
      <c r="BF636" t="str">
        <f>HYPERLINK("http://dx.doi.org/10.1080/0144929X.2022.2054729","http://dx.doi.org/10.1080/0144929X.2022.2054729")</f>
        <v>http://dx.doi.org/10.1080/0144929X.2022.2054729</v>
      </c>
      <c r="BG636" t="s">
        <v>74</v>
      </c>
      <c r="BH636" t="s">
        <v>767</v>
      </c>
      <c r="BI636">
        <v>19</v>
      </c>
      <c r="BJ636" t="s">
        <v>12357</v>
      </c>
      <c r="BK636" t="s">
        <v>2623</v>
      </c>
      <c r="BL636" t="s">
        <v>981</v>
      </c>
      <c r="BM636" t="s">
        <v>12358</v>
      </c>
      <c r="BN636" t="s">
        <v>74</v>
      </c>
      <c r="BO636" t="s">
        <v>74</v>
      </c>
      <c r="BP636" t="s">
        <v>74</v>
      </c>
      <c r="BQ636" t="s">
        <v>74</v>
      </c>
      <c r="BR636" t="s">
        <v>102</v>
      </c>
      <c r="BS636" t="s">
        <v>12359</v>
      </c>
      <c r="BT636" t="str">
        <f>HYPERLINK("https%3A%2F%2Fwww.webofscience.com%2Fwos%2Fwoscc%2Ffull-record%2FWOS:000774878300001","View Full Record in Web of Science")</f>
        <v>View Full Record in Web of Science</v>
      </c>
    </row>
    <row r="637" spans="1:72" x14ac:dyDescent="0.25">
      <c r="A637" t="s">
        <v>72</v>
      </c>
      <c r="B637" t="s">
        <v>12360</v>
      </c>
      <c r="C637" t="s">
        <v>74</v>
      </c>
      <c r="D637" t="s">
        <v>74</v>
      </c>
      <c r="E637" t="s">
        <v>74</v>
      </c>
      <c r="F637" t="s">
        <v>12361</v>
      </c>
      <c r="G637" t="s">
        <v>74</v>
      </c>
      <c r="H637" t="s">
        <v>74</v>
      </c>
      <c r="I637" t="s">
        <v>12362</v>
      </c>
      <c r="J637" t="s">
        <v>1122</v>
      </c>
      <c r="K637" t="s">
        <v>74</v>
      </c>
      <c r="L637" t="s">
        <v>74</v>
      </c>
      <c r="M637" t="s">
        <v>78</v>
      </c>
      <c r="N637" t="s">
        <v>79</v>
      </c>
      <c r="O637" t="s">
        <v>74</v>
      </c>
      <c r="P637" t="s">
        <v>74</v>
      </c>
      <c r="Q637" t="s">
        <v>74</v>
      </c>
      <c r="R637" t="s">
        <v>74</v>
      </c>
      <c r="S637" t="s">
        <v>74</v>
      </c>
      <c r="T637" t="s">
        <v>12363</v>
      </c>
      <c r="U637" t="s">
        <v>12364</v>
      </c>
      <c r="V637" t="s">
        <v>12365</v>
      </c>
      <c r="W637" t="s">
        <v>12366</v>
      </c>
      <c r="X637" t="s">
        <v>12367</v>
      </c>
      <c r="Y637" t="s">
        <v>12368</v>
      </c>
      <c r="Z637" t="s">
        <v>12369</v>
      </c>
      <c r="AA637" t="s">
        <v>12370</v>
      </c>
      <c r="AB637" t="s">
        <v>74</v>
      </c>
      <c r="AC637" t="s">
        <v>74</v>
      </c>
      <c r="AD637" t="s">
        <v>74</v>
      </c>
      <c r="AE637" t="s">
        <v>74</v>
      </c>
      <c r="AF637" t="s">
        <v>74</v>
      </c>
      <c r="AG637">
        <v>84</v>
      </c>
      <c r="AH637">
        <v>13</v>
      </c>
      <c r="AI637">
        <v>15</v>
      </c>
      <c r="AJ637">
        <v>1</v>
      </c>
      <c r="AK637">
        <v>24</v>
      </c>
      <c r="AL637" t="s">
        <v>479</v>
      </c>
      <c r="AM637" t="s">
        <v>480</v>
      </c>
      <c r="AN637" t="s">
        <v>481</v>
      </c>
      <c r="AO637" t="s">
        <v>1131</v>
      </c>
      <c r="AP637" t="s">
        <v>1132</v>
      </c>
      <c r="AQ637" t="s">
        <v>74</v>
      </c>
      <c r="AR637" t="s">
        <v>1133</v>
      </c>
      <c r="AS637" t="s">
        <v>1134</v>
      </c>
      <c r="AT637" t="s">
        <v>1652</v>
      </c>
      <c r="AU637">
        <v>2022</v>
      </c>
      <c r="AV637">
        <v>34</v>
      </c>
      <c r="AW637" t="s">
        <v>74</v>
      </c>
      <c r="AX637" t="s">
        <v>74</v>
      </c>
      <c r="AY637">
        <v>1</v>
      </c>
      <c r="AZ637" t="s">
        <v>74</v>
      </c>
      <c r="BA637" t="s">
        <v>74</v>
      </c>
      <c r="BB637" t="s">
        <v>12371</v>
      </c>
      <c r="BC637" t="s">
        <v>12372</v>
      </c>
      <c r="BD637" t="s">
        <v>74</v>
      </c>
      <c r="BE637" t="s">
        <v>12373</v>
      </c>
      <c r="BF637" t="str">
        <f>HYPERLINK("http://dx.doi.org/10.1111/1467-8268.12652","http://dx.doi.org/10.1111/1467-8268.12652")</f>
        <v>http://dx.doi.org/10.1111/1467-8268.12652</v>
      </c>
      <c r="BG637" t="s">
        <v>74</v>
      </c>
      <c r="BH637" t="s">
        <v>126</v>
      </c>
      <c r="BI637">
        <v>16</v>
      </c>
      <c r="BJ637" t="s">
        <v>1137</v>
      </c>
      <c r="BK637" t="s">
        <v>99</v>
      </c>
      <c r="BL637" t="s">
        <v>1137</v>
      </c>
      <c r="BM637" t="s">
        <v>12374</v>
      </c>
      <c r="BN637" t="s">
        <v>74</v>
      </c>
      <c r="BO637" t="s">
        <v>270</v>
      </c>
      <c r="BP637" t="s">
        <v>74</v>
      </c>
      <c r="BQ637" t="s">
        <v>74</v>
      </c>
      <c r="BR637" t="s">
        <v>102</v>
      </c>
      <c r="BS637" t="s">
        <v>12375</v>
      </c>
      <c r="BT637" t="str">
        <f>HYPERLINK("https%3A%2F%2Fwww.webofscience.com%2Fwos%2Fwoscc%2Ffull-record%2FWOS:000828496800001","View Full Record in Web of Science")</f>
        <v>View Full Record in Web of Science</v>
      </c>
    </row>
    <row r="638" spans="1:72" x14ac:dyDescent="0.25">
      <c r="A638" t="s">
        <v>72</v>
      </c>
      <c r="B638" t="s">
        <v>12376</v>
      </c>
      <c r="C638" t="s">
        <v>74</v>
      </c>
      <c r="D638" t="s">
        <v>74</v>
      </c>
      <c r="E638" t="s">
        <v>74</v>
      </c>
      <c r="F638" t="s">
        <v>12377</v>
      </c>
      <c r="G638" t="s">
        <v>74</v>
      </c>
      <c r="H638" t="s">
        <v>74</v>
      </c>
      <c r="I638" t="s">
        <v>12378</v>
      </c>
      <c r="J638" t="s">
        <v>12379</v>
      </c>
      <c r="K638" t="s">
        <v>74</v>
      </c>
      <c r="L638" t="s">
        <v>74</v>
      </c>
      <c r="M638" t="s">
        <v>78</v>
      </c>
      <c r="N638" t="s">
        <v>79</v>
      </c>
      <c r="O638" t="s">
        <v>74</v>
      </c>
      <c r="P638" t="s">
        <v>74</v>
      </c>
      <c r="Q638" t="s">
        <v>74</v>
      </c>
      <c r="R638" t="s">
        <v>74</v>
      </c>
      <c r="S638" t="s">
        <v>74</v>
      </c>
      <c r="T638" t="s">
        <v>12380</v>
      </c>
      <c r="U638" t="s">
        <v>74</v>
      </c>
      <c r="V638" t="s">
        <v>12381</v>
      </c>
      <c r="W638" t="s">
        <v>12382</v>
      </c>
      <c r="X638" t="s">
        <v>74</v>
      </c>
      <c r="Y638" t="s">
        <v>12383</v>
      </c>
      <c r="Z638" t="s">
        <v>74</v>
      </c>
      <c r="AA638" t="s">
        <v>12384</v>
      </c>
      <c r="AB638" t="s">
        <v>12385</v>
      </c>
      <c r="AC638" t="s">
        <v>74</v>
      </c>
      <c r="AD638" t="s">
        <v>74</v>
      </c>
      <c r="AE638" t="s">
        <v>74</v>
      </c>
      <c r="AF638" t="s">
        <v>74</v>
      </c>
      <c r="AG638">
        <v>15</v>
      </c>
      <c r="AH638">
        <v>0</v>
      </c>
      <c r="AI638">
        <v>0</v>
      </c>
      <c r="AJ638">
        <v>0</v>
      </c>
      <c r="AK638">
        <v>26</v>
      </c>
      <c r="AL638" t="s">
        <v>12386</v>
      </c>
      <c r="AM638" t="s">
        <v>410</v>
      </c>
      <c r="AN638" t="s">
        <v>12387</v>
      </c>
      <c r="AO638" t="s">
        <v>12388</v>
      </c>
      <c r="AP638" t="s">
        <v>12389</v>
      </c>
      <c r="AQ638" t="s">
        <v>74</v>
      </c>
      <c r="AR638" t="s">
        <v>12390</v>
      </c>
      <c r="AS638" t="s">
        <v>12391</v>
      </c>
      <c r="AT638" t="s">
        <v>7558</v>
      </c>
      <c r="AU638">
        <v>2016</v>
      </c>
      <c r="AV638">
        <v>21</v>
      </c>
      <c r="AW638">
        <v>4</v>
      </c>
      <c r="AX638" t="s">
        <v>74</v>
      </c>
      <c r="AY638" t="s">
        <v>74</v>
      </c>
      <c r="AZ638" t="s">
        <v>74</v>
      </c>
      <c r="BA638" t="s">
        <v>74</v>
      </c>
      <c r="BB638">
        <v>44</v>
      </c>
      <c r="BC638">
        <v>54</v>
      </c>
      <c r="BD638" t="s">
        <v>74</v>
      </c>
      <c r="BE638" t="s">
        <v>12392</v>
      </c>
      <c r="BF638" t="str">
        <f>HYPERLINK("http://dx.doi.org/10.5958/0973-9343.2016.00034.X","http://dx.doi.org/10.5958/0973-9343.2016.00034.X")</f>
        <v>http://dx.doi.org/10.5958/0973-9343.2016.00034.X</v>
      </c>
      <c r="BG638" t="s">
        <v>74</v>
      </c>
      <c r="BH638" t="s">
        <v>74</v>
      </c>
      <c r="BI638">
        <v>11</v>
      </c>
      <c r="BJ638" t="s">
        <v>583</v>
      </c>
      <c r="BK638" t="s">
        <v>313</v>
      </c>
      <c r="BL638" t="s">
        <v>100</v>
      </c>
      <c r="BM638" t="s">
        <v>12393</v>
      </c>
      <c r="BN638" t="s">
        <v>74</v>
      </c>
      <c r="BO638" t="s">
        <v>270</v>
      </c>
      <c r="BP638" t="s">
        <v>74</v>
      </c>
      <c r="BQ638" t="s">
        <v>74</v>
      </c>
      <c r="BR638" t="s">
        <v>102</v>
      </c>
      <c r="BS638" t="s">
        <v>12394</v>
      </c>
      <c r="BT638" t="str">
        <f>HYPERLINK("https%3A%2F%2Fwww.webofscience.com%2Fwos%2Fwoscc%2Ffull-record%2FWOS:000390011000008","View Full Record in Web of Science")</f>
        <v>View Full Record in Web of Science</v>
      </c>
    </row>
    <row r="639" spans="1:72" x14ac:dyDescent="0.25">
      <c r="A639" t="s">
        <v>72</v>
      </c>
      <c r="B639" t="s">
        <v>12395</v>
      </c>
      <c r="C639" t="s">
        <v>74</v>
      </c>
      <c r="D639" t="s">
        <v>74</v>
      </c>
      <c r="E639" t="s">
        <v>74</v>
      </c>
      <c r="F639" t="s">
        <v>12396</v>
      </c>
      <c r="G639" t="s">
        <v>74</v>
      </c>
      <c r="H639" t="s">
        <v>74</v>
      </c>
      <c r="I639" t="s">
        <v>12397</v>
      </c>
      <c r="J639" t="s">
        <v>4700</v>
      </c>
      <c r="K639" t="s">
        <v>74</v>
      </c>
      <c r="L639" t="s">
        <v>74</v>
      </c>
      <c r="M639" t="s">
        <v>78</v>
      </c>
      <c r="N639" t="s">
        <v>79</v>
      </c>
      <c r="O639" t="s">
        <v>74</v>
      </c>
      <c r="P639" t="s">
        <v>74</v>
      </c>
      <c r="Q639" t="s">
        <v>74</v>
      </c>
      <c r="R639" t="s">
        <v>74</v>
      </c>
      <c r="S639" t="s">
        <v>74</v>
      </c>
      <c r="T639" t="s">
        <v>12398</v>
      </c>
      <c r="U639" t="s">
        <v>12399</v>
      </c>
      <c r="V639" t="s">
        <v>12400</v>
      </c>
      <c r="W639" t="s">
        <v>12401</v>
      </c>
      <c r="X639" t="s">
        <v>10580</v>
      </c>
      <c r="Y639" t="s">
        <v>12402</v>
      </c>
      <c r="Z639" t="s">
        <v>12403</v>
      </c>
      <c r="AA639" t="s">
        <v>10583</v>
      </c>
      <c r="AB639" t="s">
        <v>12404</v>
      </c>
      <c r="AC639" t="s">
        <v>74</v>
      </c>
      <c r="AD639" t="s">
        <v>74</v>
      </c>
      <c r="AE639" t="s">
        <v>74</v>
      </c>
      <c r="AF639" t="s">
        <v>74</v>
      </c>
      <c r="AG639">
        <v>101</v>
      </c>
      <c r="AH639">
        <v>15</v>
      </c>
      <c r="AI639">
        <v>16</v>
      </c>
      <c r="AJ639">
        <v>4</v>
      </c>
      <c r="AK639">
        <v>27</v>
      </c>
      <c r="AL639" t="s">
        <v>332</v>
      </c>
      <c r="AM639" t="s">
        <v>333</v>
      </c>
      <c r="AN639" t="s">
        <v>334</v>
      </c>
      <c r="AO639" t="s">
        <v>4711</v>
      </c>
      <c r="AP639" t="s">
        <v>4712</v>
      </c>
      <c r="AQ639" t="s">
        <v>74</v>
      </c>
      <c r="AR639" t="s">
        <v>4713</v>
      </c>
      <c r="AS639" t="s">
        <v>4714</v>
      </c>
      <c r="AT639" t="s">
        <v>12405</v>
      </c>
      <c r="AU639">
        <v>2024</v>
      </c>
      <c r="AV639">
        <v>16</v>
      </c>
      <c r="AW639">
        <v>5</v>
      </c>
      <c r="AX639" t="s">
        <v>74</v>
      </c>
      <c r="AY639" t="s">
        <v>74</v>
      </c>
      <c r="AZ639" t="s">
        <v>74</v>
      </c>
      <c r="BA639" t="s">
        <v>74</v>
      </c>
      <c r="BB639">
        <v>575</v>
      </c>
      <c r="BC639">
        <v>588</v>
      </c>
      <c r="BD639" t="s">
        <v>74</v>
      </c>
      <c r="BE639" t="s">
        <v>12406</v>
      </c>
      <c r="BF639" t="str">
        <f>HYPERLINK("http://dx.doi.org/10.1080/20421338.2024.2353428","http://dx.doi.org/10.1080/20421338.2024.2353428")</f>
        <v>http://dx.doi.org/10.1080/20421338.2024.2353428</v>
      </c>
      <c r="BG639" t="s">
        <v>74</v>
      </c>
      <c r="BH639" t="s">
        <v>6256</v>
      </c>
      <c r="BI639">
        <v>14</v>
      </c>
      <c r="BJ639" t="s">
        <v>559</v>
      </c>
      <c r="BK639" t="s">
        <v>313</v>
      </c>
      <c r="BL639" t="s">
        <v>560</v>
      </c>
      <c r="BM639" t="s">
        <v>12407</v>
      </c>
      <c r="BN639" t="s">
        <v>74</v>
      </c>
      <c r="BO639" t="s">
        <v>74</v>
      </c>
      <c r="BP639" t="s">
        <v>74</v>
      </c>
      <c r="BQ639" t="s">
        <v>74</v>
      </c>
      <c r="BR639" t="s">
        <v>102</v>
      </c>
      <c r="BS639" t="s">
        <v>12408</v>
      </c>
      <c r="BT639" t="str">
        <f>HYPERLINK("https%3A%2F%2Fwww.webofscience.com%2Fwos%2Fwoscc%2Ffull-record%2FWOS:001249806400001","View Full Record in Web of Science")</f>
        <v>View Full Record in Web of Science</v>
      </c>
    </row>
    <row r="640" spans="1:72" x14ac:dyDescent="0.25">
      <c r="A640" t="s">
        <v>72</v>
      </c>
      <c r="B640" t="s">
        <v>12409</v>
      </c>
      <c r="C640" t="s">
        <v>74</v>
      </c>
      <c r="D640" t="s">
        <v>74</v>
      </c>
      <c r="E640" t="s">
        <v>74</v>
      </c>
      <c r="F640" t="s">
        <v>12410</v>
      </c>
      <c r="G640" t="s">
        <v>74</v>
      </c>
      <c r="H640" t="s">
        <v>74</v>
      </c>
      <c r="I640" t="s">
        <v>12411</v>
      </c>
      <c r="J640" t="s">
        <v>11074</v>
      </c>
      <c r="K640" t="s">
        <v>74</v>
      </c>
      <c r="L640" t="s">
        <v>74</v>
      </c>
      <c r="M640" t="s">
        <v>78</v>
      </c>
      <c r="N640" t="s">
        <v>79</v>
      </c>
      <c r="O640" t="s">
        <v>74</v>
      </c>
      <c r="P640" t="s">
        <v>74</v>
      </c>
      <c r="Q640" t="s">
        <v>74</v>
      </c>
      <c r="R640" t="s">
        <v>74</v>
      </c>
      <c r="S640" t="s">
        <v>74</v>
      </c>
      <c r="T640" t="s">
        <v>12412</v>
      </c>
      <c r="U640" t="s">
        <v>12413</v>
      </c>
      <c r="V640" t="s">
        <v>12414</v>
      </c>
      <c r="W640" t="s">
        <v>12415</v>
      </c>
      <c r="X640" t="s">
        <v>74</v>
      </c>
      <c r="Y640" t="s">
        <v>12416</v>
      </c>
      <c r="Z640" t="s">
        <v>12417</v>
      </c>
      <c r="AA640" t="s">
        <v>74</v>
      </c>
      <c r="AB640" t="s">
        <v>12418</v>
      </c>
      <c r="AC640" t="s">
        <v>74</v>
      </c>
      <c r="AD640" t="s">
        <v>74</v>
      </c>
      <c r="AE640" t="s">
        <v>74</v>
      </c>
      <c r="AF640" t="s">
        <v>74</v>
      </c>
      <c r="AG640">
        <v>81</v>
      </c>
      <c r="AH640">
        <v>13</v>
      </c>
      <c r="AI640">
        <v>16</v>
      </c>
      <c r="AJ640">
        <v>1</v>
      </c>
      <c r="AK640">
        <v>13</v>
      </c>
      <c r="AL640" t="s">
        <v>89</v>
      </c>
      <c r="AM640" t="s">
        <v>1497</v>
      </c>
      <c r="AN640" t="s">
        <v>1498</v>
      </c>
      <c r="AO640" t="s">
        <v>11083</v>
      </c>
      <c r="AP640" t="s">
        <v>11084</v>
      </c>
      <c r="AQ640" t="s">
        <v>74</v>
      </c>
      <c r="AR640" t="s">
        <v>11085</v>
      </c>
      <c r="AS640" t="s">
        <v>11086</v>
      </c>
      <c r="AT640" t="s">
        <v>12419</v>
      </c>
      <c r="AU640">
        <v>2019</v>
      </c>
      <c r="AV640">
        <v>22</v>
      </c>
      <c r="AW640">
        <v>1</v>
      </c>
      <c r="AX640" t="s">
        <v>74</v>
      </c>
      <c r="AY640" t="s">
        <v>74</v>
      </c>
      <c r="AZ640" t="s">
        <v>74</v>
      </c>
      <c r="BA640" t="s">
        <v>74</v>
      </c>
      <c r="BB640">
        <v>15</v>
      </c>
      <c r="BC640">
        <v>31</v>
      </c>
      <c r="BD640" t="s">
        <v>74</v>
      </c>
      <c r="BE640" t="s">
        <v>12420</v>
      </c>
      <c r="BF640" t="str">
        <f>HYPERLINK("http://dx.doi.org/10.1108/DPRG-09-2019-0074","http://dx.doi.org/10.1108/DPRG-09-2019-0074")</f>
        <v>http://dx.doi.org/10.1108/DPRG-09-2019-0074</v>
      </c>
      <c r="BG640" t="s">
        <v>74</v>
      </c>
      <c r="BH640" t="s">
        <v>12421</v>
      </c>
      <c r="BI640">
        <v>17</v>
      </c>
      <c r="BJ640" t="s">
        <v>2351</v>
      </c>
      <c r="BK640" t="s">
        <v>313</v>
      </c>
      <c r="BL640" t="s">
        <v>2351</v>
      </c>
      <c r="BM640" t="s">
        <v>12422</v>
      </c>
      <c r="BN640" t="s">
        <v>74</v>
      </c>
      <c r="BO640" t="s">
        <v>74</v>
      </c>
      <c r="BP640" t="s">
        <v>74</v>
      </c>
      <c r="BQ640" t="s">
        <v>74</v>
      </c>
      <c r="BR640" t="s">
        <v>102</v>
      </c>
      <c r="BS640" t="s">
        <v>12423</v>
      </c>
      <c r="BT640" t="str">
        <f>HYPERLINK("https%3A%2F%2Fwww.webofscience.com%2Fwos%2Fwoscc%2Ffull-record%2FWOS:000506225000001","View Full Record in Web of Science")</f>
        <v>View Full Record in Web of Science</v>
      </c>
    </row>
    <row r="641" spans="1:72" x14ac:dyDescent="0.25">
      <c r="A641" t="s">
        <v>72</v>
      </c>
      <c r="B641" t="s">
        <v>12424</v>
      </c>
      <c r="C641" t="s">
        <v>74</v>
      </c>
      <c r="D641" t="s">
        <v>74</v>
      </c>
      <c r="E641" t="s">
        <v>74</v>
      </c>
      <c r="F641" t="s">
        <v>12425</v>
      </c>
      <c r="G641" t="s">
        <v>74</v>
      </c>
      <c r="H641" t="s">
        <v>74</v>
      </c>
      <c r="I641" t="s">
        <v>12426</v>
      </c>
      <c r="J641" t="s">
        <v>12427</v>
      </c>
      <c r="K641" t="s">
        <v>74</v>
      </c>
      <c r="L641" t="s">
        <v>74</v>
      </c>
      <c r="M641" t="s">
        <v>78</v>
      </c>
      <c r="N641" t="s">
        <v>1766</v>
      </c>
      <c r="O641" t="s">
        <v>74</v>
      </c>
      <c r="P641" t="s">
        <v>74</v>
      </c>
      <c r="Q641" t="s">
        <v>74</v>
      </c>
      <c r="R641" t="s">
        <v>74</v>
      </c>
      <c r="S641" t="s">
        <v>74</v>
      </c>
      <c r="T641" t="s">
        <v>12428</v>
      </c>
      <c r="U641" t="s">
        <v>12429</v>
      </c>
      <c r="V641" t="s">
        <v>12430</v>
      </c>
      <c r="W641" t="s">
        <v>12431</v>
      </c>
      <c r="X641" t="s">
        <v>12432</v>
      </c>
      <c r="Y641" t="s">
        <v>12433</v>
      </c>
      <c r="Z641" t="s">
        <v>12434</v>
      </c>
      <c r="AA641" t="s">
        <v>74</v>
      </c>
      <c r="AB641" t="s">
        <v>74</v>
      </c>
      <c r="AC641" t="s">
        <v>74</v>
      </c>
      <c r="AD641" t="s">
        <v>74</v>
      </c>
      <c r="AE641" t="s">
        <v>74</v>
      </c>
      <c r="AF641" t="s">
        <v>74</v>
      </c>
      <c r="AG641">
        <v>105</v>
      </c>
      <c r="AH641">
        <v>4</v>
      </c>
      <c r="AI641">
        <v>4</v>
      </c>
      <c r="AJ641">
        <v>20</v>
      </c>
      <c r="AK641">
        <v>21</v>
      </c>
      <c r="AL641" t="s">
        <v>201</v>
      </c>
      <c r="AM641" t="s">
        <v>202</v>
      </c>
      <c r="AN641" t="s">
        <v>203</v>
      </c>
      <c r="AO641" t="s">
        <v>74</v>
      </c>
      <c r="AP641" t="s">
        <v>12435</v>
      </c>
      <c r="AQ641" t="s">
        <v>74</v>
      </c>
      <c r="AR641" t="s">
        <v>12436</v>
      </c>
      <c r="AS641" t="s">
        <v>12437</v>
      </c>
      <c r="AT641" t="s">
        <v>124</v>
      </c>
      <c r="AU641">
        <v>2025</v>
      </c>
      <c r="AV641">
        <v>5</v>
      </c>
      <c r="AW641">
        <v>2</v>
      </c>
      <c r="AX641" t="s">
        <v>74</v>
      </c>
      <c r="AY641" t="s">
        <v>74</v>
      </c>
      <c r="AZ641" t="s">
        <v>74</v>
      </c>
      <c r="BA641" t="s">
        <v>74</v>
      </c>
      <c r="BB641" t="s">
        <v>74</v>
      </c>
      <c r="BC641" t="s">
        <v>74</v>
      </c>
      <c r="BD641">
        <v>100131</v>
      </c>
      <c r="BE641" t="s">
        <v>12438</v>
      </c>
      <c r="BF641" t="str">
        <f>HYPERLINK("http://dx.doi.org/10.1016/j.digbus.2025.100131","http://dx.doi.org/10.1016/j.digbus.2025.100131")</f>
        <v>http://dx.doi.org/10.1016/j.digbus.2025.100131</v>
      </c>
      <c r="BG641" t="s">
        <v>74</v>
      </c>
      <c r="BH641" t="s">
        <v>2359</v>
      </c>
      <c r="BI641">
        <v>21</v>
      </c>
      <c r="BJ641" t="s">
        <v>98</v>
      </c>
      <c r="BK641" t="s">
        <v>313</v>
      </c>
      <c r="BL641" t="s">
        <v>100</v>
      </c>
      <c r="BM641" t="s">
        <v>12439</v>
      </c>
      <c r="BN641" t="s">
        <v>74</v>
      </c>
      <c r="BO641" t="s">
        <v>916</v>
      </c>
      <c r="BP641" t="s">
        <v>74</v>
      </c>
      <c r="BQ641" t="s">
        <v>74</v>
      </c>
      <c r="BR641" t="s">
        <v>102</v>
      </c>
      <c r="BS641" t="s">
        <v>12440</v>
      </c>
      <c r="BT641" t="str">
        <f>HYPERLINK("https%3A%2F%2Fwww.webofscience.com%2Fwos%2Fwoscc%2Ffull-record%2FWOS:001502186900001","View Full Record in Web of Science")</f>
        <v>View Full Record in Web of Science</v>
      </c>
    </row>
    <row r="642" spans="1:72" x14ac:dyDescent="0.25">
      <c r="A642" t="s">
        <v>72</v>
      </c>
      <c r="B642" t="s">
        <v>12441</v>
      </c>
      <c r="C642" t="s">
        <v>74</v>
      </c>
      <c r="D642" t="s">
        <v>74</v>
      </c>
      <c r="E642" t="s">
        <v>74</v>
      </c>
      <c r="F642" t="s">
        <v>12442</v>
      </c>
      <c r="G642" t="s">
        <v>74</v>
      </c>
      <c r="H642" t="s">
        <v>74</v>
      </c>
      <c r="I642" t="s">
        <v>12443</v>
      </c>
      <c r="J642" t="s">
        <v>1328</v>
      </c>
      <c r="K642" t="s">
        <v>74</v>
      </c>
      <c r="L642" t="s">
        <v>74</v>
      </c>
      <c r="M642" t="s">
        <v>78</v>
      </c>
      <c r="N642" t="s">
        <v>79</v>
      </c>
      <c r="O642" t="s">
        <v>74</v>
      </c>
      <c r="P642" t="s">
        <v>74</v>
      </c>
      <c r="Q642" t="s">
        <v>74</v>
      </c>
      <c r="R642" t="s">
        <v>74</v>
      </c>
      <c r="S642" t="s">
        <v>74</v>
      </c>
      <c r="T642" t="s">
        <v>12444</v>
      </c>
      <c r="U642" t="s">
        <v>12445</v>
      </c>
      <c r="V642" t="s">
        <v>12446</v>
      </c>
      <c r="W642" t="s">
        <v>12447</v>
      </c>
      <c r="X642" t="s">
        <v>12264</v>
      </c>
      <c r="Y642" t="s">
        <v>12448</v>
      </c>
      <c r="Z642" t="s">
        <v>12449</v>
      </c>
      <c r="AA642" t="s">
        <v>74</v>
      </c>
      <c r="AB642" t="s">
        <v>12450</v>
      </c>
      <c r="AC642" t="s">
        <v>74</v>
      </c>
      <c r="AD642" t="s">
        <v>74</v>
      </c>
      <c r="AE642" t="s">
        <v>74</v>
      </c>
      <c r="AF642" t="s">
        <v>74</v>
      </c>
      <c r="AG642">
        <v>48</v>
      </c>
      <c r="AH642">
        <v>11</v>
      </c>
      <c r="AI642">
        <v>12</v>
      </c>
      <c r="AJ642">
        <v>4</v>
      </c>
      <c r="AK642">
        <v>25</v>
      </c>
      <c r="AL642" t="s">
        <v>1335</v>
      </c>
      <c r="AM642" t="s">
        <v>1336</v>
      </c>
      <c r="AN642" t="s">
        <v>1337</v>
      </c>
      <c r="AO642" t="s">
        <v>1338</v>
      </c>
      <c r="AP642" t="s">
        <v>1339</v>
      </c>
      <c r="AQ642" t="s">
        <v>74</v>
      </c>
      <c r="AR642" t="s">
        <v>1340</v>
      </c>
      <c r="AS642" t="s">
        <v>1341</v>
      </c>
      <c r="AT642" t="s">
        <v>74</v>
      </c>
      <c r="AU642">
        <v>2023</v>
      </c>
      <c r="AV642">
        <v>17</v>
      </c>
      <c r="AW642">
        <v>1</v>
      </c>
      <c r="AX642" t="s">
        <v>74</v>
      </c>
      <c r="AY642" t="s">
        <v>74</v>
      </c>
      <c r="AZ642" t="s">
        <v>74</v>
      </c>
      <c r="BA642" t="s">
        <v>74</v>
      </c>
      <c r="BB642">
        <v>176</v>
      </c>
      <c r="BC642">
        <v>204</v>
      </c>
      <c r="BD642" t="s">
        <v>74</v>
      </c>
      <c r="BE642" t="s">
        <v>74</v>
      </c>
      <c r="BF642" t="s">
        <v>74</v>
      </c>
      <c r="BG642" t="s">
        <v>74</v>
      </c>
      <c r="BH642" t="s">
        <v>74</v>
      </c>
      <c r="BI642">
        <v>29</v>
      </c>
      <c r="BJ642" t="s">
        <v>268</v>
      </c>
      <c r="BK642" t="s">
        <v>313</v>
      </c>
      <c r="BL642" t="s">
        <v>100</v>
      </c>
      <c r="BM642" t="s">
        <v>12451</v>
      </c>
      <c r="BN642" t="s">
        <v>74</v>
      </c>
      <c r="BO642" t="s">
        <v>74</v>
      </c>
      <c r="BP642" t="s">
        <v>74</v>
      </c>
      <c r="BQ642" t="s">
        <v>74</v>
      </c>
      <c r="BR642" t="s">
        <v>102</v>
      </c>
      <c r="BS642" t="s">
        <v>12452</v>
      </c>
      <c r="BT642" t="str">
        <f>HYPERLINK("https%3A%2F%2Fwww.webofscience.com%2Fwos%2Fwoscc%2Ffull-record%2FWOS:000986530100003","View Full Record in Web of Science")</f>
        <v>View Full Record in Web of Science</v>
      </c>
    </row>
    <row r="643" spans="1:72" x14ac:dyDescent="0.25">
      <c r="A643" t="s">
        <v>72</v>
      </c>
      <c r="B643" t="s">
        <v>8975</v>
      </c>
      <c r="C643" t="s">
        <v>74</v>
      </c>
      <c r="D643" t="s">
        <v>74</v>
      </c>
      <c r="E643" t="s">
        <v>74</v>
      </c>
      <c r="F643" t="s">
        <v>8976</v>
      </c>
      <c r="G643" t="s">
        <v>74</v>
      </c>
      <c r="H643" t="s">
        <v>74</v>
      </c>
      <c r="I643" t="s">
        <v>12453</v>
      </c>
      <c r="J643" t="s">
        <v>3439</v>
      </c>
      <c r="K643" t="s">
        <v>74</v>
      </c>
      <c r="L643" t="s">
        <v>74</v>
      </c>
      <c r="M643" t="s">
        <v>78</v>
      </c>
      <c r="N643" t="s">
        <v>79</v>
      </c>
      <c r="O643" t="s">
        <v>74</v>
      </c>
      <c r="P643" t="s">
        <v>74</v>
      </c>
      <c r="Q643" t="s">
        <v>74</v>
      </c>
      <c r="R643" t="s">
        <v>74</v>
      </c>
      <c r="S643" t="s">
        <v>74</v>
      </c>
      <c r="T643" t="s">
        <v>12454</v>
      </c>
      <c r="U643" t="s">
        <v>12455</v>
      </c>
      <c r="V643" t="s">
        <v>12456</v>
      </c>
      <c r="W643" t="s">
        <v>12457</v>
      </c>
      <c r="X643" t="s">
        <v>74</v>
      </c>
      <c r="Y643" t="s">
        <v>12458</v>
      </c>
      <c r="Z643" t="s">
        <v>8982</v>
      </c>
      <c r="AA643" t="s">
        <v>8983</v>
      </c>
      <c r="AB643" t="s">
        <v>8984</v>
      </c>
      <c r="AC643" t="s">
        <v>74</v>
      </c>
      <c r="AD643" t="s">
        <v>74</v>
      </c>
      <c r="AE643" t="s">
        <v>74</v>
      </c>
      <c r="AF643" t="s">
        <v>74</v>
      </c>
      <c r="AG643">
        <v>40</v>
      </c>
      <c r="AH643">
        <v>23</v>
      </c>
      <c r="AI643">
        <v>28</v>
      </c>
      <c r="AJ643">
        <v>0</v>
      </c>
      <c r="AK643">
        <v>21</v>
      </c>
      <c r="AL643" t="s">
        <v>2481</v>
      </c>
      <c r="AM643" t="s">
        <v>2482</v>
      </c>
      <c r="AN643" t="s">
        <v>2483</v>
      </c>
      <c r="AO643" t="s">
        <v>3443</v>
      </c>
      <c r="AP643" t="s">
        <v>74</v>
      </c>
      <c r="AQ643" t="s">
        <v>74</v>
      </c>
      <c r="AR643" t="s">
        <v>3444</v>
      </c>
      <c r="AS643" t="s">
        <v>3445</v>
      </c>
      <c r="AT643" t="s">
        <v>2970</v>
      </c>
      <c r="AU643">
        <v>2022</v>
      </c>
      <c r="AV643">
        <v>10</v>
      </c>
      <c r="AW643">
        <v>1</v>
      </c>
      <c r="AX643" t="s">
        <v>74</v>
      </c>
      <c r="AY643" t="s">
        <v>74</v>
      </c>
      <c r="AZ643" t="s">
        <v>74</v>
      </c>
      <c r="BA643" t="s">
        <v>74</v>
      </c>
      <c r="BB643" t="s">
        <v>74</v>
      </c>
      <c r="BC643" t="s">
        <v>74</v>
      </c>
      <c r="BD643">
        <v>2071385</v>
      </c>
      <c r="BE643" t="s">
        <v>12459</v>
      </c>
      <c r="BF643" t="str">
        <f>HYPERLINK("http://dx.doi.org/10.1080/23322039.2022.2071385","http://dx.doi.org/10.1080/23322039.2022.2071385")</f>
        <v>http://dx.doi.org/10.1080/23322039.2022.2071385</v>
      </c>
      <c r="BG643" t="s">
        <v>74</v>
      </c>
      <c r="BH643" t="s">
        <v>74</v>
      </c>
      <c r="BI643">
        <v>23</v>
      </c>
      <c r="BJ643" t="s">
        <v>291</v>
      </c>
      <c r="BK643" t="s">
        <v>313</v>
      </c>
      <c r="BL643" t="s">
        <v>100</v>
      </c>
      <c r="BM643" t="s">
        <v>12460</v>
      </c>
      <c r="BN643" t="s">
        <v>74</v>
      </c>
      <c r="BO643" t="s">
        <v>916</v>
      </c>
      <c r="BP643" t="s">
        <v>74</v>
      </c>
      <c r="BQ643" t="s">
        <v>74</v>
      </c>
      <c r="BR643" t="s">
        <v>102</v>
      </c>
      <c r="BS643" t="s">
        <v>12461</v>
      </c>
      <c r="BT643" t="str">
        <f>HYPERLINK("https%3A%2F%2Fwww.webofscience.com%2Fwos%2Fwoscc%2Ffull-record%2FWOS:000790563800001","View Full Record in Web of Science")</f>
        <v>View Full Record in Web of Science</v>
      </c>
    </row>
    <row r="644" spans="1:72" x14ac:dyDescent="0.25">
      <c r="A644" t="s">
        <v>72</v>
      </c>
      <c r="B644" t="s">
        <v>12462</v>
      </c>
      <c r="C644" t="s">
        <v>74</v>
      </c>
      <c r="D644" t="s">
        <v>74</v>
      </c>
      <c r="E644" t="s">
        <v>74</v>
      </c>
      <c r="F644" t="s">
        <v>12463</v>
      </c>
      <c r="G644" t="s">
        <v>74</v>
      </c>
      <c r="H644" t="s">
        <v>74</v>
      </c>
      <c r="I644" t="s">
        <v>12464</v>
      </c>
      <c r="J644" t="s">
        <v>1309</v>
      </c>
      <c r="K644" t="s">
        <v>74</v>
      </c>
      <c r="L644" t="s">
        <v>74</v>
      </c>
      <c r="M644" t="s">
        <v>78</v>
      </c>
      <c r="N644" t="s">
        <v>79</v>
      </c>
      <c r="O644" t="s">
        <v>74</v>
      </c>
      <c r="P644" t="s">
        <v>74</v>
      </c>
      <c r="Q644" t="s">
        <v>74</v>
      </c>
      <c r="R644" t="s">
        <v>74</v>
      </c>
      <c r="S644" t="s">
        <v>74</v>
      </c>
      <c r="T644" t="s">
        <v>12465</v>
      </c>
      <c r="U644" t="s">
        <v>12466</v>
      </c>
      <c r="V644" t="s">
        <v>12467</v>
      </c>
      <c r="W644" t="s">
        <v>12468</v>
      </c>
      <c r="X644" t="s">
        <v>12469</v>
      </c>
      <c r="Y644" t="s">
        <v>12470</v>
      </c>
      <c r="Z644" t="s">
        <v>12471</v>
      </c>
      <c r="AA644" t="s">
        <v>11240</v>
      </c>
      <c r="AB644" t="s">
        <v>12472</v>
      </c>
      <c r="AC644" t="s">
        <v>74</v>
      </c>
      <c r="AD644" t="s">
        <v>74</v>
      </c>
      <c r="AE644" t="s">
        <v>74</v>
      </c>
      <c r="AF644" t="s">
        <v>74</v>
      </c>
      <c r="AG644">
        <v>70</v>
      </c>
      <c r="AH644">
        <v>13</v>
      </c>
      <c r="AI644">
        <v>15</v>
      </c>
      <c r="AJ644">
        <v>2</v>
      </c>
      <c r="AK644">
        <v>19</v>
      </c>
      <c r="AL644" t="s">
        <v>89</v>
      </c>
      <c r="AM644" t="s">
        <v>90</v>
      </c>
      <c r="AN644" t="s">
        <v>91</v>
      </c>
      <c r="AO644" t="s">
        <v>1317</v>
      </c>
      <c r="AP644" t="s">
        <v>74</v>
      </c>
      <c r="AQ644" t="s">
        <v>74</v>
      </c>
      <c r="AR644" t="s">
        <v>1319</v>
      </c>
      <c r="AS644" t="s">
        <v>74</v>
      </c>
      <c r="AT644" t="s">
        <v>12473</v>
      </c>
      <c r="AU644">
        <v>2021</v>
      </c>
      <c r="AV644">
        <v>48</v>
      </c>
      <c r="AW644">
        <v>8</v>
      </c>
      <c r="AX644" t="s">
        <v>74</v>
      </c>
      <c r="AY644" t="s">
        <v>74</v>
      </c>
      <c r="AZ644" t="s">
        <v>74</v>
      </c>
      <c r="BA644" t="s">
        <v>74</v>
      </c>
      <c r="BB644">
        <v>1421</v>
      </c>
      <c r="BC644">
        <v>1441</v>
      </c>
      <c r="BD644" t="s">
        <v>74</v>
      </c>
      <c r="BE644" t="s">
        <v>12474</v>
      </c>
      <c r="BF644" t="str">
        <f>HYPERLINK("http://dx.doi.org/10.1108/JES-05-2020-0201","http://dx.doi.org/10.1108/JES-05-2020-0201")</f>
        <v>http://dx.doi.org/10.1108/JES-05-2020-0201</v>
      </c>
      <c r="BG644" t="s">
        <v>74</v>
      </c>
      <c r="BH644" t="s">
        <v>7236</v>
      </c>
      <c r="BI644">
        <v>21</v>
      </c>
      <c r="BJ644" t="s">
        <v>291</v>
      </c>
      <c r="BK644" t="s">
        <v>313</v>
      </c>
      <c r="BL644" t="s">
        <v>100</v>
      </c>
      <c r="BM644" t="s">
        <v>12475</v>
      </c>
      <c r="BN644" t="s">
        <v>74</v>
      </c>
      <c r="BO644" t="s">
        <v>2734</v>
      </c>
      <c r="BP644" t="s">
        <v>74</v>
      </c>
      <c r="BQ644" t="s">
        <v>74</v>
      </c>
      <c r="BR644" t="s">
        <v>102</v>
      </c>
      <c r="BS644" t="s">
        <v>12476</v>
      </c>
      <c r="BT644" t="str">
        <f>HYPERLINK("https%3A%2F%2Fwww.webofscience.com%2Fwos%2Fwoscc%2Ffull-record%2FWOS:000592906400001","View Full Record in Web of Science")</f>
        <v>View Full Record in Web of Science</v>
      </c>
    </row>
    <row r="645" spans="1:72" x14ac:dyDescent="0.25">
      <c r="A645" t="s">
        <v>72</v>
      </c>
      <c r="B645" t="s">
        <v>12477</v>
      </c>
      <c r="C645" t="s">
        <v>74</v>
      </c>
      <c r="D645" t="s">
        <v>74</v>
      </c>
      <c r="E645" t="s">
        <v>74</v>
      </c>
      <c r="F645" t="s">
        <v>12478</v>
      </c>
      <c r="G645" t="s">
        <v>74</v>
      </c>
      <c r="H645" t="s">
        <v>74</v>
      </c>
      <c r="I645" t="s">
        <v>12479</v>
      </c>
      <c r="J645" t="s">
        <v>2763</v>
      </c>
      <c r="K645" t="s">
        <v>74</v>
      </c>
      <c r="L645" t="s">
        <v>74</v>
      </c>
      <c r="M645" t="s">
        <v>78</v>
      </c>
      <c r="N645" t="s">
        <v>79</v>
      </c>
      <c r="O645" t="s">
        <v>74</v>
      </c>
      <c r="P645" t="s">
        <v>74</v>
      </c>
      <c r="Q645" t="s">
        <v>74</v>
      </c>
      <c r="R645" t="s">
        <v>74</v>
      </c>
      <c r="S645" t="s">
        <v>74</v>
      </c>
      <c r="T645" t="s">
        <v>12480</v>
      </c>
      <c r="U645" t="s">
        <v>12481</v>
      </c>
      <c r="V645" t="s">
        <v>12482</v>
      </c>
      <c r="W645" t="s">
        <v>12483</v>
      </c>
      <c r="X645" t="s">
        <v>12484</v>
      </c>
      <c r="Y645" t="s">
        <v>12485</v>
      </c>
      <c r="Z645" t="s">
        <v>12486</v>
      </c>
      <c r="AA645" t="s">
        <v>74</v>
      </c>
      <c r="AB645" t="s">
        <v>74</v>
      </c>
      <c r="AC645" t="s">
        <v>12487</v>
      </c>
      <c r="AD645" t="s">
        <v>12488</v>
      </c>
      <c r="AE645" t="s">
        <v>12489</v>
      </c>
      <c r="AF645" t="s">
        <v>74</v>
      </c>
      <c r="AG645">
        <v>47</v>
      </c>
      <c r="AH645">
        <v>2</v>
      </c>
      <c r="AI645">
        <v>2</v>
      </c>
      <c r="AJ645">
        <v>14</v>
      </c>
      <c r="AK645">
        <v>38</v>
      </c>
      <c r="AL645" t="s">
        <v>479</v>
      </c>
      <c r="AM645" t="s">
        <v>480</v>
      </c>
      <c r="AN645" t="s">
        <v>481</v>
      </c>
      <c r="AO645" t="s">
        <v>2776</v>
      </c>
      <c r="AP645" t="s">
        <v>2777</v>
      </c>
      <c r="AQ645" t="s">
        <v>74</v>
      </c>
      <c r="AR645" t="s">
        <v>2778</v>
      </c>
      <c r="AS645" t="s">
        <v>2779</v>
      </c>
      <c r="AT645" t="s">
        <v>289</v>
      </c>
      <c r="AU645">
        <v>2025</v>
      </c>
      <c r="AV645">
        <v>29</v>
      </c>
      <c r="AW645">
        <v>3</v>
      </c>
      <c r="AX645" t="s">
        <v>74</v>
      </c>
      <c r="AY645" t="s">
        <v>74</v>
      </c>
      <c r="AZ645" t="s">
        <v>441</v>
      </c>
      <c r="BA645" t="s">
        <v>74</v>
      </c>
      <c r="BB645">
        <v>1435</v>
      </c>
      <c r="BC645">
        <v>1452</v>
      </c>
      <c r="BD645" t="s">
        <v>74</v>
      </c>
      <c r="BE645" t="s">
        <v>12490</v>
      </c>
      <c r="BF645" t="str">
        <f>HYPERLINK("http://dx.doi.org/10.1111/rode.13166","http://dx.doi.org/10.1111/rode.13166")</f>
        <v>http://dx.doi.org/10.1111/rode.13166</v>
      </c>
      <c r="BG645" t="s">
        <v>74</v>
      </c>
      <c r="BH645" t="s">
        <v>1136</v>
      </c>
      <c r="BI645">
        <v>18</v>
      </c>
      <c r="BJ645" t="s">
        <v>701</v>
      </c>
      <c r="BK645" t="s">
        <v>99</v>
      </c>
      <c r="BL645" t="s">
        <v>702</v>
      </c>
      <c r="BM645" t="s">
        <v>12491</v>
      </c>
      <c r="BN645" t="s">
        <v>74</v>
      </c>
      <c r="BO645" t="s">
        <v>74</v>
      </c>
      <c r="BP645" t="s">
        <v>74</v>
      </c>
      <c r="BQ645" t="s">
        <v>74</v>
      </c>
      <c r="BR645" t="s">
        <v>102</v>
      </c>
      <c r="BS645" t="s">
        <v>12492</v>
      </c>
      <c r="BT645" t="str">
        <f>HYPERLINK("https%3A%2F%2Fwww.webofscience.com%2Fwos%2Fwoscc%2Ffull-record%2FWOS:001322614100001","View Full Record in Web of Science")</f>
        <v>View Full Record in Web of Science</v>
      </c>
    </row>
    <row r="646" spans="1:72" x14ac:dyDescent="0.25">
      <c r="A646" t="s">
        <v>72</v>
      </c>
      <c r="B646" t="s">
        <v>12493</v>
      </c>
      <c r="C646" t="s">
        <v>74</v>
      </c>
      <c r="D646" t="s">
        <v>74</v>
      </c>
      <c r="E646" t="s">
        <v>74</v>
      </c>
      <c r="F646" t="s">
        <v>12494</v>
      </c>
      <c r="G646" t="s">
        <v>74</v>
      </c>
      <c r="H646" t="s">
        <v>74</v>
      </c>
      <c r="I646" t="s">
        <v>12495</v>
      </c>
      <c r="J646" t="s">
        <v>1987</v>
      </c>
      <c r="K646" t="s">
        <v>74</v>
      </c>
      <c r="L646" t="s">
        <v>74</v>
      </c>
      <c r="M646" t="s">
        <v>78</v>
      </c>
      <c r="N646" t="s">
        <v>79</v>
      </c>
      <c r="O646" t="s">
        <v>74</v>
      </c>
      <c r="P646" t="s">
        <v>74</v>
      </c>
      <c r="Q646" t="s">
        <v>74</v>
      </c>
      <c r="R646" t="s">
        <v>74</v>
      </c>
      <c r="S646" t="s">
        <v>74</v>
      </c>
      <c r="T646" t="s">
        <v>12496</v>
      </c>
      <c r="U646" t="s">
        <v>12497</v>
      </c>
      <c r="V646" t="s">
        <v>12498</v>
      </c>
      <c r="W646" t="s">
        <v>12499</v>
      </c>
      <c r="X646" t="s">
        <v>12500</v>
      </c>
      <c r="Y646" t="s">
        <v>12501</v>
      </c>
      <c r="Z646" t="s">
        <v>12502</v>
      </c>
      <c r="AA646" t="s">
        <v>12503</v>
      </c>
      <c r="AB646" t="s">
        <v>12504</v>
      </c>
      <c r="AC646" t="s">
        <v>74</v>
      </c>
      <c r="AD646" t="s">
        <v>74</v>
      </c>
      <c r="AE646" t="s">
        <v>74</v>
      </c>
      <c r="AF646" t="s">
        <v>74</v>
      </c>
      <c r="AG646">
        <v>63</v>
      </c>
      <c r="AH646">
        <v>8</v>
      </c>
      <c r="AI646">
        <v>8</v>
      </c>
      <c r="AJ646">
        <v>0</v>
      </c>
      <c r="AK646">
        <v>7</v>
      </c>
      <c r="AL646" t="s">
        <v>479</v>
      </c>
      <c r="AM646" t="s">
        <v>480</v>
      </c>
      <c r="AN646" t="s">
        <v>481</v>
      </c>
      <c r="AO646" t="s">
        <v>1997</v>
      </c>
      <c r="AP646" t="s">
        <v>1998</v>
      </c>
      <c r="AQ646" t="s">
        <v>74</v>
      </c>
      <c r="AR646" t="s">
        <v>1999</v>
      </c>
      <c r="AS646" t="s">
        <v>2000</v>
      </c>
      <c r="AT646" t="s">
        <v>605</v>
      </c>
      <c r="AU646">
        <v>2024</v>
      </c>
      <c r="AV646">
        <v>36</v>
      </c>
      <c r="AW646">
        <v>2</v>
      </c>
      <c r="AX646" t="s">
        <v>74</v>
      </c>
      <c r="AY646" t="s">
        <v>74</v>
      </c>
      <c r="AZ646" t="s">
        <v>74</v>
      </c>
      <c r="BA646" t="s">
        <v>74</v>
      </c>
      <c r="BB646">
        <v>1254</v>
      </c>
      <c r="BC646">
        <v>1273</v>
      </c>
      <c r="BD646" t="s">
        <v>74</v>
      </c>
      <c r="BE646" t="s">
        <v>12505</v>
      </c>
      <c r="BF646" t="str">
        <f>HYPERLINK("http://dx.doi.org/10.1002/jid.3863","http://dx.doi.org/10.1002/jid.3863")</f>
        <v>http://dx.doi.org/10.1002/jid.3863</v>
      </c>
      <c r="BG646" t="s">
        <v>74</v>
      </c>
      <c r="BH646" t="s">
        <v>3535</v>
      </c>
      <c r="BI646">
        <v>20</v>
      </c>
      <c r="BJ646" t="s">
        <v>1137</v>
      </c>
      <c r="BK646" t="s">
        <v>99</v>
      </c>
      <c r="BL646" t="s">
        <v>1137</v>
      </c>
      <c r="BM646" t="s">
        <v>12506</v>
      </c>
      <c r="BN646" t="s">
        <v>74</v>
      </c>
      <c r="BO646" t="s">
        <v>1205</v>
      </c>
      <c r="BP646" t="s">
        <v>74</v>
      </c>
      <c r="BQ646" t="s">
        <v>74</v>
      </c>
      <c r="BR646" t="s">
        <v>102</v>
      </c>
      <c r="BS646" t="s">
        <v>12507</v>
      </c>
      <c r="BT646" t="str">
        <f>HYPERLINK("https%3A%2F%2Fwww.webofscience.com%2Fwos%2Fwoscc%2Ffull-record%2FWOS:001106075300001","View Full Record in Web of Science")</f>
        <v>View Full Record in Web of Science</v>
      </c>
    </row>
    <row r="647" spans="1:72" x14ac:dyDescent="0.25">
      <c r="A647" t="s">
        <v>72</v>
      </c>
      <c r="B647" t="s">
        <v>12508</v>
      </c>
      <c r="C647" t="s">
        <v>74</v>
      </c>
      <c r="D647" t="s">
        <v>74</v>
      </c>
      <c r="E647" t="s">
        <v>74</v>
      </c>
      <c r="F647" t="s">
        <v>12509</v>
      </c>
      <c r="G647" t="s">
        <v>74</v>
      </c>
      <c r="H647" t="s">
        <v>74</v>
      </c>
      <c r="I647" t="s">
        <v>12510</v>
      </c>
      <c r="J647" t="s">
        <v>3036</v>
      </c>
      <c r="K647" t="s">
        <v>74</v>
      </c>
      <c r="L647" t="s">
        <v>74</v>
      </c>
      <c r="M647" t="s">
        <v>78</v>
      </c>
      <c r="N647" t="s">
        <v>372</v>
      </c>
      <c r="O647" t="s">
        <v>74</v>
      </c>
      <c r="P647" t="s">
        <v>74</v>
      </c>
      <c r="Q647" t="s">
        <v>74</v>
      </c>
      <c r="R647" t="s">
        <v>74</v>
      </c>
      <c r="S647" t="s">
        <v>74</v>
      </c>
      <c r="T647" t="s">
        <v>12511</v>
      </c>
      <c r="U647" t="s">
        <v>74</v>
      </c>
      <c r="V647" t="s">
        <v>12512</v>
      </c>
      <c r="W647" t="s">
        <v>12513</v>
      </c>
      <c r="X647" t="s">
        <v>12514</v>
      </c>
      <c r="Y647" t="s">
        <v>12515</v>
      </c>
      <c r="Z647" t="s">
        <v>12516</v>
      </c>
      <c r="AA647" t="s">
        <v>12517</v>
      </c>
      <c r="AB647" t="s">
        <v>12518</v>
      </c>
      <c r="AC647" t="s">
        <v>74</v>
      </c>
      <c r="AD647" t="s">
        <v>74</v>
      </c>
      <c r="AE647" t="s">
        <v>74</v>
      </c>
      <c r="AF647" t="s">
        <v>74</v>
      </c>
      <c r="AG647">
        <v>40</v>
      </c>
      <c r="AH647">
        <v>12</v>
      </c>
      <c r="AI647">
        <v>13</v>
      </c>
      <c r="AJ647">
        <v>19</v>
      </c>
      <c r="AK647">
        <v>117</v>
      </c>
      <c r="AL647" t="s">
        <v>385</v>
      </c>
      <c r="AM647" t="s">
        <v>151</v>
      </c>
      <c r="AN647" t="s">
        <v>386</v>
      </c>
      <c r="AO647" t="s">
        <v>3045</v>
      </c>
      <c r="AP647" t="s">
        <v>3046</v>
      </c>
      <c r="AQ647" t="s">
        <v>74</v>
      </c>
      <c r="AR647" t="s">
        <v>3047</v>
      </c>
      <c r="AS647" t="s">
        <v>3048</v>
      </c>
      <c r="AT647" t="s">
        <v>12519</v>
      </c>
      <c r="AU647">
        <v>2024</v>
      </c>
      <c r="AV647" t="s">
        <v>74</v>
      </c>
      <c r="AW647" t="s">
        <v>74</v>
      </c>
      <c r="AX647" t="s">
        <v>74</v>
      </c>
      <c r="AY647" t="s">
        <v>74</v>
      </c>
      <c r="AZ647" t="s">
        <v>74</v>
      </c>
      <c r="BA647" t="s">
        <v>74</v>
      </c>
      <c r="BB647" t="s">
        <v>74</v>
      </c>
      <c r="BC647" t="s">
        <v>74</v>
      </c>
      <c r="BD647" t="s">
        <v>74</v>
      </c>
      <c r="BE647" t="s">
        <v>12520</v>
      </c>
      <c r="BF647" t="str">
        <f>HYPERLINK("http://dx.doi.org/10.1007/s13132-024-01821-3","http://dx.doi.org/10.1007/s13132-024-01821-3")</f>
        <v>http://dx.doi.org/10.1007/s13132-024-01821-3</v>
      </c>
      <c r="BG647" t="s">
        <v>74</v>
      </c>
      <c r="BH647" t="s">
        <v>1239</v>
      </c>
      <c r="BI647">
        <v>32</v>
      </c>
      <c r="BJ647" t="s">
        <v>291</v>
      </c>
      <c r="BK647" t="s">
        <v>99</v>
      </c>
      <c r="BL647" t="s">
        <v>100</v>
      </c>
      <c r="BM647" t="s">
        <v>12521</v>
      </c>
      <c r="BN647" t="s">
        <v>74</v>
      </c>
      <c r="BO647" t="s">
        <v>74</v>
      </c>
      <c r="BP647" t="s">
        <v>74</v>
      </c>
      <c r="BQ647" t="s">
        <v>74</v>
      </c>
      <c r="BR647" t="s">
        <v>102</v>
      </c>
      <c r="BS647" t="s">
        <v>12522</v>
      </c>
      <c r="BT647" t="str">
        <f>HYPERLINK("https%3A%2F%2Fwww.webofscience.com%2Fwos%2Fwoscc%2Ffull-record%2FWOS:001162091900001","View Full Record in Web of Science")</f>
        <v>View Full Record in Web of Science</v>
      </c>
    </row>
    <row r="648" spans="1:72" x14ac:dyDescent="0.25">
      <c r="A648" t="s">
        <v>132</v>
      </c>
      <c r="B648" t="s">
        <v>12523</v>
      </c>
      <c r="C648" t="s">
        <v>74</v>
      </c>
      <c r="D648" t="s">
        <v>12524</v>
      </c>
      <c r="E648" t="s">
        <v>74</v>
      </c>
      <c r="F648" t="s">
        <v>12525</v>
      </c>
      <c r="G648" t="s">
        <v>74</v>
      </c>
      <c r="H648" t="s">
        <v>74</v>
      </c>
      <c r="I648" t="s">
        <v>12526</v>
      </c>
      <c r="J648" t="s">
        <v>12527</v>
      </c>
      <c r="K648" t="s">
        <v>12528</v>
      </c>
      <c r="L648" t="s">
        <v>74</v>
      </c>
      <c r="M648" t="s">
        <v>78</v>
      </c>
      <c r="N648" t="s">
        <v>138</v>
      </c>
      <c r="O648" t="s">
        <v>12529</v>
      </c>
      <c r="P648" t="s">
        <v>12530</v>
      </c>
      <c r="Q648" t="s">
        <v>12531</v>
      </c>
      <c r="R648" t="s">
        <v>12532</v>
      </c>
      <c r="S648" t="s">
        <v>74</v>
      </c>
      <c r="T648" t="s">
        <v>12533</v>
      </c>
      <c r="U648" t="s">
        <v>74</v>
      </c>
      <c r="V648" t="s">
        <v>12534</v>
      </c>
      <c r="W648" t="s">
        <v>12535</v>
      </c>
      <c r="X648" t="s">
        <v>12536</v>
      </c>
      <c r="Y648" t="s">
        <v>12537</v>
      </c>
      <c r="Z648" t="s">
        <v>12538</v>
      </c>
      <c r="AA648" t="s">
        <v>74</v>
      </c>
      <c r="AB648" t="s">
        <v>74</v>
      </c>
      <c r="AC648" t="s">
        <v>74</v>
      </c>
      <c r="AD648" t="s">
        <v>74</v>
      </c>
      <c r="AE648" t="s">
        <v>74</v>
      </c>
      <c r="AF648" t="s">
        <v>74</v>
      </c>
      <c r="AG648">
        <v>12</v>
      </c>
      <c r="AH648">
        <v>1</v>
      </c>
      <c r="AI648">
        <v>1</v>
      </c>
      <c r="AJ648">
        <v>2</v>
      </c>
      <c r="AK648">
        <v>18</v>
      </c>
      <c r="AL648" t="s">
        <v>1062</v>
      </c>
      <c r="AM648" t="s">
        <v>667</v>
      </c>
      <c r="AN648" t="s">
        <v>668</v>
      </c>
      <c r="AO648" t="s">
        <v>12539</v>
      </c>
      <c r="AP648" t="s">
        <v>12540</v>
      </c>
      <c r="AQ648" t="s">
        <v>12541</v>
      </c>
      <c r="AR648" t="s">
        <v>12542</v>
      </c>
      <c r="AS648" t="s">
        <v>74</v>
      </c>
      <c r="AT648" t="s">
        <v>74</v>
      </c>
      <c r="AU648">
        <v>2023</v>
      </c>
      <c r="AV648">
        <v>260</v>
      </c>
      <c r="AW648" t="s">
        <v>74</v>
      </c>
      <c r="AX648" t="s">
        <v>74</v>
      </c>
      <c r="AY648" t="s">
        <v>74</v>
      </c>
      <c r="AZ648" t="s">
        <v>74</v>
      </c>
      <c r="BA648" t="s">
        <v>74</v>
      </c>
      <c r="BB648">
        <v>453</v>
      </c>
      <c r="BC648">
        <v>459</v>
      </c>
      <c r="BD648" t="s">
        <v>74</v>
      </c>
      <c r="BE648" t="s">
        <v>12543</v>
      </c>
      <c r="BF648" t="str">
        <f>HYPERLINK("http://dx.doi.org/10.1007/978-981-19-2768-3_43","http://dx.doi.org/10.1007/978-981-19-2768-3_43")</f>
        <v>http://dx.doi.org/10.1007/978-981-19-2768-3_43</v>
      </c>
      <c r="BG648" t="s">
        <v>74</v>
      </c>
      <c r="BH648" t="s">
        <v>74</v>
      </c>
      <c r="BI648">
        <v>7</v>
      </c>
      <c r="BJ648" t="s">
        <v>3174</v>
      </c>
      <c r="BK648" t="s">
        <v>156</v>
      </c>
      <c r="BL648" t="s">
        <v>3174</v>
      </c>
      <c r="BM648" t="s">
        <v>12544</v>
      </c>
      <c r="BN648" t="s">
        <v>74</v>
      </c>
      <c r="BO648" t="s">
        <v>74</v>
      </c>
      <c r="BP648" t="s">
        <v>74</v>
      </c>
      <c r="BQ648" t="s">
        <v>74</v>
      </c>
      <c r="BR648" t="s">
        <v>102</v>
      </c>
      <c r="BS648" t="s">
        <v>12545</v>
      </c>
      <c r="BT648" t="str">
        <f>HYPERLINK("https%3A%2F%2Fwww.webofscience.com%2Fwos%2Fwoscc%2Ffull-record%2FWOS:000865739200043","View Full Record in Web of Science")</f>
        <v>View Full Record in Web of Science</v>
      </c>
    </row>
    <row r="649" spans="1:72" x14ac:dyDescent="0.25">
      <c r="A649" t="s">
        <v>72</v>
      </c>
      <c r="B649" t="s">
        <v>12546</v>
      </c>
      <c r="C649" t="s">
        <v>74</v>
      </c>
      <c r="D649" t="s">
        <v>74</v>
      </c>
      <c r="E649" t="s">
        <v>74</v>
      </c>
      <c r="F649" t="s">
        <v>12547</v>
      </c>
      <c r="G649" t="s">
        <v>74</v>
      </c>
      <c r="H649" t="s">
        <v>74</v>
      </c>
      <c r="I649" t="s">
        <v>12548</v>
      </c>
      <c r="J649" t="s">
        <v>12549</v>
      </c>
      <c r="K649" t="s">
        <v>74</v>
      </c>
      <c r="L649" t="s">
        <v>74</v>
      </c>
      <c r="M649" t="s">
        <v>78</v>
      </c>
      <c r="N649" t="s">
        <v>79</v>
      </c>
      <c r="O649" t="s">
        <v>74</v>
      </c>
      <c r="P649" t="s">
        <v>74</v>
      </c>
      <c r="Q649" t="s">
        <v>74</v>
      </c>
      <c r="R649" t="s">
        <v>74</v>
      </c>
      <c r="S649" t="s">
        <v>74</v>
      </c>
      <c r="T649" t="s">
        <v>12550</v>
      </c>
      <c r="U649" t="s">
        <v>12551</v>
      </c>
      <c r="V649" t="s">
        <v>12552</v>
      </c>
      <c r="W649" t="s">
        <v>12553</v>
      </c>
      <c r="X649" t="s">
        <v>12554</v>
      </c>
      <c r="Y649" t="s">
        <v>12555</v>
      </c>
      <c r="Z649" t="s">
        <v>12556</v>
      </c>
      <c r="AA649" t="s">
        <v>12557</v>
      </c>
      <c r="AB649" t="s">
        <v>12558</v>
      </c>
      <c r="AC649" t="s">
        <v>12559</v>
      </c>
      <c r="AD649" t="s">
        <v>12560</v>
      </c>
      <c r="AE649" t="s">
        <v>12561</v>
      </c>
      <c r="AF649" t="s">
        <v>74</v>
      </c>
      <c r="AG649">
        <v>70</v>
      </c>
      <c r="AH649">
        <v>37</v>
      </c>
      <c r="AI649">
        <v>53</v>
      </c>
      <c r="AJ649">
        <v>2</v>
      </c>
      <c r="AK649">
        <v>42</v>
      </c>
      <c r="AL649" t="s">
        <v>575</v>
      </c>
      <c r="AM649" t="s">
        <v>576</v>
      </c>
      <c r="AN649" t="s">
        <v>3242</v>
      </c>
      <c r="AO649" t="s">
        <v>12562</v>
      </c>
      <c r="AP649" t="s">
        <v>12563</v>
      </c>
      <c r="AQ649" t="s">
        <v>74</v>
      </c>
      <c r="AR649" t="s">
        <v>12564</v>
      </c>
      <c r="AS649" t="s">
        <v>12565</v>
      </c>
      <c r="AT649" t="s">
        <v>605</v>
      </c>
      <c r="AU649">
        <v>2022</v>
      </c>
      <c r="AV649">
        <v>15</v>
      </c>
      <c r="AW649">
        <v>3</v>
      </c>
      <c r="AX649" t="s">
        <v>74</v>
      </c>
      <c r="AY649" t="s">
        <v>74</v>
      </c>
      <c r="AZ649" t="s">
        <v>74</v>
      </c>
      <c r="BA649" t="s">
        <v>74</v>
      </c>
      <c r="BB649" t="s">
        <v>74</v>
      </c>
      <c r="BC649" t="s">
        <v>74</v>
      </c>
      <c r="BD649">
        <v>125</v>
      </c>
      <c r="BE649" t="s">
        <v>12566</v>
      </c>
      <c r="BF649" t="str">
        <f>HYPERLINK("http://dx.doi.org/10.3390/jrfm15030125","http://dx.doi.org/10.3390/jrfm15030125")</f>
        <v>http://dx.doi.org/10.3390/jrfm15030125</v>
      </c>
      <c r="BG649" t="s">
        <v>74</v>
      </c>
      <c r="BH649" t="s">
        <v>74</v>
      </c>
      <c r="BI649">
        <v>19</v>
      </c>
      <c r="BJ649" t="s">
        <v>268</v>
      </c>
      <c r="BK649" t="s">
        <v>313</v>
      </c>
      <c r="BL649" t="s">
        <v>100</v>
      </c>
      <c r="BM649" t="s">
        <v>12567</v>
      </c>
      <c r="BN649" t="s">
        <v>74</v>
      </c>
      <c r="BO649" t="s">
        <v>466</v>
      </c>
      <c r="BP649" t="s">
        <v>74</v>
      </c>
      <c r="BQ649" t="s">
        <v>74</v>
      </c>
      <c r="BR649" t="s">
        <v>102</v>
      </c>
      <c r="BS649" t="s">
        <v>12568</v>
      </c>
      <c r="BT649" t="str">
        <f>HYPERLINK("https%3A%2F%2Fwww.webofscience.com%2Fwos%2Fwoscc%2Ffull-record%2FWOS:000776354000001","View Full Record in Web of Science")</f>
        <v>View Full Record in Web of Science</v>
      </c>
    </row>
    <row r="650" spans="1:72" x14ac:dyDescent="0.25">
      <c r="A650" t="s">
        <v>72</v>
      </c>
      <c r="B650" t="s">
        <v>12569</v>
      </c>
      <c r="C650" t="s">
        <v>74</v>
      </c>
      <c r="D650" t="s">
        <v>74</v>
      </c>
      <c r="E650" t="s">
        <v>74</v>
      </c>
      <c r="F650" t="s">
        <v>12570</v>
      </c>
      <c r="G650" t="s">
        <v>74</v>
      </c>
      <c r="H650" t="s">
        <v>74</v>
      </c>
      <c r="I650" t="s">
        <v>12571</v>
      </c>
      <c r="J650" t="s">
        <v>4700</v>
      </c>
      <c r="K650" t="s">
        <v>74</v>
      </c>
      <c r="L650" t="s">
        <v>74</v>
      </c>
      <c r="M650" t="s">
        <v>78</v>
      </c>
      <c r="N650" t="s">
        <v>79</v>
      </c>
      <c r="O650" t="s">
        <v>74</v>
      </c>
      <c r="P650" t="s">
        <v>74</v>
      </c>
      <c r="Q650" t="s">
        <v>74</v>
      </c>
      <c r="R650" t="s">
        <v>74</v>
      </c>
      <c r="S650" t="s">
        <v>74</v>
      </c>
      <c r="T650" t="s">
        <v>12572</v>
      </c>
      <c r="U650" t="s">
        <v>2495</v>
      </c>
      <c r="V650" t="s">
        <v>12573</v>
      </c>
      <c r="W650" t="s">
        <v>12574</v>
      </c>
      <c r="X650" t="s">
        <v>12575</v>
      </c>
      <c r="Y650" t="s">
        <v>12576</v>
      </c>
      <c r="Z650" t="s">
        <v>12577</v>
      </c>
      <c r="AA650" t="s">
        <v>12578</v>
      </c>
      <c r="AB650" t="s">
        <v>12579</v>
      </c>
      <c r="AC650" t="s">
        <v>74</v>
      </c>
      <c r="AD650" t="s">
        <v>74</v>
      </c>
      <c r="AE650" t="s">
        <v>74</v>
      </c>
      <c r="AF650" t="s">
        <v>74</v>
      </c>
      <c r="AG650">
        <v>53</v>
      </c>
      <c r="AH650">
        <v>28</v>
      </c>
      <c r="AI650">
        <v>37</v>
      </c>
      <c r="AJ650">
        <v>2</v>
      </c>
      <c r="AK650">
        <v>40</v>
      </c>
      <c r="AL650" t="s">
        <v>332</v>
      </c>
      <c r="AM650" t="s">
        <v>333</v>
      </c>
      <c r="AN650" t="s">
        <v>334</v>
      </c>
      <c r="AO650" t="s">
        <v>4711</v>
      </c>
      <c r="AP650" t="s">
        <v>4712</v>
      </c>
      <c r="AQ650" t="s">
        <v>74</v>
      </c>
      <c r="AR650" t="s">
        <v>4713</v>
      </c>
      <c r="AS650" t="s">
        <v>4714</v>
      </c>
      <c r="AT650" t="s">
        <v>12580</v>
      </c>
      <c r="AU650">
        <v>2020</v>
      </c>
      <c r="AV650">
        <v>12</v>
      </c>
      <c r="AW650">
        <v>2</v>
      </c>
      <c r="AX650" t="s">
        <v>74</v>
      </c>
      <c r="AY650" t="s">
        <v>74</v>
      </c>
      <c r="AZ650" t="s">
        <v>74</v>
      </c>
      <c r="BA650" t="s">
        <v>74</v>
      </c>
      <c r="BB650">
        <v>151</v>
      </c>
      <c r="BC650">
        <v>163</v>
      </c>
      <c r="BD650" t="s">
        <v>74</v>
      </c>
      <c r="BE650" t="s">
        <v>12581</v>
      </c>
      <c r="BF650" t="str">
        <f>HYPERLINK("http://dx.doi.org/10.1080/20421338.2019.1624009","http://dx.doi.org/10.1080/20421338.2019.1624009")</f>
        <v>http://dx.doi.org/10.1080/20421338.2019.1624009</v>
      </c>
      <c r="BG650" t="s">
        <v>74</v>
      </c>
      <c r="BH650" t="s">
        <v>10482</v>
      </c>
      <c r="BI650">
        <v>13</v>
      </c>
      <c r="BJ650" t="s">
        <v>559</v>
      </c>
      <c r="BK650" t="s">
        <v>313</v>
      </c>
      <c r="BL650" t="s">
        <v>560</v>
      </c>
      <c r="BM650" t="s">
        <v>12582</v>
      </c>
      <c r="BN650" t="s">
        <v>74</v>
      </c>
      <c r="BO650" t="s">
        <v>74</v>
      </c>
      <c r="BP650" t="s">
        <v>74</v>
      </c>
      <c r="BQ650" t="s">
        <v>74</v>
      </c>
      <c r="BR650" t="s">
        <v>102</v>
      </c>
      <c r="BS650" t="s">
        <v>12583</v>
      </c>
      <c r="BT650" t="str">
        <f>HYPERLINK("https%3A%2F%2Fwww.webofscience.com%2Fwos%2Fwoscc%2Ffull-record%2FWOS:000479810800001","View Full Record in Web of Science")</f>
        <v>View Full Record in Web of Science</v>
      </c>
    </row>
    <row r="651" spans="1:72" x14ac:dyDescent="0.25">
      <c r="A651" t="s">
        <v>72</v>
      </c>
      <c r="B651" t="s">
        <v>12584</v>
      </c>
      <c r="C651" t="s">
        <v>74</v>
      </c>
      <c r="D651" t="s">
        <v>74</v>
      </c>
      <c r="E651" t="s">
        <v>74</v>
      </c>
      <c r="F651" t="s">
        <v>12585</v>
      </c>
      <c r="G651" t="s">
        <v>74</v>
      </c>
      <c r="H651" t="s">
        <v>74</v>
      </c>
      <c r="I651" t="s">
        <v>12586</v>
      </c>
      <c r="J651" t="s">
        <v>8087</v>
      </c>
      <c r="K651" t="s">
        <v>74</v>
      </c>
      <c r="L651" t="s">
        <v>74</v>
      </c>
      <c r="M651" t="s">
        <v>78</v>
      </c>
      <c r="N651" t="s">
        <v>1766</v>
      </c>
      <c r="O651" t="s">
        <v>74</v>
      </c>
      <c r="P651" t="s">
        <v>74</v>
      </c>
      <c r="Q651" t="s">
        <v>74</v>
      </c>
      <c r="R651" t="s">
        <v>74</v>
      </c>
      <c r="S651" t="s">
        <v>74</v>
      </c>
      <c r="T651" t="s">
        <v>12587</v>
      </c>
      <c r="U651" t="s">
        <v>12588</v>
      </c>
      <c r="V651" t="s">
        <v>12589</v>
      </c>
      <c r="W651" t="s">
        <v>12590</v>
      </c>
      <c r="X651" t="s">
        <v>12591</v>
      </c>
      <c r="Y651" t="s">
        <v>12592</v>
      </c>
      <c r="Z651" t="s">
        <v>12593</v>
      </c>
      <c r="AA651" t="s">
        <v>12594</v>
      </c>
      <c r="AB651" t="s">
        <v>12595</v>
      </c>
      <c r="AC651" t="s">
        <v>74</v>
      </c>
      <c r="AD651" t="s">
        <v>74</v>
      </c>
      <c r="AE651" t="s">
        <v>74</v>
      </c>
      <c r="AF651" t="s">
        <v>74</v>
      </c>
      <c r="AG651">
        <v>159</v>
      </c>
      <c r="AH651">
        <v>25</v>
      </c>
      <c r="AI651">
        <v>32</v>
      </c>
      <c r="AJ651">
        <v>3</v>
      </c>
      <c r="AK651">
        <v>76</v>
      </c>
      <c r="AL651" t="s">
        <v>479</v>
      </c>
      <c r="AM651" t="s">
        <v>480</v>
      </c>
      <c r="AN651" t="s">
        <v>481</v>
      </c>
      <c r="AO651" t="s">
        <v>8097</v>
      </c>
      <c r="AP651" t="s">
        <v>8098</v>
      </c>
      <c r="AQ651" t="s">
        <v>74</v>
      </c>
      <c r="AR651" t="s">
        <v>8099</v>
      </c>
      <c r="AS651" t="s">
        <v>8100</v>
      </c>
      <c r="AT651" t="s">
        <v>891</v>
      </c>
      <c r="AU651">
        <v>2022</v>
      </c>
      <c r="AV651">
        <v>46</v>
      </c>
      <c r="AW651">
        <v>6</v>
      </c>
      <c r="AX651" t="s">
        <v>74</v>
      </c>
      <c r="AY651" t="s">
        <v>74</v>
      </c>
      <c r="AZ651" t="s">
        <v>74</v>
      </c>
      <c r="BA651" t="s">
        <v>74</v>
      </c>
      <c r="BB651">
        <v>2104</v>
      </c>
      <c r="BC651">
        <v>2127</v>
      </c>
      <c r="BD651" t="s">
        <v>74</v>
      </c>
      <c r="BE651" t="s">
        <v>12596</v>
      </c>
      <c r="BF651" t="str">
        <f>HYPERLINK("http://dx.doi.org/10.1111/ijcs.12855","http://dx.doi.org/10.1111/ijcs.12855")</f>
        <v>http://dx.doi.org/10.1111/ijcs.12855</v>
      </c>
      <c r="BG651" t="s">
        <v>74</v>
      </c>
      <c r="BH651" t="s">
        <v>2328</v>
      </c>
      <c r="BI651">
        <v>24</v>
      </c>
      <c r="BJ651" t="s">
        <v>418</v>
      </c>
      <c r="BK651" t="s">
        <v>99</v>
      </c>
      <c r="BL651" t="s">
        <v>100</v>
      </c>
      <c r="BM651" t="s">
        <v>12597</v>
      </c>
      <c r="BN651" t="s">
        <v>74</v>
      </c>
      <c r="BO651" t="s">
        <v>74</v>
      </c>
      <c r="BP651" t="s">
        <v>74</v>
      </c>
      <c r="BQ651" t="s">
        <v>74</v>
      </c>
      <c r="BR651" t="s">
        <v>102</v>
      </c>
      <c r="BS651" t="s">
        <v>12598</v>
      </c>
      <c r="BT651" t="str">
        <f>HYPERLINK("https%3A%2F%2Fwww.webofscience.com%2Fwos%2Fwoscc%2Ffull-record%2FWOS:000839362900001","View Full Record in Web of Science")</f>
        <v>View Full Record in Web of Science</v>
      </c>
    </row>
    <row r="652" spans="1:72" x14ac:dyDescent="0.25">
      <c r="A652" t="s">
        <v>72</v>
      </c>
      <c r="B652" t="s">
        <v>12599</v>
      </c>
      <c r="C652" t="s">
        <v>74</v>
      </c>
      <c r="D652" t="s">
        <v>74</v>
      </c>
      <c r="E652" t="s">
        <v>74</v>
      </c>
      <c r="F652" t="s">
        <v>12600</v>
      </c>
      <c r="G652" t="s">
        <v>74</v>
      </c>
      <c r="H652" t="s">
        <v>74</v>
      </c>
      <c r="I652" t="s">
        <v>12601</v>
      </c>
      <c r="J652" t="s">
        <v>12602</v>
      </c>
      <c r="K652" t="s">
        <v>74</v>
      </c>
      <c r="L652" t="s">
        <v>74</v>
      </c>
      <c r="M652" t="s">
        <v>78</v>
      </c>
      <c r="N652" t="s">
        <v>1766</v>
      </c>
      <c r="O652" t="s">
        <v>74</v>
      </c>
      <c r="P652" t="s">
        <v>74</v>
      </c>
      <c r="Q652" t="s">
        <v>74</v>
      </c>
      <c r="R652" t="s">
        <v>74</v>
      </c>
      <c r="S652" t="s">
        <v>74</v>
      </c>
      <c r="T652" t="s">
        <v>12603</v>
      </c>
      <c r="U652" t="s">
        <v>12604</v>
      </c>
      <c r="V652" t="s">
        <v>12605</v>
      </c>
      <c r="W652" t="s">
        <v>12606</v>
      </c>
      <c r="X652" t="s">
        <v>12607</v>
      </c>
      <c r="Y652" t="s">
        <v>12608</v>
      </c>
      <c r="Z652" t="s">
        <v>12609</v>
      </c>
      <c r="AA652" t="s">
        <v>12610</v>
      </c>
      <c r="AB652" t="s">
        <v>12611</v>
      </c>
      <c r="AC652" t="s">
        <v>74</v>
      </c>
      <c r="AD652" t="s">
        <v>74</v>
      </c>
      <c r="AE652" t="s">
        <v>74</v>
      </c>
      <c r="AF652" t="s">
        <v>74</v>
      </c>
      <c r="AG652">
        <v>92</v>
      </c>
      <c r="AH652">
        <v>27</v>
      </c>
      <c r="AI652">
        <v>45</v>
      </c>
      <c r="AJ652">
        <v>8</v>
      </c>
      <c r="AK652">
        <v>98</v>
      </c>
      <c r="AL652" t="s">
        <v>575</v>
      </c>
      <c r="AM652" t="s">
        <v>576</v>
      </c>
      <c r="AN652" t="s">
        <v>3242</v>
      </c>
      <c r="AO652" t="s">
        <v>74</v>
      </c>
      <c r="AP652" t="s">
        <v>12612</v>
      </c>
      <c r="AQ652" t="s">
        <v>74</v>
      </c>
      <c r="AR652" t="s">
        <v>12602</v>
      </c>
      <c r="AS652" t="s">
        <v>12613</v>
      </c>
      <c r="AT652" t="s">
        <v>208</v>
      </c>
      <c r="AU652">
        <v>2023</v>
      </c>
      <c r="AV652">
        <v>15</v>
      </c>
      <c r="AW652">
        <v>1</v>
      </c>
      <c r="AX652" t="s">
        <v>74</v>
      </c>
      <c r="AY652" t="s">
        <v>74</v>
      </c>
      <c r="AZ652" t="s">
        <v>74</v>
      </c>
      <c r="BA652" t="s">
        <v>74</v>
      </c>
      <c r="BB652" t="s">
        <v>74</v>
      </c>
      <c r="BC652" t="s">
        <v>74</v>
      </c>
      <c r="BD652">
        <v>21</v>
      </c>
      <c r="BE652" t="s">
        <v>12614</v>
      </c>
      <c r="BF652" t="str">
        <f>HYPERLINK("http://dx.doi.org/10.3390/fi15010021","http://dx.doi.org/10.3390/fi15010021")</f>
        <v>http://dx.doi.org/10.3390/fi15010021</v>
      </c>
      <c r="BG652" t="s">
        <v>74</v>
      </c>
      <c r="BH652" t="s">
        <v>74</v>
      </c>
      <c r="BI652">
        <v>21</v>
      </c>
      <c r="BJ652" t="s">
        <v>1779</v>
      </c>
      <c r="BK652" t="s">
        <v>313</v>
      </c>
      <c r="BL652" t="s">
        <v>157</v>
      </c>
      <c r="BM652" t="s">
        <v>12615</v>
      </c>
      <c r="BN652" t="s">
        <v>74</v>
      </c>
      <c r="BO652" t="s">
        <v>916</v>
      </c>
      <c r="BP652" t="s">
        <v>74</v>
      </c>
      <c r="BQ652" t="s">
        <v>74</v>
      </c>
      <c r="BR652" t="s">
        <v>102</v>
      </c>
      <c r="BS652" t="s">
        <v>12616</v>
      </c>
      <c r="BT652" t="str">
        <f>HYPERLINK("https%3A%2F%2Fwww.webofscience.com%2Fwos%2Fwoscc%2Ffull-record%2FWOS:000915189200001","View Full Record in Web of Science")</f>
        <v>View Full Record in Web of Science</v>
      </c>
    </row>
    <row r="653" spans="1:72" x14ac:dyDescent="0.25">
      <c r="A653" t="s">
        <v>72</v>
      </c>
      <c r="B653" t="s">
        <v>12617</v>
      </c>
      <c r="C653" t="s">
        <v>74</v>
      </c>
      <c r="D653" t="s">
        <v>74</v>
      </c>
      <c r="E653" t="s">
        <v>74</v>
      </c>
      <c r="F653" t="s">
        <v>12618</v>
      </c>
      <c r="G653" t="s">
        <v>74</v>
      </c>
      <c r="H653" t="s">
        <v>74</v>
      </c>
      <c r="I653" t="s">
        <v>12619</v>
      </c>
      <c r="J653" t="s">
        <v>12620</v>
      </c>
      <c r="K653" t="s">
        <v>74</v>
      </c>
      <c r="L653" t="s">
        <v>74</v>
      </c>
      <c r="M653" t="s">
        <v>78</v>
      </c>
      <c r="N653" t="s">
        <v>372</v>
      </c>
      <c r="O653" t="s">
        <v>74</v>
      </c>
      <c r="P653" t="s">
        <v>74</v>
      </c>
      <c r="Q653" t="s">
        <v>74</v>
      </c>
      <c r="R653" t="s">
        <v>74</v>
      </c>
      <c r="S653" t="s">
        <v>74</v>
      </c>
      <c r="T653" t="s">
        <v>12621</v>
      </c>
      <c r="U653" t="s">
        <v>74</v>
      </c>
      <c r="V653" t="s">
        <v>12622</v>
      </c>
      <c r="W653" t="s">
        <v>12623</v>
      </c>
      <c r="X653" t="s">
        <v>12624</v>
      </c>
      <c r="Y653" t="s">
        <v>12625</v>
      </c>
      <c r="Z653" t="s">
        <v>12626</v>
      </c>
      <c r="AA653" t="s">
        <v>12627</v>
      </c>
      <c r="AB653" t="s">
        <v>74</v>
      </c>
      <c r="AC653" t="s">
        <v>74</v>
      </c>
      <c r="AD653" t="s">
        <v>74</v>
      </c>
      <c r="AE653" t="s">
        <v>74</v>
      </c>
      <c r="AF653" t="s">
        <v>74</v>
      </c>
      <c r="AG653">
        <v>53</v>
      </c>
      <c r="AH653">
        <v>0</v>
      </c>
      <c r="AI653">
        <v>0</v>
      </c>
      <c r="AJ653">
        <v>1</v>
      </c>
      <c r="AK653">
        <v>1</v>
      </c>
      <c r="AL653" t="s">
        <v>89</v>
      </c>
      <c r="AM653" t="s">
        <v>90</v>
      </c>
      <c r="AN653" t="s">
        <v>91</v>
      </c>
      <c r="AO653" t="s">
        <v>12628</v>
      </c>
      <c r="AP653" t="s">
        <v>12629</v>
      </c>
      <c r="AQ653" t="s">
        <v>74</v>
      </c>
      <c r="AR653" t="s">
        <v>12630</v>
      </c>
      <c r="AS653" t="s">
        <v>12631</v>
      </c>
      <c r="AT653" t="s">
        <v>12632</v>
      </c>
      <c r="AU653">
        <v>2025</v>
      </c>
      <c r="AV653" t="s">
        <v>74</v>
      </c>
      <c r="AW653" t="s">
        <v>74</v>
      </c>
      <c r="AX653" t="s">
        <v>74</v>
      </c>
      <c r="AY653" t="s">
        <v>74</v>
      </c>
      <c r="AZ653" t="s">
        <v>74</v>
      </c>
      <c r="BA653" t="s">
        <v>74</v>
      </c>
      <c r="BB653" t="s">
        <v>74</v>
      </c>
      <c r="BC653" t="s">
        <v>74</v>
      </c>
      <c r="BD653" t="s">
        <v>74</v>
      </c>
      <c r="BE653" t="s">
        <v>12633</v>
      </c>
      <c r="BF653" t="str">
        <f>HYPERLINK("http://dx.doi.org/10.1108/IJSSP-01-2025-0071","http://dx.doi.org/10.1108/IJSSP-01-2025-0071")</f>
        <v>http://dx.doi.org/10.1108/IJSSP-01-2025-0071</v>
      </c>
      <c r="BG653" t="s">
        <v>74</v>
      </c>
      <c r="BH653" t="s">
        <v>2044</v>
      </c>
      <c r="BI653">
        <v>19</v>
      </c>
      <c r="BJ653" t="s">
        <v>5129</v>
      </c>
      <c r="BK653" t="s">
        <v>313</v>
      </c>
      <c r="BL653" t="s">
        <v>5129</v>
      </c>
      <c r="BM653" t="s">
        <v>12634</v>
      </c>
      <c r="BN653" t="s">
        <v>74</v>
      </c>
      <c r="BO653" t="s">
        <v>74</v>
      </c>
      <c r="BP653" t="s">
        <v>74</v>
      </c>
      <c r="BQ653" t="s">
        <v>74</v>
      </c>
      <c r="BR653" t="s">
        <v>102</v>
      </c>
      <c r="BS653" t="s">
        <v>12635</v>
      </c>
      <c r="BT653" t="str">
        <f>HYPERLINK("https%3A%2F%2Fwww.webofscience.com%2Fwos%2Fwoscc%2Ffull-record%2FWOS:001616450700001","View Full Record in Web of Science")</f>
        <v>View Full Record in Web of Science</v>
      </c>
    </row>
    <row r="654" spans="1:72" x14ac:dyDescent="0.25">
      <c r="A654" t="s">
        <v>72</v>
      </c>
      <c r="B654" t="s">
        <v>12636</v>
      </c>
      <c r="C654" t="s">
        <v>74</v>
      </c>
      <c r="D654" t="s">
        <v>74</v>
      </c>
      <c r="E654" t="s">
        <v>74</v>
      </c>
      <c r="F654" t="s">
        <v>12637</v>
      </c>
      <c r="G654" t="s">
        <v>74</v>
      </c>
      <c r="H654" t="s">
        <v>74</v>
      </c>
      <c r="I654" t="s">
        <v>12638</v>
      </c>
      <c r="J654" t="s">
        <v>246</v>
      </c>
      <c r="K654" t="s">
        <v>74</v>
      </c>
      <c r="L654" t="s">
        <v>74</v>
      </c>
      <c r="M654" t="s">
        <v>78</v>
      </c>
      <c r="N654" t="s">
        <v>79</v>
      </c>
      <c r="O654" t="s">
        <v>74</v>
      </c>
      <c r="P654" t="s">
        <v>74</v>
      </c>
      <c r="Q654" t="s">
        <v>74</v>
      </c>
      <c r="R654" t="s">
        <v>74</v>
      </c>
      <c r="S654" t="s">
        <v>74</v>
      </c>
      <c r="T654" t="s">
        <v>12639</v>
      </c>
      <c r="U654" t="s">
        <v>12640</v>
      </c>
      <c r="V654" t="s">
        <v>12641</v>
      </c>
      <c r="W654" t="s">
        <v>12642</v>
      </c>
      <c r="X654" t="s">
        <v>12643</v>
      </c>
      <c r="Y654" t="s">
        <v>12644</v>
      </c>
      <c r="Z654" t="s">
        <v>12645</v>
      </c>
      <c r="AA654" t="s">
        <v>12646</v>
      </c>
      <c r="AB654" t="s">
        <v>74</v>
      </c>
      <c r="AC654" t="s">
        <v>12647</v>
      </c>
      <c r="AD654" t="s">
        <v>12648</v>
      </c>
      <c r="AE654" t="s">
        <v>12649</v>
      </c>
      <c r="AF654" t="s">
        <v>74</v>
      </c>
      <c r="AG654">
        <v>35</v>
      </c>
      <c r="AH654">
        <v>0</v>
      </c>
      <c r="AI654">
        <v>0</v>
      </c>
      <c r="AJ654">
        <v>12</v>
      </c>
      <c r="AK654">
        <v>12</v>
      </c>
      <c r="AL654" t="s">
        <v>259</v>
      </c>
      <c r="AM654" t="s">
        <v>260</v>
      </c>
      <c r="AN654" t="s">
        <v>261</v>
      </c>
      <c r="AO654" t="s">
        <v>262</v>
      </c>
      <c r="AP654" t="s">
        <v>263</v>
      </c>
      <c r="AQ654" t="s">
        <v>74</v>
      </c>
      <c r="AR654" t="s">
        <v>264</v>
      </c>
      <c r="AS654" t="s">
        <v>265</v>
      </c>
      <c r="AT654" t="s">
        <v>124</v>
      </c>
      <c r="AU654">
        <v>2025</v>
      </c>
      <c r="AV654">
        <v>86</v>
      </c>
      <c r="AW654" t="s">
        <v>74</v>
      </c>
      <c r="AX654" t="s">
        <v>132</v>
      </c>
      <c r="AY654" t="s">
        <v>74</v>
      </c>
      <c r="AZ654" t="s">
        <v>74</v>
      </c>
      <c r="BA654" t="s">
        <v>74</v>
      </c>
      <c r="BB654" t="s">
        <v>74</v>
      </c>
      <c r="BC654" t="s">
        <v>74</v>
      </c>
      <c r="BD654">
        <v>108530</v>
      </c>
      <c r="BE654" t="s">
        <v>12650</v>
      </c>
      <c r="BF654" t="str">
        <f>HYPERLINK("http://dx.doi.org/10.1016/j.frl.2025.108530","http://dx.doi.org/10.1016/j.frl.2025.108530")</f>
        <v>http://dx.doi.org/10.1016/j.frl.2025.108530</v>
      </c>
      <c r="BG654" t="s">
        <v>74</v>
      </c>
      <c r="BH654" t="s">
        <v>12078</v>
      </c>
      <c r="BI654">
        <v>11</v>
      </c>
      <c r="BJ654" t="s">
        <v>268</v>
      </c>
      <c r="BK654" t="s">
        <v>99</v>
      </c>
      <c r="BL654" t="s">
        <v>100</v>
      </c>
      <c r="BM654" t="s">
        <v>12651</v>
      </c>
      <c r="BN654" t="s">
        <v>74</v>
      </c>
      <c r="BO654" t="s">
        <v>74</v>
      </c>
      <c r="BP654" t="s">
        <v>74</v>
      </c>
      <c r="BQ654" t="s">
        <v>74</v>
      </c>
      <c r="BR654" t="s">
        <v>102</v>
      </c>
      <c r="BS654" t="s">
        <v>12652</v>
      </c>
      <c r="BT654" t="str">
        <f>HYPERLINK("https%3A%2F%2Fwww.webofscience.com%2Fwos%2Fwoscc%2Ffull-record%2FWOS:001588880000001","View Full Record in Web of Science")</f>
        <v>View Full Record in Web of Science</v>
      </c>
    </row>
    <row r="655" spans="1:72" x14ac:dyDescent="0.25">
      <c r="A655" t="s">
        <v>72</v>
      </c>
      <c r="B655" t="s">
        <v>12653</v>
      </c>
      <c r="C655" t="s">
        <v>74</v>
      </c>
      <c r="D655" t="s">
        <v>74</v>
      </c>
      <c r="E655" t="s">
        <v>74</v>
      </c>
      <c r="F655" t="s">
        <v>12654</v>
      </c>
      <c r="G655" t="s">
        <v>74</v>
      </c>
      <c r="H655" t="s">
        <v>74</v>
      </c>
      <c r="I655" t="s">
        <v>12655</v>
      </c>
      <c r="J655" t="s">
        <v>11879</v>
      </c>
      <c r="K655" t="s">
        <v>74</v>
      </c>
      <c r="L655" t="s">
        <v>74</v>
      </c>
      <c r="M655" t="s">
        <v>78</v>
      </c>
      <c r="N655" t="s">
        <v>79</v>
      </c>
      <c r="O655" t="s">
        <v>74</v>
      </c>
      <c r="P655" t="s">
        <v>74</v>
      </c>
      <c r="Q655" t="s">
        <v>74</v>
      </c>
      <c r="R655" t="s">
        <v>74</v>
      </c>
      <c r="S655" t="s">
        <v>74</v>
      </c>
      <c r="T655" t="s">
        <v>12656</v>
      </c>
      <c r="U655" t="s">
        <v>74</v>
      </c>
      <c r="V655" t="s">
        <v>12657</v>
      </c>
      <c r="W655" t="s">
        <v>12658</v>
      </c>
      <c r="X655" t="s">
        <v>12659</v>
      </c>
      <c r="Y655" t="s">
        <v>12660</v>
      </c>
      <c r="Z655" t="s">
        <v>12661</v>
      </c>
      <c r="AA655" t="s">
        <v>12662</v>
      </c>
      <c r="AB655" t="s">
        <v>12663</v>
      </c>
      <c r="AC655" t="s">
        <v>74</v>
      </c>
      <c r="AD655" t="s">
        <v>74</v>
      </c>
      <c r="AE655" t="s">
        <v>74</v>
      </c>
      <c r="AF655" t="s">
        <v>74</v>
      </c>
      <c r="AG655">
        <v>68</v>
      </c>
      <c r="AH655">
        <v>0</v>
      </c>
      <c r="AI655">
        <v>0</v>
      </c>
      <c r="AJ655">
        <v>1</v>
      </c>
      <c r="AK655">
        <v>1</v>
      </c>
      <c r="AL655" t="s">
        <v>201</v>
      </c>
      <c r="AM655" t="s">
        <v>202</v>
      </c>
      <c r="AN655" t="s">
        <v>203</v>
      </c>
      <c r="AO655" t="s">
        <v>11889</v>
      </c>
      <c r="AP655" t="s">
        <v>11890</v>
      </c>
      <c r="AQ655" t="s">
        <v>74</v>
      </c>
      <c r="AR655" t="s">
        <v>11891</v>
      </c>
      <c r="AS655" t="s">
        <v>11892</v>
      </c>
      <c r="AT655" t="s">
        <v>124</v>
      </c>
      <c r="AU655">
        <v>2025</v>
      </c>
      <c r="AV655">
        <v>25</v>
      </c>
      <c r="AW655" t="s">
        <v>74</v>
      </c>
      <c r="AX655" t="s">
        <v>74</v>
      </c>
      <c r="AY655">
        <v>2</v>
      </c>
      <c r="AZ655" t="s">
        <v>74</v>
      </c>
      <c r="BA655" t="s">
        <v>74</v>
      </c>
      <c r="BB655">
        <v>109</v>
      </c>
      <c r="BC655">
        <v>118</v>
      </c>
      <c r="BD655" t="s">
        <v>74</v>
      </c>
      <c r="BE655" t="s">
        <v>12664</v>
      </c>
      <c r="BF655" t="str">
        <f>HYPERLINK("http://dx.doi.org/10.1016/j.bir.2025.08.006","http://dx.doi.org/10.1016/j.bir.2025.08.006")</f>
        <v>http://dx.doi.org/10.1016/j.bir.2025.08.006</v>
      </c>
      <c r="BG655" t="s">
        <v>74</v>
      </c>
      <c r="BH655" t="s">
        <v>2044</v>
      </c>
      <c r="BI655">
        <v>10</v>
      </c>
      <c r="BJ655" t="s">
        <v>210</v>
      </c>
      <c r="BK655" t="s">
        <v>99</v>
      </c>
      <c r="BL655" t="s">
        <v>100</v>
      </c>
      <c r="BM655" t="s">
        <v>12665</v>
      </c>
      <c r="BN655" t="s">
        <v>74</v>
      </c>
      <c r="BO655" t="s">
        <v>916</v>
      </c>
      <c r="BP655" t="s">
        <v>74</v>
      </c>
      <c r="BQ655" t="s">
        <v>74</v>
      </c>
      <c r="BR655" t="s">
        <v>102</v>
      </c>
      <c r="BS655" t="s">
        <v>12666</v>
      </c>
      <c r="BT655" t="str">
        <f>HYPERLINK("https%3A%2F%2Fwww.webofscience.com%2Fwos%2Fwoscc%2Ffull-record%2FWOS:001637944900002","View Full Record in Web of Science")</f>
        <v>View Full Record in Web of Science</v>
      </c>
    </row>
    <row r="656" spans="1:72" x14ac:dyDescent="0.25">
      <c r="A656" t="s">
        <v>132</v>
      </c>
      <c r="B656" t="s">
        <v>12667</v>
      </c>
      <c r="C656" t="s">
        <v>74</v>
      </c>
      <c r="D656" t="s">
        <v>74</v>
      </c>
      <c r="E656" t="s">
        <v>771</v>
      </c>
      <c r="F656" t="s">
        <v>12668</v>
      </c>
      <c r="G656" t="s">
        <v>74</v>
      </c>
      <c r="H656" t="s">
        <v>74</v>
      </c>
      <c r="I656" t="s">
        <v>12669</v>
      </c>
      <c r="J656" t="s">
        <v>12670</v>
      </c>
      <c r="K656" t="s">
        <v>74</v>
      </c>
      <c r="L656" t="s">
        <v>74</v>
      </c>
      <c r="M656" t="s">
        <v>78</v>
      </c>
      <c r="N656" t="s">
        <v>138</v>
      </c>
      <c r="O656" t="s">
        <v>10635</v>
      </c>
      <c r="P656" t="s">
        <v>12671</v>
      </c>
      <c r="Q656" t="s">
        <v>12672</v>
      </c>
      <c r="R656" t="s">
        <v>10614</v>
      </c>
      <c r="S656" t="s">
        <v>74</v>
      </c>
      <c r="T656" t="s">
        <v>12673</v>
      </c>
      <c r="U656" t="s">
        <v>74</v>
      </c>
      <c r="V656" t="s">
        <v>12674</v>
      </c>
      <c r="W656" t="s">
        <v>12675</v>
      </c>
      <c r="X656" t="s">
        <v>3960</v>
      </c>
      <c r="Y656" t="s">
        <v>12676</v>
      </c>
      <c r="Z656" t="s">
        <v>12677</v>
      </c>
      <c r="AA656" t="s">
        <v>12678</v>
      </c>
      <c r="AB656" t="s">
        <v>12679</v>
      </c>
      <c r="AC656" t="s">
        <v>74</v>
      </c>
      <c r="AD656" t="s">
        <v>74</v>
      </c>
      <c r="AE656" t="s">
        <v>74</v>
      </c>
      <c r="AF656" t="s">
        <v>74</v>
      </c>
      <c r="AG656">
        <v>27</v>
      </c>
      <c r="AH656">
        <v>2</v>
      </c>
      <c r="AI656">
        <v>6</v>
      </c>
      <c r="AJ656">
        <v>1</v>
      </c>
      <c r="AK656">
        <v>28</v>
      </c>
      <c r="AL656" t="s">
        <v>771</v>
      </c>
      <c r="AM656" t="s">
        <v>151</v>
      </c>
      <c r="AN656" t="s">
        <v>785</v>
      </c>
      <c r="AO656" t="s">
        <v>74</v>
      </c>
      <c r="AP656" t="s">
        <v>74</v>
      </c>
      <c r="AQ656" t="s">
        <v>12680</v>
      </c>
      <c r="AR656" t="s">
        <v>74</v>
      </c>
      <c r="AS656" t="s">
        <v>74</v>
      </c>
      <c r="AT656" t="s">
        <v>74</v>
      </c>
      <c r="AU656">
        <v>2019</v>
      </c>
      <c r="AV656" t="s">
        <v>74</v>
      </c>
      <c r="AW656" t="s">
        <v>74</v>
      </c>
      <c r="AX656" t="s">
        <v>74</v>
      </c>
      <c r="AY656" t="s">
        <v>74</v>
      </c>
      <c r="AZ656" t="s">
        <v>74</v>
      </c>
      <c r="BA656" t="s">
        <v>74</v>
      </c>
      <c r="BB656" t="s">
        <v>74</v>
      </c>
      <c r="BC656" t="s">
        <v>74</v>
      </c>
      <c r="BD656" t="s">
        <v>74</v>
      </c>
      <c r="BE656" t="s">
        <v>12681</v>
      </c>
      <c r="BF656" t="str">
        <f>HYPERLINK("http://dx.doi.org/10.23919/istafrica.2019.8764838","http://dx.doi.org/10.23919/istafrica.2019.8764838")</f>
        <v>http://dx.doi.org/10.23919/istafrica.2019.8764838</v>
      </c>
      <c r="BG656" t="s">
        <v>74</v>
      </c>
      <c r="BH656" t="s">
        <v>74</v>
      </c>
      <c r="BI656">
        <v>9</v>
      </c>
      <c r="BJ656" t="s">
        <v>2622</v>
      </c>
      <c r="BK656" t="s">
        <v>156</v>
      </c>
      <c r="BL656" t="s">
        <v>157</v>
      </c>
      <c r="BM656" t="s">
        <v>12682</v>
      </c>
      <c r="BN656" t="s">
        <v>74</v>
      </c>
      <c r="BO656" t="s">
        <v>74</v>
      </c>
      <c r="BP656" t="s">
        <v>74</v>
      </c>
      <c r="BQ656" t="s">
        <v>74</v>
      </c>
      <c r="BR656" t="s">
        <v>102</v>
      </c>
      <c r="BS656" t="s">
        <v>12683</v>
      </c>
      <c r="BT656" t="str">
        <f>HYPERLINK("https%3A%2F%2Fwww.webofscience.com%2Fwos%2Fwoscc%2Ffull-record%2FWOS:000490550800023","View Full Record in Web of Science")</f>
        <v>View Full Record in Web of Science</v>
      </c>
    </row>
    <row r="657" spans="1:72" x14ac:dyDescent="0.25">
      <c r="A657" t="s">
        <v>72</v>
      </c>
      <c r="B657" t="s">
        <v>12684</v>
      </c>
      <c r="C657" t="s">
        <v>74</v>
      </c>
      <c r="D657" t="s">
        <v>74</v>
      </c>
      <c r="E657" t="s">
        <v>74</v>
      </c>
      <c r="F657" t="s">
        <v>12685</v>
      </c>
      <c r="G657" t="s">
        <v>74</v>
      </c>
      <c r="H657" t="s">
        <v>74</v>
      </c>
      <c r="I657" t="s">
        <v>12686</v>
      </c>
      <c r="J657" t="s">
        <v>12687</v>
      </c>
      <c r="K657" t="s">
        <v>74</v>
      </c>
      <c r="L657" t="s">
        <v>74</v>
      </c>
      <c r="M657" t="s">
        <v>78</v>
      </c>
      <c r="N657" t="s">
        <v>79</v>
      </c>
      <c r="O657" t="s">
        <v>74</v>
      </c>
      <c r="P657" t="s">
        <v>74</v>
      </c>
      <c r="Q657" t="s">
        <v>74</v>
      </c>
      <c r="R657" t="s">
        <v>74</v>
      </c>
      <c r="S657" t="s">
        <v>74</v>
      </c>
      <c r="T657" t="s">
        <v>12688</v>
      </c>
      <c r="U657" t="s">
        <v>12689</v>
      </c>
      <c r="V657" t="s">
        <v>12690</v>
      </c>
      <c r="W657" t="s">
        <v>12691</v>
      </c>
      <c r="X657" t="s">
        <v>12692</v>
      </c>
      <c r="Y657" t="s">
        <v>12693</v>
      </c>
      <c r="Z657" t="s">
        <v>12694</v>
      </c>
      <c r="AA657" t="s">
        <v>12695</v>
      </c>
      <c r="AB657" t="s">
        <v>12696</v>
      </c>
      <c r="AC657" t="s">
        <v>12697</v>
      </c>
      <c r="AD657" t="s">
        <v>12697</v>
      </c>
      <c r="AE657" t="s">
        <v>12697</v>
      </c>
      <c r="AF657" t="s">
        <v>74</v>
      </c>
      <c r="AG657">
        <v>52</v>
      </c>
      <c r="AH657">
        <v>3</v>
      </c>
      <c r="AI657">
        <v>4</v>
      </c>
      <c r="AJ657">
        <v>7</v>
      </c>
      <c r="AK657">
        <v>38</v>
      </c>
      <c r="AL657" t="s">
        <v>332</v>
      </c>
      <c r="AM657" t="s">
        <v>333</v>
      </c>
      <c r="AN657" t="s">
        <v>334</v>
      </c>
      <c r="AO657" t="s">
        <v>12698</v>
      </c>
      <c r="AP657" t="s">
        <v>12699</v>
      </c>
      <c r="AQ657" t="s">
        <v>74</v>
      </c>
      <c r="AR657" t="s">
        <v>12700</v>
      </c>
      <c r="AS657" t="s">
        <v>12701</v>
      </c>
      <c r="AT657" t="s">
        <v>3349</v>
      </c>
      <c r="AU657">
        <v>2023</v>
      </c>
      <c r="AV657">
        <v>37</v>
      </c>
      <c r="AW657">
        <v>6</v>
      </c>
      <c r="AX657" t="s">
        <v>74</v>
      </c>
      <c r="AY657" t="s">
        <v>74</v>
      </c>
      <c r="AZ657" t="s">
        <v>74</v>
      </c>
      <c r="BA657" t="s">
        <v>74</v>
      </c>
      <c r="BB657">
        <v>781</v>
      </c>
      <c r="BC657">
        <v>803</v>
      </c>
      <c r="BD657" t="s">
        <v>74</v>
      </c>
      <c r="BE657" t="s">
        <v>12702</v>
      </c>
      <c r="BF657" t="str">
        <f>HYPERLINK("http://dx.doi.org/10.1080/02692171.2023.2281460","http://dx.doi.org/10.1080/02692171.2023.2281460")</f>
        <v>http://dx.doi.org/10.1080/02692171.2023.2281460</v>
      </c>
      <c r="BG657" t="s">
        <v>74</v>
      </c>
      <c r="BH657" t="s">
        <v>3535</v>
      </c>
      <c r="BI657">
        <v>23</v>
      </c>
      <c r="BJ657" t="s">
        <v>291</v>
      </c>
      <c r="BK657" t="s">
        <v>313</v>
      </c>
      <c r="BL657" t="s">
        <v>100</v>
      </c>
      <c r="BM657" t="s">
        <v>12703</v>
      </c>
      <c r="BN657" t="s">
        <v>74</v>
      </c>
      <c r="BO657" t="s">
        <v>74</v>
      </c>
      <c r="BP657" t="s">
        <v>74</v>
      </c>
      <c r="BQ657" t="s">
        <v>74</v>
      </c>
      <c r="BR657" t="s">
        <v>102</v>
      </c>
      <c r="BS657" t="s">
        <v>12704</v>
      </c>
      <c r="BT657" t="str">
        <f>HYPERLINK("https%3A%2F%2Fwww.webofscience.com%2Fwos%2Fwoscc%2Ffull-record%2FWOS:001100924000001","View Full Record in Web of Science")</f>
        <v>View Full Record in Web of Science</v>
      </c>
    </row>
    <row r="658" spans="1:72" x14ac:dyDescent="0.25">
      <c r="A658" t="s">
        <v>72</v>
      </c>
      <c r="B658" t="s">
        <v>12705</v>
      </c>
      <c r="C658" t="s">
        <v>74</v>
      </c>
      <c r="D658" t="s">
        <v>74</v>
      </c>
      <c r="E658" t="s">
        <v>74</v>
      </c>
      <c r="F658" t="s">
        <v>12706</v>
      </c>
      <c r="G658" t="s">
        <v>74</v>
      </c>
      <c r="H658" t="s">
        <v>74</v>
      </c>
      <c r="I658" t="s">
        <v>12707</v>
      </c>
      <c r="J658" t="s">
        <v>12708</v>
      </c>
      <c r="K658" t="s">
        <v>74</v>
      </c>
      <c r="L658" t="s">
        <v>74</v>
      </c>
      <c r="M658" t="s">
        <v>78</v>
      </c>
      <c r="N658" t="s">
        <v>79</v>
      </c>
      <c r="O658" t="s">
        <v>74</v>
      </c>
      <c r="P658" t="s">
        <v>74</v>
      </c>
      <c r="Q658" t="s">
        <v>74</v>
      </c>
      <c r="R658" t="s">
        <v>74</v>
      </c>
      <c r="S658" t="s">
        <v>74</v>
      </c>
      <c r="T658" t="s">
        <v>12709</v>
      </c>
      <c r="U658" t="s">
        <v>74</v>
      </c>
      <c r="V658" t="s">
        <v>12710</v>
      </c>
      <c r="W658" t="s">
        <v>12711</v>
      </c>
      <c r="X658" t="s">
        <v>12712</v>
      </c>
      <c r="Y658" t="s">
        <v>12713</v>
      </c>
      <c r="Z658" t="s">
        <v>74</v>
      </c>
      <c r="AA658" t="s">
        <v>74</v>
      </c>
      <c r="AB658" t="s">
        <v>74</v>
      </c>
      <c r="AC658" t="s">
        <v>74</v>
      </c>
      <c r="AD658" t="s">
        <v>74</v>
      </c>
      <c r="AE658" t="s">
        <v>74</v>
      </c>
      <c r="AF658" t="s">
        <v>74</v>
      </c>
      <c r="AG658">
        <v>41</v>
      </c>
      <c r="AH658">
        <v>6</v>
      </c>
      <c r="AI658">
        <v>7</v>
      </c>
      <c r="AJ658">
        <v>1</v>
      </c>
      <c r="AK658">
        <v>16</v>
      </c>
      <c r="AL658" t="s">
        <v>7551</v>
      </c>
      <c r="AM658" t="s">
        <v>7552</v>
      </c>
      <c r="AN658" t="s">
        <v>7553</v>
      </c>
      <c r="AO658" t="s">
        <v>12714</v>
      </c>
      <c r="AP658" t="s">
        <v>12715</v>
      </c>
      <c r="AQ658" t="s">
        <v>74</v>
      </c>
      <c r="AR658" t="s">
        <v>12716</v>
      </c>
      <c r="AS658" t="s">
        <v>12717</v>
      </c>
      <c r="AT658" t="s">
        <v>7020</v>
      </c>
      <c r="AU658">
        <v>2020</v>
      </c>
      <c r="AV658">
        <v>11</v>
      </c>
      <c r="AW658">
        <v>1</v>
      </c>
      <c r="AX658" t="s">
        <v>74</v>
      </c>
      <c r="AY658" t="s">
        <v>74</v>
      </c>
      <c r="AZ658" t="s">
        <v>74</v>
      </c>
      <c r="BA658" t="s">
        <v>74</v>
      </c>
      <c r="BB658">
        <v>127</v>
      </c>
      <c r="BC658">
        <v>141</v>
      </c>
      <c r="BD658" t="s">
        <v>74</v>
      </c>
      <c r="BE658" t="s">
        <v>12718</v>
      </c>
      <c r="BF658" t="str">
        <f>HYPERLINK("http://dx.doi.org/10.4018/IJABIM.2020010108","http://dx.doi.org/10.4018/IJABIM.2020010108")</f>
        <v>http://dx.doi.org/10.4018/IJABIM.2020010108</v>
      </c>
      <c r="BG658" t="s">
        <v>74</v>
      </c>
      <c r="BH658" t="s">
        <v>74</v>
      </c>
      <c r="BI658">
        <v>15</v>
      </c>
      <c r="BJ658" t="s">
        <v>418</v>
      </c>
      <c r="BK658" t="s">
        <v>313</v>
      </c>
      <c r="BL658" t="s">
        <v>100</v>
      </c>
      <c r="BM658" t="s">
        <v>12719</v>
      </c>
      <c r="BN658" t="s">
        <v>74</v>
      </c>
      <c r="BO658" t="s">
        <v>270</v>
      </c>
      <c r="BP658" t="s">
        <v>74</v>
      </c>
      <c r="BQ658" t="s">
        <v>74</v>
      </c>
      <c r="BR658" t="s">
        <v>102</v>
      </c>
      <c r="BS658" t="s">
        <v>12720</v>
      </c>
      <c r="BT658" t="str">
        <f>HYPERLINK("https%3A%2F%2Fwww.webofscience.com%2Fwos%2Fwoscc%2Ffull-record%2FWOS:000508349900008","View Full Record in Web of Science")</f>
        <v>View Full Record in Web of Science</v>
      </c>
    </row>
    <row r="659" spans="1:72" x14ac:dyDescent="0.25">
      <c r="A659" t="s">
        <v>72</v>
      </c>
      <c r="B659" t="s">
        <v>12721</v>
      </c>
      <c r="C659" t="s">
        <v>74</v>
      </c>
      <c r="D659" t="s">
        <v>74</v>
      </c>
      <c r="E659" t="s">
        <v>74</v>
      </c>
      <c r="F659" t="s">
        <v>12722</v>
      </c>
      <c r="G659" t="s">
        <v>74</v>
      </c>
      <c r="H659" t="s">
        <v>74</v>
      </c>
      <c r="I659" t="s">
        <v>12723</v>
      </c>
      <c r="J659" t="s">
        <v>1412</v>
      </c>
      <c r="K659" t="s">
        <v>74</v>
      </c>
      <c r="L659" t="s">
        <v>74</v>
      </c>
      <c r="M659" t="s">
        <v>78</v>
      </c>
      <c r="N659" t="s">
        <v>79</v>
      </c>
      <c r="O659" t="s">
        <v>74</v>
      </c>
      <c r="P659" t="s">
        <v>74</v>
      </c>
      <c r="Q659" t="s">
        <v>74</v>
      </c>
      <c r="R659" t="s">
        <v>74</v>
      </c>
      <c r="S659" t="s">
        <v>74</v>
      </c>
      <c r="T659" t="s">
        <v>12724</v>
      </c>
      <c r="U659" t="s">
        <v>12725</v>
      </c>
      <c r="V659" t="s">
        <v>12726</v>
      </c>
      <c r="W659" t="s">
        <v>12727</v>
      </c>
      <c r="X659" t="s">
        <v>12728</v>
      </c>
      <c r="Y659" t="s">
        <v>12729</v>
      </c>
      <c r="Z659" t="s">
        <v>12730</v>
      </c>
      <c r="AA659" t="s">
        <v>74</v>
      </c>
      <c r="AB659" t="s">
        <v>74</v>
      </c>
      <c r="AC659" t="s">
        <v>74</v>
      </c>
      <c r="AD659" t="s">
        <v>74</v>
      </c>
      <c r="AE659" t="s">
        <v>74</v>
      </c>
      <c r="AF659" t="s">
        <v>74</v>
      </c>
      <c r="AG659">
        <v>129</v>
      </c>
      <c r="AH659">
        <v>5</v>
      </c>
      <c r="AI659">
        <v>5</v>
      </c>
      <c r="AJ659">
        <v>4</v>
      </c>
      <c r="AK659">
        <v>16</v>
      </c>
      <c r="AL659" t="s">
        <v>332</v>
      </c>
      <c r="AM659" t="s">
        <v>333</v>
      </c>
      <c r="AN659" t="s">
        <v>334</v>
      </c>
      <c r="AO659" t="s">
        <v>1423</v>
      </c>
      <c r="AP659" t="s">
        <v>1424</v>
      </c>
      <c r="AQ659" t="s">
        <v>74</v>
      </c>
      <c r="AR659" t="s">
        <v>1425</v>
      </c>
      <c r="AS659" t="s">
        <v>1426</v>
      </c>
      <c r="AT659" t="s">
        <v>1693</v>
      </c>
      <c r="AU659">
        <v>2025</v>
      </c>
      <c r="AV659">
        <v>31</v>
      </c>
      <c r="AW659">
        <v>2</v>
      </c>
      <c r="AX659" t="s">
        <v>74</v>
      </c>
      <c r="AY659" t="s">
        <v>74</v>
      </c>
      <c r="AZ659" t="s">
        <v>441</v>
      </c>
      <c r="BA659" t="s">
        <v>74</v>
      </c>
      <c r="BB659">
        <v>251</v>
      </c>
      <c r="BC659">
        <v>279</v>
      </c>
      <c r="BD659" t="s">
        <v>74</v>
      </c>
      <c r="BE659" t="s">
        <v>12731</v>
      </c>
      <c r="BF659" t="str">
        <f>HYPERLINK("http://dx.doi.org/10.1080/02681102.2024.2384716","http://dx.doi.org/10.1080/02681102.2024.2384716")</f>
        <v>http://dx.doi.org/10.1080/02681102.2024.2384716</v>
      </c>
      <c r="BG659" t="s">
        <v>74</v>
      </c>
      <c r="BH659" t="s">
        <v>393</v>
      </c>
      <c r="BI659">
        <v>29</v>
      </c>
      <c r="BJ659" t="s">
        <v>1429</v>
      </c>
      <c r="BK659" t="s">
        <v>99</v>
      </c>
      <c r="BL659" t="s">
        <v>1429</v>
      </c>
      <c r="BM659" t="s">
        <v>11485</v>
      </c>
      <c r="BN659" t="s">
        <v>74</v>
      </c>
      <c r="BO659" t="s">
        <v>1205</v>
      </c>
      <c r="BP659" t="s">
        <v>74</v>
      </c>
      <c r="BQ659" t="s">
        <v>74</v>
      </c>
      <c r="BR659" t="s">
        <v>102</v>
      </c>
      <c r="BS659" t="s">
        <v>12732</v>
      </c>
      <c r="BT659" t="str">
        <f>HYPERLINK("https%3A%2F%2Fwww.webofscience.com%2Fwos%2Fwoscc%2Ffull-record%2FWOS:001282168900001","View Full Record in Web of Science")</f>
        <v>View Full Record in Web of Science</v>
      </c>
    </row>
    <row r="660" spans="1:72" x14ac:dyDescent="0.25">
      <c r="A660" t="s">
        <v>72</v>
      </c>
      <c r="B660" t="s">
        <v>12733</v>
      </c>
      <c r="C660" t="s">
        <v>74</v>
      </c>
      <c r="D660" t="s">
        <v>74</v>
      </c>
      <c r="E660" t="s">
        <v>74</v>
      </c>
      <c r="F660" t="s">
        <v>12734</v>
      </c>
      <c r="G660" t="s">
        <v>74</v>
      </c>
      <c r="H660" t="s">
        <v>74</v>
      </c>
      <c r="I660" t="s">
        <v>12735</v>
      </c>
      <c r="J660" t="s">
        <v>3290</v>
      </c>
      <c r="K660" t="s">
        <v>74</v>
      </c>
      <c r="L660" t="s">
        <v>74</v>
      </c>
      <c r="M660" t="s">
        <v>78</v>
      </c>
      <c r="N660" t="s">
        <v>79</v>
      </c>
      <c r="O660" t="s">
        <v>74</v>
      </c>
      <c r="P660" t="s">
        <v>74</v>
      </c>
      <c r="Q660" t="s">
        <v>74</v>
      </c>
      <c r="R660" t="s">
        <v>74</v>
      </c>
      <c r="S660" t="s">
        <v>74</v>
      </c>
      <c r="T660" t="s">
        <v>12736</v>
      </c>
      <c r="U660" t="s">
        <v>12737</v>
      </c>
      <c r="V660" t="s">
        <v>12738</v>
      </c>
      <c r="W660" t="s">
        <v>12739</v>
      </c>
      <c r="X660" t="s">
        <v>12740</v>
      </c>
      <c r="Y660" t="s">
        <v>12741</v>
      </c>
      <c r="Z660" t="s">
        <v>12742</v>
      </c>
      <c r="AA660" t="s">
        <v>12743</v>
      </c>
      <c r="AB660" t="s">
        <v>12744</v>
      </c>
      <c r="AC660" t="s">
        <v>12745</v>
      </c>
      <c r="AD660" t="s">
        <v>12746</v>
      </c>
      <c r="AE660" t="s">
        <v>12747</v>
      </c>
      <c r="AF660" t="s">
        <v>74</v>
      </c>
      <c r="AG660">
        <v>65</v>
      </c>
      <c r="AH660">
        <v>124</v>
      </c>
      <c r="AI660">
        <v>178</v>
      </c>
      <c r="AJ660">
        <v>4</v>
      </c>
      <c r="AK660">
        <v>137</v>
      </c>
      <c r="AL660" t="s">
        <v>201</v>
      </c>
      <c r="AM660" t="s">
        <v>202</v>
      </c>
      <c r="AN660" t="s">
        <v>203</v>
      </c>
      <c r="AO660" t="s">
        <v>3300</v>
      </c>
      <c r="AP660" t="s">
        <v>7621</v>
      </c>
      <c r="AQ660" t="s">
        <v>74</v>
      </c>
      <c r="AR660" t="s">
        <v>3301</v>
      </c>
      <c r="AS660" t="s">
        <v>3302</v>
      </c>
      <c r="AT660" t="s">
        <v>12748</v>
      </c>
      <c r="AU660">
        <v>2012</v>
      </c>
      <c r="AV660">
        <v>11</v>
      </c>
      <c r="AW660">
        <v>5</v>
      </c>
      <c r="AX660" t="s">
        <v>74</v>
      </c>
      <c r="AY660" t="s">
        <v>74</v>
      </c>
      <c r="AZ660" t="s">
        <v>74</v>
      </c>
      <c r="BA660" t="s">
        <v>74</v>
      </c>
      <c r="BB660">
        <v>484</v>
      </c>
      <c r="BC660">
        <v>494</v>
      </c>
      <c r="BD660" t="s">
        <v>74</v>
      </c>
      <c r="BE660" t="s">
        <v>12749</v>
      </c>
      <c r="BF660" t="str">
        <f>HYPERLINK("http://dx.doi.org/10.1016/j.elerap.2011.07.006","http://dx.doi.org/10.1016/j.elerap.2011.07.006")</f>
        <v>http://dx.doi.org/10.1016/j.elerap.2011.07.006</v>
      </c>
      <c r="BG660" t="s">
        <v>74</v>
      </c>
      <c r="BH660" t="s">
        <v>74</v>
      </c>
      <c r="BI660">
        <v>11</v>
      </c>
      <c r="BJ660" t="s">
        <v>3304</v>
      </c>
      <c r="BK660" t="s">
        <v>2623</v>
      </c>
      <c r="BL660" t="s">
        <v>1070</v>
      </c>
      <c r="BM660" t="s">
        <v>12750</v>
      </c>
      <c r="BN660" t="s">
        <v>74</v>
      </c>
      <c r="BO660" t="s">
        <v>74</v>
      </c>
      <c r="BP660" t="s">
        <v>74</v>
      </c>
      <c r="BQ660" t="s">
        <v>74</v>
      </c>
      <c r="BR660" t="s">
        <v>102</v>
      </c>
      <c r="BS660" t="s">
        <v>12751</v>
      </c>
      <c r="BT660" t="str">
        <f>HYPERLINK("https%3A%2F%2Fwww.webofscience.com%2Fwos%2Fwoscc%2Ffull-record%2FWOS:000311496700004","View Full Record in Web of Science")</f>
        <v>View Full Record in Web of Science</v>
      </c>
    </row>
    <row r="661" spans="1:72" x14ac:dyDescent="0.25">
      <c r="A661" t="s">
        <v>72</v>
      </c>
      <c r="B661" t="s">
        <v>12752</v>
      </c>
      <c r="C661" t="s">
        <v>74</v>
      </c>
      <c r="D661" t="s">
        <v>74</v>
      </c>
      <c r="E661" t="s">
        <v>74</v>
      </c>
      <c r="F661" t="s">
        <v>12753</v>
      </c>
      <c r="G661" t="s">
        <v>74</v>
      </c>
      <c r="H661" t="s">
        <v>74</v>
      </c>
      <c r="I661" t="s">
        <v>12754</v>
      </c>
      <c r="J661" t="s">
        <v>4842</v>
      </c>
      <c r="K661" t="s">
        <v>74</v>
      </c>
      <c r="L661" t="s">
        <v>74</v>
      </c>
      <c r="M661" t="s">
        <v>78</v>
      </c>
      <c r="N661" t="s">
        <v>79</v>
      </c>
      <c r="O661" t="s">
        <v>74</v>
      </c>
      <c r="P661" t="s">
        <v>74</v>
      </c>
      <c r="Q661" t="s">
        <v>74</v>
      </c>
      <c r="R661" t="s">
        <v>74</v>
      </c>
      <c r="S661" t="s">
        <v>74</v>
      </c>
      <c r="T661" t="s">
        <v>12755</v>
      </c>
      <c r="U661" t="s">
        <v>12326</v>
      </c>
      <c r="V661" t="s">
        <v>12756</v>
      </c>
      <c r="W661" t="s">
        <v>12757</v>
      </c>
      <c r="X661" t="s">
        <v>12035</v>
      </c>
      <c r="Y661" t="s">
        <v>12758</v>
      </c>
      <c r="Z661" t="s">
        <v>12759</v>
      </c>
      <c r="AA661" t="s">
        <v>12760</v>
      </c>
      <c r="AB661" t="s">
        <v>12761</v>
      </c>
      <c r="AC661" t="s">
        <v>74</v>
      </c>
      <c r="AD661" t="s">
        <v>74</v>
      </c>
      <c r="AE661" t="s">
        <v>74</v>
      </c>
      <c r="AF661" t="s">
        <v>74</v>
      </c>
      <c r="AG661">
        <v>62</v>
      </c>
      <c r="AH661">
        <v>2</v>
      </c>
      <c r="AI661">
        <v>2</v>
      </c>
      <c r="AJ661">
        <v>2</v>
      </c>
      <c r="AK661">
        <v>5</v>
      </c>
      <c r="AL661" t="s">
        <v>823</v>
      </c>
      <c r="AM661" t="s">
        <v>333</v>
      </c>
      <c r="AN661" t="s">
        <v>824</v>
      </c>
      <c r="AO661" t="s">
        <v>4853</v>
      </c>
      <c r="AP661" t="s">
        <v>74</v>
      </c>
      <c r="AQ661" t="s">
        <v>74</v>
      </c>
      <c r="AR661" t="s">
        <v>4854</v>
      </c>
      <c r="AS661" t="s">
        <v>4855</v>
      </c>
      <c r="AT661" t="s">
        <v>4856</v>
      </c>
      <c r="AU661">
        <v>2025</v>
      </c>
      <c r="AV661">
        <v>12</v>
      </c>
      <c r="AW661">
        <v>1</v>
      </c>
      <c r="AX661" t="s">
        <v>74</v>
      </c>
      <c r="AY661" t="s">
        <v>74</v>
      </c>
      <c r="AZ661" t="s">
        <v>74</v>
      </c>
      <c r="BA661" t="s">
        <v>74</v>
      </c>
      <c r="BB661" t="s">
        <v>74</v>
      </c>
      <c r="BC661" t="s">
        <v>74</v>
      </c>
      <c r="BD661">
        <v>2466814</v>
      </c>
      <c r="BE661" t="s">
        <v>12762</v>
      </c>
      <c r="BF661" t="str">
        <f>HYPERLINK("http://dx.doi.org/10.1080/23311975.2025.2466814","http://dx.doi.org/10.1080/23311975.2025.2466814")</f>
        <v>http://dx.doi.org/10.1080/23311975.2025.2466814</v>
      </c>
      <c r="BG661" t="s">
        <v>74</v>
      </c>
      <c r="BH661" t="s">
        <v>74</v>
      </c>
      <c r="BI661">
        <v>17</v>
      </c>
      <c r="BJ661" t="s">
        <v>418</v>
      </c>
      <c r="BK661" t="s">
        <v>313</v>
      </c>
      <c r="BL661" t="s">
        <v>100</v>
      </c>
      <c r="BM661" t="s">
        <v>12763</v>
      </c>
      <c r="BN661" t="s">
        <v>74</v>
      </c>
      <c r="BO661" t="s">
        <v>212</v>
      </c>
      <c r="BP661" t="s">
        <v>74</v>
      </c>
      <c r="BQ661" t="s">
        <v>74</v>
      </c>
      <c r="BR661" t="s">
        <v>102</v>
      </c>
      <c r="BS661" t="s">
        <v>12764</v>
      </c>
      <c r="BT661" t="str">
        <f>HYPERLINK("https%3A%2F%2Fwww.webofscience.com%2Fwos%2Fwoscc%2Ffull-record%2FWOS:001427845300001","View Full Record in Web of Science")</f>
        <v>View Full Record in Web of Science</v>
      </c>
    </row>
    <row r="662" spans="1:72" x14ac:dyDescent="0.25">
      <c r="A662" t="s">
        <v>72</v>
      </c>
      <c r="B662" t="s">
        <v>12765</v>
      </c>
      <c r="C662" t="s">
        <v>74</v>
      </c>
      <c r="D662" t="s">
        <v>74</v>
      </c>
      <c r="E662" t="s">
        <v>74</v>
      </c>
      <c r="F662" t="s">
        <v>12766</v>
      </c>
      <c r="G662" t="s">
        <v>74</v>
      </c>
      <c r="H662" t="s">
        <v>74</v>
      </c>
      <c r="I662" t="s">
        <v>12767</v>
      </c>
      <c r="J662" t="s">
        <v>1266</v>
      </c>
      <c r="K662" t="s">
        <v>74</v>
      </c>
      <c r="L662" t="s">
        <v>74</v>
      </c>
      <c r="M662" t="s">
        <v>78</v>
      </c>
      <c r="N662" t="s">
        <v>372</v>
      </c>
      <c r="O662" t="s">
        <v>74</v>
      </c>
      <c r="P662" t="s">
        <v>74</v>
      </c>
      <c r="Q662" t="s">
        <v>74</v>
      </c>
      <c r="R662" t="s">
        <v>74</v>
      </c>
      <c r="S662" t="s">
        <v>74</v>
      </c>
      <c r="T662" t="s">
        <v>12768</v>
      </c>
      <c r="U662" t="s">
        <v>12769</v>
      </c>
      <c r="V662" t="s">
        <v>12770</v>
      </c>
      <c r="W662" t="s">
        <v>12771</v>
      </c>
      <c r="X662" t="s">
        <v>12772</v>
      </c>
      <c r="Y662" t="s">
        <v>12773</v>
      </c>
      <c r="Z662" t="s">
        <v>12774</v>
      </c>
      <c r="AA662" t="s">
        <v>12775</v>
      </c>
      <c r="AB662" t="s">
        <v>12776</v>
      </c>
      <c r="AC662" t="s">
        <v>74</v>
      </c>
      <c r="AD662" t="s">
        <v>74</v>
      </c>
      <c r="AE662" t="s">
        <v>74</v>
      </c>
      <c r="AF662" t="s">
        <v>74</v>
      </c>
      <c r="AG662">
        <v>99</v>
      </c>
      <c r="AH662">
        <v>83</v>
      </c>
      <c r="AI662">
        <v>105</v>
      </c>
      <c r="AJ662">
        <v>3</v>
      </c>
      <c r="AK662">
        <v>47</v>
      </c>
      <c r="AL662" t="s">
        <v>332</v>
      </c>
      <c r="AM662" t="s">
        <v>333</v>
      </c>
      <c r="AN662" t="s">
        <v>334</v>
      </c>
      <c r="AO662" t="s">
        <v>1277</v>
      </c>
      <c r="AP662" t="s">
        <v>1278</v>
      </c>
      <c r="AQ662" t="s">
        <v>74</v>
      </c>
      <c r="AR662" t="s">
        <v>1279</v>
      </c>
      <c r="AS662" t="s">
        <v>1280</v>
      </c>
      <c r="AT662" t="s">
        <v>12777</v>
      </c>
      <c r="AU662">
        <v>2019</v>
      </c>
      <c r="AV662" t="s">
        <v>74</v>
      </c>
      <c r="AW662" t="s">
        <v>74</v>
      </c>
      <c r="AX662" t="s">
        <v>74</v>
      </c>
      <c r="AY662" t="s">
        <v>74</v>
      </c>
      <c r="AZ662" t="s">
        <v>74</v>
      </c>
      <c r="BA662" t="s">
        <v>74</v>
      </c>
      <c r="BB662" t="s">
        <v>74</v>
      </c>
      <c r="BC662" t="s">
        <v>74</v>
      </c>
      <c r="BD662" t="s">
        <v>74</v>
      </c>
      <c r="BE662" t="s">
        <v>12778</v>
      </c>
      <c r="BF662" t="str">
        <f>HYPERLINK("http://dx.doi.org/10.1080/1540496X.2019.1598370","http://dx.doi.org/10.1080/1540496X.2019.1598370")</f>
        <v>http://dx.doi.org/10.1080/1540496X.2019.1598370</v>
      </c>
      <c r="BG662" t="s">
        <v>74</v>
      </c>
      <c r="BH662" t="s">
        <v>12779</v>
      </c>
      <c r="BI662">
        <v>40</v>
      </c>
      <c r="BJ662" t="s">
        <v>1283</v>
      </c>
      <c r="BK662" t="s">
        <v>99</v>
      </c>
      <c r="BL662" t="s">
        <v>1284</v>
      </c>
      <c r="BM662" t="s">
        <v>12780</v>
      </c>
      <c r="BN662" t="s">
        <v>74</v>
      </c>
      <c r="BO662" t="s">
        <v>74</v>
      </c>
      <c r="BP662" t="s">
        <v>74</v>
      </c>
      <c r="BQ662" t="s">
        <v>74</v>
      </c>
      <c r="BR662" t="s">
        <v>102</v>
      </c>
      <c r="BS662" t="s">
        <v>12781</v>
      </c>
      <c r="BT662" t="str">
        <f>HYPERLINK("https%3A%2F%2Fwww.webofscience.com%2Fwos%2Fwoscc%2Ffull-record%2FWOS:000470398400001","View Full Record in Web of Science")</f>
        <v>View Full Record in Web of Science</v>
      </c>
    </row>
    <row r="663" spans="1:72" x14ac:dyDescent="0.25">
      <c r="A663" t="s">
        <v>72</v>
      </c>
      <c r="B663" t="s">
        <v>12782</v>
      </c>
      <c r="C663" t="s">
        <v>74</v>
      </c>
      <c r="D663" t="s">
        <v>74</v>
      </c>
      <c r="E663" t="s">
        <v>74</v>
      </c>
      <c r="F663" t="s">
        <v>12783</v>
      </c>
      <c r="G663" t="s">
        <v>74</v>
      </c>
      <c r="H663" t="s">
        <v>74</v>
      </c>
      <c r="I663" t="s">
        <v>12784</v>
      </c>
      <c r="J663" t="s">
        <v>12785</v>
      </c>
      <c r="K663" t="s">
        <v>74</v>
      </c>
      <c r="L663" t="s">
        <v>74</v>
      </c>
      <c r="M663" t="s">
        <v>78</v>
      </c>
      <c r="N663" t="s">
        <v>79</v>
      </c>
      <c r="O663" t="s">
        <v>74</v>
      </c>
      <c r="P663" t="s">
        <v>74</v>
      </c>
      <c r="Q663" t="s">
        <v>74</v>
      </c>
      <c r="R663" t="s">
        <v>74</v>
      </c>
      <c r="S663" t="s">
        <v>74</v>
      </c>
      <c r="T663" t="s">
        <v>12786</v>
      </c>
      <c r="U663" t="s">
        <v>12787</v>
      </c>
      <c r="V663" t="s">
        <v>12788</v>
      </c>
      <c r="W663" t="s">
        <v>12789</v>
      </c>
      <c r="X663" t="s">
        <v>11679</v>
      </c>
      <c r="Y663" t="s">
        <v>12790</v>
      </c>
      <c r="Z663" t="s">
        <v>12791</v>
      </c>
      <c r="AA663" t="s">
        <v>12792</v>
      </c>
      <c r="AB663" t="s">
        <v>74</v>
      </c>
      <c r="AC663" t="s">
        <v>12793</v>
      </c>
      <c r="AD663" t="s">
        <v>12794</v>
      </c>
      <c r="AE663" t="s">
        <v>12795</v>
      </c>
      <c r="AF663" t="s">
        <v>74</v>
      </c>
      <c r="AG663">
        <v>45</v>
      </c>
      <c r="AH663">
        <v>5</v>
      </c>
      <c r="AI663">
        <v>6</v>
      </c>
      <c r="AJ663">
        <v>17</v>
      </c>
      <c r="AK663">
        <v>73</v>
      </c>
      <c r="AL663" t="s">
        <v>479</v>
      </c>
      <c r="AM663" t="s">
        <v>480</v>
      </c>
      <c r="AN663" t="s">
        <v>481</v>
      </c>
      <c r="AO663" t="s">
        <v>12796</v>
      </c>
      <c r="AP663" t="s">
        <v>12797</v>
      </c>
      <c r="AQ663" t="s">
        <v>74</v>
      </c>
      <c r="AR663" t="s">
        <v>12798</v>
      </c>
      <c r="AS663" t="s">
        <v>12799</v>
      </c>
      <c r="AT663" t="s">
        <v>1652</v>
      </c>
      <c r="AU663">
        <v>2025</v>
      </c>
      <c r="AV663">
        <v>64</v>
      </c>
      <c r="AW663">
        <v>2</v>
      </c>
      <c r="AX663" t="s">
        <v>74</v>
      </c>
      <c r="AY663" t="s">
        <v>74</v>
      </c>
      <c r="AZ663" t="s">
        <v>74</v>
      </c>
      <c r="BA663" t="s">
        <v>74</v>
      </c>
      <c r="BB663">
        <v>205</v>
      </c>
      <c r="BC663">
        <v>220</v>
      </c>
      <c r="BD663" t="s">
        <v>74</v>
      </c>
      <c r="BE663" t="s">
        <v>12800</v>
      </c>
      <c r="BF663" t="str">
        <f>HYPERLINK("http://dx.doi.org/10.1111/1467-8454.12382","http://dx.doi.org/10.1111/1467-8454.12382")</f>
        <v>http://dx.doi.org/10.1111/1467-8454.12382</v>
      </c>
      <c r="BG663" t="s">
        <v>74</v>
      </c>
      <c r="BH663" t="s">
        <v>9389</v>
      </c>
      <c r="BI663">
        <v>16</v>
      </c>
      <c r="BJ663" t="s">
        <v>291</v>
      </c>
      <c r="BK663" t="s">
        <v>99</v>
      </c>
      <c r="BL663" t="s">
        <v>100</v>
      </c>
      <c r="BM663" t="s">
        <v>12801</v>
      </c>
      <c r="BN663" t="s">
        <v>74</v>
      </c>
      <c r="BO663" t="s">
        <v>74</v>
      </c>
      <c r="BP663" t="s">
        <v>74</v>
      </c>
      <c r="BQ663" t="s">
        <v>74</v>
      </c>
      <c r="BR663" t="s">
        <v>102</v>
      </c>
      <c r="BS663" t="s">
        <v>12802</v>
      </c>
      <c r="BT663" t="str">
        <f>HYPERLINK("https%3A%2F%2Fwww.webofscience.com%2Fwos%2Fwoscc%2Ffull-record%2FWOS:001306072500001","View Full Record in Web of Science")</f>
        <v>View Full Record in Web of Science</v>
      </c>
    </row>
    <row r="664" spans="1:72" x14ac:dyDescent="0.25">
      <c r="A664" t="s">
        <v>72</v>
      </c>
      <c r="B664" t="s">
        <v>12803</v>
      </c>
      <c r="C664" t="s">
        <v>74</v>
      </c>
      <c r="D664" t="s">
        <v>74</v>
      </c>
      <c r="E664" t="s">
        <v>74</v>
      </c>
      <c r="F664" t="s">
        <v>12804</v>
      </c>
      <c r="G664" t="s">
        <v>74</v>
      </c>
      <c r="H664" t="s">
        <v>74</v>
      </c>
      <c r="I664" t="s">
        <v>12805</v>
      </c>
      <c r="J664" t="s">
        <v>12806</v>
      </c>
      <c r="K664" t="s">
        <v>74</v>
      </c>
      <c r="L664" t="s">
        <v>74</v>
      </c>
      <c r="M664" t="s">
        <v>78</v>
      </c>
      <c r="N664" t="s">
        <v>79</v>
      </c>
      <c r="O664" t="s">
        <v>74</v>
      </c>
      <c r="P664" t="s">
        <v>74</v>
      </c>
      <c r="Q664" t="s">
        <v>74</v>
      </c>
      <c r="R664" t="s">
        <v>74</v>
      </c>
      <c r="S664" t="s">
        <v>74</v>
      </c>
      <c r="T664" t="s">
        <v>12807</v>
      </c>
      <c r="U664" t="s">
        <v>74</v>
      </c>
      <c r="V664" t="s">
        <v>12808</v>
      </c>
      <c r="W664" t="s">
        <v>12809</v>
      </c>
      <c r="X664" t="s">
        <v>12810</v>
      </c>
      <c r="Y664" t="s">
        <v>12811</v>
      </c>
      <c r="Z664" t="s">
        <v>12812</v>
      </c>
      <c r="AA664" t="s">
        <v>12813</v>
      </c>
      <c r="AB664" t="s">
        <v>74</v>
      </c>
      <c r="AC664" t="s">
        <v>74</v>
      </c>
      <c r="AD664" t="s">
        <v>74</v>
      </c>
      <c r="AE664" t="s">
        <v>74</v>
      </c>
      <c r="AF664" t="s">
        <v>74</v>
      </c>
      <c r="AG664">
        <v>57</v>
      </c>
      <c r="AH664">
        <v>4</v>
      </c>
      <c r="AI664">
        <v>4</v>
      </c>
      <c r="AJ664">
        <v>0</v>
      </c>
      <c r="AK664">
        <v>34</v>
      </c>
      <c r="AL664" t="s">
        <v>12814</v>
      </c>
      <c r="AM664" t="s">
        <v>7673</v>
      </c>
      <c r="AN664" t="s">
        <v>12815</v>
      </c>
      <c r="AO664" t="s">
        <v>12816</v>
      </c>
      <c r="AP664" t="s">
        <v>12817</v>
      </c>
      <c r="AQ664" t="s">
        <v>74</v>
      </c>
      <c r="AR664" t="s">
        <v>12818</v>
      </c>
      <c r="AS664" t="s">
        <v>12819</v>
      </c>
      <c r="AT664" t="s">
        <v>1652</v>
      </c>
      <c r="AU664">
        <v>2022</v>
      </c>
      <c r="AV664">
        <v>22</v>
      </c>
      <c r="AW664">
        <v>1</v>
      </c>
      <c r="AX664" t="s">
        <v>74</v>
      </c>
      <c r="AY664" t="s">
        <v>74</v>
      </c>
      <c r="AZ664" t="s">
        <v>74</v>
      </c>
      <c r="BA664" t="s">
        <v>74</v>
      </c>
      <c r="BB664">
        <v>50</v>
      </c>
      <c r="BC664">
        <v>68</v>
      </c>
      <c r="BD664" t="s">
        <v>74</v>
      </c>
      <c r="BE664" t="s">
        <v>74</v>
      </c>
      <c r="BF664" t="s">
        <v>74</v>
      </c>
      <c r="BG664" t="s">
        <v>74</v>
      </c>
      <c r="BH664" t="s">
        <v>74</v>
      </c>
      <c r="BI664">
        <v>19</v>
      </c>
      <c r="BJ664" t="s">
        <v>12820</v>
      </c>
      <c r="BK664" t="s">
        <v>313</v>
      </c>
      <c r="BL664" t="s">
        <v>12820</v>
      </c>
      <c r="BM664" t="s">
        <v>12821</v>
      </c>
      <c r="BN664" t="s">
        <v>74</v>
      </c>
      <c r="BO664" t="s">
        <v>74</v>
      </c>
      <c r="BP664" t="s">
        <v>74</v>
      </c>
      <c r="BQ664" t="s">
        <v>74</v>
      </c>
      <c r="BR664" t="s">
        <v>102</v>
      </c>
      <c r="BS664" t="s">
        <v>12822</v>
      </c>
      <c r="BT664" t="str">
        <f>HYPERLINK("https%3A%2F%2Fwww.webofscience.com%2Fwos%2Fwoscc%2Ffull-record%2FWOS:000809638800004","View Full Record in Web of Science")</f>
        <v>View Full Record in Web of Science</v>
      </c>
    </row>
    <row r="665" spans="1:72" x14ac:dyDescent="0.25">
      <c r="A665" t="s">
        <v>72</v>
      </c>
      <c r="B665" t="s">
        <v>12823</v>
      </c>
      <c r="C665" t="s">
        <v>74</v>
      </c>
      <c r="D665" t="s">
        <v>74</v>
      </c>
      <c r="E665" t="s">
        <v>74</v>
      </c>
      <c r="F665" t="s">
        <v>12824</v>
      </c>
      <c r="G665" t="s">
        <v>74</v>
      </c>
      <c r="H665" t="s">
        <v>74</v>
      </c>
      <c r="I665" t="s">
        <v>12825</v>
      </c>
      <c r="J665" t="s">
        <v>3036</v>
      </c>
      <c r="K665" t="s">
        <v>74</v>
      </c>
      <c r="L665" t="s">
        <v>74</v>
      </c>
      <c r="M665" t="s">
        <v>78</v>
      </c>
      <c r="N665" t="s">
        <v>372</v>
      </c>
      <c r="O665" t="s">
        <v>74</v>
      </c>
      <c r="P665" t="s">
        <v>74</v>
      </c>
      <c r="Q665" t="s">
        <v>74</v>
      </c>
      <c r="R665" t="s">
        <v>74</v>
      </c>
      <c r="S665" t="s">
        <v>74</v>
      </c>
      <c r="T665" t="s">
        <v>12826</v>
      </c>
      <c r="U665" t="s">
        <v>12827</v>
      </c>
      <c r="V665" t="s">
        <v>12828</v>
      </c>
      <c r="W665" t="s">
        <v>12829</v>
      </c>
      <c r="X665" t="s">
        <v>12830</v>
      </c>
      <c r="Y665" t="s">
        <v>12831</v>
      </c>
      <c r="Z665" t="s">
        <v>12832</v>
      </c>
      <c r="AA665" t="s">
        <v>74</v>
      </c>
      <c r="AB665" t="s">
        <v>74</v>
      </c>
      <c r="AC665" t="s">
        <v>74</v>
      </c>
      <c r="AD665" t="s">
        <v>74</v>
      </c>
      <c r="AE665" t="s">
        <v>74</v>
      </c>
      <c r="AF665" t="s">
        <v>74</v>
      </c>
      <c r="AG665">
        <v>50</v>
      </c>
      <c r="AH665">
        <v>15</v>
      </c>
      <c r="AI665">
        <v>22</v>
      </c>
      <c r="AJ665">
        <v>33</v>
      </c>
      <c r="AK665">
        <v>73</v>
      </c>
      <c r="AL665" t="s">
        <v>385</v>
      </c>
      <c r="AM665" t="s">
        <v>151</v>
      </c>
      <c r="AN665" t="s">
        <v>386</v>
      </c>
      <c r="AO665" t="s">
        <v>3045</v>
      </c>
      <c r="AP665" t="s">
        <v>3046</v>
      </c>
      <c r="AQ665" t="s">
        <v>74</v>
      </c>
      <c r="AR665" t="s">
        <v>3047</v>
      </c>
      <c r="AS665" t="s">
        <v>3048</v>
      </c>
      <c r="AT665" t="s">
        <v>12833</v>
      </c>
      <c r="AU665">
        <v>2024</v>
      </c>
      <c r="AV665" t="s">
        <v>74</v>
      </c>
      <c r="AW665" t="s">
        <v>74</v>
      </c>
      <c r="AX665" t="s">
        <v>74</v>
      </c>
      <c r="AY665" t="s">
        <v>74</v>
      </c>
      <c r="AZ665" t="s">
        <v>74</v>
      </c>
      <c r="BA665" t="s">
        <v>74</v>
      </c>
      <c r="BB665" t="s">
        <v>74</v>
      </c>
      <c r="BC665" t="s">
        <v>74</v>
      </c>
      <c r="BD665" t="s">
        <v>74</v>
      </c>
      <c r="BE665" t="s">
        <v>12834</v>
      </c>
      <c r="BF665" t="str">
        <f>HYPERLINK("http://dx.doi.org/10.1007/s13132-024-01863-7","http://dx.doi.org/10.1007/s13132-024-01863-7")</f>
        <v>http://dx.doi.org/10.1007/s13132-024-01863-7</v>
      </c>
      <c r="BG665" t="s">
        <v>74</v>
      </c>
      <c r="BH665" t="s">
        <v>5285</v>
      </c>
      <c r="BI665">
        <v>27</v>
      </c>
      <c r="BJ665" t="s">
        <v>291</v>
      </c>
      <c r="BK665" t="s">
        <v>99</v>
      </c>
      <c r="BL665" t="s">
        <v>100</v>
      </c>
      <c r="BM665" t="s">
        <v>12835</v>
      </c>
      <c r="BN665" t="s">
        <v>74</v>
      </c>
      <c r="BO665" t="s">
        <v>74</v>
      </c>
      <c r="BP665" t="s">
        <v>74</v>
      </c>
      <c r="BQ665" t="s">
        <v>74</v>
      </c>
      <c r="BR665" t="s">
        <v>102</v>
      </c>
      <c r="BS665" t="s">
        <v>12836</v>
      </c>
      <c r="BT665" t="str">
        <f>HYPERLINK("https%3A%2F%2Fwww.webofscience.com%2Fwos%2Fwoscc%2Ffull-record%2FWOS:001229242800007","View Full Record in Web of Science")</f>
        <v>View Full Record in Web of Science</v>
      </c>
    </row>
    <row r="666" spans="1:72" x14ac:dyDescent="0.25">
      <c r="A666" t="s">
        <v>72</v>
      </c>
      <c r="B666" t="s">
        <v>12837</v>
      </c>
      <c r="C666" t="s">
        <v>74</v>
      </c>
      <c r="D666" t="s">
        <v>74</v>
      </c>
      <c r="E666" t="s">
        <v>74</v>
      </c>
      <c r="F666" t="s">
        <v>12838</v>
      </c>
      <c r="G666" t="s">
        <v>74</v>
      </c>
      <c r="H666" t="s">
        <v>74</v>
      </c>
      <c r="I666" t="s">
        <v>12839</v>
      </c>
      <c r="J666" t="s">
        <v>12840</v>
      </c>
      <c r="K666" t="s">
        <v>74</v>
      </c>
      <c r="L666" t="s">
        <v>74</v>
      </c>
      <c r="M666" t="s">
        <v>298</v>
      </c>
      <c r="N666" t="s">
        <v>79</v>
      </c>
      <c r="O666" t="s">
        <v>74</v>
      </c>
      <c r="P666" t="s">
        <v>74</v>
      </c>
      <c r="Q666" t="s">
        <v>74</v>
      </c>
      <c r="R666" t="s">
        <v>74</v>
      </c>
      <c r="S666" t="s">
        <v>74</v>
      </c>
      <c r="T666" t="s">
        <v>12841</v>
      </c>
      <c r="U666" t="s">
        <v>74</v>
      </c>
      <c r="V666" t="s">
        <v>12842</v>
      </c>
      <c r="W666" t="s">
        <v>12843</v>
      </c>
      <c r="X666" t="s">
        <v>12844</v>
      </c>
      <c r="Y666" t="s">
        <v>12845</v>
      </c>
      <c r="Z666" t="s">
        <v>12846</v>
      </c>
      <c r="AA666" t="s">
        <v>74</v>
      </c>
      <c r="AB666" t="s">
        <v>74</v>
      </c>
      <c r="AC666" t="s">
        <v>74</v>
      </c>
      <c r="AD666" t="s">
        <v>74</v>
      </c>
      <c r="AE666" t="s">
        <v>74</v>
      </c>
      <c r="AF666" t="s">
        <v>74</v>
      </c>
      <c r="AG666">
        <v>38</v>
      </c>
      <c r="AH666">
        <v>0</v>
      </c>
      <c r="AI666">
        <v>0</v>
      </c>
      <c r="AJ666">
        <v>3</v>
      </c>
      <c r="AK666">
        <v>17</v>
      </c>
      <c r="AL666" t="s">
        <v>12847</v>
      </c>
      <c r="AM666" t="s">
        <v>12848</v>
      </c>
      <c r="AN666" t="s">
        <v>12849</v>
      </c>
      <c r="AO666" t="s">
        <v>12850</v>
      </c>
      <c r="AP666" t="s">
        <v>12851</v>
      </c>
      <c r="AQ666" t="s">
        <v>74</v>
      </c>
      <c r="AR666" t="s">
        <v>12840</v>
      </c>
      <c r="AS666" t="s">
        <v>12852</v>
      </c>
      <c r="AT666" t="s">
        <v>12853</v>
      </c>
      <c r="AU666">
        <v>2021</v>
      </c>
      <c r="AV666" t="s">
        <v>74</v>
      </c>
      <c r="AW666">
        <v>87</v>
      </c>
      <c r="AX666" t="s">
        <v>74</v>
      </c>
      <c r="AY666" t="s">
        <v>74</v>
      </c>
      <c r="AZ666" t="s">
        <v>74</v>
      </c>
      <c r="BA666" t="s">
        <v>74</v>
      </c>
      <c r="BB666">
        <v>183</v>
      </c>
      <c r="BC666">
        <v>229</v>
      </c>
      <c r="BD666" t="s">
        <v>74</v>
      </c>
      <c r="BE666" t="s">
        <v>12854</v>
      </c>
      <c r="BF666" t="str">
        <f>HYPERLINK("http://dx.doi.org/10.18800/derechopucp.202102.006","http://dx.doi.org/10.18800/derechopucp.202102.006")</f>
        <v>http://dx.doi.org/10.18800/derechopucp.202102.006</v>
      </c>
      <c r="BG666" t="s">
        <v>74</v>
      </c>
      <c r="BH666" t="s">
        <v>74</v>
      </c>
      <c r="BI666">
        <v>47</v>
      </c>
      <c r="BJ666" t="s">
        <v>182</v>
      </c>
      <c r="BK666" t="s">
        <v>313</v>
      </c>
      <c r="BL666" t="s">
        <v>184</v>
      </c>
      <c r="BM666" t="s">
        <v>12855</v>
      </c>
      <c r="BN666" t="s">
        <v>74</v>
      </c>
      <c r="BO666" t="s">
        <v>916</v>
      </c>
      <c r="BP666" t="s">
        <v>74</v>
      </c>
      <c r="BQ666" t="s">
        <v>74</v>
      </c>
      <c r="BR666" t="s">
        <v>102</v>
      </c>
      <c r="BS666" t="s">
        <v>12856</v>
      </c>
      <c r="BT666" t="str">
        <f>HYPERLINK("https%3A%2F%2Fwww.webofscience.com%2Fwos%2Fwoscc%2Ffull-record%2FWOS:000744237800005","View Full Record in Web of Science")</f>
        <v>View Full Record in Web of Science</v>
      </c>
    </row>
    <row r="667" spans="1:72" x14ac:dyDescent="0.25">
      <c r="A667" t="s">
        <v>72</v>
      </c>
      <c r="B667" t="s">
        <v>12857</v>
      </c>
      <c r="C667" t="s">
        <v>74</v>
      </c>
      <c r="D667" t="s">
        <v>74</v>
      </c>
      <c r="E667" t="s">
        <v>74</v>
      </c>
      <c r="F667" t="s">
        <v>12858</v>
      </c>
      <c r="G667" t="s">
        <v>74</v>
      </c>
      <c r="H667" t="s">
        <v>74</v>
      </c>
      <c r="I667" t="s">
        <v>12859</v>
      </c>
      <c r="J667" t="s">
        <v>12860</v>
      </c>
      <c r="K667" t="s">
        <v>74</v>
      </c>
      <c r="L667" t="s">
        <v>74</v>
      </c>
      <c r="M667" t="s">
        <v>590</v>
      </c>
      <c r="N667" t="s">
        <v>79</v>
      </c>
      <c r="O667" t="s">
        <v>74</v>
      </c>
      <c r="P667" t="s">
        <v>74</v>
      </c>
      <c r="Q667" t="s">
        <v>74</v>
      </c>
      <c r="R667" t="s">
        <v>74</v>
      </c>
      <c r="S667" t="s">
        <v>74</v>
      </c>
      <c r="T667" t="s">
        <v>12861</v>
      </c>
      <c r="U667" t="s">
        <v>74</v>
      </c>
      <c r="V667" t="s">
        <v>12862</v>
      </c>
      <c r="W667" t="s">
        <v>12863</v>
      </c>
      <c r="X667" t="s">
        <v>12864</v>
      </c>
      <c r="Y667" t="s">
        <v>12865</v>
      </c>
      <c r="Z667" t="s">
        <v>12866</v>
      </c>
      <c r="AA667" t="s">
        <v>74</v>
      </c>
      <c r="AB667" t="s">
        <v>74</v>
      </c>
      <c r="AC667" t="s">
        <v>74</v>
      </c>
      <c r="AD667" t="s">
        <v>74</v>
      </c>
      <c r="AE667" t="s">
        <v>74</v>
      </c>
      <c r="AF667" t="s">
        <v>74</v>
      </c>
      <c r="AG667">
        <v>28</v>
      </c>
      <c r="AH667">
        <v>1</v>
      </c>
      <c r="AI667">
        <v>2</v>
      </c>
      <c r="AJ667">
        <v>4</v>
      </c>
      <c r="AK667">
        <v>41</v>
      </c>
      <c r="AL667" t="s">
        <v>12867</v>
      </c>
      <c r="AM667" t="s">
        <v>600</v>
      </c>
      <c r="AN667" t="s">
        <v>12868</v>
      </c>
      <c r="AO667" t="s">
        <v>12869</v>
      </c>
      <c r="AP667" t="s">
        <v>74</v>
      </c>
      <c r="AQ667" t="s">
        <v>74</v>
      </c>
      <c r="AR667" t="s">
        <v>12870</v>
      </c>
      <c r="AS667" t="s">
        <v>12871</v>
      </c>
      <c r="AT667" t="s">
        <v>237</v>
      </c>
      <c r="AU667">
        <v>2021</v>
      </c>
      <c r="AV667">
        <v>65</v>
      </c>
      <c r="AW667">
        <v>2</v>
      </c>
      <c r="AX667" t="s">
        <v>74</v>
      </c>
      <c r="AY667" t="s">
        <v>74</v>
      </c>
      <c r="AZ667" t="s">
        <v>74</v>
      </c>
      <c r="BA667" t="s">
        <v>74</v>
      </c>
      <c r="BB667">
        <v>45</v>
      </c>
      <c r="BC667">
        <v>52</v>
      </c>
      <c r="BD667" t="s">
        <v>74</v>
      </c>
      <c r="BE667" t="s">
        <v>12872</v>
      </c>
      <c r="BF667" t="str">
        <f>HYPERLINK("http://dx.doi.org/10.20542/0131-2227-2021-65-2-45-52","http://dx.doi.org/10.20542/0131-2227-2021-65-2-45-52")</f>
        <v>http://dx.doi.org/10.20542/0131-2227-2021-65-2-45-52</v>
      </c>
      <c r="BG667" t="s">
        <v>74</v>
      </c>
      <c r="BH667" t="s">
        <v>74</v>
      </c>
      <c r="BI667">
        <v>8</v>
      </c>
      <c r="BJ667" t="s">
        <v>12820</v>
      </c>
      <c r="BK667" t="s">
        <v>313</v>
      </c>
      <c r="BL667" t="s">
        <v>12820</v>
      </c>
      <c r="BM667" t="s">
        <v>12873</v>
      </c>
      <c r="BN667" t="s">
        <v>74</v>
      </c>
      <c r="BO667" t="s">
        <v>1205</v>
      </c>
      <c r="BP667" t="s">
        <v>74</v>
      </c>
      <c r="BQ667" t="s">
        <v>74</v>
      </c>
      <c r="BR667" t="s">
        <v>102</v>
      </c>
      <c r="BS667" t="s">
        <v>12874</v>
      </c>
      <c r="BT667" t="str">
        <f>HYPERLINK("https%3A%2F%2Fwww.webofscience.com%2Fwos%2Fwoscc%2Ffull-record%2FWOS:000628793100005","View Full Record in Web of Science")</f>
        <v>View Full Record in Web of Science</v>
      </c>
    </row>
    <row r="668" spans="1:72" x14ac:dyDescent="0.25">
      <c r="A668" t="s">
        <v>72</v>
      </c>
      <c r="B668" t="s">
        <v>12875</v>
      </c>
      <c r="C668" t="s">
        <v>74</v>
      </c>
      <c r="D668" t="s">
        <v>74</v>
      </c>
      <c r="E668" t="s">
        <v>74</v>
      </c>
      <c r="F668" t="s">
        <v>12876</v>
      </c>
      <c r="G668" t="s">
        <v>74</v>
      </c>
      <c r="H668" t="s">
        <v>74</v>
      </c>
      <c r="I668" t="s">
        <v>12877</v>
      </c>
      <c r="J668" t="s">
        <v>12878</v>
      </c>
      <c r="K668" t="s">
        <v>74</v>
      </c>
      <c r="L668" t="s">
        <v>74</v>
      </c>
      <c r="M668" t="s">
        <v>78</v>
      </c>
      <c r="N668" t="s">
        <v>79</v>
      </c>
      <c r="O668" t="s">
        <v>74</v>
      </c>
      <c r="P668" t="s">
        <v>74</v>
      </c>
      <c r="Q668" t="s">
        <v>74</v>
      </c>
      <c r="R668" t="s">
        <v>74</v>
      </c>
      <c r="S668" t="s">
        <v>74</v>
      </c>
      <c r="T668" t="s">
        <v>12879</v>
      </c>
      <c r="U668" t="s">
        <v>74</v>
      </c>
      <c r="V668" t="s">
        <v>12880</v>
      </c>
      <c r="W668" t="s">
        <v>12881</v>
      </c>
      <c r="X668" t="s">
        <v>9052</v>
      </c>
      <c r="Y668" t="s">
        <v>12882</v>
      </c>
      <c r="Z668" t="s">
        <v>12883</v>
      </c>
      <c r="AA668" t="s">
        <v>74</v>
      </c>
      <c r="AB668" t="s">
        <v>12884</v>
      </c>
      <c r="AC668" t="s">
        <v>12885</v>
      </c>
      <c r="AD668" t="s">
        <v>12886</v>
      </c>
      <c r="AE668" t="s">
        <v>12887</v>
      </c>
      <c r="AF668" t="s">
        <v>74</v>
      </c>
      <c r="AG668">
        <v>74</v>
      </c>
      <c r="AH668">
        <v>0</v>
      </c>
      <c r="AI668">
        <v>0</v>
      </c>
      <c r="AJ668">
        <v>5</v>
      </c>
      <c r="AK668">
        <v>11</v>
      </c>
      <c r="AL668" t="s">
        <v>117</v>
      </c>
      <c r="AM668" t="s">
        <v>118</v>
      </c>
      <c r="AN668" t="s">
        <v>119</v>
      </c>
      <c r="AO668" t="s">
        <v>12888</v>
      </c>
      <c r="AP668" t="s">
        <v>12889</v>
      </c>
      <c r="AQ668" t="s">
        <v>74</v>
      </c>
      <c r="AR668" t="s">
        <v>12890</v>
      </c>
      <c r="AS668" t="s">
        <v>12891</v>
      </c>
      <c r="AT668" t="s">
        <v>1652</v>
      </c>
      <c r="AU668">
        <v>2025</v>
      </c>
      <c r="AV668">
        <v>15</v>
      </c>
      <c r="AW668">
        <v>2</v>
      </c>
      <c r="AX668" t="s">
        <v>74</v>
      </c>
      <c r="AY668" t="s">
        <v>74</v>
      </c>
      <c r="AZ668" t="s">
        <v>441</v>
      </c>
      <c r="BA668" t="s">
        <v>74</v>
      </c>
      <c r="BB668">
        <v>379</v>
      </c>
      <c r="BC668">
        <v>400</v>
      </c>
      <c r="BD668" t="s">
        <v>74</v>
      </c>
      <c r="BE668" t="s">
        <v>12892</v>
      </c>
      <c r="BF668" t="str">
        <f>HYPERLINK("http://dx.doi.org/10.1007/s40822-024-00300-z","http://dx.doi.org/10.1007/s40822-024-00300-z")</f>
        <v>http://dx.doi.org/10.1007/s40822-024-00300-z</v>
      </c>
      <c r="BG668" t="s">
        <v>74</v>
      </c>
      <c r="BH668" t="s">
        <v>417</v>
      </c>
      <c r="BI668">
        <v>22</v>
      </c>
      <c r="BJ668" t="s">
        <v>291</v>
      </c>
      <c r="BK668" t="s">
        <v>313</v>
      </c>
      <c r="BL668" t="s">
        <v>100</v>
      </c>
      <c r="BM668" t="s">
        <v>12893</v>
      </c>
      <c r="BN668" t="s">
        <v>74</v>
      </c>
      <c r="BO668" t="s">
        <v>74</v>
      </c>
      <c r="BP668" t="s">
        <v>74</v>
      </c>
      <c r="BQ668" t="s">
        <v>74</v>
      </c>
      <c r="BR668" t="s">
        <v>102</v>
      </c>
      <c r="BS668" t="s">
        <v>12894</v>
      </c>
      <c r="BT668" t="str">
        <f>HYPERLINK("https%3A%2F%2Fwww.webofscience.com%2Fwos%2Fwoscc%2Ffull-record%2FWOS:001415186700001","View Full Record in Web of Science")</f>
        <v>View Full Record in Web of Science</v>
      </c>
    </row>
    <row r="669" spans="1:72" x14ac:dyDescent="0.25">
      <c r="A669" t="s">
        <v>72</v>
      </c>
      <c r="B669" t="s">
        <v>12895</v>
      </c>
      <c r="C669" t="s">
        <v>74</v>
      </c>
      <c r="D669" t="s">
        <v>74</v>
      </c>
      <c r="E669" t="s">
        <v>74</v>
      </c>
      <c r="F669" t="s">
        <v>12896</v>
      </c>
      <c r="G669" t="s">
        <v>74</v>
      </c>
      <c r="H669" t="s">
        <v>74</v>
      </c>
      <c r="I669" t="s">
        <v>12897</v>
      </c>
      <c r="J669" t="s">
        <v>2309</v>
      </c>
      <c r="K669" t="s">
        <v>74</v>
      </c>
      <c r="L669" t="s">
        <v>74</v>
      </c>
      <c r="M669" t="s">
        <v>78</v>
      </c>
      <c r="N669" t="s">
        <v>79</v>
      </c>
      <c r="O669" t="s">
        <v>74</v>
      </c>
      <c r="P669" t="s">
        <v>74</v>
      </c>
      <c r="Q669" t="s">
        <v>74</v>
      </c>
      <c r="R669" t="s">
        <v>74</v>
      </c>
      <c r="S669" t="s">
        <v>74</v>
      </c>
      <c r="T669" t="s">
        <v>12898</v>
      </c>
      <c r="U669" t="s">
        <v>12899</v>
      </c>
      <c r="V669" t="s">
        <v>12900</v>
      </c>
      <c r="W669" t="s">
        <v>12901</v>
      </c>
      <c r="X669" t="s">
        <v>12902</v>
      </c>
      <c r="Y669" t="s">
        <v>12903</v>
      </c>
      <c r="Z669" t="s">
        <v>12904</v>
      </c>
      <c r="AA669" t="s">
        <v>12905</v>
      </c>
      <c r="AB669" t="s">
        <v>12906</v>
      </c>
      <c r="AC669" t="s">
        <v>12907</v>
      </c>
      <c r="AD669" t="s">
        <v>12908</v>
      </c>
      <c r="AE669" t="s">
        <v>12909</v>
      </c>
      <c r="AF669" t="s">
        <v>74</v>
      </c>
      <c r="AG669">
        <v>59</v>
      </c>
      <c r="AH669">
        <v>50</v>
      </c>
      <c r="AI669">
        <v>58</v>
      </c>
      <c r="AJ669">
        <v>16</v>
      </c>
      <c r="AK669">
        <v>151</v>
      </c>
      <c r="AL669" t="s">
        <v>332</v>
      </c>
      <c r="AM669" t="s">
        <v>333</v>
      </c>
      <c r="AN669" t="s">
        <v>334</v>
      </c>
      <c r="AO669" t="s">
        <v>2322</v>
      </c>
      <c r="AP669" t="s">
        <v>2323</v>
      </c>
      <c r="AQ669" t="s">
        <v>74</v>
      </c>
      <c r="AR669" t="s">
        <v>2324</v>
      </c>
      <c r="AS669" t="s">
        <v>2325</v>
      </c>
      <c r="AT669" t="s">
        <v>1693</v>
      </c>
      <c r="AU669">
        <v>2022</v>
      </c>
      <c r="AV669">
        <v>58</v>
      </c>
      <c r="AW669">
        <v>4</v>
      </c>
      <c r="AX669" t="s">
        <v>74</v>
      </c>
      <c r="AY669" t="s">
        <v>74</v>
      </c>
      <c r="AZ669" t="s">
        <v>74</v>
      </c>
      <c r="BA669" t="s">
        <v>74</v>
      </c>
      <c r="BB669">
        <v>692</v>
      </c>
      <c r="BC669">
        <v>712</v>
      </c>
      <c r="BD669" t="s">
        <v>74</v>
      </c>
      <c r="BE669" t="s">
        <v>12910</v>
      </c>
      <c r="BF669" t="str">
        <f>HYPERLINK("http://dx.doi.org/10.1080/00220388.2021.2013467","http://dx.doi.org/10.1080/00220388.2021.2013467")</f>
        <v>http://dx.doi.org/10.1080/00220388.2021.2013467</v>
      </c>
      <c r="BG669" t="s">
        <v>74</v>
      </c>
      <c r="BH669" t="s">
        <v>6548</v>
      </c>
      <c r="BI669">
        <v>21</v>
      </c>
      <c r="BJ669" t="s">
        <v>701</v>
      </c>
      <c r="BK669" t="s">
        <v>99</v>
      </c>
      <c r="BL669" t="s">
        <v>702</v>
      </c>
      <c r="BM669" t="s">
        <v>12911</v>
      </c>
      <c r="BN669" t="s">
        <v>74</v>
      </c>
      <c r="BO669" t="s">
        <v>466</v>
      </c>
      <c r="BP669" t="s">
        <v>74</v>
      </c>
      <c r="BQ669" t="s">
        <v>74</v>
      </c>
      <c r="BR669" t="s">
        <v>102</v>
      </c>
      <c r="BS669" t="s">
        <v>12912</v>
      </c>
      <c r="BT669" t="str">
        <f>HYPERLINK("https%3A%2F%2Fwww.webofscience.com%2Fwos%2Fwoscc%2Ffull-record%2FWOS:000741205200001","View Full Record in Web of Science")</f>
        <v>View Full Record in Web of Science</v>
      </c>
    </row>
    <row r="670" spans="1:72" x14ac:dyDescent="0.25">
      <c r="A670" t="s">
        <v>72</v>
      </c>
      <c r="B670" t="s">
        <v>12913</v>
      </c>
      <c r="C670" t="s">
        <v>74</v>
      </c>
      <c r="D670" t="s">
        <v>74</v>
      </c>
      <c r="E670" t="s">
        <v>74</v>
      </c>
      <c r="F670" t="s">
        <v>12914</v>
      </c>
      <c r="G670" t="s">
        <v>74</v>
      </c>
      <c r="H670" t="s">
        <v>74</v>
      </c>
      <c r="I670" t="s">
        <v>12915</v>
      </c>
      <c r="J670" t="s">
        <v>12916</v>
      </c>
      <c r="K670" t="s">
        <v>74</v>
      </c>
      <c r="L670" t="s">
        <v>74</v>
      </c>
      <c r="M670" t="s">
        <v>78</v>
      </c>
      <c r="N670" t="s">
        <v>79</v>
      </c>
      <c r="O670" t="s">
        <v>74</v>
      </c>
      <c r="P670" t="s">
        <v>74</v>
      </c>
      <c r="Q670" t="s">
        <v>74</v>
      </c>
      <c r="R670" t="s">
        <v>74</v>
      </c>
      <c r="S670" t="s">
        <v>74</v>
      </c>
      <c r="T670" t="s">
        <v>74</v>
      </c>
      <c r="U670" t="s">
        <v>2073</v>
      </c>
      <c r="V670" t="s">
        <v>12917</v>
      </c>
      <c r="W670" t="s">
        <v>12918</v>
      </c>
      <c r="X670" t="s">
        <v>74</v>
      </c>
      <c r="Y670" t="s">
        <v>12919</v>
      </c>
      <c r="Z670" t="s">
        <v>12920</v>
      </c>
      <c r="AA670" t="s">
        <v>74</v>
      </c>
      <c r="AB670" t="s">
        <v>74</v>
      </c>
      <c r="AC670" t="s">
        <v>74</v>
      </c>
      <c r="AD670" t="s">
        <v>74</v>
      </c>
      <c r="AE670" t="s">
        <v>74</v>
      </c>
      <c r="AF670" t="s">
        <v>74</v>
      </c>
      <c r="AG670">
        <v>42</v>
      </c>
      <c r="AH670">
        <v>14</v>
      </c>
      <c r="AI670">
        <v>26</v>
      </c>
      <c r="AJ670">
        <v>0</v>
      </c>
      <c r="AK670">
        <v>47</v>
      </c>
      <c r="AL670" t="s">
        <v>385</v>
      </c>
      <c r="AM670" t="s">
        <v>1153</v>
      </c>
      <c r="AN670" t="s">
        <v>1154</v>
      </c>
      <c r="AO670" t="s">
        <v>12921</v>
      </c>
      <c r="AP670" t="s">
        <v>74</v>
      </c>
      <c r="AQ670" t="s">
        <v>74</v>
      </c>
      <c r="AR670" t="s">
        <v>12922</v>
      </c>
      <c r="AS670" t="s">
        <v>12923</v>
      </c>
      <c r="AT670" t="s">
        <v>743</v>
      </c>
      <c r="AU670">
        <v>2012</v>
      </c>
      <c r="AV670">
        <v>57</v>
      </c>
      <c r="AW670">
        <v>3</v>
      </c>
      <c r="AX670" t="s">
        <v>74</v>
      </c>
      <c r="AY670" t="s">
        <v>74</v>
      </c>
      <c r="AZ670" t="s">
        <v>441</v>
      </c>
      <c r="BA670" t="s">
        <v>74</v>
      </c>
      <c r="BB670">
        <v>305</v>
      </c>
      <c r="BC670">
        <v>323</v>
      </c>
      <c r="BD670" t="s">
        <v>74</v>
      </c>
      <c r="BE670" t="s">
        <v>12924</v>
      </c>
      <c r="BF670" t="str">
        <f>HYPERLINK("http://dx.doi.org/10.1007/s10611-011-9351-0","http://dx.doi.org/10.1007/s10611-011-9351-0")</f>
        <v>http://dx.doi.org/10.1007/s10611-011-9351-0</v>
      </c>
      <c r="BG670" t="s">
        <v>74</v>
      </c>
      <c r="BH670" t="s">
        <v>74</v>
      </c>
      <c r="BI670">
        <v>19</v>
      </c>
      <c r="BJ670" t="s">
        <v>12925</v>
      </c>
      <c r="BK670" t="s">
        <v>99</v>
      </c>
      <c r="BL670" t="s">
        <v>12926</v>
      </c>
      <c r="BM670" t="s">
        <v>12927</v>
      </c>
      <c r="BN670" t="s">
        <v>74</v>
      </c>
      <c r="BO670" t="s">
        <v>270</v>
      </c>
      <c r="BP670" t="s">
        <v>74</v>
      </c>
      <c r="BQ670" t="s">
        <v>74</v>
      </c>
      <c r="BR670" t="s">
        <v>102</v>
      </c>
      <c r="BS670" t="s">
        <v>12928</v>
      </c>
      <c r="BT670" t="str">
        <f>HYPERLINK("https%3A%2F%2Fwww.webofscience.com%2Fwos%2Fwoscc%2Ffull-record%2FWOS:000304853900006","View Full Record in Web of Science")</f>
        <v>View Full Record in Web of Science</v>
      </c>
    </row>
    <row r="671" spans="1:72" x14ac:dyDescent="0.25">
      <c r="A671" t="s">
        <v>72</v>
      </c>
      <c r="B671" t="s">
        <v>12929</v>
      </c>
      <c r="C671" t="s">
        <v>74</v>
      </c>
      <c r="D671" t="s">
        <v>74</v>
      </c>
      <c r="E671" t="s">
        <v>74</v>
      </c>
      <c r="F671" t="s">
        <v>12930</v>
      </c>
      <c r="G671" t="s">
        <v>74</v>
      </c>
      <c r="H671" t="s">
        <v>74</v>
      </c>
      <c r="I671" t="s">
        <v>12931</v>
      </c>
      <c r="J671" t="s">
        <v>12932</v>
      </c>
      <c r="K671" t="s">
        <v>74</v>
      </c>
      <c r="L671" t="s">
        <v>74</v>
      </c>
      <c r="M671" t="s">
        <v>78</v>
      </c>
      <c r="N671" t="s">
        <v>79</v>
      </c>
      <c r="O671" t="s">
        <v>74</v>
      </c>
      <c r="P671" t="s">
        <v>74</v>
      </c>
      <c r="Q671" t="s">
        <v>74</v>
      </c>
      <c r="R671" t="s">
        <v>74</v>
      </c>
      <c r="S671" t="s">
        <v>74</v>
      </c>
      <c r="T671" t="s">
        <v>12933</v>
      </c>
      <c r="U671" t="s">
        <v>1369</v>
      </c>
      <c r="V671" t="s">
        <v>12934</v>
      </c>
      <c r="W671" t="s">
        <v>12935</v>
      </c>
      <c r="X671" t="s">
        <v>2516</v>
      </c>
      <c r="Y671" t="s">
        <v>12936</v>
      </c>
      <c r="Z671" t="s">
        <v>12937</v>
      </c>
      <c r="AA671" t="s">
        <v>74</v>
      </c>
      <c r="AB671" t="s">
        <v>74</v>
      </c>
      <c r="AC671" t="s">
        <v>74</v>
      </c>
      <c r="AD671" t="s">
        <v>74</v>
      </c>
      <c r="AE671" t="s">
        <v>74</v>
      </c>
      <c r="AF671" t="s">
        <v>74</v>
      </c>
      <c r="AG671">
        <v>23</v>
      </c>
      <c r="AH671">
        <v>82</v>
      </c>
      <c r="AI671">
        <v>108</v>
      </c>
      <c r="AJ671">
        <v>22</v>
      </c>
      <c r="AK671">
        <v>205</v>
      </c>
      <c r="AL671" t="s">
        <v>479</v>
      </c>
      <c r="AM671" t="s">
        <v>480</v>
      </c>
      <c r="AN671" t="s">
        <v>481</v>
      </c>
      <c r="AO671" t="s">
        <v>12938</v>
      </c>
      <c r="AP671" t="s">
        <v>12939</v>
      </c>
      <c r="AQ671" t="s">
        <v>74</v>
      </c>
      <c r="AR671" t="s">
        <v>12940</v>
      </c>
      <c r="AS671" t="s">
        <v>12941</v>
      </c>
      <c r="AT671" t="s">
        <v>848</v>
      </c>
      <c r="AU671">
        <v>2022</v>
      </c>
      <c r="AV671">
        <v>17</v>
      </c>
      <c r="AW671">
        <v>2</v>
      </c>
      <c r="AX671" t="s">
        <v>74</v>
      </c>
      <c r="AY671" t="s">
        <v>74</v>
      </c>
      <c r="AZ671" t="s">
        <v>74</v>
      </c>
      <c r="BA671" t="s">
        <v>74</v>
      </c>
      <c r="BB671">
        <v>213</v>
      </c>
      <c r="BC671">
        <v>230</v>
      </c>
      <c r="BD671" t="s">
        <v>74</v>
      </c>
      <c r="BE671" t="s">
        <v>12942</v>
      </c>
      <c r="BF671" t="str">
        <f>HYPERLINK("http://dx.doi.org/10.1111/aepr.12377","http://dx.doi.org/10.1111/aepr.12377")</f>
        <v>http://dx.doi.org/10.1111/aepr.12377</v>
      </c>
      <c r="BG671" t="s">
        <v>74</v>
      </c>
      <c r="BH671" t="s">
        <v>6548</v>
      </c>
      <c r="BI671">
        <v>18</v>
      </c>
      <c r="BJ671" t="s">
        <v>291</v>
      </c>
      <c r="BK671" t="s">
        <v>99</v>
      </c>
      <c r="BL671" t="s">
        <v>100</v>
      </c>
      <c r="BM671" t="s">
        <v>12943</v>
      </c>
      <c r="BN671" t="s">
        <v>74</v>
      </c>
      <c r="BO671" t="s">
        <v>74</v>
      </c>
      <c r="BP671" t="s">
        <v>74</v>
      </c>
      <c r="BQ671" t="s">
        <v>74</v>
      </c>
      <c r="BR671" t="s">
        <v>102</v>
      </c>
      <c r="BS671" t="s">
        <v>12944</v>
      </c>
      <c r="BT671" t="str">
        <f>HYPERLINK("https%3A%2F%2Fwww.webofscience.com%2Fwos%2Fwoscc%2Ffull-record%2FWOS:000744859600001","View Full Record in Web of Science")</f>
        <v>View Full Record in Web of Science</v>
      </c>
    </row>
    <row r="672" spans="1:72" x14ac:dyDescent="0.25">
      <c r="A672" t="s">
        <v>72</v>
      </c>
      <c r="B672" t="s">
        <v>12945</v>
      </c>
      <c r="C672" t="s">
        <v>74</v>
      </c>
      <c r="D672" t="s">
        <v>74</v>
      </c>
      <c r="E672" t="s">
        <v>74</v>
      </c>
      <c r="F672" t="s">
        <v>12946</v>
      </c>
      <c r="G672" t="s">
        <v>74</v>
      </c>
      <c r="H672" t="s">
        <v>74</v>
      </c>
      <c r="I672" t="s">
        <v>12947</v>
      </c>
      <c r="J672" t="s">
        <v>12948</v>
      </c>
      <c r="K672" t="s">
        <v>74</v>
      </c>
      <c r="L672" t="s">
        <v>74</v>
      </c>
      <c r="M672" t="s">
        <v>78</v>
      </c>
      <c r="N672" t="s">
        <v>79</v>
      </c>
      <c r="O672" t="s">
        <v>74</v>
      </c>
      <c r="P672" t="s">
        <v>74</v>
      </c>
      <c r="Q672" t="s">
        <v>74</v>
      </c>
      <c r="R672" t="s">
        <v>74</v>
      </c>
      <c r="S672" t="s">
        <v>74</v>
      </c>
      <c r="T672" t="s">
        <v>12949</v>
      </c>
      <c r="U672" t="s">
        <v>12950</v>
      </c>
      <c r="V672" t="s">
        <v>12951</v>
      </c>
      <c r="W672" t="s">
        <v>12952</v>
      </c>
      <c r="X672" t="s">
        <v>74</v>
      </c>
      <c r="Y672" t="s">
        <v>12953</v>
      </c>
      <c r="Z672" t="s">
        <v>12954</v>
      </c>
      <c r="AA672" t="s">
        <v>74</v>
      </c>
      <c r="AB672" t="s">
        <v>12955</v>
      </c>
      <c r="AC672" t="s">
        <v>74</v>
      </c>
      <c r="AD672" t="s">
        <v>74</v>
      </c>
      <c r="AE672" t="s">
        <v>74</v>
      </c>
      <c r="AF672" t="s">
        <v>74</v>
      </c>
      <c r="AG672">
        <v>46</v>
      </c>
      <c r="AH672">
        <v>0</v>
      </c>
      <c r="AI672">
        <v>0</v>
      </c>
      <c r="AJ672">
        <v>0</v>
      </c>
      <c r="AK672">
        <v>0</v>
      </c>
      <c r="AL672" t="s">
        <v>479</v>
      </c>
      <c r="AM672" t="s">
        <v>480</v>
      </c>
      <c r="AN672" t="s">
        <v>481</v>
      </c>
      <c r="AO672" t="s">
        <v>12956</v>
      </c>
      <c r="AP672" t="s">
        <v>12957</v>
      </c>
      <c r="AQ672" t="s">
        <v>74</v>
      </c>
      <c r="AR672" t="s">
        <v>12958</v>
      </c>
      <c r="AS672" t="s">
        <v>12959</v>
      </c>
      <c r="AT672" t="s">
        <v>698</v>
      </c>
      <c r="AU672">
        <v>2025</v>
      </c>
      <c r="AV672">
        <v>44</v>
      </c>
      <c r="AW672">
        <v>3</v>
      </c>
      <c r="AX672" t="s">
        <v>74</v>
      </c>
      <c r="AY672" t="s">
        <v>74</v>
      </c>
      <c r="AZ672" t="s">
        <v>74</v>
      </c>
      <c r="BA672" t="s">
        <v>74</v>
      </c>
      <c r="BB672">
        <v>257</v>
      </c>
      <c r="BC672">
        <v>277</v>
      </c>
      <c r="BD672" t="s">
        <v>74</v>
      </c>
      <c r="BE672" t="s">
        <v>12960</v>
      </c>
      <c r="BF672" t="str">
        <f>HYPERLINK("http://dx.doi.org/10.1111/1759-3441.70000","http://dx.doi.org/10.1111/1759-3441.70000")</f>
        <v>http://dx.doi.org/10.1111/1759-3441.70000</v>
      </c>
      <c r="BG672" t="s">
        <v>74</v>
      </c>
      <c r="BH672" t="s">
        <v>5030</v>
      </c>
      <c r="BI672">
        <v>21</v>
      </c>
      <c r="BJ672" t="s">
        <v>291</v>
      </c>
      <c r="BK672" t="s">
        <v>313</v>
      </c>
      <c r="BL672" t="s">
        <v>100</v>
      </c>
      <c r="BM672" t="s">
        <v>12961</v>
      </c>
      <c r="BN672" t="s">
        <v>74</v>
      </c>
      <c r="BO672" t="s">
        <v>74</v>
      </c>
      <c r="BP672" t="s">
        <v>74</v>
      </c>
      <c r="BQ672" t="s">
        <v>74</v>
      </c>
      <c r="BR672" t="s">
        <v>102</v>
      </c>
      <c r="BS672" t="s">
        <v>12962</v>
      </c>
      <c r="BT672" t="str">
        <f>HYPERLINK("https%3A%2F%2Fwww.webofscience.com%2Fwos%2Fwoscc%2Ffull-record%2FWOS:001546182700001","View Full Record in Web of Science")</f>
        <v>View Full Record in Web of Science</v>
      </c>
    </row>
    <row r="673" spans="1:72" x14ac:dyDescent="0.25">
      <c r="A673" t="s">
        <v>72</v>
      </c>
      <c r="B673" t="s">
        <v>12963</v>
      </c>
      <c r="C673" t="s">
        <v>74</v>
      </c>
      <c r="D673" t="s">
        <v>74</v>
      </c>
      <c r="E673" t="s">
        <v>74</v>
      </c>
      <c r="F673" t="s">
        <v>12964</v>
      </c>
      <c r="G673" t="s">
        <v>74</v>
      </c>
      <c r="H673" t="s">
        <v>74</v>
      </c>
      <c r="I673" t="s">
        <v>12965</v>
      </c>
      <c r="J673" t="s">
        <v>2896</v>
      </c>
      <c r="K673" t="s">
        <v>74</v>
      </c>
      <c r="L673" t="s">
        <v>74</v>
      </c>
      <c r="M673" t="s">
        <v>78</v>
      </c>
      <c r="N673" t="s">
        <v>79</v>
      </c>
      <c r="O673" t="s">
        <v>74</v>
      </c>
      <c r="P673" t="s">
        <v>74</v>
      </c>
      <c r="Q673" t="s">
        <v>74</v>
      </c>
      <c r="R673" t="s">
        <v>74</v>
      </c>
      <c r="S673" t="s">
        <v>74</v>
      </c>
      <c r="T673" t="s">
        <v>12966</v>
      </c>
      <c r="U673" t="s">
        <v>12967</v>
      </c>
      <c r="V673" t="s">
        <v>12968</v>
      </c>
      <c r="W673" t="s">
        <v>12969</v>
      </c>
      <c r="X673" t="s">
        <v>12970</v>
      </c>
      <c r="Y673" t="s">
        <v>12971</v>
      </c>
      <c r="Z673" t="s">
        <v>12972</v>
      </c>
      <c r="AA673" t="s">
        <v>12973</v>
      </c>
      <c r="AB673" t="s">
        <v>12974</v>
      </c>
      <c r="AC673" t="s">
        <v>12975</v>
      </c>
      <c r="AD673" t="s">
        <v>12976</v>
      </c>
      <c r="AE673" t="s">
        <v>12977</v>
      </c>
      <c r="AF673" t="s">
        <v>74</v>
      </c>
      <c r="AG673">
        <v>32</v>
      </c>
      <c r="AH673">
        <v>7</v>
      </c>
      <c r="AI673">
        <v>11</v>
      </c>
      <c r="AJ673">
        <v>2</v>
      </c>
      <c r="AK673">
        <v>17</v>
      </c>
      <c r="AL673" t="s">
        <v>2907</v>
      </c>
      <c r="AM673" t="s">
        <v>2908</v>
      </c>
      <c r="AN673" t="s">
        <v>2909</v>
      </c>
      <c r="AO673" t="s">
        <v>2910</v>
      </c>
      <c r="AP673" t="s">
        <v>12978</v>
      </c>
      <c r="AQ673" t="s">
        <v>74</v>
      </c>
      <c r="AR673" t="s">
        <v>2911</v>
      </c>
      <c r="AS673" t="s">
        <v>2912</v>
      </c>
      <c r="AT673" t="s">
        <v>1652</v>
      </c>
      <c r="AU673">
        <v>2023</v>
      </c>
      <c r="AV673">
        <v>35</v>
      </c>
      <c r="AW673">
        <v>3</v>
      </c>
      <c r="AX673" t="s">
        <v>74</v>
      </c>
      <c r="AY673" t="s">
        <v>74</v>
      </c>
      <c r="AZ673" t="s">
        <v>74</v>
      </c>
      <c r="BA673" t="s">
        <v>74</v>
      </c>
      <c r="BB673">
        <v>715</v>
      </c>
      <c r="BC673">
        <v>742</v>
      </c>
      <c r="BD673" t="s">
        <v>74</v>
      </c>
      <c r="BE673" t="s">
        <v>12979</v>
      </c>
      <c r="BF673" t="str">
        <f>HYPERLINK("http://dx.doi.org/10.1057/s41287-022-00529-x","http://dx.doi.org/10.1057/s41287-022-00529-x")</f>
        <v>http://dx.doi.org/10.1057/s41287-022-00529-x</v>
      </c>
      <c r="BG673" t="s">
        <v>74</v>
      </c>
      <c r="BH673" t="s">
        <v>12980</v>
      </c>
      <c r="BI673">
        <v>28</v>
      </c>
      <c r="BJ673" t="s">
        <v>1137</v>
      </c>
      <c r="BK673" t="s">
        <v>99</v>
      </c>
      <c r="BL673" t="s">
        <v>1137</v>
      </c>
      <c r="BM673" t="s">
        <v>12981</v>
      </c>
      <c r="BN673">
        <v>35431467</v>
      </c>
      <c r="BO673" t="s">
        <v>3694</v>
      </c>
      <c r="BP673" t="s">
        <v>74</v>
      </c>
      <c r="BQ673" t="s">
        <v>74</v>
      </c>
      <c r="BR673" t="s">
        <v>102</v>
      </c>
      <c r="BS673" t="s">
        <v>12982</v>
      </c>
      <c r="BT673" t="str">
        <f>HYPERLINK("https%3A%2F%2Fwww.webofscience.com%2Fwos%2Fwoscc%2Ffull-record%2FWOS:000782343900001","View Full Record in Web of Science")</f>
        <v>View Full Record in Web of Science</v>
      </c>
    </row>
    <row r="674" spans="1:72" x14ac:dyDescent="0.25">
      <c r="A674" t="s">
        <v>72</v>
      </c>
      <c r="B674" t="s">
        <v>12983</v>
      </c>
      <c r="C674" t="s">
        <v>74</v>
      </c>
      <c r="D674" t="s">
        <v>74</v>
      </c>
      <c r="E674" t="s">
        <v>74</v>
      </c>
      <c r="F674" t="s">
        <v>12984</v>
      </c>
      <c r="G674" t="s">
        <v>74</v>
      </c>
      <c r="H674" t="s">
        <v>74</v>
      </c>
      <c r="I674" t="s">
        <v>12985</v>
      </c>
      <c r="J674" t="s">
        <v>1143</v>
      </c>
      <c r="K674" t="s">
        <v>74</v>
      </c>
      <c r="L674" t="s">
        <v>74</v>
      </c>
      <c r="M674" t="s">
        <v>78</v>
      </c>
      <c r="N674" t="s">
        <v>79</v>
      </c>
      <c r="O674" t="s">
        <v>74</v>
      </c>
      <c r="P674" t="s">
        <v>74</v>
      </c>
      <c r="Q674" t="s">
        <v>74</v>
      </c>
      <c r="R674" t="s">
        <v>74</v>
      </c>
      <c r="S674" t="s">
        <v>74</v>
      </c>
      <c r="T674" t="s">
        <v>12986</v>
      </c>
      <c r="U674" t="s">
        <v>12987</v>
      </c>
      <c r="V674" t="s">
        <v>12988</v>
      </c>
      <c r="W674" t="s">
        <v>12989</v>
      </c>
      <c r="X674" t="s">
        <v>12990</v>
      </c>
      <c r="Y674" t="s">
        <v>12991</v>
      </c>
      <c r="Z674" t="s">
        <v>12992</v>
      </c>
      <c r="AA674" t="s">
        <v>12993</v>
      </c>
      <c r="AB674" t="s">
        <v>12994</v>
      </c>
      <c r="AC674" t="s">
        <v>12995</v>
      </c>
      <c r="AD674" t="s">
        <v>12996</v>
      </c>
      <c r="AE674" t="s">
        <v>12997</v>
      </c>
      <c r="AF674" t="s">
        <v>74</v>
      </c>
      <c r="AG674">
        <v>115</v>
      </c>
      <c r="AH674">
        <v>17</v>
      </c>
      <c r="AI674">
        <v>20</v>
      </c>
      <c r="AJ674">
        <v>23</v>
      </c>
      <c r="AK674">
        <v>137</v>
      </c>
      <c r="AL674" t="s">
        <v>385</v>
      </c>
      <c r="AM674" t="s">
        <v>1153</v>
      </c>
      <c r="AN674" t="s">
        <v>1154</v>
      </c>
      <c r="AO674" t="s">
        <v>1155</v>
      </c>
      <c r="AP674" t="s">
        <v>1156</v>
      </c>
      <c r="AQ674" t="s">
        <v>74</v>
      </c>
      <c r="AR674" t="s">
        <v>1157</v>
      </c>
      <c r="AS674" t="s">
        <v>1158</v>
      </c>
      <c r="AT674" t="s">
        <v>605</v>
      </c>
      <c r="AU674">
        <v>2024</v>
      </c>
      <c r="AV674">
        <v>172</v>
      </c>
      <c r="AW674">
        <v>1</v>
      </c>
      <c r="AX674" t="s">
        <v>74</v>
      </c>
      <c r="AY674" t="s">
        <v>74</v>
      </c>
      <c r="AZ674" t="s">
        <v>74</v>
      </c>
      <c r="BA674" t="s">
        <v>74</v>
      </c>
      <c r="BB674">
        <v>313</v>
      </c>
      <c r="BC674">
        <v>345</v>
      </c>
      <c r="BD674" t="s">
        <v>74</v>
      </c>
      <c r="BE674" t="s">
        <v>12998</v>
      </c>
      <c r="BF674" t="str">
        <f>HYPERLINK("http://dx.doi.org/10.1007/s11205-023-03298-0","http://dx.doi.org/10.1007/s11205-023-03298-0")</f>
        <v>http://dx.doi.org/10.1007/s11205-023-03298-0</v>
      </c>
      <c r="BG674" t="s">
        <v>74</v>
      </c>
      <c r="BH674" t="s">
        <v>1239</v>
      </c>
      <c r="BI674">
        <v>33</v>
      </c>
      <c r="BJ674" t="s">
        <v>1161</v>
      </c>
      <c r="BK674" t="s">
        <v>99</v>
      </c>
      <c r="BL674" t="s">
        <v>1162</v>
      </c>
      <c r="BM674" t="s">
        <v>12999</v>
      </c>
      <c r="BN674" t="s">
        <v>74</v>
      </c>
      <c r="BO674" t="s">
        <v>74</v>
      </c>
      <c r="BP674" t="s">
        <v>74</v>
      </c>
      <c r="BQ674" t="s">
        <v>74</v>
      </c>
      <c r="BR674" t="s">
        <v>102</v>
      </c>
      <c r="BS674" t="s">
        <v>13000</v>
      </c>
      <c r="BT674" t="str">
        <f>HYPERLINK("https%3A%2F%2Fwww.webofscience.com%2Fwos%2Fwoscc%2Ffull-record%2FWOS:001157446300001","View Full Record in Web of Science")</f>
        <v>View Full Record in Web of Science</v>
      </c>
    </row>
    <row r="675" spans="1:72" x14ac:dyDescent="0.25">
      <c r="A675" t="s">
        <v>72</v>
      </c>
      <c r="B675" t="s">
        <v>13001</v>
      </c>
      <c r="C675" t="s">
        <v>74</v>
      </c>
      <c r="D675" t="s">
        <v>74</v>
      </c>
      <c r="E675" t="s">
        <v>74</v>
      </c>
      <c r="F675" t="s">
        <v>13002</v>
      </c>
      <c r="G675" t="s">
        <v>74</v>
      </c>
      <c r="H675" t="s">
        <v>74</v>
      </c>
      <c r="I675" t="s">
        <v>13003</v>
      </c>
      <c r="J675" t="s">
        <v>5078</v>
      </c>
      <c r="K675" t="s">
        <v>74</v>
      </c>
      <c r="L675" t="s">
        <v>74</v>
      </c>
      <c r="M675" t="s">
        <v>78</v>
      </c>
      <c r="N675" t="s">
        <v>1766</v>
      </c>
      <c r="O675" t="s">
        <v>74</v>
      </c>
      <c r="P675" t="s">
        <v>74</v>
      </c>
      <c r="Q675" t="s">
        <v>74</v>
      </c>
      <c r="R675" t="s">
        <v>74</v>
      </c>
      <c r="S675" t="s">
        <v>74</v>
      </c>
      <c r="T675" t="s">
        <v>13004</v>
      </c>
      <c r="U675" t="s">
        <v>3837</v>
      </c>
      <c r="V675" t="s">
        <v>13005</v>
      </c>
      <c r="W675" t="s">
        <v>13006</v>
      </c>
      <c r="X675" t="s">
        <v>13007</v>
      </c>
      <c r="Y675" t="s">
        <v>13008</v>
      </c>
      <c r="Z675" t="s">
        <v>13009</v>
      </c>
      <c r="AA675" t="s">
        <v>74</v>
      </c>
      <c r="AB675" t="s">
        <v>74</v>
      </c>
      <c r="AC675" t="s">
        <v>13010</v>
      </c>
      <c r="AD675" t="s">
        <v>13010</v>
      </c>
      <c r="AE675" t="s">
        <v>13011</v>
      </c>
      <c r="AF675" t="s">
        <v>74</v>
      </c>
      <c r="AG675">
        <v>26</v>
      </c>
      <c r="AH675">
        <v>8</v>
      </c>
      <c r="AI675">
        <v>13</v>
      </c>
      <c r="AJ675">
        <v>0</v>
      </c>
      <c r="AK675">
        <v>35</v>
      </c>
      <c r="AL675" t="s">
        <v>385</v>
      </c>
      <c r="AM675" t="s">
        <v>151</v>
      </c>
      <c r="AN675" t="s">
        <v>386</v>
      </c>
      <c r="AO675" t="s">
        <v>74</v>
      </c>
      <c r="AP675" t="s">
        <v>5087</v>
      </c>
      <c r="AQ675" t="s">
        <v>74</v>
      </c>
      <c r="AR675" t="s">
        <v>5088</v>
      </c>
      <c r="AS675" t="s">
        <v>5089</v>
      </c>
      <c r="AT675" t="s">
        <v>13012</v>
      </c>
      <c r="AU675">
        <v>2021</v>
      </c>
      <c r="AV675">
        <v>7</v>
      </c>
      <c r="AW675">
        <v>1</v>
      </c>
      <c r="AX675" t="s">
        <v>74</v>
      </c>
      <c r="AY675" t="s">
        <v>74</v>
      </c>
      <c r="AZ675" t="s">
        <v>74</v>
      </c>
      <c r="BA675" t="s">
        <v>74</v>
      </c>
      <c r="BB675" t="s">
        <v>74</v>
      </c>
      <c r="BC675" t="s">
        <v>74</v>
      </c>
      <c r="BD675">
        <v>25</v>
      </c>
      <c r="BE675" t="s">
        <v>13013</v>
      </c>
      <c r="BF675" t="str">
        <f>HYPERLINK("http://dx.doi.org/10.1186/s40854-021-00238-0","http://dx.doi.org/10.1186/s40854-021-00238-0")</f>
        <v>http://dx.doi.org/10.1186/s40854-021-00238-0</v>
      </c>
      <c r="BG675" t="s">
        <v>74</v>
      </c>
      <c r="BH675" t="s">
        <v>74</v>
      </c>
      <c r="BI675">
        <v>26</v>
      </c>
      <c r="BJ675" t="s">
        <v>5092</v>
      </c>
      <c r="BK675" t="s">
        <v>99</v>
      </c>
      <c r="BL675" t="s">
        <v>2024</v>
      </c>
      <c r="BM675" t="s">
        <v>13014</v>
      </c>
      <c r="BN675" t="s">
        <v>74</v>
      </c>
      <c r="BO675" t="s">
        <v>916</v>
      </c>
      <c r="BP675" t="s">
        <v>74</v>
      </c>
      <c r="BQ675" t="s">
        <v>74</v>
      </c>
      <c r="BR675" t="s">
        <v>102</v>
      </c>
      <c r="BS675" t="s">
        <v>13015</v>
      </c>
      <c r="BT675" t="str">
        <f>HYPERLINK("https%3A%2F%2Fwww.webofscience.com%2Fwos%2Fwoscc%2Ffull-record%2FWOS:000639443800001","View Full Record in Web of Science")</f>
        <v>View Full Record in Web of Science</v>
      </c>
    </row>
    <row r="676" spans="1:72" x14ac:dyDescent="0.25">
      <c r="A676" t="s">
        <v>72</v>
      </c>
      <c r="B676" t="s">
        <v>13016</v>
      </c>
      <c r="C676" t="s">
        <v>74</v>
      </c>
      <c r="D676" t="s">
        <v>74</v>
      </c>
      <c r="E676" t="s">
        <v>74</v>
      </c>
      <c r="F676" t="s">
        <v>13017</v>
      </c>
      <c r="G676" t="s">
        <v>74</v>
      </c>
      <c r="H676" t="s">
        <v>74</v>
      </c>
      <c r="I676" t="s">
        <v>13018</v>
      </c>
      <c r="J676" t="s">
        <v>1902</v>
      </c>
      <c r="K676" t="s">
        <v>74</v>
      </c>
      <c r="L676" t="s">
        <v>74</v>
      </c>
      <c r="M676" t="s">
        <v>78</v>
      </c>
      <c r="N676" t="s">
        <v>79</v>
      </c>
      <c r="O676" t="s">
        <v>74</v>
      </c>
      <c r="P676" t="s">
        <v>74</v>
      </c>
      <c r="Q676" t="s">
        <v>74</v>
      </c>
      <c r="R676" t="s">
        <v>74</v>
      </c>
      <c r="S676" t="s">
        <v>74</v>
      </c>
      <c r="T676" t="s">
        <v>13019</v>
      </c>
      <c r="U676" t="s">
        <v>74</v>
      </c>
      <c r="V676" t="s">
        <v>13020</v>
      </c>
      <c r="W676" t="s">
        <v>13021</v>
      </c>
      <c r="X676" t="s">
        <v>13022</v>
      </c>
      <c r="Y676" t="s">
        <v>13023</v>
      </c>
      <c r="Z676" t="s">
        <v>13024</v>
      </c>
      <c r="AA676" t="s">
        <v>13025</v>
      </c>
      <c r="AB676" t="s">
        <v>74</v>
      </c>
      <c r="AC676" t="s">
        <v>13026</v>
      </c>
      <c r="AD676" t="s">
        <v>13027</v>
      </c>
      <c r="AE676" t="s">
        <v>13028</v>
      </c>
      <c r="AF676" t="s">
        <v>74</v>
      </c>
      <c r="AG676">
        <v>25</v>
      </c>
      <c r="AH676">
        <v>56</v>
      </c>
      <c r="AI676">
        <v>69</v>
      </c>
      <c r="AJ676">
        <v>2</v>
      </c>
      <c r="AK676">
        <v>22</v>
      </c>
      <c r="AL676" t="s">
        <v>89</v>
      </c>
      <c r="AM676" t="s">
        <v>90</v>
      </c>
      <c r="AN676" t="s">
        <v>13029</v>
      </c>
      <c r="AO676" t="s">
        <v>1910</v>
      </c>
      <c r="AP676" t="s">
        <v>1911</v>
      </c>
      <c r="AQ676" t="s">
        <v>74</v>
      </c>
      <c r="AR676" t="s">
        <v>1912</v>
      </c>
      <c r="AS676" t="s">
        <v>1913</v>
      </c>
      <c r="AT676" t="s">
        <v>13030</v>
      </c>
      <c r="AU676">
        <v>2021</v>
      </c>
      <c r="AV676">
        <v>13</v>
      </c>
      <c r="AW676">
        <v>3</v>
      </c>
      <c r="AX676" t="s">
        <v>74</v>
      </c>
      <c r="AY676" t="s">
        <v>74</v>
      </c>
      <c r="AZ676" t="s">
        <v>74</v>
      </c>
      <c r="BA676" t="s">
        <v>74</v>
      </c>
      <c r="BB676">
        <v>391</v>
      </c>
      <c r="BC676">
        <v>408</v>
      </c>
      <c r="BD676" t="s">
        <v>74</v>
      </c>
      <c r="BE676" t="s">
        <v>13031</v>
      </c>
      <c r="BF676" t="str">
        <f>HYPERLINK("http://dx.doi.org/10.1108/JFEP-11-2019-0227","http://dx.doi.org/10.1108/JFEP-11-2019-0227")</f>
        <v>http://dx.doi.org/10.1108/JFEP-11-2019-0227</v>
      </c>
      <c r="BG676" t="s">
        <v>74</v>
      </c>
      <c r="BH676" t="s">
        <v>745</v>
      </c>
      <c r="BI676">
        <v>18</v>
      </c>
      <c r="BJ676" t="s">
        <v>291</v>
      </c>
      <c r="BK676" t="s">
        <v>313</v>
      </c>
      <c r="BL676" t="s">
        <v>100</v>
      </c>
      <c r="BM676" t="s">
        <v>13032</v>
      </c>
      <c r="BN676" t="s">
        <v>74</v>
      </c>
      <c r="BO676" t="s">
        <v>74</v>
      </c>
      <c r="BP676" t="s">
        <v>74</v>
      </c>
      <c r="BQ676" t="s">
        <v>74</v>
      </c>
      <c r="BR676" t="s">
        <v>102</v>
      </c>
      <c r="BS676" t="s">
        <v>13033</v>
      </c>
      <c r="BT676" t="str">
        <f>HYPERLINK("https%3A%2F%2Fwww.webofscience.com%2Fwos%2Fwoscc%2Ffull-record%2FWOS:000572393400001","View Full Record in Web of Science")</f>
        <v>View Full Record in Web of Science</v>
      </c>
    </row>
    <row r="677" spans="1:72" x14ac:dyDescent="0.25">
      <c r="A677" t="s">
        <v>72</v>
      </c>
      <c r="B677" t="s">
        <v>13034</v>
      </c>
      <c r="C677" t="s">
        <v>74</v>
      </c>
      <c r="D677" t="s">
        <v>74</v>
      </c>
      <c r="E677" t="s">
        <v>74</v>
      </c>
      <c r="F677" t="s">
        <v>13035</v>
      </c>
      <c r="G677" t="s">
        <v>74</v>
      </c>
      <c r="H677" t="s">
        <v>74</v>
      </c>
      <c r="I677" t="s">
        <v>13036</v>
      </c>
      <c r="J677" t="s">
        <v>13037</v>
      </c>
      <c r="K677" t="s">
        <v>74</v>
      </c>
      <c r="L677" t="s">
        <v>74</v>
      </c>
      <c r="M677" t="s">
        <v>78</v>
      </c>
      <c r="N677" t="s">
        <v>79</v>
      </c>
      <c r="O677" t="s">
        <v>74</v>
      </c>
      <c r="P677" t="s">
        <v>74</v>
      </c>
      <c r="Q677" t="s">
        <v>74</v>
      </c>
      <c r="R677" t="s">
        <v>74</v>
      </c>
      <c r="S677" t="s">
        <v>74</v>
      </c>
      <c r="T677" t="s">
        <v>13038</v>
      </c>
      <c r="U677" t="s">
        <v>13039</v>
      </c>
      <c r="V677" t="s">
        <v>13040</v>
      </c>
      <c r="W677" t="s">
        <v>13041</v>
      </c>
      <c r="X677" t="s">
        <v>13042</v>
      </c>
      <c r="Y677" t="s">
        <v>13043</v>
      </c>
      <c r="Z677" t="s">
        <v>13044</v>
      </c>
      <c r="AA677" t="s">
        <v>13045</v>
      </c>
      <c r="AB677" t="s">
        <v>13046</v>
      </c>
      <c r="AC677" t="s">
        <v>74</v>
      </c>
      <c r="AD677" t="s">
        <v>74</v>
      </c>
      <c r="AE677" t="s">
        <v>74</v>
      </c>
      <c r="AF677" t="s">
        <v>74</v>
      </c>
      <c r="AG677">
        <v>70</v>
      </c>
      <c r="AH677">
        <v>4</v>
      </c>
      <c r="AI677">
        <v>6</v>
      </c>
      <c r="AJ677">
        <v>2</v>
      </c>
      <c r="AK677">
        <v>67</v>
      </c>
      <c r="AL677" t="s">
        <v>332</v>
      </c>
      <c r="AM677" t="s">
        <v>333</v>
      </c>
      <c r="AN677" t="s">
        <v>334</v>
      </c>
      <c r="AO677" t="s">
        <v>13047</v>
      </c>
      <c r="AP677" t="s">
        <v>13048</v>
      </c>
      <c r="AQ677" t="s">
        <v>74</v>
      </c>
      <c r="AR677" t="s">
        <v>13049</v>
      </c>
      <c r="AS677" t="s">
        <v>13050</v>
      </c>
      <c r="AT677" t="s">
        <v>13051</v>
      </c>
      <c r="AU677">
        <v>2023</v>
      </c>
      <c r="AV677">
        <v>64</v>
      </c>
      <c r="AW677">
        <v>2</v>
      </c>
      <c r="AX677" t="s">
        <v>74</v>
      </c>
      <c r="AY677" t="s">
        <v>74</v>
      </c>
      <c r="AZ677" t="s">
        <v>74</v>
      </c>
      <c r="BA677" t="s">
        <v>74</v>
      </c>
      <c r="BB677">
        <v>173</v>
      </c>
      <c r="BC677">
        <v>198</v>
      </c>
      <c r="BD677" t="s">
        <v>74</v>
      </c>
      <c r="BE677" t="s">
        <v>13052</v>
      </c>
      <c r="BF677" t="str">
        <f>HYPERLINK("http://dx.doi.org/10.1080/15387216.2021.1980074","http://dx.doi.org/10.1080/15387216.2021.1980074")</f>
        <v>http://dx.doi.org/10.1080/15387216.2021.1980074</v>
      </c>
      <c r="BG677" t="s">
        <v>74</v>
      </c>
      <c r="BH677" t="s">
        <v>10889</v>
      </c>
      <c r="BI677">
        <v>26</v>
      </c>
      <c r="BJ677" t="s">
        <v>13053</v>
      </c>
      <c r="BK677" t="s">
        <v>99</v>
      </c>
      <c r="BL677" t="s">
        <v>13053</v>
      </c>
      <c r="BM677" t="s">
        <v>13054</v>
      </c>
      <c r="BN677" t="s">
        <v>74</v>
      </c>
      <c r="BO677" t="s">
        <v>3694</v>
      </c>
      <c r="BP677" t="s">
        <v>74</v>
      </c>
      <c r="BQ677" t="s">
        <v>74</v>
      </c>
      <c r="BR677" t="s">
        <v>102</v>
      </c>
      <c r="BS677" t="s">
        <v>13055</v>
      </c>
      <c r="BT677" t="str">
        <f>HYPERLINK("https%3A%2F%2Fwww.webofscience.com%2Fwos%2Fwoscc%2Ffull-record%2FWOS:000696451800001","View Full Record in Web of Science")</f>
        <v>View Full Record in Web of Science</v>
      </c>
    </row>
    <row r="678" spans="1:72" x14ac:dyDescent="0.25">
      <c r="A678" t="s">
        <v>72</v>
      </c>
      <c r="B678" t="s">
        <v>13056</v>
      </c>
      <c r="C678" t="s">
        <v>74</v>
      </c>
      <c r="D678" t="s">
        <v>74</v>
      </c>
      <c r="E678" t="s">
        <v>74</v>
      </c>
      <c r="F678" t="s">
        <v>13057</v>
      </c>
      <c r="G678" t="s">
        <v>74</v>
      </c>
      <c r="H678" t="s">
        <v>74</v>
      </c>
      <c r="I678" t="s">
        <v>13058</v>
      </c>
      <c r="J678" t="s">
        <v>1510</v>
      </c>
      <c r="K678" t="s">
        <v>74</v>
      </c>
      <c r="L678" t="s">
        <v>74</v>
      </c>
      <c r="M678" t="s">
        <v>78</v>
      </c>
      <c r="N678" t="s">
        <v>79</v>
      </c>
      <c r="O678" t="s">
        <v>74</v>
      </c>
      <c r="P678" t="s">
        <v>74</v>
      </c>
      <c r="Q678" t="s">
        <v>74</v>
      </c>
      <c r="R678" t="s">
        <v>74</v>
      </c>
      <c r="S678" t="s">
        <v>74</v>
      </c>
      <c r="T678" t="s">
        <v>13059</v>
      </c>
      <c r="U678" t="s">
        <v>13060</v>
      </c>
      <c r="V678" t="s">
        <v>13061</v>
      </c>
      <c r="W678" t="s">
        <v>13062</v>
      </c>
      <c r="X678" t="s">
        <v>13063</v>
      </c>
      <c r="Y678" t="s">
        <v>13064</v>
      </c>
      <c r="Z678" t="s">
        <v>13065</v>
      </c>
      <c r="AA678" t="s">
        <v>74</v>
      </c>
      <c r="AB678" t="s">
        <v>13066</v>
      </c>
      <c r="AC678" t="s">
        <v>74</v>
      </c>
      <c r="AD678" t="s">
        <v>74</v>
      </c>
      <c r="AE678" t="s">
        <v>74</v>
      </c>
      <c r="AF678" t="s">
        <v>74</v>
      </c>
      <c r="AG678">
        <v>71</v>
      </c>
      <c r="AH678">
        <v>16</v>
      </c>
      <c r="AI678">
        <v>23</v>
      </c>
      <c r="AJ678">
        <v>4</v>
      </c>
      <c r="AK678">
        <v>22</v>
      </c>
      <c r="AL678" t="s">
        <v>89</v>
      </c>
      <c r="AM678" t="s">
        <v>90</v>
      </c>
      <c r="AN678" t="s">
        <v>13029</v>
      </c>
      <c r="AO678" t="s">
        <v>1519</v>
      </c>
      <c r="AP678" t="s">
        <v>1520</v>
      </c>
      <c r="AQ678" t="s">
        <v>74</v>
      </c>
      <c r="AR678" t="s">
        <v>1521</v>
      </c>
      <c r="AS678" t="s">
        <v>1522</v>
      </c>
      <c r="AT678" t="s">
        <v>10765</v>
      </c>
      <c r="AU678">
        <v>2023</v>
      </c>
      <c r="AV678">
        <v>50</v>
      </c>
      <c r="AW678">
        <v>10</v>
      </c>
      <c r="AX678" t="s">
        <v>74</v>
      </c>
      <c r="AY678" t="s">
        <v>74</v>
      </c>
      <c r="AZ678" t="s">
        <v>74</v>
      </c>
      <c r="BA678" t="s">
        <v>74</v>
      </c>
      <c r="BB678">
        <v>1375</v>
      </c>
      <c r="BC678">
        <v>1392</v>
      </c>
      <c r="BD678" t="s">
        <v>74</v>
      </c>
      <c r="BE678" t="s">
        <v>13067</v>
      </c>
      <c r="BF678" t="str">
        <f>HYPERLINK("http://dx.doi.org/10.1108/IJSE-10-2022-0673","http://dx.doi.org/10.1108/IJSE-10-2022-0673")</f>
        <v>http://dx.doi.org/10.1108/IJSE-10-2022-0673</v>
      </c>
      <c r="BG678" t="s">
        <v>74</v>
      </c>
      <c r="BH678" t="s">
        <v>6298</v>
      </c>
      <c r="BI678">
        <v>18</v>
      </c>
      <c r="BJ678" t="s">
        <v>291</v>
      </c>
      <c r="BK678" t="s">
        <v>313</v>
      </c>
      <c r="BL678" t="s">
        <v>100</v>
      </c>
      <c r="BM678" t="s">
        <v>13068</v>
      </c>
      <c r="BN678" t="s">
        <v>74</v>
      </c>
      <c r="BO678" t="s">
        <v>74</v>
      </c>
      <c r="BP678" t="s">
        <v>74</v>
      </c>
      <c r="BQ678" t="s">
        <v>74</v>
      </c>
      <c r="BR678" t="s">
        <v>102</v>
      </c>
      <c r="BS678" t="s">
        <v>13069</v>
      </c>
      <c r="BT678" t="str">
        <f>HYPERLINK("https%3A%2F%2Fwww.webofscience.com%2Fwos%2Fwoscc%2Ffull-record%2FWOS:000964223600001","View Full Record in Web of Science")</f>
        <v>View Full Record in Web of Science</v>
      </c>
    </row>
    <row r="679" spans="1:72" x14ac:dyDescent="0.25">
      <c r="A679" t="s">
        <v>72</v>
      </c>
      <c r="B679" t="s">
        <v>13070</v>
      </c>
      <c r="C679" t="s">
        <v>74</v>
      </c>
      <c r="D679" t="s">
        <v>74</v>
      </c>
      <c r="E679" t="s">
        <v>74</v>
      </c>
      <c r="F679" t="s">
        <v>13071</v>
      </c>
      <c r="G679" t="s">
        <v>74</v>
      </c>
      <c r="H679" t="s">
        <v>74</v>
      </c>
      <c r="I679" t="s">
        <v>13072</v>
      </c>
      <c r="J679" t="s">
        <v>13073</v>
      </c>
      <c r="K679" t="s">
        <v>74</v>
      </c>
      <c r="L679" t="s">
        <v>74</v>
      </c>
      <c r="M679" t="s">
        <v>78</v>
      </c>
      <c r="N679" t="s">
        <v>79</v>
      </c>
      <c r="O679" t="s">
        <v>74</v>
      </c>
      <c r="P679" t="s">
        <v>74</v>
      </c>
      <c r="Q679" t="s">
        <v>74</v>
      </c>
      <c r="R679" t="s">
        <v>74</v>
      </c>
      <c r="S679" t="s">
        <v>74</v>
      </c>
      <c r="T679" t="s">
        <v>13074</v>
      </c>
      <c r="U679" t="s">
        <v>13075</v>
      </c>
      <c r="V679" t="s">
        <v>13076</v>
      </c>
      <c r="W679" t="s">
        <v>13077</v>
      </c>
      <c r="X679" t="s">
        <v>13078</v>
      </c>
      <c r="Y679" t="s">
        <v>13079</v>
      </c>
      <c r="Z679" t="s">
        <v>13080</v>
      </c>
      <c r="AA679" t="s">
        <v>74</v>
      </c>
      <c r="AB679" t="s">
        <v>13081</v>
      </c>
      <c r="AC679" t="s">
        <v>74</v>
      </c>
      <c r="AD679" t="s">
        <v>74</v>
      </c>
      <c r="AE679" t="s">
        <v>74</v>
      </c>
      <c r="AF679" t="s">
        <v>74</v>
      </c>
      <c r="AG679">
        <v>67</v>
      </c>
      <c r="AH679">
        <v>23</v>
      </c>
      <c r="AI679">
        <v>28</v>
      </c>
      <c r="AJ679">
        <v>3</v>
      </c>
      <c r="AK679">
        <v>71</v>
      </c>
      <c r="AL679" t="s">
        <v>13082</v>
      </c>
      <c r="AM679" t="s">
        <v>13083</v>
      </c>
      <c r="AN679" t="s">
        <v>13084</v>
      </c>
      <c r="AO679" t="s">
        <v>13085</v>
      </c>
      <c r="AP679" t="s">
        <v>74</v>
      </c>
      <c r="AQ679" t="s">
        <v>74</v>
      </c>
      <c r="AR679" t="s">
        <v>13086</v>
      </c>
      <c r="AS679" t="s">
        <v>13087</v>
      </c>
      <c r="AT679" t="s">
        <v>74</v>
      </c>
      <c r="AU679">
        <v>2020</v>
      </c>
      <c r="AV679">
        <v>45</v>
      </c>
      <c r="AW679">
        <v>3</v>
      </c>
      <c r="AX679" t="s">
        <v>74</v>
      </c>
      <c r="AY679" t="s">
        <v>74</v>
      </c>
      <c r="AZ679" t="s">
        <v>441</v>
      </c>
      <c r="BA679" t="s">
        <v>74</v>
      </c>
      <c r="BB679">
        <v>74</v>
      </c>
      <c r="BC679">
        <v>94</v>
      </c>
      <c r="BD679" t="s">
        <v>74</v>
      </c>
      <c r="BE679" t="s">
        <v>13088</v>
      </c>
      <c r="BF679" t="str">
        <f>HYPERLINK("http://dx.doi.org/10.12759/hsr.45.2020.3.74-94","http://dx.doi.org/10.12759/hsr.45.2020.3.74-94")</f>
        <v>http://dx.doi.org/10.12759/hsr.45.2020.3.74-94</v>
      </c>
      <c r="BG679" t="s">
        <v>74</v>
      </c>
      <c r="BH679" t="s">
        <v>74</v>
      </c>
      <c r="BI679">
        <v>21</v>
      </c>
      <c r="BJ679" t="s">
        <v>13089</v>
      </c>
      <c r="BK679" t="s">
        <v>99</v>
      </c>
      <c r="BL679" t="s">
        <v>13090</v>
      </c>
      <c r="BM679" t="s">
        <v>13091</v>
      </c>
      <c r="BN679" t="s">
        <v>74</v>
      </c>
      <c r="BO679" t="s">
        <v>74</v>
      </c>
      <c r="BP679" t="s">
        <v>74</v>
      </c>
      <c r="BQ679" t="s">
        <v>74</v>
      </c>
      <c r="BR679" t="s">
        <v>102</v>
      </c>
      <c r="BS679" t="s">
        <v>13092</v>
      </c>
      <c r="BT679" t="str">
        <f>HYPERLINK("https%3A%2F%2Fwww.webofscience.com%2Fwos%2Fwoscc%2Ffull-record%2FWOS:000555083800004","View Full Record in Web of Science")</f>
        <v>View Full Record in Web of Science</v>
      </c>
    </row>
    <row r="680" spans="1:72" x14ac:dyDescent="0.25">
      <c r="A680" t="s">
        <v>72</v>
      </c>
      <c r="B680" t="s">
        <v>13093</v>
      </c>
      <c r="C680" t="s">
        <v>74</v>
      </c>
      <c r="D680" t="s">
        <v>74</v>
      </c>
      <c r="E680" t="s">
        <v>74</v>
      </c>
      <c r="F680" t="s">
        <v>13094</v>
      </c>
      <c r="G680" t="s">
        <v>74</v>
      </c>
      <c r="H680" t="s">
        <v>74</v>
      </c>
      <c r="I680" t="s">
        <v>13095</v>
      </c>
      <c r="J680" t="s">
        <v>4657</v>
      </c>
      <c r="K680" t="s">
        <v>74</v>
      </c>
      <c r="L680" t="s">
        <v>74</v>
      </c>
      <c r="M680" t="s">
        <v>78</v>
      </c>
      <c r="N680" t="s">
        <v>79</v>
      </c>
      <c r="O680" t="s">
        <v>74</v>
      </c>
      <c r="P680" t="s">
        <v>74</v>
      </c>
      <c r="Q680" t="s">
        <v>74</v>
      </c>
      <c r="R680" t="s">
        <v>74</v>
      </c>
      <c r="S680" t="s">
        <v>74</v>
      </c>
      <c r="T680" t="s">
        <v>13096</v>
      </c>
      <c r="U680" t="s">
        <v>74</v>
      </c>
      <c r="V680" t="s">
        <v>13097</v>
      </c>
      <c r="W680" t="s">
        <v>13098</v>
      </c>
      <c r="X680" t="s">
        <v>13099</v>
      </c>
      <c r="Y680" t="s">
        <v>13100</v>
      </c>
      <c r="Z680" t="s">
        <v>13101</v>
      </c>
      <c r="AA680" t="s">
        <v>74</v>
      </c>
      <c r="AB680" t="s">
        <v>74</v>
      </c>
      <c r="AC680" t="s">
        <v>13102</v>
      </c>
      <c r="AD680" t="s">
        <v>13103</v>
      </c>
      <c r="AE680" t="s">
        <v>11871</v>
      </c>
      <c r="AF680" t="s">
        <v>74</v>
      </c>
      <c r="AG680">
        <v>26</v>
      </c>
      <c r="AH680">
        <v>0</v>
      </c>
      <c r="AI680">
        <v>0</v>
      </c>
      <c r="AJ680">
        <v>0</v>
      </c>
      <c r="AK680">
        <v>0</v>
      </c>
      <c r="AL680" t="s">
        <v>4666</v>
      </c>
      <c r="AM680" t="s">
        <v>995</v>
      </c>
      <c r="AN680" t="s">
        <v>4025</v>
      </c>
      <c r="AO680" t="s">
        <v>74</v>
      </c>
      <c r="AP680" t="s">
        <v>4667</v>
      </c>
      <c r="AQ680" t="s">
        <v>74</v>
      </c>
      <c r="AR680" t="s">
        <v>4668</v>
      </c>
      <c r="AS680" t="s">
        <v>4669</v>
      </c>
      <c r="AT680" t="s">
        <v>2326</v>
      </c>
      <c r="AU680">
        <v>2025</v>
      </c>
      <c r="AV680">
        <v>7</v>
      </c>
      <c r="AW680">
        <v>1</v>
      </c>
      <c r="AX680" t="s">
        <v>74</v>
      </c>
      <c r="AY680" t="s">
        <v>74</v>
      </c>
      <c r="AZ680" t="s">
        <v>74</v>
      </c>
      <c r="BA680" t="s">
        <v>74</v>
      </c>
      <c r="BB680" t="s">
        <v>74</v>
      </c>
      <c r="BC680" t="s">
        <v>74</v>
      </c>
      <c r="BD680">
        <v>19</v>
      </c>
      <c r="BE680" t="s">
        <v>13104</v>
      </c>
      <c r="BF680" t="str">
        <f>HYPERLINK("http://dx.doi.org/10.1007/s43621-025-02372-6","http://dx.doi.org/10.1007/s43621-025-02372-6")</f>
        <v>http://dx.doi.org/10.1007/s43621-025-02372-6</v>
      </c>
      <c r="BG680" t="s">
        <v>74</v>
      </c>
      <c r="BH680" t="s">
        <v>74</v>
      </c>
      <c r="BI680">
        <v>25</v>
      </c>
      <c r="BJ680" t="s">
        <v>3247</v>
      </c>
      <c r="BK680" t="s">
        <v>313</v>
      </c>
      <c r="BL680" t="s">
        <v>3248</v>
      </c>
      <c r="BM680" t="s">
        <v>13105</v>
      </c>
      <c r="BN680" t="s">
        <v>74</v>
      </c>
      <c r="BO680" t="s">
        <v>212</v>
      </c>
      <c r="BP680" t="s">
        <v>74</v>
      </c>
      <c r="BQ680" t="s">
        <v>74</v>
      </c>
      <c r="BR680" t="s">
        <v>102</v>
      </c>
      <c r="BS680" t="s">
        <v>13106</v>
      </c>
      <c r="BT680" t="str">
        <f>HYPERLINK("https%3A%2F%2Fwww.webofscience.com%2Fwos%2Fwoscc%2Ffull-record%2FWOS:001655300600004","View Full Record in Web of Science")</f>
        <v>View Full Record in Web of Science</v>
      </c>
    </row>
    <row r="681" spans="1:72" x14ac:dyDescent="0.25">
      <c r="A681" t="s">
        <v>72</v>
      </c>
      <c r="B681" t="s">
        <v>13107</v>
      </c>
      <c r="C681" t="s">
        <v>74</v>
      </c>
      <c r="D681" t="s">
        <v>74</v>
      </c>
      <c r="E681" t="s">
        <v>74</v>
      </c>
      <c r="F681" t="s">
        <v>13108</v>
      </c>
      <c r="G681" t="s">
        <v>74</v>
      </c>
      <c r="H681" t="s">
        <v>74</v>
      </c>
      <c r="I681" t="s">
        <v>13109</v>
      </c>
      <c r="J681" t="s">
        <v>13110</v>
      </c>
      <c r="K681" t="s">
        <v>74</v>
      </c>
      <c r="L681" t="s">
        <v>74</v>
      </c>
      <c r="M681" t="s">
        <v>78</v>
      </c>
      <c r="N681" t="s">
        <v>3795</v>
      </c>
      <c r="O681" t="s">
        <v>13111</v>
      </c>
      <c r="P681" t="s">
        <v>13112</v>
      </c>
      <c r="Q681" t="s">
        <v>12672</v>
      </c>
      <c r="R681" t="s">
        <v>13113</v>
      </c>
      <c r="S681" t="s">
        <v>74</v>
      </c>
      <c r="T681" t="s">
        <v>13114</v>
      </c>
      <c r="U681" t="s">
        <v>1369</v>
      </c>
      <c r="V681" t="s">
        <v>13115</v>
      </c>
      <c r="W681" t="s">
        <v>13116</v>
      </c>
      <c r="X681" t="s">
        <v>13117</v>
      </c>
      <c r="Y681" t="s">
        <v>13118</v>
      </c>
      <c r="Z681" t="s">
        <v>13119</v>
      </c>
      <c r="AA681" t="s">
        <v>13120</v>
      </c>
      <c r="AB681" t="s">
        <v>13121</v>
      </c>
      <c r="AC681" t="s">
        <v>74</v>
      </c>
      <c r="AD681" t="s">
        <v>74</v>
      </c>
      <c r="AE681" t="s">
        <v>74</v>
      </c>
      <c r="AF681" t="s">
        <v>74</v>
      </c>
      <c r="AG681">
        <v>18</v>
      </c>
      <c r="AH681">
        <v>89</v>
      </c>
      <c r="AI681">
        <v>121</v>
      </c>
      <c r="AJ681">
        <v>3</v>
      </c>
      <c r="AK681">
        <v>101</v>
      </c>
      <c r="AL681" t="s">
        <v>2551</v>
      </c>
      <c r="AM681" t="s">
        <v>231</v>
      </c>
      <c r="AN681" t="s">
        <v>2552</v>
      </c>
      <c r="AO681" t="s">
        <v>13122</v>
      </c>
      <c r="AP681" t="s">
        <v>13123</v>
      </c>
      <c r="AQ681" t="s">
        <v>74</v>
      </c>
      <c r="AR681" t="s">
        <v>13124</v>
      </c>
      <c r="AS681" t="s">
        <v>13125</v>
      </c>
      <c r="AT681" t="s">
        <v>208</v>
      </c>
      <c r="AU681">
        <v>2015</v>
      </c>
      <c r="AV681">
        <v>24</v>
      </c>
      <c r="AW681" t="s">
        <v>74</v>
      </c>
      <c r="AX681" t="s">
        <v>74</v>
      </c>
      <c r="AY681">
        <v>1</v>
      </c>
      <c r="AZ681" t="s">
        <v>74</v>
      </c>
      <c r="BA681" t="s">
        <v>74</v>
      </c>
      <c r="BB681" t="s">
        <v>13126</v>
      </c>
      <c r="BC681" t="s">
        <v>13127</v>
      </c>
      <c r="BD681" t="s">
        <v>74</v>
      </c>
      <c r="BE681" t="s">
        <v>13128</v>
      </c>
      <c r="BF681" t="str">
        <f>HYPERLINK("http://dx.doi.org/10.1093/jae/eju031","http://dx.doi.org/10.1093/jae/eju031")</f>
        <v>http://dx.doi.org/10.1093/jae/eju031</v>
      </c>
      <c r="BG681" t="s">
        <v>74</v>
      </c>
      <c r="BH681" t="s">
        <v>74</v>
      </c>
      <c r="BI681">
        <v>9</v>
      </c>
      <c r="BJ681" t="s">
        <v>291</v>
      </c>
      <c r="BK681" t="s">
        <v>4493</v>
      </c>
      <c r="BL681" t="s">
        <v>100</v>
      </c>
      <c r="BM681" t="s">
        <v>13129</v>
      </c>
      <c r="BN681" t="s">
        <v>74</v>
      </c>
      <c r="BO681" t="s">
        <v>74</v>
      </c>
      <c r="BP681" t="s">
        <v>74</v>
      </c>
      <c r="BQ681" t="s">
        <v>74</v>
      </c>
      <c r="BR681" t="s">
        <v>102</v>
      </c>
      <c r="BS681" t="s">
        <v>13130</v>
      </c>
      <c r="BT681" t="str">
        <f>HYPERLINK("https%3A%2F%2Fwww.webofscience.com%2Fwos%2Fwoscc%2Ffull-record%2FWOS:000351616100002","View Full Record in Web of Science")</f>
        <v>View Full Record in Web of Science</v>
      </c>
    </row>
    <row r="682" spans="1:72" x14ac:dyDescent="0.25">
      <c r="A682" t="s">
        <v>72</v>
      </c>
      <c r="B682" t="s">
        <v>5328</v>
      </c>
      <c r="C682" t="s">
        <v>74</v>
      </c>
      <c r="D682" t="s">
        <v>74</v>
      </c>
      <c r="E682" t="s">
        <v>74</v>
      </c>
      <c r="F682" t="s">
        <v>5329</v>
      </c>
      <c r="G682" t="s">
        <v>74</v>
      </c>
      <c r="H682" t="s">
        <v>74</v>
      </c>
      <c r="I682" t="s">
        <v>13131</v>
      </c>
      <c r="J682" t="s">
        <v>4500</v>
      </c>
      <c r="K682" t="s">
        <v>74</v>
      </c>
      <c r="L682" t="s">
        <v>74</v>
      </c>
      <c r="M682" t="s">
        <v>78</v>
      </c>
      <c r="N682" t="s">
        <v>79</v>
      </c>
      <c r="O682" t="s">
        <v>74</v>
      </c>
      <c r="P682" t="s">
        <v>74</v>
      </c>
      <c r="Q682" t="s">
        <v>74</v>
      </c>
      <c r="R682" t="s">
        <v>74</v>
      </c>
      <c r="S682" t="s">
        <v>74</v>
      </c>
      <c r="T682" t="s">
        <v>74</v>
      </c>
      <c r="U682" t="s">
        <v>74</v>
      </c>
      <c r="V682" t="s">
        <v>13132</v>
      </c>
      <c r="W682" t="s">
        <v>13133</v>
      </c>
      <c r="X682" t="s">
        <v>5335</v>
      </c>
      <c r="Y682" t="s">
        <v>13134</v>
      </c>
      <c r="Z682" t="s">
        <v>5337</v>
      </c>
      <c r="AA682" t="s">
        <v>74</v>
      </c>
      <c r="AB682" t="s">
        <v>13135</v>
      </c>
      <c r="AC682" t="s">
        <v>74</v>
      </c>
      <c r="AD682" t="s">
        <v>74</v>
      </c>
      <c r="AE682" t="s">
        <v>74</v>
      </c>
      <c r="AF682" t="s">
        <v>74</v>
      </c>
      <c r="AG682">
        <v>12</v>
      </c>
      <c r="AH682">
        <v>39</v>
      </c>
      <c r="AI682">
        <v>59</v>
      </c>
      <c r="AJ682">
        <v>0</v>
      </c>
      <c r="AK682">
        <v>21</v>
      </c>
      <c r="AL682" t="s">
        <v>479</v>
      </c>
      <c r="AM682" t="s">
        <v>480</v>
      </c>
      <c r="AN682" t="s">
        <v>481</v>
      </c>
      <c r="AO682" t="s">
        <v>4509</v>
      </c>
      <c r="AP682" t="s">
        <v>4510</v>
      </c>
      <c r="AQ682" t="s">
        <v>74</v>
      </c>
      <c r="AR682" t="s">
        <v>4511</v>
      </c>
      <c r="AS682" t="s">
        <v>4512</v>
      </c>
      <c r="AT682" t="s">
        <v>891</v>
      </c>
      <c r="AU682">
        <v>2019</v>
      </c>
      <c r="AV682">
        <v>19</v>
      </c>
      <c r="AW682">
        <v>4</v>
      </c>
      <c r="AX682" t="s">
        <v>74</v>
      </c>
      <c r="AY682" t="s">
        <v>74</v>
      </c>
      <c r="AZ682" t="s">
        <v>74</v>
      </c>
      <c r="BA682" t="s">
        <v>74</v>
      </c>
      <c r="BB682" t="s">
        <v>74</v>
      </c>
      <c r="BC682" t="s">
        <v>74</v>
      </c>
      <c r="BD682" t="s">
        <v>13136</v>
      </c>
      <c r="BE682" t="s">
        <v>13137</v>
      </c>
      <c r="BF682" t="str">
        <f>HYPERLINK("http://dx.doi.org/10.1002/pa.1948","http://dx.doi.org/10.1002/pa.1948")</f>
        <v>http://dx.doi.org/10.1002/pa.1948</v>
      </c>
      <c r="BG682" t="s">
        <v>74</v>
      </c>
      <c r="BH682" t="s">
        <v>74</v>
      </c>
      <c r="BI682">
        <v>6</v>
      </c>
      <c r="BJ682" t="s">
        <v>3868</v>
      </c>
      <c r="BK682" t="s">
        <v>313</v>
      </c>
      <c r="BL682" t="s">
        <v>3868</v>
      </c>
      <c r="BM682" t="s">
        <v>13138</v>
      </c>
      <c r="BN682" t="s">
        <v>74</v>
      </c>
      <c r="BO682" t="s">
        <v>74</v>
      </c>
      <c r="BP682" t="s">
        <v>74</v>
      </c>
      <c r="BQ682" t="s">
        <v>74</v>
      </c>
      <c r="BR682" t="s">
        <v>102</v>
      </c>
      <c r="BS682" t="s">
        <v>13139</v>
      </c>
      <c r="BT682" t="str">
        <f>HYPERLINK("https%3A%2F%2Fwww.webofscience.com%2Fwos%2Fwoscc%2Ffull-record%2FWOS:000499996000014","View Full Record in Web of Science")</f>
        <v>View Full Record in Web of Science</v>
      </c>
    </row>
    <row r="683" spans="1:72" x14ac:dyDescent="0.25">
      <c r="A683" t="s">
        <v>72</v>
      </c>
      <c r="B683" t="s">
        <v>13140</v>
      </c>
      <c r="C683" t="s">
        <v>74</v>
      </c>
      <c r="D683" t="s">
        <v>74</v>
      </c>
      <c r="E683" t="s">
        <v>74</v>
      </c>
      <c r="F683" t="s">
        <v>13141</v>
      </c>
      <c r="G683" t="s">
        <v>74</v>
      </c>
      <c r="H683" t="s">
        <v>74</v>
      </c>
      <c r="I683" t="s">
        <v>13142</v>
      </c>
      <c r="J683" t="s">
        <v>1510</v>
      </c>
      <c r="K683" t="s">
        <v>74</v>
      </c>
      <c r="L683" t="s">
        <v>74</v>
      </c>
      <c r="M683" t="s">
        <v>78</v>
      </c>
      <c r="N683" t="s">
        <v>79</v>
      </c>
      <c r="O683" t="s">
        <v>74</v>
      </c>
      <c r="P683" t="s">
        <v>74</v>
      </c>
      <c r="Q683" t="s">
        <v>74</v>
      </c>
      <c r="R683" t="s">
        <v>74</v>
      </c>
      <c r="S683" t="s">
        <v>74</v>
      </c>
      <c r="T683" t="s">
        <v>13143</v>
      </c>
      <c r="U683" t="s">
        <v>13144</v>
      </c>
      <c r="V683" t="s">
        <v>13145</v>
      </c>
      <c r="W683" t="s">
        <v>13146</v>
      </c>
      <c r="X683" t="s">
        <v>13147</v>
      </c>
      <c r="Y683" t="s">
        <v>13148</v>
      </c>
      <c r="Z683" t="s">
        <v>13149</v>
      </c>
      <c r="AA683" t="s">
        <v>13150</v>
      </c>
      <c r="AB683" t="s">
        <v>13151</v>
      </c>
      <c r="AC683" t="s">
        <v>74</v>
      </c>
      <c r="AD683" t="s">
        <v>74</v>
      </c>
      <c r="AE683" t="s">
        <v>74</v>
      </c>
      <c r="AF683" t="s">
        <v>74</v>
      </c>
      <c r="AG683">
        <v>82</v>
      </c>
      <c r="AH683">
        <v>49</v>
      </c>
      <c r="AI683">
        <v>70</v>
      </c>
      <c r="AJ683">
        <v>9</v>
      </c>
      <c r="AK683">
        <v>90</v>
      </c>
      <c r="AL683" t="s">
        <v>89</v>
      </c>
      <c r="AM683" t="s">
        <v>1497</v>
      </c>
      <c r="AN683" t="s">
        <v>1498</v>
      </c>
      <c r="AO683" t="s">
        <v>1519</v>
      </c>
      <c r="AP683" t="s">
        <v>1520</v>
      </c>
      <c r="AQ683" t="s">
        <v>74</v>
      </c>
      <c r="AR683" t="s">
        <v>1521</v>
      </c>
      <c r="AS683" t="s">
        <v>1522</v>
      </c>
      <c r="AT683" t="s">
        <v>13152</v>
      </c>
      <c r="AU683">
        <v>2023</v>
      </c>
      <c r="AV683">
        <v>50</v>
      </c>
      <c r="AW683">
        <v>8</v>
      </c>
      <c r="AX683" t="s">
        <v>74</v>
      </c>
      <c r="AY683" t="s">
        <v>74</v>
      </c>
      <c r="AZ683" t="s">
        <v>441</v>
      </c>
      <c r="BA683" t="s">
        <v>74</v>
      </c>
      <c r="BB683">
        <v>1085</v>
      </c>
      <c r="BC683">
        <v>1104</v>
      </c>
      <c r="BD683" t="s">
        <v>74</v>
      </c>
      <c r="BE683" t="s">
        <v>13153</v>
      </c>
      <c r="BF683" t="str">
        <f>HYPERLINK("http://dx.doi.org/10.1108/IJSE-04-2022-0277","http://dx.doi.org/10.1108/IJSE-04-2022-0277")</f>
        <v>http://dx.doi.org/10.1108/IJSE-04-2022-0277</v>
      </c>
      <c r="BG683" t="s">
        <v>74</v>
      </c>
      <c r="BH683" t="s">
        <v>7904</v>
      </c>
      <c r="BI683">
        <v>20</v>
      </c>
      <c r="BJ683" t="s">
        <v>291</v>
      </c>
      <c r="BK683" t="s">
        <v>313</v>
      </c>
      <c r="BL683" t="s">
        <v>100</v>
      </c>
      <c r="BM683" t="s">
        <v>13154</v>
      </c>
      <c r="BN683" t="s">
        <v>74</v>
      </c>
      <c r="BO683" t="s">
        <v>1696</v>
      </c>
      <c r="BP683" t="s">
        <v>74</v>
      </c>
      <c r="BQ683" t="s">
        <v>74</v>
      </c>
      <c r="BR683" t="s">
        <v>102</v>
      </c>
      <c r="BS683" t="s">
        <v>13155</v>
      </c>
      <c r="BT683" t="str">
        <f>HYPERLINK("https%3A%2F%2Fwww.webofscience.com%2Fwos%2Fwoscc%2Ffull-record%2FWOS:000898521200001","View Full Record in Web of Science")</f>
        <v>View Full Record in Web of Science</v>
      </c>
    </row>
    <row r="684" spans="1:72" x14ac:dyDescent="0.25">
      <c r="A684" t="s">
        <v>72</v>
      </c>
      <c r="B684" t="s">
        <v>13156</v>
      </c>
      <c r="C684" t="s">
        <v>74</v>
      </c>
      <c r="D684" t="s">
        <v>74</v>
      </c>
      <c r="E684" t="s">
        <v>74</v>
      </c>
      <c r="F684" t="s">
        <v>13157</v>
      </c>
      <c r="G684" t="s">
        <v>74</v>
      </c>
      <c r="H684" t="s">
        <v>74</v>
      </c>
      <c r="I684" t="s">
        <v>13158</v>
      </c>
      <c r="J684" t="s">
        <v>13159</v>
      </c>
      <c r="K684" t="s">
        <v>74</v>
      </c>
      <c r="L684" t="s">
        <v>74</v>
      </c>
      <c r="M684" t="s">
        <v>78</v>
      </c>
      <c r="N684" t="s">
        <v>79</v>
      </c>
      <c r="O684" t="s">
        <v>74</v>
      </c>
      <c r="P684" t="s">
        <v>74</v>
      </c>
      <c r="Q684" t="s">
        <v>74</v>
      </c>
      <c r="R684" t="s">
        <v>74</v>
      </c>
      <c r="S684" t="s">
        <v>74</v>
      </c>
      <c r="T684" t="s">
        <v>13160</v>
      </c>
      <c r="U684" t="s">
        <v>13161</v>
      </c>
      <c r="V684" t="s">
        <v>13162</v>
      </c>
      <c r="W684" t="s">
        <v>13163</v>
      </c>
      <c r="X684" t="s">
        <v>13164</v>
      </c>
      <c r="Y684" t="s">
        <v>13165</v>
      </c>
      <c r="Z684" t="s">
        <v>13166</v>
      </c>
      <c r="AA684" t="s">
        <v>74</v>
      </c>
      <c r="AB684" t="s">
        <v>13167</v>
      </c>
      <c r="AC684" t="s">
        <v>74</v>
      </c>
      <c r="AD684" t="s">
        <v>74</v>
      </c>
      <c r="AE684" t="s">
        <v>74</v>
      </c>
      <c r="AF684" t="s">
        <v>74</v>
      </c>
      <c r="AG684">
        <v>122</v>
      </c>
      <c r="AH684">
        <v>6</v>
      </c>
      <c r="AI684">
        <v>12</v>
      </c>
      <c r="AJ684">
        <v>3</v>
      </c>
      <c r="AK684">
        <v>21</v>
      </c>
      <c r="AL684" t="s">
        <v>332</v>
      </c>
      <c r="AM684" t="s">
        <v>333</v>
      </c>
      <c r="AN684" t="s">
        <v>334</v>
      </c>
      <c r="AO684" t="s">
        <v>13168</v>
      </c>
      <c r="AP684" t="s">
        <v>13169</v>
      </c>
      <c r="AQ684" t="s">
        <v>74</v>
      </c>
      <c r="AR684" t="s">
        <v>13170</v>
      </c>
      <c r="AS684" t="s">
        <v>13171</v>
      </c>
      <c r="AT684" t="s">
        <v>5472</v>
      </c>
      <c r="AU684">
        <v>2022</v>
      </c>
      <c r="AV684">
        <v>16</v>
      </c>
      <c r="AW684">
        <v>3</v>
      </c>
      <c r="AX684" t="s">
        <v>74</v>
      </c>
      <c r="AY684" t="s">
        <v>74</v>
      </c>
      <c r="AZ684" t="s">
        <v>441</v>
      </c>
      <c r="BA684" t="s">
        <v>74</v>
      </c>
      <c r="BB684">
        <v>181</v>
      </c>
      <c r="BC684">
        <v>196</v>
      </c>
      <c r="BD684" t="s">
        <v>74</v>
      </c>
      <c r="BE684" t="s">
        <v>13172</v>
      </c>
      <c r="BF684" t="str">
        <f>HYPERLINK("http://dx.doi.org/10.1080/17521440.2023.2215481","http://dx.doi.org/10.1080/17521440.2023.2215481")</f>
        <v>http://dx.doi.org/10.1080/17521440.2023.2215481</v>
      </c>
      <c r="BG684" t="s">
        <v>74</v>
      </c>
      <c r="BH684" t="s">
        <v>6418</v>
      </c>
      <c r="BI684">
        <v>16</v>
      </c>
      <c r="BJ684" t="s">
        <v>182</v>
      </c>
      <c r="BK684" t="s">
        <v>313</v>
      </c>
      <c r="BL684" t="s">
        <v>184</v>
      </c>
      <c r="BM684" t="s">
        <v>13173</v>
      </c>
      <c r="BN684" t="s">
        <v>74</v>
      </c>
      <c r="BO684" t="s">
        <v>466</v>
      </c>
      <c r="BP684" t="s">
        <v>74</v>
      </c>
      <c r="BQ684" t="s">
        <v>74</v>
      </c>
      <c r="BR684" t="s">
        <v>102</v>
      </c>
      <c r="BS684" t="s">
        <v>13174</v>
      </c>
      <c r="BT684" t="str">
        <f>HYPERLINK("https%3A%2F%2Fwww.webofscience.com%2Fwos%2Fwoscc%2Ffull-record%2FWOS:000995850500001","View Full Record in Web of Science")</f>
        <v>View Full Record in Web of Science</v>
      </c>
    </row>
    <row r="685" spans="1:72" x14ac:dyDescent="0.25">
      <c r="A685" t="s">
        <v>72</v>
      </c>
      <c r="B685" t="s">
        <v>13175</v>
      </c>
      <c r="C685" t="s">
        <v>74</v>
      </c>
      <c r="D685" t="s">
        <v>74</v>
      </c>
      <c r="E685" t="s">
        <v>74</v>
      </c>
      <c r="F685" t="s">
        <v>13176</v>
      </c>
      <c r="G685" t="s">
        <v>74</v>
      </c>
      <c r="H685" t="s">
        <v>74</v>
      </c>
      <c r="I685" t="s">
        <v>13177</v>
      </c>
      <c r="J685" t="s">
        <v>9372</v>
      </c>
      <c r="K685" t="s">
        <v>74</v>
      </c>
      <c r="L685" t="s">
        <v>74</v>
      </c>
      <c r="M685" t="s">
        <v>78</v>
      </c>
      <c r="N685" t="s">
        <v>79</v>
      </c>
      <c r="O685" t="s">
        <v>74</v>
      </c>
      <c r="P685" t="s">
        <v>74</v>
      </c>
      <c r="Q685" t="s">
        <v>74</v>
      </c>
      <c r="R685" t="s">
        <v>74</v>
      </c>
      <c r="S685" t="s">
        <v>74</v>
      </c>
      <c r="T685" t="s">
        <v>13178</v>
      </c>
      <c r="U685" t="s">
        <v>13179</v>
      </c>
      <c r="V685" t="s">
        <v>13180</v>
      </c>
      <c r="W685" t="s">
        <v>13181</v>
      </c>
      <c r="X685" t="s">
        <v>13182</v>
      </c>
      <c r="Y685" t="s">
        <v>13183</v>
      </c>
      <c r="Z685" t="s">
        <v>13184</v>
      </c>
      <c r="AA685" t="s">
        <v>13185</v>
      </c>
      <c r="AB685" t="s">
        <v>13186</v>
      </c>
      <c r="AC685" t="s">
        <v>74</v>
      </c>
      <c r="AD685" t="s">
        <v>74</v>
      </c>
      <c r="AE685" t="s">
        <v>74</v>
      </c>
      <c r="AF685" t="s">
        <v>74</v>
      </c>
      <c r="AG685">
        <v>88</v>
      </c>
      <c r="AH685">
        <v>51</v>
      </c>
      <c r="AI685">
        <v>85</v>
      </c>
      <c r="AJ685">
        <v>16</v>
      </c>
      <c r="AK685">
        <v>115</v>
      </c>
      <c r="AL685" t="s">
        <v>201</v>
      </c>
      <c r="AM685" t="s">
        <v>202</v>
      </c>
      <c r="AN685" t="s">
        <v>203</v>
      </c>
      <c r="AO685" t="s">
        <v>9384</v>
      </c>
      <c r="AP685" t="s">
        <v>9385</v>
      </c>
      <c r="AQ685" t="s">
        <v>74</v>
      </c>
      <c r="AR685" t="s">
        <v>9386</v>
      </c>
      <c r="AS685" t="s">
        <v>9387</v>
      </c>
      <c r="AT685" t="s">
        <v>208</v>
      </c>
      <c r="AU685">
        <v>2023</v>
      </c>
      <c r="AV685">
        <v>64</v>
      </c>
      <c r="AW685" t="s">
        <v>74</v>
      </c>
      <c r="AX685" t="s">
        <v>74</v>
      </c>
      <c r="AY685" t="s">
        <v>74</v>
      </c>
      <c r="AZ685" t="s">
        <v>74</v>
      </c>
      <c r="BA685" t="s">
        <v>74</v>
      </c>
      <c r="BB685" t="s">
        <v>74</v>
      </c>
      <c r="BC685" t="s">
        <v>74</v>
      </c>
      <c r="BD685">
        <v>101862</v>
      </c>
      <c r="BE685" t="s">
        <v>13187</v>
      </c>
      <c r="BF685" t="str">
        <f>HYPERLINK("http://dx.doi.org/10.1016/j.ribaf.2022.101862","http://dx.doi.org/10.1016/j.ribaf.2022.101862")</f>
        <v>http://dx.doi.org/10.1016/j.ribaf.2022.101862</v>
      </c>
      <c r="BG685" t="s">
        <v>74</v>
      </c>
      <c r="BH685" t="s">
        <v>11288</v>
      </c>
      <c r="BI685">
        <v>15</v>
      </c>
      <c r="BJ685" t="s">
        <v>268</v>
      </c>
      <c r="BK685" t="s">
        <v>99</v>
      </c>
      <c r="BL685" t="s">
        <v>100</v>
      </c>
      <c r="BM685" t="s">
        <v>13188</v>
      </c>
      <c r="BN685" t="s">
        <v>74</v>
      </c>
      <c r="BO685" t="s">
        <v>466</v>
      </c>
      <c r="BP685" t="s">
        <v>74</v>
      </c>
      <c r="BQ685" t="s">
        <v>74</v>
      </c>
      <c r="BR685" t="s">
        <v>102</v>
      </c>
      <c r="BS685" t="s">
        <v>13189</v>
      </c>
      <c r="BT685" t="str">
        <f>HYPERLINK("https%3A%2F%2Fwww.webofscience.com%2Fwos%2Fwoscc%2Ffull-record%2FWOS:000921423300001","View Full Record in Web of Science")</f>
        <v>View Full Record in Web of Science</v>
      </c>
    </row>
    <row r="686" spans="1:72" x14ac:dyDescent="0.25">
      <c r="A686" t="s">
        <v>72</v>
      </c>
      <c r="B686" t="s">
        <v>13190</v>
      </c>
      <c r="C686" t="s">
        <v>74</v>
      </c>
      <c r="D686" t="s">
        <v>74</v>
      </c>
      <c r="E686" t="s">
        <v>74</v>
      </c>
      <c r="F686" t="s">
        <v>13191</v>
      </c>
      <c r="G686" t="s">
        <v>74</v>
      </c>
      <c r="H686" t="s">
        <v>74</v>
      </c>
      <c r="I686" t="s">
        <v>13192</v>
      </c>
      <c r="J686" t="s">
        <v>13193</v>
      </c>
      <c r="K686" t="s">
        <v>74</v>
      </c>
      <c r="L686" t="s">
        <v>74</v>
      </c>
      <c r="M686" t="s">
        <v>78</v>
      </c>
      <c r="N686" t="s">
        <v>79</v>
      </c>
      <c r="O686" t="s">
        <v>74</v>
      </c>
      <c r="P686" t="s">
        <v>74</v>
      </c>
      <c r="Q686" t="s">
        <v>74</v>
      </c>
      <c r="R686" t="s">
        <v>74</v>
      </c>
      <c r="S686" t="s">
        <v>74</v>
      </c>
      <c r="T686" t="s">
        <v>13194</v>
      </c>
      <c r="U686" t="s">
        <v>13195</v>
      </c>
      <c r="V686" t="s">
        <v>13196</v>
      </c>
      <c r="W686" t="s">
        <v>13197</v>
      </c>
      <c r="X686" t="s">
        <v>13198</v>
      </c>
      <c r="Y686" t="s">
        <v>13199</v>
      </c>
      <c r="Z686" t="s">
        <v>13200</v>
      </c>
      <c r="AA686" t="s">
        <v>13201</v>
      </c>
      <c r="AB686" t="s">
        <v>13202</v>
      </c>
      <c r="AC686" t="s">
        <v>13203</v>
      </c>
      <c r="AD686" t="s">
        <v>13204</v>
      </c>
      <c r="AE686" t="s">
        <v>13205</v>
      </c>
      <c r="AF686" t="s">
        <v>74</v>
      </c>
      <c r="AG686">
        <v>72</v>
      </c>
      <c r="AH686">
        <v>3</v>
      </c>
      <c r="AI686">
        <v>4</v>
      </c>
      <c r="AJ686">
        <v>46</v>
      </c>
      <c r="AK686">
        <v>88</v>
      </c>
      <c r="AL686" t="s">
        <v>575</v>
      </c>
      <c r="AM686" t="s">
        <v>576</v>
      </c>
      <c r="AN686" t="s">
        <v>577</v>
      </c>
      <c r="AO686" t="s">
        <v>74</v>
      </c>
      <c r="AP686" t="s">
        <v>13206</v>
      </c>
      <c r="AQ686" t="s">
        <v>74</v>
      </c>
      <c r="AR686" t="s">
        <v>13207</v>
      </c>
      <c r="AS686" t="s">
        <v>13208</v>
      </c>
      <c r="AT686" t="s">
        <v>208</v>
      </c>
      <c r="AU686">
        <v>2025</v>
      </c>
      <c r="AV686">
        <v>15</v>
      </c>
      <c r="AW686">
        <v>1</v>
      </c>
      <c r="AX686" t="s">
        <v>74</v>
      </c>
      <c r="AY686" t="s">
        <v>74</v>
      </c>
      <c r="AZ686" t="s">
        <v>74</v>
      </c>
      <c r="BA686" t="s">
        <v>74</v>
      </c>
      <c r="BB686" t="s">
        <v>74</v>
      </c>
      <c r="BC686" t="s">
        <v>74</v>
      </c>
      <c r="BD686">
        <v>94</v>
      </c>
      <c r="BE686" t="s">
        <v>13209</v>
      </c>
      <c r="BF686" t="str">
        <f>HYPERLINK("http://dx.doi.org/10.3390/bs15010094","http://dx.doi.org/10.3390/bs15010094")</f>
        <v>http://dx.doi.org/10.3390/bs15010094</v>
      </c>
      <c r="BG686" t="s">
        <v>74</v>
      </c>
      <c r="BH686" t="s">
        <v>74</v>
      </c>
      <c r="BI686">
        <v>15</v>
      </c>
      <c r="BJ686" t="s">
        <v>2992</v>
      </c>
      <c r="BK686" t="s">
        <v>99</v>
      </c>
      <c r="BL686" t="s">
        <v>2993</v>
      </c>
      <c r="BM686" t="s">
        <v>13210</v>
      </c>
      <c r="BN686">
        <v>39851898</v>
      </c>
      <c r="BO686" t="s">
        <v>916</v>
      </c>
      <c r="BP686" t="s">
        <v>74</v>
      </c>
      <c r="BQ686" t="s">
        <v>74</v>
      </c>
      <c r="BR686" t="s">
        <v>102</v>
      </c>
      <c r="BS686" t="s">
        <v>13211</v>
      </c>
      <c r="BT686" t="str">
        <f>HYPERLINK("https%3A%2F%2Fwww.webofscience.com%2Fwos%2Fwoscc%2Ffull-record%2FWOS:001404574900001","View Full Record in Web of Science")</f>
        <v>View Full Record in Web of Science</v>
      </c>
    </row>
    <row r="687" spans="1:72" x14ac:dyDescent="0.25">
      <c r="A687" t="s">
        <v>72</v>
      </c>
      <c r="B687" t="s">
        <v>13212</v>
      </c>
      <c r="C687" t="s">
        <v>74</v>
      </c>
      <c r="D687" t="s">
        <v>74</v>
      </c>
      <c r="E687" t="s">
        <v>74</v>
      </c>
      <c r="F687" t="s">
        <v>13213</v>
      </c>
      <c r="G687" t="s">
        <v>74</v>
      </c>
      <c r="H687" t="s">
        <v>74</v>
      </c>
      <c r="I687" t="s">
        <v>13214</v>
      </c>
      <c r="J687" t="s">
        <v>836</v>
      </c>
      <c r="K687" t="s">
        <v>74</v>
      </c>
      <c r="L687" t="s">
        <v>74</v>
      </c>
      <c r="M687" t="s">
        <v>78</v>
      </c>
      <c r="N687" t="s">
        <v>79</v>
      </c>
      <c r="O687" t="s">
        <v>74</v>
      </c>
      <c r="P687" t="s">
        <v>74</v>
      </c>
      <c r="Q687" t="s">
        <v>74</v>
      </c>
      <c r="R687" t="s">
        <v>74</v>
      </c>
      <c r="S687" t="s">
        <v>74</v>
      </c>
      <c r="T687" t="s">
        <v>13215</v>
      </c>
      <c r="U687" t="s">
        <v>74</v>
      </c>
      <c r="V687" t="s">
        <v>13216</v>
      </c>
      <c r="W687" t="s">
        <v>13217</v>
      </c>
      <c r="X687" t="s">
        <v>13218</v>
      </c>
      <c r="Y687" t="s">
        <v>13219</v>
      </c>
      <c r="Z687" t="s">
        <v>13220</v>
      </c>
      <c r="AA687" t="s">
        <v>13221</v>
      </c>
      <c r="AB687" t="s">
        <v>74</v>
      </c>
      <c r="AC687" t="s">
        <v>74</v>
      </c>
      <c r="AD687" t="s">
        <v>74</v>
      </c>
      <c r="AE687" t="s">
        <v>74</v>
      </c>
      <c r="AF687" t="s">
        <v>74</v>
      </c>
      <c r="AG687">
        <v>63</v>
      </c>
      <c r="AH687">
        <v>25</v>
      </c>
      <c r="AI687">
        <v>29</v>
      </c>
      <c r="AJ687">
        <v>23</v>
      </c>
      <c r="AK687">
        <v>52</v>
      </c>
      <c r="AL687" t="s">
        <v>503</v>
      </c>
      <c r="AM687" t="s">
        <v>151</v>
      </c>
      <c r="AN687" t="s">
        <v>504</v>
      </c>
      <c r="AO687" t="s">
        <v>844</v>
      </c>
      <c r="AP687" t="s">
        <v>845</v>
      </c>
      <c r="AQ687" t="s">
        <v>74</v>
      </c>
      <c r="AR687" t="s">
        <v>846</v>
      </c>
      <c r="AS687" t="s">
        <v>847</v>
      </c>
      <c r="AT687" t="s">
        <v>891</v>
      </c>
      <c r="AU687">
        <v>2024</v>
      </c>
      <c r="AV687">
        <v>96</v>
      </c>
      <c r="AW687" t="s">
        <v>74</v>
      </c>
      <c r="AX687" t="s">
        <v>3828</v>
      </c>
      <c r="AY687" t="s">
        <v>74</v>
      </c>
      <c r="AZ687" t="s">
        <v>74</v>
      </c>
      <c r="BA687" t="s">
        <v>74</v>
      </c>
      <c r="BB687" t="s">
        <v>74</v>
      </c>
      <c r="BC687" t="s">
        <v>74</v>
      </c>
      <c r="BD687">
        <v>103596</v>
      </c>
      <c r="BE687" t="s">
        <v>13222</v>
      </c>
      <c r="BF687" t="str">
        <f>HYPERLINK("http://dx.doi.org/10.1016/j.irfa.2024.103596","http://dx.doi.org/10.1016/j.irfa.2024.103596")</f>
        <v>http://dx.doi.org/10.1016/j.irfa.2024.103596</v>
      </c>
      <c r="BG687" t="s">
        <v>74</v>
      </c>
      <c r="BH687" t="s">
        <v>9389</v>
      </c>
      <c r="BI687">
        <v>19</v>
      </c>
      <c r="BJ687" t="s">
        <v>268</v>
      </c>
      <c r="BK687" t="s">
        <v>99</v>
      </c>
      <c r="BL687" t="s">
        <v>100</v>
      </c>
      <c r="BM687" t="s">
        <v>13223</v>
      </c>
      <c r="BN687" t="s">
        <v>74</v>
      </c>
      <c r="BO687" t="s">
        <v>270</v>
      </c>
      <c r="BP687" t="s">
        <v>74</v>
      </c>
      <c r="BQ687" t="s">
        <v>74</v>
      </c>
      <c r="BR687" t="s">
        <v>102</v>
      </c>
      <c r="BS687" t="s">
        <v>13224</v>
      </c>
      <c r="BT687" t="str">
        <f>HYPERLINK("https%3A%2F%2Fwww.webofscience.com%2Fwos%2Fwoscc%2Ffull-record%2FWOS:001325094900001","View Full Record in Web of Science")</f>
        <v>View Full Record in Web of Science</v>
      </c>
    </row>
    <row r="688" spans="1:72" x14ac:dyDescent="0.25">
      <c r="A688" t="s">
        <v>72</v>
      </c>
      <c r="B688" t="s">
        <v>9709</v>
      </c>
      <c r="C688" t="s">
        <v>74</v>
      </c>
      <c r="D688" t="s">
        <v>74</v>
      </c>
      <c r="E688" t="s">
        <v>74</v>
      </c>
      <c r="F688" t="s">
        <v>9710</v>
      </c>
      <c r="G688" t="s">
        <v>74</v>
      </c>
      <c r="H688" t="s">
        <v>74</v>
      </c>
      <c r="I688" t="s">
        <v>13225</v>
      </c>
      <c r="J688" t="s">
        <v>13226</v>
      </c>
      <c r="K688" t="s">
        <v>74</v>
      </c>
      <c r="L688" t="s">
        <v>74</v>
      </c>
      <c r="M688" t="s">
        <v>78</v>
      </c>
      <c r="N688" t="s">
        <v>1766</v>
      </c>
      <c r="O688" t="s">
        <v>74</v>
      </c>
      <c r="P688" t="s">
        <v>74</v>
      </c>
      <c r="Q688" t="s">
        <v>74</v>
      </c>
      <c r="R688" t="s">
        <v>74</v>
      </c>
      <c r="S688" t="s">
        <v>74</v>
      </c>
      <c r="T688" t="s">
        <v>13227</v>
      </c>
      <c r="U688" t="s">
        <v>13228</v>
      </c>
      <c r="V688" t="s">
        <v>13229</v>
      </c>
      <c r="W688" t="s">
        <v>13230</v>
      </c>
      <c r="X688" t="s">
        <v>9716</v>
      </c>
      <c r="Y688" t="s">
        <v>13231</v>
      </c>
      <c r="Z688" t="s">
        <v>13232</v>
      </c>
      <c r="AA688" t="s">
        <v>13233</v>
      </c>
      <c r="AB688" t="s">
        <v>13234</v>
      </c>
      <c r="AC688" t="s">
        <v>74</v>
      </c>
      <c r="AD688" t="s">
        <v>74</v>
      </c>
      <c r="AE688" t="s">
        <v>74</v>
      </c>
      <c r="AF688" t="s">
        <v>74</v>
      </c>
      <c r="AG688">
        <v>91</v>
      </c>
      <c r="AH688">
        <v>27</v>
      </c>
      <c r="AI688">
        <v>42</v>
      </c>
      <c r="AJ688">
        <v>12</v>
      </c>
      <c r="AK688">
        <v>91</v>
      </c>
      <c r="AL688" t="s">
        <v>409</v>
      </c>
      <c r="AM688" t="s">
        <v>410</v>
      </c>
      <c r="AN688" t="s">
        <v>411</v>
      </c>
      <c r="AO688" t="s">
        <v>13235</v>
      </c>
      <c r="AP688" t="s">
        <v>13236</v>
      </c>
      <c r="AQ688" t="s">
        <v>74</v>
      </c>
      <c r="AR688" t="s">
        <v>13237</v>
      </c>
      <c r="AS688" t="s">
        <v>13238</v>
      </c>
      <c r="AT688" t="s">
        <v>698</v>
      </c>
      <c r="AU688">
        <v>2022</v>
      </c>
      <c r="AV688">
        <v>26</v>
      </c>
      <c r="AW688">
        <v>3</v>
      </c>
      <c r="AX688" t="s">
        <v>74</v>
      </c>
      <c r="AY688" t="s">
        <v>74</v>
      </c>
      <c r="AZ688" t="s">
        <v>74</v>
      </c>
      <c r="BA688" t="s">
        <v>74</v>
      </c>
      <c r="BB688">
        <v>282</v>
      </c>
      <c r="BC688">
        <v>299</v>
      </c>
      <c r="BD688">
        <v>9722629221104204</v>
      </c>
      <c r="BE688" t="s">
        <v>13239</v>
      </c>
      <c r="BF688" t="str">
        <f>HYPERLINK("http://dx.doi.org/10.1177/09722629221104205","http://dx.doi.org/10.1177/09722629221104205")</f>
        <v>http://dx.doi.org/10.1177/09722629221104205</v>
      </c>
      <c r="BG688" t="s">
        <v>74</v>
      </c>
      <c r="BH688" t="s">
        <v>74</v>
      </c>
      <c r="BI688">
        <v>18</v>
      </c>
      <c r="BJ688" t="s">
        <v>98</v>
      </c>
      <c r="BK688" t="s">
        <v>313</v>
      </c>
      <c r="BL688" t="s">
        <v>100</v>
      </c>
      <c r="BM688" t="s">
        <v>13240</v>
      </c>
      <c r="BN688" t="s">
        <v>74</v>
      </c>
      <c r="BO688" t="s">
        <v>74</v>
      </c>
      <c r="BP688" t="s">
        <v>74</v>
      </c>
      <c r="BQ688" t="s">
        <v>74</v>
      </c>
      <c r="BR688" t="s">
        <v>102</v>
      </c>
      <c r="BS688" t="s">
        <v>13241</v>
      </c>
      <c r="BT688" t="str">
        <f>HYPERLINK("https%3A%2F%2Fwww.webofscience.com%2Fwos%2Fwoscc%2Ffull-record%2FWOS:000847172400002","View Full Record in Web of Science")</f>
        <v>View Full Record in Web of Science</v>
      </c>
    </row>
    <row r="689" spans="1:72" x14ac:dyDescent="0.25">
      <c r="A689" t="s">
        <v>72</v>
      </c>
      <c r="B689" t="s">
        <v>13242</v>
      </c>
      <c r="C689" t="s">
        <v>74</v>
      </c>
      <c r="D689" t="s">
        <v>74</v>
      </c>
      <c r="E689" t="s">
        <v>74</v>
      </c>
      <c r="F689" t="s">
        <v>13243</v>
      </c>
      <c r="G689" t="s">
        <v>74</v>
      </c>
      <c r="H689" t="s">
        <v>74</v>
      </c>
      <c r="I689" t="s">
        <v>13244</v>
      </c>
      <c r="J689" t="s">
        <v>1290</v>
      </c>
      <c r="K689" t="s">
        <v>74</v>
      </c>
      <c r="L689" t="s">
        <v>74</v>
      </c>
      <c r="M689" t="s">
        <v>78</v>
      </c>
      <c r="N689" t="s">
        <v>79</v>
      </c>
      <c r="O689" t="s">
        <v>74</v>
      </c>
      <c r="P689" t="s">
        <v>74</v>
      </c>
      <c r="Q689" t="s">
        <v>74</v>
      </c>
      <c r="R689" t="s">
        <v>74</v>
      </c>
      <c r="S689" t="s">
        <v>74</v>
      </c>
      <c r="T689" t="s">
        <v>13245</v>
      </c>
      <c r="U689" t="s">
        <v>13246</v>
      </c>
      <c r="V689" t="s">
        <v>13247</v>
      </c>
      <c r="W689" t="s">
        <v>13248</v>
      </c>
      <c r="X689" t="s">
        <v>13249</v>
      </c>
      <c r="Y689" t="s">
        <v>13250</v>
      </c>
      <c r="Z689" t="s">
        <v>13251</v>
      </c>
      <c r="AA689" t="s">
        <v>13252</v>
      </c>
      <c r="AB689" t="s">
        <v>74</v>
      </c>
      <c r="AC689" t="s">
        <v>74</v>
      </c>
      <c r="AD689" t="s">
        <v>74</v>
      </c>
      <c r="AE689" t="s">
        <v>74</v>
      </c>
      <c r="AF689" t="s">
        <v>74</v>
      </c>
      <c r="AG689">
        <v>58</v>
      </c>
      <c r="AH689">
        <v>15</v>
      </c>
      <c r="AI689">
        <v>28</v>
      </c>
      <c r="AJ689">
        <v>2</v>
      </c>
      <c r="AK689">
        <v>20</v>
      </c>
      <c r="AL689" t="s">
        <v>575</v>
      </c>
      <c r="AM689" t="s">
        <v>576</v>
      </c>
      <c r="AN689" t="s">
        <v>3242</v>
      </c>
      <c r="AO689" t="s">
        <v>1299</v>
      </c>
      <c r="AP689" t="s">
        <v>74</v>
      </c>
      <c r="AQ689" t="s">
        <v>74</v>
      </c>
      <c r="AR689" t="s">
        <v>1300</v>
      </c>
      <c r="AS689" t="s">
        <v>1301</v>
      </c>
      <c r="AT689" t="s">
        <v>698</v>
      </c>
      <c r="AU689">
        <v>2023</v>
      </c>
      <c r="AV689">
        <v>11</v>
      </c>
      <c r="AW689">
        <v>3</v>
      </c>
      <c r="AX689" t="s">
        <v>74</v>
      </c>
      <c r="AY689" t="s">
        <v>74</v>
      </c>
      <c r="AZ689" t="s">
        <v>74</v>
      </c>
      <c r="BA689" t="s">
        <v>74</v>
      </c>
      <c r="BB689" t="s">
        <v>74</v>
      </c>
      <c r="BC689" t="s">
        <v>74</v>
      </c>
      <c r="BD689">
        <v>87</v>
      </c>
      <c r="BE689" t="s">
        <v>13253</v>
      </c>
      <c r="BF689" t="str">
        <f>HYPERLINK("http://dx.doi.org/10.3390/ijfs11030087","http://dx.doi.org/10.3390/ijfs11030087")</f>
        <v>http://dx.doi.org/10.3390/ijfs11030087</v>
      </c>
      <c r="BG689" t="s">
        <v>74</v>
      </c>
      <c r="BH689" t="s">
        <v>74</v>
      </c>
      <c r="BI689">
        <v>15</v>
      </c>
      <c r="BJ689" t="s">
        <v>268</v>
      </c>
      <c r="BK689" t="s">
        <v>313</v>
      </c>
      <c r="BL689" t="s">
        <v>100</v>
      </c>
      <c r="BM689" t="s">
        <v>13254</v>
      </c>
      <c r="BN689" t="s">
        <v>74</v>
      </c>
      <c r="BO689" t="s">
        <v>916</v>
      </c>
      <c r="BP689" t="s">
        <v>74</v>
      </c>
      <c r="BQ689" t="s">
        <v>74</v>
      </c>
      <c r="BR689" t="s">
        <v>102</v>
      </c>
      <c r="BS689" t="s">
        <v>13255</v>
      </c>
      <c r="BT689" t="str">
        <f>HYPERLINK("https%3A%2F%2Fwww.webofscience.com%2Fwos%2Fwoscc%2Ffull-record%2FWOS:001078593900001","View Full Record in Web of Science")</f>
        <v>View Full Record in Web of Science</v>
      </c>
    </row>
    <row r="690" spans="1:72" x14ac:dyDescent="0.25">
      <c r="A690" t="s">
        <v>72</v>
      </c>
      <c r="B690" t="s">
        <v>13256</v>
      </c>
      <c r="C690" t="s">
        <v>74</v>
      </c>
      <c r="D690" t="s">
        <v>74</v>
      </c>
      <c r="E690" t="s">
        <v>74</v>
      </c>
      <c r="F690" t="s">
        <v>13257</v>
      </c>
      <c r="G690" t="s">
        <v>74</v>
      </c>
      <c r="H690" t="s">
        <v>74</v>
      </c>
      <c r="I690" t="s">
        <v>13258</v>
      </c>
      <c r="J690" t="s">
        <v>13259</v>
      </c>
      <c r="K690" t="s">
        <v>74</v>
      </c>
      <c r="L690" t="s">
        <v>74</v>
      </c>
      <c r="M690" t="s">
        <v>78</v>
      </c>
      <c r="N690" t="s">
        <v>79</v>
      </c>
      <c r="O690" t="s">
        <v>74</v>
      </c>
      <c r="P690" t="s">
        <v>74</v>
      </c>
      <c r="Q690" t="s">
        <v>74</v>
      </c>
      <c r="R690" t="s">
        <v>74</v>
      </c>
      <c r="S690" t="s">
        <v>74</v>
      </c>
      <c r="T690" t="s">
        <v>13260</v>
      </c>
      <c r="U690" t="s">
        <v>13261</v>
      </c>
      <c r="V690" t="s">
        <v>13262</v>
      </c>
      <c r="W690" t="s">
        <v>13263</v>
      </c>
      <c r="X690" t="s">
        <v>13264</v>
      </c>
      <c r="Y690" t="s">
        <v>13265</v>
      </c>
      <c r="Z690" t="s">
        <v>13266</v>
      </c>
      <c r="AA690" t="s">
        <v>13267</v>
      </c>
      <c r="AB690" t="s">
        <v>13268</v>
      </c>
      <c r="AC690" t="s">
        <v>74</v>
      </c>
      <c r="AD690" t="s">
        <v>74</v>
      </c>
      <c r="AE690" t="s">
        <v>74</v>
      </c>
      <c r="AF690" t="s">
        <v>74</v>
      </c>
      <c r="AG690">
        <v>70</v>
      </c>
      <c r="AH690">
        <v>57</v>
      </c>
      <c r="AI690">
        <v>65</v>
      </c>
      <c r="AJ690">
        <v>5</v>
      </c>
      <c r="AK690">
        <v>53</v>
      </c>
      <c r="AL690" t="s">
        <v>230</v>
      </c>
      <c r="AM690" t="s">
        <v>231</v>
      </c>
      <c r="AN690" t="s">
        <v>232</v>
      </c>
      <c r="AO690" t="s">
        <v>13269</v>
      </c>
      <c r="AP690" t="s">
        <v>13270</v>
      </c>
      <c r="AQ690" t="s">
        <v>74</v>
      </c>
      <c r="AR690" t="s">
        <v>13271</v>
      </c>
      <c r="AS690" t="s">
        <v>13272</v>
      </c>
      <c r="AT690" t="s">
        <v>605</v>
      </c>
      <c r="AU690">
        <v>2023</v>
      </c>
      <c r="AV690">
        <v>173</v>
      </c>
      <c r="AW690" t="s">
        <v>74</v>
      </c>
      <c r="AX690" t="s">
        <v>74</v>
      </c>
      <c r="AY690" t="s">
        <v>74</v>
      </c>
      <c r="AZ690" t="s">
        <v>74</v>
      </c>
      <c r="BA690" t="s">
        <v>74</v>
      </c>
      <c r="BB690" t="s">
        <v>74</v>
      </c>
      <c r="BC690" t="s">
        <v>74</v>
      </c>
      <c r="BD690">
        <v>113069</v>
      </c>
      <c r="BE690" t="s">
        <v>13273</v>
      </c>
      <c r="BF690" t="str">
        <f>HYPERLINK("http://dx.doi.org/10.1016/j.rser.2022.113069","http://dx.doi.org/10.1016/j.rser.2022.113069")</f>
        <v>http://dx.doi.org/10.1016/j.rser.2022.113069</v>
      </c>
      <c r="BG690" t="s">
        <v>74</v>
      </c>
      <c r="BH690" t="s">
        <v>5112</v>
      </c>
      <c r="BI690">
        <v>17</v>
      </c>
      <c r="BJ690" t="s">
        <v>13274</v>
      </c>
      <c r="BK690" t="s">
        <v>128</v>
      </c>
      <c r="BL690" t="s">
        <v>13275</v>
      </c>
      <c r="BM690" t="s">
        <v>13276</v>
      </c>
      <c r="BN690" t="s">
        <v>74</v>
      </c>
      <c r="BO690" t="s">
        <v>74</v>
      </c>
      <c r="BP690" t="s">
        <v>74</v>
      </c>
      <c r="BQ690" t="s">
        <v>74</v>
      </c>
      <c r="BR690" t="s">
        <v>102</v>
      </c>
      <c r="BS690" t="s">
        <v>13277</v>
      </c>
      <c r="BT690" t="str">
        <f>HYPERLINK("https%3A%2F%2Fwww.webofscience.com%2Fwos%2Fwoscc%2Ffull-record%2FWOS:000901846700004","View Full Record in Web of Science")</f>
        <v>View Full Record in Web of Science</v>
      </c>
    </row>
    <row r="691" spans="1:72" x14ac:dyDescent="0.25">
      <c r="A691" t="s">
        <v>72</v>
      </c>
      <c r="B691" t="s">
        <v>13278</v>
      </c>
      <c r="C691" t="s">
        <v>74</v>
      </c>
      <c r="D691" t="s">
        <v>74</v>
      </c>
      <c r="E691" t="s">
        <v>74</v>
      </c>
      <c r="F691" t="s">
        <v>13279</v>
      </c>
      <c r="G691" t="s">
        <v>74</v>
      </c>
      <c r="H691" t="s">
        <v>74</v>
      </c>
      <c r="I691" t="s">
        <v>13280</v>
      </c>
      <c r="J691" t="s">
        <v>13281</v>
      </c>
      <c r="K691" t="s">
        <v>74</v>
      </c>
      <c r="L691" t="s">
        <v>74</v>
      </c>
      <c r="M691" t="s">
        <v>78</v>
      </c>
      <c r="N691" t="s">
        <v>79</v>
      </c>
      <c r="O691" t="s">
        <v>74</v>
      </c>
      <c r="P691" t="s">
        <v>74</v>
      </c>
      <c r="Q691" t="s">
        <v>74</v>
      </c>
      <c r="R691" t="s">
        <v>74</v>
      </c>
      <c r="S691" t="s">
        <v>74</v>
      </c>
      <c r="T691" t="s">
        <v>13282</v>
      </c>
      <c r="U691" t="s">
        <v>74</v>
      </c>
      <c r="V691" t="s">
        <v>13283</v>
      </c>
      <c r="W691" t="s">
        <v>13284</v>
      </c>
      <c r="X691" t="s">
        <v>13285</v>
      </c>
      <c r="Y691" t="s">
        <v>13286</v>
      </c>
      <c r="Z691" t="s">
        <v>13287</v>
      </c>
      <c r="AA691" t="s">
        <v>13288</v>
      </c>
      <c r="AB691" t="s">
        <v>13289</v>
      </c>
      <c r="AC691" t="s">
        <v>13290</v>
      </c>
      <c r="AD691" t="s">
        <v>13291</v>
      </c>
      <c r="AE691" t="s">
        <v>13292</v>
      </c>
      <c r="AF691" t="s">
        <v>74</v>
      </c>
      <c r="AG691">
        <v>61</v>
      </c>
      <c r="AH691">
        <v>37</v>
      </c>
      <c r="AI691">
        <v>45</v>
      </c>
      <c r="AJ691">
        <v>1</v>
      </c>
      <c r="AK691">
        <v>22</v>
      </c>
      <c r="AL691" t="s">
        <v>150</v>
      </c>
      <c r="AM691" t="s">
        <v>151</v>
      </c>
      <c r="AN691" t="s">
        <v>13293</v>
      </c>
      <c r="AO691" t="s">
        <v>13294</v>
      </c>
      <c r="AP691" t="s">
        <v>13295</v>
      </c>
      <c r="AQ691" t="s">
        <v>74</v>
      </c>
      <c r="AR691" t="s">
        <v>13296</v>
      </c>
      <c r="AS691" t="s">
        <v>13297</v>
      </c>
      <c r="AT691" t="s">
        <v>289</v>
      </c>
      <c r="AU691">
        <v>2017</v>
      </c>
      <c r="AV691">
        <v>20</v>
      </c>
      <c r="AW691">
        <v>3</v>
      </c>
      <c r="AX691" t="s">
        <v>74</v>
      </c>
      <c r="AY691" t="s">
        <v>74</v>
      </c>
      <c r="AZ691" t="s">
        <v>74</v>
      </c>
      <c r="BA691" t="s">
        <v>74</v>
      </c>
      <c r="BB691" t="s">
        <v>74</v>
      </c>
      <c r="BC691" t="s">
        <v>74</v>
      </c>
      <c r="BD691">
        <v>11</v>
      </c>
      <c r="BE691" t="s">
        <v>13298</v>
      </c>
      <c r="BF691" t="str">
        <f>HYPERLINK("http://dx.doi.org/10.1145/3092368","http://dx.doi.org/10.1145/3092368")</f>
        <v>http://dx.doi.org/10.1145/3092368</v>
      </c>
      <c r="BG691" t="s">
        <v>74</v>
      </c>
      <c r="BH691" t="s">
        <v>74</v>
      </c>
      <c r="BI691">
        <v>31</v>
      </c>
      <c r="BJ691" t="s">
        <v>13299</v>
      </c>
      <c r="BK691" t="s">
        <v>128</v>
      </c>
      <c r="BL691" t="s">
        <v>13300</v>
      </c>
      <c r="BM691" t="s">
        <v>13301</v>
      </c>
      <c r="BN691" t="s">
        <v>74</v>
      </c>
      <c r="BO691" t="s">
        <v>74</v>
      </c>
      <c r="BP691" t="s">
        <v>74</v>
      </c>
      <c r="BQ691" t="s">
        <v>74</v>
      </c>
      <c r="BR691" t="s">
        <v>102</v>
      </c>
      <c r="BS691" t="s">
        <v>13302</v>
      </c>
      <c r="BT691" t="str">
        <f>HYPERLINK("https%3A%2F%2Fwww.webofscience.com%2Fwos%2Fwoscc%2Ffull-record%2FWOS:000408668600005","View Full Record in Web of Science")</f>
        <v>View Full Record in Web of Science</v>
      </c>
    </row>
    <row r="692" spans="1:72" x14ac:dyDescent="0.25">
      <c r="A692" t="s">
        <v>72</v>
      </c>
      <c r="B692" t="s">
        <v>11231</v>
      </c>
      <c r="C692" t="s">
        <v>74</v>
      </c>
      <c r="D692" t="s">
        <v>74</v>
      </c>
      <c r="E692" t="s">
        <v>74</v>
      </c>
      <c r="F692" t="s">
        <v>11232</v>
      </c>
      <c r="G692" t="s">
        <v>74</v>
      </c>
      <c r="H692" t="s">
        <v>74</v>
      </c>
      <c r="I692" t="s">
        <v>13303</v>
      </c>
      <c r="J692" t="s">
        <v>6713</v>
      </c>
      <c r="K692" t="s">
        <v>74</v>
      </c>
      <c r="L692" t="s">
        <v>74</v>
      </c>
      <c r="M692" t="s">
        <v>78</v>
      </c>
      <c r="N692" t="s">
        <v>79</v>
      </c>
      <c r="O692" t="s">
        <v>74</v>
      </c>
      <c r="P692" t="s">
        <v>74</v>
      </c>
      <c r="Q692" t="s">
        <v>74</v>
      </c>
      <c r="R692" t="s">
        <v>74</v>
      </c>
      <c r="S692" t="s">
        <v>74</v>
      </c>
      <c r="T692" t="s">
        <v>13304</v>
      </c>
      <c r="U692" t="s">
        <v>13305</v>
      </c>
      <c r="V692" t="s">
        <v>13306</v>
      </c>
      <c r="W692" t="s">
        <v>13307</v>
      </c>
      <c r="X692" t="s">
        <v>11237</v>
      </c>
      <c r="Y692" t="s">
        <v>13308</v>
      </c>
      <c r="Z692" t="s">
        <v>11239</v>
      </c>
      <c r="AA692" t="s">
        <v>13309</v>
      </c>
      <c r="AB692" t="s">
        <v>13310</v>
      </c>
      <c r="AC692" t="s">
        <v>74</v>
      </c>
      <c r="AD692" t="s">
        <v>74</v>
      </c>
      <c r="AE692" t="s">
        <v>74</v>
      </c>
      <c r="AF692" t="s">
        <v>74</v>
      </c>
      <c r="AG692">
        <v>84</v>
      </c>
      <c r="AH692">
        <v>64</v>
      </c>
      <c r="AI692">
        <v>77</v>
      </c>
      <c r="AJ692">
        <v>4</v>
      </c>
      <c r="AK692">
        <v>45</v>
      </c>
      <c r="AL692" t="s">
        <v>4485</v>
      </c>
      <c r="AM692" t="s">
        <v>231</v>
      </c>
      <c r="AN692" t="s">
        <v>4486</v>
      </c>
      <c r="AO692" t="s">
        <v>6726</v>
      </c>
      <c r="AP692" t="s">
        <v>6727</v>
      </c>
      <c r="AQ692" t="s">
        <v>74</v>
      </c>
      <c r="AR692" t="s">
        <v>6728</v>
      </c>
      <c r="AS692" t="s">
        <v>6729</v>
      </c>
      <c r="AT692" t="s">
        <v>1540</v>
      </c>
      <c r="AU692">
        <v>2020</v>
      </c>
      <c r="AV692">
        <v>44</v>
      </c>
      <c r="AW692">
        <v>4</v>
      </c>
      <c r="AX692" t="s">
        <v>74</v>
      </c>
      <c r="AY692" t="s">
        <v>74</v>
      </c>
      <c r="AZ692" t="s">
        <v>74</v>
      </c>
      <c r="BA692" t="s">
        <v>74</v>
      </c>
      <c r="BB692" t="s">
        <v>74</v>
      </c>
      <c r="BC692" t="s">
        <v>74</v>
      </c>
      <c r="BD692">
        <v>101900</v>
      </c>
      <c r="BE692" t="s">
        <v>13311</v>
      </c>
      <c r="BF692" t="str">
        <f>HYPERLINK("http://dx.doi.org/10.1016/j.telpol.2019.101900","http://dx.doi.org/10.1016/j.telpol.2019.101900")</f>
        <v>http://dx.doi.org/10.1016/j.telpol.2019.101900</v>
      </c>
      <c r="BG692" t="s">
        <v>74</v>
      </c>
      <c r="BH692" t="s">
        <v>74</v>
      </c>
      <c r="BI692">
        <v>14</v>
      </c>
      <c r="BJ692" t="s">
        <v>6731</v>
      </c>
      <c r="BK692" t="s">
        <v>2623</v>
      </c>
      <c r="BL692" t="s">
        <v>6731</v>
      </c>
      <c r="BM692" t="s">
        <v>13312</v>
      </c>
      <c r="BN692" t="s">
        <v>74</v>
      </c>
      <c r="BO692" t="s">
        <v>74</v>
      </c>
      <c r="BP692" t="s">
        <v>74</v>
      </c>
      <c r="BQ692" t="s">
        <v>74</v>
      </c>
      <c r="BR692" t="s">
        <v>102</v>
      </c>
      <c r="BS692" t="s">
        <v>13313</v>
      </c>
      <c r="BT692" t="str">
        <f>HYPERLINK("https%3A%2F%2Fwww.webofscience.com%2Fwos%2Fwoscc%2Ffull-record%2FWOS:000531085100003","View Full Record in Web of Science")</f>
        <v>View Full Record in Web of Science</v>
      </c>
    </row>
    <row r="693" spans="1:72" x14ac:dyDescent="0.25">
      <c r="A693" t="s">
        <v>72</v>
      </c>
      <c r="B693" t="s">
        <v>13314</v>
      </c>
      <c r="C693" t="s">
        <v>74</v>
      </c>
      <c r="D693" t="s">
        <v>74</v>
      </c>
      <c r="E693" t="s">
        <v>74</v>
      </c>
      <c r="F693" t="s">
        <v>13315</v>
      </c>
      <c r="G693" t="s">
        <v>74</v>
      </c>
      <c r="H693" t="s">
        <v>74</v>
      </c>
      <c r="I693" t="s">
        <v>13316</v>
      </c>
      <c r="J693" t="s">
        <v>13317</v>
      </c>
      <c r="K693" t="s">
        <v>74</v>
      </c>
      <c r="L693" t="s">
        <v>74</v>
      </c>
      <c r="M693" t="s">
        <v>78</v>
      </c>
      <c r="N693" t="s">
        <v>79</v>
      </c>
      <c r="O693" t="s">
        <v>74</v>
      </c>
      <c r="P693" t="s">
        <v>74</v>
      </c>
      <c r="Q693" t="s">
        <v>74</v>
      </c>
      <c r="R693" t="s">
        <v>74</v>
      </c>
      <c r="S693" t="s">
        <v>74</v>
      </c>
      <c r="T693" t="s">
        <v>13318</v>
      </c>
      <c r="U693" t="s">
        <v>74</v>
      </c>
      <c r="V693" t="s">
        <v>13319</v>
      </c>
      <c r="W693" t="s">
        <v>13320</v>
      </c>
      <c r="X693" t="s">
        <v>13321</v>
      </c>
      <c r="Y693" t="s">
        <v>13322</v>
      </c>
      <c r="Z693" t="s">
        <v>13323</v>
      </c>
      <c r="AA693" t="s">
        <v>13324</v>
      </c>
      <c r="AB693" t="s">
        <v>13325</v>
      </c>
      <c r="AC693" t="s">
        <v>13326</v>
      </c>
      <c r="AD693" t="s">
        <v>13327</v>
      </c>
      <c r="AE693" t="s">
        <v>13328</v>
      </c>
      <c r="AF693" t="s">
        <v>74</v>
      </c>
      <c r="AG693">
        <v>28</v>
      </c>
      <c r="AH693">
        <v>12</v>
      </c>
      <c r="AI693">
        <v>14</v>
      </c>
      <c r="AJ693">
        <v>0</v>
      </c>
      <c r="AK693">
        <v>26</v>
      </c>
      <c r="AL693" t="s">
        <v>13329</v>
      </c>
      <c r="AM693" t="s">
        <v>13330</v>
      </c>
      <c r="AN693" t="s">
        <v>13331</v>
      </c>
      <c r="AO693" t="s">
        <v>13332</v>
      </c>
      <c r="AP693" t="s">
        <v>13333</v>
      </c>
      <c r="AQ693" t="s">
        <v>74</v>
      </c>
      <c r="AR693" t="s">
        <v>13334</v>
      </c>
      <c r="AS693" t="s">
        <v>13335</v>
      </c>
      <c r="AT693" t="s">
        <v>124</v>
      </c>
      <c r="AU693">
        <v>2020</v>
      </c>
      <c r="AV693">
        <v>28</v>
      </c>
      <c r="AW693">
        <v>4</v>
      </c>
      <c r="AX693" t="s">
        <v>74</v>
      </c>
      <c r="AY693" t="s">
        <v>74</v>
      </c>
      <c r="AZ693" t="s">
        <v>74</v>
      </c>
      <c r="BA693" t="s">
        <v>74</v>
      </c>
      <c r="BB693">
        <v>3223</v>
      </c>
      <c r="BC693">
        <v>3233</v>
      </c>
      <c r="BD693" t="s">
        <v>74</v>
      </c>
      <c r="BE693" t="s">
        <v>13336</v>
      </c>
      <c r="BF693" t="str">
        <f>HYPERLINK("http://dx.doi.org/10.47836/pjssh.28.4.40","http://dx.doi.org/10.47836/pjssh.28.4.40")</f>
        <v>http://dx.doi.org/10.47836/pjssh.28.4.40</v>
      </c>
      <c r="BG693" t="s">
        <v>74</v>
      </c>
      <c r="BH693" t="s">
        <v>74</v>
      </c>
      <c r="BI693">
        <v>11</v>
      </c>
      <c r="BJ693" t="s">
        <v>364</v>
      </c>
      <c r="BK693" t="s">
        <v>313</v>
      </c>
      <c r="BL693" t="s">
        <v>365</v>
      </c>
      <c r="BM693" t="s">
        <v>13337</v>
      </c>
      <c r="BN693" t="s">
        <v>74</v>
      </c>
      <c r="BO693" t="s">
        <v>270</v>
      </c>
      <c r="BP693" t="s">
        <v>74</v>
      </c>
      <c r="BQ693" t="s">
        <v>74</v>
      </c>
      <c r="BR693" t="s">
        <v>102</v>
      </c>
      <c r="BS693" t="s">
        <v>13338</v>
      </c>
      <c r="BT693" t="str">
        <f>HYPERLINK("https%3A%2F%2Fwww.webofscience.com%2Fwos%2Fwoscc%2Ffull-record%2FWOS:000603613900041","View Full Record in Web of Science")</f>
        <v>View Full Record in Web of Science</v>
      </c>
    </row>
    <row r="694" spans="1:72" x14ac:dyDescent="0.25">
      <c r="A694" t="s">
        <v>72</v>
      </c>
      <c r="B694" t="s">
        <v>13339</v>
      </c>
      <c r="C694" t="s">
        <v>74</v>
      </c>
      <c r="D694" t="s">
        <v>74</v>
      </c>
      <c r="E694" t="s">
        <v>74</v>
      </c>
      <c r="F694" t="s">
        <v>13340</v>
      </c>
      <c r="G694" t="s">
        <v>74</v>
      </c>
      <c r="H694" t="s">
        <v>74</v>
      </c>
      <c r="I694" t="s">
        <v>13341</v>
      </c>
      <c r="J694" t="s">
        <v>13342</v>
      </c>
      <c r="K694" t="s">
        <v>74</v>
      </c>
      <c r="L694" t="s">
        <v>74</v>
      </c>
      <c r="M694" t="s">
        <v>78</v>
      </c>
      <c r="N694" t="s">
        <v>79</v>
      </c>
      <c r="O694" t="s">
        <v>74</v>
      </c>
      <c r="P694" t="s">
        <v>74</v>
      </c>
      <c r="Q694" t="s">
        <v>74</v>
      </c>
      <c r="R694" t="s">
        <v>74</v>
      </c>
      <c r="S694" t="s">
        <v>74</v>
      </c>
      <c r="T694" t="s">
        <v>13343</v>
      </c>
      <c r="U694" t="s">
        <v>13344</v>
      </c>
      <c r="V694" t="s">
        <v>13345</v>
      </c>
      <c r="W694" t="s">
        <v>13346</v>
      </c>
      <c r="X694" t="s">
        <v>13347</v>
      </c>
      <c r="Y694" t="s">
        <v>13348</v>
      </c>
      <c r="Z694" t="s">
        <v>13349</v>
      </c>
      <c r="AA694" t="s">
        <v>13350</v>
      </c>
      <c r="AB694" t="s">
        <v>13351</v>
      </c>
      <c r="AC694" t="s">
        <v>74</v>
      </c>
      <c r="AD694" t="s">
        <v>74</v>
      </c>
      <c r="AE694" t="s">
        <v>74</v>
      </c>
      <c r="AF694" t="s">
        <v>74</v>
      </c>
      <c r="AG694">
        <v>59</v>
      </c>
      <c r="AH694">
        <v>12</v>
      </c>
      <c r="AI694">
        <v>17</v>
      </c>
      <c r="AJ694">
        <v>5</v>
      </c>
      <c r="AK694">
        <v>44</v>
      </c>
      <c r="AL694" t="s">
        <v>332</v>
      </c>
      <c r="AM694" t="s">
        <v>333</v>
      </c>
      <c r="AN694" t="s">
        <v>334</v>
      </c>
      <c r="AO694" t="s">
        <v>13352</v>
      </c>
      <c r="AP694" t="s">
        <v>13353</v>
      </c>
      <c r="AQ694" t="s">
        <v>74</v>
      </c>
      <c r="AR694" t="s">
        <v>13354</v>
      </c>
      <c r="AS694" t="s">
        <v>13355</v>
      </c>
      <c r="AT694" t="s">
        <v>958</v>
      </c>
      <c r="AU694">
        <v>2024</v>
      </c>
      <c r="AV694">
        <v>27</v>
      </c>
      <c r="AW694">
        <v>3</v>
      </c>
      <c r="AX694" t="s">
        <v>74</v>
      </c>
      <c r="AY694" t="s">
        <v>74</v>
      </c>
      <c r="AZ694" t="s">
        <v>441</v>
      </c>
      <c r="BA694" t="s">
        <v>74</v>
      </c>
      <c r="BB694">
        <v>316</v>
      </c>
      <c r="BC694">
        <v>330</v>
      </c>
      <c r="BD694" t="s">
        <v>74</v>
      </c>
      <c r="BE694" t="s">
        <v>13356</v>
      </c>
      <c r="BF694" t="str">
        <f>HYPERLINK("http://dx.doi.org/10.1080/17487870.2023.2275036","http://dx.doi.org/10.1080/17487870.2023.2275036")</f>
        <v>http://dx.doi.org/10.1080/17487870.2023.2275036</v>
      </c>
      <c r="BG694" t="s">
        <v>74</v>
      </c>
      <c r="BH694" t="s">
        <v>3535</v>
      </c>
      <c r="BI694">
        <v>15</v>
      </c>
      <c r="BJ694" t="s">
        <v>701</v>
      </c>
      <c r="BK694" t="s">
        <v>99</v>
      </c>
      <c r="BL694" t="s">
        <v>702</v>
      </c>
      <c r="BM694" t="s">
        <v>13357</v>
      </c>
      <c r="BN694" t="s">
        <v>74</v>
      </c>
      <c r="BO694" t="s">
        <v>74</v>
      </c>
      <c r="BP694" t="s">
        <v>74</v>
      </c>
      <c r="BQ694" t="s">
        <v>74</v>
      </c>
      <c r="BR694" t="s">
        <v>102</v>
      </c>
      <c r="BS694" t="s">
        <v>13358</v>
      </c>
      <c r="BT694" t="str">
        <f>HYPERLINK("https%3A%2F%2Fwww.webofscience.com%2Fwos%2Fwoscc%2Ffull-record%2FWOS:001102716100001","View Full Record in Web of Science")</f>
        <v>View Full Record in Web of Science</v>
      </c>
    </row>
    <row r="695" spans="1:72" x14ac:dyDescent="0.25">
      <c r="A695" t="s">
        <v>132</v>
      </c>
      <c r="B695" t="s">
        <v>13359</v>
      </c>
      <c r="C695" t="s">
        <v>74</v>
      </c>
      <c r="D695" t="s">
        <v>13360</v>
      </c>
      <c r="E695" t="s">
        <v>74</v>
      </c>
      <c r="F695" t="s">
        <v>13361</v>
      </c>
      <c r="G695" t="s">
        <v>74</v>
      </c>
      <c r="H695" t="s">
        <v>74</v>
      </c>
      <c r="I695" t="s">
        <v>13362</v>
      </c>
      <c r="J695" t="s">
        <v>13363</v>
      </c>
      <c r="K695" t="s">
        <v>13364</v>
      </c>
      <c r="L695" t="s">
        <v>74</v>
      </c>
      <c r="M695" t="s">
        <v>78</v>
      </c>
      <c r="N695" t="s">
        <v>138</v>
      </c>
      <c r="O695" t="s">
        <v>13365</v>
      </c>
      <c r="P695" t="s">
        <v>13366</v>
      </c>
      <c r="Q695" t="s">
        <v>13367</v>
      </c>
      <c r="R695" t="s">
        <v>13368</v>
      </c>
      <c r="S695" t="s">
        <v>74</v>
      </c>
      <c r="T695" t="s">
        <v>13369</v>
      </c>
      <c r="U695" t="s">
        <v>74</v>
      </c>
      <c r="V695" t="s">
        <v>13370</v>
      </c>
      <c r="W695" t="s">
        <v>13371</v>
      </c>
      <c r="X695" t="s">
        <v>3162</v>
      </c>
      <c r="Y695" t="s">
        <v>13372</v>
      </c>
      <c r="Z695" t="s">
        <v>13373</v>
      </c>
      <c r="AA695" t="s">
        <v>74</v>
      </c>
      <c r="AB695" t="s">
        <v>74</v>
      </c>
      <c r="AC695" t="s">
        <v>74</v>
      </c>
      <c r="AD695" t="s">
        <v>74</v>
      </c>
      <c r="AE695" t="s">
        <v>74</v>
      </c>
      <c r="AF695" t="s">
        <v>74</v>
      </c>
      <c r="AG695">
        <v>19</v>
      </c>
      <c r="AH695">
        <v>0</v>
      </c>
      <c r="AI695">
        <v>0</v>
      </c>
      <c r="AJ695">
        <v>0</v>
      </c>
      <c r="AK695">
        <v>0</v>
      </c>
      <c r="AL695" t="s">
        <v>13374</v>
      </c>
      <c r="AM695" t="s">
        <v>13375</v>
      </c>
      <c r="AN695" t="s">
        <v>13376</v>
      </c>
      <c r="AO695" t="s">
        <v>13377</v>
      </c>
      <c r="AP695" t="s">
        <v>13378</v>
      </c>
      <c r="AQ695" t="s">
        <v>13379</v>
      </c>
      <c r="AR695" t="s">
        <v>13380</v>
      </c>
      <c r="AS695" t="s">
        <v>74</v>
      </c>
      <c r="AT695" t="s">
        <v>74</v>
      </c>
      <c r="AU695">
        <v>2025</v>
      </c>
      <c r="AV695">
        <v>39</v>
      </c>
      <c r="AW695" t="s">
        <v>74</v>
      </c>
      <c r="AX695" t="s">
        <v>74</v>
      </c>
      <c r="AY695" t="s">
        <v>74</v>
      </c>
      <c r="AZ695" t="s">
        <v>74</v>
      </c>
      <c r="BA695" t="s">
        <v>74</v>
      </c>
      <c r="BB695">
        <v>131</v>
      </c>
      <c r="BC695">
        <v>138</v>
      </c>
      <c r="BD695" t="s">
        <v>74</v>
      </c>
      <c r="BE695" t="s">
        <v>74</v>
      </c>
      <c r="BF695" t="s">
        <v>74</v>
      </c>
      <c r="BG695" t="s">
        <v>74</v>
      </c>
      <c r="BH695" t="s">
        <v>74</v>
      </c>
      <c r="BI695">
        <v>8</v>
      </c>
      <c r="BJ695" t="s">
        <v>13381</v>
      </c>
      <c r="BK695" t="s">
        <v>156</v>
      </c>
      <c r="BL695" t="s">
        <v>13382</v>
      </c>
      <c r="BM695" t="s">
        <v>13383</v>
      </c>
      <c r="BN695" t="s">
        <v>74</v>
      </c>
      <c r="BO695" t="s">
        <v>74</v>
      </c>
      <c r="BP695" t="s">
        <v>74</v>
      </c>
      <c r="BQ695" t="s">
        <v>74</v>
      </c>
      <c r="BR695" t="s">
        <v>102</v>
      </c>
      <c r="BS695" t="s">
        <v>13384</v>
      </c>
      <c r="BT695" t="str">
        <f>HYPERLINK("https%3A%2F%2Fwww.webofscience.com%2Fwos%2Fwoscc%2Ffull-record%2FWOS:001572352000017","View Full Record in Web of Science")</f>
        <v>View Full Record in Web of Science</v>
      </c>
    </row>
    <row r="696" spans="1:72" x14ac:dyDescent="0.25">
      <c r="A696" t="s">
        <v>72</v>
      </c>
      <c r="B696" t="s">
        <v>13385</v>
      </c>
      <c r="C696" t="s">
        <v>74</v>
      </c>
      <c r="D696" t="s">
        <v>74</v>
      </c>
      <c r="E696" t="s">
        <v>74</v>
      </c>
      <c r="F696" t="s">
        <v>13386</v>
      </c>
      <c r="G696" t="s">
        <v>74</v>
      </c>
      <c r="H696" t="s">
        <v>74</v>
      </c>
      <c r="I696" t="s">
        <v>13387</v>
      </c>
      <c r="J696" t="s">
        <v>6283</v>
      </c>
      <c r="K696" t="s">
        <v>74</v>
      </c>
      <c r="L696" t="s">
        <v>74</v>
      </c>
      <c r="M696" t="s">
        <v>78</v>
      </c>
      <c r="N696" t="s">
        <v>79</v>
      </c>
      <c r="O696" t="s">
        <v>74</v>
      </c>
      <c r="P696" t="s">
        <v>74</v>
      </c>
      <c r="Q696" t="s">
        <v>74</v>
      </c>
      <c r="R696" t="s">
        <v>74</v>
      </c>
      <c r="S696" t="s">
        <v>74</v>
      </c>
      <c r="T696" t="s">
        <v>13388</v>
      </c>
      <c r="U696" t="s">
        <v>74</v>
      </c>
      <c r="V696" t="s">
        <v>13389</v>
      </c>
      <c r="W696" t="s">
        <v>13390</v>
      </c>
      <c r="X696" t="s">
        <v>13391</v>
      </c>
      <c r="Y696" t="s">
        <v>13392</v>
      </c>
      <c r="Z696" t="s">
        <v>13393</v>
      </c>
      <c r="AA696" t="s">
        <v>13394</v>
      </c>
      <c r="AB696" t="s">
        <v>74</v>
      </c>
      <c r="AC696" t="s">
        <v>13395</v>
      </c>
      <c r="AD696" t="s">
        <v>13396</v>
      </c>
      <c r="AE696" t="s">
        <v>13397</v>
      </c>
      <c r="AF696" t="s">
        <v>74</v>
      </c>
      <c r="AG696">
        <v>54</v>
      </c>
      <c r="AH696">
        <v>5</v>
      </c>
      <c r="AI696">
        <v>7</v>
      </c>
      <c r="AJ696">
        <v>1</v>
      </c>
      <c r="AK696">
        <v>49</v>
      </c>
      <c r="AL696" t="s">
        <v>479</v>
      </c>
      <c r="AM696" t="s">
        <v>480</v>
      </c>
      <c r="AN696" t="s">
        <v>481</v>
      </c>
      <c r="AO696" t="s">
        <v>6293</v>
      </c>
      <c r="AP696" t="s">
        <v>6294</v>
      </c>
      <c r="AQ696" t="s">
        <v>74</v>
      </c>
      <c r="AR696" t="s">
        <v>6295</v>
      </c>
      <c r="AS696" t="s">
        <v>6296</v>
      </c>
      <c r="AT696" t="s">
        <v>124</v>
      </c>
      <c r="AU696">
        <v>2022</v>
      </c>
      <c r="AV696">
        <v>30</v>
      </c>
      <c r="AW696">
        <v>6</v>
      </c>
      <c r="AX696" t="s">
        <v>74</v>
      </c>
      <c r="AY696" t="s">
        <v>74</v>
      </c>
      <c r="AZ696" t="s">
        <v>74</v>
      </c>
      <c r="BA696" t="s">
        <v>74</v>
      </c>
      <c r="BB696">
        <v>1911</v>
      </c>
      <c r="BC696">
        <v>1920</v>
      </c>
      <c r="BD696" t="s">
        <v>74</v>
      </c>
      <c r="BE696" t="s">
        <v>13398</v>
      </c>
      <c r="BF696" t="str">
        <f>HYPERLINK("http://dx.doi.org/10.1002/sd.2358","http://dx.doi.org/10.1002/sd.2358")</f>
        <v>http://dx.doi.org/10.1002/sd.2358</v>
      </c>
      <c r="BG696" t="s">
        <v>74</v>
      </c>
      <c r="BH696" t="s">
        <v>126</v>
      </c>
      <c r="BI696">
        <v>10</v>
      </c>
      <c r="BJ696" t="s">
        <v>6299</v>
      </c>
      <c r="BK696" t="s">
        <v>99</v>
      </c>
      <c r="BL696" t="s">
        <v>6300</v>
      </c>
      <c r="BM696" t="s">
        <v>13399</v>
      </c>
      <c r="BN696" t="s">
        <v>74</v>
      </c>
      <c r="BO696" t="s">
        <v>74</v>
      </c>
      <c r="BP696" t="s">
        <v>74</v>
      </c>
      <c r="BQ696" t="s">
        <v>74</v>
      </c>
      <c r="BR696" t="s">
        <v>102</v>
      </c>
      <c r="BS696" t="s">
        <v>13400</v>
      </c>
      <c r="BT696" t="str">
        <f>HYPERLINK("https%3A%2F%2Fwww.webofscience.com%2Fwos%2Fwoscc%2Ffull-record%2FWOS:000819650900001","View Full Record in Web of Science")</f>
        <v>View Full Record in Web of Science</v>
      </c>
    </row>
    <row r="697" spans="1:72" x14ac:dyDescent="0.25">
      <c r="A697" t="s">
        <v>132</v>
      </c>
      <c r="B697" t="s">
        <v>13401</v>
      </c>
      <c r="C697" t="s">
        <v>74</v>
      </c>
      <c r="D697" t="s">
        <v>13402</v>
      </c>
      <c r="E697" t="s">
        <v>74</v>
      </c>
      <c r="F697" t="s">
        <v>13403</v>
      </c>
      <c r="G697" t="s">
        <v>74</v>
      </c>
      <c r="H697" t="s">
        <v>74</v>
      </c>
      <c r="I697" t="s">
        <v>13404</v>
      </c>
      <c r="J697" t="s">
        <v>13405</v>
      </c>
      <c r="K697" t="s">
        <v>1049</v>
      </c>
      <c r="L697" t="s">
        <v>74</v>
      </c>
      <c r="M697" t="s">
        <v>78</v>
      </c>
      <c r="N697" t="s">
        <v>138</v>
      </c>
      <c r="O697" t="s">
        <v>13406</v>
      </c>
      <c r="P697" t="s">
        <v>13407</v>
      </c>
      <c r="Q697" t="s">
        <v>13408</v>
      </c>
      <c r="R697" t="s">
        <v>74</v>
      </c>
      <c r="S697" t="s">
        <v>74</v>
      </c>
      <c r="T697" t="s">
        <v>13409</v>
      </c>
      <c r="U697" t="s">
        <v>74</v>
      </c>
      <c r="V697" t="s">
        <v>13410</v>
      </c>
      <c r="W697" t="s">
        <v>13411</v>
      </c>
      <c r="X697" t="s">
        <v>13412</v>
      </c>
      <c r="Y697" t="s">
        <v>13413</v>
      </c>
      <c r="Z697" t="s">
        <v>13414</v>
      </c>
      <c r="AA697" t="s">
        <v>74</v>
      </c>
      <c r="AB697" t="s">
        <v>74</v>
      </c>
      <c r="AC697" t="s">
        <v>74</v>
      </c>
      <c r="AD697" t="s">
        <v>74</v>
      </c>
      <c r="AE697" t="s">
        <v>74</v>
      </c>
      <c r="AF697" t="s">
        <v>74</v>
      </c>
      <c r="AG697">
        <v>16</v>
      </c>
      <c r="AH697">
        <v>1</v>
      </c>
      <c r="AI697">
        <v>2</v>
      </c>
      <c r="AJ697">
        <v>5</v>
      </c>
      <c r="AK697">
        <v>14</v>
      </c>
      <c r="AL697" t="s">
        <v>1062</v>
      </c>
      <c r="AM697" t="s">
        <v>667</v>
      </c>
      <c r="AN697" t="s">
        <v>668</v>
      </c>
      <c r="AO697" t="s">
        <v>1063</v>
      </c>
      <c r="AP697" t="s">
        <v>1064</v>
      </c>
      <c r="AQ697" t="s">
        <v>13415</v>
      </c>
      <c r="AR697" t="s">
        <v>1066</v>
      </c>
      <c r="AS697" t="s">
        <v>74</v>
      </c>
      <c r="AT697" t="s">
        <v>74</v>
      </c>
      <c r="AU697">
        <v>2024</v>
      </c>
      <c r="AV697">
        <v>1099</v>
      </c>
      <c r="AW697" t="s">
        <v>74</v>
      </c>
      <c r="AX697" t="s">
        <v>74</v>
      </c>
      <c r="AY697" t="s">
        <v>74</v>
      </c>
      <c r="AZ697" t="s">
        <v>74</v>
      </c>
      <c r="BA697" t="s">
        <v>74</v>
      </c>
      <c r="BB697">
        <v>205</v>
      </c>
      <c r="BC697">
        <v>215</v>
      </c>
      <c r="BD697" t="s">
        <v>74</v>
      </c>
      <c r="BE697" t="s">
        <v>13416</v>
      </c>
      <c r="BF697" t="str">
        <f>HYPERLINK("http://dx.doi.org/10.1007/978-3-031-68653-5_20","http://dx.doi.org/10.1007/978-3-031-68653-5_20")</f>
        <v>http://dx.doi.org/10.1007/978-3-031-68653-5_20</v>
      </c>
      <c r="BG697" t="s">
        <v>74</v>
      </c>
      <c r="BH697" t="s">
        <v>74</v>
      </c>
      <c r="BI697">
        <v>11</v>
      </c>
      <c r="BJ697" t="s">
        <v>2111</v>
      </c>
      <c r="BK697" t="s">
        <v>156</v>
      </c>
      <c r="BL697" t="s">
        <v>157</v>
      </c>
      <c r="BM697" t="s">
        <v>13417</v>
      </c>
      <c r="BN697" t="s">
        <v>74</v>
      </c>
      <c r="BO697" t="s">
        <v>74</v>
      </c>
      <c r="BP697" t="s">
        <v>74</v>
      </c>
      <c r="BQ697" t="s">
        <v>74</v>
      </c>
      <c r="BR697" t="s">
        <v>102</v>
      </c>
      <c r="BS697" t="s">
        <v>13418</v>
      </c>
      <c r="BT697" t="str">
        <f>HYPERLINK("https%3A%2F%2Fwww.webofscience.com%2Fwos%2Fwoscc%2Ffull-record%2FWOS:001329109200020","View Full Record in Web of Science")</f>
        <v>View Full Record in Web of Science</v>
      </c>
    </row>
    <row r="698" spans="1:72" x14ac:dyDescent="0.25">
      <c r="A698" t="s">
        <v>72</v>
      </c>
      <c r="B698" t="s">
        <v>13419</v>
      </c>
      <c r="C698" t="s">
        <v>74</v>
      </c>
      <c r="D698" t="s">
        <v>74</v>
      </c>
      <c r="E698" t="s">
        <v>74</v>
      </c>
      <c r="F698" t="s">
        <v>13420</v>
      </c>
      <c r="G698" t="s">
        <v>74</v>
      </c>
      <c r="H698" t="s">
        <v>74</v>
      </c>
      <c r="I698" t="s">
        <v>13421</v>
      </c>
      <c r="J698" t="s">
        <v>4956</v>
      </c>
      <c r="K698" t="s">
        <v>74</v>
      </c>
      <c r="L698" t="s">
        <v>74</v>
      </c>
      <c r="M698" t="s">
        <v>78</v>
      </c>
      <c r="N698" t="s">
        <v>79</v>
      </c>
      <c r="O698" t="s">
        <v>74</v>
      </c>
      <c r="P698" t="s">
        <v>74</v>
      </c>
      <c r="Q698" t="s">
        <v>74</v>
      </c>
      <c r="R698" t="s">
        <v>74</v>
      </c>
      <c r="S698" t="s">
        <v>74</v>
      </c>
      <c r="T698" t="s">
        <v>13422</v>
      </c>
      <c r="U698" t="s">
        <v>13423</v>
      </c>
      <c r="V698" t="s">
        <v>13424</v>
      </c>
      <c r="W698" t="s">
        <v>13425</v>
      </c>
      <c r="X698" t="s">
        <v>734</v>
      </c>
      <c r="Y698" t="s">
        <v>13426</v>
      </c>
      <c r="Z698" t="s">
        <v>13427</v>
      </c>
      <c r="AA698" t="s">
        <v>5086</v>
      </c>
      <c r="AB698" t="s">
        <v>13428</v>
      </c>
      <c r="AC698" t="s">
        <v>13429</v>
      </c>
      <c r="AD698" t="s">
        <v>13430</v>
      </c>
      <c r="AE698" t="s">
        <v>13431</v>
      </c>
      <c r="AF698" t="s">
        <v>74</v>
      </c>
      <c r="AG698">
        <v>32</v>
      </c>
      <c r="AH698">
        <v>16</v>
      </c>
      <c r="AI698">
        <v>18</v>
      </c>
      <c r="AJ698">
        <v>0</v>
      </c>
      <c r="AK698">
        <v>8</v>
      </c>
      <c r="AL698" t="s">
        <v>230</v>
      </c>
      <c r="AM698" t="s">
        <v>231</v>
      </c>
      <c r="AN698" t="s">
        <v>232</v>
      </c>
      <c r="AO698" t="s">
        <v>4966</v>
      </c>
      <c r="AP698" t="s">
        <v>4967</v>
      </c>
      <c r="AQ698" t="s">
        <v>74</v>
      </c>
      <c r="AR698" t="s">
        <v>4968</v>
      </c>
      <c r="AS698" t="s">
        <v>4969</v>
      </c>
      <c r="AT698" t="s">
        <v>1159</v>
      </c>
      <c r="AU698">
        <v>2021</v>
      </c>
      <c r="AV698">
        <v>146</v>
      </c>
      <c r="AW698" t="s">
        <v>74</v>
      </c>
      <c r="AX698" t="s">
        <v>74</v>
      </c>
      <c r="AY698" t="s">
        <v>74</v>
      </c>
      <c r="AZ698" t="s">
        <v>74</v>
      </c>
      <c r="BA698" t="s">
        <v>74</v>
      </c>
      <c r="BB698" t="s">
        <v>74</v>
      </c>
      <c r="BC698" t="s">
        <v>74</v>
      </c>
      <c r="BD698">
        <v>105551</v>
      </c>
      <c r="BE698" t="s">
        <v>13432</v>
      </c>
      <c r="BF698" t="str">
        <f>HYPERLINK("http://dx.doi.org/10.1016/j.worlddev.2021.105551","http://dx.doi.org/10.1016/j.worlddev.2021.105551")</f>
        <v>http://dx.doi.org/10.1016/j.worlddev.2021.105551</v>
      </c>
      <c r="BG698" t="s">
        <v>74</v>
      </c>
      <c r="BH698" t="s">
        <v>4575</v>
      </c>
      <c r="BI698">
        <v>14</v>
      </c>
      <c r="BJ698" t="s">
        <v>701</v>
      </c>
      <c r="BK698" t="s">
        <v>99</v>
      </c>
      <c r="BL698" t="s">
        <v>702</v>
      </c>
      <c r="BM698" t="s">
        <v>13433</v>
      </c>
      <c r="BN698" t="s">
        <v>74</v>
      </c>
      <c r="BO698" t="s">
        <v>74</v>
      </c>
      <c r="BP698" t="s">
        <v>74</v>
      </c>
      <c r="BQ698" t="s">
        <v>74</v>
      </c>
      <c r="BR698" t="s">
        <v>102</v>
      </c>
      <c r="BS698" t="s">
        <v>13434</v>
      </c>
      <c r="BT698" t="str">
        <f>HYPERLINK("https%3A%2F%2Fwww.webofscience.com%2Fwos%2Fwoscc%2Ffull-record%2FWOS:000681210900018","View Full Record in Web of Science")</f>
        <v>View Full Record in Web of Science</v>
      </c>
    </row>
    <row r="699" spans="1:72" x14ac:dyDescent="0.25">
      <c r="A699" t="s">
        <v>72</v>
      </c>
      <c r="B699" t="s">
        <v>13435</v>
      </c>
      <c r="C699" t="s">
        <v>74</v>
      </c>
      <c r="D699" t="s">
        <v>74</v>
      </c>
      <c r="E699" t="s">
        <v>74</v>
      </c>
      <c r="F699" t="s">
        <v>13436</v>
      </c>
      <c r="G699" t="s">
        <v>74</v>
      </c>
      <c r="H699" t="s">
        <v>74</v>
      </c>
      <c r="I699" t="s">
        <v>13437</v>
      </c>
      <c r="J699" t="s">
        <v>13438</v>
      </c>
      <c r="K699" t="s">
        <v>74</v>
      </c>
      <c r="L699" t="s">
        <v>74</v>
      </c>
      <c r="M699" t="s">
        <v>78</v>
      </c>
      <c r="N699" t="s">
        <v>79</v>
      </c>
      <c r="O699" t="s">
        <v>74</v>
      </c>
      <c r="P699" t="s">
        <v>74</v>
      </c>
      <c r="Q699" t="s">
        <v>74</v>
      </c>
      <c r="R699" t="s">
        <v>74</v>
      </c>
      <c r="S699" t="s">
        <v>74</v>
      </c>
      <c r="T699" t="s">
        <v>13439</v>
      </c>
      <c r="U699" t="s">
        <v>13440</v>
      </c>
      <c r="V699" t="s">
        <v>13441</v>
      </c>
      <c r="W699" t="s">
        <v>13442</v>
      </c>
      <c r="X699" t="s">
        <v>74</v>
      </c>
      <c r="Y699" t="s">
        <v>13443</v>
      </c>
      <c r="Z699" t="s">
        <v>13444</v>
      </c>
      <c r="AA699" t="s">
        <v>74</v>
      </c>
      <c r="AB699" t="s">
        <v>74</v>
      </c>
      <c r="AC699" t="s">
        <v>74</v>
      </c>
      <c r="AD699" t="s">
        <v>74</v>
      </c>
      <c r="AE699" t="s">
        <v>74</v>
      </c>
      <c r="AF699" t="s">
        <v>74</v>
      </c>
      <c r="AG699">
        <v>56</v>
      </c>
      <c r="AH699">
        <v>0</v>
      </c>
      <c r="AI699">
        <v>0</v>
      </c>
      <c r="AJ699">
        <v>0</v>
      </c>
      <c r="AK699">
        <v>5</v>
      </c>
      <c r="AL699" t="s">
        <v>13445</v>
      </c>
      <c r="AM699" t="s">
        <v>7167</v>
      </c>
      <c r="AN699" t="s">
        <v>13446</v>
      </c>
      <c r="AO699" t="s">
        <v>13447</v>
      </c>
      <c r="AP699" t="s">
        <v>13448</v>
      </c>
      <c r="AQ699" t="s">
        <v>74</v>
      </c>
      <c r="AR699" t="s">
        <v>13449</v>
      </c>
      <c r="AS699" t="s">
        <v>13450</v>
      </c>
      <c r="AT699" t="s">
        <v>74</v>
      </c>
      <c r="AU699">
        <v>2021</v>
      </c>
      <c r="AV699" t="s">
        <v>74</v>
      </c>
      <c r="AW699">
        <v>53</v>
      </c>
      <c r="AX699" t="s">
        <v>74</v>
      </c>
      <c r="AY699" t="s">
        <v>74</v>
      </c>
      <c r="AZ699" t="s">
        <v>74</v>
      </c>
      <c r="BA699" t="s">
        <v>74</v>
      </c>
      <c r="BB699">
        <v>123</v>
      </c>
      <c r="BC699">
        <v>146</v>
      </c>
      <c r="BD699" t="s">
        <v>74</v>
      </c>
      <c r="BE699" t="s">
        <v>74</v>
      </c>
      <c r="BF699" t="s">
        <v>74</v>
      </c>
      <c r="BG699" t="s">
        <v>74</v>
      </c>
      <c r="BH699" t="s">
        <v>74</v>
      </c>
      <c r="BI699">
        <v>24</v>
      </c>
      <c r="BJ699" t="s">
        <v>291</v>
      </c>
      <c r="BK699" t="s">
        <v>313</v>
      </c>
      <c r="BL699" t="s">
        <v>100</v>
      </c>
      <c r="BM699" t="s">
        <v>13451</v>
      </c>
      <c r="BN699" t="s">
        <v>74</v>
      </c>
      <c r="BO699" t="s">
        <v>74</v>
      </c>
      <c r="BP699" t="s">
        <v>74</v>
      </c>
      <c r="BQ699" t="s">
        <v>74</v>
      </c>
      <c r="BR699" t="s">
        <v>102</v>
      </c>
      <c r="BS699" t="s">
        <v>13452</v>
      </c>
      <c r="BT699" t="str">
        <f>HYPERLINK("https%3A%2F%2Fwww.webofscience.com%2Fwos%2Fwoscc%2Ffull-record%2FWOS:000728237300006","View Full Record in Web of Science")</f>
        <v>View Full Record in Web of Science</v>
      </c>
    </row>
    <row r="700" spans="1:72" x14ac:dyDescent="0.25">
      <c r="A700" t="s">
        <v>72</v>
      </c>
      <c r="B700" t="s">
        <v>13453</v>
      </c>
      <c r="C700" t="s">
        <v>74</v>
      </c>
      <c r="D700" t="s">
        <v>74</v>
      </c>
      <c r="E700" t="s">
        <v>74</v>
      </c>
      <c r="F700" t="s">
        <v>13454</v>
      </c>
      <c r="G700" t="s">
        <v>74</v>
      </c>
      <c r="H700" t="s">
        <v>74</v>
      </c>
      <c r="I700" t="s">
        <v>13455</v>
      </c>
      <c r="J700" t="s">
        <v>10210</v>
      </c>
      <c r="K700" t="s">
        <v>74</v>
      </c>
      <c r="L700" t="s">
        <v>74</v>
      </c>
      <c r="M700" t="s">
        <v>78</v>
      </c>
      <c r="N700" t="s">
        <v>79</v>
      </c>
      <c r="O700" t="s">
        <v>74</v>
      </c>
      <c r="P700" t="s">
        <v>74</v>
      </c>
      <c r="Q700" t="s">
        <v>74</v>
      </c>
      <c r="R700" t="s">
        <v>74</v>
      </c>
      <c r="S700" t="s">
        <v>74</v>
      </c>
      <c r="T700" t="s">
        <v>13456</v>
      </c>
      <c r="U700" t="s">
        <v>13457</v>
      </c>
      <c r="V700" t="s">
        <v>13458</v>
      </c>
      <c r="W700" t="s">
        <v>13459</v>
      </c>
      <c r="X700" t="s">
        <v>13460</v>
      </c>
      <c r="Y700" t="s">
        <v>13461</v>
      </c>
      <c r="Z700" t="s">
        <v>74</v>
      </c>
      <c r="AA700" t="s">
        <v>74</v>
      </c>
      <c r="AB700" t="s">
        <v>13462</v>
      </c>
      <c r="AC700" t="s">
        <v>74</v>
      </c>
      <c r="AD700" t="s">
        <v>74</v>
      </c>
      <c r="AE700" t="s">
        <v>74</v>
      </c>
      <c r="AF700" t="s">
        <v>74</v>
      </c>
      <c r="AG700">
        <v>50</v>
      </c>
      <c r="AH700">
        <v>1</v>
      </c>
      <c r="AI700">
        <v>1</v>
      </c>
      <c r="AJ700">
        <v>1</v>
      </c>
      <c r="AK700">
        <v>8</v>
      </c>
      <c r="AL700" t="s">
        <v>7551</v>
      </c>
      <c r="AM700" t="s">
        <v>7552</v>
      </c>
      <c r="AN700" t="s">
        <v>7553</v>
      </c>
      <c r="AO700" t="s">
        <v>10218</v>
      </c>
      <c r="AP700" t="s">
        <v>10219</v>
      </c>
      <c r="AQ700" t="s">
        <v>74</v>
      </c>
      <c r="AR700" t="s">
        <v>10220</v>
      </c>
      <c r="AS700" t="s">
        <v>10221</v>
      </c>
      <c r="AT700" t="s">
        <v>74</v>
      </c>
      <c r="AU700">
        <v>2022</v>
      </c>
      <c r="AV700">
        <v>18</v>
      </c>
      <c r="AW700">
        <v>1</v>
      </c>
      <c r="AX700" t="s">
        <v>74</v>
      </c>
      <c r="AY700" t="s">
        <v>74</v>
      </c>
      <c r="AZ700" t="s">
        <v>74</v>
      </c>
      <c r="BA700" t="s">
        <v>74</v>
      </c>
      <c r="BB700" t="s">
        <v>74</v>
      </c>
      <c r="BC700" t="s">
        <v>74</v>
      </c>
      <c r="BD700" t="s">
        <v>74</v>
      </c>
      <c r="BE700" t="s">
        <v>13463</v>
      </c>
      <c r="BF700" t="str">
        <f>HYPERLINK("http://dx.doi.org/10.4018/IJEBR.316147","http://dx.doi.org/10.4018/IJEBR.316147")</f>
        <v>http://dx.doi.org/10.4018/IJEBR.316147</v>
      </c>
      <c r="BG700" t="s">
        <v>74</v>
      </c>
      <c r="BH700" t="s">
        <v>74</v>
      </c>
      <c r="BI700">
        <v>15</v>
      </c>
      <c r="BJ700" t="s">
        <v>418</v>
      </c>
      <c r="BK700" t="s">
        <v>313</v>
      </c>
      <c r="BL700" t="s">
        <v>100</v>
      </c>
      <c r="BM700" t="s">
        <v>13464</v>
      </c>
      <c r="BN700" t="s">
        <v>74</v>
      </c>
      <c r="BO700" t="s">
        <v>212</v>
      </c>
      <c r="BP700" t="s">
        <v>74</v>
      </c>
      <c r="BQ700" t="s">
        <v>74</v>
      </c>
      <c r="BR700" t="s">
        <v>102</v>
      </c>
      <c r="BS700" t="s">
        <v>13465</v>
      </c>
      <c r="BT700" t="str">
        <f>HYPERLINK("https%3A%2F%2Fwww.webofscience.com%2Fwos%2Fwoscc%2Ffull-record%2FWOS:001123290200005","View Full Record in Web of Science")</f>
        <v>View Full Record in Web of Science</v>
      </c>
    </row>
    <row r="701" spans="1:72" x14ac:dyDescent="0.25">
      <c r="A701" t="s">
        <v>72</v>
      </c>
      <c r="B701" t="s">
        <v>1140</v>
      </c>
      <c r="C701" t="s">
        <v>74</v>
      </c>
      <c r="D701" t="s">
        <v>74</v>
      </c>
      <c r="E701" t="s">
        <v>74</v>
      </c>
      <c r="F701" t="s">
        <v>1141</v>
      </c>
      <c r="G701" t="s">
        <v>74</v>
      </c>
      <c r="H701" t="s">
        <v>74</v>
      </c>
      <c r="I701" t="s">
        <v>13466</v>
      </c>
      <c r="J701" t="s">
        <v>656</v>
      </c>
      <c r="K701" t="s">
        <v>74</v>
      </c>
      <c r="L701" t="s">
        <v>74</v>
      </c>
      <c r="M701" t="s">
        <v>78</v>
      </c>
      <c r="N701" t="s">
        <v>79</v>
      </c>
      <c r="O701" t="s">
        <v>74</v>
      </c>
      <c r="P701" t="s">
        <v>74</v>
      </c>
      <c r="Q701" t="s">
        <v>74</v>
      </c>
      <c r="R701" t="s">
        <v>74</v>
      </c>
      <c r="S701" t="s">
        <v>74</v>
      </c>
      <c r="T701" t="s">
        <v>13467</v>
      </c>
      <c r="U701" t="s">
        <v>2964</v>
      </c>
      <c r="V701" t="s">
        <v>13468</v>
      </c>
      <c r="W701" t="s">
        <v>13469</v>
      </c>
      <c r="X701" t="s">
        <v>1148</v>
      </c>
      <c r="Y701" t="s">
        <v>3258</v>
      </c>
      <c r="Z701" t="s">
        <v>13470</v>
      </c>
      <c r="AA701" t="s">
        <v>1151</v>
      </c>
      <c r="AB701" t="s">
        <v>1152</v>
      </c>
      <c r="AC701" t="s">
        <v>74</v>
      </c>
      <c r="AD701" t="s">
        <v>74</v>
      </c>
      <c r="AE701" t="s">
        <v>74</v>
      </c>
      <c r="AF701" t="s">
        <v>74</v>
      </c>
      <c r="AG701">
        <v>44</v>
      </c>
      <c r="AH701">
        <v>37</v>
      </c>
      <c r="AI701">
        <v>53</v>
      </c>
      <c r="AJ701">
        <v>0</v>
      </c>
      <c r="AK701">
        <v>23</v>
      </c>
      <c r="AL701" t="s">
        <v>1062</v>
      </c>
      <c r="AM701" t="s">
        <v>667</v>
      </c>
      <c r="AN701" t="s">
        <v>668</v>
      </c>
      <c r="AO701" t="s">
        <v>669</v>
      </c>
      <c r="AP701" t="s">
        <v>670</v>
      </c>
      <c r="AQ701" t="s">
        <v>74</v>
      </c>
      <c r="AR701" t="s">
        <v>671</v>
      </c>
      <c r="AS701" t="s">
        <v>672</v>
      </c>
      <c r="AT701" t="s">
        <v>698</v>
      </c>
      <c r="AU701">
        <v>2016</v>
      </c>
      <c r="AV701">
        <v>37</v>
      </c>
      <c r="AW701">
        <v>3</v>
      </c>
      <c r="AX701" t="s">
        <v>74</v>
      </c>
      <c r="AY701" t="s">
        <v>74</v>
      </c>
      <c r="AZ701" t="s">
        <v>74</v>
      </c>
      <c r="BA701" t="s">
        <v>74</v>
      </c>
      <c r="BB701">
        <v>450</v>
      </c>
      <c r="BC701">
        <v>460</v>
      </c>
      <c r="BD701" t="s">
        <v>74</v>
      </c>
      <c r="BE701" t="s">
        <v>13471</v>
      </c>
      <c r="BF701" t="str">
        <f>HYPERLINK("http://dx.doi.org/10.1007/s10834-015-9463-2","http://dx.doi.org/10.1007/s10834-015-9463-2")</f>
        <v>http://dx.doi.org/10.1007/s10834-015-9463-2</v>
      </c>
      <c r="BG701" t="s">
        <v>74</v>
      </c>
      <c r="BH701" t="s">
        <v>74</v>
      </c>
      <c r="BI701">
        <v>11</v>
      </c>
      <c r="BJ701" t="s">
        <v>675</v>
      </c>
      <c r="BK701" t="s">
        <v>99</v>
      </c>
      <c r="BL701" t="s">
        <v>676</v>
      </c>
      <c r="BM701" t="s">
        <v>13472</v>
      </c>
      <c r="BN701" t="s">
        <v>74</v>
      </c>
      <c r="BO701" t="s">
        <v>74</v>
      </c>
      <c r="BP701" t="s">
        <v>74</v>
      </c>
      <c r="BQ701" t="s">
        <v>74</v>
      </c>
      <c r="BR701" t="s">
        <v>102</v>
      </c>
      <c r="BS701" t="s">
        <v>13473</v>
      </c>
      <c r="BT701" t="str">
        <f>HYPERLINK("https%3A%2F%2Fwww.webofscience.com%2Fwos%2Fwoscc%2Ffull-record%2FWOS:000384208500011","View Full Record in Web of Science")</f>
        <v>View Full Record in Web of Science</v>
      </c>
    </row>
    <row r="702" spans="1:72" x14ac:dyDescent="0.25">
      <c r="A702" t="s">
        <v>72</v>
      </c>
      <c r="B702" t="s">
        <v>13474</v>
      </c>
      <c r="C702" t="s">
        <v>74</v>
      </c>
      <c r="D702" t="s">
        <v>74</v>
      </c>
      <c r="E702" t="s">
        <v>74</v>
      </c>
      <c r="F702" t="s">
        <v>13475</v>
      </c>
      <c r="G702" t="s">
        <v>74</v>
      </c>
      <c r="H702" t="s">
        <v>74</v>
      </c>
      <c r="I702" t="s">
        <v>13476</v>
      </c>
      <c r="J702" t="s">
        <v>1510</v>
      </c>
      <c r="K702" t="s">
        <v>74</v>
      </c>
      <c r="L702" t="s">
        <v>74</v>
      </c>
      <c r="M702" t="s">
        <v>78</v>
      </c>
      <c r="N702" t="s">
        <v>79</v>
      </c>
      <c r="O702" t="s">
        <v>74</v>
      </c>
      <c r="P702" t="s">
        <v>74</v>
      </c>
      <c r="Q702" t="s">
        <v>74</v>
      </c>
      <c r="R702" t="s">
        <v>74</v>
      </c>
      <c r="S702" t="s">
        <v>74</v>
      </c>
      <c r="T702" t="s">
        <v>13477</v>
      </c>
      <c r="U702" t="s">
        <v>13478</v>
      </c>
      <c r="V702" t="s">
        <v>13479</v>
      </c>
      <c r="W702" t="s">
        <v>13480</v>
      </c>
      <c r="X702" t="s">
        <v>13481</v>
      </c>
      <c r="Y702" t="s">
        <v>13482</v>
      </c>
      <c r="Z702" t="s">
        <v>12156</v>
      </c>
      <c r="AA702" t="s">
        <v>13483</v>
      </c>
      <c r="AB702" t="s">
        <v>13484</v>
      </c>
      <c r="AC702" t="s">
        <v>74</v>
      </c>
      <c r="AD702" t="s">
        <v>74</v>
      </c>
      <c r="AE702" t="s">
        <v>74</v>
      </c>
      <c r="AF702" t="s">
        <v>74</v>
      </c>
      <c r="AG702">
        <v>80</v>
      </c>
      <c r="AH702">
        <v>11</v>
      </c>
      <c r="AI702">
        <v>20</v>
      </c>
      <c r="AJ702">
        <v>0</v>
      </c>
      <c r="AK702">
        <v>8</v>
      </c>
      <c r="AL702" t="s">
        <v>89</v>
      </c>
      <c r="AM702" t="s">
        <v>90</v>
      </c>
      <c r="AN702" t="s">
        <v>91</v>
      </c>
      <c r="AO702" t="s">
        <v>1519</v>
      </c>
      <c r="AP702" t="s">
        <v>1520</v>
      </c>
      <c r="AQ702" t="s">
        <v>74</v>
      </c>
      <c r="AR702" t="s">
        <v>1521</v>
      </c>
      <c r="AS702" t="s">
        <v>1522</v>
      </c>
      <c r="AT702" t="s">
        <v>74</v>
      </c>
      <c r="AU702">
        <v>2016</v>
      </c>
      <c r="AV702">
        <v>43</v>
      </c>
      <c r="AW702">
        <v>11</v>
      </c>
      <c r="AX702" t="s">
        <v>74</v>
      </c>
      <c r="AY702" t="s">
        <v>74</v>
      </c>
      <c r="AZ702" t="s">
        <v>74</v>
      </c>
      <c r="BA702" t="s">
        <v>74</v>
      </c>
      <c r="BB702">
        <v>1096</v>
      </c>
      <c r="BC702">
        <v>1114</v>
      </c>
      <c r="BD702" t="s">
        <v>74</v>
      </c>
      <c r="BE702" t="s">
        <v>13485</v>
      </c>
      <c r="BF702" t="str">
        <f>HYPERLINK("http://dx.doi.org/10.1108/IJSE-06-2014-0110","http://dx.doi.org/10.1108/IJSE-06-2014-0110")</f>
        <v>http://dx.doi.org/10.1108/IJSE-06-2014-0110</v>
      </c>
      <c r="BG702" t="s">
        <v>74</v>
      </c>
      <c r="BH702" t="s">
        <v>74</v>
      </c>
      <c r="BI702">
        <v>19</v>
      </c>
      <c r="BJ702" t="s">
        <v>291</v>
      </c>
      <c r="BK702" t="s">
        <v>313</v>
      </c>
      <c r="BL702" t="s">
        <v>100</v>
      </c>
      <c r="BM702" t="s">
        <v>13486</v>
      </c>
      <c r="BN702" t="s">
        <v>74</v>
      </c>
      <c r="BO702" t="s">
        <v>74</v>
      </c>
      <c r="BP702" t="s">
        <v>74</v>
      </c>
      <c r="BQ702" t="s">
        <v>74</v>
      </c>
      <c r="BR702" t="s">
        <v>102</v>
      </c>
      <c r="BS702" t="s">
        <v>13487</v>
      </c>
      <c r="BT702" t="str">
        <f>HYPERLINK("https%3A%2F%2Fwww.webofscience.com%2Fwos%2Fwoscc%2Ffull-record%2FWOS:000387099100002","View Full Record in Web of Science")</f>
        <v>View Full Record in Web of Science</v>
      </c>
    </row>
    <row r="703" spans="1:72" x14ac:dyDescent="0.25">
      <c r="A703" t="s">
        <v>132</v>
      </c>
      <c r="B703" t="s">
        <v>13488</v>
      </c>
      <c r="C703" t="s">
        <v>74</v>
      </c>
      <c r="D703" t="s">
        <v>74</v>
      </c>
      <c r="E703" t="s">
        <v>11380</v>
      </c>
      <c r="F703" t="s">
        <v>13489</v>
      </c>
      <c r="G703" t="s">
        <v>74</v>
      </c>
      <c r="H703" t="s">
        <v>74</v>
      </c>
      <c r="I703" t="s">
        <v>13490</v>
      </c>
      <c r="J703" t="s">
        <v>13491</v>
      </c>
      <c r="K703" t="s">
        <v>11384</v>
      </c>
      <c r="L703" t="s">
        <v>74</v>
      </c>
      <c r="M703" t="s">
        <v>78</v>
      </c>
      <c r="N703" t="s">
        <v>138</v>
      </c>
      <c r="O703" t="s">
        <v>13492</v>
      </c>
      <c r="P703" t="s">
        <v>13493</v>
      </c>
      <c r="Q703" t="s">
        <v>1550</v>
      </c>
      <c r="R703" t="s">
        <v>11380</v>
      </c>
      <c r="S703" t="s">
        <v>74</v>
      </c>
      <c r="T703" t="s">
        <v>74</v>
      </c>
      <c r="U703" t="s">
        <v>74</v>
      </c>
      <c r="V703" t="s">
        <v>13494</v>
      </c>
      <c r="W703" t="s">
        <v>13495</v>
      </c>
      <c r="X703" t="s">
        <v>13496</v>
      </c>
      <c r="Y703" t="s">
        <v>13497</v>
      </c>
      <c r="Z703" t="s">
        <v>13498</v>
      </c>
      <c r="AA703" t="s">
        <v>74</v>
      </c>
      <c r="AB703" t="s">
        <v>13499</v>
      </c>
      <c r="AC703" t="s">
        <v>13500</v>
      </c>
      <c r="AD703" t="s">
        <v>13501</v>
      </c>
      <c r="AE703" t="s">
        <v>13502</v>
      </c>
      <c r="AF703" t="s">
        <v>74</v>
      </c>
      <c r="AG703">
        <v>39</v>
      </c>
      <c r="AH703">
        <v>2</v>
      </c>
      <c r="AI703">
        <v>2</v>
      </c>
      <c r="AJ703">
        <v>0</v>
      </c>
      <c r="AK703">
        <v>7</v>
      </c>
      <c r="AL703" t="s">
        <v>11394</v>
      </c>
      <c r="AM703" t="s">
        <v>6031</v>
      </c>
      <c r="AN703" t="s">
        <v>11395</v>
      </c>
      <c r="AO703" t="s">
        <v>11396</v>
      </c>
      <c r="AP703" t="s">
        <v>11397</v>
      </c>
      <c r="AQ703" t="s">
        <v>13503</v>
      </c>
      <c r="AR703" t="s">
        <v>11399</v>
      </c>
      <c r="AS703" t="s">
        <v>74</v>
      </c>
      <c r="AT703" t="s">
        <v>74</v>
      </c>
      <c r="AU703">
        <v>2022</v>
      </c>
      <c r="AV703" t="s">
        <v>74</v>
      </c>
      <c r="AW703" t="s">
        <v>74</v>
      </c>
      <c r="AX703" t="s">
        <v>74</v>
      </c>
      <c r="AY703" t="s">
        <v>74</v>
      </c>
      <c r="AZ703" t="s">
        <v>74</v>
      </c>
      <c r="BA703" t="s">
        <v>74</v>
      </c>
      <c r="BB703">
        <v>12181</v>
      </c>
      <c r="BC703">
        <v>12190</v>
      </c>
      <c r="BD703" t="s">
        <v>74</v>
      </c>
      <c r="BE703" t="s">
        <v>74</v>
      </c>
      <c r="BF703" t="s">
        <v>74</v>
      </c>
      <c r="BG703" t="s">
        <v>74</v>
      </c>
      <c r="BH703" t="s">
        <v>74</v>
      </c>
      <c r="BI703">
        <v>10</v>
      </c>
      <c r="BJ703" t="s">
        <v>1759</v>
      </c>
      <c r="BK703" t="s">
        <v>156</v>
      </c>
      <c r="BL703" t="s">
        <v>157</v>
      </c>
      <c r="BM703" t="s">
        <v>13504</v>
      </c>
      <c r="BN703" t="s">
        <v>74</v>
      </c>
      <c r="BO703" t="s">
        <v>74</v>
      </c>
      <c r="BP703" t="s">
        <v>74</v>
      </c>
      <c r="BQ703" t="s">
        <v>74</v>
      </c>
      <c r="BR703" t="s">
        <v>102</v>
      </c>
      <c r="BS703" t="s">
        <v>13505</v>
      </c>
      <c r="BT703" t="str">
        <f>HYPERLINK("https%3A%2F%2Fwww.webofscience.com%2Fwos%2Fwoscc%2Ffull-record%2FWOS:000893639105023","View Full Record in Web of Science")</f>
        <v>View Full Record in Web of Science</v>
      </c>
    </row>
    <row r="704" spans="1:72" x14ac:dyDescent="0.25">
      <c r="A704" t="s">
        <v>72</v>
      </c>
      <c r="B704" t="s">
        <v>13506</v>
      </c>
      <c r="C704" t="s">
        <v>74</v>
      </c>
      <c r="D704" t="s">
        <v>74</v>
      </c>
      <c r="E704" t="s">
        <v>74</v>
      </c>
      <c r="F704" t="s">
        <v>13507</v>
      </c>
      <c r="G704" t="s">
        <v>74</v>
      </c>
      <c r="H704" t="s">
        <v>74</v>
      </c>
      <c r="I704" t="s">
        <v>13508</v>
      </c>
      <c r="J704" t="s">
        <v>6538</v>
      </c>
      <c r="K704" t="s">
        <v>74</v>
      </c>
      <c r="L704" t="s">
        <v>74</v>
      </c>
      <c r="M704" t="s">
        <v>78</v>
      </c>
      <c r="N704" t="s">
        <v>79</v>
      </c>
      <c r="O704" t="s">
        <v>74</v>
      </c>
      <c r="P704" t="s">
        <v>74</v>
      </c>
      <c r="Q704" t="s">
        <v>74</v>
      </c>
      <c r="R704" t="s">
        <v>74</v>
      </c>
      <c r="S704" t="s">
        <v>74</v>
      </c>
      <c r="T704" t="s">
        <v>13509</v>
      </c>
      <c r="U704" t="s">
        <v>74</v>
      </c>
      <c r="V704" t="s">
        <v>13510</v>
      </c>
      <c r="W704" t="s">
        <v>13511</v>
      </c>
      <c r="X704" t="s">
        <v>13512</v>
      </c>
      <c r="Y704" t="s">
        <v>13513</v>
      </c>
      <c r="Z704" t="s">
        <v>13514</v>
      </c>
      <c r="AA704" t="s">
        <v>74</v>
      </c>
      <c r="AB704" t="s">
        <v>13515</v>
      </c>
      <c r="AC704" t="s">
        <v>74</v>
      </c>
      <c r="AD704" t="s">
        <v>74</v>
      </c>
      <c r="AE704" t="s">
        <v>74</v>
      </c>
      <c r="AF704" t="s">
        <v>74</v>
      </c>
      <c r="AG704">
        <v>70</v>
      </c>
      <c r="AH704">
        <v>11</v>
      </c>
      <c r="AI704">
        <v>13</v>
      </c>
      <c r="AJ704">
        <v>3</v>
      </c>
      <c r="AK704">
        <v>27</v>
      </c>
      <c r="AL704" t="s">
        <v>2907</v>
      </c>
      <c r="AM704" t="s">
        <v>2908</v>
      </c>
      <c r="AN704" t="s">
        <v>2909</v>
      </c>
      <c r="AO704" t="s">
        <v>6543</v>
      </c>
      <c r="AP704" t="s">
        <v>6544</v>
      </c>
      <c r="AQ704" t="s">
        <v>74</v>
      </c>
      <c r="AR704" t="s">
        <v>6545</v>
      </c>
      <c r="AS704" t="s">
        <v>6546</v>
      </c>
      <c r="AT704" t="s">
        <v>605</v>
      </c>
      <c r="AU704">
        <v>2022</v>
      </c>
      <c r="AV704">
        <v>23</v>
      </c>
      <c r="AW704">
        <v>1</v>
      </c>
      <c r="AX704" t="s">
        <v>74</v>
      </c>
      <c r="AY704" t="s">
        <v>74</v>
      </c>
      <c r="AZ704" t="s">
        <v>441</v>
      </c>
      <c r="BA704" t="s">
        <v>74</v>
      </c>
      <c r="BB704">
        <v>31</v>
      </c>
      <c r="BC704">
        <v>41</v>
      </c>
      <c r="BD704" t="s">
        <v>74</v>
      </c>
      <c r="BE704" t="s">
        <v>13516</v>
      </c>
      <c r="BF704" t="str">
        <f>HYPERLINK("http://dx.doi.org/10.1057/s41261-021-00162-4","http://dx.doi.org/10.1057/s41261-021-00162-4")</f>
        <v>http://dx.doi.org/10.1057/s41261-021-00162-4</v>
      </c>
      <c r="BG704" t="s">
        <v>74</v>
      </c>
      <c r="BH704" t="s">
        <v>11242</v>
      </c>
      <c r="BI704">
        <v>11</v>
      </c>
      <c r="BJ704" t="s">
        <v>268</v>
      </c>
      <c r="BK704" t="s">
        <v>313</v>
      </c>
      <c r="BL704" t="s">
        <v>100</v>
      </c>
      <c r="BM704" t="s">
        <v>13517</v>
      </c>
      <c r="BN704" t="s">
        <v>74</v>
      </c>
      <c r="BO704" t="s">
        <v>3694</v>
      </c>
      <c r="BP704" t="s">
        <v>74</v>
      </c>
      <c r="BQ704" t="s">
        <v>74</v>
      </c>
      <c r="BR704" t="s">
        <v>102</v>
      </c>
      <c r="BS704" t="s">
        <v>13518</v>
      </c>
      <c r="BT704" t="str">
        <f>HYPERLINK("https%3A%2F%2Fwww.webofscience.com%2Fwos%2Fwoscc%2Ffull-record%2FWOS:000664397300001","View Full Record in Web of Science")</f>
        <v>View Full Record in Web of Science</v>
      </c>
    </row>
    <row r="705" spans="1:72" x14ac:dyDescent="0.25">
      <c r="A705" t="s">
        <v>72</v>
      </c>
      <c r="B705" t="s">
        <v>13519</v>
      </c>
      <c r="C705" t="s">
        <v>74</v>
      </c>
      <c r="D705" t="s">
        <v>74</v>
      </c>
      <c r="E705" t="s">
        <v>74</v>
      </c>
      <c r="F705" t="s">
        <v>13520</v>
      </c>
      <c r="G705" t="s">
        <v>74</v>
      </c>
      <c r="H705" t="s">
        <v>74</v>
      </c>
      <c r="I705" t="s">
        <v>13521</v>
      </c>
      <c r="J705" t="s">
        <v>3231</v>
      </c>
      <c r="K705" t="s">
        <v>74</v>
      </c>
      <c r="L705" t="s">
        <v>74</v>
      </c>
      <c r="M705" t="s">
        <v>78</v>
      </c>
      <c r="N705" t="s">
        <v>79</v>
      </c>
      <c r="O705" t="s">
        <v>74</v>
      </c>
      <c r="P705" t="s">
        <v>74</v>
      </c>
      <c r="Q705" t="s">
        <v>74</v>
      </c>
      <c r="R705" t="s">
        <v>74</v>
      </c>
      <c r="S705" t="s">
        <v>74</v>
      </c>
      <c r="T705" t="s">
        <v>13522</v>
      </c>
      <c r="U705" t="s">
        <v>13523</v>
      </c>
      <c r="V705" t="s">
        <v>13524</v>
      </c>
      <c r="W705" t="s">
        <v>13525</v>
      </c>
      <c r="X705" t="s">
        <v>13526</v>
      </c>
      <c r="Y705" t="s">
        <v>13527</v>
      </c>
      <c r="Z705" t="s">
        <v>13528</v>
      </c>
      <c r="AA705" t="s">
        <v>13529</v>
      </c>
      <c r="AB705" t="s">
        <v>13530</v>
      </c>
      <c r="AC705" t="s">
        <v>74</v>
      </c>
      <c r="AD705" t="s">
        <v>74</v>
      </c>
      <c r="AE705" t="s">
        <v>74</v>
      </c>
      <c r="AF705" t="s">
        <v>74</v>
      </c>
      <c r="AG705">
        <v>56</v>
      </c>
      <c r="AH705">
        <v>3</v>
      </c>
      <c r="AI705">
        <v>3</v>
      </c>
      <c r="AJ705">
        <v>6</v>
      </c>
      <c r="AK705">
        <v>50</v>
      </c>
      <c r="AL705" t="s">
        <v>575</v>
      </c>
      <c r="AM705" t="s">
        <v>576</v>
      </c>
      <c r="AN705" t="s">
        <v>3242</v>
      </c>
      <c r="AO705" t="s">
        <v>74</v>
      </c>
      <c r="AP705" t="s">
        <v>3243</v>
      </c>
      <c r="AQ705" t="s">
        <v>74</v>
      </c>
      <c r="AR705" t="s">
        <v>3244</v>
      </c>
      <c r="AS705" t="s">
        <v>3245</v>
      </c>
      <c r="AT705" t="s">
        <v>13531</v>
      </c>
      <c r="AU705">
        <v>2023</v>
      </c>
      <c r="AV705">
        <v>15</v>
      </c>
      <c r="AW705">
        <v>11</v>
      </c>
      <c r="AX705" t="s">
        <v>74</v>
      </c>
      <c r="AY705" t="s">
        <v>74</v>
      </c>
      <c r="AZ705" t="s">
        <v>74</v>
      </c>
      <c r="BA705" t="s">
        <v>74</v>
      </c>
      <c r="BB705" t="s">
        <v>74</v>
      </c>
      <c r="BC705" t="s">
        <v>74</v>
      </c>
      <c r="BD705">
        <v>9035</v>
      </c>
      <c r="BE705" t="s">
        <v>13532</v>
      </c>
      <c r="BF705" t="str">
        <f>HYPERLINK("http://dx.doi.org/10.3390/su15119035","http://dx.doi.org/10.3390/su15119035")</f>
        <v>http://dx.doi.org/10.3390/su15119035</v>
      </c>
      <c r="BG705" t="s">
        <v>74</v>
      </c>
      <c r="BH705" t="s">
        <v>74</v>
      </c>
      <c r="BI705">
        <v>17</v>
      </c>
      <c r="BJ705" t="s">
        <v>3247</v>
      </c>
      <c r="BK705" t="s">
        <v>2623</v>
      </c>
      <c r="BL705" t="s">
        <v>3248</v>
      </c>
      <c r="BM705" t="s">
        <v>13533</v>
      </c>
      <c r="BN705" t="s">
        <v>74</v>
      </c>
      <c r="BO705" t="s">
        <v>212</v>
      </c>
      <c r="BP705" t="s">
        <v>74</v>
      </c>
      <c r="BQ705" t="s">
        <v>74</v>
      </c>
      <c r="BR705" t="s">
        <v>102</v>
      </c>
      <c r="BS705" t="s">
        <v>13534</v>
      </c>
      <c r="BT705" t="str">
        <f>HYPERLINK("https%3A%2F%2Fwww.webofscience.com%2Fwos%2Fwoscc%2Ffull-record%2FWOS:001005735500001","View Full Record in Web of Science")</f>
        <v>View Full Record in Web of Science</v>
      </c>
    </row>
    <row r="706" spans="1:72" x14ac:dyDescent="0.25">
      <c r="A706" t="s">
        <v>72</v>
      </c>
      <c r="B706" t="s">
        <v>13535</v>
      </c>
      <c r="C706" t="s">
        <v>74</v>
      </c>
      <c r="D706" t="s">
        <v>74</v>
      </c>
      <c r="E706" t="s">
        <v>74</v>
      </c>
      <c r="F706" t="s">
        <v>13536</v>
      </c>
      <c r="G706" t="s">
        <v>74</v>
      </c>
      <c r="H706" t="s">
        <v>74</v>
      </c>
      <c r="I706" t="s">
        <v>13537</v>
      </c>
      <c r="J706" t="s">
        <v>246</v>
      </c>
      <c r="K706" t="s">
        <v>74</v>
      </c>
      <c r="L706" t="s">
        <v>74</v>
      </c>
      <c r="M706" t="s">
        <v>78</v>
      </c>
      <c r="N706" t="s">
        <v>79</v>
      </c>
      <c r="O706" t="s">
        <v>74</v>
      </c>
      <c r="P706" t="s">
        <v>74</v>
      </c>
      <c r="Q706" t="s">
        <v>74</v>
      </c>
      <c r="R706" t="s">
        <v>74</v>
      </c>
      <c r="S706" t="s">
        <v>74</v>
      </c>
      <c r="T706" t="s">
        <v>13538</v>
      </c>
      <c r="U706" t="s">
        <v>74</v>
      </c>
      <c r="V706" t="s">
        <v>13539</v>
      </c>
      <c r="W706" t="s">
        <v>13540</v>
      </c>
      <c r="X706" t="s">
        <v>13541</v>
      </c>
      <c r="Y706" t="s">
        <v>13542</v>
      </c>
      <c r="Z706" t="s">
        <v>13543</v>
      </c>
      <c r="AA706" t="s">
        <v>74</v>
      </c>
      <c r="AB706" t="s">
        <v>74</v>
      </c>
      <c r="AC706" t="s">
        <v>13544</v>
      </c>
      <c r="AD706" t="s">
        <v>9224</v>
      </c>
      <c r="AE706" t="s">
        <v>13545</v>
      </c>
      <c r="AF706" t="s">
        <v>74</v>
      </c>
      <c r="AG706">
        <v>19</v>
      </c>
      <c r="AH706">
        <v>4</v>
      </c>
      <c r="AI706">
        <v>4</v>
      </c>
      <c r="AJ706">
        <v>12</v>
      </c>
      <c r="AK706">
        <v>45</v>
      </c>
      <c r="AL706" t="s">
        <v>259</v>
      </c>
      <c r="AM706" t="s">
        <v>260</v>
      </c>
      <c r="AN706" t="s">
        <v>261</v>
      </c>
      <c r="AO706" t="s">
        <v>262</v>
      </c>
      <c r="AP706" t="s">
        <v>263</v>
      </c>
      <c r="AQ706" t="s">
        <v>74</v>
      </c>
      <c r="AR706" t="s">
        <v>264</v>
      </c>
      <c r="AS706" t="s">
        <v>265</v>
      </c>
      <c r="AT706" t="s">
        <v>237</v>
      </c>
      <c r="AU706">
        <v>2025</v>
      </c>
      <c r="AV706">
        <v>72</v>
      </c>
      <c r="AW706" t="s">
        <v>74</v>
      </c>
      <c r="AX706" t="s">
        <v>74</v>
      </c>
      <c r="AY706" t="s">
        <v>74</v>
      </c>
      <c r="AZ706" t="s">
        <v>74</v>
      </c>
      <c r="BA706" t="s">
        <v>74</v>
      </c>
      <c r="BB706" t="s">
        <v>74</v>
      </c>
      <c r="BC706" t="s">
        <v>74</v>
      </c>
      <c r="BD706">
        <v>106510</v>
      </c>
      <c r="BE706" t="s">
        <v>13546</v>
      </c>
      <c r="BF706" t="str">
        <f>HYPERLINK("http://dx.doi.org/10.1016/j.frl.2024.106510","http://dx.doi.org/10.1016/j.frl.2024.106510")</f>
        <v>http://dx.doi.org/10.1016/j.frl.2024.106510</v>
      </c>
      <c r="BG706" t="s">
        <v>74</v>
      </c>
      <c r="BH706" t="s">
        <v>267</v>
      </c>
      <c r="BI706">
        <v>7</v>
      </c>
      <c r="BJ706" t="s">
        <v>268</v>
      </c>
      <c r="BK706" t="s">
        <v>99</v>
      </c>
      <c r="BL706" t="s">
        <v>100</v>
      </c>
      <c r="BM706" t="s">
        <v>13547</v>
      </c>
      <c r="BN706" t="s">
        <v>74</v>
      </c>
      <c r="BO706" t="s">
        <v>74</v>
      </c>
      <c r="BP706" t="s">
        <v>74</v>
      </c>
      <c r="BQ706" t="s">
        <v>74</v>
      </c>
      <c r="BR706" t="s">
        <v>102</v>
      </c>
      <c r="BS706" t="s">
        <v>13548</v>
      </c>
      <c r="BT706" t="str">
        <f>HYPERLINK("https%3A%2F%2Fwww.webofscience.com%2Fwos%2Fwoscc%2Ffull-record%2FWOS:001370876100001","View Full Record in Web of Science")</f>
        <v>View Full Record in Web of Science</v>
      </c>
    </row>
    <row r="707" spans="1:72" x14ac:dyDescent="0.25">
      <c r="A707" t="s">
        <v>72</v>
      </c>
      <c r="B707" t="s">
        <v>13549</v>
      </c>
      <c r="C707" t="s">
        <v>74</v>
      </c>
      <c r="D707" t="s">
        <v>74</v>
      </c>
      <c r="E707" t="s">
        <v>74</v>
      </c>
      <c r="F707" t="s">
        <v>13550</v>
      </c>
      <c r="G707" t="s">
        <v>74</v>
      </c>
      <c r="H707" t="s">
        <v>74</v>
      </c>
      <c r="I707" t="s">
        <v>13551</v>
      </c>
      <c r="J707" t="s">
        <v>11562</v>
      </c>
      <c r="K707" t="s">
        <v>74</v>
      </c>
      <c r="L707" t="s">
        <v>74</v>
      </c>
      <c r="M707" t="s">
        <v>78</v>
      </c>
      <c r="N707" t="s">
        <v>79</v>
      </c>
      <c r="O707" t="s">
        <v>74</v>
      </c>
      <c r="P707" t="s">
        <v>74</v>
      </c>
      <c r="Q707" t="s">
        <v>74</v>
      </c>
      <c r="R707" t="s">
        <v>74</v>
      </c>
      <c r="S707" t="s">
        <v>74</v>
      </c>
      <c r="T707" t="s">
        <v>13552</v>
      </c>
      <c r="U707" t="s">
        <v>74</v>
      </c>
      <c r="V707" t="s">
        <v>13553</v>
      </c>
      <c r="W707" t="s">
        <v>13554</v>
      </c>
      <c r="X707" t="s">
        <v>74</v>
      </c>
      <c r="Y707" t="s">
        <v>13555</v>
      </c>
      <c r="Z707" t="s">
        <v>13556</v>
      </c>
      <c r="AA707" t="s">
        <v>74</v>
      </c>
      <c r="AB707" t="s">
        <v>74</v>
      </c>
      <c r="AC707" t="s">
        <v>74</v>
      </c>
      <c r="AD707" t="s">
        <v>74</v>
      </c>
      <c r="AE707" t="s">
        <v>13557</v>
      </c>
      <c r="AF707" t="s">
        <v>74</v>
      </c>
      <c r="AG707">
        <v>20</v>
      </c>
      <c r="AH707">
        <v>8</v>
      </c>
      <c r="AI707">
        <v>15</v>
      </c>
      <c r="AJ707">
        <v>1</v>
      </c>
      <c r="AK707">
        <v>9</v>
      </c>
      <c r="AL707" t="s">
        <v>201</v>
      </c>
      <c r="AM707" t="s">
        <v>202</v>
      </c>
      <c r="AN707" t="s">
        <v>203</v>
      </c>
      <c r="AO707" t="s">
        <v>11570</v>
      </c>
      <c r="AP707" t="s">
        <v>74</v>
      </c>
      <c r="AQ707" t="s">
        <v>74</v>
      </c>
      <c r="AR707" t="s">
        <v>11571</v>
      </c>
      <c r="AS707" t="s">
        <v>11572</v>
      </c>
      <c r="AT707" t="s">
        <v>1652</v>
      </c>
      <c r="AU707">
        <v>2022</v>
      </c>
      <c r="AV707">
        <v>3</v>
      </c>
      <c r="AW707">
        <v>2</v>
      </c>
      <c r="AX707" t="s">
        <v>74</v>
      </c>
      <c r="AY707" t="s">
        <v>74</v>
      </c>
      <c r="AZ707" t="s">
        <v>74</v>
      </c>
      <c r="BA707" t="s">
        <v>74</v>
      </c>
      <c r="BB707" t="s">
        <v>74</v>
      </c>
      <c r="BC707" t="s">
        <v>74</v>
      </c>
      <c r="BD707">
        <v>100062</v>
      </c>
      <c r="BE707" t="s">
        <v>13558</v>
      </c>
      <c r="BF707" t="str">
        <f>HYPERLINK("http://dx.doi.org/10.1016/j.latcb.2022.100062","http://dx.doi.org/10.1016/j.latcb.2022.100062")</f>
        <v>http://dx.doi.org/10.1016/j.latcb.2022.100062</v>
      </c>
      <c r="BG707" t="s">
        <v>74</v>
      </c>
      <c r="BH707" t="s">
        <v>74</v>
      </c>
      <c r="BI707">
        <v>7</v>
      </c>
      <c r="BJ707" t="s">
        <v>210</v>
      </c>
      <c r="BK707" t="s">
        <v>313</v>
      </c>
      <c r="BL707" t="s">
        <v>100</v>
      </c>
      <c r="BM707" t="s">
        <v>13559</v>
      </c>
      <c r="BN707" t="s">
        <v>74</v>
      </c>
      <c r="BO707" t="s">
        <v>916</v>
      </c>
      <c r="BP707" t="s">
        <v>74</v>
      </c>
      <c r="BQ707" t="s">
        <v>74</v>
      </c>
      <c r="BR707" t="s">
        <v>102</v>
      </c>
      <c r="BS707" t="s">
        <v>13560</v>
      </c>
      <c r="BT707" t="str">
        <f>HYPERLINK("https%3A%2F%2Fwww.webofscience.com%2Fwos%2Fwoscc%2Ffull-record%2FWOS:001303492200002","View Full Record in Web of Science")</f>
        <v>View Full Record in Web of Science</v>
      </c>
    </row>
    <row r="708" spans="1:72" x14ac:dyDescent="0.25">
      <c r="A708" t="s">
        <v>72</v>
      </c>
      <c r="B708" t="s">
        <v>13561</v>
      </c>
      <c r="C708" t="s">
        <v>74</v>
      </c>
      <c r="D708" t="s">
        <v>74</v>
      </c>
      <c r="E708" t="s">
        <v>74</v>
      </c>
      <c r="F708" t="s">
        <v>13562</v>
      </c>
      <c r="G708" t="s">
        <v>74</v>
      </c>
      <c r="H708" t="s">
        <v>74</v>
      </c>
      <c r="I708" t="s">
        <v>13563</v>
      </c>
      <c r="J708" t="s">
        <v>13564</v>
      </c>
      <c r="K708" t="s">
        <v>74</v>
      </c>
      <c r="L708" t="s">
        <v>74</v>
      </c>
      <c r="M708" t="s">
        <v>78</v>
      </c>
      <c r="N708" t="s">
        <v>79</v>
      </c>
      <c r="O708" t="s">
        <v>74</v>
      </c>
      <c r="P708" t="s">
        <v>74</v>
      </c>
      <c r="Q708" t="s">
        <v>74</v>
      </c>
      <c r="R708" t="s">
        <v>74</v>
      </c>
      <c r="S708" t="s">
        <v>74</v>
      </c>
      <c r="T708" t="s">
        <v>13565</v>
      </c>
      <c r="U708" t="s">
        <v>13566</v>
      </c>
      <c r="V708" t="s">
        <v>13567</v>
      </c>
      <c r="W708" t="s">
        <v>13568</v>
      </c>
      <c r="X708" t="s">
        <v>74</v>
      </c>
      <c r="Y708" t="s">
        <v>13569</v>
      </c>
      <c r="Z708" t="s">
        <v>13570</v>
      </c>
      <c r="AA708" t="s">
        <v>74</v>
      </c>
      <c r="AB708" t="s">
        <v>74</v>
      </c>
      <c r="AC708" t="s">
        <v>74</v>
      </c>
      <c r="AD708" t="s">
        <v>74</v>
      </c>
      <c r="AE708" t="s">
        <v>74</v>
      </c>
      <c r="AF708" t="s">
        <v>74</v>
      </c>
      <c r="AG708">
        <v>64</v>
      </c>
      <c r="AH708">
        <v>23</v>
      </c>
      <c r="AI708">
        <v>31</v>
      </c>
      <c r="AJ708">
        <v>1</v>
      </c>
      <c r="AK708">
        <v>22</v>
      </c>
      <c r="AL708" t="s">
        <v>201</v>
      </c>
      <c r="AM708" t="s">
        <v>202</v>
      </c>
      <c r="AN708" t="s">
        <v>203</v>
      </c>
      <c r="AO708" t="s">
        <v>13571</v>
      </c>
      <c r="AP708" t="s">
        <v>13572</v>
      </c>
      <c r="AQ708" t="s">
        <v>74</v>
      </c>
      <c r="AR708" t="s">
        <v>13573</v>
      </c>
      <c r="AS708" t="s">
        <v>13574</v>
      </c>
      <c r="AT708" t="s">
        <v>289</v>
      </c>
      <c r="AU708">
        <v>2022</v>
      </c>
      <c r="AV708">
        <v>53</v>
      </c>
      <c r="AW708" t="s">
        <v>74</v>
      </c>
      <c r="AX708" t="s">
        <v>74</v>
      </c>
      <c r="AY708" t="s">
        <v>74</v>
      </c>
      <c r="AZ708" t="s">
        <v>74</v>
      </c>
      <c r="BA708" t="s">
        <v>74</v>
      </c>
      <c r="BB708" t="s">
        <v>74</v>
      </c>
      <c r="BC708" t="s">
        <v>74</v>
      </c>
      <c r="BD708">
        <v>100620</v>
      </c>
      <c r="BE708" t="s">
        <v>13575</v>
      </c>
      <c r="BF708" t="str">
        <f>HYPERLINK("http://dx.doi.org/10.1016/j.gfj.2021.100620","http://dx.doi.org/10.1016/j.gfj.2021.100620")</f>
        <v>http://dx.doi.org/10.1016/j.gfj.2021.100620</v>
      </c>
      <c r="BG708" t="s">
        <v>74</v>
      </c>
      <c r="BH708" t="s">
        <v>126</v>
      </c>
      <c r="BI708">
        <v>11</v>
      </c>
      <c r="BJ708" t="s">
        <v>268</v>
      </c>
      <c r="BK708" t="s">
        <v>99</v>
      </c>
      <c r="BL708" t="s">
        <v>100</v>
      </c>
      <c r="BM708" t="s">
        <v>13576</v>
      </c>
      <c r="BN708" t="s">
        <v>74</v>
      </c>
      <c r="BO708" t="s">
        <v>74</v>
      </c>
      <c r="BP708" t="s">
        <v>74</v>
      </c>
      <c r="BQ708" t="s">
        <v>74</v>
      </c>
      <c r="BR708" t="s">
        <v>102</v>
      </c>
      <c r="BS708" t="s">
        <v>13577</v>
      </c>
      <c r="BT708" t="str">
        <f>HYPERLINK("https%3A%2F%2Fwww.webofscience.com%2Fwos%2Fwoscc%2Ffull-record%2FWOS:000837998200001","View Full Record in Web of Science")</f>
        <v>View Full Record in Web of Science</v>
      </c>
    </row>
    <row r="709" spans="1:72" x14ac:dyDescent="0.25">
      <c r="A709" t="s">
        <v>132</v>
      </c>
      <c r="B709" t="s">
        <v>13578</v>
      </c>
      <c r="C709" t="s">
        <v>74</v>
      </c>
      <c r="D709" t="s">
        <v>74</v>
      </c>
      <c r="E709" t="s">
        <v>13579</v>
      </c>
      <c r="F709" t="s">
        <v>13580</v>
      </c>
      <c r="G709" t="s">
        <v>74</v>
      </c>
      <c r="H709" t="s">
        <v>74</v>
      </c>
      <c r="I709" t="s">
        <v>13581</v>
      </c>
      <c r="J709" t="s">
        <v>13582</v>
      </c>
      <c r="K709" t="s">
        <v>74</v>
      </c>
      <c r="L709" t="s">
        <v>74</v>
      </c>
      <c r="M709" t="s">
        <v>78</v>
      </c>
      <c r="N709" t="s">
        <v>138</v>
      </c>
      <c r="O709" t="s">
        <v>13583</v>
      </c>
      <c r="P709" t="s">
        <v>13584</v>
      </c>
      <c r="Q709" t="s">
        <v>7277</v>
      </c>
      <c r="R709" t="s">
        <v>13585</v>
      </c>
      <c r="S709" t="s">
        <v>74</v>
      </c>
      <c r="T709" t="s">
        <v>74</v>
      </c>
      <c r="U709" t="s">
        <v>74</v>
      </c>
      <c r="V709" t="s">
        <v>13586</v>
      </c>
      <c r="W709" t="s">
        <v>13587</v>
      </c>
      <c r="X709" t="s">
        <v>13588</v>
      </c>
      <c r="Y709" t="s">
        <v>13589</v>
      </c>
      <c r="Z709" t="s">
        <v>13590</v>
      </c>
      <c r="AA709" t="s">
        <v>13288</v>
      </c>
      <c r="AB709" t="s">
        <v>13591</v>
      </c>
      <c r="AC709" t="s">
        <v>13592</v>
      </c>
      <c r="AD709" t="s">
        <v>13593</v>
      </c>
      <c r="AE709" t="s">
        <v>13594</v>
      </c>
      <c r="AF709" t="s">
        <v>74</v>
      </c>
      <c r="AG709">
        <v>35</v>
      </c>
      <c r="AH709">
        <v>43</v>
      </c>
      <c r="AI709">
        <v>57</v>
      </c>
      <c r="AJ709">
        <v>0</v>
      </c>
      <c r="AK709">
        <v>1</v>
      </c>
      <c r="AL709" t="s">
        <v>5343</v>
      </c>
      <c r="AM709" t="s">
        <v>5357</v>
      </c>
      <c r="AN709" t="s">
        <v>5358</v>
      </c>
      <c r="AO709" t="s">
        <v>74</v>
      </c>
      <c r="AP709" t="s">
        <v>74</v>
      </c>
      <c r="AQ709" t="s">
        <v>13595</v>
      </c>
      <c r="AR709" t="s">
        <v>74</v>
      </c>
      <c r="AS709" t="s">
        <v>74</v>
      </c>
      <c r="AT709" t="s">
        <v>74</v>
      </c>
      <c r="AU709">
        <v>2015</v>
      </c>
      <c r="AV709" t="s">
        <v>74</v>
      </c>
      <c r="AW709" t="s">
        <v>74</v>
      </c>
      <c r="AX709" t="s">
        <v>74</v>
      </c>
      <c r="AY709" t="s">
        <v>74</v>
      </c>
      <c r="AZ709" t="s">
        <v>74</v>
      </c>
      <c r="BA709" t="s">
        <v>74</v>
      </c>
      <c r="BB709">
        <v>17</v>
      </c>
      <c r="BC709">
        <v>32</v>
      </c>
      <c r="BD709" t="s">
        <v>74</v>
      </c>
      <c r="BE709" t="s">
        <v>74</v>
      </c>
      <c r="BF709" t="s">
        <v>74</v>
      </c>
      <c r="BG709" t="s">
        <v>74</v>
      </c>
      <c r="BH709" t="s">
        <v>74</v>
      </c>
      <c r="BI709">
        <v>16</v>
      </c>
      <c r="BJ709" t="s">
        <v>1779</v>
      </c>
      <c r="BK709" t="s">
        <v>156</v>
      </c>
      <c r="BL709" t="s">
        <v>157</v>
      </c>
      <c r="BM709" t="s">
        <v>13596</v>
      </c>
      <c r="BN709" t="s">
        <v>74</v>
      </c>
      <c r="BO709" t="s">
        <v>74</v>
      </c>
      <c r="BP709" t="s">
        <v>74</v>
      </c>
      <c r="BQ709" t="s">
        <v>74</v>
      </c>
      <c r="BR709" t="s">
        <v>102</v>
      </c>
      <c r="BS709" t="s">
        <v>13597</v>
      </c>
      <c r="BT709" t="str">
        <f>HYPERLINK("https%3A%2F%2Fwww.webofscience.com%2Fwos%2Fwoscc%2Ffull-record%2FWOS:000552616300002","View Full Record in Web of Science")</f>
        <v>View Full Record in Web of Science</v>
      </c>
    </row>
    <row r="710" spans="1:72" x14ac:dyDescent="0.25">
      <c r="A710" t="s">
        <v>72</v>
      </c>
      <c r="B710" t="s">
        <v>13598</v>
      </c>
      <c r="C710" t="s">
        <v>74</v>
      </c>
      <c r="D710" t="s">
        <v>74</v>
      </c>
      <c r="E710" t="s">
        <v>74</v>
      </c>
      <c r="F710" t="s">
        <v>13599</v>
      </c>
      <c r="G710" t="s">
        <v>74</v>
      </c>
      <c r="H710" t="s">
        <v>74</v>
      </c>
      <c r="I710" t="s">
        <v>13600</v>
      </c>
      <c r="J710" t="s">
        <v>13601</v>
      </c>
      <c r="K710" t="s">
        <v>74</v>
      </c>
      <c r="L710" t="s">
        <v>74</v>
      </c>
      <c r="M710" t="s">
        <v>78</v>
      </c>
      <c r="N710" t="s">
        <v>79</v>
      </c>
      <c r="O710" t="s">
        <v>74</v>
      </c>
      <c r="P710" t="s">
        <v>74</v>
      </c>
      <c r="Q710" t="s">
        <v>74</v>
      </c>
      <c r="R710" t="s">
        <v>74</v>
      </c>
      <c r="S710" t="s">
        <v>74</v>
      </c>
      <c r="T710" t="s">
        <v>13602</v>
      </c>
      <c r="U710" t="s">
        <v>1369</v>
      </c>
      <c r="V710" t="s">
        <v>13603</v>
      </c>
      <c r="W710" t="s">
        <v>13604</v>
      </c>
      <c r="X710" t="s">
        <v>13605</v>
      </c>
      <c r="Y710" t="s">
        <v>13606</v>
      </c>
      <c r="Z710" t="s">
        <v>13607</v>
      </c>
      <c r="AA710" t="s">
        <v>74</v>
      </c>
      <c r="AB710" t="s">
        <v>74</v>
      </c>
      <c r="AC710" t="s">
        <v>74</v>
      </c>
      <c r="AD710" t="s">
        <v>74</v>
      </c>
      <c r="AE710" t="s">
        <v>74</v>
      </c>
      <c r="AF710" t="s">
        <v>74</v>
      </c>
      <c r="AG710">
        <v>18</v>
      </c>
      <c r="AH710">
        <v>348</v>
      </c>
      <c r="AI710">
        <v>511</v>
      </c>
      <c r="AJ710">
        <v>0</v>
      </c>
      <c r="AK710">
        <v>39</v>
      </c>
      <c r="AL710" t="s">
        <v>3298</v>
      </c>
      <c r="AM710" t="s">
        <v>202</v>
      </c>
      <c r="AN710" t="s">
        <v>3299</v>
      </c>
      <c r="AO710" t="s">
        <v>13608</v>
      </c>
      <c r="AP710" t="s">
        <v>74</v>
      </c>
      <c r="AQ710" t="s">
        <v>74</v>
      </c>
      <c r="AR710" t="s">
        <v>13609</v>
      </c>
      <c r="AS710" t="s">
        <v>13610</v>
      </c>
      <c r="AT710" t="s">
        <v>1652</v>
      </c>
      <c r="AU710">
        <v>2016</v>
      </c>
      <c r="AV710">
        <v>6</v>
      </c>
      <c r="AW710">
        <v>1</v>
      </c>
      <c r="AX710" t="s">
        <v>74</v>
      </c>
      <c r="AY710" t="s">
        <v>74</v>
      </c>
      <c r="AZ710" t="s">
        <v>74</v>
      </c>
      <c r="BA710" t="s">
        <v>74</v>
      </c>
      <c r="BB710">
        <v>46</v>
      </c>
      <c r="BC710">
        <v>57</v>
      </c>
      <c r="BD710" t="s">
        <v>74</v>
      </c>
      <c r="BE710" t="s">
        <v>13611</v>
      </c>
      <c r="BF710" t="str">
        <f>HYPERLINK("http://dx.doi.org/10.1016/j.rdf.2016.05.001","http://dx.doi.org/10.1016/j.rdf.2016.05.001")</f>
        <v>http://dx.doi.org/10.1016/j.rdf.2016.05.001</v>
      </c>
      <c r="BG710" t="s">
        <v>74</v>
      </c>
      <c r="BH710" t="s">
        <v>74</v>
      </c>
      <c r="BI710">
        <v>12</v>
      </c>
      <c r="BJ710" t="s">
        <v>268</v>
      </c>
      <c r="BK710" t="s">
        <v>313</v>
      </c>
      <c r="BL710" t="s">
        <v>100</v>
      </c>
      <c r="BM710" t="s">
        <v>13612</v>
      </c>
      <c r="BN710" t="s">
        <v>74</v>
      </c>
      <c r="BO710" t="s">
        <v>270</v>
      </c>
      <c r="BP710" t="s">
        <v>74</v>
      </c>
      <c r="BQ710" t="s">
        <v>74</v>
      </c>
      <c r="BR710" t="s">
        <v>102</v>
      </c>
      <c r="BS710" t="s">
        <v>13613</v>
      </c>
      <c r="BT710" t="str">
        <f>HYPERLINK("https%3A%2F%2Fwww.webofscience.com%2Fwos%2Fwoscc%2Ffull-record%2FWOS:000393404900004","View Full Record in Web of Science")</f>
        <v>View Full Record in Web of Science</v>
      </c>
    </row>
    <row r="711" spans="1:72" x14ac:dyDescent="0.25">
      <c r="A711" t="s">
        <v>72</v>
      </c>
      <c r="B711" t="s">
        <v>13614</v>
      </c>
      <c r="C711" t="s">
        <v>74</v>
      </c>
      <c r="D711" t="s">
        <v>74</v>
      </c>
      <c r="E711" t="s">
        <v>74</v>
      </c>
      <c r="F711" t="s">
        <v>13615</v>
      </c>
      <c r="G711" t="s">
        <v>74</v>
      </c>
      <c r="H711" t="s">
        <v>74</v>
      </c>
      <c r="I711" t="s">
        <v>13616</v>
      </c>
      <c r="J711" t="s">
        <v>13617</v>
      </c>
      <c r="K711" t="s">
        <v>74</v>
      </c>
      <c r="L711" t="s">
        <v>74</v>
      </c>
      <c r="M711" t="s">
        <v>78</v>
      </c>
      <c r="N711" t="s">
        <v>79</v>
      </c>
      <c r="O711" t="s">
        <v>74</v>
      </c>
      <c r="P711" t="s">
        <v>74</v>
      </c>
      <c r="Q711" t="s">
        <v>74</v>
      </c>
      <c r="R711" t="s">
        <v>74</v>
      </c>
      <c r="S711" t="s">
        <v>74</v>
      </c>
      <c r="T711" t="s">
        <v>13618</v>
      </c>
      <c r="U711" t="s">
        <v>74</v>
      </c>
      <c r="V711" t="s">
        <v>13619</v>
      </c>
      <c r="W711" t="s">
        <v>13620</v>
      </c>
      <c r="X711" t="s">
        <v>13621</v>
      </c>
      <c r="Y711" t="s">
        <v>13622</v>
      </c>
      <c r="Z711" t="s">
        <v>13623</v>
      </c>
      <c r="AA711" t="s">
        <v>74</v>
      </c>
      <c r="AB711" t="s">
        <v>74</v>
      </c>
      <c r="AC711" t="s">
        <v>74</v>
      </c>
      <c r="AD711" t="s">
        <v>74</v>
      </c>
      <c r="AE711" t="s">
        <v>74</v>
      </c>
      <c r="AF711" t="s">
        <v>74</v>
      </c>
      <c r="AG711">
        <v>39</v>
      </c>
      <c r="AH711">
        <v>3</v>
      </c>
      <c r="AI711">
        <v>3</v>
      </c>
      <c r="AJ711">
        <v>13</v>
      </c>
      <c r="AK711">
        <v>23</v>
      </c>
      <c r="AL711" t="s">
        <v>1216</v>
      </c>
      <c r="AM711" t="s">
        <v>283</v>
      </c>
      <c r="AN711" t="s">
        <v>1217</v>
      </c>
      <c r="AO711" t="s">
        <v>74</v>
      </c>
      <c r="AP711" t="s">
        <v>13624</v>
      </c>
      <c r="AQ711" t="s">
        <v>74</v>
      </c>
      <c r="AR711" t="s">
        <v>13625</v>
      </c>
      <c r="AS711" t="s">
        <v>13626</v>
      </c>
      <c r="AT711" t="s">
        <v>13627</v>
      </c>
      <c r="AU711">
        <v>2025</v>
      </c>
      <c r="AV711">
        <v>13</v>
      </c>
      <c r="AW711" t="s">
        <v>74</v>
      </c>
      <c r="AX711" t="s">
        <v>74</v>
      </c>
      <c r="AY711" t="s">
        <v>74</v>
      </c>
      <c r="AZ711" t="s">
        <v>74</v>
      </c>
      <c r="BA711" t="s">
        <v>74</v>
      </c>
      <c r="BB711" t="s">
        <v>74</v>
      </c>
      <c r="BC711" t="s">
        <v>74</v>
      </c>
      <c r="BD711">
        <v>1545215</v>
      </c>
      <c r="BE711" t="s">
        <v>13628</v>
      </c>
      <c r="BF711" t="str">
        <f>HYPERLINK("http://dx.doi.org/10.3389/fpubh.2025.1545215","http://dx.doi.org/10.3389/fpubh.2025.1545215")</f>
        <v>http://dx.doi.org/10.3389/fpubh.2025.1545215</v>
      </c>
      <c r="BG711" t="s">
        <v>74</v>
      </c>
      <c r="BH711" t="s">
        <v>74</v>
      </c>
      <c r="BI711">
        <v>15</v>
      </c>
      <c r="BJ711" t="s">
        <v>7080</v>
      </c>
      <c r="BK711" t="s">
        <v>2623</v>
      </c>
      <c r="BL711" t="s">
        <v>7080</v>
      </c>
      <c r="BM711" t="s">
        <v>13629</v>
      </c>
      <c r="BN711">
        <v>40270742</v>
      </c>
      <c r="BO711" t="s">
        <v>916</v>
      </c>
      <c r="BP711" t="s">
        <v>74</v>
      </c>
      <c r="BQ711" t="s">
        <v>74</v>
      </c>
      <c r="BR711" t="s">
        <v>102</v>
      </c>
      <c r="BS711" t="s">
        <v>13630</v>
      </c>
      <c r="BT711" t="str">
        <f>HYPERLINK("https%3A%2F%2Fwww.webofscience.com%2Fwos%2Fwoscc%2Ffull-record%2FWOS:001472807000001","View Full Record in Web of Science")</f>
        <v>View Full Record in Web of Science</v>
      </c>
    </row>
    <row r="712" spans="1:72" x14ac:dyDescent="0.25">
      <c r="A712" t="s">
        <v>72</v>
      </c>
      <c r="B712" t="s">
        <v>13631</v>
      </c>
      <c r="C712" t="s">
        <v>74</v>
      </c>
      <c r="D712" t="s">
        <v>74</v>
      </c>
      <c r="E712" t="s">
        <v>74</v>
      </c>
      <c r="F712" t="s">
        <v>13632</v>
      </c>
      <c r="G712" t="s">
        <v>74</v>
      </c>
      <c r="H712" t="s">
        <v>74</v>
      </c>
      <c r="I712" t="s">
        <v>13633</v>
      </c>
      <c r="J712" t="s">
        <v>13634</v>
      </c>
      <c r="K712" t="s">
        <v>74</v>
      </c>
      <c r="L712" t="s">
        <v>74</v>
      </c>
      <c r="M712" t="s">
        <v>78</v>
      </c>
      <c r="N712" t="s">
        <v>79</v>
      </c>
      <c r="O712" t="s">
        <v>74</v>
      </c>
      <c r="P712" t="s">
        <v>74</v>
      </c>
      <c r="Q712" t="s">
        <v>74</v>
      </c>
      <c r="R712" t="s">
        <v>74</v>
      </c>
      <c r="S712" t="s">
        <v>74</v>
      </c>
      <c r="T712" t="s">
        <v>13635</v>
      </c>
      <c r="U712" t="s">
        <v>13636</v>
      </c>
      <c r="V712" t="s">
        <v>13637</v>
      </c>
      <c r="W712" t="s">
        <v>13638</v>
      </c>
      <c r="X712" t="s">
        <v>13639</v>
      </c>
      <c r="Y712" t="s">
        <v>13640</v>
      </c>
      <c r="Z712" t="s">
        <v>13641</v>
      </c>
      <c r="AA712" t="s">
        <v>13642</v>
      </c>
      <c r="AB712" t="s">
        <v>13643</v>
      </c>
      <c r="AC712" t="s">
        <v>74</v>
      </c>
      <c r="AD712" t="s">
        <v>74</v>
      </c>
      <c r="AE712" t="s">
        <v>74</v>
      </c>
      <c r="AF712" t="s">
        <v>74</v>
      </c>
      <c r="AG712">
        <v>98</v>
      </c>
      <c r="AH712">
        <v>4</v>
      </c>
      <c r="AI712">
        <v>4</v>
      </c>
      <c r="AJ712">
        <v>13</v>
      </c>
      <c r="AK712">
        <v>31</v>
      </c>
      <c r="AL712" t="s">
        <v>3461</v>
      </c>
      <c r="AM712" t="s">
        <v>3462</v>
      </c>
      <c r="AN712" t="s">
        <v>3463</v>
      </c>
      <c r="AO712" t="s">
        <v>13644</v>
      </c>
      <c r="AP712" t="s">
        <v>13645</v>
      </c>
      <c r="AQ712" t="s">
        <v>74</v>
      </c>
      <c r="AR712" t="s">
        <v>13646</v>
      </c>
      <c r="AS712" t="s">
        <v>13647</v>
      </c>
      <c r="AT712" t="s">
        <v>74</v>
      </c>
      <c r="AU712">
        <v>2024</v>
      </c>
      <c r="AV712">
        <v>71</v>
      </c>
      <c r="AW712" t="s">
        <v>74</v>
      </c>
      <c r="AX712" t="s">
        <v>74</v>
      </c>
      <c r="AY712" t="s">
        <v>74</v>
      </c>
      <c r="AZ712" t="s">
        <v>74</v>
      </c>
      <c r="BA712" t="s">
        <v>74</v>
      </c>
      <c r="BB712">
        <v>11053</v>
      </c>
      <c r="BC712">
        <v>11065</v>
      </c>
      <c r="BD712" t="s">
        <v>74</v>
      </c>
      <c r="BE712" t="s">
        <v>13648</v>
      </c>
      <c r="BF712" t="str">
        <f>HYPERLINK("http://dx.doi.org/10.1109/TEM.2024.3401095","http://dx.doi.org/10.1109/TEM.2024.3401095")</f>
        <v>http://dx.doi.org/10.1109/TEM.2024.3401095</v>
      </c>
      <c r="BG712" t="s">
        <v>74</v>
      </c>
      <c r="BH712" t="s">
        <v>74</v>
      </c>
      <c r="BI712">
        <v>13</v>
      </c>
      <c r="BJ712" t="s">
        <v>13649</v>
      </c>
      <c r="BK712" t="s">
        <v>2623</v>
      </c>
      <c r="BL712" t="s">
        <v>13650</v>
      </c>
      <c r="BM712" t="s">
        <v>13651</v>
      </c>
      <c r="BN712" t="s">
        <v>74</v>
      </c>
      <c r="BO712" t="s">
        <v>74</v>
      </c>
      <c r="BP712" t="s">
        <v>74</v>
      </c>
      <c r="BQ712" t="s">
        <v>74</v>
      </c>
      <c r="BR712" t="s">
        <v>102</v>
      </c>
      <c r="BS712" t="s">
        <v>13652</v>
      </c>
      <c r="BT712" t="str">
        <f>HYPERLINK("https%3A%2F%2Fwww.webofscience.com%2Fwos%2Fwoscc%2Ffull-record%2FWOS:001251183400004","View Full Record in Web of Science")</f>
        <v>View Full Record in Web of Science</v>
      </c>
    </row>
    <row r="713" spans="1:72" x14ac:dyDescent="0.25">
      <c r="A713" t="s">
        <v>72</v>
      </c>
      <c r="B713" t="s">
        <v>13653</v>
      </c>
      <c r="C713" t="s">
        <v>74</v>
      </c>
      <c r="D713" t="s">
        <v>74</v>
      </c>
      <c r="E713" t="s">
        <v>74</v>
      </c>
      <c r="F713" t="s">
        <v>13654</v>
      </c>
      <c r="G713" t="s">
        <v>74</v>
      </c>
      <c r="H713" t="s">
        <v>74</v>
      </c>
      <c r="I713" t="s">
        <v>13655</v>
      </c>
      <c r="J713" t="s">
        <v>246</v>
      </c>
      <c r="K713" t="s">
        <v>74</v>
      </c>
      <c r="L713" t="s">
        <v>74</v>
      </c>
      <c r="M713" t="s">
        <v>78</v>
      </c>
      <c r="N713" t="s">
        <v>1766</v>
      </c>
      <c r="O713" t="s">
        <v>74</v>
      </c>
      <c r="P713" t="s">
        <v>74</v>
      </c>
      <c r="Q713" t="s">
        <v>74</v>
      </c>
      <c r="R713" t="s">
        <v>74</v>
      </c>
      <c r="S713" t="s">
        <v>74</v>
      </c>
      <c r="T713" t="s">
        <v>13656</v>
      </c>
      <c r="U713" t="s">
        <v>13657</v>
      </c>
      <c r="V713" t="s">
        <v>13658</v>
      </c>
      <c r="W713" t="s">
        <v>13659</v>
      </c>
      <c r="X713" t="s">
        <v>13660</v>
      </c>
      <c r="Y713" t="s">
        <v>13661</v>
      </c>
      <c r="Z713" t="s">
        <v>13662</v>
      </c>
      <c r="AA713" t="s">
        <v>13663</v>
      </c>
      <c r="AB713" t="s">
        <v>13664</v>
      </c>
      <c r="AC713" t="s">
        <v>74</v>
      </c>
      <c r="AD713" t="s">
        <v>74</v>
      </c>
      <c r="AE713" t="s">
        <v>74</v>
      </c>
      <c r="AF713" t="s">
        <v>74</v>
      </c>
      <c r="AG713">
        <v>102</v>
      </c>
      <c r="AH713">
        <v>7</v>
      </c>
      <c r="AI713">
        <v>11</v>
      </c>
      <c r="AJ713">
        <v>16</v>
      </c>
      <c r="AK713">
        <v>65</v>
      </c>
      <c r="AL713" t="s">
        <v>259</v>
      </c>
      <c r="AM713" t="s">
        <v>260</v>
      </c>
      <c r="AN713" t="s">
        <v>261</v>
      </c>
      <c r="AO713" t="s">
        <v>262</v>
      </c>
      <c r="AP713" t="s">
        <v>263</v>
      </c>
      <c r="AQ713" t="s">
        <v>74</v>
      </c>
      <c r="AR713" t="s">
        <v>264</v>
      </c>
      <c r="AS713" t="s">
        <v>265</v>
      </c>
      <c r="AT713" t="s">
        <v>237</v>
      </c>
      <c r="AU713">
        <v>2025</v>
      </c>
      <c r="AV713">
        <v>72</v>
      </c>
      <c r="AW713" t="s">
        <v>74</v>
      </c>
      <c r="AX713" t="s">
        <v>74</v>
      </c>
      <c r="AY713" t="s">
        <v>74</v>
      </c>
      <c r="AZ713" t="s">
        <v>74</v>
      </c>
      <c r="BA713" t="s">
        <v>74</v>
      </c>
      <c r="BB713" t="s">
        <v>74</v>
      </c>
      <c r="BC713" t="s">
        <v>74</v>
      </c>
      <c r="BD713">
        <v>106500</v>
      </c>
      <c r="BE713" t="s">
        <v>13665</v>
      </c>
      <c r="BF713" t="str">
        <f>HYPERLINK("http://dx.doi.org/10.1016/j.frl.2024.106500","http://dx.doi.org/10.1016/j.frl.2024.106500")</f>
        <v>http://dx.doi.org/10.1016/j.frl.2024.106500</v>
      </c>
      <c r="BG713" t="s">
        <v>74</v>
      </c>
      <c r="BH713" t="s">
        <v>267</v>
      </c>
      <c r="BI713">
        <v>14</v>
      </c>
      <c r="BJ713" t="s">
        <v>268</v>
      </c>
      <c r="BK713" t="s">
        <v>99</v>
      </c>
      <c r="BL713" t="s">
        <v>100</v>
      </c>
      <c r="BM713" t="s">
        <v>13666</v>
      </c>
      <c r="BN713" t="s">
        <v>74</v>
      </c>
      <c r="BO713" t="s">
        <v>270</v>
      </c>
      <c r="BP713" t="s">
        <v>74</v>
      </c>
      <c r="BQ713" t="s">
        <v>74</v>
      </c>
      <c r="BR713" t="s">
        <v>102</v>
      </c>
      <c r="BS713" t="s">
        <v>13667</v>
      </c>
      <c r="BT713" t="str">
        <f>HYPERLINK("https%3A%2F%2Fwww.webofscience.com%2Fwos%2Fwoscc%2Ffull-record%2FWOS:001372047700001","View Full Record in Web of Science")</f>
        <v>View Full Record in Web of Science</v>
      </c>
    </row>
    <row r="714" spans="1:72" x14ac:dyDescent="0.25">
      <c r="A714" t="s">
        <v>72</v>
      </c>
      <c r="B714" t="s">
        <v>13668</v>
      </c>
      <c r="C714" t="s">
        <v>74</v>
      </c>
      <c r="D714" t="s">
        <v>74</v>
      </c>
      <c r="E714" t="s">
        <v>74</v>
      </c>
      <c r="F714" t="s">
        <v>13669</v>
      </c>
      <c r="G714" t="s">
        <v>74</v>
      </c>
      <c r="H714" t="s">
        <v>74</v>
      </c>
      <c r="I714" t="s">
        <v>13670</v>
      </c>
      <c r="J714" t="s">
        <v>13671</v>
      </c>
      <c r="K714" t="s">
        <v>74</v>
      </c>
      <c r="L714" t="s">
        <v>74</v>
      </c>
      <c r="M714" t="s">
        <v>78</v>
      </c>
      <c r="N714" t="s">
        <v>79</v>
      </c>
      <c r="O714" t="s">
        <v>74</v>
      </c>
      <c r="P714" t="s">
        <v>74</v>
      </c>
      <c r="Q714" t="s">
        <v>74</v>
      </c>
      <c r="R714" t="s">
        <v>74</v>
      </c>
      <c r="S714" t="s">
        <v>74</v>
      </c>
      <c r="T714" t="s">
        <v>13672</v>
      </c>
      <c r="U714" t="s">
        <v>13673</v>
      </c>
      <c r="V714" t="s">
        <v>13674</v>
      </c>
      <c r="W714" t="s">
        <v>13675</v>
      </c>
      <c r="X714" t="s">
        <v>13676</v>
      </c>
      <c r="Y714" t="s">
        <v>13677</v>
      </c>
      <c r="Z714" t="s">
        <v>13678</v>
      </c>
      <c r="AA714" t="s">
        <v>13679</v>
      </c>
      <c r="AB714" t="s">
        <v>74</v>
      </c>
      <c r="AC714" t="s">
        <v>13680</v>
      </c>
      <c r="AD714" t="s">
        <v>13681</v>
      </c>
      <c r="AE714" t="s">
        <v>13682</v>
      </c>
      <c r="AF714" t="s">
        <v>74</v>
      </c>
      <c r="AG714">
        <v>37</v>
      </c>
      <c r="AH714">
        <v>0</v>
      </c>
      <c r="AI714">
        <v>0</v>
      </c>
      <c r="AJ714">
        <v>3</v>
      </c>
      <c r="AK714">
        <v>3</v>
      </c>
      <c r="AL714" t="s">
        <v>4605</v>
      </c>
      <c r="AM714" t="s">
        <v>4280</v>
      </c>
      <c r="AN714" t="s">
        <v>4606</v>
      </c>
      <c r="AO714" t="s">
        <v>13683</v>
      </c>
      <c r="AP714" t="s">
        <v>13684</v>
      </c>
      <c r="AQ714" t="s">
        <v>74</v>
      </c>
      <c r="AR714" t="s">
        <v>13685</v>
      </c>
      <c r="AS714" t="s">
        <v>13686</v>
      </c>
      <c r="AT714" t="s">
        <v>13687</v>
      </c>
      <c r="AU714">
        <v>2025</v>
      </c>
      <c r="AV714">
        <v>14</v>
      </c>
      <c r="AW714">
        <v>3</v>
      </c>
      <c r="AX714" t="s">
        <v>74</v>
      </c>
      <c r="AY714" t="s">
        <v>74</v>
      </c>
      <c r="AZ714" t="s">
        <v>74</v>
      </c>
      <c r="BA714" t="s">
        <v>74</v>
      </c>
      <c r="BB714">
        <v>79</v>
      </c>
      <c r="BC714">
        <v>104</v>
      </c>
      <c r="BD714" t="s">
        <v>74</v>
      </c>
      <c r="BE714" t="s">
        <v>13688</v>
      </c>
      <c r="BF714" t="str">
        <f>HYPERLINK("http://dx.doi.org/10.2478/jcbtp-2025-0024","http://dx.doi.org/10.2478/jcbtp-2025-0024")</f>
        <v>http://dx.doi.org/10.2478/jcbtp-2025-0024</v>
      </c>
      <c r="BG714" t="s">
        <v>74</v>
      </c>
      <c r="BH714" t="s">
        <v>74</v>
      </c>
      <c r="BI714">
        <v>26</v>
      </c>
      <c r="BJ714" t="s">
        <v>268</v>
      </c>
      <c r="BK714" t="s">
        <v>313</v>
      </c>
      <c r="BL714" t="s">
        <v>100</v>
      </c>
      <c r="BM714" t="s">
        <v>13689</v>
      </c>
      <c r="BN714" t="s">
        <v>74</v>
      </c>
      <c r="BO714" t="s">
        <v>212</v>
      </c>
      <c r="BP714" t="s">
        <v>74</v>
      </c>
      <c r="BQ714" t="s">
        <v>74</v>
      </c>
      <c r="BR714" t="s">
        <v>102</v>
      </c>
      <c r="BS714" t="s">
        <v>13690</v>
      </c>
      <c r="BT714" t="str">
        <f>HYPERLINK("https%3A%2F%2Fwww.webofscience.com%2Fwos%2Fwoscc%2Ffull-record%2FWOS:001563624400007","View Full Record in Web of Science")</f>
        <v>View Full Record in Web of Science</v>
      </c>
    </row>
    <row r="715" spans="1:72" x14ac:dyDescent="0.25">
      <c r="A715" t="s">
        <v>72</v>
      </c>
      <c r="B715" t="s">
        <v>13691</v>
      </c>
      <c r="C715" t="s">
        <v>74</v>
      </c>
      <c r="D715" t="s">
        <v>74</v>
      </c>
      <c r="E715" t="s">
        <v>74</v>
      </c>
      <c r="F715" t="s">
        <v>13692</v>
      </c>
      <c r="G715" t="s">
        <v>74</v>
      </c>
      <c r="H715" t="s">
        <v>74</v>
      </c>
      <c r="I715" t="s">
        <v>13693</v>
      </c>
      <c r="J715" t="s">
        <v>13694</v>
      </c>
      <c r="K715" t="s">
        <v>74</v>
      </c>
      <c r="L715" t="s">
        <v>74</v>
      </c>
      <c r="M715" t="s">
        <v>78</v>
      </c>
      <c r="N715" t="s">
        <v>79</v>
      </c>
      <c r="O715" t="s">
        <v>74</v>
      </c>
      <c r="P715" t="s">
        <v>74</v>
      </c>
      <c r="Q715" t="s">
        <v>74</v>
      </c>
      <c r="R715" t="s">
        <v>74</v>
      </c>
      <c r="S715" t="s">
        <v>74</v>
      </c>
      <c r="T715" t="s">
        <v>13695</v>
      </c>
      <c r="U715" t="s">
        <v>13696</v>
      </c>
      <c r="V715" t="s">
        <v>13697</v>
      </c>
      <c r="W715" t="s">
        <v>13698</v>
      </c>
      <c r="X715" t="s">
        <v>13699</v>
      </c>
      <c r="Y715" t="s">
        <v>13700</v>
      </c>
      <c r="Z715" t="s">
        <v>13701</v>
      </c>
      <c r="AA715" t="s">
        <v>74</v>
      </c>
      <c r="AB715" t="s">
        <v>74</v>
      </c>
      <c r="AC715" t="s">
        <v>74</v>
      </c>
      <c r="AD715" t="s">
        <v>74</v>
      </c>
      <c r="AE715" t="s">
        <v>74</v>
      </c>
      <c r="AF715" t="s">
        <v>74</v>
      </c>
      <c r="AG715">
        <v>22</v>
      </c>
      <c r="AH715">
        <v>1</v>
      </c>
      <c r="AI715">
        <v>2</v>
      </c>
      <c r="AJ715">
        <v>1</v>
      </c>
      <c r="AK715">
        <v>21</v>
      </c>
      <c r="AL715" t="s">
        <v>13702</v>
      </c>
      <c r="AM715" t="s">
        <v>13703</v>
      </c>
      <c r="AN715" t="s">
        <v>13704</v>
      </c>
      <c r="AO715" t="s">
        <v>13705</v>
      </c>
      <c r="AP715" t="s">
        <v>13706</v>
      </c>
      <c r="AQ715" t="s">
        <v>74</v>
      </c>
      <c r="AR715" t="s">
        <v>13707</v>
      </c>
      <c r="AS715" t="s">
        <v>13708</v>
      </c>
      <c r="AT715" t="s">
        <v>1540</v>
      </c>
      <c r="AU715">
        <v>2023</v>
      </c>
      <c r="AV715">
        <v>43</v>
      </c>
      <c r="AW715">
        <v>3</v>
      </c>
      <c r="AX715" t="s">
        <v>74</v>
      </c>
      <c r="AY715" t="s">
        <v>74</v>
      </c>
      <c r="AZ715" t="s">
        <v>74</v>
      </c>
      <c r="BA715" t="s">
        <v>74</v>
      </c>
      <c r="BB715">
        <v>157</v>
      </c>
      <c r="BC715">
        <v>163</v>
      </c>
      <c r="BD715" t="s">
        <v>74</v>
      </c>
      <c r="BE715" t="s">
        <v>13709</v>
      </c>
      <c r="BF715" t="str">
        <f>HYPERLINK("http://dx.doi.org/10.14429/djlit.43.3.18436","http://dx.doi.org/10.14429/djlit.43.3.18436")</f>
        <v>http://dx.doi.org/10.14429/djlit.43.3.18436</v>
      </c>
      <c r="BG715" t="s">
        <v>74</v>
      </c>
      <c r="BH715" t="s">
        <v>74</v>
      </c>
      <c r="BI715">
        <v>7</v>
      </c>
      <c r="BJ715" t="s">
        <v>2351</v>
      </c>
      <c r="BK715" t="s">
        <v>313</v>
      </c>
      <c r="BL715" t="s">
        <v>2351</v>
      </c>
      <c r="BM715" t="s">
        <v>13710</v>
      </c>
      <c r="BN715" t="s">
        <v>74</v>
      </c>
      <c r="BO715" t="s">
        <v>74</v>
      </c>
      <c r="BP715" t="s">
        <v>74</v>
      </c>
      <c r="BQ715" t="s">
        <v>74</v>
      </c>
      <c r="BR715" t="s">
        <v>102</v>
      </c>
      <c r="BS715" t="s">
        <v>13711</v>
      </c>
      <c r="BT715" t="str">
        <f>HYPERLINK("https%3A%2F%2Fwww.webofscience.com%2Fwos%2Fwoscc%2Ffull-record%2FWOS:001027230100003","View Full Record in Web of Science")</f>
        <v>View Full Record in Web of Science</v>
      </c>
    </row>
    <row r="716" spans="1:72" x14ac:dyDescent="0.25">
      <c r="A716" t="s">
        <v>72</v>
      </c>
      <c r="B716" t="s">
        <v>13712</v>
      </c>
      <c r="C716" t="s">
        <v>74</v>
      </c>
      <c r="D716" t="s">
        <v>74</v>
      </c>
      <c r="E716" t="s">
        <v>74</v>
      </c>
      <c r="F716" t="s">
        <v>13713</v>
      </c>
      <c r="G716" t="s">
        <v>74</v>
      </c>
      <c r="H716" t="s">
        <v>74</v>
      </c>
      <c r="I716" t="s">
        <v>13714</v>
      </c>
      <c r="J716" t="s">
        <v>13715</v>
      </c>
      <c r="K716" t="s">
        <v>74</v>
      </c>
      <c r="L716" t="s">
        <v>74</v>
      </c>
      <c r="M716" t="s">
        <v>78</v>
      </c>
      <c r="N716" t="s">
        <v>372</v>
      </c>
      <c r="O716" t="s">
        <v>74</v>
      </c>
      <c r="P716" t="s">
        <v>74</v>
      </c>
      <c r="Q716" t="s">
        <v>74</v>
      </c>
      <c r="R716" t="s">
        <v>74</v>
      </c>
      <c r="S716" t="s">
        <v>74</v>
      </c>
      <c r="T716" t="s">
        <v>13716</v>
      </c>
      <c r="U716" t="s">
        <v>13717</v>
      </c>
      <c r="V716" t="s">
        <v>13718</v>
      </c>
      <c r="W716" t="s">
        <v>13719</v>
      </c>
      <c r="X716" t="s">
        <v>13720</v>
      </c>
      <c r="Y716" t="s">
        <v>13721</v>
      </c>
      <c r="Z716" t="s">
        <v>13722</v>
      </c>
      <c r="AA716" t="s">
        <v>13723</v>
      </c>
      <c r="AB716" t="s">
        <v>13724</v>
      </c>
      <c r="AC716" t="s">
        <v>74</v>
      </c>
      <c r="AD716" t="s">
        <v>74</v>
      </c>
      <c r="AE716" t="s">
        <v>74</v>
      </c>
      <c r="AF716" t="s">
        <v>74</v>
      </c>
      <c r="AG716">
        <v>103</v>
      </c>
      <c r="AH716">
        <v>2</v>
      </c>
      <c r="AI716">
        <v>2</v>
      </c>
      <c r="AJ716">
        <v>2</v>
      </c>
      <c r="AK716">
        <v>14</v>
      </c>
      <c r="AL716" t="s">
        <v>2343</v>
      </c>
      <c r="AM716" t="s">
        <v>2344</v>
      </c>
      <c r="AN716" t="s">
        <v>2345</v>
      </c>
      <c r="AO716" t="s">
        <v>13725</v>
      </c>
      <c r="AP716" t="s">
        <v>13726</v>
      </c>
      <c r="AQ716" t="s">
        <v>74</v>
      </c>
      <c r="AR716" t="s">
        <v>13727</v>
      </c>
      <c r="AS716" t="s">
        <v>13728</v>
      </c>
      <c r="AT716" t="s">
        <v>13729</v>
      </c>
      <c r="AU716">
        <v>2024</v>
      </c>
      <c r="AV716" t="s">
        <v>74</v>
      </c>
      <c r="AW716" t="s">
        <v>74</v>
      </c>
      <c r="AX716" t="s">
        <v>74</v>
      </c>
      <c r="AY716" t="s">
        <v>74</v>
      </c>
      <c r="AZ716" t="s">
        <v>74</v>
      </c>
      <c r="BA716" t="s">
        <v>74</v>
      </c>
      <c r="BB716" t="s">
        <v>74</v>
      </c>
      <c r="BC716" t="s">
        <v>74</v>
      </c>
      <c r="BD716" t="s">
        <v>74</v>
      </c>
      <c r="BE716" t="s">
        <v>13730</v>
      </c>
      <c r="BF716" t="str">
        <f>HYPERLINK("http://dx.doi.org/10.1080/08874417.2024.2375378","http://dx.doi.org/10.1080/08874417.2024.2375378")</f>
        <v>http://dx.doi.org/10.1080/08874417.2024.2375378</v>
      </c>
      <c r="BG716" t="s">
        <v>74</v>
      </c>
      <c r="BH716" t="s">
        <v>2524</v>
      </c>
      <c r="BI716">
        <v>14</v>
      </c>
      <c r="BJ716" t="s">
        <v>1779</v>
      </c>
      <c r="BK716" t="s">
        <v>128</v>
      </c>
      <c r="BL716" t="s">
        <v>157</v>
      </c>
      <c r="BM716" t="s">
        <v>13731</v>
      </c>
      <c r="BN716" t="s">
        <v>74</v>
      </c>
      <c r="BO716" t="s">
        <v>74</v>
      </c>
      <c r="BP716" t="s">
        <v>74</v>
      </c>
      <c r="BQ716" t="s">
        <v>74</v>
      </c>
      <c r="BR716" t="s">
        <v>102</v>
      </c>
      <c r="BS716" t="s">
        <v>13732</v>
      </c>
      <c r="BT716" t="str">
        <f>HYPERLINK("https%3A%2F%2Fwww.webofscience.com%2Fwos%2Fwoscc%2Ffull-record%2FWOS:001270326300001","View Full Record in Web of Science")</f>
        <v>View Full Record in Web of Science</v>
      </c>
    </row>
    <row r="717" spans="1:72" x14ac:dyDescent="0.25">
      <c r="A717" t="s">
        <v>72</v>
      </c>
      <c r="B717" t="s">
        <v>13733</v>
      </c>
      <c r="C717" t="s">
        <v>74</v>
      </c>
      <c r="D717" t="s">
        <v>74</v>
      </c>
      <c r="E717" t="s">
        <v>74</v>
      </c>
      <c r="F717" t="s">
        <v>13734</v>
      </c>
      <c r="G717" t="s">
        <v>74</v>
      </c>
      <c r="H717" t="s">
        <v>74</v>
      </c>
      <c r="I717" t="s">
        <v>13735</v>
      </c>
      <c r="J717" t="s">
        <v>900</v>
      </c>
      <c r="K717" t="s">
        <v>74</v>
      </c>
      <c r="L717" t="s">
        <v>74</v>
      </c>
      <c r="M717" t="s">
        <v>78</v>
      </c>
      <c r="N717" t="s">
        <v>79</v>
      </c>
      <c r="O717" t="s">
        <v>74</v>
      </c>
      <c r="P717" t="s">
        <v>74</v>
      </c>
      <c r="Q717" t="s">
        <v>74</v>
      </c>
      <c r="R717" t="s">
        <v>74</v>
      </c>
      <c r="S717" t="s">
        <v>74</v>
      </c>
      <c r="T717" t="s">
        <v>13736</v>
      </c>
      <c r="U717" t="s">
        <v>74</v>
      </c>
      <c r="V717" t="s">
        <v>13737</v>
      </c>
      <c r="W717" t="s">
        <v>13738</v>
      </c>
      <c r="X717" t="s">
        <v>5737</v>
      </c>
      <c r="Y717" t="s">
        <v>13739</v>
      </c>
      <c r="Z717" t="s">
        <v>13740</v>
      </c>
      <c r="AA717" t="s">
        <v>13741</v>
      </c>
      <c r="AB717" t="s">
        <v>13742</v>
      </c>
      <c r="AC717" t="s">
        <v>74</v>
      </c>
      <c r="AD717" t="s">
        <v>74</v>
      </c>
      <c r="AE717" t="s">
        <v>74</v>
      </c>
      <c r="AF717" t="s">
        <v>74</v>
      </c>
      <c r="AG717">
        <v>49</v>
      </c>
      <c r="AH717">
        <v>29</v>
      </c>
      <c r="AI717">
        <v>45</v>
      </c>
      <c r="AJ717">
        <v>8</v>
      </c>
      <c r="AK717">
        <v>8</v>
      </c>
      <c r="AL717" t="s">
        <v>575</v>
      </c>
      <c r="AM717" t="s">
        <v>576</v>
      </c>
      <c r="AN717" t="s">
        <v>577</v>
      </c>
      <c r="AO717" t="s">
        <v>74</v>
      </c>
      <c r="AP717" t="s">
        <v>4045</v>
      </c>
      <c r="AQ717" t="s">
        <v>74</v>
      </c>
      <c r="AR717" t="s">
        <v>4046</v>
      </c>
      <c r="AS717" t="s">
        <v>4047</v>
      </c>
      <c r="AT717" t="s">
        <v>5746</v>
      </c>
      <c r="AU717">
        <v>2023</v>
      </c>
      <c r="AV717">
        <v>2</v>
      </c>
      <c r="AW717">
        <v>2</v>
      </c>
      <c r="AX717" t="s">
        <v>74</v>
      </c>
      <c r="AY717" t="s">
        <v>74</v>
      </c>
      <c r="AZ717" t="s">
        <v>74</v>
      </c>
      <c r="BA717" t="s">
        <v>74</v>
      </c>
      <c r="BB717">
        <v>327</v>
      </c>
      <c r="BC717">
        <v>343</v>
      </c>
      <c r="BD717" t="s">
        <v>74</v>
      </c>
      <c r="BE717" t="s">
        <v>13743</v>
      </c>
      <c r="BF717" t="str">
        <f>HYPERLINK("http://dx.doi.org/10.3390/fintech2020019","http://dx.doi.org/10.3390/fintech2020019")</f>
        <v>http://dx.doi.org/10.3390/fintech2020019</v>
      </c>
      <c r="BG717" t="s">
        <v>74</v>
      </c>
      <c r="BH717" t="s">
        <v>74</v>
      </c>
      <c r="BI717">
        <v>17</v>
      </c>
      <c r="BJ717" t="s">
        <v>4049</v>
      </c>
      <c r="BK717" t="s">
        <v>313</v>
      </c>
      <c r="BL717" t="s">
        <v>1070</v>
      </c>
      <c r="BM717" t="s">
        <v>13744</v>
      </c>
      <c r="BN717" t="s">
        <v>74</v>
      </c>
      <c r="BO717" t="s">
        <v>916</v>
      </c>
      <c r="BP717" t="s">
        <v>74</v>
      </c>
      <c r="BQ717" t="s">
        <v>74</v>
      </c>
      <c r="BR717" t="s">
        <v>102</v>
      </c>
      <c r="BS717" t="s">
        <v>13745</v>
      </c>
      <c r="BT717" t="str">
        <f>HYPERLINK("https%3A%2F%2Fwww.webofscience.com%2Fwos%2Fwoscc%2Ffull-record%2FWOS:001572627600001","View Full Record in Web of Science")</f>
        <v>View Full Record in Web of Science</v>
      </c>
    </row>
    <row r="718" spans="1:72" x14ac:dyDescent="0.25">
      <c r="A718" t="s">
        <v>72</v>
      </c>
      <c r="B718" t="s">
        <v>13746</v>
      </c>
      <c r="C718" t="s">
        <v>74</v>
      </c>
      <c r="D718" t="s">
        <v>74</v>
      </c>
      <c r="E718" t="s">
        <v>74</v>
      </c>
      <c r="F718" t="s">
        <v>13747</v>
      </c>
      <c r="G718" t="s">
        <v>74</v>
      </c>
      <c r="H718" t="s">
        <v>74</v>
      </c>
      <c r="I718" t="s">
        <v>13748</v>
      </c>
      <c r="J718" t="s">
        <v>3452</v>
      </c>
      <c r="K718" t="s">
        <v>74</v>
      </c>
      <c r="L718" t="s">
        <v>74</v>
      </c>
      <c r="M718" t="s">
        <v>78</v>
      </c>
      <c r="N718" t="s">
        <v>79</v>
      </c>
      <c r="O718" t="s">
        <v>74</v>
      </c>
      <c r="P718" t="s">
        <v>74</v>
      </c>
      <c r="Q718" t="s">
        <v>74</v>
      </c>
      <c r="R718" t="s">
        <v>74</v>
      </c>
      <c r="S718" t="s">
        <v>74</v>
      </c>
      <c r="T718" t="s">
        <v>13749</v>
      </c>
      <c r="U718" t="s">
        <v>74</v>
      </c>
      <c r="V718" t="s">
        <v>13750</v>
      </c>
      <c r="W718" t="s">
        <v>13751</v>
      </c>
      <c r="X718" t="s">
        <v>13752</v>
      </c>
      <c r="Y718" t="s">
        <v>13753</v>
      </c>
      <c r="Z718" t="s">
        <v>13754</v>
      </c>
      <c r="AA718" t="s">
        <v>13755</v>
      </c>
      <c r="AB718" t="s">
        <v>13756</v>
      </c>
      <c r="AC718" t="s">
        <v>13757</v>
      </c>
      <c r="AD718" t="s">
        <v>13758</v>
      </c>
      <c r="AE718" t="s">
        <v>3460</v>
      </c>
      <c r="AF718" t="s">
        <v>74</v>
      </c>
      <c r="AG718">
        <v>49</v>
      </c>
      <c r="AH718">
        <v>4</v>
      </c>
      <c r="AI718">
        <v>4</v>
      </c>
      <c r="AJ718">
        <v>11</v>
      </c>
      <c r="AK718">
        <v>17</v>
      </c>
      <c r="AL718" t="s">
        <v>3461</v>
      </c>
      <c r="AM718" t="s">
        <v>3462</v>
      </c>
      <c r="AN718" t="s">
        <v>3463</v>
      </c>
      <c r="AO718" t="s">
        <v>3464</v>
      </c>
      <c r="AP718" t="s">
        <v>74</v>
      </c>
      <c r="AQ718" t="s">
        <v>74</v>
      </c>
      <c r="AR718" t="s">
        <v>3452</v>
      </c>
      <c r="AS718" t="s">
        <v>3465</v>
      </c>
      <c r="AT718" t="s">
        <v>74</v>
      </c>
      <c r="AU718">
        <v>2024</v>
      </c>
      <c r="AV718">
        <v>12</v>
      </c>
      <c r="AW718" t="s">
        <v>74</v>
      </c>
      <c r="AX718" t="s">
        <v>74</v>
      </c>
      <c r="AY718" t="s">
        <v>74</v>
      </c>
      <c r="AZ718" t="s">
        <v>74</v>
      </c>
      <c r="BA718" t="s">
        <v>74</v>
      </c>
      <c r="BB718">
        <v>192689</v>
      </c>
      <c r="BC718">
        <v>192709</v>
      </c>
      <c r="BD718" t="s">
        <v>74</v>
      </c>
      <c r="BE718" t="s">
        <v>13759</v>
      </c>
      <c r="BF718" t="str">
        <f>HYPERLINK("http://dx.doi.org/10.1109/ACCESS.2024.3517147","http://dx.doi.org/10.1109/ACCESS.2024.3517147")</f>
        <v>http://dx.doi.org/10.1109/ACCESS.2024.3517147</v>
      </c>
      <c r="BG718" t="s">
        <v>74</v>
      </c>
      <c r="BH718" t="s">
        <v>74</v>
      </c>
      <c r="BI718">
        <v>21</v>
      </c>
      <c r="BJ718" t="s">
        <v>3467</v>
      </c>
      <c r="BK718" t="s">
        <v>128</v>
      </c>
      <c r="BL718" t="s">
        <v>1023</v>
      </c>
      <c r="BM718" t="s">
        <v>13760</v>
      </c>
      <c r="BN718" t="s">
        <v>74</v>
      </c>
      <c r="BO718" t="s">
        <v>916</v>
      </c>
      <c r="BP718" t="s">
        <v>74</v>
      </c>
      <c r="BQ718" t="s">
        <v>74</v>
      </c>
      <c r="BR718" t="s">
        <v>102</v>
      </c>
      <c r="BS718" t="s">
        <v>13761</v>
      </c>
      <c r="BT718" t="str">
        <f>HYPERLINK("https%3A%2F%2Fwww.webofscience.com%2Fwos%2Fwoscc%2Ffull-record%2FWOS:001383061300010","View Full Record in Web of Science")</f>
        <v>View Full Record in Web of Science</v>
      </c>
    </row>
    <row r="719" spans="1:72" x14ac:dyDescent="0.25">
      <c r="A719" t="s">
        <v>72</v>
      </c>
      <c r="B719" t="s">
        <v>13762</v>
      </c>
      <c r="C719" t="s">
        <v>74</v>
      </c>
      <c r="D719" t="s">
        <v>74</v>
      </c>
      <c r="E719" t="s">
        <v>74</v>
      </c>
      <c r="F719" t="s">
        <v>13763</v>
      </c>
      <c r="G719" t="s">
        <v>74</v>
      </c>
      <c r="H719" t="s">
        <v>74</v>
      </c>
      <c r="I719" t="s">
        <v>13764</v>
      </c>
      <c r="J719" t="s">
        <v>566</v>
      </c>
      <c r="K719" t="s">
        <v>74</v>
      </c>
      <c r="L719" t="s">
        <v>74</v>
      </c>
      <c r="M719" t="s">
        <v>78</v>
      </c>
      <c r="N719" t="s">
        <v>79</v>
      </c>
      <c r="O719" t="s">
        <v>74</v>
      </c>
      <c r="P719" t="s">
        <v>74</v>
      </c>
      <c r="Q719" t="s">
        <v>74</v>
      </c>
      <c r="R719" t="s">
        <v>74</v>
      </c>
      <c r="S719" t="s">
        <v>74</v>
      </c>
      <c r="T719" t="s">
        <v>13765</v>
      </c>
      <c r="U719" t="s">
        <v>74</v>
      </c>
      <c r="V719" t="s">
        <v>13766</v>
      </c>
      <c r="W719" t="s">
        <v>13767</v>
      </c>
      <c r="X719" t="s">
        <v>13768</v>
      </c>
      <c r="Y719" t="s">
        <v>13769</v>
      </c>
      <c r="Z719" t="s">
        <v>13770</v>
      </c>
      <c r="AA719" t="s">
        <v>13771</v>
      </c>
      <c r="AB719" t="s">
        <v>13772</v>
      </c>
      <c r="AC719" t="s">
        <v>13773</v>
      </c>
      <c r="AD719" t="s">
        <v>13774</v>
      </c>
      <c r="AE719" t="s">
        <v>13775</v>
      </c>
      <c r="AF719" t="s">
        <v>74</v>
      </c>
      <c r="AG719">
        <v>49</v>
      </c>
      <c r="AH719">
        <v>4</v>
      </c>
      <c r="AI719">
        <v>4</v>
      </c>
      <c r="AJ719">
        <v>3</v>
      </c>
      <c r="AK719">
        <v>4</v>
      </c>
      <c r="AL719" t="s">
        <v>575</v>
      </c>
      <c r="AM719" t="s">
        <v>576</v>
      </c>
      <c r="AN719" t="s">
        <v>577</v>
      </c>
      <c r="AO719" t="s">
        <v>74</v>
      </c>
      <c r="AP719" t="s">
        <v>578</v>
      </c>
      <c r="AQ719" t="s">
        <v>74</v>
      </c>
      <c r="AR719" t="s">
        <v>579</v>
      </c>
      <c r="AS719" t="s">
        <v>580</v>
      </c>
      <c r="AT719" t="s">
        <v>13776</v>
      </c>
      <c r="AU719">
        <v>2025</v>
      </c>
      <c r="AV719">
        <v>15</v>
      </c>
      <c r="AW719">
        <v>5</v>
      </c>
      <c r="AX719" t="s">
        <v>74</v>
      </c>
      <c r="AY719" t="s">
        <v>74</v>
      </c>
      <c r="AZ719" t="s">
        <v>74</v>
      </c>
      <c r="BA719" t="s">
        <v>74</v>
      </c>
      <c r="BB719" t="s">
        <v>74</v>
      </c>
      <c r="BC719" t="s">
        <v>74</v>
      </c>
      <c r="BD719">
        <v>178</v>
      </c>
      <c r="BE719" t="s">
        <v>13777</v>
      </c>
      <c r="BF719" t="str">
        <f>HYPERLINK("http://dx.doi.org/10.3390/admsci15050178","http://dx.doi.org/10.3390/admsci15050178")</f>
        <v>http://dx.doi.org/10.3390/admsci15050178</v>
      </c>
      <c r="BG719" t="s">
        <v>74</v>
      </c>
      <c r="BH719" t="s">
        <v>74</v>
      </c>
      <c r="BI719">
        <v>29</v>
      </c>
      <c r="BJ719" t="s">
        <v>583</v>
      </c>
      <c r="BK719" t="s">
        <v>313</v>
      </c>
      <c r="BL719" t="s">
        <v>100</v>
      </c>
      <c r="BM719" t="s">
        <v>13778</v>
      </c>
      <c r="BN719" t="s">
        <v>74</v>
      </c>
      <c r="BO719" t="s">
        <v>916</v>
      </c>
      <c r="BP719" t="s">
        <v>74</v>
      </c>
      <c r="BQ719" t="s">
        <v>74</v>
      </c>
      <c r="BR719" t="s">
        <v>102</v>
      </c>
      <c r="BS719" t="s">
        <v>13779</v>
      </c>
      <c r="BT719" t="str">
        <f>HYPERLINK("https%3A%2F%2Fwww.webofscience.com%2Fwos%2Fwoscc%2Ffull-record%2FWOS:001495896700001","View Full Record in Web of Science")</f>
        <v>View Full Record in Web of Science</v>
      </c>
    </row>
    <row r="720" spans="1:72" x14ac:dyDescent="0.25">
      <c r="A720" t="s">
        <v>72</v>
      </c>
      <c r="B720" t="s">
        <v>13780</v>
      </c>
      <c r="C720" t="s">
        <v>74</v>
      </c>
      <c r="D720" t="s">
        <v>74</v>
      </c>
      <c r="E720" t="s">
        <v>74</v>
      </c>
      <c r="F720" t="s">
        <v>13781</v>
      </c>
      <c r="G720" t="s">
        <v>74</v>
      </c>
      <c r="H720" t="s">
        <v>74</v>
      </c>
      <c r="I720" t="s">
        <v>13782</v>
      </c>
      <c r="J720" t="s">
        <v>11490</v>
      </c>
      <c r="K720" t="s">
        <v>74</v>
      </c>
      <c r="L720" t="s">
        <v>74</v>
      </c>
      <c r="M720" t="s">
        <v>78</v>
      </c>
      <c r="N720" t="s">
        <v>2335</v>
      </c>
      <c r="O720" t="s">
        <v>74</v>
      </c>
      <c r="P720" t="s">
        <v>74</v>
      </c>
      <c r="Q720" t="s">
        <v>74</v>
      </c>
      <c r="R720" t="s">
        <v>74</v>
      </c>
      <c r="S720" t="s">
        <v>74</v>
      </c>
      <c r="T720" t="s">
        <v>13783</v>
      </c>
      <c r="U720" t="s">
        <v>74</v>
      </c>
      <c r="V720" t="s">
        <v>13784</v>
      </c>
      <c r="W720" t="s">
        <v>13785</v>
      </c>
      <c r="X720" t="s">
        <v>13786</v>
      </c>
      <c r="Y720" t="s">
        <v>13787</v>
      </c>
      <c r="Z720" t="s">
        <v>74</v>
      </c>
      <c r="AA720" t="s">
        <v>74</v>
      </c>
      <c r="AB720" t="s">
        <v>13788</v>
      </c>
      <c r="AC720" t="s">
        <v>13789</v>
      </c>
      <c r="AD720" t="s">
        <v>13790</v>
      </c>
      <c r="AE720" t="s">
        <v>13791</v>
      </c>
      <c r="AF720" t="s">
        <v>74</v>
      </c>
      <c r="AG720">
        <v>29</v>
      </c>
      <c r="AH720">
        <v>107</v>
      </c>
      <c r="AI720">
        <v>158</v>
      </c>
      <c r="AJ720">
        <v>12</v>
      </c>
      <c r="AK720">
        <v>148</v>
      </c>
      <c r="AL720" t="s">
        <v>332</v>
      </c>
      <c r="AM720" t="s">
        <v>333</v>
      </c>
      <c r="AN720" t="s">
        <v>334</v>
      </c>
      <c r="AO720" t="s">
        <v>11502</v>
      </c>
      <c r="AP720" t="s">
        <v>11503</v>
      </c>
      <c r="AQ720" t="s">
        <v>74</v>
      </c>
      <c r="AR720" t="s">
        <v>11504</v>
      </c>
      <c r="AS720" t="s">
        <v>11505</v>
      </c>
      <c r="AT720" t="s">
        <v>13792</v>
      </c>
      <c r="AU720">
        <v>2020</v>
      </c>
      <c r="AV720">
        <v>26</v>
      </c>
      <c r="AW720" t="s">
        <v>13793</v>
      </c>
      <c r="AX720" t="s">
        <v>74</v>
      </c>
      <c r="AY720" t="s">
        <v>74</v>
      </c>
      <c r="AZ720" t="s">
        <v>441</v>
      </c>
      <c r="BA720" t="s">
        <v>74</v>
      </c>
      <c r="BB720">
        <v>297</v>
      </c>
      <c r="BC720">
        <v>301</v>
      </c>
      <c r="BD720" t="s">
        <v>74</v>
      </c>
      <c r="BE720" t="s">
        <v>13794</v>
      </c>
      <c r="BF720" t="str">
        <f>HYPERLINK("http://dx.doi.org/10.1080/1351847X.2020.1717569","http://dx.doi.org/10.1080/1351847X.2020.1717569")</f>
        <v>http://dx.doi.org/10.1080/1351847X.2020.1717569</v>
      </c>
      <c r="BG720" t="s">
        <v>74</v>
      </c>
      <c r="BH720" t="s">
        <v>74</v>
      </c>
      <c r="BI720">
        <v>5</v>
      </c>
      <c r="BJ720" t="s">
        <v>268</v>
      </c>
      <c r="BK720" t="s">
        <v>99</v>
      </c>
      <c r="BL720" t="s">
        <v>100</v>
      </c>
      <c r="BM720" t="s">
        <v>13795</v>
      </c>
      <c r="BN720" t="s">
        <v>74</v>
      </c>
      <c r="BO720" t="s">
        <v>1205</v>
      </c>
      <c r="BP720" t="s">
        <v>74</v>
      </c>
      <c r="BQ720" t="s">
        <v>74</v>
      </c>
      <c r="BR720" t="s">
        <v>102</v>
      </c>
      <c r="BS720" t="s">
        <v>13796</v>
      </c>
      <c r="BT720" t="str">
        <f>HYPERLINK("https%3A%2F%2Fwww.webofscience.com%2Fwos%2Fwoscc%2Ffull-record%2FWOS:000512651300001","View Full Record in Web of Science")</f>
        <v>View Full Record in Web of Science</v>
      </c>
    </row>
    <row r="721" spans="1:72" x14ac:dyDescent="0.25">
      <c r="A721" t="s">
        <v>72</v>
      </c>
      <c r="B721" t="s">
        <v>13797</v>
      </c>
      <c r="C721" t="s">
        <v>74</v>
      </c>
      <c r="D721" t="s">
        <v>74</v>
      </c>
      <c r="E721" t="s">
        <v>74</v>
      </c>
      <c r="F721" t="s">
        <v>13798</v>
      </c>
      <c r="G721" t="s">
        <v>74</v>
      </c>
      <c r="H721" t="s">
        <v>74</v>
      </c>
      <c r="I721" t="s">
        <v>13799</v>
      </c>
      <c r="J721" t="s">
        <v>13800</v>
      </c>
      <c r="K721" t="s">
        <v>74</v>
      </c>
      <c r="L721" t="s">
        <v>74</v>
      </c>
      <c r="M721" t="s">
        <v>78</v>
      </c>
      <c r="N721" t="s">
        <v>79</v>
      </c>
      <c r="O721" t="s">
        <v>74</v>
      </c>
      <c r="P721" t="s">
        <v>74</v>
      </c>
      <c r="Q721" t="s">
        <v>74</v>
      </c>
      <c r="R721" t="s">
        <v>74</v>
      </c>
      <c r="S721" t="s">
        <v>74</v>
      </c>
      <c r="T721" t="s">
        <v>13801</v>
      </c>
      <c r="U721" t="s">
        <v>13802</v>
      </c>
      <c r="V721" t="s">
        <v>13803</v>
      </c>
      <c r="W721" t="s">
        <v>13804</v>
      </c>
      <c r="X721" t="s">
        <v>11237</v>
      </c>
      <c r="Y721" t="s">
        <v>11268</v>
      </c>
      <c r="Z721" t="s">
        <v>13805</v>
      </c>
      <c r="AA721" t="s">
        <v>13806</v>
      </c>
      <c r="AB721" t="s">
        <v>13807</v>
      </c>
      <c r="AC721" t="s">
        <v>74</v>
      </c>
      <c r="AD721" t="s">
        <v>74</v>
      </c>
      <c r="AE721" t="s">
        <v>74</v>
      </c>
      <c r="AF721" t="s">
        <v>74</v>
      </c>
      <c r="AG721">
        <v>124</v>
      </c>
      <c r="AH721">
        <v>12</v>
      </c>
      <c r="AI721">
        <v>20</v>
      </c>
      <c r="AJ721">
        <v>1</v>
      </c>
      <c r="AK721">
        <v>30</v>
      </c>
      <c r="AL721" t="s">
        <v>89</v>
      </c>
      <c r="AM721" t="s">
        <v>90</v>
      </c>
      <c r="AN721" t="s">
        <v>91</v>
      </c>
      <c r="AO721" t="s">
        <v>13808</v>
      </c>
      <c r="AP721" t="s">
        <v>13809</v>
      </c>
      <c r="AQ721" t="s">
        <v>74</v>
      </c>
      <c r="AR721" t="s">
        <v>13810</v>
      </c>
      <c r="AS721" t="s">
        <v>13811</v>
      </c>
      <c r="AT721" t="s">
        <v>74</v>
      </c>
      <c r="AU721">
        <v>2020</v>
      </c>
      <c r="AV721">
        <v>35</v>
      </c>
      <c r="AW721">
        <v>5</v>
      </c>
      <c r="AX721" t="s">
        <v>74</v>
      </c>
      <c r="AY721" t="s">
        <v>74</v>
      </c>
      <c r="AZ721" t="s">
        <v>74</v>
      </c>
      <c r="BA721" t="s">
        <v>74</v>
      </c>
      <c r="BB721">
        <v>481</v>
      </c>
      <c r="BC721">
        <v>503</v>
      </c>
      <c r="BD721" t="s">
        <v>74</v>
      </c>
      <c r="BE721" t="s">
        <v>13812</v>
      </c>
      <c r="BF721" t="str">
        <f>HYPERLINK("http://dx.doi.org/10.1108/GM-08-2019-0146","http://dx.doi.org/10.1108/GM-08-2019-0146")</f>
        <v>http://dx.doi.org/10.1108/GM-08-2019-0146</v>
      </c>
      <c r="BG721" t="s">
        <v>74</v>
      </c>
      <c r="BH721" t="s">
        <v>341</v>
      </c>
      <c r="BI721">
        <v>23</v>
      </c>
      <c r="BJ721" t="s">
        <v>13813</v>
      </c>
      <c r="BK721" t="s">
        <v>99</v>
      </c>
      <c r="BL721" t="s">
        <v>13814</v>
      </c>
      <c r="BM721" t="s">
        <v>13815</v>
      </c>
      <c r="BN721" t="s">
        <v>74</v>
      </c>
      <c r="BO721" t="s">
        <v>74</v>
      </c>
      <c r="BP721" t="s">
        <v>74</v>
      </c>
      <c r="BQ721" t="s">
        <v>74</v>
      </c>
      <c r="BR721" t="s">
        <v>102</v>
      </c>
      <c r="BS721" t="s">
        <v>13816</v>
      </c>
      <c r="BT721" t="str">
        <f>HYPERLINK("https%3A%2F%2Fwww.webofscience.com%2Fwos%2Fwoscc%2Ffull-record%2FWOS:000532270200001","View Full Record in Web of Science")</f>
        <v>View Full Record in Web of Science</v>
      </c>
    </row>
    <row r="722" spans="1:72" x14ac:dyDescent="0.25">
      <c r="A722" t="s">
        <v>72</v>
      </c>
      <c r="B722" t="s">
        <v>13817</v>
      </c>
      <c r="C722" t="s">
        <v>74</v>
      </c>
      <c r="D722" t="s">
        <v>74</v>
      </c>
      <c r="E722" t="s">
        <v>74</v>
      </c>
      <c r="F722" t="s">
        <v>13818</v>
      </c>
      <c r="G722" t="s">
        <v>74</v>
      </c>
      <c r="H722" t="s">
        <v>74</v>
      </c>
      <c r="I722" t="s">
        <v>13819</v>
      </c>
      <c r="J722" t="s">
        <v>1987</v>
      </c>
      <c r="K722" t="s">
        <v>74</v>
      </c>
      <c r="L722" t="s">
        <v>74</v>
      </c>
      <c r="M722" t="s">
        <v>78</v>
      </c>
      <c r="N722" t="s">
        <v>79</v>
      </c>
      <c r="O722" t="s">
        <v>74</v>
      </c>
      <c r="P722" t="s">
        <v>74</v>
      </c>
      <c r="Q722" t="s">
        <v>74</v>
      </c>
      <c r="R722" t="s">
        <v>74</v>
      </c>
      <c r="S722" t="s">
        <v>74</v>
      </c>
      <c r="T722" t="s">
        <v>13820</v>
      </c>
      <c r="U722" t="s">
        <v>13821</v>
      </c>
      <c r="V722" t="s">
        <v>13822</v>
      </c>
      <c r="W722" t="s">
        <v>13823</v>
      </c>
      <c r="X722" t="s">
        <v>74</v>
      </c>
      <c r="Y722" t="s">
        <v>13824</v>
      </c>
      <c r="Z722" t="s">
        <v>13825</v>
      </c>
      <c r="AA722" t="s">
        <v>13826</v>
      </c>
      <c r="AB722" t="s">
        <v>74</v>
      </c>
      <c r="AC722" t="s">
        <v>13827</v>
      </c>
      <c r="AD722" t="s">
        <v>13827</v>
      </c>
      <c r="AE722" t="s">
        <v>13828</v>
      </c>
      <c r="AF722" t="s">
        <v>74</v>
      </c>
      <c r="AG722">
        <v>82</v>
      </c>
      <c r="AH722">
        <v>6</v>
      </c>
      <c r="AI722">
        <v>6</v>
      </c>
      <c r="AJ722">
        <v>0</v>
      </c>
      <c r="AK722">
        <v>4</v>
      </c>
      <c r="AL722" t="s">
        <v>479</v>
      </c>
      <c r="AM722" t="s">
        <v>480</v>
      </c>
      <c r="AN722" t="s">
        <v>481</v>
      </c>
      <c r="AO722" t="s">
        <v>1997</v>
      </c>
      <c r="AP722" t="s">
        <v>1998</v>
      </c>
      <c r="AQ722" t="s">
        <v>74</v>
      </c>
      <c r="AR722" t="s">
        <v>1999</v>
      </c>
      <c r="AS722" t="s">
        <v>2000</v>
      </c>
      <c r="AT722" t="s">
        <v>743</v>
      </c>
      <c r="AU722">
        <v>2024</v>
      </c>
      <c r="AV722">
        <v>36</v>
      </c>
      <c r="AW722">
        <v>3</v>
      </c>
      <c r="AX722" t="s">
        <v>74</v>
      </c>
      <c r="AY722" t="s">
        <v>74</v>
      </c>
      <c r="AZ722" t="s">
        <v>74</v>
      </c>
      <c r="BA722" t="s">
        <v>74</v>
      </c>
      <c r="BB722">
        <v>1707</v>
      </c>
      <c r="BC722">
        <v>1737</v>
      </c>
      <c r="BD722" t="s">
        <v>74</v>
      </c>
      <c r="BE722" t="s">
        <v>13829</v>
      </c>
      <c r="BF722" t="str">
        <f>HYPERLINK("http://dx.doi.org/10.1002/jid.3881","http://dx.doi.org/10.1002/jid.3881")</f>
        <v>http://dx.doi.org/10.1002/jid.3881</v>
      </c>
      <c r="BG722" t="s">
        <v>74</v>
      </c>
      <c r="BH722" t="s">
        <v>239</v>
      </c>
      <c r="BI722">
        <v>31</v>
      </c>
      <c r="BJ722" t="s">
        <v>1137</v>
      </c>
      <c r="BK722" t="s">
        <v>99</v>
      </c>
      <c r="BL722" t="s">
        <v>1137</v>
      </c>
      <c r="BM722" t="s">
        <v>13830</v>
      </c>
      <c r="BN722" t="s">
        <v>74</v>
      </c>
      <c r="BO722" t="s">
        <v>270</v>
      </c>
      <c r="BP722" t="s">
        <v>74</v>
      </c>
      <c r="BQ722" t="s">
        <v>74</v>
      </c>
      <c r="BR722" t="s">
        <v>102</v>
      </c>
      <c r="BS722" t="s">
        <v>13831</v>
      </c>
      <c r="BT722" t="str">
        <f>HYPERLINK("https%3A%2F%2Fwww.webofscience.com%2Fwos%2Fwoscc%2Ffull-record%2FWOS:001144153600001","View Full Record in Web of Science")</f>
        <v>View Full Record in Web of Science</v>
      </c>
    </row>
    <row r="723" spans="1:72" x14ac:dyDescent="0.25">
      <c r="A723" t="s">
        <v>72</v>
      </c>
      <c r="B723" t="s">
        <v>13832</v>
      </c>
      <c r="C723" t="s">
        <v>74</v>
      </c>
      <c r="D723" t="s">
        <v>74</v>
      </c>
      <c r="E723" t="s">
        <v>74</v>
      </c>
      <c r="F723" t="s">
        <v>13833</v>
      </c>
      <c r="G723" t="s">
        <v>74</v>
      </c>
      <c r="H723" t="s">
        <v>74</v>
      </c>
      <c r="I723" t="s">
        <v>13834</v>
      </c>
      <c r="J723" t="s">
        <v>13835</v>
      </c>
      <c r="K723" t="s">
        <v>74</v>
      </c>
      <c r="L723" t="s">
        <v>74</v>
      </c>
      <c r="M723" t="s">
        <v>78</v>
      </c>
      <c r="N723" t="s">
        <v>79</v>
      </c>
      <c r="O723" t="s">
        <v>74</v>
      </c>
      <c r="P723" t="s">
        <v>74</v>
      </c>
      <c r="Q723" t="s">
        <v>74</v>
      </c>
      <c r="R723" t="s">
        <v>74</v>
      </c>
      <c r="S723" t="s">
        <v>74</v>
      </c>
      <c r="T723" t="s">
        <v>13836</v>
      </c>
      <c r="U723" t="s">
        <v>13837</v>
      </c>
      <c r="V723" t="s">
        <v>13838</v>
      </c>
      <c r="W723" t="s">
        <v>13839</v>
      </c>
      <c r="X723" t="s">
        <v>13840</v>
      </c>
      <c r="Y723" t="s">
        <v>13841</v>
      </c>
      <c r="Z723" t="s">
        <v>74</v>
      </c>
      <c r="AA723" t="s">
        <v>13842</v>
      </c>
      <c r="AB723" t="s">
        <v>13843</v>
      </c>
      <c r="AC723" t="s">
        <v>74</v>
      </c>
      <c r="AD723" t="s">
        <v>74</v>
      </c>
      <c r="AE723" t="s">
        <v>74</v>
      </c>
      <c r="AF723" t="s">
        <v>74</v>
      </c>
      <c r="AG723">
        <v>88</v>
      </c>
      <c r="AH723">
        <v>26</v>
      </c>
      <c r="AI723">
        <v>36</v>
      </c>
      <c r="AJ723">
        <v>0</v>
      </c>
      <c r="AK723">
        <v>25</v>
      </c>
      <c r="AL723" t="s">
        <v>757</v>
      </c>
      <c r="AM723" t="s">
        <v>758</v>
      </c>
      <c r="AN723" t="s">
        <v>759</v>
      </c>
      <c r="AO723" t="s">
        <v>13844</v>
      </c>
      <c r="AP723" t="s">
        <v>13845</v>
      </c>
      <c r="AQ723" t="s">
        <v>74</v>
      </c>
      <c r="AR723" t="s">
        <v>13846</v>
      </c>
      <c r="AS723" t="s">
        <v>13847</v>
      </c>
      <c r="AT723" t="s">
        <v>208</v>
      </c>
      <c r="AU723">
        <v>2020</v>
      </c>
      <c r="AV723">
        <v>20</v>
      </c>
      <c r="AW723">
        <v>1</v>
      </c>
      <c r="AX723" t="s">
        <v>74</v>
      </c>
      <c r="AY723" t="s">
        <v>74</v>
      </c>
      <c r="AZ723" t="s">
        <v>74</v>
      </c>
      <c r="BA723" t="s">
        <v>74</v>
      </c>
      <c r="BB723">
        <v>45</v>
      </c>
      <c r="BC723">
        <v>64</v>
      </c>
      <c r="BD723" t="s">
        <v>74</v>
      </c>
      <c r="BE723" t="s">
        <v>13848</v>
      </c>
      <c r="BF723" t="str">
        <f>HYPERLINK("http://dx.doi.org/10.1177/1464993420902593","http://dx.doi.org/10.1177/1464993420902593")</f>
        <v>http://dx.doi.org/10.1177/1464993420902593</v>
      </c>
      <c r="BG723" t="s">
        <v>74</v>
      </c>
      <c r="BH723" t="s">
        <v>74</v>
      </c>
      <c r="BI723">
        <v>20</v>
      </c>
      <c r="BJ723" t="s">
        <v>1137</v>
      </c>
      <c r="BK723" t="s">
        <v>99</v>
      </c>
      <c r="BL723" t="s">
        <v>1137</v>
      </c>
      <c r="BM723" t="s">
        <v>13849</v>
      </c>
      <c r="BN723" t="s">
        <v>74</v>
      </c>
      <c r="BO723" t="s">
        <v>74</v>
      </c>
      <c r="BP723" t="s">
        <v>74</v>
      </c>
      <c r="BQ723" t="s">
        <v>74</v>
      </c>
      <c r="BR723" t="s">
        <v>102</v>
      </c>
      <c r="BS723" t="s">
        <v>13850</v>
      </c>
      <c r="BT723" t="str">
        <f>HYPERLINK("https%3A%2F%2Fwww.webofscience.com%2Fwos%2Fwoscc%2Ffull-record%2FWOS:000510123800003","View Full Record in Web of Science")</f>
        <v>View Full Record in Web of Science</v>
      </c>
    </row>
    <row r="724" spans="1:72" x14ac:dyDescent="0.25">
      <c r="A724" t="s">
        <v>72</v>
      </c>
      <c r="B724" t="s">
        <v>13851</v>
      </c>
      <c r="C724" t="s">
        <v>74</v>
      </c>
      <c r="D724" t="s">
        <v>74</v>
      </c>
      <c r="E724" t="s">
        <v>74</v>
      </c>
      <c r="F724" t="s">
        <v>13852</v>
      </c>
      <c r="G724" t="s">
        <v>74</v>
      </c>
      <c r="H724" t="s">
        <v>74</v>
      </c>
      <c r="I724" t="s">
        <v>13853</v>
      </c>
      <c r="J724" t="s">
        <v>13110</v>
      </c>
      <c r="K724" t="s">
        <v>74</v>
      </c>
      <c r="L724" t="s">
        <v>74</v>
      </c>
      <c r="M724" t="s">
        <v>78</v>
      </c>
      <c r="N724" t="s">
        <v>3795</v>
      </c>
      <c r="O724" t="s">
        <v>13111</v>
      </c>
      <c r="P724" t="s">
        <v>13112</v>
      </c>
      <c r="Q724" t="s">
        <v>12672</v>
      </c>
      <c r="R724" t="s">
        <v>13113</v>
      </c>
      <c r="S724" t="s">
        <v>74</v>
      </c>
      <c r="T724" t="s">
        <v>13854</v>
      </c>
      <c r="U724" t="s">
        <v>1369</v>
      </c>
      <c r="V724" t="s">
        <v>13855</v>
      </c>
      <c r="W724" t="s">
        <v>13856</v>
      </c>
      <c r="X724" t="s">
        <v>734</v>
      </c>
      <c r="Y724" t="s">
        <v>13857</v>
      </c>
      <c r="Z724" t="s">
        <v>13858</v>
      </c>
      <c r="AA724" t="s">
        <v>74</v>
      </c>
      <c r="AB724" t="s">
        <v>74</v>
      </c>
      <c r="AC724" t="s">
        <v>13859</v>
      </c>
      <c r="AD724" t="s">
        <v>13860</v>
      </c>
      <c r="AE724" t="s">
        <v>13861</v>
      </c>
      <c r="AF724" t="s">
        <v>74</v>
      </c>
      <c r="AG724">
        <v>27</v>
      </c>
      <c r="AH724">
        <v>22</v>
      </c>
      <c r="AI724">
        <v>34</v>
      </c>
      <c r="AJ724">
        <v>0</v>
      </c>
      <c r="AK724">
        <v>33</v>
      </c>
      <c r="AL724" t="s">
        <v>2551</v>
      </c>
      <c r="AM724" t="s">
        <v>231</v>
      </c>
      <c r="AN724" t="s">
        <v>2552</v>
      </c>
      <c r="AO724" t="s">
        <v>13122</v>
      </c>
      <c r="AP724" t="s">
        <v>13123</v>
      </c>
      <c r="AQ724" t="s">
        <v>74</v>
      </c>
      <c r="AR724" t="s">
        <v>13124</v>
      </c>
      <c r="AS724" t="s">
        <v>13125</v>
      </c>
      <c r="AT724" t="s">
        <v>208</v>
      </c>
      <c r="AU724">
        <v>2015</v>
      </c>
      <c r="AV724">
        <v>24</v>
      </c>
      <c r="AW724" t="s">
        <v>74</v>
      </c>
      <c r="AX724" t="s">
        <v>74</v>
      </c>
      <c r="AY724">
        <v>1</v>
      </c>
      <c r="AZ724" t="s">
        <v>74</v>
      </c>
      <c r="BA724" t="s">
        <v>74</v>
      </c>
      <c r="BB724" t="s">
        <v>13862</v>
      </c>
      <c r="BC724" t="s">
        <v>13863</v>
      </c>
      <c r="BD724" t="s">
        <v>74</v>
      </c>
      <c r="BE724" t="s">
        <v>13864</v>
      </c>
      <c r="BF724" t="str">
        <f>HYPERLINK("http://dx.doi.org/10.1093/jae/eju027","http://dx.doi.org/10.1093/jae/eju027")</f>
        <v>http://dx.doi.org/10.1093/jae/eju027</v>
      </c>
      <c r="BG724" t="s">
        <v>74</v>
      </c>
      <c r="BH724" t="s">
        <v>74</v>
      </c>
      <c r="BI724">
        <v>20</v>
      </c>
      <c r="BJ724" t="s">
        <v>291</v>
      </c>
      <c r="BK724" t="s">
        <v>4493</v>
      </c>
      <c r="BL724" t="s">
        <v>100</v>
      </c>
      <c r="BM724" t="s">
        <v>13129</v>
      </c>
      <c r="BN724" t="s">
        <v>74</v>
      </c>
      <c r="BO724" t="s">
        <v>74</v>
      </c>
      <c r="BP724" t="s">
        <v>74</v>
      </c>
      <c r="BQ724" t="s">
        <v>74</v>
      </c>
      <c r="BR724" t="s">
        <v>102</v>
      </c>
      <c r="BS724" t="s">
        <v>13865</v>
      </c>
      <c r="BT724" t="str">
        <f>HYPERLINK("https%3A%2F%2Fwww.webofscience.com%2Fwos%2Fwoscc%2Ffull-record%2FWOS:000351616100003","View Full Record in Web of Science")</f>
        <v>View Full Record in Web of Science</v>
      </c>
    </row>
    <row r="725" spans="1:72" x14ac:dyDescent="0.25">
      <c r="A725" t="s">
        <v>72</v>
      </c>
      <c r="B725" t="s">
        <v>13866</v>
      </c>
      <c r="C725" t="s">
        <v>74</v>
      </c>
      <c r="D725" t="s">
        <v>74</v>
      </c>
      <c r="E725" t="s">
        <v>74</v>
      </c>
      <c r="F725" t="s">
        <v>13867</v>
      </c>
      <c r="G725" t="s">
        <v>74</v>
      </c>
      <c r="H725" t="s">
        <v>74</v>
      </c>
      <c r="I725" t="s">
        <v>13868</v>
      </c>
      <c r="J725" t="s">
        <v>13869</v>
      </c>
      <c r="K725" t="s">
        <v>74</v>
      </c>
      <c r="L725" t="s">
        <v>74</v>
      </c>
      <c r="M725" t="s">
        <v>78</v>
      </c>
      <c r="N725" t="s">
        <v>79</v>
      </c>
      <c r="O725" t="s">
        <v>74</v>
      </c>
      <c r="P725" t="s">
        <v>74</v>
      </c>
      <c r="Q725" t="s">
        <v>74</v>
      </c>
      <c r="R725" t="s">
        <v>74</v>
      </c>
      <c r="S725" t="s">
        <v>74</v>
      </c>
      <c r="T725" t="s">
        <v>13870</v>
      </c>
      <c r="U725" t="s">
        <v>13871</v>
      </c>
      <c r="V725" t="s">
        <v>13872</v>
      </c>
      <c r="W725" t="s">
        <v>13873</v>
      </c>
      <c r="X725" t="s">
        <v>13874</v>
      </c>
      <c r="Y725" t="s">
        <v>13875</v>
      </c>
      <c r="Z725" t="s">
        <v>13876</v>
      </c>
      <c r="AA725" t="s">
        <v>13877</v>
      </c>
      <c r="AB725" t="s">
        <v>74</v>
      </c>
      <c r="AC725" t="s">
        <v>13878</v>
      </c>
      <c r="AD725" t="s">
        <v>13879</v>
      </c>
      <c r="AE725" t="s">
        <v>13880</v>
      </c>
      <c r="AF725" t="s">
        <v>74</v>
      </c>
      <c r="AG725">
        <v>79</v>
      </c>
      <c r="AH725">
        <v>8</v>
      </c>
      <c r="AI725">
        <v>12</v>
      </c>
      <c r="AJ725">
        <v>2</v>
      </c>
      <c r="AK725">
        <v>16</v>
      </c>
      <c r="AL725" t="s">
        <v>13881</v>
      </c>
      <c r="AM725" t="s">
        <v>3098</v>
      </c>
      <c r="AN725" t="s">
        <v>13882</v>
      </c>
      <c r="AO725" t="s">
        <v>13883</v>
      </c>
      <c r="AP725" t="s">
        <v>74</v>
      </c>
      <c r="AQ725" t="s">
        <v>74</v>
      </c>
      <c r="AR725" t="s">
        <v>13884</v>
      </c>
      <c r="AS725" t="s">
        <v>13885</v>
      </c>
      <c r="AT725" t="s">
        <v>13886</v>
      </c>
      <c r="AU725">
        <v>2024</v>
      </c>
      <c r="AV725">
        <v>14</v>
      </c>
      <c r="AW725">
        <v>1</v>
      </c>
      <c r="AX725" t="s">
        <v>74</v>
      </c>
      <c r="AY725" t="s">
        <v>74</v>
      </c>
      <c r="AZ725" t="s">
        <v>74</v>
      </c>
      <c r="BA725" t="s">
        <v>74</v>
      </c>
      <c r="BB725" t="s">
        <v>74</v>
      </c>
      <c r="BC725" t="s">
        <v>74</v>
      </c>
      <c r="BD725">
        <v>13667</v>
      </c>
      <c r="BE725" t="s">
        <v>13887</v>
      </c>
      <c r="BF725" t="str">
        <f>HYPERLINK("http://dx.doi.org/10.1038/s41598-024-63445-6","http://dx.doi.org/10.1038/s41598-024-63445-6")</f>
        <v>http://dx.doi.org/10.1038/s41598-024-63445-6</v>
      </c>
      <c r="BG725" t="s">
        <v>74</v>
      </c>
      <c r="BH725" t="s">
        <v>74</v>
      </c>
      <c r="BI725">
        <v>15</v>
      </c>
      <c r="BJ725" t="s">
        <v>559</v>
      </c>
      <c r="BK725" t="s">
        <v>128</v>
      </c>
      <c r="BL725" t="s">
        <v>560</v>
      </c>
      <c r="BM725" t="s">
        <v>13888</v>
      </c>
      <c r="BN725">
        <v>38871827</v>
      </c>
      <c r="BO725" t="s">
        <v>916</v>
      </c>
      <c r="BP725" t="s">
        <v>74</v>
      </c>
      <c r="BQ725" t="s">
        <v>74</v>
      </c>
      <c r="BR725" t="s">
        <v>102</v>
      </c>
      <c r="BS725" t="s">
        <v>13889</v>
      </c>
      <c r="BT725" t="str">
        <f>HYPERLINK("https%3A%2F%2Fwww.webofscience.com%2Fwos%2Fwoscc%2Ffull-record%2FWOS:001249273400078","View Full Record in Web of Science")</f>
        <v>View Full Record in Web of Science</v>
      </c>
    </row>
    <row r="726" spans="1:72" x14ac:dyDescent="0.25">
      <c r="A726" t="s">
        <v>72</v>
      </c>
      <c r="B726" t="s">
        <v>13890</v>
      </c>
      <c r="C726" t="s">
        <v>74</v>
      </c>
      <c r="D726" t="s">
        <v>74</v>
      </c>
      <c r="E726" t="s">
        <v>74</v>
      </c>
      <c r="F726" t="s">
        <v>13891</v>
      </c>
      <c r="G726" t="s">
        <v>74</v>
      </c>
      <c r="H726" t="s">
        <v>74</v>
      </c>
      <c r="I726" t="s">
        <v>13892</v>
      </c>
      <c r="J726" t="s">
        <v>13893</v>
      </c>
      <c r="K726" t="s">
        <v>74</v>
      </c>
      <c r="L726" t="s">
        <v>74</v>
      </c>
      <c r="M726" t="s">
        <v>78</v>
      </c>
      <c r="N726" t="s">
        <v>79</v>
      </c>
      <c r="O726" t="s">
        <v>74</v>
      </c>
      <c r="P726" t="s">
        <v>74</v>
      </c>
      <c r="Q726" t="s">
        <v>74</v>
      </c>
      <c r="R726" t="s">
        <v>74</v>
      </c>
      <c r="S726" t="s">
        <v>74</v>
      </c>
      <c r="T726" t="s">
        <v>13894</v>
      </c>
      <c r="U726" t="s">
        <v>13895</v>
      </c>
      <c r="V726" t="s">
        <v>13896</v>
      </c>
      <c r="W726" t="s">
        <v>13897</v>
      </c>
      <c r="X726" t="s">
        <v>13898</v>
      </c>
      <c r="Y726" t="s">
        <v>13899</v>
      </c>
      <c r="Z726" t="s">
        <v>13900</v>
      </c>
      <c r="AA726" t="s">
        <v>74</v>
      </c>
      <c r="AB726" t="s">
        <v>74</v>
      </c>
      <c r="AC726" t="s">
        <v>74</v>
      </c>
      <c r="AD726" t="s">
        <v>74</v>
      </c>
      <c r="AE726" t="s">
        <v>74</v>
      </c>
      <c r="AF726" t="s">
        <v>74</v>
      </c>
      <c r="AG726">
        <v>60</v>
      </c>
      <c r="AH726">
        <v>74</v>
      </c>
      <c r="AI726">
        <v>97</v>
      </c>
      <c r="AJ726">
        <v>8</v>
      </c>
      <c r="AK726">
        <v>83</v>
      </c>
      <c r="AL726" t="s">
        <v>503</v>
      </c>
      <c r="AM726" t="s">
        <v>151</v>
      </c>
      <c r="AN726" t="s">
        <v>504</v>
      </c>
      <c r="AO726" t="s">
        <v>13901</v>
      </c>
      <c r="AP726" t="s">
        <v>13902</v>
      </c>
      <c r="AQ726" t="s">
        <v>74</v>
      </c>
      <c r="AR726" t="s">
        <v>13903</v>
      </c>
      <c r="AS726" t="s">
        <v>13904</v>
      </c>
      <c r="AT726" t="s">
        <v>237</v>
      </c>
      <c r="AU726">
        <v>2023</v>
      </c>
      <c r="AV726">
        <v>87</v>
      </c>
      <c r="AW726" t="s">
        <v>74</v>
      </c>
      <c r="AX726" t="s">
        <v>74</v>
      </c>
      <c r="AY726" t="s">
        <v>74</v>
      </c>
      <c r="AZ726" t="s">
        <v>74</v>
      </c>
      <c r="BA726" t="s">
        <v>74</v>
      </c>
      <c r="BB726">
        <v>257</v>
      </c>
      <c r="BC726">
        <v>265</v>
      </c>
      <c r="BD726" t="s">
        <v>74</v>
      </c>
      <c r="BE726" t="s">
        <v>13905</v>
      </c>
      <c r="BF726" t="str">
        <f>HYPERLINK("http://dx.doi.org/10.1016/j.qref.2021.01.003","http://dx.doi.org/10.1016/j.qref.2021.01.003")</f>
        <v>http://dx.doi.org/10.1016/j.qref.2021.01.003</v>
      </c>
      <c r="BG726" t="s">
        <v>74</v>
      </c>
      <c r="BH726" t="s">
        <v>9145</v>
      </c>
      <c r="BI726">
        <v>9</v>
      </c>
      <c r="BJ726" t="s">
        <v>291</v>
      </c>
      <c r="BK726" t="s">
        <v>99</v>
      </c>
      <c r="BL726" t="s">
        <v>100</v>
      </c>
      <c r="BM726" t="s">
        <v>13906</v>
      </c>
      <c r="BN726" t="s">
        <v>74</v>
      </c>
      <c r="BO726" t="s">
        <v>74</v>
      </c>
      <c r="BP726" t="s">
        <v>74</v>
      </c>
      <c r="BQ726" t="s">
        <v>74</v>
      </c>
      <c r="BR726" t="s">
        <v>102</v>
      </c>
      <c r="BS726" t="s">
        <v>13907</v>
      </c>
      <c r="BT726" t="str">
        <f>HYPERLINK("https%3A%2F%2Fwww.webofscience.com%2Fwos%2Fwoscc%2Ffull-record%2FWOS:000991012700001","View Full Record in Web of Science")</f>
        <v>View Full Record in Web of Science</v>
      </c>
    </row>
    <row r="727" spans="1:72" x14ac:dyDescent="0.25">
      <c r="A727" t="s">
        <v>72</v>
      </c>
      <c r="B727" t="s">
        <v>13908</v>
      </c>
      <c r="C727" t="s">
        <v>74</v>
      </c>
      <c r="D727" t="s">
        <v>74</v>
      </c>
      <c r="E727" t="s">
        <v>74</v>
      </c>
      <c r="F727" t="s">
        <v>13909</v>
      </c>
      <c r="G727" t="s">
        <v>74</v>
      </c>
      <c r="H727" t="s">
        <v>74</v>
      </c>
      <c r="I727" t="s">
        <v>13910</v>
      </c>
      <c r="J727" t="s">
        <v>1963</v>
      </c>
      <c r="K727" t="s">
        <v>74</v>
      </c>
      <c r="L727" t="s">
        <v>74</v>
      </c>
      <c r="M727" t="s">
        <v>78</v>
      </c>
      <c r="N727" t="s">
        <v>79</v>
      </c>
      <c r="O727" t="s">
        <v>74</v>
      </c>
      <c r="P727" t="s">
        <v>74</v>
      </c>
      <c r="Q727" t="s">
        <v>74</v>
      </c>
      <c r="R727" t="s">
        <v>74</v>
      </c>
      <c r="S727" t="s">
        <v>74</v>
      </c>
      <c r="T727" t="s">
        <v>13911</v>
      </c>
      <c r="U727" t="s">
        <v>13912</v>
      </c>
      <c r="V727" t="s">
        <v>13913</v>
      </c>
      <c r="W727" t="s">
        <v>13914</v>
      </c>
      <c r="X727" t="s">
        <v>13915</v>
      </c>
      <c r="Y727" t="s">
        <v>13916</v>
      </c>
      <c r="Z727" t="s">
        <v>13917</v>
      </c>
      <c r="AA727" t="s">
        <v>13918</v>
      </c>
      <c r="AB727" t="s">
        <v>13919</v>
      </c>
      <c r="AC727" t="s">
        <v>74</v>
      </c>
      <c r="AD727" t="s">
        <v>74</v>
      </c>
      <c r="AE727" t="s">
        <v>74</v>
      </c>
      <c r="AF727" t="s">
        <v>74</v>
      </c>
      <c r="AG727">
        <v>61</v>
      </c>
      <c r="AH727">
        <v>14</v>
      </c>
      <c r="AI727">
        <v>15</v>
      </c>
      <c r="AJ727">
        <v>4</v>
      </c>
      <c r="AK727">
        <v>20</v>
      </c>
      <c r="AL727" t="s">
        <v>332</v>
      </c>
      <c r="AM727" t="s">
        <v>333</v>
      </c>
      <c r="AN727" t="s">
        <v>334</v>
      </c>
      <c r="AO727" t="s">
        <v>1975</v>
      </c>
      <c r="AP727" t="s">
        <v>1976</v>
      </c>
      <c r="AQ727" t="s">
        <v>74</v>
      </c>
      <c r="AR727" t="s">
        <v>1977</v>
      </c>
      <c r="AS727" t="s">
        <v>1978</v>
      </c>
      <c r="AT727" t="s">
        <v>11347</v>
      </c>
      <c r="AU727">
        <v>2024</v>
      </c>
      <c r="AV727">
        <v>56</v>
      </c>
      <c r="AW727">
        <v>14</v>
      </c>
      <c r="AX727" t="s">
        <v>74</v>
      </c>
      <c r="AY727" t="s">
        <v>74</v>
      </c>
      <c r="AZ727" t="s">
        <v>74</v>
      </c>
      <c r="BA727" t="s">
        <v>74</v>
      </c>
      <c r="BB727">
        <v>1671</v>
      </c>
      <c r="BC727">
        <v>1688</v>
      </c>
      <c r="BD727" t="s">
        <v>74</v>
      </c>
      <c r="BE727" t="s">
        <v>13920</v>
      </c>
      <c r="BF727" t="str">
        <f>HYPERLINK("http://dx.doi.org/10.1080/00036846.2023.2177595","http://dx.doi.org/10.1080/00036846.2023.2177595")</f>
        <v>http://dx.doi.org/10.1080/00036846.2023.2177595</v>
      </c>
      <c r="BG727" t="s">
        <v>74</v>
      </c>
      <c r="BH727" t="s">
        <v>9145</v>
      </c>
      <c r="BI727">
        <v>18</v>
      </c>
      <c r="BJ727" t="s">
        <v>291</v>
      </c>
      <c r="BK727" t="s">
        <v>99</v>
      </c>
      <c r="BL727" t="s">
        <v>100</v>
      </c>
      <c r="BM727" t="s">
        <v>13921</v>
      </c>
      <c r="BN727" t="s">
        <v>74</v>
      </c>
      <c r="BO727" t="s">
        <v>466</v>
      </c>
      <c r="BP727" t="s">
        <v>74</v>
      </c>
      <c r="BQ727" t="s">
        <v>74</v>
      </c>
      <c r="BR727" t="s">
        <v>102</v>
      </c>
      <c r="BS727" t="s">
        <v>13922</v>
      </c>
      <c r="BT727" t="str">
        <f>HYPERLINK("https%3A%2F%2Fwww.webofscience.com%2Fwos%2Fwoscc%2Ffull-record%2FWOS:000937831300001","View Full Record in Web of Science")</f>
        <v>View Full Record in Web of Science</v>
      </c>
    </row>
    <row r="728" spans="1:72" x14ac:dyDescent="0.25">
      <c r="A728" t="s">
        <v>72</v>
      </c>
      <c r="B728" t="s">
        <v>13923</v>
      </c>
      <c r="C728" t="s">
        <v>74</v>
      </c>
      <c r="D728" t="s">
        <v>74</v>
      </c>
      <c r="E728" t="s">
        <v>74</v>
      </c>
      <c r="F728" t="s">
        <v>13924</v>
      </c>
      <c r="G728" t="s">
        <v>74</v>
      </c>
      <c r="H728" t="s">
        <v>74</v>
      </c>
      <c r="I728" t="s">
        <v>13925</v>
      </c>
      <c r="J728" t="s">
        <v>4842</v>
      </c>
      <c r="K728" t="s">
        <v>74</v>
      </c>
      <c r="L728" t="s">
        <v>74</v>
      </c>
      <c r="M728" t="s">
        <v>78</v>
      </c>
      <c r="N728" t="s">
        <v>79</v>
      </c>
      <c r="O728" t="s">
        <v>74</v>
      </c>
      <c r="P728" t="s">
        <v>74</v>
      </c>
      <c r="Q728" t="s">
        <v>74</v>
      </c>
      <c r="R728" t="s">
        <v>74</v>
      </c>
      <c r="S728" t="s">
        <v>74</v>
      </c>
      <c r="T728" t="s">
        <v>13926</v>
      </c>
      <c r="U728" t="s">
        <v>13927</v>
      </c>
      <c r="V728" t="s">
        <v>13928</v>
      </c>
      <c r="W728" t="s">
        <v>13929</v>
      </c>
      <c r="X728" t="s">
        <v>13930</v>
      </c>
      <c r="Y728" t="s">
        <v>13931</v>
      </c>
      <c r="Z728" t="s">
        <v>13932</v>
      </c>
      <c r="AA728" t="s">
        <v>13933</v>
      </c>
      <c r="AB728" t="s">
        <v>13934</v>
      </c>
      <c r="AC728" t="s">
        <v>13935</v>
      </c>
      <c r="AD728" t="s">
        <v>13936</v>
      </c>
      <c r="AE728" t="s">
        <v>13937</v>
      </c>
      <c r="AF728" t="s">
        <v>74</v>
      </c>
      <c r="AG728">
        <v>30</v>
      </c>
      <c r="AH728">
        <v>4</v>
      </c>
      <c r="AI728">
        <v>8</v>
      </c>
      <c r="AJ728">
        <v>0</v>
      </c>
      <c r="AK728">
        <v>15</v>
      </c>
      <c r="AL728" t="s">
        <v>2481</v>
      </c>
      <c r="AM728" t="s">
        <v>2482</v>
      </c>
      <c r="AN728" t="s">
        <v>2483</v>
      </c>
      <c r="AO728" t="s">
        <v>4853</v>
      </c>
      <c r="AP728" t="s">
        <v>74</v>
      </c>
      <c r="AQ728" t="s">
        <v>74</v>
      </c>
      <c r="AR728" t="s">
        <v>4854</v>
      </c>
      <c r="AS728" t="s">
        <v>4855</v>
      </c>
      <c r="AT728" t="s">
        <v>2970</v>
      </c>
      <c r="AU728">
        <v>2022</v>
      </c>
      <c r="AV728">
        <v>9</v>
      </c>
      <c r="AW728">
        <v>1</v>
      </c>
      <c r="AX728" t="s">
        <v>74</v>
      </c>
      <c r="AY728" t="s">
        <v>74</v>
      </c>
      <c r="AZ728" t="s">
        <v>74</v>
      </c>
      <c r="BA728" t="s">
        <v>74</v>
      </c>
      <c r="BB728" t="s">
        <v>74</v>
      </c>
      <c r="BC728" t="s">
        <v>74</v>
      </c>
      <c r="BD728">
        <v>2108299</v>
      </c>
      <c r="BE728" t="s">
        <v>13938</v>
      </c>
      <c r="BF728" t="str">
        <f>HYPERLINK("http://dx.doi.org/10.1080/23311975.2022.2108299","http://dx.doi.org/10.1080/23311975.2022.2108299")</f>
        <v>http://dx.doi.org/10.1080/23311975.2022.2108299</v>
      </c>
      <c r="BG728" t="s">
        <v>74</v>
      </c>
      <c r="BH728" t="s">
        <v>74</v>
      </c>
      <c r="BI728">
        <v>12</v>
      </c>
      <c r="BJ728" t="s">
        <v>418</v>
      </c>
      <c r="BK728" t="s">
        <v>313</v>
      </c>
      <c r="BL728" t="s">
        <v>100</v>
      </c>
      <c r="BM728" t="s">
        <v>13939</v>
      </c>
      <c r="BN728" t="s">
        <v>74</v>
      </c>
      <c r="BO728" t="s">
        <v>916</v>
      </c>
      <c r="BP728" t="s">
        <v>74</v>
      </c>
      <c r="BQ728" t="s">
        <v>74</v>
      </c>
      <c r="BR728" t="s">
        <v>102</v>
      </c>
      <c r="BS728" t="s">
        <v>13940</v>
      </c>
      <c r="BT728" t="str">
        <f>HYPERLINK("https%3A%2F%2Fwww.webofscience.com%2Fwos%2Fwoscc%2Ffull-record%2FWOS:000838342500001","View Full Record in Web of Science")</f>
        <v>View Full Record in Web of Science</v>
      </c>
    </row>
    <row r="729" spans="1:72" x14ac:dyDescent="0.25">
      <c r="A729" t="s">
        <v>72</v>
      </c>
      <c r="B729" t="s">
        <v>13941</v>
      </c>
      <c r="C729" t="s">
        <v>74</v>
      </c>
      <c r="D729" t="s">
        <v>74</v>
      </c>
      <c r="E729" t="s">
        <v>74</v>
      </c>
      <c r="F729" t="s">
        <v>13942</v>
      </c>
      <c r="G729" t="s">
        <v>74</v>
      </c>
      <c r="H729" t="s">
        <v>74</v>
      </c>
      <c r="I729" t="s">
        <v>13943</v>
      </c>
      <c r="J729" t="s">
        <v>3439</v>
      </c>
      <c r="K729" t="s">
        <v>74</v>
      </c>
      <c r="L729" t="s">
        <v>74</v>
      </c>
      <c r="M729" t="s">
        <v>78</v>
      </c>
      <c r="N729" t="s">
        <v>79</v>
      </c>
      <c r="O729" t="s">
        <v>74</v>
      </c>
      <c r="P729" t="s">
        <v>74</v>
      </c>
      <c r="Q729" t="s">
        <v>74</v>
      </c>
      <c r="R729" t="s">
        <v>74</v>
      </c>
      <c r="S729" t="s">
        <v>74</v>
      </c>
      <c r="T729" t="s">
        <v>13944</v>
      </c>
      <c r="U729" t="s">
        <v>13945</v>
      </c>
      <c r="V729" t="s">
        <v>13946</v>
      </c>
      <c r="W729" t="s">
        <v>13947</v>
      </c>
      <c r="X729" t="s">
        <v>13948</v>
      </c>
      <c r="Y729" t="s">
        <v>13949</v>
      </c>
      <c r="Z729" t="s">
        <v>12156</v>
      </c>
      <c r="AA729" t="s">
        <v>74</v>
      </c>
      <c r="AB729" t="s">
        <v>12157</v>
      </c>
      <c r="AC729" t="s">
        <v>74</v>
      </c>
      <c r="AD729" t="s">
        <v>74</v>
      </c>
      <c r="AE729" t="s">
        <v>74</v>
      </c>
      <c r="AF729" t="s">
        <v>74</v>
      </c>
      <c r="AG729">
        <v>69</v>
      </c>
      <c r="AH729">
        <v>5</v>
      </c>
      <c r="AI729">
        <v>7</v>
      </c>
      <c r="AJ729">
        <v>3</v>
      </c>
      <c r="AK729">
        <v>6</v>
      </c>
      <c r="AL729" t="s">
        <v>2481</v>
      </c>
      <c r="AM729" t="s">
        <v>2482</v>
      </c>
      <c r="AN729" t="s">
        <v>2483</v>
      </c>
      <c r="AO729" t="s">
        <v>3443</v>
      </c>
      <c r="AP729" t="s">
        <v>74</v>
      </c>
      <c r="AQ729" t="s">
        <v>74</v>
      </c>
      <c r="AR729" t="s">
        <v>3444</v>
      </c>
      <c r="AS729" t="s">
        <v>3445</v>
      </c>
      <c r="AT729" t="s">
        <v>2970</v>
      </c>
      <c r="AU729">
        <v>2023</v>
      </c>
      <c r="AV729">
        <v>11</v>
      </c>
      <c r="AW729">
        <v>1</v>
      </c>
      <c r="AX729" t="s">
        <v>74</v>
      </c>
      <c r="AY729" t="s">
        <v>74</v>
      </c>
      <c r="AZ729" t="s">
        <v>74</v>
      </c>
      <c r="BA729" t="s">
        <v>74</v>
      </c>
      <c r="BB729" t="s">
        <v>74</v>
      </c>
      <c r="BC729" t="s">
        <v>74</v>
      </c>
      <c r="BD729">
        <v>2203435</v>
      </c>
      <c r="BE729" t="s">
        <v>13950</v>
      </c>
      <c r="BF729" t="str">
        <f>HYPERLINK("http://dx.doi.org/10.1080/23322039.2023.2203435","http://dx.doi.org/10.1080/23322039.2023.2203435")</f>
        <v>http://dx.doi.org/10.1080/23322039.2023.2203435</v>
      </c>
      <c r="BG729" t="s">
        <v>74</v>
      </c>
      <c r="BH729" t="s">
        <v>74</v>
      </c>
      <c r="BI729">
        <v>22</v>
      </c>
      <c r="BJ729" t="s">
        <v>291</v>
      </c>
      <c r="BK729" t="s">
        <v>313</v>
      </c>
      <c r="BL729" t="s">
        <v>100</v>
      </c>
      <c r="BM729" t="s">
        <v>13951</v>
      </c>
      <c r="BN729" t="s">
        <v>74</v>
      </c>
      <c r="BO729" t="s">
        <v>916</v>
      </c>
      <c r="BP729" t="s">
        <v>74</v>
      </c>
      <c r="BQ729" t="s">
        <v>74</v>
      </c>
      <c r="BR729" t="s">
        <v>102</v>
      </c>
      <c r="BS729" t="s">
        <v>13952</v>
      </c>
      <c r="BT729" t="str">
        <f>HYPERLINK("https%3A%2F%2Fwww.webofscience.com%2Fwos%2Fwoscc%2Ffull-record%2FWOS:001004746900001","View Full Record in Web of Science")</f>
        <v>View Full Record in Web of Science</v>
      </c>
    </row>
    <row r="730" spans="1:72" x14ac:dyDescent="0.25">
      <c r="A730" t="s">
        <v>72</v>
      </c>
      <c r="B730" t="s">
        <v>13953</v>
      </c>
      <c r="C730" t="s">
        <v>74</v>
      </c>
      <c r="D730" t="s">
        <v>74</v>
      </c>
      <c r="E730" t="s">
        <v>74</v>
      </c>
      <c r="F730" t="s">
        <v>13954</v>
      </c>
      <c r="G730" t="s">
        <v>74</v>
      </c>
      <c r="H730" t="s">
        <v>74</v>
      </c>
      <c r="I730" t="s">
        <v>13955</v>
      </c>
      <c r="J730" t="s">
        <v>3561</v>
      </c>
      <c r="K730" t="s">
        <v>74</v>
      </c>
      <c r="L730" t="s">
        <v>74</v>
      </c>
      <c r="M730" t="s">
        <v>78</v>
      </c>
      <c r="N730" t="s">
        <v>79</v>
      </c>
      <c r="O730" t="s">
        <v>74</v>
      </c>
      <c r="P730" t="s">
        <v>74</v>
      </c>
      <c r="Q730" t="s">
        <v>74</v>
      </c>
      <c r="R730" t="s">
        <v>74</v>
      </c>
      <c r="S730" t="s">
        <v>74</v>
      </c>
      <c r="T730" t="s">
        <v>13956</v>
      </c>
      <c r="U730" t="s">
        <v>74</v>
      </c>
      <c r="V730" t="s">
        <v>13957</v>
      </c>
      <c r="W730" t="s">
        <v>13958</v>
      </c>
      <c r="X730" t="s">
        <v>74</v>
      </c>
      <c r="Y730" t="s">
        <v>13959</v>
      </c>
      <c r="Z730" t="s">
        <v>13960</v>
      </c>
      <c r="AA730" t="s">
        <v>13961</v>
      </c>
      <c r="AB730" t="s">
        <v>13962</v>
      </c>
      <c r="AC730" t="s">
        <v>74</v>
      </c>
      <c r="AD730" t="s">
        <v>74</v>
      </c>
      <c r="AE730" t="s">
        <v>74</v>
      </c>
      <c r="AF730" t="s">
        <v>74</v>
      </c>
      <c r="AG730">
        <v>11</v>
      </c>
      <c r="AH730">
        <v>15</v>
      </c>
      <c r="AI730">
        <v>17</v>
      </c>
      <c r="AJ730">
        <v>1</v>
      </c>
      <c r="AK730">
        <v>21</v>
      </c>
      <c r="AL730" t="s">
        <v>89</v>
      </c>
      <c r="AM730" t="s">
        <v>1497</v>
      </c>
      <c r="AN730" t="s">
        <v>1498</v>
      </c>
      <c r="AO730" t="s">
        <v>3568</v>
      </c>
      <c r="AP730" t="s">
        <v>3569</v>
      </c>
      <c r="AQ730" t="s">
        <v>74</v>
      </c>
      <c r="AR730" t="s">
        <v>3570</v>
      </c>
      <c r="AS730" t="s">
        <v>3571</v>
      </c>
      <c r="AT730" t="s">
        <v>13963</v>
      </c>
      <c r="AU730">
        <v>2021</v>
      </c>
      <c r="AV730">
        <v>24</v>
      </c>
      <c r="AW730">
        <v>1</v>
      </c>
      <c r="AX730" t="s">
        <v>74</v>
      </c>
      <c r="AY730" t="s">
        <v>74</v>
      </c>
      <c r="AZ730" t="s">
        <v>74</v>
      </c>
      <c r="BA730" t="s">
        <v>74</v>
      </c>
      <c r="BB730">
        <v>150</v>
      </c>
      <c r="BC730">
        <v>162</v>
      </c>
      <c r="BD730" t="s">
        <v>74</v>
      </c>
      <c r="BE730" t="s">
        <v>13964</v>
      </c>
      <c r="BF730" t="str">
        <f>HYPERLINK("http://dx.doi.org/10.1108/JMLC-04-2020-0035","http://dx.doi.org/10.1108/JMLC-04-2020-0035")</f>
        <v>http://dx.doi.org/10.1108/JMLC-04-2020-0035</v>
      </c>
      <c r="BG730" t="s">
        <v>74</v>
      </c>
      <c r="BH730" t="s">
        <v>3351</v>
      </c>
      <c r="BI730">
        <v>13</v>
      </c>
      <c r="BJ730" t="s">
        <v>3573</v>
      </c>
      <c r="BK730" t="s">
        <v>313</v>
      </c>
      <c r="BL730" t="s">
        <v>3573</v>
      </c>
      <c r="BM730" t="s">
        <v>13965</v>
      </c>
      <c r="BN730" t="s">
        <v>74</v>
      </c>
      <c r="BO730" t="s">
        <v>74</v>
      </c>
      <c r="BP730" t="s">
        <v>74</v>
      </c>
      <c r="BQ730" t="s">
        <v>74</v>
      </c>
      <c r="BR730" t="s">
        <v>102</v>
      </c>
      <c r="BS730" t="s">
        <v>13966</v>
      </c>
      <c r="BT730" t="str">
        <f>HYPERLINK("https%3A%2F%2Fwww.webofscience.com%2Fwos%2Fwoscc%2Ffull-record%2FWOS:000558197600001","View Full Record in Web of Science")</f>
        <v>View Full Record in Web of Science</v>
      </c>
    </row>
    <row r="731" spans="1:72" x14ac:dyDescent="0.25">
      <c r="A731" t="s">
        <v>132</v>
      </c>
      <c r="B731" t="s">
        <v>13967</v>
      </c>
      <c r="C731" t="s">
        <v>74</v>
      </c>
      <c r="D731" t="s">
        <v>631</v>
      </c>
      <c r="E731" t="s">
        <v>74</v>
      </c>
      <c r="F731" t="s">
        <v>13968</v>
      </c>
      <c r="G731" t="s">
        <v>74</v>
      </c>
      <c r="H731" t="s">
        <v>74</v>
      </c>
      <c r="I731" t="s">
        <v>13969</v>
      </c>
      <c r="J731" t="s">
        <v>13970</v>
      </c>
      <c r="K731" t="s">
        <v>74</v>
      </c>
      <c r="L731" t="s">
        <v>74</v>
      </c>
      <c r="M731" t="s">
        <v>78</v>
      </c>
      <c r="N731" t="s">
        <v>138</v>
      </c>
      <c r="O731" t="s">
        <v>13971</v>
      </c>
      <c r="P731" t="s">
        <v>13972</v>
      </c>
      <c r="Q731" t="s">
        <v>12031</v>
      </c>
      <c r="R731" t="s">
        <v>638</v>
      </c>
      <c r="S731" t="s">
        <v>74</v>
      </c>
      <c r="T731" t="s">
        <v>13973</v>
      </c>
      <c r="U731" t="s">
        <v>74</v>
      </c>
      <c r="V731" t="s">
        <v>13974</v>
      </c>
      <c r="W731" t="s">
        <v>13975</v>
      </c>
      <c r="X731" t="s">
        <v>13976</v>
      </c>
      <c r="Y731" t="s">
        <v>13977</v>
      </c>
      <c r="Z731" t="s">
        <v>13978</v>
      </c>
      <c r="AA731" t="s">
        <v>13979</v>
      </c>
      <c r="AB731" t="s">
        <v>74</v>
      </c>
      <c r="AC731" t="s">
        <v>74</v>
      </c>
      <c r="AD731" t="s">
        <v>74</v>
      </c>
      <c r="AE731" t="s">
        <v>74</v>
      </c>
      <c r="AF731" t="s">
        <v>74</v>
      </c>
      <c r="AG731">
        <v>30</v>
      </c>
      <c r="AH731">
        <v>0</v>
      </c>
      <c r="AI731">
        <v>0</v>
      </c>
      <c r="AJ731">
        <v>0</v>
      </c>
      <c r="AK731">
        <v>5</v>
      </c>
      <c r="AL731" t="s">
        <v>645</v>
      </c>
      <c r="AM731" t="s">
        <v>646</v>
      </c>
      <c r="AN731" t="s">
        <v>647</v>
      </c>
      <c r="AO731" t="s">
        <v>74</v>
      </c>
      <c r="AP731" t="s">
        <v>74</v>
      </c>
      <c r="AQ731" t="s">
        <v>13980</v>
      </c>
      <c r="AR731" t="s">
        <v>74</v>
      </c>
      <c r="AS731" t="s">
        <v>74</v>
      </c>
      <c r="AT731" t="s">
        <v>74</v>
      </c>
      <c r="AU731">
        <v>2019</v>
      </c>
      <c r="AV731" t="s">
        <v>74</v>
      </c>
      <c r="AW731" t="s">
        <v>74</v>
      </c>
      <c r="AX731" t="s">
        <v>74</v>
      </c>
      <c r="AY731" t="s">
        <v>74</v>
      </c>
      <c r="AZ731" t="s">
        <v>74</v>
      </c>
      <c r="BA731" t="s">
        <v>74</v>
      </c>
      <c r="BB731">
        <v>3293</v>
      </c>
      <c r="BC731">
        <v>3306</v>
      </c>
      <c r="BD731" t="s">
        <v>74</v>
      </c>
      <c r="BE731" t="s">
        <v>74</v>
      </c>
      <c r="BF731" t="s">
        <v>74</v>
      </c>
      <c r="BG731" t="s">
        <v>74</v>
      </c>
      <c r="BH731" t="s">
        <v>74</v>
      </c>
      <c r="BI731">
        <v>14</v>
      </c>
      <c r="BJ731" t="s">
        <v>6512</v>
      </c>
      <c r="BK731" t="s">
        <v>183</v>
      </c>
      <c r="BL731" t="s">
        <v>100</v>
      </c>
      <c r="BM731" t="s">
        <v>13981</v>
      </c>
      <c r="BN731" t="s">
        <v>74</v>
      </c>
      <c r="BO731" t="s">
        <v>74</v>
      </c>
      <c r="BP731" t="s">
        <v>74</v>
      </c>
      <c r="BQ731" t="s">
        <v>74</v>
      </c>
      <c r="BR731" t="s">
        <v>102</v>
      </c>
      <c r="BS731" t="s">
        <v>13982</v>
      </c>
      <c r="BT731" t="str">
        <f>HYPERLINK("https%3A%2F%2Fwww.webofscience.com%2Fwos%2Fwoscc%2Ffull-record%2FWOS:000556337404069","View Full Record in Web of Science")</f>
        <v>View Full Record in Web of Science</v>
      </c>
    </row>
    <row r="732" spans="1:72" x14ac:dyDescent="0.25">
      <c r="A732" t="s">
        <v>72</v>
      </c>
      <c r="B732" t="s">
        <v>13983</v>
      </c>
      <c r="C732" t="s">
        <v>74</v>
      </c>
      <c r="D732" t="s">
        <v>74</v>
      </c>
      <c r="E732" t="s">
        <v>74</v>
      </c>
      <c r="F732" t="s">
        <v>13984</v>
      </c>
      <c r="G732" t="s">
        <v>74</v>
      </c>
      <c r="H732" t="s">
        <v>74</v>
      </c>
      <c r="I732" t="s">
        <v>13985</v>
      </c>
      <c r="J732" t="s">
        <v>1510</v>
      </c>
      <c r="K732" t="s">
        <v>74</v>
      </c>
      <c r="L732" t="s">
        <v>74</v>
      </c>
      <c r="M732" t="s">
        <v>78</v>
      </c>
      <c r="N732" t="s">
        <v>79</v>
      </c>
      <c r="O732" t="s">
        <v>74</v>
      </c>
      <c r="P732" t="s">
        <v>74</v>
      </c>
      <c r="Q732" t="s">
        <v>74</v>
      </c>
      <c r="R732" t="s">
        <v>74</v>
      </c>
      <c r="S732" t="s">
        <v>74</v>
      </c>
      <c r="T732" t="s">
        <v>13986</v>
      </c>
      <c r="U732" t="s">
        <v>13987</v>
      </c>
      <c r="V732" t="s">
        <v>13988</v>
      </c>
      <c r="W732" t="s">
        <v>13989</v>
      </c>
      <c r="X732" t="s">
        <v>13990</v>
      </c>
      <c r="Y732" t="s">
        <v>13991</v>
      </c>
      <c r="Z732" t="s">
        <v>13992</v>
      </c>
      <c r="AA732" t="s">
        <v>74</v>
      </c>
      <c r="AB732" t="s">
        <v>74</v>
      </c>
      <c r="AC732" t="s">
        <v>74</v>
      </c>
      <c r="AD732" t="s">
        <v>74</v>
      </c>
      <c r="AE732" t="s">
        <v>74</v>
      </c>
      <c r="AF732" t="s">
        <v>74</v>
      </c>
      <c r="AG732">
        <v>42</v>
      </c>
      <c r="AH732">
        <v>9</v>
      </c>
      <c r="AI732">
        <v>14</v>
      </c>
      <c r="AJ732">
        <v>0</v>
      </c>
      <c r="AK732">
        <v>2</v>
      </c>
      <c r="AL732" t="s">
        <v>89</v>
      </c>
      <c r="AM732" t="s">
        <v>90</v>
      </c>
      <c r="AN732" t="s">
        <v>91</v>
      </c>
      <c r="AO732" t="s">
        <v>1519</v>
      </c>
      <c r="AP732" t="s">
        <v>1520</v>
      </c>
      <c r="AQ732" t="s">
        <v>74</v>
      </c>
      <c r="AR732" t="s">
        <v>1521</v>
      </c>
      <c r="AS732" t="s">
        <v>1522</v>
      </c>
      <c r="AT732" t="s">
        <v>13993</v>
      </c>
      <c r="AU732">
        <v>2023</v>
      </c>
      <c r="AV732">
        <v>50</v>
      </c>
      <c r="AW732">
        <v>12</v>
      </c>
      <c r="AX732" t="s">
        <v>74</v>
      </c>
      <c r="AY732" t="s">
        <v>74</v>
      </c>
      <c r="AZ732" t="s">
        <v>74</v>
      </c>
      <c r="BA732" t="s">
        <v>74</v>
      </c>
      <c r="BB732">
        <v>1719</v>
      </c>
      <c r="BC732">
        <v>1734</v>
      </c>
      <c r="BD732" t="s">
        <v>74</v>
      </c>
      <c r="BE732" t="s">
        <v>13994</v>
      </c>
      <c r="BF732" t="str">
        <f>HYPERLINK("http://dx.doi.org/10.1108/IJSE-11-2021-0690","http://dx.doi.org/10.1108/IJSE-11-2021-0690")</f>
        <v>http://dx.doi.org/10.1108/IJSE-11-2021-0690</v>
      </c>
      <c r="BG732" t="s">
        <v>74</v>
      </c>
      <c r="BH732" t="s">
        <v>13995</v>
      </c>
      <c r="BI732">
        <v>16</v>
      </c>
      <c r="BJ732" t="s">
        <v>291</v>
      </c>
      <c r="BK732" t="s">
        <v>313</v>
      </c>
      <c r="BL732" t="s">
        <v>100</v>
      </c>
      <c r="BM732" t="s">
        <v>13996</v>
      </c>
      <c r="BN732" t="s">
        <v>74</v>
      </c>
      <c r="BO732" t="s">
        <v>74</v>
      </c>
      <c r="BP732" t="s">
        <v>74</v>
      </c>
      <c r="BQ732" t="s">
        <v>74</v>
      </c>
      <c r="BR732" t="s">
        <v>102</v>
      </c>
      <c r="BS732" t="s">
        <v>13997</v>
      </c>
      <c r="BT732" t="str">
        <f>HYPERLINK("https%3A%2F%2Fwww.webofscience.com%2Fwos%2Fwoscc%2Ffull-record%2FWOS:001019189300001","View Full Record in Web of Science")</f>
        <v>View Full Record in Web of Science</v>
      </c>
    </row>
    <row r="733" spans="1:72" x14ac:dyDescent="0.25">
      <c r="A733" t="s">
        <v>132</v>
      </c>
      <c r="B733" t="s">
        <v>13998</v>
      </c>
      <c r="C733" t="s">
        <v>74</v>
      </c>
      <c r="D733" t="s">
        <v>13999</v>
      </c>
      <c r="E733" t="s">
        <v>74</v>
      </c>
      <c r="F733" t="s">
        <v>14000</v>
      </c>
      <c r="G733" t="s">
        <v>74</v>
      </c>
      <c r="H733" t="s">
        <v>74</v>
      </c>
      <c r="I733" t="s">
        <v>14001</v>
      </c>
      <c r="J733" t="s">
        <v>14002</v>
      </c>
      <c r="K733" t="s">
        <v>14003</v>
      </c>
      <c r="L733" t="s">
        <v>74</v>
      </c>
      <c r="M733" t="s">
        <v>78</v>
      </c>
      <c r="N733" t="s">
        <v>138</v>
      </c>
      <c r="O733" t="s">
        <v>14004</v>
      </c>
      <c r="P733" t="s">
        <v>14005</v>
      </c>
      <c r="Q733" t="s">
        <v>14006</v>
      </c>
      <c r="R733" t="s">
        <v>14007</v>
      </c>
      <c r="S733" t="s">
        <v>74</v>
      </c>
      <c r="T733" t="s">
        <v>14008</v>
      </c>
      <c r="U733" t="s">
        <v>74</v>
      </c>
      <c r="V733" t="s">
        <v>14009</v>
      </c>
      <c r="W733" t="s">
        <v>14010</v>
      </c>
      <c r="X733" t="s">
        <v>14011</v>
      </c>
      <c r="Y733" t="s">
        <v>14012</v>
      </c>
      <c r="Z733" t="s">
        <v>14013</v>
      </c>
      <c r="AA733" t="s">
        <v>14014</v>
      </c>
      <c r="AB733" t="s">
        <v>74</v>
      </c>
      <c r="AC733" t="s">
        <v>74</v>
      </c>
      <c r="AD733" t="s">
        <v>74</v>
      </c>
      <c r="AE733" t="s">
        <v>74</v>
      </c>
      <c r="AF733" t="s">
        <v>74</v>
      </c>
      <c r="AG733">
        <v>23</v>
      </c>
      <c r="AH733">
        <v>3</v>
      </c>
      <c r="AI733">
        <v>5</v>
      </c>
      <c r="AJ733">
        <v>0</v>
      </c>
      <c r="AK733">
        <v>25</v>
      </c>
      <c r="AL733" t="s">
        <v>771</v>
      </c>
      <c r="AM733" t="s">
        <v>151</v>
      </c>
      <c r="AN733" t="s">
        <v>785</v>
      </c>
      <c r="AO733" t="s">
        <v>74</v>
      </c>
      <c r="AP733" t="s">
        <v>74</v>
      </c>
      <c r="AQ733" t="s">
        <v>14015</v>
      </c>
      <c r="AR733" t="s">
        <v>14016</v>
      </c>
      <c r="AS733" t="s">
        <v>74</v>
      </c>
      <c r="AT733" t="s">
        <v>74</v>
      </c>
      <c r="AU733">
        <v>2021</v>
      </c>
      <c r="AV733" t="s">
        <v>74</v>
      </c>
      <c r="AW733" t="s">
        <v>74</v>
      </c>
      <c r="AX733" t="s">
        <v>74</v>
      </c>
      <c r="AY733" t="s">
        <v>74</v>
      </c>
      <c r="AZ733" t="s">
        <v>74</v>
      </c>
      <c r="BA733" t="s">
        <v>74</v>
      </c>
      <c r="BB733">
        <v>280</v>
      </c>
      <c r="BC733">
        <v>287</v>
      </c>
      <c r="BD733" t="s">
        <v>74</v>
      </c>
      <c r="BE733" t="s">
        <v>14017</v>
      </c>
      <c r="BF733" t="str">
        <f>HYPERLINK("http://dx.doi.org/10.1109/CSCWD49262.2021.9437631","http://dx.doi.org/10.1109/CSCWD49262.2021.9437631")</f>
        <v>http://dx.doi.org/10.1109/CSCWD49262.2021.9437631</v>
      </c>
      <c r="BG733" t="s">
        <v>74</v>
      </c>
      <c r="BH733" t="s">
        <v>74</v>
      </c>
      <c r="BI733">
        <v>8</v>
      </c>
      <c r="BJ733" t="s">
        <v>14018</v>
      </c>
      <c r="BK733" t="s">
        <v>156</v>
      </c>
      <c r="BL733" t="s">
        <v>9777</v>
      </c>
      <c r="BM733" t="s">
        <v>14019</v>
      </c>
      <c r="BN733" t="s">
        <v>74</v>
      </c>
      <c r="BO733" t="s">
        <v>74</v>
      </c>
      <c r="BP733" t="s">
        <v>74</v>
      </c>
      <c r="BQ733" t="s">
        <v>74</v>
      </c>
      <c r="BR733" t="s">
        <v>102</v>
      </c>
      <c r="BS733" t="s">
        <v>14020</v>
      </c>
      <c r="BT733" t="str">
        <f>HYPERLINK("https%3A%2F%2Fwww.webofscience.com%2Fwos%2Fwoscc%2Ffull-record%2FWOS:000716858200048","View Full Record in Web of Science")</f>
        <v>View Full Record in Web of Science</v>
      </c>
    </row>
    <row r="734" spans="1:72" x14ac:dyDescent="0.25">
      <c r="A734" t="s">
        <v>72</v>
      </c>
      <c r="B734" t="s">
        <v>14021</v>
      </c>
      <c r="C734" t="s">
        <v>74</v>
      </c>
      <c r="D734" t="s">
        <v>74</v>
      </c>
      <c r="E734" t="s">
        <v>74</v>
      </c>
      <c r="F734" t="s">
        <v>14022</v>
      </c>
      <c r="G734" t="s">
        <v>74</v>
      </c>
      <c r="H734" t="s">
        <v>74</v>
      </c>
      <c r="I734" t="s">
        <v>14023</v>
      </c>
      <c r="J734" t="s">
        <v>14024</v>
      </c>
      <c r="K734" t="s">
        <v>74</v>
      </c>
      <c r="L734" t="s">
        <v>74</v>
      </c>
      <c r="M734" t="s">
        <v>78</v>
      </c>
      <c r="N734" t="s">
        <v>79</v>
      </c>
      <c r="O734" t="s">
        <v>74</v>
      </c>
      <c r="P734" t="s">
        <v>74</v>
      </c>
      <c r="Q734" t="s">
        <v>74</v>
      </c>
      <c r="R734" t="s">
        <v>74</v>
      </c>
      <c r="S734" t="s">
        <v>74</v>
      </c>
      <c r="T734" t="s">
        <v>14025</v>
      </c>
      <c r="U734" t="s">
        <v>14026</v>
      </c>
      <c r="V734" t="s">
        <v>14027</v>
      </c>
      <c r="W734" t="s">
        <v>14028</v>
      </c>
      <c r="X734" t="s">
        <v>14029</v>
      </c>
      <c r="Y734" t="s">
        <v>14030</v>
      </c>
      <c r="Z734" t="s">
        <v>14031</v>
      </c>
      <c r="AA734" t="s">
        <v>14032</v>
      </c>
      <c r="AB734" t="s">
        <v>14033</v>
      </c>
      <c r="AC734" t="s">
        <v>74</v>
      </c>
      <c r="AD734" t="s">
        <v>74</v>
      </c>
      <c r="AE734" t="s">
        <v>74</v>
      </c>
      <c r="AF734" t="s">
        <v>74</v>
      </c>
      <c r="AG734">
        <v>67</v>
      </c>
      <c r="AH734">
        <v>5</v>
      </c>
      <c r="AI734">
        <v>5</v>
      </c>
      <c r="AJ734">
        <v>16</v>
      </c>
      <c r="AK734">
        <v>38</v>
      </c>
      <c r="AL734" t="s">
        <v>479</v>
      </c>
      <c r="AM734" t="s">
        <v>480</v>
      </c>
      <c r="AN734" t="s">
        <v>481</v>
      </c>
      <c r="AO734" t="s">
        <v>14034</v>
      </c>
      <c r="AP734" t="s">
        <v>14035</v>
      </c>
      <c r="AQ734" t="s">
        <v>74</v>
      </c>
      <c r="AR734" t="s">
        <v>14036</v>
      </c>
      <c r="AS734" t="s">
        <v>14037</v>
      </c>
      <c r="AT734" t="s">
        <v>1540</v>
      </c>
      <c r="AU734">
        <v>2025</v>
      </c>
      <c r="AV734">
        <v>32</v>
      </c>
      <c r="AW734">
        <v>3</v>
      </c>
      <c r="AX734" t="s">
        <v>74</v>
      </c>
      <c r="AY734" t="s">
        <v>74</v>
      </c>
      <c r="AZ734" t="s">
        <v>74</v>
      </c>
      <c r="BA734" t="s">
        <v>74</v>
      </c>
      <c r="BB734">
        <v>4166</v>
      </c>
      <c r="BC734">
        <v>4178</v>
      </c>
      <c r="BD734" t="s">
        <v>74</v>
      </c>
      <c r="BE734" t="s">
        <v>14038</v>
      </c>
      <c r="BF734" t="str">
        <f>HYPERLINK("http://dx.doi.org/10.1002/csr.3174","http://dx.doi.org/10.1002/csr.3174")</f>
        <v>http://dx.doi.org/10.1002/csr.3174</v>
      </c>
      <c r="BG734" t="s">
        <v>74</v>
      </c>
      <c r="BH734" t="s">
        <v>2781</v>
      </c>
      <c r="BI734">
        <v>13</v>
      </c>
      <c r="BJ734" t="s">
        <v>14039</v>
      </c>
      <c r="BK734" t="s">
        <v>99</v>
      </c>
      <c r="BL734" t="s">
        <v>14040</v>
      </c>
      <c r="BM734" t="s">
        <v>14041</v>
      </c>
      <c r="BN734" t="s">
        <v>74</v>
      </c>
      <c r="BO734" t="s">
        <v>1205</v>
      </c>
      <c r="BP734" t="s">
        <v>74</v>
      </c>
      <c r="BQ734" t="s">
        <v>74</v>
      </c>
      <c r="BR734" t="s">
        <v>102</v>
      </c>
      <c r="BS734" t="s">
        <v>14042</v>
      </c>
      <c r="BT734" t="str">
        <f>HYPERLINK("https%3A%2F%2Fwww.webofscience.com%2Fwos%2Fwoscc%2Ffull-record%2FWOS:001444769100001","View Full Record in Web of Science")</f>
        <v>View Full Record in Web of Science</v>
      </c>
    </row>
    <row r="735" spans="1:72" x14ac:dyDescent="0.25">
      <c r="A735" t="s">
        <v>72</v>
      </c>
      <c r="B735" t="s">
        <v>14043</v>
      </c>
      <c r="C735" t="s">
        <v>74</v>
      </c>
      <c r="D735" t="s">
        <v>74</v>
      </c>
      <c r="E735" t="s">
        <v>74</v>
      </c>
      <c r="F735" t="s">
        <v>14044</v>
      </c>
      <c r="G735" t="s">
        <v>74</v>
      </c>
      <c r="H735" t="s">
        <v>74</v>
      </c>
      <c r="I735" t="s">
        <v>14045</v>
      </c>
      <c r="J735" t="s">
        <v>14046</v>
      </c>
      <c r="K735" t="s">
        <v>74</v>
      </c>
      <c r="L735" t="s">
        <v>74</v>
      </c>
      <c r="M735" t="s">
        <v>78</v>
      </c>
      <c r="N735" t="s">
        <v>79</v>
      </c>
      <c r="O735" t="s">
        <v>74</v>
      </c>
      <c r="P735" t="s">
        <v>74</v>
      </c>
      <c r="Q735" t="s">
        <v>74</v>
      </c>
      <c r="R735" t="s">
        <v>74</v>
      </c>
      <c r="S735" t="s">
        <v>74</v>
      </c>
      <c r="T735" t="s">
        <v>14047</v>
      </c>
      <c r="U735" t="s">
        <v>14048</v>
      </c>
      <c r="V735" t="s">
        <v>14049</v>
      </c>
      <c r="W735" t="s">
        <v>14050</v>
      </c>
      <c r="X735" t="s">
        <v>14051</v>
      </c>
      <c r="Y735" t="s">
        <v>14052</v>
      </c>
      <c r="Z735" t="s">
        <v>14053</v>
      </c>
      <c r="AA735" t="s">
        <v>74</v>
      </c>
      <c r="AB735" t="s">
        <v>14054</v>
      </c>
      <c r="AC735" t="s">
        <v>74</v>
      </c>
      <c r="AD735" t="s">
        <v>74</v>
      </c>
      <c r="AE735" t="s">
        <v>74</v>
      </c>
      <c r="AF735" t="s">
        <v>74</v>
      </c>
      <c r="AG735">
        <v>46</v>
      </c>
      <c r="AH735">
        <v>36</v>
      </c>
      <c r="AI735">
        <v>39</v>
      </c>
      <c r="AJ735">
        <v>0</v>
      </c>
      <c r="AK735">
        <v>62</v>
      </c>
      <c r="AL735" t="s">
        <v>14055</v>
      </c>
      <c r="AM735" t="s">
        <v>14056</v>
      </c>
      <c r="AN735" t="s">
        <v>14057</v>
      </c>
      <c r="AO735" t="s">
        <v>14058</v>
      </c>
      <c r="AP735" t="s">
        <v>14059</v>
      </c>
      <c r="AQ735" t="s">
        <v>74</v>
      </c>
      <c r="AR735" t="s">
        <v>14060</v>
      </c>
      <c r="AS735" t="s">
        <v>14061</v>
      </c>
      <c r="AT735" t="s">
        <v>74</v>
      </c>
      <c r="AU735">
        <v>2017</v>
      </c>
      <c r="AV735" t="s">
        <v>74</v>
      </c>
      <c r="AW735">
        <v>4</v>
      </c>
      <c r="AX735" t="s">
        <v>74</v>
      </c>
      <c r="AY735" t="s">
        <v>74</v>
      </c>
      <c r="AZ735" t="s">
        <v>74</v>
      </c>
      <c r="BA735" t="s">
        <v>74</v>
      </c>
      <c r="BB735">
        <v>9</v>
      </c>
      <c r="BC735">
        <v>18</v>
      </c>
      <c r="BD735" t="s">
        <v>74</v>
      </c>
      <c r="BE735" t="s">
        <v>74</v>
      </c>
      <c r="BF735" t="s">
        <v>74</v>
      </c>
      <c r="BG735" t="s">
        <v>74</v>
      </c>
      <c r="BH735" t="s">
        <v>74</v>
      </c>
      <c r="BI735">
        <v>10</v>
      </c>
      <c r="BJ735" t="s">
        <v>1674</v>
      </c>
      <c r="BK735" t="s">
        <v>99</v>
      </c>
      <c r="BL735" t="s">
        <v>1674</v>
      </c>
      <c r="BM735" t="s">
        <v>14062</v>
      </c>
      <c r="BN735" t="s">
        <v>74</v>
      </c>
      <c r="BO735" t="s">
        <v>74</v>
      </c>
      <c r="BP735" t="s">
        <v>74</v>
      </c>
      <c r="BQ735" t="s">
        <v>74</v>
      </c>
      <c r="BR735" t="s">
        <v>102</v>
      </c>
      <c r="BS735" t="s">
        <v>14063</v>
      </c>
      <c r="BT735" t="str">
        <f>HYPERLINK("https%3A%2F%2Fwww.webofscience.com%2Fwos%2Fwoscc%2Ffull-record%2FWOS:000429168400002","View Full Record in Web of Science")</f>
        <v>View Full Record in Web of Science</v>
      </c>
    </row>
    <row r="736" spans="1:72" x14ac:dyDescent="0.25">
      <c r="A736" t="s">
        <v>72</v>
      </c>
      <c r="B736" t="s">
        <v>14064</v>
      </c>
      <c r="C736" t="s">
        <v>74</v>
      </c>
      <c r="D736" t="s">
        <v>74</v>
      </c>
      <c r="E736" t="s">
        <v>74</v>
      </c>
      <c r="F736" t="s">
        <v>14065</v>
      </c>
      <c r="G736" t="s">
        <v>74</v>
      </c>
      <c r="H736" t="s">
        <v>74</v>
      </c>
      <c r="I736" t="s">
        <v>14066</v>
      </c>
      <c r="J736" t="s">
        <v>9191</v>
      </c>
      <c r="K736" t="s">
        <v>74</v>
      </c>
      <c r="L736" t="s">
        <v>74</v>
      </c>
      <c r="M736" t="s">
        <v>78</v>
      </c>
      <c r="N736" t="s">
        <v>79</v>
      </c>
      <c r="O736" t="s">
        <v>74</v>
      </c>
      <c r="P736" t="s">
        <v>74</v>
      </c>
      <c r="Q736" t="s">
        <v>74</v>
      </c>
      <c r="R736" t="s">
        <v>74</v>
      </c>
      <c r="S736" t="s">
        <v>74</v>
      </c>
      <c r="T736" t="s">
        <v>14067</v>
      </c>
      <c r="U736" t="s">
        <v>14068</v>
      </c>
      <c r="V736" t="s">
        <v>14069</v>
      </c>
      <c r="W736" t="s">
        <v>14070</v>
      </c>
      <c r="X736" t="s">
        <v>14071</v>
      </c>
      <c r="Y736" t="s">
        <v>14072</v>
      </c>
      <c r="Z736" t="s">
        <v>14073</v>
      </c>
      <c r="AA736" t="s">
        <v>74</v>
      </c>
      <c r="AB736" t="s">
        <v>74</v>
      </c>
      <c r="AC736" t="s">
        <v>74</v>
      </c>
      <c r="AD736" t="s">
        <v>74</v>
      </c>
      <c r="AE736" t="s">
        <v>74</v>
      </c>
      <c r="AF736" t="s">
        <v>74</v>
      </c>
      <c r="AG736">
        <v>56</v>
      </c>
      <c r="AH736">
        <v>9</v>
      </c>
      <c r="AI736">
        <v>9</v>
      </c>
      <c r="AJ736">
        <v>24</v>
      </c>
      <c r="AK736">
        <v>66</v>
      </c>
      <c r="AL736" t="s">
        <v>9204</v>
      </c>
      <c r="AM736" t="s">
        <v>2016</v>
      </c>
      <c r="AN736" t="s">
        <v>9205</v>
      </c>
      <c r="AO736" t="s">
        <v>74</v>
      </c>
      <c r="AP736" t="s">
        <v>9206</v>
      </c>
      <c r="AQ736" t="s">
        <v>74</v>
      </c>
      <c r="AR736" t="s">
        <v>9191</v>
      </c>
      <c r="AS736" t="s">
        <v>9207</v>
      </c>
      <c r="AT736" t="s">
        <v>14074</v>
      </c>
      <c r="AU736">
        <v>2024</v>
      </c>
      <c r="AV736">
        <v>10</v>
      </c>
      <c r="AW736">
        <v>15</v>
      </c>
      <c r="AX736" t="s">
        <v>74</v>
      </c>
      <c r="AY736" t="s">
        <v>74</v>
      </c>
      <c r="AZ736" t="s">
        <v>74</v>
      </c>
      <c r="BA736" t="s">
        <v>74</v>
      </c>
      <c r="BB736" t="s">
        <v>74</v>
      </c>
      <c r="BC736" t="s">
        <v>74</v>
      </c>
      <c r="BD736" t="s">
        <v>14075</v>
      </c>
      <c r="BE736" t="s">
        <v>14076</v>
      </c>
      <c r="BF736" t="str">
        <f>HYPERLINK("http://dx.doi.org/10.1016/j.heliyon.2024.e35540","http://dx.doi.org/10.1016/j.heliyon.2024.e35540")</f>
        <v>http://dx.doi.org/10.1016/j.heliyon.2024.e35540</v>
      </c>
      <c r="BG736" t="s">
        <v>74</v>
      </c>
      <c r="BH736" t="s">
        <v>393</v>
      </c>
      <c r="BI736">
        <v>14</v>
      </c>
      <c r="BJ736" t="s">
        <v>559</v>
      </c>
      <c r="BK736" t="s">
        <v>128</v>
      </c>
      <c r="BL736" t="s">
        <v>560</v>
      </c>
      <c r="BM736" t="s">
        <v>14077</v>
      </c>
      <c r="BN736">
        <v>39170403</v>
      </c>
      <c r="BO736" t="s">
        <v>916</v>
      </c>
      <c r="BP736" t="s">
        <v>74</v>
      </c>
      <c r="BQ736" t="s">
        <v>74</v>
      </c>
      <c r="BR736" t="s">
        <v>102</v>
      </c>
      <c r="BS736" t="s">
        <v>14078</v>
      </c>
      <c r="BT736" t="str">
        <f>HYPERLINK("https%3A%2F%2Fwww.webofscience.com%2Fwos%2Fwoscc%2Ffull-record%2FWOS:001289551700001","View Full Record in Web of Science")</f>
        <v>View Full Record in Web of Science</v>
      </c>
    </row>
    <row r="737" spans="1:72" x14ac:dyDescent="0.25">
      <c r="A737" t="s">
        <v>72</v>
      </c>
      <c r="B737" t="s">
        <v>14079</v>
      </c>
      <c r="C737" t="s">
        <v>74</v>
      </c>
      <c r="D737" t="s">
        <v>74</v>
      </c>
      <c r="E737" t="s">
        <v>74</v>
      </c>
      <c r="F737" t="s">
        <v>14080</v>
      </c>
      <c r="G737" t="s">
        <v>74</v>
      </c>
      <c r="H737" t="s">
        <v>74</v>
      </c>
      <c r="I737" t="s">
        <v>14081</v>
      </c>
      <c r="J737" t="s">
        <v>1963</v>
      </c>
      <c r="K737" t="s">
        <v>74</v>
      </c>
      <c r="L737" t="s">
        <v>74</v>
      </c>
      <c r="M737" t="s">
        <v>78</v>
      </c>
      <c r="N737" t="s">
        <v>79</v>
      </c>
      <c r="O737" t="s">
        <v>74</v>
      </c>
      <c r="P737" t="s">
        <v>74</v>
      </c>
      <c r="Q737" t="s">
        <v>74</v>
      </c>
      <c r="R737" t="s">
        <v>74</v>
      </c>
      <c r="S737" t="s">
        <v>74</v>
      </c>
      <c r="T737" t="s">
        <v>14082</v>
      </c>
      <c r="U737" t="s">
        <v>14083</v>
      </c>
      <c r="V737" t="s">
        <v>14084</v>
      </c>
      <c r="W737" t="s">
        <v>14085</v>
      </c>
      <c r="X737" t="s">
        <v>14086</v>
      </c>
      <c r="Y737" t="s">
        <v>14087</v>
      </c>
      <c r="Z737" t="s">
        <v>14088</v>
      </c>
      <c r="AA737" t="s">
        <v>14089</v>
      </c>
      <c r="AB737" t="s">
        <v>14090</v>
      </c>
      <c r="AC737" t="s">
        <v>14091</v>
      </c>
      <c r="AD737" t="s">
        <v>14092</v>
      </c>
      <c r="AE737" t="s">
        <v>14093</v>
      </c>
      <c r="AF737" t="s">
        <v>74</v>
      </c>
      <c r="AG737">
        <v>41</v>
      </c>
      <c r="AH737">
        <v>10</v>
      </c>
      <c r="AI737">
        <v>10</v>
      </c>
      <c r="AJ737">
        <v>8</v>
      </c>
      <c r="AK737">
        <v>94</v>
      </c>
      <c r="AL737" t="s">
        <v>332</v>
      </c>
      <c r="AM737" t="s">
        <v>333</v>
      </c>
      <c r="AN737" t="s">
        <v>334</v>
      </c>
      <c r="AO737" t="s">
        <v>1975</v>
      </c>
      <c r="AP737" t="s">
        <v>1976</v>
      </c>
      <c r="AQ737" t="s">
        <v>74</v>
      </c>
      <c r="AR737" t="s">
        <v>1977</v>
      </c>
      <c r="AS737" t="s">
        <v>1978</v>
      </c>
      <c r="AT737" t="s">
        <v>14094</v>
      </c>
      <c r="AU737">
        <v>2024</v>
      </c>
      <c r="AV737">
        <v>56</v>
      </c>
      <c r="AW737">
        <v>9</v>
      </c>
      <c r="AX737" t="s">
        <v>74</v>
      </c>
      <c r="AY737" t="s">
        <v>74</v>
      </c>
      <c r="AZ737" t="s">
        <v>74</v>
      </c>
      <c r="BA737" t="s">
        <v>74</v>
      </c>
      <c r="BB737">
        <v>1090</v>
      </c>
      <c r="BC737">
        <v>1108</v>
      </c>
      <c r="BD737" t="s">
        <v>74</v>
      </c>
      <c r="BE737" t="s">
        <v>14095</v>
      </c>
      <c r="BF737" t="str">
        <f>HYPERLINK("http://dx.doi.org/10.1080/00036846.2023.2244249","http://dx.doi.org/10.1080/00036846.2023.2244249")</f>
        <v>http://dx.doi.org/10.1080/00036846.2023.2244249</v>
      </c>
      <c r="BG737" t="s">
        <v>74</v>
      </c>
      <c r="BH737" t="s">
        <v>7993</v>
      </c>
      <c r="BI737">
        <v>19</v>
      </c>
      <c r="BJ737" t="s">
        <v>291</v>
      </c>
      <c r="BK737" t="s">
        <v>99</v>
      </c>
      <c r="BL737" t="s">
        <v>100</v>
      </c>
      <c r="BM737" t="s">
        <v>14096</v>
      </c>
      <c r="BN737" t="s">
        <v>74</v>
      </c>
      <c r="BO737" t="s">
        <v>74</v>
      </c>
      <c r="BP737" t="s">
        <v>74</v>
      </c>
      <c r="BQ737" t="s">
        <v>74</v>
      </c>
      <c r="BR737" t="s">
        <v>102</v>
      </c>
      <c r="BS737" t="s">
        <v>14097</v>
      </c>
      <c r="BT737" t="str">
        <f>HYPERLINK("https%3A%2F%2Fwww.webofscience.com%2Fwos%2Fwoscc%2Ffull-record%2FWOS:001044249600001","View Full Record in Web of Science")</f>
        <v>View Full Record in Web of Science</v>
      </c>
    </row>
    <row r="738" spans="1:72" x14ac:dyDescent="0.25">
      <c r="A738" t="s">
        <v>72</v>
      </c>
      <c r="B738" t="s">
        <v>14098</v>
      </c>
      <c r="C738" t="s">
        <v>74</v>
      </c>
      <c r="D738" t="s">
        <v>74</v>
      </c>
      <c r="E738" t="s">
        <v>74</v>
      </c>
      <c r="F738" t="s">
        <v>14099</v>
      </c>
      <c r="G738" t="s">
        <v>74</v>
      </c>
      <c r="H738" t="s">
        <v>74</v>
      </c>
      <c r="I738" t="s">
        <v>14100</v>
      </c>
      <c r="J738" t="s">
        <v>14101</v>
      </c>
      <c r="K738" t="s">
        <v>74</v>
      </c>
      <c r="L738" t="s">
        <v>74</v>
      </c>
      <c r="M738" t="s">
        <v>78</v>
      </c>
      <c r="N738" t="s">
        <v>79</v>
      </c>
      <c r="O738" t="s">
        <v>74</v>
      </c>
      <c r="P738" t="s">
        <v>74</v>
      </c>
      <c r="Q738" t="s">
        <v>74</v>
      </c>
      <c r="R738" t="s">
        <v>74</v>
      </c>
      <c r="S738" t="s">
        <v>74</v>
      </c>
      <c r="T738" t="s">
        <v>14102</v>
      </c>
      <c r="U738" t="s">
        <v>74</v>
      </c>
      <c r="V738" t="s">
        <v>14103</v>
      </c>
      <c r="W738" t="s">
        <v>14104</v>
      </c>
      <c r="X738" t="s">
        <v>14105</v>
      </c>
      <c r="Y738" t="s">
        <v>14106</v>
      </c>
      <c r="Z738" t="s">
        <v>14107</v>
      </c>
      <c r="AA738" t="s">
        <v>14108</v>
      </c>
      <c r="AB738" t="s">
        <v>14109</v>
      </c>
      <c r="AC738" t="s">
        <v>74</v>
      </c>
      <c r="AD738" t="s">
        <v>74</v>
      </c>
      <c r="AE738" t="s">
        <v>74</v>
      </c>
      <c r="AF738" t="s">
        <v>74</v>
      </c>
      <c r="AG738">
        <v>61</v>
      </c>
      <c r="AH738">
        <v>1</v>
      </c>
      <c r="AI738">
        <v>1</v>
      </c>
      <c r="AJ738">
        <v>0</v>
      </c>
      <c r="AK738">
        <v>0</v>
      </c>
      <c r="AL738" t="s">
        <v>4083</v>
      </c>
      <c r="AM738" t="s">
        <v>4084</v>
      </c>
      <c r="AN738" t="s">
        <v>4085</v>
      </c>
      <c r="AO738" t="s">
        <v>74</v>
      </c>
      <c r="AP738" t="s">
        <v>14110</v>
      </c>
      <c r="AQ738" t="s">
        <v>74</v>
      </c>
      <c r="AR738" t="s">
        <v>14111</v>
      </c>
      <c r="AS738" t="s">
        <v>14112</v>
      </c>
      <c r="AT738" t="s">
        <v>208</v>
      </c>
      <c r="AU738">
        <v>2026</v>
      </c>
      <c r="AV738">
        <v>4</v>
      </c>
      <c r="AW738">
        <v>1</v>
      </c>
      <c r="AX738" t="s">
        <v>74</v>
      </c>
      <c r="AY738" t="s">
        <v>74</v>
      </c>
      <c r="AZ738" t="s">
        <v>74</v>
      </c>
      <c r="BA738" t="s">
        <v>74</v>
      </c>
      <c r="BB738" t="s">
        <v>74</v>
      </c>
      <c r="BC738" t="s">
        <v>74</v>
      </c>
      <c r="BD738">
        <v>100263</v>
      </c>
      <c r="BE738" t="s">
        <v>14113</v>
      </c>
      <c r="BF738" t="str">
        <f>HYPERLINK("http://dx.doi.org/10.1016/j.grets.2025.100263","http://dx.doi.org/10.1016/j.grets.2025.100263")</f>
        <v>http://dx.doi.org/10.1016/j.grets.2025.100263</v>
      </c>
      <c r="BG738" t="s">
        <v>74</v>
      </c>
      <c r="BH738" t="s">
        <v>74</v>
      </c>
      <c r="BI738">
        <v>13</v>
      </c>
      <c r="BJ738" t="s">
        <v>14114</v>
      </c>
      <c r="BK738" t="s">
        <v>313</v>
      </c>
      <c r="BL738" t="s">
        <v>560</v>
      </c>
      <c r="BM738" t="s">
        <v>14115</v>
      </c>
      <c r="BN738" t="s">
        <v>74</v>
      </c>
      <c r="BO738" t="s">
        <v>916</v>
      </c>
      <c r="BP738" t="s">
        <v>74</v>
      </c>
      <c r="BQ738" t="s">
        <v>74</v>
      </c>
      <c r="BR738" t="s">
        <v>102</v>
      </c>
      <c r="BS738" t="s">
        <v>14116</v>
      </c>
      <c r="BT738" t="str">
        <f>HYPERLINK("https%3A%2F%2Fwww.webofscience.com%2Fwos%2Fwoscc%2Ffull-record%2FWOS:001621495400001","View Full Record in Web of Science")</f>
        <v>View Full Record in Web of Science</v>
      </c>
    </row>
    <row r="739" spans="1:72" x14ac:dyDescent="0.25">
      <c r="A739" t="s">
        <v>72</v>
      </c>
      <c r="B739" t="s">
        <v>14117</v>
      </c>
      <c r="C739" t="s">
        <v>74</v>
      </c>
      <c r="D739" t="s">
        <v>74</v>
      </c>
      <c r="E739" t="s">
        <v>74</v>
      </c>
      <c r="F739" t="s">
        <v>14118</v>
      </c>
      <c r="G739" t="s">
        <v>74</v>
      </c>
      <c r="H739" t="s">
        <v>74</v>
      </c>
      <c r="I739" t="s">
        <v>14119</v>
      </c>
      <c r="J739" t="s">
        <v>6713</v>
      </c>
      <c r="K739" t="s">
        <v>74</v>
      </c>
      <c r="L739" t="s">
        <v>74</v>
      </c>
      <c r="M739" t="s">
        <v>78</v>
      </c>
      <c r="N739" t="s">
        <v>79</v>
      </c>
      <c r="O739" t="s">
        <v>74</v>
      </c>
      <c r="P739" t="s">
        <v>74</v>
      </c>
      <c r="Q739" t="s">
        <v>74</v>
      </c>
      <c r="R739" t="s">
        <v>74</v>
      </c>
      <c r="S739" t="s">
        <v>74</v>
      </c>
      <c r="T739" t="s">
        <v>14120</v>
      </c>
      <c r="U739" t="s">
        <v>14121</v>
      </c>
      <c r="V739" t="s">
        <v>14122</v>
      </c>
      <c r="W739" t="s">
        <v>14123</v>
      </c>
      <c r="X739" t="s">
        <v>14124</v>
      </c>
      <c r="Y739" t="s">
        <v>14125</v>
      </c>
      <c r="Z739" t="s">
        <v>14126</v>
      </c>
      <c r="AA739" t="s">
        <v>14127</v>
      </c>
      <c r="AB739" t="s">
        <v>14128</v>
      </c>
      <c r="AC739" t="s">
        <v>74</v>
      </c>
      <c r="AD739" t="s">
        <v>74</v>
      </c>
      <c r="AE739" t="s">
        <v>74</v>
      </c>
      <c r="AF739" t="s">
        <v>74</v>
      </c>
      <c r="AG739">
        <v>83</v>
      </c>
      <c r="AH739">
        <v>79</v>
      </c>
      <c r="AI739">
        <v>97</v>
      </c>
      <c r="AJ739">
        <v>0</v>
      </c>
      <c r="AK739">
        <v>42</v>
      </c>
      <c r="AL739" t="s">
        <v>4485</v>
      </c>
      <c r="AM739" t="s">
        <v>231</v>
      </c>
      <c r="AN739" t="s">
        <v>4486</v>
      </c>
      <c r="AO739" t="s">
        <v>6726</v>
      </c>
      <c r="AP739" t="s">
        <v>6727</v>
      </c>
      <c r="AQ739" t="s">
        <v>74</v>
      </c>
      <c r="AR739" t="s">
        <v>6728</v>
      </c>
      <c r="AS739" t="s">
        <v>6729</v>
      </c>
      <c r="AT739" t="s">
        <v>743</v>
      </c>
      <c r="AU739">
        <v>2020</v>
      </c>
      <c r="AV739">
        <v>44</v>
      </c>
      <c r="AW739">
        <v>3</v>
      </c>
      <c r="AX739" t="s">
        <v>74</v>
      </c>
      <c r="AY739" t="s">
        <v>74</v>
      </c>
      <c r="AZ739" t="s">
        <v>74</v>
      </c>
      <c r="BA739" t="s">
        <v>74</v>
      </c>
      <c r="BB739" t="s">
        <v>74</v>
      </c>
      <c r="BC739" t="s">
        <v>74</v>
      </c>
      <c r="BD739">
        <v>101926</v>
      </c>
      <c r="BE739" t="s">
        <v>14129</v>
      </c>
      <c r="BF739" t="str">
        <f>HYPERLINK("http://dx.doi.org/10.1016/j.telpol.2020.101926","http://dx.doi.org/10.1016/j.telpol.2020.101926")</f>
        <v>http://dx.doi.org/10.1016/j.telpol.2020.101926</v>
      </c>
      <c r="BG739" t="s">
        <v>74</v>
      </c>
      <c r="BH739" t="s">
        <v>74</v>
      </c>
      <c r="BI739">
        <v>16</v>
      </c>
      <c r="BJ739" t="s">
        <v>6731</v>
      </c>
      <c r="BK739" t="s">
        <v>2623</v>
      </c>
      <c r="BL739" t="s">
        <v>6731</v>
      </c>
      <c r="BM739" t="s">
        <v>14130</v>
      </c>
      <c r="BN739" t="s">
        <v>74</v>
      </c>
      <c r="BO739" t="s">
        <v>74</v>
      </c>
      <c r="BP739" t="s">
        <v>74</v>
      </c>
      <c r="BQ739" t="s">
        <v>74</v>
      </c>
      <c r="BR739" t="s">
        <v>102</v>
      </c>
      <c r="BS739" t="s">
        <v>14131</v>
      </c>
      <c r="BT739" t="str">
        <f>HYPERLINK("https%3A%2F%2Fwww.webofscience.com%2Fwos%2Fwoscc%2Ffull-record%2FWOS:000531084800006","View Full Record in Web of Science")</f>
        <v>View Full Record in Web of Science</v>
      </c>
    </row>
    <row r="740" spans="1:72" x14ac:dyDescent="0.25">
      <c r="A740" t="s">
        <v>72</v>
      </c>
      <c r="B740" t="s">
        <v>14132</v>
      </c>
      <c r="C740" t="s">
        <v>74</v>
      </c>
      <c r="D740" t="s">
        <v>74</v>
      </c>
      <c r="E740" t="s">
        <v>74</v>
      </c>
      <c r="F740" t="s">
        <v>14133</v>
      </c>
      <c r="G740" t="s">
        <v>74</v>
      </c>
      <c r="H740" t="s">
        <v>74</v>
      </c>
      <c r="I740" t="s">
        <v>14134</v>
      </c>
      <c r="J740" t="s">
        <v>14135</v>
      </c>
      <c r="K740" t="s">
        <v>74</v>
      </c>
      <c r="L740" t="s">
        <v>74</v>
      </c>
      <c r="M740" t="s">
        <v>78</v>
      </c>
      <c r="N740" t="s">
        <v>79</v>
      </c>
      <c r="O740" t="s">
        <v>74</v>
      </c>
      <c r="P740" t="s">
        <v>74</v>
      </c>
      <c r="Q740" t="s">
        <v>74</v>
      </c>
      <c r="R740" t="s">
        <v>74</v>
      </c>
      <c r="S740" t="s">
        <v>74</v>
      </c>
      <c r="T740" t="s">
        <v>74</v>
      </c>
      <c r="U740" t="s">
        <v>14136</v>
      </c>
      <c r="V740" t="s">
        <v>14137</v>
      </c>
      <c r="W740" t="s">
        <v>14138</v>
      </c>
      <c r="X740" t="s">
        <v>14139</v>
      </c>
      <c r="Y740" t="s">
        <v>14140</v>
      </c>
      <c r="Z740" t="s">
        <v>14141</v>
      </c>
      <c r="AA740" t="s">
        <v>74</v>
      </c>
      <c r="AB740" t="s">
        <v>74</v>
      </c>
      <c r="AC740" t="s">
        <v>74</v>
      </c>
      <c r="AD740" t="s">
        <v>74</v>
      </c>
      <c r="AE740" t="s">
        <v>74</v>
      </c>
      <c r="AF740" t="s">
        <v>74</v>
      </c>
      <c r="AG740">
        <v>79</v>
      </c>
      <c r="AH740">
        <v>8</v>
      </c>
      <c r="AI740">
        <v>8</v>
      </c>
      <c r="AJ740">
        <v>0</v>
      </c>
      <c r="AK740">
        <v>22</v>
      </c>
      <c r="AL740" t="s">
        <v>479</v>
      </c>
      <c r="AM740" t="s">
        <v>480</v>
      </c>
      <c r="AN740" t="s">
        <v>481</v>
      </c>
      <c r="AO740" t="s">
        <v>14142</v>
      </c>
      <c r="AP740" t="s">
        <v>14143</v>
      </c>
      <c r="AQ740" t="s">
        <v>74</v>
      </c>
      <c r="AR740" t="s">
        <v>14144</v>
      </c>
      <c r="AS740" t="s">
        <v>14145</v>
      </c>
      <c r="AT740" t="s">
        <v>208</v>
      </c>
      <c r="AU740">
        <v>2021</v>
      </c>
      <c r="AV740">
        <v>52</v>
      </c>
      <c r="AW740">
        <v>1</v>
      </c>
      <c r="AX740" t="s">
        <v>74</v>
      </c>
      <c r="AY740" t="s">
        <v>74</v>
      </c>
      <c r="AZ740" t="s">
        <v>74</v>
      </c>
      <c r="BA740" t="s">
        <v>74</v>
      </c>
      <c r="BB740">
        <v>26</v>
      </c>
      <c r="BC740">
        <v>53</v>
      </c>
      <c r="BD740" t="s">
        <v>74</v>
      </c>
      <c r="BE740" t="s">
        <v>14146</v>
      </c>
      <c r="BF740" t="str">
        <f>HYPERLINK("http://dx.doi.org/10.1111/dech.12627","http://dx.doi.org/10.1111/dech.12627")</f>
        <v>http://dx.doi.org/10.1111/dech.12627</v>
      </c>
      <c r="BG740" t="s">
        <v>74</v>
      </c>
      <c r="BH740" t="s">
        <v>14147</v>
      </c>
      <c r="BI740">
        <v>28</v>
      </c>
      <c r="BJ740" t="s">
        <v>1137</v>
      </c>
      <c r="BK740" t="s">
        <v>99</v>
      </c>
      <c r="BL740" t="s">
        <v>1137</v>
      </c>
      <c r="BM740" t="s">
        <v>14148</v>
      </c>
      <c r="BN740" t="s">
        <v>74</v>
      </c>
      <c r="BO740" t="s">
        <v>74</v>
      </c>
      <c r="BP740" t="s">
        <v>74</v>
      </c>
      <c r="BQ740" t="s">
        <v>74</v>
      </c>
      <c r="BR740" t="s">
        <v>102</v>
      </c>
      <c r="BS740" t="s">
        <v>14149</v>
      </c>
      <c r="BT740" t="str">
        <f>HYPERLINK("https%3A%2F%2Fwww.webofscience.com%2Fwos%2Fwoscc%2Ffull-record%2FWOS:000589533400001","View Full Record in Web of Science")</f>
        <v>View Full Record in Web of Science</v>
      </c>
    </row>
    <row r="741" spans="1:72" x14ac:dyDescent="0.25">
      <c r="A741" t="s">
        <v>72</v>
      </c>
      <c r="B741" t="s">
        <v>14150</v>
      </c>
      <c r="C741" t="s">
        <v>74</v>
      </c>
      <c r="D741" t="s">
        <v>74</v>
      </c>
      <c r="E741" t="s">
        <v>74</v>
      </c>
      <c r="F741" t="s">
        <v>14151</v>
      </c>
      <c r="G741" t="s">
        <v>74</v>
      </c>
      <c r="H741" t="s">
        <v>74</v>
      </c>
      <c r="I741" t="s">
        <v>14152</v>
      </c>
      <c r="J741" t="s">
        <v>1510</v>
      </c>
      <c r="K741" t="s">
        <v>74</v>
      </c>
      <c r="L741" t="s">
        <v>74</v>
      </c>
      <c r="M741" t="s">
        <v>78</v>
      </c>
      <c r="N741" t="s">
        <v>79</v>
      </c>
      <c r="O741" t="s">
        <v>74</v>
      </c>
      <c r="P741" t="s">
        <v>74</v>
      </c>
      <c r="Q741" t="s">
        <v>74</v>
      </c>
      <c r="R741" t="s">
        <v>74</v>
      </c>
      <c r="S741" t="s">
        <v>74</v>
      </c>
      <c r="T741" t="s">
        <v>14153</v>
      </c>
      <c r="U741" t="s">
        <v>8579</v>
      </c>
      <c r="V741" t="s">
        <v>14154</v>
      </c>
      <c r="W741" t="s">
        <v>14155</v>
      </c>
      <c r="X741" t="s">
        <v>13249</v>
      </c>
      <c r="Y741" t="s">
        <v>14156</v>
      </c>
      <c r="Z741" t="s">
        <v>14157</v>
      </c>
      <c r="AA741" t="s">
        <v>11413</v>
      </c>
      <c r="AB741" t="s">
        <v>14158</v>
      </c>
      <c r="AC741" t="s">
        <v>74</v>
      </c>
      <c r="AD741" t="s">
        <v>74</v>
      </c>
      <c r="AE741" t="s">
        <v>74</v>
      </c>
      <c r="AF741" t="s">
        <v>74</v>
      </c>
      <c r="AG741">
        <v>67</v>
      </c>
      <c r="AH741">
        <v>45</v>
      </c>
      <c r="AI741">
        <v>59</v>
      </c>
      <c r="AJ741">
        <v>2</v>
      </c>
      <c r="AK741">
        <v>50</v>
      </c>
      <c r="AL741" t="s">
        <v>89</v>
      </c>
      <c r="AM741" t="s">
        <v>1497</v>
      </c>
      <c r="AN741" t="s">
        <v>1498</v>
      </c>
      <c r="AO741" t="s">
        <v>1519</v>
      </c>
      <c r="AP741" t="s">
        <v>1520</v>
      </c>
      <c r="AQ741" t="s">
        <v>74</v>
      </c>
      <c r="AR741" t="s">
        <v>1521</v>
      </c>
      <c r="AS741" t="s">
        <v>1522</v>
      </c>
      <c r="AT741" t="s">
        <v>14159</v>
      </c>
      <c r="AU741">
        <v>2021</v>
      </c>
      <c r="AV741">
        <v>48</v>
      </c>
      <c r="AW741">
        <v>7</v>
      </c>
      <c r="AX741" t="s">
        <v>74</v>
      </c>
      <c r="AY741" t="s">
        <v>74</v>
      </c>
      <c r="AZ741" t="s">
        <v>74</v>
      </c>
      <c r="BA741" t="s">
        <v>74</v>
      </c>
      <c r="BB741">
        <v>1060</v>
      </c>
      <c r="BC741">
        <v>1086</v>
      </c>
      <c r="BD741" t="s">
        <v>74</v>
      </c>
      <c r="BE741" t="s">
        <v>14160</v>
      </c>
      <c r="BF741" t="str">
        <f>HYPERLINK("http://dx.doi.org/10.1108/IJSE-11-2020-0747","http://dx.doi.org/10.1108/IJSE-11-2020-0747")</f>
        <v>http://dx.doi.org/10.1108/IJSE-11-2020-0747</v>
      </c>
      <c r="BG741" t="s">
        <v>74</v>
      </c>
      <c r="BH741" t="s">
        <v>443</v>
      </c>
      <c r="BI741">
        <v>27</v>
      </c>
      <c r="BJ741" t="s">
        <v>291</v>
      </c>
      <c r="BK741" t="s">
        <v>313</v>
      </c>
      <c r="BL741" t="s">
        <v>100</v>
      </c>
      <c r="BM741" t="s">
        <v>14161</v>
      </c>
      <c r="BN741" t="s">
        <v>74</v>
      </c>
      <c r="BO741" t="s">
        <v>74</v>
      </c>
      <c r="BP741" t="s">
        <v>74</v>
      </c>
      <c r="BQ741" t="s">
        <v>74</v>
      </c>
      <c r="BR741" t="s">
        <v>102</v>
      </c>
      <c r="BS741" t="s">
        <v>14162</v>
      </c>
      <c r="BT741" t="str">
        <f>HYPERLINK("https%3A%2F%2Fwww.webofscience.com%2Fwos%2Fwoscc%2Ffull-record%2FWOS:000644934700001","View Full Record in Web of Science")</f>
        <v>View Full Record in Web of Science</v>
      </c>
    </row>
    <row r="742" spans="1:72" x14ac:dyDescent="0.25">
      <c r="A742" t="s">
        <v>72</v>
      </c>
      <c r="B742" t="s">
        <v>14163</v>
      </c>
      <c r="C742" t="s">
        <v>74</v>
      </c>
      <c r="D742" t="s">
        <v>74</v>
      </c>
      <c r="E742" t="s">
        <v>74</v>
      </c>
      <c r="F742" t="s">
        <v>14164</v>
      </c>
      <c r="G742" t="s">
        <v>74</v>
      </c>
      <c r="H742" t="s">
        <v>74</v>
      </c>
      <c r="I742" t="s">
        <v>14165</v>
      </c>
      <c r="J742" t="s">
        <v>14166</v>
      </c>
      <c r="K742" t="s">
        <v>74</v>
      </c>
      <c r="L742" t="s">
        <v>74</v>
      </c>
      <c r="M742" t="s">
        <v>78</v>
      </c>
      <c r="N742" t="s">
        <v>1766</v>
      </c>
      <c r="O742" t="s">
        <v>74</v>
      </c>
      <c r="P742" t="s">
        <v>74</v>
      </c>
      <c r="Q742" t="s">
        <v>74</v>
      </c>
      <c r="R742" t="s">
        <v>74</v>
      </c>
      <c r="S742" t="s">
        <v>74</v>
      </c>
      <c r="T742" t="s">
        <v>14167</v>
      </c>
      <c r="U742" t="s">
        <v>74</v>
      </c>
      <c r="V742" t="s">
        <v>14168</v>
      </c>
      <c r="W742" t="s">
        <v>14169</v>
      </c>
      <c r="X742" t="s">
        <v>6027</v>
      </c>
      <c r="Y742" t="s">
        <v>14170</v>
      </c>
      <c r="Z742" t="s">
        <v>14171</v>
      </c>
      <c r="AA742" t="s">
        <v>74</v>
      </c>
      <c r="AB742" t="s">
        <v>74</v>
      </c>
      <c r="AC742" t="s">
        <v>74</v>
      </c>
      <c r="AD742" t="s">
        <v>74</v>
      </c>
      <c r="AE742" t="s">
        <v>74</v>
      </c>
      <c r="AF742" t="s">
        <v>74</v>
      </c>
      <c r="AG742">
        <v>51</v>
      </c>
      <c r="AH742">
        <v>27</v>
      </c>
      <c r="AI742">
        <v>42</v>
      </c>
      <c r="AJ742">
        <v>47</v>
      </c>
      <c r="AK742">
        <v>103</v>
      </c>
      <c r="AL742" t="s">
        <v>6030</v>
      </c>
      <c r="AM742" t="s">
        <v>6031</v>
      </c>
      <c r="AN742" t="s">
        <v>14172</v>
      </c>
      <c r="AO742" t="s">
        <v>14173</v>
      </c>
      <c r="AP742" t="s">
        <v>14174</v>
      </c>
      <c r="AQ742" t="s">
        <v>74</v>
      </c>
      <c r="AR742" t="s">
        <v>14175</v>
      </c>
      <c r="AS742" t="s">
        <v>14176</v>
      </c>
      <c r="AT742" t="s">
        <v>74</v>
      </c>
      <c r="AU742">
        <v>2022</v>
      </c>
      <c r="AV742">
        <v>14</v>
      </c>
      <c r="AW742" t="s">
        <v>74</v>
      </c>
      <c r="AX742" t="s">
        <v>74</v>
      </c>
      <c r="AY742" t="s">
        <v>74</v>
      </c>
      <c r="AZ742" t="s">
        <v>74</v>
      </c>
      <c r="BA742" t="s">
        <v>74</v>
      </c>
      <c r="BB742">
        <v>117</v>
      </c>
      <c r="BC742">
        <v>135</v>
      </c>
      <c r="BD742" t="s">
        <v>74</v>
      </c>
      <c r="BE742" t="s">
        <v>14177</v>
      </c>
      <c r="BF742" t="str">
        <f>HYPERLINK("http://dx.doi.org/10.1146/annurev-financial-111621-101151","http://dx.doi.org/10.1146/annurev-financial-111621-101151")</f>
        <v>http://dx.doi.org/10.1146/annurev-financial-111621-101151</v>
      </c>
      <c r="BG742" t="s">
        <v>74</v>
      </c>
      <c r="BH742" t="s">
        <v>74</v>
      </c>
      <c r="BI742">
        <v>19</v>
      </c>
      <c r="BJ742" t="s">
        <v>210</v>
      </c>
      <c r="BK742" t="s">
        <v>99</v>
      </c>
      <c r="BL742" t="s">
        <v>100</v>
      </c>
      <c r="BM742" t="s">
        <v>14178</v>
      </c>
      <c r="BN742" t="s">
        <v>74</v>
      </c>
      <c r="BO742" t="s">
        <v>1205</v>
      </c>
      <c r="BP742" t="s">
        <v>74</v>
      </c>
      <c r="BQ742" t="s">
        <v>74</v>
      </c>
      <c r="BR742" t="s">
        <v>102</v>
      </c>
      <c r="BS742" t="s">
        <v>14179</v>
      </c>
      <c r="BT742" t="str">
        <f>HYPERLINK("https%3A%2F%2Fwww.webofscience.com%2Fwos%2Fwoscc%2Ffull-record%2FWOS:000878646900008","View Full Record in Web of Science")</f>
        <v>View Full Record in Web of Science</v>
      </c>
    </row>
    <row r="743" spans="1:72" x14ac:dyDescent="0.25">
      <c r="A743" t="s">
        <v>72</v>
      </c>
      <c r="B743" t="s">
        <v>14180</v>
      </c>
      <c r="C743" t="s">
        <v>74</v>
      </c>
      <c r="D743" t="s">
        <v>74</v>
      </c>
      <c r="E743" t="s">
        <v>74</v>
      </c>
      <c r="F743" t="s">
        <v>14181</v>
      </c>
      <c r="G743" t="s">
        <v>74</v>
      </c>
      <c r="H743" t="s">
        <v>74</v>
      </c>
      <c r="I743" t="s">
        <v>14182</v>
      </c>
      <c r="J743" t="s">
        <v>2943</v>
      </c>
      <c r="K743" t="s">
        <v>74</v>
      </c>
      <c r="L743" t="s">
        <v>74</v>
      </c>
      <c r="M743" t="s">
        <v>78</v>
      </c>
      <c r="N743" t="s">
        <v>79</v>
      </c>
      <c r="O743" t="s">
        <v>74</v>
      </c>
      <c r="P743" t="s">
        <v>74</v>
      </c>
      <c r="Q743" t="s">
        <v>74</v>
      </c>
      <c r="R743" t="s">
        <v>74</v>
      </c>
      <c r="S743" t="s">
        <v>74</v>
      </c>
      <c r="T743" t="s">
        <v>14183</v>
      </c>
      <c r="U743" t="s">
        <v>14184</v>
      </c>
      <c r="V743" t="s">
        <v>14185</v>
      </c>
      <c r="W743" t="s">
        <v>14186</v>
      </c>
      <c r="X743" t="s">
        <v>74</v>
      </c>
      <c r="Y743" t="s">
        <v>14187</v>
      </c>
      <c r="Z743" t="s">
        <v>14188</v>
      </c>
      <c r="AA743" t="s">
        <v>74</v>
      </c>
      <c r="AB743" t="s">
        <v>14189</v>
      </c>
      <c r="AC743" t="s">
        <v>74</v>
      </c>
      <c r="AD743" t="s">
        <v>74</v>
      </c>
      <c r="AE743" t="s">
        <v>74</v>
      </c>
      <c r="AF743" t="s">
        <v>74</v>
      </c>
      <c r="AG743">
        <v>103</v>
      </c>
      <c r="AH743">
        <v>15</v>
      </c>
      <c r="AI743">
        <v>23</v>
      </c>
      <c r="AJ743">
        <v>9</v>
      </c>
      <c r="AK743">
        <v>58</v>
      </c>
      <c r="AL743" t="s">
        <v>385</v>
      </c>
      <c r="AM743" t="s">
        <v>151</v>
      </c>
      <c r="AN743" t="s">
        <v>386</v>
      </c>
      <c r="AO743" t="s">
        <v>2952</v>
      </c>
      <c r="AP743" t="s">
        <v>2953</v>
      </c>
      <c r="AQ743" t="s">
        <v>74</v>
      </c>
      <c r="AR743" t="s">
        <v>2954</v>
      </c>
      <c r="AS743" t="s">
        <v>2955</v>
      </c>
      <c r="AT743" t="s">
        <v>14190</v>
      </c>
      <c r="AU743">
        <v>2023</v>
      </c>
      <c r="AV743">
        <v>9</v>
      </c>
      <c r="AW743">
        <v>1</v>
      </c>
      <c r="AX743" t="s">
        <v>74</v>
      </c>
      <c r="AY743" t="s">
        <v>74</v>
      </c>
      <c r="AZ743" t="s">
        <v>74</v>
      </c>
      <c r="BA743" t="s">
        <v>74</v>
      </c>
      <c r="BB743" t="s">
        <v>74</v>
      </c>
      <c r="BC743" t="s">
        <v>74</v>
      </c>
      <c r="BD743">
        <v>17</v>
      </c>
      <c r="BE743" t="s">
        <v>14191</v>
      </c>
      <c r="BF743" t="str">
        <f>HYPERLINK("http://dx.doi.org/10.1186/s43093-023-00195-3","http://dx.doi.org/10.1186/s43093-023-00195-3")</f>
        <v>http://dx.doi.org/10.1186/s43093-023-00195-3</v>
      </c>
      <c r="BG743" t="s">
        <v>74</v>
      </c>
      <c r="BH743" t="s">
        <v>74</v>
      </c>
      <c r="BI743">
        <v>18</v>
      </c>
      <c r="BJ743" t="s">
        <v>418</v>
      </c>
      <c r="BK743" t="s">
        <v>313</v>
      </c>
      <c r="BL743" t="s">
        <v>100</v>
      </c>
      <c r="BM743" t="s">
        <v>14192</v>
      </c>
      <c r="BN743" t="s">
        <v>74</v>
      </c>
      <c r="BO743" t="s">
        <v>916</v>
      </c>
      <c r="BP743" t="s">
        <v>74</v>
      </c>
      <c r="BQ743" t="s">
        <v>74</v>
      </c>
      <c r="BR743" t="s">
        <v>102</v>
      </c>
      <c r="BS743" t="s">
        <v>14193</v>
      </c>
      <c r="BT743" t="str">
        <f>HYPERLINK("https%3A%2F%2Fwww.webofscience.com%2Fwos%2Fwoscc%2Ffull-record%2FWOS:000970969300001","View Full Record in Web of Science")</f>
        <v>View Full Record in Web of Science</v>
      </c>
    </row>
    <row r="744" spans="1:72" x14ac:dyDescent="0.25">
      <c r="A744" t="s">
        <v>72</v>
      </c>
      <c r="B744" t="s">
        <v>14194</v>
      </c>
      <c r="C744" t="s">
        <v>74</v>
      </c>
      <c r="D744" t="s">
        <v>74</v>
      </c>
      <c r="E744" t="s">
        <v>74</v>
      </c>
      <c r="F744" t="s">
        <v>14195</v>
      </c>
      <c r="G744" t="s">
        <v>74</v>
      </c>
      <c r="H744" t="s">
        <v>74</v>
      </c>
      <c r="I744" t="s">
        <v>14196</v>
      </c>
      <c r="J744" t="s">
        <v>13671</v>
      </c>
      <c r="K744" t="s">
        <v>74</v>
      </c>
      <c r="L744" t="s">
        <v>74</v>
      </c>
      <c r="M744" t="s">
        <v>78</v>
      </c>
      <c r="N744" t="s">
        <v>79</v>
      </c>
      <c r="O744" t="s">
        <v>74</v>
      </c>
      <c r="P744" t="s">
        <v>74</v>
      </c>
      <c r="Q744" t="s">
        <v>74</v>
      </c>
      <c r="R744" t="s">
        <v>74</v>
      </c>
      <c r="S744" t="s">
        <v>74</v>
      </c>
      <c r="T744" t="s">
        <v>14197</v>
      </c>
      <c r="U744" t="s">
        <v>74</v>
      </c>
      <c r="V744" t="s">
        <v>14198</v>
      </c>
      <c r="W744" t="s">
        <v>14199</v>
      </c>
      <c r="X744" t="s">
        <v>14200</v>
      </c>
      <c r="Y744" t="s">
        <v>14201</v>
      </c>
      <c r="Z744" t="s">
        <v>14202</v>
      </c>
      <c r="AA744" t="s">
        <v>14203</v>
      </c>
      <c r="AB744" t="s">
        <v>14204</v>
      </c>
      <c r="AC744" t="s">
        <v>74</v>
      </c>
      <c r="AD744" t="s">
        <v>74</v>
      </c>
      <c r="AE744" t="s">
        <v>74</v>
      </c>
      <c r="AF744" t="s">
        <v>74</v>
      </c>
      <c r="AG744">
        <v>71</v>
      </c>
      <c r="AH744">
        <v>0</v>
      </c>
      <c r="AI744">
        <v>1</v>
      </c>
      <c r="AJ744">
        <v>5</v>
      </c>
      <c r="AK744">
        <v>9</v>
      </c>
      <c r="AL744" t="s">
        <v>4605</v>
      </c>
      <c r="AM744" t="s">
        <v>4280</v>
      </c>
      <c r="AN744" t="s">
        <v>4606</v>
      </c>
      <c r="AO744" t="s">
        <v>13683</v>
      </c>
      <c r="AP744" t="s">
        <v>13684</v>
      </c>
      <c r="AQ744" t="s">
        <v>74</v>
      </c>
      <c r="AR744" t="s">
        <v>13685</v>
      </c>
      <c r="AS744" t="s">
        <v>13686</v>
      </c>
      <c r="AT744" t="s">
        <v>2487</v>
      </c>
      <c r="AU744">
        <v>2025</v>
      </c>
      <c r="AV744">
        <v>14</v>
      </c>
      <c r="AW744">
        <v>1</v>
      </c>
      <c r="AX744" t="s">
        <v>74</v>
      </c>
      <c r="AY744" t="s">
        <v>74</v>
      </c>
      <c r="AZ744" t="s">
        <v>74</v>
      </c>
      <c r="BA744" t="s">
        <v>74</v>
      </c>
      <c r="BB744">
        <v>95</v>
      </c>
      <c r="BC744">
        <v>119</v>
      </c>
      <c r="BD744" t="s">
        <v>74</v>
      </c>
      <c r="BE744" t="s">
        <v>14205</v>
      </c>
      <c r="BF744" t="str">
        <f>HYPERLINK("http://dx.doi.org/10.2478/jcbtp-2025-0006","http://dx.doi.org/10.2478/jcbtp-2025-0006")</f>
        <v>http://dx.doi.org/10.2478/jcbtp-2025-0006</v>
      </c>
      <c r="BG744" t="s">
        <v>74</v>
      </c>
      <c r="BH744" t="s">
        <v>74</v>
      </c>
      <c r="BI744">
        <v>25</v>
      </c>
      <c r="BJ744" t="s">
        <v>268</v>
      </c>
      <c r="BK744" t="s">
        <v>313</v>
      </c>
      <c r="BL744" t="s">
        <v>100</v>
      </c>
      <c r="BM744" t="s">
        <v>14206</v>
      </c>
      <c r="BN744" t="s">
        <v>74</v>
      </c>
      <c r="BO744" t="s">
        <v>10768</v>
      </c>
      <c r="BP744" t="s">
        <v>74</v>
      </c>
      <c r="BQ744" t="s">
        <v>74</v>
      </c>
      <c r="BR744" t="s">
        <v>102</v>
      </c>
      <c r="BS744" t="s">
        <v>14207</v>
      </c>
      <c r="BT744" t="str">
        <f>HYPERLINK("https%3A%2F%2Fwww.webofscience.com%2Fwos%2Fwoscc%2Ffull-record%2FWOS:001400694200010","View Full Record in Web of Science")</f>
        <v>View Full Record in Web of Science</v>
      </c>
    </row>
    <row r="745" spans="1:72" x14ac:dyDescent="0.25">
      <c r="A745" t="s">
        <v>72</v>
      </c>
      <c r="B745" t="s">
        <v>14208</v>
      </c>
      <c r="C745" t="s">
        <v>74</v>
      </c>
      <c r="D745" t="s">
        <v>74</v>
      </c>
      <c r="E745" t="s">
        <v>74</v>
      </c>
      <c r="F745" t="s">
        <v>14209</v>
      </c>
      <c r="G745" t="s">
        <v>74</v>
      </c>
      <c r="H745" t="s">
        <v>74</v>
      </c>
      <c r="I745" t="s">
        <v>14210</v>
      </c>
      <c r="J745" t="s">
        <v>3397</v>
      </c>
      <c r="K745" t="s">
        <v>74</v>
      </c>
      <c r="L745" t="s">
        <v>74</v>
      </c>
      <c r="M745" t="s">
        <v>78</v>
      </c>
      <c r="N745" t="s">
        <v>79</v>
      </c>
      <c r="O745" t="s">
        <v>74</v>
      </c>
      <c r="P745" t="s">
        <v>74</v>
      </c>
      <c r="Q745" t="s">
        <v>74</v>
      </c>
      <c r="R745" t="s">
        <v>74</v>
      </c>
      <c r="S745" t="s">
        <v>74</v>
      </c>
      <c r="T745" t="s">
        <v>14211</v>
      </c>
      <c r="U745" t="s">
        <v>14212</v>
      </c>
      <c r="V745" t="s">
        <v>14213</v>
      </c>
      <c r="W745" t="s">
        <v>14214</v>
      </c>
      <c r="X745" t="s">
        <v>14215</v>
      </c>
      <c r="Y745" t="s">
        <v>14216</v>
      </c>
      <c r="Z745" t="s">
        <v>14217</v>
      </c>
      <c r="AA745" t="s">
        <v>14218</v>
      </c>
      <c r="AB745" t="s">
        <v>74</v>
      </c>
      <c r="AC745" t="s">
        <v>14219</v>
      </c>
      <c r="AD745" t="s">
        <v>14220</v>
      </c>
      <c r="AE745" t="s">
        <v>14221</v>
      </c>
      <c r="AF745" t="s">
        <v>74</v>
      </c>
      <c r="AG745">
        <v>43</v>
      </c>
      <c r="AH745">
        <v>41</v>
      </c>
      <c r="AI745">
        <v>43</v>
      </c>
      <c r="AJ745">
        <v>11</v>
      </c>
      <c r="AK745">
        <v>90</v>
      </c>
      <c r="AL745" t="s">
        <v>201</v>
      </c>
      <c r="AM745" t="s">
        <v>202</v>
      </c>
      <c r="AN745" t="s">
        <v>203</v>
      </c>
      <c r="AO745" t="s">
        <v>3406</v>
      </c>
      <c r="AP745" t="s">
        <v>3407</v>
      </c>
      <c r="AQ745" t="s">
        <v>74</v>
      </c>
      <c r="AR745" t="s">
        <v>3408</v>
      </c>
      <c r="AS745" t="s">
        <v>3409</v>
      </c>
      <c r="AT745" t="s">
        <v>698</v>
      </c>
      <c r="AU745">
        <v>2023</v>
      </c>
      <c r="AV745">
        <v>80</v>
      </c>
      <c r="AW745" t="s">
        <v>74</v>
      </c>
      <c r="AX745" t="s">
        <v>74</v>
      </c>
      <c r="AY745" t="s">
        <v>74</v>
      </c>
      <c r="AZ745" t="s">
        <v>74</v>
      </c>
      <c r="BA745" t="s">
        <v>74</v>
      </c>
      <c r="BB745" t="s">
        <v>74</v>
      </c>
      <c r="BC745" t="s">
        <v>74</v>
      </c>
      <c r="BD745">
        <v>102076</v>
      </c>
      <c r="BE745" t="s">
        <v>14222</v>
      </c>
      <c r="BF745" t="str">
        <f>HYPERLINK("http://dx.doi.org/10.1016/j.pacfin.2023.102076","http://dx.doi.org/10.1016/j.pacfin.2023.102076")</f>
        <v>http://dx.doi.org/10.1016/j.pacfin.2023.102076</v>
      </c>
      <c r="BG745" t="s">
        <v>74</v>
      </c>
      <c r="BH745" t="s">
        <v>13995</v>
      </c>
      <c r="BI745">
        <v>17</v>
      </c>
      <c r="BJ745" t="s">
        <v>268</v>
      </c>
      <c r="BK745" t="s">
        <v>99</v>
      </c>
      <c r="BL745" t="s">
        <v>100</v>
      </c>
      <c r="BM745" t="s">
        <v>14223</v>
      </c>
      <c r="BN745" t="s">
        <v>74</v>
      </c>
      <c r="BO745" t="s">
        <v>74</v>
      </c>
      <c r="BP745" t="s">
        <v>74</v>
      </c>
      <c r="BQ745" t="s">
        <v>74</v>
      </c>
      <c r="BR745" t="s">
        <v>102</v>
      </c>
      <c r="BS745" t="s">
        <v>14224</v>
      </c>
      <c r="BT745" t="str">
        <f>HYPERLINK("https%3A%2F%2Fwww.webofscience.com%2Fwos%2Fwoscc%2Ffull-record%2FWOS:001032572900001","View Full Record in Web of Science")</f>
        <v>View Full Record in Web of Science</v>
      </c>
    </row>
    <row r="746" spans="1:72" x14ac:dyDescent="0.25">
      <c r="A746" t="s">
        <v>72</v>
      </c>
      <c r="B746" t="s">
        <v>14225</v>
      </c>
      <c r="C746" t="s">
        <v>74</v>
      </c>
      <c r="D746" t="s">
        <v>74</v>
      </c>
      <c r="E746" t="s">
        <v>74</v>
      </c>
      <c r="F746" t="s">
        <v>14226</v>
      </c>
      <c r="G746" t="s">
        <v>74</v>
      </c>
      <c r="H746" t="s">
        <v>74</v>
      </c>
      <c r="I746" t="s">
        <v>14227</v>
      </c>
      <c r="J746" t="s">
        <v>14228</v>
      </c>
      <c r="K746" t="s">
        <v>74</v>
      </c>
      <c r="L746" t="s">
        <v>74</v>
      </c>
      <c r="M746" t="s">
        <v>78</v>
      </c>
      <c r="N746" t="s">
        <v>79</v>
      </c>
      <c r="O746" t="s">
        <v>74</v>
      </c>
      <c r="P746" t="s">
        <v>74</v>
      </c>
      <c r="Q746" t="s">
        <v>74</v>
      </c>
      <c r="R746" t="s">
        <v>74</v>
      </c>
      <c r="S746" t="s">
        <v>74</v>
      </c>
      <c r="T746" t="s">
        <v>14229</v>
      </c>
      <c r="U746" t="s">
        <v>74</v>
      </c>
      <c r="V746" t="s">
        <v>14230</v>
      </c>
      <c r="W746" t="s">
        <v>14231</v>
      </c>
      <c r="X746" t="s">
        <v>14232</v>
      </c>
      <c r="Y746" t="s">
        <v>14233</v>
      </c>
      <c r="Z746" t="s">
        <v>14234</v>
      </c>
      <c r="AA746" t="s">
        <v>14235</v>
      </c>
      <c r="AB746" t="s">
        <v>14236</v>
      </c>
      <c r="AC746" t="s">
        <v>74</v>
      </c>
      <c r="AD746" t="s">
        <v>74</v>
      </c>
      <c r="AE746" t="s">
        <v>74</v>
      </c>
      <c r="AF746" t="s">
        <v>74</v>
      </c>
      <c r="AG746">
        <v>10</v>
      </c>
      <c r="AH746">
        <v>46</v>
      </c>
      <c r="AI746">
        <v>50</v>
      </c>
      <c r="AJ746">
        <v>13</v>
      </c>
      <c r="AK746">
        <v>312</v>
      </c>
      <c r="AL746" t="s">
        <v>332</v>
      </c>
      <c r="AM746" t="s">
        <v>333</v>
      </c>
      <c r="AN746" t="s">
        <v>334</v>
      </c>
      <c r="AO746" t="s">
        <v>14237</v>
      </c>
      <c r="AP746" t="s">
        <v>14238</v>
      </c>
      <c r="AQ746" t="s">
        <v>74</v>
      </c>
      <c r="AR746" t="s">
        <v>14239</v>
      </c>
      <c r="AS746" t="s">
        <v>14240</v>
      </c>
      <c r="AT746" t="s">
        <v>14241</v>
      </c>
      <c r="AU746">
        <v>2021</v>
      </c>
      <c r="AV746">
        <v>28</v>
      </c>
      <c r="AW746">
        <v>20</v>
      </c>
      <c r="AX746" t="s">
        <v>74</v>
      </c>
      <c r="AY746" t="s">
        <v>74</v>
      </c>
      <c r="AZ746" t="s">
        <v>74</v>
      </c>
      <c r="BA746" t="s">
        <v>74</v>
      </c>
      <c r="BB746">
        <v>1738</v>
      </c>
      <c r="BC746">
        <v>1743</v>
      </c>
      <c r="BD746" t="s">
        <v>74</v>
      </c>
      <c r="BE746" t="s">
        <v>14242</v>
      </c>
      <c r="BF746" t="str">
        <f>HYPERLINK("http://dx.doi.org/10.1080/13504851.2020.1853663","http://dx.doi.org/10.1080/13504851.2020.1853663")</f>
        <v>http://dx.doi.org/10.1080/13504851.2020.1853663</v>
      </c>
      <c r="BG746" t="s">
        <v>74</v>
      </c>
      <c r="BH746" t="s">
        <v>7236</v>
      </c>
      <c r="BI746">
        <v>6</v>
      </c>
      <c r="BJ746" t="s">
        <v>291</v>
      </c>
      <c r="BK746" t="s">
        <v>99</v>
      </c>
      <c r="BL746" t="s">
        <v>100</v>
      </c>
      <c r="BM746" t="s">
        <v>14243</v>
      </c>
      <c r="BN746" t="s">
        <v>74</v>
      </c>
      <c r="BO746" t="s">
        <v>74</v>
      </c>
      <c r="BP746" t="s">
        <v>74</v>
      </c>
      <c r="BQ746" t="s">
        <v>74</v>
      </c>
      <c r="BR746" t="s">
        <v>102</v>
      </c>
      <c r="BS746" t="s">
        <v>14244</v>
      </c>
      <c r="BT746" t="str">
        <f>HYPERLINK("https%3A%2F%2Fwww.webofscience.com%2Fwos%2Fwoscc%2Ffull-record%2FWOS:000596634500001","View Full Record in Web of Science")</f>
        <v>View Full Record in Web of Science</v>
      </c>
    </row>
    <row r="747" spans="1:72" x14ac:dyDescent="0.25">
      <c r="A747" t="s">
        <v>72</v>
      </c>
      <c r="B747" t="s">
        <v>14245</v>
      </c>
      <c r="C747" t="s">
        <v>74</v>
      </c>
      <c r="D747" t="s">
        <v>74</v>
      </c>
      <c r="E747" t="s">
        <v>74</v>
      </c>
      <c r="F747" t="s">
        <v>14246</v>
      </c>
      <c r="G747" t="s">
        <v>74</v>
      </c>
      <c r="H747" t="s">
        <v>74</v>
      </c>
      <c r="I747" t="s">
        <v>14247</v>
      </c>
      <c r="J747" t="s">
        <v>3231</v>
      </c>
      <c r="K747" t="s">
        <v>74</v>
      </c>
      <c r="L747" t="s">
        <v>74</v>
      </c>
      <c r="M747" t="s">
        <v>78</v>
      </c>
      <c r="N747" t="s">
        <v>79</v>
      </c>
      <c r="O747" t="s">
        <v>74</v>
      </c>
      <c r="P747" t="s">
        <v>74</v>
      </c>
      <c r="Q747" t="s">
        <v>74</v>
      </c>
      <c r="R747" t="s">
        <v>74</v>
      </c>
      <c r="S747" t="s">
        <v>74</v>
      </c>
      <c r="T747" t="s">
        <v>14248</v>
      </c>
      <c r="U747" t="s">
        <v>14249</v>
      </c>
      <c r="V747" t="s">
        <v>14250</v>
      </c>
      <c r="W747" t="s">
        <v>14251</v>
      </c>
      <c r="X747" t="s">
        <v>14252</v>
      </c>
      <c r="Y747" t="s">
        <v>14253</v>
      </c>
      <c r="Z747" t="s">
        <v>14254</v>
      </c>
      <c r="AA747" t="s">
        <v>14255</v>
      </c>
      <c r="AB747" t="s">
        <v>74</v>
      </c>
      <c r="AC747" t="s">
        <v>74</v>
      </c>
      <c r="AD747" t="s">
        <v>74</v>
      </c>
      <c r="AE747" t="s">
        <v>74</v>
      </c>
      <c r="AF747" t="s">
        <v>74</v>
      </c>
      <c r="AG747">
        <v>129</v>
      </c>
      <c r="AH747">
        <v>0</v>
      </c>
      <c r="AI747">
        <v>0</v>
      </c>
      <c r="AJ747">
        <v>6</v>
      </c>
      <c r="AK747">
        <v>6</v>
      </c>
      <c r="AL747" t="s">
        <v>575</v>
      </c>
      <c r="AM747" t="s">
        <v>576</v>
      </c>
      <c r="AN747" t="s">
        <v>577</v>
      </c>
      <c r="AO747" t="s">
        <v>74</v>
      </c>
      <c r="AP747" t="s">
        <v>3243</v>
      </c>
      <c r="AQ747" t="s">
        <v>74</v>
      </c>
      <c r="AR747" t="s">
        <v>3244</v>
      </c>
      <c r="AS747" t="s">
        <v>3245</v>
      </c>
      <c r="AT747" t="s">
        <v>2326</v>
      </c>
      <c r="AU747">
        <v>2025</v>
      </c>
      <c r="AV747">
        <v>17</v>
      </c>
      <c r="AW747">
        <v>23</v>
      </c>
      <c r="AX747" t="s">
        <v>74</v>
      </c>
      <c r="AY747" t="s">
        <v>74</v>
      </c>
      <c r="AZ747" t="s">
        <v>74</v>
      </c>
      <c r="BA747" t="s">
        <v>74</v>
      </c>
      <c r="BB747" t="s">
        <v>74</v>
      </c>
      <c r="BC747" t="s">
        <v>74</v>
      </c>
      <c r="BD747">
        <v>10799</v>
      </c>
      <c r="BE747" t="s">
        <v>14256</v>
      </c>
      <c r="BF747" t="str">
        <f>HYPERLINK("http://dx.doi.org/10.3390/su172310799","http://dx.doi.org/10.3390/su172310799")</f>
        <v>http://dx.doi.org/10.3390/su172310799</v>
      </c>
      <c r="BG747" t="s">
        <v>74</v>
      </c>
      <c r="BH747" t="s">
        <v>74</v>
      </c>
      <c r="BI747">
        <v>32</v>
      </c>
      <c r="BJ747" t="s">
        <v>3247</v>
      </c>
      <c r="BK747" t="s">
        <v>2623</v>
      </c>
      <c r="BL747" t="s">
        <v>3248</v>
      </c>
      <c r="BM747" t="s">
        <v>14257</v>
      </c>
      <c r="BN747" t="s">
        <v>74</v>
      </c>
      <c r="BO747" t="s">
        <v>212</v>
      </c>
      <c r="BP747" t="s">
        <v>74</v>
      </c>
      <c r="BQ747" t="s">
        <v>74</v>
      </c>
      <c r="BR747" t="s">
        <v>102</v>
      </c>
      <c r="BS747" t="s">
        <v>14258</v>
      </c>
      <c r="BT747" t="str">
        <f>HYPERLINK("https%3A%2F%2Fwww.webofscience.com%2Fwos%2Fwoscc%2Ffull-record%2FWOS:001635345400001","View Full Record in Web of Science")</f>
        <v>View Full Record in Web of Science</v>
      </c>
    </row>
    <row r="748" spans="1:72" x14ac:dyDescent="0.25">
      <c r="A748" t="s">
        <v>72</v>
      </c>
      <c r="B748" t="s">
        <v>14259</v>
      </c>
      <c r="C748" t="s">
        <v>74</v>
      </c>
      <c r="D748" t="s">
        <v>74</v>
      </c>
      <c r="E748" t="s">
        <v>74</v>
      </c>
      <c r="F748" t="s">
        <v>14260</v>
      </c>
      <c r="G748" t="s">
        <v>74</v>
      </c>
      <c r="H748" t="s">
        <v>74</v>
      </c>
      <c r="I748" t="s">
        <v>14261</v>
      </c>
      <c r="J748" t="s">
        <v>14166</v>
      </c>
      <c r="K748" t="s">
        <v>74</v>
      </c>
      <c r="L748" t="s">
        <v>74</v>
      </c>
      <c r="M748" t="s">
        <v>78</v>
      </c>
      <c r="N748" t="s">
        <v>1766</v>
      </c>
      <c r="O748" t="s">
        <v>74</v>
      </c>
      <c r="P748" t="s">
        <v>74</v>
      </c>
      <c r="Q748" t="s">
        <v>74</v>
      </c>
      <c r="R748" t="s">
        <v>74</v>
      </c>
      <c r="S748" t="s">
        <v>74</v>
      </c>
      <c r="T748" t="s">
        <v>14262</v>
      </c>
      <c r="U748" t="s">
        <v>14263</v>
      </c>
      <c r="V748" t="s">
        <v>14264</v>
      </c>
      <c r="W748" t="s">
        <v>14265</v>
      </c>
      <c r="X748" t="s">
        <v>14266</v>
      </c>
      <c r="Y748" t="s">
        <v>14267</v>
      </c>
      <c r="Z748" t="s">
        <v>14268</v>
      </c>
      <c r="AA748" t="s">
        <v>74</v>
      </c>
      <c r="AB748" t="s">
        <v>74</v>
      </c>
      <c r="AC748" t="s">
        <v>74</v>
      </c>
      <c r="AD748" t="s">
        <v>74</v>
      </c>
      <c r="AE748" t="s">
        <v>74</v>
      </c>
      <c r="AF748" t="s">
        <v>74</v>
      </c>
      <c r="AG748">
        <v>96</v>
      </c>
      <c r="AH748">
        <v>4</v>
      </c>
      <c r="AI748">
        <v>8</v>
      </c>
      <c r="AJ748">
        <v>27</v>
      </c>
      <c r="AK748">
        <v>47</v>
      </c>
      <c r="AL748" t="s">
        <v>6030</v>
      </c>
      <c r="AM748" t="s">
        <v>6031</v>
      </c>
      <c r="AN748" t="s">
        <v>14172</v>
      </c>
      <c r="AO748" t="s">
        <v>14173</v>
      </c>
      <c r="AP748" t="s">
        <v>14174</v>
      </c>
      <c r="AQ748" t="s">
        <v>74</v>
      </c>
      <c r="AR748" t="s">
        <v>14175</v>
      </c>
      <c r="AS748" t="s">
        <v>14176</v>
      </c>
      <c r="AT748" t="s">
        <v>74</v>
      </c>
      <c r="AU748">
        <v>2024</v>
      </c>
      <c r="AV748">
        <v>16</v>
      </c>
      <c r="AW748" t="s">
        <v>74</v>
      </c>
      <c r="AX748" t="s">
        <v>74</v>
      </c>
      <c r="AY748" t="s">
        <v>74</v>
      </c>
      <c r="AZ748" t="s">
        <v>74</v>
      </c>
      <c r="BA748" t="s">
        <v>74</v>
      </c>
      <c r="BB748">
        <v>207</v>
      </c>
      <c r="BC748">
        <v>232</v>
      </c>
      <c r="BD748" t="s">
        <v>74</v>
      </c>
      <c r="BE748" t="s">
        <v>14269</v>
      </c>
      <c r="BF748" t="str">
        <f>HYPERLINK("http://dx.doi.org/10.1146/annurev-financial-082123-105958","http://dx.doi.org/10.1146/annurev-financial-082123-105958")</f>
        <v>http://dx.doi.org/10.1146/annurev-financial-082123-105958</v>
      </c>
      <c r="BG748" t="s">
        <v>74</v>
      </c>
      <c r="BH748" t="s">
        <v>74</v>
      </c>
      <c r="BI748">
        <v>26</v>
      </c>
      <c r="BJ748" t="s">
        <v>210</v>
      </c>
      <c r="BK748" t="s">
        <v>99</v>
      </c>
      <c r="BL748" t="s">
        <v>100</v>
      </c>
      <c r="BM748" t="s">
        <v>14270</v>
      </c>
      <c r="BN748" t="s">
        <v>74</v>
      </c>
      <c r="BO748" t="s">
        <v>270</v>
      </c>
      <c r="BP748" t="s">
        <v>74</v>
      </c>
      <c r="BQ748" t="s">
        <v>74</v>
      </c>
      <c r="BR748" t="s">
        <v>102</v>
      </c>
      <c r="BS748" t="s">
        <v>14271</v>
      </c>
      <c r="BT748" t="str">
        <f>HYPERLINK("https%3A%2F%2Fwww.webofscience.com%2Fwos%2Fwoscc%2Ffull-record%2FWOS:001349328500009","View Full Record in Web of Science")</f>
        <v>View Full Record in Web of Science</v>
      </c>
    </row>
    <row r="749" spans="1:72" x14ac:dyDescent="0.25">
      <c r="A749" t="s">
        <v>72</v>
      </c>
      <c r="B749" t="s">
        <v>14272</v>
      </c>
      <c r="C749" t="s">
        <v>74</v>
      </c>
      <c r="D749" t="s">
        <v>74</v>
      </c>
      <c r="E749" t="s">
        <v>74</v>
      </c>
      <c r="F749" t="s">
        <v>14273</v>
      </c>
      <c r="G749" t="s">
        <v>74</v>
      </c>
      <c r="H749" t="s">
        <v>74</v>
      </c>
      <c r="I749" t="s">
        <v>14274</v>
      </c>
      <c r="J749" t="s">
        <v>14275</v>
      </c>
      <c r="K749" t="s">
        <v>74</v>
      </c>
      <c r="L749" t="s">
        <v>74</v>
      </c>
      <c r="M749" t="s">
        <v>78</v>
      </c>
      <c r="N749" t="s">
        <v>79</v>
      </c>
      <c r="O749" t="s">
        <v>74</v>
      </c>
      <c r="P749" t="s">
        <v>74</v>
      </c>
      <c r="Q749" t="s">
        <v>74</v>
      </c>
      <c r="R749" t="s">
        <v>74</v>
      </c>
      <c r="S749" t="s">
        <v>74</v>
      </c>
      <c r="T749" t="s">
        <v>74</v>
      </c>
      <c r="U749" t="s">
        <v>74</v>
      </c>
      <c r="V749" t="s">
        <v>14276</v>
      </c>
      <c r="W749" t="s">
        <v>14277</v>
      </c>
      <c r="X749" t="s">
        <v>6005</v>
      </c>
      <c r="Y749" t="s">
        <v>14278</v>
      </c>
      <c r="Z749" t="s">
        <v>14279</v>
      </c>
      <c r="AA749" t="s">
        <v>14280</v>
      </c>
      <c r="AB749" t="s">
        <v>14281</v>
      </c>
      <c r="AC749" t="s">
        <v>74</v>
      </c>
      <c r="AD749" t="s">
        <v>74</v>
      </c>
      <c r="AE749" t="s">
        <v>74</v>
      </c>
      <c r="AF749" t="s">
        <v>74</v>
      </c>
      <c r="AG749">
        <v>42</v>
      </c>
      <c r="AH749">
        <v>2</v>
      </c>
      <c r="AI749">
        <v>6</v>
      </c>
      <c r="AJ749">
        <v>2</v>
      </c>
      <c r="AK749">
        <v>16</v>
      </c>
      <c r="AL749" t="s">
        <v>332</v>
      </c>
      <c r="AM749" t="s">
        <v>333</v>
      </c>
      <c r="AN749" t="s">
        <v>334</v>
      </c>
      <c r="AO749" t="s">
        <v>14282</v>
      </c>
      <c r="AP749" t="s">
        <v>14283</v>
      </c>
      <c r="AQ749" t="s">
        <v>74</v>
      </c>
      <c r="AR749" t="s">
        <v>14284</v>
      </c>
      <c r="AS749" t="s">
        <v>14285</v>
      </c>
      <c r="AT749" t="s">
        <v>74</v>
      </c>
      <c r="AU749">
        <v>2019</v>
      </c>
      <c r="AV749">
        <v>18</v>
      </c>
      <c r="AW749">
        <v>1</v>
      </c>
      <c r="AX749" t="s">
        <v>74</v>
      </c>
      <c r="AY749" t="s">
        <v>74</v>
      </c>
      <c r="AZ749" t="s">
        <v>441</v>
      </c>
      <c r="BA749" t="s">
        <v>74</v>
      </c>
      <c r="BB749">
        <v>88</v>
      </c>
      <c r="BC749">
        <v>111</v>
      </c>
      <c r="BD749" t="s">
        <v>74</v>
      </c>
      <c r="BE749" t="s">
        <v>14286</v>
      </c>
      <c r="BF749" t="str">
        <f>HYPERLINK("http://dx.doi.org/10.1080/14736489.2019.1576988","http://dx.doi.org/10.1080/14736489.2019.1576988")</f>
        <v>http://dx.doi.org/10.1080/14736489.2019.1576988</v>
      </c>
      <c r="BG749" t="s">
        <v>74</v>
      </c>
      <c r="BH749" t="s">
        <v>74</v>
      </c>
      <c r="BI749">
        <v>24</v>
      </c>
      <c r="BJ749" t="s">
        <v>1674</v>
      </c>
      <c r="BK749" t="s">
        <v>99</v>
      </c>
      <c r="BL749" t="s">
        <v>1674</v>
      </c>
      <c r="BM749" t="s">
        <v>14287</v>
      </c>
      <c r="BN749" t="s">
        <v>74</v>
      </c>
      <c r="BO749" t="s">
        <v>74</v>
      </c>
      <c r="BP749" t="s">
        <v>74</v>
      </c>
      <c r="BQ749" t="s">
        <v>74</v>
      </c>
      <c r="BR749" t="s">
        <v>102</v>
      </c>
      <c r="BS749" t="s">
        <v>14288</v>
      </c>
      <c r="BT749" t="str">
        <f>HYPERLINK("https%3A%2F%2Fwww.webofscience.com%2Fwos%2Fwoscc%2Ffull-record%2FWOS:000470268000005","View Full Record in Web of Science")</f>
        <v>View Full Record in Web of Science</v>
      </c>
    </row>
    <row r="750" spans="1:72" x14ac:dyDescent="0.25">
      <c r="A750" t="s">
        <v>72</v>
      </c>
      <c r="B750" t="s">
        <v>14289</v>
      </c>
      <c r="C750" t="s">
        <v>74</v>
      </c>
      <c r="D750" t="s">
        <v>74</v>
      </c>
      <c r="E750" t="s">
        <v>74</v>
      </c>
      <c r="F750" t="s">
        <v>14290</v>
      </c>
      <c r="G750" t="s">
        <v>74</v>
      </c>
      <c r="H750" t="s">
        <v>74</v>
      </c>
      <c r="I750" t="s">
        <v>14291</v>
      </c>
      <c r="J750" t="s">
        <v>297</v>
      </c>
      <c r="K750" t="s">
        <v>74</v>
      </c>
      <c r="L750" t="s">
        <v>74</v>
      </c>
      <c r="M750" t="s">
        <v>298</v>
      </c>
      <c r="N750" t="s">
        <v>79</v>
      </c>
      <c r="O750" t="s">
        <v>74</v>
      </c>
      <c r="P750" t="s">
        <v>74</v>
      </c>
      <c r="Q750" t="s">
        <v>74</v>
      </c>
      <c r="R750" t="s">
        <v>74</v>
      </c>
      <c r="S750" t="s">
        <v>74</v>
      </c>
      <c r="T750" t="s">
        <v>14292</v>
      </c>
      <c r="U750" t="s">
        <v>14293</v>
      </c>
      <c r="V750" t="s">
        <v>14294</v>
      </c>
      <c r="W750" t="s">
        <v>14295</v>
      </c>
      <c r="X750" t="s">
        <v>14296</v>
      </c>
      <c r="Y750" t="s">
        <v>14297</v>
      </c>
      <c r="Z750" t="s">
        <v>14298</v>
      </c>
      <c r="AA750" t="s">
        <v>14299</v>
      </c>
      <c r="AB750" t="s">
        <v>14300</v>
      </c>
      <c r="AC750" t="s">
        <v>74</v>
      </c>
      <c r="AD750" t="s">
        <v>74</v>
      </c>
      <c r="AE750" t="s">
        <v>74</v>
      </c>
      <c r="AF750" t="s">
        <v>74</v>
      </c>
      <c r="AG750">
        <v>57</v>
      </c>
      <c r="AH750">
        <v>2</v>
      </c>
      <c r="AI750">
        <v>2</v>
      </c>
      <c r="AJ750">
        <v>1</v>
      </c>
      <c r="AK750">
        <v>13</v>
      </c>
      <c r="AL750" t="s">
        <v>14301</v>
      </c>
      <c r="AM750" t="s">
        <v>11717</v>
      </c>
      <c r="AN750" t="s">
        <v>14302</v>
      </c>
      <c r="AO750" t="s">
        <v>307</v>
      </c>
      <c r="AP750" t="s">
        <v>308</v>
      </c>
      <c r="AQ750" t="s">
        <v>74</v>
      </c>
      <c r="AR750" t="s">
        <v>309</v>
      </c>
      <c r="AS750" t="s">
        <v>310</v>
      </c>
      <c r="AT750" t="s">
        <v>311</v>
      </c>
      <c r="AU750">
        <v>2020</v>
      </c>
      <c r="AV750">
        <v>43</v>
      </c>
      <c r="AW750">
        <v>121</v>
      </c>
      <c r="AX750" t="s">
        <v>74</v>
      </c>
      <c r="AY750" t="s">
        <v>74</v>
      </c>
      <c r="AZ750" t="s">
        <v>74</v>
      </c>
      <c r="BA750" t="s">
        <v>74</v>
      </c>
      <c r="BB750">
        <v>1</v>
      </c>
      <c r="BC750">
        <v>16</v>
      </c>
      <c r="BD750" t="s">
        <v>74</v>
      </c>
      <c r="BE750" t="s">
        <v>14303</v>
      </c>
      <c r="BF750" t="str">
        <f>HYPERLINK("http://dx.doi.org/10.32826/cude.v43i121.107","http://dx.doi.org/10.32826/cude.v43i121.107")</f>
        <v>http://dx.doi.org/10.32826/cude.v43i121.107</v>
      </c>
      <c r="BG750" t="s">
        <v>74</v>
      </c>
      <c r="BH750" t="s">
        <v>74</v>
      </c>
      <c r="BI750">
        <v>16</v>
      </c>
      <c r="BJ750" t="s">
        <v>291</v>
      </c>
      <c r="BK750" t="s">
        <v>313</v>
      </c>
      <c r="BL750" t="s">
        <v>100</v>
      </c>
      <c r="BM750" t="s">
        <v>14304</v>
      </c>
      <c r="BN750" t="s">
        <v>74</v>
      </c>
      <c r="BO750" t="s">
        <v>270</v>
      </c>
      <c r="BP750" t="s">
        <v>74</v>
      </c>
      <c r="BQ750" t="s">
        <v>74</v>
      </c>
      <c r="BR750" t="s">
        <v>102</v>
      </c>
      <c r="BS750" t="s">
        <v>14305</v>
      </c>
      <c r="BT750" t="str">
        <f>HYPERLINK("https%3A%2F%2Fwww.webofscience.com%2Fwos%2Fwoscc%2Ffull-record%2FWOS:000498034300001","View Full Record in Web of Science")</f>
        <v>View Full Record in Web of Science</v>
      </c>
    </row>
    <row r="751" spans="1:72" x14ac:dyDescent="0.25">
      <c r="A751" t="s">
        <v>132</v>
      </c>
      <c r="B751" t="s">
        <v>14306</v>
      </c>
      <c r="C751" t="s">
        <v>74</v>
      </c>
      <c r="D751" t="s">
        <v>74</v>
      </c>
      <c r="E751" t="s">
        <v>74</v>
      </c>
      <c r="F751" t="s">
        <v>14307</v>
      </c>
      <c r="G751" t="s">
        <v>74</v>
      </c>
      <c r="H751" t="s">
        <v>74</v>
      </c>
      <c r="I751" t="s">
        <v>14308</v>
      </c>
      <c r="J751" t="s">
        <v>14309</v>
      </c>
      <c r="K751" t="s">
        <v>74</v>
      </c>
      <c r="L751" t="s">
        <v>74</v>
      </c>
      <c r="M751" t="s">
        <v>78</v>
      </c>
      <c r="N751" t="s">
        <v>138</v>
      </c>
      <c r="O751" t="s">
        <v>14310</v>
      </c>
      <c r="P751" t="s">
        <v>14311</v>
      </c>
      <c r="Q751" t="s">
        <v>14312</v>
      </c>
      <c r="R751" t="s">
        <v>14313</v>
      </c>
      <c r="S751" t="s">
        <v>74</v>
      </c>
      <c r="T751" t="s">
        <v>14314</v>
      </c>
      <c r="U751" t="s">
        <v>74</v>
      </c>
      <c r="V751" t="s">
        <v>14315</v>
      </c>
      <c r="W751" t="s">
        <v>14316</v>
      </c>
      <c r="X751" t="s">
        <v>14317</v>
      </c>
      <c r="Y751" t="s">
        <v>14318</v>
      </c>
      <c r="Z751" t="s">
        <v>14319</v>
      </c>
      <c r="AA751" t="s">
        <v>74</v>
      </c>
      <c r="AB751" t="s">
        <v>74</v>
      </c>
      <c r="AC751" t="s">
        <v>74</v>
      </c>
      <c r="AD751" t="s">
        <v>74</v>
      </c>
      <c r="AE751" t="s">
        <v>74</v>
      </c>
      <c r="AF751" t="s">
        <v>74</v>
      </c>
      <c r="AG751">
        <v>28</v>
      </c>
      <c r="AH751">
        <v>0</v>
      </c>
      <c r="AI751">
        <v>0</v>
      </c>
      <c r="AJ751">
        <v>3</v>
      </c>
      <c r="AK751">
        <v>23</v>
      </c>
      <c r="AL751" t="s">
        <v>14320</v>
      </c>
      <c r="AM751" t="s">
        <v>14321</v>
      </c>
      <c r="AN751" t="s">
        <v>14322</v>
      </c>
      <c r="AO751" t="s">
        <v>14323</v>
      </c>
      <c r="AP751" t="s">
        <v>74</v>
      </c>
      <c r="AQ751" t="s">
        <v>74</v>
      </c>
      <c r="AR751" t="s">
        <v>14324</v>
      </c>
      <c r="AS751" t="s">
        <v>14325</v>
      </c>
      <c r="AT751" t="s">
        <v>605</v>
      </c>
      <c r="AU751">
        <v>2024</v>
      </c>
      <c r="AV751">
        <v>9</v>
      </c>
      <c r="AW751" t="s">
        <v>74</v>
      </c>
      <c r="AX751" t="s">
        <v>74</v>
      </c>
      <c r="AY751">
        <v>19</v>
      </c>
      <c r="AZ751" t="s">
        <v>441</v>
      </c>
      <c r="BA751" t="s">
        <v>74</v>
      </c>
      <c r="BB751">
        <v>103</v>
      </c>
      <c r="BC751">
        <v>108</v>
      </c>
      <c r="BD751" t="s">
        <v>74</v>
      </c>
      <c r="BE751" t="s">
        <v>14326</v>
      </c>
      <c r="BF751" t="str">
        <f>HYPERLINK("http://dx.doi.org/10.21834/e-bpj.v9iSI%2019.5775","http://dx.doi.org/10.21834/e-bpj.v9iSI%2019.5775")</f>
        <v>http://dx.doi.org/10.21834/e-bpj.v9iSI%2019.5775</v>
      </c>
      <c r="BG751" t="s">
        <v>74</v>
      </c>
      <c r="BH751" t="s">
        <v>74</v>
      </c>
      <c r="BI751">
        <v>6</v>
      </c>
      <c r="BJ751" t="s">
        <v>14327</v>
      </c>
      <c r="BK751" t="s">
        <v>156</v>
      </c>
      <c r="BL751" t="s">
        <v>129</v>
      </c>
      <c r="BM751" t="s">
        <v>14328</v>
      </c>
      <c r="BN751" t="s">
        <v>74</v>
      </c>
      <c r="BO751" t="s">
        <v>74</v>
      </c>
      <c r="BP751" t="s">
        <v>74</v>
      </c>
      <c r="BQ751" t="s">
        <v>74</v>
      </c>
      <c r="BR751" t="s">
        <v>102</v>
      </c>
      <c r="BS751" t="s">
        <v>14329</v>
      </c>
      <c r="BT751" t="str">
        <f>HYPERLINK("https%3A%2F%2Fwww.webofscience.com%2Fwos%2Fwoscc%2Ffull-record%2FWOS:001185607600011","View Full Record in Web of Science")</f>
        <v>View Full Record in Web of Science</v>
      </c>
    </row>
    <row r="752" spans="1:72" x14ac:dyDescent="0.25">
      <c r="A752" t="s">
        <v>72</v>
      </c>
      <c r="B752" t="s">
        <v>14330</v>
      </c>
      <c r="C752" t="s">
        <v>74</v>
      </c>
      <c r="D752" t="s">
        <v>74</v>
      </c>
      <c r="E752" t="s">
        <v>74</v>
      </c>
      <c r="F752" t="s">
        <v>14331</v>
      </c>
      <c r="G752" t="s">
        <v>74</v>
      </c>
      <c r="H752" t="s">
        <v>74</v>
      </c>
      <c r="I752" t="s">
        <v>14332</v>
      </c>
      <c r="J752" t="s">
        <v>1701</v>
      </c>
      <c r="K752" t="s">
        <v>74</v>
      </c>
      <c r="L752" t="s">
        <v>74</v>
      </c>
      <c r="M752" t="s">
        <v>78</v>
      </c>
      <c r="N752" t="s">
        <v>79</v>
      </c>
      <c r="O752" t="s">
        <v>74</v>
      </c>
      <c r="P752" t="s">
        <v>74</v>
      </c>
      <c r="Q752" t="s">
        <v>74</v>
      </c>
      <c r="R752" t="s">
        <v>74</v>
      </c>
      <c r="S752" t="s">
        <v>74</v>
      </c>
      <c r="T752" t="s">
        <v>14333</v>
      </c>
      <c r="U752" t="s">
        <v>14334</v>
      </c>
      <c r="V752" t="s">
        <v>14335</v>
      </c>
      <c r="W752" t="s">
        <v>14336</v>
      </c>
      <c r="X752" t="s">
        <v>14337</v>
      </c>
      <c r="Y752" t="s">
        <v>14338</v>
      </c>
      <c r="Z752" t="s">
        <v>14339</v>
      </c>
      <c r="AA752" t="s">
        <v>14340</v>
      </c>
      <c r="AB752" t="s">
        <v>74</v>
      </c>
      <c r="AC752" t="s">
        <v>14341</v>
      </c>
      <c r="AD752" t="s">
        <v>8707</v>
      </c>
      <c r="AE752" t="s">
        <v>14342</v>
      </c>
      <c r="AF752" t="s">
        <v>74</v>
      </c>
      <c r="AG752">
        <v>73</v>
      </c>
      <c r="AH752">
        <v>67</v>
      </c>
      <c r="AI752">
        <v>81</v>
      </c>
      <c r="AJ752">
        <v>11</v>
      </c>
      <c r="AK752">
        <v>216</v>
      </c>
      <c r="AL752" t="s">
        <v>503</v>
      </c>
      <c r="AM752" t="s">
        <v>151</v>
      </c>
      <c r="AN752" t="s">
        <v>504</v>
      </c>
      <c r="AO752" t="s">
        <v>1709</v>
      </c>
      <c r="AP752" t="s">
        <v>1710</v>
      </c>
      <c r="AQ752" t="s">
        <v>74</v>
      </c>
      <c r="AR752" t="s">
        <v>1711</v>
      </c>
      <c r="AS752" t="s">
        <v>1712</v>
      </c>
      <c r="AT752" t="s">
        <v>891</v>
      </c>
      <c r="AU752">
        <v>2022</v>
      </c>
      <c r="AV752">
        <v>63</v>
      </c>
      <c r="AW752" t="s">
        <v>74</v>
      </c>
      <c r="AX752" t="s">
        <v>74</v>
      </c>
      <c r="AY752" t="s">
        <v>74</v>
      </c>
      <c r="AZ752" t="s">
        <v>74</v>
      </c>
      <c r="BA752" t="s">
        <v>74</v>
      </c>
      <c r="BB752" t="s">
        <v>74</v>
      </c>
      <c r="BC752" t="s">
        <v>74</v>
      </c>
      <c r="BD752" t="s">
        <v>74</v>
      </c>
      <c r="BE752" t="s">
        <v>14343</v>
      </c>
      <c r="BF752" t="str">
        <f>HYPERLINK("http://dx.doi.org/10.1016/j.najef.2022.101800","http://dx.doi.org/10.1016/j.najef.2022.101800")</f>
        <v>http://dx.doi.org/10.1016/j.najef.2022.101800</v>
      </c>
      <c r="BG752" t="s">
        <v>74</v>
      </c>
      <c r="BH752" t="s">
        <v>2328</v>
      </c>
      <c r="BI752">
        <v>16</v>
      </c>
      <c r="BJ752" t="s">
        <v>210</v>
      </c>
      <c r="BK752" t="s">
        <v>99</v>
      </c>
      <c r="BL752" t="s">
        <v>100</v>
      </c>
      <c r="BM752" t="s">
        <v>14344</v>
      </c>
      <c r="BN752" t="s">
        <v>74</v>
      </c>
      <c r="BO752" t="s">
        <v>74</v>
      </c>
      <c r="BP752" t="s">
        <v>74</v>
      </c>
      <c r="BQ752" t="s">
        <v>74</v>
      </c>
      <c r="BR752" t="s">
        <v>102</v>
      </c>
      <c r="BS752" t="s">
        <v>14345</v>
      </c>
      <c r="BT752" t="str">
        <f>HYPERLINK("https%3A%2F%2Fwww.webofscience.com%2Fwos%2Fwoscc%2Ffull-record%2FWOS:000884592200011","View Full Record in Web of Science")</f>
        <v>View Full Record in Web of Science</v>
      </c>
    </row>
    <row r="753" spans="1:72" x14ac:dyDescent="0.25">
      <c r="A753" t="s">
        <v>72</v>
      </c>
      <c r="B753" t="s">
        <v>14346</v>
      </c>
      <c r="C753" t="s">
        <v>74</v>
      </c>
      <c r="D753" t="s">
        <v>74</v>
      </c>
      <c r="E753" t="s">
        <v>74</v>
      </c>
      <c r="F753" t="s">
        <v>14347</v>
      </c>
      <c r="G753" t="s">
        <v>74</v>
      </c>
      <c r="H753" t="s">
        <v>74</v>
      </c>
      <c r="I753" t="s">
        <v>14348</v>
      </c>
      <c r="J753" t="s">
        <v>14349</v>
      </c>
      <c r="K753" t="s">
        <v>74</v>
      </c>
      <c r="L753" t="s">
        <v>74</v>
      </c>
      <c r="M753" t="s">
        <v>78</v>
      </c>
      <c r="N753" t="s">
        <v>14350</v>
      </c>
      <c r="O753" t="s">
        <v>74</v>
      </c>
      <c r="P753" t="s">
        <v>74</v>
      </c>
      <c r="Q753" t="s">
        <v>74</v>
      </c>
      <c r="R753" t="s">
        <v>74</v>
      </c>
      <c r="S753" t="s">
        <v>74</v>
      </c>
      <c r="T753" t="s">
        <v>74</v>
      </c>
      <c r="U753" t="s">
        <v>74</v>
      </c>
      <c r="V753" t="s">
        <v>74</v>
      </c>
      <c r="W753" t="s">
        <v>14351</v>
      </c>
      <c r="X753" t="s">
        <v>14352</v>
      </c>
      <c r="Y753" t="s">
        <v>14353</v>
      </c>
      <c r="Z753" t="s">
        <v>14354</v>
      </c>
      <c r="AA753" t="s">
        <v>74</v>
      </c>
      <c r="AB753" t="s">
        <v>74</v>
      </c>
      <c r="AC753" t="s">
        <v>74</v>
      </c>
      <c r="AD753" t="s">
        <v>74</v>
      </c>
      <c r="AE753" t="s">
        <v>74</v>
      </c>
      <c r="AF753" t="s">
        <v>74</v>
      </c>
      <c r="AG753">
        <v>14</v>
      </c>
      <c r="AH753">
        <v>0</v>
      </c>
      <c r="AI753">
        <v>0</v>
      </c>
      <c r="AJ753">
        <v>1</v>
      </c>
      <c r="AK753">
        <v>20</v>
      </c>
      <c r="AL753" t="s">
        <v>332</v>
      </c>
      <c r="AM753" t="s">
        <v>333</v>
      </c>
      <c r="AN753" t="s">
        <v>334</v>
      </c>
      <c r="AO753" t="s">
        <v>14355</v>
      </c>
      <c r="AP753" t="s">
        <v>14356</v>
      </c>
      <c r="AQ753" t="s">
        <v>74</v>
      </c>
      <c r="AR753" t="s">
        <v>14357</v>
      </c>
      <c r="AS753" t="s">
        <v>14358</v>
      </c>
      <c r="AT753" t="s">
        <v>2082</v>
      </c>
      <c r="AU753">
        <v>2021</v>
      </c>
      <c r="AV753">
        <v>14</v>
      </c>
      <c r="AW753">
        <v>4</v>
      </c>
      <c r="AX753" t="s">
        <v>74</v>
      </c>
      <c r="AY753" t="s">
        <v>74</v>
      </c>
      <c r="AZ753" t="s">
        <v>74</v>
      </c>
      <c r="BA753" t="s">
        <v>74</v>
      </c>
      <c r="BB753">
        <v>509</v>
      </c>
      <c r="BC753">
        <v>512</v>
      </c>
      <c r="BD753" t="s">
        <v>74</v>
      </c>
      <c r="BE753" t="s">
        <v>14359</v>
      </c>
      <c r="BF753" t="str">
        <f>HYPERLINK("http://dx.doi.org/10.1080/17530350.2021.1879213","http://dx.doi.org/10.1080/17530350.2021.1879213")</f>
        <v>http://dx.doi.org/10.1080/17530350.2021.1879213</v>
      </c>
      <c r="BG753" t="s">
        <v>74</v>
      </c>
      <c r="BH753" t="s">
        <v>11376</v>
      </c>
      <c r="BI753">
        <v>4</v>
      </c>
      <c r="BJ753" t="s">
        <v>14360</v>
      </c>
      <c r="BK753" t="s">
        <v>871</v>
      </c>
      <c r="BL753" t="s">
        <v>14361</v>
      </c>
      <c r="BM753" t="s">
        <v>14362</v>
      </c>
      <c r="BN753" t="s">
        <v>74</v>
      </c>
      <c r="BO753" t="s">
        <v>74</v>
      </c>
      <c r="BP753" t="s">
        <v>74</v>
      </c>
      <c r="BQ753" t="s">
        <v>74</v>
      </c>
      <c r="BR753" t="s">
        <v>102</v>
      </c>
      <c r="BS753" t="s">
        <v>14363</v>
      </c>
      <c r="BT753" t="str">
        <f>HYPERLINK("https%3A%2F%2Fwww.webofscience.com%2Fwos%2Fwoscc%2Ffull-record%2FWOS:000616190000001","View Full Record in Web of Science")</f>
        <v>View Full Record in Web of Science</v>
      </c>
    </row>
    <row r="754" spans="1:72" x14ac:dyDescent="0.25">
      <c r="A754" t="s">
        <v>72</v>
      </c>
      <c r="B754" t="s">
        <v>14364</v>
      </c>
      <c r="C754" t="s">
        <v>74</v>
      </c>
      <c r="D754" t="s">
        <v>74</v>
      </c>
      <c r="E754" t="s">
        <v>74</v>
      </c>
      <c r="F754" t="s">
        <v>14365</v>
      </c>
      <c r="G754" t="s">
        <v>74</v>
      </c>
      <c r="H754" t="s">
        <v>74</v>
      </c>
      <c r="I754" t="s">
        <v>14366</v>
      </c>
      <c r="J754" t="s">
        <v>1510</v>
      </c>
      <c r="K754" t="s">
        <v>74</v>
      </c>
      <c r="L754" t="s">
        <v>74</v>
      </c>
      <c r="M754" t="s">
        <v>78</v>
      </c>
      <c r="N754" t="s">
        <v>79</v>
      </c>
      <c r="O754" t="s">
        <v>74</v>
      </c>
      <c r="P754" t="s">
        <v>74</v>
      </c>
      <c r="Q754" t="s">
        <v>74</v>
      </c>
      <c r="R754" t="s">
        <v>74</v>
      </c>
      <c r="S754" t="s">
        <v>74</v>
      </c>
      <c r="T754" t="s">
        <v>14367</v>
      </c>
      <c r="U754" t="s">
        <v>14368</v>
      </c>
      <c r="V754" t="s">
        <v>14369</v>
      </c>
      <c r="W754" t="s">
        <v>14370</v>
      </c>
      <c r="X754" t="s">
        <v>14371</v>
      </c>
      <c r="Y754" t="s">
        <v>14372</v>
      </c>
      <c r="Z754" t="s">
        <v>11269</v>
      </c>
      <c r="AA754" t="s">
        <v>11360</v>
      </c>
      <c r="AB754" t="s">
        <v>4314</v>
      </c>
      <c r="AC754" t="s">
        <v>74</v>
      </c>
      <c r="AD754" t="s">
        <v>74</v>
      </c>
      <c r="AE754" t="s">
        <v>74</v>
      </c>
      <c r="AF754" t="s">
        <v>74</v>
      </c>
      <c r="AG754">
        <v>59</v>
      </c>
      <c r="AH754">
        <v>1</v>
      </c>
      <c r="AI754">
        <v>1</v>
      </c>
      <c r="AJ754">
        <v>1</v>
      </c>
      <c r="AK754">
        <v>9</v>
      </c>
      <c r="AL754" t="s">
        <v>89</v>
      </c>
      <c r="AM754" t="s">
        <v>90</v>
      </c>
      <c r="AN754" t="s">
        <v>91</v>
      </c>
      <c r="AO754" t="s">
        <v>1519</v>
      </c>
      <c r="AP754" t="s">
        <v>1520</v>
      </c>
      <c r="AQ754" t="s">
        <v>74</v>
      </c>
      <c r="AR754" t="s">
        <v>1521</v>
      </c>
      <c r="AS754" t="s">
        <v>1522</v>
      </c>
      <c r="AT754" t="s">
        <v>14373</v>
      </c>
      <c r="AU754">
        <v>2025</v>
      </c>
      <c r="AV754">
        <v>52</v>
      </c>
      <c r="AW754">
        <v>2</v>
      </c>
      <c r="AX754" t="s">
        <v>74</v>
      </c>
      <c r="AY754" t="s">
        <v>74</v>
      </c>
      <c r="AZ754" t="s">
        <v>74</v>
      </c>
      <c r="BA754" t="s">
        <v>74</v>
      </c>
      <c r="BB754">
        <v>191</v>
      </c>
      <c r="BC754">
        <v>204</v>
      </c>
      <c r="BD754" t="s">
        <v>74</v>
      </c>
      <c r="BE754" t="s">
        <v>14374</v>
      </c>
      <c r="BF754" t="str">
        <f>HYPERLINK("http://dx.doi.org/10.1108/IJSE-09-2023-0695","http://dx.doi.org/10.1108/IJSE-09-2023-0695")</f>
        <v>http://dx.doi.org/10.1108/IJSE-09-2023-0695</v>
      </c>
      <c r="BG754" t="s">
        <v>74</v>
      </c>
      <c r="BH754" t="s">
        <v>6256</v>
      </c>
      <c r="BI754">
        <v>14</v>
      </c>
      <c r="BJ754" t="s">
        <v>291</v>
      </c>
      <c r="BK754" t="s">
        <v>313</v>
      </c>
      <c r="BL754" t="s">
        <v>100</v>
      </c>
      <c r="BM754" t="s">
        <v>14375</v>
      </c>
      <c r="BN754" t="s">
        <v>74</v>
      </c>
      <c r="BO754" t="s">
        <v>270</v>
      </c>
      <c r="BP754" t="s">
        <v>74</v>
      </c>
      <c r="BQ754" t="s">
        <v>74</v>
      </c>
      <c r="BR754" t="s">
        <v>102</v>
      </c>
      <c r="BS754" t="s">
        <v>14376</v>
      </c>
      <c r="BT754" t="str">
        <f>HYPERLINK("https%3A%2F%2Fwww.webofscience.com%2Fwos%2Fwoscc%2Ffull-record%2FWOS:001250182400001","View Full Record in Web of Science")</f>
        <v>View Full Record in Web of Science</v>
      </c>
    </row>
    <row r="755" spans="1:72" x14ac:dyDescent="0.25">
      <c r="A755" t="s">
        <v>72</v>
      </c>
      <c r="B755" t="s">
        <v>13034</v>
      </c>
      <c r="C755" t="s">
        <v>74</v>
      </c>
      <c r="D755" t="s">
        <v>74</v>
      </c>
      <c r="E755" t="s">
        <v>74</v>
      </c>
      <c r="F755" t="s">
        <v>13035</v>
      </c>
      <c r="G755" t="s">
        <v>74</v>
      </c>
      <c r="H755" t="s">
        <v>74</v>
      </c>
      <c r="I755" t="s">
        <v>14348</v>
      </c>
      <c r="J755" t="s">
        <v>14377</v>
      </c>
      <c r="K755" t="s">
        <v>74</v>
      </c>
      <c r="L755" t="s">
        <v>74</v>
      </c>
      <c r="M755" t="s">
        <v>78</v>
      </c>
      <c r="N755" t="s">
        <v>14350</v>
      </c>
      <c r="O755" t="s">
        <v>74</v>
      </c>
      <c r="P755" t="s">
        <v>74</v>
      </c>
      <c r="Q755" t="s">
        <v>74</v>
      </c>
      <c r="R755" t="s">
        <v>74</v>
      </c>
      <c r="S755" t="s">
        <v>74</v>
      </c>
      <c r="T755" t="s">
        <v>74</v>
      </c>
      <c r="U755" t="s">
        <v>74</v>
      </c>
      <c r="V755" t="s">
        <v>74</v>
      </c>
      <c r="W755" t="s">
        <v>14378</v>
      </c>
      <c r="X755" t="s">
        <v>14379</v>
      </c>
      <c r="Y755" t="s">
        <v>14380</v>
      </c>
      <c r="Z755" t="s">
        <v>14381</v>
      </c>
      <c r="AA755" t="s">
        <v>13045</v>
      </c>
      <c r="AB755" t="s">
        <v>74</v>
      </c>
      <c r="AC755" t="s">
        <v>74</v>
      </c>
      <c r="AD755" t="s">
        <v>74</v>
      </c>
      <c r="AE755" t="s">
        <v>74</v>
      </c>
      <c r="AF755" t="s">
        <v>74</v>
      </c>
      <c r="AG755">
        <v>1</v>
      </c>
      <c r="AH755">
        <v>1</v>
      </c>
      <c r="AI755">
        <v>1</v>
      </c>
      <c r="AJ755">
        <v>1</v>
      </c>
      <c r="AK755">
        <v>13</v>
      </c>
      <c r="AL755" t="s">
        <v>332</v>
      </c>
      <c r="AM755" t="s">
        <v>333</v>
      </c>
      <c r="AN755" t="s">
        <v>334</v>
      </c>
      <c r="AO755" t="s">
        <v>14382</v>
      </c>
      <c r="AP755" t="s">
        <v>14383</v>
      </c>
      <c r="AQ755" t="s">
        <v>74</v>
      </c>
      <c r="AR755" t="s">
        <v>14384</v>
      </c>
      <c r="AS755" t="s">
        <v>14385</v>
      </c>
      <c r="AT755" t="s">
        <v>1693</v>
      </c>
      <c r="AU755">
        <v>2021</v>
      </c>
      <c r="AV755">
        <v>28</v>
      </c>
      <c r="AW755">
        <v>4</v>
      </c>
      <c r="AX755" t="s">
        <v>74</v>
      </c>
      <c r="AY755" t="s">
        <v>74</v>
      </c>
      <c r="AZ755" t="s">
        <v>74</v>
      </c>
      <c r="BA755" t="s">
        <v>74</v>
      </c>
      <c r="BB755">
        <v>585</v>
      </c>
      <c r="BC755">
        <v>588</v>
      </c>
      <c r="BD755" t="s">
        <v>74</v>
      </c>
      <c r="BE755" t="s">
        <v>14386</v>
      </c>
      <c r="BF755" t="str">
        <f>HYPERLINK("http://dx.doi.org/10.1080/0966369X.2020.1767886","http://dx.doi.org/10.1080/0966369X.2020.1767886")</f>
        <v>http://dx.doi.org/10.1080/0966369X.2020.1767886</v>
      </c>
      <c r="BG755" t="s">
        <v>74</v>
      </c>
      <c r="BH755" t="s">
        <v>341</v>
      </c>
      <c r="BI755">
        <v>4</v>
      </c>
      <c r="BJ755" t="s">
        <v>14387</v>
      </c>
      <c r="BK755" t="s">
        <v>99</v>
      </c>
      <c r="BL755" t="s">
        <v>14387</v>
      </c>
      <c r="BM755" t="s">
        <v>14388</v>
      </c>
      <c r="BN755" t="s">
        <v>74</v>
      </c>
      <c r="BO755" t="s">
        <v>74</v>
      </c>
      <c r="BP755" t="s">
        <v>74</v>
      </c>
      <c r="BQ755" t="s">
        <v>74</v>
      </c>
      <c r="BR755" t="s">
        <v>102</v>
      </c>
      <c r="BS755" t="s">
        <v>14389</v>
      </c>
      <c r="BT755" t="str">
        <f>HYPERLINK("https%3A%2F%2Fwww.webofscience.com%2Fwos%2Fwoscc%2Ffull-record%2FWOS:000540077700001","View Full Record in Web of Science")</f>
        <v>View Full Record in Web of Science</v>
      </c>
    </row>
    <row r="756" spans="1:72" x14ac:dyDescent="0.25">
      <c r="A756" t="s">
        <v>72</v>
      </c>
      <c r="B756" t="s">
        <v>14390</v>
      </c>
      <c r="C756" t="s">
        <v>74</v>
      </c>
      <c r="D756" t="s">
        <v>74</v>
      </c>
      <c r="E756" t="s">
        <v>74</v>
      </c>
      <c r="F756" t="s">
        <v>14391</v>
      </c>
      <c r="G756" t="s">
        <v>74</v>
      </c>
      <c r="H756" t="s">
        <v>74</v>
      </c>
      <c r="I756" t="s">
        <v>14392</v>
      </c>
      <c r="J756" t="s">
        <v>14393</v>
      </c>
      <c r="K756" t="s">
        <v>74</v>
      </c>
      <c r="L756" t="s">
        <v>74</v>
      </c>
      <c r="M756" t="s">
        <v>78</v>
      </c>
      <c r="N756" t="s">
        <v>14350</v>
      </c>
      <c r="O756" t="s">
        <v>74</v>
      </c>
      <c r="P756" t="s">
        <v>74</v>
      </c>
      <c r="Q756" t="s">
        <v>74</v>
      </c>
      <c r="R756" t="s">
        <v>74</v>
      </c>
      <c r="S756" t="s">
        <v>74</v>
      </c>
      <c r="T756" t="s">
        <v>74</v>
      </c>
      <c r="U756" t="s">
        <v>74</v>
      </c>
      <c r="V756" t="s">
        <v>74</v>
      </c>
      <c r="W756" t="s">
        <v>14394</v>
      </c>
      <c r="X756" t="s">
        <v>13264</v>
      </c>
      <c r="Y756" t="s">
        <v>14395</v>
      </c>
      <c r="Z756" t="s">
        <v>14396</v>
      </c>
      <c r="AA756" t="s">
        <v>74</v>
      </c>
      <c r="AB756" t="s">
        <v>74</v>
      </c>
      <c r="AC756" t="s">
        <v>74</v>
      </c>
      <c r="AD756" t="s">
        <v>74</v>
      </c>
      <c r="AE756" t="s">
        <v>74</v>
      </c>
      <c r="AF756" t="s">
        <v>74</v>
      </c>
      <c r="AG756">
        <v>1</v>
      </c>
      <c r="AH756">
        <v>0</v>
      </c>
      <c r="AI756">
        <v>0</v>
      </c>
      <c r="AJ756">
        <v>0</v>
      </c>
      <c r="AK756">
        <v>7</v>
      </c>
      <c r="AL756" t="s">
        <v>14397</v>
      </c>
      <c r="AM756" t="s">
        <v>14398</v>
      </c>
      <c r="AN756" t="s">
        <v>14399</v>
      </c>
      <c r="AO756" t="s">
        <v>14400</v>
      </c>
      <c r="AP756" t="s">
        <v>14401</v>
      </c>
      <c r="AQ756" t="s">
        <v>74</v>
      </c>
      <c r="AR756" t="s">
        <v>14402</v>
      </c>
      <c r="AS756" t="s">
        <v>14403</v>
      </c>
      <c r="AT756" t="s">
        <v>5028</v>
      </c>
      <c r="AU756">
        <v>2021</v>
      </c>
      <c r="AV756">
        <v>48</v>
      </c>
      <c r="AW756">
        <v>170</v>
      </c>
      <c r="AX756" t="s">
        <v>74</v>
      </c>
      <c r="AY756" t="s">
        <v>74</v>
      </c>
      <c r="AZ756" t="s">
        <v>74</v>
      </c>
      <c r="BA756" t="s">
        <v>74</v>
      </c>
      <c r="BB756">
        <v>668</v>
      </c>
      <c r="BC756">
        <v>670</v>
      </c>
      <c r="BD756" t="s">
        <v>74</v>
      </c>
      <c r="BE756" t="s">
        <v>14404</v>
      </c>
      <c r="BF756" t="str">
        <f>HYPERLINK("http://dx.doi.org/10.1080/03056244.2021.1972580","http://dx.doi.org/10.1080/03056244.2021.1972580")</f>
        <v>http://dx.doi.org/10.1080/03056244.2021.1972580</v>
      </c>
      <c r="BG756" t="s">
        <v>74</v>
      </c>
      <c r="BH756" t="s">
        <v>10889</v>
      </c>
      <c r="BI756">
        <v>3</v>
      </c>
      <c r="BJ756" t="s">
        <v>4874</v>
      </c>
      <c r="BK756" t="s">
        <v>99</v>
      </c>
      <c r="BL756" t="s">
        <v>4875</v>
      </c>
      <c r="BM756" t="s">
        <v>14405</v>
      </c>
      <c r="BN756" t="s">
        <v>74</v>
      </c>
      <c r="BO756" t="s">
        <v>74</v>
      </c>
      <c r="BP756" t="s">
        <v>74</v>
      </c>
      <c r="BQ756" t="s">
        <v>74</v>
      </c>
      <c r="BR756" t="s">
        <v>102</v>
      </c>
      <c r="BS756" t="s">
        <v>14406</v>
      </c>
      <c r="BT756" t="str">
        <f>HYPERLINK("https%3A%2F%2Fwww.webofscience.com%2Fwos%2Fwoscc%2Ffull-record%2FWOS:000693068000001","View Full Record in Web of Science")</f>
        <v>View Full Record in Web of Science</v>
      </c>
    </row>
    <row r="757" spans="1:72" x14ac:dyDescent="0.25">
      <c r="A757" t="s">
        <v>72</v>
      </c>
      <c r="B757" t="s">
        <v>14407</v>
      </c>
      <c r="C757" t="s">
        <v>74</v>
      </c>
      <c r="D757" t="s">
        <v>74</v>
      </c>
      <c r="E757" t="s">
        <v>74</v>
      </c>
      <c r="F757" t="s">
        <v>14408</v>
      </c>
      <c r="G757" t="s">
        <v>74</v>
      </c>
      <c r="H757" t="s">
        <v>74</v>
      </c>
      <c r="I757" t="s">
        <v>14409</v>
      </c>
      <c r="J757" t="s">
        <v>14410</v>
      </c>
      <c r="K757" t="s">
        <v>74</v>
      </c>
      <c r="L757" t="s">
        <v>74</v>
      </c>
      <c r="M757" t="s">
        <v>78</v>
      </c>
      <c r="N757" t="s">
        <v>79</v>
      </c>
      <c r="O757" t="s">
        <v>74</v>
      </c>
      <c r="P757" t="s">
        <v>74</v>
      </c>
      <c r="Q757" t="s">
        <v>74</v>
      </c>
      <c r="R757" t="s">
        <v>74</v>
      </c>
      <c r="S757" t="s">
        <v>74</v>
      </c>
      <c r="T757" t="s">
        <v>14411</v>
      </c>
      <c r="U757" t="s">
        <v>14412</v>
      </c>
      <c r="V757" t="s">
        <v>14413</v>
      </c>
      <c r="W757" t="s">
        <v>14414</v>
      </c>
      <c r="X757" t="s">
        <v>14415</v>
      </c>
      <c r="Y757" t="s">
        <v>14416</v>
      </c>
      <c r="Z757" t="s">
        <v>14417</v>
      </c>
      <c r="AA757" t="s">
        <v>14418</v>
      </c>
      <c r="AB757" t="s">
        <v>74</v>
      </c>
      <c r="AC757" t="s">
        <v>14419</v>
      </c>
      <c r="AD757" t="s">
        <v>14420</v>
      </c>
      <c r="AE757" t="s">
        <v>14421</v>
      </c>
      <c r="AF757" t="s">
        <v>74</v>
      </c>
      <c r="AG757">
        <v>59</v>
      </c>
      <c r="AH757">
        <v>4</v>
      </c>
      <c r="AI757">
        <v>4</v>
      </c>
      <c r="AJ757">
        <v>1</v>
      </c>
      <c r="AK757">
        <v>6</v>
      </c>
      <c r="AL757" t="s">
        <v>89</v>
      </c>
      <c r="AM757" t="s">
        <v>90</v>
      </c>
      <c r="AN757" t="s">
        <v>91</v>
      </c>
      <c r="AO757" t="s">
        <v>14422</v>
      </c>
      <c r="AP757" t="s">
        <v>14423</v>
      </c>
      <c r="AQ757" t="s">
        <v>74</v>
      </c>
      <c r="AR757" t="s">
        <v>14424</v>
      </c>
      <c r="AS757" t="s">
        <v>14425</v>
      </c>
      <c r="AT757" t="s">
        <v>13627</v>
      </c>
      <c r="AU757">
        <v>2024</v>
      </c>
      <c r="AV757">
        <v>15</v>
      </c>
      <c r="AW757">
        <v>2</v>
      </c>
      <c r="AX757" t="s">
        <v>74</v>
      </c>
      <c r="AY757" t="s">
        <v>74</v>
      </c>
      <c r="AZ757" t="s">
        <v>441</v>
      </c>
      <c r="BA757" t="s">
        <v>74</v>
      </c>
      <c r="BB757">
        <v>179</v>
      </c>
      <c r="BC757">
        <v>192</v>
      </c>
      <c r="BD757" t="s">
        <v>74</v>
      </c>
      <c r="BE757" t="s">
        <v>14426</v>
      </c>
      <c r="BF757" t="str">
        <f>HYPERLINK("http://dx.doi.org/10.1108/JGR-04-2023-0065","http://dx.doi.org/10.1108/JGR-04-2023-0065")</f>
        <v>http://dx.doi.org/10.1108/JGR-04-2023-0065</v>
      </c>
      <c r="BG757" t="s">
        <v>74</v>
      </c>
      <c r="BH757" t="s">
        <v>5567</v>
      </c>
      <c r="BI757">
        <v>14</v>
      </c>
      <c r="BJ757" t="s">
        <v>583</v>
      </c>
      <c r="BK757" t="s">
        <v>313</v>
      </c>
      <c r="BL757" t="s">
        <v>100</v>
      </c>
      <c r="BM757" t="s">
        <v>14427</v>
      </c>
      <c r="BN757" t="s">
        <v>74</v>
      </c>
      <c r="BO757" t="s">
        <v>74</v>
      </c>
      <c r="BP757" t="s">
        <v>74</v>
      </c>
      <c r="BQ757" t="s">
        <v>74</v>
      </c>
      <c r="BR757" t="s">
        <v>102</v>
      </c>
      <c r="BS757" t="s">
        <v>14428</v>
      </c>
      <c r="BT757" t="str">
        <f>HYPERLINK("https%3A%2F%2Fwww.webofscience.com%2Fwos%2Fwoscc%2Ffull-record%2FWOS:001062418200001","View Full Record in Web of Science")</f>
        <v>View Full Record in Web of Science</v>
      </c>
    </row>
    <row r="758" spans="1:72" x14ac:dyDescent="0.25">
      <c r="A758" t="s">
        <v>72</v>
      </c>
      <c r="B758" t="s">
        <v>14429</v>
      </c>
      <c r="C758" t="s">
        <v>74</v>
      </c>
      <c r="D758" t="s">
        <v>74</v>
      </c>
      <c r="E758" t="s">
        <v>74</v>
      </c>
      <c r="F758" t="s">
        <v>14430</v>
      </c>
      <c r="G758" t="s">
        <v>74</v>
      </c>
      <c r="H758" t="s">
        <v>74</v>
      </c>
      <c r="I758" t="s">
        <v>14431</v>
      </c>
      <c r="J758" t="s">
        <v>6437</v>
      </c>
      <c r="K758" t="s">
        <v>74</v>
      </c>
      <c r="L758" t="s">
        <v>74</v>
      </c>
      <c r="M758" t="s">
        <v>78</v>
      </c>
      <c r="N758" t="s">
        <v>79</v>
      </c>
      <c r="O758" t="s">
        <v>74</v>
      </c>
      <c r="P758" t="s">
        <v>74</v>
      </c>
      <c r="Q758" t="s">
        <v>74</v>
      </c>
      <c r="R758" t="s">
        <v>74</v>
      </c>
      <c r="S758" t="s">
        <v>74</v>
      </c>
      <c r="T758" t="s">
        <v>14432</v>
      </c>
      <c r="U758" t="s">
        <v>14433</v>
      </c>
      <c r="V758" t="s">
        <v>14434</v>
      </c>
      <c r="W758" t="s">
        <v>14435</v>
      </c>
      <c r="X758" t="s">
        <v>14436</v>
      </c>
      <c r="Y758" t="s">
        <v>14437</v>
      </c>
      <c r="Z758" t="s">
        <v>14438</v>
      </c>
      <c r="AA758" t="s">
        <v>14439</v>
      </c>
      <c r="AB758" t="s">
        <v>14440</v>
      </c>
      <c r="AC758" t="s">
        <v>74</v>
      </c>
      <c r="AD758" t="s">
        <v>74</v>
      </c>
      <c r="AE758" t="s">
        <v>74</v>
      </c>
      <c r="AF758" t="s">
        <v>74</v>
      </c>
      <c r="AG758">
        <v>39</v>
      </c>
      <c r="AH758">
        <v>16</v>
      </c>
      <c r="AI758">
        <v>19</v>
      </c>
      <c r="AJ758">
        <v>1</v>
      </c>
      <c r="AK758">
        <v>12</v>
      </c>
      <c r="AL758" t="s">
        <v>479</v>
      </c>
      <c r="AM758" t="s">
        <v>480</v>
      </c>
      <c r="AN758" t="s">
        <v>481</v>
      </c>
      <c r="AO758" t="s">
        <v>6446</v>
      </c>
      <c r="AP758" t="s">
        <v>6447</v>
      </c>
      <c r="AQ758" t="s">
        <v>74</v>
      </c>
      <c r="AR758" t="s">
        <v>6448</v>
      </c>
      <c r="AS758" t="s">
        <v>6449</v>
      </c>
      <c r="AT758" t="s">
        <v>698</v>
      </c>
      <c r="AU758">
        <v>2020</v>
      </c>
      <c r="AV758">
        <v>49</v>
      </c>
      <c r="AW758">
        <v>3</v>
      </c>
      <c r="AX758" t="s">
        <v>74</v>
      </c>
      <c r="AY758" t="s">
        <v>74</v>
      </c>
      <c r="AZ758" t="s">
        <v>74</v>
      </c>
      <c r="BA758" t="s">
        <v>74</v>
      </c>
      <c r="BB758" t="s">
        <v>74</v>
      </c>
      <c r="BC758" t="s">
        <v>74</v>
      </c>
      <c r="BD758" t="s">
        <v>14441</v>
      </c>
      <c r="BE758" t="s">
        <v>14442</v>
      </c>
      <c r="BF758" t="str">
        <f>HYPERLINK("http://dx.doi.org/10.1111/ecno.12165","http://dx.doi.org/10.1111/ecno.12165")</f>
        <v>http://dx.doi.org/10.1111/ecno.12165</v>
      </c>
      <c r="BG758" t="s">
        <v>74</v>
      </c>
      <c r="BH758" t="s">
        <v>7249</v>
      </c>
      <c r="BI758">
        <v>22</v>
      </c>
      <c r="BJ758" t="s">
        <v>291</v>
      </c>
      <c r="BK758" t="s">
        <v>313</v>
      </c>
      <c r="BL758" t="s">
        <v>100</v>
      </c>
      <c r="BM758" t="s">
        <v>14443</v>
      </c>
      <c r="BN758" t="s">
        <v>74</v>
      </c>
      <c r="BO758" t="s">
        <v>74</v>
      </c>
      <c r="BP758" t="s">
        <v>74</v>
      </c>
      <c r="BQ758" t="s">
        <v>74</v>
      </c>
      <c r="BR758" t="s">
        <v>102</v>
      </c>
      <c r="BS758" t="s">
        <v>14444</v>
      </c>
      <c r="BT758" t="str">
        <f>HYPERLINK("https%3A%2F%2Fwww.webofscience.com%2Fwos%2Fwoscc%2Ffull-record%2FWOS:000558367800001","View Full Record in Web of Science")</f>
        <v>View Full Record in Web of Science</v>
      </c>
    </row>
    <row r="759" spans="1:72" x14ac:dyDescent="0.25">
      <c r="A759" t="s">
        <v>72</v>
      </c>
      <c r="B759" t="s">
        <v>14445</v>
      </c>
      <c r="C759" t="s">
        <v>74</v>
      </c>
      <c r="D759" t="s">
        <v>74</v>
      </c>
      <c r="E759" t="s">
        <v>74</v>
      </c>
      <c r="F759" t="s">
        <v>14446</v>
      </c>
      <c r="G759" t="s">
        <v>74</v>
      </c>
      <c r="H759" t="s">
        <v>74</v>
      </c>
      <c r="I759" t="s">
        <v>14447</v>
      </c>
      <c r="J759" t="s">
        <v>14448</v>
      </c>
      <c r="K759" t="s">
        <v>74</v>
      </c>
      <c r="L759" t="s">
        <v>74</v>
      </c>
      <c r="M759" t="s">
        <v>78</v>
      </c>
      <c r="N759" t="s">
        <v>79</v>
      </c>
      <c r="O759" t="s">
        <v>74</v>
      </c>
      <c r="P759" t="s">
        <v>74</v>
      </c>
      <c r="Q759" t="s">
        <v>74</v>
      </c>
      <c r="R759" t="s">
        <v>74</v>
      </c>
      <c r="S759" t="s">
        <v>74</v>
      </c>
      <c r="T759" t="s">
        <v>14449</v>
      </c>
      <c r="U759" t="s">
        <v>14450</v>
      </c>
      <c r="V759" t="s">
        <v>14451</v>
      </c>
      <c r="W759" t="s">
        <v>14452</v>
      </c>
      <c r="X759" t="s">
        <v>14453</v>
      </c>
      <c r="Y759" t="s">
        <v>14454</v>
      </c>
      <c r="Z759" t="s">
        <v>14455</v>
      </c>
      <c r="AA759" t="s">
        <v>14456</v>
      </c>
      <c r="AB759" t="s">
        <v>14457</v>
      </c>
      <c r="AC759" t="s">
        <v>74</v>
      </c>
      <c r="AD759" t="s">
        <v>74</v>
      </c>
      <c r="AE759" t="s">
        <v>74</v>
      </c>
      <c r="AF759" t="s">
        <v>74</v>
      </c>
      <c r="AG759">
        <v>105</v>
      </c>
      <c r="AH759">
        <v>2</v>
      </c>
      <c r="AI759">
        <v>3</v>
      </c>
      <c r="AJ759">
        <v>5</v>
      </c>
      <c r="AK759">
        <v>5</v>
      </c>
      <c r="AL759" t="s">
        <v>4485</v>
      </c>
      <c r="AM759" t="s">
        <v>6724</v>
      </c>
      <c r="AN759" t="s">
        <v>6725</v>
      </c>
      <c r="AO759" t="s">
        <v>14458</v>
      </c>
      <c r="AP759" t="s">
        <v>14459</v>
      </c>
      <c r="AQ759" t="s">
        <v>74</v>
      </c>
      <c r="AR759" t="s">
        <v>14460</v>
      </c>
      <c r="AS759" t="s">
        <v>14461</v>
      </c>
      <c r="AT759" t="s">
        <v>14074</v>
      </c>
      <c r="AU759">
        <v>2025</v>
      </c>
      <c r="AV759">
        <v>520</v>
      </c>
      <c r="AW759" t="s">
        <v>74</v>
      </c>
      <c r="AX759" t="s">
        <v>74</v>
      </c>
      <c r="AY759" t="s">
        <v>74</v>
      </c>
      <c r="AZ759" t="s">
        <v>74</v>
      </c>
      <c r="BA759" t="s">
        <v>74</v>
      </c>
      <c r="BB759" t="s">
        <v>74</v>
      </c>
      <c r="BC759" t="s">
        <v>74</v>
      </c>
      <c r="BD759">
        <v>146135</v>
      </c>
      <c r="BE759" t="s">
        <v>14462</v>
      </c>
      <c r="BF759" t="str">
        <f>HYPERLINK("http://dx.doi.org/10.1016/j.jclepro.2025.146135","http://dx.doi.org/10.1016/j.jclepro.2025.146135")</f>
        <v>http://dx.doi.org/10.1016/j.jclepro.2025.146135</v>
      </c>
      <c r="BG759" t="s">
        <v>74</v>
      </c>
      <c r="BH759" t="s">
        <v>3389</v>
      </c>
      <c r="BI759">
        <v>14</v>
      </c>
      <c r="BJ759" t="s">
        <v>14463</v>
      </c>
      <c r="BK759" t="s">
        <v>128</v>
      </c>
      <c r="BL759" t="s">
        <v>14464</v>
      </c>
      <c r="BM759" t="s">
        <v>14465</v>
      </c>
      <c r="BN759" t="s">
        <v>74</v>
      </c>
      <c r="BO759" t="s">
        <v>270</v>
      </c>
      <c r="BP759" t="s">
        <v>74</v>
      </c>
      <c r="BQ759" t="s">
        <v>74</v>
      </c>
      <c r="BR759" t="s">
        <v>102</v>
      </c>
      <c r="BS759" t="s">
        <v>14466</v>
      </c>
      <c r="BT759" t="str">
        <f>HYPERLINK("https%3A%2F%2Fwww.webofscience.com%2Fwos%2Fwoscc%2Ffull-record%2FWOS:001529419800009","View Full Record in Web of Science")</f>
        <v>View Full Record in Web of Science</v>
      </c>
    </row>
    <row r="760" spans="1:72" x14ac:dyDescent="0.25">
      <c r="A760" t="s">
        <v>72</v>
      </c>
      <c r="B760" t="s">
        <v>14467</v>
      </c>
      <c r="C760" t="s">
        <v>74</v>
      </c>
      <c r="D760" t="s">
        <v>74</v>
      </c>
      <c r="E760" t="s">
        <v>74</v>
      </c>
      <c r="F760" t="s">
        <v>14468</v>
      </c>
      <c r="G760" t="s">
        <v>74</v>
      </c>
      <c r="H760" t="s">
        <v>74</v>
      </c>
      <c r="I760" t="s">
        <v>14469</v>
      </c>
      <c r="J760" t="s">
        <v>3561</v>
      </c>
      <c r="K760" t="s">
        <v>74</v>
      </c>
      <c r="L760" t="s">
        <v>74</v>
      </c>
      <c r="M760" t="s">
        <v>78</v>
      </c>
      <c r="N760" t="s">
        <v>79</v>
      </c>
      <c r="O760" t="s">
        <v>74</v>
      </c>
      <c r="P760" t="s">
        <v>74</v>
      </c>
      <c r="Q760" t="s">
        <v>74</v>
      </c>
      <c r="R760" t="s">
        <v>74</v>
      </c>
      <c r="S760" t="s">
        <v>74</v>
      </c>
      <c r="T760" t="s">
        <v>14470</v>
      </c>
      <c r="U760" t="s">
        <v>74</v>
      </c>
      <c r="V760" t="s">
        <v>14471</v>
      </c>
      <c r="W760" t="s">
        <v>14472</v>
      </c>
      <c r="X760" t="s">
        <v>429</v>
      </c>
      <c r="Y760" t="s">
        <v>14473</v>
      </c>
      <c r="Z760" t="s">
        <v>14474</v>
      </c>
      <c r="AA760" t="s">
        <v>14475</v>
      </c>
      <c r="AB760" t="s">
        <v>14476</v>
      </c>
      <c r="AC760" t="s">
        <v>74</v>
      </c>
      <c r="AD760" t="s">
        <v>74</v>
      </c>
      <c r="AE760" t="s">
        <v>74</v>
      </c>
      <c r="AF760" t="s">
        <v>74</v>
      </c>
      <c r="AG760">
        <v>34</v>
      </c>
      <c r="AH760">
        <v>5</v>
      </c>
      <c r="AI760">
        <v>9</v>
      </c>
      <c r="AJ760">
        <v>0</v>
      </c>
      <c r="AK760">
        <v>2</v>
      </c>
      <c r="AL760" t="s">
        <v>89</v>
      </c>
      <c r="AM760" t="s">
        <v>1497</v>
      </c>
      <c r="AN760" t="s">
        <v>1498</v>
      </c>
      <c r="AO760" t="s">
        <v>3568</v>
      </c>
      <c r="AP760" t="s">
        <v>3569</v>
      </c>
      <c r="AQ760" t="s">
        <v>74</v>
      </c>
      <c r="AR760" t="s">
        <v>3570</v>
      </c>
      <c r="AS760" t="s">
        <v>3571</v>
      </c>
      <c r="AT760" t="s">
        <v>1816</v>
      </c>
      <c r="AU760">
        <v>2019</v>
      </c>
      <c r="AV760">
        <v>22</v>
      </c>
      <c r="AW760">
        <v>4</v>
      </c>
      <c r="AX760" t="s">
        <v>74</v>
      </c>
      <c r="AY760" t="s">
        <v>74</v>
      </c>
      <c r="AZ760" t="s">
        <v>74</v>
      </c>
      <c r="BA760" t="s">
        <v>74</v>
      </c>
      <c r="BB760">
        <v>595</v>
      </c>
      <c r="BC760">
        <v>613</v>
      </c>
      <c r="BD760" t="s">
        <v>74</v>
      </c>
      <c r="BE760" t="s">
        <v>14477</v>
      </c>
      <c r="BF760" t="str">
        <f>HYPERLINK("http://dx.doi.org/10.1108/JMLC-01-2019-0004","http://dx.doi.org/10.1108/JMLC-01-2019-0004")</f>
        <v>http://dx.doi.org/10.1108/JMLC-01-2019-0004</v>
      </c>
      <c r="BG760" t="s">
        <v>74</v>
      </c>
      <c r="BH760" t="s">
        <v>74</v>
      </c>
      <c r="BI760">
        <v>19</v>
      </c>
      <c r="BJ760" t="s">
        <v>3573</v>
      </c>
      <c r="BK760" t="s">
        <v>313</v>
      </c>
      <c r="BL760" t="s">
        <v>3573</v>
      </c>
      <c r="BM760" t="s">
        <v>14478</v>
      </c>
      <c r="BN760" t="s">
        <v>74</v>
      </c>
      <c r="BO760" t="s">
        <v>74</v>
      </c>
      <c r="BP760" t="s">
        <v>74</v>
      </c>
      <c r="BQ760" t="s">
        <v>74</v>
      </c>
      <c r="BR760" t="s">
        <v>102</v>
      </c>
      <c r="BS760" t="s">
        <v>14479</v>
      </c>
      <c r="BT760" t="str">
        <f>HYPERLINK("https%3A%2F%2Fwww.webofscience.com%2Fwos%2Fwoscc%2Ffull-record%2FWOS:000496309200002","View Full Record in Web of Science")</f>
        <v>View Full Record in Web of Science</v>
      </c>
    </row>
    <row r="761" spans="1:72" x14ac:dyDescent="0.25">
      <c r="A761" t="s">
        <v>72</v>
      </c>
      <c r="B761" t="s">
        <v>14480</v>
      </c>
      <c r="C761" t="s">
        <v>74</v>
      </c>
      <c r="D761" t="s">
        <v>74</v>
      </c>
      <c r="E761" t="s">
        <v>74</v>
      </c>
      <c r="F761" t="s">
        <v>14481</v>
      </c>
      <c r="G761" t="s">
        <v>74</v>
      </c>
      <c r="H761" t="s">
        <v>74</v>
      </c>
      <c r="I761" t="s">
        <v>14482</v>
      </c>
      <c r="J761" t="s">
        <v>8730</v>
      </c>
      <c r="K761" t="s">
        <v>74</v>
      </c>
      <c r="L761" t="s">
        <v>74</v>
      </c>
      <c r="M761" t="s">
        <v>78</v>
      </c>
      <c r="N761" t="s">
        <v>79</v>
      </c>
      <c r="O761" t="s">
        <v>74</v>
      </c>
      <c r="P761" t="s">
        <v>74</v>
      </c>
      <c r="Q761" t="s">
        <v>74</v>
      </c>
      <c r="R761" t="s">
        <v>74</v>
      </c>
      <c r="S761" t="s">
        <v>74</v>
      </c>
      <c r="T761" t="s">
        <v>14483</v>
      </c>
      <c r="U761" t="s">
        <v>14484</v>
      </c>
      <c r="V761" t="s">
        <v>14485</v>
      </c>
      <c r="W761" t="s">
        <v>14486</v>
      </c>
      <c r="X761" t="s">
        <v>14487</v>
      </c>
      <c r="Y761" t="s">
        <v>14488</v>
      </c>
      <c r="Z761" t="s">
        <v>14489</v>
      </c>
      <c r="AA761" t="s">
        <v>13826</v>
      </c>
      <c r="AB761" t="s">
        <v>14490</v>
      </c>
      <c r="AC761" t="s">
        <v>74</v>
      </c>
      <c r="AD761" t="s">
        <v>74</v>
      </c>
      <c r="AE761" t="s">
        <v>74</v>
      </c>
      <c r="AF761" t="s">
        <v>74</v>
      </c>
      <c r="AG761">
        <v>72</v>
      </c>
      <c r="AH761">
        <v>16</v>
      </c>
      <c r="AI761">
        <v>19</v>
      </c>
      <c r="AJ761">
        <v>0</v>
      </c>
      <c r="AK761">
        <v>9</v>
      </c>
      <c r="AL761" t="s">
        <v>332</v>
      </c>
      <c r="AM761" t="s">
        <v>333</v>
      </c>
      <c r="AN761" t="s">
        <v>334</v>
      </c>
      <c r="AO761" t="s">
        <v>8738</v>
      </c>
      <c r="AP761" t="s">
        <v>8739</v>
      </c>
      <c r="AQ761" t="s">
        <v>74</v>
      </c>
      <c r="AR761" t="s">
        <v>8740</v>
      </c>
      <c r="AS761" t="s">
        <v>8741</v>
      </c>
      <c r="AT761" t="s">
        <v>74</v>
      </c>
      <c r="AU761">
        <v>2019</v>
      </c>
      <c r="AV761">
        <v>11</v>
      </c>
      <c r="AW761">
        <v>2</v>
      </c>
      <c r="AX761" t="s">
        <v>74</v>
      </c>
      <c r="AY761" t="s">
        <v>74</v>
      </c>
      <c r="AZ761" t="s">
        <v>74</v>
      </c>
      <c r="BA761" t="s">
        <v>74</v>
      </c>
      <c r="BB761">
        <v>143</v>
      </c>
      <c r="BC761">
        <v>156</v>
      </c>
      <c r="BD761" t="s">
        <v>74</v>
      </c>
      <c r="BE761" t="s">
        <v>14491</v>
      </c>
      <c r="BF761" t="str">
        <f>HYPERLINK("http://dx.doi.org/10.1080/19186444.2019.1641393","http://dx.doi.org/10.1080/19186444.2019.1641393")</f>
        <v>http://dx.doi.org/10.1080/19186444.2019.1641393</v>
      </c>
      <c r="BG761" t="s">
        <v>74</v>
      </c>
      <c r="BH761" t="s">
        <v>74</v>
      </c>
      <c r="BI761">
        <v>14</v>
      </c>
      <c r="BJ761" t="s">
        <v>1453</v>
      </c>
      <c r="BK761" t="s">
        <v>313</v>
      </c>
      <c r="BL761" t="s">
        <v>100</v>
      </c>
      <c r="BM761" t="s">
        <v>14492</v>
      </c>
      <c r="BN761" t="s">
        <v>74</v>
      </c>
      <c r="BO761" t="s">
        <v>74</v>
      </c>
      <c r="BP761" t="s">
        <v>74</v>
      </c>
      <c r="BQ761" t="s">
        <v>74</v>
      </c>
      <c r="BR761" t="s">
        <v>102</v>
      </c>
      <c r="BS761" t="s">
        <v>14493</v>
      </c>
      <c r="BT761" t="str">
        <f>HYPERLINK("https%3A%2F%2Fwww.webofscience.com%2Fwos%2Fwoscc%2Ffull-record%2FWOS:000482387400005","View Full Record in Web of Science")</f>
        <v>View Full Record in Web of Science</v>
      </c>
    </row>
    <row r="762" spans="1:72" x14ac:dyDescent="0.25">
      <c r="A762" t="s">
        <v>72</v>
      </c>
      <c r="B762" t="s">
        <v>14494</v>
      </c>
      <c r="C762" t="s">
        <v>74</v>
      </c>
      <c r="D762" t="s">
        <v>74</v>
      </c>
      <c r="E762" t="s">
        <v>74</v>
      </c>
      <c r="F762" t="s">
        <v>14495</v>
      </c>
      <c r="G762" t="s">
        <v>74</v>
      </c>
      <c r="H762" t="s">
        <v>74</v>
      </c>
      <c r="I762" t="s">
        <v>14496</v>
      </c>
      <c r="J762" t="s">
        <v>3439</v>
      </c>
      <c r="K762" t="s">
        <v>74</v>
      </c>
      <c r="L762" t="s">
        <v>74</v>
      </c>
      <c r="M762" t="s">
        <v>78</v>
      </c>
      <c r="N762" t="s">
        <v>79</v>
      </c>
      <c r="O762" t="s">
        <v>74</v>
      </c>
      <c r="P762" t="s">
        <v>74</v>
      </c>
      <c r="Q762" t="s">
        <v>74</v>
      </c>
      <c r="R762" t="s">
        <v>74</v>
      </c>
      <c r="S762" t="s">
        <v>74</v>
      </c>
      <c r="T762" t="s">
        <v>14497</v>
      </c>
      <c r="U762" t="s">
        <v>74</v>
      </c>
      <c r="V762" t="s">
        <v>14498</v>
      </c>
      <c r="W762" t="s">
        <v>14499</v>
      </c>
      <c r="X762" t="s">
        <v>2434</v>
      </c>
      <c r="Y762" t="s">
        <v>14500</v>
      </c>
      <c r="Z762" t="s">
        <v>14501</v>
      </c>
      <c r="AA762" t="s">
        <v>14502</v>
      </c>
      <c r="AB762" t="s">
        <v>14503</v>
      </c>
      <c r="AC762" t="s">
        <v>74</v>
      </c>
      <c r="AD762" t="s">
        <v>74</v>
      </c>
      <c r="AE762" t="s">
        <v>74</v>
      </c>
      <c r="AF762" t="s">
        <v>74</v>
      </c>
      <c r="AG762">
        <v>45</v>
      </c>
      <c r="AH762">
        <v>0</v>
      </c>
      <c r="AI762">
        <v>0</v>
      </c>
      <c r="AJ762">
        <v>7</v>
      </c>
      <c r="AK762">
        <v>7</v>
      </c>
      <c r="AL762" t="s">
        <v>823</v>
      </c>
      <c r="AM762" t="s">
        <v>333</v>
      </c>
      <c r="AN762" t="s">
        <v>824</v>
      </c>
      <c r="AO762" t="s">
        <v>3443</v>
      </c>
      <c r="AP762" t="s">
        <v>74</v>
      </c>
      <c r="AQ762" t="s">
        <v>74</v>
      </c>
      <c r="AR762" t="s">
        <v>3444</v>
      </c>
      <c r="AS762" t="s">
        <v>3445</v>
      </c>
      <c r="AT762" t="s">
        <v>2970</v>
      </c>
      <c r="AU762">
        <v>2025</v>
      </c>
      <c r="AV762">
        <v>13</v>
      </c>
      <c r="AW762">
        <v>1</v>
      </c>
      <c r="AX762" t="s">
        <v>74</v>
      </c>
      <c r="AY762" t="s">
        <v>74</v>
      </c>
      <c r="AZ762" t="s">
        <v>74</v>
      </c>
      <c r="BA762" t="s">
        <v>74</v>
      </c>
      <c r="BB762" t="s">
        <v>74</v>
      </c>
      <c r="BC762" t="s">
        <v>74</v>
      </c>
      <c r="BD762">
        <v>2537185</v>
      </c>
      <c r="BE762" t="s">
        <v>14504</v>
      </c>
      <c r="BF762" t="str">
        <f>HYPERLINK("http://dx.doi.org/10.1080/23322039.2025.2537185","http://dx.doi.org/10.1080/23322039.2025.2537185")</f>
        <v>http://dx.doi.org/10.1080/23322039.2025.2537185</v>
      </c>
      <c r="BG762" t="s">
        <v>74</v>
      </c>
      <c r="BH762" t="s">
        <v>74</v>
      </c>
      <c r="BI762">
        <v>14</v>
      </c>
      <c r="BJ762" t="s">
        <v>291</v>
      </c>
      <c r="BK762" t="s">
        <v>313</v>
      </c>
      <c r="BL762" t="s">
        <v>100</v>
      </c>
      <c r="BM762" t="s">
        <v>14505</v>
      </c>
      <c r="BN762" t="s">
        <v>74</v>
      </c>
      <c r="BO762" t="s">
        <v>916</v>
      </c>
      <c r="BP762" t="s">
        <v>74</v>
      </c>
      <c r="BQ762" t="s">
        <v>74</v>
      </c>
      <c r="BR762" t="s">
        <v>102</v>
      </c>
      <c r="BS762" t="s">
        <v>14506</v>
      </c>
      <c r="BT762" t="str">
        <f>HYPERLINK("https%3A%2F%2Fwww.webofscience.com%2Fwos%2Fwoscc%2Ffull-record%2FWOS:001537767700001","View Full Record in Web of Science")</f>
        <v>View Full Record in Web of Science</v>
      </c>
    </row>
    <row r="763" spans="1:72" x14ac:dyDescent="0.25">
      <c r="A763" t="s">
        <v>72</v>
      </c>
      <c r="B763" t="s">
        <v>14507</v>
      </c>
      <c r="C763" t="s">
        <v>74</v>
      </c>
      <c r="D763" t="s">
        <v>74</v>
      </c>
      <c r="E763" t="s">
        <v>74</v>
      </c>
      <c r="F763" t="s">
        <v>14508</v>
      </c>
      <c r="G763" t="s">
        <v>74</v>
      </c>
      <c r="H763" t="s">
        <v>74</v>
      </c>
      <c r="I763" t="s">
        <v>14509</v>
      </c>
      <c r="J763" t="s">
        <v>8942</v>
      </c>
      <c r="K763" t="s">
        <v>74</v>
      </c>
      <c r="L763" t="s">
        <v>74</v>
      </c>
      <c r="M763" t="s">
        <v>78</v>
      </c>
      <c r="N763" t="s">
        <v>79</v>
      </c>
      <c r="O763" t="s">
        <v>74</v>
      </c>
      <c r="P763" t="s">
        <v>74</v>
      </c>
      <c r="Q763" t="s">
        <v>74</v>
      </c>
      <c r="R763" t="s">
        <v>74</v>
      </c>
      <c r="S763" t="s">
        <v>74</v>
      </c>
      <c r="T763" t="s">
        <v>14510</v>
      </c>
      <c r="U763" t="s">
        <v>14511</v>
      </c>
      <c r="V763" t="s">
        <v>14512</v>
      </c>
      <c r="W763" t="s">
        <v>14513</v>
      </c>
      <c r="X763" t="s">
        <v>14514</v>
      </c>
      <c r="Y763" t="s">
        <v>14515</v>
      </c>
      <c r="Z763" t="s">
        <v>11269</v>
      </c>
      <c r="AA763" t="s">
        <v>14516</v>
      </c>
      <c r="AB763" t="s">
        <v>13843</v>
      </c>
      <c r="AC763" t="s">
        <v>74</v>
      </c>
      <c r="AD763" t="s">
        <v>74</v>
      </c>
      <c r="AE763" t="s">
        <v>74</v>
      </c>
      <c r="AF763" t="s">
        <v>74</v>
      </c>
      <c r="AG763">
        <v>73</v>
      </c>
      <c r="AH763">
        <v>6</v>
      </c>
      <c r="AI763">
        <v>6</v>
      </c>
      <c r="AJ763">
        <v>0</v>
      </c>
      <c r="AK763">
        <v>7</v>
      </c>
      <c r="AL763" t="s">
        <v>89</v>
      </c>
      <c r="AM763" t="s">
        <v>1497</v>
      </c>
      <c r="AN763" t="s">
        <v>1498</v>
      </c>
      <c r="AO763" t="s">
        <v>8952</v>
      </c>
      <c r="AP763" t="s">
        <v>8953</v>
      </c>
      <c r="AQ763" t="s">
        <v>74</v>
      </c>
      <c r="AR763" t="s">
        <v>8954</v>
      </c>
      <c r="AS763" t="s">
        <v>8955</v>
      </c>
      <c r="AT763" t="s">
        <v>13963</v>
      </c>
      <c r="AU763">
        <v>2021</v>
      </c>
      <c r="AV763">
        <v>12</v>
      </c>
      <c r="AW763">
        <v>2</v>
      </c>
      <c r="AX763" t="s">
        <v>74</v>
      </c>
      <c r="AY763" t="s">
        <v>74</v>
      </c>
      <c r="AZ763" t="s">
        <v>74</v>
      </c>
      <c r="BA763" t="s">
        <v>74</v>
      </c>
      <c r="BB763">
        <v>193</v>
      </c>
      <c r="BC763">
        <v>207</v>
      </c>
      <c r="BD763" t="s">
        <v>74</v>
      </c>
      <c r="BE763" t="s">
        <v>14517</v>
      </c>
      <c r="BF763" t="str">
        <f>HYPERLINK("http://dx.doi.org/10.1108/AJEMS-06-2020-0268","http://dx.doi.org/10.1108/AJEMS-06-2020-0268")</f>
        <v>http://dx.doi.org/10.1108/AJEMS-06-2020-0268</v>
      </c>
      <c r="BG763" t="s">
        <v>74</v>
      </c>
      <c r="BH763" t="s">
        <v>7236</v>
      </c>
      <c r="BI763">
        <v>15</v>
      </c>
      <c r="BJ763" t="s">
        <v>291</v>
      </c>
      <c r="BK763" t="s">
        <v>313</v>
      </c>
      <c r="BL763" t="s">
        <v>100</v>
      </c>
      <c r="BM763" t="s">
        <v>14518</v>
      </c>
      <c r="BN763" t="s">
        <v>74</v>
      </c>
      <c r="BO763" t="s">
        <v>74</v>
      </c>
      <c r="BP763" t="s">
        <v>74</v>
      </c>
      <c r="BQ763" t="s">
        <v>74</v>
      </c>
      <c r="BR763" t="s">
        <v>102</v>
      </c>
      <c r="BS763" t="s">
        <v>14519</v>
      </c>
      <c r="BT763" t="str">
        <f>HYPERLINK("https%3A%2F%2Fwww.webofscience.com%2Fwos%2Fwoscc%2Ffull-record%2FWOS:000599361800001","View Full Record in Web of Science")</f>
        <v>View Full Record in Web of Science</v>
      </c>
    </row>
    <row r="764" spans="1:72" x14ac:dyDescent="0.25">
      <c r="A764" t="s">
        <v>72</v>
      </c>
      <c r="B764" t="s">
        <v>14520</v>
      </c>
      <c r="C764" t="s">
        <v>74</v>
      </c>
      <c r="D764" t="s">
        <v>74</v>
      </c>
      <c r="E764" t="s">
        <v>74</v>
      </c>
      <c r="F764" t="s">
        <v>14521</v>
      </c>
      <c r="G764" t="s">
        <v>74</v>
      </c>
      <c r="H764" t="s">
        <v>74</v>
      </c>
      <c r="I764" t="s">
        <v>14522</v>
      </c>
      <c r="J764" t="s">
        <v>9873</v>
      </c>
      <c r="K764" t="s">
        <v>74</v>
      </c>
      <c r="L764" t="s">
        <v>74</v>
      </c>
      <c r="M764" t="s">
        <v>78</v>
      </c>
      <c r="N764" t="s">
        <v>79</v>
      </c>
      <c r="O764" t="s">
        <v>74</v>
      </c>
      <c r="P764" t="s">
        <v>74</v>
      </c>
      <c r="Q764" t="s">
        <v>74</v>
      </c>
      <c r="R764" t="s">
        <v>74</v>
      </c>
      <c r="S764" t="s">
        <v>74</v>
      </c>
      <c r="T764" t="s">
        <v>14523</v>
      </c>
      <c r="U764" t="s">
        <v>14524</v>
      </c>
      <c r="V764" t="s">
        <v>14525</v>
      </c>
      <c r="W764" t="s">
        <v>14526</v>
      </c>
      <c r="X764" t="s">
        <v>14527</v>
      </c>
      <c r="Y764" t="s">
        <v>14528</v>
      </c>
      <c r="Z764" t="s">
        <v>14529</v>
      </c>
      <c r="AA764" t="s">
        <v>14530</v>
      </c>
      <c r="AB764" t="s">
        <v>14531</v>
      </c>
      <c r="AC764" t="s">
        <v>14532</v>
      </c>
      <c r="AD764" t="s">
        <v>14533</v>
      </c>
      <c r="AE764" t="s">
        <v>14534</v>
      </c>
      <c r="AF764" t="s">
        <v>74</v>
      </c>
      <c r="AG764">
        <v>37</v>
      </c>
      <c r="AH764">
        <v>3</v>
      </c>
      <c r="AI764">
        <v>3</v>
      </c>
      <c r="AJ764">
        <v>12</v>
      </c>
      <c r="AK764">
        <v>19</v>
      </c>
      <c r="AL764" t="s">
        <v>503</v>
      </c>
      <c r="AM764" t="s">
        <v>151</v>
      </c>
      <c r="AN764" t="s">
        <v>504</v>
      </c>
      <c r="AO764" t="s">
        <v>9886</v>
      </c>
      <c r="AP764" t="s">
        <v>9887</v>
      </c>
      <c r="AQ764" t="s">
        <v>74</v>
      </c>
      <c r="AR764" t="s">
        <v>9888</v>
      </c>
      <c r="AS764" t="s">
        <v>9889</v>
      </c>
      <c r="AT764" t="s">
        <v>1652</v>
      </c>
      <c r="AU764">
        <v>2025</v>
      </c>
      <c r="AV764">
        <v>91</v>
      </c>
      <c r="AW764" t="s">
        <v>74</v>
      </c>
      <c r="AX764" t="s">
        <v>74</v>
      </c>
      <c r="AY764" t="s">
        <v>74</v>
      </c>
      <c r="AZ764" t="s">
        <v>74</v>
      </c>
      <c r="BA764" t="s">
        <v>74</v>
      </c>
      <c r="BB764" t="s">
        <v>74</v>
      </c>
      <c r="BC764" t="s">
        <v>74</v>
      </c>
      <c r="BD764">
        <v>102399</v>
      </c>
      <c r="BE764" t="s">
        <v>14535</v>
      </c>
      <c r="BF764" t="str">
        <f>HYPERLINK("http://dx.doi.org/10.1016/j.chieco.2025.102399","http://dx.doi.org/10.1016/j.chieco.2025.102399")</f>
        <v>http://dx.doi.org/10.1016/j.chieco.2025.102399</v>
      </c>
      <c r="BG764" t="s">
        <v>74</v>
      </c>
      <c r="BH764" t="s">
        <v>2781</v>
      </c>
      <c r="BI764">
        <v>25</v>
      </c>
      <c r="BJ764" t="s">
        <v>291</v>
      </c>
      <c r="BK764" t="s">
        <v>99</v>
      </c>
      <c r="BL764" t="s">
        <v>100</v>
      </c>
      <c r="BM764" t="s">
        <v>14536</v>
      </c>
      <c r="BN764" t="s">
        <v>74</v>
      </c>
      <c r="BO764" t="s">
        <v>74</v>
      </c>
      <c r="BP764" t="s">
        <v>74</v>
      </c>
      <c r="BQ764" t="s">
        <v>74</v>
      </c>
      <c r="BR764" t="s">
        <v>102</v>
      </c>
      <c r="BS764" t="s">
        <v>14537</v>
      </c>
      <c r="BT764" t="str">
        <f>HYPERLINK("https%3A%2F%2Fwww.webofscience.com%2Fwos%2Fwoscc%2Ffull-record%2FWOS:001458575600001","View Full Record in Web of Science")</f>
        <v>View Full Record in Web of Science</v>
      </c>
    </row>
    <row r="765" spans="1:72" x14ac:dyDescent="0.25">
      <c r="A765" t="s">
        <v>72</v>
      </c>
      <c r="B765" t="s">
        <v>14538</v>
      </c>
      <c r="C765" t="s">
        <v>74</v>
      </c>
      <c r="D765" t="s">
        <v>74</v>
      </c>
      <c r="E765" t="s">
        <v>74</v>
      </c>
      <c r="F765" t="s">
        <v>14539</v>
      </c>
      <c r="G765" t="s">
        <v>74</v>
      </c>
      <c r="H765" t="s">
        <v>74</v>
      </c>
      <c r="I765" t="s">
        <v>14540</v>
      </c>
      <c r="J765" t="s">
        <v>3439</v>
      </c>
      <c r="K765" t="s">
        <v>74</v>
      </c>
      <c r="L765" t="s">
        <v>74</v>
      </c>
      <c r="M765" t="s">
        <v>78</v>
      </c>
      <c r="N765" t="s">
        <v>1766</v>
      </c>
      <c r="O765" t="s">
        <v>74</v>
      </c>
      <c r="P765" t="s">
        <v>74</v>
      </c>
      <c r="Q765" t="s">
        <v>74</v>
      </c>
      <c r="R765" t="s">
        <v>74</v>
      </c>
      <c r="S765" t="s">
        <v>74</v>
      </c>
      <c r="T765" t="s">
        <v>14541</v>
      </c>
      <c r="U765" t="s">
        <v>14542</v>
      </c>
      <c r="V765" t="s">
        <v>14543</v>
      </c>
      <c r="W765" t="s">
        <v>14544</v>
      </c>
      <c r="X765" t="s">
        <v>14545</v>
      </c>
      <c r="Y765" t="s">
        <v>14546</v>
      </c>
      <c r="Z765" t="s">
        <v>14547</v>
      </c>
      <c r="AA765" t="s">
        <v>14548</v>
      </c>
      <c r="AB765" t="s">
        <v>14549</v>
      </c>
      <c r="AC765" t="s">
        <v>74</v>
      </c>
      <c r="AD765" t="s">
        <v>74</v>
      </c>
      <c r="AE765" t="s">
        <v>74</v>
      </c>
      <c r="AF765" t="s">
        <v>74</v>
      </c>
      <c r="AG765">
        <v>156</v>
      </c>
      <c r="AH765">
        <v>29</v>
      </c>
      <c r="AI765">
        <v>34</v>
      </c>
      <c r="AJ765">
        <v>4</v>
      </c>
      <c r="AK765">
        <v>110</v>
      </c>
      <c r="AL765" t="s">
        <v>2481</v>
      </c>
      <c r="AM765" t="s">
        <v>2482</v>
      </c>
      <c r="AN765" t="s">
        <v>2483</v>
      </c>
      <c r="AO765" t="s">
        <v>3443</v>
      </c>
      <c r="AP765" t="s">
        <v>74</v>
      </c>
      <c r="AQ765" t="s">
        <v>74</v>
      </c>
      <c r="AR765" t="s">
        <v>3444</v>
      </c>
      <c r="AS765" t="s">
        <v>3445</v>
      </c>
      <c r="AT765" t="s">
        <v>2970</v>
      </c>
      <c r="AU765">
        <v>2022</v>
      </c>
      <c r="AV765">
        <v>10</v>
      </c>
      <c r="AW765">
        <v>1</v>
      </c>
      <c r="AX765" t="s">
        <v>74</v>
      </c>
      <c r="AY765" t="s">
        <v>74</v>
      </c>
      <c r="AZ765" t="s">
        <v>74</v>
      </c>
      <c r="BA765" t="s">
        <v>74</v>
      </c>
      <c r="BB765" t="s">
        <v>74</v>
      </c>
      <c r="BC765" t="s">
        <v>74</v>
      </c>
      <c r="BD765">
        <v>2114160</v>
      </c>
      <c r="BE765" t="s">
        <v>14550</v>
      </c>
      <c r="BF765" t="str">
        <f>HYPERLINK("http://dx.doi.org/10.1080/23322039.2022.2114160","http://dx.doi.org/10.1080/23322039.2022.2114160")</f>
        <v>http://dx.doi.org/10.1080/23322039.2022.2114160</v>
      </c>
      <c r="BG765" t="s">
        <v>74</v>
      </c>
      <c r="BH765" t="s">
        <v>74</v>
      </c>
      <c r="BI765">
        <v>50</v>
      </c>
      <c r="BJ765" t="s">
        <v>291</v>
      </c>
      <c r="BK765" t="s">
        <v>313</v>
      </c>
      <c r="BL765" t="s">
        <v>100</v>
      </c>
      <c r="BM765" t="s">
        <v>14551</v>
      </c>
      <c r="BN765" t="s">
        <v>74</v>
      </c>
      <c r="BO765" t="s">
        <v>916</v>
      </c>
      <c r="BP765" t="s">
        <v>74</v>
      </c>
      <c r="BQ765" t="s">
        <v>74</v>
      </c>
      <c r="BR765" t="s">
        <v>102</v>
      </c>
      <c r="BS765" t="s">
        <v>14552</v>
      </c>
      <c r="BT765" t="str">
        <f>HYPERLINK("https%3A%2F%2Fwww.webofscience.com%2Fwos%2Fwoscc%2Ffull-record%2FWOS:000850692900001","View Full Record in Web of Science")</f>
        <v>View Full Record in Web of Science</v>
      </c>
    </row>
    <row r="766" spans="1:72" x14ac:dyDescent="0.25">
      <c r="A766" t="s">
        <v>72</v>
      </c>
      <c r="B766" t="s">
        <v>14553</v>
      </c>
      <c r="C766" t="s">
        <v>74</v>
      </c>
      <c r="D766" t="s">
        <v>74</v>
      </c>
      <c r="E766" t="s">
        <v>74</v>
      </c>
      <c r="F766" t="s">
        <v>14554</v>
      </c>
      <c r="G766" t="s">
        <v>74</v>
      </c>
      <c r="H766" t="s">
        <v>74</v>
      </c>
      <c r="I766" t="s">
        <v>14555</v>
      </c>
      <c r="J766" t="s">
        <v>1412</v>
      </c>
      <c r="K766" t="s">
        <v>74</v>
      </c>
      <c r="L766" t="s">
        <v>74</v>
      </c>
      <c r="M766" t="s">
        <v>78</v>
      </c>
      <c r="N766" t="s">
        <v>79</v>
      </c>
      <c r="O766" t="s">
        <v>74</v>
      </c>
      <c r="P766" t="s">
        <v>74</v>
      </c>
      <c r="Q766" t="s">
        <v>74</v>
      </c>
      <c r="R766" t="s">
        <v>74</v>
      </c>
      <c r="S766" t="s">
        <v>74</v>
      </c>
      <c r="T766" t="s">
        <v>14556</v>
      </c>
      <c r="U766" t="s">
        <v>14557</v>
      </c>
      <c r="V766" t="s">
        <v>14558</v>
      </c>
      <c r="W766" t="s">
        <v>14559</v>
      </c>
      <c r="X766" t="s">
        <v>14560</v>
      </c>
      <c r="Y766" t="s">
        <v>14561</v>
      </c>
      <c r="Z766" t="s">
        <v>14562</v>
      </c>
      <c r="AA766" t="s">
        <v>14563</v>
      </c>
      <c r="AB766" t="s">
        <v>14564</v>
      </c>
      <c r="AC766" t="s">
        <v>74</v>
      </c>
      <c r="AD766" t="s">
        <v>74</v>
      </c>
      <c r="AE766" t="s">
        <v>74</v>
      </c>
      <c r="AF766" t="s">
        <v>74</v>
      </c>
      <c r="AG766">
        <v>76</v>
      </c>
      <c r="AH766">
        <v>5</v>
      </c>
      <c r="AI766">
        <v>6</v>
      </c>
      <c r="AJ766">
        <v>4</v>
      </c>
      <c r="AK766">
        <v>16</v>
      </c>
      <c r="AL766" t="s">
        <v>332</v>
      </c>
      <c r="AM766" t="s">
        <v>333</v>
      </c>
      <c r="AN766" t="s">
        <v>334</v>
      </c>
      <c r="AO766" t="s">
        <v>1423</v>
      </c>
      <c r="AP766" t="s">
        <v>1424</v>
      </c>
      <c r="AQ766" t="s">
        <v>74</v>
      </c>
      <c r="AR766" t="s">
        <v>1425</v>
      </c>
      <c r="AS766" t="s">
        <v>1426</v>
      </c>
      <c r="AT766" t="s">
        <v>5472</v>
      </c>
      <c r="AU766">
        <v>2025</v>
      </c>
      <c r="AV766">
        <v>31</v>
      </c>
      <c r="AW766">
        <v>3</v>
      </c>
      <c r="AX766" t="s">
        <v>74</v>
      </c>
      <c r="AY766" t="s">
        <v>74</v>
      </c>
      <c r="AZ766" t="s">
        <v>74</v>
      </c>
      <c r="BA766" t="s">
        <v>74</v>
      </c>
      <c r="BB766">
        <v>559</v>
      </c>
      <c r="BC766">
        <v>576</v>
      </c>
      <c r="BD766" t="s">
        <v>74</v>
      </c>
      <c r="BE766" t="s">
        <v>14565</v>
      </c>
      <c r="BF766" t="str">
        <f>HYPERLINK("http://dx.doi.org/10.1080/02681102.2024.2402996","http://dx.doi.org/10.1080/02681102.2024.2402996")</f>
        <v>http://dx.doi.org/10.1080/02681102.2024.2402996</v>
      </c>
      <c r="BG766" t="s">
        <v>74</v>
      </c>
      <c r="BH766" t="s">
        <v>9389</v>
      </c>
      <c r="BI766">
        <v>18</v>
      </c>
      <c r="BJ766" t="s">
        <v>1429</v>
      </c>
      <c r="BK766" t="s">
        <v>99</v>
      </c>
      <c r="BL766" t="s">
        <v>1429</v>
      </c>
      <c r="BM766" t="s">
        <v>14566</v>
      </c>
      <c r="BN766" t="s">
        <v>74</v>
      </c>
      <c r="BO766" t="s">
        <v>74</v>
      </c>
      <c r="BP766" t="s">
        <v>74</v>
      </c>
      <c r="BQ766" t="s">
        <v>74</v>
      </c>
      <c r="BR766" t="s">
        <v>102</v>
      </c>
      <c r="BS766" t="s">
        <v>14567</v>
      </c>
      <c r="BT766" t="str">
        <f>HYPERLINK("https%3A%2F%2Fwww.webofscience.com%2Fwos%2Fwoscc%2Ffull-record%2FWOS:001310458700001","View Full Record in Web of Science")</f>
        <v>View Full Record in Web of Science</v>
      </c>
    </row>
    <row r="767" spans="1:72" x14ac:dyDescent="0.25">
      <c r="A767" t="s">
        <v>72</v>
      </c>
      <c r="B767" t="s">
        <v>14568</v>
      </c>
      <c r="C767" t="s">
        <v>74</v>
      </c>
      <c r="D767" t="s">
        <v>74</v>
      </c>
      <c r="E767" t="s">
        <v>74</v>
      </c>
      <c r="F767" t="s">
        <v>14569</v>
      </c>
      <c r="G767" t="s">
        <v>74</v>
      </c>
      <c r="H767" t="s">
        <v>74</v>
      </c>
      <c r="I767" t="s">
        <v>14570</v>
      </c>
      <c r="J767" t="s">
        <v>2365</v>
      </c>
      <c r="K767" t="s">
        <v>74</v>
      </c>
      <c r="L767" t="s">
        <v>74</v>
      </c>
      <c r="M767" t="s">
        <v>78</v>
      </c>
      <c r="N767" t="s">
        <v>79</v>
      </c>
      <c r="O767" t="s">
        <v>74</v>
      </c>
      <c r="P767" t="s">
        <v>74</v>
      </c>
      <c r="Q767" t="s">
        <v>74</v>
      </c>
      <c r="R767" t="s">
        <v>74</v>
      </c>
      <c r="S767" t="s">
        <v>74</v>
      </c>
      <c r="T767" t="s">
        <v>14571</v>
      </c>
      <c r="U767" t="s">
        <v>14572</v>
      </c>
      <c r="V767" t="s">
        <v>14573</v>
      </c>
      <c r="W767" t="s">
        <v>14574</v>
      </c>
      <c r="X767" t="s">
        <v>14575</v>
      </c>
      <c r="Y767" t="s">
        <v>14576</v>
      </c>
      <c r="Z767" t="s">
        <v>14577</v>
      </c>
      <c r="AA767" t="s">
        <v>74</v>
      </c>
      <c r="AB767" t="s">
        <v>74</v>
      </c>
      <c r="AC767" t="s">
        <v>74</v>
      </c>
      <c r="AD767" t="s">
        <v>74</v>
      </c>
      <c r="AE767" t="s">
        <v>74</v>
      </c>
      <c r="AF767" t="s">
        <v>74</v>
      </c>
      <c r="AG767">
        <v>57</v>
      </c>
      <c r="AH767">
        <v>0</v>
      </c>
      <c r="AI767">
        <v>0</v>
      </c>
      <c r="AJ767">
        <v>2</v>
      </c>
      <c r="AK767">
        <v>2</v>
      </c>
      <c r="AL767" t="s">
        <v>2371</v>
      </c>
      <c r="AM767" t="s">
        <v>2372</v>
      </c>
      <c r="AN767" t="s">
        <v>2373</v>
      </c>
      <c r="AO767" t="s">
        <v>2374</v>
      </c>
      <c r="AP767" t="s">
        <v>2375</v>
      </c>
      <c r="AQ767" t="s">
        <v>74</v>
      </c>
      <c r="AR767" t="s">
        <v>2376</v>
      </c>
      <c r="AS767" t="s">
        <v>2377</v>
      </c>
      <c r="AT767" t="s">
        <v>74</v>
      </c>
      <c r="AU767">
        <v>2025</v>
      </c>
      <c r="AV767">
        <v>35</v>
      </c>
      <c r="AW767">
        <v>4</v>
      </c>
      <c r="AX767" t="s">
        <v>74</v>
      </c>
      <c r="AY767" t="s">
        <v>74</v>
      </c>
      <c r="AZ767" t="s">
        <v>74</v>
      </c>
      <c r="BA767" t="s">
        <v>74</v>
      </c>
      <c r="BB767">
        <v>458</v>
      </c>
      <c r="BC767">
        <v>475</v>
      </c>
      <c r="BD767" t="s">
        <v>74</v>
      </c>
      <c r="BE767" t="s">
        <v>14578</v>
      </c>
      <c r="BF767" t="str">
        <f>HYPERLINK("http://dx.doi.org/10.1504/IJICBM.2023.10060189","http://dx.doi.org/10.1504/IJICBM.2023.10060189")</f>
        <v>http://dx.doi.org/10.1504/IJICBM.2023.10060189</v>
      </c>
      <c r="BG767" t="s">
        <v>74</v>
      </c>
      <c r="BH767" t="s">
        <v>74</v>
      </c>
      <c r="BI767">
        <v>18</v>
      </c>
      <c r="BJ767" t="s">
        <v>418</v>
      </c>
      <c r="BK767" t="s">
        <v>313</v>
      </c>
      <c r="BL767" t="s">
        <v>100</v>
      </c>
      <c r="BM767" t="s">
        <v>14579</v>
      </c>
      <c r="BN767" t="s">
        <v>74</v>
      </c>
      <c r="BO767" t="s">
        <v>74</v>
      </c>
      <c r="BP767" t="s">
        <v>74</v>
      </c>
      <c r="BQ767" t="s">
        <v>74</v>
      </c>
      <c r="BR767" t="s">
        <v>102</v>
      </c>
      <c r="BS767" t="s">
        <v>14580</v>
      </c>
      <c r="BT767" t="str">
        <f>HYPERLINK("https%3A%2F%2Fwww.webofscience.com%2Fwos%2Fwoscc%2Ffull-record%2FWOS:001548827500005","View Full Record in Web of Science")</f>
        <v>View Full Record in Web of Science</v>
      </c>
    </row>
    <row r="768" spans="1:72" x14ac:dyDescent="0.25">
      <c r="A768" t="s">
        <v>72</v>
      </c>
      <c r="B768" t="s">
        <v>14581</v>
      </c>
      <c r="C768" t="s">
        <v>74</v>
      </c>
      <c r="D768" t="s">
        <v>74</v>
      </c>
      <c r="E768" t="s">
        <v>74</v>
      </c>
      <c r="F768" t="s">
        <v>14582</v>
      </c>
      <c r="G768" t="s">
        <v>74</v>
      </c>
      <c r="H768" t="s">
        <v>74</v>
      </c>
      <c r="I768" t="s">
        <v>14583</v>
      </c>
      <c r="J768" t="s">
        <v>14584</v>
      </c>
      <c r="K768" t="s">
        <v>74</v>
      </c>
      <c r="L768" t="s">
        <v>74</v>
      </c>
      <c r="M768" t="s">
        <v>298</v>
      </c>
      <c r="N768" t="s">
        <v>79</v>
      </c>
      <c r="O768" t="s">
        <v>74</v>
      </c>
      <c r="P768" t="s">
        <v>74</v>
      </c>
      <c r="Q768" t="s">
        <v>74</v>
      </c>
      <c r="R768" t="s">
        <v>74</v>
      </c>
      <c r="S768" t="s">
        <v>74</v>
      </c>
      <c r="T768" t="s">
        <v>14585</v>
      </c>
      <c r="U768" t="s">
        <v>74</v>
      </c>
      <c r="V768" t="s">
        <v>14586</v>
      </c>
      <c r="W768" t="s">
        <v>74</v>
      </c>
      <c r="X768" t="s">
        <v>74</v>
      </c>
      <c r="Y768" t="s">
        <v>74</v>
      </c>
      <c r="Z768" t="s">
        <v>74</v>
      </c>
      <c r="AA768" t="s">
        <v>14587</v>
      </c>
      <c r="AB768" t="s">
        <v>14588</v>
      </c>
      <c r="AC768" t="s">
        <v>74</v>
      </c>
      <c r="AD768" t="s">
        <v>74</v>
      </c>
      <c r="AE768" t="s">
        <v>74</v>
      </c>
      <c r="AF768" t="s">
        <v>74</v>
      </c>
      <c r="AG768">
        <v>63</v>
      </c>
      <c r="AH768">
        <v>0</v>
      </c>
      <c r="AI768">
        <v>1</v>
      </c>
      <c r="AJ768">
        <v>1</v>
      </c>
      <c r="AK768">
        <v>15</v>
      </c>
      <c r="AL768" t="s">
        <v>14589</v>
      </c>
      <c r="AM768" t="s">
        <v>14590</v>
      </c>
      <c r="AN768" t="s">
        <v>14591</v>
      </c>
      <c r="AO768" t="s">
        <v>14592</v>
      </c>
      <c r="AP768" t="s">
        <v>74</v>
      </c>
      <c r="AQ768" t="s">
        <v>74</v>
      </c>
      <c r="AR768" t="s">
        <v>14593</v>
      </c>
      <c r="AS768" t="s">
        <v>14594</v>
      </c>
      <c r="AT768" t="s">
        <v>311</v>
      </c>
      <c r="AU768">
        <v>2021</v>
      </c>
      <c r="AV768" t="s">
        <v>74</v>
      </c>
      <c r="AW768">
        <v>50</v>
      </c>
      <c r="AX768" t="s">
        <v>74</v>
      </c>
      <c r="AY768" t="s">
        <v>74</v>
      </c>
      <c r="AZ768" t="s">
        <v>74</v>
      </c>
      <c r="BA768" t="s">
        <v>74</v>
      </c>
      <c r="BB768">
        <v>74</v>
      </c>
      <c r="BC768">
        <v>99</v>
      </c>
      <c r="BD768" t="s">
        <v>74</v>
      </c>
      <c r="BE768" t="s">
        <v>74</v>
      </c>
      <c r="BF768" t="s">
        <v>74</v>
      </c>
      <c r="BG768" t="s">
        <v>74</v>
      </c>
      <c r="BH768" t="s">
        <v>74</v>
      </c>
      <c r="BI768">
        <v>26</v>
      </c>
      <c r="BJ768" t="s">
        <v>2464</v>
      </c>
      <c r="BK768" t="s">
        <v>313</v>
      </c>
      <c r="BL768" t="s">
        <v>2464</v>
      </c>
      <c r="BM768" t="s">
        <v>14595</v>
      </c>
      <c r="BN768" t="s">
        <v>74</v>
      </c>
      <c r="BO768" t="s">
        <v>74</v>
      </c>
      <c r="BP768" t="s">
        <v>74</v>
      </c>
      <c r="BQ768" t="s">
        <v>74</v>
      </c>
      <c r="BR768" t="s">
        <v>102</v>
      </c>
      <c r="BS768" t="s">
        <v>14596</v>
      </c>
      <c r="BT768" t="str">
        <f>HYPERLINK("https%3A%2F%2Fwww.webofscience.com%2Fwos%2Fwoscc%2Ffull-record%2FWOS:000704650500005","View Full Record in Web of Science")</f>
        <v>View Full Record in Web of Science</v>
      </c>
    </row>
    <row r="769" spans="1:72" x14ac:dyDescent="0.25">
      <c r="A769" t="s">
        <v>132</v>
      </c>
      <c r="B769" t="s">
        <v>14597</v>
      </c>
      <c r="C769" t="s">
        <v>74</v>
      </c>
      <c r="D769" t="s">
        <v>14598</v>
      </c>
      <c r="E769" t="s">
        <v>74</v>
      </c>
      <c r="F769" t="s">
        <v>14599</v>
      </c>
      <c r="G769" t="s">
        <v>74</v>
      </c>
      <c r="H769" t="s">
        <v>74</v>
      </c>
      <c r="I769" t="s">
        <v>14600</v>
      </c>
      <c r="J769" t="s">
        <v>14601</v>
      </c>
      <c r="K769" t="s">
        <v>7155</v>
      </c>
      <c r="L769" t="s">
        <v>74</v>
      </c>
      <c r="M769" t="s">
        <v>78</v>
      </c>
      <c r="N769" t="s">
        <v>138</v>
      </c>
      <c r="O769" t="s">
        <v>14602</v>
      </c>
      <c r="P769" t="s">
        <v>14603</v>
      </c>
      <c r="Q769" t="s">
        <v>14604</v>
      </c>
      <c r="R769" t="s">
        <v>14605</v>
      </c>
      <c r="S769" t="s">
        <v>74</v>
      </c>
      <c r="T769" t="s">
        <v>14606</v>
      </c>
      <c r="U769" t="s">
        <v>14607</v>
      </c>
      <c r="V769" t="s">
        <v>14608</v>
      </c>
      <c r="W769" t="s">
        <v>14609</v>
      </c>
      <c r="X769" t="s">
        <v>14610</v>
      </c>
      <c r="Y769" t="s">
        <v>14611</v>
      </c>
      <c r="Z769" t="s">
        <v>14612</v>
      </c>
      <c r="AA769" t="s">
        <v>14613</v>
      </c>
      <c r="AB769" t="s">
        <v>74</v>
      </c>
      <c r="AC769" t="s">
        <v>74</v>
      </c>
      <c r="AD769" t="s">
        <v>74</v>
      </c>
      <c r="AE769" t="s">
        <v>74</v>
      </c>
      <c r="AF769" t="s">
        <v>74</v>
      </c>
      <c r="AG769">
        <v>25</v>
      </c>
      <c r="AH769">
        <v>0</v>
      </c>
      <c r="AI769">
        <v>0</v>
      </c>
      <c r="AJ769">
        <v>0</v>
      </c>
      <c r="AK769">
        <v>1</v>
      </c>
      <c r="AL769" t="s">
        <v>7166</v>
      </c>
      <c r="AM769" t="s">
        <v>7167</v>
      </c>
      <c r="AN769" t="s">
        <v>7168</v>
      </c>
      <c r="AO769" t="s">
        <v>7169</v>
      </c>
      <c r="AP769" t="s">
        <v>74</v>
      </c>
      <c r="AQ769" t="s">
        <v>14614</v>
      </c>
      <c r="AR769" t="s">
        <v>7171</v>
      </c>
      <c r="AS769" t="s">
        <v>74</v>
      </c>
      <c r="AT769" t="s">
        <v>74</v>
      </c>
      <c r="AU769">
        <v>2020</v>
      </c>
      <c r="AV769">
        <v>138</v>
      </c>
      <c r="AW769" t="s">
        <v>74</v>
      </c>
      <c r="AX769" t="s">
        <v>74</v>
      </c>
      <c r="AY769" t="s">
        <v>74</v>
      </c>
      <c r="AZ769" t="s">
        <v>74</v>
      </c>
      <c r="BA769" t="s">
        <v>74</v>
      </c>
      <c r="BB769">
        <v>286</v>
      </c>
      <c r="BC769">
        <v>292</v>
      </c>
      <c r="BD769" t="s">
        <v>74</v>
      </c>
      <c r="BE769" t="s">
        <v>74</v>
      </c>
      <c r="BF769" t="s">
        <v>74</v>
      </c>
      <c r="BG769" t="s">
        <v>74</v>
      </c>
      <c r="BH769" t="s">
        <v>74</v>
      </c>
      <c r="BI769">
        <v>7</v>
      </c>
      <c r="BJ769" t="s">
        <v>14615</v>
      </c>
      <c r="BK769" t="s">
        <v>1069</v>
      </c>
      <c r="BL769" t="s">
        <v>14616</v>
      </c>
      <c r="BM769" t="s">
        <v>14617</v>
      </c>
      <c r="BN769" t="s">
        <v>74</v>
      </c>
      <c r="BO769" t="s">
        <v>74</v>
      </c>
      <c r="BP769" t="s">
        <v>74</v>
      </c>
      <c r="BQ769" t="s">
        <v>74</v>
      </c>
      <c r="BR769" t="s">
        <v>102</v>
      </c>
      <c r="BS769" t="s">
        <v>14618</v>
      </c>
      <c r="BT769" t="str">
        <f>HYPERLINK("https%3A%2F%2Fwww.webofscience.com%2Fwos%2Fwoscc%2Ffull-record%2FWOS:000679077600046","View Full Record in Web of Science")</f>
        <v>View Full Record in Web of Science</v>
      </c>
    </row>
    <row r="770" spans="1:72" x14ac:dyDescent="0.25">
      <c r="A770" t="s">
        <v>72</v>
      </c>
      <c r="B770" t="s">
        <v>14619</v>
      </c>
      <c r="C770" t="s">
        <v>74</v>
      </c>
      <c r="D770" t="s">
        <v>74</v>
      </c>
      <c r="E770" t="s">
        <v>74</v>
      </c>
      <c r="F770" t="s">
        <v>14620</v>
      </c>
      <c r="G770" t="s">
        <v>74</v>
      </c>
      <c r="H770" t="s">
        <v>74</v>
      </c>
      <c r="I770" t="s">
        <v>14621</v>
      </c>
      <c r="J770" t="s">
        <v>14622</v>
      </c>
      <c r="K770" t="s">
        <v>74</v>
      </c>
      <c r="L770" t="s">
        <v>74</v>
      </c>
      <c r="M770" t="s">
        <v>78</v>
      </c>
      <c r="N770" t="s">
        <v>79</v>
      </c>
      <c r="O770" t="s">
        <v>74</v>
      </c>
      <c r="P770" t="s">
        <v>74</v>
      </c>
      <c r="Q770" t="s">
        <v>74</v>
      </c>
      <c r="R770" t="s">
        <v>74</v>
      </c>
      <c r="S770" t="s">
        <v>74</v>
      </c>
      <c r="T770" t="s">
        <v>14623</v>
      </c>
      <c r="U770" t="s">
        <v>14624</v>
      </c>
      <c r="V770" t="s">
        <v>14625</v>
      </c>
      <c r="W770" t="s">
        <v>14626</v>
      </c>
      <c r="X770" t="s">
        <v>14627</v>
      </c>
      <c r="Y770" t="s">
        <v>14628</v>
      </c>
      <c r="Z770" t="s">
        <v>14629</v>
      </c>
      <c r="AA770" t="s">
        <v>14630</v>
      </c>
      <c r="AB770" t="s">
        <v>14631</v>
      </c>
      <c r="AC770" t="s">
        <v>14632</v>
      </c>
      <c r="AD770" t="s">
        <v>14633</v>
      </c>
      <c r="AE770" t="s">
        <v>14634</v>
      </c>
      <c r="AF770" t="s">
        <v>74</v>
      </c>
      <c r="AG770">
        <v>60</v>
      </c>
      <c r="AH770">
        <v>12</v>
      </c>
      <c r="AI770">
        <v>13</v>
      </c>
      <c r="AJ770">
        <v>14</v>
      </c>
      <c r="AK770">
        <v>59</v>
      </c>
      <c r="AL770" t="s">
        <v>385</v>
      </c>
      <c r="AM770" t="s">
        <v>151</v>
      </c>
      <c r="AN770" t="s">
        <v>386</v>
      </c>
      <c r="AO770" t="s">
        <v>14635</v>
      </c>
      <c r="AP770" t="s">
        <v>14636</v>
      </c>
      <c r="AQ770" t="s">
        <v>74</v>
      </c>
      <c r="AR770" t="s">
        <v>14637</v>
      </c>
      <c r="AS770" t="s">
        <v>14638</v>
      </c>
      <c r="AT770" t="s">
        <v>698</v>
      </c>
      <c r="AU770">
        <v>2025</v>
      </c>
      <c r="AV770">
        <v>32</v>
      </c>
      <c r="AW770">
        <v>3</v>
      </c>
      <c r="AX770" t="s">
        <v>74</v>
      </c>
      <c r="AY770" t="s">
        <v>74</v>
      </c>
      <c r="AZ770" t="s">
        <v>74</v>
      </c>
      <c r="BA770" t="s">
        <v>74</v>
      </c>
      <c r="BB770">
        <v>821</v>
      </c>
      <c r="BC770">
        <v>854</v>
      </c>
      <c r="BD770" t="s">
        <v>74</v>
      </c>
      <c r="BE770" t="s">
        <v>14639</v>
      </c>
      <c r="BF770" t="str">
        <f>HYPERLINK("http://dx.doi.org/10.1007/s10690-024-09472-9","http://dx.doi.org/10.1007/s10690-024-09472-9")</f>
        <v>http://dx.doi.org/10.1007/s10690-024-09472-9</v>
      </c>
      <c r="BG770" t="s">
        <v>74</v>
      </c>
      <c r="BH770" t="s">
        <v>6256</v>
      </c>
      <c r="BI770">
        <v>34</v>
      </c>
      <c r="BJ770" t="s">
        <v>291</v>
      </c>
      <c r="BK770" t="s">
        <v>313</v>
      </c>
      <c r="BL770" t="s">
        <v>100</v>
      </c>
      <c r="BM770" t="s">
        <v>14640</v>
      </c>
      <c r="BN770" t="s">
        <v>74</v>
      </c>
      <c r="BO770" t="s">
        <v>74</v>
      </c>
      <c r="BP770" t="s">
        <v>74</v>
      </c>
      <c r="BQ770" t="s">
        <v>74</v>
      </c>
      <c r="BR770" t="s">
        <v>102</v>
      </c>
      <c r="BS770" t="s">
        <v>14641</v>
      </c>
      <c r="BT770" t="str">
        <f>HYPERLINK("https%3A%2F%2Fwww.webofscience.com%2Fwos%2Fwoscc%2Ffull-record%2FWOS:001246791500001","View Full Record in Web of Science")</f>
        <v>View Full Record in Web of Science</v>
      </c>
    </row>
    <row r="771" spans="1:72" x14ac:dyDescent="0.25">
      <c r="A771" t="s">
        <v>72</v>
      </c>
      <c r="B771" t="s">
        <v>14642</v>
      </c>
      <c r="C771" t="s">
        <v>74</v>
      </c>
      <c r="D771" t="s">
        <v>74</v>
      </c>
      <c r="E771" t="s">
        <v>74</v>
      </c>
      <c r="F771" t="s">
        <v>14643</v>
      </c>
      <c r="G771" t="s">
        <v>74</v>
      </c>
      <c r="H771" t="s">
        <v>74</v>
      </c>
      <c r="I771" t="s">
        <v>14644</v>
      </c>
      <c r="J771" t="s">
        <v>14645</v>
      </c>
      <c r="K771" t="s">
        <v>74</v>
      </c>
      <c r="L771" t="s">
        <v>74</v>
      </c>
      <c r="M771" t="s">
        <v>78</v>
      </c>
      <c r="N771" t="s">
        <v>79</v>
      </c>
      <c r="O771" t="s">
        <v>74</v>
      </c>
      <c r="P771" t="s">
        <v>74</v>
      </c>
      <c r="Q771" t="s">
        <v>74</v>
      </c>
      <c r="R771" t="s">
        <v>74</v>
      </c>
      <c r="S771" t="s">
        <v>74</v>
      </c>
      <c r="T771" t="s">
        <v>14646</v>
      </c>
      <c r="U771" t="s">
        <v>74</v>
      </c>
      <c r="V771" t="s">
        <v>14647</v>
      </c>
      <c r="W771" t="s">
        <v>14648</v>
      </c>
      <c r="X771" t="s">
        <v>14649</v>
      </c>
      <c r="Y771" t="s">
        <v>14650</v>
      </c>
      <c r="Z771" t="s">
        <v>14651</v>
      </c>
      <c r="AA771" t="s">
        <v>74</v>
      </c>
      <c r="AB771" t="s">
        <v>74</v>
      </c>
      <c r="AC771" t="s">
        <v>74</v>
      </c>
      <c r="AD771" t="s">
        <v>74</v>
      </c>
      <c r="AE771" t="s">
        <v>74</v>
      </c>
      <c r="AF771" t="s">
        <v>74</v>
      </c>
      <c r="AG771">
        <v>18</v>
      </c>
      <c r="AH771">
        <v>1</v>
      </c>
      <c r="AI771">
        <v>2</v>
      </c>
      <c r="AJ771">
        <v>9</v>
      </c>
      <c r="AK771">
        <v>31</v>
      </c>
      <c r="AL771" t="s">
        <v>2551</v>
      </c>
      <c r="AM771" t="s">
        <v>231</v>
      </c>
      <c r="AN771" t="s">
        <v>2552</v>
      </c>
      <c r="AO771" t="s">
        <v>14652</v>
      </c>
      <c r="AP771" t="s">
        <v>14653</v>
      </c>
      <c r="AQ771" t="s">
        <v>74</v>
      </c>
      <c r="AR771" t="s">
        <v>14654</v>
      </c>
      <c r="AS771" t="s">
        <v>14655</v>
      </c>
      <c r="AT771" t="s">
        <v>14656</v>
      </c>
      <c r="AU771">
        <v>2024</v>
      </c>
      <c r="AV771">
        <v>40</v>
      </c>
      <c r="AW771">
        <v>1</v>
      </c>
      <c r="AX771" t="s">
        <v>74</v>
      </c>
      <c r="AY771" t="s">
        <v>74</v>
      </c>
      <c r="AZ771" t="s">
        <v>441</v>
      </c>
      <c r="BA771" t="s">
        <v>74</v>
      </c>
      <c r="BB771">
        <v>1</v>
      </c>
      <c r="BC771">
        <v>7</v>
      </c>
      <c r="BD771" t="s">
        <v>74</v>
      </c>
      <c r="BE771" t="s">
        <v>14657</v>
      </c>
      <c r="BF771" t="str">
        <f>HYPERLINK("http://dx.doi.org/10.1093/oxrep/grae004","http://dx.doi.org/10.1093/oxrep/grae004")</f>
        <v>http://dx.doi.org/10.1093/oxrep/grae004</v>
      </c>
      <c r="BG771" t="s">
        <v>74</v>
      </c>
      <c r="BH771" t="s">
        <v>74</v>
      </c>
      <c r="BI771">
        <v>7</v>
      </c>
      <c r="BJ771" t="s">
        <v>291</v>
      </c>
      <c r="BK771" t="s">
        <v>99</v>
      </c>
      <c r="BL771" t="s">
        <v>100</v>
      </c>
      <c r="BM771" t="s">
        <v>14658</v>
      </c>
      <c r="BN771" t="s">
        <v>74</v>
      </c>
      <c r="BO771" t="s">
        <v>270</v>
      </c>
      <c r="BP771" t="s">
        <v>74</v>
      </c>
      <c r="BQ771" t="s">
        <v>74</v>
      </c>
      <c r="BR771" t="s">
        <v>102</v>
      </c>
      <c r="BS771" t="s">
        <v>14659</v>
      </c>
      <c r="BT771" t="str">
        <f>HYPERLINK("https%3A%2F%2Fwww.webofscience.com%2Fwos%2Fwoscc%2Ffull-record%2FWOS:001186414700007","View Full Record in Web of Science")</f>
        <v>View Full Record in Web of Science</v>
      </c>
    </row>
    <row r="772" spans="1:72" x14ac:dyDescent="0.25">
      <c r="A772" t="s">
        <v>72</v>
      </c>
      <c r="B772" t="s">
        <v>14660</v>
      </c>
      <c r="C772" t="s">
        <v>74</v>
      </c>
      <c r="D772" t="s">
        <v>74</v>
      </c>
      <c r="E772" t="s">
        <v>74</v>
      </c>
      <c r="F772" t="s">
        <v>14661</v>
      </c>
      <c r="G772" t="s">
        <v>74</v>
      </c>
      <c r="H772" t="s">
        <v>74</v>
      </c>
      <c r="I772" t="s">
        <v>14662</v>
      </c>
      <c r="J772" t="s">
        <v>8087</v>
      </c>
      <c r="K772" t="s">
        <v>74</v>
      </c>
      <c r="L772" t="s">
        <v>74</v>
      </c>
      <c r="M772" t="s">
        <v>78</v>
      </c>
      <c r="N772" t="s">
        <v>79</v>
      </c>
      <c r="O772" t="s">
        <v>74</v>
      </c>
      <c r="P772" t="s">
        <v>74</v>
      </c>
      <c r="Q772" t="s">
        <v>74</v>
      </c>
      <c r="R772" t="s">
        <v>74</v>
      </c>
      <c r="S772" t="s">
        <v>74</v>
      </c>
      <c r="T772" t="s">
        <v>14663</v>
      </c>
      <c r="U772" t="s">
        <v>14664</v>
      </c>
      <c r="V772" t="s">
        <v>14665</v>
      </c>
      <c r="W772" t="s">
        <v>14666</v>
      </c>
      <c r="X772" t="s">
        <v>14667</v>
      </c>
      <c r="Y772" t="s">
        <v>14668</v>
      </c>
      <c r="Z772" t="s">
        <v>14669</v>
      </c>
      <c r="AA772" t="s">
        <v>14670</v>
      </c>
      <c r="AB772" t="s">
        <v>14671</v>
      </c>
      <c r="AC772" t="s">
        <v>74</v>
      </c>
      <c r="AD772" t="s">
        <v>74</v>
      </c>
      <c r="AE772" t="s">
        <v>74</v>
      </c>
      <c r="AF772" t="s">
        <v>74</v>
      </c>
      <c r="AG772">
        <v>45</v>
      </c>
      <c r="AH772">
        <v>193</v>
      </c>
      <c r="AI772">
        <v>276</v>
      </c>
      <c r="AJ772">
        <v>10</v>
      </c>
      <c r="AK772">
        <v>235</v>
      </c>
      <c r="AL772" t="s">
        <v>479</v>
      </c>
      <c r="AM772" t="s">
        <v>480</v>
      </c>
      <c r="AN772" t="s">
        <v>481</v>
      </c>
      <c r="AO772" t="s">
        <v>8097</v>
      </c>
      <c r="AP772" t="s">
        <v>8098</v>
      </c>
      <c r="AQ772" t="s">
        <v>74</v>
      </c>
      <c r="AR772" t="s">
        <v>8099</v>
      </c>
      <c r="AS772" t="s">
        <v>8100</v>
      </c>
      <c r="AT772" t="s">
        <v>891</v>
      </c>
      <c r="AU772">
        <v>2016</v>
      </c>
      <c r="AV772">
        <v>40</v>
      </c>
      <c r="AW772">
        <v>6</v>
      </c>
      <c r="AX772" t="s">
        <v>74</v>
      </c>
      <c r="AY772" t="s">
        <v>74</v>
      </c>
      <c r="AZ772" t="s">
        <v>74</v>
      </c>
      <c r="BA772" t="s">
        <v>74</v>
      </c>
      <c r="BB772">
        <v>712</v>
      </c>
      <c r="BC772">
        <v>721</v>
      </c>
      <c r="BD772" t="s">
        <v>74</v>
      </c>
      <c r="BE772" t="s">
        <v>14672</v>
      </c>
      <c r="BF772" t="str">
        <f>HYPERLINK("http://dx.doi.org/10.1111/ijcs.12285","http://dx.doi.org/10.1111/ijcs.12285")</f>
        <v>http://dx.doi.org/10.1111/ijcs.12285</v>
      </c>
      <c r="BG772" t="s">
        <v>74</v>
      </c>
      <c r="BH772" t="s">
        <v>74</v>
      </c>
      <c r="BI772">
        <v>10</v>
      </c>
      <c r="BJ772" t="s">
        <v>418</v>
      </c>
      <c r="BK772" t="s">
        <v>99</v>
      </c>
      <c r="BL772" t="s">
        <v>100</v>
      </c>
      <c r="BM772" t="s">
        <v>14673</v>
      </c>
      <c r="BN772" t="s">
        <v>74</v>
      </c>
      <c r="BO772" t="s">
        <v>1696</v>
      </c>
      <c r="BP772" t="s">
        <v>74</v>
      </c>
      <c r="BQ772" t="s">
        <v>74</v>
      </c>
      <c r="BR772" t="s">
        <v>102</v>
      </c>
      <c r="BS772" t="s">
        <v>14674</v>
      </c>
      <c r="BT772" t="str">
        <f>HYPERLINK("https%3A%2F%2Fwww.webofscience.com%2Fwos%2Fwoscc%2Ffull-record%2FWOS:000386031200010","View Full Record in Web of Science")</f>
        <v>View Full Record in Web of Science</v>
      </c>
    </row>
    <row r="773" spans="1:72" x14ac:dyDescent="0.25">
      <c r="A773" t="s">
        <v>72</v>
      </c>
      <c r="B773" t="s">
        <v>14675</v>
      </c>
      <c r="C773" t="s">
        <v>74</v>
      </c>
      <c r="D773" t="s">
        <v>74</v>
      </c>
      <c r="E773" t="s">
        <v>74</v>
      </c>
      <c r="F773" t="s">
        <v>14676</v>
      </c>
      <c r="G773" t="s">
        <v>74</v>
      </c>
      <c r="H773" t="s">
        <v>74</v>
      </c>
      <c r="I773" t="s">
        <v>14677</v>
      </c>
      <c r="J773" t="s">
        <v>10503</v>
      </c>
      <c r="K773" t="s">
        <v>74</v>
      </c>
      <c r="L773" t="s">
        <v>74</v>
      </c>
      <c r="M773" t="s">
        <v>78</v>
      </c>
      <c r="N773" t="s">
        <v>79</v>
      </c>
      <c r="O773" t="s">
        <v>74</v>
      </c>
      <c r="P773" t="s">
        <v>74</v>
      </c>
      <c r="Q773" t="s">
        <v>74</v>
      </c>
      <c r="R773" t="s">
        <v>74</v>
      </c>
      <c r="S773" t="s">
        <v>74</v>
      </c>
      <c r="T773" t="s">
        <v>14678</v>
      </c>
      <c r="U773" t="s">
        <v>14679</v>
      </c>
      <c r="V773" t="s">
        <v>14680</v>
      </c>
      <c r="W773" t="s">
        <v>14681</v>
      </c>
      <c r="X773" t="s">
        <v>14682</v>
      </c>
      <c r="Y773" t="s">
        <v>14683</v>
      </c>
      <c r="Z773" t="s">
        <v>74</v>
      </c>
      <c r="AA773" t="s">
        <v>74</v>
      </c>
      <c r="AB773" t="s">
        <v>74</v>
      </c>
      <c r="AC773" t="s">
        <v>14684</v>
      </c>
      <c r="AD773" t="s">
        <v>14685</v>
      </c>
      <c r="AE773" t="s">
        <v>14686</v>
      </c>
      <c r="AF773" t="s">
        <v>74</v>
      </c>
      <c r="AG773">
        <v>52</v>
      </c>
      <c r="AH773">
        <v>5</v>
      </c>
      <c r="AI773">
        <v>5</v>
      </c>
      <c r="AJ773">
        <v>4</v>
      </c>
      <c r="AK773">
        <v>62</v>
      </c>
      <c r="AL773" t="s">
        <v>7551</v>
      </c>
      <c r="AM773" t="s">
        <v>7552</v>
      </c>
      <c r="AN773" t="s">
        <v>7553</v>
      </c>
      <c r="AO773" t="s">
        <v>10512</v>
      </c>
      <c r="AP773" t="s">
        <v>10513</v>
      </c>
      <c r="AQ773" t="s">
        <v>74</v>
      </c>
      <c r="AR773" t="s">
        <v>10514</v>
      </c>
      <c r="AS773" t="s">
        <v>10515</v>
      </c>
      <c r="AT773" t="s">
        <v>74</v>
      </c>
      <c r="AU773">
        <v>2023</v>
      </c>
      <c r="AV773">
        <v>31</v>
      </c>
      <c r="AW773">
        <v>6</v>
      </c>
      <c r="AX773" t="s">
        <v>74</v>
      </c>
      <c r="AY773" t="s">
        <v>74</v>
      </c>
      <c r="AZ773" t="s">
        <v>74</v>
      </c>
      <c r="BA773" t="s">
        <v>74</v>
      </c>
      <c r="BB773" t="s">
        <v>74</v>
      </c>
      <c r="BC773" t="s">
        <v>74</v>
      </c>
      <c r="BD773">
        <v>321183</v>
      </c>
      <c r="BE773" t="s">
        <v>14687</v>
      </c>
      <c r="BF773" t="str">
        <f>HYPERLINK("http://dx.doi.org/10.4018/JGIM.321183","http://dx.doi.org/10.4018/JGIM.321183")</f>
        <v>http://dx.doi.org/10.4018/JGIM.321183</v>
      </c>
      <c r="BG773" t="s">
        <v>74</v>
      </c>
      <c r="BH773" t="s">
        <v>74</v>
      </c>
      <c r="BI773">
        <v>20</v>
      </c>
      <c r="BJ773" t="s">
        <v>2351</v>
      </c>
      <c r="BK773" t="s">
        <v>99</v>
      </c>
      <c r="BL773" t="s">
        <v>2351</v>
      </c>
      <c r="BM773" t="s">
        <v>14688</v>
      </c>
      <c r="BN773" t="s">
        <v>74</v>
      </c>
      <c r="BO773" t="s">
        <v>212</v>
      </c>
      <c r="BP773" t="s">
        <v>74</v>
      </c>
      <c r="BQ773" t="s">
        <v>74</v>
      </c>
      <c r="BR773" t="s">
        <v>102</v>
      </c>
      <c r="BS773" t="s">
        <v>14689</v>
      </c>
      <c r="BT773" t="str">
        <f>HYPERLINK("https%3A%2F%2Fwww.webofscience.com%2Fwos%2Fwoscc%2Ffull-record%2FWOS:001159260400015","View Full Record in Web of Science")</f>
        <v>View Full Record in Web of Science</v>
      </c>
    </row>
    <row r="774" spans="1:72" x14ac:dyDescent="0.25">
      <c r="A774" t="s">
        <v>72</v>
      </c>
      <c r="B774" t="s">
        <v>14690</v>
      </c>
      <c r="C774" t="s">
        <v>74</v>
      </c>
      <c r="D774" t="s">
        <v>74</v>
      </c>
      <c r="E774" t="s">
        <v>74</v>
      </c>
      <c r="F774" t="s">
        <v>14691</v>
      </c>
      <c r="G774" t="s">
        <v>74</v>
      </c>
      <c r="H774" t="s">
        <v>74</v>
      </c>
      <c r="I774" t="s">
        <v>14692</v>
      </c>
      <c r="J774" t="s">
        <v>14693</v>
      </c>
      <c r="K774" t="s">
        <v>74</v>
      </c>
      <c r="L774" t="s">
        <v>74</v>
      </c>
      <c r="M774" t="s">
        <v>78</v>
      </c>
      <c r="N774" t="s">
        <v>79</v>
      </c>
      <c r="O774" t="s">
        <v>74</v>
      </c>
      <c r="P774" t="s">
        <v>74</v>
      </c>
      <c r="Q774" t="s">
        <v>74</v>
      </c>
      <c r="R774" t="s">
        <v>74</v>
      </c>
      <c r="S774" t="s">
        <v>74</v>
      </c>
      <c r="T774" t="s">
        <v>14694</v>
      </c>
      <c r="U774" t="s">
        <v>14695</v>
      </c>
      <c r="V774" t="s">
        <v>14696</v>
      </c>
      <c r="W774" t="s">
        <v>14697</v>
      </c>
      <c r="X774" t="s">
        <v>11050</v>
      </c>
      <c r="Y774" t="s">
        <v>14698</v>
      </c>
      <c r="Z774" t="s">
        <v>14699</v>
      </c>
      <c r="AA774" t="s">
        <v>74</v>
      </c>
      <c r="AB774" t="s">
        <v>74</v>
      </c>
      <c r="AC774" t="s">
        <v>74</v>
      </c>
      <c r="AD774" t="s">
        <v>74</v>
      </c>
      <c r="AE774" t="s">
        <v>74</v>
      </c>
      <c r="AF774" t="s">
        <v>74</v>
      </c>
      <c r="AG774">
        <v>83</v>
      </c>
      <c r="AH774">
        <v>4</v>
      </c>
      <c r="AI774">
        <v>6</v>
      </c>
      <c r="AJ774">
        <v>0</v>
      </c>
      <c r="AK774">
        <v>11</v>
      </c>
      <c r="AL774" t="s">
        <v>1889</v>
      </c>
      <c r="AM774" t="s">
        <v>1890</v>
      </c>
      <c r="AN774" t="s">
        <v>1891</v>
      </c>
      <c r="AO774" t="s">
        <v>14700</v>
      </c>
      <c r="AP774" t="s">
        <v>14701</v>
      </c>
      <c r="AQ774" t="s">
        <v>74</v>
      </c>
      <c r="AR774" t="s">
        <v>14702</v>
      </c>
      <c r="AS774" t="s">
        <v>14703</v>
      </c>
      <c r="AT774" t="s">
        <v>237</v>
      </c>
      <c r="AU774">
        <v>2020</v>
      </c>
      <c r="AV774">
        <v>17</v>
      </c>
      <c r="AW774">
        <v>1</v>
      </c>
      <c r="AX774" t="s">
        <v>74</v>
      </c>
      <c r="AY774" t="s">
        <v>74</v>
      </c>
      <c r="AZ774" t="s">
        <v>74</v>
      </c>
      <c r="BA774" t="s">
        <v>74</v>
      </c>
      <c r="BB774" t="s">
        <v>74</v>
      </c>
      <c r="BC774" t="s">
        <v>74</v>
      </c>
      <c r="BD774">
        <v>2050001</v>
      </c>
      <c r="BE774" t="s">
        <v>14704</v>
      </c>
      <c r="BF774" t="str">
        <f>HYPERLINK("http://dx.doi.org/10.1142/S0219877020500017","http://dx.doi.org/10.1142/S0219877020500017")</f>
        <v>http://dx.doi.org/10.1142/S0219877020500017</v>
      </c>
      <c r="BG774" t="s">
        <v>74</v>
      </c>
      <c r="BH774" t="s">
        <v>74</v>
      </c>
      <c r="BI774">
        <v>18</v>
      </c>
      <c r="BJ774" t="s">
        <v>583</v>
      </c>
      <c r="BK774" t="s">
        <v>313</v>
      </c>
      <c r="BL774" t="s">
        <v>100</v>
      </c>
      <c r="BM774" t="s">
        <v>14705</v>
      </c>
      <c r="BN774" t="s">
        <v>74</v>
      </c>
      <c r="BO774" t="s">
        <v>74</v>
      </c>
      <c r="BP774" t="s">
        <v>74</v>
      </c>
      <c r="BQ774" t="s">
        <v>74</v>
      </c>
      <c r="BR774" t="s">
        <v>102</v>
      </c>
      <c r="BS774" t="s">
        <v>14706</v>
      </c>
      <c r="BT774" t="str">
        <f>HYPERLINK("https%3A%2F%2Fwww.webofscience.com%2Fwos%2Fwoscc%2Ffull-record%2FWOS:000521137600001","View Full Record in Web of Science")</f>
        <v>View Full Record in Web of Science</v>
      </c>
    </row>
    <row r="775" spans="1:72" x14ac:dyDescent="0.25">
      <c r="A775" t="s">
        <v>72</v>
      </c>
      <c r="B775" t="s">
        <v>14707</v>
      </c>
      <c r="C775" t="s">
        <v>74</v>
      </c>
      <c r="D775" t="s">
        <v>74</v>
      </c>
      <c r="E775" t="s">
        <v>74</v>
      </c>
      <c r="F775" t="s">
        <v>14708</v>
      </c>
      <c r="G775" t="s">
        <v>74</v>
      </c>
      <c r="H775" t="s">
        <v>74</v>
      </c>
      <c r="I775" t="s">
        <v>14709</v>
      </c>
      <c r="J775" t="s">
        <v>1987</v>
      </c>
      <c r="K775" t="s">
        <v>74</v>
      </c>
      <c r="L775" t="s">
        <v>74</v>
      </c>
      <c r="M775" t="s">
        <v>78</v>
      </c>
      <c r="N775" t="s">
        <v>79</v>
      </c>
      <c r="O775" t="s">
        <v>74</v>
      </c>
      <c r="P775" t="s">
        <v>74</v>
      </c>
      <c r="Q775" t="s">
        <v>74</v>
      </c>
      <c r="R775" t="s">
        <v>74</v>
      </c>
      <c r="S775" t="s">
        <v>74</v>
      </c>
      <c r="T775" t="s">
        <v>14710</v>
      </c>
      <c r="U775" t="s">
        <v>14711</v>
      </c>
      <c r="V775" t="s">
        <v>14712</v>
      </c>
      <c r="W775" t="s">
        <v>14713</v>
      </c>
      <c r="X775" t="s">
        <v>14714</v>
      </c>
      <c r="Y775" t="s">
        <v>14715</v>
      </c>
      <c r="Z775" t="s">
        <v>14716</v>
      </c>
      <c r="AA775" t="s">
        <v>14717</v>
      </c>
      <c r="AB775" t="s">
        <v>14718</v>
      </c>
      <c r="AC775" t="s">
        <v>74</v>
      </c>
      <c r="AD775" t="s">
        <v>74</v>
      </c>
      <c r="AE775" t="s">
        <v>74</v>
      </c>
      <c r="AF775" t="s">
        <v>74</v>
      </c>
      <c r="AG775">
        <v>134</v>
      </c>
      <c r="AH775">
        <v>53</v>
      </c>
      <c r="AI775">
        <v>71</v>
      </c>
      <c r="AJ775">
        <v>0</v>
      </c>
      <c r="AK775">
        <v>68</v>
      </c>
      <c r="AL775" t="s">
        <v>479</v>
      </c>
      <c r="AM775" t="s">
        <v>480</v>
      </c>
      <c r="AN775" t="s">
        <v>481</v>
      </c>
      <c r="AO775" t="s">
        <v>1997</v>
      </c>
      <c r="AP775" t="s">
        <v>1998</v>
      </c>
      <c r="AQ775" t="s">
        <v>74</v>
      </c>
      <c r="AR775" t="s">
        <v>1999</v>
      </c>
      <c r="AS775" t="s">
        <v>2000</v>
      </c>
      <c r="AT775" t="s">
        <v>743</v>
      </c>
      <c r="AU775">
        <v>2019</v>
      </c>
      <c r="AV775">
        <v>31</v>
      </c>
      <c r="AW775">
        <v>3</v>
      </c>
      <c r="AX775" t="s">
        <v>74</v>
      </c>
      <c r="AY775" t="s">
        <v>74</v>
      </c>
      <c r="AZ775" t="s">
        <v>74</v>
      </c>
      <c r="BA775" t="s">
        <v>74</v>
      </c>
      <c r="BB775">
        <v>247</v>
      </c>
      <c r="BC775">
        <v>270</v>
      </c>
      <c r="BD775" t="s">
        <v>74</v>
      </c>
      <c r="BE775" t="s">
        <v>14719</v>
      </c>
      <c r="BF775" t="str">
        <f>HYPERLINK("http://dx.doi.org/10.1002/jid.3403","http://dx.doi.org/10.1002/jid.3403")</f>
        <v>http://dx.doi.org/10.1002/jid.3403</v>
      </c>
      <c r="BG775" t="s">
        <v>74</v>
      </c>
      <c r="BH775" t="s">
        <v>74</v>
      </c>
      <c r="BI775">
        <v>24</v>
      </c>
      <c r="BJ775" t="s">
        <v>1137</v>
      </c>
      <c r="BK775" t="s">
        <v>99</v>
      </c>
      <c r="BL775" t="s">
        <v>1137</v>
      </c>
      <c r="BM775" t="s">
        <v>14720</v>
      </c>
      <c r="BN775" t="s">
        <v>74</v>
      </c>
      <c r="BO775" t="s">
        <v>1696</v>
      </c>
      <c r="BP775" t="s">
        <v>74</v>
      </c>
      <c r="BQ775" t="s">
        <v>74</v>
      </c>
      <c r="BR775" t="s">
        <v>102</v>
      </c>
      <c r="BS775" t="s">
        <v>14721</v>
      </c>
      <c r="BT775" t="str">
        <f>HYPERLINK("https%3A%2F%2Fwww.webofscience.com%2Fwos%2Fwoscc%2Ffull-record%2FWOS:000463206900003","View Full Record in Web of Science")</f>
        <v>View Full Record in Web of Science</v>
      </c>
    </row>
    <row r="776" spans="1:72" x14ac:dyDescent="0.25">
      <c r="A776" t="s">
        <v>72</v>
      </c>
      <c r="B776" t="s">
        <v>14722</v>
      </c>
      <c r="C776" t="s">
        <v>74</v>
      </c>
      <c r="D776" t="s">
        <v>74</v>
      </c>
      <c r="E776" t="s">
        <v>74</v>
      </c>
      <c r="F776" t="s">
        <v>14723</v>
      </c>
      <c r="G776" t="s">
        <v>74</v>
      </c>
      <c r="H776" t="s">
        <v>74</v>
      </c>
      <c r="I776" t="s">
        <v>14724</v>
      </c>
      <c r="J776" t="s">
        <v>4306</v>
      </c>
      <c r="K776" t="s">
        <v>74</v>
      </c>
      <c r="L776" t="s">
        <v>74</v>
      </c>
      <c r="M776" t="s">
        <v>78</v>
      </c>
      <c r="N776" t="s">
        <v>79</v>
      </c>
      <c r="O776" t="s">
        <v>74</v>
      </c>
      <c r="P776" t="s">
        <v>74</v>
      </c>
      <c r="Q776" t="s">
        <v>74</v>
      </c>
      <c r="R776" t="s">
        <v>74</v>
      </c>
      <c r="S776" t="s">
        <v>74</v>
      </c>
      <c r="T776" t="s">
        <v>14725</v>
      </c>
      <c r="U776" t="s">
        <v>14726</v>
      </c>
      <c r="V776" t="s">
        <v>14727</v>
      </c>
      <c r="W776" t="s">
        <v>14728</v>
      </c>
      <c r="X776" t="s">
        <v>14729</v>
      </c>
      <c r="Y776" t="s">
        <v>14730</v>
      </c>
      <c r="Z776" t="s">
        <v>14731</v>
      </c>
      <c r="AA776" t="s">
        <v>14732</v>
      </c>
      <c r="AB776" t="s">
        <v>14733</v>
      </c>
      <c r="AC776" t="s">
        <v>74</v>
      </c>
      <c r="AD776" t="s">
        <v>74</v>
      </c>
      <c r="AE776" t="s">
        <v>74</v>
      </c>
      <c r="AF776" t="s">
        <v>74</v>
      </c>
      <c r="AG776">
        <v>129</v>
      </c>
      <c r="AH776">
        <v>9</v>
      </c>
      <c r="AI776">
        <v>10</v>
      </c>
      <c r="AJ776">
        <v>12</v>
      </c>
      <c r="AK776">
        <v>58</v>
      </c>
      <c r="AL776" t="s">
        <v>503</v>
      </c>
      <c r="AM776" t="s">
        <v>151</v>
      </c>
      <c r="AN776" t="s">
        <v>504</v>
      </c>
      <c r="AO776" t="s">
        <v>4315</v>
      </c>
      <c r="AP776" t="s">
        <v>4316</v>
      </c>
      <c r="AQ776" t="s">
        <v>74</v>
      </c>
      <c r="AR776" t="s">
        <v>4317</v>
      </c>
      <c r="AS776" t="s">
        <v>4318</v>
      </c>
      <c r="AT776" t="s">
        <v>208</v>
      </c>
      <c r="AU776">
        <v>2025</v>
      </c>
      <c r="AV776">
        <v>210</v>
      </c>
      <c r="AW776" t="s">
        <v>74</v>
      </c>
      <c r="AX776" t="s">
        <v>74</v>
      </c>
      <c r="AY776" t="s">
        <v>74</v>
      </c>
      <c r="AZ776" t="s">
        <v>74</v>
      </c>
      <c r="BA776" t="s">
        <v>74</v>
      </c>
      <c r="BB776" t="s">
        <v>74</v>
      </c>
      <c r="BC776" t="s">
        <v>74</v>
      </c>
      <c r="BD776">
        <v>123857</v>
      </c>
      <c r="BE776" t="s">
        <v>14734</v>
      </c>
      <c r="BF776" t="str">
        <f>HYPERLINK("http://dx.doi.org/10.1016/j.techfore.2024.123857","http://dx.doi.org/10.1016/j.techfore.2024.123857")</f>
        <v>http://dx.doi.org/10.1016/j.techfore.2024.123857</v>
      </c>
      <c r="BG776" t="s">
        <v>74</v>
      </c>
      <c r="BH776" t="s">
        <v>267</v>
      </c>
      <c r="BI776">
        <v>18</v>
      </c>
      <c r="BJ776" t="s">
        <v>1627</v>
      </c>
      <c r="BK776" t="s">
        <v>99</v>
      </c>
      <c r="BL776" t="s">
        <v>1406</v>
      </c>
      <c r="BM776" t="s">
        <v>14735</v>
      </c>
      <c r="BN776" t="s">
        <v>74</v>
      </c>
      <c r="BO776" t="s">
        <v>74</v>
      </c>
      <c r="BP776" t="s">
        <v>74</v>
      </c>
      <c r="BQ776" t="s">
        <v>74</v>
      </c>
      <c r="BR776" t="s">
        <v>102</v>
      </c>
      <c r="BS776" t="s">
        <v>14736</v>
      </c>
      <c r="BT776" t="str">
        <f>HYPERLINK("https%3A%2F%2Fwww.webofscience.com%2Fwos%2Fwoscc%2Ffull-record%2FWOS:001351532100001","View Full Record in Web of Science")</f>
        <v>View Full Record in Web of Science</v>
      </c>
    </row>
    <row r="777" spans="1:72" x14ac:dyDescent="0.25">
      <c r="A777" t="s">
        <v>72</v>
      </c>
      <c r="B777" t="s">
        <v>14737</v>
      </c>
      <c r="C777" t="s">
        <v>74</v>
      </c>
      <c r="D777" t="s">
        <v>74</v>
      </c>
      <c r="E777" t="s">
        <v>74</v>
      </c>
      <c r="F777" t="s">
        <v>14738</v>
      </c>
      <c r="G777" t="s">
        <v>74</v>
      </c>
      <c r="H777" t="s">
        <v>74</v>
      </c>
      <c r="I777" t="s">
        <v>14739</v>
      </c>
      <c r="J777" t="s">
        <v>2943</v>
      </c>
      <c r="K777" t="s">
        <v>74</v>
      </c>
      <c r="L777" t="s">
        <v>74</v>
      </c>
      <c r="M777" t="s">
        <v>78</v>
      </c>
      <c r="N777" t="s">
        <v>79</v>
      </c>
      <c r="O777" t="s">
        <v>74</v>
      </c>
      <c r="P777" t="s">
        <v>74</v>
      </c>
      <c r="Q777" t="s">
        <v>74</v>
      </c>
      <c r="R777" t="s">
        <v>74</v>
      </c>
      <c r="S777" t="s">
        <v>74</v>
      </c>
      <c r="T777" t="s">
        <v>14740</v>
      </c>
      <c r="U777" t="s">
        <v>14741</v>
      </c>
      <c r="V777" t="s">
        <v>14742</v>
      </c>
      <c r="W777" t="s">
        <v>14743</v>
      </c>
      <c r="X777" t="s">
        <v>14744</v>
      </c>
      <c r="Y777" t="s">
        <v>14745</v>
      </c>
      <c r="Z777" t="s">
        <v>14746</v>
      </c>
      <c r="AA777" t="s">
        <v>74</v>
      </c>
      <c r="AB777" t="s">
        <v>14747</v>
      </c>
      <c r="AC777" t="s">
        <v>14748</v>
      </c>
      <c r="AD777" t="s">
        <v>14748</v>
      </c>
      <c r="AE777" t="s">
        <v>14749</v>
      </c>
      <c r="AF777" t="s">
        <v>74</v>
      </c>
      <c r="AG777">
        <v>56</v>
      </c>
      <c r="AH777">
        <v>1</v>
      </c>
      <c r="AI777">
        <v>1</v>
      </c>
      <c r="AJ777">
        <v>4</v>
      </c>
      <c r="AK777">
        <v>7</v>
      </c>
      <c r="AL777" t="s">
        <v>385</v>
      </c>
      <c r="AM777" t="s">
        <v>151</v>
      </c>
      <c r="AN777" t="s">
        <v>386</v>
      </c>
      <c r="AO777" t="s">
        <v>2952</v>
      </c>
      <c r="AP777" t="s">
        <v>2953</v>
      </c>
      <c r="AQ777" t="s">
        <v>74</v>
      </c>
      <c r="AR777" t="s">
        <v>2954</v>
      </c>
      <c r="AS777" t="s">
        <v>2955</v>
      </c>
      <c r="AT777" t="s">
        <v>14373</v>
      </c>
      <c r="AU777">
        <v>2025</v>
      </c>
      <c r="AV777">
        <v>11</v>
      </c>
      <c r="AW777">
        <v>1</v>
      </c>
      <c r="AX777" t="s">
        <v>74</v>
      </c>
      <c r="AY777" t="s">
        <v>74</v>
      </c>
      <c r="AZ777" t="s">
        <v>74</v>
      </c>
      <c r="BA777" t="s">
        <v>74</v>
      </c>
      <c r="BB777" t="s">
        <v>74</v>
      </c>
      <c r="BC777" t="s">
        <v>74</v>
      </c>
      <c r="BD777">
        <v>5</v>
      </c>
      <c r="BE777" t="s">
        <v>14750</v>
      </c>
      <c r="BF777" t="str">
        <f>HYPERLINK("http://dx.doi.org/10.1186/s43093-025-00426-9","http://dx.doi.org/10.1186/s43093-025-00426-9")</f>
        <v>http://dx.doi.org/10.1186/s43093-025-00426-9</v>
      </c>
      <c r="BG777" t="s">
        <v>74</v>
      </c>
      <c r="BH777" t="s">
        <v>74</v>
      </c>
      <c r="BI777">
        <v>17</v>
      </c>
      <c r="BJ777" t="s">
        <v>418</v>
      </c>
      <c r="BK777" t="s">
        <v>313</v>
      </c>
      <c r="BL777" t="s">
        <v>100</v>
      </c>
      <c r="BM777" t="s">
        <v>14751</v>
      </c>
      <c r="BN777" t="s">
        <v>74</v>
      </c>
      <c r="BO777" t="s">
        <v>212</v>
      </c>
      <c r="BP777" t="s">
        <v>74</v>
      </c>
      <c r="BQ777" t="s">
        <v>74</v>
      </c>
      <c r="BR777" t="s">
        <v>102</v>
      </c>
      <c r="BS777" t="s">
        <v>14752</v>
      </c>
      <c r="BT777" t="str">
        <f>HYPERLINK("https%3A%2F%2Fwww.webofscience.com%2Fwos%2Fwoscc%2Ffull-record%2FWOS:001404192500002","View Full Record in Web of Science")</f>
        <v>View Full Record in Web of Science</v>
      </c>
    </row>
    <row r="778" spans="1:72" x14ac:dyDescent="0.25">
      <c r="A778" t="s">
        <v>72</v>
      </c>
      <c r="B778" t="s">
        <v>14753</v>
      </c>
      <c r="C778" t="s">
        <v>74</v>
      </c>
      <c r="D778" t="s">
        <v>74</v>
      </c>
      <c r="E778" t="s">
        <v>74</v>
      </c>
      <c r="F778" t="s">
        <v>14754</v>
      </c>
      <c r="G778" t="s">
        <v>74</v>
      </c>
      <c r="H778" t="s">
        <v>74</v>
      </c>
      <c r="I778" t="s">
        <v>14755</v>
      </c>
      <c r="J778" t="s">
        <v>246</v>
      </c>
      <c r="K778" t="s">
        <v>74</v>
      </c>
      <c r="L778" t="s">
        <v>74</v>
      </c>
      <c r="M778" t="s">
        <v>78</v>
      </c>
      <c r="N778" t="s">
        <v>79</v>
      </c>
      <c r="O778" t="s">
        <v>74</v>
      </c>
      <c r="P778" t="s">
        <v>74</v>
      </c>
      <c r="Q778" t="s">
        <v>74</v>
      </c>
      <c r="R778" t="s">
        <v>74</v>
      </c>
      <c r="S778" t="s">
        <v>74</v>
      </c>
      <c r="T778" t="s">
        <v>14756</v>
      </c>
      <c r="U778" t="s">
        <v>14757</v>
      </c>
      <c r="V778" t="s">
        <v>14758</v>
      </c>
      <c r="W778" t="s">
        <v>14759</v>
      </c>
      <c r="X778" t="s">
        <v>14760</v>
      </c>
      <c r="Y778" t="s">
        <v>14761</v>
      </c>
      <c r="Z778" t="s">
        <v>14762</v>
      </c>
      <c r="AA778" t="s">
        <v>74</v>
      </c>
      <c r="AB778" t="s">
        <v>74</v>
      </c>
      <c r="AC778" t="s">
        <v>14763</v>
      </c>
      <c r="AD778" t="s">
        <v>14764</v>
      </c>
      <c r="AE778" t="s">
        <v>14765</v>
      </c>
      <c r="AF778" t="s">
        <v>74</v>
      </c>
      <c r="AG778">
        <v>38</v>
      </c>
      <c r="AH778">
        <v>0</v>
      </c>
      <c r="AI778">
        <v>0</v>
      </c>
      <c r="AJ778">
        <v>1</v>
      </c>
      <c r="AK778">
        <v>1</v>
      </c>
      <c r="AL778" t="s">
        <v>259</v>
      </c>
      <c r="AM778" t="s">
        <v>260</v>
      </c>
      <c r="AN778" t="s">
        <v>261</v>
      </c>
      <c r="AO778" t="s">
        <v>262</v>
      </c>
      <c r="AP778" t="s">
        <v>263</v>
      </c>
      <c r="AQ778" t="s">
        <v>74</v>
      </c>
      <c r="AR778" t="s">
        <v>264</v>
      </c>
      <c r="AS778" t="s">
        <v>265</v>
      </c>
      <c r="AT778" t="s">
        <v>208</v>
      </c>
      <c r="AU778">
        <v>2026</v>
      </c>
      <c r="AV778">
        <v>87</v>
      </c>
      <c r="AW778" t="s">
        <v>74</v>
      </c>
      <c r="AX778" t="s">
        <v>74</v>
      </c>
      <c r="AY778" t="s">
        <v>74</v>
      </c>
      <c r="AZ778" t="s">
        <v>74</v>
      </c>
      <c r="BA778" t="s">
        <v>74</v>
      </c>
      <c r="BB778" t="s">
        <v>74</v>
      </c>
      <c r="BC778" t="s">
        <v>74</v>
      </c>
      <c r="BD778">
        <v>108988</v>
      </c>
      <c r="BE778" t="s">
        <v>14766</v>
      </c>
      <c r="BF778" t="str">
        <f>HYPERLINK("http://dx.doi.org/10.1016/j.frl.2025.108988","http://dx.doi.org/10.1016/j.frl.2025.108988")</f>
        <v>http://dx.doi.org/10.1016/j.frl.2025.108988</v>
      </c>
      <c r="BG778" t="s">
        <v>74</v>
      </c>
      <c r="BH778" t="s">
        <v>74</v>
      </c>
      <c r="BI778">
        <v>10</v>
      </c>
      <c r="BJ778" t="s">
        <v>268</v>
      </c>
      <c r="BK778" t="s">
        <v>99</v>
      </c>
      <c r="BL778" t="s">
        <v>100</v>
      </c>
      <c r="BM778" t="s">
        <v>14767</v>
      </c>
      <c r="BN778" t="s">
        <v>74</v>
      </c>
      <c r="BO778" t="s">
        <v>74</v>
      </c>
      <c r="BP778" t="s">
        <v>74</v>
      </c>
      <c r="BQ778" t="s">
        <v>74</v>
      </c>
      <c r="BR778" t="s">
        <v>102</v>
      </c>
      <c r="BS778" t="s">
        <v>14768</v>
      </c>
      <c r="BT778" t="str">
        <f>HYPERLINK("https%3A%2F%2Fwww.webofscience.com%2Fwos%2Fwoscc%2Ffull-record%2FWOS:001627145000002","View Full Record in Web of Science")</f>
        <v>View Full Record in Web of Science</v>
      </c>
    </row>
    <row r="779" spans="1:72" x14ac:dyDescent="0.25">
      <c r="A779" t="s">
        <v>72</v>
      </c>
      <c r="B779" t="s">
        <v>14769</v>
      </c>
      <c r="C779" t="s">
        <v>74</v>
      </c>
      <c r="D779" t="s">
        <v>74</v>
      </c>
      <c r="E779" t="s">
        <v>74</v>
      </c>
      <c r="F779" t="s">
        <v>14770</v>
      </c>
      <c r="G779" t="s">
        <v>74</v>
      </c>
      <c r="H779" t="s">
        <v>74</v>
      </c>
      <c r="I779" t="s">
        <v>14771</v>
      </c>
      <c r="J779" t="s">
        <v>14228</v>
      </c>
      <c r="K779" t="s">
        <v>74</v>
      </c>
      <c r="L779" t="s">
        <v>74</v>
      </c>
      <c r="M779" t="s">
        <v>78</v>
      </c>
      <c r="N779" t="s">
        <v>79</v>
      </c>
      <c r="O779" t="s">
        <v>74</v>
      </c>
      <c r="P779" t="s">
        <v>74</v>
      </c>
      <c r="Q779" t="s">
        <v>74</v>
      </c>
      <c r="R779" t="s">
        <v>74</v>
      </c>
      <c r="S779" t="s">
        <v>74</v>
      </c>
      <c r="T779" t="s">
        <v>14772</v>
      </c>
      <c r="U779" t="s">
        <v>14773</v>
      </c>
      <c r="V779" t="s">
        <v>14774</v>
      </c>
      <c r="W779" t="s">
        <v>14775</v>
      </c>
      <c r="X779" t="s">
        <v>14776</v>
      </c>
      <c r="Y779" t="s">
        <v>14777</v>
      </c>
      <c r="Z779" t="s">
        <v>14778</v>
      </c>
      <c r="AA779" t="s">
        <v>14779</v>
      </c>
      <c r="AB779" t="s">
        <v>14780</v>
      </c>
      <c r="AC779" t="s">
        <v>14781</v>
      </c>
      <c r="AD779" t="s">
        <v>14782</v>
      </c>
      <c r="AE779" t="s">
        <v>14783</v>
      </c>
      <c r="AF779" t="s">
        <v>74</v>
      </c>
      <c r="AG779">
        <v>9</v>
      </c>
      <c r="AH779">
        <v>9</v>
      </c>
      <c r="AI779">
        <v>10</v>
      </c>
      <c r="AJ779">
        <v>3</v>
      </c>
      <c r="AK779">
        <v>145</v>
      </c>
      <c r="AL779" t="s">
        <v>332</v>
      </c>
      <c r="AM779" t="s">
        <v>333</v>
      </c>
      <c r="AN779" t="s">
        <v>334</v>
      </c>
      <c r="AO779" t="s">
        <v>14237</v>
      </c>
      <c r="AP779" t="s">
        <v>14238</v>
      </c>
      <c r="AQ779" t="s">
        <v>74</v>
      </c>
      <c r="AR779" t="s">
        <v>14239</v>
      </c>
      <c r="AS779" t="s">
        <v>14240</v>
      </c>
      <c r="AT779" t="s">
        <v>8756</v>
      </c>
      <c r="AU779">
        <v>2023</v>
      </c>
      <c r="AV779">
        <v>30</v>
      </c>
      <c r="AW779">
        <v>14</v>
      </c>
      <c r="AX779" t="s">
        <v>74</v>
      </c>
      <c r="AY779" t="s">
        <v>74</v>
      </c>
      <c r="AZ779" t="s">
        <v>74</v>
      </c>
      <c r="BA779" t="s">
        <v>74</v>
      </c>
      <c r="BB779">
        <v>1870</v>
      </c>
      <c r="BC779">
        <v>1873</v>
      </c>
      <c r="BD779" t="s">
        <v>74</v>
      </c>
      <c r="BE779" t="s">
        <v>14784</v>
      </c>
      <c r="BF779" t="str">
        <f>HYPERLINK("http://dx.doi.org/10.1080/13504851.2022.2083556","http://dx.doi.org/10.1080/13504851.2022.2083556")</f>
        <v>http://dx.doi.org/10.1080/13504851.2022.2083556</v>
      </c>
      <c r="BG779" t="s">
        <v>74</v>
      </c>
      <c r="BH779" t="s">
        <v>1802</v>
      </c>
      <c r="BI779">
        <v>4</v>
      </c>
      <c r="BJ779" t="s">
        <v>291</v>
      </c>
      <c r="BK779" t="s">
        <v>99</v>
      </c>
      <c r="BL779" t="s">
        <v>100</v>
      </c>
      <c r="BM779" t="s">
        <v>14785</v>
      </c>
      <c r="BN779" t="s">
        <v>74</v>
      </c>
      <c r="BO779" t="s">
        <v>74</v>
      </c>
      <c r="BP779" t="s">
        <v>74</v>
      </c>
      <c r="BQ779" t="s">
        <v>74</v>
      </c>
      <c r="BR779" t="s">
        <v>102</v>
      </c>
      <c r="BS779" t="s">
        <v>14786</v>
      </c>
      <c r="BT779" t="str">
        <f>HYPERLINK("https%3A%2F%2Fwww.webofscience.com%2Fwos%2Fwoscc%2Ffull-record%2FWOS:000806094700001","View Full Record in Web of Science")</f>
        <v>View Full Record in Web of Science</v>
      </c>
    </row>
    <row r="780" spans="1:72" x14ac:dyDescent="0.25">
      <c r="A780" t="s">
        <v>72</v>
      </c>
      <c r="B780" t="s">
        <v>14787</v>
      </c>
      <c r="C780" t="s">
        <v>74</v>
      </c>
      <c r="D780" t="s">
        <v>74</v>
      </c>
      <c r="E780" t="s">
        <v>74</v>
      </c>
      <c r="F780" t="s">
        <v>14788</v>
      </c>
      <c r="G780" t="s">
        <v>74</v>
      </c>
      <c r="H780" t="s">
        <v>74</v>
      </c>
      <c r="I780" t="s">
        <v>14789</v>
      </c>
      <c r="J780" t="s">
        <v>14790</v>
      </c>
      <c r="K780" t="s">
        <v>74</v>
      </c>
      <c r="L780" t="s">
        <v>74</v>
      </c>
      <c r="M780" t="s">
        <v>78</v>
      </c>
      <c r="N780" t="s">
        <v>79</v>
      </c>
      <c r="O780" t="s">
        <v>74</v>
      </c>
      <c r="P780" t="s">
        <v>74</v>
      </c>
      <c r="Q780" t="s">
        <v>74</v>
      </c>
      <c r="R780" t="s">
        <v>74</v>
      </c>
      <c r="S780" t="s">
        <v>74</v>
      </c>
      <c r="T780" t="s">
        <v>14791</v>
      </c>
      <c r="U780" t="s">
        <v>14792</v>
      </c>
      <c r="V780" t="s">
        <v>14793</v>
      </c>
      <c r="W780" t="s">
        <v>14794</v>
      </c>
      <c r="X780" t="s">
        <v>12072</v>
      </c>
      <c r="Y780" t="s">
        <v>14795</v>
      </c>
      <c r="Z780" t="s">
        <v>14796</v>
      </c>
      <c r="AA780" t="s">
        <v>14797</v>
      </c>
      <c r="AB780" t="s">
        <v>14798</v>
      </c>
      <c r="AC780" t="s">
        <v>14799</v>
      </c>
      <c r="AD780" t="s">
        <v>14799</v>
      </c>
      <c r="AE780" t="s">
        <v>14800</v>
      </c>
      <c r="AF780" t="s">
        <v>74</v>
      </c>
      <c r="AG780">
        <v>94</v>
      </c>
      <c r="AH780">
        <v>5</v>
      </c>
      <c r="AI780">
        <v>6</v>
      </c>
      <c r="AJ780">
        <v>14</v>
      </c>
      <c r="AK780">
        <v>39</v>
      </c>
      <c r="AL780" t="s">
        <v>89</v>
      </c>
      <c r="AM780" t="s">
        <v>90</v>
      </c>
      <c r="AN780" t="s">
        <v>91</v>
      </c>
      <c r="AO780" t="s">
        <v>14801</v>
      </c>
      <c r="AP780" t="s">
        <v>14802</v>
      </c>
      <c r="AQ780" t="s">
        <v>74</v>
      </c>
      <c r="AR780" t="s">
        <v>14803</v>
      </c>
      <c r="AS780" t="s">
        <v>14804</v>
      </c>
      <c r="AT780" t="s">
        <v>14805</v>
      </c>
      <c r="AU780">
        <v>2025</v>
      </c>
      <c r="AV780">
        <v>37</v>
      </c>
      <c r="AW780">
        <v>7</v>
      </c>
      <c r="AX780" t="s">
        <v>74</v>
      </c>
      <c r="AY780" t="s">
        <v>74</v>
      </c>
      <c r="AZ780" t="s">
        <v>74</v>
      </c>
      <c r="BA780" t="s">
        <v>74</v>
      </c>
      <c r="BB780">
        <v>2048</v>
      </c>
      <c r="BC780">
        <v>2074</v>
      </c>
      <c r="BD780" t="s">
        <v>74</v>
      </c>
      <c r="BE780" t="s">
        <v>14806</v>
      </c>
      <c r="BF780" t="str">
        <f>HYPERLINK("http://dx.doi.org/10.1108/APJML-05-2024-0669","http://dx.doi.org/10.1108/APJML-05-2024-0669")</f>
        <v>http://dx.doi.org/10.1108/APJML-05-2024-0669</v>
      </c>
      <c r="BG780" t="s">
        <v>74</v>
      </c>
      <c r="BH780" t="s">
        <v>809</v>
      </c>
      <c r="BI780">
        <v>27</v>
      </c>
      <c r="BJ780" t="s">
        <v>418</v>
      </c>
      <c r="BK780" t="s">
        <v>99</v>
      </c>
      <c r="BL780" t="s">
        <v>100</v>
      </c>
      <c r="BM780" t="s">
        <v>14807</v>
      </c>
      <c r="BN780" t="s">
        <v>74</v>
      </c>
      <c r="BO780" t="s">
        <v>74</v>
      </c>
      <c r="BP780" t="s">
        <v>74</v>
      </c>
      <c r="BQ780" t="s">
        <v>74</v>
      </c>
      <c r="BR780" t="s">
        <v>102</v>
      </c>
      <c r="BS780" t="s">
        <v>14808</v>
      </c>
      <c r="BT780" t="str">
        <f>HYPERLINK("https%3A%2F%2Fwww.webofscience.com%2Fwos%2Fwoscc%2Ffull-record%2FWOS:001367515700001","View Full Record in Web of Science")</f>
        <v>View Full Record in Web of Science</v>
      </c>
    </row>
    <row r="781" spans="1:72" x14ac:dyDescent="0.25">
      <c r="A781" t="s">
        <v>72</v>
      </c>
      <c r="B781" t="s">
        <v>14809</v>
      </c>
      <c r="C781" t="s">
        <v>74</v>
      </c>
      <c r="D781" t="s">
        <v>74</v>
      </c>
      <c r="E781" t="s">
        <v>74</v>
      </c>
      <c r="F781" t="s">
        <v>14810</v>
      </c>
      <c r="G781" t="s">
        <v>74</v>
      </c>
      <c r="H781" t="s">
        <v>74</v>
      </c>
      <c r="I781" t="s">
        <v>14811</v>
      </c>
      <c r="J781" t="s">
        <v>8942</v>
      </c>
      <c r="K781" t="s">
        <v>74</v>
      </c>
      <c r="L781" t="s">
        <v>74</v>
      </c>
      <c r="M781" t="s">
        <v>78</v>
      </c>
      <c r="N781" t="s">
        <v>79</v>
      </c>
      <c r="O781" t="s">
        <v>74</v>
      </c>
      <c r="P781" t="s">
        <v>74</v>
      </c>
      <c r="Q781" t="s">
        <v>74</v>
      </c>
      <c r="R781" t="s">
        <v>74</v>
      </c>
      <c r="S781" t="s">
        <v>74</v>
      </c>
      <c r="T781" t="s">
        <v>14812</v>
      </c>
      <c r="U781" t="s">
        <v>14813</v>
      </c>
      <c r="V781" t="s">
        <v>14814</v>
      </c>
      <c r="W781" t="s">
        <v>14815</v>
      </c>
      <c r="X781" t="s">
        <v>11237</v>
      </c>
      <c r="Y781" t="s">
        <v>11268</v>
      </c>
      <c r="Z781" t="s">
        <v>11239</v>
      </c>
      <c r="AA781" t="s">
        <v>11360</v>
      </c>
      <c r="AB781" t="s">
        <v>4314</v>
      </c>
      <c r="AC781" t="s">
        <v>74</v>
      </c>
      <c r="AD781" t="s">
        <v>74</v>
      </c>
      <c r="AE781" t="s">
        <v>74</v>
      </c>
      <c r="AF781" t="s">
        <v>74</v>
      </c>
      <c r="AG781">
        <v>94</v>
      </c>
      <c r="AH781">
        <v>5</v>
      </c>
      <c r="AI781">
        <v>7</v>
      </c>
      <c r="AJ781">
        <v>1</v>
      </c>
      <c r="AK781">
        <v>8</v>
      </c>
      <c r="AL781" t="s">
        <v>89</v>
      </c>
      <c r="AM781" t="s">
        <v>90</v>
      </c>
      <c r="AN781" t="s">
        <v>91</v>
      </c>
      <c r="AO781" t="s">
        <v>8952</v>
      </c>
      <c r="AP781" t="s">
        <v>8953</v>
      </c>
      <c r="AQ781" t="s">
        <v>74</v>
      </c>
      <c r="AR781" t="s">
        <v>8954</v>
      </c>
      <c r="AS781" t="s">
        <v>8955</v>
      </c>
      <c r="AT781" t="s">
        <v>14816</v>
      </c>
      <c r="AU781">
        <v>2024</v>
      </c>
      <c r="AV781">
        <v>15</v>
      </c>
      <c r="AW781">
        <v>2</v>
      </c>
      <c r="AX781" t="s">
        <v>74</v>
      </c>
      <c r="AY781" t="s">
        <v>74</v>
      </c>
      <c r="AZ781" t="s">
        <v>441</v>
      </c>
      <c r="BA781" t="s">
        <v>74</v>
      </c>
      <c r="BB781">
        <v>195</v>
      </c>
      <c r="BC781">
        <v>223</v>
      </c>
      <c r="BD781" t="s">
        <v>74</v>
      </c>
      <c r="BE781" t="s">
        <v>14817</v>
      </c>
      <c r="BF781" t="str">
        <f>HYPERLINK("http://dx.doi.org/10.1108/AJEMS-11-2022-0443","http://dx.doi.org/10.1108/AJEMS-11-2022-0443")</f>
        <v>http://dx.doi.org/10.1108/AJEMS-11-2022-0443</v>
      </c>
      <c r="BG781" t="s">
        <v>74</v>
      </c>
      <c r="BH781" t="s">
        <v>6418</v>
      </c>
      <c r="BI781">
        <v>29</v>
      </c>
      <c r="BJ781" t="s">
        <v>291</v>
      </c>
      <c r="BK781" t="s">
        <v>313</v>
      </c>
      <c r="BL781" t="s">
        <v>100</v>
      </c>
      <c r="BM781" t="s">
        <v>14818</v>
      </c>
      <c r="BN781" t="s">
        <v>74</v>
      </c>
      <c r="BO781" t="s">
        <v>74</v>
      </c>
      <c r="BP781" t="s">
        <v>74</v>
      </c>
      <c r="BQ781" t="s">
        <v>74</v>
      </c>
      <c r="BR781" t="s">
        <v>102</v>
      </c>
      <c r="BS781" t="s">
        <v>14819</v>
      </c>
      <c r="BT781" t="str">
        <f>HYPERLINK("https%3A%2F%2Fwww.webofscience.com%2Fwos%2Fwoscc%2Ffull-record%2FWOS:000994834400001","View Full Record in Web of Science")</f>
        <v>View Full Record in Web of Science</v>
      </c>
    </row>
    <row r="782" spans="1:72" x14ac:dyDescent="0.25">
      <c r="A782" t="s">
        <v>72</v>
      </c>
      <c r="B782" t="s">
        <v>14820</v>
      </c>
      <c r="C782" t="s">
        <v>74</v>
      </c>
      <c r="D782" t="s">
        <v>74</v>
      </c>
      <c r="E782" t="s">
        <v>74</v>
      </c>
      <c r="F782" t="s">
        <v>14821</v>
      </c>
      <c r="G782" t="s">
        <v>74</v>
      </c>
      <c r="H782" t="s">
        <v>74</v>
      </c>
      <c r="I782" t="s">
        <v>14822</v>
      </c>
      <c r="J782" t="s">
        <v>14823</v>
      </c>
      <c r="K782" t="s">
        <v>74</v>
      </c>
      <c r="L782" t="s">
        <v>74</v>
      </c>
      <c r="M782" t="s">
        <v>78</v>
      </c>
      <c r="N782" t="s">
        <v>79</v>
      </c>
      <c r="O782" t="s">
        <v>74</v>
      </c>
      <c r="P782" t="s">
        <v>74</v>
      </c>
      <c r="Q782" t="s">
        <v>74</v>
      </c>
      <c r="R782" t="s">
        <v>74</v>
      </c>
      <c r="S782" t="s">
        <v>74</v>
      </c>
      <c r="T782" t="s">
        <v>14824</v>
      </c>
      <c r="U782" t="s">
        <v>14825</v>
      </c>
      <c r="V782" t="s">
        <v>14826</v>
      </c>
      <c r="W782" t="s">
        <v>14827</v>
      </c>
      <c r="X782" t="s">
        <v>14828</v>
      </c>
      <c r="Y782" t="s">
        <v>14829</v>
      </c>
      <c r="Z782" t="s">
        <v>14830</v>
      </c>
      <c r="AA782" t="s">
        <v>74</v>
      </c>
      <c r="AB782" t="s">
        <v>74</v>
      </c>
      <c r="AC782" t="s">
        <v>74</v>
      </c>
      <c r="AD782" t="s">
        <v>74</v>
      </c>
      <c r="AE782" t="s">
        <v>74</v>
      </c>
      <c r="AF782" t="s">
        <v>74</v>
      </c>
      <c r="AG782">
        <v>31</v>
      </c>
      <c r="AH782">
        <v>0</v>
      </c>
      <c r="AI782">
        <v>0</v>
      </c>
      <c r="AJ782">
        <v>1</v>
      </c>
      <c r="AK782">
        <v>1</v>
      </c>
      <c r="AL782" t="s">
        <v>14831</v>
      </c>
      <c r="AM782" t="s">
        <v>14832</v>
      </c>
      <c r="AN782" t="s">
        <v>14833</v>
      </c>
      <c r="AO782" t="s">
        <v>14834</v>
      </c>
      <c r="AP782" t="s">
        <v>14835</v>
      </c>
      <c r="AQ782" t="s">
        <v>74</v>
      </c>
      <c r="AR782" t="s">
        <v>14836</v>
      </c>
      <c r="AS782" t="s">
        <v>14837</v>
      </c>
      <c r="AT782" t="s">
        <v>74</v>
      </c>
      <c r="AU782">
        <v>2025</v>
      </c>
      <c r="AV782">
        <v>12</v>
      </c>
      <c r="AW782">
        <v>2</v>
      </c>
      <c r="AX782" t="s">
        <v>74</v>
      </c>
      <c r="AY782" t="s">
        <v>74</v>
      </c>
      <c r="AZ782" t="s">
        <v>74</v>
      </c>
      <c r="BA782" t="s">
        <v>74</v>
      </c>
      <c r="BB782">
        <v>129</v>
      </c>
      <c r="BC782">
        <v>142</v>
      </c>
      <c r="BD782" t="s">
        <v>74</v>
      </c>
      <c r="BE782" t="s">
        <v>14838</v>
      </c>
      <c r="BF782" t="str">
        <f>HYPERLINK("http://dx.doi.org/10.1561/105.00000206","http://dx.doi.org/10.1561/105.00000206")</f>
        <v>http://dx.doi.org/10.1561/105.00000206</v>
      </c>
      <c r="BG782" t="s">
        <v>74</v>
      </c>
      <c r="BH782" t="s">
        <v>74</v>
      </c>
      <c r="BI782">
        <v>14</v>
      </c>
      <c r="BJ782" t="s">
        <v>291</v>
      </c>
      <c r="BK782" t="s">
        <v>313</v>
      </c>
      <c r="BL782" t="s">
        <v>100</v>
      </c>
      <c r="BM782" t="s">
        <v>14839</v>
      </c>
      <c r="BN782" t="s">
        <v>74</v>
      </c>
      <c r="BO782" t="s">
        <v>74</v>
      </c>
      <c r="BP782" t="s">
        <v>74</v>
      </c>
      <c r="BQ782" t="s">
        <v>74</v>
      </c>
      <c r="BR782" t="s">
        <v>102</v>
      </c>
      <c r="BS782" t="s">
        <v>14840</v>
      </c>
      <c r="BT782" t="str">
        <f>HYPERLINK("https%3A%2F%2Fwww.webofscience.com%2Fwos%2Fwoscc%2Ffull-record%2FWOS:001452544900001","View Full Record in Web of Science")</f>
        <v>View Full Record in Web of Science</v>
      </c>
    </row>
    <row r="783" spans="1:72" x14ac:dyDescent="0.25">
      <c r="A783" t="s">
        <v>72</v>
      </c>
      <c r="B783" t="s">
        <v>14841</v>
      </c>
      <c r="C783" t="s">
        <v>74</v>
      </c>
      <c r="D783" t="s">
        <v>74</v>
      </c>
      <c r="E783" t="s">
        <v>74</v>
      </c>
      <c r="F783" t="s">
        <v>14842</v>
      </c>
      <c r="G783" t="s">
        <v>74</v>
      </c>
      <c r="H783" t="s">
        <v>74</v>
      </c>
      <c r="I783" t="s">
        <v>14843</v>
      </c>
      <c r="J783" t="s">
        <v>12620</v>
      </c>
      <c r="K783" t="s">
        <v>74</v>
      </c>
      <c r="L783" t="s">
        <v>74</v>
      </c>
      <c r="M783" t="s">
        <v>78</v>
      </c>
      <c r="N783" t="s">
        <v>79</v>
      </c>
      <c r="O783" t="s">
        <v>74</v>
      </c>
      <c r="P783" t="s">
        <v>74</v>
      </c>
      <c r="Q783" t="s">
        <v>74</v>
      </c>
      <c r="R783" t="s">
        <v>74</v>
      </c>
      <c r="S783" t="s">
        <v>74</v>
      </c>
      <c r="T783" t="s">
        <v>14844</v>
      </c>
      <c r="U783" t="s">
        <v>14845</v>
      </c>
      <c r="V783" t="s">
        <v>14846</v>
      </c>
      <c r="W783" t="s">
        <v>14847</v>
      </c>
      <c r="X783" t="s">
        <v>14848</v>
      </c>
      <c r="Y783" t="s">
        <v>14849</v>
      </c>
      <c r="Z783" t="s">
        <v>14850</v>
      </c>
      <c r="AA783" t="s">
        <v>14851</v>
      </c>
      <c r="AB783" t="s">
        <v>14852</v>
      </c>
      <c r="AC783" t="s">
        <v>74</v>
      </c>
      <c r="AD783" t="s">
        <v>74</v>
      </c>
      <c r="AE783" t="s">
        <v>74</v>
      </c>
      <c r="AF783" t="s">
        <v>74</v>
      </c>
      <c r="AG783">
        <v>55</v>
      </c>
      <c r="AH783">
        <v>30</v>
      </c>
      <c r="AI783">
        <v>39</v>
      </c>
      <c r="AJ783">
        <v>3</v>
      </c>
      <c r="AK783">
        <v>31</v>
      </c>
      <c r="AL783" t="s">
        <v>89</v>
      </c>
      <c r="AM783" t="s">
        <v>1497</v>
      </c>
      <c r="AN783" t="s">
        <v>1498</v>
      </c>
      <c r="AO783" t="s">
        <v>12628</v>
      </c>
      <c r="AP783" t="s">
        <v>12629</v>
      </c>
      <c r="AQ783" t="s">
        <v>74</v>
      </c>
      <c r="AR783" t="s">
        <v>12630</v>
      </c>
      <c r="AS783" t="s">
        <v>12631</v>
      </c>
      <c r="AT783" t="s">
        <v>14853</v>
      </c>
      <c r="AU783">
        <v>2022</v>
      </c>
      <c r="AV783">
        <v>42</v>
      </c>
      <c r="AW783" t="s">
        <v>14854</v>
      </c>
      <c r="AX783" t="s">
        <v>74</v>
      </c>
      <c r="AY783" t="s">
        <v>74</v>
      </c>
      <c r="AZ783" t="s">
        <v>74</v>
      </c>
      <c r="BA783" t="s">
        <v>74</v>
      </c>
      <c r="BB783">
        <v>416</v>
      </c>
      <c r="BC783">
        <v>433</v>
      </c>
      <c r="BD783" t="s">
        <v>74</v>
      </c>
      <c r="BE783" t="s">
        <v>14855</v>
      </c>
      <c r="BF783" t="str">
        <f>HYPERLINK("http://dx.doi.org/10.1108/IJSSP-12-2020-0544","http://dx.doi.org/10.1108/IJSSP-12-2020-0544")</f>
        <v>http://dx.doi.org/10.1108/IJSSP-12-2020-0544</v>
      </c>
      <c r="BG783" t="s">
        <v>74</v>
      </c>
      <c r="BH783" t="s">
        <v>4575</v>
      </c>
      <c r="BI783">
        <v>18</v>
      </c>
      <c r="BJ783" t="s">
        <v>5129</v>
      </c>
      <c r="BK783" t="s">
        <v>313</v>
      </c>
      <c r="BL783" t="s">
        <v>5129</v>
      </c>
      <c r="BM783" t="s">
        <v>14856</v>
      </c>
      <c r="BN783" t="s">
        <v>74</v>
      </c>
      <c r="BO783" t="s">
        <v>74</v>
      </c>
      <c r="BP783" t="s">
        <v>74</v>
      </c>
      <c r="BQ783" t="s">
        <v>74</v>
      </c>
      <c r="BR783" t="s">
        <v>102</v>
      </c>
      <c r="BS783" t="s">
        <v>14857</v>
      </c>
      <c r="BT783" t="str">
        <f>HYPERLINK("https%3A%2F%2Fwww.webofscience.com%2Fwos%2Fwoscc%2Ffull-record%2FWOS:000646275000001","View Full Record in Web of Science")</f>
        <v>View Full Record in Web of Science</v>
      </c>
    </row>
    <row r="784" spans="1:72" x14ac:dyDescent="0.25">
      <c r="A784" t="s">
        <v>72</v>
      </c>
      <c r="B784" t="s">
        <v>14858</v>
      </c>
      <c r="C784" t="s">
        <v>74</v>
      </c>
      <c r="D784" t="s">
        <v>74</v>
      </c>
      <c r="E784" t="s">
        <v>74</v>
      </c>
      <c r="F784" t="s">
        <v>14859</v>
      </c>
      <c r="G784" t="s">
        <v>74</v>
      </c>
      <c r="H784" t="s">
        <v>74</v>
      </c>
      <c r="I784" t="s">
        <v>14860</v>
      </c>
      <c r="J784" t="s">
        <v>14861</v>
      </c>
      <c r="K784" t="s">
        <v>74</v>
      </c>
      <c r="L784" t="s">
        <v>74</v>
      </c>
      <c r="M784" t="s">
        <v>78</v>
      </c>
      <c r="N784" t="s">
        <v>79</v>
      </c>
      <c r="O784" t="s">
        <v>74</v>
      </c>
      <c r="P784" t="s">
        <v>74</v>
      </c>
      <c r="Q784" t="s">
        <v>74</v>
      </c>
      <c r="R784" t="s">
        <v>74</v>
      </c>
      <c r="S784" t="s">
        <v>74</v>
      </c>
      <c r="T784" t="s">
        <v>14862</v>
      </c>
      <c r="U784" t="s">
        <v>14863</v>
      </c>
      <c r="V784" t="s">
        <v>14864</v>
      </c>
      <c r="W784" t="s">
        <v>14865</v>
      </c>
      <c r="X784" t="s">
        <v>14866</v>
      </c>
      <c r="Y784" t="s">
        <v>14867</v>
      </c>
      <c r="Z784" t="s">
        <v>14868</v>
      </c>
      <c r="AA784" t="s">
        <v>14869</v>
      </c>
      <c r="AB784" t="s">
        <v>14870</v>
      </c>
      <c r="AC784" t="s">
        <v>74</v>
      </c>
      <c r="AD784" t="s">
        <v>74</v>
      </c>
      <c r="AE784" t="s">
        <v>74</v>
      </c>
      <c r="AF784" t="s">
        <v>74</v>
      </c>
      <c r="AG784">
        <v>9</v>
      </c>
      <c r="AH784">
        <v>10</v>
      </c>
      <c r="AI784">
        <v>13</v>
      </c>
      <c r="AJ784">
        <v>0</v>
      </c>
      <c r="AK784">
        <v>10</v>
      </c>
      <c r="AL784" t="s">
        <v>14871</v>
      </c>
      <c r="AM784" t="s">
        <v>14872</v>
      </c>
      <c r="AN784" t="s">
        <v>14873</v>
      </c>
      <c r="AO784" t="s">
        <v>14874</v>
      </c>
      <c r="AP784" t="s">
        <v>74</v>
      </c>
      <c r="AQ784" t="s">
        <v>74</v>
      </c>
      <c r="AR784" t="s">
        <v>14875</v>
      </c>
      <c r="AS784" t="s">
        <v>14876</v>
      </c>
      <c r="AT784" t="s">
        <v>124</v>
      </c>
      <c r="AU784">
        <v>2021</v>
      </c>
      <c r="AV784">
        <v>10</v>
      </c>
      <c r="AW784">
        <v>4</v>
      </c>
      <c r="AX784" t="s">
        <v>74</v>
      </c>
      <c r="AY784" t="s">
        <v>74</v>
      </c>
      <c r="AZ784" t="s">
        <v>74</v>
      </c>
      <c r="BA784" t="s">
        <v>74</v>
      </c>
      <c r="BB784">
        <v>342</v>
      </c>
      <c r="BC784">
        <v>348</v>
      </c>
      <c r="BD784" t="s">
        <v>74</v>
      </c>
      <c r="BE784" t="s">
        <v>14877</v>
      </c>
      <c r="BF784" t="str">
        <f>HYPERLINK("http://dx.doi.org/10.17811/ebl.10.4.2021.342-348","http://dx.doi.org/10.17811/ebl.10.4.2021.342-348")</f>
        <v>http://dx.doi.org/10.17811/ebl.10.4.2021.342-348</v>
      </c>
      <c r="BG784" t="s">
        <v>74</v>
      </c>
      <c r="BH784" t="s">
        <v>74</v>
      </c>
      <c r="BI784">
        <v>7</v>
      </c>
      <c r="BJ784" t="s">
        <v>291</v>
      </c>
      <c r="BK784" t="s">
        <v>313</v>
      </c>
      <c r="BL784" t="s">
        <v>100</v>
      </c>
      <c r="BM784" t="s">
        <v>14878</v>
      </c>
      <c r="BN784" t="s">
        <v>74</v>
      </c>
      <c r="BO784" t="s">
        <v>916</v>
      </c>
      <c r="BP784" t="s">
        <v>74</v>
      </c>
      <c r="BQ784" t="s">
        <v>74</v>
      </c>
      <c r="BR784" t="s">
        <v>102</v>
      </c>
      <c r="BS784" t="s">
        <v>14879</v>
      </c>
      <c r="BT784" t="str">
        <f>HYPERLINK("https%3A%2F%2Fwww.webofscience.com%2Fwos%2Fwoscc%2Ffull-record%2FWOS:000744210200002","View Full Record in Web of Science")</f>
        <v>View Full Record in Web of Science</v>
      </c>
    </row>
    <row r="785" spans="1:72" x14ac:dyDescent="0.25">
      <c r="A785" t="s">
        <v>72</v>
      </c>
      <c r="B785" t="s">
        <v>14880</v>
      </c>
      <c r="C785" t="s">
        <v>74</v>
      </c>
      <c r="D785" t="s">
        <v>74</v>
      </c>
      <c r="E785" t="s">
        <v>74</v>
      </c>
      <c r="F785" t="s">
        <v>14881</v>
      </c>
      <c r="G785" t="s">
        <v>74</v>
      </c>
      <c r="H785" t="s">
        <v>74</v>
      </c>
      <c r="I785" t="s">
        <v>14882</v>
      </c>
      <c r="J785" t="s">
        <v>3735</v>
      </c>
      <c r="K785" t="s">
        <v>74</v>
      </c>
      <c r="L785" t="s">
        <v>74</v>
      </c>
      <c r="M785" t="s">
        <v>78</v>
      </c>
      <c r="N785" t="s">
        <v>372</v>
      </c>
      <c r="O785" t="s">
        <v>74</v>
      </c>
      <c r="P785" t="s">
        <v>74</v>
      </c>
      <c r="Q785" t="s">
        <v>74</v>
      </c>
      <c r="R785" t="s">
        <v>74</v>
      </c>
      <c r="S785" t="s">
        <v>74</v>
      </c>
      <c r="T785" t="s">
        <v>14883</v>
      </c>
      <c r="U785" t="s">
        <v>74</v>
      </c>
      <c r="V785" t="s">
        <v>14884</v>
      </c>
      <c r="W785" t="s">
        <v>14885</v>
      </c>
      <c r="X785" t="s">
        <v>14886</v>
      </c>
      <c r="Y785" t="s">
        <v>14887</v>
      </c>
      <c r="Z785" t="s">
        <v>14888</v>
      </c>
      <c r="AA785" t="s">
        <v>14889</v>
      </c>
      <c r="AB785" t="s">
        <v>74</v>
      </c>
      <c r="AC785" t="s">
        <v>14890</v>
      </c>
      <c r="AD785" t="s">
        <v>9224</v>
      </c>
      <c r="AE785" t="s">
        <v>14891</v>
      </c>
      <c r="AF785" t="s">
        <v>74</v>
      </c>
      <c r="AG785">
        <v>27</v>
      </c>
      <c r="AH785">
        <v>5</v>
      </c>
      <c r="AI785">
        <v>5</v>
      </c>
      <c r="AJ785">
        <v>19</v>
      </c>
      <c r="AK785">
        <v>51</v>
      </c>
      <c r="AL785" t="s">
        <v>385</v>
      </c>
      <c r="AM785" t="s">
        <v>1153</v>
      </c>
      <c r="AN785" t="s">
        <v>1154</v>
      </c>
      <c r="AO785" t="s">
        <v>3744</v>
      </c>
      <c r="AP785" t="s">
        <v>3745</v>
      </c>
      <c r="AQ785" t="s">
        <v>74</v>
      </c>
      <c r="AR785" t="s">
        <v>3746</v>
      </c>
      <c r="AS785" t="s">
        <v>3747</v>
      </c>
      <c r="AT785" t="s">
        <v>14892</v>
      </c>
      <c r="AU785">
        <v>2024</v>
      </c>
      <c r="AV785" t="s">
        <v>74</v>
      </c>
      <c r="AW785" t="s">
        <v>74</v>
      </c>
      <c r="AX785" t="s">
        <v>74</v>
      </c>
      <c r="AY785" t="s">
        <v>74</v>
      </c>
      <c r="AZ785" t="s">
        <v>74</v>
      </c>
      <c r="BA785" t="s">
        <v>74</v>
      </c>
      <c r="BB785" t="s">
        <v>74</v>
      </c>
      <c r="BC785" t="s">
        <v>74</v>
      </c>
      <c r="BD785" t="s">
        <v>74</v>
      </c>
      <c r="BE785" t="s">
        <v>14893</v>
      </c>
      <c r="BF785" t="str">
        <f>HYPERLINK("http://dx.doi.org/10.1007/s10660-024-09940-4","http://dx.doi.org/10.1007/s10660-024-09940-4")</f>
        <v>http://dx.doi.org/10.1007/s10660-024-09940-4</v>
      </c>
      <c r="BG785" t="s">
        <v>74</v>
      </c>
      <c r="BH785" t="s">
        <v>809</v>
      </c>
      <c r="BI785">
        <v>19</v>
      </c>
      <c r="BJ785" t="s">
        <v>98</v>
      </c>
      <c r="BK785" t="s">
        <v>99</v>
      </c>
      <c r="BL785" t="s">
        <v>100</v>
      </c>
      <c r="BM785" t="s">
        <v>14894</v>
      </c>
      <c r="BN785" t="s">
        <v>74</v>
      </c>
      <c r="BO785" t="s">
        <v>74</v>
      </c>
      <c r="BP785" t="s">
        <v>74</v>
      </c>
      <c r="BQ785" t="s">
        <v>74</v>
      </c>
      <c r="BR785" t="s">
        <v>102</v>
      </c>
      <c r="BS785" t="s">
        <v>14895</v>
      </c>
      <c r="BT785" t="str">
        <f>HYPERLINK("https%3A%2F%2Fwww.webofscience.com%2Fwos%2Fwoscc%2Ffull-record%2FWOS:001377493100001","View Full Record in Web of Science")</f>
        <v>View Full Record in Web of Science</v>
      </c>
    </row>
    <row r="786" spans="1:72" x14ac:dyDescent="0.25">
      <c r="A786" t="s">
        <v>72</v>
      </c>
      <c r="B786" t="s">
        <v>14896</v>
      </c>
      <c r="C786" t="s">
        <v>74</v>
      </c>
      <c r="D786" t="s">
        <v>74</v>
      </c>
      <c r="E786" t="s">
        <v>74</v>
      </c>
      <c r="F786" t="s">
        <v>14897</v>
      </c>
      <c r="G786" t="s">
        <v>74</v>
      </c>
      <c r="H786" t="s">
        <v>74</v>
      </c>
      <c r="I786" t="s">
        <v>14898</v>
      </c>
      <c r="J786" t="s">
        <v>10186</v>
      </c>
      <c r="K786" t="s">
        <v>74</v>
      </c>
      <c r="L786" t="s">
        <v>74</v>
      </c>
      <c r="M786" t="s">
        <v>78</v>
      </c>
      <c r="N786" t="s">
        <v>79</v>
      </c>
      <c r="O786" t="s">
        <v>74</v>
      </c>
      <c r="P786" t="s">
        <v>74</v>
      </c>
      <c r="Q786" t="s">
        <v>74</v>
      </c>
      <c r="R786" t="s">
        <v>74</v>
      </c>
      <c r="S786" t="s">
        <v>74</v>
      </c>
      <c r="T786" t="s">
        <v>14899</v>
      </c>
      <c r="U786" t="s">
        <v>74</v>
      </c>
      <c r="V786" t="s">
        <v>14900</v>
      </c>
      <c r="W786" t="s">
        <v>14901</v>
      </c>
      <c r="X786" t="s">
        <v>14902</v>
      </c>
      <c r="Y786" t="s">
        <v>14903</v>
      </c>
      <c r="Z786" t="s">
        <v>14904</v>
      </c>
      <c r="AA786" t="s">
        <v>74</v>
      </c>
      <c r="AB786" t="s">
        <v>74</v>
      </c>
      <c r="AC786" t="s">
        <v>14905</v>
      </c>
      <c r="AD786" t="s">
        <v>14906</v>
      </c>
      <c r="AE786" t="s">
        <v>14907</v>
      </c>
      <c r="AF786" t="s">
        <v>74</v>
      </c>
      <c r="AG786">
        <v>54</v>
      </c>
      <c r="AH786">
        <v>38</v>
      </c>
      <c r="AI786">
        <v>44</v>
      </c>
      <c r="AJ786">
        <v>6</v>
      </c>
      <c r="AK786">
        <v>249</v>
      </c>
      <c r="AL786" t="s">
        <v>575</v>
      </c>
      <c r="AM786" t="s">
        <v>576</v>
      </c>
      <c r="AN786" t="s">
        <v>577</v>
      </c>
      <c r="AO786" t="s">
        <v>74</v>
      </c>
      <c r="AP786" t="s">
        <v>10199</v>
      </c>
      <c r="AQ786" t="s">
        <v>74</v>
      </c>
      <c r="AR786" t="s">
        <v>10200</v>
      </c>
      <c r="AS786" t="s">
        <v>10201</v>
      </c>
      <c r="AT786" t="s">
        <v>1652</v>
      </c>
      <c r="AU786">
        <v>2022</v>
      </c>
      <c r="AV786">
        <v>19</v>
      </c>
      <c r="AW786">
        <v>12</v>
      </c>
      <c r="AX786" t="s">
        <v>74</v>
      </c>
      <c r="AY786" t="s">
        <v>74</v>
      </c>
      <c r="AZ786" t="s">
        <v>74</v>
      </c>
      <c r="BA786" t="s">
        <v>74</v>
      </c>
      <c r="BB786" t="s">
        <v>74</v>
      </c>
      <c r="BC786" t="s">
        <v>74</v>
      </c>
      <c r="BD786">
        <v>7323</v>
      </c>
      <c r="BE786" t="s">
        <v>14908</v>
      </c>
      <c r="BF786" t="str">
        <f>HYPERLINK("http://dx.doi.org/10.3390/ijerph19127323","http://dx.doi.org/10.3390/ijerph19127323")</f>
        <v>http://dx.doi.org/10.3390/ijerph19127323</v>
      </c>
      <c r="BG786" t="s">
        <v>74</v>
      </c>
      <c r="BH786" t="s">
        <v>74</v>
      </c>
      <c r="BI786">
        <v>14</v>
      </c>
      <c r="BJ786" t="s">
        <v>10203</v>
      </c>
      <c r="BK786" t="s">
        <v>2623</v>
      </c>
      <c r="BL786" t="s">
        <v>10204</v>
      </c>
      <c r="BM786" t="s">
        <v>14909</v>
      </c>
      <c r="BN786">
        <v>35742571</v>
      </c>
      <c r="BO786" t="s">
        <v>916</v>
      </c>
      <c r="BP786" t="s">
        <v>74</v>
      </c>
      <c r="BQ786" t="s">
        <v>74</v>
      </c>
      <c r="BR786" t="s">
        <v>102</v>
      </c>
      <c r="BS786" t="s">
        <v>14910</v>
      </c>
      <c r="BT786" t="str">
        <f>HYPERLINK("https%3A%2F%2Fwww.webofscience.com%2Fwos%2Fwoscc%2Ffull-record%2FWOS:000816450800001","View Full Record in Web of Science")</f>
        <v>View Full Record in Web of Science</v>
      </c>
    </row>
    <row r="787" spans="1:72" x14ac:dyDescent="0.25">
      <c r="A787" t="s">
        <v>72</v>
      </c>
      <c r="B787" t="s">
        <v>14911</v>
      </c>
      <c r="C787" t="s">
        <v>74</v>
      </c>
      <c r="D787" t="s">
        <v>74</v>
      </c>
      <c r="E787" t="s">
        <v>74</v>
      </c>
      <c r="F787" t="s">
        <v>14912</v>
      </c>
      <c r="G787" t="s">
        <v>74</v>
      </c>
      <c r="H787" t="s">
        <v>74</v>
      </c>
      <c r="I787" t="s">
        <v>14913</v>
      </c>
      <c r="J787" t="s">
        <v>1878</v>
      </c>
      <c r="K787" t="s">
        <v>74</v>
      </c>
      <c r="L787" t="s">
        <v>74</v>
      </c>
      <c r="M787" t="s">
        <v>78</v>
      </c>
      <c r="N787" t="s">
        <v>79</v>
      </c>
      <c r="O787" t="s">
        <v>74</v>
      </c>
      <c r="P787" t="s">
        <v>74</v>
      </c>
      <c r="Q787" t="s">
        <v>74</v>
      </c>
      <c r="R787" t="s">
        <v>74</v>
      </c>
      <c r="S787" t="s">
        <v>74</v>
      </c>
      <c r="T787" t="s">
        <v>14914</v>
      </c>
      <c r="U787" t="s">
        <v>14863</v>
      </c>
      <c r="V787" t="s">
        <v>14915</v>
      </c>
      <c r="W787" t="s">
        <v>14916</v>
      </c>
      <c r="X787" t="s">
        <v>14917</v>
      </c>
      <c r="Y787" t="s">
        <v>14918</v>
      </c>
      <c r="Z787" t="s">
        <v>14919</v>
      </c>
      <c r="AA787" t="s">
        <v>14920</v>
      </c>
      <c r="AB787" t="s">
        <v>14921</v>
      </c>
      <c r="AC787" t="s">
        <v>74</v>
      </c>
      <c r="AD787" t="s">
        <v>74</v>
      </c>
      <c r="AE787" t="s">
        <v>74</v>
      </c>
      <c r="AF787" t="s">
        <v>74</v>
      </c>
      <c r="AG787">
        <v>25</v>
      </c>
      <c r="AH787">
        <v>2</v>
      </c>
      <c r="AI787">
        <v>4</v>
      </c>
      <c r="AJ787">
        <v>1</v>
      </c>
      <c r="AK787">
        <v>20</v>
      </c>
      <c r="AL787" t="s">
        <v>1889</v>
      </c>
      <c r="AM787" t="s">
        <v>1890</v>
      </c>
      <c r="AN787" t="s">
        <v>1891</v>
      </c>
      <c r="AO787" t="s">
        <v>1892</v>
      </c>
      <c r="AP787" t="s">
        <v>1893</v>
      </c>
      <c r="AQ787" t="s">
        <v>74</v>
      </c>
      <c r="AR787" t="s">
        <v>1894</v>
      </c>
      <c r="AS787" t="s">
        <v>1895</v>
      </c>
      <c r="AT787" t="s">
        <v>124</v>
      </c>
      <c r="AU787">
        <v>2023</v>
      </c>
      <c r="AV787">
        <v>10</v>
      </c>
      <c r="AW787">
        <v>4</v>
      </c>
      <c r="AX787" t="s">
        <v>74</v>
      </c>
      <c r="AY787" t="s">
        <v>74</v>
      </c>
      <c r="AZ787" t="s">
        <v>74</v>
      </c>
      <c r="BA787" t="s">
        <v>74</v>
      </c>
      <c r="BB787" t="s">
        <v>74</v>
      </c>
      <c r="BC787" t="s">
        <v>74</v>
      </c>
      <c r="BD787">
        <v>2350022</v>
      </c>
      <c r="BE787" t="s">
        <v>14922</v>
      </c>
      <c r="BF787" t="str">
        <f>HYPERLINK("http://dx.doi.org/10.1142/S2424786323500226","http://dx.doi.org/10.1142/S2424786323500226")</f>
        <v>http://dx.doi.org/10.1142/S2424786323500226</v>
      </c>
      <c r="BG787" t="s">
        <v>74</v>
      </c>
      <c r="BH787" t="s">
        <v>700</v>
      </c>
      <c r="BI787">
        <v>23</v>
      </c>
      <c r="BJ787" t="s">
        <v>268</v>
      </c>
      <c r="BK787" t="s">
        <v>313</v>
      </c>
      <c r="BL787" t="s">
        <v>100</v>
      </c>
      <c r="BM787" t="s">
        <v>14923</v>
      </c>
      <c r="BN787" t="s">
        <v>74</v>
      </c>
      <c r="BO787" t="s">
        <v>74</v>
      </c>
      <c r="BP787" t="s">
        <v>74</v>
      </c>
      <c r="BQ787" t="s">
        <v>74</v>
      </c>
      <c r="BR787" t="s">
        <v>102</v>
      </c>
      <c r="BS787" t="s">
        <v>14924</v>
      </c>
      <c r="BT787" t="str">
        <f>HYPERLINK("https%3A%2F%2Fwww.webofscience.com%2Fwos%2Fwoscc%2Ffull-record%2FWOS:001039213700001","View Full Record in Web of Science")</f>
        <v>View Full Record in Web of Science</v>
      </c>
    </row>
    <row r="788" spans="1:72" x14ac:dyDescent="0.25">
      <c r="A788" t="s">
        <v>72</v>
      </c>
      <c r="B788" t="s">
        <v>14925</v>
      </c>
      <c r="C788" t="s">
        <v>74</v>
      </c>
      <c r="D788" t="s">
        <v>74</v>
      </c>
      <c r="E788" t="s">
        <v>74</v>
      </c>
      <c r="F788" t="s">
        <v>14926</v>
      </c>
      <c r="G788" t="s">
        <v>74</v>
      </c>
      <c r="H788" t="s">
        <v>74</v>
      </c>
      <c r="I788" t="s">
        <v>14927</v>
      </c>
      <c r="J788" t="s">
        <v>729</v>
      </c>
      <c r="K788" t="s">
        <v>74</v>
      </c>
      <c r="L788" t="s">
        <v>74</v>
      </c>
      <c r="M788" t="s">
        <v>78</v>
      </c>
      <c r="N788" t="s">
        <v>372</v>
      </c>
      <c r="O788" t="s">
        <v>74</v>
      </c>
      <c r="P788" t="s">
        <v>74</v>
      </c>
      <c r="Q788" t="s">
        <v>74</v>
      </c>
      <c r="R788" t="s">
        <v>74</v>
      </c>
      <c r="S788" t="s">
        <v>74</v>
      </c>
      <c r="T788" t="s">
        <v>14928</v>
      </c>
      <c r="U788" t="s">
        <v>74</v>
      </c>
      <c r="V788" t="s">
        <v>14929</v>
      </c>
      <c r="W788" t="s">
        <v>14930</v>
      </c>
      <c r="X788" t="s">
        <v>14931</v>
      </c>
      <c r="Y788" t="s">
        <v>14932</v>
      </c>
      <c r="Z788" t="s">
        <v>14933</v>
      </c>
      <c r="AA788" t="s">
        <v>74</v>
      </c>
      <c r="AB788" t="s">
        <v>74</v>
      </c>
      <c r="AC788" t="s">
        <v>14934</v>
      </c>
      <c r="AD788" t="s">
        <v>14935</v>
      </c>
      <c r="AE788" t="s">
        <v>14936</v>
      </c>
      <c r="AF788" t="s">
        <v>74</v>
      </c>
      <c r="AG788">
        <v>29</v>
      </c>
      <c r="AH788">
        <v>0</v>
      </c>
      <c r="AI788">
        <v>0</v>
      </c>
      <c r="AJ788">
        <v>13</v>
      </c>
      <c r="AK788">
        <v>13</v>
      </c>
      <c r="AL788" t="s">
        <v>479</v>
      </c>
      <c r="AM788" t="s">
        <v>480</v>
      </c>
      <c r="AN788" t="s">
        <v>481</v>
      </c>
      <c r="AO788" t="s">
        <v>739</v>
      </c>
      <c r="AP788" t="s">
        <v>740</v>
      </c>
      <c r="AQ788" t="s">
        <v>74</v>
      </c>
      <c r="AR788" t="s">
        <v>741</v>
      </c>
      <c r="AS788" t="s">
        <v>742</v>
      </c>
      <c r="AT788" t="s">
        <v>14937</v>
      </c>
      <c r="AU788">
        <v>2025</v>
      </c>
      <c r="AV788" t="s">
        <v>74</v>
      </c>
      <c r="AW788" t="s">
        <v>74</v>
      </c>
      <c r="AX788" t="s">
        <v>74</v>
      </c>
      <c r="AY788" t="s">
        <v>74</v>
      </c>
      <c r="AZ788" t="s">
        <v>74</v>
      </c>
      <c r="BA788" t="s">
        <v>74</v>
      </c>
      <c r="BB788" t="s">
        <v>74</v>
      </c>
      <c r="BC788" t="s">
        <v>74</v>
      </c>
      <c r="BD788" t="s">
        <v>74</v>
      </c>
      <c r="BE788" t="s">
        <v>14938</v>
      </c>
      <c r="BF788" t="str">
        <f>HYPERLINK("http://dx.doi.org/10.1002/ijfe.70063","http://dx.doi.org/10.1002/ijfe.70063")</f>
        <v>http://dx.doi.org/10.1002/ijfe.70063</v>
      </c>
      <c r="BG788" t="s">
        <v>74</v>
      </c>
      <c r="BH788" t="s">
        <v>3411</v>
      </c>
      <c r="BI788">
        <v>17</v>
      </c>
      <c r="BJ788" t="s">
        <v>268</v>
      </c>
      <c r="BK788" t="s">
        <v>99</v>
      </c>
      <c r="BL788" t="s">
        <v>100</v>
      </c>
      <c r="BM788" t="s">
        <v>14939</v>
      </c>
      <c r="BN788" t="s">
        <v>74</v>
      </c>
      <c r="BO788" t="s">
        <v>74</v>
      </c>
      <c r="BP788" t="s">
        <v>74</v>
      </c>
      <c r="BQ788" t="s">
        <v>74</v>
      </c>
      <c r="BR788" t="s">
        <v>102</v>
      </c>
      <c r="BS788" t="s">
        <v>14940</v>
      </c>
      <c r="BT788" t="str">
        <f>HYPERLINK("https%3A%2F%2Fwww.webofscience.com%2Fwos%2Fwoscc%2Ffull-record%2FWOS:001576676200001","View Full Record in Web of Science")</f>
        <v>View Full Record in Web of Science</v>
      </c>
    </row>
    <row r="789" spans="1:72" x14ac:dyDescent="0.25">
      <c r="A789" t="s">
        <v>72</v>
      </c>
      <c r="B789" t="s">
        <v>14941</v>
      </c>
      <c r="C789" t="s">
        <v>74</v>
      </c>
      <c r="D789" t="s">
        <v>74</v>
      </c>
      <c r="E789" t="s">
        <v>74</v>
      </c>
      <c r="F789" t="s">
        <v>14942</v>
      </c>
      <c r="G789" t="s">
        <v>74</v>
      </c>
      <c r="H789" t="s">
        <v>74</v>
      </c>
      <c r="I789" t="s">
        <v>14943</v>
      </c>
      <c r="J789" t="s">
        <v>12620</v>
      </c>
      <c r="K789" t="s">
        <v>74</v>
      </c>
      <c r="L789" t="s">
        <v>74</v>
      </c>
      <c r="M789" t="s">
        <v>78</v>
      </c>
      <c r="N789" t="s">
        <v>79</v>
      </c>
      <c r="O789" t="s">
        <v>74</v>
      </c>
      <c r="P789" t="s">
        <v>74</v>
      </c>
      <c r="Q789" t="s">
        <v>74</v>
      </c>
      <c r="R789" t="s">
        <v>74</v>
      </c>
      <c r="S789" t="s">
        <v>74</v>
      </c>
      <c r="T789" t="s">
        <v>14944</v>
      </c>
      <c r="U789" t="s">
        <v>14945</v>
      </c>
      <c r="V789" t="s">
        <v>14946</v>
      </c>
      <c r="W789" t="s">
        <v>14947</v>
      </c>
      <c r="X789" t="s">
        <v>12367</v>
      </c>
      <c r="Y789" t="s">
        <v>14948</v>
      </c>
      <c r="Z789" t="s">
        <v>14949</v>
      </c>
      <c r="AA789" t="s">
        <v>14950</v>
      </c>
      <c r="AB789" t="s">
        <v>12157</v>
      </c>
      <c r="AC789" t="s">
        <v>74</v>
      </c>
      <c r="AD789" t="s">
        <v>74</v>
      </c>
      <c r="AE789" t="s">
        <v>74</v>
      </c>
      <c r="AF789" t="s">
        <v>74</v>
      </c>
      <c r="AG789">
        <v>95</v>
      </c>
      <c r="AH789">
        <v>31</v>
      </c>
      <c r="AI789">
        <v>40</v>
      </c>
      <c r="AJ789">
        <v>0</v>
      </c>
      <c r="AK789">
        <v>17</v>
      </c>
      <c r="AL789" t="s">
        <v>89</v>
      </c>
      <c r="AM789" t="s">
        <v>90</v>
      </c>
      <c r="AN789" t="s">
        <v>91</v>
      </c>
      <c r="AO789" t="s">
        <v>12628</v>
      </c>
      <c r="AP789" t="s">
        <v>12629</v>
      </c>
      <c r="AQ789" t="s">
        <v>74</v>
      </c>
      <c r="AR789" t="s">
        <v>12630</v>
      </c>
      <c r="AS789" t="s">
        <v>12631</v>
      </c>
      <c r="AT789" t="s">
        <v>9129</v>
      </c>
      <c r="AU789">
        <v>2020</v>
      </c>
      <c r="AV789">
        <v>40</v>
      </c>
      <c r="AW789" t="s">
        <v>14951</v>
      </c>
      <c r="AX789" t="s">
        <v>74</v>
      </c>
      <c r="AY789" t="s">
        <v>74</v>
      </c>
      <c r="AZ789" t="s">
        <v>74</v>
      </c>
      <c r="BA789" t="s">
        <v>74</v>
      </c>
      <c r="BB789">
        <v>1257</v>
      </c>
      <c r="BC789">
        <v>1277</v>
      </c>
      <c r="BD789" t="s">
        <v>74</v>
      </c>
      <c r="BE789" t="s">
        <v>14952</v>
      </c>
      <c r="BF789" t="str">
        <f>HYPERLINK("http://dx.doi.org/10.1108/IJSSP-12-2019-0262","http://dx.doi.org/10.1108/IJSSP-12-2019-0262")</f>
        <v>http://dx.doi.org/10.1108/IJSSP-12-2019-0262</v>
      </c>
      <c r="BG789" t="s">
        <v>74</v>
      </c>
      <c r="BH789" t="s">
        <v>960</v>
      </c>
      <c r="BI789">
        <v>21</v>
      </c>
      <c r="BJ789" t="s">
        <v>5129</v>
      </c>
      <c r="BK789" t="s">
        <v>313</v>
      </c>
      <c r="BL789" t="s">
        <v>5129</v>
      </c>
      <c r="BM789" t="s">
        <v>14953</v>
      </c>
      <c r="BN789" t="s">
        <v>74</v>
      </c>
      <c r="BO789" t="s">
        <v>74</v>
      </c>
      <c r="BP789" t="s">
        <v>74</v>
      </c>
      <c r="BQ789" t="s">
        <v>74</v>
      </c>
      <c r="BR789" t="s">
        <v>102</v>
      </c>
      <c r="BS789" t="s">
        <v>14954</v>
      </c>
      <c r="BT789" t="str">
        <f>HYPERLINK("https%3A%2F%2Fwww.webofscience.com%2Fwos%2Fwoscc%2Ffull-record%2FWOS:000544427000001","View Full Record in Web of Science")</f>
        <v>View Full Record in Web of Science</v>
      </c>
    </row>
    <row r="790" spans="1:72" x14ac:dyDescent="0.25">
      <c r="A790" t="s">
        <v>72</v>
      </c>
      <c r="B790" t="s">
        <v>14955</v>
      </c>
      <c r="C790" t="s">
        <v>74</v>
      </c>
      <c r="D790" t="s">
        <v>74</v>
      </c>
      <c r="E790" t="s">
        <v>74</v>
      </c>
      <c r="F790" t="s">
        <v>14956</v>
      </c>
      <c r="G790" t="s">
        <v>74</v>
      </c>
      <c r="H790" t="s">
        <v>74</v>
      </c>
      <c r="I790" t="s">
        <v>14957</v>
      </c>
      <c r="J790" t="s">
        <v>1491</v>
      </c>
      <c r="K790" t="s">
        <v>74</v>
      </c>
      <c r="L790" t="s">
        <v>74</v>
      </c>
      <c r="M790" t="s">
        <v>78</v>
      </c>
      <c r="N790" t="s">
        <v>79</v>
      </c>
      <c r="O790" t="s">
        <v>74</v>
      </c>
      <c r="P790" t="s">
        <v>74</v>
      </c>
      <c r="Q790" t="s">
        <v>74</v>
      </c>
      <c r="R790" t="s">
        <v>74</v>
      </c>
      <c r="S790" t="s">
        <v>74</v>
      </c>
      <c r="T790" t="s">
        <v>14958</v>
      </c>
      <c r="U790" t="s">
        <v>14959</v>
      </c>
      <c r="V790" t="s">
        <v>14960</v>
      </c>
      <c r="W790" t="s">
        <v>14961</v>
      </c>
      <c r="X790" t="s">
        <v>14962</v>
      </c>
      <c r="Y790" t="s">
        <v>14963</v>
      </c>
      <c r="Z790" t="s">
        <v>12156</v>
      </c>
      <c r="AA790" t="s">
        <v>74</v>
      </c>
      <c r="AB790" t="s">
        <v>12157</v>
      </c>
      <c r="AC790" t="s">
        <v>12159</v>
      </c>
      <c r="AD790" t="s">
        <v>12159</v>
      </c>
      <c r="AE790" t="s">
        <v>14964</v>
      </c>
      <c r="AF790" t="s">
        <v>74</v>
      </c>
      <c r="AG790">
        <v>83</v>
      </c>
      <c r="AH790">
        <v>3</v>
      </c>
      <c r="AI790">
        <v>5</v>
      </c>
      <c r="AJ790">
        <v>2</v>
      </c>
      <c r="AK790">
        <v>6</v>
      </c>
      <c r="AL790" t="s">
        <v>89</v>
      </c>
      <c r="AM790" t="s">
        <v>90</v>
      </c>
      <c r="AN790" t="s">
        <v>91</v>
      </c>
      <c r="AO790" t="s">
        <v>1499</v>
      </c>
      <c r="AP790" t="s">
        <v>1500</v>
      </c>
      <c r="AQ790" t="s">
        <v>74</v>
      </c>
      <c r="AR790" t="s">
        <v>1501</v>
      </c>
      <c r="AS790" t="s">
        <v>1502</v>
      </c>
      <c r="AT790" t="s">
        <v>1693</v>
      </c>
      <c r="AU790">
        <v>2024</v>
      </c>
      <c r="AV790">
        <v>32</v>
      </c>
      <c r="AW790">
        <v>2</v>
      </c>
      <c r="AX790" t="s">
        <v>74</v>
      </c>
      <c r="AY790" t="s">
        <v>74</v>
      </c>
      <c r="AZ790" t="s">
        <v>74</v>
      </c>
      <c r="BA790" t="s">
        <v>74</v>
      </c>
      <c r="BB790">
        <v>184</v>
      </c>
      <c r="BC790">
        <v>210</v>
      </c>
      <c r="BD790" t="s">
        <v>74</v>
      </c>
      <c r="BE790" t="s">
        <v>14965</v>
      </c>
      <c r="BF790" t="str">
        <f>HYPERLINK("http://dx.doi.org/10.1108/JFRC-07-2023-0109","http://dx.doi.org/10.1108/JFRC-07-2023-0109")</f>
        <v>http://dx.doi.org/10.1108/JFRC-07-2023-0109</v>
      </c>
      <c r="BG790" t="s">
        <v>74</v>
      </c>
      <c r="BH790" t="s">
        <v>1981</v>
      </c>
      <c r="BI790">
        <v>27</v>
      </c>
      <c r="BJ790" t="s">
        <v>268</v>
      </c>
      <c r="BK790" t="s">
        <v>313</v>
      </c>
      <c r="BL790" t="s">
        <v>100</v>
      </c>
      <c r="BM790" t="s">
        <v>14966</v>
      </c>
      <c r="BN790" t="s">
        <v>74</v>
      </c>
      <c r="BO790" t="s">
        <v>74</v>
      </c>
      <c r="BP790" t="s">
        <v>74</v>
      </c>
      <c r="BQ790" t="s">
        <v>74</v>
      </c>
      <c r="BR790" t="s">
        <v>102</v>
      </c>
      <c r="BS790" t="s">
        <v>14967</v>
      </c>
      <c r="BT790" t="str">
        <f>HYPERLINK("https%3A%2F%2Fwww.webofscience.com%2Fwos%2Fwoscc%2Ffull-record%2FWOS:001177386400001","View Full Record in Web of Science")</f>
        <v>View Full Record in Web of Science</v>
      </c>
    </row>
    <row r="791" spans="1:72" x14ac:dyDescent="0.25">
      <c r="A791" t="s">
        <v>72</v>
      </c>
      <c r="B791" t="s">
        <v>14968</v>
      </c>
      <c r="C791" t="s">
        <v>74</v>
      </c>
      <c r="D791" t="s">
        <v>74</v>
      </c>
      <c r="E791" t="s">
        <v>74</v>
      </c>
      <c r="F791" t="s">
        <v>14969</v>
      </c>
      <c r="G791" t="s">
        <v>74</v>
      </c>
      <c r="H791" t="s">
        <v>74</v>
      </c>
      <c r="I791" t="s">
        <v>14970</v>
      </c>
      <c r="J791" t="s">
        <v>3773</v>
      </c>
      <c r="K791" t="s">
        <v>74</v>
      </c>
      <c r="L791" t="s">
        <v>74</v>
      </c>
      <c r="M791" t="s">
        <v>78</v>
      </c>
      <c r="N791" t="s">
        <v>372</v>
      </c>
      <c r="O791" t="s">
        <v>74</v>
      </c>
      <c r="P791" t="s">
        <v>74</v>
      </c>
      <c r="Q791" t="s">
        <v>74</v>
      </c>
      <c r="R791" t="s">
        <v>74</v>
      </c>
      <c r="S791" t="s">
        <v>74</v>
      </c>
      <c r="T791" t="s">
        <v>14971</v>
      </c>
      <c r="U791" t="s">
        <v>14972</v>
      </c>
      <c r="V791" t="s">
        <v>14973</v>
      </c>
      <c r="W791" t="s">
        <v>14974</v>
      </c>
      <c r="X791" t="s">
        <v>14975</v>
      </c>
      <c r="Y791" t="s">
        <v>14976</v>
      </c>
      <c r="Z791" t="s">
        <v>14977</v>
      </c>
      <c r="AA791" t="s">
        <v>74</v>
      </c>
      <c r="AB791" t="s">
        <v>74</v>
      </c>
      <c r="AC791" t="s">
        <v>74</v>
      </c>
      <c r="AD791" t="s">
        <v>74</v>
      </c>
      <c r="AE791" t="s">
        <v>74</v>
      </c>
      <c r="AF791" t="s">
        <v>74</v>
      </c>
      <c r="AG791">
        <v>36</v>
      </c>
      <c r="AH791">
        <v>0</v>
      </c>
      <c r="AI791">
        <v>0</v>
      </c>
      <c r="AJ791">
        <v>4</v>
      </c>
      <c r="AK791">
        <v>4</v>
      </c>
      <c r="AL791" t="s">
        <v>89</v>
      </c>
      <c r="AM791" t="s">
        <v>90</v>
      </c>
      <c r="AN791" t="s">
        <v>91</v>
      </c>
      <c r="AO791" t="s">
        <v>3783</v>
      </c>
      <c r="AP791" t="s">
        <v>3784</v>
      </c>
      <c r="AQ791" t="s">
        <v>74</v>
      </c>
      <c r="AR791" t="s">
        <v>3785</v>
      </c>
      <c r="AS791" t="s">
        <v>3786</v>
      </c>
      <c r="AT791" t="s">
        <v>14978</v>
      </c>
      <c r="AU791">
        <v>2025</v>
      </c>
      <c r="AV791" t="s">
        <v>74</v>
      </c>
      <c r="AW791" t="s">
        <v>74</v>
      </c>
      <c r="AX791" t="s">
        <v>74</v>
      </c>
      <c r="AY791" t="s">
        <v>74</v>
      </c>
      <c r="AZ791" t="s">
        <v>74</v>
      </c>
      <c r="BA791" t="s">
        <v>74</v>
      </c>
      <c r="BB791" t="s">
        <v>74</v>
      </c>
      <c r="BC791" t="s">
        <v>74</v>
      </c>
      <c r="BD791" t="s">
        <v>74</v>
      </c>
      <c r="BE791" t="s">
        <v>14979</v>
      </c>
      <c r="BF791" t="str">
        <f>HYPERLINK("http://dx.doi.org/10.1108/JEFAS-09-2024-0280","http://dx.doi.org/10.1108/JEFAS-09-2024-0280")</f>
        <v>http://dx.doi.org/10.1108/JEFAS-09-2024-0280</v>
      </c>
      <c r="BG791" t="s">
        <v>74</v>
      </c>
      <c r="BH791" t="s">
        <v>12078</v>
      </c>
      <c r="BI791">
        <v>18</v>
      </c>
      <c r="BJ791" t="s">
        <v>291</v>
      </c>
      <c r="BK791" t="s">
        <v>313</v>
      </c>
      <c r="BL791" t="s">
        <v>100</v>
      </c>
      <c r="BM791" t="s">
        <v>14980</v>
      </c>
      <c r="BN791" t="s">
        <v>74</v>
      </c>
      <c r="BO791" t="s">
        <v>212</v>
      </c>
      <c r="BP791" t="s">
        <v>74</v>
      </c>
      <c r="BQ791" t="s">
        <v>74</v>
      </c>
      <c r="BR791" t="s">
        <v>102</v>
      </c>
      <c r="BS791" t="s">
        <v>14981</v>
      </c>
      <c r="BT791" t="str">
        <f>HYPERLINK("https%3A%2F%2Fwww.webofscience.com%2Fwos%2Fwoscc%2Ffull-record%2FWOS:001594159500001","View Full Record in Web of Science")</f>
        <v>View Full Record in Web of Science</v>
      </c>
    </row>
    <row r="792" spans="1:72" x14ac:dyDescent="0.25">
      <c r="A792" t="s">
        <v>72</v>
      </c>
      <c r="B792" t="s">
        <v>14982</v>
      </c>
      <c r="C792" t="s">
        <v>74</v>
      </c>
      <c r="D792" t="s">
        <v>74</v>
      </c>
      <c r="E792" t="s">
        <v>74</v>
      </c>
      <c r="F792" t="s">
        <v>14983</v>
      </c>
      <c r="G792" t="s">
        <v>74</v>
      </c>
      <c r="H792" t="s">
        <v>74</v>
      </c>
      <c r="I792" t="s">
        <v>14984</v>
      </c>
      <c r="J792" t="s">
        <v>3036</v>
      </c>
      <c r="K792" t="s">
        <v>74</v>
      </c>
      <c r="L792" t="s">
        <v>74</v>
      </c>
      <c r="M792" t="s">
        <v>78</v>
      </c>
      <c r="N792" t="s">
        <v>79</v>
      </c>
      <c r="O792" t="s">
        <v>74</v>
      </c>
      <c r="P792" t="s">
        <v>74</v>
      </c>
      <c r="Q792" t="s">
        <v>74</v>
      </c>
      <c r="R792" t="s">
        <v>74</v>
      </c>
      <c r="S792" t="s">
        <v>74</v>
      </c>
      <c r="T792" t="s">
        <v>14985</v>
      </c>
      <c r="U792" t="s">
        <v>14986</v>
      </c>
      <c r="V792" t="s">
        <v>14987</v>
      </c>
      <c r="W792" t="s">
        <v>14988</v>
      </c>
      <c r="X792" t="s">
        <v>14989</v>
      </c>
      <c r="Y792" t="s">
        <v>14990</v>
      </c>
      <c r="Z792" t="s">
        <v>14991</v>
      </c>
      <c r="AA792" t="s">
        <v>14992</v>
      </c>
      <c r="AB792" t="s">
        <v>14993</v>
      </c>
      <c r="AC792" t="s">
        <v>74</v>
      </c>
      <c r="AD792" t="s">
        <v>74</v>
      </c>
      <c r="AE792" t="s">
        <v>74</v>
      </c>
      <c r="AF792" t="s">
        <v>74</v>
      </c>
      <c r="AG792">
        <v>119</v>
      </c>
      <c r="AH792">
        <v>5</v>
      </c>
      <c r="AI792">
        <v>7</v>
      </c>
      <c r="AJ792">
        <v>1</v>
      </c>
      <c r="AK792">
        <v>20</v>
      </c>
      <c r="AL792" t="s">
        <v>385</v>
      </c>
      <c r="AM792" t="s">
        <v>151</v>
      </c>
      <c r="AN792" t="s">
        <v>386</v>
      </c>
      <c r="AO792" t="s">
        <v>3045</v>
      </c>
      <c r="AP792" t="s">
        <v>3046</v>
      </c>
      <c r="AQ792" t="s">
        <v>74</v>
      </c>
      <c r="AR792" t="s">
        <v>3047</v>
      </c>
      <c r="AS792" t="s">
        <v>3048</v>
      </c>
      <c r="AT792" t="s">
        <v>1652</v>
      </c>
      <c r="AU792">
        <v>2024</v>
      </c>
      <c r="AV792">
        <v>15</v>
      </c>
      <c r="AW792">
        <v>2</v>
      </c>
      <c r="AX792" t="s">
        <v>74</v>
      </c>
      <c r="AY792" t="s">
        <v>74</v>
      </c>
      <c r="AZ792" t="s">
        <v>74</v>
      </c>
      <c r="BA792" t="s">
        <v>74</v>
      </c>
      <c r="BB792">
        <v>9723</v>
      </c>
      <c r="BC792">
        <v>9755</v>
      </c>
      <c r="BD792" t="s">
        <v>74</v>
      </c>
      <c r="BE792" t="s">
        <v>14994</v>
      </c>
      <c r="BF792" t="str">
        <f>HYPERLINK("http://dx.doi.org/10.1007/s13132-023-01460-0","http://dx.doi.org/10.1007/s13132-023-01460-0")</f>
        <v>http://dx.doi.org/10.1007/s13132-023-01460-0</v>
      </c>
      <c r="BG792" t="s">
        <v>74</v>
      </c>
      <c r="BH792" t="s">
        <v>7993</v>
      </c>
      <c r="BI792">
        <v>33</v>
      </c>
      <c r="BJ792" t="s">
        <v>291</v>
      </c>
      <c r="BK792" t="s">
        <v>99</v>
      </c>
      <c r="BL792" t="s">
        <v>100</v>
      </c>
      <c r="BM792" t="s">
        <v>14995</v>
      </c>
      <c r="BN792" t="s">
        <v>74</v>
      </c>
      <c r="BO792" t="s">
        <v>74</v>
      </c>
      <c r="BP792" t="s">
        <v>74</v>
      </c>
      <c r="BQ792" t="s">
        <v>74</v>
      </c>
      <c r="BR792" t="s">
        <v>102</v>
      </c>
      <c r="BS792" t="s">
        <v>14996</v>
      </c>
      <c r="BT792" t="str">
        <f>HYPERLINK("https%3A%2F%2Fwww.webofscience.com%2Fwos%2Fwoscc%2Ffull-record%2FWOS:001064654800003","View Full Record in Web of Science")</f>
        <v>View Full Record in Web of Science</v>
      </c>
    </row>
    <row r="793" spans="1:72" x14ac:dyDescent="0.25">
      <c r="A793" t="s">
        <v>72</v>
      </c>
      <c r="B793" t="s">
        <v>14997</v>
      </c>
      <c r="C793" t="s">
        <v>74</v>
      </c>
      <c r="D793" t="s">
        <v>74</v>
      </c>
      <c r="E793" t="s">
        <v>74</v>
      </c>
      <c r="F793" t="s">
        <v>14998</v>
      </c>
      <c r="G793" t="s">
        <v>74</v>
      </c>
      <c r="H793" t="s">
        <v>74</v>
      </c>
      <c r="I793" t="s">
        <v>14999</v>
      </c>
      <c r="J793" t="s">
        <v>9616</v>
      </c>
      <c r="K793" t="s">
        <v>74</v>
      </c>
      <c r="L793" t="s">
        <v>74</v>
      </c>
      <c r="M793" t="s">
        <v>78</v>
      </c>
      <c r="N793" t="s">
        <v>79</v>
      </c>
      <c r="O793" t="s">
        <v>74</v>
      </c>
      <c r="P793" t="s">
        <v>74</v>
      </c>
      <c r="Q793" t="s">
        <v>74</v>
      </c>
      <c r="R793" t="s">
        <v>74</v>
      </c>
      <c r="S793" t="s">
        <v>74</v>
      </c>
      <c r="T793" t="s">
        <v>15000</v>
      </c>
      <c r="U793" t="s">
        <v>74</v>
      </c>
      <c r="V793" t="s">
        <v>15001</v>
      </c>
      <c r="W793" t="s">
        <v>15002</v>
      </c>
      <c r="X793" t="s">
        <v>2476</v>
      </c>
      <c r="Y793" t="s">
        <v>15003</v>
      </c>
      <c r="Z793" t="s">
        <v>15004</v>
      </c>
      <c r="AA793" t="s">
        <v>15005</v>
      </c>
      <c r="AB793" t="s">
        <v>15006</v>
      </c>
      <c r="AC793" t="s">
        <v>74</v>
      </c>
      <c r="AD793" t="s">
        <v>74</v>
      </c>
      <c r="AE793" t="s">
        <v>74</v>
      </c>
      <c r="AF793" t="s">
        <v>74</v>
      </c>
      <c r="AG793">
        <v>44</v>
      </c>
      <c r="AH793">
        <v>36</v>
      </c>
      <c r="AI793">
        <v>52</v>
      </c>
      <c r="AJ793">
        <v>8</v>
      </c>
      <c r="AK793">
        <v>53</v>
      </c>
      <c r="AL793" t="s">
        <v>575</v>
      </c>
      <c r="AM793" t="s">
        <v>576</v>
      </c>
      <c r="AN793" t="s">
        <v>577</v>
      </c>
      <c r="AO793" t="s">
        <v>74</v>
      </c>
      <c r="AP793" t="s">
        <v>9626</v>
      </c>
      <c r="AQ793" t="s">
        <v>74</v>
      </c>
      <c r="AR793" t="s">
        <v>9616</v>
      </c>
      <c r="AS793" t="s">
        <v>9627</v>
      </c>
      <c r="AT793" t="s">
        <v>208</v>
      </c>
      <c r="AU793">
        <v>2023</v>
      </c>
      <c r="AV793">
        <v>11</v>
      </c>
      <c r="AW793">
        <v>1</v>
      </c>
      <c r="AX793" t="s">
        <v>74</v>
      </c>
      <c r="AY793" t="s">
        <v>74</v>
      </c>
      <c r="AZ793" t="s">
        <v>74</v>
      </c>
      <c r="BA793" t="s">
        <v>74</v>
      </c>
      <c r="BB793" t="s">
        <v>74</v>
      </c>
      <c r="BC793" t="s">
        <v>74</v>
      </c>
      <c r="BD793">
        <v>15</v>
      </c>
      <c r="BE793" t="s">
        <v>15007</v>
      </c>
      <c r="BF793" t="str">
        <f>HYPERLINK("http://dx.doi.org/10.3390/economies11010015","http://dx.doi.org/10.3390/economies11010015")</f>
        <v>http://dx.doi.org/10.3390/economies11010015</v>
      </c>
      <c r="BG793" t="s">
        <v>74</v>
      </c>
      <c r="BH793" t="s">
        <v>74</v>
      </c>
      <c r="BI793">
        <v>12</v>
      </c>
      <c r="BJ793" t="s">
        <v>291</v>
      </c>
      <c r="BK793" t="s">
        <v>313</v>
      </c>
      <c r="BL793" t="s">
        <v>100</v>
      </c>
      <c r="BM793" t="s">
        <v>15008</v>
      </c>
      <c r="BN793" t="s">
        <v>74</v>
      </c>
      <c r="BO793" t="s">
        <v>916</v>
      </c>
      <c r="BP793" t="s">
        <v>74</v>
      </c>
      <c r="BQ793" t="s">
        <v>74</v>
      </c>
      <c r="BR793" t="s">
        <v>102</v>
      </c>
      <c r="BS793" t="s">
        <v>15009</v>
      </c>
      <c r="BT793" t="str">
        <f>HYPERLINK("https%3A%2F%2Fwww.webofscience.com%2Fwos%2Fwoscc%2Ffull-record%2FWOS:000915035200001","View Full Record in Web of Science")</f>
        <v>View Full Record in Web of Science</v>
      </c>
    </row>
    <row r="794" spans="1:72" x14ac:dyDescent="0.25">
      <c r="A794" t="s">
        <v>72</v>
      </c>
      <c r="B794" t="s">
        <v>15010</v>
      </c>
      <c r="C794" t="s">
        <v>74</v>
      </c>
      <c r="D794" t="s">
        <v>74</v>
      </c>
      <c r="E794" t="s">
        <v>74</v>
      </c>
      <c r="F794" t="s">
        <v>15011</v>
      </c>
      <c r="G794" t="s">
        <v>74</v>
      </c>
      <c r="H794" t="s">
        <v>74</v>
      </c>
      <c r="I794" t="s">
        <v>15012</v>
      </c>
      <c r="J794" t="s">
        <v>15013</v>
      </c>
      <c r="K794" t="s">
        <v>74</v>
      </c>
      <c r="L794" t="s">
        <v>74</v>
      </c>
      <c r="M794" t="s">
        <v>78</v>
      </c>
      <c r="N794" t="s">
        <v>79</v>
      </c>
      <c r="O794" t="s">
        <v>74</v>
      </c>
      <c r="P794" t="s">
        <v>74</v>
      </c>
      <c r="Q794" t="s">
        <v>74</v>
      </c>
      <c r="R794" t="s">
        <v>74</v>
      </c>
      <c r="S794" t="s">
        <v>74</v>
      </c>
      <c r="T794" t="s">
        <v>15014</v>
      </c>
      <c r="U794" t="s">
        <v>15015</v>
      </c>
      <c r="V794" t="s">
        <v>15016</v>
      </c>
      <c r="W794" t="s">
        <v>15017</v>
      </c>
      <c r="X794" t="s">
        <v>15018</v>
      </c>
      <c r="Y794" t="s">
        <v>15019</v>
      </c>
      <c r="Z794" t="s">
        <v>15020</v>
      </c>
      <c r="AA794" t="s">
        <v>15021</v>
      </c>
      <c r="AB794" t="s">
        <v>15022</v>
      </c>
      <c r="AC794" t="s">
        <v>74</v>
      </c>
      <c r="AD794" t="s">
        <v>74</v>
      </c>
      <c r="AE794" t="s">
        <v>74</v>
      </c>
      <c r="AF794" t="s">
        <v>74</v>
      </c>
      <c r="AG794">
        <v>115</v>
      </c>
      <c r="AH794">
        <v>1</v>
      </c>
      <c r="AI794">
        <v>3</v>
      </c>
      <c r="AJ794">
        <v>5</v>
      </c>
      <c r="AK794">
        <v>44</v>
      </c>
      <c r="AL794" t="s">
        <v>15023</v>
      </c>
      <c r="AM794" t="s">
        <v>15024</v>
      </c>
      <c r="AN794" t="s">
        <v>15025</v>
      </c>
      <c r="AO794" t="s">
        <v>15026</v>
      </c>
      <c r="AP794" t="s">
        <v>15027</v>
      </c>
      <c r="AQ794" t="s">
        <v>74</v>
      </c>
      <c r="AR794" t="s">
        <v>15028</v>
      </c>
      <c r="AS794" t="s">
        <v>15029</v>
      </c>
      <c r="AT794" t="s">
        <v>74</v>
      </c>
      <c r="AU794">
        <v>2023</v>
      </c>
      <c r="AV794">
        <v>26</v>
      </c>
      <c r="AW794">
        <v>1</v>
      </c>
      <c r="AX794" t="s">
        <v>74</v>
      </c>
      <c r="AY794" t="s">
        <v>74</v>
      </c>
      <c r="AZ794" t="s">
        <v>74</v>
      </c>
      <c r="BA794" t="s">
        <v>74</v>
      </c>
      <c r="BB794">
        <v>27</v>
      </c>
      <c r="BC794">
        <v>45</v>
      </c>
      <c r="BD794" t="s">
        <v>74</v>
      </c>
      <c r="BE794" t="s">
        <v>15030</v>
      </c>
      <c r="BF794" t="str">
        <f>HYPERLINK("http://dx.doi.org/10.6018/rcsar.432671","http://dx.doi.org/10.6018/rcsar.432671")</f>
        <v>http://dx.doi.org/10.6018/rcsar.432671</v>
      </c>
      <c r="BG794" t="s">
        <v>74</v>
      </c>
      <c r="BH794" t="s">
        <v>74</v>
      </c>
      <c r="BI794">
        <v>19</v>
      </c>
      <c r="BJ794" t="s">
        <v>268</v>
      </c>
      <c r="BK794" t="s">
        <v>99</v>
      </c>
      <c r="BL794" t="s">
        <v>100</v>
      </c>
      <c r="BM794" t="s">
        <v>15031</v>
      </c>
      <c r="BN794" t="s">
        <v>74</v>
      </c>
      <c r="BO794" t="s">
        <v>916</v>
      </c>
      <c r="BP794" t="s">
        <v>74</v>
      </c>
      <c r="BQ794" t="s">
        <v>74</v>
      </c>
      <c r="BR794" t="s">
        <v>102</v>
      </c>
      <c r="BS794" t="s">
        <v>15032</v>
      </c>
      <c r="BT794" t="str">
        <f>HYPERLINK("https%3A%2F%2Fwww.webofscience.com%2Fwos%2Fwoscc%2Ffull-record%2FWOS:000908364500003","View Full Record in Web of Science")</f>
        <v>View Full Record in Web of Science</v>
      </c>
    </row>
    <row r="795" spans="1:72" x14ac:dyDescent="0.25">
      <c r="A795" t="s">
        <v>72</v>
      </c>
      <c r="B795" t="s">
        <v>15033</v>
      </c>
      <c r="C795" t="s">
        <v>74</v>
      </c>
      <c r="D795" t="s">
        <v>74</v>
      </c>
      <c r="E795" t="s">
        <v>74</v>
      </c>
      <c r="F795" t="s">
        <v>15034</v>
      </c>
      <c r="G795" t="s">
        <v>74</v>
      </c>
      <c r="H795" t="s">
        <v>74</v>
      </c>
      <c r="I795" t="s">
        <v>15035</v>
      </c>
      <c r="J795" t="s">
        <v>1412</v>
      </c>
      <c r="K795" t="s">
        <v>74</v>
      </c>
      <c r="L795" t="s">
        <v>74</v>
      </c>
      <c r="M795" t="s">
        <v>78</v>
      </c>
      <c r="N795" t="s">
        <v>79</v>
      </c>
      <c r="O795" t="s">
        <v>74</v>
      </c>
      <c r="P795" t="s">
        <v>74</v>
      </c>
      <c r="Q795" t="s">
        <v>74</v>
      </c>
      <c r="R795" t="s">
        <v>74</v>
      </c>
      <c r="S795" t="s">
        <v>74</v>
      </c>
      <c r="T795" t="s">
        <v>15036</v>
      </c>
      <c r="U795" t="s">
        <v>74</v>
      </c>
      <c r="V795" t="s">
        <v>15037</v>
      </c>
      <c r="W795" t="s">
        <v>15038</v>
      </c>
      <c r="X795" t="s">
        <v>15039</v>
      </c>
      <c r="Y795" t="s">
        <v>15040</v>
      </c>
      <c r="Z795" t="s">
        <v>15041</v>
      </c>
      <c r="AA795" t="s">
        <v>15042</v>
      </c>
      <c r="AB795" t="s">
        <v>15043</v>
      </c>
      <c r="AC795" t="s">
        <v>74</v>
      </c>
      <c r="AD795" t="s">
        <v>74</v>
      </c>
      <c r="AE795" t="s">
        <v>74</v>
      </c>
      <c r="AF795" t="s">
        <v>74</v>
      </c>
      <c r="AG795">
        <v>85</v>
      </c>
      <c r="AH795">
        <v>25</v>
      </c>
      <c r="AI795">
        <v>31</v>
      </c>
      <c r="AJ795">
        <v>1</v>
      </c>
      <c r="AK795">
        <v>36</v>
      </c>
      <c r="AL795" t="s">
        <v>332</v>
      </c>
      <c r="AM795" t="s">
        <v>333</v>
      </c>
      <c r="AN795" t="s">
        <v>334</v>
      </c>
      <c r="AO795" t="s">
        <v>1423</v>
      </c>
      <c r="AP795" t="s">
        <v>1424</v>
      </c>
      <c r="AQ795" t="s">
        <v>74</v>
      </c>
      <c r="AR795" t="s">
        <v>1425</v>
      </c>
      <c r="AS795" t="s">
        <v>1426</v>
      </c>
      <c r="AT795" t="s">
        <v>74</v>
      </c>
      <c r="AU795">
        <v>2018</v>
      </c>
      <c r="AV795">
        <v>24</v>
      </c>
      <c r="AW795">
        <v>4</v>
      </c>
      <c r="AX795" t="s">
        <v>74</v>
      </c>
      <c r="AY795" t="s">
        <v>74</v>
      </c>
      <c r="AZ795" t="s">
        <v>74</v>
      </c>
      <c r="BA795" t="s">
        <v>74</v>
      </c>
      <c r="BB795">
        <v>681</v>
      </c>
      <c r="BC795">
        <v>705</v>
      </c>
      <c r="BD795" t="s">
        <v>74</v>
      </c>
      <c r="BE795" t="s">
        <v>15044</v>
      </c>
      <c r="BF795" t="str">
        <f>HYPERLINK("http://dx.doi.org/10.1080/02681102.2017.1311830","http://dx.doi.org/10.1080/02681102.2017.1311830")</f>
        <v>http://dx.doi.org/10.1080/02681102.2017.1311830</v>
      </c>
      <c r="BG795" t="s">
        <v>74</v>
      </c>
      <c r="BH795" t="s">
        <v>74</v>
      </c>
      <c r="BI795">
        <v>25</v>
      </c>
      <c r="BJ795" t="s">
        <v>1429</v>
      </c>
      <c r="BK795" t="s">
        <v>99</v>
      </c>
      <c r="BL795" t="s">
        <v>1429</v>
      </c>
      <c r="BM795" t="s">
        <v>15045</v>
      </c>
      <c r="BN795" t="s">
        <v>74</v>
      </c>
      <c r="BO795" t="s">
        <v>74</v>
      </c>
      <c r="BP795" t="s">
        <v>74</v>
      </c>
      <c r="BQ795" t="s">
        <v>74</v>
      </c>
      <c r="BR795" t="s">
        <v>102</v>
      </c>
      <c r="BS795" t="s">
        <v>15046</v>
      </c>
      <c r="BT795" t="str">
        <f>HYPERLINK("https%3A%2F%2Fwww.webofscience.com%2Fwos%2Fwoscc%2Ffull-record%2FWOS:000449507900003","View Full Record in Web of Science")</f>
        <v>View Full Record in Web of Science</v>
      </c>
    </row>
    <row r="796" spans="1:72" x14ac:dyDescent="0.25">
      <c r="A796" t="s">
        <v>72</v>
      </c>
      <c r="B796" t="s">
        <v>15047</v>
      </c>
      <c r="C796" t="s">
        <v>74</v>
      </c>
      <c r="D796" t="s">
        <v>74</v>
      </c>
      <c r="E796" t="s">
        <v>74</v>
      </c>
      <c r="F796" t="s">
        <v>15048</v>
      </c>
      <c r="G796" t="s">
        <v>74</v>
      </c>
      <c r="H796" t="s">
        <v>74</v>
      </c>
      <c r="I796" t="s">
        <v>15049</v>
      </c>
      <c r="J796" t="s">
        <v>15050</v>
      </c>
      <c r="K796" t="s">
        <v>74</v>
      </c>
      <c r="L796" t="s">
        <v>74</v>
      </c>
      <c r="M796" t="s">
        <v>78</v>
      </c>
      <c r="N796" t="s">
        <v>79</v>
      </c>
      <c r="O796" t="s">
        <v>74</v>
      </c>
      <c r="P796" t="s">
        <v>74</v>
      </c>
      <c r="Q796" t="s">
        <v>74</v>
      </c>
      <c r="R796" t="s">
        <v>74</v>
      </c>
      <c r="S796" t="s">
        <v>74</v>
      </c>
      <c r="T796" t="s">
        <v>15051</v>
      </c>
      <c r="U796" t="s">
        <v>15052</v>
      </c>
      <c r="V796" t="s">
        <v>15053</v>
      </c>
      <c r="W796" t="s">
        <v>15054</v>
      </c>
      <c r="X796" t="s">
        <v>15055</v>
      </c>
      <c r="Y796" t="s">
        <v>15056</v>
      </c>
      <c r="Z796" t="s">
        <v>15057</v>
      </c>
      <c r="AA796" t="s">
        <v>15058</v>
      </c>
      <c r="AB796" t="s">
        <v>15059</v>
      </c>
      <c r="AC796" t="s">
        <v>74</v>
      </c>
      <c r="AD796" t="s">
        <v>74</v>
      </c>
      <c r="AE796" t="s">
        <v>74</v>
      </c>
      <c r="AF796" t="s">
        <v>74</v>
      </c>
      <c r="AG796">
        <v>51</v>
      </c>
      <c r="AH796">
        <v>0</v>
      </c>
      <c r="AI796">
        <v>0</v>
      </c>
      <c r="AJ796">
        <v>2</v>
      </c>
      <c r="AK796">
        <v>2</v>
      </c>
      <c r="AL796" t="s">
        <v>575</v>
      </c>
      <c r="AM796" t="s">
        <v>576</v>
      </c>
      <c r="AN796" t="s">
        <v>577</v>
      </c>
      <c r="AO796" t="s">
        <v>74</v>
      </c>
      <c r="AP796" t="s">
        <v>15060</v>
      </c>
      <c r="AQ796" t="s">
        <v>74</v>
      </c>
      <c r="AR796" t="s">
        <v>15061</v>
      </c>
      <c r="AS796" t="s">
        <v>15062</v>
      </c>
      <c r="AT796" t="s">
        <v>15063</v>
      </c>
      <c r="AU796">
        <v>2025</v>
      </c>
      <c r="AV796">
        <v>8</v>
      </c>
      <c r="AW796">
        <v>4</v>
      </c>
      <c r="AX796" t="s">
        <v>74</v>
      </c>
      <c r="AY796" t="s">
        <v>74</v>
      </c>
      <c r="AZ796" t="s">
        <v>74</v>
      </c>
      <c r="BA796" t="s">
        <v>74</v>
      </c>
      <c r="BB796" t="s">
        <v>74</v>
      </c>
      <c r="BC796" t="s">
        <v>74</v>
      </c>
      <c r="BD796">
        <v>91</v>
      </c>
      <c r="BE796" t="s">
        <v>15064</v>
      </c>
      <c r="BF796" t="str">
        <f>HYPERLINK("http://dx.doi.org/10.3390/asi8040091","http://dx.doi.org/10.3390/asi8040091")</f>
        <v>http://dx.doi.org/10.3390/asi8040091</v>
      </c>
      <c r="BG796" t="s">
        <v>74</v>
      </c>
      <c r="BH796" t="s">
        <v>74</v>
      </c>
      <c r="BI796">
        <v>26</v>
      </c>
      <c r="BJ796" t="s">
        <v>3467</v>
      </c>
      <c r="BK796" t="s">
        <v>313</v>
      </c>
      <c r="BL796" t="s">
        <v>1023</v>
      </c>
      <c r="BM796" t="s">
        <v>15065</v>
      </c>
      <c r="BN796" t="s">
        <v>74</v>
      </c>
      <c r="BO796" t="s">
        <v>212</v>
      </c>
      <c r="BP796" t="s">
        <v>74</v>
      </c>
      <c r="BQ796" t="s">
        <v>74</v>
      </c>
      <c r="BR796" t="s">
        <v>102</v>
      </c>
      <c r="BS796" t="s">
        <v>15066</v>
      </c>
      <c r="BT796" t="str">
        <f>HYPERLINK("https%3A%2F%2Fwww.webofscience.com%2Fwos%2Fwoscc%2Ffull-record%2FWOS:001557123900001","View Full Record in Web of Science")</f>
        <v>View Full Record in Web of Science</v>
      </c>
    </row>
    <row r="797" spans="1:72" x14ac:dyDescent="0.25">
      <c r="A797" t="s">
        <v>72</v>
      </c>
      <c r="B797" t="s">
        <v>15067</v>
      </c>
      <c r="C797" t="s">
        <v>74</v>
      </c>
      <c r="D797" t="s">
        <v>74</v>
      </c>
      <c r="E797" t="s">
        <v>74</v>
      </c>
      <c r="F797" t="s">
        <v>15068</v>
      </c>
      <c r="G797" t="s">
        <v>74</v>
      </c>
      <c r="H797" t="s">
        <v>74</v>
      </c>
      <c r="I797" t="s">
        <v>15069</v>
      </c>
      <c r="J797" t="s">
        <v>246</v>
      </c>
      <c r="K797" t="s">
        <v>74</v>
      </c>
      <c r="L797" t="s">
        <v>74</v>
      </c>
      <c r="M797" t="s">
        <v>78</v>
      </c>
      <c r="N797" t="s">
        <v>79</v>
      </c>
      <c r="O797" t="s">
        <v>74</v>
      </c>
      <c r="P797" t="s">
        <v>74</v>
      </c>
      <c r="Q797" t="s">
        <v>74</v>
      </c>
      <c r="R797" t="s">
        <v>74</v>
      </c>
      <c r="S797" t="s">
        <v>74</v>
      </c>
      <c r="T797" t="s">
        <v>15070</v>
      </c>
      <c r="U797" t="s">
        <v>15071</v>
      </c>
      <c r="V797" t="s">
        <v>15072</v>
      </c>
      <c r="W797" t="s">
        <v>15073</v>
      </c>
      <c r="X797" t="s">
        <v>15074</v>
      </c>
      <c r="Y797" t="s">
        <v>15075</v>
      </c>
      <c r="Z797" t="s">
        <v>15076</v>
      </c>
      <c r="AA797" t="s">
        <v>74</v>
      </c>
      <c r="AB797" t="s">
        <v>74</v>
      </c>
      <c r="AC797" t="s">
        <v>74</v>
      </c>
      <c r="AD797" t="s">
        <v>74</v>
      </c>
      <c r="AE797" t="s">
        <v>74</v>
      </c>
      <c r="AF797" t="s">
        <v>74</v>
      </c>
      <c r="AG797">
        <v>28</v>
      </c>
      <c r="AH797">
        <v>116</v>
      </c>
      <c r="AI797">
        <v>127</v>
      </c>
      <c r="AJ797">
        <v>38</v>
      </c>
      <c r="AK797">
        <v>281</v>
      </c>
      <c r="AL797" t="s">
        <v>259</v>
      </c>
      <c r="AM797" t="s">
        <v>260</v>
      </c>
      <c r="AN797" t="s">
        <v>261</v>
      </c>
      <c r="AO797" t="s">
        <v>262</v>
      </c>
      <c r="AP797" t="s">
        <v>263</v>
      </c>
      <c r="AQ797" t="s">
        <v>74</v>
      </c>
      <c r="AR797" t="s">
        <v>264</v>
      </c>
      <c r="AS797" t="s">
        <v>265</v>
      </c>
      <c r="AT797" t="s">
        <v>1652</v>
      </c>
      <c r="AU797">
        <v>2022</v>
      </c>
      <c r="AV797">
        <v>47</v>
      </c>
      <c r="AW797" t="s">
        <v>74</v>
      </c>
      <c r="AX797" t="s">
        <v>8303</v>
      </c>
      <c r="AY797" t="s">
        <v>74</v>
      </c>
      <c r="AZ797" t="s">
        <v>74</v>
      </c>
      <c r="BA797" t="s">
        <v>74</v>
      </c>
      <c r="BB797" t="s">
        <v>74</v>
      </c>
      <c r="BC797" t="s">
        <v>74</v>
      </c>
      <c r="BD797">
        <v>102956</v>
      </c>
      <c r="BE797" t="s">
        <v>15077</v>
      </c>
      <c r="BF797" t="str">
        <f>HYPERLINK("http://dx.doi.org/10.1016/j.frl.2022.102956","http://dx.doi.org/10.1016/j.frl.2022.102956")</f>
        <v>http://dx.doi.org/10.1016/j.frl.2022.102956</v>
      </c>
      <c r="BG797" t="s">
        <v>74</v>
      </c>
      <c r="BH797" t="s">
        <v>1091</v>
      </c>
      <c r="BI797">
        <v>6</v>
      </c>
      <c r="BJ797" t="s">
        <v>268</v>
      </c>
      <c r="BK797" t="s">
        <v>99</v>
      </c>
      <c r="BL797" t="s">
        <v>100</v>
      </c>
      <c r="BM797" t="s">
        <v>15078</v>
      </c>
      <c r="BN797" t="s">
        <v>74</v>
      </c>
      <c r="BO797" t="s">
        <v>74</v>
      </c>
      <c r="BP797" t="s">
        <v>74</v>
      </c>
      <c r="BQ797" t="s">
        <v>74</v>
      </c>
      <c r="BR797" t="s">
        <v>102</v>
      </c>
      <c r="BS797" t="s">
        <v>15079</v>
      </c>
      <c r="BT797" t="str">
        <f>HYPERLINK("https%3A%2F%2Fwww.webofscience.com%2Fwos%2Fwoscc%2Ffull-record%2FWOS:000802677200005","View Full Record in Web of Science")</f>
        <v>View Full Record in Web of Science</v>
      </c>
    </row>
    <row r="798" spans="1:72" x14ac:dyDescent="0.25">
      <c r="A798" t="s">
        <v>72</v>
      </c>
      <c r="B798" t="s">
        <v>13832</v>
      </c>
      <c r="C798" t="s">
        <v>74</v>
      </c>
      <c r="D798" t="s">
        <v>74</v>
      </c>
      <c r="E798" t="s">
        <v>74</v>
      </c>
      <c r="F798" t="s">
        <v>13833</v>
      </c>
      <c r="G798" t="s">
        <v>74</v>
      </c>
      <c r="H798" t="s">
        <v>74</v>
      </c>
      <c r="I798" t="s">
        <v>15080</v>
      </c>
      <c r="J798" t="s">
        <v>15081</v>
      </c>
      <c r="K798" t="s">
        <v>74</v>
      </c>
      <c r="L798" t="s">
        <v>74</v>
      </c>
      <c r="M798" t="s">
        <v>78</v>
      </c>
      <c r="N798" t="s">
        <v>79</v>
      </c>
      <c r="O798" t="s">
        <v>74</v>
      </c>
      <c r="P798" t="s">
        <v>74</v>
      </c>
      <c r="Q798" t="s">
        <v>74</v>
      </c>
      <c r="R798" t="s">
        <v>74</v>
      </c>
      <c r="S798" t="s">
        <v>74</v>
      </c>
      <c r="T798" t="s">
        <v>15082</v>
      </c>
      <c r="U798" t="s">
        <v>15083</v>
      </c>
      <c r="V798" t="s">
        <v>15084</v>
      </c>
      <c r="W798" t="s">
        <v>15085</v>
      </c>
      <c r="X798" t="s">
        <v>15086</v>
      </c>
      <c r="Y798" t="s">
        <v>15087</v>
      </c>
      <c r="Z798" t="s">
        <v>15088</v>
      </c>
      <c r="AA798" t="s">
        <v>15089</v>
      </c>
      <c r="AB798" t="s">
        <v>15090</v>
      </c>
      <c r="AC798" t="s">
        <v>74</v>
      </c>
      <c r="AD798" t="s">
        <v>74</v>
      </c>
      <c r="AE798" t="s">
        <v>74</v>
      </c>
      <c r="AF798" t="s">
        <v>74</v>
      </c>
      <c r="AG798">
        <v>98</v>
      </c>
      <c r="AH798">
        <v>42</v>
      </c>
      <c r="AI798">
        <v>60</v>
      </c>
      <c r="AJ798">
        <v>0</v>
      </c>
      <c r="AK798">
        <v>51</v>
      </c>
      <c r="AL798" t="s">
        <v>479</v>
      </c>
      <c r="AM798" t="s">
        <v>480</v>
      </c>
      <c r="AN798" t="s">
        <v>481</v>
      </c>
      <c r="AO798" t="s">
        <v>15091</v>
      </c>
      <c r="AP798" t="s">
        <v>15092</v>
      </c>
      <c r="AQ798" t="s">
        <v>74</v>
      </c>
      <c r="AR798" t="s">
        <v>15093</v>
      </c>
      <c r="AS798" t="s">
        <v>15094</v>
      </c>
      <c r="AT798" t="s">
        <v>208</v>
      </c>
      <c r="AU798">
        <v>2020</v>
      </c>
      <c r="AV798">
        <v>22</v>
      </c>
      <c r="AW798">
        <v>1</v>
      </c>
      <c r="AX798" t="s">
        <v>74</v>
      </c>
      <c r="AY798" t="s">
        <v>74</v>
      </c>
      <c r="AZ798" t="s">
        <v>74</v>
      </c>
      <c r="BA798" t="s">
        <v>74</v>
      </c>
      <c r="BB798">
        <v>120</v>
      </c>
      <c r="BC798">
        <v>143</v>
      </c>
      <c r="BD798" t="s">
        <v>74</v>
      </c>
      <c r="BE798" t="s">
        <v>15095</v>
      </c>
      <c r="BF798" t="str">
        <f>HYPERLINK("http://dx.doi.org/10.1002/jtr.2323","http://dx.doi.org/10.1002/jtr.2323")</f>
        <v>http://dx.doi.org/10.1002/jtr.2323</v>
      </c>
      <c r="BG798" t="s">
        <v>74</v>
      </c>
      <c r="BH798" t="s">
        <v>10482</v>
      </c>
      <c r="BI798">
        <v>24</v>
      </c>
      <c r="BJ798" t="s">
        <v>15096</v>
      </c>
      <c r="BK798" t="s">
        <v>99</v>
      </c>
      <c r="BL798" t="s">
        <v>365</v>
      </c>
      <c r="BM798" t="s">
        <v>15097</v>
      </c>
      <c r="BN798" t="s">
        <v>74</v>
      </c>
      <c r="BO798" t="s">
        <v>74</v>
      </c>
      <c r="BP798" t="s">
        <v>74</v>
      </c>
      <c r="BQ798" t="s">
        <v>74</v>
      </c>
      <c r="BR798" t="s">
        <v>102</v>
      </c>
      <c r="BS798" t="s">
        <v>15098</v>
      </c>
      <c r="BT798" t="str">
        <f>HYPERLINK("https%3A%2F%2Fwww.webofscience.com%2Fwos%2Fwoscc%2Ffull-record%2FWOS:000483059200001","View Full Record in Web of Science")</f>
        <v>View Full Record in Web of Science</v>
      </c>
    </row>
    <row r="799" spans="1:72" x14ac:dyDescent="0.25">
      <c r="A799" t="s">
        <v>132</v>
      </c>
      <c r="B799" t="s">
        <v>15099</v>
      </c>
      <c r="C799" t="s">
        <v>74</v>
      </c>
      <c r="D799" t="s">
        <v>74</v>
      </c>
      <c r="E799" t="s">
        <v>771</v>
      </c>
      <c r="F799" t="s">
        <v>15100</v>
      </c>
      <c r="G799" t="s">
        <v>74</v>
      </c>
      <c r="H799" t="s">
        <v>74</v>
      </c>
      <c r="I799" t="s">
        <v>15101</v>
      </c>
      <c r="J799" t="s">
        <v>15102</v>
      </c>
      <c r="K799" t="s">
        <v>74</v>
      </c>
      <c r="L799" t="s">
        <v>74</v>
      </c>
      <c r="M799" t="s">
        <v>78</v>
      </c>
      <c r="N799" t="s">
        <v>138</v>
      </c>
      <c r="O799" t="s">
        <v>15103</v>
      </c>
      <c r="P799" t="s">
        <v>15104</v>
      </c>
      <c r="Q799" t="s">
        <v>12672</v>
      </c>
      <c r="R799" t="s">
        <v>74</v>
      </c>
      <c r="S799" t="s">
        <v>74</v>
      </c>
      <c r="T799" t="s">
        <v>15105</v>
      </c>
      <c r="U799" t="s">
        <v>74</v>
      </c>
      <c r="V799" t="s">
        <v>15106</v>
      </c>
      <c r="W799" t="s">
        <v>15107</v>
      </c>
      <c r="X799" t="s">
        <v>15108</v>
      </c>
      <c r="Y799" t="s">
        <v>15109</v>
      </c>
      <c r="Z799" t="s">
        <v>15110</v>
      </c>
      <c r="AA799" t="s">
        <v>15111</v>
      </c>
      <c r="AB799" t="s">
        <v>74</v>
      </c>
      <c r="AC799" t="s">
        <v>74</v>
      </c>
      <c r="AD799" t="s">
        <v>74</v>
      </c>
      <c r="AE799" t="s">
        <v>74</v>
      </c>
      <c r="AF799" t="s">
        <v>74</v>
      </c>
      <c r="AG799">
        <v>10</v>
      </c>
      <c r="AH799">
        <v>1</v>
      </c>
      <c r="AI799">
        <v>1</v>
      </c>
      <c r="AJ799">
        <v>0</v>
      </c>
      <c r="AK799">
        <v>7</v>
      </c>
      <c r="AL799" t="s">
        <v>771</v>
      </c>
      <c r="AM799" t="s">
        <v>151</v>
      </c>
      <c r="AN799" t="s">
        <v>785</v>
      </c>
      <c r="AO799" t="s">
        <v>74</v>
      </c>
      <c r="AP799" t="s">
        <v>74</v>
      </c>
      <c r="AQ799" t="s">
        <v>15112</v>
      </c>
      <c r="AR799" t="s">
        <v>74</v>
      </c>
      <c r="AS799" t="s">
        <v>74</v>
      </c>
      <c r="AT799" t="s">
        <v>74</v>
      </c>
      <c r="AU799">
        <v>2013</v>
      </c>
      <c r="AV799" t="s">
        <v>74</v>
      </c>
      <c r="AW799" t="s">
        <v>74</v>
      </c>
      <c r="AX799" t="s">
        <v>74</v>
      </c>
      <c r="AY799" t="s">
        <v>74</v>
      </c>
      <c r="AZ799" t="s">
        <v>74</v>
      </c>
      <c r="BA799" t="s">
        <v>74</v>
      </c>
      <c r="BB799" t="s">
        <v>74</v>
      </c>
      <c r="BC799" t="s">
        <v>74</v>
      </c>
      <c r="BD799" t="s">
        <v>74</v>
      </c>
      <c r="BE799" t="s">
        <v>74</v>
      </c>
      <c r="BF799" t="s">
        <v>74</v>
      </c>
      <c r="BG799" t="s">
        <v>74</v>
      </c>
      <c r="BH799" t="s">
        <v>74</v>
      </c>
      <c r="BI799">
        <v>9</v>
      </c>
      <c r="BJ799" t="s">
        <v>15113</v>
      </c>
      <c r="BK799" t="s">
        <v>156</v>
      </c>
      <c r="BL799" t="s">
        <v>15113</v>
      </c>
      <c r="BM799" t="s">
        <v>15114</v>
      </c>
      <c r="BN799" t="s">
        <v>74</v>
      </c>
      <c r="BO799" t="s">
        <v>74</v>
      </c>
      <c r="BP799" t="s">
        <v>74</v>
      </c>
      <c r="BQ799" t="s">
        <v>74</v>
      </c>
      <c r="BR799" t="s">
        <v>102</v>
      </c>
      <c r="BS799" t="s">
        <v>15115</v>
      </c>
      <c r="BT799" t="str">
        <f>HYPERLINK("https%3A%2F%2Fwww.webofscience.com%2Fwos%2Fwoscc%2Ffull-record%2FWOS:000349785100052","View Full Record in Web of Science")</f>
        <v>View Full Record in Web of Science</v>
      </c>
    </row>
    <row r="800" spans="1:72" x14ac:dyDescent="0.25">
      <c r="A800" t="s">
        <v>72</v>
      </c>
      <c r="B800" t="s">
        <v>15116</v>
      </c>
      <c r="C800" t="s">
        <v>74</v>
      </c>
      <c r="D800" t="s">
        <v>74</v>
      </c>
      <c r="E800" t="s">
        <v>74</v>
      </c>
      <c r="F800" t="s">
        <v>15117</v>
      </c>
      <c r="G800" t="s">
        <v>74</v>
      </c>
      <c r="H800" t="s">
        <v>74</v>
      </c>
      <c r="I800" t="s">
        <v>15118</v>
      </c>
      <c r="J800" t="s">
        <v>12549</v>
      </c>
      <c r="K800" t="s">
        <v>74</v>
      </c>
      <c r="L800" t="s">
        <v>74</v>
      </c>
      <c r="M800" t="s">
        <v>78</v>
      </c>
      <c r="N800" t="s">
        <v>79</v>
      </c>
      <c r="O800" t="s">
        <v>74</v>
      </c>
      <c r="P800" t="s">
        <v>74</v>
      </c>
      <c r="Q800" t="s">
        <v>74</v>
      </c>
      <c r="R800" t="s">
        <v>74</v>
      </c>
      <c r="S800" t="s">
        <v>74</v>
      </c>
      <c r="T800" t="s">
        <v>15119</v>
      </c>
      <c r="U800" t="s">
        <v>15120</v>
      </c>
      <c r="V800" t="s">
        <v>15121</v>
      </c>
      <c r="W800" t="s">
        <v>15122</v>
      </c>
      <c r="X800" t="s">
        <v>74</v>
      </c>
      <c r="Y800" t="s">
        <v>15123</v>
      </c>
      <c r="Z800" t="s">
        <v>15124</v>
      </c>
      <c r="AA800" t="s">
        <v>15125</v>
      </c>
      <c r="AB800" t="s">
        <v>15126</v>
      </c>
      <c r="AC800" t="s">
        <v>74</v>
      </c>
      <c r="AD800" t="s">
        <v>74</v>
      </c>
      <c r="AE800" t="s">
        <v>74</v>
      </c>
      <c r="AF800" t="s">
        <v>74</v>
      </c>
      <c r="AG800">
        <v>45</v>
      </c>
      <c r="AH800">
        <v>19</v>
      </c>
      <c r="AI800">
        <v>32</v>
      </c>
      <c r="AJ800">
        <v>5</v>
      </c>
      <c r="AK800">
        <v>67</v>
      </c>
      <c r="AL800" t="s">
        <v>575</v>
      </c>
      <c r="AM800" t="s">
        <v>576</v>
      </c>
      <c r="AN800" t="s">
        <v>3242</v>
      </c>
      <c r="AO800" t="s">
        <v>12562</v>
      </c>
      <c r="AP800" t="s">
        <v>12563</v>
      </c>
      <c r="AQ800" t="s">
        <v>74</v>
      </c>
      <c r="AR800" t="s">
        <v>12564</v>
      </c>
      <c r="AS800" t="s">
        <v>12565</v>
      </c>
      <c r="AT800" t="s">
        <v>698</v>
      </c>
      <c r="AU800">
        <v>2021</v>
      </c>
      <c r="AV800">
        <v>14</v>
      </c>
      <c r="AW800">
        <v>9</v>
      </c>
      <c r="AX800" t="s">
        <v>74</v>
      </c>
      <c r="AY800" t="s">
        <v>74</v>
      </c>
      <c r="AZ800" t="s">
        <v>74</v>
      </c>
      <c r="BA800" t="s">
        <v>74</v>
      </c>
      <c r="BB800" t="s">
        <v>74</v>
      </c>
      <c r="BC800" t="s">
        <v>74</v>
      </c>
      <c r="BD800">
        <v>393</v>
      </c>
      <c r="BE800" t="s">
        <v>15127</v>
      </c>
      <c r="BF800" t="str">
        <f>HYPERLINK("http://dx.doi.org/10.3390/jrfm14090393","http://dx.doi.org/10.3390/jrfm14090393")</f>
        <v>http://dx.doi.org/10.3390/jrfm14090393</v>
      </c>
      <c r="BG800" t="s">
        <v>74</v>
      </c>
      <c r="BH800" t="s">
        <v>74</v>
      </c>
      <c r="BI800">
        <v>18</v>
      </c>
      <c r="BJ800" t="s">
        <v>268</v>
      </c>
      <c r="BK800" t="s">
        <v>313</v>
      </c>
      <c r="BL800" t="s">
        <v>100</v>
      </c>
      <c r="BM800" t="s">
        <v>15128</v>
      </c>
      <c r="BN800" t="s">
        <v>74</v>
      </c>
      <c r="BO800" t="s">
        <v>466</v>
      </c>
      <c r="BP800" t="s">
        <v>74</v>
      </c>
      <c r="BQ800" t="s">
        <v>74</v>
      </c>
      <c r="BR800" t="s">
        <v>102</v>
      </c>
      <c r="BS800" t="s">
        <v>15129</v>
      </c>
      <c r="BT800" t="str">
        <f>HYPERLINK("https%3A%2F%2Fwww.webofscience.com%2Fwos%2Fwoscc%2Ffull-record%2FWOS:000699514700001","View Full Record in Web of Science")</f>
        <v>View Full Record in Web of Science</v>
      </c>
    </row>
    <row r="801" spans="1:72" x14ac:dyDescent="0.25">
      <c r="A801" t="s">
        <v>72</v>
      </c>
      <c r="B801" t="s">
        <v>15130</v>
      </c>
      <c r="C801" t="s">
        <v>74</v>
      </c>
      <c r="D801" t="s">
        <v>74</v>
      </c>
      <c r="E801" t="s">
        <v>74</v>
      </c>
      <c r="F801" t="s">
        <v>15131</v>
      </c>
      <c r="G801" t="s">
        <v>74</v>
      </c>
      <c r="H801" t="s">
        <v>74</v>
      </c>
      <c r="I801" t="s">
        <v>15132</v>
      </c>
      <c r="J801" t="s">
        <v>12549</v>
      </c>
      <c r="K801" t="s">
        <v>74</v>
      </c>
      <c r="L801" t="s">
        <v>74</v>
      </c>
      <c r="M801" t="s">
        <v>78</v>
      </c>
      <c r="N801" t="s">
        <v>79</v>
      </c>
      <c r="O801" t="s">
        <v>74</v>
      </c>
      <c r="P801" t="s">
        <v>74</v>
      </c>
      <c r="Q801" t="s">
        <v>74</v>
      </c>
      <c r="R801" t="s">
        <v>74</v>
      </c>
      <c r="S801" t="s">
        <v>74</v>
      </c>
      <c r="T801" t="s">
        <v>15133</v>
      </c>
      <c r="U801" t="s">
        <v>74</v>
      </c>
      <c r="V801" t="s">
        <v>15134</v>
      </c>
      <c r="W801" t="s">
        <v>15135</v>
      </c>
      <c r="X801" t="s">
        <v>15136</v>
      </c>
      <c r="Y801" t="s">
        <v>15137</v>
      </c>
      <c r="Z801" t="s">
        <v>15138</v>
      </c>
      <c r="AA801" t="s">
        <v>74</v>
      </c>
      <c r="AB801" t="s">
        <v>15139</v>
      </c>
      <c r="AC801" t="s">
        <v>74</v>
      </c>
      <c r="AD801" t="s">
        <v>74</v>
      </c>
      <c r="AE801" t="s">
        <v>74</v>
      </c>
      <c r="AF801" t="s">
        <v>74</v>
      </c>
      <c r="AG801">
        <v>82</v>
      </c>
      <c r="AH801">
        <v>6</v>
      </c>
      <c r="AI801">
        <v>9</v>
      </c>
      <c r="AJ801">
        <v>3</v>
      </c>
      <c r="AK801">
        <v>55</v>
      </c>
      <c r="AL801" t="s">
        <v>575</v>
      </c>
      <c r="AM801" t="s">
        <v>576</v>
      </c>
      <c r="AN801" t="s">
        <v>3242</v>
      </c>
      <c r="AO801" t="s">
        <v>12562</v>
      </c>
      <c r="AP801" t="s">
        <v>12563</v>
      </c>
      <c r="AQ801" t="s">
        <v>74</v>
      </c>
      <c r="AR801" t="s">
        <v>12564</v>
      </c>
      <c r="AS801" t="s">
        <v>12565</v>
      </c>
      <c r="AT801" t="s">
        <v>237</v>
      </c>
      <c r="AU801">
        <v>2022</v>
      </c>
      <c r="AV801">
        <v>15</v>
      </c>
      <c r="AW801">
        <v>2</v>
      </c>
      <c r="AX801" t="s">
        <v>74</v>
      </c>
      <c r="AY801" t="s">
        <v>74</v>
      </c>
      <c r="AZ801" t="s">
        <v>74</v>
      </c>
      <c r="BA801" t="s">
        <v>74</v>
      </c>
      <c r="BB801" t="s">
        <v>74</v>
      </c>
      <c r="BC801" t="s">
        <v>74</v>
      </c>
      <c r="BD801">
        <v>62</v>
      </c>
      <c r="BE801" t="s">
        <v>15140</v>
      </c>
      <c r="BF801" t="str">
        <f>HYPERLINK("http://dx.doi.org/10.3390/jrfm15020062","http://dx.doi.org/10.3390/jrfm15020062")</f>
        <v>http://dx.doi.org/10.3390/jrfm15020062</v>
      </c>
      <c r="BG801" t="s">
        <v>74</v>
      </c>
      <c r="BH801" t="s">
        <v>74</v>
      </c>
      <c r="BI801">
        <v>46</v>
      </c>
      <c r="BJ801" t="s">
        <v>268</v>
      </c>
      <c r="BK801" t="s">
        <v>313</v>
      </c>
      <c r="BL801" t="s">
        <v>100</v>
      </c>
      <c r="BM801" t="s">
        <v>15141</v>
      </c>
      <c r="BN801" t="s">
        <v>74</v>
      </c>
      <c r="BO801" t="s">
        <v>15142</v>
      </c>
      <c r="BP801" t="s">
        <v>74</v>
      </c>
      <c r="BQ801" t="s">
        <v>74</v>
      </c>
      <c r="BR801" t="s">
        <v>102</v>
      </c>
      <c r="BS801" t="s">
        <v>15143</v>
      </c>
      <c r="BT801" t="str">
        <f>HYPERLINK("https%3A%2F%2Fwww.webofscience.com%2Fwos%2Fwoscc%2Ffull-record%2FWOS:000769701200001","View Full Record in Web of Science")</f>
        <v>View Full Record in Web of Science</v>
      </c>
    </row>
    <row r="802" spans="1:72" x14ac:dyDescent="0.25">
      <c r="A802" t="s">
        <v>72</v>
      </c>
      <c r="B802" t="s">
        <v>15144</v>
      </c>
      <c r="C802" t="s">
        <v>74</v>
      </c>
      <c r="D802" t="s">
        <v>74</v>
      </c>
      <c r="E802" t="s">
        <v>74</v>
      </c>
      <c r="F802" t="s">
        <v>15145</v>
      </c>
      <c r="G802" t="s">
        <v>74</v>
      </c>
      <c r="H802" t="s">
        <v>74</v>
      </c>
      <c r="I802" t="s">
        <v>15146</v>
      </c>
      <c r="J802" t="s">
        <v>15147</v>
      </c>
      <c r="K802" t="s">
        <v>74</v>
      </c>
      <c r="L802" t="s">
        <v>74</v>
      </c>
      <c r="M802" t="s">
        <v>78</v>
      </c>
      <c r="N802" t="s">
        <v>79</v>
      </c>
      <c r="O802" t="s">
        <v>74</v>
      </c>
      <c r="P802" t="s">
        <v>74</v>
      </c>
      <c r="Q802" t="s">
        <v>74</v>
      </c>
      <c r="R802" t="s">
        <v>74</v>
      </c>
      <c r="S802" t="s">
        <v>74</v>
      </c>
      <c r="T802" t="s">
        <v>15148</v>
      </c>
      <c r="U802" t="s">
        <v>15149</v>
      </c>
      <c r="V802" t="s">
        <v>15150</v>
      </c>
      <c r="W802" t="s">
        <v>15151</v>
      </c>
      <c r="X802" t="s">
        <v>15152</v>
      </c>
      <c r="Y802" t="s">
        <v>15153</v>
      </c>
      <c r="Z802" t="s">
        <v>15154</v>
      </c>
      <c r="AA802" t="s">
        <v>74</v>
      </c>
      <c r="AB802" t="s">
        <v>15155</v>
      </c>
      <c r="AC802" t="s">
        <v>74</v>
      </c>
      <c r="AD802" t="s">
        <v>74</v>
      </c>
      <c r="AE802" t="s">
        <v>74</v>
      </c>
      <c r="AF802" t="s">
        <v>74</v>
      </c>
      <c r="AG802">
        <v>24</v>
      </c>
      <c r="AH802">
        <v>4</v>
      </c>
      <c r="AI802">
        <v>4</v>
      </c>
      <c r="AJ802">
        <v>0</v>
      </c>
      <c r="AK802">
        <v>6</v>
      </c>
      <c r="AL802" t="s">
        <v>15156</v>
      </c>
      <c r="AM802" t="s">
        <v>15157</v>
      </c>
      <c r="AN802" t="s">
        <v>15158</v>
      </c>
      <c r="AO802" t="s">
        <v>15159</v>
      </c>
      <c r="AP802" t="s">
        <v>15160</v>
      </c>
      <c r="AQ802" t="s">
        <v>74</v>
      </c>
      <c r="AR802" t="s">
        <v>15161</v>
      </c>
      <c r="AS802" t="s">
        <v>15162</v>
      </c>
      <c r="AT802" t="s">
        <v>1159</v>
      </c>
      <c r="AU802">
        <v>2022</v>
      </c>
      <c r="AV802">
        <v>16</v>
      </c>
      <c r="AW802">
        <v>2</v>
      </c>
      <c r="AX802" t="s">
        <v>74</v>
      </c>
      <c r="AY802" t="s">
        <v>74</v>
      </c>
      <c r="AZ802" t="s">
        <v>441</v>
      </c>
      <c r="BA802" t="s">
        <v>74</v>
      </c>
      <c r="BB802">
        <v>337</v>
      </c>
      <c r="BC802">
        <v>376</v>
      </c>
      <c r="BD802" t="s">
        <v>74</v>
      </c>
      <c r="BE802" t="s">
        <v>15163</v>
      </c>
      <c r="BF802" t="str">
        <f>HYPERLINK("http://dx.doi.org/10.1007/s12626-022-00125-9","http://dx.doi.org/10.1007/s12626-022-00125-9")</f>
        <v>http://dx.doi.org/10.1007/s12626-022-00125-9</v>
      </c>
      <c r="BG802" t="s">
        <v>74</v>
      </c>
      <c r="BH802" t="s">
        <v>3050</v>
      </c>
      <c r="BI802">
        <v>40</v>
      </c>
      <c r="BJ802" t="s">
        <v>1779</v>
      </c>
      <c r="BK802" t="s">
        <v>313</v>
      </c>
      <c r="BL802" t="s">
        <v>157</v>
      </c>
      <c r="BM802" t="s">
        <v>15164</v>
      </c>
      <c r="BN802">
        <v>36213686</v>
      </c>
      <c r="BO802" t="s">
        <v>466</v>
      </c>
      <c r="BP802" t="s">
        <v>74</v>
      </c>
      <c r="BQ802" t="s">
        <v>74</v>
      </c>
      <c r="BR802" t="s">
        <v>102</v>
      </c>
      <c r="BS802" t="s">
        <v>15165</v>
      </c>
      <c r="BT802" t="str">
        <f>HYPERLINK("https%3A%2F%2Fwww.webofscience.com%2Fwos%2Fwoscc%2Ffull-record%2FWOS:000862524800001","View Full Record in Web of Science")</f>
        <v>View Full Record in Web of Science</v>
      </c>
    </row>
    <row r="803" spans="1:72" x14ac:dyDescent="0.25">
      <c r="A803" t="s">
        <v>72</v>
      </c>
      <c r="B803" t="s">
        <v>7764</v>
      </c>
      <c r="C803" t="s">
        <v>74</v>
      </c>
      <c r="D803" t="s">
        <v>74</v>
      </c>
      <c r="E803" t="s">
        <v>74</v>
      </c>
      <c r="F803" t="s">
        <v>7765</v>
      </c>
      <c r="G803" t="s">
        <v>74</v>
      </c>
      <c r="H803" t="s">
        <v>74</v>
      </c>
      <c r="I803" t="s">
        <v>15166</v>
      </c>
      <c r="J803" t="s">
        <v>15167</v>
      </c>
      <c r="K803" t="s">
        <v>74</v>
      </c>
      <c r="L803" t="s">
        <v>74</v>
      </c>
      <c r="M803" t="s">
        <v>78</v>
      </c>
      <c r="N803" t="s">
        <v>79</v>
      </c>
      <c r="O803" t="s">
        <v>74</v>
      </c>
      <c r="P803" t="s">
        <v>74</v>
      </c>
      <c r="Q803" t="s">
        <v>74</v>
      </c>
      <c r="R803" t="s">
        <v>74</v>
      </c>
      <c r="S803" t="s">
        <v>74</v>
      </c>
      <c r="T803" t="s">
        <v>15168</v>
      </c>
      <c r="U803" t="s">
        <v>74</v>
      </c>
      <c r="V803" t="s">
        <v>15169</v>
      </c>
      <c r="W803" t="s">
        <v>15170</v>
      </c>
      <c r="X803" t="s">
        <v>7771</v>
      </c>
      <c r="Y803" t="s">
        <v>15171</v>
      </c>
      <c r="Z803" t="s">
        <v>74</v>
      </c>
      <c r="AA803" t="s">
        <v>7774</v>
      </c>
      <c r="AB803" t="s">
        <v>74</v>
      </c>
      <c r="AC803" t="s">
        <v>74</v>
      </c>
      <c r="AD803" t="s">
        <v>74</v>
      </c>
      <c r="AE803" t="s">
        <v>74</v>
      </c>
      <c r="AF803" t="s">
        <v>74</v>
      </c>
      <c r="AG803">
        <v>70</v>
      </c>
      <c r="AH803">
        <v>0</v>
      </c>
      <c r="AI803">
        <v>0</v>
      </c>
      <c r="AJ803">
        <v>1</v>
      </c>
      <c r="AK803">
        <v>4</v>
      </c>
      <c r="AL803" t="s">
        <v>15172</v>
      </c>
      <c r="AM803" t="s">
        <v>15173</v>
      </c>
      <c r="AN803" t="s">
        <v>15174</v>
      </c>
      <c r="AO803" t="s">
        <v>15175</v>
      </c>
      <c r="AP803" t="s">
        <v>15176</v>
      </c>
      <c r="AQ803" t="s">
        <v>74</v>
      </c>
      <c r="AR803" t="s">
        <v>15177</v>
      </c>
      <c r="AS803" t="s">
        <v>15178</v>
      </c>
      <c r="AT803" t="s">
        <v>74</v>
      </c>
      <c r="AU803">
        <v>2023</v>
      </c>
      <c r="AV803">
        <v>56</v>
      </c>
      <c r="AW803" t="s">
        <v>74</v>
      </c>
      <c r="AX803" t="s">
        <v>74</v>
      </c>
      <c r="AY803" t="s">
        <v>74</v>
      </c>
      <c r="AZ803" t="s">
        <v>74</v>
      </c>
      <c r="BA803" t="s">
        <v>74</v>
      </c>
      <c r="BB803">
        <v>241</v>
      </c>
      <c r="BC803">
        <v>258</v>
      </c>
      <c r="BD803" t="s">
        <v>74</v>
      </c>
      <c r="BE803" t="s">
        <v>15179</v>
      </c>
      <c r="BF803" t="str">
        <f>HYPERLINK("http://dx.doi.org/10.17159/2225-7160/2023/v56a17","http://dx.doi.org/10.17159/2225-7160/2023/v56a17")</f>
        <v>http://dx.doi.org/10.17159/2225-7160/2023/v56a17</v>
      </c>
      <c r="BG803" t="s">
        <v>74</v>
      </c>
      <c r="BH803" t="s">
        <v>74</v>
      </c>
      <c r="BI803">
        <v>18</v>
      </c>
      <c r="BJ803" t="s">
        <v>182</v>
      </c>
      <c r="BK803" t="s">
        <v>313</v>
      </c>
      <c r="BL803" t="s">
        <v>184</v>
      </c>
      <c r="BM803" t="s">
        <v>15180</v>
      </c>
      <c r="BN803" t="s">
        <v>74</v>
      </c>
      <c r="BO803" t="s">
        <v>212</v>
      </c>
      <c r="BP803" t="s">
        <v>74</v>
      </c>
      <c r="BQ803" t="s">
        <v>74</v>
      </c>
      <c r="BR803" t="s">
        <v>102</v>
      </c>
      <c r="BS803" t="s">
        <v>15181</v>
      </c>
      <c r="BT803" t="str">
        <f>HYPERLINK("https%3A%2F%2Fwww.webofscience.com%2Fwos%2Fwoscc%2Ffull-record%2FWOS:001075087900017","View Full Record in Web of Science")</f>
        <v>View Full Record in Web of Science</v>
      </c>
    </row>
    <row r="804" spans="1:72" x14ac:dyDescent="0.25">
      <c r="A804" t="s">
        <v>72</v>
      </c>
      <c r="B804" t="s">
        <v>15182</v>
      </c>
      <c r="C804" t="s">
        <v>74</v>
      </c>
      <c r="D804" t="s">
        <v>74</v>
      </c>
      <c r="E804" t="s">
        <v>74</v>
      </c>
      <c r="F804" t="s">
        <v>15183</v>
      </c>
      <c r="G804" t="s">
        <v>74</v>
      </c>
      <c r="H804" t="s">
        <v>74</v>
      </c>
      <c r="I804" t="s">
        <v>15184</v>
      </c>
      <c r="J804" t="s">
        <v>6362</v>
      </c>
      <c r="K804" t="s">
        <v>74</v>
      </c>
      <c r="L804" t="s">
        <v>74</v>
      </c>
      <c r="M804" t="s">
        <v>78</v>
      </c>
      <c r="N804" t="s">
        <v>79</v>
      </c>
      <c r="O804" t="s">
        <v>74</v>
      </c>
      <c r="P804" t="s">
        <v>74</v>
      </c>
      <c r="Q804" t="s">
        <v>74</v>
      </c>
      <c r="R804" t="s">
        <v>74</v>
      </c>
      <c r="S804" t="s">
        <v>74</v>
      </c>
      <c r="T804" t="s">
        <v>15185</v>
      </c>
      <c r="U804" t="s">
        <v>15186</v>
      </c>
      <c r="V804" t="s">
        <v>15187</v>
      </c>
      <c r="W804" t="s">
        <v>15188</v>
      </c>
      <c r="X804" t="s">
        <v>15189</v>
      </c>
      <c r="Y804" t="s">
        <v>15190</v>
      </c>
      <c r="Z804" t="s">
        <v>15191</v>
      </c>
      <c r="AA804" t="s">
        <v>15192</v>
      </c>
      <c r="AB804" t="s">
        <v>15193</v>
      </c>
      <c r="AC804" t="s">
        <v>15194</v>
      </c>
      <c r="AD804" t="s">
        <v>15195</v>
      </c>
      <c r="AE804" t="s">
        <v>15196</v>
      </c>
      <c r="AF804" t="s">
        <v>74</v>
      </c>
      <c r="AG804">
        <v>107</v>
      </c>
      <c r="AH804">
        <v>3</v>
      </c>
      <c r="AI804">
        <v>3</v>
      </c>
      <c r="AJ804">
        <v>3</v>
      </c>
      <c r="AK804">
        <v>20</v>
      </c>
      <c r="AL804" t="s">
        <v>201</v>
      </c>
      <c r="AM804" t="s">
        <v>202</v>
      </c>
      <c r="AN804" t="s">
        <v>203</v>
      </c>
      <c r="AO804" t="s">
        <v>6374</v>
      </c>
      <c r="AP804" t="s">
        <v>6375</v>
      </c>
      <c r="AQ804" t="s">
        <v>74</v>
      </c>
      <c r="AR804" t="s">
        <v>6376</v>
      </c>
      <c r="AS804" t="s">
        <v>6377</v>
      </c>
      <c r="AT804" t="s">
        <v>743</v>
      </c>
      <c r="AU804">
        <v>2024</v>
      </c>
      <c r="AV804">
        <v>220</v>
      </c>
      <c r="AW804" t="s">
        <v>74</v>
      </c>
      <c r="AX804" t="s">
        <v>74</v>
      </c>
      <c r="AY804" t="s">
        <v>74</v>
      </c>
      <c r="AZ804" t="s">
        <v>74</v>
      </c>
      <c r="BA804" t="s">
        <v>74</v>
      </c>
      <c r="BB804">
        <v>46</v>
      </c>
      <c r="BC804">
        <v>65</v>
      </c>
      <c r="BD804" t="s">
        <v>74</v>
      </c>
      <c r="BE804" t="s">
        <v>15197</v>
      </c>
      <c r="BF804" t="str">
        <f>HYPERLINK("http://dx.doi.org/10.1016/j.jebo.2024.01.024","http://dx.doi.org/10.1016/j.jebo.2024.01.024")</f>
        <v>http://dx.doi.org/10.1016/j.jebo.2024.01.024</v>
      </c>
      <c r="BG804" t="s">
        <v>74</v>
      </c>
      <c r="BH804" t="s">
        <v>1239</v>
      </c>
      <c r="BI804">
        <v>20</v>
      </c>
      <c r="BJ804" t="s">
        <v>291</v>
      </c>
      <c r="BK804" t="s">
        <v>99</v>
      </c>
      <c r="BL804" t="s">
        <v>100</v>
      </c>
      <c r="BM804" t="s">
        <v>15198</v>
      </c>
      <c r="BN804" t="s">
        <v>74</v>
      </c>
      <c r="BO804" t="s">
        <v>1696</v>
      </c>
      <c r="BP804" t="s">
        <v>74</v>
      </c>
      <c r="BQ804" t="s">
        <v>74</v>
      </c>
      <c r="BR804" t="s">
        <v>102</v>
      </c>
      <c r="BS804" t="s">
        <v>15199</v>
      </c>
      <c r="BT804" t="str">
        <f>HYPERLINK("https%3A%2F%2Fwww.webofscience.com%2Fwos%2Fwoscc%2Ffull-record%2FWOS:001199127700001","View Full Record in Web of Science")</f>
        <v>View Full Record in Web of Science</v>
      </c>
    </row>
    <row r="805" spans="1:72" x14ac:dyDescent="0.25">
      <c r="A805" t="s">
        <v>72</v>
      </c>
      <c r="B805" t="s">
        <v>15200</v>
      </c>
      <c r="C805" t="s">
        <v>74</v>
      </c>
      <c r="D805" t="s">
        <v>74</v>
      </c>
      <c r="E805" t="s">
        <v>74</v>
      </c>
      <c r="F805" t="s">
        <v>15201</v>
      </c>
      <c r="G805" t="s">
        <v>74</v>
      </c>
      <c r="H805" t="s">
        <v>74</v>
      </c>
      <c r="I805" t="s">
        <v>15202</v>
      </c>
      <c r="J805" t="s">
        <v>15203</v>
      </c>
      <c r="K805" t="s">
        <v>74</v>
      </c>
      <c r="L805" t="s">
        <v>74</v>
      </c>
      <c r="M805" t="s">
        <v>78</v>
      </c>
      <c r="N805" t="s">
        <v>79</v>
      </c>
      <c r="O805" t="s">
        <v>74</v>
      </c>
      <c r="P805" t="s">
        <v>74</v>
      </c>
      <c r="Q805" t="s">
        <v>74</v>
      </c>
      <c r="R805" t="s">
        <v>74</v>
      </c>
      <c r="S805" t="s">
        <v>74</v>
      </c>
      <c r="T805" t="s">
        <v>15204</v>
      </c>
      <c r="U805" t="s">
        <v>15205</v>
      </c>
      <c r="V805" t="s">
        <v>15206</v>
      </c>
      <c r="W805" t="s">
        <v>15207</v>
      </c>
      <c r="X805" t="s">
        <v>15208</v>
      </c>
      <c r="Y805" t="s">
        <v>15209</v>
      </c>
      <c r="Z805" t="s">
        <v>15210</v>
      </c>
      <c r="AA805" t="s">
        <v>15211</v>
      </c>
      <c r="AB805" t="s">
        <v>74</v>
      </c>
      <c r="AC805" t="s">
        <v>15212</v>
      </c>
      <c r="AD805" t="s">
        <v>15213</v>
      </c>
      <c r="AE805" t="s">
        <v>15214</v>
      </c>
      <c r="AF805" t="s">
        <v>74</v>
      </c>
      <c r="AG805">
        <v>50</v>
      </c>
      <c r="AH805">
        <v>12</v>
      </c>
      <c r="AI805">
        <v>12</v>
      </c>
      <c r="AJ805">
        <v>10</v>
      </c>
      <c r="AK805">
        <v>145</v>
      </c>
      <c r="AL805" t="s">
        <v>1216</v>
      </c>
      <c r="AM805" t="s">
        <v>283</v>
      </c>
      <c r="AN805" t="s">
        <v>1217</v>
      </c>
      <c r="AO805" t="s">
        <v>74</v>
      </c>
      <c r="AP805" t="s">
        <v>15215</v>
      </c>
      <c r="AQ805" t="s">
        <v>74</v>
      </c>
      <c r="AR805" t="s">
        <v>15216</v>
      </c>
      <c r="AS805" t="s">
        <v>15217</v>
      </c>
      <c r="AT805" t="s">
        <v>1979</v>
      </c>
      <c r="AU805">
        <v>2022</v>
      </c>
      <c r="AV805">
        <v>10</v>
      </c>
      <c r="AW805" t="s">
        <v>74</v>
      </c>
      <c r="AX805" t="s">
        <v>74</v>
      </c>
      <c r="AY805" t="s">
        <v>74</v>
      </c>
      <c r="AZ805" t="s">
        <v>74</v>
      </c>
      <c r="BA805" t="s">
        <v>74</v>
      </c>
      <c r="BB805" t="s">
        <v>74</v>
      </c>
      <c r="BC805" t="s">
        <v>74</v>
      </c>
      <c r="BD805">
        <v>889869</v>
      </c>
      <c r="BE805" t="s">
        <v>15218</v>
      </c>
      <c r="BF805" t="str">
        <f>HYPERLINK("http://dx.doi.org/10.3389/fenvs.2022.889869","http://dx.doi.org/10.3389/fenvs.2022.889869")</f>
        <v>http://dx.doi.org/10.3389/fenvs.2022.889869</v>
      </c>
      <c r="BG805" t="s">
        <v>74</v>
      </c>
      <c r="BH805" t="s">
        <v>74</v>
      </c>
      <c r="BI805">
        <v>14</v>
      </c>
      <c r="BJ805" t="s">
        <v>127</v>
      </c>
      <c r="BK805" t="s">
        <v>128</v>
      </c>
      <c r="BL805" t="s">
        <v>129</v>
      </c>
      <c r="BM805" t="s">
        <v>15219</v>
      </c>
      <c r="BN805" t="s">
        <v>74</v>
      </c>
      <c r="BO805" t="s">
        <v>916</v>
      </c>
      <c r="BP805" t="s">
        <v>74</v>
      </c>
      <c r="BQ805" t="s">
        <v>74</v>
      </c>
      <c r="BR805" t="s">
        <v>102</v>
      </c>
      <c r="BS805" t="s">
        <v>15220</v>
      </c>
      <c r="BT805" t="str">
        <f>HYPERLINK("https%3A%2F%2Fwww.webofscience.com%2Fwos%2Fwoscc%2Ffull-record%2FWOS:000834976700001","View Full Record in Web of Science")</f>
        <v>View Full Record in Web of Science</v>
      </c>
    </row>
    <row r="806" spans="1:72" x14ac:dyDescent="0.25">
      <c r="A806" t="s">
        <v>72</v>
      </c>
      <c r="B806" t="s">
        <v>15221</v>
      </c>
      <c r="C806" t="s">
        <v>74</v>
      </c>
      <c r="D806" t="s">
        <v>74</v>
      </c>
      <c r="E806" t="s">
        <v>74</v>
      </c>
      <c r="F806" t="s">
        <v>15222</v>
      </c>
      <c r="G806" t="s">
        <v>74</v>
      </c>
      <c r="H806" t="s">
        <v>74</v>
      </c>
      <c r="I806" t="s">
        <v>15223</v>
      </c>
      <c r="J806" t="s">
        <v>6242</v>
      </c>
      <c r="K806" t="s">
        <v>74</v>
      </c>
      <c r="L806" t="s">
        <v>74</v>
      </c>
      <c r="M806" t="s">
        <v>78</v>
      </c>
      <c r="N806" t="s">
        <v>79</v>
      </c>
      <c r="O806" t="s">
        <v>74</v>
      </c>
      <c r="P806" t="s">
        <v>74</v>
      </c>
      <c r="Q806" t="s">
        <v>74</v>
      </c>
      <c r="R806" t="s">
        <v>74</v>
      </c>
      <c r="S806" t="s">
        <v>74</v>
      </c>
      <c r="T806" t="s">
        <v>15224</v>
      </c>
      <c r="U806" t="s">
        <v>15225</v>
      </c>
      <c r="V806" t="s">
        <v>15226</v>
      </c>
      <c r="W806" t="s">
        <v>15227</v>
      </c>
      <c r="X806" t="s">
        <v>15228</v>
      </c>
      <c r="Y806" t="s">
        <v>15229</v>
      </c>
      <c r="Z806" t="s">
        <v>15230</v>
      </c>
      <c r="AA806" t="s">
        <v>15231</v>
      </c>
      <c r="AB806" t="s">
        <v>15232</v>
      </c>
      <c r="AC806" t="s">
        <v>74</v>
      </c>
      <c r="AD806" t="s">
        <v>74</v>
      </c>
      <c r="AE806" t="s">
        <v>74</v>
      </c>
      <c r="AF806" t="s">
        <v>74</v>
      </c>
      <c r="AG806">
        <v>81</v>
      </c>
      <c r="AH806">
        <v>9</v>
      </c>
      <c r="AI806">
        <v>11</v>
      </c>
      <c r="AJ806">
        <v>0</v>
      </c>
      <c r="AK806">
        <v>16</v>
      </c>
      <c r="AL806" t="s">
        <v>385</v>
      </c>
      <c r="AM806" t="s">
        <v>1153</v>
      </c>
      <c r="AN806" t="s">
        <v>1154</v>
      </c>
      <c r="AO806" t="s">
        <v>6250</v>
      </c>
      <c r="AP806" t="s">
        <v>6251</v>
      </c>
      <c r="AQ806" t="s">
        <v>74</v>
      </c>
      <c r="AR806" t="s">
        <v>6252</v>
      </c>
      <c r="AS806" t="s">
        <v>6253</v>
      </c>
      <c r="AT806" t="s">
        <v>124</v>
      </c>
      <c r="AU806">
        <v>2022</v>
      </c>
      <c r="AV806">
        <v>24</v>
      </c>
      <c r="AW806">
        <v>6</v>
      </c>
      <c r="AX806" t="s">
        <v>74</v>
      </c>
      <c r="AY806" t="s">
        <v>74</v>
      </c>
      <c r="AZ806" t="s">
        <v>74</v>
      </c>
      <c r="BA806" t="s">
        <v>74</v>
      </c>
      <c r="BB806">
        <v>1753</v>
      </c>
      <c r="BC806">
        <v>1773</v>
      </c>
      <c r="BD806" t="s">
        <v>74</v>
      </c>
      <c r="BE806" t="s">
        <v>15233</v>
      </c>
      <c r="BF806" t="str">
        <f>HYPERLINK("http://dx.doi.org/10.1007/s10796-021-10196-8","http://dx.doi.org/10.1007/s10796-021-10196-8")</f>
        <v>http://dx.doi.org/10.1007/s10796-021-10196-8</v>
      </c>
      <c r="BG806" t="s">
        <v>74</v>
      </c>
      <c r="BH806" t="s">
        <v>10889</v>
      </c>
      <c r="BI806">
        <v>21</v>
      </c>
      <c r="BJ806" t="s">
        <v>4466</v>
      </c>
      <c r="BK806" t="s">
        <v>128</v>
      </c>
      <c r="BL806" t="s">
        <v>157</v>
      </c>
      <c r="BM806" t="s">
        <v>15234</v>
      </c>
      <c r="BN806" t="s">
        <v>74</v>
      </c>
      <c r="BO806" t="s">
        <v>1696</v>
      </c>
      <c r="BP806" t="s">
        <v>74</v>
      </c>
      <c r="BQ806" t="s">
        <v>74</v>
      </c>
      <c r="BR806" t="s">
        <v>102</v>
      </c>
      <c r="BS806" t="s">
        <v>15235</v>
      </c>
      <c r="BT806" t="str">
        <f>HYPERLINK("https%3A%2F%2Fwww.webofscience.com%2Fwos%2Fwoscc%2Ffull-record%2FWOS:000693524400001","View Full Record in Web of Science")</f>
        <v>View Full Record in Web of Science</v>
      </c>
    </row>
    <row r="807" spans="1:72" x14ac:dyDescent="0.25">
      <c r="A807" t="s">
        <v>72</v>
      </c>
      <c r="B807" t="s">
        <v>15236</v>
      </c>
      <c r="C807" t="s">
        <v>74</v>
      </c>
      <c r="D807" t="s">
        <v>74</v>
      </c>
      <c r="E807" t="s">
        <v>74</v>
      </c>
      <c r="F807" t="s">
        <v>15237</v>
      </c>
      <c r="G807" t="s">
        <v>74</v>
      </c>
      <c r="H807" t="s">
        <v>74</v>
      </c>
      <c r="I807" t="s">
        <v>15238</v>
      </c>
      <c r="J807" t="s">
        <v>4956</v>
      </c>
      <c r="K807" t="s">
        <v>74</v>
      </c>
      <c r="L807" t="s">
        <v>74</v>
      </c>
      <c r="M807" t="s">
        <v>78</v>
      </c>
      <c r="N807" t="s">
        <v>79</v>
      </c>
      <c r="O807" t="s">
        <v>74</v>
      </c>
      <c r="P807" t="s">
        <v>74</v>
      </c>
      <c r="Q807" t="s">
        <v>74</v>
      </c>
      <c r="R807" t="s">
        <v>74</v>
      </c>
      <c r="S807" t="s">
        <v>74</v>
      </c>
      <c r="T807" t="s">
        <v>15239</v>
      </c>
      <c r="U807" t="s">
        <v>15240</v>
      </c>
      <c r="V807" t="s">
        <v>15241</v>
      </c>
      <c r="W807" t="s">
        <v>15242</v>
      </c>
      <c r="X807" t="s">
        <v>15243</v>
      </c>
      <c r="Y807" t="s">
        <v>15244</v>
      </c>
      <c r="Z807" t="s">
        <v>15245</v>
      </c>
      <c r="AA807" t="s">
        <v>74</v>
      </c>
      <c r="AB807" t="s">
        <v>74</v>
      </c>
      <c r="AC807" t="s">
        <v>74</v>
      </c>
      <c r="AD807" t="s">
        <v>74</v>
      </c>
      <c r="AE807" t="s">
        <v>74</v>
      </c>
      <c r="AF807" t="s">
        <v>74</v>
      </c>
      <c r="AG807">
        <v>69</v>
      </c>
      <c r="AH807">
        <v>0</v>
      </c>
      <c r="AI807">
        <v>0</v>
      </c>
      <c r="AJ807">
        <v>1</v>
      </c>
      <c r="AK807">
        <v>1</v>
      </c>
      <c r="AL807" t="s">
        <v>230</v>
      </c>
      <c r="AM807" t="s">
        <v>231</v>
      </c>
      <c r="AN807" t="s">
        <v>232</v>
      </c>
      <c r="AO807" t="s">
        <v>4966</v>
      </c>
      <c r="AP807" t="s">
        <v>4967</v>
      </c>
      <c r="AQ807" t="s">
        <v>74</v>
      </c>
      <c r="AR807" t="s">
        <v>4968</v>
      </c>
      <c r="AS807" t="s">
        <v>4969</v>
      </c>
      <c r="AT807" t="s">
        <v>605</v>
      </c>
      <c r="AU807">
        <v>2026</v>
      </c>
      <c r="AV807">
        <v>199</v>
      </c>
      <c r="AW807" t="s">
        <v>74</v>
      </c>
      <c r="AX807" t="s">
        <v>74</v>
      </c>
      <c r="AY807" t="s">
        <v>74</v>
      </c>
      <c r="AZ807" t="s">
        <v>74</v>
      </c>
      <c r="BA807" t="s">
        <v>74</v>
      </c>
      <c r="BB807" t="s">
        <v>74</v>
      </c>
      <c r="BC807" t="s">
        <v>74</v>
      </c>
      <c r="BD807">
        <v>107234</v>
      </c>
      <c r="BE807" t="s">
        <v>15246</v>
      </c>
      <c r="BF807" t="str">
        <f>HYPERLINK("http://dx.doi.org/10.1016/j.worlddev.2025.107234","http://dx.doi.org/10.1016/j.worlddev.2025.107234")</f>
        <v>http://dx.doi.org/10.1016/j.worlddev.2025.107234</v>
      </c>
      <c r="BG807" t="s">
        <v>74</v>
      </c>
      <c r="BH807" t="s">
        <v>2044</v>
      </c>
      <c r="BI807">
        <v>22</v>
      </c>
      <c r="BJ807" t="s">
        <v>701</v>
      </c>
      <c r="BK807" t="s">
        <v>99</v>
      </c>
      <c r="BL807" t="s">
        <v>702</v>
      </c>
      <c r="BM807" t="s">
        <v>15247</v>
      </c>
      <c r="BN807" t="s">
        <v>74</v>
      </c>
      <c r="BO807" t="s">
        <v>270</v>
      </c>
      <c r="BP807" t="s">
        <v>74</v>
      </c>
      <c r="BQ807" t="s">
        <v>74</v>
      </c>
      <c r="BR807" t="s">
        <v>102</v>
      </c>
      <c r="BS807" t="s">
        <v>15248</v>
      </c>
      <c r="BT807" t="str">
        <f>HYPERLINK("https%3A%2F%2Fwww.webofscience.com%2Fwos%2Fwoscc%2Ffull-record%2FWOS:001614906400001","View Full Record in Web of Science")</f>
        <v>View Full Record in Web of Science</v>
      </c>
    </row>
    <row r="808" spans="1:72" x14ac:dyDescent="0.25">
      <c r="A808" t="s">
        <v>72</v>
      </c>
      <c r="B808" t="s">
        <v>15249</v>
      </c>
      <c r="C808" t="s">
        <v>74</v>
      </c>
      <c r="D808" t="s">
        <v>74</v>
      </c>
      <c r="E808" t="s">
        <v>74</v>
      </c>
      <c r="F808" t="s">
        <v>15250</v>
      </c>
      <c r="G808" t="s">
        <v>74</v>
      </c>
      <c r="H808" t="s">
        <v>74</v>
      </c>
      <c r="I808" t="s">
        <v>15251</v>
      </c>
      <c r="J808" t="s">
        <v>1168</v>
      </c>
      <c r="K808" t="s">
        <v>74</v>
      </c>
      <c r="L808" t="s">
        <v>74</v>
      </c>
      <c r="M808" t="s">
        <v>78</v>
      </c>
      <c r="N808" t="s">
        <v>372</v>
      </c>
      <c r="O808" t="s">
        <v>74</v>
      </c>
      <c r="P808" t="s">
        <v>74</v>
      </c>
      <c r="Q808" t="s">
        <v>74</v>
      </c>
      <c r="R808" t="s">
        <v>74</v>
      </c>
      <c r="S808" t="s">
        <v>74</v>
      </c>
      <c r="T808" t="s">
        <v>15252</v>
      </c>
      <c r="U808" t="s">
        <v>15253</v>
      </c>
      <c r="V808" t="s">
        <v>15254</v>
      </c>
      <c r="W808" t="s">
        <v>15255</v>
      </c>
      <c r="X808" t="s">
        <v>11804</v>
      </c>
      <c r="Y808" t="s">
        <v>15256</v>
      </c>
      <c r="Z808" t="s">
        <v>15257</v>
      </c>
      <c r="AA808" t="s">
        <v>74</v>
      </c>
      <c r="AB808" t="s">
        <v>74</v>
      </c>
      <c r="AC808" t="s">
        <v>15258</v>
      </c>
      <c r="AD808" t="s">
        <v>15259</v>
      </c>
      <c r="AE808" t="s">
        <v>15260</v>
      </c>
      <c r="AF808" t="s">
        <v>74</v>
      </c>
      <c r="AG808">
        <v>74</v>
      </c>
      <c r="AH808">
        <v>0</v>
      </c>
      <c r="AI808">
        <v>0</v>
      </c>
      <c r="AJ808">
        <v>0</v>
      </c>
      <c r="AK808">
        <v>0</v>
      </c>
      <c r="AL808" t="s">
        <v>332</v>
      </c>
      <c r="AM808" t="s">
        <v>333</v>
      </c>
      <c r="AN808" t="s">
        <v>334</v>
      </c>
      <c r="AO808" t="s">
        <v>1179</v>
      </c>
      <c r="AP808" t="s">
        <v>1180</v>
      </c>
      <c r="AQ808" t="s">
        <v>74</v>
      </c>
      <c r="AR808" t="s">
        <v>1181</v>
      </c>
      <c r="AS808" t="s">
        <v>1182</v>
      </c>
      <c r="AT808" t="s">
        <v>15261</v>
      </c>
      <c r="AU808">
        <v>2025</v>
      </c>
      <c r="AV808" t="s">
        <v>74</v>
      </c>
      <c r="AW808" t="s">
        <v>74</v>
      </c>
      <c r="AX808" t="s">
        <v>74</v>
      </c>
      <c r="AY808" t="s">
        <v>74</v>
      </c>
      <c r="AZ808" t="s">
        <v>74</v>
      </c>
      <c r="BA808" t="s">
        <v>74</v>
      </c>
      <c r="BB808" t="s">
        <v>74</v>
      </c>
      <c r="BC808" t="s">
        <v>74</v>
      </c>
      <c r="BD808" t="s">
        <v>74</v>
      </c>
      <c r="BE808" t="s">
        <v>15262</v>
      </c>
      <c r="BF808" t="str">
        <f>HYPERLINK("http://dx.doi.org/10.1080/15228916.2025.2597686","http://dx.doi.org/10.1080/15228916.2025.2597686")</f>
        <v>http://dx.doi.org/10.1080/15228916.2025.2597686</v>
      </c>
      <c r="BG808" t="s">
        <v>74</v>
      </c>
      <c r="BH808" t="s">
        <v>488</v>
      </c>
      <c r="BI808">
        <v>25</v>
      </c>
      <c r="BJ808" t="s">
        <v>418</v>
      </c>
      <c r="BK808" t="s">
        <v>313</v>
      </c>
      <c r="BL808" t="s">
        <v>100</v>
      </c>
      <c r="BM808" t="s">
        <v>15263</v>
      </c>
      <c r="BN808" t="s">
        <v>74</v>
      </c>
      <c r="BO808" t="s">
        <v>74</v>
      </c>
      <c r="BP808" t="s">
        <v>74</v>
      </c>
      <c r="BQ808" t="s">
        <v>74</v>
      </c>
      <c r="BR808" t="s">
        <v>102</v>
      </c>
      <c r="BS808" t="s">
        <v>15264</v>
      </c>
      <c r="BT808" t="str">
        <f>HYPERLINK("https%3A%2F%2Fwww.webofscience.com%2Fwos%2Fwoscc%2Ffull-record%2FWOS:001645456400001","View Full Record in Web of Science")</f>
        <v>View Full Record in Web of Science</v>
      </c>
    </row>
    <row r="809" spans="1:72" x14ac:dyDescent="0.25">
      <c r="A809" t="s">
        <v>72</v>
      </c>
      <c r="B809" t="s">
        <v>15265</v>
      </c>
      <c r="C809" t="s">
        <v>74</v>
      </c>
      <c r="D809" t="s">
        <v>74</v>
      </c>
      <c r="E809" t="s">
        <v>74</v>
      </c>
      <c r="F809" t="s">
        <v>15266</v>
      </c>
      <c r="G809" t="s">
        <v>74</v>
      </c>
      <c r="H809" t="s">
        <v>74</v>
      </c>
      <c r="I809" t="s">
        <v>15267</v>
      </c>
      <c r="J809" t="s">
        <v>10806</v>
      </c>
      <c r="K809" t="s">
        <v>74</v>
      </c>
      <c r="L809" t="s">
        <v>74</v>
      </c>
      <c r="M809" t="s">
        <v>78</v>
      </c>
      <c r="N809" t="s">
        <v>79</v>
      </c>
      <c r="O809" t="s">
        <v>74</v>
      </c>
      <c r="P809" t="s">
        <v>74</v>
      </c>
      <c r="Q809" t="s">
        <v>74</v>
      </c>
      <c r="R809" t="s">
        <v>74</v>
      </c>
      <c r="S809" t="s">
        <v>74</v>
      </c>
      <c r="T809" t="s">
        <v>15268</v>
      </c>
      <c r="U809" t="s">
        <v>15269</v>
      </c>
      <c r="V809" t="s">
        <v>15270</v>
      </c>
      <c r="W809" t="s">
        <v>15271</v>
      </c>
      <c r="X809" t="s">
        <v>15272</v>
      </c>
      <c r="Y809" t="s">
        <v>15273</v>
      </c>
      <c r="Z809" t="s">
        <v>15274</v>
      </c>
      <c r="AA809" t="s">
        <v>15275</v>
      </c>
      <c r="AB809" t="s">
        <v>15276</v>
      </c>
      <c r="AC809" t="s">
        <v>15277</v>
      </c>
      <c r="AD809" t="s">
        <v>15278</v>
      </c>
      <c r="AE809" t="s">
        <v>15279</v>
      </c>
      <c r="AF809" t="s">
        <v>74</v>
      </c>
      <c r="AG809">
        <v>39</v>
      </c>
      <c r="AH809">
        <v>0</v>
      </c>
      <c r="AI809">
        <v>0</v>
      </c>
      <c r="AJ809">
        <v>19</v>
      </c>
      <c r="AK809">
        <v>19</v>
      </c>
      <c r="AL809" t="s">
        <v>201</v>
      </c>
      <c r="AM809" t="s">
        <v>202</v>
      </c>
      <c r="AN809" t="s">
        <v>203</v>
      </c>
      <c r="AO809" t="s">
        <v>10818</v>
      </c>
      <c r="AP809" t="s">
        <v>10819</v>
      </c>
      <c r="AQ809" t="s">
        <v>74</v>
      </c>
      <c r="AR809" t="s">
        <v>10820</v>
      </c>
      <c r="AS809" t="s">
        <v>10821</v>
      </c>
      <c r="AT809" t="s">
        <v>1159</v>
      </c>
      <c r="AU809">
        <v>2025</v>
      </c>
      <c r="AV809">
        <v>151</v>
      </c>
      <c r="AW809" t="s">
        <v>74</v>
      </c>
      <c r="AX809" t="s">
        <v>74</v>
      </c>
      <c r="AY809" t="s">
        <v>74</v>
      </c>
      <c r="AZ809" t="s">
        <v>74</v>
      </c>
      <c r="BA809" t="s">
        <v>74</v>
      </c>
      <c r="BB809" t="s">
        <v>74</v>
      </c>
      <c r="BC809" t="s">
        <v>74</v>
      </c>
      <c r="BD809">
        <v>107194</v>
      </c>
      <c r="BE809" t="s">
        <v>15280</v>
      </c>
      <c r="BF809" t="str">
        <f>HYPERLINK("http://dx.doi.org/10.1016/j.econmod.2025.107194","http://dx.doi.org/10.1016/j.econmod.2025.107194")</f>
        <v>http://dx.doi.org/10.1016/j.econmod.2025.107194</v>
      </c>
      <c r="BG809" t="s">
        <v>74</v>
      </c>
      <c r="BH809" t="s">
        <v>7657</v>
      </c>
      <c r="BI809">
        <v>22</v>
      </c>
      <c r="BJ809" t="s">
        <v>291</v>
      </c>
      <c r="BK809" t="s">
        <v>99</v>
      </c>
      <c r="BL809" t="s">
        <v>100</v>
      </c>
      <c r="BM809" t="s">
        <v>15281</v>
      </c>
      <c r="BN809" t="s">
        <v>74</v>
      </c>
      <c r="BO809" t="s">
        <v>74</v>
      </c>
      <c r="BP809" t="s">
        <v>74</v>
      </c>
      <c r="BQ809" t="s">
        <v>74</v>
      </c>
      <c r="BR809" t="s">
        <v>102</v>
      </c>
      <c r="BS809" t="s">
        <v>15282</v>
      </c>
      <c r="BT809" t="str">
        <f>HYPERLINK("https%3A%2F%2Fwww.webofscience.com%2Fwos%2Fwoscc%2Ffull-record%2FWOS:001522467000001","View Full Record in Web of Science")</f>
        <v>View Full Record in Web of Science</v>
      </c>
    </row>
    <row r="810" spans="1:72" x14ac:dyDescent="0.25">
      <c r="A810" t="s">
        <v>72</v>
      </c>
      <c r="B810" t="s">
        <v>15283</v>
      </c>
      <c r="C810" t="s">
        <v>74</v>
      </c>
      <c r="D810" t="s">
        <v>74</v>
      </c>
      <c r="E810" t="s">
        <v>74</v>
      </c>
      <c r="F810" t="s">
        <v>15284</v>
      </c>
      <c r="G810" t="s">
        <v>74</v>
      </c>
      <c r="H810" t="s">
        <v>74</v>
      </c>
      <c r="I810" t="s">
        <v>15285</v>
      </c>
      <c r="J810" t="s">
        <v>6283</v>
      </c>
      <c r="K810" t="s">
        <v>74</v>
      </c>
      <c r="L810" t="s">
        <v>74</v>
      </c>
      <c r="M810" t="s">
        <v>78</v>
      </c>
      <c r="N810" t="s">
        <v>79</v>
      </c>
      <c r="O810" t="s">
        <v>74</v>
      </c>
      <c r="P810" t="s">
        <v>74</v>
      </c>
      <c r="Q810" t="s">
        <v>74</v>
      </c>
      <c r="R810" t="s">
        <v>74</v>
      </c>
      <c r="S810" t="s">
        <v>74</v>
      </c>
      <c r="T810" t="s">
        <v>15286</v>
      </c>
      <c r="U810" t="s">
        <v>15287</v>
      </c>
      <c r="V810" t="s">
        <v>15288</v>
      </c>
      <c r="W810" t="s">
        <v>15289</v>
      </c>
      <c r="X810" t="s">
        <v>15290</v>
      </c>
      <c r="Y810" t="s">
        <v>15291</v>
      </c>
      <c r="Z810" t="s">
        <v>15292</v>
      </c>
      <c r="AA810" t="s">
        <v>14670</v>
      </c>
      <c r="AB810" t="s">
        <v>14671</v>
      </c>
      <c r="AC810" t="s">
        <v>15293</v>
      </c>
      <c r="AD810" t="s">
        <v>8707</v>
      </c>
      <c r="AE810" t="s">
        <v>3460</v>
      </c>
      <c r="AF810" t="s">
        <v>74</v>
      </c>
      <c r="AG810">
        <v>117</v>
      </c>
      <c r="AH810">
        <v>19</v>
      </c>
      <c r="AI810">
        <v>20</v>
      </c>
      <c r="AJ810">
        <v>21</v>
      </c>
      <c r="AK810">
        <v>118</v>
      </c>
      <c r="AL810" t="s">
        <v>479</v>
      </c>
      <c r="AM810" t="s">
        <v>480</v>
      </c>
      <c r="AN810" t="s">
        <v>481</v>
      </c>
      <c r="AO810" t="s">
        <v>6293</v>
      </c>
      <c r="AP810" t="s">
        <v>6294</v>
      </c>
      <c r="AQ810" t="s">
        <v>74</v>
      </c>
      <c r="AR810" t="s">
        <v>6295</v>
      </c>
      <c r="AS810" t="s">
        <v>6296</v>
      </c>
      <c r="AT810" t="s">
        <v>1159</v>
      </c>
      <c r="AU810">
        <v>2024</v>
      </c>
      <c r="AV810">
        <v>32</v>
      </c>
      <c r="AW810">
        <v>5</v>
      </c>
      <c r="AX810" t="s">
        <v>74</v>
      </c>
      <c r="AY810" t="s">
        <v>74</v>
      </c>
      <c r="AZ810" t="s">
        <v>74</v>
      </c>
      <c r="BA810" t="s">
        <v>74</v>
      </c>
      <c r="BB810">
        <v>5742</v>
      </c>
      <c r="BC810">
        <v>5763</v>
      </c>
      <c r="BD810" t="s">
        <v>74</v>
      </c>
      <c r="BE810" t="s">
        <v>15294</v>
      </c>
      <c r="BF810" t="str">
        <f>HYPERLINK("http://dx.doi.org/10.1002/sd.2996","http://dx.doi.org/10.1002/sd.2996")</f>
        <v>http://dx.doi.org/10.1002/sd.2996</v>
      </c>
      <c r="BG810" t="s">
        <v>74</v>
      </c>
      <c r="BH810" t="s">
        <v>938</v>
      </c>
      <c r="BI810">
        <v>22</v>
      </c>
      <c r="BJ810" t="s">
        <v>6299</v>
      </c>
      <c r="BK810" t="s">
        <v>99</v>
      </c>
      <c r="BL810" t="s">
        <v>6300</v>
      </c>
      <c r="BM810" t="s">
        <v>15295</v>
      </c>
      <c r="BN810" t="s">
        <v>74</v>
      </c>
      <c r="BO810" t="s">
        <v>74</v>
      </c>
      <c r="BP810" t="s">
        <v>74</v>
      </c>
      <c r="BQ810" t="s">
        <v>74</v>
      </c>
      <c r="BR810" t="s">
        <v>102</v>
      </c>
      <c r="BS810" t="s">
        <v>15296</v>
      </c>
      <c r="BT810" t="str">
        <f>HYPERLINK("https%3A%2F%2Fwww.webofscience.com%2Fwos%2Fwoscc%2Ffull-record%2FWOS:001198925600001","View Full Record in Web of Science")</f>
        <v>View Full Record in Web of Science</v>
      </c>
    </row>
    <row r="811" spans="1:72" x14ac:dyDescent="0.25">
      <c r="A811" t="s">
        <v>72</v>
      </c>
      <c r="B811" t="s">
        <v>15297</v>
      </c>
      <c r="C811" t="s">
        <v>74</v>
      </c>
      <c r="D811" t="s">
        <v>74</v>
      </c>
      <c r="E811" t="s">
        <v>74</v>
      </c>
      <c r="F811" t="s">
        <v>15298</v>
      </c>
      <c r="G811" t="s">
        <v>74</v>
      </c>
      <c r="H811" t="s">
        <v>74</v>
      </c>
      <c r="I811" t="s">
        <v>15299</v>
      </c>
      <c r="J811" t="s">
        <v>15300</v>
      </c>
      <c r="K811" t="s">
        <v>74</v>
      </c>
      <c r="L811" t="s">
        <v>74</v>
      </c>
      <c r="M811" t="s">
        <v>78</v>
      </c>
      <c r="N811" t="s">
        <v>79</v>
      </c>
      <c r="O811" t="s">
        <v>74</v>
      </c>
      <c r="P811" t="s">
        <v>74</v>
      </c>
      <c r="Q811" t="s">
        <v>74</v>
      </c>
      <c r="R811" t="s">
        <v>74</v>
      </c>
      <c r="S811" t="s">
        <v>74</v>
      </c>
      <c r="T811" t="s">
        <v>15301</v>
      </c>
      <c r="U811" t="s">
        <v>74</v>
      </c>
      <c r="V811" t="s">
        <v>15302</v>
      </c>
      <c r="W811" t="s">
        <v>15303</v>
      </c>
      <c r="X811" t="s">
        <v>15304</v>
      </c>
      <c r="Y811" t="s">
        <v>15305</v>
      </c>
      <c r="Z811" t="s">
        <v>15306</v>
      </c>
      <c r="AA811" t="s">
        <v>15307</v>
      </c>
      <c r="AB811" t="s">
        <v>74</v>
      </c>
      <c r="AC811" t="s">
        <v>15308</v>
      </c>
      <c r="AD811" t="s">
        <v>15309</v>
      </c>
      <c r="AE811" t="s">
        <v>15310</v>
      </c>
      <c r="AF811" t="s">
        <v>74</v>
      </c>
      <c r="AG811">
        <v>14</v>
      </c>
      <c r="AH811">
        <v>8</v>
      </c>
      <c r="AI811">
        <v>10</v>
      </c>
      <c r="AJ811">
        <v>3</v>
      </c>
      <c r="AK811">
        <v>126</v>
      </c>
      <c r="AL811" t="s">
        <v>15311</v>
      </c>
      <c r="AM811" t="s">
        <v>15312</v>
      </c>
      <c r="AN811" t="s">
        <v>15313</v>
      </c>
      <c r="AO811" t="s">
        <v>15314</v>
      </c>
      <c r="AP811" t="s">
        <v>15315</v>
      </c>
      <c r="AQ811" t="s">
        <v>74</v>
      </c>
      <c r="AR811" t="s">
        <v>15316</v>
      </c>
      <c r="AS811" t="s">
        <v>15317</v>
      </c>
      <c r="AT811" t="s">
        <v>2462</v>
      </c>
      <c r="AU811">
        <v>2020</v>
      </c>
      <c r="AV811" t="s">
        <v>74</v>
      </c>
      <c r="AW811" t="s">
        <v>74</v>
      </c>
      <c r="AX811" t="s">
        <v>74</v>
      </c>
      <c r="AY811" t="s">
        <v>74</v>
      </c>
      <c r="AZ811">
        <v>106</v>
      </c>
      <c r="BA811" t="s">
        <v>74</v>
      </c>
      <c r="BB811">
        <v>305</v>
      </c>
      <c r="BC811">
        <v>308</v>
      </c>
      <c r="BD811" t="s">
        <v>74</v>
      </c>
      <c r="BE811" t="s">
        <v>15318</v>
      </c>
      <c r="BF811" t="str">
        <f>HYPERLINK("http://dx.doi.org/10.2112/SI106-071.1","http://dx.doi.org/10.2112/SI106-071.1")</f>
        <v>http://dx.doi.org/10.2112/SI106-071.1</v>
      </c>
      <c r="BG811" t="s">
        <v>74</v>
      </c>
      <c r="BH811" t="s">
        <v>74</v>
      </c>
      <c r="BI811">
        <v>4</v>
      </c>
      <c r="BJ811" t="s">
        <v>15319</v>
      </c>
      <c r="BK811" t="s">
        <v>128</v>
      </c>
      <c r="BL811" t="s">
        <v>15320</v>
      </c>
      <c r="BM811" t="s">
        <v>15321</v>
      </c>
      <c r="BN811" t="s">
        <v>74</v>
      </c>
      <c r="BO811" t="s">
        <v>74</v>
      </c>
      <c r="BP811" t="s">
        <v>74</v>
      </c>
      <c r="BQ811" t="s">
        <v>74</v>
      </c>
      <c r="BR811" t="s">
        <v>102</v>
      </c>
      <c r="BS811" t="s">
        <v>15322</v>
      </c>
      <c r="BT811" t="str">
        <f>HYPERLINK("https%3A%2F%2Fwww.webofscience.com%2Fwos%2Fwoscc%2Ffull-record%2FWOS:000550684000071","View Full Record in Web of Science")</f>
        <v>View Full Record in Web of Science</v>
      </c>
    </row>
    <row r="812" spans="1:72" x14ac:dyDescent="0.25">
      <c r="A812" t="s">
        <v>72</v>
      </c>
      <c r="B812" t="s">
        <v>15323</v>
      </c>
      <c r="C812" t="s">
        <v>74</v>
      </c>
      <c r="D812" t="s">
        <v>74</v>
      </c>
      <c r="E812" t="s">
        <v>74</v>
      </c>
      <c r="F812" t="s">
        <v>15324</v>
      </c>
      <c r="G812" t="s">
        <v>74</v>
      </c>
      <c r="H812" t="s">
        <v>74</v>
      </c>
      <c r="I812" t="s">
        <v>15325</v>
      </c>
      <c r="J812" t="s">
        <v>190</v>
      </c>
      <c r="K812" t="s">
        <v>74</v>
      </c>
      <c r="L812" t="s">
        <v>74</v>
      </c>
      <c r="M812" t="s">
        <v>78</v>
      </c>
      <c r="N812" t="s">
        <v>79</v>
      </c>
      <c r="O812" t="s">
        <v>74</v>
      </c>
      <c r="P812" t="s">
        <v>74</v>
      </c>
      <c r="Q812" t="s">
        <v>74</v>
      </c>
      <c r="R812" t="s">
        <v>74</v>
      </c>
      <c r="S812" t="s">
        <v>74</v>
      </c>
      <c r="T812" t="s">
        <v>15326</v>
      </c>
      <c r="U812" t="s">
        <v>15327</v>
      </c>
      <c r="V812" t="s">
        <v>15328</v>
      </c>
      <c r="W812" t="s">
        <v>15329</v>
      </c>
      <c r="X812" t="s">
        <v>15330</v>
      </c>
      <c r="Y812" t="s">
        <v>15331</v>
      </c>
      <c r="Z812" t="s">
        <v>15332</v>
      </c>
      <c r="AA812" t="s">
        <v>15333</v>
      </c>
      <c r="AB812" t="s">
        <v>74</v>
      </c>
      <c r="AC812" t="s">
        <v>15334</v>
      </c>
      <c r="AD812" t="s">
        <v>15335</v>
      </c>
      <c r="AE812" t="s">
        <v>15336</v>
      </c>
      <c r="AF812" t="s">
        <v>74</v>
      </c>
      <c r="AG812">
        <v>37</v>
      </c>
      <c r="AH812">
        <v>18</v>
      </c>
      <c r="AI812">
        <v>21</v>
      </c>
      <c r="AJ812">
        <v>23</v>
      </c>
      <c r="AK812">
        <v>73</v>
      </c>
      <c r="AL812" t="s">
        <v>201</v>
      </c>
      <c r="AM812" t="s">
        <v>202</v>
      </c>
      <c r="AN812" t="s">
        <v>203</v>
      </c>
      <c r="AO812" t="s">
        <v>204</v>
      </c>
      <c r="AP812" t="s">
        <v>205</v>
      </c>
      <c r="AQ812" t="s">
        <v>74</v>
      </c>
      <c r="AR812" t="s">
        <v>206</v>
      </c>
      <c r="AS812" t="s">
        <v>207</v>
      </c>
      <c r="AT812" t="s">
        <v>1652</v>
      </c>
      <c r="AU812">
        <v>2024</v>
      </c>
      <c r="AV812">
        <v>93</v>
      </c>
      <c r="AW812" t="s">
        <v>74</v>
      </c>
      <c r="AX812" t="s">
        <v>3828</v>
      </c>
      <c r="AY812" t="s">
        <v>74</v>
      </c>
      <c r="AZ812" t="s">
        <v>74</v>
      </c>
      <c r="BA812" t="s">
        <v>74</v>
      </c>
      <c r="BB812">
        <v>1197</v>
      </c>
      <c r="BC812">
        <v>1210</v>
      </c>
      <c r="BD812" t="s">
        <v>74</v>
      </c>
      <c r="BE812" t="s">
        <v>15337</v>
      </c>
      <c r="BF812" t="str">
        <f>HYPERLINK("http://dx.doi.org/10.1016/j.iref.2024.03.073","http://dx.doi.org/10.1016/j.iref.2024.03.073")</f>
        <v>http://dx.doi.org/10.1016/j.iref.2024.03.073</v>
      </c>
      <c r="BG812" t="s">
        <v>74</v>
      </c>
      <c r="BH812" t="s">
        <v>938</v>
      </c>
      <c r="BI812">
        <v>14</v>
      </c>
      <c r="BJ812" t="s">
        <v>210</v>
      </c>
      <c r="BK812" t="s">
        <v>99</v>
      </c>
      <c r="BL812" t="s">
        <v>100</v>
      </c>
      <c r="BM812" t="s">
        <v>15338</v>
      </c>
      <c r="BN812" t="s">
        <v>74</v>
      </c>
      <c r="BO812" t="s">
        <v>74</v>
      </c>
      <c r="BP812" t="s">
        <v>74</v>
      </c>
      <c r="BQ812" t="s">
        <v>74</v>
      </c>
      <c r="BR812" t="s">
        <v>102</v>
      </c>
      <c r="BS812" t="s">
        <v>15339</v>
      </c>
      <c r="BT812" t="str">
        <f>HYPERLINK("https%3A%2F%2Fwww.webofscience.com%2Fwos%2Fwoscc%2Ffull-record%2FWOS:001226828200001","View Full Record in Web of Science")</f>
        <v>View Full Record in Web of Science</v>
      </c>
    </row>
    <row r="813" spans="1:72" x14ac:dyDescent="0.25">
      <c r="A813" t="s">
        <v>72</v>
      </c>
      <c r="B813" t="s">
        <v>15340</v>
      </c>
      <c r="C813" t="s">
        <v>74</v>
      </c>
      <c r="D813" t="s">
        <v>74</v>
      </c>
      <c r="E813" t="s">
        <v>74</v>
      </c>
      <c r="F813" t="s">
        <v>15341</v>
      </c>
      <c r="G813" t="s">
        <v>74</v>
      </c>
      <c r="H813" t="s">
        <v>74</v>
      </c>
      <c r="I813" t="s">
        <v>15342</v>
      </c>
      <c r="J813" t="s">
        <v>15343</v>
      </c>
      <c r="K813" t="s">
        <v>74</v>
      </c>
      <c r="L813" t="s">
        <v>74</v>
      </c>
      <c r="M813" t="s">
        <v>78</v>
      </c>
      <c r="N813" t="s">
        <v>79</v>
      </c>
      <c r="O813" t="s">
        <v>74</v>
      </c>
      <c r="P813" t="s">
        <v>74</v>
      </c>
      <c r="Q813" t="s">
        <v>74</v>
      </c>
      <c r="R813" t="s">
        <v>74</v>
      </c>
      <c r="S813" t="s">
        <v>74</v>
      </c>
      <c r="T813" t="s">
        <v>74</v>
      </c>
      <c r="U813" t="s">
        <v>2945</v>
      </c>
      <c r="V813" t="s">
        <v>15344</v>
      </c>
      <c r="W813" t="s">
        <v>15345</v>
      </c>
      <c r="X813" t="s">
        <v>15346</v>
      </c>
      <c r="Y813" t="s">
        <v>15347</v>
      </c>
      <c r="Z813" t="s">
        <v>15348</v>
      </c>
      <c r="AA813" t="s">
        <v>15349</v>
      </c>
      <c r="AB813" t="s">
        <v>74</v>
      </c>
      <c r="AC813" t="s">
        <v>74</v>
      </c>
      <c r="AD813" t="s">
        <v>74</v>
      </c>
      <c r="AE813" t="s">
        <v>74</v>
      </c>
      <c r="AF813" t="s">
        <v>74</v>
      </c>
      <c r="AG813">
        <v>58</v>
      </c>
      <c r="AH813">
        <v>0</v>
      </c>
      <c r="AI813">
        <v>0</v>
      </c>
      <c r="AJ813">
        <v>11</v>
      </c>
      <c r="AK813">
        <v>28</v>
      </c>
      <c r="AL813" t="s">
        <v>15350</v>
      </c>
      <c r="AM813" t="s">
        <v>15351</v>
      </c>
      <c r="AN813" t="s">
        <v>15352</v>
      </c>
      <c r="AO813" t="s">
        <v>15353</v>
      </c>
      <c r="AP813" t="s">
        <v>74</v>
      </c>
      <c r="AQ813" t="s">
        <v>74</v>
      </c>
      <c r="AR813" t="s">
        <v>15354</v>
      </c>
      <c r="AS813" t="s">
        <v>15355</v>
      </c>
      <c r="AT813" t="s">
        <v>74</v>
      </c>
      <c r="AU813">
        <v>2024</v>
      </c>
      <c r="AV813">
        <v>76</v>
      </c>
      <c r="AW813">
        <v>4</v>
      </c>
      <c r="AX813" t="s">
        <v>74</v>
      </c>
      <c r="AY813" t="s">
        <v>74</v>
      </c>
      <c r="AZ813" t="s">
        <v>74</v>
      </c>
      <c r="BA813" t="s">
        <v>74</v>
      </c>
      <c r="BB813">
        <v>240</v>
      </c>
      <c r="BC813">
        <v>254</v>
      </c>
      <c r="BD813" t="s">
        <v>74</v>
      </c>
      <c r="BE813" t="s">
        <v>15356</v>
      </c>
      <c r="BF813" t="str">
        <f>HYPERLINK("http://dx.doi.org/10.46989/001c.125727","http://dx.doi.org/10.46989/001c.125727")</f>
        <v>http://dx.doi.org/10.46989/001c.125727</v>
      </c>
      <c r="BG813" t="s">
        <v>74</v>
      </c>
      <c r="BH813" t="s">
        <v>74</v>
      </c>
      <c r="BI813">
        <v>15</v>
      </c>
      <c r="BJ813" t="s">
        <v>15357</v>
      </c>
      <c r="BK813" t="s">
        <v>128</v>
      </c>
      <c r="BL813" t="s">
        <v>15357</v>
      </c>
      <c r="BM813" t="s">
        <v>15358</v>
      </c>
      <c r="BN813" t="s">
        <v>74</v>
      </c>
      <c r="BO813" t="s">
        <v>270</v>
      </c>
      <c r="BP813" t="s">
        <v>74</v>
      </c>
      <c r="BQ813" t="s">
        <v>74</v>
      </c>
      <c r="BR813" t="s">
        <v>102</v>
      </c>
      <c r="BS813" t="s">
        <v>15359</v>
      </c>
      <c r="BT813" t="str">
        <f>HYPERLINK("https%3A%2F%2Fwww.webofscience.com%2Fwos%2Fwoscc%2Ffull-record%2FWOS:001388682600017","View Full Record in Web of Science")</f>
        <v>View Full Record in Web of Science</v>
      </c>
    </row>
    <row r="814" spans="1:72" x14ac:dyDescent="0.25">
      <c r="A814" t="s">
        <v>72</v>
      </c>
      <c r="B814" t="s">
        <v>15360</v>
      </c>
      <c r="C814" t="s">
        <v>74</v>
      </c>
      <c r="D814" t="s">
        <v>74</v>
      </c>
      <c r="E814" t="s">
        <v>74</v>
      </c>
      <c r="F814" t="s">
        <v>15361</v>
      </c>
      <c r="G814" t="s">
        <v>74</v>
      </c>
      <c r="H814" t="s">
        <v>74</v>
      </c>
      <c r="I814" t="s">
        <v>15362</v>
      </c>
      <c r="J814" t="s">
        <v>12129</v>
      </c>
      <c r="K814" t="s">
        <v>74</v>
      </c>
      <c r="L814" t="s">
        <v>74</v>
      </c>
      <c r="M814" t="s">
        <v>78</v>
      </c>
      <c r="N814" t="s">
        <v>79</v>
      </c>
      <c r="O814" t="s">
        <v>74</v>
      </c>
      <c r="P814" t="s">
        <v>74</v>
      </c>
      <c r="Q814" t="s">
        <v>74</v>
      </c>
      <c r="R814" t="s">
        <v>74</v>
      </c>
      <c r="S814" t="s">
        <v>74</v>
      </c>
      <c r="T814" t="s">
        <v>15363</v>
      </c>
      <c r="U814" t="s">
        <v>15364</v>
      </c>
      <c r="V814" t="s">
        <v>15365</v>
      </c>
      <c r="W814" t="s">
        <v>15366</v>
      </c>
      <c r="X814" t="s">
        <v>15367</v>
      </c>
      <c r="Y814" t="s">
        <v>15368</v>
      </c>
      <c r="Z814" t="s">
        <v>15369</v>
      </c>
      <c r="AA814" t="s">
        <v>74</v>
      </c>
      <c r="AB814" t="s">
        <v>74</v>
      </c>
      <c r="AC814" t="s">
        <v>74</v>
      </c>
      <c r="AD814" t="s">
        <v>74</v>
      </c>
      <c r="AE814" t="s">
        <v>74</v>
      </c>
      <c r="AF814" t="s">
        <v>74</v>
      </c>
      <c r="AG814">
        <v>62</v>
      </c>
      <c r="AH814">
        <v>37</v>
      </c>
      <c r="AI814">
        <v>39</v>
      </c>
      <c r="AJ814">
        <v>9</v>
      </c>
      <c r="AK814">
        <v>190</v>
      </c>
      <c r="AL814" t="s">
        <v>479</v>
      </c>
      <c r="AM814" t="s">
        <v>480</v>
      </c>
      <c r="AN814" t="s">
        <v>481</v>
      </c>
      <c r="AO814" t="s">
        <v>12140</v>
      </c>
      <c r="AP814" t="s">
        <v>12141</v>
      </c>
      <c r="AQ814" t="s">
        <v>74</v>
      </c>
      <c r="AR814" t="s">
        <v>12142</v>
      </c>
      <c r="AS814" t="s">
        <v>12143</v>
      </c>
      <c r="AT814" t="s">
        <v>124</v>
      </c>
      <c r="AU814">
        <v>2021</v>
      </c>
      <c r="AV814">
        <v>61</v>
      </c>
      <c r="AW814">
        <v>5</v>
      </c>
      <c r="AX814" t="s">
        <v>74</v>
      </c>
      <c r="AY814" t="s">
        <v>74</v>
      </c>
      <c r="AZ814" t="s">
        <v>74</v>
      </c>
      <c r="BA814" t="s">
        <v>74</v>
      </c>
      <c r="BB814">
        <v>6225</v>
      </c>
      <c r="BC814">
        <v>6261</v>
      </c>
      <c r="BD814" t="s">
        <v>74</v>
      </c>
      <c r="BE814" t="s">
        <v>15370</v>
      </c>
      <c r="BF814" t="str">
        <f>HYPERLINK("http://dx.doi.org/10.1111/acfi.12863","http://dx.doi.org/10.1111/acfi.12863")</f>
        <v>http://dx.doi.org/10.1111/acfi.12863</v>
      </c>
      <c r="BG814" t="s">
        <v>74</v>
      </c>
      <c r="BH814" t="s">
        <v>10889</v>
      </c>
      <c r="BI814">
        <v>37</v>
      </c>
      <c r="BJ814" t="s">
        <v>268</v>
      </c>
      <c r="BK814" t="s">
        <v>99</v>
      </c>
      <c r="BL814" t="s">
        <v>100</v>
      </c>
      <c r="BM814" t="s">
        <v>15371</v>
      </c>
      <c r="BN814" t="s">
        <v>74</v>
      </c>
      <c r="BO814" t="s">
        <v>74</v>
      </c>
      <c r="BP814" t="s">
        <v>74</v>
      </c>
      <c r="BQ814" t="s">
        <v>74</v>
      </c>
      <c r="BR814" t="s">
        <v>102</v>
      </c>
      <c r="BS814" t="s">
        <v>15372</v>
      </c>
      <c r="BT814" t="str">
        <f>HYPERLINK("https%3A%2F%2Fwww.webofscience.com%2Fwos%2Fwoscc%2Ffull-record%2FWOS:000700957700001","View Full Record in Web of Science")</f>
        <v>View Full Record in Web of Science</v>
      </c>
    </row>
    <row r="815" spans="1:72" x14ac:dyDescent="0.25">
      <c r="A815" t="s">
        <v>72</v>
      </c>
      <c r="B815" t="s">
        <v>15373</v>
      </c>
      <c r="C815" t="s">
        <v>74</v>
      </c>
      <c r="D815" t="s">
        <v>74</v>
      </c>
      <c r="E815" t="s">
        <v>74</v>
      </c>
      <c r="F815" t="s">
        <v>15374</v>
      </c>
      <c r="G815" t="s">
        <v>74</v>
      </c>
      <c r="H815" t="s">
        <v>74</v>
      </c>
      <c r="I815" t="s">
        <v>15375</v>
      </c>
      <c r="J815" t="s">
        <v>15376</v>
      </c>
      <c r="K815" t="s">
        <v>74</v>
      </c>
      <c r="L815" t="s">
        <v>74</v>
      </c>
      <c r="M815" t="s">
        <v>78</v>
      </c>
      <c r="N815" t="s">
        <v>79</v>
      </c>
      <c r="O815" t="s">
        <v>74</v>
      </c>
      <c r="P815" t="s">
        <v>74</v>
      </c>
      <c r="Q815" t="s">
        <v>74</v>
      </c>
      <c r="R815" t="s">
        <v>74</v>
      </c>
      <c r="S815" t="s">
        <v>74</v>
      </c>
      <c r="T815" t="s">
        <v>15377</v>
      </c>
      <c r="U815" t="s">
        <v>15378</v>
      </c>
      <c r="V815" t="s">
        <v>15379</v>
      </c>
      <c r="W815" t="s">
        <v>15380</v>
      </c>
      <c r="X815" t="s">
        <v>15381</v>
      </c>
      <c r="Y815" t="s">
        <v>15382</v>
      </c>
      <c r="Z815" t="s">
        <v>15383</v>
      </c>
      <c r="AA815" t="s">
        <v>74</v>
      </c>
      <c r="AB815" t="s">
        <v>74</v>
      </c>
      <c r="AC815" t="s">
        <v>74</v>
      </c>
      <c r="AD815" t="s">
        <v>74</v>
      </c>
      <c r="AE815" t="s">
        <v>74</v>
      </c>
      <c r="AF815" t="s">
        <v>74</v>
      </c>
      <c r="AG815">
        <v>57</v>
      </c>
      <c r="AH815">
        <v>2</v>
      </c>
      <c r="AI815">
        <v>3</v>
      </c>
      <c r="AJ815">
        <v>0</v>
      </c>
      <c r="AK815">
        <v>20</v>
      </c>
      <c r="AL815" t="s">
        <v>15384</v>
      </c>
      <c r="AM815" t="s">
        <v>15385</v>
      </c>
      <c r="AN815" t="s">
        <v>15386</v>
      </c>
      <c r="AO815" t="s">
        <v>15387</v>
      </c>
      <c r="AP815" t="s">
        <v>15388</v>
      </c>
      <c r="AQ815" t="s">
        <v>74</v>
      </c>
      <c r="AR815" t="s">
        <v>15389</v>
      </c>
      <c r="AS815" t="s">
        <v>15390</v>
      </c>
      <c r="AT815" t="s">
        <v>15391</v>
      </c>
      <c r="AU815">
        <v>2022</v>
      </c>
      <c r="AV815">
        <v>31</v>
      </c>
      <c r="AW815">
        <v>12</v>
      </c>
      <c r="AX815" t="s">
        <v>74</v>
      </c>
      <c r="AY815" t="s">
        <v>74</v>
      </c>
      <c r="AZ815" t="s">
        <v>74</v>
      </c>
      <c r="BA815" t="s">
        <v>74</v>
      </c>
      <c r="BB815" t="s">
        <v>74</v>
      </c>
      <c r="BC815" t="s">
        <v>74</v>
      </c>
      <c r="BD815">
        <v>12</v>
      </c>
      <c r="BE815" t="s">
        <v>15392</v>
      </c>
      <c r="BF815" t="str">
        <f>HYPERLINK("http://dx.doi.org/10.47872/laer.v31.103","http://dx.doi.org/10.47872/laer.v31.103")</f>
        <v>http://dx.doi.org/10.47872/laer.v31.103</v>
      </c>
      <c r="BG815" t="s">
        <v>74</v>
      </c>
      <c r="BH815" t="s">
        <v>74</v>
      </c>
      <c r="BI815">
        <v>24</v>
      </c>
      <c r="BJ815" t="s">
        <v>291</v>
      </c>
      <c r="BK815" t="s">
        <v>99</v>
      </c>
      <c r="BL815" t="s">
        <v>100</v>
      </c>
      <c r="BM815" t="s">
        <v>15393</v>
      </c>
      <c r="BN815" t="s">
        <v>74</v>
      </c>
      <c r="BO815" t="s">
        <v>74</v>
      </c>
      <c r="BP815" t="s">
        <v>74</v>
      </c>
      <c r="BQ815" t="s">
        <v>74</v>
      </c>
      <c r="BR815" t="s">
        <v>102</v>
      </c>
      <c r="BS815" t="s">
        <v>15394</v>
      </c>
      <c r="BT815" t="str">
        <f>HYPERLINK("https%3A%2F%2Fwww.webofscience.com%2Fwos%2Fwoscc%2Ffull-record%2FWOS:000997398500001","View Full Record in Web of Science")</f>
        <v>View Full Record in Web of Science</v>
      </c>
    </row>
    <row r="816" spans="1:72" x14ac:dyDescent="0.25">
      <c r="A816" t="s">
        <v>72</v>
      </c>
      <c r="B816" t="s">
        <v>15395</v>
      </c>
      <c r="C816" t="s">
        <v>74</v>
      </c>
      <c r="D816" t="s">
        <v>74</v>
      </c>
      <c r="E816" t="s">
        <v>74</v>
      </c>
      <c r="F816" t="s">
        <v>15396</v>
      </c>
      <c r="G816" t="s">
        <v>74</v>
      </c>
      <c r="H816" t="s">
        <v>74</v>
      </c>
      <c r="I816" t="s">
        <v>15397</v>
      </c>
      <c r="J816" t="s">
        <v>8942</v>
      </c>
      <c r="K816" t="s">
        <v>74</v>
      </c>
      <c r="L816" t="s">
        <v>74</v>
      </c>
      <c r="M816" t="s">
        <v>78</v>
      </c>
      <c r="N816" t="s">
        <v>79</v>
      </c>
      <c r="O816" t="s">
        <v>74</v>
      </c>
      <c r="P816" t="s">
        <v>74</v>
      </c>
      <c r="Q816" t="s">
        <v>74</v>
      </c>
      <c r="R816" t="s">
        <v>74</v>
      </c>
      <c r="S816" t="s">
        <v>74</v>
      </c>
      <c r="T816" t="s">
        <v>15398</v>
      </c>
      <c r="U816" t="s">
        <v>74</v>
      </c>
      <c r="V816" t="s">
        <v>15399</v>
      </c>
      <c r="W816" t="s">
        <v>15400</v>
      </c>
      <c r="X816" t="s">
        <v>10117</v>
      </c>
      <c r="Y816" t="s">
        <v>15401</v>
      </c>
      <c r="Z816" t="s">
        <v>15402</v>
      </c>
      <c r="AA816" t="s">
        <v>15403</v>
      </c>
      <c r="AB816" t="s">
        <v>15404</v>
      </c>
      <c r="AC816" t="s">
        <v>74</v>
      </c>
      <c r="AD816" t="s">
        <v>74</v>
      </c>
      <c r="AE816" t="s">
        <v>74</v>
      </c>
      <c r="AF816" t="s">
        <v>74</v>
      </c>
      <c r="AG816">
        <v>39</v>
      </c>
      <c r="AH816">
        <v>5</v>
      </c>
      <c r="AI816">
        <v>13</v>
      </c>
      <c r="AJ816">
        <v>0</v>
      </c>
      <c r="AK816">
        <v>16</v>
      </c>
      <c r="AL816" t="s">
        <v>89</v>
      </c>
      <c r="AM816" t="s">
        <v>1497</v>
      </c>
      <c r="AN816" t="s">
        <v>1498</v>
      </c>
      <c r="AO816" t="s">
        <v>8952</v>
      </c>
      <c r="AP816" t="s">
        <v>8953</v>
      </c>
      <c r="AQ816" t="s">
        <v>74</v>
      </c>
      <c r="AR816" t="s">
        <v>8954</v>
      </c>
      <c r="AS816" t="s">
        <v>8955</v>
      </c>
      <c r="AT816" t="s">
        <v>15405</v>
      </c>
      <c r="AU816">
        <v>2022</v>
      </c>
      <c r="AV816">
        <v>13</v>
      </c>
      <c r="AW816">
        <v>2</v>
      </c>
      <c r="AX816" t="s">
        <v>74</v>
      </c>
      <c r="AY816" t="s">
        <v>74</v>
      </c>
      <c r="AZ816" t="s">
        <v>74</v>
      </c>
      <c r="BA816" t="s">
        <v>74</v>
      </c>
      <c r="BB816">
        <v>177</v>
      </c>
      <c r="BC816">
        <v>189</v>
      </c>
      <c r="BD816" t="s">
        <v>74</v>
      </c>
      <c r="BE816" t="s">
        <v>15406</v>
      </c>
      <c r="BF816" t="str">
        <f>HYPERLINK("http://dx.doi.org/10.1108/AJEMS-06-2021-0290","http://dx.doi.org/10.1108/AJEMS-06-2021-0290")</f>
        <v>http://dx.doi.org/10.1108/AJEMS-06-2021-0290</v>
      </c>
      <c r="BG816" t="s">
        <v>74</v>
      </c>
      <c r="BH816" t="s">
        <v>2730</v>
      </c>
      <c r="BI816">
        <v>13</v>
      </c>
      <c r="BJ816" t="s">
        <v>291</v>
      </c>
      <c r="BK816" t="s">
        <v>313</v>
      </c>
      <c r="BL816" t="s">
        <v>100</v>
      </c>
      <c r="BM816" t="s">
        <v>15407</v>
      </c>
      <c r="BN816" t="s">
        <v>74</v>
      </c>
      <c r="BO816" t="s">
        <v>74</v>
      </c>
      <c r="BP816" t="s">
        <v>74</v>
      </c>
      <c r="BQ816" t="s">
        <v>74</v>
      </c>
      <c r="BR816" t="s">
        <v>102</v>
      </c>
      <c r="BS816" t="s">
        <v>15408</v>
      </c>
      <c r="BT816" t="str">
        <f>HYPERLINK("https%3A%2F%2Fwww.webofscience.com%2Fwos%2Fwoscc%2Ffull-record%2FWOS:000736215600001","View Full Record in Web of Science")</f>
        <v>View Full Record in Web of Science</v>
      </c>
    </row>
    <row r="817" spans="1:72" x14ac:dyDescent="0.25">
      <c r="A817" t="s">
        <v>72</v>
      </c>
      <c r="B817" t="s">
        <v>15409</v>
      </c>
      <c r="C817" t="s">
        <v>74</v>
      </c>
      <c r="D817" t="s">
        <v>74</v>
      </c>
      <c r="E817" t="s">
        <v>74</v>
      </c>
      <c r="F817" t="s">
        <v>15410</v>
      </c>
      <c r="G817" t="s">
        <v>74</v>
      </c>
      <c r="H817" t="s">
        <v>74</v>
      </c>
      <c r="I817" t="s">
        <v>15411</v>
      </c>
      <c r="J817" t="s">
        <v>15412</v>
      </c>
      <c r="K817" t="s">
        <v>74</v>
      </c>
      <c r="L817" t="s">
        <v>74</v>
      </c>
      <c r="M817" t="s">
        <v>78</v>
      </c>
      <c r="N817" t="s">
        <v>79</v>
      </c>
      <c r="O817" t="s">
        <v>74</v>
      </c>
      <c r="P817" t="s">
        <v>74</v>
      </c>
      <c r="Q817" t="s">
        <v>74</v>
      </c>
      <c r="R817" t="s">
        <v>74</v>
      </c>
      <c r="S817" t="s">
        <v>74</v>
      </c>
      <c r="T817" t="s">
        <v>15413</v>
      </c>
      <c r="U817" t="s">
        <v>74</v>
      </c>
      <c r="V817" t="s">
        <v>15414</v>
      </c>
      <c r="W817" t="s">
        <v>15415</v>
      </c>
      <c r="X817" t="s">
        <v>15416</v>
      </c>
      <c r="Y817" t="s">
        <v>15417</v>
      </c>
      <c r="Z817" t="s">
        <v>15418</v>
      </c>
      <c r="AA817" t="s">
        <v>74</v>
      </c>
      <c r="AB817" t="s">
        <v>74</v>
      </c>
      <c r="AC817" t="s">
        <v>74</v>
      </c>
      <c r="AD817" t="s">
        <v>74</v>
      </c>
      <c r="AE817" t="s">
        <v>74</v>
      </c>
      <c r="AF817" t="s">
        <v>74</v>
      </c>
      <c r="AG817">
        <v>22</v>
      </c>
      <c r="AH817">
        <v>0</v>
      </c>
      <c r="AI817">
        <v>0</v>
      </c>
      <c r="AJ817">
        <v>0</v>
      </c>
      <c r="AK817">
        <v>0</v>
      </c>
      <c r="AL817" t="s">
        <v>89</v>
      </c>
      <c r="AM817" t="s">
        <v>90</v>
      </c>
      <c r="AN817" t="s">
        <v>91</v>
      </c>
      <c r="AO817" t="s">
        <v>15419</v>
      </c>
      <c r="AP817" t="s">
        <v>15420</v>
      </c>
      <c r="AQ817" t="s">
        <v>74</v>
      </c>
      <c r="AR817" t="s">
        <v>15421</v>
      </c>
      <c r="AS817" t="s">
        <v>15422</v>
      </c>
      <c r="AT817" t="s">
        <v>15423</v>
      </c>
      <c r="AU817">
        <v>2025</v>
      </c>
      <c r="AV817">
        <v>19</v>
      </c>
      <c r="AW817">
        <v>4</v>
      </c>
      <c r="AX817" t="s">
        <v>74</v>
      </c>
      <c r="AY817" t="s">
        <v>74</v>
      </c>
      <c r="AZ817" t="s">
        <v>74</v>
      </c>
      <c r="BA817" t="s">
        <v>74</v>
      </c>
      <c r="BB817">
        <v>303</v>
      </c>
      <c r="BC817">
        <v>314</v>
      </c>
      <c r="BD817" t="s">
        <v>74</v>
      </c>
      <c r="BE817" t="s">
        <v>15424</v>
      </c>
      <c r="BF817" t="str">
        <f>HYPERLINK("http://dx.doi.org/10.1108/RAMJ-07-2024-0189","http://dx.doi.org/10.1108/RAMJ-07-2024-0189")</f>
        <v>http://dx.doi.org/10.1108/RAMJ-07-2024-0189</v>
      </c>
      <c r="BG817" t="s">
        <v>74</v>
      </c>
      <c r="BH817" t="s">
        <v>2044</v>
      </c>
      <c r="BI817">
        <v>12</v>
      </c>
      <c r="BJ817" t="s">
        <v>583</v>
      </c>
      <c r="BK817" t="s">
        <v>313</v>
      </c>
      <c r="BL817" t="s">
        <v>100</v>
      </c>
      <c r="BM817" t="s">
        <v>15425</v>
      </c>
      <c r="BN817" t="s">
        <v>74</v>
      </c>
      <c r="BO817" t="s">
        <v>212</v>
      </c>
      <c r="BP817" t="s">
        <v>74</v>
      </c>
      <c r="BQ817" t="s">
        <v>74</v>
      </c>
      <c r="BR817" t="s">
        <v>102</v>
      </c>
      <c r="BS817" t="s">
        <v>15426</v>
      </c>
      <c r="BT817" t="str">
        <f>HYPERLINK("https%3A%2F%2Fwww.webofscience.com%2Fwos%2Fwoscc%2Ffull-record%2FWOS:001618308800001","View Full Record in Web of Science")</f>
        <v>View Full Record in Web of Science</v>
      </c>
    </row>
    <row r="818" spans="1:72" x14ac:dyDescent="0.25">
      <c r="A818" t="s">
        <v>72</v>
      </c>
      <c r="B818" t="s">
        <v>15427</v>
      </c>
      <c r="C818" t="s">
        <v>74</v>
      </c>
      <c r="D818" t="s">
        <v>74</v>
      </c>
      <c r="E818" t="s">
        <v>74</v>
      </c>
      <c r="F818" t="s">
        <v>15428</v>
      </c>
      <c r="G818" t="s">
        <v>74</v>
      </c>
      <c r="H818" t="s">
        <v>74</v>
      </c>
      <c r="I818" t="s">
        <v>15429</v>
      </c>
      <c r="J818" t="s">
        <v>15430</v>
      </c>
      <c r="K818" t="s">
        <v>74</v>
      </c>
      <c r="L818" t="s">
        <v>74</v>
      </c>
      <c r="M818" t="s">
        <v>78</v>
      </c>
      <c r="N818" t="s">
        <v>79</v>
      </c>
      <c r="O818" t="s">
        <v>74</v>
      </c>
      <c r="P818" t="s">
        <v>74</v>
      </c>
      <c r="Q818" t="s">
        <v>74</v>
      </c>
      <c r="R818" t="s">
        <v>74</v>
      </c>
      <c r="S818" t="s">
        <v>74</v>
      </c>
      <c r="T818" t="s">
        <v>15431</v>
      </c>
      <c r="U818" t="s">
        <v>74</v>
      </c>
      <c r="V818" t="s">
        <v>15432</v>
      </c>
      <c r="W818" t="s">
        <v>15433</v>
      </c>
      <c r="X818" t="s">
        <v>74</v>
      </c>
      <c r="Y818" t="s">
        <v>15434</v>
      </c>
      <c r="Z818" t="s">
        <v>15435</v>
      </c>
      <c r="AA818" t="s">
        <v>74</v>
      </c>
      <c r="AB818" t="s">
        <v>74</v>
      </c>
      <c r="AC818" t="s">
        <v>74</v>
      </c>
      <c r="AD818" t="s">
        <v>74</v>
      </c>
      <c r="AE818" t="s">
        <v>74</v>
      </c>
      <c r="AF818" t="s">
        <v>74</v>
      </c>
      <c r="AG818">
        <v>82</v>
      </c>
      <c r="AH818">
        <v>31</v>
      </c>
      <c r="AI818">
        <v>42</v>
      </c>
      <c r="AJ818">
        <v>1</v>
      </c>
      <c r="AK818">
        <v>43</v>
      </c>
      <c r="AL818" t="s">
        <v>479</v>
      </c>
      <c r="AM818" t="s">
        <v>480</v>
      </c>
      <c r="AN818" t="s">
        <v>481</v>
      </c>
      <c r="AO818" t="s">
        <v>15436</v>
      </c>
      <c r="AP818" t="s">
        <v>15437</v>
      </c>
      <c r="AQ818" t="s">
        <v>74</v>
      </c>
      <c r="AR818" t="s">
        <v>15438</v>
      </c>
      <c r="AS818" t="s">
        <v>15439</v>
      </c>
      <c r="AT818" t="s">
        <v>1159</v>
      </c>
      <c r="AU818">
        <v>2018</v>
      </c>
      <c r="AV818">
        <v>38</v>
      </c>
      <c r="AW818">
        <v>3</v>
      </c>
      <c r="AX818" t="s">
        <v>74</v>
      </c>
      <c r="AY818" t="s">
        <v>74</v>
      </c>
      <c r="AZ818" t="s">
        <v>74</v>
      </c>
      <c r="BA818" t="s">
        <v>74</v>
      </c>
      <c r="BB818">
        <v>406</v>
      </c>
      <c r="BC818">
        <v>421</v>
      </c>
      <c r="BD818" t="s">
        <v>74</v>
      </c>
      <c r="BE818" t="s">
        <v>15440</v>
      </c>
      <c r="BF818" t="str">
        <f>HYPERLINK("http://dx.doi.org/10.1111/ecaf.12321","http://dx.doi.org/10.1111/ecaf.12321")</f>
        <v>http://dx.doi.org/10.1111/ecaf.12321</v>
      </c>
      <c r="BG818" t="s">
        <v>74</v>
      </c>
      <c r="BH818" t="s">
        <v>74</v>
      </c>
      <c r="BI818">
        <v>16</v>
      </c>
      <c r="BJ818" t="s">
        <v>291</v>
      </c>
      <c r="BK818" t="s">
        <v>313</v>
      </c>
      <c r="BL818" t="s">
        <v>100</v>
      </c>
      <c r="BM818" t="s">
        <v>15441</v>
      </c>
      <c r="BN818" t="s">
        <v>74</v>
      </c>
      <c r="BO818" t="s">
        <v>74</v>
      </c>
      <c r="BP818" t="s">
        <v>74</v>
      </c>
      <c r="BQ818" t="s">
        <v>74</v>
      </c>
      <c r="BR818" t="s">
        <v>102</v>
      </c>
      <c r="BS818" t="s">
        <v>15442</v>
      </c>
      <c r="BT818" t="str">
        <f>HYPERLINK("https%3A%2F%2Fwww.webofscience.com%2Fwos%2Fwoscc%2Ffull-record%2FWOS:000447640500009","View Full Record in Web of Science")</f>
        <v>View Full Record in Web of Science</v>
      </c>
    </row>
    <row r="819" spans="1:72" x14ac:dyDescent="0.25">
      <c r="A819" t="s">
        <v>72</v>
      </c>
      <c r="B819" t="s">
        <v>15443</v>
      </c>
      <c r="C819" t="s">
        <v>74</v>
      </c>
      <c r="D819" t="s">
        <v>74</v>
      </c>
      <c r="E819" t="s">
        <v>74</v>
      </c>
      <c r="F819" t="s">
        <v>15444</v>
      </c>
      <c r="G819" t="s">
        <v>74</v>
      </c>
      <c r="H819" t="s">
        <v>74</v>
      </c>
      <c r="I819" t="s">
        <v>15445</v>
      </c>
      <c r="J819" t="s">
        <v>11490</v>
      </c>
      <c r="K819" t="s">
        <v>74</v>
      </c>
      <c r="L819" t="s">
        <v>74</v>
      </c>
      <c r="M819" t="s">
        <v>78</v>
      </c>
      <c r="N819" t="s">
        <v>372</v>
      </c>
      <c r="O819" t="s">
        <v>74</v>
      </c>
      <c r="P819" t="s">
        <v>74</v>
      </c>
      <c r="Q819" t="s">
        <v>74</v>
      </c>
      <c r="R819" t="s">
        <v>74</v>
      </c>
      <c r="S819" t="s">
        <v>74</v>
      </c>
      <c r="T819" t="s">
        <v>15446</v>
      </c>
      <c r="U819" t="s">
        <v>15447</v>
      </c>
      <c r="V819" t="s">
        <v>15448</v>
      </c>
      <c r="W819" t="s">
        <v>15449</v>
      </c>
      <c r="X819" t="s">
        <v>15450</v>
      </c>
      <c r="Y819" t="s">
        <v>15451</v>
      </c>
      <c r="Z819" t="s">
        <v>15452</v>
      </c>
      <c r="AA819" t="s">
        <v>15453</v>
      </c>
      <c r="AB819" t="s">
        <v>15454</v>
      </c>
      <c r="AC819" t="s">
        <v>74</v>
      </c>
      <c r="AD819" t="s">
        <v>74</v>
      </c>
      <c r="AE819" t="s">
        <v>74</v>
      </c>
      <c r="AF819" t="s">
        <v>74</v>
      </c>
      <c r="AG819">
        <v>159</v>
      </c>
      <c r="AH819">
        <v>2</v>
      </c>
      <c r="AI819">
        <v>3</v>
      </c>
      <c r="AJ819">
        <v>2</v>
      </c>
      <c r="AK819">
        <v>12</v>
      </c>
      <c r="AL819" t="s">
        <v>332</v>
      </c>
      <c r="AM819" t="s">
        <v>333</v>
      </c>
      <c r="AN819" t="s">
        <v>334</v>
      </c>
      <c r="AO819" t="s">
        <v>11502</v>
      </c>
      <c r="AP819" t="s">
        <v>11503</v>
      </c>
      <c r="AQ819" t="s">
        <v>74</v>
      </c>
      <c r="AR819" t="s">
        <v>11504</v>
      </c>
      <c r="AS819" t="s">
        <v>11505</v>
      </c>
      <c r="AT819" t="s">
        <v>6254</v>
      </c>
      <c r="AU819">
        <v>2024</v>
      </c>
      <c r="AV819" t="s">
        <v>74</v>
      </c>
      <c r="AW819" t="s">
        <v>74</v>
      </c>
      <c r="AX819" t="s">
        <v>74</v>
      </c>
      <c r="AY819" t="s">
        <v>74</v>
      </c>
      <c r="AZ819" t="s">
        <v>74</v>
      </c>
      <c r="BA819" t="s">
        <v>74</v>
      </c>
      <c r="BB819" t="s">
        <v>74</v>
      </c>
      <c r="BC819" t="s">
        <v>74</v>
      </c>
      <c r="BD819" t="s">
        <v>74</v>
      </c>
      <c r="BE819" t="s">
        <v>15455</v>
      </c>
      <c r="BF819" t="str">
        <f>HYPERLINK("http://dx.doi.org/10.1080/1351847X.2024.2357569","http://dx.doi.org/10.1080/1351847X.2024.2357569")</f>
        <v>http://dx.doi.org/10.1080/1351847X.2024.2357569</v>
      </c>
      <c r="BG819" t="s">
        <v>74</v>
      </c>
      <c r="BH819" t="s">
        <v>6256</v>
      </c>
      <c r="BI819">
        <v>33</v>
      </c>
      <c r="BJ819" t="s">
        <v>268</v>
      </c>
      <c r="BK819" t="s">
        <v>99</v>
      </c>
      <c r="BL819" t="s">
        <v>100</v>
      </c>
      <c r="BM819" t="s">
        <v>15456</v>
      </c>
      <c r="BN819" t="s">
        <v>74</v>
      </c>
      <c r="BO819" t="s">
        <v>1696</v>
      </c>
      <c r="BP819" t="s">
        <v>74</v>
      </c>
      <c r="BQ819" t="s">
        <v>74</v>
      </c>
      <c r="BR819" t="s">
        <v>102</v>
      </c>
      <c r="BS819" t="s">
        <v>15457</v>
      </c>
      <c r="BT819" t="str">
        <f>HYPERLINK("https%3A%2F%2Fwww.webofscience.com%2Fwos%2Fwoscc%2Ffull-record%2FWOS:001247719200001","View Full Record in Web of Science")</f>
        <v>View Full Record in Web of Science</v>
      </c>
    </row>
    <row r="820" spans="1:72" x14ac:dyDescent="0.25">
      <c r="A820" t="s">
        <v>72</v>
      </c>
      <c r="B820" t="s">
        <v>15458</v>
      </c>
      <c r="C820" t="s">
        <v>74</v>
      </c>
      <c r="D820" t="s">
        <v>74</v>
      </c>
      <c r="E820" t="s">
        <v>74</v>
      </c>
      <c r="F820" t="s">
        <v>15459</v>
      </c>
      <c r="G820" t="s">
        <v>74</v>
      </c>
      <c r="H820" t="s">
        <v>74</v>
      </c>
      <c r="I820" t="s">
        <v>15460</v>
      </c>
      <c r="J820" t="s">
        <v>15461</v>
      </c>
      <c r="K820" t="s">
        <v>74</v>
      </c>
      <c r="L820" t="s">
        <v>74</v>
      </c>
      <c r="M820" t="s">
        <v>15462</v>
      </c>
      <c r="N820" t="s">
        <v>79</v>
      </c>
      <c r="O820" t="s">
        <v>74</v>
      </c>
      <c r="P820" t="s">
        <v>74</v>
      </c>
      <c r="Q820" t="s">
        <v>74</v>
      </c>
      <c r="R820" t="s">
        <v>74</v>
      </c>
      <c r="S820" t="s">
        <v>74</v>
      </c>
      <c r="T820" t="s">
        <v>15463</v>
      </c>
      <c r="U820" t="s">
        <v>74</v>
      </c>
      <c r="V820" t="s">
        <v>15464</v>
      </c>
      <c r="W820" t="s">
        <v>15465</v>
      </c>
      <c r="X820" t="s">
        <v>15466</v>
      </c>
      <c r="Y820" t="s">
        <v>15467</v>
      </c>
      <c r="Z820" t="s">
        <v>15468</v>
      </c>
      <c r="AA820" t="s">
        <v>15469</v>
      </c>
      <c r="AB820" t="s">
        <v>74</v>
      </c>
      <c r="AC820" t="s">
        <v>74</v>
      </c>
      <c r="AD820" t="s">
        <v>74</v>
      </c>
      <c r="AE820" t="s">
        <v>74</v>
      </c>
      <c r="AF820" t="s">
        <v>74</v>
      </c>
      <c r="AG820">
        <v>23</v>
      </c>
      <c r="AH820">
        <v>0</v>
      </c>
      <c r="AI820">
        <v>0</v>
      </c>
      <c r="AJ820">
        <v>1</v>
      </c>
      <c r="AK820">
        <v>28</v>
      </c>
      <c r="AL820" t="s">
        <v>15470</v>
      </c>
      <c r="AM820" t="s">
        <v>15471</v>
      </c>
      <c r="AN820" t="s">
        <v>15472</v>
      </c>
      <c r="AO820" t="s">
        <v>15473</v>
      </c>
      <c r="AP820" t="s">
        <v>15474</v>
      </c>
      <c r="AQ820" t="s">
        <v>74</v>
      </c>
      <c r="AR820" t="s">
        <v>15475</v>
      </c>
      <c r="AS820" t="s">
        <v>15476</v>
      </c>
      <c r="AT820" t="s">
        <v>74</v>
      </c>
      <c r="AU820">
        <v>2020</v>
      </c>
      <c r="AV820">
        <v>5</v>
      </c>
      <c r="AW820">
        <v>1</v>
      </c>
      <c r="AX820" t="s">
        <v>74</v>
      </c>
      <c r="AY820" t="s">
        <v>74</v>
      </c>
      <c r="AZ820" t="s">
        <v>74</v>
      </c>
      <c r="BA820" t="s">
        <v>74</v>
      </c>
      <c r="BB820">
        <v>80</v>
      </c>
      <c r="BC820">
        <v>103</v>
      </c>
      <c r="BD820" t="s">
        <v>74</v>
      </c>
      <c r="BE820" t="s">
        <v>15477</v>
      </c>
      <c r="BF820" t="str">
        <f>HYPERLINK("http://dx.doi.org/10.24200/jonus.vol5iss1pp80-103","http://dx.doi.org/10.24200/jonus.vol5iss1pp80-103")</f>
        <v>http://dx.doi.org/10.24200/jonus.vol5iss1pp80-103</v>
      </c>
      <c r="BG820" t="s">
        <v>74</v>
      </c>
      <c r="BH820" t="s">
        <v>74</v>
      </c>
      <c r="BI820">
        <v>24</v>
      </c>
      <c r="BJ820" t="s">
        <v>1674</v>
      </c>
      <c r="BK820" t="s">
        <v>313</v>
      </c>
      <c r="BL820" t="s">
        <v>1674</v>
      </c>
      <c r="BM820" t="s">
        <v>15478</v>
      </c>
      <c r="BN820" t="s">
        <v>74</v>
      </c>
      <c r="BO820" t="s">
        <v>212</v>
      </c>
      <c r="BP820" t="s">
        <v>74</v>
      </c>
      <c r="BQ820" t="s">
        <v>74</v>
      </c>
      <c r="BR820" t="s">
        <v>102</v>
      </c>
      <c r="BS820" t="s">
        <v>15479</v>
      </c>
      <c r="BT820" t="str">
        <f>HYPERLINK("https%3A%2F%2Fwww.webofscience.com%2Fwos%2Fwoscc%2Ffull-record%2FWOS:000510840000004","View Full Record in Web of Science")</f>
        <v>View Full Record in Web of Science</v>
      </c>
    </row>
    <row r="821" spans="1:72" x14ac:dyDescent="0.25">
      <c r="A821" t="s">
        <v>72</v>
      </c>
      <c r="B821" t="s">
        <v>11071</v>
      </c>
      <c r="C821" t="s">
        <v>74</v>
      </c>
      <c r="D821" t="s">
        <v>74</v>
      </c>
      <c r="E821" t="s">
        <v>74</v>
      </c>
      <c r="F821" t="s">
        <v>11072</v>
      </c>
      <c r="G821" t="s">
        <v>74</v>
      </c>
      <c r="H821" t="s">
        <v>74</v>
      </c>
      <c r="I821" t="s">
        <v>15480</v>
      </c>
      <c r="J821" t="s">
        <v>15481</v>
      </c>
      <c r="K821" t="s">
        <v>74</v>
      </c>
      <c r="L821" t="s">
        <v>74</v>
      </c>
      <c r="M821" t="s">
        <v>78</v>
      </c>
      <c r="N821" t="s">
        <v>372</v>
      </c>
      <c r="O821" t="s">
        <v>74</v>
      </c>
      <c r="P821" t="s">
        <v>74</v>
      </c>
      <c r="Q821" t="s">
        <v>74</v>
      </c>
      <c r="R821" t="s">
        <v>74</v>
      </c>
      <c r="S821" t="s">
        <v>74</v>
      </c>
      <c r="T821" t="s">
        <v>15482</v>
      </c>
      <c r="U821" t="s">
        <v>74</v>
      </c>
      <c r="V821" t="s">
        <v>15483</v>
      </c>
      <c r="W821" t="s">
        <v>11324</v>
      </c>
      <c r="X821" t="s">
        <v>11079</v>
      </c>
      <c r="Y821" t="s">
        <v>11325</v>
      </c>
      <c r="Z821" t="s">
        <v>12317</v>
      </c>
      <c r="AA821" t="s">
        <v>12018</v>
      </c>
      <c r="AB821" t="s">
        <v>12019</v>
      </c>
      <c r="AC821" t="s">
        <v>74</v>
      </c>
      <c r="AD821" t="s">
        <v>74</v>
      </c>
      <c r="AE821" t="s">
        <v>74</v>
      </c>
      <c r="AF821" t="s">
        <v>74</v>
      </c>
      <c r="AG821">
        <v>33</v>
      </c>
      <c r="AH821">
        <v>0</v>
      </c>
      <c r="AI821">
        <v>0</v>
      </c>
      <c r="AJ821">
        <v>1</v>
      </c>
      <c r="AK821">
        <v>1</v>
      </c>
      <c r="AL821" t="s">
        <v>89</v>
      </c>
      <c r="AM821" t="s">
        <v>90</v>
      </c>
      <c r="AN821" t="s">
        <v>91</v>
      </c>
      <c r="AO821" t="s">
        <v>15484</v>
      </c>
      <c r="AP821" t="s">
        <v>15485</v>
      </c>
      <c r="AQ821" t="s">
        <v>74</v>
      </c>
      <c r="AR821" t="s">
        <v>15486</v>
      </c>
      <c r="AS821" t="s">
        <v>15487</v>
      </c>
      <c r="AT821" t="s">
        <v>15488</v>
      </c>
      <c r="AU821">
        <v>2025</v>
      </c>
      <c r="AV821" t="s">
        <v>74</v>
      </c>
      <c r="AW821" t="s">
        <v>74</v>
      </c>
      <c r="AX821" t="s">
        <v>74</v>
      </c>
      <c r="AY821" t="s">
        <v>74</v>
      </c>
      <c r="AZ821" t="s">
        <v>74</v>
      </c>
      <c r="BA821" t="s">
        <v>74</v>
      </c>
      <c r="BB821" t="s">
        <v>74</v>
      </c>
      <c r="BC821" t="s">
        <v>74</v>
      </c>
      <c r="BD821" t="s">
        <v>74</v>
      </c>
      <c r="BE821" t="s">
        <v>15489</v>
      </c>
      <c r="BF821" t="str">
        <f>HYPERLINK("http://dx.doi.org/10.1108/MEQ-11-2024-0518","http://dx.doi.org/10.1108/MEQ-11-2024-0518")</f>
        <v>http://dx.doi.org/10.1108/MEQ-11-2024-0518</v>
      </c>
      <c r="BG821" t="s">
        <v>74</v>
      </c>
      <c r="BH821" t="s">
        <v>2359</v>
      </c>
      <c r="BI821">
        <v>20</v>
      </c>
      <c r="BJ821" t="s">
        <v>14327</v>
      </c>
      <c r="BK821" t="s">
        <v>313</v>
      </c>
      <c r="BL821" t="s">
        <v>129</v>
      </c>
      <c r="BM821" t="s">
        <v>15490</v>
      </c>
      <c r="BN821" t="s">
        <v>74</v>
      </c>
      <c r="BO821" t="s">
        <v>74</v>
      </c>
      <c r="BP821" t="s">
        <v>74</v>
      </c>
      <c r="BQ821" t="s">
        <v>74</v>
      </c>
      <c r="BR821" t="s">
        <v>102</v>
      </c>
      <c r="BS821" t="s">
        <v>15491</v>
      </c>
      <c r="BT821" t="str">
        <f>HYPERLINK("https%3A%2F%2Fwww.webofscience.com%2Fwos%2Fwoscc%2Ffull-record%2FWOS:001483451900001","View Full Record in Web of Science")</f>
        <v>View Full Record in Web of Science</v>
      </c>
    </row>
    <row r="822" spans="1:72" x14ac:dyDescent="0.25">
      <c r="A822" t="s">
        <v>72</v>
      </c>
      <c r="B822" t="s">
        <v>15492</v>
      </c>
      <c r="C822" t="s">
        <v>74</v>
      </c>
      <c r="D822" t="s">
        <v>74</v>
      </c>
      <c r="E822" t="s">
        <v>74</v>
      </c>
      <c r="F822" t="s">
        <v>15493</v>
      </c>
      <c r="G822" t="s">
        <v>74</v>
      </c>
      <c r="H822" t="s">
        <v>74</v>
      </c>
      <c r="I822" t="s">
        <v>15494</v>
      </c>
      <c r="J822" t="s">
        <v>1168</v>
      </c>
      <c r="K822" t="s">
        <v>74</v>
      </c>
      <c r="L822" t="s">
        <v>74</v>
      </c>
      <c r="M822" t="s">
        <v>78</v>
      </c>
      <c r="N822" t="s">
        <v>79</v>
      </c>
      <c r="O822" t="s">
        <v>74</v>
      </c>
      <c r="P822" t="s">
        <v>74</v>
      </c>
      <c r="Q822" t="s">
        <v>74</v>
      </c>
      <c r="R822" t="s">
        <v>74</v>
      </c>
      <c r="S822" t="s">
        <v>74</v>
      </c>
      <c r="T822" t="s">
        <v>15495</v>
      </c>
      <c r="U822" t="s">
        <v>15496</v>
      </c>
      <c r="V822" t="s">
        <v>15497</v>
      </c>
      <c r="W822" t="s">
        <v>15498</v>
      </c>
      <c r="X822" t="s">
        <v>12367</v>
      </c>
      <c r="Y822" t="s">
        <v>15499</v>
      </c>
      <c r="Z822" t="s">
        <v>12156</v>
      </c>
      <c r="AA822" t="s">
        <v>14950</v>
      </c>
      <c r="AB822" t="s">
        <v>12157</v>
      </c>
      <c r="AC822" t="s">
        <v>74</v>
      </c>
      <c r="AD822" t="s">
        <v>74</v>
      </c>
      <c r="AE822" t="s">
        <v>74</v>
      </c>
      <c r="AF822" t="s">
        <v>74</v>
      </c>
      <c r="AG822">
        <v>74</v>
      </c>
      <c r="AH822">
        <v>24</v>
      </c>
      <c r="AI822">
        <v>32</v>
      </c>
      <c r="AJ822">
        <v>1</v>
      </c>
      <c r="AK822">
        <v>24</v>
      </c>
      <c r="AL822" t="s">
        <v>332</v>
      </c>
      <c r="AM822" t="s">
        <v>333</v>
      </c>
      <c r="AN822" t="s">
        <v>334</v>
      </c>
      <c r="AO822" t="s">
        <v>1179</v>
      </c>
      <c r="AP822" t="s">
        <v>1180</v>
      </c>
      <c r="AQ822" t="s">
        <v>74</v>
      </c>
      <c r="AR822" t="s">
        <v>1181</v>
      </c>
      <c r="AS822" t="s">
        <v>1182</v>
      </c>
      <c r="AT822" t="s">
        <v>74</v>
      </c>
      <c r="AU822">
        <v>2016</v>
      </c>
      <c r="AV822">
        <v>17</v>
      </c>
      <c r="AW822">
        <v>1</v>
      </c>
      <c r="AX822" t="s">
        <v>74</v>
      </c>
      <c r="AY822" t="s">
        <v>74</v>
      </c>
      <c r="AZ822" t="s">
        <v>74</v>
      </c>
      <c r="BA822" t="s">
        <v>74</v>
      </c>
      <c r="BB822">
        <v>106</v>
      </c>
      <c r="BC822">
        <v>128</v>
      </c>
      <c r="BD822" t="s">
        <v>74</v>
      </c>
      <c r="BE822" t="s">
        <v>15500</v>
      </c>
      <c r="BF822" t="str">
        <f>HYPERLINK("http://dx.doi.org/10.1080/15228916.2016.1117382","http://dx.doi.org/10.1080/15228916.2016.1117382")</f>
        <v>http://dx.doi.org/10.1080/15228916.2016.1117382</v>
      </c>
      <c r="BG822" t="s">
        <v>74</v>
      </c>
      <c r="BH822" t="s">
        <v>74</v>
      </c>
      <c r="BI822">
        <v>23</v>
      </c>
      <c r="BJ822" t="s">
        <v>418</v>
      </c>
      <c r="BK822" t="s">
        <v>313</v>
      </c>
      <c r="BL822" t="s">
        <v>100</v>
      </c>
      <c r="BM822" t="s">
        <v>15501</v>
      </c>
      <c r="BN822" t="s">
        <v>74</v>
      </c>
      <c r="BO822" t="s">
        <v>74</v>
      </c>
      <c r="BP822" t="s">
        <v>74</v>
      </c>
      <c r="BQ822" t="s">
        <v>74</v>
      </c>
      <c r="BR822" t="s">
        <v>102</v>
      </c>
      <c r="BS822" t="s">
        <v>15502</v>
      </c>
      <c r="BT822" t="str">
        <f>HYPERLINK("https%3A%2F%2Fwww.webofscience.com%2Fwos%2Fwoscc%2Ffull-record%2FWOS:000384022500007","View Full Record in Web of Science")</f>
        <v>View Full Record in Web of Science</v>
      </c>
    </row>
    <row r="823" spans="1:72" x14ac:dyDescent="0.25">
      <c r="A823" t="s">
        <v>132</v>
      </c>
      <c r="B823" t="s">
        <v>15503</v>
      </c>
      <c r="C823" t="s">
        <v>74</v>
      </c>
      <c r="D823" t="s">
        <v>74</v>
      </c>
      <c r="E823" t="s">
        <v>771</v>
      </c>
      <c r="F823" t="s">
        <v>15504</v>
      </c>
      <c r="G823" t="s">
        <v>74</v>
      </c>
      <c r="H823" t="s">
        <v>74</v>
      </c>
      <c r="I823" t="s">
        <v>15505</v>
      </c>
      <c r="J823" t="s">
        <v>15506</v>
      </c>
      <c r="K823" t="s">
        <v>74</v>
      </c>
      <c r="L823" t="s">
        <v>74</v>
      </c>
      <c r="M823" t="s">
        <v>78</v>
      </c>
      <c r="N823" t="s">
        <v>138</v>
      </c>
      <c r="O823" t="s">
        <v>15507</v>
      </c>
      <c r="P823" t="s">
        <v>15508</v>
      </c>
      <c r="Q823" t="s">
        <v>15509</v>
      </c>
      <c r="R823" t="s">
        <v>74</v>
      </c>
      <c r="S823" t="s">
        <v>74</v>
      </c>
      <c r="T823" t="s">
        <v>15510</v>
      </c>
      <c r="U823" t="s">
        <v>74</v>
      </c>
      <c r="V823" t="s">
        <v>15511</v>
      </c>
      <c r="W823" t="s">
        <v>15512</v>
      </c>
      <c r="X823" t="s">
        <v>13264</v>
      </c>
      <c r="Y823" t="s">
        <v>15513</v>
      </c>
      <c r="Z823" t="s">
        <v>15514</v>
      </c>
      <c r="AA823" t="s">
        <v>15515</v>
      </c>
      <c r="AB823" t="s">
        <v>74</v>
      </c>
      <c r="AC823" t="s">
        <v>74</v>
      </c>
      <c r="AD823" t="s">
        <v>74</v>
      </c>
      <c r="AE823" t="s">
        <v>74</v>
      </c>
      <c r="AF823" t="s">
        <v>74</v>
      </c>
      <c r="AG823">
        <v>20</v>
      </c>
      <c r="AH823">
        <v>0</v>
      </c>
      <c r="AI823">
        <v>0</v>
      </c>
      <c r="AJ823">
        <v>0</v>
      </c>
      <c r="AK823">
        <v>4</v>
      </c>
      <c r="AL823" t="s">
        <v>771</v>
      </c>
      <c r="AM823" t="s">
        <v>151</v>
      </c>
      <c r="AN823" t="s">
        <v>785</v>
      </c>
      <c r="AO823" t="s">
        <v>74</v>
      </c>
      <c r="AP823" t="s">
        <v>74</v>
      </c>
      <c r="AQ823" t="s">
        <v>15516</v>
      </c>
      <c r="AR823" t="s">
        <v>74</v>
      </c>
      <c r="AS823" t="s">
        <v>74</v>
      </c>
      <c r="AT823" t="s">
        <v>74</v>
      </c>
      <c r="AU823">
        <v>2015</v>
      </c>
      <c r="AV823" t="s">
        <v>74</v>
      </c>
      <c r="AW823" t="s">
        <v>74</v>
      </c>
      <c r="AX823" t="s">
        <v>74</v>
      </c>
      <c r="AY823" t="s">
        <v>74</v>
      </c>
      <c r="AZ823" t="s">
        <v>74</v>
      </c>
      <c r="BA823" t="s">
        <v>74</v>
      </c>
      <c r="BB823" t="s">
        <v>74</v>
      </c>
      <c r="BC823" t="s">
        <v>74</v>
      </c>
      <c r="BD823" t="s">
        <v>74</v>
      </c>
      <c r="BE823" t="s">
        <v>74</v>
      </c>
      <c r="BF823" t="s">
        <v>74</v>
      </c>
      <c r="BG823" t="s">
        <v>74</v>
      </c>
      <c r="BH823" t="s">
        <v>74</v>
      </c>
      <c r="BI823">
        <v>8</v>
      </c>
      <c r="BJ823" t="s">
        <v>15517</v>
      </c>
      <c r="BK823" t="s">
        <v>156</v>
      </c>
      <c r="BL823" t="s">
        <v>2648</v>
      </c>
      <c r="BM823" t="s">
        <v>15518</v>
      </c>
      <c r="BN823" t="s">
        <v>74</v>
      </c>
      <c r="BO823" t="s">
        <v>74</v>
      </c>
      <c r="BP823" t="s">
        <v>74</v>
      </c>
      <c r="BQ823" t="s">
        <v>74</v>
      </c>
      <c r="BR823" t="s">
        <v>102</v>
      </c>
      <c r="BS823" t="s">
        <v>15519</v>
      </c>
      <c r="BT823" t="str">
        <f>HYPERLINK("https%3A%2F%2Fwww.webofscience.com%2Fwos%2Fwoscc%2Ffull-record%2FWOS:000380446500063","View Full Record in Web of Science")</f>
        <v>View Full Record in Web of Science</v>
      </c>
    </row>
    <row r="824" spans="1:72" x14ac:dyDescent="0.25">
      <c r="A824" t="s">
        <v>72</v>
      </c>
      <c r="B824" t="s">
        <v>15520</v>
      </c>
      <c r="C824" t="s">
        <v>74</v>
      </c>
      <c r="D824" t="s">
        <v>74</v>
      </c>
      <c r="E824" t="s">
        <v>74</v>
      </c>
      <c r="F824" t="s">
        <v>15521</v>
      </c>
      <c r="G824" t="s">
        <v>74</v>
      </c>
      <c r="H824" t="s">
        <v>74</v>
      </c>
      <c r="I824" t="s">
        <v>15522</v>
      </c>
      <c r="J824" t="s">
        <v>5812</v>
      </c>
      <c r="K824" t="s">
        <v>74</v>
      </c>
      <c r="L824" t="s">
        <v>74</v>
      </c>
      <c r="M824" t="s">
        <v>78</v>
      </c>
      <c r="N824" t="s">
        <v>79</v>
      </c>
      <c r="O824" t="s">
        <v>74</v>
      </c>
      <c r="P824" t="s">
        <v>74</v>
      </c>
      <c r="Q824" t="s">
        <v>74</v>
      </c>
      <c r="R824" t="s">
        <v>74</v>
      </c>
      <c r="S824" t="s">
        <v>74</v>
      </c>
      <c r="T824" t="s">
        <v>15523</v>
      </c>
      <c r="U824" t="s">
        <v>15524</v>
      </c>
      <c r="V824" t="s">
        <v>15525</v>
      </c>
      <c r="W824" t="s">
        <v>15526</v>
      </c>
      <c r="X824" t="s">
        <v>15527</v>
      </c>
      <c r="Y824" t="s">
        <v>15528</v>
      </c>
      <c r="Z824" t="s">
        <v>15529</v>
      </c>
      <c r="AA824" t="s">
        <v>15530</v>
      </c>
      <c r="AB824" t="s">
        <v>15531</v>
      </c>
      <c r="AC824" t="s">
        <v>15532</v>
      </c>
      <c r="AD824" t="s">
        <v>15533</v>
      </c>
      <c r="AE824" t="s">
        <v>15534</v>
      </c>
      <c r="AF824" t="s">
        <v>74</v>
      </c>
      <c r="AG824">
        <v>99</v>
      </c>
      <c r="AH824">
        <v>25</v>
      </c>
      <c r="AI824">
        <v>27</v>
      </c>
      <c r="AJ824">
        <v>9</v>
      </c>
      <c r="AK824">
        <v>261</v>
      </c>
      <c r="AL824" t="s">
        <v>332</v>
      </c>
      <c r="AM824" t="s">
        <v>333</v>
      </c>
      <c r="AN824" t="s">
        <v>334</v>
      </c>
      <c r="AO824" t="s">
        <v>5820</v>
      </c>
      <c r="AP824" t="s">
        <v>5821</v>
      </c>
      <c r="AQ824" t="s">
        <v>74</v>
      </c>
      <c r="AR824" t="s">
        <v>5822</v>
      </c>
      <c r="AS824" t="s">
        <v>5823</v>
      </c>
      <c r="AT824" t="s">
        <v>2970</v>
      </c>
      <c r="AU824">
        <v>2022</v>
      </c>
      <c r="AV824">
        <v>35</v>
      </c>
      <c r="AW824">
        <v>1</v>
      </c>
      <c r="AX824" t="s">
        <v>74</v>
      </c>
      <c r="AY824" t="s">
        <v>74</v>
      </c>
      <c r="AZ824" t="s">
        <v>74</v>
      </c>
      <c r="BA824" t="s">
        <v>74</v>
      </c>
      <c r="BB824">
        <v>3979</v>
      </c>
      <c r="BC824">
        <v>4007</v>
      </c>
      <c r="BD824" t="s">
        <v>74</v>
      </c>
      <c r="BE824" t="s">
        <v>15535</v>
      </c>
      <c r="BF824" t="str">
        <f>HYPERLINK("http://dx.doi.org/10.1080/1331677X.2021.2007414","http://dx.doi.org/10.1080/1331677X.2021.2007414")</f>
        <v>http://dx.doi.org/10.1080/1331677X.2021.2007414</v>
      </c>
      <c r="BG824" t="s">
        <v>74</v>
      </c>
      <c r="BH824" t="s">
        <v>6817</v>
      </c>
      <c r="BI824">
        <v>29</v>
      </c>
      <c r="BJ824" t="s">
        <v>291</v>
      </c>
      <c r="BK824" t="s">
        <v>99</v>
      </c>
      <c r="BL824" t="s">
        <v>100</v>
      </c>
      <c r="BM824" t="s">
        <v>15536</v>
      </c>
      <c r="BN824" t="s">
        <v>74</v>
      </c>
      <c r="BO824" t="s">
        <v>466</v>
      </c>
      <c r="BP824" t="s">
        <v>74</v>
      </c>
      <c r="BQ824" t="s">
        <v>74</v>
      </c>
      <c r="BR824" t="s">
        <v>102</v>
      </c>
      <c r="BS824" t="s">
        <v>15537</v>
      </c>
      <c r="BT824" t="str">
        <f>HYPERLINK("https%3A%2F%2Fwww.webofscience.com%2Fwos%2Fwoscc%2Ffull-record%2FWOS:000729036000001","View Full Record in Web of Science")</f>
        <v>View Full Record in Web of Science</v>
      </c>
    </row>
    <row r="825" spans="1:72" x14ac:dyDescent="0.25">
      <c r="A825" t="s">
        <v>72</v>
      </c>
      <c r="B825" t="s">
        <v>15538</v>
      </c>
      <c r="C825" t="s">
        <v>74</v>
      </c>
      <c r="D825" t="s">
        <v>74</v>
      </c>
      <c r="E825" t="s">
        <v>74</v>
      </c>
      <c r="F825" t="s">
        <v>15539</v>
      </c>
      <c r="G825" t="s">
        <v>74</v>
      </c>
      <c r="H825" t="s">
        <v>74</v>
      </c>
      <c r="I825" t="s">
        <v>15540</v>
      </c>
      <c r="J825" t="s">
        <v>4822</v>
      </c>
      <c r="K825" t="s">
        <v>74</v>
      </c>
      <c r="L825" t="s">
        <v>74</v>
      </c>
      <c r="M825" t="s">
        <v>78</v>
      </c>
      <c r="N825" t="s">
        <v>79</v>
      </c>
      <c r="O825" t="s">
        <v>74</v>
      </c>
      <c r="P825" t="s">
        <v>74</v>
      </c>
      <c r="Q825" t="s">
        <v>74</v>
      </c>
      <c r="R825" t="s">
        <v>74</v>
      </c>
      <c r="S825" t="s">
        <v>74</v>
      </c>
      <c r="T825" t="s">
        <v>15541</v>
      </c>
      <c r="U825" t="s">
        <v>15542</v>
      </c>
      <c r="V825" t="s">
        <v>15543</v>
      </c>
      <c r="W825" t="s">
        <v>15544</v>
      </c>
      <c r="X825" t="s">
        <v>15545</v>
      </c>
      <c r="Y825" t="s">
        <v>15546</v>
      </c>
      <c r="Z825" t="s">
        <v>15547</v>
      </c>
      <c r="AA825" t="s">
        <v>74</v>
      </c>
      <c r="AB825" t="s">
        <v>74</v>
      </c>
      <c r="AC825" t="s">
        <v>74</v>
      </c>
      <c r="AD825" t="s">
        <v>74</v>
      </c>
      <c r="AE825" t="s">
        <v>74</v>
      </c>
      <c r="AF825" t="s">
        <v>74</v>
      </c>
      <c r="AG825">
        <v>37</v>
      </c>
      <c r="AH825">
        <v>1</v>
      </c>
      <c r="AI825">
        <v>1</v>
      </c>
      <c r="AJ825">
        <v>14</v>
      </c>
      <c r="AK825">
        <v>14</v>
      </c>
      <c r="AL825" t="s">
        <v>201</v>
      </c>
      <c r="AM825" t="s">
        <v>202</v>
      </c>
      <c r="AN825" t="s">
        <v>203</v>
      </c>
      <c r="AO825" t="s">
        <v>4833</v>
      </c>
      <c r="AP825" t="s">
        <v>9515</v>
      </c>
      <c r="AQ825" t="s">
        <v>74</v>
      </c>
      <c r="AR825" t="s">
        <v>4834</v>
      </c>
      <c r="AS825" t="s">
        <v>4835</v>
      </c>
      <c r="AT825" t="s">
        <v>124</v>
      </c>
      <c r="AU825">
        <v>2025</v>
      </c>
      <c r="AV825">
        <v>88</v>
      </c>
      <c r="AW825" t="s">
        <v>74</v>
      </c>
      <c r="AX825" t="s">
        <v>74</v>
      </c>
      <c r="AY825" t="s">
        <v>74</v>
      </c>
      <c r="AZ825" t="s">
        <v>74</v>
      </c>
      <c r="BA825" t="s">
        <v>74</v>
      </c>
      <c r="BB825">
        <v>687</v>
      </c>
      <c r="BC825">
        <v>704</v>
      </c>
      <c r="BD825" t="s">
        <v>74</v>
      </c>
      <c r="BE825" t="s">
        <v>15548</v>
      </c>
      <c r="BF825" t="str">
        <f>HYPERLINK("http://dx.doi.org/10.1016/j.eap.2025.10.009","http://dx.doi.org/10.1016/j.eap.2025.10.009")</f>
        <v>http://dx.doi.org/10.1016/j.eap.2025.10.009</v>
      </c>
      <c r="BG825" t="s">
        <v>74</v>
      </c>
      <c r="BH825" t="s">
        <v>12078</v>
      </c>
      <c r="BI825">
        <v>18</v>
      </c>
      <c r="BJ825" t="s">
        <v>291</v>
      </c>
      <c r="BK825" t="s">
        <v>99</v>
      </c>
      <c r="BL825" t="s">
        <v>100</v>
      </c>
      <c r="BM825" t="s">
        <v>15549</v>
      </c>
      <c r="BN825" t="s">
        <v>74</v>
      </c>
      <c r="BO825" t="s">
        <v>74</v>
      </c>
      <c r="BP825" t="s">
        <v>74</v>
      </c>
      <c r="BQ825" t="s">
        <v>74</v>
      </c>
      <c r="BR825" t="s">
        <v>102</v>
      </c>
      <c r="BS825" t="s">
        <v>15550</v>
      </c>
      <c r="BT825" t="str">
        <f>HYPERLINK("https%3A%2F%2Fwww.webofscience.com%2Fwos%2Fwoscc%2Ffull-record%2FWOS:001592519800001","View Full Record in Web of Science")</f>
        <v>View Full Record in Web of Science</v>
      </c>
    </row>
    <row r="826" spans="1:72" x14ac:dyDescent="0.25">
      <c r="A826" t="s">
        <v>72</v>
      </c>
      <c r="B826" t="s">
        <v>14820</v>
      </c>
      <c r="C826" t="s">
        <v>74</v>
      </c>
      <c r="D826" t="s">
        <v>74</v>
      </c>
      <c r="E826" t="s">
        <v>74</v>
      </c>
      <c r="F826" t="s">
        <v>14821</v>
      </c>
      <c r="G826" t="s">
        <v>74</v>
      </c>
      <c r="H826" t="s">
        <v>74</v>
      </c>
      <c r="I826" t="s">
        <v>15551</v>
      </c>
      <c r="J826" t="s">
        <v>10342</v>
      </c>
      <c r="K826" t="s">
        <v>74</v>
      </c>
      <c r="L826" t="s">
        <v>74</v>
      </c>
      <c r="M826" t="s">
        <v>78</v>
      </c>
      <c r="N826" t="s">
        <v>79</v>
      </c>
      <c r="O826" t="s">
        <v>74</v>
      </c>
      <c r="P826" t="s">
        <v>74</v>
      </c>
      <c r="Q826" t="s">
        <v>74</v>
      </c>
      <c r="R826" t="s">
        <v>74</v>
      </c>
      <c r="S826" t="s">
        <v>74</v>
      </c>
      <c r="T826" t="s">
        <v>15552</v>
      </c>
      <c r="U826" t="s">
        <v>15553</v>
      </c>
      <c r="V826" t="s">
        <v>15554</v>
      </c>
      <c r="W826" t="s">
        <v>15555</v>
      </c>
      <c r="X826" t="s">
        <v>74</v>
      </c>
      <c r="Y826" t="s">
        <v>15556</v>
      </c>
      <c r="Z826" t="s">
        <v>14830</v>
      </c>
      <c r="AA826" t="s">
        <v>74</v>
      </c>
      <c r="AB826" t="s">
        <v>74</v>
      </c>
      <c r="AC826" t="s">
        <v>74</v>
      </c>
      <c r="AD826" t="s">
        <v>74</v>
      </c>
      <c r="AE826" t="s">
        <v>74</v>
      </c>
      <c r="AF826" t="s">
        <v>74</v>
      </c>
      <c r="AG826">
        <v>45</v>
      </c>
      <c r="AH826">
        <v>3</v>
      </c>
      <c r="AI826">
        <v>4</v>
      </c>
      <c r="AJ826">
        <v>0</v>
      </c>
      <c r="AK826">
        <v>7</v>
      </c>
      <c r="AL826" t="s">
        <v>5989</v>
      </c>
      <c r="AM826" t="s">
        <v>995</v>
      </c>
      <c r="AN826" t="s">
        <v>5990</v>
      </c>
      <c r="AO826" t="s">
        <v>10348</v>
      </c>
      <c r="AP826" t="s">
        <v>10349</v>
      </c>
      <c r="AQ826" t="s">
        <v>74</v>
      </c>
      <c r="AR826" t="s">
        <v>10350</v>
      </c>
      <c r="AS826" t="s">
        <v>10351</v>
      </c>
      <c r="AT826" t="s">
        <v>1652</v>
      </c>
      <c r="AU826">
        <v>2023</v>
      </c>
      <c r="AV826">
        <v>19</v>
      </c>
      <c r="AW826">
        <v>2</v>
      </c>
      <c r="AX826" t="s">
        <v>74</v>
      </c>
      <c r="AY826" t="s">
        <v>74</v>
      </c>
      <c r="AZ826" t="s">
        <v>74</v>
      </c>
      <c r="BA826" t="s">
        <v>74</v>
      </c>
      <c r="BB826">
        <v>57</v>
      </c>
      <c r="BC826">
        <v>75</v>
      </c>
      <c r="BD826" t="s">
        <v>74</v>
      </c>
      <c r="BE826" t="s">
        <v>15557</v>
      </c>
      <c r="BF826" t="str">
        <f>HYPERLINK("http://dx.doi.org/10.21314/JCR.2023.001","http://dx.doi.org/10.21314/JCR.2023.001")</f>
        <v>http://dx.doi.org/10.21314/JCR.2023.001</v>
      </c>
      <c r="BG826" t="s">
        <v>74</v>
      </c>
      <c r="BH826" t="s">
        <v>74</v>
      </c>
      <c r="BI826">
        <v>19</v>
      </c>
      <c r="BJ826" t="s">
        <v>268</v>
      </c>
      <c r="BK826" t="s">
        <v>99</v>
      </c>
      <c r="BL826" t="s">
        <v>100</v>
      </c>
      <c r="BM826" t="s">
        <v>15558</v>
      </c>
      <c r="BN826" t="s">
        <v>74</v>
      </c>
      <c r="BO826" t="s">
        <v>74</v>
      </c>
      <c r="BP826" t="s">
        <v>74</v>
      </c>
      <c r="BQ826" t="s">
        <v>74</v>
      </c>
      <c r="BR826" t="s">
        <v>102</v>
      </c>
      <c r="BS826" t="s">
        <v>15559</v>
      </c>
      <c r="BT826" t="str">
        <f>HYPERLINK("https%3A%2F%2Fwww.webofscience.com%2Fwos%2Fwoscc%2Ffull-record%2FWOS:001013135200003","View Full Record in Web of Science")</f>
        <v>View Full Record in Web of Science</v>
      </c>
    </row>
    <row r="827" spans="1:72" x14ac:dyDescent="0.25">
      <c r="A827" t="s">
        <v>72</v>
      </c>
      <c r="B827" t="s">
        <v>15560</v>
      </c>
      <c r="C827" t="s">
        <v>74</v>
      </c>
      <c r="D827" t="s">
        <v>74</v>
      </c>
      <c r="E827" t="s">
        <v>74</v>
      </c>
      <c r="F827" t="s">
        <v>15561</v>
      </c>
      <c r="G827" t="s">
        <v>74</v>
      </c>
      <c r="H827" t="s">
        <v>74</v>
      </c>
      <c r="I827" t="s">
        <v>15562</v>
      </c>
      <c r="J827" t="s">
        <v>4657</v>
      </c>
      <c r="K827" t="s">
        <v>74</v>
      </c>
      <c r="L827" t="s">
        <v>74</v>
      </c>
      <c r="M827" t="s">
        <v>78</v>
      </c>
      <c r="N827" t="s">
        <v>79</v>
      </c>
      <c r="O827" t="s">
        <v>74</v>
      </c>
      <c r="P827" t="s">
        <v>74</v>
      </c>
      <c r="Q827" t="s">
        <v>74</v>
      </c>
      <c r="R827" t="s">
        <v>74</v>
      </c>
      <c r="S827" t="s">
        <v>74</v>
      </c>
      <c r="T827" t="s">
        <v>15563</v>
      </c>
      <c r="U827" t="s">
        <v>1946</v>
      </c>
      <c r="V827" t="s">
        <v>15564</v>
      </c>
      <c r="W827" t="s">
        <v>15565</v>
      </c>
      <c r="X827" t="s">
        <v>15566</v>
      </c>
      <c r="Y827" t="s">
        <v>15567</v>
      </c>
      <c r="Z827" t="s">
        <v>15568</v>
      </c>
      <c r="AA827" t="s">
        <v>15569</v>
      </c>
      <c r="AB827" t="s">
        <v>74</v>
      </c>
      <c r="AC827" t="s">
        <v>15570</v>
      </c>
      <c r="AD827" t="s">
        <v>15570</v>
      </c>
      <c r="AE827" t="s">
        <v>15571</v>
      </c>
      <c r="AF827" t="s">
        <v>74</v>
      </c>
      <c r="AG827">
        <v>60</v>
      </c>
      <c r="AH827">
        <v>0</v>
      </c>
      <c r="AI827">
        <v>0</v>
      </c>
      <c r="AJ827">
        <v>0</v>
      </c>
      <c r="AK827">
        <v>0</v>
      </c>
      <c r="AL827" t="s">
        <v>4666</v>
      </c>
      <c r="AM827" t="s">
        <v>995</v>
      </c>
      <c r="AN827" t="s">
        <v>4025</v>
      </c>
      <c r="AO827" t="s">
        <v>74</v>
      </c>
      <c r="AP827" t="s">
        <v>4667</v>
      </c>
      <c r="AQ827" t="s">
        <v>74</v>
      </c>
      <c r="AR827" t="s">
        <v>4668</v>
      </c>
      <c r="AS827" t="s">
        <v>4669</v>
      </c>
      <c r="AT827" t="s">
        <v>1221</v>
      </c>
      <c r="AU827">
        <v>2025</v>
      </c>
      <c r="AV827">
        <v>6</v>
      </c>
      <c r="AW827">
        <v>1</v>
      </c>
      <c r="AX827" t="s">
        <v>74</v>
      </c>
      <c r="AY827" t="s">
        <v>74</v>
      </c>
      <c r="AZ827" t="s">
        <v>74</v>
      </c>
      <c r="BA827" t="s">
        <v>74</v>
      </c>
      <c r="BB827" t="s">
        <v>74</v>
      </c>
      <c r="BC827" t="s">
        <v>74</v>
      </c>
      <c r="BD827">
        <v>1318</v>
      </c>
      <c r="BE827" t="s">
        <v>15572</v>
      </c>
      <c r="BF827" t="str">
        <f>HYPERLINK("http://dx.doi.org/10.1007/s43621-025-01993-1","http://dx.doi.org/10.1007/s43621-025-01993-1")</f>
        <v>http://dx.doi.org/10.1007/s43621-025-01993-1</v>
      </c>
      <c r="BG827" t="s">
        <v>74</v>
      </c>
      <c r="BH827" t="s">
        <v>74</v>
      </c>
      <c r="BI827">
        <v>30</v>
      </c>
      <c r="BJ827" t="s">
        <v>3247</v>
      </c>
      <c r="BK827" t="s">
        <v>313</v>
      </c>
      <c r="BL827" t="s">
        <v>3248</v>
      </c>
      <c r="BM827" t="s">
        <v>15573</v>
      </c>
      <c r="BN827" t="s">
        <v>74</v>
      </c>
      <c r="BO827" t="s">
        <v>212</v>
      </c>
      <c r="BP827" t="s">
        <v>74</v>
      </c>
      <c r="BQ827" t="s">
        <v>74</v>
      </c>
      <c r="BR827" t="s">
        <v>102</v>
      </c>
      <c r="BS827" t="s">
        <v>15574</v>
      </c>
      <c r="BT827" t="str">
        <f>HYPERLINK("https%3A%2F%2Fwww.webofscience.com%2Fwos%2Fwoscc%2Ffull-record%2FWOS:001626502300013","View Full Record in Web of Science")</f>
        <v>View Full Record in Web of Science</v>
      </c>
    </row>
    <row r="828" spans="1:72" x14ac:dyDescent="0.25">
      <c r="A828" t="s">
        <v>72</v>
      </c>
      <c r="B828" t="s">
        <v>15575</v>
      </c>
      <c r="C828" t="s">
        <v>74</v>
      </c>
      <c r="D828" t="s">
        <v>74</v>
      </c>
      <c r="E828" t="s">
        <v>74</v>
      </c>
      <c r="F828" t="s">
        <v>15576</v>
      </c>
      <c r="G828" t="s">
        <v>74</v>
      </c>
      <c r="H828" t="s">
        <v>74</v>
      </c>
      <c r="I828" t="s">
        <v>15577</v>
      </c>
      <c r="J828" t="s">
        <v>4842</v>
      </c>
      <c r="K828" t="s">
        <v>74</v>
      </c>
      <c r="L828" t="s">
        <v>74</v>
      </c>
      <c r="M828" t="s">
        <v>78</v>
      </c>
      <c r="N828" t="s">
        <v>79</v>
      </c>
      <c r="O828" t="s">
        <v>74</v>
      </c>
      <c r="P828" t="s">
        <v>74</v>
      </c>
      <c r="Q828" t="s">
        <v>74</v>
      </c>
      <c r="R828" t="s">
        <v>74</v>
      </c>
      <c r="S828" t="s">
        <v>74</v>
      </c>
      <c r="T828" t="s">
        <v>15578</v>
      </c>
      <c r="U828" t="s">
        <v>74</v>
      </c>
      <c r="V828" t="s">
        <v>15579</v>
      </c>
      <c r="W828" t="s">
        <v>15580</v>
      </c>
      <c r="X828" t="s">
        <v>15581</v>
      </c>
      <c r="Y828" t="s">
        <v>15582</v>
      </c>
      <c r="Z828" t="s">
        <v>15583</v>
      </c>
      <c r="AA828" t="s">
        <v>15584</v>
      </c>
      <c r="AB828" t="s">
        <v>15585</v>
      </c>
      <c r="AC828" t="s">
        <v>74</v>
      </c>
      <c r="AD828" t="s">
        <v>74</v>
      </c>
      <c r="AE828" t="s">
        <v>74</v>
      </c>
      <c r="AF828" t="s">
        <v>74</v>
      </c>
      <c r="AG828">
        <v>39</v>
      </c>
      <c r="AH828">
        <v>12</v>
      </c>
      <c r="AI828">
        <v>17</v>
      </c>
      <c r="AJ828">
        <v>12</v>
      </c>
      <c r="AK828">
        <v>59</v>
      </c>
      <c r="AL828" t="s">
        <v>2481</v>
      </c>
      <c r="AM828" t="s">
        <v>2482</v>
      </c>
      <c r="AN828" t="s">
        <v>2483</v>
      </c>
      <c r="AO828" t="s">
        <v>4853</v>
      </c>
      <c r="AP828" t="s">
        <v>74</v>
      </c>
      <c r="AQ828" t="s">
        <v>74</v>
      </c>
      <c r="AR828" t="s">
        <v>4854</v>
      </c>
      <c r="AS828" t="s">
        <v>4855</v>
      </c>
      <c r="AT828" t="s">
        <v>2970</v>
      </c>
      <c r="AU828">
        <v>2024</v>
      </c>
      <c r="AV828">
        <v>11</v>
      </c>
      <c r="AW828">
        <v>1</v>
      </c>
      <c r="AX828" t="s">
        <v>74</v>
      </c>
      <c r="AY828" t="s">
        <v>74</v>
      </c>
      <c r="AZ828" t="s">
        <v>74</v>
      </c>
      <c r="BA828" t="s">
        <v>74</v>
      </c>
      <c r="BB828" t="s">
        <v>74</v>
      </c>
      <c r="BC828" t="s">
        <v>74</v>
      </c>
      <c r="BD828">
        <v>2322778</v>
      </c>
      <c r="BE828" t="s">
        <v>15586</v>
      </c>
      <c r="BF828" t="str">
        <f>HYPERLINK("http://dx.doi.org/10.1080/23311975.2024.2322778","http://dx.doi.org/10.1080/23311975.2024.2322778")</f>
        <v>http://dx.doi.org/10.1080/23311975.2024.2322778</v>
      </c>
      <c r="BG828" t="s">
        <v>74</v>
      </c>
      <c r="BH828" t="s">
        <v>74</v>
      </c>
      <c r="BI828">
        <v>9</v>
      </c>
      <c r="BJ828" t="s">
        <v>418</v>
      </c>
      <c r="BK828" t="s">
        <v>313</v>
      </c>
      <c r="BL828" t="s">
        <v>100</v>
      </c>
      <c r="BM828" t="s">
        <v>15587</v>
      </c>
      <c r="BN828" t="s">
        <v>74</v>
      </c>
      <c r="BO828" t="s">
        <v>916</v>
      </c>
      <c r="BP828" t="s">
        <v>74</v>
      </c>
      <c r="BQ828" t="s">
        <v>74</v>
      </c>
      <c r="BR828" t="s">
        <v>102</v>
      </c>
      <c r="BS828" t="s">
        <v>15588</v>
      </c>
      <c r="BT828" t="str">
        <f>HYPERLINK("https%3A%2F%2Fwww.webofscience.com%2Fwos%2Fwoscc%2Ffull-record%2FWOS:001184273000001","View Full Record in Web of Science")</f>
        <v>View Full Record in Web of Science</v>
      </c>
    </row>
    <row r="829" spans="1:72" x14ac:dyDescent="0.25">
      <c r="A829" t="s">
        <v>72</v>
      </c>
      <c r="B829" t="s">
        <v>15589</v>
      </c>
      <c r="C829" t="s">
        <v>74</v>
      </c>
      <c r="D829" t="s">
        <v>74</v>
      </c>
      <c r="E829" t="s">
        <v>74</v>
      </c>
      <c r="F829" t="s">
        <v>15590</v>
      </c>
      <c r="G829" t="s">
        <v>74</v>
      </c>
      <c r="H829" t="s">
        <v>74</v>
      </c>
      <c r="I829" t="s">
        <v>15591</v>
      </c>
      <c r="J829" t="s">
        <v>836</v>
      </c>
      <c r="K829" t="s">
        <v>74</v>
      </c>
      <c r="L829" t="s">
        <v>74</v>
      </c>
      <c r="M829" t="s">
        <v>78</v>
      </c>
      <c r="N829" t="s">
        <v>79</v>
      </c>
      <c r="O829" t="s">
        <v>74</v>
      </c>
      <c r="P829" t="s">
        <v>74</v>
      </c>
      <c r="Q829" t="s">
        <v>74</v>
      </c>
      <c r="R829" t="s">
        <v>74</v>
      </c>
      <c r="S829" t="s">
        <v>74</v>
      </c>
      <c r="T829" t="s">
        <v>15592</v>
      </c>
      <c r="U829" t="s">
        <v>15593</v>
      </c>
      <c r="V829" t="s">
        <v>15594</v>
      </c>
      <c r="W829" t="s">
        <v>15595</v>
      </c>
      <c r="X829" t="s">
        <v>15596</v>
      </c>
      <c r="Y829" t="s">
        <v>15597</v>
      </c>
      <c r="Z829" t="s">
        <v>15598</v>
      </c>
      <c r="AA829" t="s">
        <v>74</v>
      </c>
      <c r="AB829" t="s">
        <v>15599</v>
      </c>
      <c r="AC829" t="s">
        <v>15600</v>
      </c>
      <c r="AD829" t="s">
        <v>15601</v>
      </c>
      <c r="AE829" t="s">
        <v>15602</v>
      </c>
      <c r="AF829" t="s">
        <v>74</v>
      </c>
      <c r="AG829">
        <v>38</v>
      </c>
      <c r="AH829">
        <v>13</v>
      </c>
      <c r="AI829">
        <v>14</v>
      </c>
      <c r="AJ829">
        <v>13</v>
      </c>
      <c r="AK829">
        <v>31</v>
      </c>
      <c r="AL829" t="s">
        <v>503</v>
      </c>
      <c r="AM829" t="s">
        <v>151</v>
      </c>
      <c r="AN829" t="s">
        <v>504</v>
      </c>
      <c r="AO829" t="s">
        <v>844</v>
      </c>
      <c r="AP829" t="s">
        <v>845</v>
      </c>
      <c r="AQ829" t="s">
        <v>74</v>
      </c>
      <c r="AR829" t="s">
        <v>846</v>
      </c>
      <c r="AS829" t="s">
        <v>847</v>
      </c>
      <c r="AT829" t="s">
        <v>743</v>
      </c>
      <c r="AU829">
        <v>2025</v>
      </c>
      <c r="AV829">
        <v>100</v>
      </c>
      <c r="AW829" t="s">
        <v>74</v>
      </c>
      <c r="AX829" t="s">
        <v>74</v>
      </c>
      <c r="AY829" t="s">
        <v>74</v>
      </c>
      <c r="AZ829" t="s">
        <v>74</v>
      </c>
      <c r="BA829" t="s">
        <v>74</v>
      </c>
      <c r="BB829" t="s">
        <v>74</v>
      </c>
      <c r="BC829" t="s">
        <v>74</v>
      </c>
      <c r="BD829">
        <v>103996</v>
      </c>
      <c r="BE829" t="s">
        <v>15603</v>
      </c>
      <c r="BF829" t="str">
        <f>HYPERLINK("http://dx.doi.org/10.1016/j.irfa.2025.103996","http://dx.doi.org/10.1016/j.irfa.2025.103996")</f>
        <v>http://dx.doi.org/10.1016/j.irfa.2025.103996</v>
      </c>
      <c r="BG829" t="s">
        <v>74</v>
      </c>
      <c r="BH829" t="s">
        <v>417</v>
      </c>
      <c r="BI829">
        <v>11</v>
      </c>
      <c r="BJ829" t="s">
        <v>268</v>
      </c>
      <c r="BK829" t="s">
        <v>99</v>
      </c>
      <c r="BL829" t="s">
        <v>100</v>
      </c>
      <c r="BM829" t="s">
        <v>15604</v>
      </c>
      <c r="BN829" t="s">
        <v>74</v>
      </c>
      <c r="BO829" t="s">
        <v>270</v>
      </c>
      <c r="BP829" t="s">
        <v>74</v>
      </c>
      <c r="BQ829" t="s">
        <v>74</v>
      </c>
      <c r="BR829" t="s">
        <v>102</v>
      </c>
      <c r="BS829" t="s">
        <v>15605</v>
      </c>
      <c r="BT829" t="str">
        <f>HYPERLINK("https%3A%2F%2Fwww.webofscience.com%2Fwos%2Fwoscc%2Ffull-record%2FWOS:001429221600001","View Full Record in Web of Science")</f>
        <v>View Full Record in Web of Science</v>
      </c>
    </row>
    <row r="830" spans="1:72" x14ac:dyDescent="0.25">
      <c r="A830" t="s">
        <v>72</v>
      </c>
      <c r="B830" t="s">
        <v>15606</v>
      </c>
      <c r="C830" t="s">
        <v>74</v>
      </c>
      <c r="D830" t="s">
        <v>74</v>
      </c>
      <c r="E830" t="s">
        <v>74</v>
      </c>
      <c r="F830" t="s">
        <v>15607</v>
      </c>
      <c r="G830" t="s">
        <v>74</v>
      </c>
      <c r="H830" t="s">
        <v>74</v>
      </c>
      <c r="I830" t="s">
        <v>15608</v>
      </c>
      <c r="J830" t="s">
        <v>15609</v>
      </c>
      <c r="K830" t="s">
        <v>74</v>
      </c>
      <c r="L830" t="s">
        <v>74</v>
      </c>
      <c r="M830" t="s">
        <v>78</v>
      </c>
      <c r="N830" t="s">
        <v>79</v>
      </c>
      <c r="O830" t="s">
        <v>74</v>
      </c>
      <c r="P830" t="s">
        <v>74</v>
      </c>
      <c r="Q830" t="s">
        <v>74</v>
      </c>
      <c r="R830" t="s">
        <v>74</v>
      </c>
      <c r="S830" t="s">
        <v>74</v>
      </c>
      <c r="T830" t="s">
        <v>15610</v>
      </c>
      <c r="U830" t="s">
        <v>8579</v>
      </c>
      <c r="V830" t="s">
        <v>15611</v>
      </c>
      <c r="W830" t="s">
        <v>15612</v>
      </c>
      <c r="X830" t="s">
        <v>15613</v>
      </c>
      <c r="Y830" t="s">
        <v>15614</v>
      </c>
      <c r="Z830" t="s">
        <v>15615</v>
      </c>
      <c r="AA830" t="s">
        <v>15616</v>
      </c>
      <c r="AB830" t="s">
        <v>74</v>
      </c>
      <c r="AC830" t="s">
        <v>74</v>
      </c>
      <c r="AD830" t="s">
        <v>74</v>
      </c>
      <c r="AE830" t="s">
        <v>74</v>
      </c>
      <c r="AF830" t="s">
        <v>74</v>
      </c>
      <c r="AG830">
        <v>40</v>
      </c>
      <c r="AH830">
        <v>0</v>
      </c>
      <c r="AI830">
        <v>0</v>
      </c>
      <c r="AJ830">
        <v>4</v>
      </c>
      <c r="AK830">
        <v>4</v>
      </c>
      <c r="AL830" t="s">
        <v>15617</v>
      </c>
      <c r="AM830" t="s">
        <v>15618</v>
      </c>
      <c r="AN830" t="s">
        <v>15619</v>
      </c>
      <c r="AO830" t="s">
        <v>15620</v>
      </c>
      <c r="AP830" t="s">
        <v>74</v>
      </c>
      <c r="AQ830" t="s">
        <v>74</v>
      </c>
      <c r="AR830" t="s">
        <v>15621</v>
      </c>
      <c r="AS830" t="s">
        <v>15622</v>
      </c>
      <c r="AT830" t="s">
        <v>698</v>
      </c>
      <c r="AU830">
        <v>2025</v>
      </c>
      <c r="AV830">
        <v>20</v>
      </c>
      <c r="AW830">
        <v>3</v>
      </c>
      <c r="AX830" t="s">
        <v>74</v>
      </c>
      <c r="AY830" t="s">
        <v>74</v>
      </c>
      <c r="AZ830" t="s">
        <v>74</v>
      </c>
      <c r="BA830" t="s">
        <v>74</v>
      </c>
      <c r="BB830">
        <v>106</v>
      </c>
      <c r="BC830">
        <v>119</v>
      </c>
      <c r="BD830" t="s">
        <v>74</v>
      </c>
      <c r="BE830" t="s">
        <v>15623</v>
      </c>
      <c r="BF830" t="str">
        <f>HYPERLINK("http://dx.doi.org/10.69523/tjbs.2025.287119","http://dx.doi.org/10.69523/tjbs.2025.287119")</f>
        <v>http://dx.doi.org/10.69523/tjbs.2025.287119</v>
      </c>
      <c r="BG830" t="s">
        <v>74</v>
      </c>
      <c r="BH830" t="s">
        <v>74</v>
      </c>
      <c r="BI830">
        <v>14</v>
      </c>
      <c r="BJ830" t="s">
        <v>364</v>
      </c>
      <c r="BK830" t="s">
        <v>313</v>
      </c>
      <c r="BL830" t="s">
        <v>365</v>
      </c>
      <c r="BM830" t="s">
        <v>15624</v>
      </c>
      <c r="BN830" t="s">
        <v>74</v>
      </c>
      <c r="BO830" t="s">
        <v>270</v>
      </c>
      <c r="BP830" t="s">
        <v>74</v>
      </c>
      <c r="BQ830" t="s">
        <v>74</v>
      </c>
      <c r="BR830" t="s">
        <v>102</v>
      </c>
      <c r="BS830" t="s">
        <v>15625</v>
      </c>
      <c r="BT830" t="str">
        <f>HYPERLINK("https%3A%2F%2Fwww.webofscience.com%2Fwos%2Fwoscc%2Ffull-record%2FWOS:001620417600002","View Full Record in Web of Science")</f>
        <v>View Full Record in Web of Science</v>
      </c>
    </row>
    <row r="831" spans="1:72" x14ac:dyDescent="0.25">
      <c r="A831" t="s">
        <v>72</v>
      </c>
      <c r="B831" t="s">
        <v>15626</v>
      </c>
      <c r="C831" t="s">
        <v>74</v>
      </c>
      <c r="D831" t="s">
        <v>74</v>
      </c>
      <c r="E831" t="s">
        <v>74</v>
      </c>
      <c r="F831" t="s">
        <v>15627</v>
      </c>
      <c r="G831" t="s">
        <v>74</v>
      </c>
      <c r="H831" t="s">
        <v>74</v>
      </c>
      <c r="I831" t="s">
        <v>15628</v>
      </c>
      <c r="J831" t="s">
        <v>2763</v>
      </c>
      <c r="K831" t="s">
        <v>74</v>
      </c>
      <c r="L831" t="s">
        <v>74</v>
      </c>
      <c r="M831" t="s">
        <v>78</v>
      </c>
      <c r="N831" t="s">
        <v>79</v>
      </c>
      <c r="O831" t="s">
        <v>74</v>
      </c>
      <c r="P831" t="s">
        <v>74</v>
      </c>
      <c r="Q831" t="s">
        <v>74</v>
      </c>
      <c r="R831" t="s">
        <v>74</v>
      </c>
      <c r="S831" t="s">
        <v>74</v>
      </c>
      <c r="T831" t="s">
        <v>15629</v>
      </c>
      <c r="U831" t="s">
        <v>15630</v>
      </c>
      <c r="V831" t="s">
        <v>15631</v>
      </c>
      <c r="W831" t="s">
        <v>15632</v>
      </c>
      <c r="X831" t="s">
        <v>15633</v>
      </c>
      <c r="Y831" t="s">
        <v>15634</v>
      </c>
      <c r="Z831" t="s">
        <v>15635</v>
      </c>
      <c r="AA831" t="s">
        <v>15636</v>
      </c>
      <c r="AB831" t="s">
        <v>15637</v>
      </c>
      <c r="AC831" t="s">
        <v>74</v>
      </c>
      <c r="AD831" t="s">
        <v>74</v>
      </c>
      <c r="AE831" t="s">
        <v>15638</v>
      </c>
      <c r="AF831" t="s">
        <v>74</v>
      </c>
      <c r="AG831">
        <v>77</v>
      </c>
      <c r="AH831">
        <v>1</v>
      </c>
      <c r="AI831">
        <v>2</v>
      </c>
      <c r="AJ831">
        <v>2</v>
      </c>
      <c r="AK831">
        <v>6</v>
      </c>
      <c r="AL831" t="s">
        <v>479</v>
      </c>
      <c r="AM831" t="s">
        <v>480</v>
      </c>
      <c r="AN831" t="s">
        <v>481</v>
      </c>
      <c r="AO831" t="s">
        <v>2776</v>
      </c>
      <c r="AP831" t="s">
        <v>2777</v>
      </c>
      <c r="AQ831" t="s">
        <v>74</v>
      </c>
      <c r="AR831" t="s">
        <v>2778</v>
      </c>
      <c r="AS831" t="s">
        <v>2779</v>
      </c>
      <c r="AT831" t="s">
        <v>1540</v>
      </c>
      <c r="AU831">
        <v>2025</v>
      </c>
      <c r="AV831">
        <v>29</v>
      </c>
      <c r="AW831">
        <v>2</v>
      </c>
      <c r="AX831" t="s">
        <v>74</v>
      </c>
      <c r="AY831" t="s">
        <v>74</v>
      </c>
      <c r="AZ831" t="s">
        <v>74</v>
      </c>
      <c r="BA831" t="s">
        <v>74</v>
      </c>
      <c r="BB831">
        <v>1080</v>
      </c>
      <c r="BC831">
        <v>1110</v>
      </c>
      <c r="BD831" t="s">
        <v>74</v>
      </c>
      <c r="BE831" t="s">
        <v>15639</v>
      </c>
      <c r="BF831" t="str">
        <f>HYPERLINK("http://dx.doi.org/10.1111/rode.13155","http://dx.doi.org/10.1111/rode.13155")</f>
        <v>http://dx.doi.org/10.1111/rode.13155</v>
      </c>
      <c r="BG831" t="s">
        <v>74</v>
      </c>
      <c r="BH831" t="s">
        <v>393</v>
      </c>
      <c r="BI831">
        <v>31</v>
      </c>
      <c r="BJ831" t="s">
        <v>701</v>
      </c>
      <c r="BK831" t="s">
        <v>99</v>
      </c>
      <c r="BL831" t="s">
        <v>702</v>
      </c>
      <c r="BM831" t="s">
        <v>15640</v>
      </c>
      <c r="BN831" t="s">
        <v>74</v>
      </c>
      <c r="BO831" t="s">
        <v>1205</v>
      </c>
      <c r="BP831" t="s">
        <v>74</v>
      </c>
      <c r="BQ831" t="s">
        <v>74</v>
      </c>
      <c r="BR831" t="s">
        <v>102</v>
      </c>
      <c r="BS831" t="s">
        <v>15641</v>
      </c>
      <c r="BT831" t="str">
        <f>HYPERLINK("https%3A%2F%2Fwww.webofscience.com%2Fwos%2Fwoscc%2Ffull-record%2FWOS:001303951700001","View Full Record in Web of Science")</f>
        <v>View Full Record in Web of Science</v>
      </c>
    </row>
    <row r="832" spans="1:72" x14ac:dyDescent="0.25">
      <c r="A832" t="s">
        <v>72</v>
      </c>
      <c r="B832" t="s">
        <v>15642</v>
      </c>
      <c r="C832" t="s">
        <v>74</v>
      </c>
      <c r="D832" t="s">
        <v>74</v>
      </c>
      <c r="E832" t="s">
        <v>74</v>
      </c>
      <c r="F832" t="s">
        <v>15643</v>
      </c>
      <c r="G832" t="s">
        <v>74</v>
      </c>
      <c r="H832" t="s">
        <v>74</v>
      </c>
      <c r="I832" t="s">
        <v>15644</v>
      </c>
      <c r="J832" t="s">
        <v>2471</v>
      </c>
      <c r="K832" t="s">
        <v>74</v>
      </c>
      <c r="L832" t="s">
        <v>74</v>
      </c>
      <c r="M832" t="s">
        <v>78</v>
      </c>
      <c r="N832" t="s">
        <v>79</v>
      </c>
      <c r="O832" t="s">
        <v>74</v>
      </c>
      <c r="P832" t="s">
        <v>74</v>
      </c>
      <c r="Q832" t="s">
        <v>74</v>
      </c>
      <c r="R832" t="s">
        <v>74</v>
      </c>
      <c r="S832" t="s">
        <v>74</v>
      </c>
      <c r="T832" t="s">
        <v>15645</v>
      </c>
      <c r="U832" t="s">
        <v>9655</v>
      </c>
      <c r="V832" t="s">
        <v>15646</v>
      </c>
      <c r="W832" t="s">
        <v>15647</v>
      </c>
      <c r="X832" t="s">
        <v>74</v>
      </c>
      <c r="Y832" t="s">
        <v>15648</v>
      </c>
      <c r="Z832" t="s">
        <v>11755</v>
      </c>
      <c r="AA832" t="s">
        <v>74</v>
      </c>
      <c r="AB832" t="s">
        <v>15649</v>
      </c>
      <c r="AC832" t="s">
        <v>74</v>
      </c>
      <c r="AD832" t="s">
        <v>74</v>
      </c>
      <c r="AE832" t="s">
        <v>74</v>
      </c>
      <c r="AF832" t="s">
        <v>74</v>
      </c>
      <c r="AG832">
        <v>58</v>
      </c>
      <c r="AH832">
        <v>0</v>
      </c>
      <c r="AI832">
        <v>0</v>
      </c>
      <c r="AJ832">
        <v>3</v>
      </c>
      <c r="AK832">
        <v>4</v>
      </c>
      <c r="AL832" t="s">
        <v>823</v>
      </c>
      <c r="AM832" t="s">
        <v>333</v>
      </c>
      <c r="AN832" t="s">
        <v>824</v>
      </c>
      <c r="AO832" t="s">
        <v>2484</v>
      </c>
      <c r="AP832" t="s">
        <v>74</v>
      </c>
      <c r="AQ832" t="s">
        <v>74</v>
      </c>
      <c r="AR832" t="s">
        <v>2485</v>
      </c>
      <c r="AS832" t="s">
        <v>2486</v>
      </c>
      <c r="AT832" t="s">
        <v>2970</v>
      </c>
      <c r="AU832">
        <v>2025</v>
      </c>
      <c r="AV832">
        <v>11</v>
      </c>
      <c r="AW832">
        <v>1</v>
      </c>
      <c r="AX832" t="s">
        <v>74</v>
      </c>
      <c r="AY832" t="s">
        <v>74</v>
      </c>
      <c r="AZ832" t="s">
        <v>74</v>
      </c>
      <c r="BA832" t="s">
        <v>74</v>
      </c>
      <c r="BB832" t="s">
        <v>74</v>
      </c>
      <c r="BC832" t="s">
        <v>74</v>
      </c>
      <c r="BD832">
        <v>2474193</v>
      </c>
      <c r="BE832" t="s">
        <v>15650</v>
      </c>
      <c r="BF832" t="str">
        <f>HYPERLINK("http://dx.doi.org/10.1080/23311886.2025.2474193","http://dx.doi.org/10.1080/23311886.2025.2474193")</f>
        <v>http://dx.doi.org/10.1080/23311886.2025.2474193</v>
      </c>
      <c r="BG832" t="s">
        <v>74</v>
      </c>
      <c r="BH832" t="s">
        <v>74</v>
      </c>
      <c r="BI832">
        <v>15</v>
      </c>
      <c r="BJ832" t="s">
        <v>364</v>
      </c>
      <c r="BK832" t="s">
        <v>313</v>
      </c>
      <c r="BL832" t="s">
        <v>365</v>
      </c>
      <c r="BM832" t="s">
        <v>15651</v>
      </c>
      <c r="BN832" t="s">
        <v>74</v>
      </c>
      <c r="BO832" t="s">
        <v>916</v>
      </c>
      <c r="BP832" t="s">
        <v>74</v>
      </c>
      <c r="BQ832" t="s">
        <v>74</v>
      </c>
      <c r="BR832" t="s">
        <v>102</v>
      </c>
      <c r="BS832" t="s">
        <v>15652</v>
      </c>
      <c r="BT832" t="str">
        <f>HYPERLINK("https%3A%2F%2Fwww.webofscience.com%2Fwos%2Fwoscc%2Ffull-record%2FWOS:001479140300001","View Full Record in Web of Science")</f>
        <v>View Full Record in Web of Science</v>
      </c>
    </row>
    <row r="833" spans="1:72" x14ac:dyDescent="0.25">
      <c r="A833" t="s">
        <v>72</v>
      </c>
      <c r="B833" t="s">
        <v>15653</v>
      </c>
      <c r="C833" t="s">
        <v>74</v>
      </c>
      <c r="D833" t="s">
        <v>74</v>
      </c>
      <c r="E833" t="s">
        <v>74</v>
      </c>
      <c r="F833" t="s">
        <v>15654</v>
      </c>
      <c r="G833" t="s">
        <v>74</v>
      </c>
      <c r="H833" t="s">
        <v>74</v>
      </c>
      <c r="I833" t="s">
        <v>15655</v>
      </c>
      <c r="J833" t="s">
        <v>1412</v>
      </c>
      <c r="K833" t="s">
        <v>74</v>
      </c>
      <c r="L833" t="s">
        <v>74</v>
      </c>
      <c r="M833" t="s">
        <v>78</v>
      </c>
      <c r="N833" t="s">
        <v>79</v>
      </c>
      <c r="O833" t="s">
        <v>74</v>
      </c>
      <c r="P833" t="s">
        <v>74</v>
      </c>
      <c r="Q833" t="s">
        <v>74</v>
      </c>
      <c r="R833" t="s">
        <v>74</v>
      </c>
      <c r="S833" t="s">
        <v>74</v>
      </c>
      <c r="T833" t="s">
        <v>15656</v>
      </c>
      <c r="U833" t="s">
        <v>15657</v>
      </c>
      <c r="V833" t="s">
        <v>15658</v>
      </c>
      <c r="W833" t="s">
        <v>15659</v>
      </c>
      <c r="X833" t="s">
        <v>15660</v>
      </c>
      <c r="Y833" t="s">
        <v>15661</v>
      </c>
      <c r="Z833" t="s">
        <v>15662</v>
      </c>
      <c r="AA833" t="s">
        <v>15663</v>
      </c>
      <c r="AB833" t="s">
        <v>14671</v>
      </c>
      <c r="AC833" t="s">
        <v>15664</v>
      </c>
      <c r="AD833" t="s">
        <v>15665</v>
      </c>
      <c r="AE833" t="s">
        <v>15666</v>
      </c>
      <c r="AF833" t="s">
        <v>74</v>
      </c>
      <c r="AG833">
        <v>109</v>
      </c>
      <c r="AH833">
        <v>36</v>
      </c>
      <c r="AI833">
        <v>41</v>
      </c>
      <c r="AJ833">
        <v>8</v>
      </c>
      <c r="AK833">
        <v>257</v>
      </c>
      <c r="AL833" t="s">
        <v>332</v>
      </c>
      <c r="AM833" t="s">
        <v>333</v>
      </c>
      <c r="AN833" t="s">
        <v>334</v>
      </c>
      <c r="AO833" t="s">
        <v>1423</v>
      </c>
      <c r="AP833" t="s">
        <v>1424</v>
      </c>
      <c r="AQ833" t="s">
        <v>74</v>
      </c>
      <c r="AR833" t="s">
        <v>1425</v>
      </c>
      <c r="AS833" t="s">
        <v>1426</v>
      </c>
      <c r="AT833" t="s">
        <v>1427</v>
      </c>
      <c r="AU833">
        <v>2023</v>
      </c>
      <c r="AV833">
        <v>29</v>
      </c>
      <c r="AW833">
        <v>1</v>
      </c>
      <c r="AX833" t="s">
        <v>74</v>
      </c>
      <c r="AY833" t="s">
        <v>74</v>
      </c>
      <c r="AZ833" t="s">
        <v>74</v>
      </c>
      <c r="BA833" t="s">
        <v>74</v>
      </c>
      <c r="BB833">
        <v>151</v>
      </c>
      <c r="BC833">
        <v>169</v>
      </c>
      <c r="BD833" t="s">
        <v>74</v>
      </c>
      <c r="BE833" t="s">
        <v>15667</v>
      </c>
      <c r="BF833" t="str">
        <f>HYPERLINK("http://dx.doi.org/10.1080/02681102.2022.2097622","http://dx.doi.org/10.1080/02681102.2022.2097622")</f>
        <v>http://dx.doi.org/10.1080/02681102.2022.2097622</v>
      </c>
      <c r="BG833" t="s">
        <v>74</v>
      </c>
      <c r="BH833" t="s">
        <v>126</v>
      </c>
      <c r="BI833">
        <v>19</v>
      </c>
      <c r="BJ833" t="s">
        <v>1429</v>
      </c>
      <c r="BK833" t="s">
        <v>99</v>
      </c>
      <c r="BL833" t="s">
        <v>1429</v>
      </c>
      <c r="BM833" t="s">
        <v>15668</v>
      </c>
      <c r="BN833" t="s">
        <v>74</v>
      </c>
      <c r="BO833" t="s">
        <v>74</v>
      </c>
      <c r="BP833" t="s">
        <v>74</v>
      </c>
      <c r="BQ833" t="s">
        <v>74</v>
      </c>
      <c r="BR833" t="s">
        <v>102</v>
      </c>
      <c r="BS833" t="s">
        <v>15669</v>
      </c>
      <c r="BT833" t="str">
        <f>HYPERLINK("https%3A%2F%2Fwww.webofscience.com%2Fwos%2Fwoscc%2Ffull-record%2FWOS:000827078100001","View Full Record in Web of Science")</f>
        <v>View Full Record in Web of Science</v>
      </c>
    </row>
    <row r="834" spans="1:72" x14ac:dyDescent="0.25">
      <c r="A834" t="s">
        <v>72</v>
      </c>
      <c r="B834" t="s">
        <v>15670</v>
      </c>
      <c r="C834" t="s">
        <v>74</v>
      </c>
      <c r="D834" t="s">
        <v>74</v>
      </c>
      <c r="E834" t="s">
        <v>74</v>
      </c>
      <c r="F834" t="s">
        <v>15671</v>
      </c>
      <c r="G834" t="s">
        <v>74</v>
      </c>
      <c r="H834" t="s">
        <v>74</v>
      </c>
      <c r="I834" t="s">
        <v>15672</v>
      </c>
      <c r="J834" t="s">
        <v>13893</v>
      </c>
      <c r="K834" t="s">
        <v>74</v>
      </c>
      <c r="L834" t="s">
        <v>74</v>
      </c>
      <c r="M834" t="s">
        <v>78</v>
      </c>
      <c r="N834" t="s">
        <v>79</v>
      </c>
      <c r="O834" t="s">
        <v>74</v>
      </c>
      <c r="P834" t="s">
        <v>74</v>
      </c>
      <c r="Q834" t="s">
        <v>74</v>
      </c>
      <c r="R834" t="s">
        <v>74</v>
      </c>
      <c r="S834" t="s">
        <v>74</v>
      </c>
      <c r="T834" t="s">
        <v>15673</v>
      </c>
      <c r="U834" t="s">
        <v>15674</v>
      </c>
      <c r="V834" t="s">
        <v>15675</v>
      </c>
      <c r="W834" t="s">
        <v>15676</v>
      </c>
      <c r="X834" t="s">
        <v>6148</v>
      </c>
      <c r="Y834" t="s">
        <v>15677</v>
      </c>
      <c r="Z834" t="s">
        <v>15678</v>
      </c>
      <c r="AA834" t="s">
        <v>74</v>
      </c>
      <c r="AB834" t="s">
        <v>15679</v>
      </c>
      <c r="AC834" t="s">
        <v>74</v>
      </c>
      <c r="AD834" t="s">
        <v>74</v>
      </c>
      <c r="AE834" t="s">
        <v>74</v>
      </c>
      <c r="AF834" t="s">
        <v>74</v>
      </c>
      <c r="AG834">
        <v>18</v>
      </c>
      <c r="AH834">
        <v>66</v>
      </c>
      <c r="AI834">
        <v>100</v>
      </c>
      <c r="AJ834">
        <v>1</v>
      </c>
      <c r="AK834">
        <v>38</v>
      </c>
      <c r="AL834" t="s">
        <v>503</v>
      </c>
      <c r="AM834" t="s">
        <v>151</v>
      </c>
      <c r="AN834" t="s">
        <v>504</v>
      </c>
      <c r="AO834" t="s">
        <v>13901</v>
      </c>
      <c r="AP834" t="s">
        <v>13902</v>
      </c>
      <c r="AQ834" t="s">
        <v>74</v>
      </c>
      <c r="AR834" t="s">
        <v>13903</v>
      </c>
      <c r="AS834" t="s">
        <v>13904</v>
      </c>
      <c r="AT834" t="s">
        <v>891</v>
      </c>
      <c r="AU834">
        <v>2020</v>
      </c>
      <c r="AV834">
        <v>78</v>
      </c>
      <c r="AW834" t="s">
        <v>74</v>
      </c>
      <c r="AX834" t="s">
        <v>74</v>
      </c>
      <c r="AY834" t="s">
        <v>74</v>
      </c>
      <c r="AZ834" t="s">
        <v>74</v>
      </c>
      <c r="BA834" t="s">
        <v>74</v>
      </c>
      <c r="BB834">
        <v>12</v>
      </c>
      <c r="BC834">
        <v>21</v>
      </c>
      <c r="BD834" t="s">
        <v>74</v>
      </c>
      <c r="BE834" t="s">
        <v>15680</v>
      </c>
      <c r="BF834" t="str">
        <f>HYPERLINK("http://dx.doi.org/10.1016/j.qref.2020.02.005","http://dx.doi.org/10.1016/j.qref.2020.02.005")</f>
        <v>http://dx.doi.org/10.1016/j.qref.2020.02.005</v>
      </c>
      <c r="BG834" t="s">
        <v>74</v>
      </c>
      <c r="BH834" t="s">
        <v>74</v>
      </c>
      <c r="BI834">
        <v>10</v>
      </c>
      <c r="BJ834" t="s">
        <v>291</v>
      </c>
      <c r="BK834" t="s">
        <v>99</v>
      </c>
      <c r="BL834" t="s">
        <v>100</v>
      </c>
      <c r="BM834" t="s">
        <v>15681</v>
      </c>
      <c r="BN834" t="s">
        <v>74</v>
      </c>
      <c r="BO834" t="s">
        <v>74</v>
      </c>
      <c r="BP834" t="s">
        <v>74</v>
      </c>
      <c r="BQ834" t="s">
        <v>74</v>
      </c>
      <c r="BR834" t="s">
        <v>102</v>
      </c>
      <c r="BS834" t="s">
        <v>15682</v>
      </c>
      <c r="BT834" t="str">
        <f>HYPERLINK("https%3A%2F%2Fwww.webofscience.com%2Fwos%2Fwoscc%2Ffull-record%2FWOS:000593335800002","View Full Record in Web of Science")</f>
        <v>View Full Record in Web of Science</v>
      </c>
    </row>
    <row r="835" spans="1:72" x14ac:dyDescent="0.25">
      <c r="A835" t="s">
        <v>72</v>
      </c>
      <c r="B835" t="s">
        <v>15683</v>
      </c>
      <c r="C835" t="s">
        <v>74</v>
      </c>
      <c r="D835" t="s">
        <v>74</v>
      </c>
      <c r="E835" t="s">
        <v>74</v>
      </c>
      <c r="F835" t="s">
        <v>15684</v>
      </c>
      <c r="G835" t="s">
        <v>74</v>
      </c>
      <c r="H835" t="s">
        <v>74</v>
      </c>
      <c r="I835" t="s">
        <v>15685</v>
      </c>
      <c r="J835" t="s">
        <v>15686</v>
      </c>
      <c r="K835" t="s">
        <v>74</v>
      </c>
      <c r="L835" t="s">
        <v>74</v>
      </c>
      <c r="M835" t="s">
        <v>78</v>
      </c>
      <c r="N835" t="s">
        <v>79</v>
      </c>
      <c r="O835" t="s">
        <v>74</v>
      </c>
      <c r="P835" t="s">
        <v>74</v>
      </c>
      <c r="Q835" t="s">
        <v>74</v>
      </c>
      <c r="R835" t="s">
        <v>74</v>
      </c>
      <c r="S835" t="s">
        <v>74</v>
      </c>
      <c r="T835" t="s">
        <v>15687</v>
      </c>
      <c r="U835" t="s">
        <v>74</v>
      </c>
      <c r="V835" t="s">
        <v>15688</v>
      </c>
      <c r="W835" t="s">
        <v>15689</v>
      </c>
      <c r="X835" t="s">
        <v>15690</v>
      </c>
      <c r="Y835" t="s">
        <v>15691</v>
      </c>
      <c r="Z835" t="s">
        <v>15692</v>
      </c>
      <c r="AA835" t="s">
        <v>74</v>
      </c>
      <c r="AB835" t="s">
        <v>15693</v>
      </c>
      <c r="AC835" t="s">
        <v>74</v>
      </c>
      <c r="AD835" t="s">
        <v>74</v>
      </c>
      <c r="AE835" t="s">
        <v>74</v>
      </c>
      <c r="AF835" t="s">
        <v>74</v>
      </c>
      <c r="AG835">
        <v>56</v>
      </c>
      <c r="AH835">
        <v>4</v>
      </c>
      <c r="AI835">
        <v>5</v>
      </c>
      <c r="AJ835">
        <v>6</v>
      </c>
      <c r="AK835">
        <v>15</v>
      </c>
      <c r="AL835" t="s">
        <v>479</v>
      </c>
      <c r="AM835" t="s">
        <v>480</v>
      </c>
      <c r="AN835" t="s">
        <v>481</v>
      </c>
      <c r="AO835" t="s">
        <v>74</v>
      </c>
      <c r="AP835" t="s">
        <v>15694</v>
      </c>
      <c r="AQ835" t="s">
        <v>74</v>
      </c>
      <c r="AR835" t="s">
        <v>15695</v>
      </c>
      <c r="AS835" t="s">
        <v>15696</v>
      </c>
      <c r="AT835" t="s">
        <v>15697</v>
      </c>
      <c r="AU835">
        <v>2024</v>
      </c>
      <c r="AV835">
        <v>7</v>
      </c>
      <c r="AW835">
        <v>4</v>
      </c>
      <c r="AX835" t="s">
        <v>74</v>
      </c>
      <c r="AY835" t="s">
        <v>74</v>
      </c>
      <c r="AZ835" t="s">
        <v>74</v>
      </c>
      <c r="BA835" t="s">
        <v>74</v>
      </c>
      <c r="BB835" t="s">
        <v>74</v>
      </c>
      <c r="BC835" t="s">
        <v>74</v>
      </c>
      <c r="BD835" t="s">
        <v>15698</v>
      </c>
      <c r="BE835" t="s">
        <v>15699</v>
      </c>
      <c r="BF835" t="str">
        <f>HYPERLINK("http://dx.doi.org/10.1002/bsd2.70035","http://dx.doi.org/10.1002/bsd2.70035")</f>
        <v>http://dx.doi.org/10.1002/bsd2.70035</v>
      </c>
      <c r="BG835" t="s">
        <v>74</v>
      </c>
      <c r="BH835" t="s">
        <v>74</v>
      </c>
      <c r="BI835">
        <v>15</v>
      </c>
      <c r="BJ835" t="s">
        <v>15700</v>
      </c>
      <c r="BK835" t="s">
        <v>313</v>
      </c>
      <c r="BL835" t="s">
        <v>14040</v>
      </c>
      <c r="BM835" t="s">
        <v>15701</v>
      </c>
      <c r="BN835" t="s">
        <v>74</v>
      </c>
      <c r="BO835" t="s">
        <v>1205</v>
      </c>
      <c r="BP835" t="s">
        <v>74</v>
      </c>
      <c r="BQ835" t="s">
        <v>74</v>
      </c>
      <c r="BR835" t="s">
        <v>102</v>
      </c>
      <c r="BS835" t="s">
        <v>15702</v>
      </c>
      <c r="BT835" t="str">
        <f>HYPERLINK("https%3A%2F%2Fwww.webofscience.com%2Fwos%2Fwoscc%2Ffull-record%2FWOS:001369939500001","View Full Record in Web of Science")</f>
        <v>View Full Record in Web of Science</v>
      </c>
    </row>
    <row r="836" spans="1:72" x14ac:dyDescent="0.25">
      <c r="A836" t="s">
        <v>72</v>
      </c>
      <c r="B836" t="s">
        <v>15703</v>
      </c>
      <c r="C836" t="s">
        <v>74</v>
      </c>
      <c r="D836" t="s">
        <v>74</v>
      </c>
      <c r="E836" t="s">
        <v>74</v>
      </c>
      <c r="F836" t="s">
        <v>15704</v>
      </c>
      <c r="G836" t="s">
        <v>74</v>
      </c>
      <c r="H836" t="s">
        <v>74</v>
      </c>
      <c r="I836" t="s">
        <v>15705</v>
      </c>
      <c r="J836" t="s">
        <v>13634</v>
      </c>
      <c r="K836" t="s">
        <v>74</v>
      </c>
      <c r="L836" t="s">
        <v>74</v>
      </c>
      <c r="M836" t="s">
        <v>78</v>
      </c>
      <c r="N836" t="s">
        <v>79</v>
      </c>
      <c r="O836" t="s">
        <v>74</v>
      </c>
      <c r="P836" t="s">
        <v>74</v>
      </c>
      <c r="Q836" t="s">
        <v>74</v>
      </c>
      <c r="R836" t="s">
        <v>74</v>
      </c>
      <c r="S836" t="s">
        <v>74</v>
      </c>
      <c r="T836" t="s">
        <v>15706</v>
      </c>
      <c r="U836" t="s">
        <v>15707</v>
      </c>
      <c r="V836" t="s">
        <v>15708</v>
      </c>
      <c r="W836" t="s">
        <v>15709</v>
      </c>
      <c r="X836" t="s">
        <v>15710</v>
      </c>
      <c r="Y836" t="s">
        <v>15711</v>
      </c>
      <c r="Z836" t="s">
        <v>15712</v>
      </c>
      <c r="AA836" t="s">
        <v>15713</v>
      </c>
      <c r="AB836" t="s">
        <v>15714</v>
      </c>
      <c r="AC836" t="s">
        <v>15715</v>
      </c>
      <c r="AD836" t="s">
        <v>15716</v>
      </c>
      <c r="AE836" t="s">
        <v>15717</v>
      </c>
      <c r="AF836" t="s">
        <v>74</v>
      </c>
      <c r="AG836">
        <v>111</v>
      </c>
      <c r="AH836">
        <v>5</v>
      </c>
      <c r="AI836">
        <v>5</v>
      </c>
      <c r="AJ836">
        <v>15</v>
      </c>
      <c r="AK836">
        <v>31</v>
      </c>
      <c r="AL836" t="s">
        <v>3461</v>
      </c>
      <c r="AM836" t="s">
        <v>3462</v>
      </c>
      <c r="AN836" t="s">
        <v>3463</v>
      </c>
      <c r="AO836" t="s">
        <v>13644</v>
      </c>
      <c r="AP836" t="s">
        <v>13645</v>
      </c>
      <c r="AQ836" t="s">
        <v>74</v>
      </c>
      <c r="AR836" t="s">
        <v>13646</v>
      </c>
      <c r="AS836" t="s">
        <v>13647</v>
      </c>
      <c r="AT836" t="s">
        <v>74</v>
      </c>
      <c r="AU836">
        <v>2024</v>
      </c>
      <c r="AV836">
        <v>71</v>
      </c>
      <c r="AW836" t="s">
        <v>74</v>
      </c>
      <c r="AX836" t="s">
        <v>74</v>
      </c>
      <c r="AY836" t="s">
        <v>74</v>
      </c>
      <c r="AZ836" t="s">
        <v>74</v>
      </c>
      <c r="BA836" t="s">
        <v>74</v>
      </c>
      <c r="BB836">
        <v>14046</v>
      </c>
      <c r="BC836">
        <v>14062</v>
      </c>
      <c r="BD836" t="s">
        <v>74</v>
      </c>
      <c r="BE836" t="s">
        <v>15718</v>
      </c>
      <c r="BF836" t="str">
        <f>HYPERLINK("http://dx.doi.org/10.1109/TEM.2024.3435919","http://dx.doi.org/10.1109/TEM.2024.3435919")</f>
        <v>http://dx.doi.org/10.1109/TEM.2024.3435919</v>
      </c>
      <c r="BG836" t="s">
        <v>74</v>
      </c>
      <c r="BH836" t="s">
        <v>74</v>
      </c>
      <c r="BI836">
        <v>17</v>
      </c>
      <c r="BJ836" t="s">
        <v>13649</v>
      </c>
      <c r="BK836" t="s">
        <v>2623</v>
      </c>
      <c r="BL836" t="s">
        <v>13650</v>
      </c>
      <c r="BM836" t="s">
        <v>15719</v>
      </c>
      <c r="BN836" t="s">
        <v>74</v>
      </c>
      <c r="BO836" t="s">
        <v>74</v>
      </c>
      <c r="BP836" t="s">
        <v>74</v>
      </c>
      <c r="BQ836" t="s">
        <v>74</v>
      </c>
      <c r="BR836" t="s">
        <v>102</v>
      </c>
      <c r="BS836" t="s">
        <v>15720</v>
      </c>
      <c r="BT836" t="str">
        <f>HYPERLINK("https%3A%2F%2Fwww.webofscience.com%2Fwos%2Fwoscc%2Ffull-record%2FWOS:001294284200002","View Full Record in Web of Science")</f>
        <v>View Full Record in Web of Science</v>
      </c>
    </row>
    <row r="837" spans="1:72" x14ac:dyDescent="0.25">
      <c r="A837" t="s">
        <v>72</v>
      </c>
      <c r="B837" t="s">
        <v>15721</v>
      </c>
      <c r="C837" t="s">
        <v>74</v>
      </c>
      <c r="D837" t="s">
        <v>74</v>
      </c>
      <c r="E837" t="s">
        <v>74</v>
      </c>
      <c r="F837" t="s">
        <v>15722</v>
      </c>
      <c r="G837" t="s">
        <v>74</v>
      </c>
      <c r="H837" t="s">
        <v>74</v>
      </c>
      <c r="I837" t="s">
        <v>15723</v>
      </c>
      <c r="J837" t="s">
        <v>8200</v>
      </c>
      <c r="K837" t="s">
        <v>74</v>
      </c>
      <c r="L837" t="s">
        <v>74</v>
      </c>
      <c r="M837" t="s">
        <v>78</v>
      </c>
      <c r="N837" t="s">
        <v>79</v>
      </c>
      <c r="O837" t="s">
        <v>74</v>
      </c>
      <c r="P837" t="s">
        <v>74</v>
      </c>
      <c r="Q837" t="s">
        <v>74</v>
      </c>
      <c r="R837" t="s">
        <v>74</v>
      </c>
      <c r="S837" t="s">
        <v>74</v>
      </c>
      <c r="T837" t="s">
        <v>15724</v>
      </c>
      <c r="U837" t="s">
        <v>15725</v>
      </c>
      <c r="V837" t="s">
        <v>15726</v>
      </c>
      <c r="W837" t="s">
        <v>15727</v>
      </c>
      <c r="X837" t="s">
        <v>15728</v>
      </c>
      <c r="Y837" t="s">
        <v>15729</v>
      </c>
      <c r="Z837" t="s">
        <v>15730</v>
      </c>
      <c r="AA837" t="s">
        <v>15731</v>
      </c>
      <c r="AB837" t="s">
        <v>74</v>
      </c>
      <c r="AC837" t="s">
        <v>74</v>
      </c>
      <c r="AD837" t="s">
        <v>74</v>
      </c>
      <c r="AE837" t="s">
        <v>74</v>
      </c>
      <c r="AF837" t="s">
        <v>74</v>
      </c>
      <c r="AG837">
        <v>34</v>
      </c>
      <c r="AH837">
        <v>0</v>
      </c>
      <c r="AI837">
        <v>0</v>
      </c>
      <c r="AJ837">
        <v>0</v>
      </c>
      <c r="AK837">
        <v>0</v>
      </c>
      <c r="AL837" t="s">
        <v>8210</v>
      </c>
      <c r="AM837" t="s">
        <v>8211</v>
      </c>
      <c r="AN837" t="s">
        <v>8212</v>
      </c>
      <c r="AO837" t="s">
        <v>8213</v>
      </c>
      <c r="AP837" t="s">
        <v>74</v>
      </c>
      <c r="AQ837" t="s">
        <v>74</v>
      </c>
      <c r="AR837" t="s">
        <v>8214</v>
      </c>
      <c r="AS837" t="s">
        <v>8215</v>
      </c>
      <c r="AT837" t="s">
        <v>848</v>
      </c>
      <c r="AU837">
        <v>2025</v>
      </c>
      <c r="AV837">
        <v>18</v>
      </c>
      <c r="AW837">
        <v>1</v>
      </c>
      <c r="AX837" t="s">
        <v>74</v>
      </c>
      <c r="AY837" t="s">
        <v>74</v>
      </c>
      <c r="AZ837" t="s">
        <v>74</v>
      </c>
      <c r="BA837" t="s">
        <v>74</v>
      </c>
      <c r="BB837">
        <v>111</v>
      </c>
      <c r="BC837">
        <v>121</v>
      </c>
      <c r="BD837" t="s">
        <v>74</v>
      </c>
      <c r="BE837" t="s">
        <v>74</v>
      </c>
      <c r="BF837" t="s">
        <v>74</v>
      </c>
      <c r="BG837" t="s">
        <v>74</v>
      </c>
      <c r="BH837" t="s">
        <v>74</v>
      </c>
      <c r="BI837">
        <v>11</v>
      </c>
      <c r="BJ837" t="s">
        <v>418</v>
      </c>
      <c r="BK837" t="s">
        <v>313</v>
      </c>
      <c r="BL837" t="s">
        <v>100</v>
      </c>
      <c r="BM837" t="s">
        <v>15732</v>
      </c>
      <c r="BN837" t="s">
        <v>74</v>
      </c>
      <c r="BO837" t="s">
        <v>74</v>
      </c>
      <c r="BP837" t="s">
        <v>74</v>
      </c>
      <c r="BQ837" t="s">
        <v>74</v>
      </c>
      <c r="BR837" t="s">
        <v>102</v>
      </c>
      <c r="BS837" t="s">
        <v>15733</v>
      </c>
      <c r="BT837" t="str">
        <f>HYPERLINK("https%3A%2F%2Fwww.webofscience.com%2Fwos%2Fwoscc%2Ffull-record%2FWOS:001583135200010","View Full Record in Web of Science")</f>
        <v>View Full Record in Web of Science</v>
      </c>
    </row>
    <row r="838" spans="1:72" x14ac:dyDescent="0.25">
      <c r="A838" t="s">
        <v>132</v>
      </c>
      <c r="B838" t="s">
        <v>15734</v>
      </c>
      <c r="C838" t="s">
        <v>74</v>
      </c>
      <c r="D838" t="s">
        <v>15735</v>
      </c>
      <c r="E838" t="s">
        <v>74</v>
      </c>
      <c r="F838" t="s">
        <v>15736</v>
      </c>
      <c r="G838" t="s">
        <v>74</v>
      </c>
      <c r="H838" t="s">
        <v>74</v>
      </c>
      <c r="I838" t="s">
        <v>15737</v>
      </c>
      <c r="J838" t="s">
        <v>15738</v>
      </c>
      <c r="K838" t="s">
        <v>74</v>
      </c>
      <c r="L838" t="s">
        <v>74</v>
      </c>
      <c r="M838" t="s">
        <v>78</v>
      </c>
      <c r="N838" t="s">
        <v>138</v>
      </c>
      <c r="O838" t="s">
        <v>15739</v>
      </c>
      <c r="P838" t="s">
        <v>15740</v>
      </c>
      <c r="Q838" t="s">
        <v>15741</v>
      </c>
      <c r="R838" t="s">
        <v>15742</v>
      </c>
      <c r="S838" t="s">
        <v>74</v>
      </c>
      <c r="T838" t="s">
        <v>15743</v>
      </c>
      <c r="U838" t="s">
        <v>74</v>
      </c>
      <c r="V838" t="s">
        <v>15744</v>
      </c>
      <c r="W838" t="s">
        <v>15745</v>
      </c>
      <c r="X838" t="s">
        <v>15746</v>
      </c>
      <c r="Y838" t="s">
        <v>74</v>
      </c>
      <c r="Z838" t="s">
        <v>15747</v>
      </c>
      <c r="AA838" t="s">
        <v>74</v>
      </c>
      <c r="AB838" t="s">
        <v>74</v>
      </c>
      <c r="AC838" t="s">
        <v>74</v>
      </c>
      <c r="AD838" t="s">
        <v>74</v>
      </c>
      <c r="AE838" t="s">
        <v>74</v>
      </c>
      <c r="AF838" t="s">
        <v>74</v>
      </c>
      <c r="AG838">
        <v>35</v>
      </c>
      <c r="AH838">
        <v>63</v>
      </c>
      <c r="AI838">
        <v>65</v>
      </c>
      <c r="AJ838">
        <v>0</v>
      </c>
      <c r="AK838">
        <v>11</v>
      </c>
      <c r="AL838" t="s">
        <v>150</v>
      </c>
      <c r="AM838" t="s">
        <v>151</v>
      </c>
      <c r="AN838" t="s">
        <v>152</v>
      </c>
      <c r="AO838" t="s">
        <v>74</v>
      </c>
      <c r="AP838" t="s">
        <v>74</v>
      </c>
      <c r="AQ838" t="s">
        <v>15748</v>
      </c>
      <c r="AR838" t="s">
        <v>74</v>
      </c>
      <c r="AS838" t="s">
        <v>74</v>
      </c>
      <c r="AT838" t="s">
        <v>74</v>
      </c>
      <c r="AU838">
        <v>2009</v>
      </c>
      <c r="AV838" t="s">
        <v>74</v>
      </c>
      <c r="AW838" t="s">
        <v>74</v>
      </c>
      <c r="AX838" t="s">
        <v>74</v>
      </c>
      <c r="AY838" t="s">
        <v>74</v>
      </c>
      <c r="AZ838" t="s">
        <v>74</v>
      </c>
      <c r="BA838" t="s">
        <v>74</v>
      </c>
      <c r="BB838">
        <v>1741</v>
      </c>
      <c r="BC838">
        <v>1750</v>
      </c>
      <c r="BD838" t="s">
        <v>74</v>
      </c>
      <c r="BE838" t="s">
        <v>74</v>
      </c>
      <c r="BF838" t="s">
        <v>74</v>
      </c>
      <c r="BG838" t="s">
        <v>74</v>
      </c>
      <c r="BH838" t="s">
        <v>74</v>
      </c>
      <c r="BI838">
        <v>10</v>
      </c>
      <c r="BJ838" t="s">
        <v>15749</v>
      </c>
      <c r="BK838" t="s">
        <v>1069</v>
      </c>
      <c r="BL838" t="s">
        <v>15750</v>
      </c>
      <c r="BM838" t="s">
        <v>15751</v>
      </c>
      <c r="BN838" t="s">
        <v>74</v>
      </c>
      <c r="BO838" t="s">
        <v>74</v>
      </c>
      <c r="BP838" t="s">
        <v>74</v>
      </c>
      <c r="BQ838" t="s">
        <v>74</v>
      </c>
      <c r="BR838" t="s">
        <v>102</v>
      </c>
      <c r="BS838" t="s">
        <v>15752</v>
      </c>
      <c r="BT838" t="str">
        <f>HYPERLINK("https%3A%2F%2Fwww.webofscience.com%2Fwos%2Fwoscc%2Ffull-record%2FWOS:000265679301070","View Full Record in Web of Science")</f>
        <v>View Full Record in Web of Science</v>
      </c>
    </row>
    <row r="839" spans="1:72" x14ac:dyDescent="0.25">
      <c r="A839" t="s">
        <v>72</v>
      </c>
      <c r="B839" t="s">
        <v>15753</v>
      </c>
      <c r="C839" t="s">
        <v>74</v>
      </c>
      <c r="D839" t="s">
        <v>74</v>
      </c>
      <c r="E839" t="s">
        <v>74</v>
      </c>
      <c r="F839" t="s">
        <v>15754</v>
      </c>
      <c r="G839" t="s">
        <v>74</v>
      </c>
      <c r="H839" t="s">
        <v>74</v>
      </c>
      <c r="I839" t="s">
        <v>15755</v>
      </c>
      <c r="J839" t="s">
        <v>3579</v>
      </c>
      <c r="K839" t="s">
        <v>74</v>
      </c>
      <c r="L839" t="s">
        <v>74</v>
      </c>
      <c r="M839" t="s">
        <v>78</v>
      </c>
      <c r="N839" t="s">
        <v>79</v>
      </c>
      <c r="O839" t="s">
        <v>74</v>
      </c>
      <c r="P839" t="s">
        <v>74</v>
      </c>
      <c r="Q839" t="s">
        <v>74</v>
      </c>
      <c r="R839" t="s">
        <v>74</v>
      </c>
      <c r="S839" t="s">
        <v>74</v>
      </c>
      <c r="T839" t="s">
        <v>15756</v>
      </c>
      <c r="U839" t="s">
        <v>15757</v>
      </c>
      <c r="V839" t="s">
        <v>15758</v>
      </c>
      <c r="W839" t="s">
        <v>15759</v>
      </c>
      <c r="X839" t="s">
        <v>15760</v>
      </c>
      <c r="Y839" t="s">
        <v>15761</v>
      </c>
      <c r="Z839" t="s">
        <v>15762</v>
      </c>
      <c r="AA839" t="s">
        <v>74</v>
      </c>
      <c r="AB839" t="s">
        <v>15763</v>
      </c>
      <c r="AC839" t="s">
        <v>74</v>
      </c>
      <c r="AD839" t="s">
        <v>74</v>
      </c>
      <c r="AE839" t="s">
        <v>74</v>
      </c>
      <c r="AF839" t="s">
        <v>74</v>
      </c>
      <c r="AG839">
        <v>57</v>
      </c>
      <c r="AH839">
        <v>2</v>
      </c>
      <c r="AI839">
        <v>3</v>
      </c>
      <c r="AJ839">
        <v>6</v>
      </c>
      <c r="AK839">
        <v>13</v>
      </c>
      <c r="AL839" t="s">
        <v>3588</v>
      </c>
      <c r="AM839" t="s">
        <v>410</v>
      </c>
      <c r="AN839" t="s">
        <v>3589</v>
      </c>
      <c r="AO839" t="s">
        <v>3590</v>
      </c>
      <c r="AP839" t="s">
        <v>3591</v>
      </c>
      <c r="AQ839" t="s">
        <v>74</v>
      </c>
      <c r="AR839" t="s">
        <v>3592</v>
      </c>
      <c r="AS839" t="s">
        <v>3593</v>
      </c>
      <c r="AT839" t="s">
        <v>289</v>
      </c>
      <c r="AU839">
        <v>2025</v>
      </c>
      <c r="AV839">
        <v>27</v>
      </c>
      <c r="AW839">
        <v>2</v>
      </c>
      <c r="AX839" t="s">
        <v>74</v>
      </c>
      <c r="AY839" t="s">
        <v>74</v>
      </c>
      <c r="AZ839" t="s">
        <v>74</v>
      </c>
      <c r="BA839" t="s">
        <v>74</v>
      </c>
      <c r="BB839">
        <v>525</v>
      </c>
      <c r="BC839">
        <v>543</v>
      </c>
      <c r="BD839" t="s">
        <v>74</v>
      </c>
      <c r="BE839" t="s">
        <v>15764</v>
      </c>
      <c r="BF839" t="str">
        <f>HYPERLINK("http://dx.doi.org/10.1007/s40847-024-00376-y","http://dx.doi.org/10.1007/s40847-024-00376-y")</f>
        <v>http://dx.doi.org/10.1007/s40847-024-00376-y</v>
      </c>
      <c r="BG839" t="s">
        <v>74</v>
      </c>
      <c r="BH839" t="s">
        <v>9389</v>
      </c>
      <c r="BI839">
        <v>19</v>
      </c>
      <c r="BJ839" t="s">
        <v>701</v>
      </c>
      <c r="BK839" t="s">
        <v>313</v>
      </c>
      <c r="BL839" t="s">
        <v>702</v>
      </c>
      <c r="BM839" t="s">
        <v>15765</v>
      </c>
      <c r="BN839" t="s">
        <v>74</v>
      </c>
      <c r="BO839" t="s">
        <v>74</v>
      </c>
      <c r="BP839" t="s">
        <v>74</v>
      </c>
      <c r="BQ839" t="s">
        <v>74</v>
      </c>
      <c r="BR839" t="s">
        <v>102</v>
      </c>
      <c r="BS839" t="s">
        <v>15766</v>
      </c>
      <c r="BT839" t="str">
        <f>HYPERLINK("https%3A%2F%2Fwww.webofscience.com%2Fwos%2Fwoscc%2Ffull-record%2FWOS:001306540200001","View Full Record in Web of Science")</f>
        <v>View Full Record in Web of Science</v>
      </c>
    </row>
    <row r="840" spans="1:72" x14ac:dyDescent="0.25">
      <c r="A840" t="s">
        <v>72</v>
      </c>
      <c r="B840" t="s">
        <v>15767</v>
      </c>
      <c r="C840" t="s">
        <v>74</v>
      </c>
      <c r="D840" t="s">
        <v>74</v>
      </c>
      <c r="E840" t="s">
        <v>74</v>
      </c>
      <c r="F840" t="s">
        <v>15768</v>
      </c>
      <c r="G840" t="s">
        <v>74</v>
      </c>
      <c r="H840" t="s">
        <v>74</v>
      </c>
      <c r="I840" t="s">
        <v>15769</v>
      </c>
      <c r="J840" t="s">
        <v>5958</v>
      </c>
      <c r="K840" t="s">
        <v>74</v>
      </c>
      <c r="L840" t="s">
        <v>74</v>
      </c>
      <c r="M840" t="s">
        <v>78</v>
      </c>
      <c r="N840" t="s">
        <v>79</v>
      </c>
      <c r="O840" t="s">
        <v>74</v>
      </c>
      <c r="P840" t="s">
        <v>74</v>
      </c>
      <c r="Q840" t="s">
        <v>74</v>
      </c>
      <c r="R840" t="s">
        <v>74</v>
      </c>
      <c r="S840" t="s">
        <v>74</v>
      </c>
      <c r="T840" t="s">
        <v>15770</v>
      </c>
      <c r="U840" t="s">
        <v>15771</v>
      </c>
      <c r="V840" t="s">
        <v>15772</v>
      </c>
      <c r="W840" t="s">
        <v>15773</v>
      </c>
      <c r="X840" t="s">
        <v>15774</v>
      </c>
      <c r="Y840" t="s">
        <v>15775</v>
      </c>
      <c r="Z840" t="s">
        <v>15776</v>
      </c>
      <c r="AA840" t="s">
        <v>74</v>
      </c>
      <c r="AB840" t="s">
        <v>74</v>
      </c>
      <c r="AC840" t="s">
        <v>15777</v>
      </c>
      <c r="AD840" t="s">
        <v>15778</v>
      </c>
      <c r="AE840" t="s">
        <v>15779</v>
      </c>
      <c r="AF840" t="s">
        <v>74</v>
      </c>
      <c r="AG840">
        <v>34</v>
      </c>
      <c r="AH840">
        <v>59</v>
      </c>
      <c r="AI840">
        <v>65</v>
      </c>
      <c r="AJ840">
        <v>24</v>
      </c>
      <c r="AK840">
        <v>467</v>
      </c>
      <c r="AL840" t="s">
        <v>1216</v>
      </c>
      <c r="AM840" t="s">
        <v>283</v>
      </c>
      <c r="AN840" t="s">
        <v>1217</v>
      </c>
      <c r="AO840" t="s">
        <v>5971</v>
      </c>
      <c r="AP840" t="s">
        <v>74</v>
      </c>
      <c r="AQ840" t="s">
        <v>74</v>
      </c>
      <c r="AR840" t="s">
        <v>5972</v>
      </c>
      <c r="AS840" t="s">
        <v>5973</v>
      </c>
      <c r="AT840" t="s">
        <v>15780</v>
      </c>
      <c r="AU840">
        <v>2021</v>
      </c>
      <c r="AV840">
        <v>12</v>
      </c>
      <c r="AW840" t="s">
        <v>74</v>
      </c>
      <c r="AX840" t="s">
        <v>74</v>
      </c>
      <c r="AY840" t="s">
        <v>74</v>
      </c>
      <c r="AZ840" t="s">
        <v>74</v>
      </c>
      <c r="BA840" t="s">
        <v>74</v>
      </c>
      <c r="BB840" t="s">
        <v>74</v>
      </c>
      <c r="BC840" t="s">
        <v>74</v>
      </c>
      <c r="BD840">
        <v>814408</v>
      </c>
      <c r="BE840" t="s">
        <v>15781</v>
      </c>
      <c r="BF840" t="str">
        <f>HYPERLINK("http://dx.doi.org/10.3389/fpsyg.2021.814408","http://dx.doi.org/10.3389/fpsyg.2021.814408")</f>
        <v>http://dx.doi.org/10.3389/fpsyg.2021.814408</v>
      </c>
      <c r="BG840" t="s">
        <v>74</v>
      </c>
      <c r="BH840" t="s">
        <v>74</v>
      </c>
      <c r="BI840">
        <v>10</v>
      </c>
      <c r="BJ840" t="s">
        <v>2992</v>
      </c>
      <c r="BK840" t="s">
        <v>99</v>
      </c>
      <c r="BL840" t="s">
        <v>2993</v>
      </c>
      <c r="BM840" t="s">
        <v>15782</v>
      </c>
      <c r="BN840">
        <v>35027906</v>
      </c>
      <c r="BO840" t="s">
        <v>916</v>
      </c>
      <c r="BP840" t="s">
        <v>74</v>
      </c>
      <c r="BQ840" t="s">
        <v>74</v>
      </c>
      <c r="BR840" t="s">
        <v>102</v>
      </c>
      <c r="BS840" t="s">
        <v>15783</v>
      </c>
      <c r="BT840" t="str">
        <f>HYPERLINK("https%3A%2F%2Fwww.webofscience.com%2Fwos%2Fwoscc%2Ffull-record%2FWOS:000745727200001","View Full Record in Web of Science")</f>
        <v>View Full Record in Web of Science</v>
      </c>
    </row>
    <row r="841" spans="1:72" x14ac:dyDescent="0.25">
      <c r="A841" t="s">
        <v>72</v>
      </c>
      <c r="B841" t="s">
        <v>15784</v>
      </c>
      <c r="C841" t="s">
        <v>74</v>
      </c>
      <c r="D841" t="s">
        <v>74</v>
      </c>
      <c r="E841" t="s">
        <v>74</v>
      </c>
      <c r="F841" t="s">
        <v>15785</v>
      </c>
      <c r="G841" t="s">
        <v>74</v>
      </c>
      <c r="H841" t="s">
        <v>74</v>
      </c>
      <c r="I841" t="s">
        <v>15786</v>
      </c>
      <c r="J841" t="s">
        <v>8942</v>
      </c>
      <c r="K841" t="s">
        <v>74</v>
      </c>
      <c r="L841" t="s">
        <v>74</v>
      </c>
      <c r="M841" t="s">
        <v>78</v>
      </c>
      <c r="N841" t="s">
        <v>79</v>
      </c>
      <c r="O841" t="s">
        <v>74</v>
      </c>
      <c r="P841" t="s">
        <v>74</v>
      </c>
      <c r="Q841" t="s">
        <v>74</v>
      </c>
      <c r="R841" t="s">
        <v>74</v>
      </c>
      <c r="S841" t="s">
        <v>74</v>
      </c>
      <c r="T841" t="s">
        <v>15787</v>
      </c>
      <c r="U841" t="s">
        <v>15771</v>
      </c>
      <c r="V841" t="s">
        <v>15788</v>
      </c>
      <c r="W841" t="s">
        <v>15789</v>
      </c>
      <c r="X841" t="s">
        <v>11237</v>
      </c>
      <c r="Y841" t="s">
        <v>15790</v>
      </c>
      <c r="Z841" t="s">
        <v>15791</v>
      </c>
      <c r="AA841" t="s">
        <v>15792</v>
      </c>
      <c r="AB841" t="s">
        <v>74</v>
      </c>
      <c r="AC841" t="s">
        <v>74</v>
      </c>
      <c r="AD841" t="s">
        <v>74</v>
      </c>
      <c r="AE841" t="s">
        <v>74</v>
      </c>
      <c r="AF841" t="s">
        <v>74</v>
      </c>
      <c r="AG841">
        <v>27</v>
      </c>
      <c r="AH841">
        <v>33</v>
      </c>
      <c r="AI841">
        <v>43</v>
      </c>
      <c r="AJ841">
        <v>1</v>
      </c>
      <c r="AK841">
        <v>5</v>
      </c>
      <c r="AL841" t="s">
        <v>89</v>
      </c>
      <c r="AM841" t="s">
        <v>1497</v>
      </c>
      <c r="AN841" t="s">
        <v>1498</v>
      </c>
      <c r="AO841" t="s">
        <v>8952</v>
      </c>
      <c r="AP841" t="s">
        <v>8953</v>
      </c>
      <c r="AQ841" t="s">
        <v>74</v>
      </c>
      <c r="AR841" t="s">
        <v>8954</v>
      </c>
      <c r="AS841" t="s">
        <v>8955</v>
      </c>
      <c r="AT841" t="s">
        <v>74</v>
      </c>
      <c r="AU841">
        <v>2017</v>
      </c>
      <c r="AV841">
        <v>8</v>
      </c>
      <c r="AW841">
        <v>1</v>
      </c>
      <c r="AX841" t="s">
        <v>74</v>
      </c>
      <c r="AY841" t="s">
        <v>74</v>
      </c>
      <c r="AZ841" t="s">
        <v>441</v>
      </c>
      <c r="BA841" t="s">
        <v>74</v>
      </c>
      <c r="BB841">
        <v>19</v>
      </c>
      <c r="BC841">
        <v>35</v>
      </c>
      <c r="BD841" t="s">
        <v>74</v>
      </c>
      <c r="BE841" t="s">
        <v>15793</v>
      </c>
      <c r="BF841" t="str">
        <f>HYPERLINK("http://dx.doi.org/10.1108/AJEMS-03-2017-146","http://dx.doi.org/10.1108/AJEMS-03-2017-146")</f>
        <v>http://dx.doi.org/10.1108/AJEMS-03-2017-146</v>
      </c>
      <c r="BG841" t="s">
        <v>74</v>
      </c>
      <c r="BH841" t="s">
        <v>74</v>
      </c>
      <c r="BI841">
        <v>17</v>
      </c>
      <c r="BJ841" t="s">
        <v>291</v>
      </c>
      <c r="BK841" t="s">
        <v>313</v>
      </c>
      <c r="BL841" t="s">
        <v>100</v>
      </c>
      <c r="BM841" t="s">
        <v>15794</v>
      </c>
      <c r="BN841" t="s">
        <v>74</v>
      </c>
      <c r="BO841" t="s">
        <v>74</v>
      </c>
      <c r="BP841" t="s">
        <v>74</v>
      </c>
      <c r="BQ841" t="s">
        <v>74</v>
      </c>
      <c r="BR841" t="s">
        <v>102</v>
      </c>
      <c r="BS841" t="s">
        <v>15795</v>
      </c>
      <c r="BT841" t="str">
        <f>HYPERLINK("https%3A%2F%2Fwww.webofscience.com%2Fwos%2Fwoscc%2Ffull-record%2FWOS:000396553500003","View Full Record in Web of Science")</f>
        <v>View Full Record in Web of Science</v>
      </c>
    </row>
    <row r="842" spans="1:72" x14ac:dyDescent="0.25">
      <c r="A842" t="s">
        <v>72</v>
      </c>
      <c r="B842" t="s">
        <v>15796</v>
      </c>
      <c r="C842" t="s">
        <v>74</v>
      </c>
      <c r="D842" t="s">
        <v>74</v>
      </c>
      <c r="E842" t="s">
        <v>74</v>
      </c>
      <c r="F842" t="s">
        <v>15797</v>
      </c>
      <c r="G842" t="s">
        <v>74</v>
      </c>
      <c r="H842" t="s">
        <v>74</v>
      </c>
      <c r="I842" t="s">
        <v>15798</v>
      </c>
      <c r="J842" t="s">
        <v>15799</v>
      </c>
      <c r="K842" t="s">
        <v>74</v>
      </c>
      <c r="L842" t="s">
        <v>74</v>
      </c>
      <c r="M842" t="s">
        <v>78</v>
      </c>
      <c r="N842" t="s">
        <v>79</v>
      </c>
      <c r="O842" t="s">
        <v>74</v>
      </c>
      <c r="P842" t="s">
        <v>74</v>
      </c>
      <c r="Q842" t="s">
        <v>74</v>
      </c>
      <c r="R842" t="s">
        <v>74</v>
      </c>
      <c r="S842" t="s">
        <v>74</v>
      </c>
      <c r="T842" t="s">
        <v>15800</v>
      </c>
      <c r="U842" t="s">
        <v>15801</v>
      </c>
      <c r="V842" t="s">
        <v>15802</v>
      </c>
      <c r="W842" t="s">
        <v>15803</v>
      </c>
      <c r="X842" t="s">
        <v>15804</v>
      </c>
      <c r="Y842" t="s">
        <v>15805</v>
      </c>
      <c r="Z842" t="s">
        <v>15806</v>
      </c>
      <c r="AA842" t="s">
        <v>74</v>
      </c>
      <c r="AB842" t="s">
        <v>74</v>
      </c>
      <c r="AC842" t="s">
        <v>74</v>
      </c>
      <c r="AD842" t="s">
        <v>74</v>
      </c>
      <c r="AE842" t="s">
        <v>74</v>
      </c>
      <c r="AF842" t="s">
        <v>74</v>
      </c>
      <c r="AG842">
        <v>70</v>
      </c>
      <c r="AH842">
        <v>18</v>
      </c>
      <c r="AI842">
        <v>20</v>
      </c>
      <c r="AJ842">
        <v>1</v>
      </c>
      <c r="AK842">
        <v>26</v>
      </c>
      <c r="AL842" t="s">
        <v>332</v>
      </c>
      <c r="AM842" t="s">
        <v>333</v>
      </c>
      <c r="AN842" t="s">
        <v>334</v>
      </c>
      <c r="AO842" t="s">
        <v>15807</v>
      </c>
      <c r="AP842" t="s">
        <v>15808</v>
      </c>
      <c r="AQ842" t="s">
        <v>74</v>
      </c>
      <c r="AR842" t="s">
        <v>15809</v>
      </c>
      <c r="AS842" t="s">
        <v>15810</v>
      </c>
      <c r="AT842" t="s">
        <v>74</v>
      </c>
      <c r="AU842">
        <v>2017</v>
      </c>
      <c r="AV842">
        <v>46</v>
      </c>
      <c r="AW842" t="s">
        <v>5324</v>
      </c>
      <c r="AX842" t="s">
        <v>74</v>
      </c>
      <c r="AY842" t="s">
        <v>74</v>
      </c>
      <c r="AZ842" t="s">
        <v>74</v>
      </c>
      <c r="BA842" t="s">
        <v>74</v>
      </c>
      <c r="BB842">
        <v>476</v>
      </c>
      <c r="BC842">
        <v>498</v>
      </c>
      <c r="BD842" t="s">
        <v>74</v>
      </c>
      <c r="BE842" t="s">
        <v>15811</v>
      </c>
      <c r="BF842" t="str">
        <f>HYPERLINK("http://dx.doi.org/10.1080/03085147.2017.1412643","http://dx.doi.org/10.1080/03085147.2017.1412643")</f>
        <v>http://dx.doi.org/10.1080/03085147.2017.1412643</v>
      </c>
      <c r="BG842" t="s">
        <v>74</v>
      </c>
      <c r="BH842" t="s">
        <v>74</v>
      </c>
      <c r="BI842">
        <v>23</v>
      </c>
      <c r="BJ842" t="s">
        <v>15812</v>
      </c>
      <c r="BK842" t="s">
        <v>99</v>
      </c>
      <c r="BL842" t="s">
        <v>15813</v>
      </c>
      <c r="BM842" t="s">
        <v>15814</v>
      </c>
      <c r="BN842" t="s">
        <v>74</v>
      </c>
      <c r="BO842" t="s">
        <v>74</v>
      </c>
      <c r="BP842" t="s">
        <v>74</v>
      </c>
      <c r="BQ842" t="s">
        <v>74</v>
      </c>
      <c r="BR842" t="s">
        <v>102</v>
      </c>
      <c r="BS842" t="s">
        <v>15815</v>
      </c>
      <c r="BT842" t="str">
        <f>HYPERLINK("https%3A%2F%2Fwww.webofscience.com%2Fwos%2Fwoscc%2Ffull-record%2FWOS:000424166300008","View Full Record in Web of Science")</f>
        <v>View Full Record in Web of Science</v>
      </c>
    </row>
    <row r="843" spans="1:72" x14ac:dyDescent="0.25">
      <c r="A843" t="s">
        <v>72</v>
      </c>
      <c r="B843" t="s">
        <v>15816</v>
      </c>
      <c r="C843" t="s">
        <v>74</v>
      </c>
      <c r="D843" t="s">
        <v>74</v>
      </c>
      <c r="E843" t="s">
        <v>74</v>
      </c>
      <c r="F843" t="s">
        <v>15817</v>
      </c>
      <c r="G843" t="s">
        <v>74</v>
      </c>
      <c r="H843" t="s">
        <v>74</v>
      </c>
      <c r="I843" t="s">
        <v>15818</v>
      </c>
      <c r="J843" t="s">
        <v>2471</v>
      </c>
      <c r="K843" t="s">
        <v>74</v>
      </c>
      <c r="L843" t="s">
        <v>74</v>
      </c>
      <c r="M843" t="s">
        <v>78</v>
      </c>
      <c r="N843" t="s">
        <v>79</v>
      </c>
      <c r="O843" t="s">
        <v>74</v>
      </c>
      <c r="P843" t="s">
        <v>74</v>
      </c>
      <c r="Q843" t="s">
        <v>74</v>
      </c>
      <c r="R843" t="s">
        <v>74</v>
      </c>
      <c r="S843" t="s">
        <v>74</v>
      </c>
      <c r="T843" t="s">
        <v>15819</v>
      </c>
      <c r="U843" t="s">
        <v>15820</v>
      </c>
      <c r="V843" t="s">
        <v>15821</v>
      </c>
      <c r="W843" t="s">
        <v>15822</v>
      </c>
      <c r="X843" t="s">
        <v>15823</v>
      </c>
      <c r="Y843" t="s">
        <v>15824</v>
      </c>
      <c r="Z843" t="s">
        <v>15825</v>
      </c>
      <c r="AA843" t="s">
        <v>15826</v>
      </c>
      <c r="AB843" t="s">
        <v>15827</v>
      </c>
      <c r="AC843" t="s">
        <v>74</v>
      </c>
      <c r="AD843" t="s">
        <v>74</v>
      </c>
      <c r="AE843" t="s">
        <v>74</v>
      </c>
      <c r="AF843" t="s">
        <v>74</v>
      </c>
      <c r="AG843">
        <v>81</v>
      </c>
      <c r="AH843">
        <v>2</v>
      </c>
      <c r="AI843">
        <v>2</v>
      </c>
      <c r="AJ843">
        <v>3</v>
      </c>
      <c r="AK843">
        <v>5</v>
      </c>
      <c r="AL843" t="s">
        <v>823</v>
      </c>
      <c r="AM843" t="s">
        <v>333</v>
      </c>
      <c r="AN843" t="s">
        <v>824</v>
      </c>
      <c r="AO843" t="s">
        <v>2484</v>
      </c>
      <c r="AP843" t="s">
        <v>74</v>
      </c>
      <c r="AQ843" t="s">
        <v>74</v>
      </c>
      <c r="AR843" t="s">
        <v>2485</v>
      </c>
      <c r="AS843" t="s">
        <v>2486</v>
      </c>
      <c r="AT843" t="s">
        <v>2970</v>
      </c>
      <c r="AU843">
        <v>2025</v>
      </c>
      <c r="AV843">
        <v>11</v>
      </c>
      <c r="AW843">
        <v>1</v>
      </c>
      <c r="AX843" t="s">
        <v>74</v>
      </c>
      <c r="AY843" t="s">
        <v>74</v>
      </c>
      <c r="AZ843" t="s">
        <v>74</v>
      </c>
      <c r="BA843" t="s">
        <v>74</v>
      </c>
      <c r="BB843" t="s">
        <v>74</v>
      </c>
      <c r="BC843" t="s">
        <v>74</v>
      </c>
      <c r="BD843">
        <v>2491701</v>
      </c>
      <c r="BE843" t="s">
        <v>15828</v>
      </c>
      <c r="BF843" t="str">
        <f>HYPERLINK("http://dx.doi.org/10.1080/23311886.2025.2491701","http://dx.doi.org/10.1080/23311886.2025.2491701")</f>
        <v>http://dx.doi.org/10.1080/23311886.2025.2491701</v>
      </c>
      <c r="BG843" t="s">
        <v>74</v>
      </c>
      <c r="BH843" t="s">
        <v>74</v>
      </c>
      <c r="BI843">
        <v>22</v>
      </c>
      <c r="BJ843" t="s">
        <v>364</v>
      </c>
      <c r="BK843" t="s">
        <v>313</v>
      </c>
      <c r="BL843" t="s">
        <v>365</v>
      </c>
      <c r="BM843" t="s">
        <v>15829</v>
      </c>
      <c r="BN843" t="s">
        <v>74</v>
      </c>
      <c r="BO843" t="s">
        <v>916</v>
      </c>
      <c r="BP843" t="s">
        <v>74</v>
      </c>
      <c r="BQ843" t="s">
        <v>74</v>
      </c>
      <c r="BR843" t="s">
        <v>102</v>
      </c>
      <c r="BS843" t="s">
        <v>15830</v>
      </c>
      <c r="BT843" t="str">
        <f>HYPERLINK("https%3A%2F%2Fwww.webofscience.com%2Fwos%2Fwoscc%2Ffull-record%2FWOS:001467095900001","View Full Record in Web of Science")</f>
        <v>View Full Record in Web of Science</v>
      </c>
    </row>
    <row r="844" spans="1:72" x14ac:dyDescent="0.25">
      <c r="A844" t="s">
        <v>72</v>
      </c>
      <c r="B844" t="s">
        <v>15831</v>
      </c>
      <c r="C844" t="s">
        <v>74</v>
      </c>
      <c r="D844" t="s">
        <v>74</v>
      </c>
      <c r="E844" t="s">
        <v>74</v>
      </c>
      <c r="F844" t="s">
        <v>15832</v>
      </c>
      <c r="G844" t="s">
        <v>74</v>
      </c>
      <c r="H844" t="s">
        <v>74</v>
      </c>
      <c r="I844" t="s">
        <v>15833</v>
      </c>
      <c r="J844" t="s">
        <v>1681</v>
      </c>
      <c r="K844" t="s">
        <v>74</v>
      </c>
      <c r="L844" t="s">
        <v>74</v>
      </c>
      <c r="M844" t="s">
        <v>78</v>
      </c>
      <c r="N844" t="s">
        <v>79</v>
      </c>
      <c r="O844" t="s">
        <v>74</v>
      </c>
      <c r="P844" t="s">
        <v>74</v>
      </c>
      <c r="Q844" t="s">
        <v>74</v>
      </c>
      <c r="R844" t="s">
        <v>74</v>
      </c>
      <c r="S844" t="s">
        <v>74</v>
      </c>
      <c r="T844" t="s">
        <v>15834</v>
      </c>
      <c r="U844" t="s">
        <v>15835</v>
      </c>
      <c r="V844" t="s">
        <v>15836</v>
      </c>
      <c r="W844" t="s">
        <v>15837</v>
      </c>
      <c r="X844" t="s">
        <v>15838</v>
      </c>
      <c r="Y844" t="s">
        <v>15839</v>
      </c>
      <c r="Z844" t="s">
        <v>74</v>
      </c>
      <c r="AA844" t="s">
        <v>74</v>
      </c>
      <c r="AB844" t="s">
        <v>74</v>
      </c>
      <c r="AC844" t="s">
        <v>74</v>
      </c>
      <c r="AD844" t="s">
        <v>74</v>
      </c>
      <c r="AE844" t="s">
        <v>74</v>
      </c>
      <c r="AF844" t="s">
        <v>74</v>
      </c>
      <c r="AG844">
        <v>59</v>
      </c>
      <c r="AH844">
        <v>22</v>
      </c>
      <c r="AI844">
        <v>29</v>
      </c>
      <c r="AJ844">
        <v>1</v>
      </c>
      <c r="AK844">
        <v>62</v>
      </c>
      <c r="AL844" t="s">
        <v>332</v>
      </c>
      <c r="AM844" t="s">
        <v>333</v>
      </c>
      <c r="AN844" t="s">
        <v>334</v>
      </c>
      <c r="AO844" t="s">
        <v>1689</v>
      </c>
      <c r="AP844" t="s">
        <v>1690</v>
      </c>
      <c r="AQ844" t="s">
        <v>74</v>
      </c>
      <c r="AR844" t="s">
        <v>1691</v>
      </c>
      <c r="AS844" t="s">
        <v>1692</v>
      </c>
      <c r="AT844" t="s">
        <v>124</v>
      </c>
      <c r="AU844">
        <v>2013</v>
      </c>
      <c r="AV844">
        <v>47</v>
      </c>
      <c r="AW844">
        <v>4</v>
      </c>
      <c r="AX844" t="s">
        <v>74</v>
      </c>
      <c r="AY844" t="s">
        <v>74</v>
      </c>
      <c r="AZ844" t="s">
        <v>74</v>
      </c>
      <c r="BA844" t="s">
        <v>74</v>
      </c>
      <c r="BB844">
        <v>873</v>
      </c>
      <c r="BC844">
        <v>893</v>
      </c>
      <c r="BD844" t="s">
        <v>74</v>
      </c>
      <c r="BE844" t="s">
        <v>15840</v>
      </c>
      <c r="BF844" t="str">
        <f>HYPERLINK("http://dx.doi.org/10.2753/JEI0021-3624470404","http://dx.doi.org/10.2753/JEI0021-3624470404")</f>
        <v>http://dx.doi.org/10.2753/JEI0021-3624470404</v>
      </c>
      <c r="BG844" t="s">
        <v>74</v>
      </c>
      <c r="BH844" t="s">
        <v>74</v>
      </c>
      <c r="BI844">
        <v>21</v>
      </c>
      <c r="BJ844" t="s">
        <v>291</v>
      </c>
      <c r="BK844" t="s">
        <v>99</v>
      </c>
      <c r="BL844" t="s">
        <v>100</v>
      </c>
      <c r="BM844" t="s">
        <v>15841</v>
      </c>
      <c r="BN844" t="s">
        <v>74</v>
      </c>
      <c r="BO844" t="s">
        <v>74</v>
      </c>
      <c r="BP844" t="s">
        <v>74</v>
      </c>
      <c r="BQ844" t="s">
        <v>74</v>
      </c>
      <c r="BR844" t="s">
        <v>102</v>
      </c>
      <c r="BS844" t="s">
        <v>15842</v>
      </c>
      <c r="BT844" t="str">
        <f>HYPERLINK("https%3A%2F%2Fwww.webofscience.com%2Fwos%2Fwoscc%2Ffull-record%2FWOS:000328263300004","View Full Record in Web of Science")</f>
        <v>View Full Record in Web of Science</v>
      </c>
    </row>
    <row r="845" spans="1:72" x14ac:dyDescent="0.25">
      <c r="A845" t="s">
        <v>72</v>
      </c>
      <c r="B845" t="s">
        <v>15843</v>
      </c>
      <c r="C845" t="s">
        <v>74</v>
      </c>
      <c r="D845" t="s">
        <v>74</v>
      </c>
      <c r="E845" t="s">
        <v>74</v>
      </c>
      <c r="F845" t="s">
        <v>15844</v>
      </c>
      <c r="G845" t="s">
        <v>74</v>
      </c>
      <c r="H845" t="s">
        <v>74</v>
      </c>
      <c r="I845" t="s">
        <v>15845</v>
      </c>
      <c r="J845" t="s">
        <v>246</v>
      </c>
      <c r="K845" t="s">
        <v>74</v>
      </c>
      <c r="L845" t="s">
        <v>74</v>
      </c>
      <c r="M845" t="s">
        <v>78</v>
      </c>
      <c r="N845" t="s">
        <v>79</v>
      </c>
      <c r="O845" t="s">
        <v>74</v>
      </c>
      <c r="P845" t="s">
        <v>74</v>
      </c>
      <c r="Q845" t="s">
        <v>74</v>
      </c>
      <c r="R845" t="s">
        <v>74</v>
      </c>
      <c r="S845" t="s">
        <v>74</v>
      </c>
      <c r="T845" t="s">
        <v>15846</v>
      </c>
      <c r="U845" t="s">
        <v>15847</v>
      </c>
      <c r="V845" t="s">
        <v>15848</v>
      </c>
      <c r="W845" t="s">
        <v>15849</v>
      </c>
      <c r="X845" t="s">
        <v>15850</v>
      </c>
      <c r="Y845" t="s">
        <v>15851</v>
      </c>
      <c r="Z845" t="s">
        <v>15852</v>
      </c>
      <c r="AA845" t="s">
        <v>15853</v>
      </c>
      <c r="AB845" t="s">
        <v>15854</v>
      </c>
      <c r="AC845" t="s">
        <v>74</v>
      </c>
      <c r="AD845" t="s">
        <v>74</v>
      </c>
      <c r="AE845" t="s">
        <v>74</v>
      </c>
      <c r="AF845" t="s">
        <v>74</v>
      </c>
      <c r="AG845">
        <v>52</v>
      </c>
      <c r="AH845">
        <v>56</v>
      </c>
      <c r="AI845">
        <v>76</v>
      </c>
      <c r="AJ845">
        <v>58</v>
      </c>
      <c r="AK845">
        <v>317</v>
      </c>
      <c r="AL845" t="s">
        <v>259</v>
      </c>
      <c r="AM845" t="s">
        <v>260</v>
      </c>
      <c r="AN845" t="s">
        <v>261</v>
      </c>
      <c r="AO845" t="s">
        <v>262</v>
      </c>
      <c r="AP845" t="s">
        <v>263</v>
      </c>
      <c r="AQ845" t="s">
        <v>74</v>
      </c>
      <c r="AR845" t="s">
        <v>264</v>
      </c>
      <c r="AS845" t="s">
        <v>265</v>
      </c>
      <c r="AT845" t="s">
        <v>124</v>
      </c>
      <c r="AU845">
        <v>2023</v>
      </c>
      <c r="AV845">
        <v>58</v>
      </c>
      <c r="AW845" t="s">
        <v>74</v>
      </c>
      <c r="AX845" t="s">
        <v>8303</v>
      </c>
      <c r="AY845" t="s">
        <v>74</v>
      </c>
      <c r="AZ845" t="s">
        <v>74</v>
      </c>
      <c r="BA845" t="s">
        <v>74</v>
      </c>
      <c r="BB845" t="s">
        <v>74</v>
      </c>
      <c r="BC845" t="s">
        <v>74</v>
      </c>
      <c r="BD845">
        <v>104438</v>
      </c>
      <c r="BE845" t="s">
        <v>15855</v>
      </c>
      <c r="BF845" t="str">
        <f>HYPERLINK("http://dx.doi.org/10.1016/j.frl.2023.104438","http://dx.doi.org/10.1016/j.frl.2023.104438")</f>
        <v>http://dx.doi.org/10.1016/j.frl.2023.104438</v>
      </c>
      <c r="BG845" t="s">
        <v>74</v>
      </c>
      <c r="BH845" t="s">
        <v>5567</v>
      </c>
      <c r="BI845">
        <v>7</v>
      </c>
      <c r="BJ845" t="s">
        <v>268</v>
      </c>
      <c r="BK845" t="s">
        <v>99</v>
      </c>
      <c r="BL845" t="s">
        <v>100</v>
      </c>
      <c r="BM845" t="s">
        <v>15856</v>
      </c>
      <c r="BN845" t="s">
        <v>74</v>
      </c>
      <c r="BO845" t="s">
        <v>1696</v>
      </c>
      <c r="BP845" t="s">
        <v>74</v>
      </c>
      <c r="BQ845" t="s">
        <v>74</v>
      </c>
      <c r="BR845" t="s">
        <v>102</v>
      </c>
      <c r="BS845" t="s">
        <v>15857</v>
      </c>
      <c r="BT845" t="str">
        <f>HYPERLINK("https%3A%2F%2Fwww.webofscience.com%2Fwos%2Fwoscc%2Ffull-record%2FWOS:001078718100001","View Full Record in Web of Science")</f>
        <v>View Full Record in Web of Science</v>
      </c>
    </row>
    <row r="846" spans="1:72" x14ac:dyDescent="0.25">
      <c r="A846" t="s">
        <v>72</v>
      </c>
      <c r="B846" t="s">
        <v>15858</v>
      </c>
      <c r="C846" t="s">
        <v>74</v>
      </c>
      <c r="D846" t="s">
        <v>74</v>
      </c>
      <c r="E846" t="s">
        <v>74</v>
      </c>
      <c r="F846" t="s">
        <v>15859</v>
      </c>
      <c r="G846" t="s">
        <v>74</v>
      </c>
      <c r="H846" t="s">
        <v>74</v>
      </c>
      <c r="I846" t="s">
        <v>15860</v>
      </c>
      <c r="J846" t="s">
        <v>14349</v>
      </c>
      <c r="K846" t="s">
        <v>74</v>
      </c>
      <c r="L846" t="s">
        <v>74</v>
      </c>
      <c r="M846" t="s">
        <v>78</v>
      </c>
      <c r="N846" t="s">
        <v>79</v>
      </c>
      <c r="O846" t="s">
        <v>74</v>
      </c>
      <c r="P846" t="s">
        <v>74</v>
      </c>
      <c r="Q846" t="s">
        <v>74</v>
      </c>
      <c r="R846" t="s">
        <v>74</v>
      </c>
      <c r="S846" t="s">
        <v>74</v>
      </c>
      <c r="T846" t="s">
        <v>15861</v>
      </c>
      <c r="U846" t="s">
        <v>15862</v>
      </c>
      <c r="V846" t="s">
        <v>15863</v>
      </c>
      <c r="W846" t="s">
        <v>15864</v>
      </c>
      <c r="X846" t="s">
        <v>1417</v>
      </c>
      <c r="Y846" t="s">
        <v>15865</v>
      </c>
      <c r="Z846" t="s">
        <v>15866</v>
      </c>
      <c r="AA846" t="s">
        <v>74</v>
      </c>
      <c r="AB846" t="s">
        <v>15867</v>
      </c>
      <c r="AC846" t="s">
        <v>74</v>
      </c>
      <c r="AD846" t="s">
        <v>74</v>
      </c>
      <c r="AE846" t="s">
        <v>74</v>
      </c>
      <c r="AF846" t="s">
        <v>74</v>
      </c>
      <c r="AG846">
        <v>73</v>
      </c>
      <c r="AH846">
        <v>29</v>
      </c>
      <c r="AI846">
        <v>32</v>
      </c>
      <c r="AJ846">
        <v>2</v>
      </c>
      <c r="AK846">
        <v>32</v>
      </c>
      <c r="AL846" t="s">
        <v>332</v>
      </c>
      <c r="AM846" t="s">
        <v>333</v>
      </c>
      <c r="AN846" t="s">
        <v>334</v>
      </c>
      <c r="AO846" t="s">
        <v>14355</v>
      </c>
      <c r="AP846" t="s">
        <v>14356</v>
      </c>
      <c r="AQ846" t="s">
        <v>74</v>
      </c>
      <c r="AR846" t="s">
        <v>14357</v>
      </c>
      <c r="AS846" t="s">
        <v>14358</v>
      </c>
      <c r="AT846" t="s">
        <v>2082</v>
      </c>
      <c r="AU846">
        <v>2022</v>
      </c>
      <c r="AV846">
        <v>15</v>
      </c>
      <c r="AW846">
        <v>4</v>
      </c>
      <c r="AX846" t="s">
        <v>74</v>
      </c>
      <c r="AY846" t="s">
        <v>74</v>
      </c>
      <c r="AZ846" t="s">
        <v>441</v>
      </c>
      <c r="BA846" t="s">
        <v>74</v>
      </c>
      <c r="BB846">
        <v>436</v>
      </c>
      <c r="BC846">
        <v>451</v>
      </c>
      <c r="BD846">
        <v>2018347</v>
      </c>
      <c r="BE846" t="s">
        <v>15868</v>
      </c>
      <c r="BF846" t="str">
        <f>HYPERLINK("http://dx.doi.org/10.1080/17530350.2021.2018347","http://dx.doi.org/10.1080/17530350.2021.2018347")</f>
        <v>http://dx.doi.org/10.1080/17530350.2021.2018347</v>
      </c>
      <c r="BG846" t="s">
        <v>74</v>
      </c>
      <c r="BH846" t="s">
        <v>674</v>
      </c>
      <c r="BI846">
        <v>16</v>
      </c>
      <c r="BJ846" t="s">
        <v>14360</v>
      </c>
      <c r="BK846" t="s">
        <v>871</v>
      </c>
      <c r="BL846" t="s">
        <v>14361</v>
      </c>
      <c r="BM846" t="s">
        <v>15869</v>
      </c>
      <c r="BN846" t="s">
        <v>74</v>
      </c>
      <c r="BO846" t="s">
        <v>3694</v>
      </c>
      <c r="BP846" t="s">
        <v>74</v>
      </c>
      <c r="BQ846" t="s">
        <v>74</v>
      </c>
      <c r="BR846" t="s">
        <v>102</v>
      </c>
      <c r="BS846" t="s">
        <v>15870</v>
      </c>
      <c r="BT846" t="str">
        <f>HYPERLINK("https%3A%2F%2Fwww.webofscience.com%2Fwos%2Fwoscc%2Ffull-record%2FWOS:000756166700001","View Full Record in Web of Science")</f>
        <v>View Full Record in Web of Science</v>
      </c>
    </row>
    <row r="847" spans="1:72" x14ac:dyDescent="0.25">
      <c r="A847" t="s">
        <v>72</v>
      </c>
      <c r="B847" t="s">
        <v>15871</v>
      </c>
      <c r="C847" t="s">
        <v>74</v>
      </c>
      <c r="D847" t="s">
        <v>74</v>
      </c>
      <c r="E847" t="s">
        <v>74</v>
      </c>
      <c r="F847" t="s">
        <v>15872</v>
      </c>
      <c r="G847" t="s">
        <v>74</v>
      </c>
      <c r="H847" t="s">
        <v>74</v>
      </c>
      <c r="I847" t="s">
        <v>15873</v>
      </c>
      <c r="J847" t="s">
        <v>15874</v>
      </c>
      <c r="K847" t="s">
        <v>74</v>
      </c>
      <c r="L847" t="s">
        <v>74</v>
      </c>
      <c r="M847" t="s">
        <v>78</v>
      </c>
      <c r="N847" t="s">
        <v>79</v>
      </c>
      <c r="O847" t="s">
        <v>74</v>
      </c>
      <c r="P847" t="s">
        <v>74</v>
      </c>
      <c r="Q847" t="s">
        <v>74</v>
      </c>
      <c r="R847" t="s">
        <v>74</v>
      </c>
      <c r="S847" t="s">
        <v>74</v>
      </c>
      <c r="T847" t="s">
        <v>15875</v>
      </c>
      <c r="U847" t="s">
        <v>15876</v>
      </c>
      <c r="V847" t="s">
        <v>15877</v>
      </c>
      <c r="W847" t="s">
        <v>15878</v>
      </c>
      <c r="X847" t="s">
        <v>15879</v>
      </c>
      <c r="Y847" t="s">
        <v>15880</v>
      </c>
      <c r="Z847" t="s">
        <v>15881</v>
      </c>
      <c r="AA847" t="s">
        <v>74</v>
      </c>
      <c r="AB847" t="s">
        <v>74</v>
      </c>
      <c r="AC847" t="s">
        <v>74</v>
      </c>
      <c r="AD847" t="s">
        <v>74</v>
      </c>
      <c r="AE847" t="s">
        <v>74</v>
      </c>
      <c r="AF847" t="s">
        <v>74</v>
      </c>
      <c r="AG847">
        <v>58</v>
      </c>
      <c r="AH847">
        <v>41</v>
      </c>
      <c r="AI847">
        <v>68</v>
      </c>
      <c r="AJ847">
        <v>1</v>
      </c>
      <c r="AK847">
        <v>10</v>
      </c>
      <c r="AL847" t="s">
        <v>15882</v>
      </c>
      <c r="AM847" t="s">
        <v>15883</v>
      </c>
      <c r="AN847" t="s">
        <v>15884</v>
      </c>
      <c r="AO847" t="s">
        <v>15885</v>
      </c>
      <c r="AP847" t="s">
        <v>15886</v>
      </c>
      <c r="AQ847" t="s">
        <v>74</v>
      </c>
      <c r="AR847" t="s">
        <v>15887</v>
      </c>
      <c r="AS847" t="s">
        <v>15888</v>
      </c>
      <c r="AT847" t="s">
        <v>698</v>
      </c>
      <c r="AU847">
        <v>2019</v>
      </c>
      <c r="AV847">
        <v>19</v>
      </c>
      <c r="AW847">
        <v>3</v>
      </c>
      <c r="AX847" t="s">
        <v>74</v>
      </c>
      <c r="AY847" t="s">
        <v>74</v>
      </c>
      <c r="AZ847" t="s">
        <v>74</v>
      </c>
      <c r="BA847" t="s">
        <v>74</v>
      </c>
      <c r="BB847">
        <v>107</v>
      </c>
      <c r="BC847">
        <v>113</v>
      </c>
      <c r="BD847" t="s">
        <v>74</v>
      </c>
      <c r="BE847" t="s">
        <v>15889</v>
      </c>
      <c r="BF847" t="str">
        <f>HYPERLINK("http://dx.doi.org/10.1016/j.cbrev.2019.08.004","http://dx.doi.org/10.1016/j.cbrev.2019.08.004")</f>
        <v>http://dx.doi.org/10.1016/j.cbrev.2019.08.004</v>
      </c>
      <c r="BG847" t="s">
        <v>74</v>
      </c>
      <c r="BH847" t="s">
        <v>74</v>
      </c>
      <c r="BI847">
        <v>7</v>
      </c>
      <c r="BJ847" t="s">
        <v>291</v>
      </c>
      <c r="BK847" t="s">
        <v>313</v>
      </c>
      <c r="BL847" t="s">
        <v>100</v>
      </c>
      <c r="BM847" t="s">
        <v>15890</v>
      </c>
      <c r="BN847" t="s">
        <v>74</v>
      </c>
      <c r="BO847" t="s">
        <v>916</v>
      </c>
      <c r="BP847" t="s">
        <v>74</v>
      </c>
      <c r="BQ847" t="s">
        <v>74</v>
      </c>
      <c r="BR847" t="s">
        <v>102</v>
      </c>
      <c r="BS847" t="s">
        <v>15891</v>
      </c>
      <c r="BT847" t="str">
        <f>HYPERLINK("https%3A%2F%2Fwww.webofscience.com%2Fwos%2Fwoscc%2Ffull-record%2FWOS:000510656900003","View Full Record in Web of Science")</f>
        <v>View Full Record in Web of Science</v>
      </c>
    </row>
    <row r="848" spans="1:72" x14ac:dyDescent="0.25">
      <c r="A848" t="s">
        <v>72</v>
      </c>
      <c r="B848" t="s">
        <v>15892</v>
      </c>
      <c r="C848" t="s">
        <v>74</v>
      </c>
      <c r="D848" t="s">
        <v>74</v>
      </c>
      <c r="E848" t="s">
        <v>74</v>
      </c>
      <c r="F848" t="s">
        <v>15893</v>
      </c>
      <c r="G848" t="s">
        <v>74</v>
      </c>
      <c r="H848" t="s">
        <v>74</v>
      </c>
      <c r="I848" t="s">
        <v>15894</v>
      </c>
      <c r="J848" t="s">
        <v>5812</v>
      </c>
      <c r="K848" t="s">
        <v>74</v>
      </c>
      <c r="L848" t="s">
        <v>74</v>
      </c>
      <c r="M848" t="s">
        <v>78</v>
      </c>
      <c r="N848" t="s">
        <v>372</v>
      </c>
      <c r="O848" t="s">
        <v>74</v>
      </c>
      <c r="P848" t="s">
        <v>74</v>
      </c>
      <c r="Q848" t="s">
        <v>74</v>
      </c>
      <c r="R848" t="s">
        <v>74</v>
      </c>
      <c r="S848" t="s">
        <v>74</v>
      </c>
      <c r="T848" t="s">
        <v>15895</v>
      </c>
      <c r="U848" t="s">
        <v>15896</v>
      </c>
      <c r="V848" t="s">
        <v>15897</v>
      </c>
      <c r="W848" t="s">
        <v>15898</v>
      </c>
      <c r="X848" t="s">
        <v>15899</v>
      </c>
      <c r="Y848" t="s">
        <v>15900</v>
      </c>
      <c r="Z848" t="s">
        <v>15901</v>
      </c>
      <c r="AA848" t="s">
        <v>9881</v>
      </c>
      <c r="AB848" t="s">
        <v>9882</v>
      </c>
      <c r="AC848" t="s">
        <v>15902</v>
      </c>
      <c r="AD848" t="s">
        <v>15903</v>
      </c>
      <c r="AE848" t="s">
        <v>15904</v>
      </c>
      <c r="AF848" t="s">
        <v>74</v>
      </c>
      <c r="AG848">
        <v>49</v>
      </c>
      <c r="AH848">
        <v>12</v>
      </c>
      <c r="AI848">
        <v>13</v>
      </c>
      <c r="AJ848">
        <v>1</v>
      </c>
      <c r="AK848">
        <v>86</v>
      </c>
      <c r="AL848" t="s">
        <v>332</v>
      </c>
      <c r="AM848" t="s">
        <v>333</v>
      </c>
      <c r="AN848" t="s">
        <v>334</v>
      </c>
      <c r="AO848" t="s">
        <v>5820</v>
      </c>
      <c r="AP848" t="s">
        <v>5821</v>
      </c>
      <c r="AQ848" t="s">
        <v>74</v>
      </c>
      <c r="AR848" t="s">
        <v>5822</v>
      </c>
      <c r="AS848" t="s">
        <v>5823</v>
      </c>
      <c r="AT848" t="s">
        <v>15905</v>
      </c>
      <c r="AU848">
        <v>2022</v>
      </c>
      <c r="AV848" t="s">
        <v>74</v>
      </c>
      <c r="AW848" t="s">
        <v>74</v>
      </c>
      <c r="AX848" t="s">
        <v>74</v>
      </c>
      <c r="AY848" t="s">
        <v>74</v>
      </c>
      <c r="AZ848" t="s">
        <v>74</v>
      </c>
      <c r="BA848" t="s">
        <v>74</v>
      </c>
      <c r="BB848" t="s">
        <v>74</v>
      </c>
      <c r="BC848" t="s">
        <v>74</v>
      </c>
      <c r="BD848" t="s">
        <v>74</v>
      </c>
      <c r="BE848" t="s">
        <v>15906</v>
      </c>
      <c r="BF848" t="str">
        <f>HYPERLINK("http://dx.doi.org/10.1080/1331677X.2022.2097103","http://dx.doi.org/10.1080/1331677X.2022.2097103")</f>
        <v>http://dx.doi.org/10.1080/1331677X.2022.2097103</v>
      </c>
      <c r="BG848" t="s">
        <v>74</v>
      </c>
      <c r="BH848" t="s">
        <v>126</v>
      </c>
      <c r="BI848">
        <v>18</v>
      </c>
      <c r="BJ848" t="s">
        <v>291</v>
      </c>
      <c r="BK848" t="s">
        <v>99</v>
      </c>
      <c r="BL848" t="s">
        <v>100</v>
      </c>
      <c r="BM848" t="s">
        <v>15907</v>
      </c>
      <c r="BN848" t="s">
        <v>74</v>
      </c>
      <c r="BO848" t="s">
        <v>270</v>
      </c>
      <c r="BP848" t="s">
        <v>74</v>
      </c>
      <c r="BQ848" t="s">
        <v>74</v>
      </c>
      <c r="BR848" t="s">
        <v>102</v>
      </c>
      <c r="BS848" t="s">
        <v>15908</v>
      </c>
      <c r="BT848" t="str">
        <f>HYPERLINK("https%3A%2F%2Fwww.webofscience.com%2Fwos%2Fwoscc%2Ffull-record%2FWOS:000828053000001","View Full Record in Web of Science")</f>
        <v>View Full Record in Web of Science</v>
      </c>
    </row>
    <row r="849" spans="1:72" x14ac:dyDescent="0.25">
      <c r="A849" t="s">
        <v>72</v>
      </c>
      <c r="B849" t="s">
        <v>15909</v>
      </c>
      <c r="C849" t="s">
        <v>74</v>
      </c>
      <c r="D849" t="s">
        <v>74</v>
      </c>
      <c r="E849" t="s">
        <v>74</v>
      </c>
      <c r="F849" t="s">
        <v>15910</v>
      </c>
      <c r="G849" t="s">
        <v>74</v>
      </c>
      <c r="H849" t="s">
        <v>74</v>
      </c>
      <c r="I849" t="s">
        <v>15911</v>
      </c>
      <c r="J849" t="s">
        <v>1435</v>
      </c>
      <c r="K849" t="s">
        <v>74</v>
      </c>
      <c r="L849" t="s">
        <v>74</v>
      </c>
      <c r="M849" t="s">
        <v>78</v>
      </c>
      <c r="N849" t="s">
        <v>79</v>
      </c>
      <c r="O849" t="s">
        <v>74</v>
      </c>
      <c r="P849" t="s">
        <v>74</v>
      </c>
      <c r="Q849" t="s">
        <v>74</v>
      </c>
      <c r="R849" t="s">
        <v>74</v>
      </c>
      <c r="S849" t="s">
        <v>74</v>
      </c>
      <c r="T849" t="s">
        <v>15912</v>
      </c>
      <c r="U849" t="s">
        <v>15913</v>
      </c>
      <c r="V849" t="s">
        <v>15914</v>
      </c>
      <c r="W849" t="s">
        <v>15915</v>
      </c>
      <c r="X849" t="s">
        <v>15916</v>
      </c>
      <c r="Y849" t="s">
        <v>15917</v>
      </c>
      <c r="Z849" t="s">
        <v>15918</v>
      </c>
      <c r="AA849" t="s">
        <v>15919</v>
      </c>
      <c r="AB849" t="s">
        <v>74</v>
      </c>
      <c r="AC849" t="s">
        <v>74</v>
      </c>
      <c r="AD849" t="s">
        <v>74</v>
      </c>
      <c r="AE849" t="s">
        <v>74</v>
      </c>
      <c r="AF849" t="s">
        <v>74</v>
      </c>
      <c r="AG849">
        <v>63</v>
      </c>
      <c r="AH849">
        <v>0</v>
      </c>
      <c r="AI849">
        <v>0</v>
      </c>
      <c r="AJ849">
        <v>1</v>
      </c>
      <c r="AK849">
        <v>1</v>
      </c>
      <c r="AL849" t="s">
        <v>1445</v>
      </c>
      <c r="AM849" t="s">
        <v>1446</v>
      </c>
      <c r="AN849" t="s">
        <v>10534</v>
      </c>
      <c r="AO849" t="s">
        <v>1448</v>
      </c>
      <c r="AP849" t="s">
        <v>1449</v>
      </c>
      <c r="AQ849" t="s">
        <v>74</v>
      </c>
      <c r="AR849" t="s">
        <v>1450</v>
      </c>
      <c r="AS849" t="s">
        <v>1451</v>
      </c>
      <c r="AT849" t="s">
        <v>74</v>
      </c>
      <c r="AU849">
        <v>2025</v>
      </c>
      <c r="AV849">
        <v>18</v>
      </c>
      <c r="AW849">
        <v>3</v>
      </c>
      <c r="AX849" t="s">
        <v>74</v>
      </c>
      <c r="AY849" t="s">
        <v>74</v>
      </c>
      <c r="AZ849" t="s">
        <v>74</v>
      </c>
      <c r="BA849" t="s">
        <v>74</v>
      </c>
      <c r="BB849">
        <v>26</v>
      </c>
      <c r="BC849">
        <v>42</v>
      </c>
      <c r="BD849" t="s">
        <v>74</v>
      </c>
      <c r="BE849" t="s">
        <v>15920</v>
      </c>
      <c r="BF849" t="str">
        <f>HYPERLINK("http://dx.doi.org/10.14254/2071-789X.2025/18-3/2","http://dx.doi.org/10.14254/2071-789X.2025/18-3/2")</f>
        <v>http://dx.doi.org/10.14254/2071-789X.2025/18-3/2</v>
      </c>
      <c r="BG849" t="s">
        <v>74</v>
      </c>
      <c r="BH849" t="s">
        <v>74</v>
      </c>
      <c r="BI849">
        <v>17</v>
      </c>
      <c r="BJ849" t="s">
        <v>1453</v>
      </c>
      <c r="BK849" t="s">
        <v>313</v>
      </c>
      <c r="BL849" t="s">
        <v>100</v>
      </c>
      <c r="BM849" t="s">
        <v>15921</v>
      </c>
      <c r="BN849" t="s">
        <v>74</v>
      </c>
      <c r="BO849" t="s">
        <v>212</v>
      </c>
      <c r="BP849" t="s">
        <v>74</v>
      </c>
      <c r="BQ849" t="s">
        <v>74</v>
      </c>
      <c r="BR849" t="s">
        <v>102</v>
      </c>
      <c r="BS849" t="s">
        <v>15922</v>
      </c>
      <c r="BT849" t="str">
        <f>HYPERLINK("https%3A%2F%2Fwww.webofscience.com%2Fwos%2Fwoscc%2Ffull-record%2FWOS:001599946000002","View Full Record in Web of Science")</f>
        <v>View Full Record in Web of Science</v>
      </c>
    </row>
    <row r="850" spans="1:72" x14ac:dyDescent="0.25">
      <c r="A850" t="s">
        <v>72</v>
      </c>
      <c r="B850" t="s">
        <v>15923</v>
      </c>
      <c r="C850" t="s">
        <v>74</v>
      </c>
      <c r="D850" t="s">
        <v>74</v>
      </c>
      <c r="E850" t="s">
        <v>74</v>
      </c>
      <c r="F850" t="s">
        <v>15924</v>
      </c>
      <c r="G850" t="s">
        <v>74</v>
      </c>
      <c r="H850" t="s">
        <v>74</v>
      </c>
      <c r="I850" t="s">
        <v>15925</v>
      </c>
      <c r="J850" t="s">
        <v>15926</v>
      </c>
      <c r="K850" t="s">
        <v>74</v>
      </c>
      <c r="L850" t="s">
        <v>74</v>
      </c>
      <c r="M850" t="s">
        <v>78</v>
      </c>
      <c r="N850" t="s">
        <v>79</v>
      </c>
      <c r="O850" t="s">
        <v>74</v>
      </c>
      <c r="P850" t="s">
        <v>74</v>
      </c>
      <c r="Q850" t="s">
        <v>74</v>
      </c>
      <c r="R850" t="s">
        <v>74</v>
      </c>
      <c r="S850" t="s">
        <v>74</v>
      </c>
      <c r="T850" t="s">
        <v>15927</v>
      </c>
      <c r="U850" t="s">
        <v>15928</v>
      </c>
      <c r="V850" t="s">
        <v>15929</v>
      </c>
      <c r="W850" t="s">
        <v>15930</v>
      </c>
      <c r="X850" t="s">
        <v>15931</v>
      </c>
      <c r="Y850" t="s">
        <v>15932</v>
      </c>
      <c r="Z850" t="s">
        <v>15933</v>
      </c>
      <c r="AA850" t="s">
        <v>74</v>
      </c>
      <c r="AB850" t="s">
        <v>74</v>
      </c>
      <c r="AC850" t="s">
        <v>74</v>
      </c>
      <c r="AD850" t="s">
        <v>74</v>
      </c>
      <c r="AE850" t="s">
        <v>74</v>
      </c>
      <c r="AF850" t="s">
        <v>74</v>
      </c>
      <c r="AG850">
        <v>80</v>
      </c>
      <c r="AH850">
        <v>80</v>
      </c>
      <c r="AI850">
        <v>99</v>
      </c>
      <c r="AJ850">
        <v>0</v>
      </c>
      <c r="AK850">
        <v>41</v>
      </c>
      <c r="AL850" t="s">
        <v>994</v>
      </c>
      <c r="AM850" t="s">
        <v>995</v>
      </c>
      <c r="AN850" t="s">
        <v>2061</v>
      </c>
      <c r="AO850" t="s">
        <v>15934</v>
      </c>
      <c r="AP850" t="s">
        <v>15935</v>
      </c>
      <c r="AQ850" t="s">
        <v>74</v>
      </c>
      <c r="AR850" t="s">
        <v>15936</v>
      </c>
      <c r="AS850" t="s">
        <v>15937</v>
      </c>
      <c r="AT850" t="s">
        <v>124</v>
      </c>
      <c r="AU850">
        <v>2011</v>
      </c>
      <c r="AV850">
        <v>31</v>
      </c>
      <c r="AW850">
        <v>4</v>
      </c>
      <c r="AX850" t="s">
        <v>74</v>
      </c>
      <c r="AY850" t="s">
        <v>74</v>
      </c>
      <c r="AZ850" t="s">
        <v>74</v>
      </c>
      <c r="BA850" t="s">
        <v>74</v>
      </c>
      <c r="BB850">
        <v>381</v>
      </c>
      <c r="BC850">
        <v>401</v>
      </c>
      <c r="BD850" t="s">
        <v>74</v>
      </c>
      <c r="BE850" t="s">
        <v>15938</v>
      </c>
      <c r="BF850" t="str">
        <f>HYPERLINK("http://dx.doi.org/10.1177/0308275X11420117","http://dx.doi.org/10.1177/0308275X11420117")</f>
        <v>http://dx.doi.org/10.1177/0308275X11420117</v>
      </c>
      <c r="BG850" t="s">
        <v>74</v>
      </c>
      <c r="BH850" t="s">
        <v>74</v>
      </c>
      <c r="BI850">
        <v>21</v>
      </c>
      <c r="BJ850" t="s">
        <v>3890</v>
      </c>
      <c r="BK850" t="s">
        <v>99</v>
      </c>
      <c r="BL850" t="s">
        <v>3890</v>
      </c>
      <c r="BM850" t="s">
        <v>15939</v>
      </c>
      <c r="BN850" t="s">
        <v>74</v>
      </c>
      <c r="BO850" t="s">
        <v>212</v>
      </c>
      <c r="BP850" t="s">
        <v>74</v>
      </c>
      <c r="BQ850" t="s">
        <v>74</v>
      </c>
      <c r="BR850" t="s">
        <v>102</v>
      </c>
      <c r="BS850" t="s">
        <v>15940</v>
      </c>
      <c r="BT850" t="str">
        <f>HYPERLINK("https%3A%2F%2Fwww.webofscience.com%2Fwos%2Fwoscc%2Ffull-record%2FWOS:000297595400006","View Full Record in Web of Science")</f>
        <v>View Full Record in Web of Science</v>
      </c>
    </row>
    <row r="851" spans="1:72" x14ac:dyDescent="0.25">
      <c r="A851" t="s">
        <v>72</v>
      </c>
      <c r="B851" t="s">
        <v>15941</v>
      </c>
      <c r="C851" t="s">
        <v>74</v>
      </c>
      <c r="D851" t="s">
        <v>74</v>
      </c>
      <c r="E851" t="s">
        <v>74</v>
      </c>
      <c r="F851" t="s">
        <v>15942</v>
      </c>
      <c r="G851" t="s">
        <v>74</v>
      </c>
      <c r="H851" t="s">
        <v>74</v>
      </c>
      <c r="I851" t="s">
        <v>15943</v>
      </c>
      <c r="J851" t="s">
        <v>15944</v>
      </c>
      <c r="K851" t="s">
        <v>74</v>
      </c>
      <c r="L851" t="s">
        <v>74</v>
      </c>
      <c r="M851" t="s">
        <v>298</v>
      </c>
      <c r="N851" t="s">
        <v>79</v>
      </c>
      <c r="O851" t="s">
        <v>74</v>
      </c>
      <c r="P851" t="s">
        <v>74</v>
      </c>
      <c r="Q851" t="s">
        <v>74</v>
      </c>
      <c r="R851" t="s">
        <v>74</v>
      </c>
      <c r="S851" t="s">
        <v>74</v>
      </c>
      <c r="T851" t="s">
        <v>15945</v>
      </c>
      <c r="U851" t="s">
        <v>74</v>
      </c>
      <c r="V851" t="s">
        <v>15946</v>
      </c>
      <c r="W851" t="s">
        <v>15947</v>
      </c>
      <c r="X851" t="s">
        <v>15948</v>
      </c>
      <c r="Y851" t="s">
        <v>15949</v>
      </c>
      <c r="Z851" t="s">
        <v>15950</v>
      </c>
      <c r="AA851" t="s">
        <v>74</v>
      </c>
      <c r="AB851" t="s">
        <v>74</v>
      </c>
      <c r="AC851" t="s">
        <v>74</v>
      </c>
      <c r="AD851" t="s">
        <v>74</v>
      </c>
      <c r="AE851" t="s">
        <v>74</v>
      </c>
      <c r="AF851" t="s">
        <v>74</v>
      </c>
      <c r="AG851">
        <v>37</v>
      </c>
      <c r="AH851">
        <v>1</v>
      </c>
      <c r="AI851">
        <v>6</v>
      </c>
      <c r="AJ851">
        <v>0</v>
      </c>
      <c r="AK851">
        <v>15</v>
      </c>
      <c r="AL851" t="s">
        <v>15951</v>
      </c>
      <c r="AM851" t="s">
        <v>15952</v>
      </c>
      <c r="AN851" t="s">
        <v>15953</v>
      </c>
      <c r="AO851" t="s">
        <v>15954</v>
      </c>
      <c r="AP851" t="s">
        <v>74</v>
      </c>
      <c r="AQ851" t="s">
        <v>74</v>
      </c>
      <c r="AR851" t="s">
        <v>15955</v>
      </c>
      <c r="AS851" t="s">
        <v>15956</v>
      </c>
      <c r="AT851" t="s">
        <v>74</v>
      </c>
      <c r="AU851">
        <v>2018</v>
      </c>
      <c r="AV851">
        <v>22</v>
      </c>
      <c r="AW851">
        <v>46</v>
      </c>
      <c r="AX851" t="s">
        <v>74</v>
      </c>
      <c r="AY851" t="s">
        <v>74</v>
      </c>
      <c r="AZ851" t="s">
        <v>74</v>
      </c>
      <c r="BA851" t="s">
        <v>74</v>
      </c>
      <c r="BB851">
        <v>60</v>
      </c>
      <c r="BC851">
        <v>90</v>
      </c>
      <c r="BD851" t="s">
        <v>74</v>
      </c>
      <c r="BE851" t="s">
        <v>15957</v>
      </c>
      <c r="BF851" t="str">
        <f>HYPERLINK("http://dx.doi.org/10.17230/ecos.2018.46.3","http://dx.doi.org/10.17230/ecos.2018.46.3")</f>
        <v>http://dx.doi.org/10.17230/ecos.2018.46.3</v>
      </c>
      <c r="BG851" t="s">
        <v>74</v>
      </c>
      <c r="BH851" t="s">
        <v>74</v>
      </c>
      <c r="BI851">
        <v>31</v>
      </c>
      <c r="BJ851" t="s">
        <v>291</v>
      </c>
      <c r="BK851" t="s">
        <v>313</v>
      </c>
      <c r="BL851" t="s">
        <v>100</v>
      </c>
      <c r="BM851" t="s">
        <v>15958</v>
      </c>
      <c r="BN851" t="s">
        <v>74</v>
      </c>
      <c r="BO851" t="s">
        <v>15959</v>
      </c>
      <c r="BP851" t="s">
        <v>74</v>
      </c>
      <c r="BQ851" t="s">
        <v>74</v>
      </c>
      <c r="BR851" t="s">
        <v>102</v>
      </c>
      <c r="BS851" t="s">
        <v>15960</v>
      </c>
      <c r="BT851" t="str">
        <f>HYPERLINK("https%3A%2F%2Fwww.webofscience.com%2Fwos%2Fwoscc%2Ffull-record%2FWOS:000438024600003","View Full Record in Web of Science")</f>
        <v>View Full Record in Web of Science</v>
      </c>
    </row>
    <row r="852" spans="1:72" x14ac:dyDescent="0.25">
      <c r="A852" t="s">
        <v>72</v>
      </c>
      <c r="B852" t="s">
        <v>15961</v>
      </c>
      <c r="C852" t="s">
        <v>74</v>
      </c>
      <c r="D852" t="s">
        <v>74</v>
      </c>
      <c r="E852" t="s">
        <v>74</v>
      </c>
      <c r="F852" t="s">
        <v>15962</v>
      </c>
      <c r="G852" t="s">
        <v>74</v>
      </c>
      <c r="H852" t="s">
        <v>74</v>
      </c>
      <c r="I852" t="s">
        <v>15963</v>
      </c>
      <c r="J852" t="s">
        <v>15964</v>
      </c>
      <c r="K852" t="s">
        <v>74</v>
      </c>
      <c r="L852" t="s">
        <v>74</v>
      </c>
      <c r="M852" t="s">
        <v>78</v>
      </c>
      <c r="N852" t="s">
        <v>79</v>
      </c>
      <c r="O852" t="s">
        <v>74</v>
      </c>
      <c r="P852" t="s">
        <v>74</v>
      </c>
      <c r="Q852" t="s">
        <v>74</v>
      </c>
      <c r="R852" t="s">
        <v>74</v>
      </c>
      <c r="S852" t="s">
        <v>74</v>
      </c>
      <c r="T852" t="s">
        <v>15965</v>
      </c>
      <c r="U852" t="s">
        <v>15966</v>
      </c>
      <c r="V852" t="s">
        <v>15967</v>
      </c>
      <c r="W852" t="s">
        <v>15968</v>
      </c>
      <c r="X852" t="s">
        <v>15969</v>
      </c>
      <c r="Y852" t="s">
        <v>15970</v>
      </c>
      <c r="Z852" t="s">
        <v>15971</v>
      </c>
      <c r="AA852" t="s">
        <v>74</v>
      </c>
      <c r="AB852" t="s">
        <v>15972</v>
      </c>
      <c r="AC852" t="s">
        <v>74</v>
      </c>
      <c r="AD852" t="s">
        <v>74</v>
      </c>
      <c r="AE852" t="s">
        <v>74</v>
      </c>
      <c r="AF852" t="s">
        <v>74</v>
      </c>
      <c r="AG852">
        <v>53</v>
      </c>
      <c r="AH852">
        <v>8</v>
      </c>
      <c r="AI852">
        <v>15</v>
      </c>
      <c r="AJ852">
        <v>1</v>
      </c>
      <c r="AK852">
        <v>16</v>
      </c>
      <c r="AL852" t="s">
        <v>4485</v>
      </c>
      <c r="AM852" t="s">
        <v>6724</v>
      </c>
      <c r="AN852" t="s">
        <v>6725</v>
      </c>
      <c r="AO852" t="s">
        <v>15973</v>
      </c>
      <c r="AP852" t="s">
        <v>15974</v>
      </c>
      <c r="AQ852" t="s">
        <v>74</v>
      </c>
      <c r="AR852" t="s">
        <v>15975</v>
      </c>
      <c r="AS852" t="s">
        <v>15976</v>
      </c>
      <c r="AT852" t="s">
        <v>698</v>
      </c>
      <c r="AU852">
        <v>2022</v>
      </c>
      <c r="AV852">
        <v>126</v>
      </c>
      <c r="AW852" t="s">
        <v>74</v>
      </c>
      <c r="AX852" t="s">
        <v>74</v>
      </c>
      <c r="AY852" t="s">
        <v>74</v>
      </c>
      <c r="AZ852" t="s">
        <v>74</v>
      </c>
      <c r="BA852" t="s">
        <v>74</v>
      </c>
      <c r="BB852" t="s">
        <v>74</v>
      </c>
      <c r="BC852" t="s">
        <v>74</v>
      </c>
      <c r="BD852">
        <v>102678</v>
      </c>
      <c r="BE852" t="s">
        <v>15977</v>
      </c>
      <c r="BF852" t="str">
        <f>HYPERLINK("http://dx.doi.org/10.1016/j.jimonfin.2022.102678","http://dx.doi.org/10.1016/j.jimonfin.2022.102678")</f>
        <v>http://dx.doi.org/10.1016/j.jimonfin.2022.102678</v>
      </c>
      <c r="BG852" t="s">
        <v>74</v>
      </c>
      <c r="BH852" t="s">
        <v>1091</v>
      </c>
      <c r="BI852">
        <v>27</v>
      </c>
      <c r="BJ852" t="s">
        <v>268</v>
      </c>
      <c r="BK852" t="s">
        <v>99</v>
      </c>
      <c r="BL852" t="s">
        <v>100</v>
      </c>
      <c r="BM852" t="s">
        <v>15978</v>
      </c>
      <c r="BN852" t="s">
        <v>74</v>
      </c>
      <c r="BO852" t="s">
        <v>15979</v>
      </c>
      <c r="BP852" t="s">
        <v>74</v>
      </c>
      <c r="BQ852" t="s">
        <v>74</v>
      </c>
      <c r="BR852" t="s">
        <v>102</v>
      </c>
      <c r="BS852" t="s">
        <v>15980</v>
      </c>
      <c r="BT852" t="str">
        <f>HYPERLINK("https%3A%2F%2Fwww.webofscience.com%2Fwos%2Fwoscc%2Ffull-record%2FWOS:000884767200004","View Full Record in Web of Science")</f>
        <v>View Full Record in Web of Science</v>
      </c>
    </row>
    <row r="853" spans="1:72" x14ac:dyDescent="0.25">
      <c r="A853" t="s">
        <v>72</v>
      </c>
      <c r="B853" t="s">
        <v>15981</v>
      </c>
      <c r="C853" t="s">
        <v>74</v>
      </c>
      <c r="D853" t="s">
        <v>74</v>
      </c>
      <c r="E853" t="s">
        <v>74</v>
      </c>
      <c r="F853" t="s">
        <v>15982</v>
      </c>
      <c r="G853" t="s">
        <v>74</v>
      </c>
      <c r="H853" t="s">
        <v>74</v>
      </c>
      <c r="I853" t="s">
        <v>15983</v>
      </c>
      <c r="J853" t="s">
        <v>9435</v>
      </c>
      <c r="K853" t="s">
        <v>74</v>
      </c>
      <c r="L853" t="s">
        <v>74</v>
      </c>
      <c r="M853" t="s">
        <v>78</v>
      </c>
      <c r="N853" t="s">
        <v>79</v>
      </c>
      <c r="O853" t="s">
        <v>74</v>
      </c>
      <c r="P853" t="s">
        <v>74</v>
      </c>
      <c r="Q853" t="s">
        <v>74</v>
      </c>
      <c r="R853" t="s">
        <v>74</v>
      </c>
      <c r="S853" t="s">
        <v>74</v>
      </c>
      <c r="T853" t="s">
        <v>15984</v>
      </c>
      <c r="U853" t="s">
        <v>2964</v>
      </c>
      <c r="V853" t="s">
        <v>15985</v>
      </c>
      <c r="W853" t="s">
        <v>15986</v>
      </c>
      <c r="X853" t="s">
        <v>15987</v>
      </c>
      <c r="Y853" t="s">
        <v>15988</v>
      </c>
      <c r="Z853" t="s">
        <v>15989</v>
      </c>
      <c r="AA853" t="s">
        <v>12018</v>
      </c>
      <c r="AB853" t="s">
        <v>12019</v>
      </c>
      <c r="AC853" t="s">
        <v>74</v>
      </c>
      <c r="AD853" t="s">
        <v>74</v>
      </c>
      <c r="AE853" t="s">
        <v>74</v>
      </c>
      <c r="AF853" t="s">
        <v>74</v>
      </c>
      <c r="AG853">
        <v>33</v>
      </c>
      <c r="AH853">
        <v>0</v>
      </c>
      <c r="AI853">
        <v>1</v>
      </c>
      <c r="AJ853">
        <v>0</v>
      </c>
      <c r="AK853">
        <v>0</v>
      </c>
      <c r="AL853" t="s">
        <v>5619</v>
      </c>
      <c r="AM853" t="s">
        <v>5620</v>
      </c>
      <c r="AN853" t="s">
        <v>9445</v>
      </c>
      <c r="AO853" t="s">
        <v>9446</v>
      </c>
      <c r="AP853" t="s">
        <v>9447</v>
      </c>
      <c r="AQ853" t="s">
        <v>74</v>
      </c>
      <c r="AR853" t="s">
        <v>9448</v>
      </c>
      <c r="AS853" t="s">
        <v>9449</v>
      </c>
      <c r="AT853" t="s">
        <v>743</v>
      </c>
      <c r="AU853">
        <v>2024</v>
      </c>
      <c r="AV853">
        <v>22</v>
      </c>
      <c r="AW853" t="s">
        <v>5324</v>
      </c>
      <c r="AX853" t="s">
        <v>74</v>
      </c>
      <c r="AY853" t="s">
        <v>74</v>
      </c>
      <c r="AZ853" t="s">
        <v>74</v>
      </c>
      <c r="BA853" t="s">
        <v>74</v>
      </c>
      <c r="BB853">
        <v>217</v>
      </c>
      <c r="BC853">
        <v>238</v>
      </c>
      <c r="BD853" t="s">
        <v>74</v>
      </c>
      <c r="BE853" t="s">
        <v>15990</v>
      </c>
      <c r="BF853" t="str">
        <f>HYPERLINK("http://dx.doi.org/10.1163/15691497-12341659","http://dx.doi.org/10.1163/15691497-12341659")</f>
        <v>http://dx.doi.org/10.1163/15691497-12341659</v>
      </c>
      <c r="BG853" t="s">
        <v>74</v>
      </c>
      <c r="BH853" t="s">
        <v>74</v>
      </c>
      <c r="BI853">
        <v>22</v>
      </c>
      <c r="BJ853" t="s">
        <v>1137</v>
      </c>
      <c r="BK853" t="s">
        <v>313</v>
      </c>
      <c r="BL853" t="s">
        <v>1137</v>
      </c>
      <c r="BM853" t="s">
        <v>15991</v>
      </c>
      <c r="BN853" t="s">
        <v>74</v>
      </c>
      <c r="BO853" t="s">
        <v>74</v>
      </c>
      <c r="BP853" t="s">
        <v>74</v>
      </c>
      <c r="BQ853" t="s">
        <v>74</v>
      </c>
      <c r="BR853" t="s">
        <v>102</v>
      </c>
      <c r="BS853" t="s">
        <v>15992</v>
      </c>
      <c r="BT853" t="str">
        <f>HYPERLINK("https%3A%2F%2Fwww.webofscience.com%2Fwos%2Fwoscc%2Ffull-record%2FWOS:001247262900004","View Full Record in Web of Science")</f>
        <v>View Full Record in Web of Science</v>
      </c>
    </row>
    <row r="854" spans="1:72" x14ac:dyDescent="0.25">
      <c r="A854" t="s">
        <v>72</v>
      </c>
      <c r="B854" t="s">
        <v>15993</v>
      </c>
      <c r="C854" t="s">
        <v>74</v>
      </c>
      <c r="D854" t="s">
        <v>74</v>
      </c>
      <c r="E854" t="s">
        <v>74</v>
      </c>
      <c r="F854" t="s">
        <v>15994</v>
      </c>
      <c r="G854" t="s">
        <v>74</v>
      </c>
      <c r="H854" t="s">
        <v>74</v>
      </c>
      <c r="I854" t="s">
        <v>15995</v>
      </c>
      <c r="J854" t="s">
        <v>1510</v>
      </c>
      <c r="K854" t="s">
        <v>74</v>
      </c>
      <c r="L854" t="s">
        <v>74</v>
      </c>
      <c r="M854" t="s">
        <v>78</v>
      </c>
      <c r="N854" t="s">
        <v>79</v>
      </c>
      <c r="O854" t="s">
        <v>74</v>
      </c>
      <c r="P854" t="s">
        <v>74</v>
      </c>
      <c r="Q854" t="s">
        <v>74</v>
      </c>
      <c r="R854" t="s">
        <v>74</v>
      </c>
      <c r="S854" t="s">
        <v>74</v>
      </c>
      <c r="T854" t="s">
        <v>15996</v>
      </c>
      <c r="U854" t="s">
        <v>15997</v>
      </c>
      <c r="V854" t="s">
        <v>15998</v>
      </c>
      <c r="W854" t="s">
        <v>15999</v>
      </c>
      <c r="X854" t="s">
        <v>16000</v>
      </c>
      <c r="Y854" t="s">
        <v>16001</v>
      </c>
      <c r="Z854" t="s">
        <v>16002</v>
      </c>
      <c r="AA854" t="s">
        <v>16003</v>
      </c>
      <c r="AB854" t="s">
        <v>74</v>
      </c>
      <c r="AC854" t="s">
        <v>74</v>
      </c>
      <c r="AD854" t="s">
        <v>74</v>
      </c>
      <c r="AE854" t="s">
        <v>74</v>
      </c>
      <c r="AF854" t="s">
        <v>74</v>
      </c>
      <c r="AG854">
        <v>131</v>
      </c>
      <c r="AH854">
        <v>30</v>
      </c>
      <c r="AI854">
        <v>40</v>
      </c>
      <c r="AJ854">
        <v>3</v>
      </c>
      <c r="AK854">
        <v>40</v>
      </c>
      <c r="AL854" t="s">
        <v>89</v>
      </c>
      <c r="AM854" t="s">
        <v>1497</v>
      </c>
      <c r="AN854" t="s">
        <v>1498</v>
      </c>
      <c r="AO854" t="s">
        <v>1519</v>
      </c>
      <c r="AP854" t="s">
        <v>1520</v>
      </c>
      <c r="AQ854" t="s">
        <v>74</v>
      </c>
      <c r="AR854" t="s">
        <v>1521</v>
      </c>
      <c r="AS854" t="s">
        <v>1522</v>
      </c>
      <c r="AT854" t="s">
        <v>13152</v>
      </c>
      <c r="AU854">
        <v>2023</v>
      </c>
      <c r="AV854">
        <v>50</v>
      </c>
      <c r="AW854">
        <v>8</v>
      </c>
      <c r="AX854" t="s">
        <v>74</v>
      </c>
      <c r="AY854" t="s">
        <v>74</v>
      </c>
      <c r="AZ854" t="s">
        <v>441</v>
      </c>
      <c r="BA854" t="s">
        <v>74</v>
      </c>
      <c r="BB854">
        <v>1038</v>
      </c>
      <c r="BC854">
        <v>1059</v>
      </c>
      <c r="BD854" t="s">
        <v>74</v>
      </c>
      <c r="BE854" t="s">
        <v>16004</v>
      </c>
      <c r="BF854" t="str">
        <f>HYPERLINK("http://dx.doi.org/10.1108/IJSE-04-2022-0246","http://dx.doi.org/10.1108/IJSE-04-2022-0246")</f>
        <v>http://dx.doi.org/10.1108/IJSE-04-2022-0246</v>
      </c>
      <c r="BG854" t="s">
        <v>74</v>
      </c>
      <c r="BH854" t="s">
        <v>9145</v>
      </c>
      <c r="BI854">
        <v>22</v>
      </c>
      <c r="BJ854" t="s">
        <v>291</v>
      </c>
      <c r="BK854" t="s">
        <v>313</v>
      </c>
      <c r="BL854" t="s">
        <v>100</v>
      </c>
      <c r="BM854" t="s">
        <v>13154</v>
      </c>
      <c r="BN854" t="s">
        <v>74</v>
      </c>
      <c r="BO854" t="s">
        <v>74</v>
      </c>
      <c r="BP854" t="s">
        <v>74</v>
      </c>
      <c r="BQ854" t="s">
        <v>74</v>
      </c>
      <c r="BR854" t="s">
        <v>102</v>
      </c>
      <c r="BS854" t="s">
        <v>16005</v>
      </c>
      <c r="BT854" t="str">
        <f>HYPERLINK("https%3A%2F%2Fwww.webofscience.com%2Fwos%2Fwoscc%2Ffull-record%2FWOS:000939604600001","View Full Record in Web of Science")</f>
        <v>View Full Record in Web of Science</v>
      </c>
    </row>
    <row r="855" spans="1:72" x14ac:dyDescent="0.25">
      <c r="A855" t="s">
        <v>72</v>
      </c>
      <c r="B855" t="s">
        <v>16006</v>
      </c>
      <c r="C855" t="s">
        <v>74</v>
      </c>
      <c r="D855" t="s">
        <v>74</v>
      </c>
      <c r="E855" t="s">
        <v>74</v>
      </c>
      <c r="F855" t="s">
        <v>16007</v>
      </c>
      <c r="G855" t="s">
        <v>74</v>
      </c>
      <c r="H855" t="s">
        <v>74</v>
      </c>
      <c r="I855" t="s">
        <v>16008</v>
      </c>
      <c r="J855" t="s">
        <v>16009</v>
      </c>
      <c r="K855" t="s">
        <v>74</v>
      </c>
      <c r="L855" t="s">
        <v>74</v>
      </c>
      <c r="M855" t="s">
        <v>298</v>
      </c>
      <c r="N855" t="s">
        <v>79</v>
      </c>
      <c r="O855" t="s">
        <v>74</v>
      </c>
      <c r="P855" t="s">
        <v>74</v>
      </c>
      <c r="Q855" t="s">
        <v>74</v>
      </c>
      <c r="R855" t="s">
        <v>74</v>
      </c>
      <c r="S855" t="s">
        <v>74</v>
      </c>
      <c r="T855" t="s">
        <v>16010</v>
      </c>
      <c r="U855" t="s">
        <v>74</v>
      </c>
      <c r="V855" t="s">
        <v>16011</v>
      </c>
      <c r="W855" t="s">
        <v>16012</v>
      </c>
      <c r="X855" t="s">
        <v>74</v>
      </c>
      <c r="Y855" t="s">
        <v>16013</v>
      </c>
      <c r="Z855" t="s">
        <v>16014</v>
      </c>
      <c r="AA855" t="s">
        <v>74</v>
      </c>
      <c r="AB855" t="s">
        <v>74</v>
      </c>
      <c r="AC855" t="s">
        <v>74</v>
      </c>
      <c r="AD855" t="s">
        <v>74</v>
      </c>
      <c r="AE855" t="s">
        <v>74</v>
      </c>
      <c r="AF855" t="s">
        <v>74</v>
      </c>
      <c r="AG855">
        <v>45</v>
      </c>
      <c r="AH855">
        <v>0</v>
      </c>
      <c r="AI855">
        <v>0</v>
      </c>
      <c r="AJ855">
        <v>0</v>
      </c>
      <c r="AK855">
        <v>0</v>
      </c>
      <c r="AL855" t="s">
        <v>16015</v>
      </c>
      <c r="AM855" t="s">
        <v>16016</v>
      </c>
      <c r="AN855" t="s">
        <v>16017</v>
      </c>
      <c r="AO855" t="s">
        <v>16018</v>
      </c>
      <c r="AP855" t="s">
        <v>16019</v>
      </c>
      <c r="AQ855" t="s">
        <v>74</v>
      </c>
      <c r="AR855" t="s">
        <v>16020</v>
      </c>
      <c r="AS855" t="s">
        <v>16021</v>
      </c>
      <c r="AT855" t="s">
        <v>74</v>
      </c>
      <c r="AU855">
        <v>2025</v>
      </c>
      <c r="AV855">
        <v>17</v>
      </c>
      <c r="AW855" t="s">
        <v>74</v>
      </c>
      <c r="AX855" t="s">
        <v>74</v>
      </c>
      <c r="AY855" t="s">
        <v>74</v>
      </c>
      <c r="AZ855" t="s">
        <v>74</v>
      </c>
      <c r="BA855" t="s">
        <v>74</v>
      </c>
      <c r="BB855" t="s">
        <v>74</v>
      </c>
      <c r="BC855" t="s">
        <v>74</v>
      </c>
      <c r="BD855">
        <v>9</v>
      </c>
      <c r="BE855" t="s">
        <v>16022</v>
      </c>
      <c r="BF855" t="str">
        <f>HYPERLINK("http://dx.doi.org/10.14718/revfinanzpolitecon.v17.2025.9","http://dx.doi.org/10.14718/revfinanzpolitecon.v17.2025.9")</f>
        <v>http://dx.doi.org/10.14718/revfinanzpolitecon.v17.2025.9</v>
      </c>
      <c r="BG855" t="s">
        <v>74</v>
      </c>
      <c r="BH855" t="s">
        <v>74</v>
      </c>
      <c r="BI855">
        <v>32</v>
      </c>
      <c r="BJ855" t="s">
        <v>291</v>
      </c>
      <c r="BK855" t="s">
        <v>313</v>
      </c>
      <c r="BL855" t="s">
        <v>100</v>
      </c>
      <c r="BM855" t="s">
        <v>16023</v>
      </c>
      <c r="BN855" t="s">
        <v>74</v>
      </c>
      <c r="BO855" t="s">
        <v>74</v>
      </c>
      <c r="BP855" t="s">
        <v>74</v>
      </c>
      <c r="BQ855" t="s">
        <v>74</v>
      </c>
      <c r="BR855" t="s">
        <v>102</v>
      </c>
      <c r="BS855" t="s">
        <v>16024</v>
      </c>
      <c r="BT855" t="str">
        <f>HYPERLINK("https%3A%2F%2Fwww.webofscience.com%2Fwos%2Fwoscc%2Ffull-record%2FWOS:001594384200005","View Full Record in Web of Science")</f>
        <v>View Full Record in Web of Science</v>
      </c>
    </row>
    <row r="856" spans="1:72" x14ac:dyDescent="0.25">
      <c r="A856" t="s">
        <v>72</v>
      </c>
      <c r="B856" t="s">
        <v>16025</v>
      </c>
      <c r="C856" t="s">
        <v>74</v>
      </c>
      <c r="D856" t="s">
        <v>74</v>
      </c>
      <c r="E856" t="s">
        <v>74</v>
      </c>
      <c r="F856" t="s">
        <v>16026</v>
      </c>
      <c r="G856" t="s">
        <v>74</v>
      </c>
      <c r="H856" t="s">
        <v>74</v>
      </c>
      <c r="I856" t="s">
        <v>16027</v>
      </c>
      <c r="J856" t="s">
        <v>11879</v>
      </c>
      <c r="K856" t="s">
        <v>74</v>
      </c>
      <c r="L856" t="s">
        <v>74</v>
      </c>
      <c r="M856" t="s">
        <v>78</v>
      </c>
      <c r="N856" t="s">
        <v>79</v>
      </c>
      <c r="O856" t="s">
        <v>74</v>
      </c>
      <c r="P856" t="s">
        <v>74</v>
      </c>
      <c r="Q856" t="s">
        <v>74</v>
      </c>
      <c r="R856" t="s">
        <v>74</v>
      </c>
      <c r="S856" t="s">
        <v>74</v>
      </c>
      <c r="T856" t="s">
        <v>16028</v>
      </c>
      <c r="U856" t="s">
        <v>2073</v>
      </c>
      <c r="V856" t="s">
        <v>16029</v>
      </c>
      <c r="W856" t="s">
        <v>16030</v>
      </c>
      <c r="X856" t="s">
        <v>16031</v>
      </c>
      <c r="Y856" t="s">
        <v>16032</v>
      </c>
      <c r="Z856" t="s">
        <v>16033</v>
      </c>
      <c r="AA856" t="s">
        <v>74</v>
      </c>
      <c r="AB856" t="s">
        <v>16034</v>
      </c>
      <c r="AC856" t="s">
        <v>16035</v>
      </c>
      <c r="AD856" t="s">
        <v>16035</v>
      </c>
      <c r="AE856" t="s">
        <v>16036</v>
      </c>
      <c r="AF856" t="s">
        <v>74</v>
      </c>
      <c r="AG856">
        <v>61</v>
      </c>
      <c r="AH856">
        <v>1</v>
      </c>
      <c r="AI856">
        <v>1</v>
      </c>
      <c r="AJ856">
        <v>9</v>
      </c>
      <c r="AK856">
        <v>25</v>
      </c>
      <c r="AL856" t="s">
        <v>201</v>
      </c>
      <c r="AM856" t="s">
        <v>202</v>
      </c>
      <c r="AN856" t="s">
        <v>203</v>
      </c>
      <c r="AO856" t="s">
        <v>11889</v>
      </c>
      <c r="AP856" t="s">
        <v>11890</v>
      </c>
      <c r="AQ856" t="s">
        <v>74</v>
      </c>
      <c r="AR856" t="s">
        <v>11891</v>
      </c>
      <c r="AS856" t="s">
        <v>11892</v>
      </c>
      <c r="AT856" t="s">
        <v>891</v>
      </c>
      <c r="AU856">
        <v>2024</v>
      </c>
      <c r="AV856">
        <v>24</v>
      </c>
      <c r="AW856">
        <v>6</v>
      </c>
      <c r="AX856" t="s">
        <v>74</v>
      </c>
      <c r="AY856" t="s">
        <v>74</v>
      </c>
      <c r="AZ856" t="s">
        <v>74</v>
      </c>
      <c r="BA856" t="s">
        <v>74</v>
      </c>
      <c r="BB856">
        <v>1227</v>
      </c>
      <c r="BC856">
        <v>1247</v>
      </c>
      <c r="BD856" t="s">
        <v>74</v>
      </c>
      <c r="BE856" t="s">
        <v>16037</v>
      </c>
      <c r="BF856" t="str">
        <f>HYPERLINK("http://dx.doi.org/10.1016/j.bir.2024.07.007","http://dx.doi.org/10.1016/j.bir.2024.07.007")</f>
        <v>http://dx.doi.org/10.1016/j.bir.2024.07.007</v>
      </c>
      <c r="BG856" t="s">
        <v>74</v>
      </c>
      <c r="BH856" t="s">
        <v>267</v>
      </c>
      <c r="BI856">
        <v>21</v>
      </c>
      <c r="BJ856" t="s">
        <v>210</v>
      </c>
      <c r="BK856" t="s">
        <v>99</v>
      </c>
      <c r="BL856" t="s">
        <v>100</v>
      </c>
      <c r="BM856" t="s">
        <v>16038</v>
      </c>
      <c r="BN856" t="s">
        <v>74</v>
      </c>
      <c r="BO856" t="s">
        <v>212</v>
      </c>
      <c r="BP856" t="s">
        <v>74</v>
      </c>
      <c r="BQ856" t="s">
        <v>74</v>
      </c>
      <c r="BR856" t="s">
        <v>102</v>
      </c>
      <c r="BS856" t="s">
        <v>16039</v>
      </c>
      <c r="BT856" t="str">
        <f>HYPERLINK("https%3A%2F%2Fwww.webofscience.com%2Fwos%2Fwoscc%2Ffull-record%2FWOS:001367594500001","View Full Record in Web of Science")</f>
        <v>View Full Record in Web of Science</v>
      </c>
    </row>
    <row r="857" spans="1:72" x14ac:dyDescent="0.25">
      <c r="A857" t="s">
        <v>72</v>
      </c>
      <c r="B857" t="s">
        <v>16040</v>
      </c>
      <c r="C857" t="s">
        <v>74</v>
      </c>
      <c r="D857" t="s">
        <v>74</v>
      </c>
      <c r="E857" t="s">
        <v>74</v>
      </c>
      <c r="F857" t="s">
        <v>16041</v>
      </c>
      <c r="G857" t="s">
        <v>74</v>
      </c>
      <c r="H857" t="s">
        <v>74</v>
      </c>
      <c r="I857" t="s">
        <v>16042</v>
      </c>
      <c r="J857" t="s">
        <v>7004</v>
      </c>
      <c r="K857" t="s">
        <v>74</v>
      </c>
      <c r="L857" t="s">
        <v>74</v>
      </c>
      <c r="M857" t="s">
        <v>298</v>
      </c>
      <c r="N857" t="s">
        <v>79</v>
      </c>
      <c r="O857" t="s">
        <v>74</v>
      </c>
      <c r="P857" t="s">
        <v>74</v>
      </c>
      <c r="Q857" t="s">
        <v>74</v>
      </c>
      <c r="R857" t="s">
        <v>74</v>
      </c>
      <c r="S857" t="s">
        <v>74</v>
      </c>
      <c r="T857" t="s">
        <v>16043</v>
      </c>
      <c r="U857" t="s">
        <v>16044</v>
      </c>
      <c r="V857" t="s">
        <v>16045</v>
      </c>
      <c r="W857" t="s">
        <v>16046</v>
      </c>
      <c r="X857" t="s">
        <v>16047</v>
      </c>
      <c r="Y857" t="s">
        <v>16048</v>
      </c>
      <c r="Z857" t="s">
        <v>16049</v>
      </c>
      <c r="AA857" t="s">
        <v>16050</v>
      </c>
      <c r="AB857" t="s">
        <v>16051</v>
      </c>
      <c r="AC857" t="s">
        <v>74</v>
      </c>
      <c r="AD857" t="s">
        <v>74</v>
      </c>
      <c r="AE857" t="s">
        <v>74</v>
      </c>
      <c r="AF857" t="s">
        <v>74</v>
      </c>
      <c r="AG857">
        <v>95</v>
      </c>
      <c r="AH857">
        <v>4</v>
      </c>
      <c r="AI857">
        <v>5</v>
      </c>
      <c r="AJ857">
        <v>0</v>
      </c>
      <c r="AK857">
        <v>0</v>
      </c>
      <c r="AL857" t="s">
        <v>7014</v>
      </c>
      <c r="AM857" t="s">
        <v>7015</v>
      </c>
      <c r="AN857" t="s">
        <v>7016</v>
      </c>
      <c r="AO857" t="s">
        <v>74</v>
      </c>
      <c r="AP857" t="s">
        <v>7017</v>
      </c>
      <c r="AQ857" t="s">
        <v>74</v>
      </c>
      <c r="AR857" t="s">
        <v>7018</v>
      </c>
      <c r="AS857" t="s">
        <v>7019</v>
      </c>
      <c r="AT857" t="s">
        <v>363</v>
      </c>
      <c r="AU857">
        <v>2024</v>
      </c>
      <c r="AV857">
        <v>19</v>
      </c>
      <c r="AW857">
        <v>2</v>
      </c>
      <c r="AX857" t="s">
        <v>74</v>
      </c>
      <c r="AY857" t="s">
        <v>74</v>
      </c>
      <c r="AZ857" t="s">
        <v>74</v>
      </c>
      <c r="BA857" t="s">
        <v>74</v>
      </c>
      <c r="BB857" t="s">
        <v>74</v>
      </c>
      <c r="BC857" t="s">
        <v>74</v>
      </c>
      <c r="BD857" t="s">
        <v>16052</v>
      </c>
      <c r="BE857" t="s">
        <v>16053</v>
      </c>
      <c r="BF857" t="str">
        <f>HYPERLINK("http://dx.doi.org/10.21919/remef.v19i2.1015","http://dx.doi.org/10.21919/remef.v19i2.1015")</f>
        <v>http://dx.doi.org/10.21919/remef.v19i2.1015</v>
      </c>
      <c r="BG857" t="s">
        <v>74</v>
      </c>
      <c r="BH857" t="s">
        <v>74</v>
      </c>
      <c r="BI857">
        <v>26</v>
      </c>
      <c r="BJ857" t="s">
        <v>210</v>
      </c>
      <c r="BK857" t="s">
        <v>313</v>
      </c>
      <c r="BL857" t="s">
        <v>100</v>
      </c>
      <c r="BM857" t="s">
        <v>16054</v>
      </c>
      <c r="BN857" t="s">
        <v>74</v>
      </c>
      <c r="BO857" t="s">
        <v>916</v>
      </c>
      <c r="BP857" t="s">
        <v>74</v>
      </c>
      <c r="BQ857" t="s">
        <v>74</v>
      </c>
      <c r="BR857" t="s">
        <v>102</v>
      </c>
      <c r="BS857" t="s">
        <v>16055</v>
      </c>
      <c r="BT857" t="str">
        <f>HYPERLINK("https%3A%2F%2Fwww.webofscience.com%2Fwos%2Fwoscc%2Ffull-record%2FWOS:001636150000005","View Full Record in Web of Science")</f>
        <v>View Full Record in Web of Science</v>
      </c>
    </row>
    <row r="858" spans="1:72" x14ac:dyDescent="0.25">
      <c r="A858" t="s">
        <v>72</v>
      </c>
      <c r="B858" t="s">
        <v>16056</v>
      </c>
      <c r="C858" t="s">
        <v>74</v>
      </c>
      <c r="D858" t="s">
        <v>74</v>
      </c>
      <c r="E858" t="s">
        <v>74</v>
      </c>
      <c r="F858" t="s">
        <v>16057</v>
      </c>
      <c r="G858" t="s">
        <v>74</v>
      </c>
      <c r="H858" t="s">
        <v>74</v>
      </c>
      <c r="I858" t="s">
        <v>16058</v>
      </c>
      <c r="J858" t="s">
        <v>11074</v>
      </c>
      <c r="K858" t="s">
        <v>74</v>
      </c>
      <c r="L858" t="s">
        <v>74</v>
      </c>
      <c r="M858" t="s">
        <v>78</v>
      </c>
      <c r="N858" t="s">
        <v>79</v>
      </c>
      <c r="O858" t="s">
        <v>74</v>
      </c>
      <c r="P858" t="s">
        <v>74</v>
      </c>
      <c r="Q858" t="s">
        <v>74</v>
      </c>
      <c r="R858" t="s">
        <v>74</v>
      </c>
      <c r="S858" t="s">
        <v>74</v>
      </c>
      <c r="T858" t="s">
        <v>16059</v>
      </c>
      <c r="U858" t="s">
        <v>16060</v>
      </c>
      <c r="V858" t="s">
        <v>16061</v>
      </c>
      <c r="W858" t="s">
        <v>16062</v>
      </c>
      <c r="X858" t="s">
        <v>7032</v>
      </c>
      <c r="Y858" t="s">
        <v>16063</v>
      </c>
      <c r="Z858" t="s">
        <v>16064</v>
      </c>
      <c r="AA858" t="s">
        <v>14950</v>
      </c>
      <c r="AB858" t="s">
        <v>12157</v>
      </c>
      <c r="AC858" t="s">
        <v>74</v>
      </c>
      <c r="AD858" t="s">
        <v>74</v>
      </c>
      <c r="AE858" t="s">
        <v>74</v>
      </c>
      <c r="AF858" t="s">
        <v>74</v>
      </c>
      <c r="AG858">
        <v>68</v>
      </c>
      <c r="AH858">
        <v>43</v>
      </c>
      <c r="AI858">
        <v>63</v>
      </c>
      <c r="AJ858">
        <v>3</v>
      </c>
      <c r="AK858">
        <v>57</v>
      </c>
      <c r="AL858" t="s">
        <v>89</v>
      </c>
      <c r="AM858" t="s">
        <v>90</v>
      </c>
      <c r="AN858" t="s">
        <v>91</v>
      </c>
      <c r="AO858" t="s">
        <v>11083</v>
      </c>
      <c r="AP858" t="s">
        <v>11084</v>
      </c>
      <c r="AQ858" t="s">
        <v>74</v>
      </c>
      <c r="AR858" t="s">
        <v>11085</v>
      </c>
      <c r="AS858" t="s">
        <v>11086</v>
      </c>
      <c r="AT858" t="s">
        <v>16065</v>
      </c>
      <c r="AU858">
        <v>2020</v>
      </c>
      <c r="AV858">
        <v>22</v>
      </c>
      <c r="AW858">
        <v>3</v>
      </c>
      <c r="AX858" t="s">
        <v>74</v>
      </c>
      <c r="AY858" t="s">
        <v>74</v>
      </c>
      <c r="AZ858" t="s">
        <v>74</v>
      </c>
      <c r="BA858" t="s">
        <v>74</v>
      </c>
      <c r="BB858">
        <v>157</v>
      </c>
      <c r="BC858">
        <v>176</v>
      </c>
      <c r="BD858" t="s">
        <v>74</v>
      </c>
      <c r="BE858" t="s">
        <v>16066</v>
      </c>
      <c r="BF858" t="str">
        <f>HYPERLINK("http://dx.doi.org/10.1108/DPRG-01-2019-0005","http://dx.doi.org/10.1108/DPRG-01-2019-0005")</f>
        <v>http://dx.doi.org/10.1108/DPRG-01-2019-0005</v>
      </c>
      <c r="BG858" t="s">
        <v>74</v>
      </c>
      <c r="BH858" t="s">
        <v>341</v>
      </c>
      <c r="BI858">
        <v>20</v>
      </c>
      <c r="BJ858" t="s">
        <v>2351</v>
      </c>
      <c r="BK858" t="s">
        <v>313</v>
      </c>
      <c r="BL858" t="s">
        <v>2351</v>
      </c>
      <c r="BM858" t="s">
        <v>16067</v>
      </c>
      <c r="BN858" t="s">
        <v>74</v>
      </c>
      <c r="BO858" t="s">
        <v>74</v>
      </c>
      <c r="BP858" t="s">
        <v>74</v>
      </c>
      <c r="BQ858" t="s">
        <v>74</v>
      </c>
      <c r="BR858" t="s">
        <v>102</v>
      </c>
      <c r="BS858" t="s">
        <v>16068</v>
      </c>
      <c r="BT858" t="str">
        <f>HYPERLINK("https%3A%2F%2Fwww.webofscience.com%2Fwos%2Fwoscc%2Ffull-record%2FWOS:000535213500001","View Full Record in Web of Science")</f>
        <v>View Full Record in Web of Science</v>
      </c>
    </row>
    <row r="859" spans="1:72" x14ac:dyDescent="0.25">
      <c r="A859" t="s">
        <v>72</v>
      </c>
      <c r="B859" t="s">
        <v>16069</v>
      </c>
      <c r="C859" t="s">
        <v>74</v>
      </c>
      <c r="D859" t="s">
        <v>74</v>
      </c>
      <c r="E859" t="s">
        <v>74</v>
      </c>
      <c r="F859" t="s">
        <v>16070</v>
      </c>
      <c r="G859" t="s">
        <v>74</v>
      </c>
      <c r="H859" t="s">
        <v>74</v>
      </c>
      <c r="I859" t="s">
        <v>16071</v>
      </c>
      <c r="J859" t="s">
        <v>4208</v>
      </c>
      <c r="K859" t="s">
        <v>74</v>
      </c>
      <c r="L859" t="s">
        <v>74</v>
      </c>
      <c r="M859" t="s">
        <v>78</v>
      </c>
      <c r="N859" t="s">
        <v>79</v>
      </c>
      <c r="O859" t="s">
        <v>74</v>
      </c>
      <c r="P859" t="s">
        <v>74</v>
      </c>
      <c r="Q859" t="s">
        <v>74</v>
      </c>
      <c r="R859" t="s">
        <v>74</v>
      </c>
      <c r="S859" t="s">
        <v>74</v>
      </c>
      <c r="T859" t="s">
        <v>74</v>
      </c>
      <c r="U859" t="s">
        <v>74</v>
      </c>
      <c r="V859" t="s">
        <v>16072</v>
      </c>
      <c r="W859" t="s">
        <v>16073</v>
      </c>
      <c r="X859" t="s">
        <v>16074</v>
      </c>
      <c r="Y859" t="s">
        <v>16075</v>
      </c>
      <c r="Z859" t="s">
        <v>16076</v>
      </c>
      <c r="AA859" t="s">
        <v>74</v>
      </c>
      <c r="AB859" t="s">
        <v>16077</v>
      </c>
      <c r="AC859" t="s">
        <v>16078</v>
      </c>
      <c r="AD859" t="s">
        <v>16079</v>
      </c>
      <c r="AE859" t="s">
        <v>16080</v>
      </c>
      <c r="AF859" t="s">
        <v>74</v>
      </c>
      <c r="AG859">
        <v>52</v>
      </c>
      <c r="AH859">
        <v>6</v>
      </c>
      <c r="AI859">
        <v>6</v>
      </c>
      <c r="AJ859">
        <v>6</v>
      </c>
      <c r="AK859">
        <v>26</v>
      </c>
      <c r="AL859" t="s">
        <v>4218</v>
      </c>
      <c r="AM859" t="s">
        <v>4219</v>
      </c>
      <c r="AN859" t="s">
        <v>4220</v>
      </c>
      <c r="AO859" t="s">
        <v>4221</v>
      </c>
      <c r="AP859" t="s">
        <v>74</v>
      </c>
      <c r="AQ859" t="s">
        <v>74</v>
      </c>
      <c r="AR859" t="s">
        <v>4208</v>
      </c>
      <c r="AS859" t="s">
        <v>4222</v>
      </c>
      <c r="AT859" t="s">
        <v>16081</v>
      </c>
      <c r="AU859">
        <v>2024</v>
      </c>
      <c r="AV859">
        <v>19</v>
      </c>
      <c r="AW859">
        <v>7</v>
      </c>
      <c r="AX859" t="s">
        <v>74</v>
      </c>
      <c r="AY859" t="s">
        <v>74</v>
      </c>
      <c r="AZ859" t="s">
        <v>74</v>
      </c>
      <c r="BA859" t="s">
        <v>74</v>
      </c>
      <c r="BB859" t="s">
        <v>74</v>
      </c>
      <c r="BC859" t="s">
        <v>74</v>
      </c>
      <c r="BD859" t="s">
        <v>16082</v>
      </c>
      <c r="BE859" t="s">
        <v>16083</v>
      </c>
      <c r="BF859" t="str">
        <f>HYPERLINK("http://dx.doi.org/10.1371/journal.pone.0307328","http://dx.doi.org/10.1371/journal.pone.0307328")</f>
        <v>http://dx.doi.org/10.1371/journal.pone.0307328</v>
      </c>
      <c r="BG859" t="s">
        <v>74</v>
      </c>
      <c r="BH859" t="s">
        <v>74</v>
      </c>
      <c r="BI859">
        <v>31</v>
      </c>
      <c r="BJ859" t="s">
        <v>559</v>
      </c>
      <c r="BK859" t="s">
        <v>128</v>
      </c>
      <c r="BL859" t="s">
        <v>560</v>
      </c>
      <c r="BM859" t="s">
        <v>16084</v>
      </c>
      <c r="BN859">
        <v>39012864</v>
      </c>
      <c r="BO859" t="s">
        <v>916</v>
      </c>
      <c r="BP859" t="s">
        <v>74</v>
      </c>
      <c r="BQ859" t="s">
        <v>74</v>
      </c>
      <c r="BR859" t="s">
        <v>102</v>
      </c>
      <c r="BS859" t="s">
        <v>16085</v>
      </c>
      <c r="BT859" t="str">
        <f>HYPERLINK("https%3A%2F%2Fwww.webofscience.com%2Fwos%2Fwoscc%2Ffull-record%2FWOS:001273222600033","View Full Record in Web of Science")</f>
        <v>View Full Record in Web of Science</v>
      </c>
    </row>
    <row r="860" spans="1:72" x14ac:dyDescent="0.25">
      <c r="A860" t="s">
        <v>72</v>
      </c>
      <c r="B860" t="s">
        <v>16086</v>
      </c>
      <c r="C860" t="s">
        <v>74</v>
      </c>
      <c r="D860" t="s">
        <v>74</v>
      </c>
      <c r="E860" t="s">
        <v>74</v>
      </c>
      <c r="F860" t="s">
        <v>16087</v>
      </c>
      <c r="G860" t="s">
        <v>74</v>
      </c>
      <c r="H860" t="s">
        <v>74</v>
      </c>
      <c r="I860" t="s">
        <v>16088</v>
      </c>
      <c r="J860" t="s">
        <v>16089</v>
      </c>
      <c r="K860" t="s">
        <v>74</v>
      </c>
      <c r="L860" t="s">
        <v>74</v>
      </c>
      <c r="M860" t="s">
        <v>78</v>
      </c>
      <c r="N860" t="s">
        <v>372</v>
      </c>
      <c r="O860" t="s">
        <v>74</v>
      </c>
      <c r="P860" t="s">
        <v>74</v>
      </c>
      <c r="Q860" t="s">
        <v>74</v>
      </c>
      <c r="R860" t="s">
        <v>74</v>
      </c>
      <c r="S860" t="s">
        <v>74</v>
      </c>
      <c r="T860" t="s">
        <v>16090</v>
      </c>
      <c r="U860" t="s">
        <v>16091</v>
      </c>
      <c r="V860" t="s">
        <v>16092</v>
      </c>
      <c r="W860" t="s">
        <v>16093</v>
      </c>
      <c r="X860" t="s">
        <v>16094</v>
      </c>
      <c r="Y860" t="s">
        <v>16095</v>
      </c>
      <c r="Z860" t="s">
        <v>16096</v>
      </c>
      <c r="AA860" t="s">
        <v>16097</v>
      </c>
      <c r="AB860" t="s">
        <v>74</v>
      </c>
      <c r="AC860" t="s">
        <v>11971</v>
      </c>
      <c r="AD860" t="s">
        <v>11972</v>
      </c>
      <c r="AE860" t="s">
        <v>16098</v>
      </c>
      <c r="AF860" t="s">
        <v>74</v>
      </c>
      <c r="AG860">
        <v>46</v>
      </c>
      <c r="AH860">
        <v>0</v>
      </c>
      <c r="AI860">
        <v>0</v>
      </c>
      <c r="AJ860">
        <v>2</v>
      </c>
      <c r="AK860">
        <v>2</v>
      </c>
      <c r="AL860" t="s">
        <v>16099</v>
      </c>
      <c r="AM860" t="s">
        <v>16100</v>
      </c>
      <c r="AN860" t="s">
        <v>16101</v>
      </c>
      <c r="AO860" t="s">
        <v>16102</v>
      </c>
      <c r="AP860" t="s">
        <v>16103</v>
      </c>
      <c r="AQ860" t="s">
        <v>74</v>
      </c>
      <c r="AR860" t="s">
        <v>16104</v>
      </c>
      <c r="AS860" t="s">
        <v>16105</v>
      </c>
      <c r="AT860" t="s">
        <v>16106</v>
      </c>
      <c r="AU860">
        <v>2025</v>
      </c>
      <c r="AV860" t="s">
        <v>74</v>
      </c>
      <c r="AW860" t="s">
        <v>74</v>
      </c>
      <c r="AX860" t="s">
        <v>74</v>
      </c>
      <c r="AY860" t="s">
        <v>74</v>
      </c>
      <c r="AZ860" t="s">
        <v>74</v>
      </c>
      <c r="BA860" t="s">
        <v>74</v>
      </c>
      <c r="BB860" t="s">
        <v>74</v>
      </c>
      <c r="BC860" t="s">
        <v>74</v>
      </c>
      <c r="BD860" t="s">
        <v>74</v>
      </c>
      <c r="BE860" t="s">
        <v>16107</v>
      </c>
      <c r="BF860" t="str">
        <f>HYPERLINK("http://dx.doi.org/10.1002/jsc.70035","http://dx.doi.org/10.1002/jsc.70035")</f>
        <v>http://dx.doi.org/10.1002/jsc.70035</v>
      </c>
      <c r="BG860" t="s">
        <v>74</v>
      </c>
      <c r="BH860" t="s">
        <v>2044</v>
      </c>
      <c r="BI860">
        <v>16</v>
      </c>
      <c r="BJ860" t="s">
        <v>268</v>
      </c>
      <c r="BK860" t="s">
        <v>313</v>
      </c>
      <c r="BL860" t="s">
        <v>100</v>
      </c>
      <c r="BM860" t="s">
        <v>16108</v>
      </c>
      <c r="BN860" t="s">
        <v>74</v>
      </c>
      <c r="BO860" t="s">
        <v>270</v>
      </c>
      <c r="BP860" t="s">
        <v>74</v>
      </c>
      <c r="BQ860" t="s">
        <v>74</v>
      </c>
      <c r="BR860" t="s">
        <v>102</v>
      </c>
      <c r="BS860" t="s">
        <v>16109</v>
      </c>
      <c r="BT860" t="str">
        <f>HYPERLINK("https%3A%2F%2Fwww.webofscience.com%2Fwos%2Fwoscc%2Ffull-record%2FWOS:001624685300001","View Full Record in Web of Science")</f>
        <v>View Full Record in Web of Science</v>
      </c>
    </row>
    <row r="861" spans="1:72" x14ac:dyDescent="0.25">
      <c r="A861" t="s">
        <v>72</v>
      </c>
      <c r="B861" t="s">
        <v>16110</v>
      </c>
      <c r="C861" t="s">
        <v>74</v>
      </c>
      <c r="D861" t="s">
        <v>74</v>
      </c>
      <c r="E861" t="s">
        <v>74</v>
      </c>
      <c r="F861" t="s">
        <v>16111</v>
      </c>
      <c r="G861" t="s">
        <v>74</v>
      </c>
      <c r="H861" t="s">
        <v>74</v>
      </c>
      <c r="I861" t="s">
        <v>16112</v>
      </c>
      <c r="J861" t="s">
        <v>10806</v>
      </c>
      <c r="K861" t="s">
        <v>74</v>
      </c>
      <c r="L861" t="s">
        <v>74</v>
      </c>
      <c r="M861" t="s">
        <v>78</v>
      </c>
      <c r="N861" t="s">
        <v>79</v>
      </c>
      <c r="O861" t="s">
        <v>74</v>
      </c>
      <c r="P861" t="s">
        <v>74</v>
      </c>
      <c r="Q861" t="s">
        <v>74</v>
      </c>
      <c r="R861" t="s">
        <v>74</v>
      </c>
      <c r="S861" t="s">
        <v>74</v>
      </c>
      <c r="T861" t="s">
        <v>16113</v>
      </c>
      <c r="U861" t="s">
        <v>16114</v>
      </c>
      <c r="V861" t="s">
        <v>16115</v>
      </c>
      <c r="W861" t="s">
        <v>16116</v>
      </c>
      <c r="X861" t="s">
        <v>16117</v>
      </c>
      <c r="Y861" t="s">
        <v>16118</v>
      </c>
      <c r="Z861" t="s">
        <v>16119</v>
      </c>
      <c r="AA861" t="s">
        <v>74</v>
      </c>
      <c r="AB861" t="s">
        <v>16120</v>
      </c>
      <c r="AC861" t="s">
        <v>74</v>
      </c>
      <c r="AD861" t="s">
        <v>74</v>
      </c>
      <c r="AE861" t="s">
        <v>74</v>
      </c>
      <c r="AF861" t="s">
        <v>74</v>
      </c>
      <c r="AG861">
        <v>39</v>
      </c>
      <c r="AH861">
        <v>41</v>
      </c>
      <c r="AI861">
        <v>57</v>
      </c>
      <c r="AJ861">
        <v>1</v>
      </c>
      <c r="AK861">
        <v>21</v>
      </c>
      <c r="AL861" t="s">
        <v>201</v>
      </c>
      <c r="AM861" t="s">
        <v>202</v>
      </c>
      <c r="AN861" t="s">
        <v>203</v>
      </c>
      <c r="AO861" t="s">
        <v>10818</v>
      </c>
      <c r="AP861" t="s">
        <v>10819</v>
      </c>
      <c r="AQ861" t="s">
        <v>74</v>
      </c>
      <c r="AR861" t="s">
        <v>10820</v>
      </c>
      <c r="AS861" t="s">
        <v>10821</v>
      </c>
      <c r="AT861" t="s">
        <v>208</v>
      </c>
      <c r="AU861">
        <v>2020</v>
      </c>
      <c r="AV861">
        <v>84</v>
      </c>
      <c r="AW861" t="s">
        <v>74</v>
      </c>
      <c r="AX861" t="s">
        <v>74</v>
      </c>
      <c r="AY861" t="s">
        <v>74</v>
      </c>
      <c r="AZ861" t="s">
        <v>74</v>
      </c>
      <c r="BA861" t="s">
        <v>74</v>
      </c>
      <c r="BB861">
        <v>102</v>
      </c>
      <c r="BC861">
        <v>116</v>
      </c>
      <c r="BD861" t="s">
        <v>74</v>
      </c>
      <c r="BE861" t="s">
        <v>16121</v>
      </c>
      <c r="BF861" t="str">
        <f>HYPERLINK("http://dx.doi.org/10.1016/j.econmod.2019.03.012","http://dx.doi.org/10.1016/j.econmod.2019.03.012")</f>
        <v>http://dx.doi.org/10.1016/j.econmod.2019.03.012</v>
      </c>
      <c r="BG861" t="s">
        <v>74</v>
      </c>
      <c r="BH861" t="s">
        <v>74</v>
      </c>
      <c r="BI861">
        <v>15</v>
      </c>
      <c r="BJ861" t="s">
        <v>291</v>
      </c>
      <c r="BK861" t="s">
        <v>99</v>
      </c>
      <c r="BL861" t="s">
        <v>100</v>
      </c>
      <c r="BM861" t="s">
        <v>16122</v>
      </c>
      <c r="BN861" t="s">
        <v>74</v>
      </c>
      <c r="BO861" t="s">
        <v>74</v>
      </c>
      <c r="BP861" t="s">
        <v>74</v>
      </c>
      <c r="BQ861" t="s">
        <v>74</v>
      </c>
      <c r="BR861" t="s">
        <v>102</v>
      </c>
      <c r="BS861" t="s">
        <v>16123</v>
      </c>
      <c r="BT861" t="str">
        <f>HYPERLINK("https%3A%2F%2Fwww.webofscience.com%2Fwos%2Fwoscc%2Ffull-record%2FWOS:000503313700009","View Full Record in Web of Science")</f>
        <v>View Full Record in Web of Science</v>
      </c>
    </row>
    <row r="862" spans="1:72" x14ac:dyDescent="0.25">
      <c r="A862" t="s">
        <v>72</v>
      </c>
      <c r="B862" t="s">
        <v>16124</v>
      </c>
      <c r="C862" t="s">
        <v>74</v>
      </c>
      <c r="D862" t="s">
        <v>74</v>
      </c>
      <c r="E862" t="s">
        <v>74</v>
      </c>
      <c r="F862" t="s">
        <v>16125</v>
      </c>
      <c r="G862" t="s">
        <v>74</v>
      </c>
      <c r="H862" t="s">
        <v>74</v>
      </c>
      <c r="I862" t="s">
        <v>16126</v>
      </c>
      <c r="J862" t="s">
        <v>16127</v>
      </c>
      <c r="K862" t="s">
        <v>74</v>
      </c>
      <c r="L862" t="s">
        <v>74</v>
      </c>
      <c r="M862" t="s">
        <v>78</v>
      </c>
      <c r="N862" t="s">
        <v>79</v>
      </c>
      <c r="O862" t="s">
        <v>74</v>
      </c>
      <c r="P862" t="s">
        <v>74</v>
      </c>
      <c r="Q862" t="s">
        <v>74</v>
      </c>
      <c r="R862" t="s">
        <v>74</v>
      </c>
      <c r="S862" t="s">
        <v>74</v>
      </c>
      <c r="T862" t="s">
        <v>16128</v>
      </c>
      <c r="U862" t="s">
        <v>16129</v>
      </c>
      <c r="V862" t="s">
        <v>16130</v>
      </c>
      <c r="W862" t="s">
        <v>16131</v>
      </c>
      <c r="X862" t="s">
        <v>16132</v>
      </c>
      <c r="Y862" t="s">
        <v>16133</v>
      </c>
      <c r="Z862" t="s">
        <v>16134</v>
      </c>
      <c r="AA862" t="s">
        <v>74</v>
      </c>
      <c r="AB862" t="s">
        <v>74</v>
      </c>
      <c r="AC862" t="s">
        <v>16135</v>
      </c>
      <c r="AD862" t="s">
        <v>16136</v>
      </c>
      <c r="AE862" t="s">
        <v>16137</v>
      </c>
      <c r="AF862" t="s">
        <v>74</v>
      </c>
      <c r="AG862">
        <v>14</v>
      </c>
      <c r="AH862">
        <v>0</v>
      </c>
      <c r="AI862">
        <v>0</v>
      </c>
      <c r="AJ862">
        <v>1</v>
      </c>
      <c r="AK862">
        <v>8</v>
      </c>
      <c r="AL862" t="s">
        <v>16138</v>
      </c>
      <c r="AM862" t="s">
        <v>16139</v>
      </c>
      <c r="AN862" t="s">
        <v>16140</v>
      </c>
      <c r="AO862" t="s">
        <v>16141</v>
      </c>
      <c r="AP862" t="s">
        <v>16142</v>
      </c>
      <c r="AQ862" t="s">
        <v>74</v>
      </c>
      <c r="AR862" t="s">
        <v>16143</v>
      </c>
      <c r="AS862" t="s">
        <v>16144</v>
      </c>
      <c r="AT862" t="s">
        <v>1159</v>
      </c>
      <c r="AU862">
        <v>2024</v>
      </c>
      <c r="AV862">
        <v>28</v>
      </c>
      <c r="AW862">
        <v>10</v>
      </c>
      <c r="AX862" t="s">
        <v>74</v>
      </c>
      <c r="AY862" t="s">
        <v>74</v>
      </c>
      <c r="AZ862" t="s">
        <v>74</v>
      </c>
      <c r="BA862" t="s">
        <v>74</v>
      </c>
      <c r="BB862">
        <v>160</v>
      </c>
      <c r="BC862">
        <v>166</v>
      </c>
      <c r="BD862" t="s">
        <v>74</v>
      </c>
      <c r="BE862" t="s">
        <v>16145</v>
      </c>
      <c r="BF862" t="str">
        <f>HYPERLINK("http://dx.doi.org/10.29063/ajrh2024/v28i10.16","http://dx.doi.org/10.29063/ajrh2024/v28i10.16")</f>
        <v>http://dx.doi.org/10.29063/ajrh2024/v28i10.16</v>
      </c>
      <c r="BG862" t="s">
        <v>74</v>
      </c>
      <c r="BH862" t="s">
        <v>74</v>
      </c>
      <c r="BI862">
        <v>7</v>
      </c>
      <c r="BJ862" t="s">
        <v>7080</v>
      </c>
      <c r="BK862" t="s">
        <v>99</v>
      </c>
      <c r="BL862" t="s">
        <v>7080</v>
      </c>
      <c r="BM862" t="s">
        <v>16146</v>
      </c>
      <c r="BN862">
        <v>39625340</v>
      </c>
      <c r="BO862" t="s">
        <v>212</v>
      </c>
      <c r="BP862" t="s">
        <v>74</v>
      </c>
      <c r="BQ862" t="s">
        <v>74</v>
      </c>
      <c r="BR862" t="s">
        <v>102</v>
      </c>
      <c r="BS862" t="s">
        <v>16147</v>
      </c>
      <c r="BT862" t="str">
        <f>HYPERLINK("https%3A%2F%2Fwww.webofscience.com%2Fwos%2Fwoscc%2Ffull-record%2FWOS:001351003500016","View Full Record in Web of Science")</f>
        <v>View Full Record in Web of Science</v>
      </c>
    </row>
    <row r="863" spans="1:72" x14ac:dyDescent="0.25">
      <c r="A863" t="s">
        <v>72</v>
      </c>
      <c r="B863" t="s">
        <v>16148</v>
      </c>
      <c r="C863" t="s">
        <v>74</v>
      </c>
      <c r="D863" t="s">
        <v>74</v>
      </c>
      <c r="E863" t="s">
        <v>74</v>
      </c>
      <c r="F863" t="s">
        <v>16149</v>
      </c>
      <c r="G863" t="s">
        <v>74</v>
      </c>
      <c r="H863" t="s">
        <v>74</v>
      </c>
      <c r="I863" t="s">
        <v>16150</v>
      </c>
      <c r="J863" t="s">
        <v>9191</v>
      </c>
      <c r="K863" t="s">
        <v>74</v>
      </c>
      <c r="L863" t="s">
        <v>74</v>
      </c>
      <c r="M863" t="s">
        <v>78</v>
      </c>
      <c r="N863" t="s">
        <v>79</v>
      </c>
      <c r="O863" t="s">
        <v>74</v>
      </c>
      <c r="P863" t="s">
        <v>74</v>
      </c>
      <c r="Q863" t="s">
        <v>74</v>
      </c>
      <c r="R863" t="s">
        <v>74</v>
      </c>
      <c r="S863" t="s">
        <v>74</v>
      </c>
      <c r="T863" t="s">
        <v>16151</v>
      </c>
      <c r="U863" t="s">
        <v>74</v>
      </c>
      <c r="V863" t="s">
        <v>16152</v>
      </c>
      <c r="W863" t="s">
        <v>16153</v>
      </c>
      <c r="X863" t="s">
        <v>16074</v>
      </c>
      <c r="Y863" t="s">
        <v>16154</v>
      </c>
      <c r="Z863" t="s">
        <v>16155</v>
      </c>
      <c r="AA863" t="s">
        <v>74</v>
      </c>
      <c r="AB863" t="s">
        <v>74</v>
      </c>
      <c r="AC863" t="s">
        <v>16156</v>
      </c>
      <c r="AD863" t="s">
        <v>16157</v>
      </c>
      <c r="AE863" t="s">
        <v>16158</v>
      </c>
      <c r="AF863" t="s">
        <v>74</v>
      </c>
      <c r="AG863">
        <v>51</v>
      </c>
      <c r="AH863">
        <v>17</v>
      </c>
      <c r="AI863">
        <v>18</v>
      </c>
      <c r="AJ863">
        <v>25</v>
      </c>
      <c r="AK863">
        <v>91</v>
      </c>
      <c r="AL863" t="s">
        <v>9204</v>
      </c>
      <c r="AM863" t="s">
        <v>2016</v>
      </c>
      <c r="AN863" t="s">
        <v>9205</v>
      </c>
      <c r="AO863" t="s">
        <v>74</v>
      </c>
      <c r="AP863" t="s">
        <v>9206</v>
      </c>
      <c r="AQ863" t="s">
        <v>74</v>
      </c>
      <c r="AR863" t="s">
        <v>9191</v>
      </c>
      <c r="AS863" t="s">
        <v>9207</v>
      </c>
      <c r="AT863" t="s">
        <v>8352</v>
      </c>
      <c r="AU863">
        <v>2024</v>
      </c>
      <c r="AV863">
        <v>10</v>
      </c>
      <c r="AW863">
        <v>13</v>
      </c>
      <c r="AX863" t="s">
        <v>74</v>
      </c>
      <c r="AY863" t="s">
        <v>74</v>
      </c>
      <c r="AZ863" t="s">
        <v>74</v>
      </c>
      <c r="BA863" t="s">
        <v>74</v>
      </c>
      <c r="BB863" t="s">
        <v>74</v>
      </c>
      <c r="BC863" t="s">
        <v>74</v>
      </c>
      <c r="BD863" t="s">
        <v>16159</v>
      </c>
      <c r="BE863" t="s">
        <v>16160</v>
      </c>
      <c r="BF863" t="str">
        <f>HYPERLINK("http://dx.doi.org/10.1016/j.heliyon.2024.e33717","http://dx.doi.org/10.1016/j.heliyon.2024.e33717")</f>
        <v>http://dx.doi.org/10.1016/j.heliyon.2024.e33717</v>
      </c>
      <c r="BG863" t="s">
        <v>74</v>
      </c>
      <c r="BH863" t="s">
        <v>6256</v>
      </c>
      <c r="BI863">
        <v>17</v>
      </c>
      <c r="BJ863" t="s">
        <v>559</v>
      </c>
      <c r="BK863" t="s">
        <v>128</v>
      </c>
      <c r="BL863" t="s">
        <v>560</v>
      </c>
      <c r="BM863" t="s">
        <v>16161</v>
      </c>
      <c r="BN863">
        <v>39050411</v>
      </c>
      <c r="BO863" t="s">
        <v>916</v>
      </c>
      <c r="BP863" t="s">
        <v>74</v>
      </c>
      <c r="BQ863" t="s">
        <v>74</v>
      </c>
      <c r="BR863" t="s">
        <v>102</v>
      </c>
      <c r="BS863" t="s">
        <v>16162</v>
      </c>
      <c r="BT863" t="str">
        <f>HYPERLINK("https%3A%2F%2Fwww.webofscience.com%2Fwos%2Fwoscc%2Ffull-record%2FWOS:001286354500001","View Full Record in Web of Science")</f>
        <v>View Full Record in Web of Science</v>
      </c>
    </row>
    <row r="864" spans="1:72" x14ac:dyDescent="0.25">
      <c r="A864" t="s">
        <v>72</v>
      </c>
      <c r="B864" t="s">
        <v>16163</v>
      </c>
      <c r="C864" t="s">
        <v>74</v>
      </c>
      <c r="D864" t="s">
        <v>74</v>
      </c>
      <c r="E864" t="s">
        <v>74</v>
      </c>
      <c r="F864" t="s">
        <v>16164</v>
      </c>
      <c r="G864" t="s">
        <v>74</v>
      </c>
      <c r="H864" t="s">
        <v>74</v>
      </c>
      <c r="I864" t="s">
        <v>16165</v>
      </c>
      <c r="J864" t="s">
        <v>3036</v>
      </c>
      <c r="K864" t="s">
        <v>74</v>
      </c>
      <c r="L864" t="s">
        <v>74</v>
      </c>
      <c r="M864" t="s">
        <v>78</v>
      </c>
      <c r="N864" t="s">
        <v>372</v>
      </c>
      <c r="O864" t="s">
        <v>74</v>
      </c>
      <c r="P864" t="s">
        <v>74</v>
      </c>
      <c r="Q864" t="s">
        <v>74</v>
      </c>
      <c r="R864" t="s">
        <v>74</v>
      </c>
      <c r="S864" t="s">
        <v>74</v>
      </c>
      <c r="T864" t="s">
        <v>16166</v>
      </c>
      <c r="U864" t="s">
        <v>16167</v>
      </c>
      <c r="V864" t="s">
        <v>16168</v>
      </c>
      <c r="W864" t="s">
        <v>16169</v>
      </c>
      <c r="X864" t="s">
        <v>74</v>
      </c>
      <c r="Y864" t="s">
        <v>16170</v>
      </c>
      <c r="Z864" t="s">
        <v>16171</v>
      </c>
      <c r="AA864" t="s">
        <v>74</v>
      </c>
      <c r="AB864" t="s">
        <v>74</v>
      </c>
      <c r="AC864" t="s">
        <v>74</v>
      </c>
      <c r="AD864" t="s">
        <v>74</v>
      </c>
      <c r="AE864" t="s">
        <v>74</v>
      </c>
      <c r="AF864" t="s">
        <v>74</v>
      </c>
      <c r="AG864">
        <v>51</v>
      </c>
      <c r="AH864">
        <v>0</v>
      </c>
      <c r="AI864">
        <v>0</v>
      </c>
      <c r="AJ864">
        <v>0</v>
      </c>
      <c r="AK864">
        <v>4</v>
      </c>
      <c r="AL864" t="s">
        <v>385</v>
      </c>
      <c r="AM864" t="s">
        <v>151</v>
      </c>
      <c r="AN864" t="s">
        <v>386</v>
      </c>
      <c r="AO864" t="s">
        <v>3045</v>
      </c>
      <c r="AP864" t="s">
        <v>3046</v>
      </c>
      <c r="AQ864" t="s">
        <v>74</v>
      </c>
      <c r="AR864" t="s">
        <v>3047</v>
      </c>
      <c r="AS864" t="s">
        <v>3048</v>
      </c>
      <c r="AT864" t="s">
        <v>16172</v>
      </c>
      <c r="AU864">
        <v>2024</v>
      </c>
      <c r="AV864" t="s">
        <v>74</v>
      </c>
      <c r="AW864" t="s">
        <v>74</v>
      </c>
      <c r="AX864" t="s">
        <v>74</v>
      </c>
      <c r="AY864" t="s">
        <v>74</v>
      </c>
      <c r="AZ864" t="s">
        <v>74</v>
      </c>
      <c r="BA864" t="s">
        <v>74</v>
      </c>
      <c r="BB864" t="s">
        <v>74</v>
      </c>
      <c r="BC864" t="s">
        <v>74</v>
      </c>
      <c r="BD864" t="s">
        <v>74</v>
      </c>
      <c r="BE864" t="s">
        <v>16173</v>
      </c>
      <c r="BF864" t="str">
        <f>HYPERLINK("http://dx.doi.org/10.1007/s13132-024-01748-9","http://dx.doi.org/10.1007/s13132-024-01748-9")</f>
        <v>http://dx.doi.org/10.1007/s13132-024-01748-9</v>
      </c>
      <c r="BG864" t="s">
        <v>74</v>
      </c>
      <c r="BH864" t="s">
        <v>239</v>
      </c>
      <c r="BI864">
        <v>31</v>
      </c>
      <c r="BJ864" t="s">
        <v>291</v>
      </c>
      <c r="BK864" t="s">
        <v>99</v>
      </c>
      <c r="BL864" t="s">
        <v>100</v>
      </c>
      <c r="BM864" t="s">
        <v>16174</v>
      </c>
      <c r="BN864" t="s">
        <v>74</v>
      </c>
      <c r="BO864" t="s">
        <v>74</v>
      </c>
      <c r="BP864" t="s">
        <v>74</v>
      </c>
      <c r="BQ864" t="s">
        <v>74</v>
      </c>
      <c r="BR864" t="s">
        <v>102</v>
      </c>
      <c r="BS864" t="s">
        <v>16175</v>
      </c>
      <c r="BT864" t="str">
        <f>HYPERLINK("https%3A%2F%2Fwww.webofscience.com%2Fwos%2Fwoscc%2Ffull-record%2FWOS:001146943200003","View Full Record in Web of Science")</f>
        <v>View Full Record in Web of Science</v>
      </c>
    </row>
    <row r="865" spans="1:72" x14ac:dyDescent="0.25">
      <c r="A865" t="s">
        <v>72</v>
      </c>
      <c r="B865" t="s">
        <v>16176</v>
      </c>
      <c r="C865" t="s">
        <v>74</v>
      </c>
      <c r="D865" t="s">
        <v>74</v>
      </c>
      <c r="E865" t="s">
        <v>74</v>
      </c>
      <c r="F865" t="s">
        <v>16177</v>
      </c>
      <c r="G865" t="s">
        <v>74</v>
      </c>
      <c r="H865" t="s">
        <v>74</v>
      </c>
      <c r="I865" t="s">
        <v>16178</v>
      </c>
      <c r="J865" t="s">
        <v>7837</v>
      </c>
      <c r="K865" t="s">
        <v>74</v>
      </c>
      <c r="L865" t="s">
        <v>74</v>
      </c>
      <c r="M865" t="s">
        <v>78</v>
      </c>
      <c r="N865" t="s">
        <v>372</v>
      </c>
      <c r="O865" t="s">
        <v>74</v>
      </c>
      <c r="P865" t="s">
        <v>74</v>
      </c>
      <c r="Q865" t="s">
        <v>74</v>
      </c>
      <c r="R865" t="s">
        <v>74</v>
      </c>
      <c r="S865" t="s">
        <v>74</v>
      </c>
      <c r="T865" t="s">
        <v>16179</v>
      </c>
      <c r="U865" t="s">
        <v>16180</v>
      </c>
      <c r="V865" t="s">
        <v>16181</v>
      </c>
      <c r="W865" t="s">
        <v>16182</v>
      </c>
      <c r="X865" t="s">
        <v>7842</v>
      </c>
      <c r="Y865" t="s">
        <v>16183</v>
      </c>
      <c r="Z865" t="s">
        <v>16184</v>
      </c>
      <c r="AA865" t="s">
        <v>16185</v>
      </c>
      <c r="AB865" t="s">
        <v>16186</v>
      </c>
      <c r="AC865" t="s">
        <v>74</v>
      </c>
      <c r="AD865" t="s">
        <v>74</v>
      </c>
      <c r="AE865" t="s">
        <v>74</v>
      </c>
      <c r="AF865" t="s">
        <v>74</v>
      </c>
      <c r="AG865">
        <v>59</v>
      </c>
      <c r="AH865">
        <v>0</v>
      </c>
      <c r="AI865">
        <v>0</v>
      </c>
      <c r="AJ865">
        <v>9</v>
      </c>
      <c r="AK865">
        <v>11</v>
      </c>
      <c r="AL865" t="s">
        <v>89</v>
      </c>
      <c r="AM865" t="s">
        <v>90</v>
      </c>
      <c r="AN865" t="s">
        <v>91</v>
      </c>
      <c r="AO865" t="s">
        <v>7847</v>
      </c>
      <c r="AP865" t="s">
        <v>7848</v>
      </c>
      <c r="AQ865" t="s">
        <v>74</v>
      </c>
      <c r="AR865" t="s">
        <v>7849</v>
      </c>
      <c r="AS865" t="s">
        <v>7850</v>
      </c>
      <c r="AT865" t="s">
        <v>16187</v>
      </c>
      <c r="AU865">
        <v>2025</v>
      </c>
      <c r="AV865" t="s">
        <v>74</v>
      </c>
      <c r="AW865" t="s">
        <v>74</v>
      </c>
      <c r="AX865" t="s">
        <v>74</v>
      </c>
      <c r="AY865" t="s">
        <v>74</v>
      </c>
      <c r="AZ865" t="s">
        <v>74</v>
      </c>
      <c r="BA865" t="s">
        <v>74</v>
      </c>
      <c r="BB865" t="s">
        <v>74</v>
      </c>
      <c r="BC865" t="s">
        <v>74</v>
      </c>
      <c r="BD865" t="s">
        <v>74</v>
      </c>
      <c r="BE865" t="s">
        <v>16188</v>
      </c>
      <c r="BF865" t="str">
        <f>HYPERLINK("http://dx.doi.org/10.1108/IJOEM-09-2024-1525","http://dx.doi.org/10.1108/IJOEM-09-2024-1525")</f>
        <v>http://dx.doi.org/10.1108/IJOEM-09-2024-1525</v>
      </c>
      <c r="BG865" t="s">
        <v>74</v>
      </c>
      <c r="BH865" t="s">
        <v>7657</v>
      </c>
      <c r="BI865">
        <v>17</v>
      </c>
      <c r="BJ865" t="s">
        <v>6512</v>
      </c>
      <c r="BK865" t="s">
        <v>99</v>
      </c>
      <c r="BL865" t="s">
        <v>100</v>
      </c>
      <c r="BM865" t="s">
        <v>16189</v>
      </c>
      <c r="BN865" t="s">
        <v>74</v>
      </c>
      <c r="BO865" t="s">
        <v>74</v>
      </c>
      <c r="BP865" t="s">
        <v>74</v>
      </c>
      <c r="BQ865" t="s">
        <v>74</v>
      </c>
      <c r="BR865" t="s">
        <v>102</v>
      </c>
      <c r="BS865" t="s">
        <v>16190</v>
      </c>
      <c r="BT865" t="str">
        <f>HYPERLINK("https%3A%2F%2Fwww.webofscience.com%2Fwos%2Fwoscc%2Ffull-record%2FWOS:001506618500001","View Full Record in Web of Science")</f>
        <v>View Full Record in Web of Science</v>
      </c>
    </row>
    <row r="866" spans="1:72" x14ac:dyDescent="0.25">
      <c r="A866" t="s">
        <v>72</v>
      </c>
      <c r="B866" t="s">
        <v>16191</v>
      </c>
      <c r="C866" t="s">
        <v>74</v>
      </c>
      <c r="D866" t="s">
        <v>74</v>
      </c>
      <c r="E866" t="s">
        <v>74</v>
      </c>
      <c r="F866" t="s">
        <v>16192</v>
      </c>
      <c r="G866" t="s">
        <v>74</v>
      </c>
      <c r="H866" t="s">
        <v>74</v>
      </c>
      <c r="I866" t="s">
        <v>16193</v>
      </c>
      <c r="J866" t="s">
        <v>3439</v>
      </c>
      <c r="K866" t="s">
        <v>74</v>
      </c>
      <c r="L866" t="s">
        <v>74</v>
      </c>
      <c r="M866" t="s">
        <v>78</v>
      </c>
      <c r="N866" t="s">
        <v>79</v>
      </c>
      <c r="O866" t="s">
        <v>74</v>
      </c>
      <c r="P866" t="s">
        <v>74</v>
      </c>
      <c r="Q866" t="s">
        <v>74</v>
      </c>
      <c r="R866" t="s">
        <v>74</v>
      </c>
      <c r="S866" t="s">
        <v>74</v>
      </c>
      <c r="T866" t="s">
        <v>16194</v>
      </c>
      <c r="U866" t="s">
        <v>946</v>
      </c>
      <c r="V866" t="s">
        <v>16195</v>
      </c>
      <c r="W866" t="s">
        <v>16196</v>
      </c>
      <c r="X866" t="s">
        <v>16197</v>
      </c>
      <c r="Y866" t="s">
        <v>16198</v>
      </c>
      <c r="Z866" t="s">
        <v>16199</v>
      </c>
      <c r="AA866" t="s">
        <v>16200</v>
      </c>
      <c r="AB866" t="s">
        <v>16201</v>
      </c>
      <c r="AC866" t="s">
        <v>74</v>
      </c>
      <c r="AD866" t="s">
        <v>74</v>
      </c>
      <c r="AE866" t="s">
        <v>74</v>
      </c>
      <c r="AF866" t="s">
        <v>74</v>
      </c>
      <c r="AG866">
        <v>50</v>
      </c>
      <c r="AH866">
        <v>18</v>
      </c>
      <c r="AI866">
        <v>23</v>
      </c>
      <c r="AJ866">
        <v>1</v>
      </c>
      <c r="AK866">
        <v>17</v>
      </c>
      <c r="AL866" t="s">
        <v>2481</v>
      </c>
      <c r="AM866" t="s">
        <v>2482</v>
      </c>
      <c r="AN866" t="s">
        <v>2483</v>
      </c>
      <c r="AO866" t="s">
        <v>3443</v>
      </c>
      <c r="AP866" t="s">
        <v>74</v>
      </c>
      <c r="AQ866" t="s">
        <v>74</v>
      </c>
      <c r="AR866" t="s">
        <v>3444</v>
      </c>
      <c r="AS866" t="s">
        <v>3445</v>
      </c>
      <c r="AT866" t="s">
        <v>2970</v>
      </c>
      <c r="AU866">
        <v>2022</v>
      </c>
      <c r="AV866">
        <v>10</v>
      </c>
      <c r="AW866">
        <v>1</v>
      </c>
      <c r="AX866" t="s">
        <v>74</v>
      </c>
      <c r="AY866" t="s">
        <v>74</v>
      </c>
      <c r="AZ866" t="s">
        <v>74</v>
      </c>
      <c r="BA866" t="s">
        <v>74</v>
      </c>
      <c r="BB866" t="s">
        <v>74</v>
      </c>
      <c r="BC866" t="s">
        <v>74</v>
      </c>
      <c r="BD866">
        <v>2073656</v>
      </c>
      <c r="BE866" t="s">
        <v>16202</v>
      </c>
      <c r="BF866" t="str">
        <f>HYPERLINK("http://dx.doi.org/10.1080/23322039.2022.2073656","http://dx.doi.org/10.1080/23322039.2022.2073656")</f>
        <v>http://dx.doi.org/10.1080/23322039.2022.2073656</v>
      </c>
      <c r="BG866" t="s">
        <v>74</v>
      </c>
      <c r="BH866" t="s">
        <v>74</v>
      </c>
      <c r="BI866">
        <v>24</v>
      </c>
      <c r="BJ866" t="s">
        <v>291</v>
      </c>
      <c r="BK866" t="s">
        <v>313</v>
      </c>
      <c r="BL866" t="s">
        <v>100</v>
      </c>
      <c r="BM866" t="s">
        <v>16203</v>
      </c>
      <c r="BN866" t="s">
        <v>74</v>
      </c>
      <c r="BO866" t="s">
        <v>916</v>
      </c>
      <c r="BP866" t="s">
        <v>74</v>
      </c>
      <c r="BQ866" t="s">
        <v>74</v>
      </c>
      <c r="BR866" t="s">
        <v>102</v>
      </c>
      <c r="BS866" t="s">
        <v>16204</v>
      </c>
      <c r="BT866" t="str">
        <f>HYPERLINK("https%3A%2F%2Fwww.webofscience.com%2Fwos%2Fwoscc%2Ffull-record%2FWOS:000793542500001","View Full Record in Web of Science")</f>
        <v>View Full Record in Web of Science</v>
      </c>
    </row>
    <row r="867" spans="1:72" x14ac:dyDescent="0.25">
      <c r="A867" t="s">
        <v>72</v>
      </c>
      <c r="B867" t="s">
        <v>4615</v>
      </c>
      <c r="C867" t="s">
        <v>74</v>
      </c>
      <c r="D867" t="s">
        <v>74</v>
      </c>
      <c r="E867" t="s">
        <v>74</v>
      </c>
      <c r="F867" t="s">
        <v>4616</v>
      </c>
      <c r="G867" t="s">
        <v>74</v>
      </c>
      <c r="H867" t="s">
        <v>74</v>
      </c>
      <c r="I867" t="s">
        <v>16205</v>
      </c>
      <c r="J867" t="s">
        <v>9470</v>
      </c>
      <c r="K867" t="s">
        <v>74</v>
      </c>
      <c r="L867" t="s">
        <v>74</v>
      </c>
      <c r="M867" t="s">
        <v>78</v>
      </c>
      <c r="N867" t="s">
        <v>79</v>
      </c>
      <c r="O867" t="s">
        <v>74</v>
      </c>
      <c r="P867" t="s">
        <v>74</v>
      </c>
      <c r="Q867" t="s">
        <v>74</v>
      </c>
      <c r="R867" t="s">
        <v>74</v>
      </c>
      <c r="S867" t="s">
        <v>74</v>
      </c>
      <c r="T867" t="s">
        <v>16206</v>
      </c>
      <c r="U867" t="s">
        <v>14863</v>
      </c>
      <c r="V867" t="s">
        <v>16207</v>
      </c>
      <c r="W867" t="s">
        <v>16208</v>
      </c>
      <c r="X867" t="s">
        <v>16209</v>
      </c>
      <c r="Y867" t="s">
        <v>16210</v>
      </c>
      <c r="Z867" t="s">
        <v>16211</v>
      </c>
      <c r="AA867" t="s">
        <v>4625</v>
      </c>
      <c r="AB867" t="s">
        <v>4626</v>
      </c>
      <c r="AC867" t="s">
        <v>74</v>
      </c>
      <c r="AD867" t="s">
        <v>74</v>
      </c>
      <c r="AE867" t="s">
        <v>74</v>
      </c>
      <c r="AF867" t="s">
        <v>74</v>
      </c>
      <c r="AG867">
        <v>39</v>
      </c>
      <c r="AH867">
        <v>5</v>
      </c>
      <c r="AI867">
        <v>6</v>
      </c>
      <c r="AJ867">
        <v>0</v>
      </c>
      <c r="AK867">
        <v>10</v>
      </c>
      <c r="AL867" t="s">
        <v>1889</v>
      </c>
      <c r="AM867" t="s">
        <v>1890</v>
      </c>
      <c r="AN867" t="s">
        <v>1891</v>
      </c>
      <c r="AO867" t="s">
        <v>9478</v>
      </c>
      <c r="AP867" t="s">
        <v>9479</v>
      </c>
      <c r="AQ867" t="s">
        <v>74</v>
      </c>
      <c r="AR867" t="s">
        <v>9480</v>
      </c>
      <c r="AS867" t="s">
        <v>9481</v>
      </c>
      <c r="AT867" t="s">
        <v>605</v>
      </c>
      <c r="AU867">
        <v>2022</v>
      </c>
      <c r="AV867">
        <v>67</v>
      </c>
      <c r="AW867">
        <v>1</v>
      </c>
      <c r="AX867" t="s">
        <v>74</v>
      </c>
      <c r="AY867" t="s">
        <v>74</v>
      </c>
      <c r="AZ867" t="s">
        <v>74</v>
      </c>
      <c r="BA867" t="s">
        <v>74</v>
      </c>
      <c r="BB867">
        <v>113</v>
      </c>
      <c r="BC867">
        <v>133</v>
      </c>
      <c r="BD867" t="s">
        <v>74</v>
      </c>
      <c r="BE867" t="s">
        <v>16212</v>
      </c>
      <c r="BF867" t="str">
        <f>HYPERLINK("http://dx.doi.org/10.1142/S0217590819420025","http://dx.doi.org/10.1142/S0217590819420025")</f>
        <v>http://dx.doi.org/10.1142/S0217590819420025</v>
      </c>
      <c r="BG867" t="s">
        <v>74</v>
      </c>
      <c r="BH867" t="s">
        <v>74</v>
      </c>
      <c r="BI867">
        <v>21</v>
      </c>
      <c r="BJ867" t="s">
        <v>291</v>
      </c>
      <c r="BK867" t="s">
        <v>99</v>
      </c>
      <c r="BL867" t="s">
        <v>100</v>
      </c>
      <c r="BM867" t="s">
        <v>16213</v>
      </c>
      <c r="BN867" t="s">
        <v>74</v>
      </c>
      <c r="BO867" t="s">
        <v>74</v>
      </c>
      <c r="BP867" t="s">
        <v>74</v>
      </c>
      <c r="BQ867" t="s">
        <v>74</v>
      </c>
      <c r="BR867" t="s">
        <v>102</v>
      </c>
      <c r="BS867" t="s">
        <v>16214</v>
      </c>
      <c r="BT867" t="str">
        <f>HYPERLINK("https%3A%2F%2Fwww.webofscience.com%2Fwos%2Fwoscc%2Ffull-record%2FWOS:000770148600005","View Full Record in Web of Science")</f>
        <v>View Full Record in Web of Science</v>
      </c>
    </row>
    <row r="868" spans="1:72" x14ac:dyDescent="0.25">
      <c r="A868" t="s">
        <v>72</v>
      </c>
      <c r="B868" t="s">
        <v>16215</v>
      </c>
      <c r="C868" t="s">
        <v>74</v>
      </c>
      <c r="D868" t="s">
        <v>74</v>
      </c>
      <c r="E868" t="s">
        <v>74</v>
      </c>
      <c r="F868" t="s">
        <v>16216</v>
      </c>
      <c r="G868" t="s">
        <v>74</v>
      </c>
      <c r="H868" t="s">
        <v>74</v>
      </c>
      <c r="I868" t="s">
        <v>16217</v>
      </c>
      <c r="J868" t="s">
        <v>9873</v>
      </c>
      <c r="K868" t="s">
        <v>74</v>
      </c>
      <c r="L868" t="s">
        <v>74</v>
      </c>
      <c r="M868" t="s">
        <v>78</v>
      </c>
      <c r="N868" t="s">
        <v>79</v>
      </c>
      <c r="O868" t="s">
        <v>74</v>
      </c>
      <c r="P868" t="s">
        <v>74</v>
      </c>
      <c r="Q868" t="s">
        <v>74</v>
      </c>
      <c r="R868" t="s">
        <v>74</v>
      </c>
      <c r="S868" t="s">
        <v>74</v>
      </c>
      <c r="T868" t="s">
        <v>16218</v>
      </c>
      <c r="U868" t="s">
        <v>16219</v>
      </c>
      <c r="V868" t="s">
        <v>16220</v>
      </c>
      <c r="W868" t="s">
        <v>16221</v>
      </c>
      <c r="X868" t="s">
        <v>16222</v>
      </c>
      <c r="Y868" t="s">
        <v>16223</v>
      </c>
      <c r="Z868" t="s">
        <v>16224</v>
      </c>
      <c r="AA868" t="s">
        <v>74</v>
      </c>
      <c r="AB868" t="s">
        <v>74</v>
      </c>
      <c r="AC868" t="s">
        <v>74</v>
      </c>
      <c r="AD868" t="s">
        <v>74</v>
      </c>
      <c r="AE868" t="s">
        <v>74</v>
      </c>
      <c r="AF868" t="s">
        <v>74</v>
      </c>
      <c r="AG868">
        <v>21</v>
      </c>
      <c r="AH868">
        <v>249</v>
      </c>
      <c r="AI868">
        <v>324</v>
      </c>
      <c r="AJ868">
        <v>6</v>
      </c>
      <c r="AK868">
        <v>163</v>
      </c>
      <c r="AL868" t="s">
        <v>503</v>
      </c>
      <c r="AM868" t="s">
        <v>151</v>
      </c>
      <c r="AN868" t="s">
        <v>504</v>
      </c>
      <c r="AO868" t="s">
        <v>9886</v>
      </c>
      <c r="AP868" t="s">
        <v>9887</v>
      </c>
      <c r="AQ868" t="s">
        <v>74</v>
      </c>
      <c r="AR868" t="s">
        <v>9888</v>
      </c>
      <c r="AS868" t="s">
        <v>9889</v>
      </c>
      <c r="AT868" t="s">
        <v>848</v>
      </c>
      <c r="AU868">
        <v>2015</v>
      </c>
      <c r="AV868">
        <v>34</v>
      </c>
      <c r="AW868" t="s">
        <v>74</v>
      </c>
      <c r="AX868" t="s">
        <v>74</v>
      </c>
      <c r="AY868" t="s">
        <v>74</v>
      </c>
      <c r="AZ868" t="s">
        <v>74</v>
      </c>
      <c r="BA868" t="s">
        <v>74</v>
      </c>
      <c r="BB868">
        <v>196</v>
      </c>
      <c r="BC868">
        <v>206</v>
      </c>
      <c r="BD868" t="s">
        <v>74</v>
      </c>
      <c r="BE868" t="s">
        <v>16225</v>
      </c>
      <c r="BF868" t="str">
        <f>HYPERLINK("http://dx.doi.org/10.1016/j.chieco.2014.12.004","http://dx.doi.org/10.1016/j.chieco.2014.12.004")</f>
        <v>http://dx.doi.org/10.1016/j.chieco.2014.12.004</v>
      </c>
      <c r="BG868" t="s">
        <v>74</v>
      </c>
      <c r="BH868" t="s">
        <v>74</v>
      </c>
      <c r="BI868">
        <v>11</v>
      </c>
      <c r="BJ868" t="s">
        <v>291</v>
      </c>
      <c r="BK868" t="s">
        <v>99</v>
      </c>
      <c r="BL868" t="s">
        <v>100</v>
      </c>
      <c r="BM868" t="s">
        <v>16226</v>
      </c>
      <c r="BN868" t="s">
        <v>74</v>
      </c>
      <c r="BO868" t="s">
        <v>1696</v>
      </c>
      <c r="BP868" t="s">
        <v>74</v>
      </c>
      <c r="BQ868" t="s">
        <v>74</v>
      </c>
      <c r="BR868" t="s">
        <v>102</v>
      </c>
      <c r="BS868" t="s">
        <v>16227</v>
      </c>
      <c r="BT868" t="str">
        <f>HYPERLINK("https%3A%2F%2Fwww.webofscience.com%2Fwos%2Fwoscc%2Ffull-record%2FWOS:000356992800015","View Full Record in Web of Science")</f>
        <v>View Full Record in Web of Science</v>
      </c>
    </row>
    <row r="869" spans="1:72" x14ac:dyDescent="0.25">
      <c r="A869" t="s">
        <v>72</v>
      </c>
      <c r="B869" t="s">
        <v>16228</v>
      </c>
      <c r="C869" t="s">
        <v>74</v>
      </c>
      <c r="D869" t="s">
        <v>74</v>
      </c>
      <c r="E869" t="s">
        <v>74</v>
      </c>
      <c r="F869" t="s">
        <v>16229</v>
      </c>
      <c r="G869" t="s">
        <v>74</v>
      </c>
      <c r="H869" t="s">
        <v>74</v>
      </c>
      <c r="I869" t="s">
        <v>16230</v>
      </c>
      <c r="J869" t="s">
        <v>9191</v>
      </c>
      <c r="K869" t="s">
        <v>74</v>
      </c>
      <c r="L869" t="s">
        <v>74</v>
      </c>
      <c r="M869" t="s">
        <v>78</v>
      </c>
      <c r="N869" t="s">
        <v>1766</v>
      </c>
      <c r="O869" t="s">
        <v>74</v>
      </c>
      <c r="P869" t="s">
        <v>74</v>
      </c>
      <c r="Q869" t="s">
        <v>74</v>
      </c>
      <c r="R869" t="s">
        <v>74</v>
      </c>
      <c r="S869" t="s">
        <v>74</v>
      </c>
      <c r="T869" t="s">
        <v>16231</v>
      </c>
      <c r="U869" t="s">
        <v>16232</v>
      </c>
      <c r="V869" t="s">
        <v>16233</v>
      </c>
      <c r="W869" t="s">
        <v>16234</v>
      </c>
      <c r="X869" t="s">
        <v>13321</v>
      </c>
      <c r="Y869" t="s">
        <v>16235</v>
      </c>
      <c r="Z869" t="s">
        <v>16236</v>
      </c>
      <c r="AA869" t="s">
        <v>74</v>
      </c>
      <c r="AB869" t="s">
        <v>74</v>
      </c>
      <c r="AC869" t="s">
        <v>16237</v>
      </c>
      <c r="AD869" t="s">
        <v>13321</v>
      </c>
      <c r="AE869" t="s">
        <v>16238</v>
      </c>
      <c r="AF869" t="s">
        <v>74</v>
      </c>
      <c r="AG869">
        <v>54</v>
      </c>
      <c r="AH869">
        <v>180</v>
      </c>
      <c r="AI869">
        <v>226</v>
      </c>
      <c r="AJ869">
        <v>52</v>
      </c>
      <c r="AK869">
        <v>442</v>
      </c>
      <c r="AL869" t="s">
        <v>9204</v>
      </c>
      <c r="AM869" t="s">
        <v>2016</v>
      </c>
      <c r="AN869" t="s">
        <v>9205</v>
      </c>
      <c r="AO869" t="s">
        <v>74</v>
      </c>
      <c r="AP869" t="s">
        <v>9206</v>
      </c>
      <c r="AQ869" t="s">
        <v>74</v>
      </c>
      <c r="AR869" t="s">
        <v>9191</v>
      </c>
      <c r="AS869" t="s">
        <v>9207</v>
      </c>
      <c r="AT869" t="s">
        <v>1652</v>
      </c>
      <c r="AU869">
        <v>2022</v>
      </c>
      <c r="AV869">
        <v>8</v>
      </c>
      <c r="AW869">
        <v>6</v>
      </c>
      <c r="AX869" t="s">
        <v>74</v>
      </c>
      <c r="AY869" t="s">
        <v>74</v>
      </c>
      <c r="AZ869" t="s">
        <v>74</v>
      </c>
      <c r="BA869" t="s">
        <v>74</v>
      </c>
      <c r="BB869" t="s">
        <v>74</v>
      </c>
      <c r="BC869" t="s">
        <v>74</v>
      </c>
      <c r="BD869" t="s">
        <v>16239</v>
      </c>
      <c r="BE869" t="s">
        <v>16240</v>
      </c>
      <c r="BF869" t="str">
        <f>HYPERLINK("http://dx.doi.org/10.1016/j.heliyon.2022.e09766","http://dx.doi.org/10.1016/j.heliyon.2022.e09766")</f>
        <v>http://dx.doi.org/10.1016/j.heliyon.2022.e09766</v>
      </c>
      <c r="BG869" t="s">
        <v>74</v>
      </c>
      <c r="BH869" t="s">
        <v>74</v>
      </c>
      <c r="BI869">
        <v>10</v>
      </c>
      <c r="BJ869" t="s">
        <v>559</v>
      </c>
      <c r="BK869" t="s">
        <v>128</v>
      </c>
      <c r="BL869" t="s">
        <v>560</v>
      </c>
      <c r="BM869" t="s">
        <v>16241</v>
      </c>
      <c r="BN869">
        <v>35785228</v>
      </c>
      <c r="BO869" t="s">
        <v>916</v>
      </c>
      <c r="BP869" t="s">
        <v>74</v>
      </c>
      <c r="BQ869" t="s">
        <v>74</v>
      </c>
      <c r="BR869" t="s">
        <v>102</v>
      </c>
      <c r="BS869" t="s">
        <v>16242</v>
      </c>
      <c r="BT869" t="str">
        <f>HYPERLINK("https%3A%2F%2Fwww.webofscience.com%2Fwos%2Fwoscc%2Ffull-record%2FWOS:000830244500009","View Full Record in Web of Science")</f>
        <v>View Full Record in Web of Science</v>
      </c>
    </row>
    <row r="870" spans="1:72" x14ac:dyDescent="0.25">
      <c r="A870" t="s">
        <v>72</v>
      </c>
      <c r="B870" t="s">
        <v>16243</v>
      </c>
      <c r="C870" t="s">
        <v>74</v>
      </c>
      <c r="D870" t="s">
        <v>74</v>
      </c>
      <c r="E870" t="s">
        <v>74</v>
      </c>
      <c r="F870" t="s">
        <v>16244</v>
      </c>
      <c r="G870" t="s">
        <v>74</v>
      </c>
      <c r="H870" t="s">
        <v>74</v>
      </c>
      <c r="I870" t="s">
        <v>16245</v>
      </c>
      <c r="J870" t="s">
        <v>4822</v>
      </c>
      <c r="K870" t="s">
        <v>74</v>
      </c>
      <c r="L870" t="s">
        <v>74</v>
      </c>
      <c r="M870" t="s">
        <v>78</v>
      </c>
      <c r="N870" t="s">
        <v>79</v>
      </c>
      <c r="O870" t="s">
        <v>74</v>
      </c>
      <c r="P870" t="s">
        <v>74</v>
      </c>
      <c r="Q870" t="s">
        <v>74</v>
      </c>
      <c r="R870" t="s">
        <v>74</v>
      </c>
      <c r="S870" t="s">
        <v>74</v>
      </c>
      <c r="T870" t="s">
        <v>16246</v>
      </c>
      <c r="U870" t="s">
        <v>16247</v>
      </c>
      <c r="V870" t="s">
        <v>16248</v>
      </c>
      <c r="W870" t="s">
        <v>16249</v>
      </c>
      <c r="X870" t="s">
        <v>16250</v>
      </c>
      <c r="Y870" t="s">
        <v>16251</v>
      </c>
      <c r="Z870" t="s">
        <v>16252</v>
      </c>
      <c r="AA870" t="s">
        <v>16253</v>
      </c>
      <c r="AB870" t="s">
        <v>16254</v>
      </c>
      <c r="AC870" t="s">
        <v>16255</v>
      </c>
      <c r="AD870" t="s">
        <v>16256</v>
      </c>
      <c r="AE870" t="s">
        <v>16257</v>
      </c>
      <c r="AF870" t="s">
        <v>74</v>
      </c>
      <c r="AG870">
        <v>61</v>
      </c>
      <c r="AH870">
        <v>40</v>
      </c>
      <c r="AI870">
        <v>46</v>
      </c>
      <c r="AJ870">
        <v>4</v>
      </c>
      <c r="AK870">
        <v>73</v>
      </c>
      <c r="AL870" t="s">
        <v>201</v>
      </c>
      <c r="AM870" t="s">
        <v>202</v>
      </c>
      <c r="AN870" t="s">
        <v>203</v>
      </c>
      <c r="AO870" t="s">
        <v>4833</v>
      </c>
      <c r="AP870" t="s">
        <v>74</v>
      </c>
      <c r="AQ870" t="s">
        <v>74</v>
      </c>
      <c r="AR870" t="s">
        <v>4834</v>
      </c>
      <c r="AS870" t="s">
        <v>4835</v>
      </c>
      <c r="AT870" t="s">
        <v>605</v>
      </c>
      <c r="AU870">
        <v>2023</v>
      </c>
      <c r="AV870">
        <v>77</v>
      </c>
      <c r="AW870" t="s">
        <v>74</v>
      </c>
      <c r="AX870" t="s">
        <v>74</v>
      </c>
      <c r="AY870" t="s">
        <v>74</v>
      </c>
      <c r="AZ870" t="s">
        <v>74</v>
      </c>
      <c r="BA870" t="s">
        <v>74</v>
      </c>
      <c r="BB870">
        <v>729</v>
      </c>
      <c r="BC870">
        <v>747</v>
      </c>
      <c r="BD870" t="s">
        <v>74</v>
      </c>
      <c r="BE870" t="s">
        <v>16258</v>
      </c>
      <c r="BF870" t="str">
        <f>HYPERLINK("http://dx.doi.org/10.1016/j.eap.2022.12.012","http://dx.doi.org/10.1016/j.eap.2022.12.012")</f>
        <v>http://dx.doi.org/10.1016/j.eap.2022.12.012</v>
      </c>
      <c r="BG870" t="s">
        <v>74</v>
      </c>
      <c r="BH870" t="s">
        <v>11288</v>
      </c>
      <c r="BI870">
        <v>19</v>
      </c>
      <c r="BJ870" t="s">
        <v>291</v>
      </c>
      <c r="BK870" t="s">
        <v>99</v>
      </c>
      <c r="BL870" t="s">
        <v>100</v>
      </c>
      <c r="BM870" t="s">
        <v>16259</v>
      </c>
      <c r="BN870" t="s">
        <v>74</v>
      </c>
      <c r="BO870" t="s">
        <v>74</v>
      </c>
      <c r="BP870" t="s">
        <v>74</v>
      </c>
      <c r="BQ870" t="s">
        <v>74</v>
      </c>
      <c r="BR870" t="s">
        <v>102</v>
      </c>
      <c r="BS870" t="s">
        <v>16260</v>
      </c>
      <c r="BT870" t="str">
        <f>HYPERLINK("https%3A%2F%2Fwww.webofscience.com%2Fwos%2Fwoscc%2Ffull-record%2FWOS:000926148700001","View Full Record in Web of Science")</f>
        <v>View Full Record in Web of Science</v>
      </c>
    </row>
    <row r="871" spans="1:72" x14ac:dyDescent="0.25">
      <c r="A871" t="s">
        <v>72</v>
      </c>
      <c r="B871" t="s">
        <v>16261</v>
      </c>
      <c r="C871" t="s">
        <v>74</v>
      </c>
      <c r="D871" t="s">
        <v>74</v>
      </c>
      <c r="E871" t="s">
        <v>74</v>
      </c>
      <c r="F871" t="s">
        <v>16262</v>
      </c>
      <c r="G871" t="s">
        <v>74</v>
      </c>
      <c r="H871" t="s">
        <v>74</v>
      </c>
      <c r="I871" t="s">
        <v>16263</v>
      </c>
      <c r="J871" t="s">
        <v>16264</v>
      </c>
      <c r="K871" t="s">
        <v>74</v>
      </c>
      <c r="L871" t="s">
        <v>74</v>
      </c>
      <c r="M871" t="s">
        <v>78</v>
      </c>
      <c r="N871" t="s">
        <v>79</v>
      </c>
      <c r="O871" t="s">
        <v>74</v>
      </c>
      <c r="P871" t="s">
        <v>74</v>
      </c>
      <c r="Q871" t="s">
        <v>74</v>
      </c>
      <c r="R871" t="s">
        <v>74</v>
      </c>
      <c r="S871" t="s">
        <v>74</v>
      </c>
      <c r="T871" t="s">
        <v>16265</v>
      </c>
      <c r="U871" t="s">
        <v>74</v>
      </c>
      <c r="V871" t="s">
        <v>16266</v>
      </c>
      <c r="W871" t="s">
        <v>16267</v>
      </c>
      <c r="X871" t="s">
        <v>74</v>
      </c>
      <c r="Y871" t="s">
        <v>16268</v>
      </c>
      <c r="Z871" t="s">
        <v>16269</v>
      </c>
      <c r="AA871" t="s">
        <v>16270</v>
      </c>
      <c r="AB871" t="s">
        <v>16271</v>
      </c>
      <c r="AC871" t="s">
        <v>16272</v>
      </c>
      <c r="AD871" t="s">
        <v>16273</v>
      </c>
      <c r="AE871" t="s">
        <v>16274</v>
      </c>
      <c r="AF871" t="s">
        <v>74</v>
      </c>
      <c r="AG871">
        <v>91</v>
      </c>
      <c r="AH871">
        <v>10</v>
      </c>
      <c r="AI871">
        <v>11</v>
      </c>
      <c r="AJ871">
        <v>1</v>
      </c>
      <c r="AK871">
        <v>25</v>
      </c>
      <c r="AL871" t="s">
        <v>823</v>
      </c>
      <c r="AM871" t="s">
        <v>333</v>
      </c>
      <c r="AN871" t="s">
        <v>824</v>
      </c>
      <c r="AO871" t="s">
        <v>16275</v>
      </c>
      <c r="AP871" t="s">
        <v>16276</v>
      </c>
      <c r="AQ871" t="s">
        <v>74</v>
      </c>
      <c r="AR871" t="s">
        <v>16277</v>
      </c>
      <c r="AS871" t="s">
        <v>16278</v>
      </c>
      <c r="AT871" t="s">
        <v>1427</v>
      </c>
      <c r="AU871">
        <v>2022</v>
      </c>
      <c r="AV871">
        <v>30</v>
      </c>
      <c r="AW871">
        <v>1</v>
      </c>
      <c r="AX871" t="s">
        <v>74</v>
      </c>
      <c r="AY871" t="s">
        <v>74</v>
      </c>
      <c r="AZ871" t="s">
        <v>74</v>
      </c>
      <c r="BA871" t="s">
        <v>74</v>
      </c>
      <c r="BB871">
        <v>44</v>
      </c>
      <c r="BC871">
        <v>69</v>
      </c>
      <c r="BD871" t="s">
        <v>74</v>
      </c>
      <c r="BE871" t="s">
        <v>16279</v>
      </c>
      <c r="BF871" t="str">
        <f>HYPERLINK("http://dx.doi.org/10.1080/10192557.2022.2045706","http://dx.doi.org/10.1080/10192557.2022.2045706")</f>
        <v>http://dx.doi.org/10.1080/10192557.2022.2045706</v>
      </c>
      <c r="BG871" t="s">
        <v>74</v>
      </c>
      <c r="BH871" t="s">
        <v>767</v>
      </c>
      <c r="BI871">
        <v>26</v>
      </c>
      <c r="BJ871" t="s">
        <v>182</v>
      </c>
      <c r="BK871" t="s">
        <v>99</v>
      </c>
      <c r="BL871" t="s">
        <v>184</v>
      </c>
      <c r="BM871" t="s">
        <v>16280</v>
      </c>
      <c r="BN871" t="s">
        <v>74</v>
      </c>
      <c r="BO871" t="s">
        <v>74</v>
      </c>
      <c r="BP871" t="s">
        <v>74</v>
      </c>
      <c r="BQ871" t="s">
        <v>74</v>
      </c>
      <c r="BR871" t="s">
        <v>102</v>
      </c>
      <c r="BS871" t="s">
        <v>16281</v>
      </c>
      <c r="BT871" t="str">
        <f>HYPERLINK("https%3A%2F%2Fwww.webofscience.com%2Fwos%2Fwoscc%2Ffull-record%2FWOS:000767622800001","View Full Record in Web of Science")</f>
        <v>View Full Record in Web of Science</v>
      </c>
    </row>
    <row r="872" spans="1:72" x14ac:dyDescent="0.25">
      <c r="A872" t="s">
        <v>72</v>
      </c>
      <c r="B872" t="s">
        <v>16282</v>
      </c>
      <c r="C872" t="s">
        <v>74</v>
      </c>
      <c r="D872" t="s">
        <v>74</v>
      </c>
      <c r="E872" t="s">
        <v>74</v>
      </c>
      <c r="F872" t="s">
        <v>16283</v>
      </c>
      <c r="G872" t="s">
        <v>74</v>
      </c>
      <c r="H872" t="s">
        <v>74</v>
      </c>
      <c r="I872" t="s">
        <v>16284</v>
      </c>
      <c r="J872" t="s">
        <v>15686</v>
      </c>
      <c r="K872" t="s">
        <v>74</v>
      </c>
      <c r="L872" t="s">
        <v>74</v>
      </c>
      <c r="M872" t="s">
        <v>78</v>
      </c>
      <c r="N872" t="s">
        <v>79</v>
      </c>
      <c r="O872" t="s">
        <v>74</v>
      </c>
      <c r="P872" t="s">
        <v>74</v>
      </c>
      <c r="Q872" t="s">
        <v>74</v>
      </c>
      <c r="R872" t="s">
        <v>74</v>
      </c>
      <c r="S872" t="s">
        <v>74</v>
      </c>
      <c r="T872" t="s">
        <v>16285</v>
      </c>
      <c r="U872" t="s">
        <v>16286</v>
      </c>
      <c r="V872" t="s">
        <v>16287</v>
      </c>
      <c r="W872" t="s">
        <v>16288</v>
      </c>
      <c r="X872" t="s">
        <v>16289</v>
      </c>
      <c r="Y872" t="s">
        <v>16290</v>
      </c>
      <c r="Z872" t="s">
        <v>16291</v>
      </c>
      <c r="AA872" t="s">
        <v>16292</v>
      </c>
      <c r="AB872" t="s">
        <v>16293</v>
      </c>
      <c r="AC872" t="s">
        <v>16294</v>
      </c>
      <c r="AD872" t="s">
        <v>16294</v>
      </c>
      <c r="AE872" t="s">
        <v>16295</v>
      </c>
      <c r="AF872" t="s">
        <v>74</v>
      </c>
      <c r="AG872">
        <v>50</v>
      </c>
      <c r="AH872">
        <v>16</v>
      </c>
      <c r="AI872">
        <v>19</v>
      </c>
      <c r="AJ872">
        <v>0</v>
      </c>
      <c r="AK872">
        <v>9</v>
      </c>
      <c r="AL872" t="s">
        <v>479</v>
      </c>
      <c r="AM872" t="s">
        <v>480</v>
      </c>
      <c r="AN872" t="s">
        <v>481</v>
      </c>
      <c r="AO872" t="s">
        <v>74</v>
      </c>
      <c r="AP872" t="s">
        <v>15694</v>
      </c>
      <c r="AQ872" t="s">
        <v>74</v>
      </c>
      <c r="AR872" t="s">
        <v>15695</v>
      </c>
      <c r="AS872" t="s">
        <v>15696</v>
      </c>
      <c r="AT872" t="s">
        <v>1652</v>
      </c>
      <c r="AU872">
        <v>2021</v>
      </c>
      <c r="AV872">
        <v>4</v>
      </c>
      <c r="AW872">
        <v>2</v>
      </c>
      <c r="AX872" t="s">
        <v>74</v>
      </c>
      <c r="AY872" t="s">
        <v>74</v>
      </c>
      <c r="AZ872" t="s">
        <v>74</v>
      </c>
      <c r="BA872" t="s">
        <v>74</v>
      </c>
      <c r="BB872">
        <v>203</v>
      </c>
      <c r="BC872">
        <v>215</v>
      </c>
      <c r="BD872" t="s">
        <v>74</v>
      </c>
      <c r="BE872" t="s">
        <v>16296</v>
      </c>
      <c r="BF872" t="str">
        <f>HYPERLINK("http://dx.doi.org/10.1002/bsd2.139","http://dx.doi.org/10.1002/bsd2.139")</f>
        <v>http://dx.doi.org/10.1002/bsd2.139</v>
      </c>
      <c r="BG872" t="s">
        <v>74</v>
      </c>
      <c r="BH872" t="s">
        <v>745</v>
      </c>
      <c r="BI872">
        <v>13</v>
      </c>
      <c r="BJ872" t="s">
        <v>15700</v>
      </c>
      <c r="BK872" t="s">
        <v>313</v>
      </c>
      <c r="BL872" t="s">
        <v>14040</v>
      </c>
      <c r="BM872" t="s">
        <v>16297</v>
      </c>
      <c r="BN872" t="s">
        <v>74</v>
      </c>
      <c r="BO872" t="s">
        <v>74</v>
      </c>
      <c r="BP872" t="s">
        <v>74</v>
      </c>
      <c r="BQ872" t="s">
        <v>74</v>
      </c>
      <c r="BR872" t="s">
        <v>102</v>
      </c>
      <c r="BS872" t="s">
        <v>16298</v>
      </c>
      <c r="BT872" t="str">
        <f>HYPERLINK("https%3A%2F%2Fwww.webofscience.com%2Fwos%2Fwoscc%2Ffull-record%2FWOS:000568473700001","View Full Record in Web of Science")</f>
        <v>View Full Record in Web of Science</v>
      </c>
    </row>
    <row r="873" spans="1:72" x14ac:dyDescent="0.25">
      <c r="A873" t="s">
        <v>72</v>
      </c>
      <c r="B873" t="s">
        <v>16299</v>
      </c>
      <c r="C873" t="s">
        <v>74</v>
      </c>
      <c r="D873" t="s">
        <v>74</v>
      </c>
      <c r="E873" t="s">
        <v>74</v>
      </c>
      <c r="F873" t="s">
        <v>16300</v>
      </c>
      <c r="G873" t="s">
        <v>74</v>
      </c>
      <c r="H873" t="s">
        <v>74</v>
      </c>
      <c r="I873" t="s">
        <v>16301</v>
      </c>
      <c r="J873" t="s">
        <v>16302</v>
      </c>
      <c r="K873" t="s">
        <v>74</v>
      </c>
      <c r="L873" t="s">
        <v>74</v>
      </c>
      <c r="M873" t="s">
        <v>78</v>
      </c>
      <c r="N873" t="s">
        <v>79</v>
      </c>
      <c r="O873" t="s">
        <v>74</v>
      </c>
      <c r="P873" t="s">
        <v>74</v>
      </c>
      <c r="Q873" t="s">
        <v>74</v>
      </c>
      <c r="R873" t="s">
        <v>74</v>
      </c>
      <c r="S873" t="s">
        <v>74</v>
      </c>
      <c r="T873" t="s">
        <v>16303</v>
      </c>
      <c r="U873" t="s">
        <v>16304</v>
      </c>
      <c r="V873" t="s">
        <v>16305</v>
      </c>
      <c r="W873" t="s">
        <v>16306</v>
      </c>
      <c r="X873" t="s">
        <v>16307</v>
      </c>
      <c r="Y873" t="s">
        <v>16308</v>
      </c>
      <c r="Z873" t="s">
        <v>16309</v>
      </c>
      <c r="AA873" t="s">
        <v>16310</v>
      </c>
      <c r="AB873" t="s">
        <v>16311</v>
      </c>
      <c r="AC873" t="s">
        <v>74</v>
      </c>
      <c r="AD873" t="s">
        <v>74</v>
      </c>
      <c r="AE873" t="s">
        <v>74</v>
      </c>
      <c r="AF873" t="s">
        <v>74</v>
      </c>
      <c r="AG873">
        <v>49</v>
      </c>
      <c r="AH873">
        <v>2</v>
      </c>
      <c r="AI873">
        <v>2</v>
      </c>
      <c r="AJ873">
        <v>1</v>
      </c>
      <c r="AK873">
        <v>23</v>
      </c>
      <c r="AL873" t="s">
        <v>2551</v>
      </c>
      <c r="AM873" t="s">
        <v>231</v>
      </c>
      <c r="AN873" t="s">
        <v>2552</v>
      </c>
      <c r="AO873" t="s">
        <v>74</v>
      </c>
      <c r="AP873" t="s">
        <v>16312</v>
      </c>
      <c r="AQ873" t="s">
        <v>74</v>
      </c>
      <c r="AR873" t="s">
        <v>16313</v>
      </c>
      <c r="AS873" t="s">
        <v>16314</v>
      </c>
      <c r="AT873" t="s">
        <v>16315</v>
      </c>
      <c r="AU873">
        <v>2023</v>
      </c>
      <c r="AV873">
        <v>7</v>
      </c>
      <c r="AW873">
        <v>6</v>
      </c>
      <c r="AX873" t="s">
        <v>74</v>
      </c>
      <c r="AY873" t="s">
        <v>74</v>
      </c>
      <c r="AZ873" t="s">
        <v>74</v>
      </c>
      <c r="BA873" t="s">
        <v>74</v>
      </c>
      <c r="BB873" t="s">
        <v>74</v>
      </c>
      <c r="BC873" t="s">
        <v>74</v>
      </c>
      <c r="BD873" t="s">
        <v>16316</v>
      </c>
      <c r="BE873" t="s">
        <v>16317</v>
      </c>
      <c r="BF873" t="str">
        <f>HYPERLINK("http://dx.doi.org/10.1093/geroni/igad072","http://dx.doi.org/10.1093/geroni/igad072")</f>
        <v>http://dx.doi.org/10.1093/geroni/igad072</v>
      </c>
      <c r="BG873" t="s">
        <v>74</v>
      </c>
      <c r="BH873" t="s">
        <v>7993</v>
      </c>
      <c r="BI873">
        <v>11</v>
      </c>
      <c r="BJ873" t="s">
        <v>16318</v>
      </c>
      <c r="BK873" t="s">
        <v>2623</v>
      </c>
      <c r="BL873" t="s">
        <v>16319</v>
      </c>
      <c r="BM873" t="s">
        <v>16320</v>
      </c>
      <c r="BN873">
        <v>37554950</v>
      </c>
      <c r="BO873" t="s">
        <v>916</v>
      </c>
      <c r="BP873" t="s">
        <v>74</v>
      </c>
      <c r="BQ873" t="s">
        <v>74</v>
      </c>
      <c r="BR873" t="s">
        <v>102</v>
      </c>
      <c r="BS873" t="s">
        <v>16321</v>
      </c>
      <c r="BT873" t="str">
        <f>HYPERLINK("https%3A%2F%2Fwww.webofscience.com%2Fwos%2Fwoscc%2Ffull-record%2FWOS:001044059700001","View Full Record in Web of Science")</f>
        <v>View Full Record in Web of Science</v>
      </c>
    </row>
    <row r="874" spans="1:72" x14ac:dyDescent="0.25">
      <c r="A874" t="s">
        <v>72</v>
      </c>
      <c r="B874" t="s">
        <v>16322</v>
      </c>
      <c r="C874" t="s">
        <v>74</v>
      </c>
      <c r="D874" t="s">
        <v>74</v>
      </c>
      <c r="E874" t="s">
        <v>74</v>
      </c>
      <c r="F874" t="s">
        <v>16323</v>
      </c>
      <c r="G874" t="s">
        <v>74</v>
      </c>
      <c r="H874" t="s">
        <v>74</v>
      </c>
      <c r="I874" t="s">
        <v>16324</v>
      </c>
      <c r="J874" t="s">
        <v>16325</v>
      </c>
      <c r="K874" t="s">
        <v>74</v>
      </c>
      <c r="L874" t="s">
        <v>74</v>
      </c>
      <c r="M874" t="s">
        <v>78</v>
      </c>
      <c r="N874" t="s">
        <v>79</v>
      </c>
      <c r="O874" t="s">
        <v>74</v>
      </c>
      <c r="P874" t="s">
        <v>74</v>
      </c>
      <c r="Q874" t="s">
        <v>74</v>
      </c>
      <c r="R874" t="s">
        <v>74</v>
      </c>
      <c r="S874" t="s">
        <v>74</v>
      </c>
      <c r="T874" t="s">
        <v>16326</v>
      </c>
      <c r="U874" t="s">
        <v>16327</v>
      </c>
      <c r="V874" t="s">
        <v>16328</v>
      </c>
      <c r="W874" t="s">
        <v>16329</v>
      </c>
      <c r="X874" t="s">
        <v>16330</v>
      </c>
      <c r="Y874" t="s">
        <v>16331</v>
      </c>
      <c r="Z874" t="s">
        <v>16332</v>
      </c>
      <c r="AA874" t="s">
        <v>16333</v>
      </c>
      <c r="AB874" t="s">
        <v>16334</v>
      </c>
      <c r="AC874" t="s">
        <v>74</v>
      </c>
      <c r="AD874" t="s">
        <v>74</v>
      </c>
      <c r="AE874" t="s">
        <v>74</v>
      </c>
      <c r="AF874" t="s">
        <v>74</v>
      </c>
      <c r="AG874">
        <v>46</v>
      </c>
      <c r="AH874">
        <v>5</v>
      </c>
      <c r="AI874">
        <v>5</v>
      </c>
      <c r="AJ874">
        <v>2</v>
      </c>
      <c r="AK874">
        <v>3</v>
      </c>
      <c r="AL874" t="s">
        <v>16335</v>
      </c>
      <c r="AM874" t="s">
        <v>16336</v>
      </c>
      <c r="AN874" t="s">
        <v>16337</v>
      </c>
      <c r="AO874" t="s">
        <v>16338</v>
      </c>
      <c r="AP874" t="s">
        <v>16339</v>
      </c>
      <c r="AQ874" t="s">
        <v>74</v>
      </c>
      <c r="AR874" t="s">
        <v>16340</v>
      </c>
      <c r="AS874" t="s">
        <v>16341</v>
      </c>
      <c r="AT874" t="s">
        <v>124</v>
      </c>
      <c r="AU874">
        <v>2023</v>
      </c>
      <c r="AV874">
        <v>7</v>
      </c>
      <c r="AW874">
        <v>2</v>
      </c>
      <c r="AX874" t="s">
        <v>74</v>
      </c>
      <c r="AY874" t="s">
        <v>74</v>
      </c>
      <c r="AZ874" t="s">
        <v>74</v>
      </c>
      <c r="BA874" t="s">
        <v>74</v>
      </c>
      <c r="BB874">
        <v>493</v>
      </c>
      <c r="BC874">
        <v>505</v>
      </c>
      <c r="BD874" t="s">
        <v>74</v>
      </c>
      <c r="BE874" t="s">
        <v>16342</v>
      </c>
      <c r="BF874" t="str">
        <f>HYPERLINK("http://dx.doi.org/10.28992/ijsam.v7i2.169","http://dx.doi.org/10.28992/ijsam.v7i2.169")</f>
        <v>http://dx.doi.org/10.28992/ijsam.v7i2.169</v>
      </c>
      <c r="BG874" t="s">
        <v>74</v>
      </c>
      <c r="BH874" t="s">
        <v>74</v>
      </c>
      <c r="BI874">
        <v>13</v>
      </c>
      <c r="BJ874" t="s">
        <v>4632</v>
      </c>
      <c r="BK874" t="s">
        <v>313</v>
      </c>
      <c r="BL874" t="s">
        <v>100</v>
      </c>
      <c r="BM874" t="s">
        <v>16343</v>
      </c>
      <c r="BN874" t="s">
        <v>74</v>
      </c>
      <c r="BO874" t="s">
        <v>212</v>
      </c>
      <c r="BP874" t="s">
        <v>74</v>
      </c>
      <c r="BQ874" t="s">
        <v>74</v>
      </c>
      <c r="BR874" t="s">
        <v>102</v>
      </c>
      <c r="BS874" t="s">
        <v>16344</v>
      </c>
      <c r="BT874" t="str">
        <f>HYPERLINK("https%3A%2F%2Fwww.webofscience.com%2Fwos%2Fwoscc%2Ffull-record%2FWOS:001422241900015","View Full Record in Web of Science")</f>
        <v>View Full Record in Web of Science</v>
      </c>
    </row>
    <row r="875" spans="1:72" x14ac:dyDescent="0.25">
      <c r="A875" t="s">
        <v>72</v>
      </c>
      <c r="B875" t="s">
        <v>16345</v>
      </c>
      <c r="C875" t="s">
        <v>74</v>
      </c>
      <c r="D875" t="s">
        <v>74</v>
      </c>
      <c r="E875" t="s">
        <v>74</v>
      </c>
      <c r="F875" t="s">
        <v>16346</v>
      </c>
      <c r="G875" t="s">
        <v>74</v>
      </c>
      <c r="H875" t="s">
        <v>74</v>
      </c>
      <c r="I875" t="s">
        <v>16347</v>
      </c>
      <c r="J875" t="s">
        <v>11562</v>
      </c>
      <c r="K875" t="s">
        <v>74</v>
      </c>
      <c r="L875" t="s">
        <v>74</v>
      </c>
      <c r="M875" t="s">
        <v>78</v>
      </c>
      <c r="N875" t="s">
        <v>79</v>
      </c>
      <c r="O875" t="s">
        <v>74</v>
      </c>
      <c r="P875" t="s">
        <v>74</v>
      </c>
      <c r="Q875" t="s">
        <v>74</v>
      </c>
      <c r="R875" t="s">
        <v>74</v>
      </c>
      <c r="S875" t="s">
        <v>74</v>
      </c>
      <c r="T875" t="s">
        <v>74</v>
      </c>
      <c r="U875" t="s">
        <v>16348</v>
      </c>
      <c r="V875" t="s">
        <v>16349</v>
      </c>
      <c r="W875" t="s">
        <v>16350</v>
      </c>
      <c r="X875" t="s">
        <v>16351</v>
      </c>
      <c r="Y875" t="s">
        <v>16352</v>
      </c>
      <c r="Z875" t="s">
        <v>16353</v>
      </c>
      <c r="AA875" t="s">
        <v>16354</v>
      </c>
      <c r="AB875" t="s">
        <v>16355</v>
      </c>
      <c r="AC875" t="s">
        <v>74</v>
      </c>
      <c r="AD875" t="s">
        <v>74</v>
      </c>
      <c r="AE875" t="s">
        <v>74</v>
      </c>
      <c r="AF875" t="s">
        <v>74</v>
      </c>
      <c r="AG875">
        <v>39</v>
      </c>
      <c r="AH875">
        <v>21</v>
      </c>
      <c r="AI875">
        <v>26</v>
      </c>
      <c r="AJ875">
        <v>2</v>
      </c>
      <c r="AK875">
        <v>4</v>
      </c>
      <c r="AL875" t="s">
        <v>201</v>
      </c>
      <c r="AM875" t="s">
        <v>202</v>
      </c>
      <c r="AN875" t="s">
        <v>203</v>
      </c>
      <c r="AO875" t="s">
        <v>11570</v>
      </c>
      <c r="AP875" t="s">
        <v>74</v>
      </c>
      <c r="AQ875" t="s">
        <v>74</v>
      </c>
      <c r="AR875" t="s">
        <v>11571</v>
      </c>
      <c r="AS875" t="s">
        <v>11572</v>
      </c>
      <c r="AT875" t="s">
        <v>605</v>
      </c>
      <c r="AU875">
        <v>2021</v>
      </c>
      <c r="AV875">
        <v>2</v>
      </c>
      <c r="AW875">
        <v>1</v>
      </c>
      <c r="AX875" t="s">
        <v>74</v>
      </c>
      <c r="AY875" t="s">
        <v>74</v>
      </c>
      <c r="AZ875" t="s">
        <v>74</v>
      </c>
      <c r="BA875" t="s">
        <v>74</v>
      </c>
      <c r="BB875" t="s">
        <v>74</v>
      </c>
      <c r="BC875" t="s">
        <v>74</v>
      </c>
      <c r="BD875">
        <v>100022</v>
      </c>
      <c r="BE875" t="s">
        <v>16356</v>
      </c>
      <c r="BF875" t="str">
        <f>HYPERLINK("http://dx.doi.org/10.1016/j.latcb.2021.100022","http://dx.doi.org/10.1016/j.latcb.2021.100022")</f>
        <v>http://dx.doi.org/10.1016/j.latcb.2021.100022</v>
      </c>
      <c r="BG875" t="s">
        <v>74</v>
      </c>
      <c r="BH875" t="s">
        <v>74</v>
      </c>
      <c r="BI875">
        <v>10</v>
      </c>
      <c r="BJ875" t="s">
        <v>210</v>
      </c>
      <c r="BK875" t="s">
        <v>313</v>
      </c>
      <c r="BL875" t="s">
        <v>100</v>
      </c>
      <c r="BM875" t="s">
        <v>16357</v>
      </c>
      <c r="BN875" t="s">
        <v>74</v>
      </c>
      <c r="BO875" t="s">
        <v>916</v>
      </c>
      <c r="BP875" t="s">
        <v>74</v>
      </c>
      <c r="BQ875" t="s">
        <v>74</v>
      </c>
      <c r="BR875" t="s">
        <v>102</v>
      </c>
      <c r="BS875" t="s">
        <v>16358</v>
      </c>
      <c r="BT875" t="str">
        <f>HYPERLINK("https%3A%2F%2Fwww.webofscience.com%2Fwos%2Fwoscc%2Ffull-record%2FWOS:001336198700005","View Full Record in Web of Science")</f>
        <v>View Full Record in Web of Science</v>
      </c>
    </row>
    <row r="876" spans="1:72" x14ac:dyDescent="0.25">
      <c r="A876" t="s">
        <v>8303</v>
      </c>
      <c r="B876" t="s">
        <v>16359</v>
      </c>
      <c r="C876" t="s">
        <v>16360</v>
      </c>
      <c r="D876" t="s">
        <v>74</v>
      </c>
      <c r="E876" t="s">
        <v>74</v>
      </c>
      <c r="F876" t="s">
        <v>16361</v>
      </c>
      <c r="G876" t="s">
        <v>16360</v>
      </c>
      <c r="H876" t="s">
        <v>74</v>
      </c>
      <c r="I876" t="s">
        <v>16362</v>
      </c>
      <c r="J876" t="s">
        <v>16363</v>
      </c>
      <c r="K876" t="s">
        <v>16364</v>
      </c>
      <c r="L876" t="s">
        <v>74</v>
      </c>
      <c r="M876" t="s">
        <v>78</v>
      </c>
      <c r="N876" t="s">
        <v>6023</v>
      </c>
      <c r="O876" t="s">
        <v>74</v>
      </c>
      <c r="P876" t="s">
        <v>74</v>
      </c>
      <c r="Q876" t="s">
        <v>74</v>
      </c>
      <c r="R876" t="s">
        <v>74</v>
      </c>
      <c r="S876" t="s">
        <v>74</v>
      </c>
      <c r="T876" t="s">
        <v>74</v>
      </c>
      <c r="U876" t="s">
        <v>74</v>
      </c>
      <c r="V876" t="s">
        <v>74</v>
      </c>
      <c r="W876" t="s">
        <v>16365</v>
      </c>
      <c r="X876" t="s">
        <v>7281</v>
      </c>
      <c r="Y876" t="s">
        <v>16366</v>
      </c>
      <c r="Z876" t="s">
        <v>74</v>
      </c>
      <c r="AA876" t="s">
        <v>74</v>
      </c>
      <c r="AB876" t="s">
        <v>74</v>
      </c>
      <c r="AC876" t="s">
        <v>74</v>
      </c>
      <c r="AD876" t="s">
        <v>74</v>
      </c>
      <c r="AE876" t="s">
        <v>74</v>
      </c>
      <c r="AF876" t="s">
        <v>74</v>
      </c>
      <c r="AG876">
        <v>4</v>
      </c>
      <c r="AH876">
        <v>0</v>
      </c>
      <c r="AI876">
        <v>0</v>
      </c>
      <c r="AJ876">
        <v>0</v>
      </c>
      <c r="AK876">
        <v>10</v>
      </c>
      <c r="AL876" t="s">
        <v>16367</v>
      </c>
      <c r="AM876" t="s">
        <v>2661</v>
      </c>
      <c r="AN876" t="s">
        <v>16368</v>
      </c>
      <c r="AO876" t="s">
        <v>74</v>
      </c>
      <c r="AP876" t="s">
        <v>74</v>
      </c>
      <c r="AQ876" t="s">
        <v>16369</v>
      </c>
      <c r="AR876" t="s">
        <v>16370</v>
      </c>
      <c r="AS876" t="s">
        <v>74</v>
      </c>
      <c r="AT876" t="s">
        <v>74</v>
      </c>
      <c r="AU876">
        <v>2013</v>
      </c>
      <c r="AV876" t="s">
        <v>74</v>
      </c>
      <c r="AW876" t="s">
        <v>74</v>
      </c>
      <c r="AX876" t="s">
        <v>74</v>
      </c>
      <c r="AY876" t="s">
        <v>74</v>
      </c>
      <c r="AZ876" t="s">
        <v>74</v>
      </c>
      <c r="BA876" t="s">
        <v>74</v>
      </c>
      <c r="BB876">
        <v>19</v>
      </c>
      <c r="BC876">
        <v>25</v>
      </c>
      <c r="BD876" t="s">
        <v>74</v>
      </c>
      <c r="BE876" t="s">
        <v>74</v>
      </c>
      <c r="BF876" t="s">
        <v>74</v>
      </c>
      <c r="BG876" t="s">
        <v>16371</v>
      </c>
      <c r="BH876" t="s">
        <v>74</v>
      </c>
      <c r="BI876">
        <v>7</v>
      </c>
      <c r="BJ876" t="s">
        <v>210</v>
      </c>
      <c r="BK876" t="s">
        <v>8314</v>
      </c>
      <c r="BL876" t="s">
        <v>100</v>
      </c>
      <c r="BM876" t="s">
        <v>16372</v>
      </c>
      <c r="BN876" t="s">
        <v>74</v>
      </c>
      <c r="BO876" t="s">
        <v>74</v>
      </c>
      <c r="BP876" t="s">
        <v>74</v>
      </c>
      <c r="BQ876" t="s">
        <v>74</v>
      </c>
      <c r="BR876" t="s">
        <v>102</v>
      </c>
      <c r="BS876" t="s">
        <v>16373</v>
      </c>
      <c r="BT876" t="str">
        <f>HYPERLINK("https%3A%2F%2Fwww.webofscience.com%2Fwos%2Fwoscc%2Ffull-record%2FWOS:000354440000004","View Full Record in Web of Science")</f>
        <v>View Full Record in Web of Science</v>
      </c>
    </row>
    <row r="877" spans="1:72" x14ac:dyDescent="0.25">
      <c r="A877" t="s">
        <v>72</v>
      </c>
      <c r="B877" t="s">
        <v>16374</v>
      </c>
      <c r="C877" t="s">
        <v>74</v>
      </c>
      <c r="D877" t="s">
        <v>74</v>
      </c>
      <c r="E877" t="s">
        <v>74</v>
      </c>
      <c r="F877" t="s">
        <v>16375</v>
      </c>
      <c r="G877" t="s">
        <v>74</v>
      </c>
      <c r="H877" t="s">
        <v>74</v>
      </c>
      <c r="I877" t="s">
        <v>16376</v>
      </c>
      <c r="J877" t="s">
        <v>424</v>
      </c>
      <c r="K877" t="s">
        <v>74</v>
      </c>
      <c r="L877" t="s">
        <v>74</v>
      </c>
      <c r="M877" t="s">
        <v>78</v>
      </c>
      <c r="N877" t="s">
        <v>79</v>
      </c>
      <c r="O877" t="s">
        <v>74</v>
      </c>
      <c r="P877" t="s">
        <v>74</v>
      </c>
      <c r="Q877" t="s">
        <v>74</v>
      </c>
      <c r="R877" t="s">
        <v>74</v>
      </c>
      <c r="S877" t="s">
        <v>74</v>
      </c>
      <c r="T877" t="s">
        <v>16377</v>
      </c>
      <c r="U877" t="s">
        <v>16378</v>
      </c>
      <c r="V877" t="s">
        <v>16379</v>
      </c>
      <c r="W877" t="s">
        <v>16380</v>
      </c>
      <c r="X877" t="s">
        <v>16381</v>
      </c>
      <c r="Y877" t="s">
        <v>16382</v>
      </c>
      <c r="Z877" t="s">
        <v>16383</v>
      </c>
      <c r="AA877" t="s">
        <v>16384</v>
      </c>
      <c r="AB877" t="s">
        <v>16385</v>
      </c>
      <c r="AC877" t="s">
        <v>74</v>
      </c>
      <c r="AD877" t="s">
        <v>74</v>
      </c>
      <c r="AE877" t="s">
        <v>74</v>
      </c>
      <c r="AF877" t="s">
        <v>74</v>
      </c>
      <c r="AG877">
        <v>59</v>
      </c>
      <c r="AH877">
        <v>210</v>
      </c>
      <c r="AI877">
        <v>290</v>
      </c>
      <c r="AJ877">
        <v>13</v>
      </c>
      <c r="AK877">
        <v>137</v>
      </c>
      <c r="AL877" t="s">
        <v>89</v>
      </c>
      <c r="AM877" t="s">
        <v>1497</v>
      </c>
      <c r="AN877" t="s">
        <v>1498</v>
      </c>
      <c r="AO877" t="s">
        <v>436</v>
      </c>
      <c r="AP877" t="s">
        <v>437</v>
      </c>
      <c r="AQ877" t="s">
        <v>74</v>
      </c>
      <c r="AR877" t="s">
        <v>438</v>
      </c>
      <c r="AS877" t="s">
        <v>439</v>
      </c>
      <c r="AT877" t="s">
        <v>74</v>
      </c>
      <c r="AU877">
        <v>2017</v>
      </c>
      <c r="AV877">
        <v>35</v>
      </c>
      <c r="AW877">
        <v>5</v>
      </c>
      <c r="AX877" t="s">
        <v>74</v>
      </c>
      <c r="AY877" t="s">
        <v>74</v>
      </c>
      <c r="AZ877" t="s">
        <v>441</v>
      </c>
      <c r="BA877" t="s">
        <v>74</v>
      </c>
      <c r="BB877">
        <v>805</v>
      </c>
      <c r="BC877">
        <v>817</v>
      </c>
      <c r="BD877" t="s">
        <v>74</v>
      </c>
      <c r="BE877" t="s">
        <v>16386</v>
      </c>
      <c r="BF877" t="str">
        <f>HYPERLINK("http://dx.doi.org/10.1108/IJBM-01-2016-0009","http://dx.doi.org/10.1108/IJBM-01-2016-0009")</f>
        <v>http://dx.doi.org/10.1108/IJBM-01-2016-0009</v>
      </c>
      <c r="BG877" t="s">
        <v>74</v>
      </c>
      <c r="BH877" t="s">
        <v>74</v>
      </c>
      <c r="BI877">
        <v>13</v>
      </c>
      <c r="BJ877" t="s">
        <v>418</v>
      </c>
      <c r="BK877" t="s">
        <v>99</v>
      </c>
      <c r="BL877" t="s">
        <v>100</v>
      </c>
      <c r="BM877" t="s">
        <v>16387</v>
      </c>
      <c r="BN877" t="s">
        <v>74</v>
      </c>
      <c r="BO877" t="s">
        <v>1696</v>
      </c>
      <c r="BP877" t="s">
        <v>74</v>
      </c>
      <c r="BQ877" t="s">
        <v>74</v>
      </c>
      <c r="BR877" t="s">
        <v>102</v>
      </c>
      <c r="BS877" t="s">
        <v>16388</v>
      </c>
      <c r="BT877" t="str">
        <f>HYPERLINK("https%3A%2F%2Fwww.webofscience.com%2Fwos%2Fwoscc%2Ffull-record%2FWOS:000406970300004","View Full Record in Web of Science")</f>
        <v>View Full Record in Web of Science</v>
      </c>
    </row>
    <row r="878" spans="1:72" x14ac:dyDescent="0.25">
      <c r="A878" t="s">
        <v>72</v>
      </c>
      <c r="B878" t="s">
        <v>16389</v>
      </c>
      <c r="C878" t="s">
        <v>74</v>
      </c>
      <c r="D878" t="s">
        <v>74</v>
      </c>
      <c r="E878" t="s">
        <v>74</v>
      </c>
      <c r="F878" t="s">
        <v>16390</v>
      </c>
      <c r="G878" t="s">
        <v>74</v>
      </c>
      <c r="H878" t="s">
        <v>74</v>
      </c>
      <c r="I878" t="s">
        <v>16391</v>
      </c>
      <c r="J878" t="s">
        <v>3231</v>
      </c>
      <c r="K878" t="s">
        <v>74</v>
      </c>
      <c r="L878" t="s">
        <v>74</v>
      </c>
      <c r="M878" t="s">
        <v>78</v>
      </c>
      <c r="N878" t="s">
        <v>79</v>
      </c>
      <c r="O878" t="s">
        <v>74</v>
      </c>
      <c r="P878" t="s">
        <v>74</v>
      </c>
      <c r="Q878" t="s">
        <v>74</v>
      </c>
      <c r="R878" t="s">
        <v>74</v>
      </c>
      <c r="S878" t="s">
        <v>74</v>
      </c>
      <c r="T878" t="s">
        <v>16392</v>
      </c>
      <c r="U878" t="s">
        <v>16393</v>
      </c>
      <c r="V878" t="s">
        <v>16394</v>
      </c>
      <c r="W878" t="s">
        <v>16395</v>
      </c>
      <c r="X878" t="s">
        <v>16396</v>
      </c>
      <c r="Y878" t="s">
        <v>16397</v>
      </c>
      <c r="Z878" t="s">
        <v>16398</v>
      </c>
      <c r="AA878" t="s">
        <v>16399</v>
      </c>
      <c r="AB878" t="s">
        <v>16400</v>
      </c>
      <c r="AC878" t="s">
        <v>16401</v>
      </c>
      <c r="AD878" t="s">
        <v>9224</v>
      </c>
      <c r="AE878" t="s">
        <v>16402</v>
      </c>
      <c r="AF878" t="s">
        <v>74</v>
      </c>
      <c r="AG878">
        <v>53</v>
      </c>
      <c r="AH878">
        <v>11</v>
      </c>
      <c r="AI878">
        <v>14</v>
      </c>
      <c r="AJ878">
        <v>11</v>
      </c>
      <c r="AK878">
        <v>144</v>
      </c>
      <c r="AL878" t="s">
        <v>575</v>
      </c>
      <c r="AM878" t="s">
        <v>576</v>
      </c>
      <c r="AN878" t="s">
        <v>577</v>
      </c>
      <c r="AO878" t="s">
        <v>74</v>
      </c>
      <c r="AP878" t="s">
        <v>3243</v>
      </c>
      <c r="AQ878" t="s">
        <v>74</v>
      </c>
      <c r="AR878" t="s">
        <v>3244</v>
      </c>
      <c r="AS878" t="s">
        <v>3245</v>
      </c>
      <c r="AT878" t="s">
        <v>891</v>
      </c>
      <c r="AU878">
        <v>2022</v>
      </c>
      <c r="AV878">
        <v>14</v>
      </c>
      <c r="AW878">
        <v>21</v>
      </c>
      <c r="AX878" t="s">
        <v>74</v>
      </c>
      <c r="AY878" t="s">
        <v>74</v>
      </c>
      <c r="AZ878" t="s">
        <v>74</v>
      </c>
      <c r="BA878" t="s">
        <v>74</v>
      </c>
      <c r="BB878" t="s">
        <v>74</v>
      </c>
      <c r="BC878" t="s">
        <v>74</v>
      </c>
      <c r="BD878">
        <v>14542</v>
      </c>
      <c r="BE878" t="s">
        <v>16403</v>
      </c>
      <c r="BF878" t="str">
        <f>HYPERLINK("http://dx.doi.org/10.3390/su142114542","http://dx.doi.org/10.3390/su142114542")</f>
        <v>http://dx.doi.org/10.3390/su142114542</v>
      </c>
      <c r="BG878" t="s">
        <v>74</v>
      </c>
      <c r="BH878" t="s">
        <v>74</v>
      </c>
      <c r="BI878">
        <v>17</v>
      </c>
      <c r="BJ878" t="s">
        <v>3247</v>
      </c>
      <c r="BK878" t="s">
        <v>2623</v>
      </c>
      <c r="BL878" t="s">
        <v>3248</v>
      </c>
      <c r="BM878" t="s">
        <v>16404</v>
      </c>
      <c r="BN878" t="s">
        <v>74</v>
      </c>
      <c r="BO878" t="s">
        <v>916</v>
      </c>
      <c r="BP878" t="s">
        <v>74</v>
      </c>
      <c r="BQ878" t="s">
        <v>74</v>
      </c>
      <c r="BR878" t="s">
        <v>102</v>
      </c>
      <c r="BS878" t="s">
        <v>16405</v>
      </c>
      <c r="BT878" t="str">
        <f>HYPERLINK("https%3A%2F%2Fwww.webofscience.com%2Fwos%2Fwoscc%2Ffull-record%2FWOS:000886127500001","View Full Record in Web of Science")</f>
        <v>View Full Record in Web of Science</v>
      </c>
    </row>
    <row r="879" spans="1:72" x14ac:dyDescent="0.25">
      <c r="A879" t="s">
        <v>72</v>
      </c>
      <c r="B879" t="s">
        <v>16406</v>
      </c>
      <c r="C879" t="s">
        <v>74</v>
      </c>
      <c r="D879" t="s">
        <v>74</v>
      </c>
      <c r="E879" t="s">
        <v>74</v>
      </c>
      <c r="F879" t="s">
        <v>16407</v>
      </c>
      <c r="G879" t="s">
        <v>74</v>
      </c>
      <c r="H879" t="s">
        <v>74</v>
      </c>
      <c r="I879" t="s">
        <v>16408</v>
      </c>
      <c r="J879" t="s">
        <v>4306</v>
      </c>
      <c r="K879" t="s">
        <v>74</v>
      </c>
      <c r="L879" t="s">
        <v>74</v>
      </c>
      <c r="M879" t="s">
        <v>78</v>
      </c>
      <c r="N879" t="s">
        <v>79</v>
      </c>
      <c r="O879" t="s">
        <v>74</v>
      </c>
      <c r="P879" t="s">
        <v>74</v>
      </c>
      <c r="Q879" t="s">
        <v>74</v>
      </c>
      <c r="R879" t="s">
        <v>74</v>
      </c>
      <c r="S879" t="s">
        <v>74</v>
      </c>
      <c r="T879" t="s">
        <v>16409</v>
      </c>
      <c r="U879" t="s">
        <v>16410</v>
      </c>
      <c r="V879" t="s">
        <v>16411</v>
      </c>
      <c r="W879" t="s">
        <v>16412</v>
      </c>
      <c r="X879" t="s">
        <v>16413</v>
      </c>
      <c r="Y879" t="s">
        <v>16414</v>
      </c>
      <c r="Z879" t="s">
        <v>16415</v>
      </c>
      <c r="AA879" t="s">
        <v>16416</v>
      </c>
      <c r="AB879" t="s">
        <v>16417</v>
      </c>
      <c r="AC879" t="s">
        <v>74</v>
      </c>
      <c r="AD879" t="s">
        <v>74</v>
      </c>
      <c r="AE879" t="s">
        <v>74</v>
      </c>
      <c r="AF879" t="s">
        <v>74</v>
      </c>
      <c r="AG879">
        <v>93</v>
      </c>
      <c r="AH879">
        <v>78</v>
      </c>
      <c r="AI879">
        <v>109</v>
      </c>
      <c r="AJ879">
        <v>13</v>
      </c>
      <c r="AK879">
        <v>68</v>
      </c>
      <c r="AL879" t="s">
        <v>503</v>
      </c>
      <c r="AM879" t="s">
        <v>151</v>
      </c>
      <c r="AN879" t="s">
        <v>504</v>
      </c>
      <c r="AO879" t="s">
        <v>4315</v>
      </c>
      <c r="AP879" t="s">
        <v>4316</v>
      </c>
      <c r="AQ879" t="s">
        <v>74</v>
      </c>
      <c r="AR879" t="s">
        <v>4317</v>
      </c>
      <c r="AS879" t="s">
        <v>4318</v>
      </c>
      <c r="AT879" t="s">
        <v>208</v>
      </c>
      <c r="AU879">
        <v>2023</v>
      </c>
      <c r="AV879">
        <v>186</v>
      </c>
      <c r="AW879" t="s">
        <v>74</v>
      </c>
      <c r="AX879" t="s">
        <v>8303</v>
      </c>
      <c r="AY879" t="s">
        <v>74</v>
      </c>
      <c r="AZ879" t="s">
        <v>74</v>
      </c>
      <c r="BA879" t="s">
        <v>74</v>
      </c>
      <c r="BB879" t="s">
        <v>74</v>
      </c>
      <c r="BC879" t="s">
        <v>74</v>
      </c>
      <c r="BD879">
        <v>122158</v>
      </c>
      <c r="BE879" t="s">
        <v>16418</v>
      </c>
      <c r="BF879" t="str">
        <f>HYPERLINK("http://dx.doi.org/10.1016/j.techfore.2022.122158","http://dx.doi.org/10.1016/j.techfore.2022.122158")</f>
        <v>http://dx.doi.org/10.1016/j.techfore.2022.122158</v>
      </c>
      <c r="BG879" t="s">
        <v>74</v>
      </c>
      <c r="BH879" t="s">
        <v>5112</v>
      </c>
      <c r="BI879">
        <v>14</v>
      </c>
      <c r="BJ879" t="s">
        <v>1627</v>
      </c>
      <c r="BK879" t="s">
        <v>99</v>
      </c>
      <c r="BL879" t="s">
        <v>1406</v>
      </c>
      <c r="BM879" t="s">
        <v>16419</v>
      </c>
      <c r="BN879" t="s">
        <v>74</v>
      </c>
      <c r="BO879" t="s">
        <v>16420</v>
      </c>
      <c r="BP879" t="s">
        <v>74</v>
      </c>
      <c r="BQ879" t="s">
        <v>74</v>
      </c>
      <c r="BR879" t="s">
        <v>102</v>
      </c>
      <c r="BS879" t="s">
        <v>16421</v>
      </c>
      <c r="BT879" t="str">
        <f>HYPERLINK("https%3A%2F%2Fwww.webofscience.com%2Fwos%2Fwoscc%2Ffull-record%2FWOS:001035789900001","View Full Record in Web of Science")</f>
        <v>View Full Record in Web of Science</v>
      </c>
    </row>
    <row r="880" spans="1:72" x14ac:dyDescent="0.25">
      <c r="A880" t="s">
        <v>72</v>
      </c>
      <c r="B880" t="s">
        <v>16422</v>
      </c>
      <c r="C880" t="s">
        <v>74</v>
      </c>
      <c r="D880" t="s">
        <v>74</v>
      </c>
      <c r="E880" t="s">
        <v>74</v>
      </c>
      <c r="F880" t="s">
        <v>16423</v>
      </c>
      <c r="G880" t="s">
        <v>74</v>
      </c>
      <c r="H880" t="s">
        <v>74</v>
      </c>
      <c r="I880" t="s">
        <v>16424</v>
      </c>
      <c r="J880" t="s">
        <v>16009</v>
      </c>
      <c r="K880" t="s">
        <v>74</v>
      </c>
      <c r="L880" t="s">
        <v>74</v>
      </c>
      <c r="M880" t="s">
        <v>78</v>
      </c>
      <c r="N880" t="s">
        <v>79</v>
      </c>
      <c r="O880" t="s">
        <v>74</v>
      </c>
      <c r="P880" t="s">
        <v>74</v>
      </c>
      <c r="Q880" t="s">
        <v>74</v>
      </c>
      <c r="R880" t="s">
        <v>74</v>
      </c>
      <c r="S880" t="s">
        <v>74</v>
      </c>
      <c r="T880" t="s">
        <v>16425</v>
      </c>
      <c r="U880" t="s">
        <v>16426</v>
      </c>
      <c r="V880" t="s">
        <v>16427</v>
      </c>
      <c r="W880" t="s">
        <v>16428</v>
      </c>
      <c r="X880" t="s">
        <v>16429</v>
      </c>
      <c r="Y880" t="s">
        <v>16430</v>
      </c>
      <c r="Z880" t="s">
        <v>16431</v>
      </c>
      <c r="AA880" t="s">
        <v>74</v>
      </c>
      <c r="AB880" t="s">
        <v>16432</v>
      </c>
      <c r="AC880" t="s">
        <v>74</v>
      </c>
      <c r="AD880" t="s">
        <v>74</v>
      </c>
      <c r="AE880" t="s">
        <v>74</v>
      </c>
      <c r="AF880" t="s">
        <v>74</v>
      </c>
      <c r="AG880">
        <v>74</v>
      </c>
      <c r="AH880">
        <v>8</v>
      </c>
      <c r="AI880">
        <v>21</v>
      </c>
      <c r="AJ880">
        <v>1</v>
      </c>
      <c r="AK880">
        <v>34</v>
      </c>
      <c r="AL880" t="s">
        <v>16015</v>
      </c>
      <c r="AM880" t="s">
        <v>16016</v>
      </c>
      <c r="AN880" t="s">
        <v>16017</v>
      </c>
      <c r="AO880" t="s">
        <v>16018</v>
      </c>
      <c r="AP880" t="s">
        <v>16019</v>
      </c>
      <c r="AQ880" t="s">
        <v>74</v>
      </c>
      <c r="AR880" t="s">
        <v>16020</v>
      </c>
      <c r="AS880" t="s">
        <v>16021</v>
      </c>
      <c r="AT880" t="s">
        <v>16433</v>
      </c>
      <c r="AU880">
        <v>2020</v>
      </c>
      <c r="AV880">
        <v>12</v>
      </c>
      <c r="AW880">
        <v>1</v>
      </c>
      <c r="AX880" t="s">
        <v>74</v>
      </c>
      <c r="AY880" t="s">
        <v>74</v>
      </c>
      <c r="AZ880" t="s">
        <v>74</v>
      </c>
      <c r="BA880" t="s">
        <v>74</v>
      </c>
      <c r="BB880">
        <v>89</v>
      </c>
      <c r="BC880">
        <v>117</v>
      </c>
      <c r="BD880" t="s">
        <v>74</v>
      </c>
      <c r="BE880" t="s">
        <v>16434</v>
      </c>
      <c r="BF880" t="str">
        <f>HYPERLINK("http://dx.doi.org/10.14718/revfinanzpolitecon.v12.n1.2020.3177","http://dx.doi.org/10.14718/revfinanzpolitecon.v12.n1.2020.3177")</f>
        <v>http://dx.doi.org/10.14718/revfinanzpolitecon.v12.n1.2020.3177</v>
      </c>
      <c r="BG880" t="s">
        <v>74</v>
      </c>
      <c r="BH880" t="s">
        <v>74</v>
      </c>
      <c r="BI880">
        <v>29</v>
      </c>
      <c r="BJ880" t="s">
        <v>291</v>
      </c>
      <c r="BK880" t="s">
        <v>313</v>
      </c>
      <c r="BL880" t="s">
        <v>100</v>
      </c>
      <c r="BM880" t="s">
        <v>16435</v>
      </c>
      <c r="BN880" t="s">
        <v>74</v>
      </c>
      <c r="BO880" t="s">
        <v>916</v>
      </c>
      <c r="BP880" t="s">
        <v>74</v>
      </c>
      <c r="BQ880" t="s">
        <v>74</v>
      </c>
      <c r="BR880" t="s">
        <v>102</v>
      </c>
      <c r="BS880" t="s">
        <v>16436</v>
      </c>
      <c r="BT880" t="str">
        <f>HYPERLINK("https%3A%2F%2Fwww.webofscience.com%2Fwos%2Fwoscc%2Ffull-record%2FWOS:000613013600004","View Full Record in Web of Science")</f>
        <v>View Full Record in Web of Science</v>
      </c>
    </row>
    <row r="881" spans="1:72" x14ac:dyDescent="0.25">
      <c r="A881" t="s">
        <v>72</v>
      </c>
      <c r="B881" t="s">
        <v>16437</v>
      </c>
      <c r="C881" t="s">
        <v>74</v>
      </c>
      <c r="D881" t="s">
        <v>74</v>
      </c>
      <c r="E881" t="s">
        <v>74</v>
      </c>
      <c r="F881" t="s">
        <v>16438</v>
      </c>
      <c r="G881" t="s">
        <v>74</v>
      </c>
      <c r="H881" t="s">
        <v>74</v>
      </c>
      <c r="I881" t="s">
        <v>16439</v>
      </c>
      <c r="J881" t="s">
        <v>2763</v>
      </c>
      <c r="K881" t="s">
        <v>74</v>
      </c>
      <c r="L881" t="s">
        <v>74</v>
      </c>
      <c r="M881" t="s">
        <v>78</v>
      </c>
      <c r="N881" t="s">
        <v>372</v>
      </c>
      <c r="O881" t="s">
        <v>74</v>
      </c>
      <c r="P881" t="s">
        <v>74</v>
      </c>
      <c r="Q881" t="s">
        <v>74</v>
      </c>
      <c r="R881" t="s">
        <v>74</v>
      </c>
      <c r="S881" t="s">
        <v>74</v>
      </c>
      <c r="T881" t="s">
        <v>16440</v>
      </c>
      <c r="U881" t="s">
        <v>1946</v>
      </c>
      <c r="V881" t="s">
        <v>16441</v>
      </c>
      <c r="W881" t="s">
        <v>16442</v>
      </c>
      <c r="X881" t="s">
        <v>16443</v>
      </c>
      <c r="Y881" t="s">
        <v>16444</v>
      </c>
      <c r="Z881" t="s">
        <v>16445</v>
      </c>
      <c r="AA881" t="s">
        <v>74</v>
      </c>
      <c r="AB881" t="s">
        <v>74</v>
      </c>
      <c r="AC881" t="s">
        <v>16446</v>
      </c>
      <c r="AD881" t="s">
        <v>16447</v>
      </c>
      <c r="AE881" t="s">
        <v>16448</v>
      </c>
      <c r="AF881" t="s">
        <v>74</v>
      </c>
      <c r="AG881">
        <v>30</v>
      </c>
      <c r="AH881">
        <v>0</v>
      </c>
      <c r="AI881">
        <v>0</v>
      </c>
      <c r="AJ881">
        <v>3</v>
      </c>
      <c r="AK881">
        <v>3</v>
      </c>
      <c r="AL881" t="s">
        <v>479</v>
      </c>
      <c r="AM881" t="s">
        <v>480</v>
      </c>
      <c r="AN881" t="s">
        <v>481</v>
      </c>
      <c r="AO881" t="s">
        <v>2776</v>
      </c>
      <c r="AP881" t="s">
        <v>2777</v>
      </c>
      <c r="AQ881" t="s">
        <v>74</v>
      </c>
      <c r="AR881" t="s">
        <v>2778</v>
      </c>
      <c r="AS881" t="s">
        <v>2779</v>
      </c>
      <c r="AT881" t="s">
        <v>16449</v>
      </c>
      <c r="AU881">
        <v>2025</v>
      </c>
      <c r="AV881" t="s">
        <v>74</v>
      </c>
      <c r="AW881" t="s">
        <v>74</v>
      </c>
      <c r="AX881" t="s">
        <v>74</v>
      </c>
      <c r="AY881" t="s">
        <v>74</v>
      </c>
      <c r="AZ881" t="s">
        <v>74</v>
      </c>
      <c r="BA881" t="s">
        <v>74</v>
      </c>
      <c r="BB881" t="s">
        <v>74</v>
      </c>
      <c r="BC881" t="s">
        <v>74</v>
      </c>
      <c r="BD881" t="s">
        <v>74</v>
      </c>
      <c r="BE881" t="s">
        <v>16450</v>
      </c>
      <c r="BF881" t="str">
        <f>HYPERLINK("http://dx.doi.org/10.1111/rode.70073","http://dx.doi.org/10.1111/rode.70073")</f>
        <v>http://dx.doi.org/10.1111/rode.70073</v>
      </c>
      <c r="BG881" t="s">
        <v>74</v>
      </c>
      <c r="BH881" t="s">
        <v>2044</v>
      </c>
      <c r="BI881">
        <v>22</v>
      </c>
      <c r="BJ881" t="s">
        <v>701</v>
      </c>
      <c r="BK881" t="s">
        <v>99</v>
      </c>
      <c r="BL881" t="s">
        <v>702</v>
      </c>
      <c r="BM881" t="s">
        <v>16451</v>
      </c>
      <c r="BN881" t="s">
        <v>74</v>
      </c>
      <c r="BO881" t="s">
        <v>1205</v>
      </c>
      <c r="BP881" t="s">
        <v>74</v>
      </c>
      <c r="BQ881" t="s">
        <v>74</v>
      </c>
      <c r="BR881" t="s">
        <v>102</v>
      </c>
      <c r="BS881" t="s">
        <v>16452</v>
      </c>
      <c r="BT881" t="str">
        <f>HYPERLINK("https%3A%2F%2Fwww.webofscience.com%2Fwos%2Fwoscc%2Ffull-record%2FWOS:001606143100001","View Full Record in Web of Science")</f>
        <v>View Full Record in Web of Science</v>
      </c>
    </row>
    <row r="882" spans="1:72" x14ac:dyDescent="0.25">
      <c r="A882" t="s">
        <v>72</v>
      </c>
      <c r="B882" t="s">
        <v>16453</v>
      </c>
      <c r="C882" t="s">
        <v>74</v>
      </c>
      <c r="D882" t="s">
        <v>74</v>
      </c>
      <c r="E882" t="s">
        <v>74</v>
      </c>
      <c r="F882" t="s">
        <v>16454</v>
      </c>
      <c r="G882" t="s">
        <v>74</v>
      </c>
      <c r="H882" t="s">
        <v>74</v>
      </c>
      <c r="I882" t="s">
        <v>16455</v>
      </c>
      <c r="J882" t="s">
        <v>4055</v>
      </c>
      <c r="K882" t="s">
        <v>74</v>
      </c>
      <c r="L882" t="s">
        <v>74</v>
      </c>
      <c r="M882" t="s">
        <v>78</v>
      </c>
      <c r="N882" t="s">
        <v>79</v>
      </c>
      <c r="O882" t="s">
        <v>74</v>
      </c>
      <c r="P882" t="s">
        <v>74</v>
      </c>
      <c r="Q882" t="s">
        <v>74</v>
      </c>
      <c r="R882" t="s">
        <v>74</v>
      </c>
      <c r="S882" t="s">
        <v>74</v>
      </c>
      <c r="T882" t="s">
        <v>16456</v>
      </c>
      <c r="U882" t="s">
        <v>16457</v>
      </c>
      <c r="V882" t="s">
        <v>16458</v>
      </c>
      <c r="W882" t="s">
        <v>16459</v>
      </c>
      <c r="X882" t="s">
        <v>16460</v>
      </c>
      <c r="Y882" t="s">
        <v>16461</v>
      </c>
      <c r="Z882" t="s">
        <v>16462</v>
      </c>
      <c r="AA882" t="s">
        <v>16463</v>
      </c>
      <c r="AB882" t="s">
        <v>74</v>
      </c>
      <c r="AC882" t="s">
        <v>74</v>
      </c>
      <c r="AD882" t="s">
        <v>74</v>
      </c>
      <c r="AE882" t="s">
        <v>74</v>
      </c>
      <c r="AF882" t="s">
        <v>74</v>
      </c>
      <c r="AG882">
        <v>64</v>
      </c>
      <c r="AH882">
        <v>4</v>
      </c>
      <c r="AI882">
        <v>4</v>
      </c>
      <c r="AJ882">
        <v>1</v>
      </c>
      <c r="AK882">
        <v>2</v>
      </c>
      <c r="AL882" t="s">
        <v>2907</v>
      </c>
      <c r="AM882" t="s">
        <v>2908</v>
      </c>
      <c r="AN882" t="s">
        <v>2909</v>
      </c>
      <c r="AO882" t="s">
        <v>4064</v>
      </c>
      <c r="AP882" t="s">
        <v>4065</v>
      </c>
      <c r="AQ882" t="s">
        <v>74</v>
      </c>
      <c r="AR882" t="s">
        <v>4066</v>
      </c>
      <c r="AS882" t="s">
        <v>4067</v>
      </c>
      <c r="AT882" t="s">
        <v>605</v>
      </c>
      <c r="AU882">
        <v>2025</v>
      </c>
      <c r="AV882">
        <v>30</v>
      </c>
      <c r="AW882">
        <v>1</v>
      </c>
      <c r="AX882" t="s">
        <v>74</v>
      </c>
      <c r="AY882" t="s">
        <v>74</v>
      </c>
      <c r="AZ882" t="s">
        <v>74</v>
      </c>
      <c r="BA882" t="s">
        <v>74</v>
      </c>
      <c r="BB882" t="s">
        <v>74</v>
      </c>
      <c r="BC882" t="s">
        <v>74</v>
      </c>
      <c r="BD882">
        <v>6</v>
      </c>
      <c r="BE882" t="s">
        <v>16464</v>
      </c>
      <c r="BF882" t="str">
        <f>HYPERLINK("http://dx.doi.org/10.1057/s41264-025-00299-7","http://dx.doi.org/10.1057/s41264-025-00299-7")</f>
        <v>http://dx.doi.org/10.1057/s41264-025-00299-7</v>
      </c>
      <c r="BG882" t="s">
        <v>74</v>
      </c>
      <c r="BH882" t="s">
        <v>74</v>
      </c>
      <c r="BI882">
        <v>14</v>
      </c>
      <c r="BJ882" t="s">
        <v>418</v>
      </c>
      <c r="BK882" t="s">
        <v>313</v>
      </c>
      <c r="BL882" t="s">
        <v>100</v>
      </c>
      <c r="BM882" t="s">
        <v>16465</v>
      </c>
      <c r="BN882" t="s">
        <v>74</v>
      </c>
      <c r="BO882" t="s">
        <v>74</v>
      </c>
      <c r="BP882" t="s">
        <v>74</v>
      </c>
      <c r="BQ882" t="s">
        <v>74</v>
      </c>
      <c r="BR882" t="s">
        <v>102</v>
      </c>
      <c r="BS882" t="s">
        <v>16466</v>
      </c>
      <c r="BT882" t="str">
        <f>HYPERLINK("https%3A%2F%2Fwww.webofscience.com%2Fwos%2Fwoscc%2Ffull-record%2FWOS:001395695300001","View Full Record in Web of Science")</f>
        <v>View Full Record in Web of Science</v>
      </c>
    </row>
    <row r="883" spans="1:72" x14ac:dyDescent="0.25">
      <c r="A883" t="s">
        <v>72</v>
      </c>
      <c r="B883" t="s">
        <v>16467</v>
      </c>
      <c r="C883" t="s">
        <v>74</v>
      </c>
      <c r="D883" t="s">
        <v>74</v>
      </c>
      <c r="E883" t="s">
        <v>74</v>
      </c>
      <c r="F883" t="s">
        <v>16468</v>
      </c>
      <c r="G883" t="s">
        <v>74</v>
      </c>
      <c r="H883" t="s">
        <v>74</v>
      </c>
      <c r="I883" t="s">
        <v>16469</v>
      </c>
      <c r="J883" t="s">
        <v>3231</v>
      </c>
      <c r="K883" t="s">
        <v>74</v>
      </c>
      <c r="L883" t="s">
        <v>74</v>
      </c>
      <c r="M883" t="s">
        <v>78</v>
      </c>
      <c r="N883" t="s">
        <v>79</v>
      </c>
      <c r="O883" t="s">
        <v>74</v>
      </c>
      <c r="P883" t="s">
        <v>74</v>
      </c>
      <c r="Q883" t="s">
        <v>74</v>
      </c>
      <c r="R883" t="s">
        <v>74</v>
      </c>
      <c r="S883" t="s">
        <v>74</v>
      </c>
      <c r="T883" t="s">
        <v>16470</v>
      </c>
      <c r="U883" t="s">
        <v>16471</v>
      </c>
      <c r="V883" t="s">
        <v>16472</v>
      </c>
      <c r="W883" t="s">
        <v>16473</v>
      </c>
      <c r="X883" t="s">
        <v>16474</v>
      </c>
      <c r="Y883" t="s">
        <v>16475</v>
      </c>
      <c r="Z883" t="s">
        <v>16476</v>
      </c>
      <c r="AA883" t="s">
        <v>74</v>
      </c>
      <c r="AB883" t="s">
        <v>74</v>
      </c>
      <c r="AC883" t="s">
        <v>16477</v>
      </c>
      <c r="AD883" t="s">
        <v>16478</v>
      </c>
      <c r="AE883" t="s">
        <v>16479</v>
      </c>
      <c r="AF883" t="s">
        <v>74</v>
      </c>
      <c r="AG883">
        <v>60</v>
      </c>
      <c r="AH883">
        <v>94</v>
      </c>
      <c r="AI883">
        <v>115</v>
      </c>
      <c r="AJ883">
        <v>13</v>
      </c>
      <c r="AK883">
        <v>339</v>
      </c>
      <c r="AL883" t="s">
        <v>575</v>
      </c>
      <c r="AM883" t="s">
        <v>576</v>
      </c>
      <c r="AN883" t="s">
        <v>577</v>
      </c>
      <c r="AO883" t="s">
        <v>74</v>
      </c>
      <c r="AP883" t="s">
        <v>3243</v>
      </c>
      <c r="AQ883" t="s">
        <v>74</v>
      </c>
      <c r="AR883" t="s">
        <v>3244</v>
      </c>
      <c r="AS883" t="s">
        <v>3245</v>
      </c>
      <c r="AT883" t="s">
        <v>1540</v>
      </c>
      <c r="AU883">
        <v>2020</v>
      </c>
      <c r="AV883">
        <v>12</v>
      </c>
      <c r="AW883">
        <v>9</v>
      </c>
      <c r="AX883" t="s">
        <v>74</v>
      </c>
      <c r="AY883" t="s">
        <v>74</v>
      </c>
      <c r="AZ883" t="s">
        <v>74</v>
      </c>
      <c r="BA883" t="s">
        <v>74</v>
      </c>
      <c r="BB883" t="s">
        <v>74</v>
      </c>
      <c r="BC883" t="s">
        <v>74</v>
      </c>
      <c r="BD883">
        <v>3733</v>
      </c>
      <c r="BE883" t="s">
        <v>16480</v>
      </c>
      <c r="BF883" t="str">
        <f>HYPERLINK("http://dx.doi.org/10.3390/su12093733","http://dx.doi.org/10.3390/su12093733")</f>
        <v>http://dx.doi.org/10.3390/su12093733</v>
      </c>
      <c r="BG883" t="s">
        <v>74</v>
      </c>
      <c r="BH883" t="s">
        <v>74</v>
      </c>
      <c r="BI883">
        <v>21</v>
      </c>
      <c r="BJ883" t="s">
        <v>3247</v>
      </c>
      <c r="BK883" t="s">
        <v>2623</v>
      </c>
      <c r="BL883" t="s">
        <v>3248</v>
      </c>
      <c r="BM883" t="s">
        <v>16481</v>
      </c>
      <c r="BN883" t="s">
        <v>74</v>
      </c>
      <c r="BO883" t="s">
        <v>916</v>
      </c>
      <c r="BP883" t="s">
        <v>74</v>
      </c>
      <c r="BQ883" t="s">
        <v>74</v>
      </c>
      <c r="BR883" t="s">
        <v>102</v>
      </c>
      <c r="BS883" t="s">
        <v>16482</v>
      </c>
      <c r="BT883" t="str">
        <f>HYPERLINK("https%3A%2F%2Fwww.webofscience.com%2Fwos%2Fwoscc%2Ffull-record%2FWOS:000537476200231","View Full Record in Web of Science")</f>
        <v>View Full Record in Web of Science</v>
      </c>
    </row>
    <row r="884" spans="1:72" x14ac:dyDescent="0.25">
      <c r="A884" t="s">
        <v>72</v>
      </c>
      <c r="B884" t="s">
        <v>16483</v>
      </c>
      <c r="C884" t="s">
        <v>74</v>
      </c>
      <c r="D884" t="s">
        <v>74</v>
      </c>
      <c r="E884" t="s">
        <v>74</v>
      </c>
      <c r="F884" t="s">
        <v>16484</v>
      </c>
      <c r="G884" t="s">
        <v>74</v>
      </c>
      <c r="H884" t="s">
        <v>74</v>
      </c>
      <c r="I884" t="s">
        <v>16485</v>
      </c>
      <c r="J884" t="s">
        <v>10166</v>
      </c>
      <c r="K884" t="s">
        <v>74</v>
      </c>
      <c r="L884" t="s">
        <v>74</v>
      </c>
      <c r="M884" t="s">
        <v>78</v>
      </c>
      <c r="N884" t="s">
        <v>79</v>
      </c>
      <c r="O884" t="s">
        <v>74</v>
      </c>
      <c r="P884" t="s">
        <v>74</v>
      </c>
      <c r="Q884" t="s">
        <v>74</v>
      </c>
      <c r="R884" t="s">
        <v>74</v>
      </c>
      <c r="S884" t="s">
        <v>74</v>
      </c>
      <c r="T884" t="s">
        <v>16486</v>
      </c>
      <c r="U884" t="s">
        <v>74</v>
      </c>
      <c r="V884" t="s">
        <v>16487</v>
      </c>
      <c r="W884" t="s">
        <v>16488</v>
      </c>
      <c r="X884" t="s">
        <v>16489</v>
      </c>
      <c r="Y884" t="s">
        <v>16490</v>
      </c>
      <c r="Z884" t="s">
        <v>16491</v>
      </c>
      <c r="AA884" t="s">
        <v>16492</v>
      </c>
      <c r="AB884" t="s">
        <v>16493</v>
      </c>
      <c r="AC884" t="s">
        <v>74</v>
      </c>
      <c r="AD884" t="s">
        <v>74</v>
      </c>
      <c r="AE884" t="s">
        <v>74</v>
      </c>
      <c r="AF884" t="s">
        <v>74</v>
      </c>
      <c r="AG884">
        <v>54</v>
      </c>
      <c r="AH884">
        <v>2</v>
      </c>
      <c r="AI884">
        <v>2</v>
      </c>
      <c r="AJ884">
        <v>1</v>
      </c>
      <c r="AK884">
        <v>12</v>
      </c>
      <c r="AL884" t="s">
        <v>3861</v>
      </c>
      <c r="AM884" t="s">
        <v>2016</v>
      </c>
      <c r="AN884" t="s">
        <v>3862</v>
      </c>
      <c r="AO884" t="s">
        <v>10175</v>
      </c>
      <c r="AP884" t="s">
        <v>10176</v>
      </c>
      <c r="AQ884" t="s">
        <v>74</v>
      </c>
      <c r="AR884" t="s">
        <v>10177</v>
      </c>
      <c r="AS884" t="s">
        <v>10178</v>
      </c>
      <c r="AT884" t="s">
        <v>1652</v>
      </c>
      <c r="AU884">
        <v>2024</v>
      </c>
      <c r="AV884">
        <v>68</v>
      </c>
      <c r="AW884">
        <v>2</v>
      </c>
      <c r="AX884" t="s">
        <v>74</v>
      </c>
      <c r="AY884" t="s">
        <v>74</v>
      </c>
      <c r="AZ884" t="s">
        <v>74</v>
      </c>
      <c r="BA884" t="s">
        <v>74</v>
      </c>
      <c r="BB884">
        <v>245</v>
      </c>
      <c r="BC884">
        <v>262</v>
      </c>
      <c r="BD884" t="s">
        <v>74</v>
      </c>
      <c r="BE884" t="s">
        <v>16494</v>
      </c>
      <c r="BF884" t="str">
        <f>HYPERLINK("http://dx.doi.org/10.1017/S0021855324000044","http://dx.doi.org/10.1017/S0021855324000044")</f>
        <v>http://dx.doi.org/10.1017/S0021855324000044</v>
      </c>
      <c r="BG884" t="s">
        <v>74</v>
      </c>
      <c r="BH884" t="s">
        <v>1981</v>
      </c>
      <c r="BI884">
        <v>18</v>
      </c>
      <c r="BJ884" t="s">
        <v>182</v>
      </c>
      <c r="BK884" t="s">
        <v>99</v>
      </c>
      <c r="BL884" t="s">
        <v>184</v>
      </c>
      <c r="BM884" t="s">
        <v>16495</v>
      </c>
      <c r="BN884" t="s">
        <v>74</v>
      </c>
      <c r="BO884" t="s">
        <v>270</v>
      </c>
      <c r="BP884" t="s">
        <v>74</v>
      </c>
      <c r="BQ884" t="s">
        <v>74</v>
      </c>
      <c r="BR884" t="s">
        <v>102</v>
      </c>
      <c r="BS884" t="s">
        <v>16496</v>
      </c>
      <c r="BT884" t="str">
        <f>HYPERLINK("https%3A%2F%2Fwww.webofscience.com%2Fwos%2Fwoscc%2Ffull-record%2FWOS:001192270500001","View Full Record in Web of Science")</f>
        <v>View Full Record in Web of Science</v>
      </c>
    </row>
    <row r="885" spans="1:72" x14ac:dyDescent="0.25">
      <c r="A885" t="s">
        <v>72</v>
      </c>
      <c r="B885" t="s">
        <v>16497</v>
      </c>
      <c r="C885" t="s">
        <v>74</v>
      </c>
      <c r="D885" t="s">
        <v>74</v>
      </c>
      <c r="E885" t="s">
        <v>74</v>
      </c>
      <c r="F885" t="s">
        <v>16498</v>
      </c>
      <c r="G885" t="s">
        <v>74</v>
      </c>
      <c r="H885" t="s">
        <v>74</v>
      </c>
      <c r="I885" t="s">
        <v>16499</v>
      </c>
      <c r="J885" t="s">
        <v>6283</v>
      </c>
      <c r="K885" t="s">
        <v>74</v>
      </c>
      <c r="L885" t="s">
        <v>74</v>
      </c>
      <c r="M885" t="s">
        <v>78</v>
      </c>
      <c r="N885" t="s">
        <v>16500</v>
      </c>
      <c r="O885" t="s">
        <v>74</v>
      </c>
      <c r="P885" t="s">
        <v>74</v>
      </c>
      <c r="Q885" t="s">
        <v>74</v>
      </c>
      <c r="R885" t="s">
        <v>74</v>
      </c>
      <c r="S885" t="s">
        <v>74</v>
      </c>
      <c r="T885" t="s">
        <v>16501</v>
      </c>
      <c r="U885" t="s">
        <v>16502</v>
      </c>
      <c r="V885" t="s">
        <v>16503</v>
      </c>
      <c r="W885" t="s">
        <v>16504</v>
      </c>
      <c r="X885" t="s">
        <v>16505</v>
      </c>
      <c r="Y885" t="s">
        <v>16506</v>
      </c>
      <c r="Z885" t="s">
        <v>16507</v>
      </c>
      <c r="AA885" t="s">
        <v>16508</v>
      </c>
      <c r="AB885" t="s">
        <v>74</v>
      </c>
      <c r="AC885" t="s">
        <v>74</v>
      </c>
      <c r="AD885" t="s">
        <v>74</v>
      </c>
      <c r="AE885" t="s">
        <v>74</v>
      </c>
      <c r="AF885" t="s">
        <v>74</v>
      </c>
      <c r="AG885">
        <v>170</v>
      </c>
      <c r="AH885">
        <v>0</v>
      </c>
      <c r="AI885">
        <v>0</v>
      </c>
      <c r="AJ885">
        <v>2</v>
      </c>
      <c r="AK885">
        <v>2</v>
      </c>
      <c r="AL885" t="s">
        <v>479</v>
      </c>
      <c r="AM885" t="s">
        <v>480</v>
      </c>
      <c r="AN885" t="s">
        <v>481</v>
      </c>
      <c r="AO885" t="s">
        <v>6293</v>
      </c>
      <c r="AP885" t="s">
        <v>6294</v>
      </c>
      <c r="AQ885" t="s">
        <v>74</v>
      </c>
      <c r="AR885" t="s">
        <v>6295</v>
      </c>
      <c r="AS885" t="s">
        <v>6296</v>
      </c>
      <c r="AT885" t="s">
        <v>16509</v>
      </c>
      <c r="AU885">
        <v>2025</v>
      </c>
      <c r="AV885" t="s">
        <v>74</v>
      </c>
      <c r="AW885" t="s">
        <v>74</v>
      </c>
      <c r="AX885" t="s">
        <v>74</v>
      </c>
      <c r="AY885" t="s">
        <v>74</v>
      </c>
      <c r="AZ885" t="s">
        <v>74</v>
      </c>
      <c r="BA885" t="s">
        <v>74</v>
      </c>
      <c r="BB885" t="s">
        <v>74</v>
      </c>
      <c r="BC885" t="s">
        <v>74</v>
      </c>
      <c r="BD885" t="s">
        <v>74</v>
      </c>
      <c r="BE885" t="s">
        <v>16510</v>
      </c>
      <c r="BF885" t="str">
        <f>HYPERLINK("http://dx.doi.org/10.1002/sd.70491","http://dx.doi.org/10.1002/sd.70491")</f>
        <v>http://dx.doi.org/10.1002/sd.70491</v>
      </c>
      <c r="BG885" t="s">
        <v>74</v>
      </c>
      <c r="BH885" t="s">
        <v>2044</v>
      </c>
      <c r="BI885">
        <v>27</v>
      </c>
      <c r="BJ885" t="s">
        <v>6299</v>
      </c>
      <c r="BK885" t="s">
        <v>99</v>
      </c>
      <c r="BL885" t="s">
        <v>6300</v>
      </c>
      <c r="BM885" t="s">
        <v>16511</v>
      </c>
      <c r="BN885" t="s">
        <v>74</v>
      </c>
      <c r="BO885" t="s">
        <v>74</v>
      </c>
      <c r="BP885" t="s">
        <v>74</v>
      </c>
      <c r="BQ885" t="s">
        <v>74</v>
      </c>
      <c r="BR885" t="s">
        <v>102</v>
      </c>
      <c r="BS885" t="s">
        <v>16512</v>
      </c>
      <c r="BT885" t="str">
        <f>HYPERLINK("https%3A%2F%2Fwww.webofscience.com%2Fwos%2Fwoscc%2Ffull-record%2FWOS:001626898200001","View Full Record in Web of Science")</f>
        <v>View Full Record in Web of Science</v>
      </c>
    </row>
    <row r="886" spans="1:72" x14ac:dyDescent="0.25">
      <c r="A886" t="s">
        <v>72</v>
      </c>
      <c r="B886" t="s">
        <v>11896</v>
      </c>
      <c r="C886" t="s">
        <v>74</v>
      </c>
      <c r="D886" t="s">
        <v>74</v>
      </c>
      <c r="E886" t="s">
        <v>74</v>
      </c>
      <c r="F886" t="s">
        <v>11897</v>
      </c>
      <c r="G886" t="s">
        <v>74</v>
      </c>
      <c r="H886" t="s">
        <v>74</v>
      </c>
      <c r="I886" t="s">
        <v>16513</v>
      </c>
      <c r="J886" t="s">
        <v>16514</v>
      </c>
      <c r="K886" t="s">
        <v>74</v>
      </c>
      <c r="L886" t="s">
        <v>74</v>
      </c>
      <c r="M886" t="s">
        <v>78</v>
      </c>
      <c r="N886" t="s">
        <v>79</v>
      </c>
      <c r="O886" t="s">
        <v>74</v>
      </c>
      <c r="P886" t="s">
        <v>74</v>
      </c>
      <c r="Q886" t="s">
        <v>74</v>
      </c>
      <c r="R886" t="s">
        <v>74</v>
      </c>
      <c r="S886" t="s">
        <v>74</v>
      </c>
      <c r="T886" t="s">
        <v>16515</v>
      </c>
      <c r="U886" t="s">
        <v>16516</v>
      </c>
      <c r="V886" t="s">
        <v>16517</v>
      </c>
      <c r="W886" t="s">
        <v>16518</v>
      </c>
      <c r="X886" t="s">
        <v>11902</v>
      </c>
      <c r="Y886" t="s">
        <v>16519</v>
      </c>
      <c r="Z886" t="s">
        <v>11904</v>
      </c>
      <c r="AA886" t="s">
        <v>74</v>
      </c>
      <c r="AB886" t="s">
        <v>11905</v>
      </c>
      <c r="AC886" t="s">
        <v>74</v>
      </c>
      <c r="AD886" t="s">
        <v>74</v>
      </c>
      <c r="AE886" t="s">
        <v>74</v>
      </c>
      <c r="AF886" t="s">
        <v>74</v>
      </c>
      <c r="AG886">
        <v>41</v>
      </c>
      <c r="AH886">
        <v>6</v>
      </c>
      <c r="AI886">
        <v>8</v>
      </c>
      <c r="AJ886">
        <v>3</v>
      </c>
      <c r="AK886">
        <v>35</v>
      </c>
      <c r="AL886" t="s">
        <v>823</v>
      </c>
      <c r="AM886" t="s">
        <v>333</v>
      </c>
      <c r="AN886" t="s">
        <v>824</v>
      </c>
      <c r="AO886" t="s">
        <v>16520</v>
      </c>
      <c r="AP886" t="s">
        <v>16521</v>
      </c>
      <c r="AQ886" t="s">
        <v>74</v>
      </c>
      <c r="AR886" t="s">
        <v>16522</v>
      </c>
      <c r="AS886" t="s">
        <v>16523</v>
      </c>
      <c r="AT886" t="s">
        <v>16524</v>
      </c>
      <c r="AU886">
        <v>2024</v>
      </c>
      <c r="AV886">
        <v>16</v>
      </c>
      <c r="AW886">
        <v>2</v>
      </c>
      <c r="AX886" t="s">
        <v>74</v>
      </c>
      <c r="AY886" t="s">
        <v>74</v>
      </c>
      <c r="AZ886" t="s">
        <v>74</v>
      </c>
      <c r="BA886" t="s">
        <v>74</v>
      </c>
      <c r="BB886">
        <v>149</v>
      </c>
      <c r="BC886">
        <v>160</v>
      </c>
      <c r="BD886" t="s">
        <v>74</v>
      </c>
      <c r="BE886" t="s">
        <v>16525</v>
      </c>
      <c r="BF886" t="str">
        <f>HYPERLINK("http://dx.doi.org/10.1080/17565529.2023.2203675","http://dx.doi.org/10.1080/17565529.2023.2203675")</f>
        <v>http://dx.doi.org/10.1080/17565529.2023.2203675</v>
      </c>
      <c r="BG886" t="s">
        <v>74</v>
      </c>
      <c r="BH886" t="s">
        <v>6298</v>
      </c>
      <c r="BI886">
        <v>12</v>
      </c>
      <c r="BJ886" t="s">
        <v>16526</v>
      </c>
      <c r="BK886" t="s">
        <v>99</v>
      </c>
      <c r="BL886" t="s">
        <v>16527</v>
      </c>
      <c r="BM886" t="s">
        <v>16528</v>
      </c>
      <c r="BN886" t="s">
        <v>74</v>
      </c>
      <c r="BO886" t="s">
        <v>74</v>
      </c>
      <c r="BP886" t="s">
        <v>74</v>
      </c>
      <c r="BQ886" t="s">
        <v>74</v>
      </c>
      <c r="BR886" t="s">
        <v>102</v>
      </c>
      <c r="BS886" t="s">
        <v>16529</v>
      </c>
      <c r="BT886" t="str">
        <f>HYPERLINK("https%3A%2F%2Fwww.webofscience.com%2Fwos%2Fwoscc%2Ffull-record%2FWOS:000976097300001","View Full Record in Web of Science")</f>
        <v>View Full Record in Web of Science</v>
      </c>
    </row>
    <row r="887" spans="1:72" x14ac:dyDescent="0.25">
      <c r="A887" t="s">
        <v>72</v>
      </c>
      <c r="B887" t="s">
        <v>16530</v>
      </c>
      <c r="C887" t="s">
        <v>74</v>
      </c>
      <c r="D887" t="s">
        <v>74</v>
      </c>
      <c r="E887" t="s">
        <v>74</v>
      </c>
      <c r="F887" t="s">
        <v>16531</v>
      </c>
      <c r="G887" t="s">
        <v>74</v>
      </c>
      <c r="H887" t="s">
        <v>74</v>
      </c>
      <c r="I887" t="s">
        <v>16532</v>
      </c>
      <c r="J887" t="s">
        <v>2214</v>
      </c>
      <c r="K887" t="s">
        <v>74</v>
      </c>
      <c r="L887" t="s">
        <v>74</v>
      </c>
      <c r="M887" t="s">
        <v>78</v>
      </c>
      <c r="N887" t="s">
        <v>79</v>
      </c>
      <c r="O887" t="s">
        <v>74</v>
      </c>
      <c r="P887" t="s">
        <v>74</v>
      </c>
      <c r="Q887" t="s">
        <v>74</v>
      </c>
      <c r="R887" t="s">
        <v>74</v>
      </c>
      <c r="S887" t="s">
        <v>74</v>
      </c>
      <c r="T887" t="s">
        <v>16533</v>
      </c>
      <c r="U887" t="s">
        <v>16534</v>
      </c>
      <c r="V887" t="s">
        <v>16535</v>
      </c>
      <c r="W887" t="s">
        <v>16536</v>
      </c>
      <c r="X887" t="s">
        <v>16537</v>
      </c>
      <c r="Y887" t="s">
        <v>16538</v>
      </c>
      <c r="Z887" t="s">
        <v>16539</v>
      </c>
      <c r="AA887" t="s">
        <v>74</v>
      </c>
      <c r="AB887" t="s">
        <v>16540</v>
      </c>
      <c r="AC887" t="s">
        <v>74</v>
      </c>
      <c r="AD887" t="s">
        <v>74</v>
      </c>
      <c r="AE887" t="s">
        <v>74</v>
      </c>
      <c r="AF887" t="s">
        <v>74</v>
      </c>
      <c r="AG887">
        <v>40</v>
      </c>
      <c r="AH887">
        <v>0</v>
      </c>
      <c r="AI887">
        <v>0</v>
      </c>
      <c r="AJ887">
        <v>0</v>
      </c>
      <c r="AK887">
        <v>7</v>
      </c>
      <c r="AL887" t="s">
        <v>2223</v>
      </c>
      <c r="AM887" t="s">
        <v>2224</v>
      </c>
      <c r="AN887" t="s">
        <v>2225</v>
      </c>
      <c r="AO887" t="s">
        <v>2226</v>
      </c>
      <c r="AP887" t="s">
        <v>74</v>
      </c>
      <c r="AQ887" t="s">
        <v>74</v>
      </c>
      <c r="AR887" t="s">
        <v>2227</v>
      </c>
      <c r="AS887" t="s">
        <v>2228</v>
      </c>
      <c r="AT887" t="s">
        <v>74</v>
      </c>
      <c r="AU887">
        <v>2023</v>
      </c>
      <c r="AV887">
        <v>24</v>
      </c>
      <c r="AW887">
        <v>2</v>
      </c>
      <c r="AX887" t="s">
        <v>74</v>
      </c>
      <c r="AY887" t="s">
        <v>74</v>
      </c>
      <c r="AZ887" t="s">
        <v>74</v>
      </c>
      <c r="BA887" t="s">
        <v>74</v>
      </c>
      <c r="BB887">
        <v>832</v>
      </c>
      <c r="BC887">
        <v>845</v>
      </c>
      <c r="BD887" t="s">
        <v>74</v>
      </c>
      <c r="BE887" t="s">
        <v>16541</v>
      </c>
      <c r="BF887" t="str">
        <f>HYPERLINK("http://dx.doi.org/10.33736/ijbs.5967.2023","http://dx.doi.org/10.33736/ijbs.5967.2023")</f>
        <v>http://dx.doi.org/10.33736/ijbs.5967.2023</v>
      </c>
      <c r="BG887" t="s">
        <v>74</v>
      </c>
      <c r="BH887" t="s">
        <v>74</v>
      </c>
      <c r="BI887">
        <v>14</v>
      </c>
      <c r="BJ887" t="s">
        <v>418</v>
      </c>
      <c r="BK887" t="s">
        <v>313</v>
      </c>
      <c r="BL887" t="s">
        <v>100</v>
      </c>
      <c r="BM887" t="s">
        <v>16542</v>
      </c>
      <c r="BN887" t="s">
        <v>74</v>
      </c>
      <c r="BO887" t="s">
        <v>212</v>
      </c>
      <c r="BP887" t="s">
        <v>74</v>
      </c>
      <c r="BQ887" t="s">
        <v>74</v>
      </c>
      <c r="BR887" t="s">
        <v>102</v>
      </c>
      <c r="BS887" t="s">
        <v>16543</v>
      </c>
      <c r="BT887" t="str">
        <f>HYPERLINK("https%3A%2F%2Fwww.webofscience.com%2Fwos%2Fwoscc%2Ffull-record%2FWOS:001160709300015","View Full Record in Web of Science")</f>
        <v>View Full Record in Web of Science</v>
      </c>
    </row>
    <row r="888" spans="1:72" x14ac:dyDescent="0.25">
      <c r="A888" t="s">
        <v>72</v>
      </c>
      <c r="B888" t="s">
        <v>16544</v>
      </c>
      <c r="C888" t="s">
        <v>74</v>
      </c>
      <c r="D888" t="s">
        <v>74</v>
      </c>
      <c r="E888" t="s">
        <v>74</v>
      </c>
      <c r="F888" t="s">
        <v>16545</v>
      </c>
      <c r="G888" t="s">
        <v>74</v>
      </c>
      <c r="H888" t="s">
        <v>74</v>
      </c>
      <c r="I888" t="s">
        <v>16546</v>
      </c>
      <c r="J888" t="s">
        <v>3439</v>
      </c>
      <c r="K888" t="s">
        <v>74</v>
      </c>
      <c r="L888" t="s">
        <v>74</v>
      </c>
      <c r="M888" t="s">
        <v>78</v>
      </c>
      <c r="N888" t="s">
        <v>79</v>
      </c>
      <c r="O888" t="s">
        <v>74</v>
      </c>
      <c r="P888" t="s">
        <v>74</v>
      </c>
      <c r="Q888" t="s">
        <v>74</v>
      </c>
      <c r="R888" t="s">
        <v>74</v>
      </c>
      <c r="S888" t="s">
        <v>74</v>
      </c>
      <c r="T888" t="s">
        <v>16547</v>
      </c>
      <c r="U888" t="s">
        <v>16548</v>
      </c>
      <c r="V888" t="s">
        <v>16549</v>
      </c>
      <c r="W888" t="s">
        <v>16550</v>
      </c>
      <c r="X888" t="s">
        <v>16551</v>
      </c>
      <c r="Y888" t="s">
        <v>16063</v>
      </c>
      <c r="Z888" t="s">
        <v>16552</v>
      </c>
      <c r="AA888" t="s">
        <v>74</v>
      </c>
      <c r="AB888" t="s">
        <v>12157</v>
      </c>
      <c r="AC888" t="s">
        <v>74</v>
      </c>
      <c r="AD888" t="s">
        <v>74</v>
      </c>
      <c r="AE888" t="s">
        <v>74</v>
      </c>
      <c r="AF888" t="s">
        <v>74</v>
      </c>
      <c r="AG888">
        <v>90</v>
      </c>
      <c r="AH888">
        <v>15</v>
      </c>
      <c r="AI888">
        <v>26</v>
      </c>
      <c r="AJ888">
        <v>0</v>
      </c>
      <c r="AK888">
        <v>24</v>
      </c>
      <c r="AL888" t="s">
        <v>2481</v>
      </c>
      <c r="AM888" t="s">
        <v>2482</v>
      </c>
      <c r="AN888" t="s">
        <v>2483</v>
      </c>
      <c r="AO888" t="s">
        <v>3443</v>
      </c>
      <c r="AP888" t="s">
        <v>74</v>
      </c>
      <c r="AQ888" t="s">
        <v>74</v>
      </c>
      <c r="AR888" t="s">
        <v>3444</v>
      </c>
      <c r="AS888" t="s">
        <v>3445</v>
      </c>
      <c r="AT888" t="s">
        <v>2487</v>
      </c>
      <c r="AU888">
        <v>2020</v>
      </c>
      <c r="AV888">
        <v>8</v>
      </c>
      <c r="AW888">
        <v>1</v>
      </c>
      <c r="AX888" t="s">
        <v>74</v>
      </c>
      <c r="AY888" t="s">
        <v>74</v>
      </c>
      <c r="AZ888" t="s">
        <v>74</v>
      </c>
      <c r="BA888" t="s">
        <v>74</v>
      </c>
      <c r="BB888" t="s">
        <v>74</v>
      </c>
      <c r="BC888" t="s">
        <v>74</v>
      </c>
      <c r="BD888">
        <v>1761274</v>
      </c>
      <c r="BE888" t="s">
        <v>16553</v>
      </c>
      <c r="BF888" t="str">
        <f>HYPERLINK("http://dx.doi.org/10.1080/23322039.2020.1761274","http://dx.doi.org/10.1080/23322039.2020.1761274")</f>
        <v>http://dx.doi.org/10.1080/23322039.2020.1761274</v>
      </c>
      <c r="BG888" t="s">
        <v>74</v>
      </c>
      <c r="BH888" t="s">
        <v>74</v>
      </c>
      <c r="BI888">
        <v>21</v>
      </c>
      <c r="BJ888" t="s">
        <v>291</v>
      </c>
      <c r="BK888" t="s">
        <v>313</v>
      </c>
      <c r="BL888" t="s">
        <v>100</v>
      </c>
      <c r="BM888" t="s">
        <v>16554</v>
      </c>
      <c r="BN888" t="s">
        <v>74</v>
      </c>
      <c r="BO888" t="s">
        <v>916</v>
      </c>
      <c r="BP888" t="s">
        <v>74</v>
      </c>
      <c r="BQ888" t="s">
        <v>74</v>
      </c>
      <c r="BR888" t="s">
        <v>102</v>
      </c>
      <c r="BS888" t="s">
        <v>16555</v>
      </c>
      <c r="BT888" t="str">
        <f>HYPERLINK("https%3A%2F%2Fwww.webofscience.com%2Fwos%2Fwoscc%2Ffull-record%2FWOS:000544474100001","View Full Record in Web of Science")</f>
        <v>View Full Record in Web of Science</v>
      </c>
    </row>
    <row r="889" spans="1:72" x14ac:dyDescent="0.25">
      <c r="A889" t="s">
        <v>72</v>
      </c>
      <c r="B889" t="s">
        <v>16556</v>
      </c>
      <c r="C889" t="s">
        <v>74</v>
      </c>
      <c r="D889" t="s">
        <v>74</v>
      </c>
      <c r="E889" t="s">
        <v>74</v>
      </c>
      <c r="F889" t="s">
        <v>16557</v>
      </c>
      <c r="G889" t="s">
        <v>74</v>
      </c>
      <c r="H889" t="s">
        <v>74</v>
      </c>
      <c r="I889" t="s">
        <v>16558</v>
      </c>
      <c r="J889" t="s">
        <v>11879</v>
      </c>
      <c r="K889" t="s">
        <v>74</v>
      </c>
      <c r="L889" t="s">
        <v>74</v>
      </c>
      <c r="M889" t="s">
        <v>78</v>
      </c>
      <c r="N889" t="s">
        <v>79</v>
      </c>
      <c r="O889" t="s">
        <v>74</v>
      </c>
      <c r="P889" t="s">
        <v>74</v>
      </c>
      <c r="Q889" t="s">
        <v>74</v>
      </c>
      <c r="R889" t="s">
        <v>74</v>
      </c>
      <c r="S889" t="s">
        <v>74</v>
      </c>
      <c r="T889" t="s">
        <v>16559</v>
      </c>
      <c r="U889" t="s">
        <v>16560</v>
      </c>
      <c r="V889" t="s">
        <v>16561</v>
      </c>
      <c r="W889" t="s">
        <v>16562</v>
      </c>
      <c r="X889" t="s">
        <v>16563</v>
      </c>
      <c r="Y889" t="s">
        <v>16564</v>
      </c>
      <c r="Z889" t="s">
        <v>16565</v>
      </c>
      <c r="AA889" t="s">
        <v>16566</v>
      </c>
      <c r="AB889" t="s">
        <v>74</v>
      </c>
      <c r="AC889" t="s">
        <v>74</v>
      </c>
      <c r="AD889" t="s">
        <v>74</v>
      </c>
      <c r="AE889" t="s">
        <v>74</v>
      </c>
      <c r="AF889" t="s">
        <v>74</v>
      </c>
      <c r="AG889">
        <v>125</v>
      </c>
      <c r="AH889">
        <v>0</v>
      </c>
      <c r="AI889">
        <v>0</v>
      </c>
      <c r="AJ889">
        <v>14</v>
      </c>
      <c r="AK889">
        <v>14</v>
      </c>
      <c r="AL889" t="s">
        <v>201</v>
      </c>
      <c r="AM889" t="s">
        <v>202</v>
      </c>
      <c r="AN889" t="s">
        <v>203</v>
      </c>
      <c r="AO889" t="s">
        <v>11889</v>
      </c>
      <c r="AP889" t="s">
        <v>11890</v>
      </c>
      <c r="AQ889" t="s">
        <v>74</v>
      </c>
      <c r="AR889" t="s">
        <v>11891</v>
      </c>
      <c r="AS889" t="s">
        <v>11892</v>
      </c>
      <c r="AT889" t="s">
        <v>124</v>
      </c>
      <c r="AU889">
        <v>2025</v>
      </c>
      <c r="AV889">
        <v>25</v>
      </c>
      <c r="AW889" t="s">
        <v>74</v>
      </c>
      <c r="AX889" t="s">
        <v>74</v>
      </c>
      <c r="AY889">
        <v>2</v>
      </c>
      <c r="AZ889" t="s">
        <v>74</v>
      </c>
      <c r="BA889" t="s">
        <v>74</v>
      </c>
      <c r="BB889">
        <v>177</v>
      </c>
      <c r="BC889">
        <v>191</v>
      </c>
      <c r="BD889" t="s">
        <v>74</v>
      </c>
      <c r="BE889" t="s">
        <v>16567</v>
      </c>
      <c r="BF889" t="str">
        <f>HYPERLINK("http://dx.doi.org/10.1016/j.bir.2025.10.017","http://dx.doi.org/10.1016/j.bir.2025.10.017")</f>
        <v>http://dx.doi.org/10.1016/j.bir.2025.10.017</v>
      </c>
      <c r="BG889" t="s">
        <v>74</v>
      </c>
      <c r="BH889" t="s">
        <v>2044</v>
      </c>
      <c r="BI889">
        <v>15</v>
      </c>
      <c r="BJ889" t="s">
        <v>210</v>
      </c>
      <c r="BK889" t="s">
        <v>99</v>
      </c>
      <c r="BL889" t="s">
        <v>100</v>
      </c>
      <c r="BM889" t="s">
        <v>12665</v>
      </c>
      <c r="BN889" t="s">
        <v>74</v>
      </c>
      <c r="BO889" t="s">
        <v>212</v>
      </c>
      <c r="BP889" t="s">
        <v>74</v>
      </c>
      <c r="BQ889" t="s">
        <v>74</v>
      </c>
      <c r="BR889" t="s">
        <v>102</v>
      </c>
      <c r="BS889" t="s">
        <v>16568</v>
      </c>
      <c r="BT889" t="str">
        <f>HYPERLINK("https%3A%2F%2Fwww.webofscience.com%2Fwos%2Fwoscc%2Ffull-record%2FWOS:001637944900009","View Full Record in Web of Science")</f>
        <v>View Full Record in Web of Science</v>
      </c>
    </row>
    <row r="890" spans="1:72" x14ac:dyDescent="0.25">
      <c r="A890" t="s">
        <v>72</v>
      </c>
      <c r="B890" t="s">
        <v>16569</v>
      </c>
      <c r="C890" t="s">
        <v>74</v>
      </c>
      <c r="D890" t="s">
        <v>74</v>
      </c>
      <c r="E890" t="s">
        <v>74</v>
      </c>
      <c r="F890" t="s">
        <v>16570</v>
      </c>
      <c r="G890" t="s">
        <v>74</v>
      </c>
      <c r="H890" t="s">
        <v>74</v>
      </c>
      <c r="I890" t="s">
        <v>16571</v>
      </c>
      <c r="J890" t="s">
        <v>4956</v>
      </c>
      <c r="K890" t="s">
        <v>74</v>
      </c>
      <c r="L890" t="s">
        <v>74</v>
      </c>
      <c r="M890" t="s">
        <v>78</v>
      </c>
      <c r="N890" t="s">
        <v>79</v>
      </c>
      <c r="O890" t="s">
        <v>74</v>
      </c>
      <c r="P890" t="s">
        <v>74</v>
      </c>
      <c r="Q890" t="s">
        <v>74</v>
      </c>
      <c r="R890" t="s">
        <v>74</v>
      </c>
      <c r="S890" t="s">
        <v>74</v>
      </c>
      <c r="T890" t="s">
        <v>16572</v>
      </c>
      <c r="U890" t="s">
        <v>16573</v>
      </c>
      <c r="V890" t="s">
        <v>16574</v>
      </c>
      <c r="W890" t="s">
        <v>16575</v>
      </c>
      <c r="X890" t="s">
        <v>7713</v>
      </c>
      <c r="Y890" t="s">
        <v>16576</v>
      </c>
      <c r="Z890" t="s">
        <v>16577</v>
      </c>
      <c r="AA890" t="s">
        <v>16578</v>
      </c>
      <c r="AB890" t="s">
        <v>16579</v>
      </c>
      <c r="AC890" t="s">
        <v>74</v>
      </c>
      <c r="AD890" t="s">
        <v>74</v>
      </c>
      <c r="AE890" t="s">
        <v>74</v>
      </c>
      <c r="AF890" t="s">
        <v>74</v>
      </c>
      <c r="AG890">
        <v>85</v>
      </c>
      <c r="AH890">
        <v>3</v>
      </c>
      <c r="AI890">
        <v>3</v>
      </c>
      <c r="AJ890">
        <v>11</v>
      </c>
      <c r="AK890">
        <v>12</v>
      </c>
      <c r="AL890" t="s">
        <v>230</v>
      </c>
      <c r="AM890" t="s">
        <v>231</v>
      </c>
      <c r="AN890" t="s">
        <v>232</v>
      </c>
      <c r="AO890" t="s">
        <v>4966</v>
      </c>
      <c r="AP890" t="s">
        <v>4967</v>
      </c>
      <c r="AQ890" t="s">
        <v>74</v>
      </c>
      <c r="AR890" t="s">
        <v>4968</v>
      </c>
      <c r="AS890" t="s">
        <v>4969</v>
      </c>
      <c r="AT890" t="s">
        <v>1159</v>
      </c>
      <c r="AU890">
        <v>2025</v>
      </c>
      <c r="AV890">
        <v>194</v>
      </c>
      <c r="AW890" t="s">
        <v>74</v>
      </c>
      <c r="AX890" t="s">
        <v>74</v>
      </c>
      <c r="AY890" t="s">
        <v>74</v>
      </c>
      <c r="AZ890" t="s">
        <v>74</v>
      </c>
      <c r="BA890" t="s">
        <v>74</v>
      </c>
      <c r="BB890" t="s">
        <v>74</v>
      </c>
      <c r="BC890" t="s">
        <v>74</v>
      </c>
      <c r="BD890">
        <v>107073</v>
      </c>
      <c r="BE890" t="s">
        <v>16580</v>
      </c>
      <c r="BF890" t="str">
        <f>HYPERLINK("http://dx.doi.org/10.1016/j.worlddev.2025.107073","http://dx.doi.org/10.1016/j.worlddev.2025.107073")</f>
        <v>http://dx.doi.org/10.1016/j.worlddev.2025.107073</v>
      </c>
      <c r="BG890" t="s">
        <v>74</v>
      </c>
      <c r="BH890" t="s">
        <v>2359</v>
      </c>
      <c r="BI890">
        <v>13</v>
      </c>
      <c r="BJ890" t="s">
        <v>701</v>
      </c>
      <c r="BK890" t="s">
        <v>99</v>
      </c>
      <c r="BL890" t="s">
        <v>702</v>
      </c>
      <c r="BM890" t="s">
        <v>16581</v>
      </c>
      <c r="BN890" t="s">
        <v>74</v>
      </c>
      <c r="BO890" t="s">
        <v>270</v>
      </c>
      <c r="BP890" t="s">
        <v>74</v>
      </c>
      <c r="BQ890" t="s">
        <v>74</v>
      </c>
      <c r="BR890" t="s">
        <v>102</v>
      </c>
      <c r="BS890" t="s">
        <v>16582</v>
      </c>
      <c r="BT890" t="str">
        <f>HYPERLINK("https%3A%2F%2Fwww.webofscience.com%2Fwos%2Fwoscc%2Ffull-record%2FWOS:001501773100001","View Full Record in Web of Science")</f>
        <v>View Full Record in Web of Science</v>
      </c>
    </row>
    <row r="891" spans="1:72" x14ac:dyDescent="0.25">
      <c r="A891" t="s">
        <v>72</v>
      </c>
      <c r="B891" t="s">
        <v>16583</v>
      </c>
      <c r="C891" t="s">
        <v>74</v>
      </c>
      <c r="D891" t="s">
        <v>74</v>
      </c>
      <c r="E891" t="s">
        <v>74</v>
      </c>
      <c r="F891" t="s">
        <v>16584</v>
      </c>
      <c r="G891" t="s">
        <v>74</v>
      </c>
      <c r="H891" t="s">
        <v>74</v>
      </c>
      <c r="I891" t="s">
        <v>16585</v>
      </c>
      <c r="J891" t="s">
        <v>4842</v>
      </c>
      <c r="K891" t="s">
        <v>74</v>
      </c>
      <c r="L891" t="s">
        <v>74</v>
      </c>
      <c r="M891" t="s">
        <v>78</v>
      </c>
      <c r="N891" t="s">
        <v>79</v>
      </c>
      <c r="O891" t="s">
        <v>74</v>
      </c>
      <c r="P891" t="s">
        <v>74</v>
      </c>
      <c r="Q891" t="s">
        <v>74</v>
      </c>
      <c r="R891" t="s">
        <v>74</v>
      </c>
      <c r="S891" t="s">
        <v>74</v>
      </c>
      <c r="T891" t="s">
        <v>16586</v>
      </c>
      <c r="U891" t="s">
        <v>16587</v>
      </c>
      <c r="V891" t="s">
        <v>16588</v>
      </c>
      <c r="W891" t="s">
        <v>16589</v>
      </c>
      <c r="X891" t="s">
        <v>5484</v>
      </c>
      <c r="Y891" t="s">
        <v>16590</v>
      </c>
      <c r="Z891" t="s">
        <v>16591</v>
      </c>
      <c r="AA891" t="s">
        <v>16592</v>
      </c>
      <c r="AB891" t="s">
        <v>16593</v>
      </c>
      <c r="AC891" t="s">
        <v>74</v>
      </c>
      <c r="AD891" t="s">
        <v>74</v>
      </c>
      <c r="AE891" t="s">
        <v>16594</v>
      </c>
      <c r="AF891" t="s">
        <v>74</v>
      </c>
      <c r="AG891">
        <v>95</v>
      </c>
      <c r="AH891">
        <v>1</v>
      </c>
      <c r="AI891">
        <v>2</v>
      </c>
      <c r="AJ891">
        <v>2</v>
      </c>
      <c r="AK891">
        <v>7</v>
      </c>
      <c r="AL891" t="s">
        <v>823</v>
      </c>
      <c r="AM891" t="s">
        <v>333</v>
      </c>
      <c r="AN891" t="s">
        <v>824</v>
      </c>
      <c r="AO891" t="s">
        <v>4853</v>
      </c>
      <c r="AP891" t="s">
        <v>74</v>
      </c>
      <c r="AQ891" t="s">
        <v>74</v>
      </c>
      <c r="AR891" t="s">
        <v>4854</v>
      </c>
      <c r="AS891" t="s">
        <v>4855</v>
      </c>
      <c r="AT891" t="s">
        <v>2970</v>
      </c>
      <c r="AU891">
        <v>2024</v>
      </c>
      <c r="AV891">
        <v>11</v>
      </c>
      <c r="AW891">
        <v>1</v>
      </c>
      <c r="AX891" t="s">
        <v>74</v>
      </c>
      <c r="AY891" t="s">
        <v>74</v>
      </c>
      <c r="AZ891" t="s">
        <v>74</v>
      </c>
      <c r="BA891" t="s">
        <v>74</v>
      </c>
      <c r="BB891" t="s">
        <v>74</v>
      </c>
      <c r="BC891" t="s">
        <v>74</v>
      </c>
      <c r="BD891">
        <v>2407921</v>
      </c>
      <c r="BE891" t="s">
        <v>16595</v>
      </c>
      <c r="BF891" t="str">
        <f>HYPERLINK("http://dx.doi.org/10.1080/23311975.2024.2407921","http://dx.doi.org/10.1080/23311975.2024.2407921")</f>
        <v>http://dx.doi.org/10.1080/23311975.2024.2407921</v>
      </c>
      <c r="BG891" t="s">
        <v>74</v>
      </c>
      <c r="BH891" t="s">
        <v>74</v>
      </c>
      <c r="BI891">
        <v>19</v>
      </c>
      <c r="BJ891" t="s">
        <v>418</v>
      </c>
      <c r="BK891" t="s">
        <v>313</v>
      </c>
      <c r="BL891" t="s">
        <v>100</v>
      </c>
      <c r="BM891" t="s">
        <v>16596</v>
      </c>
      <c r="BN891" t="s">
        <v>74</v>
      </c>
      <c r="BO891" t="s">
        <v>916</v>
      </c>
      <c r="BP891" t="s">
        <v>74</v>
      </c>
      <c r="BQ891" t="s">
        <v>74</v>
      </c>
      <c r="BR891" t="s">
        <v>102</v>
      </c>
      <c r="BS891" t="s">
        <v>16597</v>
      </c>
      <c r="BT891" t="str">
        <f>HYPERLINK("https%3A%2F%2Fwww.webofscience.com%2Fwos%2Fwoscc%2Ffull-record%2FWOS:001321011400001","View Full Record in Web of Science")</f>
        <v>View Full Record in Web of Science</v>
      </c>
    </row>
    <row r="892" spans="1:72" x14ac:dyDescent="0.25">
      <c r="A892" t="s">
        <v>72</v>
      </c>
      <c r="B892" t="s">
        <v>16598</v>
      </c>
      <c r="C892" t="s">
        <v>74</v>
      </c>
      <c r="D892" t="s">
        <v>74</v>
      </c>
      <c r="E892" t="s">
        <v>74</v>
      </c>
      <c r="F892" t="s">
        <v>16599</v>
      </c>
      <c r="G892" t="s">
        <v>74</v>
      </c>
      <c r="H892" t="s">
        <v>74</v>
      </c>
      <c r="I892" t="s">
        <v>16600</v>
      </c>
      <c r="J892" t="s">
        <v>1987</v>
      </c>
      <c r="K892" t="s">
        <v>74</v>
      </c>
      <c r="L892" t="s">
        <v>74</v>
      </c>
      <c r="M892" t="s">
        <v>78</v>
      </c>
      <c r="N892" t="s">
        <v>79</v>
      </c>
      <c r="O892" t="s">
        <v>74</v>
      </c>
      <c r="P892" t="s">
        <v>74</v>
      </c>
      <c r="Q892" t="s">
        <v>74</v>
      </c>
      <c r="R892" t="s">
        <v>74</v>
      </c>
      <c r="S892" t="s">
        <v>74</v>
      </c>
      <c r="T892" t="s">
        <v>16601</v>
      </c>
      <c r="U892" t="s">
        <v>16602</v>
      </c>
      <c r="V892" t="s">
        <v>16603</v>
      </c>
      <c r="W892" t="s">
        <v>16604</v>
      </c>
      <c r="X892" t="s">
        <v>74</v>
      </c>
      <c r="Y892" t="s">
        <v>16605</v>
      </c>
      <c r="Z892" t="s">
        <v>16606</v>
      </c>
      <c r="AA892" t="s">
        <v>16607</v>
      </c>
      <c r="AB892" t="s">
        <v>16608</v>
      </c>
      <c r="AC892" t="s">
        <v>16609</v>
      </c>
      <c r="AD892" t="s">
        <v>16610</v>
      </c>
      <c r="AE892" t="s">
        <v>16611</v>
      </c>
      <c r="AF892" t="s">
        <v>74</v>
      </c>
      <c r="AG892">
        <v>28</v>
      </c>
      <c r="AH892">
        <v>40</v>
      </c>
      <c r="AI892">
        <v>59</v>
      </c>
      <c r="AJ892">
        <v>0</v>
      </c>
      <c r="AK892">
        <v>49</v>
      </c>
      <c r="AL892" t="s">
        <v>479</v>
      </c>
      <c r="AM892" t="s">
        <v>480</v>
      </c>
      <c r="AN892" t="s">
        <v>481</v>
      </c>
      <c r="AO892" t="s">
        <v>1997</v>
      </c>
      <c r="AP892" t="s">
        <v>1998</v>
      </c>
      <c r="AQ892" t="s">
        <v>74</v>
      </c>
      <c r="AR892" t="s">
        <v>1999</v>
      </c>
      <c r="AS892" t="s">
        <v>2000</v>
      </c>
      <c r="AT892" t="s">
        <v>1540</v>
      </c>
      <c r="AU892">
        <v>2019</v>
      </c>
      <c r="AV892">
        <v>31</v>
      </c>
      <c r="AW892">
        <v>4</v>
      </c>
      <c r="AX892" t="s">
        <v>74</v>
      </c>
      <c r="AY892" t="s">
        <v>74</v>
      </c>
      <c r="AZ892" t="s">
        <v>74</v>
      </c>
      <c r="BA892" t="s">
        <v>74</v>
      </c>
      <c r="BB892">
        <v>312</v>
      </c>
      <c r="BC892">
        <v>335</v>
      </c>
      <c r="BD892" t="s">
        <v>74</v>
      </c>
      <c r="BE892" t="s">
        <v>16612</v>
      </c>
      <c r="BF892" t="str">
        <f>HYPERLINK("http://dx.doi.org/10.1002/jid.3407","http://dx.doi.org/10.1002/jid.3407")</f>
        <v>http://dx.doi.org/10.1002/jid.3407</v>
      </c>
      <c r="BG892" t="s">
        <v>74</v>
      </c>
      <c r="BH892" t="s">
        <v>74</v>
      </c>
      <c r="BI892">
        <v>24</v>
      </c>
      <c r="BJ892" t="s">
        <v>1137</v>
      </c>
      <c r="BK892" t="s">
        <v>99</v>
      </c>
      <c r="BL892" t="s">
        <v>1137</v>
      </c>
      <c r="BM892" t="s">
        <v>16613</v>
      </c>
      <c r="BN892" t="s">
        <v>74</v>
      </c>
      <c r="BO892" t="s">
        <v>74</v>
      </c>
      <c r="BP892" t="s">
        <v>74</v>
      </c>
      <c r="BQ892" t="s">
        <v>74</v>
      </c>
      <c r="BR892" t="s">
        <v>102</v>
      </c>
      <c r="BS892" t="s">
        <v>16614</v>
      </c>
      <c r="BT892" t="str">
        <f>HYPERLINK("https%3A%2F%2Fwww.webofscience.com%2Fwos%2Fwoscc%2Ffull-record%2FWOS:000464945100002","View Full Record in Web of Science")</f>
        <v>View Full Record in Web of Science</v>
      </c>
    </row>
    <row r="893" spans="1:72" x14ac:dyDescent="0.25">
      <c r="A893" t="s">
        <v>72</v>
      </c>
      <c r="B893" t="s">
        <v>16615</v>
      </c>
      <c r="C893" t="s">
        <v>74</v>
      </c>
      <c r="D893" t="s">
        <v>74</v>
      </c>
      <c r="E893" t="s">
        <v>74</v>
      </c>
      <c r="F893" t="s">
        <v>16616</v>
      </c>
      <c r="G893" t="s">
        <v>74</v>
      </c>
      <c r="H893" t="s">
        <v>74</v>
      </c>
      <c r="I893" t="s">
        <v>16617</v>
      </c>
      <c r="J893" t="s">
        <v>2763</v>
      </c>
      <c r="K893" t="s">
        <v>74</v>
      </c>
      <c r="L893" t="s">
        <v>74</v>
      </c>
      <c r="M893" t="s">
        <v>78</v>
      </c>
      <c r="N893" t="s">
        <v>372</v>
      </c>
      <c r="O893" t="s">
        <v>74</v>
      </c>
      <c r="P893" t="s">
        <v>74</v>
      </c>
      <c r="Q893" t="s">
        <v>74</v>
      </c>
      <c r="R893" t="s">
        <v>74</v>
      </c>
      <c r="S893" t="s">
        <v>74</v>
      </c>
      <c r="T893" t="s">
        <v>16618</v>
      </c>
      <c r="U893" t="s">
        <v>16619</v>
      </c>
      <c r="V893" t="s">
        <v>16620</v>
      </c>
      <c r="W893" t="s">
        <v>16621</v>
      </c>
      <c r="X893" t="s">
        <v>16622</v>
      </c>
      <c r="Y893" t="s">
        <v>16623</v>
      </c>
      <c r="Z893" t="s">
        <v>16624</v>
      </c>
      <c r="AA893" t="s">
        <v>16625</v>
      </c>
      <c r="AB893" t="s">
        <v>16626</v>
      </c>
      <c r="AC893" t="s">
        <v>74</v>
      </c>
      <c r="AD893" t="s">
        <v>74</v>
      </c>
      <c r="AE893" t="s">
        <v>74</v>
      </c>
      <c r="AF893" t="s">
        <v>74</v>
      </c>
      <c r="AG893">
        <v>52</v>
      </c>
      <c r="AH893">
        <v>0</v>
      </c>
      <c r="AI893">
        <v>0</v>
      </c>
      <c r="AJ893">
        <v>8</v>
      </c>
      <c r="AK893">
        <v>8</v>
      </c>
      <c r="AL893" t="s">
        <v>479</v>
      </c>
      <c r="AM893" t="s">
        <v>480</v>
      </c>
      <c r="AN893" t="s">
        <v>481</v>
      </c>
      <c r="AO893" t="s">
        <v>2776</v>
      </c>
      <c r="AP893" t="s">
        <v>2777</v>
      </c>
      <c r="AQ893" t="s">
        <v>74</v>
      </c>
      <c r="AR893" t="s">
        <v>2778</v>
      </c>
      <c r="AS893" t="s">
        <v>2779</v>
      </c>
      <c r="AT893" t="s">
        <v>16627</v>
      </c>
      <c r="AU893">
        <v>2025</v>
      </c>
      <c r="AV893" t="s">
        <v>74</v>
      </c>
      <c r="AW893" t="s">
        <v>74</v>
      </c>
      <c r="AX893" t="s">
        <v>74</v>
      </c>
      <c r="AY893" t="s">
        <v>74</v>
      </c>
      <c r="AZ893" t="s">
        <v>74</v>
      </c>
      <c r="BA893" t="s">
        <v>74</v>
      </c>
      <c r="BB893" t="s">
        <v>74</v>
      </c>
      <c r="BC893" t="s">
        <v>74</v>
      </c>
      <c r="BD893" t="s">
        <v>74</v>
      </c>
      <c r="BE893" t="s">
        <v>16628</v>
      </c>
      <c r="BF893" t="str">
        <f>HYPERLINK("http://dx.doi.org/10.1111/rode.70064","http://dx.doi.org/10.1111/rode.70064")</f>
        <v>http://dx.doi.org/10.1111/rode.70064</v>
      </c>
      <c r="BG893" t="s">
        <v>74</v>
      </c>
      <c r="BH893" t="s">
        <v>3411</v>
      </c>
      <c r="BI893">
        <v>17</v>
      </c>
      <c r="BJ893" t="s">
        <v>701</v>
      </c>
      <c r="BK893" t="s">
        <v>99</v>
      </c>
      <c r="BL893" t="s">
        <v>702</v>
      </c>
      <c r="BM893" t="s">
        <v>16629</v>
      </c>
      <c r="BN893" t="s">
        <v>74</v>
      </c>
      <c r="BO893" t="s">
        <v>74</v>
      </c>
      <c r="BP893" t="s">
        <v>74</v>
      </c>
      <c r="BQ893" t="s">
        <v>74</v>
      </c>
      <c r="BR893" t="s">
        <v>102</v>
      </c>
      <c r="BS893" t="s">
        <v>16630</v>
      </c>
      <c r="BT893" t="str">
        <f>HYPERLINK("https%3A%2F%2Fwww.webofscience.com%2Fwos%2Fwoscc%2Ffull-record%2FWOS:001583325500001","View Full Record in Web of Science")</f>
        <v>View Full Record in Web of Science</v>
      </c>
    </row>
    <row r="894" spans="1:72" x14ac:dyDescent="0.25">
      <c r="A894" t="s">
        <v>72</v>
      </c>
      <c r="B894" t="s">
        <v>16631</v>
      </c>
      <c r="C894" t="s">
        <v>74</v>
      </c>
      <c r="D894" t="s">
        <v>74</v>
      </c>
      <c r="E894" t="s">
        <v>74</v>
      </c>
      <c r="F894" t="s">
        <v>16632</v>
      </c>
      <c r="G894" t="s">
        <v>74</v>
      </c>
      <c r="H894" t="s">
        <v>74</v>
      </c>
      <c r="I894" t="s">
        <v>16633</v>
      </c>
      <c r="J894" t="s">
        <v>1987</v>
      </c>
      <c r="K894" t="s">
        <v>74</v>
      </c>
      <c r="L894" t="s">
        <v>74</v>
      </c>
      <c r="M894" t="s">
        <v>78</v>
      </c>
      <c r="N894" t="s">
        <v>79</v>
      </c>
      <c r="O894" t="s">
        <v>74</v>
      </c>
      <c r="P894" t="s">
        <v>74</v>
      </c>
      <c r="Q894" t="s">
        <v>74</v>
      </c>
      <c r="R894" t="s">
        <v>74</v>
      </c>
      <c r="S894" t="s">
        <v>74</v>
      </c>
      <c r="T894" t="s">
        <v>16634</v>
      </c>
      <c r="U894" t="s">
        <v>7528</v>
      </c>
      <c r="V894" t="s">
        <v>16635</v>
      </c>
      <c r="W894" t="s">
        <v>16636</v>
      </c>
      <c r="X894" t="s">
        <v>16637</v>
      </c>
      <c r="Y894" t="s">
        <v>16638</v>
      </c>
      <c r="Z894" t="s">
        <v>16639</v>
      </c>
      <c r="AA894" t="s">
        <v>74</v>
      </c>
      <c r="AB894" t="s">
        <v>74</v>
      </c>
      <c r="AC894" t="s">
        <v>74</v>
      </c>
      <c r="AD894" t="s">
        <v>74</v>
      </c>
      <c r="AE894" t="s">
        <v>74</v>
      </c>
      <c r="AF894" t="s">
        <v>74</v>
      </c>
      <c r="AG894">
        <v>31</v>
      </c>
      <c r="AH894">
        <v>12</v>
      </c>
      <c r="AI894">
        <v>13</v>
      </c>
      <c r="AJ894">
        <v>0</v>
      </c>
      <c r="AK894">
        <v>5</v>
      </c>
      <c r="AL894" t="s">
        <v>479</v>
      </c>
      <c r="AM894" t="s">
        <v>480</v>
      </c>
      <c r="AN894" t="s">
        <v>481</v>
      </c>
      <c r="AO894" t="s">
        <v>1997</v>
      </c>
      <c r="AP894" t="s">
        <v>1998</v>
      </c>
      <c r="AQ894" t="s">
        <v>74</v>
      </c>
      <c r="AR894" t="s">
        <v>1999</v>
      </c>
      <c r="AS894" t="s">
        <v>2000</v>
      </c>
      <c r="AT894" t="s">
        <v>1540</v>
      </c>
      <c r="AU894">
        <v>2018</v>
      </c>
      <c r="AV894">
        <v>30</v>
      </c>
      <c r="AW894">
        <v>4</v>
      </c>
      <c r="AX894" t="s">
        <v>74</v>
      </c>
      <c r="AY894" t="s">
        <v>74</v>
      </c>
      <c r="AZ894" t="s">
        <v>74</v>
      </c>
      <c r="BA894" t="s">
        <v>74</v>
      </c>
      <c r="BB894">
        <v>584</v>
      </c>
      <c r="BC894">
        <v>614</v>
      </c>
      <c r="BD894" t="s">
        <v>74</v>
      </c>
      <c r="BE894" t="s">
        <v>16640</v>
      </c>
      <c r="BF894" t="str">
        <f>HYPERLINK("http://dx.doi.org/10.1002/jid.3339","http://dx.doi.org/10.1002/jid.3339")</f>
        <v>http://dx.doi.org/10.1002/jid.3339</v>
      </c>
      <c r="BG894" t="s">
        <v>74</v>
      </c>
      <c r="BH894" t="s">
        <v>74</v>
      </c>
      <c r="BI894">
        <v>31</v>
      </c>
      <c r="BJ894" t="s">
        <v>1137</v>
      </c>
      <c r="BK894" t="s">
        <v>99</v>
      </c>
      <c r="BL894" t="s">
        <v>1137</v>
      </c>
      <c r="BM894" t="s">
        <v>16641</v>
      </c>
      <c r="BN894" t="s">
        <v>74</v>
      </c>
      <c r="BO894" t="s">
        <v>1696</v>
      </c>
      <c r="BP894" t="s">
        <v>74</v>
      </c>
      <c r="BQ894" t="s">
        <v>74</v>
      </c>
      <c r="BR894" t="s">
        <v>102</v>
      </c>
      <c r="BS894" t="s">
        <v>16642</v>
      </c>
      <c r="BT894" t="str">
        <f>HYPERLINK("https%3A%2F%2Fwww.webofscience.com%2Fwos%2Fwoscc%2Ffull-record%2FWOS:000431660900003","View Full Record in Web of Science")</f>
        <v>View Full Record in Web of Science</v>
      </c>
    </row>
    <row r="895" spans="1:72" x14ac:dyDescent="0.25">
      <c r="A895" t="s">
        <v>72</v>
      </c>
      <c r="B895" t="s">
        <v>16643</v>
      </c>
      <c r="C895" t="s">
        <v>74</v>
      </c>
      <c r="D895" t="s">
        <v>74</v>
      </c>
      <c r="E895" t="s">
        <v>74</v>
      </c>
      <c r="F895" t="s">
        <v>16644</v>
      </c>
      <c r="G895" t="s">
        <v>74</v>
      </c>
      <c r="H895" t="s">
        <v>74</v>
      </c>
      <c r="I895" t="s">
        <v>16645</v>
      </c>
      <c r="J895" t="s">
        <v>1290</v>
      </c>
      <c r="K895" t="s">
        <v>74</v>
      </c>
      <c r="L895" t="s">
        <v>74</v>
      </c>
      <c r="M895" t="s">
        <v>78</v>
      </c>
      <c r="N895" t="s">
        <v>79</v>
      </c>
      <c r="O895" t="s">
        <v>74</v>
      </c>
      <c r="P895" t="s">
        <v>74</v>
      </c>
      <c r="Q895" t="s">
        <v>74</v>
      </c>
      <c r="R895" t="s">
        <v>74</v>
      </c>
      <c r="S895" t="s">
        <v>74</v>
      </c>
      <c r="T895" t="s">
        <v>16646</v>
      </c>
      <c r="U895" t="s">
        <v>16647</v>
      </c>
      <c r="V895" t="s">
        <v>16648</v>
      </c>
      <c r="W895" t="s">
        <v>16649</v>
      </c>
      <c r="X895" t="s">
        <v>16650</v>
      </c>
      <c r="Y895" t="s">
        <v>16651</v>
      </c>
      <c r="Z895" t="s">
        <v>16652</v>
      </c>
      <c r="AA895" t="s">
        <v>16653</v>
      </c>
      <c r="AB895" t="s">
        <v>74</v>
      </c>
      <c r="AC895" t="s">
        <v>16654</v>
      </c>
      <c r="AD895" t="s">
        <v>16655</v>
      </c>
      <c r="AE895" t="s">
        <v>16656</v>
      </c>
      <c r="AF895" t="s">
        <v>74</v>
      </c>
      <c r="AG895">
        <v>70</v>
      </c>
      <c r="AH895">
        <v>0</v>
      </c>
      <c r="AI895">
        <v>0</v>
      </c>
      <c r="AJ895">
        <v>0</v>
      </c>
      <c r="AK895">
        <v>0</v>
      </c>
      <c r="AL895" t="s">
        <v>575</v>
      </c>
      <c r="AM895" t="s">
        <v>576</v>
      </c>
      <c r="AN895" t="s">
        <v>577</v>
      </c>
      <c r="AO895" t="s">
        <v>1299</v>
      </c>
      <c r="AP895" t="s">
        <v>74</v>
      </c>
      <c r="AQ895" t="s">
        <v>74</v>
      </c>
      <c r="AR895" t="s">
        <v>1300</v>
      </c>
      <c r="AS895" t="s">
        <v>1301</v>
      </c>
      <c r="AT895" t="s">
        <v>16657</v>
      </c>
      <c r="AU895">
        <v>2025</v>
      </c>
      <c r="AV895">
        <v>13</v>
      </c>
      <c r="AW895">
        <v>4</v>
      </c>
      <c r="AX895" t="s">
        <v>74</v>
      </c>
      <c r="AY895" t="s">
        <v>74</v>
      </c>
      <c r="AZ895" t="s">
        <v>74</v>
      </c>
      <c r="BA895" t="s">
        <v>74</v>
      </c>
      <c r="BB895" t="s">
        <v>74</v>
      </c>
      <c r="BC895" t="s">
        <v>74</v>
      </c>
      <c r="BD895">
        <v>199</v>
      </c>
      <c r="BE895" t="s">
        <v>16658</v>
      </c>
      <c r="BF895" t="str">
        <f>HYPERLINK("http://dx.doi.org/10.3390/ijfs13040199","http://dx.doi.org/10.3390/ijfs13040199")</f>
        <v>http://dx.doi.org/10.3390/ijfs13040199</v>
      </c>
      <c r="BG895" t="s">
        <v>74</v>
      </c>
      <c r="BH895" t="s">
        <v>74</v>
      </c>
      <c r="BI895">
        <v>21</v>
      </c>
      <c r="BJ895" t="s">
        <v>268</v>
      </c>
      <c r="BK895" t="s">
        <v>313</v>
      </c>
      <c r="BL895" t="s">
        <v>100</v>
      </c>
      <c r="BM895" t="s">
        <v>16659</v>
      </c>
      <c r="BN895" t="s">
        <v>74</v>
      </c>
      <c r="BO895" t="s">
        <v>212</v>
      </c>
      <c r="BP895" t="s">
        <v>74</v>
      </c>
      <c r="BQ895" t="s">
        <v>74</v>
      </c>
      <c r="BR895" t="s">
        <v>102</v>
      </c>
      <c r="BS895" t="s">
        <v>16660</v>
      </c>
      <c r="BT895" t="str">
        <f>HYPERLINK("https%3A%2F%2Fwww.webofscience.com%2Fwos%2Fwoscc%2Ffull-record%2FWOS:001646683300001","View Full Record in Web of Science")</f>
        <v>View Full Record in Web of Science</v>
      </c>
    </row>
    <row r="896" spans="1:72" x14ac:dyDescent="0.25">
      <c r="A896" t="s">
        <v>72</v>
      </c>
      <c r="B896" t="s">
        <v>13212</v>
      </c>
      <c r="C896" t="s">
        <v>74</v>
      </c>
      <c r="D896" t="s">
        <v>74</v>
      </c>
      <c r="E896" t="s">
        <v>74</v>
      </c>
      <c r="F896" t="s">
        <v>13213</v>
      </c>
      <c r="G896" t="s">
        <v>74</v>
      </c>
      <c r="H896" t="s">
        <v>74</v>
      </c>
      <c r="I896" t="s">
        <v>16661</v>
      </c>
      <c r="J896" t="s">
        <v>683</v>
      </c>
      <c r="K896" t="s">
        <v>74</v>
      </c>
      <c r="L896" t="s">
        <v>74</v>
      </c>
      <c r="M896" t="s">
        <v>78</v>
      </c>
      <c r="N896" t="s">
        <v>79</v>
      </c>
      <c r="O896" t="s">
        <v>74</v>
      </c>
      <c r="P896" t="s">
        <v>74</v>
      </c>
      <c r="Q896" t="s">
        <v>74</v>
      </c>
      <c r="R896" t="s">
        <v>74</v>
      </c>
      <c r="S896" t="s">
        <v>74</v>
      </c>
      <c r="T896" t="s">
        <v>16662</v>
      </c>
      <c r="U896" t="s">
        <v>74</v>
      </c>
      <c r="V896" t="s">
        <v>16663</v>
      </c>
      <c r="W896" t="s">
        <v>13217</v>
      </c>
      <c r="X896" t="s">
        <v>13218</v>
      </c>
      <c r="Y896" t="s">
        <v>13219</v>
      </c>
      <c r="Z896" t="s">
        <v>13220</v>
      </c>
      <c r="AA896" t="s">
        <v>13221</v>
      </c>
      <c r="AB896" t="s">
        <v>74</v>
      </c>
      <c r="AC896" t="s">
        <v>74</v>
      </c>
      <c r="AD896" t="s">
        <v>74</v>
      </c>
      <c r="AE896" t="s">
        <v>74</v>
      </c>
      <c r="AF896" t="s">
        <v>74</v>
      </c>
      <c r="AG896">
        <v>71</v>
      </c>
      <c r="AH896">
        <v>2</v>
      </c>
      <c r="AI896">
        <v>3</v>
      </c>
      <c r="AJ896">
        <v>3</v>
      </c>
      <c r="AK896">
        <v>4</v>
      </c>
      <c r="AL896" t="s">
        <v>201</v>
      </c>
      <c r="AM896" t="s">
        <v>202</v>
      </c>
      <c r="AN896" t="s">
        <v>203</v>
      </c>
      <c r="AO896" t="s">
        <v>695</v>
      </c>
      <c r="AP896" t="s">
        <v>74</v>
      </c>
      <c r="AQ896" t="s">
        <v>74</v>
      </c>
      <c r="AR896" t="s">
        <v>696</v>
      </c>
      <c r="AS896" t="s">
        <v>697</v>
      </c>
      <c r="AT896" t="s">
        <v>605</v>
      </c>
      <c r="AU896">
        <v>2025</v>
      </c>
      <c r="AV896">
        <v>37</v>
      </c>
      <c r="AW896" t="s">
        <v>74</v>
      </c>
      <c r="AX896" t="s">
        <v>74</v>
      </c>
      <c r="AY896" t="s">
        <v>74</v>
      </c>
      <c r="AZ896" t="s">
        <v>74</v>
      </c>
      <c r="BA896" t="s">
        <v>74</v>
      </c>
      <c r="BB896" t="s">
        <v>74</v>
      </c>
      <c r="BC896" t="s">
        <v>74</v>
      </c>
      <c r="BD896">
        <v>100670</v>
      </c>
      <c r="BE896" t="s">
        <v>16664</v>
      </c>
      <c r="BF896" t="str">
        <f>HYPERLINK("http://dx.doi.org/10.1016/j.wdp.2025.100670","http://dx.doi.org/10.1016/j.wdp.2025.100670")</f>
        <v>http://dx.doi.org/10.1016/j.wdp.2025.100670</v>
      </c>
      <c r="BG896" t="s">
        <v>74</v>
      </c>
      <c r="BH896" t="s">
        <v>2781</v>
      </c>
      <c r="BI896">
        <v>10</v>
      </c>
      <c r="BJ896" t="s">
        <v>701</v>
      </c>
      <c r="BK896" t="s">
        <v>313</v>
      </c>
      <c r="BL896" t="s">
        <v>702</v>
      </c>
      <c r="BM896" t="s">
        <v>16665</v>
      </c>
      <c r="BN896" t="s">
        <v>74</v>
      </c>
      <c r="BO896" t="s">
        <v>270</v>
      </c>
      <c r="BP896" t="s">
        <v>74</v>
      </c>
      <c r="BQ896" t="s">
        <v>74</v>
      </c>
      <c r="BR896" t="s">
        <v>102</v>
      </c>
      <c r="BS896" t="s">
        <v>16666</v>
      </c>
      <c r="BT896" t="str">
        <f>HYPERLINK("https%3A%2F%2Fwww.webofscience.com%2Fwos%2Fwoscc%2Ffull-record%2FWOS:001444938500001","View Full Record in Web of Science")</f>
        <v>View Full Record in Web of Science</v>
      </c>
    </row>
    <row r="897" spans="1:72" x14ac:dyDescent="0.25">
      <c r="A897" t="s">
        <v>132</v>
      </c>
      <c r="B897" t="s">
        <v>16667</v>
      </c>
      <c r="C897" t="s">
        <v>74</v>
      </c>
      <c r="D897" t="s">
        <v>74</v>
      </c>
      <c r="E897" t="s">
        <v>16668</v>
      </c>
      <c r="F897" t="s">
        <v>16669</v>
      </c>
      <c r="G897" t="s">
        <v>74</v>
      </c>
      <c r="H897" t="s">
        <v>74</v>
      </c>
      <c r="I897" t="s">
        <v>16670</v>
      </c>
      <c r="J897" t="s">
        <v>16671</v>
      </c>
      <c r="K897" t="s">
        <v>74</v>
      </c>
      <c r="L897" t="s">
        <v>74</v>
      </c>
      <c r="M897" t="s">
        <v>78</v>
      </c>
      <c r="N897" t="s">
        <v>138</v>
      </c>
      <c r="O897" t="s">
        <v>16672</v>
      </c>
      <c r="P897" t="s">
        <v>16673</v>
      </c>
      <c r="Q897" t="s">
        <v>16674</v>
      </c>
      <c r="R897" t="s">
        <v>74</v>
      </c>
      <c r="S897" t="s">
        <v>74</v>
      </c>
      <c r="T897" t="s">
        <v>16675</v>
      </c>
      <c r="U897" t="s">
        <v>74</v>
      </c>
      <c r="V897" t="s">
        <v>16676</v>
      </c>
      <c r="W897" t="s">
        <v>16677</v>
      </c>
      <c r="X897" t="s">
        <v>16678</v>
      </c>
      <c r="Y897" t="s">
        <v>16679</v>
      </c>
      <c r="Z897" t="s">
        <v>16680</v>
      </c>
      <c r="AA897" t="s">
        <v>74</v>
      </c>
      <c r="AB897" t="s">
        <v>74</v>
      </c>
      <c r="AC897" t="s">
        <v>74</v>
      </c>
      <c r="AD897" t="s">
        <v>74</v>
      </c>
      <c r="AE897" t="s">
        <v>74</v>
      </c>
      <c r="AF897" t="s">
        <v>74</v>
      </c>
      <c r="AG897">
        <v>13</v>
      </c>
      <c r="AH897">
        <v>0</v>
      </c>
      <c r="AI897">
        <v>0</v>
      </c>
      <c r="AJ897">
        <v>0</v>
      </c>
      <c r="AK897">
        <v>3</v>
      </c>
      <c r="AL897" t="s">
        <v>16681</v>
      </c>
      <c r="AM897" t="s">
        <v>16682</v>
      </c>
      <c r="AN897" t="s">
        <v>16683</v>
      </c>
      <c r="AO897" t="s">
        <v>74</v>
      </c>
      <c r="AP897" t="s">
        <v>74</v>
      </c>
      <c r="AQ897" t="s">
        <v>16684</v>
      </c>
      <c r="AR897" t="s">
        <v>74</v>
      </c>
      <c r="AS897" t="s">
        <v>74</v>
      </c>
      <c r="AT897" t="s">
        <v>74</v>
      </c>
      <c r="AU897">
        <v>2016</v>
      </c>
      <c r="AV897" t="s">
        <v>74</v>
      </c>
      <c r="AW897" t="s">
        <v>74</v>
      </c>
      <c r="AX897" t="s">
        <v>74</v>
      </c>
      <c r="AY897" t="s">
        <v>74</v>
      </c>
      <c r="AZ897" t="s">
        <v>74</v>
      </c>
      <c r="BA897" t="s">
        <v>74</v>
      </c>
      <c r="BB897">
        <v>624</v>
      </c>
      <c r="BC897">
        <v>627</v>
      </c>
      <c r="BD897" t="s">
        <v>74</v>
      </c>
      <c r="BE897" t="s">
        <v>74</v>
      </c>
      <c r="BF897" t="s">
        <v>74</v>
      </c>
      <c r="BG897" t="s">
        <v>74</v>
      </c>
      <c r="BH897" t="s">
        <v>74</v>
      </c>
      <c r="BI897">
        <v>4</v>
      </c>
      <c r="BJ897" t="s">
        <v>98</v>
      </c>
      <c r="BK897" t="s">
        <v>183</v>
      </c>
      <c r="BL897" t="s">
        <v>100</v>
      </c>
      <c r="BM897" t="s">
        <v>16685</v>
      </c>
      <c r="BN897" t="s">
        <v>74</v>
      </c>
      <c r="BO897" t="s">
        <v>74</v>
      </c>
      <c r="BP897" t="s">
        <v>74</v>
      </c>
      <c r="BQ897" t="s">
        <v>74</v>
      </c>
      <c r="BR897" t="s">
        <v>102</v>
      </c>
      <c r="BS897" t="s">
        <v>16686</v>
      </c>
      <c r="BT897" t="str">
        <f>HYPERLINK("https%3A%2F%2Fwww.webofscience.com%2Fwos%2Fwoscc%2Ffull-record%2FWOS:000390843100109","View Full Record in Web of Science")</f>
        <v>View Full Record in Web of Science</v>
      </c>
    </row>
    <row r="898" spans="1:72" x14ac:dyDescent="0.25">
      <c r="A898" t="s">
        <v>72</v>
      </c>
      <c r="B898" t="s">
        <v>16687</v>
      </c>
      <c r="C898" t="s">
        <v>74</v>
      </c>
      <c r="D898" t="s">
        <v>74</v>
      </c>
      <c r="E898" t="s">
        <v>74</v>
      </c>
      <c r="F898" t="s">
        <v>16688</v>
      </c>
      <c r="G898" t="s">
        <v>74</v>
      </c>
      <c r="H898" t="s">
        <v>74</v>
      </c>
      <c r="I898" t="s">
        <v>16689</v>
      </c>
      <c r="J898" t="s">
        <v>2809</v>
      </c>
      <c r="K898" t="s">
        <v>74</v>
      </c>
      <c r="L898" t="s">
        <v>74</v>
      </c>
      <c r="M898" t="s">
        <v>78</v>
      </c>
      <c r="N898" t="s">
        <v>79</v>
      </c>
      <c r="O898" t="s">
        <v>74</v>
      </c>
      <c r="P898" t="s">
        <v>74</v>
      </c>
      <c r="Q898" t="s">
        <v>74</v>
      </c>
      <c r="R898" t="s">
        <v>74</v>
      </c>
      <c r="S898" t="s">
        <v>74</v>
      </c>
      <c r="T898" t="s">
        <v>16690</v>
      </c>
      <c r="U898" t="s">
        <v>16691</v>
      </c>
      <c r="V898" t="s">
        <v>16692</v>
      </c>
      <c r="W898" t="s">
        <v>16693</v>
      </c>
      <c r="X898" t="s">
        <v>16694</v>
      </c>
      <c r="Y898" t="s">
        <v>16695</v>
      </c>
      <c r="Z898" t="s">
        <v>379</v>
      </c>
      <c r="AA898" t="s">
        <v>16696</v>
      </c>
      <c r="AB898" t="s">
        <v>16697</v>
      </c>
      <c r="AC898" t="s">
        <v>16698</v>
      </c>
      <c r="AD898" t="s">
        <v>16699</v>
      </c>
      <c r="AE898" t="s">
        <v>16700</v>
      </c>
      <c r="AF898" t="s">
        <v>74</v>
      </c>
      <c r="AG898">
        <v>48</v>
      </c>
      <c r="AH898">
        <v>3</v>
      </c>
      <c r="AI898">
        <v>4</v>
      </c>
      <c r="AJ898">
        <v>0</v>
      </c>
      <c r="AK898">
        <v>14</v>
      </c>
      <c r="AL898" t="s">
        <v>479</v>
      </c>
      <c r="AM898" t="s">
        <v>480</v>
      </c>
      <c r="AN898" t="s">
        <v>481</v>
      </c>
      <c r="AO898" t="s">
        <v>2816</v>
      </c>
      <c r="AP898" t="s">
        <v>2817</v>
      </c>
      <c r="AQ898" t="s">
        <v>74</v>
      </c>
      <c r="AR898" t="s">
        <v>2818</v>
      </c>
      <c r="AS898" t="s">
        <v>2819</v>
      </c>
      <c r="AT898" t="s">
        <v>1159</v>
      </c>
      <c r="AU898">
        <v>2023</v>
      </c>
      <c r="AV898">
        <v>57</v>
      </c>
      <c r="AW898">
        <v>4</v>
      </c>
      <c r="AX898" t="s">
        <v>74</v>
      </c>
      <c r="AY898" t="s">
        <v>74</v>
      </c>
      <c r="AZ898" t="s">
        <v>74</v>
      </c>
      <c r="BA898" t="s">
        <v>74</v>
      </c>
      <c r="BB898">
        <v>1605</v>
      </c>
      <c r="BC898">
        <v>1622</v>
      </c>
      <c r="BD898" t="s">
        <v>74</v>
      </c>
      <c r="BE898" t="s">
        <v>16701</v>
      </c>
      <c r="BF898" t="str">
        <f>HYPERLINK("http://dx.doi.org/10.1111/joca.12561","http://dx.doi.org/10.1111/joca.12561")</f>
        <v>http://dx.doi.org/10.1111/joca.12561</v>
      </c>
      <c r="BG898" t="s">
        <v>74</v>
      </c>
      <c r="BH898" t="s">
        <v>2417</v>
      </c>
      <c r="BI898">
        <v>18</v>
      </c>
      <c r="BJ898" t="s">
        <v>1453</v>
      </c>
      <c r="BK898" t="s">
        <v>99</v>
      </c>
      <c r="BL898" t="s">
        <v>100</v>
      </c>
      <c r="BM898" t="s">
        <v>16702</v>
      </c>
      <c r="BN898">
        <v>38214004</v>
      </c>
      <c r="BO898" t="s">
        <v>1696</v>
      </c>
      <c r="BP898" t="s">
        <v>74</v>
      </c>
      <c r="BQ898" t="s">
        <v>74</v>
      </c>
      <c r="BR898" t="s">
        <v>102</v>
      </c>
      <c r="BS898" t="s">
        <v>16703</v>
      </c>
      <c r="BT898" t="str">
        <f>HYPERLINK("https%3A%2F%2Fwww.webofscience.com%2Fwos%2Fwoscc%2Ffull-record%2FWOS:001086755000001","View Full Record in Web of Science")</f>
        <v>View Full Record in Web of Science</v>
      </c>
    </row>
    <row r="899" spans="1:72" x14ac:dyDescent="0.25">
      <c r="A899" t="s">
        <v>72</v>
      </c>
      <c r="B899" t="s">
        <v>7580</v>
      </c>
      <c r="C899" t="s">
        <v>74</v>
      </c>
      <c r="D899" t="s">
        <v>74</v>
      </c>
      <c r="E899" t="s">
        <v>74</v>
      </c>
      <c r="F899" t="s">
        <v>7581</v>
      </c>
      <c r="G899" t="s">
        <v>74</v>
      </c>
      <c r="H899" t="s">
        <v>74</v>
      </c>
      <c r="I899" t="s">
        <v>16704</v>
      </c>
      <c r="J899" t="s">
        <v>246</v>
      </c>
      <c r="K899" t="s">
        <v>74</v>
      </c>
      <c r="L899" t="s">
        <v>74</v>
      </c>
      <c r="M899" t="s">
        <v>78</v>
      </c>
      <c r="N899" t="s">
        <v>79</v>
      </c>
      <c r="O899" t="s">
        <v>74</v>
      </c>
      <c r="P899" t="s">
        <v>74</v>
      </c>
      <c r="Q899" t="s">
        <v>74</v>
      </c>
      <c r="R899" t="s">
        <v>74</v>
      </c>
      <c r="S899" t="s">
        <v>74</v>
      </c>
      <c r="T899" t="s">
        <v>16705</v>
      </c>
      <c r="U899" t="s">
        <v>74</v>
      </c>
      <c r="V899" t="s">
        <v>16706</v>
      </c>
      <c r="W899" t="s">
        <v>16707</v>
      </c>
      <c r="X899" t="s">
        <v>16708</v>
      </c>
      <c r="Y899" t="s">
        <v>16709</v>
      </c>
      <c r="Z899" t="s">
        <v>7589</v>
      </c>
      <c r="AA899" t="s">
        <v>74</v>
      </c>
      <c r="AB899" t="s">
        <v>74</v>
      </c>
      <c r="AC899" t="s">
        <v>74</v>
      </c>
      <c r="AD899" t="s">
        <v>74</v>
      </c>
      <c r="AE899" t="s">
        <v>74</v>
      </c>
      <c r="AF899" t="s">
        <v>74</v>
      </c>
      <c r="AG899">
        <v>30</v>
      </c>
      <c r="AH899">
        <v>96</v>
      </c>
      <c r="AI899">
        <v>109</v>
      </c>
      <c r="AJ899">
        <v>1</v>
      </c>
      <c r="AK899">
        <v>35</v>
      </c>
      <c r="AL899" t="s">
        <v>259</v>
      </c>
      <c r="AM899" t="s">
        <v>260</v>
      </c>
      <c r="AN899" t="s">
        <v>261</v>
      </c>
      <c r="AO899" t="s">
        <v>262</v>
      </c>
      <c r="AP899" t="s">
        <v>263</v>
      </c>
      <c r="AQ899" t="s">
        <v>74</v>
      </c>
      <c r="AR899" t="s">
        <v>264</v>
      </c>
      <c r="AS899" t="s">
        <v>265</v>
      </c>
      <c r="AT899" t="s">
        <v>848</v>
      </c>
      <c r="AU899">
        <v>2020</v>
      </c>
      <c r="AV899">
        <v>35</v>
      </c>
      <c r="AW899" t="s">
        <v>74</v>
      </c>
      <c r="AX899" t="s">
        <v>74</v>
      </c>
      <c r="AY899" t="s">
        <v>74</v>
      </c>
      <c r="AZ899" t="s">
        <v>74</v>
      </c>
      <c r="BA899" t="s">
        <v>74</v>
      </c>
      <c r="BB899" t="s">
        <v>74</v>
      </c>
      <c r="BC899" t="s">
        <v>74</v>
      </c>
      <c r="BD899">
        <v>101310</v>
      </c>
      <c r="BE899" t="s">
        <v>16710</v>
      </c>
      <c r="BF899" t="str">
        <f>HYPERLINK("http://dx.doi.org/10.1016/j.frl.2019.101310","http://dx.doi.org/10.1016/j.frl.2019.101310")</f>
        <v>http://dx.doi.org/10.1016/j.frl.2019.101310</v>
      </c>
      <c r="BG899" t="s">
        <v>74</v>
      </c>
      <c r="BH899" t="s">
        <v>74</v>
      </c>
      <c r="BI899">
        <v>8</v>
      </c>
      <c r="BJ899" t="s">
        <v>268</v>
      </c>
      <c r="BK899" t="s">
        <v>99</v>
      </c>
      <c r="BL899" t="s">
        <v>100</v>
      </c>
      <c r="BM899" t="s">
        <v>16711</v>
      </c>
      <c r="BN899" t="s">
        <v>74</v>
      </c>
      <c r="BO899" t="s">
        <v>74</v>
      </c>
      <c r="BP899" t="s">
        <v>74</v>
      </c>
      <c r="BQ899" t="s">
        <v>74</v>
      </c>
      <c r="BR899" t="s">
        <v>102</v>
      </c>
      <c r="BS899" t="s">
        <v>16712</v>
      </c>
      <c r="BT899" t="str">
        <f>HYPERLINK("https%3A%2F%2Fwww.webofscience.com%2Fwos%2Fwoscc%2Ffull-record%2FWOS:000542678200048","View Full Record in Web of Science")</f>
        <v>View Full Record in Web of Science</v>
      </c>
    </row>
    <row r="900" spans="1:72" x14ac:dyDescent="0.25">
      <c r="A900" t="s">
        <v>132</v>
      </c>
      <c r="B900" t="s">
        <v>16713</v>
      </c>
      <c r="C900" t="s">
        <v>74</v>
      </c>
      <c r="D900" t="s">
        <v>16714</v>
      </c>
      <c r="E900" t="s">
        <v>74</v>
      </c>
      <c r="F900" t="s">
        <v>16715</v>
      </c>
      <c r="G900" t="s">
        <v>74</v>
      </c>
      <c r="H900" t="s">
        <v>74</v>
      </c>
      <c r="I900" t="s">
        <v>16716</v>
      </c>
      <c r="J900" t="s">
        <v>16717</v>
      </c>
      <c r="K900" t="s">
        <v>16718</v>
      </c>
      <c r="L900" t="s">
        <v>74</v>
      </c>
      <c r="M900" t="s">
        <v>78</v>
      </c>
      <c r="N900" t="s">
        <v>138</v>
      </c>
      <c r="O900" t="s">
        <v>16719</v>
      </c>
      <c r="P900" t="s">
        <v>16720</v>
      </c>
      <c r="Q900" t="s">
        <v>16721</v>
      </c>
      <c r="R900" t="s">
        <v>16722</v>
      </c>
      <c r="S900" t="s">
        <v>74</v>
      </c>
      <c r="T900" t="s">
        <v>16723</v>
      </c>
      <c r="U900" t="s">
        <v>74</v>
      </c>
      <c r="V900" t="s">
        <v>16724</v>
      </c>
      <c r="W900" t="s">
        <v>16725</v>
      </c>
      <c r="X900" t="s">
        <v>5841</v>
      </c>
      <c r="Y900" t="s">
        <v>16726</v>
      </c>
      <c r="Z900" t="s">
        <v>16727</v>
      </c>
      <c r="AA900" t="s">
        <v>16728</v>
      </c>
      <c r="AB900" t="s">
        <v>16729</v>
      </c>
      <c r="AC900" t="s">
        <v>16730</v>
      </c>
      <c r="AD900" t="s">
        <v>16731</v>
      </c>
      <c r="AE900" t="s">
        <v>16732</v>
      </c>
      <c r="AF900" t="s">
        <v>74</v>
      </c>
      <c r="AG900">
        <v>21</v>
      </c>
      <c r="AH900">
        <v>1</v>
      </c>
      <c r="AI900">
        <v>1</v>
      </c>
      <c r="AJ900">
        <v>1</v>
      </c>
      <c r="AK900">
        <v>7</v>
      </c>
      <c r="AL900" t="s">
        <v>1062</v>
      </c>
      <c r="AM900" t="s">
        <v>667</v>
      </c>
      <c r="AN900" t="s">
        <v>668</v>
      </c>
      <c r="AO900" t="s">
        <v>2437</v>
      </c>
      <c r="AP900" t="s">
        <v>2438</v>
      </c>
      <c r="AQ900" t="s">
        <v>16733</v>
      </c>
      <c r="AR900" t="s">
        <v>16734</v>
      </c>
      <c r="AS900" t="s">
        <v>74</v>
      </c>
      <c r="AT900" t="s">
        <v>74</v>
      </c>
      <c r="AU900">
        <v>2018</v>
      </c>
      <c r="AV900">
        <v>11056</v>
      </c>
      <c r="AW900" t="s">
        <v>74</v>
      </c>
      <c r="AX900" t="s">
        <v>74</v>
      </c>
      <c r="AY900" t="s">
        <v>74</v>
      </c>
      <c r="AZ900" t="s">
        <v>74</v>
      </c>
      <c r="BA900" t="s">
        <v>74</v>
      </c>
      <c r="BB900">
        <v>409</v>
      </c>
      <c r="BC900">
        <v>418</v>
      </c>
      <c r="BD900" t="s">
        <v>74</v>
      </c>
      <c r="BE900" t="s">
        <v>16735</v>
      </c>
      <c r="BF900" t="str">
        <f>HYPERLINK("http://dx.doi.org/10.1007/978-3-319-98446-9_38","http://dx.doi.org/10.1007/978-3-319-98446-9_38")</f>
        <v>http://dx.doi.org/10.1007/978-3-319-98446-9_38</v>
      </c>
      <c r="BG900" t="s">
        <v>74</v>
      </c>
      <c r="BH900" t="s">
        <v>74</v>
      </c>
      <c r="BI900">
        <v>10</v>
      </c>
      <c r="BJ900" t="s">
        <v>16736</v>
      </c>
      <c r="BK900" t="s">
        <v>156</v>
      </c>
      <c r="BL900" t="s">
        <v>157</v>
      </c>
      <c r="BM900" t="s">
        <v>16737</v>
      </c>
      <c r="BN900" t="s">
        <v>74</v>
      </c>
      <c r="BO900" t="s">
        <v>74</v>
      </c>
      <c r="BP900" t="s">
        <v>74</v>
      </c>
      <c r="BQ900" t="s">
        <v>74</v>
      </c>
      <c r="BR900" t="s">
        <v>102</v>
      </c>
      <c r="BS900" t="s">
        <v>16738</v>
      </c>
      <c r="BT900" t="str">
        <f>HYPERLINK("https%3A%2F%2Fwww.webofscience.com%2Fwos%2Fwoscc%2Ffull-record%2FWOS:000458812900038","View Full Record in Web of Science")</f>
        <v>View Full Record in Web of Science</v>
      </c>
    </row>
    <row r="901" spans="1:72" x14ac:dyDescent="0.25">
      <c r="A901" t="s">
        <v>72</v>
      </c>
      <c r="B901" t="s">
        <v>16739</v>
      </c>
      <c r="C901" t="s">
        <v>74</v>
      </c>
      <c r="D901" t="s">
        <v>74</v>
      </c>
      <c r="E901" t="s">
        <v>74</v>
      </c>
      <c r="F901" t="s">
        <v>16740</v>
      </c>
      <c r="G901" t="s">
        <v>74</v>
      </c>
      <c r="H901" t="s">
        <v>74</v>
      </c>
      <c r="I901" t="s">
        <v>16741</v>
      </c>
      <c r="J901" t="s">
        <v>4657</v>
      </c>
      <c r="K901" t="s">
        <v>74</v>
      </c>
      <c r="L901" t="s">
        <v>74</v>
      </c>
      <c r="M901" t="s">
        <v>78</v>
      </c>
      <c r="N901" t="s">
        <v>79</v>
      </c>
      <c r="O901" t="s">
        <v>74</v>
      </c>
      <c r="P901" t="s">
        <v>74</v>
      </c>
      <c r="Q901" t="s">
        <v>74</v>
      </c>
      <c r="R901" t="s">
        <v>74</v>
      </c>
      <c r="S901" t="s">
        <v>74</v>
      </c>
      <c r="T901" t="s">
        <v>16742</v>
      </c>
      <c r="U901" t="s">
        <v>16743</v>
      </c>
      <c r="V901" t="s">
        <v>16744</v>
      </c>
      <c r="W901" t="s">
        <v>16745</v>
      </c>
      <c r="X901" t="s">
        <v>16746</v>
      </c>
      <c r="Y901" t="s">
        <v>16747</v>
      </c>
      <c r="Z901" t="s">
        <v>16748</v>
      </c>
      <c r="AA901" t="s">
        <v>16749</v>
      </c>
      <c r="AB901" t="s">
        <v>74</v>
      </c>
      <c r="AC901" t="s">
        <v>74</v>
      </c>
      <c r="AD901" t="s">
        <v>74</v>
      </c>
      <c r="AE901" t="s">
        <v>74</v>
      </c>
      <c r="AF901" t="s">
        <v>74</v>
      </c>
      <c r="AG901">
        <v>49</v>
      </c>
      <c r="AH901">
        <v>0</v>
      </c>
      <c r="AI901">
        <v>0</v>
      </c>
      <c r="AJ901">
        <v>0</v>
      </c>
      <c r="AK901">
        <v>0</v>
      </c>
      <c r="AL901" t="s">
        <v>4666</v>
      </c>
      <c r="AM901" t="s">
        <v>995</v>
      </c>
      <c r="AN901" t="s">
        <v>4025</v>
      </c>
      <c r="AO901" t="s">
        <v>74</v>
      </c>
      <c r="AP901" t="s">
        <v>4667</v>
      </c>
      <c r="AQ901" t="s">
        <v>74</v>
      </c>
      <c r="AR901" t="s">
        <v>4668</v>
      </c>
      <c r="AS901" t="s">
        <v>4669</v>
      </c>
      <c r="AT901" t="s">
        <v>16750</v>
      </c>
      <c r="AU901">
        <v>2025</v>
      </c>
      <c r="AV901">
        <v>6</v>
      </c>
      <c r="AW901">
        <v>1</v>
      </c>
      <c r="AX901" t="s">
        <v>74</v>
      </c>
      <c r="AY901" t="s">
        <v>74</v>
      </c>
      <c r="AZ901" t="s">
        <v>74</v>
      </c>
      <c r="BA901" t="s">
        <v>74</v>
      </c>
      <c r="BB901" t="s">
        <v>74</v>
      </c>
      <c r="BC901" t="s">
        <v>74</v>
      </c>
      <c r="BD901">
        <v>1122</v>
      </c>
      <c r="BE901" t="s">
        <v>16751</v>
      </c>
      <c r="BF901" t="str">
        <f>HYPERLINK("http://dx.doi.org/10.1007/s43621-025-01922-2","http://dx.doi.org/10.1007/s43621-025-01922-2")</f>
        <v>http://dx.doi.org/10.1007/s43621-025-01922-2</v>
      </c>
      <c r="BG901" t="s">
        <v>74</v>
      </c>
      <c r="BH901" t="s">
        <v>74</v>
      </c>
      <c r="BI901">
        <v>23</v>
      </c>
      <c r="BJ901" t="s">
        <v>3247</v>
      </c>
      <c r="BK901" t="s">
        <v>313</v>
      </c>
      <c r="BL901" t="s">
        <v>3248</v>
      </c>
      <c r="BM901" t="s">
        <v>16752</v>
      </c>
      <c r="BN901" t="s">
        <v>74</v>
      </c>
      <c r="BO901" t="s">
        <v>212</v>
      </c>
      <c r="BP901" t="s">
        <v>74</v>
      </c>
      <c r="BQ901" t="s">
        <v>74</v>
      </c>
      <c r="BR901" t="s">
        <v>102</v>
      </c>
      <c r="BS901" t="s">
        <v>16753</v>
      </c>
      <c r="BT901" t="str">
        <f>HYPERLINK("https%3A%2F%2Fwww.webofscience.com%2Fwos%2Fwoscc%2Ffull-record%2FWOS:001598193700001","View Full Record in Web of Science")</f>
        <v>View Full Record in Web of Science</v>
      </c>
    </row>
    <row r="902" spans="1:72" x14ac:dyDescent="0.25">
      <c r="A902" t="s">
        <v>72</v>
      </c>
      <c r="B902" t="s">
        <v>12895</v>
      </c>
      <c r="C902" t="s">
        <v>74</v>
      </c>
      <c r="D902" t="s">
        <v>74</v>
      </c>
      <c r="E902" t="s">
        <v>74</v>
      </c>
      <c r="F902" t="s">
        <v>12896</v>
      </c>
      <c r="G902" t="s">
        <v>74</v>
      </c>
      <c r="H902" t="s">
        <v>74</v>
      </c>
      <c r="I902" t="s">
        <v>16754</v>
      </c>
      <c r="J902" t="s">
        <v>1987</v>
      </c>
      <c r="K902" t="s">
        <v>74</v>
      </c>
      <c r="L902" t="s">
        <v>74</v>
      </c>
      <c r="M902" t="s">
        <v>78</v>
      </c>
      <c r="N902" t="s">
        <v>79</v>
      </c>
      <c r="O902" t="s">
        <v>74</v>
      </c>
      <c r="P902" t="s">
        <v>74</v>
      </c>
      <c r="Q902" t="s">
        <v>74</v>
      </c>
      <c r="R902" t="s">
        <v>74</v>
      </c>
      <c r="S902" t="s">
        <v>74</v>
      </c>
      <c r="T902" t="s">
        <v>16755</v>
      </c>
      <c r="U902" t="s">
        <v>16756</v>
      </c>
      <c r="V902" t="s">
        <v>16757</v>
      </c>
      <c r="W902" t="s">
        <v>12901</v>
      </c>
      <c r="X902" t="s">
        <v>12902</v>
      </c>
      <c r="Y902" t="s">
        <v>12903</v>
      </c>
      <c r="Z902" t="s">
        <v>16758</v>
      </c>
      <c r="AA902" t="s">
        <v>12905</v>
      </c>
      <c r="AB902" t="s">
        <v>12906</v>
      </c>
      <c r="AC902" t="s">
        <v>16759</v>
      </c>
      <c r="AD902" t="s">
        <v>16760</v>
      </c>
      <c r="AE902" t="s">
        <v>16761</v>
      </c>
      <c r="AF902" t="s">
        <v>74</v>
      </c>
      <c r="AG902">
        <v>76</v>
      </c>
      <c r="AH902">
        <v>19</v>
      </c>
      <c r="AI902">
        <v>29</v>
      </c>
      <c r="AJ902">
        <v>1</v>
      </c>
      <c r="AK902">
        <v>22</v>
      </c>
      <c r="AL902" t="s">
        <v>479</v>
      </c>
      <c r="AM902" t="s">
        <v>480</v>
      </c>
      <c r="AN902" t="s">
        <v>481</v>
      </c>
      <c r="AO902" t="s">
        <v>1997</v>
      </c>
      <c r="AP902" t="s">
        <v>1998</v>
      </c>
      <c r="AQ902" t="s">
        <v>74</v>
      </c>
      <c r="AR902" t="s">
        <v>1999</v>
      </c>
      <c r="AS902" t="s">
        <v>2000</v>
      </c>
      <c r="AT902" t="s">
        <v>891</v>
      </c>
      <c r="AU902">
        <v>2022</v>
      </c>
      <c r="AV902">
        <v>34</v>
      </c>
      <c r="AW902">
        <v>8</v>
      </c>
      <c r="AX902" t="s">
        <v>74</v>
      </c>
      <c r="AY902" t="s">
        <v>74</v>
      </c>
      <c r="AZ902" t="s">
        <v>74</v>
      </c>
      <c r="BA902" t="s">
        <v>74</v>
      </c>
      <c r="BB902">
        <v>1606</v>
      </c>
      <c r="BC902">
        <v>1632</v>
      </c>
      <c r="BD902" t="s">
        <v>74</v>
      </c>
      <c r="BE902" t="s">
        <v>16762</v>
      </c>
      <c r="BF902" t="str">
        <f>HYPERLINK("http://dx.doi.org/10.1002/jid.3661","http://dx.doi.org/10.1002/jid.3661")</f>
        <v>http://dx.doi.org/10.1002/jid.3661</v>
      </c>
      <c r="BG902" t="s">
        <v>74</v>
      </c>
      <c r="BH902" t="s">
        <v>12980</v>
      </c>
      <c r="BI902">
        <v>27</v>
      </c>
      <c r="BJ902" t="s">
        <v>1137</v>
      </c>
      <c r="BK902" t="s">
        <v>99</v>
      </c>
      <c r="BL902" t="s">
        <v>1137</v>
      </c>
      <c r="BM902" t="s">
        <v>16763</v>
      </c>
      <c r="BN902" t="s">
        <v>74</v>
      </c>
      <c r="BO902" t="s">
        <v>270</v>
      </c>
      <c r="BP902" t="s">
        <v>74</v>
      </c>
      <c r="BQ902" t="s">
        <v>74</v>
      </c>
      <c r="BR902" t="s">
        <v>102</v>
      </c>
      <c r="BS902" t="s">
        <v>16764</v>
      </c>
      <c r="BT902" t="str">
        <f>HYPERLINK("https%3A%2F%2Fwww.webofscience.com%2Fwos%2Fwoscc%2Ffull-record%2FWOS:000787780700001","View Full Record in Web of Science")</f>
        <v>View Full Record in Web of Science</v>
      </c>
    </row>
    <row r="903" spans="1:72" x14ac:dyDescent="0.25">
      <c r="A903" t="s">
        <v>72</v>
      </c>
      <c r="B903" t="s">
        <v>16765</v>
      </c>
      <c r="C903" t="s">
        <v>74</v>
      </c>
      <c r="D903" t="s">
        <v>74</v>
      </c>
      <c r="E903" t="s">
        <v>74</v>
      </c>
      <c r="F903" t="s">
        <v>16766</v>
      </c>
      <c r="G903" t="s">
        <v>74</v>
      </c>
      <c r="H903" t="s">
        <v>74</v>
      </c>
      <c r="I903" t="s">
        <v>16767</v>
      </c>
      <c r="J903" t="s">
        <v>16768</v>
      </c>
      <c r="K903" t="s">
        <v>74</v>
      </c>
      <c r="L903" t="s">
        <v>74</v>
      </c>
      <c r="M903" t="s">
        <v>78</v>
      </c>
      <c r="N903" t="s">
        <v>79</v>
      </c>
      <c r="O903" t="s">
        <v>74</v>
      </c>
      <c r="P903" t="s">
        <v>74</v>
      </c>
      <c r="Q903" t="s">
        <v>74</v>
      </c>
      <c r="R903" t="s">
        <v>74</v>
      </c>
      <c r="S903" t="s">
        <v>74</v>
      </c>
      <c r="T903" t="s">
        <v>16769</v>
      </c>
      <c r="U903" t="s">
        <v>16770</v>
      </c>
      <c r="V903" t="s">
        <v>16771</v>
      </c>
      <c r="W903" t="s">
        <v>16772</v>
      </c>
      <c r="X903" t="s">
        <v>16773</v>
      </c>
      <c r="Y903" t="s">
        <v>16774</v>
      </c>
      <c r="Z903" t="s">
        <v>16775</v>
      </c>
      <c r="AA903" t="s">
        <v>16776</v>
      </c>
      <c r="AB903" t="s">
        <v>74</v>
      </c>
      <c r="AC903" t="s">
        <v>16777</v>
      </c>
      <c r="AD903" t="s">
        <v>16777</v>
      </c>
      <c r="AE903" t="s">
        <v>16778</v>
      </c>
      <c r="AF903" t="s">
        <v>74</v>
      </c>
      <c r="AG903">
        <v>78</v>
      </c>
      <c r="AH903">
        <v>0</v>
      </c>
      <c r="AI903">
        <v>0</v>
      </c>
      <c r="AJ903">
        <v>12</v>
      </c>
      <c r="AK903">
        <v>12</v>
      </c>
      <c r="AL903" t="s">
        <v>757</v>
      </c>
      <c r="AM903" t="s">
        <v>758</v>
      </c>
      <c r="AN903" t="s">
        <v>759</v>
      </c>
      <c r="AO903" t="s">
        <v>16779</v>
      </c>
      <c r="AP903" t="s">
        <v>16780</v>
      </c>
      <c r="AQ903" t="s">
        <v>74</v>
      </c>
      <c r="AR903" t="s">
        <v>16781</v>
      </c>
      <c r="AS903" t="s">
        <v>16782</v>
      </c>
      <c r="AT903" t="s">
        <v>237</v>
      </c>
      <c r="AU903">
        <v>2026</v>
      </c>
      <c r="AV903">
        <v>63</v>
      </c>
      <c r="AW903">
        <v>1</v>
      </c>
      <c r="AX903" t="s">
        <v>74</v>
      </c>
      <c r="AY903" t="s">
        <v>74</v>
      </c>
      <c r="AZ903" t="s">
        <v>74</v>
      </c>
      <c r="BA903" t="s">
        <v>74</v>
      </c>
      <c r="BB903">
        <v>105</v>
      </c>
      <c r="BC903">
        <v>126</v>
      </c>
      <c r="BD903" t="s">
        <v>74</v>
      </c>
      <c r="BE903" t="s">
        <v>16783</v>
      </c>
      <c r="BF903" t="str">
        <f>HYPERLINK("http://dx.doi.org/10.1177/00222437251360996","http://dx.doi.org/10.1177/00222437251360996")</f>
        <v>http://dx.doi.org/10.1177/00222437251360996</v>
      </c>
      <c r="BG903" t="s">
        <v>74</v>
      </c>
      <c r="BH903" t="s">
        <v>3389</v>
      </c>
      <c r="BI903">
        <v>22</v>
      </c>
      <c r="BJ903" t="s">
        <v>418</v>
      </c>
      <c r="BK903" t="s">
        <v>99</v>
      </c>
      <c r="BL903" t="s">
        <v>100</v>
      </c>
      <c r="BM903" t="s">
        <v>16784</v>
      </c>
      <c r="BN903" t="s">
        <v>74</v>
      </c>
      <c r="BO903" t="s">
        <v>74</v>
      </c>
      <c r="BP903" t="s">
        <v>74</v>
      </c>
      <c r="BQ903" t="s">
        <v>74</v>
      </c>
      <c r="BR903" t="s">
        <v>102</v>
      </c>
      <c r="BS903" t="s">
        <v>16785</v>
      </c>
      <c r="BT903" t="str">
        <f>HYPERLINK("https%3A%2F%2Fwww.webofscience.com%2Fwos%2Fwoscc%2Ffull-record%2FWOS:001593689200001","View Full Record in Web of Science")</f>
        <v>View Full Record in Web of Science</v>
      </c>
    </row>
    <row r="904" spans="1:72" x14ac:dyDescent="0.25">
      <c r="A904" t="s">
        <v>72</v>
      </c>
      <c r="B904" t="s">
        <v>16786</v>
      </c>
      <c r="C904" t="s">
        <v>74</v>
      </c>
      <c r="D904" t="s">
        <v>74</v>
      </c>
      <c r="E904" t="s">
        <v>74</v>
      </c>
      <c r="F904" t="s">
        <v>16787</v>
      </c>
      <c r="G904" t="s">
        <v>74</v>
      </c>
      <c r="H904" t="s">
        <v>74</v>
      </c>
      <c r="I904" t="s">
        <v>16788</v>
      </c>
      <c r="J904" t="s">
        <v>16789</v>
      </c>
      <c r="K904" t="s">
        <v>74</v>
      </c>
      <c r="L904" t="s">
        <v>74</v>
      </c>
      <c r="M904" t="s">
        <v>78</v>
      </c>
      <c r="N904" t="s">
        <v>79</v>
      </c>
      <c r="O904" t="s">
        <v>74</v>
      </c>
      <c r="P904" t="s">
        <v>74</v>
      </c>
      <c r="Q904" t="s">
        <v>74</v>
      </c>
      <c r="R904" t="s">
        <v>74</v>
      </c>
      <c r="S904" t="s">
        <v>74</v>
      </c>
      <c r="T904" t="s">
        <v>16790</v>
      </c>
      <c r="U904" t="s">
        <v>16791</v>
      </c>
      <c r="V904" t="s">
        <v>16792</v>
      </c>
      <c r="W904" t="s">
        <v>16793</v>
      </c>
      <c r="X904" t="s">
        <v>16794</v>
      </c>
      <c r="Y904" t="s">
        <v>16795</v>
      </c>
      <c r="Z904" t="s">
        <v>16796</v>
      </c>
      <c r="AA904" t="s">
        <v>74</v>
      </c>
      <c r="AB904" t="s">
        <v>74</v>
      </c>
      <c r="AC904" t="s">
        <v>16797</v>
      </c>
      <c r="AD904" t="s">
        <v>16798</v>
      </c>
      <c r="AE904" t="s">
        <v>16799</v>
      </c>
      <c r="AF904" t="s">
        <v>74</v>
      </c>
      <c r="AG904">
        <v>97</v>
      </c>
      <c r="AH904">
        <v>18</v>
      </c>
      <c r="AI904">
        <v>19</v>
      </c>
      <c r="AJ904">
        <v>19</v>
      </c>
      <c r="AK904">
        <v>87</v>
      </c>
      <c r="AL904" t="s">
        <v>385</v>
      </c>
      <c r="AM904" t="s">
        <v>1153</v>
      </c>
      <c r="AN904" t="s">
        <v>1154</v>
      </c>
      <c r="AO904" t="s">
        <v>16800</v>
      </c>
      <c r="AP904" t="s">
        <v>16801</v>
      </c>
      <c r="AQ904" t="s">
        <v>74</v>
      </c>
      <c r="AR904" t="s">
        <v>16802</v>
      </c>
      <c r="AS904" t="s">
        <v>16803</v>
      </c>
      <c r="AT904" t="s">
        <v>698</v>
      </c>
      <c r="AU904">
        <v>2024</v>
      </c>
      <c r="AV904">
        <v>17</v>
      </c>
      <c r="AW904">
        <v>3</v>
      </c>
      <c r="AX904" t="s">
        <v>74</v>
      </c>
      <c r="AY904" t="s">
        <v>74</v>
      </c>
      <c r="AZ904" t="s">
        <v>74</v>
      </c>
      <c r="BA904" t="s">
        <v>74</v>
      </c>
      <c r="BB904">
        <v>1129</v>
      </c>
      <c r="BC904">
        <v>1160</v>
      </c>
      <c r="BD904" t="s">
        <v>74</v>
      </c>
      <c r="BE904" t="s">
        <v>16804</v>
      </c>
      <c r="BF904" t="str">
        <f>HYPERLINK("http://dx.doi.org/10.1007/s12061-024-09580-z","http://dx.doi.org/10.1007/s12061-024-09580-z")</f>
        <v>http://dx.doi.org/10.1007/s12061-024-09580-z</v>
      </c>
      <c r="BG904" t="s">
        <v>74</v>
      </c>
      <c r="BH904" t="s">
        <v>5285</v>
      </c>
      <c r="BI904">
        <v>32</v>
      </c>
      <c r="BJ904" t="s">
        <v>16805</v>
      </c>
      <c r="BK904" t="s">
        <v>99</v>
      </c>
      <c r="BL904" t="s">
        <v>16806</v>
      </c>
      <c r="BM904" t="s">
        <v>16807</v>
      </c>
      <c r="BN904" t="s">
        <v>74</v>
      </c>
      <c r="BO904" t="s">
        <v>74</v>
      </c>
      <c r="BP904" t="s">
        <v>74</v>
      </c>
      <c r="BQ904" t="s">
        <v>74</v>
      </c>
      <c r="BR904" t="s">
        <v>102</v>
      </c>
      <c r="BS904" t="s">
        <v>16808</v>
      </c>
      <c r="BT904" t="str">
        <f>HYPERLINK("https%3A%2F%2Fwww.webofscience.com%2Fwos%2Fwoscc%2Ffull-record%2FWOS:001227392700001","View Full Record in Web of Science")</f>
        <v>View Full Record in Web of Science</v>
      </c>
    </row>
    <row r="905" spans="1:72" x14ac:dyDescent="0.25">
      <c r="A905" t="s">
        <v>132</v>
      </c>
      <c r="B905" t="s">
        <v>16809</v>
      </c>
      <c r="C905" t="s">
        <v>74</v>
      </c>
      <c r="D905" t="s">
        <v>16810</v>
      </c>
      <c r="E905" t="s">
        <v>74</v>
      </c>
      <c r="F905" t="s">
        <v>16811</v>
      </c>
      <c r="G905" t="s">
        <v>74</v>
      </c>
      <c r="H905" t="s">
        <v>74</v>
      </c>
      <c r="I905" t="s">
        <v>16812</v>
      </c>
      <c r="J905" t="s">
        <v>16813</v>
      </c>
      <c r="K905" t="s">
        <v>16814</v>
      </c>
      <c r="L905" t="s">
        <v>74</v>
      </c>
      <c r="M905" t="s">
        <v>78</v>
      </c>
      <c r="N905" t="s">
        <v>138</v>
      </c>
      <c r="O905" t="s">
        <v>16815</v>
      </c>
      <c r="P905" t="s">
        <v>16816</v>
      </c>
      <c r="Q905" t="s">
        <v>16817</v>
      </c>
      <c r="R905" t="s">
        <v>74</v>
      </c>
      <c r="S905" t="s">
        <v>74</v>
      </c>
      <c r="T905" t="s">
        <v>16818</v>
      </c>
      <c r="U905" t="s">
        <v>74</v>
      </c>
      <c r="V905" t="s">
        <v>16819</v>
      </c>
      <c r="W905" t="s">
        <v>16820</v>
      </c>
      <c r="X905" t="s">
        <v>11597</v>
      </c>
      <c r="Y905" t="s">
        <v>16821</v>
      </c>
      <c r="Z905" t="s">
        <v>74</v>
      </c>
      <c r="AA905" t="s">
        <v>11600</v>
      </c>
      <c r="AB905" t="s">
        <v>74</v>
      </c>
      <c r="AC905" t="s">
        <v>16822</v>
      </c>
      <c r="AD905" t="s">
        <v>16823</v>
      </c>
      <c r="AE905" t="s">
        <v>16824</v>
      </c>
      <c r="AF905" t="s">
        <v>74</v>
      </c>
      <c r="AG905">
        <v>10</v>
      </c>
      <c r="AH905">
        <v>0</v>
      </c>
      <c r="AI905">
        <v>0</v>
      </c>
      <c r="AJ905">
        <v>0</v>
      </c>
      <c r="AK905">
        <v>8</v>
      </c>
      <c r="AL905" t="s">
        <v>7166</v>
      </c>
      <c r="AM905" t="s">
        <v>7167</v>
      </c>
      <c r="AN905" t="s">
        <v>7168</v>
      </c>
      <c r="AO905" t="s">
        <v>16825</v>
      </c>
      <c r="AP905" t="s">
        <v>74</v>
      </c>
      <c r="AQ905" t="s">
        <v>16826</v>
      </c>
      <c r="AR905" t="s">
        <v>16827</v>
      </c>
      <c r="AS905" t="s">
        <v>74</v>
      </c>
      <c r="AT905" t="s">
        <v>74</v>
      </c>
      <c r="AU905">
        <v>2017</v>
      </c>
      <c r="AV905">
        <v>119</v>
      </c>
      <c r="AW905" t="s">
        <v>74</v>
      </c>
      <c r="AX905" t="s">
        <v>74</v>
      </c>
      <c r="AY905" t="s">
        <v>74</v>
      </c>
      <c r="AZ905" t="s">
        <v>74</v>
      </c>
      <c r="BA905" t="s">
        <v>74</v>
      </c>
      <c r="BB905">
        <v>438</v>
      </c>
      <c r="BC905">
        <v>444</v>
      </c>
      <c r="BD905" t="s">
        <v>74</v>
      </c>
      <c r="BE905" t="s">
        <v>74</v>
      </c>
      <c r="BF905" t="s">
        <v>74</v>
      </c>
      <c r="BG905" t="s">
        <v>74</v>
      </c>
      <c r="BH905" t="s">
        <v>74</v>
      </c>
      <c r="BI905">
        <v>7</v>
      </c>
      <c r="BJ905" t="s">
        <v>364</v>
      </c>
      <c r="BK905" t="s">
        <v>183</v>
      </c>
      <c r="BL905" t="s">
        <v>365</v>
      </c>
      <c r="BM905" t="s">
        <v>16828</v>
      </c>
      <c r="BN905" t="s">
        <v>74</v>
      </c>
      <c r="BO905" t="s">
        <v>74</v>
      </c>
      <c r="BP905" t="s">
        <v>74</v>
      </c>
      <c r="BQ905" t="s">
        <v>74</v>
      </c>
      <c r="BR905" t="s">
        <v>102</v>
      </c>
      <c r="BS905" t="s">
        <v>16829</v>
      </c>
      <c r="BT905" t="str">
        <f>HYPERLINK("https%3A%2F%2Fwww.webofscience.com%2Fwos%2Fwoscc%2Ffull-record%2FWOS:000418340700091","View Full Record in Web of Science")</f>
        <v>View Full Record in Web of Science</v>
      </c>
    </row>
    <row r="906" spans="1:72" x14ac:dyDescent="0.25">
      <c r="A906" t="s">
        <v>72</v>
      </c>
      <c r="B906" t="s">
        <v>16830</v>
      </c>
      <c r="C906" t="s">
        <v>74</v>
      </c>
      <c r="D906" t="s">
        <v>74</v>
      </c>
      <c r="E906" t="s">
        <v>74</v>
      </c>
      <c r="F906" t="s">
        <v>16831</v>
      </c>
      <c r="G906" t="s">
        <v>74</v>
      </c>
      <c r="H906" t="s">
        <v>74</v>
      </c>
      <c r="I906" t="s">
        <v>16832</v>
      </c>
      <c r="J906" t="s">
        <v>16833</v>
      </c>
      <c r="K906" t="s">
        <v>74</v>
      </c>
      <c r="L906" t="s">
        <v>74</v>
      </c>
      <c r="M906" t="s">
        <v>78</v>
      </c>
      <c r="N906" t="s">
        <v>79</v>
      </c>
      <c r="O906" t="s">
        <v>74</v>
      </c>
      <c r="P906" t="s">
        <v>74</v>
      </c>
      <c r="Q906" t="s">
        <v>74</v>
      </c>
      <c r="R906" t="s">
        <v>74</v>
      </c>
      <c r="S906" t="s">
        <v>74</v>
      </c>
      <c r="T906" t="s">
        <v>16834</v>
      </c>
      <c r="U906" t="s">
        <v>16835</v>
      </c>
      <c r="V906" t="s">
        <v>16836</v>
      </c>
      <c r="W906" t="s">
        <v>16837</v>
      </c>
      <c r="X906" t="s">
        <v>16838</v>
      </c>
      <c r="Y906" t="s">
        <v>16839</v>
      </c>
      <c r="Z906" t="s">
        <v>16840</v>
      </c>
      <c r="AA906" t="s">
        <v>16841</v>
      </c>
      <c r="AB906" t="s">
        <v>16842</v>
      </c>
      <c r="AC906" t="s">
        <v>74</v>
      </c>
      <c r="AD906" t="s">
        <v>74</v>
      </c>
      <c r="AE906" t="s">
        <v>74</v>
      </c>
      <c r="AF906" t="s">
        <v>74</v>
      </c>
      <c r="AG906">
        <v>72</v>
      </c>
      <c r="AH906">
        <v>5</v>
      </c>
      <c r="AI906">
        <v>5</v>
      </c>
      <c r="AJ906">
        <v>3</v>
      </c>
      <c r="AK906">
        <v>38</v>
      </c>
      <c r="AL906" t="s">
        <v>16843</v>
      </c>
      <c r="AM906" t="s">
        <v>16844</v>
      </c>
      <c r="AN906" t="s">
        <v>16845</v>
      </c>
      <c r="AO906" t="s">
        <v>16846</v>
      </c>
      <c r="AP906" t="s">
        <v>16847</v>
      </c>
      <c r="AQ906" t="s">
        <v>74</v>
      </c>
      <c r="AR906" t="s">
        <v>16848</v>
      </c>
      <c r="AS906" t="s">
        <v>16849</v>
      </c>
      <c r="AT906" t="s">
        <v>74</v>
      </c>
      <c r="AU906">
        <v>2023</v>
      </c>
      <c r="AV906">
        <v>24</v>
      </c>
      <c r="AW906">
        <v>5</v>
      </c>
      <c r="AX906" t="s">
        <v>74</v>
      </c>
      <c r="AY906" t="s">
        <v>74</v>
      </c>
      <c r="AZ906" t="s">
        <v>441</v>
      </c>
      <c r="BA906" t="s">
        <v>74</v>
      </c>
      <c r="BB906">
        <v>1292</v>
      </c>
      <c r="BC906">
        <v>1312</v>
      </c>
      <c r="BD906" t="s">
        <v>74</v>
      </c>
      <c r="BE906" t="s">
        <v>16850</v>
      </c>
      <c r="BF906" t="str">
        <f>HYPERLINK("http://dx.doi.org/10.17705/1jais.00815","http://dx.doi.org/10.17705/1jais.00815")</f>
        <v>http://dx.doi.org/10.17705/1jais.00815</v>
      </c>
      <c r="BG906" t="s">
        <v>74</v>
      </c>
      <c r="BH906" t="s">
        <v>74</v>
      </c>
      <c r="BI906">
        <v>22</v>
      </c>
      <c r="BJ906" t="s">
        <v>16851</v>
      </c>
      <c r="BK906" t="s">
        <v>2623</v>
      </c>
      <c r="BL906" t="s">
        <v>16852</v>
      </c>
      <c r="BM906" t="s">
        <v>16853</v>
      </c>
      <c r="BN906" t="s">
        <v>74</v>
      </c>
      <c r="BO906" t="s">
        <v>74</v>
      </c>
      <c r="BP906" t="s">
        <v>74</v>
      </c>
      <c r="BQ906" t="s">
        <v>74</v>
      </c>
      <c r="BR906" t="s">
        <v>102</v>
      </c>
      <c r="BS906" t="s">
        <v>16854</v>
      </c>
      <c r="BT906" t="str">
        <f>HYPERLINK("https%3A%2F%2Fwww.webofscience.com%2Fwos%2Fwoscc%2Ffull-record%2FWOS:001072341600006","View Full Record in Web of Science")</f>
        <v>View Full Record in Web of Science</v>
      </c>
    </row>
    <row r="907" spans="1:72" x14ac:dyDescent="0.25">
      <c r="A907" t="s">
        <v>72</v>
      </c>
      <c r="B907" t="s">
        <v>16855</v>
      </c>
      <c r="C907" t="s">
        <v>74</v>
      </c>
      <c r="D907" t="s">
        <v>74</v>
      </c>
      <c r="E907" t="s">
        <v>74</v>
      </c>
      <c r="F907" t="s">
        <v>16856</v>
      </c>
      <c r="G907" t="s">
        <v>74</v>
      </c>
      <c r="H907" t="s">
        <v>74</v>
      </c>
      <c r="I907" t="s">
        <v>16857</v>
      </c>
      <c r="J907" t="s">
        <v>16858</v>
      </c>
      <c r="K907" t="s">
        <v>74</v>
      </c>
      <c r="L907" t="s">
        <v>74</v>
      </c>
      <c r="M907" t="s">
        <v>78</v>
      </c>
      <c r="N907" t="s">
        <v>79</v>
      </c>
      <c r="O907" t="s">
        <v>74</v>
      </c>
      <c r="P907" t="s">
        <v>74</v>
      </c>
      <c r="Q907" t="s">
        <v>74</v>
      </c>
      <c r="R907" t="s">
        <v>74</v>
      </c>
      <c r="S907" t="s">
        <v>74</v>
      </c>
      <c r="T907" t="s">
        <v>16859</v>
      </c>
      <c r="U907" t="s">
        <v>74</v>
      </c>
      <c r="V907" t="s">
        <v>16860</v>
      </c>
      <c r="W907" t="s">
        <v>16861</v>
      </c>
      <c r="X907" t="s">
        <v>74</v>
      </c>
      <c r="Y907" t="s">
        <v>16862</v>
      </c>
      <c r="Z907" t="s">
        <v>74</v>
      </c>
      <c r="AA907" t="s">
        <v>74</v>
      </c>
      <c r="AB907" t="s">
        <v>16863</v>
      </c>
      <c r="AC907" t="s">
        <v>74</v>
      </c>
      <c r="AD907" t="s">
        <v>74</v>
      </c>
      <c r="AE907" t="s">
        <v>74</v>
      </c>
      <c r="AF907" t="s">
        <v>74</v>
      </c>
      <c r="AG907">
        <v>27</v>
      </c>
      <c r="AH907">
        <v>12</v>
      </c>
      <c r="AI907">
        <v>17</v>
      </c>
      <c r="AJ907">
        <v>9</v>
      </c>
      <c r="AK907">
        <v>59</v>
      </c>
      <c r="AL907" t="s">
        <v>16864</v>
      </c>
      <c r="AM907" t="s">
        <v>16865</v>
      </c>
      <c r="AN907" t="s">
        <v>16866</v>
      </c>
      <c r="AO907" t="s">
        <v>16867</v>
      </c>
      <c r="AP907" t="s">
        <v>16868</v>
      </c>
      <c r="AQ907" t="s">
        <v>74</v>
      </c>
      <c r="AR907" t="s">
        <v>16869</v>
      </c>
      <c r="AS907" t="s">
        <v>16870</v>
      </c>
      <c r="AT907" t="s">
        <v>74</v>
      </c>
      <c r="AU907">
        <v>2023</v>
      </c>
      <c r="AV907">
        <v>10</v>
      </c>
      <c r="AW907">
        <v>1</v>
      </c>
      <c r="AX907" t="s">
        <v>74</v>
      </c>
      <c r="AY907" t="s">
        <v>74</v>
      </c>
      <c r="AZ907" t="s">
        <v>74</v>
      </c>
      <c r="BA907" t="s">
        <v>74</v>
      </c>
      <c r="BB907">
        <v>9</v>
      </c>
      <c r="BC907">
        <v>19</v>
      </c>
      <c r="BD907" t="s">
        <v>74</v>
      </c>
      <c r="BE907" t="s">
        <v>16871</v>
      </c>
      <c r="BF907" t="str">
        <f>HYPERLINK("http://dx.doi.org/10.15549/jeecar.v10i1.1056","http://dx.doi.org/10.15549/jeecar.v10i1.1056")</f>
        <v>http://dx.doi.org/10.15549/jeecar.v10i1.1056</v>
      </c>
      <c r="BG907" t="s">
        <v>74</v>
      </c>
      <c r="BH907" t="s">
        <v>74</v>
      </c>
      <c r="BI907">
        <v>11</v>
      </c>
      <c r="BJ907" t="s">
        <v>1453</v>
      </c>
      <c r="BK907" t="s">
        <v>313</v>
      </c>
      <c r="BL907" t="s">
        <v>100</v>
      </c>
      <c r="BM907" t="s">
        <v>16872</v>
      </c>
      <c r="BN907" t="s">
        <v>74</v>
      </c>
      <c r="BO907" t="s">
        <v>212</v>
      </c>
      <c r="BP907" t="s">
        <v>74</v>
      </c>
      <c r="BQ907" t="s">
        <v>74</v>
      </c>
      <c r="BR907" t="s">
        <v>102</v>
      </c>
      <c r="BS907" t="s">
        <v>16873</v>
      </c>
      <c r="BT907" t="str">
        <f>HYPERLINK("https%3A%2F%2Fwww.webofscience.com%2Fwos%2Fwoscc%2Ffull-record%2FWOS:000920223500001","View Full Record in Web of Science")</f>
        <v>View Full Record in Web of Science</v>
      </c>
    </row>
    <row r="908" spans="1:72" x14ac:dyDescent="0.25">
      <c r="A908" t="s">
        <v>72</v>
      </c>
      <c r="B908" t="s">
        <v>16874</v>
      </c>
      <c r="C908" t="s">
        <v>74</v>
      </c>
      <c r="D908" t="s">
        <v>74</v>
      </c>
      <c r="E908" t="s">
        <v>74</v>
      </c>
      <c r="F908" t="s">
        <v>16875</v>
      </c>
      <c r="G908" t="s">
        <v>74</v>
      </c>
      <c r="H908" t="s">
        <v>74</v>
      </c>
      <c r="I908" t="s">
        <v>16876</v>
      </c>
      <c r="J908" t="s">
        <v>16877</v>
      </c>
      <c r="K908" t="s">
        <v>74</v>
      </c>
      <c r="L908" t="s">
        <v>74</v>
      </c>
      <c r="M908" t="s">
        <v>78</v>
      </c>
      <c r="N908" t="s">
        <v>79</v>
      </c>
      <c r="O908" t="s">
        <v>74</v>
      </c>
      <c r="P908" t="s">
        <v>74</v>
      </c>
      <c r="Q908" t="s">
        <v>74</v>
      </c>
      <c r="R908" t="s">
        <v>74</v>
      </c>
      <c r="S908" t="s">
        <v>74</v>
      </c>
      <c r="T908" t="s">
        <v>16878</v>
      </c>
      <c r="U908" t="s">
        <v>16879</v>
      </c>
      <c r="V908" t="s">
        <v>16880</v>
      </c>
      <c r="W908" t="s">
        <v>16881</v>
      </c>
      <c r="X908" t="s">
        <v>16882</v>
      </c>
      <c r="Y908" t="s">
        <v>16883</v>
      </c>
      <c r="Z908" t="s">
        <v>16884</v>
      </c>
      <c r="AA908" t="s">
        <v>16885</v>
      </c>
      <c r="AB908" t="s">
        <v>16886</v>
      </c>
      <c r="AC908" t="s">
        <v>74</v>
      </c>
      <c r="AD908" t="s">
        <v>74</v>
      </c>
      <c r="AE908" t="s">
        <v>74</v>
      </c>
      <c r="AF908" t="s">
        <v>74</v>
      </c>
      <c r="AG908">
        <v>61</v>
      </c>
      <c r="AH908">
        <v>0</v>
      </c>
      <c r="AI908">
        <v>0</v>
      </c>
      <c r="AJ908">
        <v>6</v>
      </c>
      <c r="AK908">
        <v>104</v>
      </c>
      <c r="AL908" t="s">
        <v>89</v>
      </c>
      <c r="AM908" t="s">
        <v>90</v>
      </c>
      <c r="AN908" t="s">
        <v>91</v>
      </c>
      <c r="AO908" t="s">
        <v>16887</v>
      </c>
      <c r="AP908" t="s">
        <v>16888</v>
      </c>
      <c r="AQ908" t="s">
        <v>74</v>
      </c>
      <c r="AR908" t="s">
        <v>16889</v>
      </c>
      <c r="AS908" t="s">
        <v>16890</v>
      </c>
      <c r="AT908" t="s">
        <v>16891</v>
      </c>
      <c r="AU908">
        <v>2025</v>
      </c>
      <c r="AV908">
        <v>77</v>
      </c>
      <c r="AW908">
        <v>4</v>
      </c>
      <c r="AX908" t="s">
        <v>74</v>
      </c>
      <c r="AY908" t="s">
        <v>74</v>
      </c>
      <c r="AZ908" t="s">
        <v>74</v>
      </c>
      <c r="BA908" t="s">
        <v>74</v>
      </c>
      <c r="BB908">
        <v>780</v>
      </c>
      <c r="BC908">
        <v>796</v>
      </c>
      <c r="BD908" t="s">
        <v>74</v>
      </c>
      <c r="BE908" t="s">
        <v>16892</v>
      </c>
      <c r="BF908" t="str">
        <f>HYPERLINK("http://dx.doi.org/10.1108/AJIM-08-2023-0321","http://dx.doi.org/10.1108/AJIM-08-2023-0321")</f>
        <v>http://dx.doi.org/10.1108/AJIM-08-2023-0321</v>
      </c>
      <c r="BG908" t="s">
        <v>74</v>
      </c>
      <c r="BH908" t="s">
        <v>1981</v>
      </c>
      <c r="BI908">
        <v>17</v>
      </c>
      <c r="BJ908" t="s">
        <v>16851</v>
      </c>
      <c r="BK908" t="s">
        <v>2623</v>
      </c>
      <c r="BL908" t="s">
        <v>16852</v>
      </c>
      <c r="BM908" t="s">
        <v>16893</v>
      </c>
      <c r="BN908" t="s">
        <v>74</v>
      </c>
      <c r="BO908" t="s">
        <v>74</v>
      </c>
      <c r="BP908" t="s">
        <v>74</v>
      </c>
      <c r="BQ908" t="s">
        <v>74</v>
      </c>
      <c r="BR908" t="s">
        <v>102</v>
      </c>
      <c r="BS908" t="s">
        <v>16894</v>
      </c>
      <c r="BT908" t="str">
        <f>HYPERLINK("https%3A%2F%2Fwww.webofscience.com%2Fwos%2Fwoscc%2Ffull-record%2FWOS:001179092300001","View Full Record in Web of Science")</f>
        <v>View Full Record in Web of Science</v>
      </c>
    </row>
    <row r="909" spans="1:72" x14ac:dyDescent="0.25">
      <c r="A909" t="s">
        <v>132</v>
      </c>
      <c r="B909" t="s">
        <v>16895</v>
      </c>
      <c r="C909" t="s">
        <v>74</v>
      </c>
      <c r="D909" t="s">
        <v>16896</v>
      </c>
      <c r="E909" t="s">
        <v>74</v>
      </c>
      <c r="F909" t="s">
        <v>16897</v>
      </c>
      <c r="G909" t="s">
        <v>74</v>
      </c>
      <c r="H909" t="s">
        <v>74</v>
      </c>
      <c r="I909" t="s">
        <v>16898</v>
      </c>
      <c r="J909" t="s">
        <v>16899</v>
      </c>
      <c r="K909" t="s">
        <v>16900</v>
      </c>
      <c r="L909" t="s">
        <v>74</v>
      </c>
      <c r="M909" t="s">
        <v>3311</v>
      </c>
      <c r="N909" t="s">
        <v>138</v>
      </c>
      <c r="O909" t="s">
        <v>16901</v>
      </c>
      <c r="P909" t="s">
        <v>16902</v>
      </c>
      <c r="Q909" t="s">
        <v>16903</v>
      </c>
      <c r="R909" t="s">
        <v>16904</v>
      </c>
      <c r="S909" t="s">
        <v>74</v>
      </c>
      <c r="T909" t="s">
        <v>16905</v>
      </c>
      <c r="U909" t="s">
        <v>74</v>
      </c>
      <c r="V909" t="s">
        <v>16906</v>
      </c>
      <c r="W909" t="s">
        <v>16907</v>
      </c>
      <c r="X909" t="s">
        <v>74</v>
      </c>
      <c r="Y909" t="s">
        <v>16908</v>
      </c>
      <c r="Z909" t="s">
        <v>16909</v>
      </c>
      <c r="AA909" t="s">
        <v>74</v>
      </c>
      <c r="AB909" t="s">
        <v>74</v>
      </c>
      <c r="AC909" t="s">
        <v>74</v>
      </c>
      <c r="AD909" t="s">
        <v>74</v>
      </c>
      <c r="AE909" t="s">
        <v>74</v>
      </c>
      <c r="AF909" t="s">
        <v>74</v>
      </c>
      <c r="AG909">
        <v>33</v>
      </c>
      <c r="AH909">
        <v>0</v>
      </c>
      <c r="AI909">
        <v>0</v>
      </c>
      <c r="AJ909">
        <v>1</v>
      </c>
      <c r="AK909">
        <v>12</v>
      </c>
      <c r="AL909" t="s">
        <v>11756</v>
      </c>
      <c r="AM909" t="s">
        <v>11757</v>
      </c>
      <c r="AN909" t="s">
        <v>16910</v>
      </c>
      <c r="AO909" t="s">
        <v>16911</v>
      </c>
      <c r="AP909" t="s">
        <v>74</v>
      </c>
      <c r="AQ909" t="s">
        <v>74</v>
      </c>
      <c r="AR909" t="s">
        <v>16912</v>
      </c>
      <c r="AS909" t="s">
        <v>74</v>
      </c>
      <c r="AT909" t="s">
        <v>74</v>
      </c>
      <c r="AU909">
        <v>2021</v>
      </c>
      <c r="AV909" t="s">
        <v>74</v>
      </c>
      <c r="AW909" t="s">
        <v>74</v>
      </c>
      <c r="AX909" t="s">
        <v>74</v>
      </c>
      <c r="AY909" t="s">
        <v>74</v>
      </c>
      <c r="AZ909" t="s">
        <v>74</v>
      </c>
      <c r="BA909" t="s">
        <v>74</v>
      </c>
      <c r="BB909">
        <v>846</v>
      </c>
      <c r="BC909">
        <v>858</v>
      </c>
      <c r="BD909" t="s">
        <v>74</v>
      </c>
      <c r="BE909" t="s">
        <v>74</v>
      </c>
      <c r="BF909" t="s">
        <v>74</v>
      </c>
      <c r="BG909" t="s">
        <v>74</v>
      </c>
      <c r="BH909" t="s">
        <v>74</v>
      </c>
      <c r="BI909">
        <v>13</v>
      </c>
      <c r="BJ909" t="s">
        <v>98</v>
      </c>
      <c r="BK909" t="s">
        <v>183</v>
      </c>
      <c r="BL909" t="s">
        <v>100</v>
      </c>
      <c r="BM909" t="s">
        <v>16913</v>
      </c>
      <c r="BN909" t="s">
        <v>74</v>
      </c>
      <c r="BO909" t="s">
        <v>74</v>
      </c>
      <c r="BP909" t="s">
        <v>74</v>
      </c>
      <c r="BQ909" t="s">
        <v>74</v>
      </c>
      <c r="BR909" t="s">
        <v>102</v>
      </c>
      <c r="BS909" t="s">
        <v>16914</v>
      </c>
      <c r="BT909" t="str">
        <f>HYPERLINK("https%3A%2F%2Fwww.webofscience.com%2Fwos%2Fwoscc%2Ffull-record%2FWOS:000681139700045","View Full Record in Web of Science")</f>
        <v>View Full Record in Web of Science</v>
      </c>
    </row>
    <row r="910" spans="1:72" x14ac:dyDescent="0.25">
      <c r="A910" t="s">
        <v>72</v>
      </c>
      <c r="B910" t="s">
        <v>16915</v>
      </c>
      <c r="C910" t="s">
        <v>74</v>
      </c>
      <c r="D910" t="s">
        <v>74</v>
      </c>
      <c r="E910" t="s">
        <v>74</v>
      </c>
      <c r="F910" t="s">
        <v>16916</v>
      </c>
      <c r="G910" t="s">
        <v>74</v>
      </c>
      <c r="H910" t="s">
        <v>74</v>
      </c>
      <c r="I910" t="s">
        <v>16917</v>
      </c>
      <c r="J910" t="s">
        <v>15167</v>
      </c>
      <c r="K910" t="s">
        <v>74</v>
      </c>
      <c r="L910" t="s">
        <v>74</v>
      </c>
      <c r="M910" t="s">
        <v>78</v>
      </c>
      <c r="N910" t="s">
        <v>79</v>
      </c>
      <c r="O910" t="s">
        <v>74</v>
      </c>
      <c r="P910" t="s">
        <v>74</v>
      </c>
      <c r="Q910" t="s">
        <v>74</v>
      </c>
      <c r="R910" t="s">
        <v>74</v>
      </c>
      <c r="S910" t="s">
        <v>74</v>
      </c>
      <c r="T910" t="s">
        <v>74</v>
      </c>
      <c r="U910" t="s">
        <v>16918</v>
      </c>
      <c r="V910" t="s">
        <v>16919</v>
      </c>
      <c r="W910" t="s">
        <v>16920</v>
      </c>
      <c r="X910" t="s">
        <v>13264</v>
      </c>
      <c r="Y910" t="s">
        <v>16921</v>
      </c>
      <c r="Z910" t="s">
        <v>74</v>
      </c>
      <c r="AA910" t="s">
        <v>74</v>
      </c>
      <c r="AB910" t="s">
        <v>74</v>
      </c>
      <c r="AC910" t="s">
        <v>74</v>
      </c>
      <c r="AD910" t="s">
        <v>74</v>
      </c>
      <c r="AE910" t="s">
        <v>74</v>
      </c>
      <c r="AF910" t="s">
        <v>74</v>
      </c>
      <c r="AG910">
        <v>135</v>
      </c>
      <c r="AH910">
        <v>1</v>
      </c>
      <c r="AI910">
        <v>5</v>
      </c>
      <c r="AJ910">
        <v>3</v>
      </c>
      <c r="AK910">
        <v>12</v>
      </c>
      <c r="AL910" t="s">
        <v>15172</v>
      </c>
      <c r="AM910" t="s">
        <v>15173</v>
      </c>
      <c r="AN910" t="s">
        <v>15174</v>
      </c>
      <c r="AO910" t="s">
        <v>15175</v>
      </c>
      <c r="AP910" t="s">
        <v>15176</v>
      </c>
      <c r="AQ910" t="s">
        <v>74</v>
      </c>
      <c r="AR910" t="s">
        <v>15177</v>
      </c>
      <c r="AS910" t="s">
        <v>15178</v>
      </c>
      <c r="AT910" t="s">
        <v>74</v>
      </c>
      <c r="AU910">
        <v>2023</v>
      </c>
      <c r="AV910">
        <v>56</v>
      </c>
      <c r="AW910" t="s">
        <v>74</v>
      </c>
      <c r="AX910" t="s">
        <v>74</v>
      </c>
      <c r="AY910" t="s">
        <v>74</v>
      </c>
      <c r="AZ910" t="s">
        <v>74</v>
      </c>
      <c r="BA910" t="s">
        <v>74</v>
      </c>
      <c r="BB910">
        <v>220</v>
      </c>
      <c r="BC910">
        <v>240</v>
      </c>
      <c r="BD910" t="s">
        <v>74</v>
      </c>
      <c r="BE910" t="s">
        <v>16922</v>
      </c>
      <c r="BF910" t="str">
        <f>HYPERLINK("http://dx.doi.org/10.17159/2225-7160/2023/v56a16","http://dx.doi.org/10.17159/2225-7160/2023/v56a16")</f>
        <v>http://dx.doi.org/10.17159/2225-7160/2023/v56a16</v>
      </c>
      <c r="BG910" t="s">
        <v>74</v>
      </c>
      <c r="BH910" t="s">
        <v>74</v>
      </c>
      <c r="BI910">
        <v>21</v>
      </c>
      <c r="BJ910" t="s">
        <v>182</v>
      </c>
      <c r="BK910" t="s">
        <v>313</v>
      </c>
      <c r="BL910" t="s">
        <v>184</v>
      </c>
      <c r="BM910" t="s">
        <v>15180</v>
      </c>
      <c r="BN910" t="s">
        <v>74</v>
      </c>
      <c r="BO910" t="s">
        <v>916</v>
      </c>
      <c r="BP910" t="s">
        <v>74</v>
      </c>
      <c r="BQ910" t="s">
        <v>74</v>
      </c>
      <c r="BR910" t="s">
        <v>102</v>
      </c>
      <c r="BS910" t="s">
        <v>16923</v>
      </c>
      <c r="BT910" t="str">
        <f>HYPERLINK("https%3A%2F%2Fwww.webofscience.com%2Fwos%2Fwoscc%2Ffull-record%2FWOS:001075087900016","View Full Record in Web of Science")</f>
        <v>View Full Record in Web of Science</v>
      </c>
    </row>
    <row r="911" spans="1:72" x14ac:dyDescent="0.25">
      <c r="A911" t="s">
        <v>132</v>
      </c>
      <c r="B911" t="s">
        <v>16924</v>
      </c>
      <c r="C911" t="s">
        <v>74</v>
      </c>
      <c r="D911" t="s">
        <v>74</v>
      </c>
      <c r="E911" t="s">
        <v>150</v>
      </c>
      <c r="F911" t="s">
        <v>16925</v>
      </c>
      <c r="G911" t="s">
        <v>74</v>
      </c>
      <c r="H911" t="s">
        <v>74</v>
      </c>
      <c r="I911" t="s">
        <v>16926</v>
      </c>
      <c r="J911" t="s">
        <v>16927</v>
      </c>
      <c r="K911" t="s">
        <v>74</v>
      </c>
      <c r="L911" t="s">
        <v>74</v>
      </c>
      <c r="M911" t="s">
        <v>78</v>
      </c>
      <c r="N911" t="s">
        <v>138</v>
      </c>
      <c r="O911" t="s">
        <v>16928</v>
      </c>
      <c r="P911" t="s">
        <v>16929</v>
      </c>
      <c r="Q911" t="s">
        <v>16930</v>
      </c>
      <c r="R911" t="s">
        <v>74</v>
      </c>
      <c r="S911" t="s">
        <v>74</v>
      </c>
      <c r="T911" t="s">
        <v>16931</v>
      </c>
      <c r="U911" t="s">
        <v>74</v>
      </c>
      <c r="V911" t="s">
        <v>16932</v>
      </c>
      <c r="W911" t="s">
        <v>16933</v>
      </c>
      <c r="X911" t="s">
        <v>74</v>
      </c>
      <c r="Y911" t="s">
        <v>16934</v>
      </c>
      <c r="Z911" t="s">
        <v>16935</v>
      </c>
      <c r="AA911" t="s">
        <v>74</v>
      </c>
      <c r="AB911" t="s">
        <v>16936</v>
      </c>
      <c r="AC911" t="s">
        <v>16937</v>
      </c>
      <c r="AD911" t="s">
        <v>16938</v>
      </c>
      <c r="AE911" t="s">
        <v>16939</v>
      </c>
      <c r="AF911" t="s">
        <v>74</v>
      </c>
      <c r="AG911">
        <v>16</v>
      </c>
      <c r="AH911">
        <v>0</v>
      </c>
      <c r="AI911">
        <v>0</v>
      </c>
      <c r="AJ911">
        <v>2</v>
      </c>
      <c r="AK911">
        <v>6</v>
      </c>
      <c r="AL911" t="s">
        <v>150</v>
      </c>
      <c r="AM911" t="s">
        <v>151</v>
      </c>
      <c r="AN911" t="s">
        <v>1560</v>
      </c>
      <c r="AO911" t="s">
        <v>74</v>
      </c>
      <c r="AP911" t="s">
        <v>74</v>
      </c>
      <c r="AQ911" t="s">
        <v>16940</v>
      </c>
      <c r="AR911" t="s">
        <v>74</v>
      </c>
      <c r="AS911" t="s">
        <v>74</v>
      </c>
      <c r="AT911" t="s">
        <v>74</v>
      </c>
      <c r="AU911">
        <v>2024</v>
      </c>
      <c r="AV911" t="s">
        <v>74</v>
      </c>
      <c r="AW911" t="s">
        <v>74</v>
      </c>
      <c r="AX911" t="s">
        <v>74</v>
      </c>
      <c r="AY911" t="s">
        <v>74</v>
      </c>
      <c r="AZ911" t="s">
        <v>74</v>
      </c>
      <c r="BA911" t="s">
        <v>74</v>
      </c>
      <c r="BB911">
        <v>588</v>
      </c>
      <c r="BC911">
        <v>594</v>
      </c>
      <c r="BD911" t="s">
        <v>74</v>
      </c>
      <c r="BE911" t="s">
        <v>16941</v>
      </c>
      <c r="BF911" t="str">
        <f>HYPERLINK("http://dx.doi.org/10.1145/3672919.3673022","http://dx.doi.org/10.1145/3672919.3673022")</f>
        <v>http://dx.doi.org/10.1145/3672919.3673022</v>
      </c>
      <c r="BG911" t="s">
        <v>74</v>
      </c>
      <c r="BH911" t="s">
        <v>74</v>
      </c>
      <c r="BI911">
        <v>7</v>
      </c>
      <c r="BJ911" t="s">
        <v>2111</v>
      </c>
      <c r="BK911" t="s">
        <v>156</v>
      </c>
      <c r="BL911" t="s">
        <v>157</v>
      </c>
      <c r="BM911" t="s">
        <v>16942</v>
      </c>
      <c r="BN911" t="s">
        <v>74</v>
      </c>
      <c r="BO911" t="s">
        <v>74</v>
      </c>
      <c r="BP911" t="s">
        <v>74</v>
      </c>
      <c r="BQ911" t="s">
        <v>74</v>
      </c>
      <c r="BR911" t="s">
        <v>102</v>
      </c>
      <c r="BS911" t="s">
        <v>16943</v>
      </c>
      <c r="BT911" t="str">
        <f>HYPERLINK("https%3A%2F%2Fwww.webofscience.com%2Fwos%2Fwoscc%2Ffull-record%2FWOS:001304341100102","View Full Record in Web of Science")</f>
        <v>View Full Record in Web of Science</v>
      </c>
    </row>
    <row r="912" spans="1:72" x14ac:dyDescent="0.25">
      <c r="A912" t="s">
        <v>72</v>
      </c>
      <c r="B912" t="s">
        <v>16944</v>
      </c>
      <c r="C912" t="s">
        <v>74</v>
      </c>
      <c r="D912" t="s">
        <v>74</v>
      </c>
      <c r="E912" t="s">
        <v>74</v>
      </c>
      <c r="F912" t="s">
        <v>16945</v>
      </c>
      <c r="G912" t="s">
        <v>74</v>
      </c>
      <c r="H912" t="s">
        <v>74</v>
      </c>
      <c r="I912" t="s">
        <v>16946</v>
      </c>
      <c r="J912" t="s">
        <v>14622</v>
      </c>
      <c r="K912" t="s">
        <v>74</v>
      </c>
      <c r="L912" t="s">
        <v>74</v>
      </c>
      <c r="M912" t="s">
        <v>78</v>
      </c>
      <c r="N912" t="s">
        <v>372</v>
      </c>
      <c r="O912" t="s">
        <v>74</v>
      </c>
      <c r="P912" t="s">
        <v>74</v>
      </c>
      <c r="Q912" t="s">
        <v>74</v>
      </c>
      <c r="R912" t="s">
        <v>74</v>
      </c>
      <c r="S912" t="s">
        <v>74</v>
      </c>
      <c r="T912" t="s">
        <v>16947</v>
      </c>
      <c r="U912" t="s">
        <v>16948</v>
      </c>
      <c r="V912" t="s">
        <v>16949</v>
      </c>
      <c r="W912" t="s">
        <v>16950</v>
      </c>
      <c r="X912" t="s">
        <v>16951</v>
      </c>
      <c r="Y912" t="s">
        <v>16952</v>
      </c>
      <c r="Z912" t="s">
        <v>16953</v>
      </c>
      <c r="AA912" t="s">
        <v>16954</v>
      </c>
      <c r="AB912" t="s">
        <v>16955</v>
      </c>
      <c r="AC912" t="s">
        <v>16956</v>
      </c>
      <c r="AD912" t="s">
        <v>16956</v>
      </c>
      <c r="AE912" t="s">
        <v>16957</v>
      </c>
      <c r="AF912" t="s">
        <v>74</v>
      </c>
      <c r="AG912">
        <v>62</v>
      </c>
      <c r="AH912">
        <v>0</v>
      </c>
      <c r="AI912">
        <v>0</v>
      </c>
      <c r="AJ912">
        <v>0</v>
      </c>
      <c r="AK912">
        <v>0</v>
      </c>
      <c r="AL912" t="s">
        <v>385</v>
      </c>
      <c r="AM912" t="s">
        <v>151</v>
      </c>
      <c r="AN912" t="s">
        <v>386</v>
      </c>
      <c r="AO912" t="s">
        <v>14635</v>
      </c>
      <c r="AP912" t="s">
        <v>14636</v>
      </c>
      <c r="AQ912" t="s">
        <v>74</v>
      </c>
      <c r="AR912" t="s">
        <v>14637</v>
      </c>
      <c r="AS912" t="s">
        <v>14638</v>
      </c>
      <c r="AT912" t="s">
        <v>16958</v>
      </c>
      <c r="AU912">
        <v>2025</v>
      </c>
      <c r="AV912" t="s">
        <v>74</v>
      </c>
      <c r="AW912" t="s">
        <v>74</v>
      </c>
      <c r="AX912" t="s">
        <v>74</v>
      </c>
      <c r="AY912" t="s">
        <v>74</v>
      </c>
      <c r="AZ912" t="s">
        <v>74</v>
      </c>
      <c r="BA912" t="s">
        <v>74</v>
      </c>
      <c r="BB912" t="s">
        <v>74</v>
      </c>
      <c r="BC912" t="s">
        <v>74</v>
      </c>
      <c r="BD912" t="s">
        <v>74</v>
      </c>
      <c r="BE912" t="s">
        <v>16959</v>
      </c>
      <c r="BF912" t="str">
        <f>HYPERLINK("http://dx.doi.org/10.1007/s10690-025-09561-3","http://dx.doi.org/10.1007/s10690-025-09561-3")</f>
        <v>http://dx.doi.org/10.1007/s10690-025-09561-3</v>
      </c>
      <c r="BG912" t="s">
        <v>74</v>
      </c>
      <c r="BH912" t="s">
        <v>3411</v>
      </c>
      <c r="BI912">
        <v>29</v>
      </c>
      <c r="BJ912" t="s">
        <v>291</v>
      </c>
      <c r="BK912" t="s">
        <v>313</v>
      </c>
      <c r="BL912" t="s">
        <v>100</v>
      </c>
      <c r="BM912" t="s">
        <v>16960</v>
      </c>
      <c r="BN912" t="s">
        <v>74</v>
      </c>
      <c r="BO912" t="s">
        <v>74</v>
      </c>
      <c r="BP912" t="s">
        <v>74</v>
      </c>
      <c r="BQ912" t="s">
        <v>74</v>
      </c>
      <c r="BR912" t="s">
        <v>102</v>
      </c>
      <c r="BS912" t="s">
        <v>16961</v>
      </c>
      <c r="BT912" t="str">
        <f>HYPERLINK("https%3A%2F%2Fwww.webofscience.com%2Fwos%2Fwoscc%2Ffull-record%2FWOS:001585649900001","View Full Record in Web of Science")</f>
        <v>View Full Record in Web of Science</v>
      </c>
    </row>
    <row r="913" spans="1:72" x14ac:dyDescent="0.25">
      <c r="A913" t="s">
        <v>72</v>
      </c>
      <c r="B913" t="s">
        <v>16962</v>
      </c>
      <c r="C913" t="s">
        <v>74</v>
      </c>
      <c r="D913" t="s">
        <v>74</v>
      </c>
      <c r="E913" t="s">
        <v>74</v>
      </c>
      <c r="F913" t="s">
        <v>16963</v>
      </c>
      <c r="G913" t="s">
        <v>74</v>
      </c>
      <c r="H913" t="s">
        <v>74</v>
      </c>
      <c r="I913" t="s">
        <v>16964</v>
      </c>
      <c r="J913" t="s">
        <v>5958</v>
      </c>
      <c r="K913" t="s">
        <v>74</v>
      </c>
      <c r="L913" t="s">
        <v>74</v>
      </c>
      <c r="M913" t="s">
        <v>78</v>
      </c>
      <c r="N913" t="s">
        <v>79</v>
      </c>
      <c r="O913" t="s">
        <v>74</v>
      </c>
      <c r="P913" t="s">
        <v>74</v>
      </c>
      <c r="Q913" t="s">
        <v>74</v>
      </c>
      <c r="R913" t="s">
        <v>74</v>
      </c>
      <c r="S913" t="s">
        <v>74</v>
      </c>
      <c r="T913" t="s">
        <v>16965</v>
      </c>
      <c r="U913" t="s">
        <v>8565</v>
      </c>
      <c r="V913" t="s">
        <v>16966</v>
      </c>
      <c r="W913" t="s">
        <v>16967</v>
      </c>
      <c r="X913" t="s">
        <v>16968</v>
      </c>
      <c r="Y913" t="s">
        <v>16969</v>
      </c>
      <c r="Z913" t="s">
        <v>16970</v>
      </c>
      <c r="AA913" t="s">
        <v>74</v>
      </c>
      <c r="AB913" t="s">
        <v>74</v>
      </c>
      <c r="AC913" t="s">
        <v>74</v>
      </c>
      <c r="AD913" t="s">
        <v>74</v>
      </c>
      <c r="AE913" t="s">
        <v>74</v>
      </c>
      <c r="AF913" t="s">
        <v>74</v>
      </c>
      <c r="AG913">
        <v>68</v>
      </c>
      <c r="AH913">
        <v>13</v>
      </c>
      <c r="AI913">
        <v>13</v>
      </c>
      <c r="AJ913">
        <v>8</v>
      </c>
      <c r="AK913">
        <v>163</v>
      </c>
      <c r="AL913" t="s">
        <v>1216</v>
      </c>
      <c r="AM913" t="s">
        <v>283</v>
      </c>
      <c r="AN913" t="s">
        <v>1217</v>
      </c>
      <c r="AO913" t="s">
        <v>5971</v>
      </c>
      <c r="AP913" t="s">
        <v>74</v>
      </c>
      <c r="AQ913" t="s">
        <v>74</v>
      </c>
      <c r="AR913" t="s">
        <v>5972</v>
      </c>
      <c r="AS913" t="s">
        <v>5973</v>
      </c>
      <c r="AT913" t="s">
        <v>16971</v>
      </c>
      <c r="AU913">
        <v>2022</v>
      </c>
      <c r="AV913">
        <v>13</v>
      </c>
      <c r="AW913" t="s">
        <v>74</v>
      </c>
      <c r="AX913" t="s">
        <v>74</v>
      </c>
      <c r="AY913" t="s">
        <v>74</v>
      </c>
      <c r="AZ913" t="s">
        <v>74</v>
      </c>
      <c r="BA913" t="s">
        <v>74</v>
      </c>
      <c r="BB913" t="s">
        <v>74</v>
      </c>
      <c r="BC913" t="s">
        <v>74</v>
      </c>
      <c r="BD913">
        <v>988312</v>
      </c>
      <c r="BE913" t="s">
        <v>16972</v>
      </c>
      <c r="BF913" t="str">
        <f>HYPERLINK("http://dx.doi.org/10.3389/fpsyg.2022.988312","http://dx.doi.org/10.3389/fpsyg.2022.988312")</f>
        <v>http://dx.doi.org/10.3389/fpsyg.2022.988312</v>
      </c>
      <c r="BG913" t="s">
        <v>74</v>
      </c>
      <c r="BH913" t="s">
        <v>74</v>
      </c>
      <c r="BI913">
        <v>10</v>
      </c>
      <c r="BJ913" t="s">
        <v>2992</v>
      </c>
      <c r="BK913" t="s">
        <v>99</v>
      </c>
      <c r="BL913" t="s">
        <v>2993</v>
      </c>
      <c r="BM913" t="s">
        <v>16973</v>
      </c>
      <c r="BN913">
        <v>36072025</v>
      </c>
      <c r="BO913" t="s">
        <v>916</v>
      </c>
      <c r="BP913" t="s">
        <v>74</v>
      </c>
      <c r="BQ913" t="s">
        <v>74</v>
      </c>
      <c r="BR913" t="s">
        <v>102</v>
      </c>
      <c r="BS913" t="s">
        <v>16974</v>
      </c>
      <c r="BT913" t="str">
        <f>HYPERLINK("https%3A%2F%2Fwww.webofscience.com%2Fwos%2Fwoscc%2Ffull-record%2FWOS:000856144600001","View Full Record in Web of Science")</f>
        <v>View Full Record in Web of Science</v>
      </c>
    </row>
    <row r="914" spans="1:72" x14ac:dyDescent="0.25">
      <c r="A914" t="s">
        <v>72</v>
      </c>
      <c r="B914" t="s">
        <v>16975</v>
      </c>
      <c r="C914" t="s">
        <v>74</v>
      </c>
      <c r="D914" t="s">
        <v>74</v>
      </c>
      <c r="E914" t="s">
        <v>74</v>
      </c>
      <c r="F914" t="s">
        <v>16976</v>
      </c>
      <c r="G914" t="s">
        <v>74</v>
      </c>
      <c r="H914" t="s">
        <v>74</v>
      </c>
      <c r="I914" t="s">
        <v>16977</v>
      </c>
      <c r="J914" t="s">
        <v>5098</v>
      </c>
      <c r="K914" t="s">
        <v>74</v>
      </c>
      <c r="L914" t="s">
        <v>74</v>
      </c>
      <c r="M914" t="s">
        <v>78</v>
      </c>
      <c r="N914" t="s">
        <v>79</v>
      </c>
      <c r="O914" t="s">
        <v>74</v>
      </c>
      <c r="P914" t="s">
        <v>74</v>
      </c>
      <c r="Q914" t="s">
        <v>74</v>
      </c>
      <c r="R914" t="s">
        <v>74</v>
      </c>
      <c r="S914" t="s">
        <v>74</v>
      </c>
      <c r="T914" t="s">
        <v>16978</v>
      </c>
      <c r="U914" t="s">
        <v>74</v>
      </c>
      <c r="V914" t="s">
        <v>16979</v>
      </c>
      <c r="W914" t="s">
        <v>16980</v>
      </c>
      <c r="X914" t="s">
        <v>16981</v>
      </c>
      <c r="Y914" t="s">
        <v>16982</v>
      </c>
      <c r="Z914" t="s">
        <v>16983</v>
      </c>
      <c r="AA914" t="s">
        <v>74</v>
      </c>
      <c r="AB914" t="s">
        <v>74</v>
      </c>
      <c r="AC914" t="s">
        <v>74</v>
      </c>
      <c r="AD914" t="s">
        <v>74</v>
      </c>
      <c r="AE914" t="s">
        <v>74</v>
      </c>
      <c r="AF914" t="s">
        <v>74</v>
      </c>
      <c r="AG914">
        <v>64</v>
      </c>
      <c r="AH914">
        <v>0</v>
      </c>
      <c r="AI914">
        <v>0</v>
      </c>
      <c r="AJ914">
        <v>0</v>
      </c>
      <c r="AK914">
        <v>0</v>
      </c>
      <c r="AL914" t="s">
        <v>479</v>
      </c>
      <c r="AM914" t="s">
        <v>480</v>
      </c>
      <c r="AN914" t="s">
        <v>481</v>
      </c>
      <c r="AO914" t="s">
        <v>5108</v>
      </c>
      <c r="AP914" t="s">
        <v>74</v>
      </c>
      <c r="AQ914" t="s">
        <v>74</v>
      </c>
      <c r="AR914" t="s">
        <v>5109</v>
      </c>
      <c r="AS914" t="s">
        <v>5110</v>
      </c>
      <c r="AT914" t="s">
        <v>891</v>
      </c>
      <c r="AU914">
        <v>2025</v>
      </c>
      <c r="AV914">
        <v>91</v>
      </c>
      <c r="AW914">
        <v>6</v>
      </c>
      <c r="AX914" t="s">
        <v>74</v>
      </c>
      <c r="AY914" t="s">
        <v>74</v>
      </c>
      <c r="AZ914" t="s">
        <v>74</v>
      </c>
      <c r="BA914" t="s">
        <v>74</v>
      </c>
      <c r="BB914" t="s">
        <v>74</v>
      </c>
      <c r="BC914" t="s">
        <v>74</v>
      </c>
      <c r="BD914" t="s">
        <v>16984</v>
      </c>
      <c r="BE914" t="s">
        <v>16985</v>
      </c>
      <c r="BF914" t="str">
        <f>HYPERLINK("http://dx.doi.org/10.1002/isd2.70042","http://dx.doi.org/10.1002/isd2.70042")</f>
        <v>http://dx.doi.org/10.1002/isd2.70042</v>
      </c>
      <c r="BG914" t="s">
        <v>74</v>
      </c>
      <c r="BH914" t="s">
        <v>74</v>
      </c>
      <c r="BI914">
        <v>18</v>
      </c>
      <c r="BJ914" t="s">
        <v>364</v>
      </c>
      <c r="BK914" t="s">
        <v>313</v>
      </c>
      <c r="BL914" t="s">
        <v>365</v>
      </c>
      <c r="BM914" t="s">
        <v>16986</v>
      </c>
      <c r="BN914" t="s">
        <v>74</v>
      </c>
      <c r="BO914" t="s">
        <v>1205</v>
      </c>
      <c r="BP914" t="s">
        <v>74</v>
      </c>
      <c r="BQ914" t="s">
        <v>74</v>
      </c>
      <c r="BR914" t="s">
        <v>102</v>
      </c>
      <c r="BS914" t="s">
        <v>16987</v>
      </c>
      <c r="BT914" t="str">
        <f>HYPERLINK("https%3A%2F%2Fwww.webofscience.com%2Fwos%2Fwoscc%2Ffull-record%2FWOS:001614092100001","View Full Record in Web of Science")</f>
        <v>View Full Record in Web of Science</v>
      </c>
    </row>
    <row r="915" spans="1:72" x14ac:dyDescent="0.25">
      <c r="A915" t="s">
        <v>72</v>
      </c>
      <c r="B915" t="s">
        <v>11451</v>
      </c>
      <c r="C915" t="s">
        <v>74</v>
      </c>
      <c r="D915" t="s">
        <v>74</v>
      </c>
      <c r="E915" t="s">
        <v>74</v>
      </c>
      <c r="F915" t="s">
        <v>11452</v>
      </c>
      <c r="G915" t="s">
        <v>74</v>
      </c>
      <c r="H915" t="s">
        <v>74</v>
      </c>
      <c r="I915" t="s">
        <v>16988</v>
      </c>
      <c r="J915" t="s">
        <v>16989</v>
      </c>
      <c r="K915" t="s">
        <v>74</v>
      </c>
      <c r="L915" t="s">
        <v>74</v>
      </c>
      <c r="M915" t="s">
        <v>16990</v>
      </c>
      <c r="N915" t="s">
        <v>79</v>
      </c>
      <c r="O915" t="s">
        <v>74</v>
      </c>
      <c r="P915" t="s">
        <v>74</v>
      </c>
      <c r="Q915" t="s">
        <v>74</v>
      </c>
      <c r="R915" t="s">
        <v>74</v>
      </c>
      <c r="S915" t="s">
        <v>74</v>
      </c>
      <c r="T915" t="s">
        <v>16991</v>
      </c>
      <c r="U915" t="s">
        <v>74</v>
      </c>
      <c r="V915" t="s">
        <v>16992</v>
      </c>
      <c r="W915" t="s">
        <v>16993</v>
      </c>
      <c r="X915" t="s">
        <v>11458</v>
      </c>
      <c r="Y915" t="s">
        <v>16994</v>
      </c>
      <c r="Z915" t="s">
        <v>16995</v>
      </c>
      <c r="AA915" t="s">
        <v>74</v>
      </c>
      <c r="AB915" t="s">
        <v>74</v>
      </c>
      <c r="AC915" t="s">
        <v>74</v>
      </c>
      <c r="AD915" t="s">
        <v>74</v>
      </c>
      <c r="AE915" t="s">
        <v>74</v>
      </c>
      <c r="AF915" t="s">
        <v>74</v>
      </c>
      <c r="AG915">
        <v>33</v>
      </c>
      <c r="AH915">
        <v>0</v>
      </c>
      <c r="AI915">
        <v>1</v>
      </c>
      <c r="AJ915">
        <v>2</v>
      </c>
      <c r="AK915">
        <v>10</v>
      </c>
      <c r="AL915" t="s">
        <v>16996</v>
      </c>
      <c r="AM915" t="s">
        <v>1953</v>
      </c>
      <c r="AN915" t="s">
        <v>16997</v>
      </c>
      <c r="AO915" t="s">
        <v>16998</v>
      </c>
      <c r="AP915" t="s">
        <v>74</v>
      </c>
      <c r="AQ915" t="s">
        <v>74</v>
      </c>
      <c r="AR915" t="s">
        <v>16999</v>
      </c>
      <c r="AS915" t="s">
        <v>17000</v>
      </c>
      <c r="AT915" t="s">
        <v>74</v>
      </c>
      <c r="AU915">
        <v>2023</v>
      </c>
      <c r="AV915">
        <v>10</v>
      </c>
      <c r="AW915">
        <v>1</v>
      </c>
      <c r="AX915" t="s">
        <v>74</v>
      </c>
      <c r="AY915" t="s">
        <v>74</v>
      </c>
      <c r="AZ915" t="s">
        <v>74</v>
      </c>
      <c r="BA915" t="s">
        <v>74</v>
      </c>
      <c r="BB915">
        <v>157</v>
      </c>
      <c r="BC915">
        <v>180</v>
      </c>
      <c r="BD915" t="s">
        <v>74</v>
      </c>
      <c r="BE915" t="s">
        <v>17001</v>
      </c>
      <c r="BF915" t="str">
        <f>HYPERLINK("http://dx.doi.org/10.26650/JEPR1180972","http://dx.doi.org/10.26650/JEPR1180972")</f>
        <v>http://dx.doi.org/10.26650/JEPR1180972</v>
      </c>
      <c r="BG915" t="s">
        <v>74</v>
      </c>
      <c r="BH915" t="s">
        <v>74</v>
      </c>
      <c r="BI915">
        <v>24</v>
      </c>
      <c r="BJ915" t="s">
        <v>210</v>
      </c>
      <c r="BK915" t="s">
        <v>313</v>
      </c>
      <c r="BL915" t="s">
        <v>100</v>
      </c>
      <c r="BM915" t="s">
        <v>17002</v>
      </c>
      <c r="BN915" t="s">
        <v>74</v>
      </c>
      <c r="BO915" t="s">
        <v>916</v>
      </c>
      <c r="BP915" t="s">
        <v>74</v>
      </c>
      <c r="BQ915" t="s">
        <v>74</v>
      </c>
      <c r="BR915" t="s">
        <v>102</v>
      </c>
      <c r="BS915" t="s">
        <v>17003</v>
      </c>
      <c r="BT915" t="str">
        <f>HYPERLINK("https%3A%2F%2Fwww.webofscience.com%2Fwos%2Fwoscc%2Ffull-record%2FWOS:001336213700008","View Full Record in Web of Science")</f>
        <v>View Full Record in Web of Science</v>
      </c>
    </row>
    <row r="916" spans="1:72" x14ac:dyDescent="0.25">
      <c r="A916" t="s">
        <v>72</v>
      </c>
      <c r="B916" t="s">
        <v>17004</v>
      </c>
      <c r="C916" t="s">
        <v>74</v>
      </c>
      <c r="D916" t="s">
        <v>74</v>
      </c>
      <c r="E916" t="s">
        <v>74</v>
      </c>
      <c r="F916" t="s">
        <v>17005</v>
      </c>
      <c r="G916" t="s">
        <v>74</v>
      </c>
      <c r="H916" t="s">
        <v>74</v>
      </c>
      <c r="I916" t="s">
        <v>17006</v>
      </c>
      <c r="J916" t="s">
        <v>900</v>
      </c>
      <c r="K916" t="s">
        <v>74</v>
      </c>
      <c r="L916" t="s">
        <v>74</v>
      </c>
      <c r="M916" t="s">
        <v>78</v>
      </c>
      <c r="N916" t="s">
        <v>79</v>
      </c>
      <c r="O916" t="s">
        <v>74</v>
      </c>
      <c r="P916" t="s">
        <v>74</v>
      </c>
      <c r="Q916" t="s">
        <v>74</v>
      </c>
      <c r="R916" t="s">
        <v>74</v>
      </c>
      <c r="S916" t="s">
        <v>74</v>
      </c>
      <c r="T916" t="s">
        <v>17007</v>
      </c>
      <c r="U916" t="s">
        <v>17008</v>
      </c>
      <c r="V916" t="s">
        <v>17009</v>
      </c>
      <c r="W916" t="s">
        <v>17010</v>
      </c>
      <c r="X916" t="s">
        <v>13182</v>
      </c>
      <c r="Y916" t="s">
        <v>17011</v>
      </c>
      <c r="Z916" t="s">
        <v>17012</v>
      </c>
      <c r="AA916" t="s">
        <v>17013</v>
      </c>
      <c r="AB916" t="s">
        <v>74</v>
      </c>
      <c r="AC916" t="s">
        <v>17014</v>
      </c>
      <c r="AD916" t="s">
        <v>17015</v>
      </c>
      <c r="AE916" t="s">
        <v>17016</v>
      </c>
      <c r="AF916" t="s">
        <v>74</v>
      </c>
      <c r="AG916">
        <v>58</v>
      </c>
      <c r="AH916">
        <v>5</v>
      </c>
      <c r="AI916">
        <v>9</v>
      </c>
      <c r="AJ916">
        <v>6</v>
      </c>
      <c r="AK916">
        <v>6</v>
      </c>
      <c r="AL916" t="s">
        <v>575</v>
      </c>
      <c r="AM916" t="s">
        <v>576</v>
      </c>
      <c r="AN916" t="s">
        <v>577</v>
      </c>
      <c r="AO916" t="s">
        <v>74</v>
      </c>
      <c r="AP916" t="s">
        <v>4045</v>
      </c>
      <c r="AQ916" t="s">
        <v>74</v>
      </c>
      <c r="AR916" t="s">
        <v>4046</v>
      </c>
      <c r="AS916" t="s">
        <v>4047</v>
      </c>
      <c r="AT916" t="s">
        <v>17017</v>
      </c>
      <c r="AU916">
        <v>2024</v>
      </c>
      <c r="AV916">
        <v>3</v>
      </c>
      <c r="AW916">
        <v>1</v>
      </c>
      <c r="AX916" t="s">
        <v>74</v>
      </c>
      <c r="AY916" t="s">
        <v>74</v>
      </c>
      <c r="AZ916" t="s">
        <v>74</v>
      </c>
      <c r="BA916" t="s">
        <v>74</v>
      </c>
      <c r="BB916">
        <v>135</v>
      </c>
      <c r="BC916">
        <v>150</v>
      </c>
      <c r="BD916" t="s">
        <v>74</v>
      </c>
      <c r="BE916" t="s">
        <v>17018</v>
      </c>
      <c r="BF916" t="str">
        <f>HYPERLINK("http://dx.doi.org/10.3390/fintech3010009","http://dx.doi.org/10.3390/fintech3010009")</f>
        <v>http://dx.doi.org/10.3390/fintech3010009</v>
      </c>
      <c r="BG916" t="s">
        <v>74</v>
      </c>
      <c r="BH916" t="s">
        <v>74</v>
      </c>
      <c r="BI916">
        <v>16</v>
      </c>
      <c r="BJ916" t="s">
        <v>4049</v>
      </c>
      <c r="BK916" t="s">
        <v>313</v>
      </c>
      <c r="BL916" t="s">
        <v>1070</v>
      </c>
      <c r="BM916" t="s">
        <v>17019</v>
      </c>
      <c r="BN916" t="s">
        <v>74</v>
      </c>
      <c r="BO916" t="s">
        <v>212</v>
      </c>
      <c r="BP916" t="s">
        <v>74</v>
      </c>
      <c r="BQ916" t="s">
        <v>74</v>
      </c>
      <c r="BR916" t="s">
        <v>102</v>
      </c>
      <c r="BS916" t="s">
        <v>17020</v>
      </c>
      <c r="BT916" t="str">
        <f>HYPERLINK("https%3A%2F%2Fwww.webofscience.com%2Fwos%2Fwoscc%2Ffull-record%2FWOS:001572631100001","View Full Record in Web of Science")</f>
        <v>View Full Record in Web of Science</v>
      </c>
    </row>
    <row r="917" spans="1:72" x14ac:dyDescent="0.25">
      <c r="A917" t="s">
        <v>132</v>
      </c>
      <c r="B917" t="s">
        <v>17021</v>
      </c>
      <c r="C917" t="s">
        <v>74</v>
      </c>
      <c r="D917" t="s">
        <v>74</v>
      </c>
      <c r="E917" t="s">
        <v>17022</v>
      </c>
      <c r="F917" t="s">
        <v>17023</v>
      </c>
      <c r="G917" t="s">
        <v>74</v>
      </c>
      <c r="H917" t="s">
        <v>74</v>
      </c>
      <c r="I917" t="s">
        <v>17024</v>
      </c>
      <c r="J917" t="s">
        <v>17025</v>
      </c>
      <c r="K917" t="s">
        <v>74</v>
      </c>
      <c r="L917" t="s">
        <v>74</v>
      </c>
      <c r="M917" t="s">
        <v>78</v>
      </c>
      <c r="N917" t="s">
        <v>138</v>
      </c>
      <c r="O917" t="s">
        <v>17026</v>
      </c>
      <c r="P917" t="s">
        <v>17027</v>
      </c>
      <c r="Q917" t="s">
        <v>11799</v>
      </c>
      <c r="R917" t="s">
        <v>17028</v>
      </c>
      <c r="S917" t="s">
        <v>74</v>
      </c>
      <c r="T917" t="s">
        <v>17029</v>
      </c>
      <c r="U917" t="s">
        <v>74</v>
      </c>
      <c r="V917" t="s">
        <v>17030</v>
      </c>
      <c r="W917" t="s">
        <v>17031</v>
      </c>
      <c r="X917" t="s">
        <v>11804</v>
      </c>
      <c r="Y917" t="s">
        <v>17032</v>
      </c>
      <c r="Z917" t="s">
        <v>17033</v>
      </c>
      <c r="AA917" t="s">
        <v>74</v>
      </c>
      <c r="AB917" t="s">
        <v>17034</v>
      </c>
      <c r="AC917" t="s">
        <v>74</v>
      </c>
      <c r="AD917" t="s">
        <v>74</v>
      </c>
      <c r="AE917" t="s">
        <v>74</v>
      </c>
      <c r="AF917" t="s">
        <v>74</v>
      </c>
      <c r="AG917">
        <v>20</v>
      </c>
      <c r="AH917">
        <v>6</v>
      </c>
      <c r="AI917">
        <v>7</v>
      </c>
      <c r="AJ917">
        <v>0</v>
      </c>
      <c r="AK917">
        <v>13</v>
      </c>
      <c r="AL917" t="s">
        <v>17035</v>
      </c>
      <c r="AM917" t="s">
        <v>17036</v>
      </c>
      <c r="AN917" t="s">
        <v>17037</v>
      </c>
      <c r="AO917" t="s">
        <v>74</v>
      </c>
      <c r="AP917" t="s">
        <v>74</v>
      </c>
      <c r="AQ917" t="s">
        <v>17038</v>
      </c>
      <c r="AR917" t="s">
        <v>74</v>
      </c>
      <c r="AS917" t="s">
        <v>74</v>
      </c>
      <c r="AT917" t="s">
        <v>74</v>
      </c>
      <c r="AU917">
        <v>2015</v>
      </c>
      <c r="AV917" t="s">
        <v>74</v>
      </c>
      <c r="AW917" t="s">
        <v>74</v>
      </c>
      <c r="AX917" t="s">
        <v>74</v>
      </c>
      <c r="AY917" t="s">
        <v>74</v>
      </c>
      <c r="AZ917" t="s">
        <v>74</v>
      </c>
      <c r="BA917" t="s">
        <v>74</v>
      </c>
      <c r="BB917">
        <v>39</v>
      </c>
      <c r="BC917">
        <v>44</v>
      </c>
      <c r="BD917" t="s">
        <v>74</v>
      </c>
      <c r="BE917" t="s">
        <v>74</v>
      </c>
      <c r="BF917" t="s">
        <v>74</v>
      </c>
      <c r="BG917" t="s">
        <v>74</v>
      </c>
      <c r="BH917" t="s">
        <v>74</v>
      </c>
      <c r="BI917">
        <v>6</v>
      </c>
      <c r="BJ917" t="s">
        <v>14114</v>
      </c>
      <c r="BK917" t="s">
        <v>156</v>
      </c>
      <c r="BL917" t="s">
        <v>560</v>
      </c>
      <c r="BM917" t="s">
        <v>17039</v>
      </c>
      <c r="BN917" t="s">
        <v>74</v>
      </c>
      <c r="BO917" t="s">
        <v>74</v>
      </c>
      <c r="BP917" t="s">
        <v>74</v>
      </c>
      <c r="BQ917" t="s">
        <v>74</v>
      </c>
      <c r="BR917" t="s">
        <v>102</v>
      </c>
      <c r="BS917" t="s">
        <v>17040</v>
      </c>
      <c r="BT917" t="str">
        <f>HYPERLINK("https%3A%2F%2Fwww.webofscience.com%2Fwos%2Fwoscc%2Ffull-record%2FWOS:000380452100005","View Full Record in Web of Science")</f>
        <v>View Full Record in Web of Science</v>
      </c>
    </row>
    <row r="918" spans="1:72" x14ac:dyDescent="0.25">
      <c r="A918" t="s">
        <v>72</v>
      </c>
      <c r="B918" t="s">
        <v>17041</v>
      </c>
      <c r="C918" t="s">
        <v>74</v>
      </c>
      <c r="D918" t="s">
        <v>74</v>
      </c>
      <c r="E918" t="s">
        <v>74</v>
      </c>
      <c r="F918" t="s">
        <v>17042</v>
      </c>
      <c r="G918" t="s">
        <v>74</v>
      </c>
      <c r="H918" t="s">
        <v>74</v>
      </c>
      <c r="I918" t="s">
        <v>17043</v>
      </c>
      <c r="J918" t="s">
        <v>17044</v>
      </c>
      <c r="K918" t="s">
        <v>74</v>
      </c>
      <c r="L918" t="s">
        <v>74</v>
      </c>
      <c r="M918" t="s">
        <v>78</v>
      </c>
      <c r="N918" t="s">
        <v>79</v>
      </c>
      <c r="O918" t="s">
        <v>74</v>
      </c>
      <c r="P918" t="s">
        <v>74</v>
      </c>
      <c r="Q918" t="s">
        <v>74</v>
      </c>
      <c r="R918" t="s">
        <v>74</v>
      </c>
      <c r="S918" t="s">
        <v>74</v>
      </c>
      <c r="T918" t="s">
        <v>17045</v>
      </c>
      <c r="U918" t="s">
        <v>17046</v>
      </c>
      <c r="V918" t="s">
        <v>17047</v>
      </c>
      <c r="W918" t="s">
        <v>17048</v>
      </c>
      <c r="X918" t="s">
        <v>17049</v>
      </c>
      <c r="Y918" t="s">
        <v>17050</v>
      </c>
      <c r="Z918" t="s">
        <v>17051</v>
      </c>
      <c r="AA918" t="s">
        <v>74</v>
      </c>
      <c r="AB918" t="s">
        <v>74</v>
      </c>
      <c r="AC918" t="s">
        <v>74</v>
      </c>
      <c r="AD918" t="s">
        <v>74</v>
      </c>
      <c r="AE918" t="s">
        <v>74</v>
      </c>
      <c r="AF918" t="s">
        <v>74</v>
      </c>
      <c r="AG918">
        <v>72</v>
      </c>
      <c r="AH918">
        <v>13</v>
      </c>
      <c r="AI918">
        <v>15</v>
      </c>
      <c r="AJ918">
        <v>7</v>
      </c>
      <c r="AK918">
        <v>74</v>
      </c>
      <c r="AL918" t="s">
        <v>479</v>
      </c>
      <c r="AM918" t="s">
        <v>480</v>
      </c>
      <c r="AN918" t="s">
        <v>481</v>
      </c>
      <c r="AO918" t="s">
        <v>17052</v>
      </c>
      <c r="AP918" t="s">
        <v>17053</v>
      </c>
      <c r="AQ918" t="s">
        <v>74</v>
      </c>
      <c r="AR918" t="s">
        <v>17054</v>
      </c>
      <c r="AS918" t="s">
        <v>17055</v>
      </c>
      <c r="AT918" t="s">
        <v>1159</v>
      </c>
      <c r="AU918">
        <v>2022</v>
      </c>
      <c r="AV918">
        <v>40</v>
      </c>
      <c r="AW918">
        <v>4</v>
      </c>
      <c r="AX918" t="s">
        <v>74</v>
      </c>
      <c r="AY918" t="s">
        <v>74</v>
      </c>
      <c r="AZ918" t="s">
        <v>74</v>
      </c>
      <c r="BA918" t="s">
        <v>74</v>
      </c>
      <c r="BB918">
        <v>612</v>
      </c>
      <c r="BC918">
        <v>635</v>
      </c>
      <c r="BD918" t="s">
        <v>74</v>
      </c>
      <c r="BE918" t="s">
        <v>17056</v>
      </c>
      <c r="BF918" t="str">
        <f>HYPERLINK("http://dx.doi.org/10.1111/coep.12578","http://dx.doi.org/10.1111/coep.12578")</f>
        <v>http://dx.doi.org/10.1111/coep.12578</v>
      </c>
      <c r="BG918" t="s">
        <v>74</v>
      </c>
      <c r="BH918" t="s">
        <v>126</v>
      </c>
      <c r="BI918">
        <v>24</v>
      </c>
      <c r="BJ918" t="s">
        <v>17057</v>
      </c>
      <c r="BK918" t="s">
        <v>99</v>
      </c>
      <c r="BL918" t="s">
        <v>1406</v>
      </c>
      <c r="BM918" t="s">
        <v>17058</v>
      </c>
      <c r="BN918" t="s">
        <v>74</v>
      </c>
      <c r="BO918" t="s">
        <v>74</v>
      </c>
      <c r="BP918" t="s">
        <v>74</v>
      </c>
      <c r="BQ918" t="s">
        <v>74</v>
      </c>
      <c r="BR918" t="s">
        <v>102</v>
      </c>
      <c r="BS918" t="s">
        <v>17059</v>
      </c>
      <c r="BT918" t="str">
        <f>HYPERLINK("https%3A%2F%2Fwww.webofscience.com%2Fwos%2Fwoscc%2Ffull-record%2FWOS:000821391000001","View Full Record in Web of Science")</f>
        <v>View Full Record in Web of Science</v>
      </c>
    </row>
    <row r="919" spans="1:72" x14ac:dyDescent="0.25">
      <c r="A919" t="s">
        <v>72</v>
      </c>
      <c r="B919" t="s">
        <v>17060</v>
      </c>
      <c r="C919" t="s">
        <v>74</v>
      </c>
      <c r="D919" t="s">
        <v>74</v>
      </c>
      <c r="E919" t="s">
        <v>74</v>
      </c>
      <c r="F919" t="s">
        <v>17061</v>
      </c>
      <c r="G919" t="s">
        <v>74</v>
      </c>
      <c r="H919" t="s">
        <v>74</v>
      </c>
      <c r="I919" t="s">
        <v>17062</v>
      </c>
      <c r="J919" t="s">
        <v>8942</v>
      </c>
      <c r="K919" t="s">
        <v>74</v>
      </c>
      <c r="L919" t="s">
        <v>74</v>
      </c>
      <c r="M919" t="s">
        <v>78</v>
      </c>
      <c r="N919" t="s">
        <v>79</v>
      </c>
      <c r="O919" t="s">
        <v>74</v>
      </c>
      <c r="P919" t="s">
        <v>74</v>
      </c>
      <c r="Q919" t="s">
        <v>74</v>
      </c>
      <c r="R919" t="s">
        <v>74</v>
      </c>
      <c r="S919" t="s">
        <v>74</v>
      </c>
      <c r="T919" t="s">
        <v>17063</v>
      </c>
      <c r="U919" t="s">
        <v>17064</v>
      </c>
      <c r="V919" t="s">
        <v>17065</v>
      </c>
      <c r="W919" t="s">
        <v>17066</v>
      </c>
      <c r="X919" t="s">
        <v>11237</v>
      </c>
      <c r="Y919" t="s">
        <v>17067</v>
      </c>
      <c r="Z919" t="s">
        <v>17068</v>
      </c>
      <c r="AA919" t="s">
        <v>15792</v>
      </c>
      <c r="AB919" t="s">
        <v>74</v>
      </c>
      <c r="AC919" t="s">
        <v>74</v>
      </c>
      <c r="AD919" t="s">
        <v>74</v>
      </c>
      <c r="AE919" t="s">
        <v>74</v>
      </c>
      <c r="AF919" t="s">
        <v>74</v>
      </c>
      <c r="AG919">
        <v>27</v>
      </c>
      <c r="AH919">
        <v>34</v>
      </c>
      <c r="AI919">
        <v>38</v>
      </c>
      <c r="AJ919">
        <v>0</v>
      </c>
      <c r="AK919">
        <v>21</v>
      </c>
      <c r="AL919" t="s">
        <v>89</v>
      </c>
      <c r="AM919" t="s">
        <v>1497</v>
      </c>
      <c r="AN919" t="s">
        <v>1498</v>
      </c>
      <c r="AO919" t="s">
        <v>8952</v>
      </c>
      <c r="AP919" t="s">
        <v>8953</v>
      </c>
      <c r="AQ919" t="s">
        <v>74</v>
      </c>
      <c r="AR919" t="s">
        <v>8954</v>
      </c>
      <c r="AS919" t="s">
        <v>8955</v>
      </c>
      <c r="AT919" t="s">
        <v>74</v>
      </c>
      <c r="AU919">
        <v>2017</v>
      </c>
      <c r="AV919">
        <v>8</v>
      </c>
      <c r="AW919">
        <v>1</v>
      </c>
      <c r="AX919" t="s">
        <v>74</v>
      </c>
      <c r="AY919" t="s">
        <v>74</v>
      </c>
      <c r="AZ919" t="s">
        <v>441</v>
      </c>
      <c r="BA919" t="s">
        <v>74</v>
      </c>
      <c r="BB919">
        <v>2</v>
      </c>
      <c r="BC919">
        <v>7</v>
      </c>
      <c r="BD919" t="s">
        <v>74</v>
      </c>
      <c r="BE919" t="s">
        <v>17069</v>
      </c>
      <c r="BF919" t="str">
        <f>HYPERLINK("http://dx.doi.org/10.1108/AJEMS-03-2017-149","http://dx.doi.org/10.1108/AJEMS-03-2017-149")</f>
        <v>http://dx.doi.org/10.1108/AJEMS-03-2017-149</v>
      </c>
      <c r="BG919" t="s">
        <v>74</v>
      </c>
      <c r="BH919" t="s">
        <v>74</v>
      </c>
      <c r="BI919">
        <v>6</v>
      </c>
      <c r="BJ919" t="s">
        <v>291</v>
      </c>
      <c r="BK919" t="s">
        <v>313</v>
      </c>
      <c r="BL919" t="s">
        <v>100</v>
      </c>
      <c r="BM919" t="s">
        <v>15794</v>
      </c>
      <c r="BN919" t="s">
        <v>74</v>
      </c>
      <c r="BO919" t="s">
        <v>74</v>
      </c>
      <c r="BP919" t="s">
        <v>74</v>
      </c>
      <c r="BQ919" t="s">
        <v>74</v>
      </c>
      <c r="BR919" t="s">
        <v>102</v>
      </c>
      <c r="BS919" t="s">
        <v>17070</v>
      </c>
      <c r="BT919" t="str">
        <f>HYPERLINK("https%3A%2F%2Fwww.webofscience.com%2Fwos%2Fwoscc%2Ffull-record%2FWOS:000396553500001","View Full Record in Web of Science")</f>
        <v>View Full Record in Web of Science</v>
      </c>
    </row>
    <row r="920" spans="1:72" x14ac:dyDescent="0.25">
      <c r="A920" t="s">
        <v>72</v>
      </c>
      <c r="B920" t="s">
        <v>17071</v>
      </c>
      <c r="C920" t="s">
        <v>74</v>
      </c>
      <c r="D920" t="s">
        <v>74</v>
      </c>
      <c r="E920" t="s">
        <v>74</v>
      </c>
      <c r="F920" t="s">
        <v>17072</v>
      </c>
      <c r="G920" t="s">
        <v>74</v>
      </c>
      <c r="H920" t="s">
        <v>74</v>
      </c>
      <c r="I920" t="s">
        <v>17073</v>
      </c>
      <c r="J920" t="s">
        <v>1963</v>
      </c>
      <c r="K920" t="s">
        <v>74</v>
      </c>
      <c r="L920" t="s">
        <v>74</v>
      </c>
      <c r="M920" t="s">
        <v>78</v>
      </c>
      <c r="N920" t="s">
        <v>79</v>
      </c>
      <c r="O920" t="s">
        <v>74</v>
      </c>
      <c r="P920" t="s">
        <v>74</v>
      </c>
      <c r="Q920" t="s">
        <v>74</v>
      </c>
      <c r="R920" t="s">
        <v>74</v>
      </c>
      <c r="S920" t="s">
        <v>74</v>
      </c>
      <c r="T920" t="s">
        <v>17074</v>
      </c>
      <c r="U920" t="s">
        <v>17075</v>
      </c>
      <c r="V920" t="s">
        <v>17076</v>
      </c>
      <c r="W920" t="s">
        <v>17077</v>
      </c>
      <c r="X920" t="s">
        <v>17078</v>
      </c>
      <c r="Y920" t="s">
        <v>17079</v>
      </c>
      <c r="Z920" t="s">
        <v>17080</v>
      </c>
      <c r="AA920" t="s">
        <v>17081</v>
      </c>
      <c r="AB920" t="s">
        <v>17082</v>
      </c>
      <c r="AC920" t="s">
        <v>74</v>
      </c>
      <c r="AD920" t="s">
        <v>74</v>
      </c>
      <c r="AE920" t="s">
        <v>74</v>
      </c>
      <c r="AF920" t="s">
        <v>74</v>
      </c>
      <c r="AG920">
        <v>44</v>
      </c>
      <c r="AH920">
        <v>15</v>
      </c>
      <c r="AI920">
        <v>23</v>
      </c>
      <c r="AJ920">
        <v>3</v>
      </c>
      <c r="AK920">
        <v>33</v>
      </c>
      <c r="AL920" t="s">
        <v>332</v>
      </c>
      <c r="AM920" t="s">
        <v>333</v>
      </c>
      <c r="AN920" t="s">
        <v>334</v>
      </c>
      <c r="AO920" t="s">
        <v>1975</v>
      </c>
      <c r="AP920" t="s">
        <v>1976</v>
      </c>
      <c r="AQ920" t="s">
        <v>74</v>
      </c>
      <c r="AR920" t="s">
        <v>1977</v>
      </c>
      <c r="AS920" t="s">
        <v>1978</v>
      </c>
      <c r="AT920" t="s">
        <v>6321</v>
      </c>
      <c r="AU920">
        <v>2019</v>
      </c>
      <c r="AV920">
        <v>51</v>
      </c>
      <c r="AW920">
        <v>42</v>
      </c>
      <c r="AX920" t="s">
        <v>74</v>
      </c>
      <c r="AY920" t="s">
        <v>74</v>
      </c>
      <c r="AZ920" t="s">
        <v>74</v>
      </c>
      <c r="BA920" t="s">
        <v>74</v>
      </c>
      <c r="BB920">
        <v>4597</v>
      </c>
      <c r="BC920">
        <v>4614</v>
      </c>
      <c r="BD920" t="s">
        <v>74</v>
      </c>
      <c r="BE920" t="s">
        <v>17083</v>
      </c>
      <c r="BF920" t="str">
        <f>HYPERLINK("http://dx.doi.org/10.1080/00036846.2019.1593316","http://dx.doi.org/10.1080/00036846.2019.1593316")</f>
        <v>http://dx.doi.org/10.1080/00036846.2019.1593316</v>
      </c>
      <c r="BG920" t="s">
        <v>74</v>
      </c>
      <c r="BH920" t="s">
        <v>74</v>
      </c>
      <c r="BI920">
        <v>18</v>
      </c>
      <c r="BJ920" t="s">
        <v>291</v>
      </c>
      <c r="BK920" t="s">
        <v>99</v>
      </c>
      <c r="BL920" t="s">
        <v>100</v>
      </c>
      <c r="BM920" t="s">
        <v>17084</v>
      </c>
      <c r="BN920" t="s">
        <v>74</v>
      </c>
      <c r="BO920" t="s">
        <v>74</v>
      </c>
      <c r="BP920" t="s">
        <v>74</v>
      </c>
      <c r="BQ920" t="s">
        <v>74</v>
      </c>
      <c r="BR920" t="s">
        <v>102</v>
      </c>
      <c r="BS920" t="s">
        <v>17085</v>
      </c>
      <c r="BT920" t="str">
        <f>HYPERLINK("https%3A%2F%2Fwww.webofscience.com%2Fwos%2Fwoscc%2Ffull-record%2FWOS:000473508000003","View Full Record in Web of Science")</f>
        <v>View Full Record in Web of Science</v>
      </c>
    </row>
    <row r="921" spans="1:72" x14ac:dyDescent="0.25">
      <c r="A921" t="s">
        <v>72</v>
      </c>
      <c r="B921" t="s">
        <v>17086</v>
      </c>
      <c r="C921" t="s">
        <v>74</v>
      </c>
      <c r="D921" t="s">
        <v>74</v>
      </c>
      <c r="E921" t="s">
        <v>74</v>
      </c>
      <c r="F921" t="s">
        <v>17087</v>
      </c>
      <c r="G921" t="s">
        <v>74</v>
      </c>
      <c r="H921" t="s">
        <v>74</v>
      </c>
      <c r="I921" t="s">
        <v>17088</v>
      </c>
      <c r="J921" t="s">
        <v>836</v>
      </c>
      <c r="K921" t="s">
        <v>74</v>
      </c>
      <c r="L921" t="s">
        <v>74</v>
      </c>
      <c r="M921" t="s">
        <v>78</v>
      </c>
      <c r="N921" t="s">
        <v>1766</v>
      </c>
      <c r="O921" t="s">
        <v>74</v>
      </c>
      <c r="P921" t="s">
        <v>74</v>
      </c>
      <c r="Q921" t="s">
        <v>74</v>
      </c>
      <c r="R921" t="s">
        <v>74</v>
      </c>
      <c r="S921" t="s">
        <v>74</v>
      </c>
      <c r="T921" t="s">
        <v>17089</v>
      </c>
      <c r="U921" t="s">
        <v>17090</v>
      </c>
      <c r="V921" t="s">
        <v>17091</v>
      </c>
      <c r="W921" t="s">
        <v>17092</v>
      </c>
      <c r="X921" t="s">
        <v>17093</v>
      </c>
      <c r="Y921" t="s">
        <v>17094</v>
      </c>
      <c r="Z921" t="s">
        <v>17095</v>
      </c>
      <c r="AA921" t="s">
        <v>17096</v>
      </c>
      <c r="AB921" t="s">
        <v>17097</v>
      </c>
      <c r="AC921" t="s">
        <v>17098</v>
      </c>
      <c r="AD921" t="s">
        <v>17098</v>
      </c>
      <c r="AE921" t="s">
        <v>17099</v>
      </c>
      <c r="AF921" t="s">
        <v>74</v>
      </c>
      <c r="AG921">
        <v>182</v>
      </c>
      <c r="AH921">
        <v>37</v>
      </c>
      <c r="AI921">
        <v>39</v>
      </c>
      <c r="AJ921">
        <v>64</v>
      </c>
      <c r="AK921">
        <v>260</v>
      </c>
      <c r="AL921" t="s">
        <v>503</v>
      </c>
      <c r="AM921" t="s">
        <v>151</v>
      </c>
      <c r="AN921" t="s">
        <v>504</v>
      </c>
      <c r="AO921" t="s">
        <v>844</v>
      </c>
      <c r="AP921" t="s">
        <v>845</v>
      </c>
      <c r="AQ921" t="s">
        <v>74</v>
      </c>
      <c r="AR921" t="s">
        <v>846</v>
      </c>
      <c r="AS921" t="s">
        <v>847</v>
      </c>
      <c r="AT921" t="s">
        <v>1540</v>
      </c>
      <c r="AU921">
        <v>2024</v>
      </c>
      <c r="AV921">
        <v>93</v>
      </c>
      <c r="AW921" t="s">
        <v>74</v>
      </c>
      <c r="AX921" t="s">
        <v>74</v>
      </c>
      <c r="AY921" t="s">
        <v>74</v>
      </c>
      <c r="AZ921" t="s">
        <v>74</v>
      </c>
      <c r="BA921" t="s">
        <v>74</v>
      </c>
      <c r="BB921" t="s">
        <v>74</v>
      </c>
      <c r="BC921" t="s">
        <v>74</v>
      </c>
      <c r="BD921">
        <v>103201</v>
      </c>
      <c r="BE921" t="s">
        <v>17100</v>
      </c>
      <c r="BF921" t="str">
        <f>HYPERLINK("http://dx.doi.org/10.1016/j.irfa.2024.103201","http://dx.doi.org/10.1016/j.irfa.2024.103201")</f>
        <v>http://dx.doi.org/10.1016/j.irfa.2024.103201</v>
      </c>
      <c r="BG921" t="s">
        <v>74</v>
      </c>
      <c r="BH921" t="s">
        <v>1981</v>
      </c>
      <c r="BI921">
        <v>22</v>
      </c>
      <c r="BJ921" t="s">
        <v>268</v>
      </c>
      <c r="BK921" t="s">
        <v>99</v>
      </c>
      <c r="BL921" t="s">
        <v>100</v>
      </c>
      <c r="BM921" t="s">
        <v>17101</v>
      </c>
      <c r="BN921" t="s">
        <v>74</v>
      </c>
      <c r="BO921" t="s">
        <v>74</v>
      </c>
      <c r="BP921" t="s">
        <v>74</v>
      </c>
      <c r="BQ921" t="s">
        <v>74</v>
      </c>
      <c r="BR921" t="s">
        <v>102</v>
      </c>
      <c r="BS921" t="s">
        <v>17102</v>
      </c>
      <c r="BT921" t="str">
        <f>HYPERLINK("https%3A%2F%2Fwww.webofscience.com%2Fwos%2Fwoscc%2Ffull-record%2FWOS:001221970600001","View Full Record in Web of Science")</f>
        <v>View Full Record in Web of Science</v>
      </c>
    </row>
    <row r="922" spans="1:72" x14ac:dyDescent="0.25">
      <c r="A922" t="s">
        <v>72</v>
      </c>
      <c r="B922" t="s">
        <v>17103</v>
      </c>
      <c r="C922" t="s">
        <v>74</v>
      </c>
      <c r="D922" t="s">
        <v>74</v>
      </c>
      <c r="E922" t="s">
        <v>74</v>
      </c>
      <c r="F922" t="s">
        <v>17104</v>
      </c>
      <c r="G922" t="s">
        <v>74</v>
      </c>
      <c r="H922" t="s">
        <v>74</v>
      </c>
      <c r="I922" t="s">
        <v>17105</v>
      </c>
      <c r="J922" t="s">
        <v>1963</v>
      </c>
      <c r="K922" t="s">
        <v>74</v>
      </c>
      <c r="L922" t="s">
        <v>74</v>
      </c>
      <c r="M922" t="s">
        <v>78</v>
      </c>
      <c r="N922" t="s">
        <v>79</v>
      </c>
      <c r="O922" t="s">
        <v>74</v>
      </c>
      <c r="P922" t="s">
        <v>74</v>
      </c>
      <c r="Q922" t="s">
        <v>74</v>
      </c>
      <c r="R922" t="s">
        <v>74</v>
      </c>
      <c r="S922" t="s">
        <v>74</v>
      </c>
      <c r="T922" t="s">
        <v>17106</v>
      </c>
      <c r="U922" t="s">
        <v>17107</v>
      </c>
      <c r="V922" t="s">
        <v>17108</v>
      </c>
      <c r="W922" t="s">
        <v>17109</v>
      </c>
      <c r="X922" t="s">
        <v>17110</v>
      </c>
      <c r="Y922" t="s">
        <v>17111</v>
      </c>
      <c r="Z922" t="s">
        <v>17112</v>
      </c>
      <c r="AA922" t="s">
        <v>17113</v>
      </c>
      <c r="AB922" t="s">
        <v>17114</v>
      </c>
      <c r="AC922" t="s">
        <v>74</v>
      </c>
      <c r="AD922" t="s">
        <v>74</v>
      </c>
      <c r="AE922" t="s">
        <v>74</v>
      </c>
      <c r="AF922" t="s">
        <v>74</v>
      </c>
      <c r="AG922">
        <v>62</v>
      </c>
      <c r="AH922">
        <v>0</v>
      </c>
      <c r="AI922">
        <v>0</v>
      </c>
      <c r="AJ922">
        <v>8</v>
      </c>
      <c r="AK922">
        <v>24</v>
      </c>
      <c r="AL922" t="s">
        <v>332</v>
      </c>
      <c r="AM922" t="s">
        <v>333</v>
      </c>
      <c r="AN922" t="s">
        <v>334</v>
      </c>
      <c r="AO922" t="s">
        <v>1975</v>
      </c>
      <c r="AP922" t="s">
        <v>1976</v>
      </c>
      <c r="AQ922" t="s">
        <v>74</v>
      </c>
      <c r="AR922" t="s">
        <v>1977</v>
      </c>
      <c r="AS922" t="s">
        <v>1978</v>
      </c>
      <c r="AT922" t="s">
        <v>15391</v>
      </c>
      <c r="AU922">
        <v>2025</v>
      </c>
      <c r="AV922">
        <v>57</v>
      </c>
      <c r="AW922">
        <v>60</v>
      </c>
      <c r="AX922" t="s">
        <v>74</v>
      </c>
      <c r="AY922" t="s">
        <v>74</v>
      </c>
      <c r="AZ922" t="s">
        <v>74</v>
      </c>
      <c r="BA922" t="s">
        <v>74</v>
      </c>
      <c r="BB922">
        <v>11138</v>
      </c>
      <c r="BC922">
        <v>11156</v>
      </c>
      <c r="BD922" t="s">
        <v>74</v>
      </c>
      <c r="BE922" t="s">
        <v>17115</v>
      </c>
      <c r="BF922" t="str">
        <f>HYPERLINK("http://dx.doi.org/10.1080/00036846.2025.2449854","http://dx.doi.org/10.1080/00036846.2025.2449854")</f>
        <v>http://dx.doi.org/10.1080/00036846.2025.2449854</v>
      </c>
      <c r="BG922" t="s">
        <v>74</v>
      </c>
      <c r="BH922" t="s">
        <v>1737</v>
      </c>
      <c r="BI922">
        <v>19</v>
      </c>
      <c r="BJ922" t="s">
        <v>291</v>
      </c>
      <c r="BK922" t="s">
        <v>99</v>
      </c>
      <c r="BL922" t="s">
        <v>100</v>
      </c>
      <c r="BM922" t="s">
        <v>17116</v>
      </c>
      <c r="BN922" t="s">
        <v>74</v>
      </c>
      <c r="BO922" t="s">
        <v>74</v>
      </c>
      <c r="BP922" t="s">
        <v>74</v>
      </c>
      <c r="BQ922" t="s">
        <v>74</v>
      </c>
      <c r="BR922" t="s">
        <v>102</v>
      </c>
      <c r="BS922" t="s">
        <v>17117</v>
      </c>
      <c r="BT922" t="str">
        <f>HYPERLINK("https%3A%2F%2Fwww.webofscience.com%2Fwos%2Fwoscc%2Ffull-record%2FWOS:001391811700001","View Full Record in Web of Science")</f>
        <v>View Full Record in Web of Science</v>
      </c>
    </row>
    <row r="923" spans="1:72" x14ac:dyDescent="0.25">
      <c r="A923" t="s">
        <v>72</v>
      </c>
      <c r="B923" t="s">
        <v>17118</v>
      </c>
      <c r="C923" t="s">
        <v>74</v>
      </c>
      <c r="D923" t="s">
        <v>74</v>
      </c>
      <c r="E923" t="s">
        <v>74</v>
      </c>
      <c r="F923" t="s">
        <v>17119</v>
      </c>
      <c r="G923" t="s">
        <v>74</v>
      </c>
      <c r="H923" t="s">
        <v>74</v>
      </c>
      <c r="I923" t="s">
        <v>17120</v>
      </c>
      <c r="J923" t="s">
        <v>6306</v>
      </c>
      <c r="K923" t="s">
        <v>74</v>
      </c>
      <c r="L923" t="s">
        <v>74</v>
      </c>
      <c r="M923" t="s">
        <v>78</v>
      </c>
      <c r="N923" t="s">
        <v>79</v>
      </c>
      <c r="O923" t="s">
        <v>74</v>
      </c>
      <c r="P923" t="s">
        <v>74</v>
      </c>
      <c r="Q923" t="s">
        <v>74</v>
      </c>
      <c r="R923" t="s">
        <v>74</v>
      </c>
      <c r="S923" t="s">
        <v>74</v>
      </c>
      <c r="T923" t="s">
        <v>17121</v>
      </c>
      <c r="U923" t="s">
        <v>17122</v>
      </c>
      <c r="V923" t="s">
        <v>17123</v>
      </c>
      <c r="W923" t="s">
        <v>17124</v>
      </c>
      <c r="X923" t="s">
        <v>17125</v>
      </c>
      <c r="Y923" t="s">
        <v>17126</v>
      </c>
      <c r="Z923" t="s">
        <v>17127</v>
      </c>
      <c r="AA923" t="s">
        <v>74</v>
      </c>
      <c r="AB923" t="s">
        <v>74</v>
      </c>
      <c r="AC923" t="s">
        <v>74</v>
      </c>
      <c r="AD923" t="s">
        <v>74</v>
      </c>
      <c r="AE923" t="s">
        <v>74</v>
      </c>
      <c r="AF923" t="s">
        <v>74</v>
      </c>
      <c r="AG923">
        <v>69</v>
      </c>
      <c r="AH923">
        <v>9</v>
      </c>
      <c r="AI923">
        <v>11</v>
      </c>
      <c r="AJ923">
        <v>5</v>
      </c>
      <c r="AK923">
        <v>44</v>
      </c>
      <c r="AL923" t="s">
        <v>575</v>
      </c>
      <c r="AM923" t="s">
        <v>576</v>
      </c>
      <c r="AN923" t="s">
        <v>3242</v>
      </c>
      <c r="AO923" t="s">
        <v>74</v>
      </c>
      <c r="AP923" t="s">
        <v>6319</v>
      </c>
      <c r="AQ923" t="s">
        <v>74</v>
      </c>
      <c r="AR923" t="s">
        <v>6306</v>
      </c>
      <c r="AS923" t="s">
        <v>6320</v>
      </c>
      <c r="AT923" t="s">
        <v>124</v>
      </c>
      <c r="AU923">
        <v>2023</v>
      </c>
      <c r="AV923">
        <v>11</v>
      </c>
      <c r="AW923">
        <v>12</v>
      </c>
      <c r="AX923" t="s">
        <v>74</v>
      </c>
      <c r="AY923" t="s">
        <v>74</v>
      </c>
      <c r="AZ923" t="s">
        <v>74</v>
      </c>
      <c r="BA923" t="s">
        <v>74</v>
      </c>
      <c r="BB923" t="s">
        <v>74</v>
      </c>
      <c r="BC923" t="s">
        <v>74</v>
      </c>
      <c r="BD923">
        <v>209</v>
      </c>
      <c r="BE923" t="s">
        <v>17128</v>
      </c>
      <c r="BF923" t="str">
        <f>HYPERLINK("http://dx.doi.org/10.3390/risks11120209","http://dx.doi.org/10.3390/risks11120209")</f>
        <v>http://dx.doi.org/10.3390/risks11120209</v>
      </c>
      <c r="BG923" t="s">
        <v>74</v>
      </c>
      <c r="BH923" t="s">
        <v>74</v>
      </c>
      <c r="BI923">
        <v>24</v>
      </c>
      <c r="BJ923" t="s">
        <v>268</v>
      </c>
      <c r="BK923" t="s">
        <v>313</v>
      </c>
      <c r="BL923" t="s">
        <v>100</v>
      </c>
      <c r="BM923" t="s">
        <v>17129</v>
      </c>
      <c r="BN923" t="s">
        <v>74</v>
      </c>
      <c r="BO923" t="s">
        <v>916</v>
      </c>
      <c r="BP923" t="s">
        <v>74</v>
      </c>
      <c r="BQ923" t="s">
        <v>74</v>
      </c>
      <c r="BR923" t="s">
        <v>102</v>
      </c>
      <c r="BS923" t="s">
        <v>17130</v>
      </c>
      <c r="BT923" t="str">
        <f>HYPERLINK("https%3A%2F%2Fwww.webofscience.com%2Fwos%2Fwoscc%2Ffull-record%2FWOS:001130994400001","View Full Record in Web of Science")</f>
        <v>View Full Record in Web of Science</v>
      </c>
    </row>
    <row r="924" spans="1:72" x14ac:dyDescent="0.25">
      <c r="A924" t="s">
        <v>72</v>
      </c>
      <c r="B924" t="s">
        <v>17131</v>
      </c>
      <c r="C924" t="s">
        <v>74</v>
      </c>
      <c r="D924" t="s">
        <v>74</v>
      </c>
      <c r="E924" t="s">
        <v>74</v>
      </c>
      <c r="F924" t="s">
        <v>17132</v>
      </c>
      <c r="G924" t="s">
        <v>74</v>
      </c>
      <c r="H924" t="s">
        <v>74</v>
      </c>
      <c r="I924" t="s">
        <v>17133</v>
      </c>
      <c r="J924" t="s">
        <v>17134</v>
      </c>
      <c r="K924" t="s">
        <v>74</v>
      </c>
      <c r="L924" t="s">
        <v>74</v>
      </c>
      <c r="M924" t="s">
        <v>78</v>
      </c>
      <c r="N924" t="s">
        <v>79</v>
      </c>
      <c r="O924" t="s">
        <v>74</v>
      </c>
      <c r="P924" t="s">
        <v>74</v>
      </c>
      <c r="Q924" t="s">
        <v>74</v>
      </c>
      <c r="R924" t="s">
        <v>74</v>
      </c>
      <c r="S924" t="s">
        <v>74</v>
      </c>
      <c r="T924" t="s">
        <v>17135</v>
      </c>
      <c r="U924" t="s">
        <v>17136</v>
      </c>
      <c r="V924" t="s">
        <v>17137</v>
      </c>
      <c r="W924" t="s">
        <v>17138</v>
      </c>
      <c r="X924" t="s">
        <v>17139</v>
      </c>
      <c r="Y924" t="s">
        <v>17140</v>
      </c>
      <c r="Z924" t="s">
        <v>17141</v>
      </c>
      <c r="AA924" t="s">
        <v>17142</v>
      </c>
      <c r="AB924" t="s">
        <v>74</v>
      </c>
      <c r="AC924" t="s">
        <v>74</v>
      </c>
      <c r="AD924" t="s">
        <v>74</v>
      </c>
      <c r="AE924" t="s">
        <v>74</v>
      </c>
      <c r="AF924" t="s">
        <v>74</v>
      </c>
      <c r="AG924">
        <v>46</v>
      </c>
      <c r="AH924">
        <v>1</v>
      </c>
      <c r="AI924">
        <v>1</v>
      </c>
      <c r="AJ924">
        <v>0</v>
      </c>
      <c r="AK924">
        <v>0</v>
      </c>
      <c r="AL924" t="s">
        <v>17143</v>
      </c>
      <c r="AM924" t="s">
        <v>17144</v>
      </c>
      <c r="AN924" t="s">
        <v>17145</v>
      </c>
      <c r="AO924" t="s">
        <v>17146</v>
      </c>
      <c r="AP924" t="s">
        <v>74</v>
      </c>
      <c r="AQ924" t="s">
        <v>74</v>
      </c>
      <c r="AR924" t="s">
        <v>17147</v>
      </c>
      <c r="AS924" t="s">
        <v>17148</v>
      </c>
      <c r="AT924" t="s">
        <v>74</v>
      </c>
      <c r="AU924">
        <v>2024</v>
      </c>
      <c r="AV924">
        <v>32</v>
      </c>
      <c r="AW924">
        <v>1</v>
      </c>
      <c r="AX924" t="s">
        <v>74</v>
      </c>
      <c r="AY924" t="s">
        <v>74</v>
      </c>
      <c r="AZ924" t="s">
        <v>74</v>
      </c>
      <c r="BA924" t="s">
        <v>74</v>
      </c>
      <c r="BB924">
        <v>51</v>
      </c>
      <c r="BC924">
        <v>68</v>
      </c>
      <c r="BD924" t="s">
        <v>74</v>
      </c>
      <c r="BE924" t="s">
        <v>17149</v>
      </c>
      <c r="BF924" t="str">
        <f>HYPERLINK("http://dx.doi.org/10.31436/ijema.v32i1.1070","http://dx.doi.org/10.31436/ijema.v32i1.1070")</f>
        <v>http://dx.doi.org/10.31436/ijema.v32i1.1070</v>
      </c>
      <c r="BG924" t="s">
        <v>74</v>
      </c>
      <c r="BH924" t="s">
        <v>74</v>
      </c>
      <c r="BI924">
        <v>18</v>
      </c>
      <c r="BJ924" t="s">
        <v>291</v>
      </c>
      <c r="BK924" t="s">
        <v>313</v>
      </c>
      <c r="BL924" t="s">
        <v>100</v>
      </c>
      <c r="BM924" t="s">
        <v>17150</v>
      </c>
      <c r="BN924" t="s">
        <v>74</v>
      </c>
      <c r="BO924" t="s">
        <v>74</v>
      </c>
      <c r="BP924" t="s">
        <v>74</v>
      </c>
      <c r="BQ924" t="s">
        <v>74</v>
      </c>
      <c r="BR924" t="s">
        <v>102</v>
      </c>
      <c r="BS924" t="s">
        <v>17151</v>
      </c>
      <c r="BT924" t="str">
        <f>HYPERLINK("https%3A%2F%2Fwww.webofscience.com%2Fwos%2Fwoscc%2Ffull-record%2FWOS:001400963600002","View Full Record in Web of Science")</f>
        <v>View Full Record in Web of Science</v>
      </c>
    </row>
    <row r="925" spans="1:72" x14ac:dyDescent="0.25">
      <c r="A925" t="s">
        <v>72</v>
      </c>
      <c r="B925" t="s">
        <v>17152</v>
      </c>
      <c r="C925" t="s">
        <v>74</v>
      </c>
      <c r="D925" t="s">
        <v>74</v>
      </c>
      <c r="E925" t="s">
        <v>74</v>
      </c>
      <c r="F925" t="s">
        <v>17153</v>
      </c>
      <c r="G925" t="s">
        <v>74</v>
      </c>
      <c r="H925" t="s">
        <v>74</v>
      </c>
      <c r="I925" t="s">
        <v>17154</v>
      </c>
      <c r="J925" t="s">
        <v>5078</v>
      </c>
      <c r="K925" t="s">
        <v>74</v>
      </c>
      <c r="L925" t="s">
        <v>74</v>
      </c>
      <c r="M925" t="s">
        <v>78</v>
      </c>
      <c r="N925" t="s">
        <v>79</v>
      </c>
      <c r="O925" t="s">
        <v>74</v>
      </c>
      <c r="P925" t="s">
        <v>74</v>
      </c>
      <c r="Q925" t="s">
        <v>74</v>
      </c>
      <c r="R925" t="s">
        <v>74</v>
      </c>
      <c r="S925" t="s">
        <v>74</v>
      </c>
      <c r="T925" t="s">
        <v>17155</v>
      </c>
      <c r="U925" t="s">
        <v>17156</v>
      </c>
      <c r="V925" t="s">
        <v>17157</v>
      </c>
      <c r="W925" t="s">
        <v>17158</v>
      </c>
      <c r="X925" t="s">
        <v>17159</v>
      </c>
      <c r="Y925" t="s">
        <v>17160</v>
      </c>
      <c r="Z925" t="s">
        <v>2770</v>
      </c>
      <c r="AA925" t="s">
        <v>17161</v>
      </c>
      <c r="AB925" t="s">
        <v>2772</v>
      </c>
      <c r="AC925" t="s">
        <v>74</v>
      </c>
      <c r="AD925" t="s">
        <v>74</v>
      </c>
      <c r="AE925" t="s">
        <v>74</v>
      </c>
      <c r="AF925" t="s">
        <v>74</v>
      </c>
      <c r="AG925">
        <v>57</v>
      </c>
      <c r="AH925">
        <v>6</v>
      </c>
      <c r="AI925">
        <v>8</v>
      </c>
      <c r="AJ925">
        <v>2</v>
      </c>
      <c r="AK925">
        <v>23</v>
      </c>
      <c r="AL925" t="s">
        <v>385</v>
      </c>
      <c r="AM925" t="s">
        <v>151</v>
      </c>
      <c r="AN925" t="s">
        <v>386</v>
      </c>
      <c r="AO925" t="s">
        <v>74</v>
      </c>
      <c r="AP925" t="s">
        <v>5087</v>
      </c>
      <c r="AQ925" t="s">
        <v>74</v>
      </c>
      <c r="AR925" t="s">
        <v>5088</v>
      </c>
      <c r="AS925" t="s">
        <v>5089</v>
      </c>
      <c r="AT925" t="s">
        <v>17162</v>
      </c>
      <c r="AU925">
        <v>2023</v>
      </c>
      <c r="AV925">
        <v>9</v>
      </c>
      <c r="AW925">
        <v>1</v>
      </c>
      <c r="AX925" t="s">
        <v>74</v>
      </c>
      <c r="AY925" t="s">
        <v>74</v>
      </c>
      <c r="AZ925" t="s">
        <v>74</v>
      </c>
      <c r="BA925" t="s">
        <v>74</v>
      </c>
      <c r="BB925" t="s">
        <v>74</v>
      </c>
      <c r="BC925" t="s">
        <v>74</v>
      </c>
      <c r="BD925">
        <v>102</v>
      </c>
      <c r="BE925" t="s">
        <v>17163</v>
      </c>
      <c r="BF925" t="str">
        <f>HYPERLINK("http://dx.doi.org/10.1186/s40854-023-00507-0","http://dx.doi.org/10.1186/s40854-023-00507-0")</f>
        <v>http://dx.doi.org/10.1186/s40854-023-00507-0</v>
      </c>
      <c r="BG925" t="s">
        <v>74</v>
      </c>
      <c r="BH925" t="s">
        <v>74</v>
      </c>
      <c r="BI925">
        <v>26</v>
      </c>
      <c r="BJ925" t="s">
        <v>5092</v>
      </c>
      <c r="BK925" t="s">
        <v>99</v>
      </c>
      <c r="BL925" t="s">
        <v>2024</v>
      </c>
      <c r="BM925" t="s">
        <v>17164</v>
      </c>
      <c r="BN925" t="s">
        <v>74</v>
      </c>
      <c r="BO925" t="s">
        <v>1676</v>
      </c>
      <c r="BP925" t="s">
        <v>74</v>
      </c>
      <c r="BQ925" t="s">
        <v>74</v>
      </c>
      <c r="BR925" t="s">
        <v>102</v>
      </c>
      <c r="BS925" t="s">
        <v>17165</v>
      </c>
      <c r="BT925" t="str">
        <f>HYPERLINK("https%3A%2F%2Fwww.webofscience.com%2Fwos%2Fwoscc%2Ffull-record%2FWOS:001050556800001","View Full Record in Web of Science")</f>
        <v>View Full Record in Web of Science</v>
      </c>
    </row>
    <row r="926" spans="1:72" x14ac:dyDescent="0.25">
      <c r="A926" t="s">
        <v>72</v>
      </c>
      <c r="B926" t="s">
        <v>17166</v>
      </c>
      <c r="C926" t="s">
        <v>74</v>
      </c>
      <c r="D926" t="s">
        <v>74</v>
      </c>
      <c r="E926" t="s">
        <v>74</v>
      </c>
      <c r="F926" t="s">
        <v>17167</v>
      </c>
      <c r="G926" t="s">
        <v>74</v>
      </c>
      <c r="H926" t="s">
        <v>74</v>
      </c>
      <c r="I926" t="s">
        <v>17168</v>
      </c>
      <c r="J926" t="s">
        <v>17169</v>
      </c>
      <c r="K926" t="s">
        <v>74</v>
      </c>
      <c r="L926" t="s">
        <v>74</v>
      </c>
      <c r="M926" t="s">
        <v>78</v>
      </c>
      <c r="N926" t="s">
        <v>79</v>
      </c>
      <c r="O926" t="s">
        <v>74</v>
      </c>
      <c r="P926" t="s">
        <v>74</v>
      </c>
      <c r="Q926" t="s">
        <v>74</v>
      </c>
      <c r="R926" t="s">
        <v>74</v>
      </c>
      <c r="S926" t="s">
        <v>74</v>
      </c>
      <c r="T926" t="s">
        <v>17170</v>
      </c>
      <c r="U926" t="s">
        <v>17171</v>
      </c>
      <c r="V926" t="s">
        <v>17172</v>
      </c>
      <c r="W926" t="s">
        <v>17173</v>
      </c>
      <c r="X926" t="s">
        <v>17174</v>
      </c>
      <c r="Y926" t="s">
        <v>17175</v>
      </c>
      <c r="Z926" t="s">
        <v>17176</v>
      </c>
      <c r="AA926" t="s">
        <v>17177</v>
      </c>
      <c r="AB926" t="s">
        <v>17178</v>
      </c>
      <c r="AC926" t="s">
        <v>74</v>
      </c>
      <c r="AD926" t="s">
        <v>74</v>
      </c>
      <c r="AE926" t="s">
        <v>74</v>
      </c>
      <c r="AF926" t="s">
        <v>74</v>
      </c>
      <c r="AG926">
        <v>30</v>
      </c>
      <c r="AH926">
        <v>0</v>
      </c>
      <c r="AI926">
        <v>0</v>
      </c>
      <c r="AJ926">
        <v>1</v>
      </c>
      <c r="AK926">
        <v>3</v>
      </c>
      <c r="AL926" t="s">
        <v>17179</v>
      </c>
      <c r="AM926" t="s">
        <v>410</v>
      </c>
      <c r="AN926" t="s">
        <v>17180</v>
      </c>
      <c r="AO926" t="s">
        <v>17181</v>
      </c>
      <c r="AP926" t="s">
        <v>17182</v>
      </c>
      <c r="AQ926" t="s">
        <v>74</v>
      </c>
      <c r="AR926" t="s">
        <v>17183</v>
      </c>
      <c r="AS926" t="s">
        <v>17184</v>
      </c>
      <c r="AT926" t="s">
        <v>74</v>
      </c>
      <c r="AU926">
        <v>2024</v>
      </c>
      <c r="AV926">
        <v>45</v>
      </c>
      <c r="AW926">
        <v>7</v>
      </c>
      <c r="AX926" t="s">
        <v>74</v>
      </c>
      <c r="AY926" t="s">
        <v>74</v>
      </c>
      <c r="AZ926" t="s">
        <v>74</v>
      </c>
      <c r="BA926" t="s">
        <v>74</v>
      </c>
      <c r="BB926">
        <v>2027</v>
      </c>
      <c r="BC926">
        <v>2043</v>
      </c>
      <c r="BD926" t="s">
        <v>74</v>
      </c>
      <c r="BE926" t="s">
        <v>17185</v>
      </c>
      <c r="BF926" t="str">
        <f>HYPERLINK("http://dx.doi.org/10.47974/JIOS-1753","http://dx.doi.org/10.47974/JIOS-1753")</f>
        <v>http://dx.doi.org/10.47974/JIOS-1753</v>
      </c>
      <c r="BG926" t="s">
        <v>74</v>
      </c>
      <c r="BH926" t="s">
        <v>74</v>
      </c>
      <c r="BI926">
        <v>17</v>
      </c>
      <c r="BJ926" t="s">
        <v>2351</v>
      </c>
      <c r="BK926" t="s">
        <v>313</v>
      </c>
      <c r="BL926" t="s">
        <v>2351</v>
      </c>
      <c r="BM926" t="s">
        <v>17186</v>
      </c>
      <c r="BN926" t="s">
        <v>74</v>
      </c>
      <c r="BO926" t="s">
        <v>74</v>
      </c>
      <c r="BP926" t="s">
        <v>74</v>
      </c>
      <c r="BQ926" t="s">
        <v>74</v>
      </c>
      <c r="BR926" t="s">
        <v>102</v>
      </c>
      <c r="BS926" t="s">
        <v>17187</v>
      </c>
      <c r="BT926" t="str">
        <f>HYPERLINK("https%3A%2F%2Fwww.webofscience.com%2Fwos%2Fwoscc%2Ffull-record%2FWOS:001424904100014","View Full Record in Web of Science")</f>
        <v>View Full Record in Web of Science</v>
      </c>
    </row>
    <row r="927" spans="1:72" x14ac:dyDescent="0.25">
      <c r="A927" t="s">
        <v>72</v>
      </c>
      <c r="B927" t="s">
        <v>17188</v>
      </c>
      <c r="C927" t="s">
        <v>74</v>
      </c>
      <c r="D927" t="s">
        <v>74</v>
      </c>
      <c r="E927" t="s">
        <v>74</v>
      </c>
      <c r="F927" t="s">
        <v>17189</v>
      </c>
      <c r="G927" t="s">
        <v>74</v>
      </c>
      <c r="H927" t="s">
        <v>74</v>
      </c>
      <c r="I927" t="s">
        <v>17190</v>
      </c>
      <c r="J927" t="s">
        <v>12172</v>
      </c>
      <c r="K927" t="s">
        <v>74</v>
      </c>
      <c r="L927" t="s">
        <v>74</v>
      </c>
      <c r="M927" t="s">
        <v>78</v>
      </c>
      <c r="N927" t="s">
        <v>79</v>
      </c>
      <c r="O927" t="s">
        <v>74</v>
      </c>
      <c r="P927" t="s">
        <v>74</v>
      </c>
      <c r="Q927" t="s">
        <v>74</v>
      </c>
      <c r="R927" t="s">
        <v>74</v>
      </c>
      <c r="S927" t="s">
        <v>74</v>
      </c>
      <c r="T927" t="s">
        <v>17191</v>
      </c>
      <c r="U927" t="s">
        <v>17192</v>
      </c>
      <c r="V927" t="s">
        <v>17193</v>
      </c>
      <c r="W927" t="s">
        <v>17194</v>
      </c>
      <c r="X927" t="s">
        <v>17195</v>
      </c>
      <c r="Y927" t="s">
        <v>17196</v>
      </c>
      <c r="Z927" t="s">
        <v>17197</v>
      </c>
      <c r="AA927" t="s">
        <v>17198</v>
      </c>
      <c r="AB927" t="s">
        <v>17199</v>
      </c>
      <c r="AC927" t="s">
        <v>17200</v>
      </c>
      <c r="AD927" t="s">
        <v>17201</v>
      </c>
      <c r="AE927" t="s">
        <v>17202</v>
      </c>
      <c r="AF927" t="s">
        <v>74</v>
      </c>
      <c r="AG927">
        <v>57</v>
      </c>
      <c r="AH927">
        <v>1</v>
      </c>
      <c r="AI927">
        <v>1</v>
      </c>
      <c r="AJ927">
        <v>0</v>
      </c>
      <c r="AK927">
        <v>11</v>
      </c>
      <c r="AL927" t="s">
        <v>757</v>
      </c>
      <c r="AM927" t="s">
        <v>758</v>
      </c>
      <c r="AN927" t="s">
        <v>759</v>
      </c>
      <c r="AO927" t="s">
        <v>12179</v>
      </c>
      <c r="AP927" t="s">
        <v>74</v>
      </c>
      <c r="AQ927" t="s">
        <v>74</v>
      </c>
      <c r="AR927" t="s">
        <v>12172</v>
      </c>
      <c r="AS927" t="s">
        <v>12180</v>
      </c>
      <c r="AT927" t="s">
        <v>743</v>
      </c>
      <c r="AU927">
        <v>2022</v>
      </c>
      <c r="AV927">
        <v>12</v>
      </c>
      <c r="AW927">
        <v>2</v>
      </c>
      <c r="AX927" t="s">
        <v>74</v>
      </c>
      <c r="AY927" t="s">
        <v>74</v>
      </c>
      <c r="AZ927" t="s">
        <v>74</v>
      </c>
      <c r="BA927" t="s">
        <v>74</v>
      </c>
      <c r="BB927" t="s">
        <v>74</v>
      </c>
      <c r="BC927" t="s">
        <v>74</v>
      </c>
      <c r="BD927">
        <v>2.1582440221089976E+16</v>
      </c>
      <c r="BE927" t="s">
        <v>17203</v>
      </c>
      <c r="BF927" t="str">
        <f>HYPERLINK("http://dx.doi.org/10.1177/21582440221089974","http://dx.doi.org/10.1177/21582440221089974")</f>
        <v>http://dx.doi.org/10.1177/21582440221089974</v>
      </c>
      <c r="BG927" t="s">
        <v>74</v>
      </c>
      <c r="BH927" t="s">
        <v>74</v>
      </c>
      <c r="BI927">
        <v>14</v>
      </c>
      <c r="BJ927" t="s">
        <v>364</v>
      </c>
      <c r="BK927" t="s">
        <v>99</v>
      </c>
      <c r="BL927" t="s">
        <v>365</v>
      </c>
      <c r="BM927" t="s">
        <v>17204</v>
      </c>
      <c r="BN927" t="s">
        <v>74</v>
      </c>
      <c r="BO927" t="s">
        <v>916</v>
      </c>
      <c r="BP927" t="s">
        <v>74</v>
      </c>
      <c r="BQ927" t="s">
        <v>74</v>
      </c>
      <c r="BR927" t="s">
        <v>102</v>
      </c>
      <c r="BS927" t="s">
        <v>17205</v>
      </c>
      <c r="BT927" t="str">
        <f>HYPERLINK("https%3A%2F%2Fwww.webofscience.com%2Fwos%2Fwoscc%2Ffull-record%2FWOS:000786302100001","View Full Record in Web of Science")</f>
        <v>View Full Record in Web of Science</v>
      </c>
    </row>
    <row r="928" spans="1:72" x14ac:dyDescent="0.25">
      <c r="A928" t="s">
        <v>72</v>
      </c>
      <c r="B928" t="s">
        <v>17206</v>
      </c>
      <c r="C928" t="s">
        <v>74</v>
      </c>
      <c r="D928" t="s">
        <v>74</v>
      </c>
      <c r="E928" t="s">
        <v>74</v>
      </c>
      <c r="F928" t="s">
        <v>17207</v>
      </c>
      <c r="G928" t="s">
        <v>74</v>
      </c>
      <c r="H928" t="s">
        <v>74</v>
      </c>
      <c r="I928" t="s">
        <v>17208</v>
      </c>
      <c r="J928" t="s">
        <v>9191</v>
      </c>
      <c r="K928" t="s">
        <v>74</v>
      </c>
      <c r="L928" t="s">
        <v>74</v>
      </c>
      <c r="M928" t="s">
        <v>78</v>
      </c>
      <c r="N928" t="s">
        <v>79</v>
      </c>
      <c r="O928" t="s">
        <v>74</v>
      </c>
      <c r="P928" t="s">
        <v>74</v>
      </c>
      <c r="Q928" t="s">
        <v>74</v>
      </c>
      <c r="R928" t="s">
        <v>74</v>
      </c>
      <c r="S928" t="s">
        <v>74</v>
      </c>
      <c r="T928" t="s">
        <v>17209</v>
      </c>
      <c r="U928" t="s">
        <v>17210</v>
      </c>
      <c r="V928" t="s">
        <v>17211</v>
      </c>
      <c r="W928" t="s">
        <v>17212</v>
      </c>
      <c r="X928" t="s">
        <v>17213</v>
      </c>
      <c r="Y928" t="s">
        <v>17214</v>
      </c>
      <c r="Z928" t="s">
        <v>17215</v>
      </c>
      <c r="AA928" t="s">
        <v>74</v>
      </c>
      <c r="AB928" t="s">
        <v>74</v>
      </c>
      <c r="AC928" t="s">
        <v>74</v>
      </c>
      <c r="AD928" t="s">
        <v>74</v>
      </c>
      <c r="AE928" t="s">
        <v>74</v>
      </c>
      <c r="AF928" t="s">
        <v>74</v>
      </c>
      <c r="AG928">
        <v>47</v>
      </c>
      <c r="AH928">
        <v>4</v>
      </c>
      <c r="AI928">
        <v>5</v>
      </c>
      <c r="AJ928">
        <v>14</v>
      </c>
      <c r="AK928">
        <v>55</v>
      </c>
      <c r="AL928" t="s">
        <v>9204</v>
      </c>
      <c r="AM928" t="s">
        <v>2016</v>
      </c>
      <c r="AN928" t="s">
        <v>9205</v>
      </c>
      <c r="AO928" t="s">
        <v>74</v>
      </c>
      <c r="AP928" t="s">
        <v>9206</v>
      </c>
      <c r="AQ928" t="s">
        <v>74</v>
      </c>
      <c r="AR928" t="s">
        <v>9191</v>
      </c>
      <c r="AS928" t="s">
        <v>9207</v>
      </c>
      <c r="AT928" t="s">
        <v>463</v>
      </c>
      <c r="AU928">
        <v>2024</v>
      </c>
      <c r="AV928">
        <v>10</v>
      </c>
      <c r="AW928">
        <v>7</v>
      </c>
      <c r="AX928" t="s">
        <v>74</v>
      </c>
      <c r="AY928" t="s">
        <v>74</v>
      </c>
      <c r="AZ928" t="s">
        <v>74</v>
      </c>
      <c r="BA928" t="s">
        <v>74</v>
      </c>
      <c r="BB928" t="s">
        <v>74</v>
      </c>
      <c r="BC928" t="s">
        <v>74</v>
      </c>
      <c r="BD928" t="s">
        <v>17216</v>
      </c>
      <c r="BE928" t="s">
        <v>17217</v>
      </c>
      <c r="BF928" t="str">
        <f>HYPERLINK("http://dx.doi.org/10.1016/j.heliyon.2024.e28659","http://dx.doi.org/10.1016/j.heliyon.2024.e28659")</f>
        <v>http://dx.doi.org/10.1016/j.heliyon.2024.e28659</v>
      </c>
      <c r="BG928" t="s">
        <v>74</v>
      </c>
      <c r="BH928" t="s">
        <v>1981</v>
      </c>
      <c r="BI928">
        <v>13</v>
      </c>
      <c r="BJ928" t="s">
        <v>559</v>
      </c>
      <c r="BK928" t="s">
        <v>128</v>
      </c>
      <c r="BL928" t="s">
        <v>560</v>
      </c>
      <c r="BM928" t="s">
        <v>17218</v>
      </c>
      <c r="BN928">
        <v>38689999</v>
      </c>
      <c r="BO928" t="s">
        <v>916</v>
      </c>
      <c r="BP928" t="s">
        <v>74</v>
      </c>
      <c r="BQ928" t="s">
        <v>74</v>
      </c>
      <c r="BR928" t="s">
        <v>102</v>
      </c>
      <c r="BS928" t="s">
        <v>17219</v>
      </c>
      <c r="BT928" t="str">
        <f>HYPERLINK("https%3A%2F%2Fwww.webofscience.com%2Fwos%2Fwoscc%2Ffull-record%2FWOS:001214939700001","View Full Record in Web of Science")</f>
        <v>View Full Record in Web of Science</v>
      </c>
    </row>
    <row r="929" spans="1:72" x14ac:dyDescent="0.25">
      <c r="A929" t="s">
        <v>72</v>
      </c>
      <c r="B929" t="s">
        <v>17220</v>
      </c>
      <c r="C929" t="s">
        <v>74</v>
      </c>
      <c r="D929" t="s">
        <v>74</v>
      </c>
      <c r="E929" t="s">
        <v>74</v>
      </c>
      <c r="F929" t="s">
        <v>17221</v>
      </c>
      <c r="G929" t="s">
        <v>74</v>
      </c>
      <c r="H929" t="s">
        <v>74</v>
      </c>
      <c r="I929" t="s">
        <v>17222</v>
      </c>
      <c r="J929" t="s">
        <v>1987</v>
      </c>
      <c r="K929" t="s">
        <v>74</v>
      </c>
      <c r="L929" t="s">
        <v>74</v>
      </c>
      <c r="M929" t="s">
        <v>78</v>
      </c>
      <c r="N929" t="s">
        <v>16500</v>
      </c>
      <c r="O929" t="s">
        <v>74</v>
      </c>
      <c r="P929" t="s">
        <v>74</v>
      </c>
      <c r="Q929" t="s">
        <v>74</v>
      </c>
      <c r="R929" t="s">
        <v>74</v>
      </c>
      <c r="S929" t="s">
        <v>74</v>
      </c>
      <c r="T929" t="s">
        <v>17223</v>
      </c>
      <c r="U929" t="s">
        <v>17224</v>
      </c>
      <c r="V929" t="s">
        <v>17225</v>
      </c>
      <c r="W929" t="s">
        <v>17226</v>
      </c>
      <c r="X929" t="s">
        <v>17227</v>
      </c>
      <c r="Y929" t="s">
        <v>17228</v>
      </c>
      <c r="Z929" t="s">
        <v>17229</v>
      </c>
      <c r="AA929" t="s">
        <v>17230</v>
      </c>
      <c r="AB929" t="s">
        <v>74</v>
      </c>
      <c r="AC929" t="s">
        <v>17231</v>
      </c>
      <c r="AD929" t="s">
        <v>17231</v>
      </c>
      <c r="AE929" t="s">
        <v>17232</v>
      </c>
      <c r="AF929" t="s">
        <v>74</v>
      </c>
      <c r="AG929">
        <v>124</v>
      </c>
      <c r="AH929">
        <v>0</v>
      </c>
      <c r="AI929">
        <v>0</v>
      </c>
      <c r="AJ929">
        <v>0</v>
      </c>
      <c r="AK929">
        <v>0</v>
      </c>
      <c r="AL929" t="s">
        <v>479</v>
      </c>
      <c r="AM929" t="s">
        <v>480</v>
      </c>
      <c r="AN929" t="s">
        <v>481</v>
      </c>
      <c r="AO929" t="s">
        <v>1997</v>
      </c>
      <c r="AP929" t="s">
        <v>1998</v>
      </c>
      <c r="AQ929" t="s">
        <v>74</v>
      </c>
      <c r="AR929" t="s">
        <v>1999</v>
      </c>
      <c r="AS929" t="s">
        <v>2000</v>
      </c>
      <c r="AT929" t="s">
        <v>16449</v>
      </c>
      <c r="AU929">
        <v>2025</v>
      </c>
      <c r="AV929" t="s">
        <v>74</v>
      </c>
      <c r="AW929" t="s">
        <v>74</v>
      </c>
      <c r="AX929" t="s">
        <v>74</v>
      </c>
      <c r="AY929" t="s">
        <v>74</v>
      </c>
      <c r="AZ929" t="s">
        <v>74</v>
      </c>
      <c r="BA929" t="s">
        <v>74</v>
      </c>
      <c r="BB929" t="s">
        <v>74</v>
      </c>
      <c r="BC929" t="s">
        <v>74</v>
      </c>
      <c r="BD929" t="s">
        <v>74</v>
      </c>
      <c r="BE929" t="s">
        <v>17233</v>
      </c>
      <c r="BF929" t="str">
        <f>HYPERLINK("http://dx.doi.org/10.1002/jid.70035","http://dx.doi.org/10.1002/jid.70035")</f>
        <v>http://dx.doi.org/10.1002/jid.70035</v>
      </c>
      <c r="BG929" t="s">
        <v>74</v>
      </c>
      <c r="BH929" t="s">
        <v>2044</v>
      </c>
      <c r="BI929">
        <v>12</v>
      </c>
      <c r="BJ929" t="s">
        <v>1137</v>
      </c>
      <c r="BK929" t="s">
        <v>99</v>
      </c>
      <c r="BL929" t="s">
        <v>1137</v>
      </c>
      <c r="BM929" t="s">
        <v>17234</v>
      </c>
      <c r="BN929" t="s">
        <v>74</v>
      </c>
      <c r="BO929" t="s">
        <v>270</v>
      </c>
      <c r="BP929" t="s">
        <v>74</v>
      </c>
      <c r="BQ929" t="s">
        <v>74</v>
      </c>
      <c r="BR929" t="s">
        <v>102</v>
      </c>
      <c r="BS929" t="s">
        <v>17235</v>
      </c>
      <c r="BT929" t="str">
        <f>HYPERLINK("https%3A%2F%2Fwww.webofscience.com%2Fwos%2Fwoscc%2Ffull-record%2FWOS:001608965600001","View Full Record in Web of Science")</f>
        <v>View Full Record in Web of Science</v>
      </c>
    </row>
    <row r="930" spans="1:72" x14ac:dyDescent="0.25">
      <c r="A930" t="s">
        <v>72</v>
      </c>
      <c r="B930" t="s">
        <v>17236</v>
      </c>
      <c r="C930" t="s">
        <v>74</v>
      </c>
      <c r="D930" t="s">
        <v>74</v>
      </c>
      <c r="E930" t="s">
        <v>74</v>
      </c>
      <c r="F930" t="s">
        <v>17237</v>
      </c>
      <c r="G930" t="s">
        <v>74</v>
      </c>
      <c r="H930" t="s">
        <v>74</v>
      </c>
      <c r="I930" t="s">
        <v>17238</v>
      </c>
      <c r="J930" t="s">
        <v>836</v>
      </c>
      <c r="K930" t="s">
        <v>74</v>
      </c>
      <c r="L930" t="s">
        <v>74</v>
      </c>
      <c r="M930" t="s">
        <v>78</v>
      </c>
      <c r="N930" t="s">
        <v>79</v>
      </c>
      <c r="O930" t="s">
        <v>74</v>
      </c>
      <c r="P930" t="s">
        <v>74</v>
      </c>
      <c r="Q930" t="s">
        <v>74</v>
      </c>
      <c r="R930" t="s">
        <v>74</v>
      </c>
      <c r="S930" t="s">
        <v>74</v>
      </c>
      <c r="T930" t="s">
        <v>17239</v>
      </c>
      <c r="U930" t="s">
        <v>74</v>
      </c>
      <c r="V930" t="s">
        <v>17240</v>
      </c>
      <c r="W930" t="s">
        <v>17241</v>
      </c>
      <c r="X930" t="s">
        <v>17242</v>
      </c>
      <c r="Y930" t="s">
        <v>17243</v>
      </c>
      <c r="Z930" t="s">
        <v>17244</v>
      </c>
      <c r="AA930" t="s">
        <v>17245</v>
      </c>
      <c r="AB930" t="s">
        <v>17246</v>
      </c>
      <c r="AC930" t="s">
        <v>74</v>
      </c>
      <c r="AD930" t="s">
        <v>74</v>
      </c>
      <c r="AE930" t="s">
        <v>74</v>
      </c>
      <c r="AF930" t="s">
        <v>74</v>
      </c>
      <c r="AG930">
        <v>35</v>
      </c>
      <c r="AH930">
        <v>65</v>
      </c>
      <c r="AI930">
        <v>67</v>
      </c>
      <c r="AJ930">
        <v>39</v>
      </c>
      <c r="AK930">
        <v>171</v>
      </c>
      <c r="AL930" t="s">
        <v>503</v>
      </c>
      <c r="AM930" t="s">
        <v>151</v>
      </c>
      <c r="AN930" t="s">
        <v>504</v>
      </c>
      <c r="AO930" t="s">
        <v>844</v>
      </c>
      <c r="AP930" t="s">
        <v>845</v>
      </c>
      <c r="AQ930" t="s">
        <v>74</v>
      </c>
      <c r="AR930" t="s">
        <v>846</v>
      </c>
      <c r="AS930" t="s">
        <v>847</v>
      </c>
      <c r="AT930" t="s">
        <v>208</v>
      </c>
      <c r="AU930">
        <v>2024</v>
      </c>
      <c r="AV930">
        <v>91</v>
      </c>
      <c r="AW930" t="s">
        <v>74</v>
      </c>
      <c r="AX930" t="s">
        <v>74</v>
      </c>
      <c r="AY930" t="s">
        <v>74</v>
      </c>
      <c r="AZ930" t="s">
        <v>74</v>
      </c>
      <c r="BA930" t="s">
        <v>74</v>
      </c>
      <c r="BB930" t="s">
        <v>74</v>
      </c>
      <c r="BC930" t="s">
        <v>74</v>
      </c>
      <c r="BD930">
        <v>103044</v>
      </c>
      <c r="BE930" t="s">
        <v>17247</v>
      </c>
      <c r="BF930" t="str">
        <f>HYPERLINK("http://dx.doi.org/10.1016/j.irfa.2023.103044","http://dx.doi.org/10.1016/j.irfa.2023.103044")</f>
        <v>http://dx.doi.org/10.1016/j.irfa.2023.103044</v>
      </c>
      <c r="BG930" t="s">
        <v>74</v>
      </c>
      <c r="BH930" t="s">
        <v>1524</v>
      </c>
      <c r="BI930">
        <v>9</v>
      </c>
      <c r="BJ930" t="s">
        <v>268</v>
      </c>
      <c r="BK930" t="s">
        <v>99</v>
      </c>
      <c r="BL930" t="s">
        <v>100</v>
      </c>
      <c r="BM930" t="s">
        <v>17248</v>
      </c>
      <c r="BN930" t="s">
        <v>74</v>
      </c>
      <c r="BO930" t="s">
        <v>74</v>
      </c>
      <c r="BP930" t="s">
        <v>74</v>
      </c>
      <c r="BQ930" t="s">
        <v>74</v>
      </c>
      <c r="BR930" t="s">
        <v>102</v>
      </c>
      <c r="BS930" t="s">
        <v>17249</v>
      </c>
      <c r="BT930" t="str">
        <f>HYPERLINK("https%3A%2F%2Fwww.webofscience.com%2Fwos%2Fwoscc%2Ffull-record%2FWOS:001135434800001","View Full Record in Web of Science")</f>
        <v>View Full Record in Web of Science</v>
      </c>
    </row>
    <row r="931" spans="1:72" x14ac:dyDescent="0.25">
      <c r="A931" t="s">
        <v>72</v>
      </c>
      <c r="B931" t="s">
        <v>17250</v>
      </c>
      <c r="C931" t="s">
        <v>74</v>
      </c>
      <c r="D931" t="s">
        <v>74</v>
      </c>
      <c r="E931" t="s">
        <v>74</v>
      </c>
      <c r="F931" t="s">
        <v>17251</v>
      </c>
      <c r="G931" t="s">
        <v>74</v>
      </c>
      <c r="H931" t="s">
        <v>74</v>
      </c>
      <c r="I931" t="s">
        <v>17252</v>
      </c>
      <c r="J931" t="s">
        <v>1681</v>
      </c>
      <c r="K931" t="s">
        <v>74</v>
      </c>
      <c r="L931" t="s">
        <v>74</v>
      </c>
      <c r="M931" t="s">
        <v>78</v>
      </c>
      <c r="N931" t="s">
        <v>79</v>
      </c>
      <c r="O931" t="s">
        <v>74</v>
      </c>
      <c r="P931" t="s">
        <v>74</v>
      </c>
      <c r="Q931" t="s">
        <v>74</v>
      </c>
      <c r="R931" t="s">
        <v>74</v>
      </c>
      <c r="S931" t="s">
        <v>74</v>
      </c>
      <c r="T931" t="s">
        <v>17253</v>
      </c>
      <c r="U931" t="s">
        <v>74</v>
      </c>
      <c r="V931" t="s">
        <v>17254</v>
      </c>
      <c r="W931" t="s">
        <v>17255</v>
      </c>
      <c r="X931" t="s">
        <v>17256</v>
      </c>
      <c r="Y931" t="s">
        <v>17257</v>
      </c>
      <c r="Z931" t="s">
        <v>74</v>
      </c>
      <c r="AA931" t="s">
        <v>17258</v>
      </c>
      <c r="AB931" t="s">
        <v>17259</v>
      </c>
      <c r="AC931" t="s">
        <v>74</v>
      </c>
      <c r="AD931" t="s">
        <v>74</v>
      </c>
      <c r="AE931" t="s">
        <v>74</v>
      </c>
      <c r="AF931" t="s">
        <v>74</v>
      </c>
      <c r="AG931">
        <v>38</v>
      </c>
      <c r="AH931">
        <v>18</v>
      </c>
      <c r="AI931">
        <v>21</v>
      </c>
      <c r="AJ931">
        <v>3</v>
      </c>
      <c r="AK931">
        <v>22</v>
      </c>
      <c r="AL931" t="s">
        <v>332</v>
      </c>
      <c r="AM931" t="s">
        <v>333</v>
      </c>
      <c r="AN931" t="s">
        <v>334</v>
      </c>
      <c r="AO931" t="s">
        <v>1689</v>
      </c>
      <c r="AP931" t="s">
        <v>1690</v>
      </c>
      <c r="AQ931" t="s">
        <v>74</v>
      </c>
      <c r="AR931" t="s">
        <v>1691</v>
      </c>
      <c r="AS931" t="s">
        <v>1692</v>
      </c>
      <c r="AT931" t="s">
        <v>5472</v>
      </c>
      <c r="AU931">
        <v>2022</v>
      </c>
      <c r="AV931">
        <v>56</v>
      </c>
      <c r="AW931">
        <v>3</v>
      </c>
      <c r="AX931" t="s">
        <v>74</v>
      </c>
      <c r="AY931" t="s">
        <v>74</v>
      </c>
      <c r="AZ931" t="s">
        <v>74</v>
      </c>
      <c r="BA931" t="s">
        <v>74</v>
      </c>
      <c r="BB931">
        <v>770</v>
      </c>
      <c r="BC931">
        <v>781</v>
      </c>
      <c r="BD931" t="s">
        <v>74</v>
      </c>
      <c r="BE931" t="s">
        <v>17260</v>
      </c>
      <c r="BF931" t="str">
        <f>HYPERLINK("http://dx.doi.org/10.1080/00213624.2022.2079936","http://dx.doi.org/10.1080/00213624.2022.2079936")</f>
        <v>http://dx.doi.org/10.1080/00213624.2022.2079936</v>
      </c>
      <c r="BG931" t="s">
        <v>74</v>
      </c>
      <c r="BH931" t="s">
        <v>74</v>
      </c>
      <c r="BI931">
        <v>12</v>
      </c>
      <c r="BJ931" t="s">
        <v>291</v>
      </c>
      <c r="BK931" t="s">
        <v>99</v>
      </c>
      <c r="BL931" t="s">
        <v>100</v>
      </c>
      <c r="BM931" t="s">
        <v>17261</v>
      </c>
      <c r="BN931" t="s">
        <v>74</v>
      </c>
      <c r="BO931" t="s">
        <v>74</v>
      </c>
      <c r="BP931" t="s">
        <v>74</v>
      </c>
      <c r="BQ931" t="s">
        <v>74</v>
      </c>
      <c r="BR931" t="s">
        <v>102</v>
      </c>
      <c r="BS931" t="s">
        <v>17262</v>
      </c>
      <c r="BT931" t="str">
        <f>HYPERLINK("https%3A%2F%2Fwww.webofscience.com%2Fwos%2Fwoscc%2Ffull-record%2FWOS:000863399800007","View Full Record in Web of Science")</f>
        <v>View Full Record in Web of Science</v>
      </c>
    </row>
    <row r="932" spans="1:72" x14ac:dyDescent="0.25">
      <c r="A932" t="s">
        <v>72</v>
      </c>
      <c r="B932" t="s">
        <v>17263</v>
      </c>
      <c r="C932" t="s">
        <v>74</v>
      </c>
      <c r="D932" t="s">
        <v>74</v>
      </c>
      <c r="E932" t="s">
        <v>74</v>
      </c>
      <c r="F932" t="s">
        <v>17264</v>
      </c>
      <c r="G932" t="s">
        <v>74</v>
      </c>
      <c r="H932" t="s">
        <v>74</v>
      </c>
      <c r="I932" t="s">
        <v>17265</v>
      </c>
      <c r="J932" t="s">
        <v>3231</v>
      </c>
      <c r="K932" t="s">
        <v>74</v>
      </c>
      <c r="L932" t="s">
        <v>74</v>
      </c>
      <c r="M932" t="s">
        <v>78</v>
      </c>
      <c r="N932" t="s">
        <v>79</v>
      </c>
      <c r="O932" t="s">
        <v>74</v>
      </c>
      <c r="P932" t="s">
        <v>74</v>
      </c>
      <c r="Q932" t="s">
        <v>74</v>
      </c>
      <c r="R932" t="s">
        <v>74</v>
      </c>
      <c r="S932" t="s">
        <v>74</v>
      </c>
      <c r="T932" t="s">
        <v>17266</v>
      </c>
      <c r="U932" t="s">
        <v>17267</v>
      </c>
      <c r="V932" t="s">
        <v>17268</v>
      </c>
      <c r="W932" t="s">
        <v>17269</v>
      </c>
      <c r="X932" t="s">
        <v>17270</v>
      </c>
      <c r="Y932" t="s">
        <v>17271</v>
      </c>
      <c r="Z932" t="s">
        <v>17272</v>
      </c>
      <c r="AA932" t="s">
        <v>17273</v>
      </c>
      <c r="AB932" t="s">
        <v>17274</v>
      </c>
      <c r="AC932" t="s">
        <v>74</v>
      </c>
      <c r="AD932" t="s">
        <v>74</v>
      </c>
      <c r="AE932" t="s">
        <v>74</v>
      </c>
      <c r="AF932" t="s">
        <v>74</v>
      </c>
      <c r="AG932">
        <v>85</v>
      </c>
      <c r="AH932">
        <v>5</v>
      </c>
      <c r="AI932">
        <v>7</v>
      </c>
      <c r="AJ932">
        <v>0</v>
      </c>
      <c r="AK932">
        <v>3</v>
      </c>
      <c r="AL932" t="s">
        <v>575</v>
      </c>
      <c r="AM932" t="s">
        <v>576</v>
      </c>
      <c r="AN932" t="s">
        <v>3242</v>
      </c>
      <c r="AO932" t="s">
        <v>74</v>
      </c>
      <c r="AP932" t="s">
        <v>3243</v>
      </c>
      <c r="AQ932" t="s">
        <v>74</v>
      </c>
      <c r="AR932" t="s">
        <v>3244</v>
      </c>
      <c r="AS932" t="s">
        <v>3245</v>
      </c>
      <c r="AT932" t="s">
        <v>1159</v>
      </c>
      <c r="AU932">
        <v>2024</v>
      </c>
      <c r="AV932">
        <v>16</v>
      </c>
      <c r="AW932">
        <v>19</v>
      </c>
      <c r="AX932" t="s">
        <v>74</v>
      </c>
      <c r="AY932" t="s">
        <v>74</v>
      </c>
      <c r="AZ932" t="s">
        <v>74</v>
      </c>
      <c r="BA932" t="s">
        <v>74</v>
      </c>
      <c r="BB932" t="s">
        <v>74</v>
      </c>
      <c r="BC932" t="s">
        <v>74</v>
      </c>
      <c r="BD932">
        <v>8528</v>
      </c>
      <c r="BE932" t="s">
        <v>17275</v>
      </c>
      <c r="BF932" t="str">
        <f>HYPERLINK("http://dx.doi.org/10.3390/su16198528","http://dx.doi.org/10.3390/su16198528")</f>
        <v>http://dx.doi.org/10.3390/su16198528</v>
      </c>
      <c r="BG932" t="s">
        <v>74</v>
      </c>
      <c r="BH932" t="s">
        <v>74</v>
      </c>
      <c r="BI932">
        <v>21</v>
      </c>
      <c r="BJ932" t="s">
        <v>3247</v>
      </c>
      <c r="BK932" t="s">
        <v>2623</v>
      </c>
      <c r="BL932" t="s">
        <v>3248</v>
      </c>
      <c r="BM932" t="s">
        <v>17276</v>
      </c>
      <c r="BN932" t="s">
        <v>74</v>
      </c>
      <c r="BO932" t="s">
        <v>212</v>
      </c>
      <c r="BP932" t="s">
        <v>74</v>
      </c>
      <c r="BQ932" t="s">
        <v>74</v>
      </c>
      <c r="BR932" t="s">
        <v>102</v>
      </c>
      <c r="BS932" t="s">
        <v>17277</v>
      </c>
      <c r="BT932" t="str">
        <f>HYPERLINK("https%3A%2F%2Fwww.webofscience.com%2Fwos%2Fwoscc%2Ffull-record%2FWOS:001332991000001","View Full Record in Web of Science")</f>
        <v>View Full Record in Web of Science</v>
      </c>
    </row>
    <row r="933" spans="1:72" x14ac:dyDescent="0.25">
      <c r="A933" t="s">
        <v>72</v>
      </c>
      <c r="B933" t="s">
        <v>17278</v>
      </c>
      <c r="C933" t="s">
        <v>74</v>
      </c>
      <c r="D933" t="s">
        <v>74</v>
      </c>
      <c r="E933" t="s">
        <v>74</v>
      </c>
      <c r="F933" t="s">
        <v>17279</v>
      </c>
      <c r="G933" t="s">
        <v>74</v>
      </c>
      <c r="H933" t="s">
        <v>74</v>
      </c>
      <c r="I933" t="s">
        <v>17280</v>
      </c>
      <c r="J933" t="s">
        <v>1902</v>
      </c>
      <c r="K933" t="s">
        <v>74</v>
      </c>
      <c r="L933" t="s">
        <v>74</v>
      </c>
      <c r="M933" t="s">
        <v>78</v>
      </c>
      <c r="N933" t="s">
        <v>79</v>
      </c>
      <c r="O933" t="s">
        <v>74</v>
      </c>
      <c r="P933" t="s">
        <v>74</v>
      </c>
      <c r="Q933" t="s">
        <v>74</v>
      </c>
      <c r="R933" t="s">
        <v>74</v>
      </c>
      <c r="S933" t="s">
        <v>74</v>
      </c>
      <c r="T933" t="s">
        <v>17281</v>
      </c>
      <c r="U933" t="s">
        <v>17282</v>
      </c>
      <c r="V933" t="s">
        <v>17283</v>
      </c>
      <c r="W933" t="s">
        <v>17284</v>
      </c>
      <c r="X933" t="s">
        <v>17285</v>
      </c>
      <c r="Y933" t="s">
        <v>17286</v>
      </c>
      <c r="Z933" t="s">
        <v>17287</v>
      </c>
      <c r="AA933" t="s">
        <v>74</v>
      </c>
      <c r="AB933" t="s">
        <v>17288</v>
      </c>
      <c r="AC933" t="s">
        <v>74</v>
      </c>
      <c r="AD933" t="s">
        <v>74</v>
      </c>
      <c r="AE933" t="s">
        <v>74</v>
      </c>
      <c r="AF933" t="s">
        <v>74</v>
      </c>
      <c r="AG933">
        <v>66</v>
      </c>
      <c r="AH933">
        <v>6</v>
      </c>
      <c r="AI933">
        <v>7</v>
      </c>
      <c r="AJ933">
        <v>3</v>
      </c>
      <c r="AK933">
        <v>13</v>
      </c>
      <c r="AL933" t="s">
        <v>89</v>
      </c>
      <c r="AM933" t="s">
        <v>90</v>
      </c>
      <c r="AN933" t="s">
        <v>91</v>
      </c>
      <c r="AO933" t="s">
        <v>1910</v>
      </c>
      <c r="AP933" t="s">
        <v>1911</v>
      </c>
      <c r="AQ933" t="s">
        <v>74</v>
      </c>
      <c r="AR933" t="s">
        <v>1912</v>
      </c>
      <c r="AS933" t="s">
        <v>1913</v>
      </c>
      <c r="AT933" t="s">
        <v>9096</v>
      </c>
      <c r="AU933">
        <v>2024</v>
      </c>
      <c r="AV933">
        <v>16</v>
      </c>
      <c r="AW933">
        <v>3</v>
      </c>
      <c r="AX933" t="s">
        <v>74</v>
      </c>
      <c r="AY933" t="s">
        <v>74</v>
      </c>
      <c r="AZ933" t="s">
        <v>74</v>
      </c>
      <c r="BA933" t="s">
        <v>74</v>
      </c>
      <c r="BB933">
        <v>383</v>
      </c>
      <c r="BC933">
        <v>403</v>
      </c>
      <c r="BD933" t="s">
        <v>74</v>
      </c>
      <c r="BE933" t="s">
        <v>17289</v>
      </c>
      <c r="BF933" t="str">
        <f>HYPERLINK("http://dx.doi.org/10.1108/JFEP-01-2023-0029","http://dx.doi.org/10.1108/JFEP-01-2023-0029")</f>
        <v>http://dx.doi.org/10.1108/JFEP-01-2023-0029</v>
      </c>
      <c r="BG933" t="s">
        <v>74</v>
      </c>
      <c r="BH933" t="s">
        <v>938</v>
      </c>
      <c r="BI933">
        <v>21</v>
      </c>
      <c r="BJ933" t="s">
        <v>291</v>
      </c>
      <c r="BK933" t="s">
        <v>313</v>
      </c>
      <c r="BL933" t="s">
        <v>100</v>
      </c>
      <c r="BM933" t="s">
        <v>17290</v>
      </c>
      <c r="BN933" t="s">
        <v>74</v>
      </c>
      <c r="BO933" t="s">
        <v>74</v>
      </c>
      <c r="BP933" t="s">
        <v>74</v>
      </c>
      <c r="BQ933" t="s">
        <v>74</v>
      </c>
      <c r="BR933" t="s">
        <v>102</v>
      </c>
      <c r="BS933" t="s">
        <v>17291</v>
      </c>
      <c r="BT933" t="str">
        <f>HYPERLINK("https%3A%2F%2Fwww.webofscience.com%2Fwos%2Fwoscc%2Ffull-record%2FWOS:001207257400001","View Full Record in Web of Science")</f>
        <v>View Full Record in Web of Science</v>
      </c>
    </row>
    <row r="934" spans="1:72" x14ac:dyDescent="0.25">
      <c r="A934" t="s">
        <v>72</v>
      </c>
      <c r="B934" t="s">
        <v>17292</v>
      </c>
      <c r="C934" t="s">
        <v>74</v>
      </c>
      <c r="D934" t="s">
        <v>74</v>
      </c>
      <c r="E934" t="s">
        <v>74</v>
      </c>
      <c r="F934" t="s">
        <v>17293</v>
      </c>
      <c r="G934" t="s">
        <v>74</v>
      </c>
      <c r="H934" t="s">
        <v>74</v>
      </c>
      <c r="I934" t="s">
        <v>17294</v>
      </c>
      <c r="J934" t="s">
        <v>2288</v>
      </c>
      <c r="K934" t="s">
        <v>74</v>
      </c>
      <c r="L934" t="s">
        <v>74</v>
      </c>
      <c r="M934" t="s">
        <v>78</v>
      </c>
      <c r="N934" t="s">
        <v>79</v>
      </c>
      <c r="O934" t="s">
        <v>74</v>
      </c>
      <c r="P934" t="s">
        <v>74</v>
      </c>
      <c r="Q934" t="s">
        <v>74</v>
      </c>
      <c r="R934" t="s">
        <v>74</v>
      </c>
      <c r="S934" t="s">
        <v>74</v>
      </c>
      <c r="T934" t="s">
        <v>17295</v>
      </c>
      <c r="U934" t="s">
        <v>17296</v>
      </c>
      <c r="V934" t="s">
        <v>17297</v>
      </c>
      <c r="W934" t="s">
        <v>17298</v>
      </c>
      <c r="X934" t="s">
        <v>17299</v>
      </c>
      <c r="Y934" t="s">
        <v>17300</v>
      </c>
      <c r="Z934" t="s">
        <v>17301</v>
      </c>
      <c r="AA934" t="s">
        <v>17302</v>
      </c>
      <c r="AB934" t="s">
        <v>17303</v>
      </c>
      <c r="AC934" t="s">
        <v>74</v>
      </c>
      <c r="AD934" t="s">
        <v>74</v>
      </c>
      <c r="AE934" t="s">
        <v>74</v>
      </c>
      <c r="AF934" t="s">
        <v>74</v>
      </c>
      <c r="AG934">
        <v>48</v>
      </c>
      <c r="AH934">
        <v>132</v>
      </c>
      <c r="AI934">
        <v>182</v>
      </c>
      <c r="AJ934">
        <v>2</v>
      </c>
      <c r="AK934">
        <v>55</v>
      </c>
      <c r="AL934" t="s">
        <v>3298</v>
      </c>
      <c r="AM934" t="s">
        <v>202</v>
      </c>
      <c r="AN934" t="s">
        <v>3299</v>
      </c>
      <c r="AO934" t="s">
        <v>2299</v>
      </c>
      <c r="AP934" t="s">
        <v>2300</v>
      </c>
      <c r="AQ934" t="s">
        <v>74</v>
      </c>
      <c r="AR934" t="s">
        <v>2301</v>
      </c>
      <c r="AS934" t="s">
        <v>2302</v>
      </c>
      <c r="AT934" t="s">
        <v>605</v>
      </c>
      <c r="AU934">
        <v>2014</v>
      </c>
      <c r="AV934">
        <v>107</v>
      </c>
      <c r="AW934" t="s">
        <v>74</v>
      </c>
      <c r="AX934" t="s">
        <v>74</v>
      </c>
      <c r="AY934" t="s">
        <v>74</v>
      </c>
      <c r="AZ934" t="s">
        <v>74</v>
      </c>
      <c r="BA934" t="s">
        <v>74</v>
      </c>
      <c r="BB934">
        <v>65</v>
      </c>
      <c r="BC934">
        <v>83</v>
      </c>
      <c r="BD934" t="s">
        <v>74</v>
      </c>
      <c r="BE934" t="s">
        <v>17304</v>
      </c>
      <c r="BF934" t="str">
        <f>HYPERLINK("http://dx.doi.org/10.1016/j.jdeveco.2013.11.003","http://dx.doi.org/10.1016/j.jdeveco.2013.11.003")</f>
        <v>http://dx.doi.org/10.1016/j.jdeveco.2013.11.003</v>
      </c>
      <c r="BG934" t="s">
        <v>74</v>
      </c>
      <c r="BH934" t="s">
        <v>74</v>
      </c>
      <c r="BI934">
        <v>19</v>
      </c>
      <c r="BJ934" t="s">
        <v>291</v>
      </c>
      <c r="BK934" t="s">
        <v>99</v>
      </c>
      <c r="BL934" t="s">
        <v>100</v>
      </c>
      <c r="BM934" t="s">
        <v>17305</v>
      </c>
      <c r="BN934" t="s">
        <v>74</v>
      </c>
      <c r="BO934" t="s">
        <v>74</v>
      </c>
      <c r="BP934" t="s">
        <v>74</v>
      </c>
      <c r="BQ934" t="s">
        <v>74</v>
      </c>
      <c r="BR934" t="s">
        <v>102</v>
      </c>
      <c r="BS934" t="s">
        <v>17306</v>
      </c>
      <c r="BT934" t="str">
        <f>HYPERLINK("https%3A%2F%2Fwww.webofscience.com%2Fwos%2Fwoscc%2Ffull-record%2FWOS:000333489300006","View Full Record in Web of Science")</f>
        <v>View Full Record in Web of Science</v>
      </c>
    </row>
    <row r="935" spans="1:72" x14ac:dyDescent="0.25">
      <c r="A935" t="s">
        <v>72</v>
      </c>
      <c r="B935" t="s">
        <v>17307</v>
      </c>
      <c r="C935" t="s">
        <v>74</v>
      </c>
      <c r="D935" t="s">
        <v>74</v>
      </c>
      <c r="E935" t="s">
        <v>74</v>
      </c>
      <c r="F935" t="s">
        <v>17308</v>
      </c>
      <c r="G935" t="s">
        <v>74</v>
      </c>
      <c r="H935" t="s">
        <v>74</v>
      </c>
      <c r="I935" t="s">
        <v>17309</v>
      </c>
      <c r="J935" t="s">
        <v>13617</v>
      </c>
      <c r="K935" t="s">
        <v>74</v>
      </c>
      <c r="L935" t="s">
        <v>74</v>
      </c>
      <c r="M935" t="s">
        <v>78</v>
      </c>
      <c r="N935" t="s">
        <v>79</v>
      </c>
      <c r="O935" t="s">
        <v>74</v>
      </c>
      <c r="P935" t="s">
        <v>74</v>
      </c>
      <c r="Q935" t="s">
        <v>74</v>
      </c>
      <c r="R935" t="s">
        <v>74</v>
      </c>
      <c r="S935" t="s">
        <v>74</v>
      </c>
      <c r="T935" t="s">
        <v>17310</v>
      </c>
      <c r="U935" t="s">
        <v>74</v>
      </c>
      <c r="V935" t="s">
        <v>17311</v>
      </c>
      <c r="W935" t="s">
        <v>17312</v>
      </c>
      <c r="X935" t="s">
        <v>17313</v>
      </c>
      <c r="Y935" t="s">
        <v>17314</v>
      </c>
      <c r="Z935" t="s">
        <v>17315</v>
      </c>
      <c r="AA935" t="s">
        <v>17316</v>
      </c>
      <c r="AB935" t="s">
        <v>74</v>
      </c>
      <c r="AC935" t="s">
        <v>17317</v>
      </c>
      <c r="AD935" t="s">
        <v>8707</v>
      </c>
      <c r="AE935" t="s">
        <v>17318</v>
      </c>
      <c r="AF935" t="s">
        <v>74</v>
      </c>
      <c r="AG935">
        <v>31</v>
      </c>
      <c r="AH935">
        <v>1</v>
      </c>
      <c r="AI935">
        <v>1</v>
      </c>
      <c r="AJ935">
        <v>13</v>
      </c>
      <c r="AK935">
        <v>17</v>
      </c>
      <c r="AL935" t="s">
        <v>1216</v>
      </c>
      <c r="AM935" t="s">
        <v>283</v>
      </c>
      <c r="AN935" t="s">
        <v>1217</v>
      </c>
      <c r="AO935" t="s">
        <v>74</v>
      </c>
      <c r="AP935" t="s">
        <v>13624</v>
      </c>
      <c r="AQ935" t="s">
        <v>74</v>
      </c>
      <c r="AR935" t="s">
        <v>13625</v>
      </c>
      <c r="AS935" t="s">
        <v>13626</v>
      </c>
      <c r="AT935" t="s">
        <v>11788</v>
      </c>
      <c r="AU935">
        <v>2025</v>
      </c>
      <c r="AV935">
        <v>13</v>
      </c>
      <c r="AW935" t="s">
        <v>74</v>
      </c>
      <c r="AX935" t="s">
        <v>74</v>
      </c>
      <c r="AY935" t="s">
        <v>74</v>
      </c>
      <c r="AZ935" t="s">
        <v>74</v>
      </c>
      <c r="BA935" t="s">
        <v>74</v>
      </c>
      <c r="BB935" t="s">
        <v>74</v>
      </c>
      <c r="BC935" t="s">
        <v>74</v>
      </c>
      <c r="BD935">
        <v>1586780</v>
      </c>
      <c r="BE935" t="s">
        <v>17319</v>
      </c>
      <c r="BF935" t="str">
        <f>HYPERLINK("http://dx.doi.org/10.3389/fpubh.2025.1586780","http://dx.doi.org/10.3389/fpubh.2025.1586780")</f>
        <v>http://dx.doi.org/10.3389/fpubh.2025.1586780</v>
      </c>
      <c r="BG935" t="s">
        <v>74</v>
      </c>
      <c r="BH935" t="s">
        <v>74</v>
      </c>
      <c r="BI935">
        <v>14</v>
      </c>
      <c r="BJ935" t="s">
        <v>7080</v>
      </c>
      <c r="BK935" t="s">
        <v>2623</v>
      </c>
      <c r="BL935" t="s">
        <v>7080</v>
      </c>
      <c r="BM935" t="s">
        <v>17320</v>
      </c>
      <c r="BN935">
        <v>40342500</v>
      </c>
      <c r="BO935" t="s">
        <v>916</v>
      </c>
      <c r="BP935" t="s">
        <v>74</v>
      </c>
      <c r="BQ935" t="s">
        <v>74</v>
      </c>
      <c r="BR935" t="s">
        <v>102</v>
      </c>
      <c r="BS935" t="s">
        <v>17321</v>
      </c>
      <c r="BT935" t="str">
        <f>HYPERLINK("https%3A%2F%2Fwww.webofscience.com%2Fwos%2Fwoscc%2Ffull-record%2FWOS:001483609300001","View Full Record in Web of Science")</f>
        <v>View Full Record in Web of Science</v>
      </c>
    </row>
    <row r="936" spans="1:72" x14ac:dyDescent="0.25">
      <c r="A936" t="s">
        <v>72</v>
      </c>
      <c r="B936" t="s">
        <v>17322</v>
      </c>
      <c r="C936" t="s">
        <v>74</v>
      </c>
      <c r="D936" t="s">
        <v>74</v>
      </c>
      <c r="E936" t="s">
        <v>74</v>
      </c>
      <c r="F936" t="s">
        <v>17323</v>
      </c>
      <c r="G936" t="s">
        <v>74</v>
      </c>
      <c r="H936" t="s">
        <v>74</v>
      </c>
      <c r="I936" t="s">
        <v>17324</v>
      </c>
      <c r="J936" t="s">
        <v>14622</v>
      </c>
      <c r="K936" t="s">
        <v>74</v>
      </c>
      <c r="L936" t="s">
        <v>74</v>
      </c>
      <c r="M936" t="s">
        <v>78</v>
      </c>
      <c r="N936" t="s">
        <v>372</v>
      </c>
      <c r="O936" t="s">
        <v>74</v>
      </c>
      <c r="P936" t="s">
        <v>74</v>
      </c>
      <c r="Q936" t="s">
        <v>74</v>
      </c>
      <c r="R936" t="s">
        <v>74</v>
      </c>
      <c r="S936" t="s">
        <v>74</v>
      </c>
      <c r="T936" t="s">
        <v>17325</v>
      </c>
      <c r="U936" t="s">
        <v>17326</v>
      </c>
      <c r="V936" t="s">
        <v>17327</v>
      </c>
      <c r="W936" t="s">
        <v>17328</v>
      </c>
      <c r="X936" t="s">
        <v>74</v>
      </c>
      <c r="Y936" t="s">
        <v>17329</v>
      </c>
      <c r="Z936" t="s">
        <v>17330</v>
      </c>
      <c r="AA936" t="s">
        <v>17331</v>
      </c>
      <c r="AB936" t="s">
        <v>74</v>
      </c>
      <c r="AC936" t="s">
        <v>74</v>
      </c>
      <c r="AD936" t="s">
        <v>74</v>
      </c>
      <c r="AE936" t="s">
        <v>74</v>
      </c>
      <c r="AF936" t="s">
        <v>74</v>
      </c>
      <c r="AG936">
        <v>124</v>
      </c>
      <c r="AH936">
        <v>0</v>
      </c>
      <c r="AI936">
        <v>0</v>
      </c>
      <c r="AJ936">
        <v>6</v>
      </c>
      <c r="AK936">
        <v>6</v>
      </c>
      <c r="AL936" t="s">
        <v>385</v>
      </c>
      <c r="AM936" t="s">
        <v>151</v>
      </c>
      <c r="AN936" t="s">
        <v>386</v>
      </c>
      <c r="AO936" t="s">
        <v>14635</v>
      </c>
      <c r="AP936" t="s">
        <v>14636</v>
      </c>
      <c r="AQ936" t="s">
        <v>74</v>
      </c>
      <c r="AR936" t="s">
        <v>14637</v>
      </c>
      <c r="AS936" t="s">
        <v>14638</v>
      </c>
      <c r="AT936" t="s">
        <v>17332</v>
      </c>
      <c r="AU936">
        <v>2025</v>
      </c>
      <c r="AV936" t="s">
        <v>74</v>
      </c>
      <c r="AW936" t="s">
        <v>74</v>
      </c>
      <c r="AX936" t="s">
        <v>74</v>
      </c>
      <c r="AY936" t="s">
        <v>74</v>
      </c>
      <c r="AZ936" t="s">
        <v>74</v>
      </c>
      <c r="BA936" t="s">
        <v>74</v>
      </c>
      <c r="BB936" t="s">
        <v>74</v>
      </c>
      <c r="BC936" t="s">
        <v>74</v>
      </c>
      <c r="BD936" t="s">
        <v>74</v>
      </c>
      <c r="BE936" t="s">
        <v>17333</v>
      </c>
      <c r="BF936" t="str">
        <f>HYPERLINK("http://dx.doi.org/10.1007/s10690-025-09565-z","http://dx.doi.org/10.1007/s10690-025-09565-z")</f>
        <v>http://dx.doi.org/10.1007/s10690-025-09565-z</v>
      </c>
      <c r="BG936" t="s">
        <v>74</v>
      </c>
      <c r="BH936" t="s">
        <v>2044</v>
      </c>
      <c r="BI936">
        <v>24</v>
      </c>
      <c r="BJ936" t="s">
        <v>291</v>
      </c>
      <c r="BK936" t="s">
        <v>313</v>
      </c>
      <c r="BL936" t="s">
        <v>100</v>
      </c>
      <c r="BM936" t="s">
        <v>17334</v>
      </c>
      <c r="BN936" t="s">
        <v>74</v>
      </c>
      <c r="BO936" t="s">
        <v>74</v>
      </c>
      <c r="BP936" t="s">
        <v>74</v>
      </c>
      <c r="BQ936" t="s">
        <v>74</v>
      </c>
      <c r="BR936" t="s">
        <v>102</v>
      </c>
      <c r="BS936" t="s">
        <v>17335</v>
      </c>
      <c r="BT936" t="str">
        <f>HYPERLINK("https%3A%2F%2Fwww.webofscience.com%2Fwos%2Fwoscc%2Ffull-record%2FWOS:001609483500001","View Full Record in Web of Science")</f>
        <v>View Full Record in Web of Science</v>
      </c>
    </row>
    <row r="937" spans="1:72" x14ac:dyDescent="0.25">
      <c r="A937" t="s">
        <v>72</v>
      </c>
      <c r="B937" t="s">
        <v>17336</v>
      </c>
      <c r="C937" t="s">
        <v>74</v>
      </c>
      <c r="D937" t="s">
        <v>74</v>
      </c>
      <c r="E937" t="s">
        <v>74</v>
      </c>
      <c r="F937" t="s">
        <v>17337</v>
      </c>
      <c r="G937" t="s">
        <v>74</v>
      </c>
      <c r="H937" t="s">
        <v>74</v>
      </c>
      <c r="I937" t="s">
        <v>17338</v>
      </c>
      <c r="J937" t="s">
        <v>12878</v>
      </c>
      <c r="K937" t="s">
        <v>74</v>
      </c>
      <c r="L937" t="s">
        <v>74</v>
      </c>
      <c r="M937" t="s">
        <v>78</v>
      </c>
      <c r="N937" t="s">
        <v>79</v>
      </c>
      <c r="O937" t="s">
        <v>74</v>
      </c>
      <c r="P937" t="s">
        <v>74</v>
      </c>
      <c r="Q937" t="s">
        <v>74</v>
      </c>
      <c r="R937" t="s">
        <v>74</v>
      </c>
      <c r="S937" t="s">
        <v>74</v>
      </c>
      <c r="T937" t="s">
        <v>17339</v>
      </c>
      <c r="U937" t="s">
        <v>17340</v>
      </c>
      <c r="V937" t="s">
        <v>17341</v>
      </c>
      <c r="W937" t="s">
        <v>17342</v>
      </c>
      <c r="X937" t="s">
        <v>12134</v>
      </c>
      <c r="Y937" t="s">
        <v>17343</v>
      </c>
      <c r="Z937" t="s">
        <v>17344</v>
      </c>
      <c r="AA937" t="s">
        <v>74</v>
      </c>
      <c r="AB937" t="s">
        <v>74</v>
      </c>
      <c r="AC937" t="s">
        <v>74</v>
      </c>
      <c r="AD937" t="s">
        <v>74</v>
      </c>
      <c r="AE937" t="s">
        <v>74</v>
      </c>
      <c r="AF937" t="s">
        <v>74</v>
      </c>
      <c r="AG937">
        <v>48</v>
      </c>
      <c r="AH937">
        <v>0</v>
      </c>
      <c r="AI937">
        <v>0</v>
      </c>
      <c r="AJ937">
        <v>1</v>
      </c>
      <c r="AK937">
        <v>8</v>
      </c>
      <c r="AL937" t="s">
        <v>117</v>
      </c>
      <c r="AM937" t="s">
        <v>118</v>
      </c>
      <c r="AN937" t="s">
        <v>119</v>
      </c>
      <c r="AO937" t="s">
        <v>12888</v>
      </c>
      <c r="AP937" t="s">
        <v>12889</v>
      </c>
      <c r="AQ937" t="s">
        <v>74</v>
      </c>
      <c r="AR937" t="s">
        <v>12890</v>
      </c>
      <c r="AS937" t="s">
        <v>12891</v>
      </c>
      <c r="AT937" t="s">
        <v>1652</v>
      </c>
      <c r="AU937">
        <v>2025</v>
      </c>
      <c r="AV937">
        <v>15</v>
      </c>
      <c r="AW937">
        <v>2</v>
      </c>
      <c r="AX937" t="s">
        <v>74</v>
      </c>
      <c r="AY937" t="s">
        <v>74</v>
      </c>
      <c r="AZ937" t="s">
        <v>441</v>
      </c>
      <c r="BA937" t="s">
        <v>74</v>
      </c>
      <c r="BB937">
        <v>317</v>
      </c>
      <c r="BC937">
        <v>351</v>
      </c>
      <c r="BD937" t="s">
        <v>74</v>
      </c>
      <c r="BE937" t="s">
        <v>17345</v>
      </c>
      <c r="BF937" t="str">
        <f>HYPERLINK("http://dx.doi.org/10.1007/s40822-024-00301-y","http://dx.doi.org/10.1007/s40822-024-00301-y")</f>
        <v>http://dx.doi.org/10.1007/s40822-024-00301-y</v>
      </c>
      <c r="BG937" t="s">
        <v>74</v>
      </c>
      <c r="BH937" t="s">
        <v>1737</v>
      </c>
      <c r="BI937">
        <v>35</v>
      </c>
      <c r="BJ937" t="s">
        <v>291</v>
      </c>
      <c r="BK937" t="s">
        <v>313</v>
      </c>
      <c r="BL937" t="s">
        <v>100</v>
      </c>
      <c r="BM937" t="s">
        <v>12893</v>
      </c>
      <c r="BN937" t="s">
        <v>74</v>
      </c>
      <c r="BO937" t="s">
        <v>74</v>
      </c>
      <c r="BP937" t="s">
        <v>74</v>
      </c>
      <c r="BQ937" t="s">
        <v>74</v>
      </c>
      <c r="BR937" t="s">
        <v>102</v>
      </c>
      <c r="BS937" t="s">
        <v>17346</v>
      </c>
      <c r="BT937" t="str">
        <f>HYPERLINK("https%3A%2F%2Fwww.webofscience.com%2Fwos%2Fwoscc%2Ffull-record%2FWOS:001401113300001","View Full Record in Web of Science")</f>
        <v>View Full Record in Web of Science</v>
      </c>
    </row>
    <row r="938" spans="1:72" x14ac:dyDescent="0.25">
      <c r="A938" t="s">
        <v>72</v>
      </c>
      <c r="B938" t="s">
        <v>17347</v>
      </c>
      <c r="C938" t="s">
        <v>74</v>
      </c>
      <c r="D938" t="s">
        <v>74</v>
      </c>
      <c r="E938" t="s">
        <v>74</v>
      </c>
      <c r="F938" t="s">
        <v>17348</v>
      </c>
      <c r="G938" t="s">
        <v>74</v>
      </c>
      <c r="H938" t="s">
        <v>74</v>
      </c>
      <c r="I938" t="s">
        <v>17349</v>
      </c>
      <c r="J938" t="s">
        <v>10186</v>
      </c>
      <c r="K938" t="s">
        <v>74</v>
      </c>
      <c r="L938" t="s">
        <v>74</v>
      </c>
      <c r="M938" t="s">
        <v>78</v>
      </c>
      <c r="N938" t="s">
        <v>79</v>
      </c>
      <c r="O938" t="s">
        <v>74</v>
      </c>
      <c r="P938" t="s">
        <v>74</v>
      </c>
      <c r="Q938" t="s">
        <v>74</v>
      </c>
      <c r="R938" t="s">
        <v>74</v>
      </c>
      <c r="S938" t="s">
        <v>74</v>
      </c>
      <c r="T938" t="s">
        <v>17350</v>
      </c>
      <c r="U938" t="s">
        <v>17351</v>
      </c>
      <c r="V938" t="s">
        <v>17352</v>
      </c>
      <c r="W938" t="s">
        <v>17353</v>
      </c>
      <c r="X938" t="s">
        <v>17354</v>
      </c>
      <c r="Y938" t="s">
        <v>17355</v>
      </c>
      <c r="Z938" t="s">
        <v>17356</v>
      </c>
      <c r="AA938" t="s">
        <v>17357</v>
      </c>
      <c r="AB938" t="s">
        <v>17358</v>
      </c>
      <c r="AC938" t="s">
        <v>74</v>
      </c>
      <c r="AD938" t="s">
        <v>74</v>
      </c>
      <c r="AE938" t="s">
        <v>74</v>
      </c>
      <c r="AF938" t="s">
        <v>74</v>
      </c>
      <c r="AG938">
        <v>114</v>
      </c>
      <c r="AH938">
        <v>37</v>
      </c>
      <c r="AI938">
        <v>46</v>
      </c>
      <c r="AJ938">
        <v>6</v>
      </c>
      <c r="AK938">
        <v>70</v>
      </c>
      <c r="AL938" t="s">
        <v>575</v>
      </c>
      <c r="AM938" t="s">
        <v>576</v>
      </c>
      <c r="AN938" t="s">
        <v>577</v>
      </c>
      <c r="AO938" t="s">
        <v>74</v>
      </c>
      <c r="AP938" t="s">
        <v>10199</v>
      </c>
      <c r="AQ938" t="s">
        <v>74</v>
      </c>
      <c r="AR938" t="s">
        <v>10200</v>
      </c>
      <c r="AS938" t="s">
        <v>10201</v>
      </c>
      <c r="AT938" t="s">
        <v>1159</v>
      </c>
      <c r="AU938">
        <v>2021</v>
      </c>
      <c r="AV938">
        <v>18</v>
      </c>
      <c r="AW938">
        <v>20</v>
      </c>
      <c r="AX938" t="s">
        <v>74</v>
      </c>
      <c r="AY938" t="s">
        <v>74</v>
      </c>
      <c r="AZ938" t="s">
        <v>74</v>
      </c>
      <c r="BA938" t="s">
        <v>74</v>
      </c>
      <c r="BB938" t="s">
        <v>74</v>
      </c>
      <c r="BC938" t="s">
        <v>74</v>
      </c>
      <c r="BD938">
        <v>10938</v>
      </c>
      <c r="BE938" t="s">
        <v>17359</v>
      </c>
      <c r="BF938" t="str">
        <f>HYPERLINK("http://dx.doi.org/10.3390/ijerph182010938","http://dx.doi.org/10.3390/ijerph182010938")</f>
        <v>http://dx.doi.org/10.3390/ijerph182010938</v>
      </c>
      <c r="BG938" t="s">
        <v>74</v>
      </c>
      <c r="BH938" t="s">
        <v>74</v>
      </c>
      <c r="BI938">
        <v>28</v>
      </c>
      <c r="BJ938" t="s">
        <v>10203</v>
      </c>
      <c r="BK938" t="s">
        <v>2623</v>
      </c>
      <c r="BL938" t="s">
        <v>10204</v>
      </c>
      <c r="BM938" t="s">
        <v>17360</v>
      </c>
      <c r="BN938">
        <v>34682701</v>
      </c>
      <c r="BO938" t="s">
        <v>916</v>
      </c>
      <c r="BP938" t="s">
        <v>74</v>
      </c>
      <c r="BQ938" t="s">
        <v>74</v>
      </c>
      <c r="BR938" t="s">
        <v>102</v>
      </c>
      <c r="BS938" t="s">
        <v>17361</v>
      </c>
      <c r="BT938" t="str">
        <f>HYPERLINK("https%3A%2F%2Fwww.webofscience.com%2Fwos%2Fwoscc%2Ffull-record%2FWOS:000745979000001","View Full Record in Web of Science")</f>
        <v>View Full Record in Web of Science</v>
      </c>
    </row>
    <row r="939" spans="1:72" x14ac:dyDescent="0.25">
      <c r="A939" t="s">
        <v>72</v>
      </c>
      <c r="B939" t="s">
        <v>17362</v>
      </c>
      <c r="C939" t="s">
        <v>74</v>
      </c>
      <c r="D939" t="s">
        <v>74</v>
      </c>
      <c r="E939" t="s">
        <v>74</v>
      </c>
      <c r="F939" t="s">
        <v>17363</v>
      </c>
      <c r="G939" t="s">
        <v>74</v>
      </c>
      <c r="H939" t="s">
        <v>74</v>
      </c>
      <c r="I939" t="s">
        <v>17364</v>
      </c>
      <c r="J939" t="s">
        <v>14861</v>
      </c>
      <c r="K939" t="s">
        <v>74</v>
      </c>
      <c r="L939" t="s">
        <v>74</v>
      </c>
      <c r="M939" t="s">
        <v>78</v>
      </c>
      <c r="N939" t="s">
        <v>79</v>
      </c>
      <c r="O939" t="s">
        <v>74</v>
      </c>
      <c r="P939" t="s">
        <v>74</v>
      </c>
      <c r="Q939" t="s">
        <v>74</v>
      </c>
      <c r="R939" t="s">
        <v>74</v>
      </c>
      <c r="S939" t="s">
        <v>74</v>
      </c>
      <c r="T939" t="s">
        <v>17365</v>
      </c>
      <c r="U939" t="s">
        <v>74</v>
      </c>
      <c r="V939" t="s">
        <v>17366</v>
      </c>
      <c r="W939" t="s">
        <v>17367</v>
      </c>
      <c r="X939" t="s">
        <v>17368</v>
      </c>
      <c r="Y939" t="s">
        <v>17369</v>
      </c>
      <c r="Z939" t="s">
        <v>17370</v>
      </c>
      <c r="AA939" t="s">
        <v>17371</v>
      </c>
      <c r="AB939" t="s">
        <v>74</v>
      </c>
      <c r="AC939" t="s">
        <v>74</v>
      </c>
      <c r="AD939" t="s">
        <v>74</v>
      </c>
      <c r="AE939" t="s">
        <v>74</v>
      </c>
      <c r="AF939" t="s">
        <v>74</v>
      </c>
      <c r="AG939">
        <v>16</v>
      </c>
      <c r="AH939">
        <v>13</v>
      </c>
      <c r="AI939">
        <v>20</v>
      </c>
      <c r="AJ939">
        <v>0</v>
      </c>
      <c r="AK939">
        <v>23</v>
      </c>
      <c r="AL939" t="s">
        <v>14871</v>
      </c>
      <c r="AM939" t="s">
        <v>14872</v>
      </c>
      <c r="AN939" t="s">
        <v>14873</v>
      </c>
      <c r="AO939" t="s">
        <v>14874</v>
      </c>
      <c r="AP939" t="s">
        <v>74</v>
      </c>
      <c r="AQ939" t="s">
        <v>74</v>
      </c>
      <c r="AR939" t="s">
        <v>14875</v>
      </c>
      <c r="AS939" t="s">
        <v>14876</v>
      </c>
      <c r="AT939" t="s">
        <v>124</v>
      </c>
      <c r="AU939">
        <v>2019</v>
      </c>
      <c r="AV939">
        <v>8</v>
      </c>
      <c r="AW939">
        <v>4</v>
      </c>
      <c r="AX939" t="s">
        <v>74</v>
      </c>
      <c r="AY939" t="s">
        <v>74</v>
      </c>
      <c r="AZ939" t="s">
        <v>74</v>
      </c>
      <c r="BA939" t="s">
        <v>74</v>
      </c>
      <c r="BB939">
        <v>199</v>
      </c>
      <c r="BC939">
        <v>208</v>
      </c>
      <c r="BD939" t="s">
        <v>74</v>
      </c>
      <c r="BE939" t="s">
        <v>17372</v>
      </c>
      <c r="BF939" t="str">
        <f>HYPERLINK("http://dx.doi.org/10.17811/ebl.8.4.2019.199-208","http://dx.doi.org/10.17811/ebl.8.4.2019.199-208")</f>
        <v>http://dx.doi.org/10.17811/ebl.8.4.2019.199-208</v>
      </c>
      <c r="BG939" t="s">
        <v>74</v>
      </c>
      <c r="BH939" t="s">
        <v>74</v>
      </c>
      <c r="BI939">
        <v>10</v>
      </c>
      <c r="BJ939" t="s">
        <v>291</v>
      </c>
      <c r="BK939" t="s">
        <v>313</v>
      </c>
      <c r="BL939" t="s">
        <v>100</v>
      </c>
      <c r="BM939" t="s">
        <v>17373</v>
      </c>
      <c r="BN939" t="s">
        <v>74</v>
      </c>
      <c r="BO939" t="s">
        <v>212</v>
      </c>
      <c r="BP939" t="s">
        <v>74</v>
      </c>
      <c r="BQ939" t="s">
        <v>74</v>
      </c>
      <c r="BR939" t="s">
        <v>102</v>
      </c>
      <c r="BS939" t="s">
        <v>17374</v>
      </c>
      <c r="BT939" t="str">
        <f>HYPERLINK("https%3A%2F%2Fwww.webofscience.com%2Fwos%2Fwoscc%2Ffull-record%2FWOS:000510147600004","View Full Record in Web of Science")</f>
        <v>View Full Record in Web of Science</v>
      </c>
    </row>
    <row r="940" spans="1:72" x14ac:dyDescent="0.25">
      <c r="A940" t="s">
        <v>72</v>
      </c>
      <c r="B940" t="s">
        <v>17375</v>
      </c>
      <c r="C940" t="s">
        <v>74</v>
      </c>
      <c r="D940" t="s">
        <v>74</v>
      </c>
      <c r="E940" t="s">
        <v>74</v>
      </c>
      <c r="F940" t="s">
        <v>17376</v>
      </c>
      <c r="G940" t="s">
        <v>74</v>
      </c>
      <c r="H940" t="s">
        <v>74</v>
      </c>
      <c r="I940" t="s">
        <v>17377</v>
      </c>
      <c r="J940" t="s">
        <v>10806</v>
      </c>
      <c r="K940" t="s">
        <v>74</v>
      </c>
      <c r="L940" t="s">
        <v>74</v>
      </c>
      <c r="M940" t="s">
        <v>78</v>
      </c>
      <c r="N940" t="s">
        <v>79</v>
      </c>
      <c r="O940" t="s">
        <v>74</v>
      </c>
      <c r="P940" t="s">
        <v>74</v>
      </c>
      <c r="Q940" t="s">
        <v>74</v>
      </c>
      <c r="R940" t="s">
        <v>74</v>
      </c>
      <c r="S940" t="s">
        <v>74</v>
      </c>
      <c r="T940" t="s">
        <v>74</v>
      </c>
      <c r="U940" t="s">
        <v>17378</v>
      </c>
      <c r="V940" t="s">
        <v>17379</v>
      </c>
      <c r="W940" t="s">
        <v>17380</v>
      </c>
      <c r="X940" t="s">
        <v>17381</v>
      </c>
      <c r="Y940" t="s">
        <v>17382</v>
      </c>
      <c r="Z940" t="s">
        <v>17383</v>
      </c>
      <c r="AA940" t="s">
        <v>74</v>
      </c>
      <c r="AB940" t="s">
        <v>17384</v>
      </c>
      <c r="AC940" t="s">
        <v>74</v>
      </c>
      <c r="AD940" t="s">
        <v>74</v>
      </c>
      <c r="AE940" t="s">
        <v>74</v>
      </c>
      <c r="AF940" t="s">
        <v>74</v>
      </c>
      <c r="AG940">
        <v>47</v>
      </c>
      <c r="AH940">
        <v>12</v>
      </c>
      <c r="AI940">
        <v>17</v>
      </c>
      <c r="AJ940">
        <v>9</v>
      </c>
      <c r="AK940">
        <v>20</v>
      </c>
      <c r="AL940" t="s">
        <v>201</v>
      </c>
      <c r="AM940" t="s">
        <v>202</v>
      </c>
      <c r="AN940" t="s">
        <v>203</v>
      </c>
      <c r="AO940" t="s">
        <v>10818</v>
      </c>
      <c r="AP940" t="s">
        <v>10819</v>
      </c>
      <c r="AQ940" t="s">
        <v>74</v>
      </c>
      <c r="AR940" t="s">
        <v>10820</v>
      </c>
      <c r="AS940" t="s">
        <v>10821</v>
      </c>
      <c r="AT940" t="s">
        <v>1652</v>
      </c>
      <c r="AU940">
        <v>2024</v>
      </c>
      <c r="AV940">
        <v>135</v>
      </c>
      <c r="AW940" t="s">
        <v>74</v>
      </c>
      <c r="AX940" t="s">
        <v>74</v>
      </c>
      <c r="AY940" t="s">
        <v>74</v>
      </c>
      <c r="AZ940" t="s">
        <v>74</v>
      </c>
      <c r="BA940" t="s">
        <v>74</v>
      </c>
      <c r="BB940" t="s">
        <v>74</v>
      </c>
      <c r="BC940" t="s">
        <v>74</v>
      </c>
      <c r="BD940">
        <v>106707</v>
      </c>
      <c r="BE940" t="s">
        <v>17385</v>
      </c>
      <c r="BF940" t="str">
        <f>HYPERLINK("http://dx.doi.org/10.1016/j.econmod.2024.106707","http://dx.doi.org/10.1016/j.econmod.2024.106707")</f>
        <v>http://dx.doi.org/10.1016/j.econmod.2024.106707</v>
      </c>
      <c r="BG940" t="s">
        <v>74</v>
      </c>
      <c r="BH940" t="s">
        <v>1981</v>
      </c>
      <c r="BI940">
        <v>12</v>
      </c>
      <c r="BJ940" t="s">
        <v>291</v>
      </c>
      <c r="BK940" t="s">
        <v>99</v>
      </c>
      <c r="BL940" t="s">
        <v>100</v>
      </c>
      <c r="BM940" t="s">
        <v>17386</v>
      </c>
      <c r="BN940" t="s">
        <v>74</v>
      </c>
      <c r="BO940" t="s">
        <v>270</v>
      </c>
      <c r="BP940" t="s">
        <v>74</v>
      </c>
      <c r="BQ940" t="s">
        <v>74</v>
      </c>
      <c r="BR940" t="s">
        <v>102</v>
      </c>
      <c r="BS940" t="s">
        <v>17387</v>
      </c>
      <c r="BT940" t="str">
        <f>HYPERLINK("https%3A%2F%2Fwww.webofscience.com%2Fwos%2Fwoscc%2Ffull-record%2FWOS:001218526600001","View Full Record in Web of Science")</f>
        <v>View Full Record in Web of Science</v>
      </c>
    </row>
    <row r="941" spans="1:72" x14ac:dyDescent="0.25">
      <c r="A941" t="s">
        <v>72</v>
      </c>
      <c r="B941" t="s">
        <v>17388</v>
      </c>
      <c r="C941" t="s">
        <v>74</v>
      </c>
      <c r="D941" t="s">
        <v>74</v>
      </c>
      <c r="E941" t="s">
        <v>74</v>
      </c>
      <c r="F941" t="s">
        <v>17389</v>
      </c>
      <c r="G941" t="s">
        <v>74</v>
      </c>
      <c r="H941" t="s">
        <v>74</v>
      </c>
      <c r="I941" t="s">
        <v>17390</v>
      </c>
      <c r="J941" t="s">
        <v>4472</v>
      </c>
      <c r="K941" t="s">
        <v>74</v>
      </c>
      <c r="L941" t="s">
        <v>74</v>
      </c>
      <c r="M941" t="s">
        <v>78</v>
      </c>
      <c r="N941" t="s">
        <v>79</v>
      </c>
      <c r="O941" t="s">
        <v>74</v>
      </c>
      <c r="P941" t="s">
        <v>74</v>
      </c>
      <c r="Q941" t="s">
        <v>74</v>
      </c>
      <c r="R941" t="s">
        <v>74</v>
      </c>
      <c r="S941" t="s">
        <v>74</v>
      </c>
      <c r="T941" t="s">
        <v>17391</v>
      </c>
      <c r="U941" t="s">
        <v>17392</v>
      </c>
      <c r="V941" t="s">
        <v>17393</v>
      </c>
      <c r="W941" t="s">
        <v>17394</v>
      </c>
      <c r="X941" t="s">
        <v>17395</v>
      </c>
      <c r="Y941" t="s">
        <v>17396</v>
      </c>
      <c r="Z941" t="s">
        <v>17397</v>
      </c>
      <c r="AA941" t="s">
        <v>17398</v>
      </c>
      <c r="AB941" t="s">
        <v>17399</v>
      </c>
      <c r="AC941" t="s">
        <v>74</v>
      </c>
      <c r="AD941" t="s">
        <v>74</v>
      </c>
      <c r="AE941" t="s">
        <v>74</v>
      </c>
      <c r="AF941" t="s">
        <v>74</v>
      </c>
      <c r="AG941">
        <v>71</v>
      </c>
      <c r="AH941">
        <v>181</v>
      </c>
      <c r="AI941">
        <v>228</v>
      </c>
      <c r="AJ941">
        <v>47</v>
      </c>
      <c r="AK941">
        <v>562</v>
      </c>
      <c r="AL941" t="s">
        <v>4485</v>
      </c>
      <c r="AM941" t="s">
        <v>6724</v>
      </c>
      <c r="AN941" t="s">
        <v>6725</v>
      </c>
      <c r="AO941" t="s">
        <v>4487</v>
      </c>
      <c r="AP941" t="s">
        <v>4488</v>
      </c>
      <c r="AQ941" t="s">
        <v>74</v>
      </c>
      <c r="AR941" t="s">
        <v>4489</v>
      </c>
      <c r="AS941" t="s">
        <v>4490</v>
      </c>
      <c r="AT941" t="s">
        <v>237</v>
      </c>
      <c r="AU941">
        <v>2021</v>
      </c>
      <c r="AV941">
        <v>64</v>
      </c>
      <c r="AW941" t="s">
        <v>74</v>
      </c>
      <c r="AX941" t="s">
        <v>74</v>
      </c>
      <c r="AY941" t="s">
        <v>74</v>
      </c>
      <c r="AZ941" t="s">
        <v>74</v>
      </c>
      <c r="BA941" t="s">
        <v>74</v>
      </c>
      <c r="BB941" t="s">
        <v>74</v>
      </c>
      <c r="BC941" t="s">
        <v>74</v>
      </c>
      <c r="BD941">
        <v>101509</v>
      </c>
      <c r="BE941" t="s">
        <v>17400</v>
      </c>
      <c r="BF941" t="str">
        <f>HYPERLINK("http://dx.doi.org/10.1016/j.techsoc.2020.101509","http://dx.doi.org/10.1016/j.techsoc.2020.101509")</f>
        <v>http://dx.doi.org/10.1016/j.techsoc.2020.101509</v>
      </c>
      <c r="BG941" t="s">
        <v>74</v>
      </c>
      <c r="BH941" t="s">
        <v>11556</v>
      </c>
      <c r="BI941">
        <v>10</v>
      </c>
      <c r="BJ941" t="s">
        <v>4492</v>
      </c>
      <c r="BK941" t="s">
        <v>99</v>
      </c>
      <c r="BL941" t="s">
        <v>4494</v>
      </c>
      <c r="BM941" t="s">
        <v>17401</v>
      </c>
      <c r="BN941" t="s">
        <v>74</v>
      </c>
      <c r="BO941" t="s">
        <v>1205</v>
      </c>
      <c r="BP941" t="s">
        <v>74</v>
      </c>
      <c r="BQ941" t="s">
        <v>74</v>
      </c>
      <c r="BR941" t="s">
        <v>102</v>
      </c>
      <c r="BS941" t="s">
        <v>17402</v>
      </c>
      <c r="BT941" t="str">
        <f>HYPERLINK("https%3A%2F%2Fwww.webofscience.com%2Fwos%2Fwoscc%2Ffull-record%2FWOS:000632469300023","View Full Record in Web of Science")</f>
        <v>View Full Record in Web of Science</v>
      </c>
    </row>
    <row r="942" spans="1:72" x14ac:dyDescent="0.25">
      <c r="A942" t="s">
        <v>72</v>
      </c>
      <c r="B942" t="s">
        <v>17403</v>
      </c>
      <c r="C942" t="s">
        <v>74</v>
      </c>
      <c r="D942" t="s">
        <v>74</v>
      </c>
      <c r="E942" t="s">
        <v>74</v>
      </c>
      <c r="F942" t="s">
        <v>17404</v>
      </c>
      <c r="G942" t="s">
        <v>74</v>
      </c>
      <c r="H942" t="s">
        <v>74</v>
      </c>
      <c r="I942" t="s">
        <v>17405</v>
      </c>
      <c r="J942" t="s">
        <v>11173</v>
      </c>
      <c r="K942" t="s">
        <v>74</v>
      </c>
      <c r="L942" t="s">
        <v>74</v>
      </c>
      <c r="M942" t="s">
        <v>78</v>
      </c>
      <c r="N942" t="s">
        <v>79</v>
      </c>
      <c r="O942" t="s">
        <v>74</v>
      </c>
      <c r="P942" t="s">
        <v>74</v>
      </c>
      <c r="Q942" t="s">
        <v>74</v>
      </c>
      <c r="R942" t="s">
        <v>74</v>
      </c>
      <c r="S942" t="s">
        <v>74</v>
      </c>
      <c r="T942" t="s">
        <v>17406</v>
      </c>
      <c r="U942" t="s">
        <v>74</v>
      </c>
      <c r="V942" t="s">
        <v>17407</v>
      </c>
      <c r="W942" t="s">
        <v>17408</v>
      </c>
      <c r="X942" t="s">
        <v>17409</v>
      </c>
      <c r="Y942" t="s">
        <v>17410</v>
      </c>
      <c r="Z942" t="s">
        <v>17411</v>
      </c>
      <c r="AA942" t="s">
        <v>17412</v>
      </c>
      <c r="AB942" t="s">
        <v>17413</v>
      </c>
      <c r="AC942" t="s">
        <v>17414</v>
      </c>
      <c r="AD942" t="s">
        <v>17414</v>
      </c>
      <c r="AE942" t="s">
        <v>3460</v>
      </c>
      <c r="AF942" t="s">
        <v>74</v>
      </c>
      <c r="AG942">
        <v>58</v>
      </c>
      <c r="AH942">
        <v>7</v>
      </c>
      <c r="AI942">
        <v>7</v>
      </c>
      <c r="AJ942">
        <v>9</v>
      </c>
      <c r="AK942">
        <v>50</v>
      </c>
      <c r="AL942" t="s">
        <v>575</v>
      </c>
      <c r="AM942" t="s">
        <v>576</v>
      </c>
      <c r="AN942" t="s">
        <v>3242</v>
      </c>
      <c r="AO942" t="s">
        <v>74</v>
      </c>
      <c r="AP942" t="s">
        <v>11185</v>
      </c>
      <c r="AQ942" t="s">
        <v>74</v>
      </c>
      <c r="AR942" t="s">
        <v>11186</v>
      </c>
      <c r="AS942" t="s">
        <v>8262</v>
      </c>
      <c r="AT942" t="s">
        <v>1540</v>
      </c>
      <c r="AU942">
        <v>2024</v>
      </c>
      <c r="AV942">
        <v>12</v>
      </c>
      <c r="AW942">
        <v>9</v>
      </c>
      <c r="AX942" t="s">
        <v>74</v>
      </c>
      <c r="AY942" t="s">
        <v>74</v>
      </c>
      <c r="AZ942" t="s">
        <v>74</v>
      </c>
      <c r="BA942" t="s">
        <v>74</v>
      </c>
      <c r="BB942" t="s">
        <v>74</v>
      </c>
      <c r="BC942" t="s">
        <v>74</v>
      </c>
      <c r="BD942">
        <v>1285</v>
      </c>
      <c r="BE942" t="s">
        <v>17415</v>
      </c>
      <c r="BF942" t="str">
        <f>HYPERLINK("http://dx.doi.org/10.3390/math12091285","http://dx.doi.org/10.3390/math12091285")</f>
        <v>http://dx.doi.org/10.3390/math12091285</v>
      </c>
      <c r="BG942" t="s">
        <v>74</v>
      </c>
      <c r="BH942" t="s">
        <v>74</v>
      </c>
      <c r="BI942">
        <v>25</v>
      </c>
      <c r="BJ942" t="s">
        <v>8262</v>
      </c>
      <c r="BK942" t="s">
        <v>128</v>
      </c>
      <c r="BL942" t="s">
        <v>8262</v>
      </c>
      <c r="BM942" t="s">
        <v>17416</v>
      </c>
      <c r="BN942" t="s">
        <v>74</v>
      </c>
      <c r="BO942" t="s">
        <v>212</v>
      </c>
      <c r="BP942" t="s">
        <v>74</v>
      </c>
      <c r="BQ942" t="s">
        <v>74</v>
      </c>
      <c r="BR942" t="s">
        <v>102</v>
      </c>
      <c r="BS942" t="s">
        <v>17417</v>
      </c>
      <c r="BT942" t="str">
        <f>HYPERLINK("https%3A%2F%2Fwww.webofscience.com%2Fwos%2Fwoscc%2Ffull-record%2FWOS:001220043700001","View Full Record in Web of Science")</f>
        <v>View Full Record in Web of Science</v>
      </c>
    </row>
    <row r="943" spans="1:72" x14ac:dyDescent="0.25">
      <c r="A943" t="s">
        <v>132</v>
      </c>
      <c r="B943" t="s">
        <v>17418</v>
      </c>
      <c r="C943" t="s">
        <v>74</v>
      </c>
      <c r="D943" t="s">
        <v>17419</v>
      </c>
      <c r="E943" t="s">
        <v>74</v>
      </c>
      <c r="F943" t="s">
        <v>17420</v>
      </c>
      <c r="G943" t="s">
        <v>74</v>
      </c>
      <c r="H943" t="s">
        <v>74</v>
      </c>
      <c r="I943" t="s">
        <v>17421</v>
      </c>
      <c r="J943" t="s">
        <v>17422</v>
      </c>
      <c r="K943" t="s">
        <v>17423</v>
      </c>
      <c r="L943" t="s">
        <v>74</v>
      </c>
      <c r="M943" t="s">
        <v>78</v>
      </c>
      <c r="N943" t="s">
        <v>138</v>
      </c>
      <c r="O943" t="s">
        <v>17424</v>
      </c>
      <c r="P943" t="s">
        <v>17425</v>
      </c>
      <c r="Q943" t="s">
        <v>17426</v>
      </c>
      <c r="R943" t="s">
        <v>74</v>
      </c>
      <c r="S943" t="s">
        <v>74</v>
      </c>
      <c r="T943" t="s">
        <v>17427</v>
      </c>
      <c r="U943" t="s">
        <v>17428</v>
      </c>
      <c r="V943" t="s">
        <v>17429</v>
      </c>
      <c r="W943" t="s">
        <v>17430</v>
      </c>
      <c r="X943" t="s">
        <v>13264</v>
      </c>
      <c r="Y943" t="s">
        <v>17431</v>
      </c>
      <c r="Z943" t="s">
        <v>17432</v>
      </c>
      <c r="AA943" t="s">
        <v>74</v>
      </c>
      <c r="AB943" t="s">
        <v>17433</v>
      </c>
      <c r="AC943" t="s">
        <v>74</v>
      </c>
      <c r="AD943" t="s">
        <v>74</v>
      </c>
      <c r="AE943" t="s">
        <v>74</v>
      </c>
      <c r="AF943" t="s">
        <v>74</v>
      </c>
      <c r="AG943">
        <v>39</v>
      </c>
      <c r="AH943">
        <v>1</v>
      </c>
      <c r="AI943">
        <v>1</v>
      </c>
      <c r="AJ943">
        <v>4</v>
      </c>
      <c r="AK943">
        <v>10</v>
      </c>
      <c r="AL943" t="s">
        <v>1062</v>
      </c>
      <c r="AM943" t="s">
        <v>667</v>
      </c>
      <c r="AN943" t="s">
        <v>668</v>
      </c>
      <c r="AO943" t="s">
        <v>17434</v>
      </c>
      <c r="AP943" t="s">
        <v>17435</v>
      </c>
      <c r="AQ943" t="s">
        <v>17436</v>
      </c>
      <c r="AR943" t="s">
        <v>17437</v>
      </c>
      <c r="AS943" t="s">
        <v>74</v>
      </c>
      <c r="AT943" t="s">
        <v>74</v>
      </c>
      <c r="AU943">
        <v>2025</v>
      </c>
      <c r="AV943">
        <v>2173</v>
      </c>
      <c r="AW943" t="s">
        <v>74</v>
      </c>
      <c r="AX943" t="s">
        <v>74</v>
      </c>
      <c r="AY943" t="s">
        <v>74</v>
      </c>
      <c r="AZ943" t="s">
        <v>74</v>
      </c>
      <c r="BA943" t="s">
        <v>74</v>
      </c>
      <c r="BB943">
        <v>229</v>
      </c>
      <c r="BC943">
        <v>241</v>
      </c>
      <c r="BD943" t="s">
        <v>74</v>
      </c>
      <c r="BE943" t="s">
        <v>17438</v>
      </c>
      <c r="BF943" t="str">
        <f>HYPERLINK("http://dx.doi.org/10.1007/978-3-031-71412-2_17","http://dx.doi.org/10.1007/978-3-031-71412-2_17")</f>
        <v>http://dx.doi.org/10.1007/978-3-031-71412-2_17</v>
      </c>
      <c r="BG943" t="s">
        <v>74</v>
      </c>
      <c r="BH943" t="s">
        <v>74</v>
      </c>
      <c r="BI943">
        <v>13</v>
      </c>
      <c r="BJ943" t="s">
        <v>1223</v>
      </c>
      <c r="BK943" t="s">
        <v>156</v>
      </c>
      <c r="BL943" t="s">
        <v>157</v>
      </c>
      <c r="BM943" t="s">
        <v>17439</v>
      </c>
      <c r="BN943" t="s">
        <v>74</v>
      </c>
      <c r="BO943" t="s">
        <v>74</v>
      </c>
      <c r="BP943" t="s">
        <v>74</v>
      </c>
      <c r="BQ943" t="s">
        <v>74</v>
      </c>
      <c r="BR943" t="s">
        <v>102</v>
      </c>
      <c r="BS943" t="s">
        <v>17440</v>
      </c>
      <c r="BT943" t="str">
        <f>HYPERLINK("https%3A%2F%2Fwww.webofscience.com%2Fwos%2Fwoscc%2Ffull-record%2FWOS:001445724400017","View Full Record in Web of Science")</f>
        <v>View Full Record in Web of Science</v>
      </c>
    </row>
    <row r="944" spans="1:72" x14ac:dyDescent="0.25">
      <c r="A944" t="s">
        <v>72</v>
      </c>
      <c r="B944" t="s">
        <v>17441</v>
      </c>
      <c r="C944" t="s">
        <v>74</v>
      </c>
      <c r="D944" t="s">
        <v>74</v>
      </c>
      <c r="E944" t="s">
        <v>74</v>
      </c>
      <c r="F944" t="s">
        <v>17442</v>
      </c>
      <c r="G944" t="s">
        <v>74</v>
      </c>
      <c r="H944" t="s">
        <v>74</v>
      </c>
      <c r="I944" t="s">
        <v>17443</v>
      </c>
      <c r="J944" t="s">
        <v>17444</v>
      </c>
      <c r="K944" t="s">
        <v>74</v>
      </c>
      <c r="L944" t="s">
        <v>74</v>
      </c>
      <c r="M944" t="s">
        <v>78</v>
      </c>
      <c r="N944" t="s">
        <v>79</v>
      </c>
      <c r="O944" t="s">
        <v>74</v>
      </c>
      <c r="P944" t="s">
        <v>74</v>
      </c>
      <c r="Q944" t="s">
        <v>74</v>
      </c>
      <c r="R944" t="s">
        <v>74</v>
      </c>
      <c r="S944" t="s">
        <v>74</v>
      </c>
      <c r="T944" t="s">
        <v>17445</v>
      </c>
      <c r="U944" t="s">
        <v>17446</v>
      </c>
      <c r="V944" t="s">
        <v>17447</v>
      </c>
      <c r="W944" t="s">
        <v>17448</v>
      </c>
      <c r="X944" t="s">
        <v>17449</v>
      </c>
      <c r="Y944" t="s">
        <v>17450</v>
      </c>
      <c r="Z944" t="s">
        <v>17451</v>
      </c>
      <c r="AA944" t="s">
        <v>17452</v>
      </c>
      <c r="AB944" t="s">
        <v>17453</v>
      </c>
      <c r="AC944" t="s">
        <v>74</v>
      </c>
      <c r="AD944" t="s">
        <v>74</v>
      </c>
      <c r="AE944" t="s">
        <v>74</v>
      </c>
      <c r="AF944" t="s">
        <v>74</v>
      </c>
      <c r="AG944">
        <v>66</v>
      </c>
      <c r="AH944">
        <v>18</v>
      </c>
      <c r="AI944">
        <v>19</v>
      </c>
      <c r="AJ944">
        <v>3</v>
      </c>
      <c r="AK944">
        <v>28</v>
      </c>
      <c r="AL944" t="s">
        <v>89</v>
      </c>
      <c r="AM944" t="s">
        <v>1497</v>
      </c>
      <c r="AN944" t="s">
        <v>1498</v>
      </c>
      <c r="AO944" t="s">
        <v>17454</v>
      </c>
      <c r="AP944" t="s">
        <v>17455</v>
      </c>
      <c r="AQ944" t="s">
        <v>74</v>
      </c>
      <c r="AR944" t="s">
        <v>17456</v>
      </c>
      <c r="AS944" t="s">
        <v>17457</v>
      </c>
      <c r="AT944" t="s">
        <v>17458</v>
      </c>
      <c r="AU944">
        <v>2023</v>
      </c>
      <c r="AV944">
        <v>49</v>
      </c>
      <c r="AW944">
        <v>4</v>
      </c>
      <c r="AX944" t="s">
        <v>74</v>
      </c>
      <c r="AY944" t="s">
        <v>74</v>
      </c>
      <c r="AZ944" t="s">
        <v>74</v>
      </c>
      <c r="BA944" t="s">
        <v>74</v>
      </c>
      <c r="BB944">
        <v>679</v>
      </c>
      <c r="BC944">
        <v>702</v>
      </c>
      <c r="BD944" t="s">
        <v>74</v>
      </c>
      <c r="BE944" t="s">
        <v>17459</v>
      </c>
      <c r="BF944" t="str">
        <f>HYPERLINK("http://dx.doi.org/10.1108/MF-02-2022-0086","http://dx.doi.org/10.1108/MF-02-2022-0086")</f>
        <v>http://dx.doi.org/10.1108/MF-02-2022-0086</v>
      </c>
      <c r="BG944" t="s">
        <v>74</v>
      </c>
      <c r="BH944" t="s">
        <v>3050</v>
      </c>
      <c r="BI944">
        <v>24</v>
      </c>
      <c r="BJ944" t="s">
        <v>268</v>
      </c>
      <c r="BK944" t="s">
        <v>313</v>
      </c>
      <c r="BL944" t="s">
        <v>100</v>
      </c>
      <c r="BM944" t="s">
        <v>17460</v>
      </c>
      <c r="BN944" t="s">
        <v>74</v>
      </c>
      <c r="BO944" t="s">
        <v>74</v>
      </c>
      <c r="BP944" t="s">
        <v>74</v>
      </c>
      <c r="BQ944" t="s">
        <v>74</v>
      </c>
      <c r="BR944" t="s">
        <v>102</v>
      </c>
      <c r="BS944" t="s">
        <v>17461</v>
      </c>
      <c r="BT944" t="str">
        <f>HYPERLINK("https%3A%2F%2Fwww.webofscience.com%2Fwos%2Fwoscc%2Ffull-record%2FWOS:000865730100001","View Full Record in Web of Science")</f>
        <v>View Full Record in Web of Science</v>
      </c>
    </row>
    <row r="945" spans="1:72" x14ac:dyDescent="0.25">
      <c r="A945" t="s">
        <v>72</v>
      </c>
      <c r="B945" t="s">
        <v>17462</v>
      </c>
      <c r="C945" t="s">
        <v>74</v>
      </c>
      <c r="D945" t="s">
        <v>74</v>
      </c>
      <c r="E945" t="s">
        <v>74</v>
      </c>
      <c r="F945" t="s">
        <v>17463</v>
      </c>
      <c r="G945" t="s">
        <v>74</v>
      </c>
      <c r="H945" t="s">
        <v>74</v>
      </c>
      <c r="I945" t="s">
        <v>17464</v>
      </c>
      <c r="J945" t="s">
        <v>3439</v>
      </c>
      <c r="K945" t="s">
        <v>74</v>
      </c>
      <c r="L945" t="s">
        <v>74</v>
      </c>
      <c r="M945" t="s">
        <v>78</v>
      </c>
      <c r="N945" t="s">
        <v>79</v>
      </c>
      <c r="O945" t="s">
        <v>74</v>
      </c>
      <c r="P945" t="s">
        <v>74</v>
      </c>
      <c r="Q945" t="s">
        <v>74</v>
      </c>
      <c r="R945" t="s">
        <v>74</v>
      </c>
      <c r="S945" t="s">
        <v>74</v>
      </c>
      <c r="T945" t="s">
        <v>17465</v>
      </c>
      <c r="U945" t="s">
        <v>17466</v>
      </c>
      <c r="V945" t="s">
        <v>17467</v>
      </c>
      <c r="W945" t="s">
        <v>17468</v>
      </c>
      <c r="X945" t="s">
        <v>4129</v>
      </c>
      <c r="Y945" t="s">
        <v>17469</v>
      </c>
      <c r="Z945" t="s">
        <v>17470</v>
      </c>
      <c r="AA945" t="s">
        <v>17471</v>
      </c>
      <c r="AB945" t="s">
        <v>17472</v>
      </c>
      <c r="AC945" t="s">
        <v>74</v>
      </c>
      <c r="AD945" t="s">
        <v>74</v>
      </c>
      <c r="AE945" t="s">
        <v>74</v>
      </c>
      <c r="AF945" t="s">
        <v>74</v>
      </c>
      <c r="AG945">
        <v>80</v>
      </c>
      <c r="AH945">
        <v>28</v>
      </c>
      <c r="AI945">
        <v>44</v>
      </c>
      <c r="AJ945">
        <v>2</v>
      </c>
      <c r="AK945">
        <v>32</v>
      </c>
      <c r="AL945" t="s">
        <v>2481</v>
      </c>
      <c r="AM945" t="s">
        <v>2482</v>
      </c>
      <c r="AN945" t="s">
        <v>2483</v>
      </c>
      <c r="AO945" t="s">
        <v>3443</v>
      </c>
      <c r="AP945" t="s">
        <v>74</v>
      </c>
      <c r="AQ945" t="s">
        <v>74</v>
      </c>
      <c r="AR945" t="s">
        <v>3444</v>
      </c>
      <c r="AS945" t="s">
        <v>3445</v>
      </c>
      <c r="AT945" t="s">
        <v>2487</v>
      </c>
      <c r="AU945">
        <v>2020</v>
      </c>
      <c r="AV945">
        <v>8</v>
      </c>
      <c r="AW945">
        <v>1</v>
      </c>
      <c r="AX945" t="s">
        <v>74</v>
      </c>
      <c r="AY945" t="s">
        <v>74</v>
      </c>
      <c r="AZ945" t="s">
        <v>74</v>
      </c>
      <c r="BA945" t="s">
        <v>74</v>
      </c>
      <c r="BB945" t="s">
        <v>74</v>
      </c>
      <c r="BC945" t="s">
        <v>74</v>
      </c>
      <c r="BD945">
        <v>1806479</v>
      </c>
      <c r="BE945" t="s">
        <v>17473</v>
      </c>
      <c r="BF945" t="str">
        <f>HYPERLINK("http://dx.doi.org/10.1080/23322039.2020.1806479","http://dx.doi.org/10.1080/23322039.2020.1806479")</f>
        <v>http://dx.doi.org/10.1080/23322039.2020.1806479</v>
      </c>
      <c r="BG945" t="s">
        <v>74</v>
      </c>
      <c r="BH945" t="s">
        <v>74</v>
      </c>
      <c r="BI945">
        <v>17</v>
      </c>
      <c r="BJ945" t="s">
        <v>291</v>
      </c>
      <c r="BK945" t="s">
        <v>313</v>
      </c>
      <c r="BL945" t="s">
        <v>100</v>
      </c>
      <c r="BM945" t="s">
        <v>17474</v>
      </c>
      <c r="BN945" t="s">
        <v>74</v>
      </c>
      <c r="BO945" t="s">
        <v>916</v>
      </c>
      <c r="BP945" t="s">
        <v>74</v>
      </c>
      <c r="BQ945" t="s">
        <v>74</v>
      </c>
      <c r="BR945" t="s">
        <v>102</v>
      </c>
      <c r="BS945" t="s">
        <v>17475</v>
      </c>
      <c r="BT945" t="str">
        <f>HYPERLINK("https%3A%2F%2Fwww.webofscience.com%2Fwos%2Fwoscc%2Ffull-record%2FWOS:000564264800001","View Full Record in Web of Science")</f>
        <v>View Full Record in Web of Science</v>
      </c>
    </row>
    <row r="946" spans="1:72" x14ac:dyDescent="0.25">
      <c r="A946" t="s">
        <v>132</v>
      </c>
      <c r="B946" t="s">
        <v>17476</v>
      </c>
      <c r="C946" t="s">
        <v>74</v>
      </c>
      <c r="D946" t="s">
        <v>631</v>
      </c>
      <c r="E946" t="s">
        <v>74</v>
      </c>
      <c r="F946" t="s">
        <v>17477</v>
      </c>
      <c r="G946" t="s">
        <v>74</v>
      </c>
      <c r="H946" t="s">
        <v>74</v>
      </c>
      <c r="I946" t="s">
        <v>17478</v>
      </c>
      <c r="J946" t="s">
        <v>13970</v>
      </c>
      <c r="K946" t="s">
        <v>74</v>
      </c>
      <c r="L946" t="s">
        <v>74</v>
      </c>
      <c r="M946" t="s">
        <v>78</v>
      </c>
      <c r="N946" t="s">
        <v>138</v>
      </c>
      <c r="O946" t="s">
        <v>13971</v>
      </c>
      <c r="P946" t="s">
        <v>13972</v>
      </c>
      <c r="Q946" t="s">
        <v>12031</v>
      </c>
      <c r="R946" t="s">
        <v>638</v>
      </c>
      <c r="S946" t="s">
        <v>74</v>
      </c>
      <c r="T946" t="s">
        <v>17479</v>
      </c>
      <c r="U946" t="s">
        <v>74</v>
      </c>
      <c r="V946" t="s">
        <v>17480</v>
      </c>
      <c r="W946" t="s">
        <v>17481</v>
      </c>
      <c r="X946" t="s">
        <v>548</v>
      </c>
      <c r="Y946" t="s">
        <v>17482</v>
      </c>
      <c r="Z946" t="s">
        <v>17483</v>
      </c>
      <c r="AA946" t="s">
        <v>17484</v>
      </c>
      <c r="AB946" t="s">
        <v>74</v>
      </c>
      <c r="AC946" t="s">
        <v>74</v>
      </c>
      <c r="AD946" t="s">
        <v>74</v>
      </c>
      <c r="AE946" t="s">
        <v>74</v>
      </c>
      <c r="AF946" t="s">
        <v>74</v>
      </c>
      <c r="AG946">
        <v>17</v>
      </c>
      <c r="AH946">
        <v>1</v>
      </c>
      <c r="AI946">
        <v>1</v>
      </c>
      <c r="AJ946">
        <v>0</v>
      </c>
      <c r="AK946">
        <v>2</v>
      </c>
      <c r="AL946" t="s">
        <v>645</v>
      </c>
      <c r="AM946" t="s">
        <v>646</v>
      </c>
      <c r="AN946" t="s">
        <v>647</v>
      </c>
      <c r="AO946" t="s">
        <v>74</v>
      </c>
      <c r="AP946" t="s">
        <v>74</v>
      </c>
      <c r="AQ946" t="s">
        <v>13980</v>
      </c>
      <c r="AR946" t="s">
        <v>74</v>
      </c>
      <c r="AS946" t="s">
        <v>74</v>
      </c>
      <c r="AT946" t="s">
        <v>74</v>
      </c>
      <c r="AU946">
        <v>2019</v>
      </c>
      <c r="AV946" t="s">
        <v>74</v>
      </c>
      <c r="AW946" t="s">
        <v>74</v>
      </c>
      <c r="AX946" t="s">
        <v>74</v>
      </c>
      <c r="AY946" t="s">
        <v>74</v>
      </c>
      <c r="AZ946" t="s">
        <v>74</v>
      </c>
      <c r="BA946" t="s">
        <v>74</v>
      </c>
      <c r="BB946">
        <v>2334</v>
      </c>
      <c r="BC946">
        <v>2342</v>
      </c>
      <c r="BD946" t="s">
        <v>74</v>
      </c>
      <c r="BE946" t="s">
        <v>74</v>
      </c>
      <c r="BF946" t="s">
        <v>74</v>
      </c>
      <c r="BG946" t="s">
        <v>74</v>
      </c>
      <c r="BH946" t="s">
        <v>74</v>
      </c>
      <c r="BI946">
        <v>9</v>
      </c>
      <c r="BJ946" t="s">
        <v>6512</v>
      </c>
      <c r="BK946" t="s">
        <v>183</v>
      </c>
      <c r="BL946" t="s">
        <v>100</v>
      </c>
      <c r="BM946" t="s">
        <v>13981</v>
      </c>
      <c r="BN946" t="s">
        <v>74</v>
      </c>
      <c r="BO946" t="s">
        <v>74</v>
      </c>
      <c r="BP946" t="s">
        <v>74</v>
      </c>
      <c r="BQ946" t="s">
        <v>74</v>
      </c>
      <c r="BR946" t="s">
        <v>102</v>
      </c>
      <c r="BS946" t="s">
        <v>17485</v>
      </c>
      <c r="BT946" t="str">
        <f>HYPERLINK("https%3A%2F%2Fwww.webofscience.com%2Fwos%2Fwoscc%2Ffull-record%2FWOS:000556337403051","View Full Record in Web of Science")</f>
        <v>View Full Record in Web of Science</v>
      </c>
    </row>
    <row r="947" spans="1:72" x14ac:dyDescent="0.25">
      <c r="A947" t="s">
        <v>72</v>
      </c>
      <c r="B947" t="s">
        <v>17486</v>
      </c>
      <c r="C947" t="s">
        <v>74</v>
      </c>
      <c r="D947" t="s">
        <v>74</v>
      </c>
      <c r="E947" t="s">
        <v>74</v>
      </c>
      <c r="F947" t="s">
        <v>17487</v>
      </c>
      <c r="G947" t="s">
        <v>74</v>
      </c>
      <c r="H947" t="s">
        <v>74</v>
      </c>
      <c r="I947" t="s">
        <v>17488</v>
      </c>
      <c r="J947" t="s">
        <v>5437</v>
      </c>
      <c r="K947" t="s">
        <v>74</v>
      </c>
      <c r="L947" t="s">
        <v>74</v>
      </c>
      <c r="M947" t="s">
        <v>78</v>
      </c>
      <c r="N947" t="s">
        <v>79</v>
      </c>
      <c r="O947" t="s">
        <v>74</v>
      </c>
      <c r="P947" t="s">
        <v>74</v>
      </c>
      <c r="Q947" t="s">
        <v>74</v>
      </c>
      <c r="R947" t="s">
        <v>74</v>
      </c>
      <c r="S947" t="s">
        <v>74</v>
      </c>
      <c r="T947" t="s">
        <v>17489</v>
      </c>
      <c r="U947" t="s">
        <v>17490</v>
      </c>
      <c r="V947" t="s">
        <v>17491</v>
      </c>
      <c r="W947" t="s">
        <v>17492</v>
      </c>
      <c r="X947" t="s">
        <v>17493</v>
      </c>
      <c r="Y947" t="s">
        <v>17494</v>
      </c>
      <c r="Z947" t="s">
        <v>17495</v>
      </c>
      <c r="AA947" t="s">
        <v>17496</v>
      </c>
      <c r="AB947" t="s">
        <v>17497</v>
      </c>
      <c r="AC947" t="s">
        <v>74</v>
      </c>
      <c r="AD947" t="s">
        <v>74</v>
      </c>
      <c r="AE947" t="s">
        <v>74</v>
      </c>
      <c r="AF947" t="s">
        <v>74</v>
      </c>
      <c r="AG947">
        <v>89</v>
      </c>
      <c r="AH947">
        <v>51</v>
      </c>
      <c r="AI947">
        <v>58</v>
      </c>
      <c r="AJ947">
        <v>4</v>
      </c>
      <c r="AK947">
        <v>156</v>
      </c>
      <c r="AL947" t="s">
        <v>5449</v>
      </c>
      <c r="AM947" t="s">
        <v>5450</v>
      </c>
      <c r="AN947" t="s">
        <v>5451</v>
      </c>
      <c r="AO947" t="s">
        <v>5452</v>
      </c>
      <c r="AP947" t="s">
        <v>74</v>
      </c>
      <c r="AQ947" t="s">
        <v>74</v>
      </c>
      <c r="AR947" t="s">
        <v>5453</v>
      </c>
      <c r="AS947" t="s">
        <v>5454</v>
      </c>
      <c r="AT947" t="s">
        <v>12748</v>
      </c>
      <c r="AU947">
        <v>2019</v>
      </c>
      <c r="AV947">
        <v>30</v>
      </c>
      <c r="AW947">
        <v>5</v>
      </c>
      <c r="AX947" t="s">
        <v>74</v>
      </c>
      <c r="AY947" t="s">
        <v>74</v>
      </c>
      <c r="AZ947" t="s">
        <v>74</v>
      </c>
      <c r="BA947" t="s">
        <v>74</v>
      </c>
      <c r="BB947">
        <v>1097</v>
      </c>
      <c r="BC947">
        <v>1123</v>
      </c>
      <c r="BD947" t="s">
        <v>74</v>
      </c>
      <c r="BE947" t="s">
        <v>17498</v>
      </c>
      <c r="BF947" t="str">
        <f>HYPERLINK("http://dx.doi.org/10.1287/orsc.2018.1281","http://dx.doi.org/10.1287/orsc.2018.1281")</f>
        <v>http://dx.doi.org/10.1287/orsc.2018.1281</v>
      </c>
      <c r="BG947" t="s">
        <v>74</v>
      </c>
      <c r="BH947" t="s">
        <v>74</v>
      </c>
      <c r="BI947">
        <v>27</v>
      </c>
      <c r="BJ947" t="s">
        <v>583</v>
      </c>
      <c r="BK947" t="s">
        <v>99</v>
      </c>
      <c r="BL947" t="s">
        <v>100</v>
      </c>
      <c r="BM947" t="s">
        <v>17499</v>
      </c>
      <c r="BN947" t="s">
        <v>74</v>
      </c>
      <c r="BO947" t="s">
        <v>74</v>
      </c>
      <c r="BP947" t="s">
        <v>74</v>
      </c>
      <c r="BQ947" t="s">
        <v>74</v>
      </c>
      <c r="BR947" t="s">
        <v>102</v>
      </c>
      <c r="BS947" t="s">
        <v>17500</v>
      </c>
      <c r="BT947" t="str">
        <f>HYPERLINK("https%3A%2F%2Fwww.webofscience.com%2Fwos%2Fwoscc%2Ffull-record%2FWOS:000488201400011","View Full Record in Web of Science")</f>
        <v>View Full Record in Web of Science</v>
      </c>
    </row>
    <row r="948" spans="1:72" x14ac:dyDescent="0.25">
      <c r="A948" t="s">
        <v>72</v>
      </c>
      <c r="B948" t="s">
        <v>17501</v>
      </c>
      <c r="C948" t="s">
        <v>74</v>
      </c>
      <c r="D948" t="s">
        <v>74</v>
      </c>
      <c r="E948" t="s">
        <v>74</v>
      </c>
      <c r="F948" t="s">
        <v>17502</v>
      </c>
      <c r="G948" t="s">
        <v>74</v>
      </c>
      <c r="H948" t="s">
        <v>74</v>
      </c>
      <c r="I948" t="s">
        <v>17503</v>
      </c>
      <c r="J948" t="s">
        <v>1168</v>
      </c>
      <c r="K948" t="s">
        <v>74</v>
      </c>
      <c r="L948" t="s">
        <v>74</v>
      </c>
      <c r="M948" t="s">
        <v>78</v>
      </c>
      <c r="N948" t="s">
        <v>79</v>
      </c>
      <c r="O948" t="s">
        <v>74</v>
      </c>
      <c r="P948" t="s">
        <v>74</v>
      </c>
      <c r="Q948" t="s">
        <v>74</v>
      </c>
      <c r="R948" t="s">
        <v>74</v>
      </c>
      <c r="S948" t="s">
        <v>74</v>
      </c>
      <c r="T948" t="s">
        <v>17504</v>
      </c>
      <c r="U948" t="s">
        <v>17505</v>
      </c>
      <c r="V948" t="s">
        <v>17506</v>
      </c>
      <c r="W948" t="s">
        <v>17507</v>
      </c>
      <c r="X948" t="s">
        <v>17508</v>
      </c>
      <c r="Y948" t="s">
        <v>17509</v>
      </c>
      <c r="Z948" t="s">
        <v>17510</v>
      </c>
      <c r="AA948" t="s">
        <v>74</v>
      </c>
      <c r="AB948" t="s">
        <v>17511</v>
      </c>
      <c r="AC948" t="s">
        <v>74</v>
      </c>
      <c r="AD948" t="s">
        <v>74</v>
      </c>
      <c r="AE948" t="s">
        <v>74</v>
      </c>
      <c r="AF948" t="s">
        <v>74</v>
      </c>
      <c r="AG948">
        <v>30</v>
      </c>
      <c r="AH948">
        <v>85</v>
      </c>
      <c r="AI948">
        <v>112</v>
      </c>
      <c r="AJ948">
        <v>0</v>
      </c>
      <c r="AK948">
        <v>20</v>
      </c>
      <c r="AL948" t="s">
        <v>332</v>
      </c>
      <c r="AM948" t="s">
        <v>333</v>
      </c>
      <c r="AN948" t="s">
        <v>334</v>
      </c>
      <c r="AO948" t="s">
        <v>1179</v>
      </c>
      <c r="AP948" t="s">
        <v>1180</v>
      </c>
      <c r="AQ948" t="s">
        <v>74</v>
      </c>
      <c r="AR948" t="s">
        <v>1181</v>
      </c>
      <c r="AS948" t="s">
        <v>1182</v>
      </c>
      <c r="AT948" t="s">
        <v>74</v>
      </c>
      <c r="AU948">
        <v>2019</v>
      </c>
      <c r="AV948">
        <v>20</v>
      </c>
      <c r="AW948">
        <v>1</v>
      </c>
      <c r="AX948" t="s">
        <v>74</v>
      </c>
      <c r="AY948" t="s">
        <v>74</v>
      </c>
      <c r="AZ948" t="s">
        <v>441</v>
      </c>
      <c r="BA948" t="s">
        <v>74</v>
      </c>
      <c r="BB948">
        <v>112</v>
      </c>
      <c r="BC948">
        <v>134</v>
      </c>
      <c r="BD948" t="s">
        <v>74</v>
      </c>
      <c r="BE948" t="s">
        <v>17512</v>
      </c>
      <c r="BF948" t="str">
        <f>HYPERLINK("http://dx.doi.org/10.1080/15228916.2018.1484209","http://dx.doi.org/10.1080/15228916.2018.1484209")</f>
        <v>http://dx.doi.org/10.1080/15228916.2018.1484209</v>
      </c>
      <c r="BG948" t="s">
        <v>74</v>
      </c>
      <c r="BH948" t="s">
        <v>74</v>
      </c>
      <c r="BI948">
        <v>23</v>
      </c>
      <c r="BJ948" t="s">
        <v>418</v>
      </c>
      <c r="BK948" t="s">
        <v>313</v>
      </c>
      <c r="BL948" t="s">
        <v>100</v>
      </c>
      <c r="BM948" t="s">
        <v>17513</v>
      </c>
      <c r="BN948" t="s">
        <v>74</v>
      </c>
      <c r="BO948" t="s">
        <v>74</v>
      </c>
      <c r="BP948" t="s">
        <v>74</v>
      </c>
      <c r="BQ948" t="s">
        <v>74</v>
      </c>
      <c r="BR948" t="s">
        <v>102</v>
      </c>
      <c r="BS948" t="s">
        <v>17514</v>
      </c>
      <c r="BT948" t="str">
        <f>HYPERLINK("https%3A%2F%2Fwww.webofscience.com%2Fwos%2Fwoscc%2Ffull-record%2FWOS:000469857800008","View Full Record in Web of Science")</f>
        <v>View Full Record in Web of Science</v>
      </c>
    </row>
    <row r="949" spans="1:72" x14ac:dyDescent="0.25">
      <c r="A949" t="s">
        <v>72</v>
      </c>
      <c r="B949" t="s">
        <v>17515</v>
      </c>
      <c r="C949" t="s">
        <v>74</v>
      </c>
      <c r="D949" t="s">
        <v>74</v>
      </c>
      <c r="E949" t="s">
        <v>74</v>
      </c>
      <c r="F949" t="s">
        <v>17516</v>
      </c>
      <c r="G949" t="s">
        <v>74</v>
      </c>
      <c r="H949" t="s">
        <v>74</v>
      </c>
      <c r="I949" t="s">
        <v>17517</v>
      </c>
      <c r="J949" t="s">
        <v>17518</v>
      </c>
      <c r="K949" t="s">
        <v>74</v>
      </c>
      <c r="L949" t="s">
        <v>74</v>
      </c>
      <c r="M949" t="s">
        <v>78</v>
      </c>
      <c r="N949" t="s">
        <v>79</v>
      </c>
      <c r="O949" t="s">
        <v>74</v>
      </c>
      <c r="P949" t="s">
        <v>74</v>
      </c>
      <c r="Q949" t="s">
        <v>74</v>
      </c>
      <c r="R949" t="s">
        <v>74</v>
      </c>
      <c r="S949" t="s">
        <v>74</v>
      </c>
      <c r="T949" t="s">
        <v>17519</v>
      </c>
      <c r="U949" t="s">
        <v>17520</v>
      </c>
      <c r="V949" t="s">
        <v>17521</v>
      </c>
      <c r="W949" t="s">
        <v>17522</v>
      </c>
      <c r="X949" t="s">
        <v>17523</v>
      </c>
      <c r="Y949" t="s">
        <v>17524</v>
      </c>
      <c r="Z949" t="s">
        <v>17525</v>
      </c>
      <c r="AA949" t="s">
        <v>17526</v>
      </c>
      <c r="AB949" t="s">
        <v>17527</v>
      </c>
      <c r="AC949" t="s">
        <v>17528</v>
      </c>
      <c r="AD949" t="s">
        <v>17529</v>
      </c>
      <c r="AE949" t="s">
        <v>17530</v>
      </c>
      <c r="AF949" t="s">
        <v>74</v>
      </c>
      <c r="AG949">
        <v>54</v>
      </c>
      <c r="AH949">
        <v>9</v>
      </c>
      <c r="AI949">
        <v>10</v>
      </c>
      <c r="AJ949">
        <v>7</v>
      </c>
      <c r="AK949">
        <v>116</v>
      </c>
      <c r="AL949" t="s">
        <v>575</v>
      </c>
      <c r="AM949" t="s">
        <v>576</v>
      </c>
      <c r="AN949" t="s">
        <v>577</v>
      </c>
      <c r="AO949" t="s">
        <v>74</v>
      </c>
      <c r="AP949" t="s">
        <v>17531</v>
      </c>
      <c r="AQ949" t="s">
        <v>74</v>
      </c>
      <c r="AR949" t="s">
        <v>17518</v>
      </c>
      <c r="AS949" t="s">
        <v>17532</v>
      </c>
      <c r="AT949" t="s">
        <v>698</v>
      </c>
      <c r="AU949">
        <v>2021</v>
      </c>
      <c r="AV949">
        <v>11</v>
      </c>
      <c r="AW949">
        <v>9</v>
      </c>
      <c r="AX949" t="s">
        <v>74</v>
      </c>
      <c r="AY949" t="s">
        <v>74</v>
      </c>
      <c r="AZ949" t="s">
        <v>74</v>
      </c>
      <c r="BA949" t="s">
        <v>74</v>
      </c>
      <c r="BB949" t="s">
        <v>74</v>
      </c>
      <c r="BC949" t="s">
        <v>74</v>
      </c>
      <c r="BD949">
        <v>1813</v>
      </c>
      <c r="BE949" t="s">
        <v>17533</v>
      </c>
      <c r="BF949" t="str">
        <f>HYPERLINK("http://dx.doi.org/10.3390/agronomy11091813","http://dx.doi.org/10.3390/agronomy11091813")</f>
        <v>http://dx.doi.org/10.3390/agronomy11091813</v>
      </c>
      <c r="BG949" t="s">
        <v>74</v>
      </c>
      <c r="BH949" t="s">
        <v>74</v>
      </c>
      <c r="BI949">
        <v>20</v>
      </c>
      <c r="BJ949" t="s">
        <v>17534</v>
      </c>
      <c r="BK949" t="s">
        <v>2623</v>
      </c>
      <c r="BL949" t="s">
        <v>17535</v>
      </c>
      <c r="BM949" t="s">
        <v>17536</v>
      </c>
      <c r="BN949" t="s">
        <v>74</v>
      </c>
      <c r="BO949" t="s">
        <v>916</v>
      </c>
      <c r="BP949" t="s">
        <v>74</v>
      </c>
      <c r="BQ949" t="s">
        <v>74</v>
      </c>
      <c r="BR949" t="s">
        <v>102</v>
      </c>
      <c r="BS949" t="s">
        <v>17537</v>
      </c>
      <c r="BT949" t="str">
        <f>HYPERLINK("https%3A%2F%2Fwww.webofscience.com%2Fwos%2Fwoscc%2Ffull-record%2FWOS:000699149900001","View Full Record in Web of Science")</f>
        <v>View Full Record in Web of Science</v>
      </c>
    </row>
    <row r="950" spans="1:72" x14ac:dyDescent="0.25">
      <c r="A950" t="s">
        <v>72</v>
      </c>
      <c r="B950" t="s">
        <v>17538</v>
      </c>
      <c r="C950" t="s">
        <v>74</v>
      </c>
      <c r="D950" t="s">
        <v>74</v>
      </c>
      <c r="E950" t="s">
        <v>74</v>
      </c>
      <c r="F950" t="s">
        <v>17539</v>
      </c>
      <c r="G950" t="s">
        <v>74</v>
      </c>
      <c r="H950" t="s">
        <v>74</v>
      </c>
      <c r="I950" t="s">
        <v>17540</v>
      </c>
      <c r="J950" t="s">
        <v>14228</v>
      </c>
      <c r="K950" t="s">
        <v>74</v>
      </c>
      <c r="L950" t="s">
        <v>74</v>
      </c>
      <c r="M950" t="s">
        <v>78</v>
      </c>
      <c r="N950" t="s">
        <v>372</v>
      </c>
      <c r="O950" t="s">
        <v>74</v>
      </c>
      <c r="P950" t="s">
        <v>74</v>
      </c>
      <c r="Q950" t="s">
        <v>74</v>
      </c>
      <c r="R950" t="s">
        <v>74</v>
      </c>
      <c r="S950" t="s">
        <v>74</v>
      </c>
      <c r="T950" t="s">
        <v>17541</v>
      </c>
      <c r="U950" t="s">
        <v>74</v>
      </c>
      <c r="V950" t="s">
        <v>17542</v>
      </c>
      <c r="W950" t="s">
        <v>17543</v>
      </c>
      <c r="X950" t="s">
        <v>17544</v>
      </c>
      <c r="Y950" t="s">
        <v>17545</v>
      </c>
      <c r="Z950" t="s">
        <v>17546</v>
      </c>
      <c r="AA950" t="s">
        <v>17547</v>
      </c>
      <c r="AB950" t="s">
        <v>74</v>
      </c>
      <c r="AC950" t="s">
        <v>17548</v>
      </c>
      <c r="AD950" t="s">
        <v>9224</v>
      </c>
      <c r="AE950" t="s">
        <v>17549</v>
      </c>
      <c r="AF950" t="s">
        <v>74</v>
      </c>
      <c r="AG950">
        <v>12</v>
      </c>
      <c r="AH950">
        <v>0</v>
      </c>
      <c r="AI950">
        <v>0</v>
      </c>
      <c r="AJ950">
        <v>0</v>
      </c>
      <c r="AK950">
        <v>0</v>
      </c>
      <c r="AL950" t="s">
        <v>332</v>
      </c>
      <c r="AM950" t="s">
        <v>333</v>
      </c>
      <c r="AN950" t="s">
        <v>334</v>
      </c>
      <c r="AO950" t="s">
        <v>14237</v>
      </c>
      <c r="AP950" t="s">
        <v>14238</v>
      </c>
      <c r="AQ950" t="s">
        <v>74</v>
      </c>
      <c r="AR950" t="s">
        <v>14239</v>
      </c>
      <c r="AS950" t="s">
        <v>14240</v>
      </c>
      <c r="AT950" t="s">
        <v>3888</v>
      </c>
      <c r="AU950">
        <v>2025</v>
      </c>
      <c r="AV950" t="s">
        <v>74</v>
      </c>
      <c r="AW950" t="s">
        <v>74</v>
      </c>
      <c r="AX950" t="s">
        <v>74</v>
      </c>
      <c r="AY950" t="s">
        <v>74</v>
      </c>
      <c r="AZ950" t="s">
        <v>74</v>
      </c>
      <c r="BA950" t="s">
        <v>74</v>
      </c>
      <c r="BB950" t="s">
        <v>74</v>
      </c>
      <c r="BC950" t="s">
        <v>74</v>
      </c>
      <c r="BD950" t="s">
        <v>74</v>
      </c>
      <c r="BE950" t="s">
        <v>17550</v>
      </c>
      <c r="BF950" t="str">
        <f>HYPERLINK("http://dx.doi.org/10.1080/13504851.2025.2606926","http://dx.doi.org/10.1080/13504851.2025.2606926")</f>
        <v>http://dx.doi.org/10.1080/13504851.2025.2606926</v>
      </c>
      <c r="BG950" t="s">
        <v>74</v>
      </c>
      <c r="BH950" t="s">
        <v>488</v>
      </c>
      <c r="BI950">
        <v>5</v>
      </c>
      <c r="BJ950" t="s">
        <v>291</v>
      </c>
      <c r="BK950" t="s">
        <v>99</v>
      </c>
      <c r="BL950" t="s">
        <v>100</v>
      </c>
      <c r="BM950" t="s">
        <v>17551</v>
      </c>
      <c r="BN950" t="s">
        <v>74</v>
      </c>
      <c r="BO950" t="s">
        <v>74</v>
      </c>
      <c r="BP950" t="s">
        <v>74</v>
      </c>
      <c r="BQ950" t="s">
        <v>74</v>
      </c>
      <c r="BR950" t="s">
        <v>102</v>
      </c>
      <c r="BS950" t="s">
        <v>17552</v>
      </c>
      <c r="BT950" t="str">
        <f>HYPERLINK("https%3A%2F%2Fwww.webofscience.com%2Fwos%2Fwoscc%2Ffull-record%2FWOS:001645228000001","View Full Record in Web of Science")</f>
        <v>View Full Record in Web of Science</v>
      </c>
    </row>
    <row r="951" spans="1:72" x14ac:dyDescent="0.25">
      <c r="A951" t="s">
        <v>72</v>
      </c>
      <c r="B951" t="s">
        <v>17553</v>
      </c>
      <c r="C951" t="s">
        <v>74</v>
      </c>
      <c r="D951" t="s">
        <v>74</v>
      </c>
      <c r="E951" t="s">
        <v>74</v>
      </c>
      <c r="F951" t="s">
        <v>17554</v>
      </c>
      <c r="G951" t="s">
        <v>74</v>
      </c>
      <c r="H951" t="s">
        <v>74</v>
      </c>
      <c r="I951" t="s">
        <v>17555</v>
      </c>
      <c r="J951" t="s">
        <v>17556</v>
      </c>
      <c r="K951" t="s">
        <v>74</v>
      </c>
      <c r="L951" t="s">
        <v>74</v>
      </c>
      <c r="M951" t="s">
        <v>78</v>
      </c>
      <c r="N951" t="s">
        <v>79</v>
      </c>
      <c r="O951" t="s">
        <v>74</v>
      </c>
      <c r="P951" t="s">
        <v>74</v>
      </c>
      <c r="Q951" t="s">
        <v>74</v>
      </c>
      <c r="R951" t="s">
        <v>74</v>
      </c>
      <c r="S951" t="s">
        <v>74</v>
      </c>
      <c r="T951" t="s">
        <v>17557</v>
      </c>
      <c r="U951" t="s">
        <v>8565</v>
      </c>
      <c r="V951" t="s">
        <v>17558</v>
      </c>
      <c r="W951" t="s">
        <v>17559</v>
      </c>
      <c r="X951" t="s">
        <v>7163</v>
      </c>
      <c r="Y951" t="s">
        <v>17560</v>
      </c>
      <c r="Z951" t="s">
        <v>17561</v>
      </c>
      <c r="AA951" t="s">
        <v>17562</v>
      </c>
      <c r="AB951" t="s">
        <v>17563</v>
      </c>
      <c r="AC951" t="s">
        <v>74</v>
      </c>
      <c r="AD951" t="s">
        <v>74</v>
      </c>
      <c r="AE951" t="s">
        <v>74</v>
      </c>
      <c r="AF951" t="s">
        <v>74</v>
      </c>
      <c r="AG951">
        <v>42</v>
      </c>
      <c r="AH951">
        <v>0</v>
      </c>
      <c r="AI951">
        <v>0</v>
      </c>
      <c r="AJ951">
        <v>1</v>
      </c>
      <c r="AK951">
        <v>7</v>
      </c>
      <c r="AL951" t="s">
        <v>17564</v>
      </c>
      <c r="AM951" t="s">
        <v>17565</v>
      </c>
      <c r="AN951" t="s">
        <v>17566</v>
      </c>
      <c r="AO951" t="s">
        <v>17567</v>
      </c>
      <c r="AP951" t="s">
        <v>17568</v>
      </c>
      <c r="AQ951" t="s">
        <v>74</v>
      </c>
      <c r="AR951" t="s">
        <v>17569</v>
      </c>
      <c r="AS951" t="s">
        <v>17570</v>
      </c>
      <c r="AT951" t="s">
        <v>74</v>
      </c>
      <c r="AU951">
        <v>2023</v>
      </c>
      <c r="AV951">
        <v>8</v>
      </c>
      <c r="AW951">
        <v>1</v>
      </c>
      <c r="AX951" t="s">
        <v>74</v>
      </c>
      <c r="AY951" t="s">
        <v>74</v>
      </c>
      <c r="AZ951" t="s">
        <v>74</v>
      </c>
      <c r="BA951" t="s">
        <v>74</v>
      </c>
      <c r="BB951" t="s">
        <v>74</v>
      </c>
      <c r="BC951" t="s">
        <v>74</v>
      </c>
      <c r="BD951">
        <v>2857</v>
      </c>
      <c r="BE951" t="s">
        <v>17571</v>
      </c>
      <c r="BF951" t="str">
        <f>HYPERLINK("http://dx.doi.org/10.24294/jipd.v8i1.2857","http://dx.doi.org/10.24294/jipd.v8i1.2857")</f>
        <v>http://dx.doi.org/10.24294/jipd.v8i1.2857</v>
      </c>
      <c r="BG951" t="s">
        <v>74</v>
      </c>
      <c r="BH951" t="s">
        <v>74</v>
      </c>
      <c r="BI951">
        <v>20</v>
      </c>
      <c r="BJ951" t="s">
        <v>583</v>
      </c>
      <c r="BK951" t="s">
        <v>313</v>
      </c>
      <c r="BL951" t="s">
        <v>100</v>
      </c>
      <c r="BM951" t="s">
        <v>17572</v>
      </c>
      <c r="BN951" t="s">
        <v>74</v>
      </c>
      <c r="BO951" t="s">
        <v>212</v>
      </c>
      <c r="BP951" t="s">
        <v>74</v>
      </c>
      <c r="BQ951" t="s">
        <v>74</v>
      </c>
      <c r="BR951" t="s">
        <v>102</v>
      </c>
      <c r="BS951" t="s">
        <v>17573</v>
      </c>
      <c r="BT951" t="str">
        <f>HYPERLINK("https%3A%2F%2Fwww.webofscience.com%2Fwos%2Fwoscc%2Ffull-record%2FWOS:001145448200009","View Full Record in Web of Science")</f>
        <v>View Full Record in Web of Science</v>
      </c>
    </row>
    <row r="952" spans="1:72" x14ac:dyDescent="0.25">
      <c r="A952" t="s">
        <v>72</v>
      </c>
      <c r="B952" t="s">
        <v>17574</v>
      </c>
      <c r="C952" t="s">
        <v>74</v>
      </c>
      <c r="D952" t="s">
        <v>74</v>
      </c>
      <c r="E952" t="s">
        <v>74</v>
      </c>
      <c r="F952" t="s">
        <v>17575</v>
      </c>
      <c r="G952" t="s">
        <v>74</v>
      </c>
      <c r="H952" t="s">
        <v>74</v>
      </c>
      <c r="I952" t="s">
        <v>17576</v>
      </c>
      <c r="J952" t="s">
        <v>836</v>
      </c>
      <c r="K952" t="s">
        <v>74</v>
      </c>
      <c r="L952" t="s">
        <v>74</v>
      </c>
      <c r="M952" t="s">
        <v>78</v>
      </c>
      <c r="N952" t="s">
        <v>79</v>
      </c>
      <c r="O952" t="s">
        <v>74</v>
      </c>
      <c r="P952" t="s">
        <v>74</v>
      </c>
      <c r="Q952" t="s">
        <v>74</v>
      </c>
      <c r="R952" t="s">
        <v>74</v>
      </c>
      <c r="S952" t="s">
        <v>74</v>
      </c>
      <c r="T952" t="s">
        <v>17577</v>
      </c>
      <c r="U952" t="s">
        <v>17578</v>
      </c>
      <c r="V952" t="s">
        <v>17579</v>
      </c>
      <c r="W952" t="s">
        <v>17580</v>
      </c>
      <c r="X952" t="s">
        <v>17581</v>
      </c>
      <c r="Y952" t="s">
        <v>17582</v>
      </c>
      <c r="Z952" t="s">
        <v>17583</v>
      </c>
      <c r="AA952" t="s">
        <v>17584</v>
      </c>
      <c r="AB952" t="s">
        <v>74</v>
      </c>
      <c r="AC952" t="s">
        <v>74</v>
      </c>
      <c r="AD952" t="s">
        <v>74</v>
      </c>
      <c r="AE952" t="s">
        <v>17585</v>
      </c>
      <c r="AF952" t="s">
        <v>74</v>
      </c>
      <c r="AG952">
        <v>79</v>
      </c>
      <c r="AH952">
        <v>1</v>
      </c>
      <c r="AI952">
        <v>1</v>
      </c>
      <c r="AJ952">
        <v>1</v>
      </c>
      <c r="AK952">
        <v>12</v>
      </c>
      <c r="AL952" t="s">
        <v>503</v>
      </c>
      <c r="AM952" t="s">
        <v>151</v>
      </c>
      <c r="AN952" t="s">
        <v>504</v>
      </c>
      <c r="AO952" t="s">
        <v>844</v>
      </c>
      <c r="AP952" t="s">
        <v>845</v>
      </c>
      <c r="AQ952" t="s">
        <v>74</v>
      </c>
      <c r="AR952" t="s">
        <v>846</v>
      </c>
      <c r="AS952" t="s">
        <v>847</v>
      </c>
      <c r="AT952" t="s">
        <v>891</v>
      </c>
      <c r="AU952">
        <v>2024</v>
      </c>
      <c r="AV952">
        <v>96</v>
      </c>
      <c r="AW952" t="s">
        <v>74</v>
      </c>
      <c r="AX952" t="s">
        <v>3828</v>
      </c>
      <c r="AY952" t="s">
        <v>74</v>
      </c>
      <c r="AZ952" t="s">
        <v>74</v>
      </c>
      <c r="BA952" t="s">
        <v>74</v>
      </c>
      <c r="BB952" t="s">
        <v>74</v>
      </c>
      <c r="BC952" t="s">
        <v>74</v>
      </c>
      <c r="BD952">
        <v>103594</v>
      </c>
      <c r="BE952" t="s">
        <v>17586</v>
      </c>
      <c r="BF952" t="str">
        <f>HYPERLINK("http://dx.doi.org/10.1016/j.irfa.2024.103594","http://dx.doi.org/10.1016/j.irfa.2024.103594")</f>
        <v>http://dx.doi.org/10.1016/j.irfa.2024.103594</v>
      </c>
      <c r="BG952" t="s">
        <v>74</v>
      </c>
      <c r="BH952" t="s">
        <v>9389</v>
      </c>
      <c r="BI952">
        <v>13</v>
      </c>
      <c r="BJ952" t="s">
        <v>268</v>
      </c>
      <c r="BK952" t="s">
        <v>99</v>
      </c>
      <c r="BL952" t="s">
        <v>100</v>
      </c>
      <c r="BM952" t="s">
        <v>17587</v>
      </c>
      <c r="BN952" t="s">
        <v>74</v>
      </c>
      <c r="BO952" t="s">
        <v>74</v>
      </c>
      <c r="BP952" t="s">
        <v>74</v>
      </c>
      <c r="BQ952" t="s">
        <v>74</v>
      </c>
      <c r="BR952" t="s">
        <v>102</v>
      </c>
      <c r="BS952" t="s">
        <v>17588</v>
      </c>
      <c r="BT952" t="str">
        <f>HYPERLINK("https%3A%2F%2Fwww.webofscience.com%2Fwos%2Fwoscc%2Ffull-record%2FWOS:001325083600001","View Full Record in Web of Science")</f>
        <v>View Full Record in Web of Science</v>
      </c>
    </row>
    <row r="953" spans="1:72" x14ac:dyDescent="0.25">
      <c r="A953" t="s">
        <v>72</v>
      </c>
      <c r="B953" t="s">
        <v>17589</v>
      </c>
      <c r="C953" t="s">
        <v>74</v>
      </c>
      <c r="D953" t="s">
        <v>74</v>
      </c>
      <c r="E953" t="s">
        <v>74</v>
      </c>
      <c r="F953" t="s">
        <v>17590</v>
      </c>
      <c r="G953" t="s">
        <v>74</v>
      </c>
      <c r="H953" t="s">
        <v>74</v>
      </c>
      <c r="I953" t="s">
        <v>17591</v>
      </c>
      <c r="J953" t="s">
        <v>4956</v>
      </c>
      <c r="K953" t="s">
        <v>74</v>
      </c>
      <c r="L953" t="s">
        <v>74</v>
      </c>
      <c r="M953" t="s">
        <v>78</v>
      </c>
      <c r="N953" t="s">
        <v>79</v>
      </c>
      <c r="O953" t="s">
        <v>74</v>
      </c>
      <c r="P953" t="s">
        <v>74</v>
      </c>
      <c r="Q953" t="s">
        <v>74</v>
      </c>
      <c r="R953" t="s">
        <v>74</v>
      </c>
      <c r="S953" t="s">
        <v>74</v>
      </c>
      <c r="T953" t="s">
        <v>17592</v>
      </c>
      <c r="U953" t="s">
        <v>17593</v>
      </c>
      <c r="V953" t="s">
        <v>17594</v>
      </c>
      <c r="W953" t="s">
        <v>17595</v>
      </c>
      <c r="X953" t="s">
        <v>17596</v>
      </c>
      <c r="Y953" t="s">
        <v>17597</v>
      </c>
      <c r="Z953" t="s">
        <v>17598</v>
      </c>
      <c r="AA953" t="s">
        <v>17599</v>
      </c>
      <c r="AB953" t="s">
        <v>17600</v>
      </c>
      <c r="AC953" t="s">
        <v>17601</v>
      </c>
      <c r="AD953" t="s">
        <v>17602</v>
      </c>
      <c r="AE953" t="s">
        <v>17603</v>
      </c>
      <c r="AF953" t="s">
        <v>74</v>
      </c>
      <c r="AG953">
        <v>38</v>
      </c>
      <c r="AH953">
        <v>15</v>
      </c>
      <c r="AI953">
        <v>16</v>
      </c>
      <c r="AJ953">
        <v>1</v>
      </c>
      <c r="AK953">
        <v>23</v>
      </c>
      <c r="AL953" t="s">
        <v>230</v>
      </c>
      <c r="AM953" t="s">
        <v>231</v>
      </c>
      <c r="AN953" t="s">
        <v>232</v>
      </c>
      <c r="AO953" t="s">
        <v>4966</v>
      </c>
      <c r="AP953" t="s">
        <v>4967</v>
      </c>
      <c r="AQ953" t="s">
        <v>74</v>
      </c>
      <c r="AR953" t="s">
        <v>4968</v>
      </c>
      <c r="AS953" t="s">
        <v>4969</v>
      </c>
      <c r="AT953" t="s">
        <v>743</v>
      </c>
      <c r="AU953">
        <v>2020</v>
      </c>
      <c r="AV953">
        <v>128</v>
      </c>
      <c r="AW953" t="s">
        <v>74</v>
      </c>
      <c r="AX953" t="s">
        <v>74</v>
      </c>
      <c r="AY953" t="s">
        <v>74</v>
      </c>
      <c r="AZ953" t="s">
        <v>74</v>
      </c>
      <c r="BA953" t="s">
        <v>74</v>
      </c>
      <c r="BB953" t="s">
        <v>74</v>
      </c>
      <c r="BC953" t="s">
        <v>74</v>
      </c>
      <c r="BD953">
        <v>104861</v>
      </c>
      <c r="BE953" t="s">
        <v>17604</v>
      </c>
      <c r="BF953" t="str">
        <f>HYPERLINK("http://dx.doi.org/10.1016/j.worlddev.2019.104861","http://dx.doi.org/10.1016/j.worlddev.2019.104861")</f>
        <v>http://dx.doi.org/10.1016/j.worlddev.2019.104861</v>
      </c>
      <c r="BG953" t="s">
        <v>74</v>
      </c>
      <c r="BH953" t="s">
        <v>74</v>
      </c>
      <c r="BI953">
        <v>13</v>
      </c>
      <c r="BJ953" t="s">
        <v>701</v>
      </c>
      <c r="BK953" t="s">
        <v>99</v>
      </c>
      <c r="BL953" t="s">
        <v>702</v>
      </c>
      <c r="BM953" t="s">
        <v>17605</v>
      </c>
      <c r="BN953" t="s">
        <v>74</v>
      </c>
      <c r="BO953" t="s">
        <v>15979</v>
      </c>
      <c r="BP953" t="s">
        <v>74</v>
      </c>
      <c r="BQ953" t="s">
        <v>74</v>
      </c>
      <c r="BR953" t="s">
        <v>102</v>
      </c>
      <c r="BS953" t="s">
        <v>17606</v>
      </c>
      <c r="BT953" t="str">
        <f>HYPERLINK("https%3A%2F%2Fwww.webofscience.com%2Fwos%2Fwoscc%2Ffull-record%2FWOS:000515427900016","View Full Record in Web of Science")</f>
        <v>View Full Record in Web of Science</v>
      </c>
    </row>
    <row r="954" spans="1:72" x14ac:dyDescent="0.25">
      <c r="A954" t="s">
        <v>72</v>
      </c>
      <c r="B954" t="s">
        <v>17607</v>
      </c>
      <c r="C954" t="s">
        <v>74</v>
      </c>
      <c r="D954" t="s">
        <v>74</v>
      </c>
      <c r="E954" t="s">
        <v>74</v>
      </c>
      <c r="F954" t="s">
        <v>17608</v>
      </c>
      <c r="G954" t="s">
        <v>74</v>
      </c>
      <c r="H954" t="s">
        <v>74</v>
      </c>
      <c r="I954" t="s">
        <v>17609</v>
      </c>
      <c r="J954" t="s">
        <v>4956</v>
      </c>
      <c r="K954" t="s">
        <v>74</v>
      </c>
      <c r="L954" t="s">
        <v>74</v>
      </c>
      <c r="M954" t="s">
        <v>78</v>
      </c>
      <c r="N954" t="s">
        <v>79</v>
      </c>
      <c r="O954" t="s">
        <v>74</v>
      </c>
      <c r="P954" t="s">
        <v>74</v>
      </c>
      <c r="Q954" t="s">
        <v>74</v>
      </c>
      <c r="R954" t="s">
        <v>74</v>
      </c>
      <c r="S954" t="s">
        <v>74</v>
      </c>
      <c r="T954" t="s">
        <v>275</v>
      </c>
      <c r="U954" t="s">
        <v>17610</v>
      </c>
      <c r="V954" t="s">
        <v>17611</v>
      </c>
      <c r="W954" t="s">
        <v>17612</v>
      </c>
      <c r="X954" t="s">
        <v>17613</v>
      </c>
      <c r="Y954" t="s">
        <v>17614</v>
      </c>
      <c r="Z954" t="s">
        <v>17615</v>
      </c>
      <c r="AA954" t="s">
        <v>74</v>
      </c>
      <c r="AB954" t="s">
        <v>17616</v>
      </c>
      <c r="AC954" t="s">
        <v>17617</v>
      </c>
      <c r="AD954" t="s">
        <v>17618</v>
      </c>
      <c r="AE954" t="s">
        <v>17619</v>
      </c>
      <c r="AF954" t="s">
        <v>74</v>
      </c>
      <c r="AG954">
        <v>44</v>
      </c>
      <c r="AH954">
        <v>296</v>
      </c>
      <c r="AI954">
        <v>413</v>
      </c>
      <c r="AJ954">
        <v>15</v>
      </c>
      <c r="AK954">
        <v>250</v>
      </c>
      <c r="AL954" t="s">
        <v>230</v>
      </c>
      <c r="AM954" t="s">
        <v>231</v>
      </c>
      <c r="AN954" t="s">
        <v>232</v>
      </c>
      <c r="AO954" t="s">
        <v>4966</v>
      </c>
      <c r="AP954" t="s">
        <v>74</v>
      </c>
      <c r="AQ954" t="s">
        <v>74</v>
      </c>
      <c r="AR954" t="s">
        <v>4968</v>
      </c>
      <c r="AS954" t="s">
        <v>4969</v>
      </c>
      <c r="AT954" t="s">
        <v>891</v>
      </c>
      <c r="AU954">
        <v>2018</v>
      </c>
      <c r="AV954">
        <v>111</v>
      </c>
      <c r="AW954" t="s">
        <v>74</v>
      </c>
      <c r="AX954" t="s">
        <v>74</v>
      </c>
      <c r="AY954" t="s">
        <v>74</v>
      </c>
      <c r="AZ954" t="s">
        <v>74</v>
      </c>
      <c r="BA954" t="s">
        <v>74</v>
      </c>
      <c r="BB954">
        <v>84</v>
      </c>
      <c r="BC954">
        <v>96</v>
      </c>
      <c r="BD954" t="s">
        <v>74</v>
      </c>
      <c r="BE954" t="s">
        <v>17620</v>
      </c>
      <c r="BF954" t="str">
        <f>HYPERLINK("http://dx.doi.org/10.1016/j.worlddev.2018.06.020","http://dx.doi.org/10.1016/j.worlddev.2018.06.020")</f>
        <v>http://dx.doi.org/10.1016/j.worlddev.2018.06.020</v>
      </c>
      <c r="BG954" t="s">
        <v>74</v>
      </c>
      <c r="BH954" t="s">
        <v>74</v>
      </c>
      <c r="BI954">
        <v>13</v>
      </c>
      <c r="BJ954" t="s">
        <v>701</v>
      </c>
      <c r="BK954" t="s">
        <v>99</v>
      </c>
      <c r="BL954" t="s">
        <v>702</v>
      </c>
      <c r="BM954" t="s">
        <v>17621</v>
      </c>
      <c r="BN954" t="s">
        <v>74</v>
      </c>
      <c r="BO954" t="s">
        <v>1696</v>
      </c>
      <c r="BP954" t="s">
        <v>74</v>
      </c>
      <c r="BQ954" t="s">
        <v>74</v>
      </c>
      <c r="BR954" t="s">
        <v>102</v>
      </c>
      <c r="BS954" t="s">
        <v>17622</v>
      </c>
      <c r="BT954" t="str">
        <f>HYPERLINK("https%3A%2F%2Fwww.webofscience.com%2Fwos%2Fwoscc%2Ffull-record%2FWOS:000447111000007","View Full Record in Web of Science")</f>
        <v>View Full Record in Web of Science</v>
      </c>
    </row>
    <row r="955" spans="1:72" x14ac:dyDescent="0.25">
      <c r="A955" t="s">
        <v>72</v>
      </c>
      <c r="B955" t="s">
        <v>17623</v>
      </c>
      <c r="C955" t="s">
        <v>74</v>
      </c>
      <c r="D955" t="s">
        <v>74</v>
      </c>
      <c r="E955" t="s">
        <v>74</v>
      </c>
      <c r="F955" t="s">
        <v>17624</v>
      </c>
      <c r="G955" t="s">
        <v>74</v>
      </c>
      <c r="H955" t="s">
        <v>74</v>
      </c>
      <c r="I955" t="s">
        <v>17625</v>
      </c>
      <c r="J955" t="s">
        <v>2137</v>
      </c>
      <c r="K955" t="s">
        <v>74</v>
      </c>
      <c r="L955" t="s">
        <v>74</v>
      </c>
      <c r="M955" t="s">
        <v>78</v>
      </c>
      <c r="N955" t="s">
        <v>79</v>
      </c>
      <c r="O955" t="s">
        <v>74</v>
      </c>
      <c r="P955" t="s">
        <v>74</v>
      </c>
      <c r="Q955" t="s">
        <v>74</v>
      </c>
      <c r="R955" t="s">
        <v>74</v>
      </c>
      <c r="S955" t="s">
        <v>74</v>
      </c>
      <c r="T955" t="s">
        <v>17626</v>
      </c>
      <c r="U955" t="s">
        <v>17627</v>
      </c>
      <c r="V955" t="s">
        <v>17628</v>
      </c>
      <c r="W955" t="s">
        <v>17629</v>
      </c>
      <c r="X955" t="s">
        <v>17630</v>
      </c>
      <c r="Y955" t="s">
        <v>17631</v>
      </c>
      <c r="Z955" t="s">
        <v>17632</v>
      </c>
      <c r="AA955" t="s">
        <v>74</v>
      </c>
      <c r="AB955" t="s">
        <v>17633</v>
      </c>
      <c r="AC955" t="s">
        <v>74</v>
      </c>
      <c r="AD955" t="s">
        <v>74</v>
      </c>
      <c r="AE955" t="s">
        <v>74</v>
      </c>
      <c r="AF955" t="s">
        <v>74</v>
      </c>
      <c r="AG955">
        <v>26</v>
      </c>
      <c r="AH955">
        <v>47</v>
      </c>
      <c r="AI955">
        <v>86</v>
      </c>
      <c r="AJ955">
        <v>2</v>
      </c>
      <c r="AK955">
        <v>142</v>
      </c>
      <c r="AL955" t="s">
        <v>2145</v>
      </c>
      <c r="AM955" t="s">
        <v>151</v>
      </c>
      <c r="AN955" t="s">
        <v>2146</v>
      </c>
      <c r="AO955" t="s">
        <v>2147</v>
      </c>
      <c r="AP955" t="s">
        <v>2148</v>
      </c>
      <c r="AQ955" t="s">
        <v>74</v>
      </c>
      <c r="AR955" t="s">
        <v>2149</v>
      </c>
      <c r="AS955" t="s">
        <v>2150</v>
      </c>
      <c r="AT955" t="s">
        <v>74</v>
      </c>
      <c r="AU955">
        <v>2019</v>
      </c>
      <c r="AV955">
        <v>30</v>
      </c>
      <c r="AW955">
        <v>1</v>
      </c>
      <c r="AX955" t="s">
        <v>74</v>
      </c>
      <c r="AY955" t="s">
        <v>74</v>
      </c>
      <c r="AZ955" t="s">
        <v>74</v>
      </c>
      <c r="BA955" t="s">
        <v>74</v>
      </c>
      <c r="BB955">
        <v>132</v>
      </c>
      <c r="BC955">
        <v>141</v>
      </c>
      <c r="BD955" t="s">
        <v>74</v>
      </c>
      <c r="BE955" t="s">
        <v>17634</v>
      </c>
      <c r="BF955" t="str">
        <f>HYPERLINK("http://dx.doi.org/10.1891/1052-3073.30.1.132","http://dx.doi.org/10.1891/1052-3073.30.1.132")</f>
        <v>http://dx.doi.org/10.1891/1052-3073.30.1.132</v>
      </c>
      <c r="BG955" t="s">
        <v>74</v>
      </c>
      <c r="BH955" t="s">
        <v>74</v>
      </c>
      <c r="BI955">
        <v>10</v>
      </c>
      <c r="BJ955" t="s">
        <v>1453</v>
      </c>
      <c r="BK955" t="s">
        <v>313</v>
      </c>
      <c r="BL955" t="s">
        <v>100</v>
      </c>
      <c r="BM955" t="s">
        <v>17635</v>
      </c>
      <c r="BN955" t="s">
        <v>74</v>
      </c>
      <c r="BO955" t="s">
        <v>74</v>
      </c>
      <c r="BP955" t="s">
        <v>74</v>
      </c>
      <c r="BQ955" t="s">
        <v>74</v>
      </c>
      <c r="BR955" t="s">
        <v>102</v>
      </c>
      <c r="BS955" t="s">
        <v>17636</v>
      </c>
      <c r="BT955" t="str">
        <f>HYPERLINK("https%3A%2F%2Fwww.webofscience.com%2Fwos%2Fwoscc%2Ffull-record%2FWOS:000472084100012","View Full Record in Web of Science")</f>
        <v>View Full Record in Web of Science</v>
      </c>
    </row>
    <row r="956" spans="1:72" x14ac:dyDescent="0.25">
      <c r="A956" t="s">
        <v>72</v>
      </c>
      <c r="B956" t="s">
        <v>17637</v>
      </c>
      <c r="C956" t="s">
        <v>74</v>
      </c>
      <c r="D956" t="s">
        <v>74</v>
      </c>
      <c r="E956" t="s">
        <v>74</v>
      </c>
      <c r="F956" t="s">
        <v>17638</v>
      </c>
      <c r="G956" t="s">
        <v>74</v>
      </c>
      <c r="H956" t="s">
        <v>74</v>
      </c>
      <c r="I956" t="s">
        <v>17639</v>
      </c>
      <c r="J956" t="s">
        <v>17640</v>
      </c>
      <c r="K956" t="s">
        <v>74</v>
      </c>
      <c r="L956" t="s">
        <v>74</v>
      </c>
      <c r="M956" t="s">
        <v>78</v>
      </c>
      <c r="N956" t="s">
        <v>79</v>
      </c>
      <c r="O956" t="s">
        <v>74</v>
      </c>
      <c r="P956" t="s">
        <v>74</v>
      </c>
      <c r="Q956" t="s">
        <v>74</v>
      </c>
      <c r="R956" t="s">
        <v>74</v>
      </c>
      <c r="S956" t="s">
        <v>74</v>
      </c>
      <c r="T956" t="s">
        <v>74</v>
      </c>
      <c r="U956" t="s">
        <v>17641</v>
      </c>
      <c r="V956" t="s">
        <v>17642</v>
      </c>
      <c r="W956" t="s">
        <v>17643</v>
      </c>
      <c r="X956" t="s">
        <v>17644</v>
      </c>
      <c r="Y956" t="s">
        <v>17645</v>
      </c>
      <c r="Z956" t="s">
        <v>17646</v>
      </c>
      <c r="AA956" t="s">
        <v>74</v>
      </c>
      <c r="AB956" t="s">
        <v>74</v>
      </c>
      <c r="AC956" t="s">
        <v>17647</v>
      </c>
      <c r="AD956" t="s">
        <v>17647</v>
      </c>
      <c r="AE956" t="s">
        <v>17648</v>
      </c>
      <c r="AF956" t="s">
        <v>74</v>
      </c>
      <c r="AG956">
        <v>123</v>
      </c>
      <c r="AH956">
        <v>0</v>
      </c>
      <c r="AI956">
        <v>1</v>
      </c>
      <c r="AJ956">
        <v>4</v>
      </c>
      <c r="AK956">
        <v>4</v>
      </c>
      <c r="AL956" t="s">
        <v>4666</v>
      </c>
      <c r="AM956" t="s">
        <v>995</v>
      </c>
      <c r="AN956" t="s">
        <v>4025</v>
      </c>
      <c r="AO956" t="s">
        <v>74</v>
      </c>
      <c r="AP956" t="s">
        <v>17649</v>
      </c>
      <c r="AQ956" t="s">
        <v>74</v>
      </c>
      <c r="AR956" t="s">
        <v>17650</v>
      </c>
      <c r="AS956" t="s">
        <v>17651</v>
      </c>
      <c r="AT956" t="s">
        <v>17652</v>
      </c>
      <c r="AU956">
        <v>2025</v>
      </c>
      <c r="AV956">
        <v>12</v>
      </c>
      <c r="AW956">
        <v>1</v>
      </c>
      <c r="AX956" t="s">
        <v>74</v>
      </c>
      <c r="AY956" t="s">
        <v>74</v>
      </c>
      <c r="AZ956" t="s">
        <v>74</v>
      </c>
      <c r="BA956" t="s">
        <v>74</v>
      </c>
      <c r="BB956" t="s">
        <v>74</v>
      </c>
      <c r="BC956" t="s">
        <v>74</v>
      </c>
      <c r="BD956">
        <v>1082</v>
      </c>
      <c r="BE956" t="s">
        <v>17653</v>
      </c>
      <c r="BF956" t="str">
        <f>HYPERLINK("http://dx.doi.org/10.1057/s41599-025-05500-9","http://dx.doi.org/10.1057/s41599-025-05500-9")</f>
        <v>http://dx.doi.org/10.1057/s41599-025-05500-9</v>
      </c>
      <c r="BG956" t="s">
        <v>74</v>
      </c>
      <c r="BH956" t="s">
        <v>74</v>
      </c>
      <c r="BI956">
        <v>19</v>
      </c>
      <c r="BJ956" t="s">
        <v>17654</v>
      </c>
      <c r="BK956" t="s">
        <v>871</v>
      </c>
      <c r="BL956" t="s">
        <v>17655</v>
      </c>
      <c r="BM956" t="s">
        <v>17656</v>
      </c>
      <c r="BN956" t="s">
        <v>74</v>
      </c>
      <c r="BO956" t="s">
        <v>212</v>
      </c>
      <c r="BP956" t="s">
        <v>74</v>
      </c>
      <c r="BQ956" t="s">
        <v>74</v>
      </c>
      <c r="BR956" t="s">
        <v>102</v>
      </c>
      <c r="BS956" t="s">
        <v>17657</v>
      </c>
      <c r="BT956" t="str">
        <f>HYPERLINK("https%3A%2F%2Fwww.webofscience.com%2Fwos%2Fwoscc%2Ffull-record%2FWOS:001527174800003","View Full Record in Web of Science")</f>
        <v>View Full Record in Web of Science</v>
      </c>
    </row>
    <row r="957" spans="1:72" x14ac:dyDescent="0.25">
      <c r="A957" t="s">
        <v>132</v>
      </c>
      <c r="B957" t="s">
        <v>17658</v>
      </c>
      <c r="C957" t="s">
        <v>74</v>
      </c>
      <c r="D957" t="s">
        <v>74</v>
      </c>
      <c r="E957" t="s">
        <v>771</v>
      </c>
      <c r="F957" t="s">
        <v>17659</v>
      </c>
      <c r="G957" t="s">
        <v>74</v>
      </c>
      <c r="H957" t="s">
        <v>74</v>
      </c>
      <c r="I957" t="s">
        <v>17660</v>
      </c>
      <c r="J957" t="s">
        <v>17661</v>
      </c>
      <c r="K957" t="s">
        <v>74</v>
      </c>
      <c r="L957" t="s">
        <v>74</v>
      </c>
      <c r="M957" t="s">
        <v>78</v>
      </c>
      <c r="N957" t="s">
        <v>138</v>
      </c>
      <c r="O957" t="s">
        <v>17662</v>
      </c>
      <c r="P957" t="s">
        <v>17663</v>
      </c>
      <c r="Q957" t="s">
        <v>1550</v>
      </c>
      <c r="R957" t="s">
        <v>74</v>
      </c>
      <c r="S957" t="s">
        <v>74</v>
      </c>
      <c r="T957" t="s">
        <v>17664</v>
      </c>
      <c r="U957" t="s">
        <v>74</v>
      </c>
      <c r="V957" t="s">
        <v>17665</v>
      </c>
      <c r="W957" t="s">
        <v>17666</v>
      </c>
      <c r="X957" t="s">
        <v>17667</v>
      </c>
      <c r="Y957" t="s">
        <v>17668</v>
      </c>
      <c r="Z957" t="s">
        <v>17669</v>
      </c>
      <c r="AA957" t="s">
        <v>74</v>
      </c>
      <c r="AB957" t="s">
        <v>17670</v>
      </c>
      <c r="AC957" t="s">
        <v>74</v>
      </c>
      <c r="AD957" t="s">
        <v>74</v>
      </c>
      <c r="AE957" t="s">
        <v>74</v>
      </c>
      <c r="AF957" t="s">
        <v>74</v>
      </c>
      <c r="AG957">
        <v>11</v>
      </c>
      <c r="AH957">
        <v>3</v>
      </c>
      <c r="AI957">
        <v>3</v>
      </c>
      <c r="AJ957">
        <v>3</v>
      </c>
      <c r="AK957">
        <v>68</v>
      </c>
      <c r="AL957" t="s">
        <v>5379</v>
      </c>
      <c r="AM957" t="s">
        <v>5380</v>
      </c>
      <c r="AN957" t="s">
        <v>5381</v>
      </c>
      <c r="AO957" t="s">
        <v>74</v>
      </c>
      <c r="AP957" t="s">
        <v>74</v>
      </c>
      <c r="AQ957" t="s">
        <v>17671</v>
      </c>
      <c r="AR957" t="s">
        <v>74</v>
      </c>
      <c r="AS957" t="s">
        <v>74</v>
      </c>
      <c r="AT957" t="s">
        <v>74</v>
      </c>
      <c r="AU957">
        <v>2021</v>
      </c>
      <c r="AV957" t="s">
        <v>74</v>
      </c>
      <c r="AW957" t="s">
        <v>74</v>
      </c>
      <c r="AX957" t="s">
        <v>74</v>
      </c>
      <c r="AY957" t="s">
        <v>74</v>
      </c>
      <c r="AZ957" t="s">
        <v>74</v>
      </c>
      <c r="BA957" t="s">
        <v>74</v>
      </c>
      <c r="BB957">
        <v>360</v>
      </c>
      <c r="BC957">
        <v>363</v>
      </c>
      <c r="BD957" t="s">
        <v>74</v>
      </c>
      <c r="BE957" t="s">
        <v>17672</v>
      </c>
      <c r="BF957" t="str">
        <f>HYPERLINK("http://dx.doi.org/10.1109/ECIT52743.2021.00082","http://dx.doi.org/10.1109/ECIT52743.2021.00082")</f>
        <v>http://dx.doi.org/10.1109/ECIT52743.2021.00082</v>
      </c>
      <c r="BG957" t="s">
        <v>74</v>
      </c>
      <c r="BH957" t="s">
        <v>74</v>
      </c>
      <c r="BI957">
        <v>4</v>
      </c>
      <c r="BJ957" t="s">
        <v>17673</v>
      </c>
      <c r="BK957" t="s">
        <v>1069</v>
      </c>
      <c r="BL957" t="s">
        <v>1070</v>
      </c>
      <c r="BM957" t="s">
        <v>17674</v>
      </c>
      <c r="BN957" t="s">
        <v>74</v>
      </c>
      <c r="BO957" t="s">
        <v>74</v>
      </c>
      <c r="BP957" t="s">
        <v>74</v>
      </c>
      <c r="BQ957" t="s">
        <v>74</v>
      </c>
      <c r="BR957" t="s">
        <v>102</v>
      </c>
      <c r="BS957" t="s">
        <v>17675</v>
      </c>
      <c r="BT957" t="str">
        <f>HYPERLINK("https%3A%2F%2Fwww.webofscience.com%2Fwos%2Fwoscc%2Ffull-record%2FWOS:000672805700075","View Full Record in Web of Science")</f>
        <v>View Full Record in Web of Science</v>
      </c>
    </row>
    <row r="958" spans="1:72" x14ac:dyDescent="0.25">
      <c r="A958" t="s">
        <v>72</v>
      </c>
      <c r="B958" t="s">
        <v>17676</v>
      </c>
      <c r="C958" t="s">
        <v>74</v>
      </c>
      <c r="D958" t="s">
        <v>74</v>
      </c>
      <c r="E958" t="s">
        <v>74</v>
      </c>
      <c r="F958" t="s">
        <v>17677</v>
      </c>
      <c r="G958" t="s">
        <v>74</v>
      </c>
      <c r="H958" t="s">
        <v>74</v>
      </c>
      <c r="I958" t="s">
        <v>17678</v>
      </c>
      <c r="J958" t="s">
        <v>17679</v>
      </c>
      <c r="K958" t="s">
        <v>74</v>
      </c>
      <c r="L958" t="s">
        <v>74</v>
      </c>
      <c r="M958" t="s">
        <v>78</v>
      </c>
      <c r="N958" t="s">
        <v>79</v>
      </c>
      <c r="O958" t="s">
        <v>74</v>
      </c>
      <c r="P958" t="s">
        <v>74</v>
      </c>
      <c r="Q958" t="s">
        <v>74</v>
      </c>
      <c r="R958" t="s">
        <v>74</v>
      </c>
      <c r="S958" t="s">
        <v>74</v>
      </c>
      <c r="T958" t="s">
        <v>17680</v>
      </c>
      <c r="U958" t="s">
        <v>17681</v>
      </c>
      <c r="V958" t="s">
        <v>17682</v>
      </c>
      <c r="W958" t="s">
        <v>17683</v>
      </c>
      <c r="X958" t="s">
        <v>74</v>
      </c>
      <c r="Y958" t="s">
        <v>17684</v>
      </c>
      <c r="Z958" t="s">
        <v>74</v>
      </c>
      <c r="AA958" t="s">
        <v>17685</v>
      </c>
      <c r="AB958" t="s">
        <v>17686</v>
      </c>
      <c r="AC958" t="s">
        <v>74</v>
      </c>
      <c r="AD958" t="s">
        <v>74</v>
      </c>
      <c r="AE958" t="s">
        <v>74</v>
      </c>
      <c r="AF958" t="s">
        <v>74</v>
      </c>
      <c r="AG958">
        <v>31</v>
      </c>
      <c r="AH958">
        <v>0</v>
      </c>
      <c r="AI958">
        <v>1</v>
      </c>
      <c r="AJ958">
        <v>0</v>
      </c>
      <c r="AK958">
        <v>17</v>
      </c>
      <c r="AL958" t="s">
        <v>7551</v>
      </c>
      <c r="AM958" t="s">
        <v>7552</v>
      </c>
      <c r="AN958" t="s">
        <v>7553</v>
      </c>
      <c r="AO958" t="s">
        <v>17687</v>
      </c>
      <c r="AP958" t="s">
        <v>17688</v>
      </c>
      <c r="AQ958" t="s">
        <v>74</v>
      </c>
      <c r="AR958" t="s">
        <v>17689</v>
      </c>
      <c r="AS958" t="s">
        <v>17690</v>
      </c>
      <c r="AT958" t="s">
        <v>74</v>
      </c>
      <c r="AU958">
        <v>2022</v>
      </c>
      <c r="AV958">
        <v>11</v>
      </c>
      <c r="AW958">
        <v>1</v>
      </c>
      <c r="AX958" t="s">
        <v>74</v>
      </c>
      <c r="AY958" t="s">
        <v>74</v>
      </c>
      <c r="AZ958" t="s">
        <v>74</v>
      </c>
      <c r="BA958" t="s">
        <v>74</v>
      </c>
      <c r="BB958" t="s">
        <v>74</v>
      </c>
      <c r="BC958" t="s">
        <v>74</v>
      </c>
      <c r="BD958" t="s">
        <v>74</v>
      </c>
      <c r="BE958" t="s">
        <v>17691</v>
      </c>
      <c r="BF958" t="str">
        <f>HYPERLINK("http://dx.doi.org/10.4018/IJABE.305116","http://dx.doi.org/10.4018/IJABE.305116")</f>
        <v>http://dx.doi.org/10.4018/IJABE.305116</v>
      </c>
      <c r="BG958" t="s">
        <v>74</v>
      </c>
      <c r="BH958" t="s">
        <v>74</v>
      </c>
      <c r="BI958">
        <v>17</v>
      </c>
      <c r="BJ958" t="s">
        <v>291</v>
      </c>
      <c r="BK958" t="s">
        <v>313</v>
      </c>
      <c r="BL958" t="s">
        <v>100</v>
      </c>
      <c r="BM958" t="s">
        <v>17692</v>
      </c>
      <c r="BN958" t="s">
        <v>74</v>
      </c>
      <c r="BO958" t="s">
        <v>212</v>
      </c>
      <c r="BP958" t="s">
        <v>74</v>
      </c>
      <c r="BQ958" t="s">
        <v>74</v>
      </c>
      <c r="BR958" t="s">
        <v>102</v>
      </c>
      <c r="BS958" t="s">
        <v>17693</v>
      </c>
      <c r="BT958" t="str">
        <f>HYPERLINK("https%3A%2F%2Fwww.webofscience.com%2Fwos%2Fwoscc%2Ffull-record%2FWOS:000836687600006","View Full Record in Web of Science")</f>
        <v>View Full Record in Web of Science</v>
      </c>
    </row>
    <row r="959" spans="1:72" x14ac:dyDescent="0.25">
      <c r="A959" t="s">
        <v>132</v>
      </c>
      <c r="B959" t="s">
        <v>17694</v>
      </c>
      <c r="C959" t="s">
        <v>74</v>
      </c>
      <c r="D959" t="s">
        <v>74</v>
      </c>
      <c r="E959" t="s">
        <v>771</v>
      </c>
      <c r="F959" t="s">
        <v>17695</v>
      </c>
      <c r="G959" t="s">
        <v>74</v>
      </c>
      <c r="H959" t="s">
        <v>74</v>
      </c>
      <c r="I959" t="s">
        <v>17696</v>
      </c>
      <c r="J959" t="s">
        <v>17697</v>
      </c>
      <c r="K959" t="s">
        <v>74</v>
      </c>
      <c r="L959" t="s">
        <v>74</v>
      </c>
      <c r="M959" t="s">
        <v>78</v>
      </c>
      <c r="N959" t="s">
        <v>138</v>
      </c>
      <c r="O959" t="s">
        <v>17698</v>
      </c>
      <c r="P959" t="s">
        <v>17699</v>
      </c>
      <c r="Q959" t="s">
        <v>1550</v>
      </c>
      <c r="R959" t="s">
        <v>17700</v>
      </c>
      <c r="S959" t="s">
        <v>74</v>
      </c>
      <c r="T959" t="s">
        <v>17701</v>
      </c>
      <c r="U959" t="s">
        <v>74</v>
      </c>
      <c r="V959" t="s">
        <v>17702</v>
      </c>
      <c r="W959" t="s">
        <v>17703</v>
      </c>
      <c r="X959" t="s">
        <v>74</v>
      </c>
      <c r="Y959" t="s">
        <v>17704</v>
      </c>
      <c r="Z959" t="s">
        <v>17705</v>
      </c>
      <c r="AA959" t="s">
        <v>17706</v>
      </c>
      <c r="AB959" t="s">
        <v>74</v>
      </c>
      <c r="AC959" t="s">
        <v>74</v>
      </c>
      <c r="AD959" t="s">
        <v>74</v>
      </c>
      <c r="AE959" t="s">
        <v>74</v>
      </c>
      <c r="AF959" t="s">
        <v>74</v>
      </c>
      <c r="AG959">
        <v>31</v>
      </c>
      <c r="AH959">
        <v>0</v>
      </c>
      <c r="AI959">
        <v>0</v>
      </c>
      <c r="AJ959">
        <v>0</v>
      </c>
      <c r="AK959">
        <v>23</v>
      </c>
      <c r="AL959" t="s">
        <v>771</v>
      </c>
      <c r="AM959" t="s">
        <v>151</v>
      </c>
      <c r="AN959" t="s">
        <v>785</v>
      </c>
      <c r="AO959" t="s">
        <v>74</v>
      </c>
      <c r="AP959" t="s">
        <v>74</v>
      </c>
      <c r="AQ959" t="s">
        <v>17707</v>
      </c>
      <c r="AR959" t="s">
        <v>74</v>
      </c>
      <c r="AS959" t="s">
        <v>74</v>
      </c>
      <c r="AT959" t="s">
        <v>74</v>
      </c>
      <c r="AU959">
        <v>2022</v>
      </c>
      <c r="AV959" t="s">
        <v>74</v>
      </c>
      <c r="AW959" t="s">
        <v>74</v>
      </c>
      <c r="AX959" t="s">
        <v>74</v>
      </c>
      <c r="AY959" t="s">
        <v>74</v>
      </c>
      <c r="AZ959" t="s">
        <v>74</v>
      </c>
      <c r="BA959" t="s">
        <v>74</v>
      </c>
      <c r="BB959">
        <v>177</v>
      </c>
      <c r="BC959">
        <v>181</v>
      </c>
      <c r="BD959" t="s">
        <v>74</v>
      </c>
      <c r="BE959" t="s">
        <v>17708</v>
      </c>
      <c r="BF959" t="str">
        <f>HYPERLINK("http://dx.doi.org/10.1109/ICBIR54589.2022.9786514","http://dx.doi.org/10.1109/ICBIR54589.2022.9786514")</f>
        <v>http://dx.doi.org/10.1109/ICBIR54589.2022.9786514</v>
      </c>
      <c r="BG959" t="s">
        <v>74</v>
      </c>
      <c r="BH959" t="s">
        <v>74</v>
      </c>
      <c r="BI959">
        <v>5</v>
      </c>
      <c r="BJ959" t="s">
        <v>17709</v>
      </c>
      <c r="BK959" t="s">
        <v>1069</v>
      </c>
      <c r="BL959" t="s">
        <v>17710</v>
      </c>
      <c r="BM959" t="s">
        <v>17711</v>
      </c>
      <c r="BN959" t="s">
        <v>74</v>
      </c>
      <c r="BO959" t="s">
        <v>74</v>
      </c>
      <c r="BP959" t="s">
        <v>74</v>
      </c>
      <c r="BQ959" t="s">
        <v>74</v>
      </c>
      <c r="BR959" t="s">
        <v>102</v>
      </c>
      <c r="BS959" t="s">
        <v>17712</v>
      </c>
      <c r="BT959" t="str">
        <f>HYPERLINK("https%3A%2F%2Fwww.webofscience.com%2Fwos%2Fwoscc%2Ffull-record%2FWOS:000851392300033","View Full Record in Web of Science")</f>
        <v>View Full Record in Web of Science</v>
      </c>
    </row>
    <row r="960" spans="1:72" x14ac:dyDescent="0.25">
      <c r="A960" t="s">
        <v>72</v>
      </c>
      <c r="B960" t="s">
        <v>8635</v>
      </c>
      <c r="C960" t="s">
        <v>74</v>
      </c>
      <c r="D960" t="s">
        <v>74</v>
      </c>
      <c r="E960" t="s">
        <v>74</v>
      </c>
      <c r="F960" t="s">
        <v>8636</v>
      </c>
      <c r="G960" t="s">
        <v>74</v>
      </c>
      <c r="H960" t="s">
        <v>74</v>
      </c>
      <c r="I960" t="s">
        <v>17713</v>
      </c>
      <c r="J960" t="s">
        <v>1143</v>
      </c>
      <c r="K960" t="s">
        <v>74</v>
      </c>
      <c r="L960" t="s">
        <v>74</v>
      </c>
      <c r="M960" t="s">
        <v>78</v>
      </c>
      <c r="N960" t="s">
        <v>79</v>
      </c>
      <c r="O960" t="s">
        <v>74</v>
      </c>
      <c r="P960" t="s">
        <v>74</v>
      </c>
      <c r="Q960" t="s">
        <v>74</v>
      </c>
      <c r="R960" t="s">
        <v>74</v>
      </c>
      <c r="S960" t="s">
        <v>74</v>
      </c>
      <c r="T960" t="s">
        <v>17714</v>
      </c>
      <c r="U960" t="s">
        <v>17715</v>
      </c>
      <c r="V960" t="s">
        <v>17716</v>
      </c>
      <c r="W960" t="s">
        <v>8640</v>
      </c>
      <c r="X960" t="s">
        <v>8641</v>
      </c>
      <c r="Y960" t="s">
        <v>17717</v>
      </c>
      <c r="Z960" t="s">
        <v>17718</v>
      </c>
      <c r="AA960" t="s">
        <v>17719</v>
      </c>
      <c r="AB960" t="s">
        <v>17720</v>
      </c>
      <c r="AC960" t="s">
        <v>74</v>
      </c>
      <c r="AD960" t="s">
        <v>74</v>
      </c>
      <c r="AE960" t="s">
        <v>74</v>
      </c>
      <c r="AF960" t="s">
        <v>74</v>
      </c>
      <c r="AG960">
        <v>77</v>
      </c>
      <c r="AH960">
        <v>245</v>
      </c>
      <c r="AI960">
        <v>293</v>
      </c>
      <c r="AJ960">
        <v>10</v>
      </c>
      <c r="AK960">
        <v>243</v>
      </c>
      <c r="AL960" t="s">
        <v>385</v>
      </c>
      <c r="AM960" t="s">
        <v>1153</v>
      </c>
      <c r="AN960" t="s">
        <v>1154</v>
      </c>
      <c r="AO960" t="s">
        <v>1155</v>
      </c>
      <c r="AP960" t="s">
        <v>1156</v>
      </c>
      <c r="AQ960" t="s">
        <v>74</v>
      </c>
      <c r="AR960" t="s">
        <v>1157</v>
      </c>
      <c r="AS960" t="s">
        <v>1158</v>
      </c>
      <c r="AT960" t="s">
        <v>1652</v>
      </c>
      <c r="AU960">
        <v>2020</v>
      </c>
      <c r="AV960">
        <v>149</v>
      </c>
      <c r="AW960">
        <v>2</v>
      </c>
      <c r="AX960" t="s">
        <v>74</v>
      </c>
      <c r="AY960" t="s">
        <v>74</v>
      </c>
      <c r="AZ960" t="s">
        <v>74</v>
      </c>
      <c r="BA960" t="s">
        <v>74</v>
      </c>
      <c r="BB960">
        <v>613</v>
      </c>
      <c r="BC960">
        <v>639</v>
      </c>
      <c r="BD960" t="s">
        <v>74</v>
      </c>
      <c r="BE960" t="s">
        <v>17721</v>
      </c>
      <c r="BF960" t="str">
        <f>HYPERLINK("http://dx.doi.org/10.1007/s11205-019-02263-0","http://dx.doi.org/10.1007/s11205-019-02263-0")</f>
        <v>http://dx.doi.org/10.1007/s11205-019-02263-0</v>
      </c>
      <c r="BG960" t="s">
        <v>74</v>
      </c>
      <c r="BH960" t="s">
        <v>9265</v>
      </c>
      <c r="BI960">
        <v>27</v>
      </c>
      <c r="BJ960" t="s">
        <v>1161</v>
      </c>
      <c r="BK960" t="s">
        <v>99</v>
      </c>
      <c r="BL960" t="s">
        <v>1162</v>
      </c>
      <c r="BM960" t="s">
        <v>17722</v>
      </c>
      <c r="BN960" t="s">
        <v>74</v>
      </c>
      <c r="BO960" t="s">
        <v>74</v>
      </c>
      <c r="BP960" t="s">
        <v>74</v>
      </c>
      <c r="BQ960" t="s">
        <v>74</v>
      </c>
      <c r="BR960" t="s">
        <v>102</v>
      </c>
      <c r="BS960" t="s">
        <v>17723</v>
      </c>
      <c r="BT960" t="str">
        <f>HYPERLINK("https%3A%2F%2Fwww.webofscience.com%2Fwos%2Fwoscc%2Ffull-record%2FWOS:000505423500002","View Full Record in Web of Science")</f>
        <v>View Full Record in Web of Science</v>
      </c>
    </row>
    <row r="961" spans="1:72" x14ac:dyDescent="0.25">
      <c r="A961" t="s">
        <v>72</v>
      </c>
      <c r="B961" t="s">
        <v>17724</v>
      </c>
      <c r="C961" t="s">
        <v>74</v>
      </c>
      <c r="D961" t="s">
        <v>74</v>
      </c>
      <c r="E961" t="s">
        <v>74</v>
      </c>
      <c r="F961" t="s">
        <v>17725</v>
      </c>
      <c r="G961" t="s">
        <v>74</v>
      </c>
      <c r="H961" t="s">
        <v>74</v>
      </c>
      <c r="I961" t="s">
        <v>17726</v>
      </c>
      <c r="J961" t="s">
        <v>656</v>
      </c>
      <c r="K961" t="s">
        <v>74</v>
      </c>
      <c r="L961" t="s">
        <v>74</v>
      </c>
      <c r="M961" t="s">
        <v>78</v>
      </c>
      <c r="N961" t="s">
        <v>79</v>
      </c>
      <c r="O961" t="s">
        <v>74</v>
      </c>
      <c r="P961" t="s">
        <v>74</v>
      </c>
      <c r="Q961" t="s">
        <v>74</v>
      </c>
      <c r="R961" t="s">
        <v>74</v>
      </c>
      <c r="S961" t="s">
        <v>74</v>
      </c>
      <c r="T961" t="s">
        <v>17727</v>
      </c>
      <c r="U961" t="s">
        <v>17728</v>
      </c>
      <c r="V961" t="s">
        <v>17729</v>
      </c>
      <c r="W961" t="s">
        <v>17730</v>
      </c>
      <c r="X961" t="s">
        <v>17731</v>
      </c>
      <c r="Y961" t="s">
        <v>17732</v>
      </c>
      <c r="Z961" t="s">
        <v>17733</v>
      </c>
      <c r="AA961" t="s">
        <v>74</v>
      </c>
      <c r="AB961" t="s">
        <v>3762</v>
      </c>
      <c r="AC961" t="s">
        <v>17734</v>
      </c>
      <c r="AD961" t="s">
        <v>17734</v>
      </c>
      <c r="AE961" t="s">
        <v>17735</v>
      </c>
      <c r="AF961" t="s">
        <v>74</v>
      </c>
      <c r="AG961">
        <v>53</v>
      </c>
      <c r="AH961">
        <v>37</v>
      </c>
      <c r="AI961">
        <v>47</v>
      </c>
      <c r="AJ961">
        <v>0</v>
      </c>
      <c r="AK961">
        <v>12</v>
      </c>
      <c r="AL961" t="s">
        <v>666</v>
      </c>
      <c r="AM961" t="s">
        <v>667</v>
      </c>
      <c r="AN961" t="s">
        <v>668</v>
      </c>
      <c r="AO961" t="s">
        <v>669</v>
      </c>
      <c r="AP961" t="s">
        <v>670</v>
      </c>
      <c r="AQ961" t="s">
        <v>74</v>
      </c>
      <c r="AR961" t="s">
        <v>671</v>
      </c>
      <c r="AS961" t="s">
        <v>672</v>
      </c>
      <c r="AT961" t="s">
        <v>1652</v>
      </c>
      <c r="AU961">
        <v>2015</v>
      </c>
      <c r="AV961">
        <v>36</v>
      </c>
      <c r="AW961">
        <v>2</v>
      </c>
      <c r="AX961" t="s">
        <v>74</v>
      </c>
      <c r="AY961" t="s">
        <v>74</v>
      </c>
      <c r="AZ961" t="s">
        <v>74</v>
      </c>
      <c r="BA961" t="s">
        <v>74</v>
      </c>
      <c r="BB961">
        <v>239</v>
      </c>
      <c r="BC961">
        <v>250</v>
      </c>
      <c r="BD961" t="s">
        <v>74</v>
      </c>
      <c r="BE961" t="s">
        <v>17736</v>
      </c>
      <c r="BF961" t="str">
        <f>HYPERLINK("http://dx.doi.org/10.1007/s10834-014-9398-z","http://dx.doi.org/10.1007/s10834-014-9398-z")</f>
        <v>http://dx.doi.org/10.1007/s10834-014-9398-z</v>
      </c>
      <c r="BG961" t="s">
        <v>74</v>
      </c>
      <c r="BH961" t="s">
        <v>74</v>
      </c>
      <c r="BI961">
        <v>12</v>
      </c>
      <c r="BJ961" t="s">
        <v>675</v>
      </c>
      <c r="BK961" t="s">
        <v>99</v>
      </c>
      <c r="BL961" t="s">
        <v>676</v>
      </c>
      <c r="BM961" t="s">
        <v>17737</v>
      </c>
      <c r="BN961" t="s">
        <v>74</v>
      </c>
      <c r="BO961" t="s">
        <v>74</v>
      </c>
      <c r="BP961" t="s">
        <v>74</v>
      </c>
      <c r="BQ961" t="s">
        <v>74</v>
      </c>
      <c r="BR961" t="s">
        <v>102</v>
      </c>
      <c r="BS961" t="s">
        <v>17738</v>
      </c>
      <c r="BT961" t="str">
        <f>HYPERLINK("https%3A%2F%2Fwww.webofscience.com%2Fwos%2Fwoscc%2Ffull-record%2FWOS:000211138300005","View Full Record in Web of Science")</f>
        <v>View Full Record in Web of Science</v>
      </c>
    </row>
    <row r="962" spans="1:72" x14ac:dyDescent="0.25">
      <c r="A962" t="s">
        <v>72</v>
      </c>
      <c r="B962" t="s">
        <v>17739</v>
      </c>
      <c r="C962" t="s">
        <v>74</v>
      </c>
      <c r="D962" t="s">
        <v>74</v>
      </c>
      <c r="E962" t="s">
        <v>74</v>
      </c>
      <c r="F962" t="s">
        <v>17740</v>
      </c>
      <c r="G962" t="s">
        <v>74</v>
      </c>
      <c r="H962" t="s">
        <v>74</v>
      </c>
      <c r="I962" t="s">
        <v>17741</v>
      </c>
      <c r="J962" t="s">
        <v>2030</v>
      </c>
      <c r="K962" t="s">
        <v>74</v>
      </c>
      <c r="L962" t="s">
        <v>74</v>
      </c>
      <c r="M962" t="s">
        <v>78</v>
      </c>
      <c r="N962" t="s">
        <v>79</v>
      </c>
      <c r="O962" t="s">
        <v>74</v>
      </c>
      <c r="P962" t="s">
        <v>74</v>
      </c>
      <c r="Q962" t="s">
        <v>74</v>
      </c>
      <c r="R962" t="s">
        <v>74</v>
      </c>
      <c r="S962" t="s">
        <v>74</v>
      </c>
      <c r="T962" t="s">
        <v>17742</v>
      </c>
      <c r="U962" t="s">
        <v>17743</v>
      </c>
      <c r="V962" t="s">
        <v>17744</v>
      </c>
      <c r="W962" t="s">
        <v>17745</v>
      </c>
      <c r="X962" t="s">
        <v>14744</v>
      </c>
      <c r="Y962" t="s">
        <v>17746</v>
      </c>
      <c r="Z962" t="s">
        <v>17747</v>
      </c>
      <c r="AA962" t="s">
        <v>17748</v>
      </c>
      <c r="AB962" t="s">
        <v>17749</v>
      </c>
      <c r="AC962" t="s">
        <v>74</v>
      </c>
      <c r="AD962" t="s">
        <v>74</v>
      </c>
      <c r="AE962" t="s">
        <v>74</v>
      </c>
      <c r="AF962" t="s">
        <v>74</v>
      </c>
      <c r="AG962">
        <v>135</v>
      </c>
      <c r="AH962">
        <v>2</v>
      </c>
      <c r="AI962">
        <v>5</v>
      </c>
      <c r="AJ962">
        <v>2</v>
      </c>
      <c r="AK962">
        <v>11</v>
      </c>
      <c r="AL962" t="s">
        <v>666</v>
      </c>
      <c r="AM962" t="s">
        <v>667</v>
      </c>
      <c r="AN962" t="s">
        <v>668</v>
      </c>
      <c r="AO962" t="s">
        <v>2039</v>
      </c>
      <c r="AP962" t="s">
        <v>74</v>
      </c>
      <c r="AQ962" t="s">
        <v>74</v>
      </c>
      <c r="AR962" t="s">
        <v>2040</v>
      </c>
      <c r="AS962" t="s">
        <v>2041</v>
      </c>
      <c r="AT962" t="s">
        <v>605</v>
      </c>
      <c r="AU962">
        <v>2025</v>
      </c>
      <c r="AV962">
        <v>12</v>
      </c>
      <c r="AW962">
        <v>1</v>
      </c>
      <c r="AX962" t="s">
        <v>74</v>
      </c>
      <c r="AY962" t="s">
        <v>74</v>
      </c>
      <c r="AZ962" t="s">
        <v>74</v>
      </c>
      <c r="BA962" t="s">
        <v>74</v>
      </c>
      <c r="BB962">
        <v>41</v>
      </c>
      <c r="BC962">
        <v>55</v>
      </c>
      <c r="BD962" t="s">
        <v>74</v>
      </c>
      <c r="BE962" t="s">
        <v>17750</v>
      </c>
      <c r="BF962" t="str">
        <f>HYPERLINK("http://dx.doi.org/10.1007/s40609-023-00325-3","http://dx.doi.org/10.1007/s40609-023-00325-3")</f>
        <v>http://dx.doi.org/10.1007/s40609-023-00325-3</v>
      </c>
      <c r="BG962" t="s">
        <v>74</v>
      </c>
      <c r="BH962" t="s">
        <v>239</v>
      </c>
      <c r="BI962">
        <v>15</v>
      </c>
      <c r="BJ962" t="s">
        <v>2045</v>
      </c>
      <c r="BK962" t="s">
        <v>313</v>
      </c>
      <c r="BL962" t="s">
        <v>2045</v>
      </c>
      <c r="BM962" t="s">
        <v>7635</v>
      </c>
      <c r="BN962" t="s">
        <v>74</v>
      </c>
      <c r="BO962" t="s">
        <v>74</v>
      </c>
      <c r="BP962" t="s">
        <v>74</v>
      </c>
      <c r="BQ962" t="s">
        <v>74</v>
      </c>
      <c r="BR962" t="s">
        <v>102</v>
      </c>
      <c r="BS962" t="s">
        <v>17751</v>
      </c>
      <c r="BT962" t="str">
        <f>HYPERLINK("https%3A%2F%2Fwww.webofscience.com%2Fwos%2Fwoscc%2Ffull-record%2FWOS:001148705000001","View Full Record in Web of Science")</f>
        <v>View Full Record in Web of Science</v>
      </c>
    </row>
    <row r="963" spans="1:72" x14ac:dyDescent="0.25">
      <c r="A963" t="s">
        <v>72</v>
      </c>
      <c r="B963" t="s">
        <v>17752</v>
      </c>
      <c r="C963" t="s">
        <v>74</v>
      </c>
      <c r="D963" t="s">
        <v>74</v>
      </c>
      <c r="E963" t="s">
        <v>74</v>
      </c>
      <c r="F963" t="s">
        <v>17753</v>
      </c>
      <c r="G963" t="s">
        <v>74</v>
      </c>
      <c r="H963" t="s">
        <v>74</v>
      </c>
      <c r="I963" t="s">
        <v>17754</v>
      </c>
      <c r="J963" t="s">
        <v>9873</v>
      </c>
      <c r="K963" t="s">
        <v>74</v>
      </c>
      <c r="L963" t="s">
        <v>74</v>
      </c>
      <c r="M963" t="s">
        <v>78</v>
      </c>
      <c r="N963" t="s">
        <v>79</v>
      </c>
      <c r="O963" t="s">
        <v>74</v>
      </c>
      <c r="P963" t="s">
        <v>74</v>
      </c>
      <c r="Q963" t="s">
        <v>74</v>
      </c>
      <c r="R963" t="s">
        <v>74</v>
      </c>
      <c r="S963" t="s">
        <v>74</v>
      </c>
      <c r="T963" t="s">
        <v>17755</v>
      </c>
      <c r="U963" t="s">
        <v>17756</v>
      </c>
      <c r="V963" t="s">
        <v>17757</v>
      </c>
      <c r="W963" t="s">
        <v>17758</v>
      </c>
      <c r="X963" t="s">
        <v>17759</v>
      </c>
      <c r="Y963" t="s">
        <v>17760</v>
      </c>
      <c r="Z963" t="s">
        <v>17761</v>
      </c>
      <c r="AA963" t="s">
        <v>74</v>
      </c>
      <c r="AB963" t="s">
        <v>74</v>
      </c>
      <c r="AC963" t="s">
        <v>17762</v>
      </c>
      <c r="AD963" t="s">
        <v>17763</v>
      </c>
      <c r="AE963" t="s">
        <v>17764</v>
      </c>
      <c r="AF963" t="s">
        <v>74</v>
      </c>
      <c r="AG963">
        <v>48</v>
      </c>
      <c r="AH963">
        <v>11</v>
      </c>
      <c r="AI963">
        <v>12</v>
      </c>
      <c r="AJ963">
        <v>6</v>
      </c>
      <c r="AK963">
        <v>23</v>
      </c>
      <c r="AL963" t="s">
        <v>503</v>
      </c>
      <c r="AM963" t="s">
        <v>151</v>
      </c>
      <c r="AN963" t="s">
        <v>504</v>
      </c>
      <c r="AO963" t="s">
        <v>9886</v>
      </c>
      <c r="AP963" t="s">
        <v>9887</v>
      </c>
      <c r="AQ963" t="s">
        <v>74</v>
      </c>
      <c r="AR963" t="s">
        <v>9888</v>
      </c>
      <c r="AS963" t="s">
        <v>9889</v>
      </c>
      <c r="AT963" t="s">
        <v>289</v>
      </c>
      <c r="AU963">
        <v>2023</v>
      </c>
      <c r="AV963">
        <v>80</v>
      </c>
      <c r="AW963" t="s">
        <v>74</v>
      </c>
      <c r="AX963" t="s">
        <v>74</v>
      </c>
      <c r="AY963" t="s">
        <v>74</v>
      </c>
      <c r="AZ963" t="s">
        <v>74</v>
      </c>
      <c r="BA963" t="s">
        <v>74</v>
      </c>
      <c r="BB963" t="s">
        <v>74</v>
      </c>
      <c r="BC963" t="s">
        <v>74</v>
      </c>
      <c r="BD963">
        <v>102014</v>
      </c>
      <c r="BE963" t="s">
        <v>17765</v>
      </c>
      <c r="BF963" t="str">
        <f>HYPERLINK("http://dx.doi.org/10.1016/j.chieco.2023.102014","http://dx.doi.org/10.1016/j.chieco.2023.102014")</f>
        <v>http://dx.doi.org/10.1016/j.chieco.2023.102014</v>
      </c>
      <c r="BG963" t="s">
        <v>74</v>
      </c>
      <c r="BH963" t="s">
        <v>13995</v>
      </c>
      <c r="BI963">
        <v>18</v>
      </c>
      <c r="BJ963" t="s">
        <v>291</v>
      </c>
      <c r="BK963" t="s">
        <v>99</v>
      </c>
      <c r="BL963" t="s">
        <v>100</v>
      </c>
      <c r="BM963" t="s">
        <v>17766</v>
      </c>
      <c r="BN963" t="s">
        <v>74</v>
      </c>
      <c r="BO963" t="s">
        <v>74</v>
      </c>
      <c r="BP963" t="s">
        <v>74</v>
      </c>
      <c r="BQ963" t="s">
        <v>74</v>
      </c>
      <c r="BR963" t="s">
        <v>102</v>
      </c>
      <c r="BS963" t="s">
        <v>17767</v>
      </c>
      <c r="BT963" t="str">
        <f>HYPERLINK("https%3A%2F%2Fwww.webofscience.com%2Fwos%2Fwoscc%2Ffull-record%2FWOS:001030564700001","View Full Record in Web of Science")</f>
        <v>View Full Record in Web of Science</v>
      </c>
    </row>
    <row r="964" spans="1:72" x14ac:dyDescent="0.25">
      <c r="A964" t="s">
        <v>72</v>
      </c>
      <c r="B964" t="s">
        <v>17768</v>
      </c>
      <c r="C964" t="s">
        <v>74</v>
      </c>
      <c r="D964" t="s">
        <v>74</v>
      </c>
      <c r="E964" t="s">
        <v>74</v>
      </c>
      <c r="F964" t="s">
        <v>17769</v>
      </c>
      <c r="G964" t="s">
        <v>74</v>
      </c>
      <c r="H964" t="s">
        <v>74</v>
      </c>
      <c r="I964" t="s">
        <v>17770</v>
      </c>
      <c r="J964" t="s">
        <v>6306</v>
      </c>
      <c r="K964" t="s">
        <v>74</v>
      </c>
      <c r="L964" t="s">
        <v>74</v>
      </c>
      <c r="M964" t="s">
        <v>78</v>
      </c>
      <c r="N964" t="s">
        <v>79</v>
      </c>
      <c r="O964" t="s">
        <v>74</v>
      </c>
      <c r="P964" t="s">
        <v>74</v>
      </c>
      <c r="Q964" t="s">
        <v>74</v>
      </c>
      <c r="R964" t="s">
        <v>74</v>
      </c>
      <c r="S964" t="s">
        <v>74</v>
      </c>
      <c r="T964" t="s">
        <v>17771</v>
      </c>
      <c r="U964" t="s">
        <v>17772</v>
      </c>
      <c r="V964" t="s">
        <v>17773</v>
      </c>
      <c r="W964" t="s">
        <v>17774</v>
      </c>
      <c r="X964" t="s">
        <v>14252</v>
      </c>
      <c r="Y964" t="s">
        <v>17775</v>
      </c>
      <c r="Z964" t="s">
        <v>17776</v>
      </c>
      <c r="AA964" t="s">
        <v>17777</v>
      </c>
      <c r="AB964" t="s">
        <v>17778</v>
      </c>
      <c r="AC964" t="s">
        <v>74</v>
      </c>
      <c r="AD964" t="s">
        <v>74</v>
      </c>
      <c r="AE964" t="s">
        <v>74</v>
      </c>
      <c r="AF964" t="s">
        <v>74</v>
      </c>
      <c r="AG964">
        <v>70</v>
      </c>
      <c r="AH964">
        <v>2</v>
      </c>
      <c r="AI964">
        <v>2</v>
      </c>
      <c r="AJ964">
        <v>4</v>
      </c>
      <c r="AK964">
        <v>6</v>
      </c>
      <c r="AL964" t="s">
        <v>575</v>
      </c>
      <c r="AM964" t="s">
        <v>576</v>
      </c>
      <c r="AN964" t="s">
        <v>577</v>
      </c>
      <c r="AO964" t="s">
        <v>74</v>
      </c>
      <c r="AP964" t="s">
        <v>6319</v>
      </c>
      <c r="AQ964" t="s">
        <v>74</v>
      </c>
      <c r="AR964" t="s">
        <v>6306</v>
      </c>
      <c r="AS964" t="s">
        <v>6320</v>
      </c>
      <c r="AT964" t="s">
        <v>13776</v>
      </c>
      <c r="AU964">
        <v>2025</v>
      </c>
      <c r="AV964">
        <v>13</v>
      </c>
      <c r="AW964">
        <v>5</v>
      </c>
      <c r="AX964" t="s">
        <v>74</v>
      </c>
      <c r="AY964" t="s">
        <v>74</v>
      </c>
      <c r="AZ964" t="s">
        <v>74</v>
      </c>
      <c r="BA964" t="s">
        <v>74</v>
      </c>
      <c r="BB964" t="s">
        <v>74</v>
      </c>
      <c r="BC964" t="s">
        <v>74</v>
      </c>
      <c r="BD964">
        <v>96</v>
      </c>
      <c r="BE964" t="s">
        <v>17779</v>
      </c>
      <c r="BF964" t="str">
        <f>HYPERLINK("http://dx.doi.org/10.3390/risks13050096","http://dx.doi.org/10.3390/risks13050096")</f>
        <v>http://dx.doi.org/10.3390/risks13050096</v>
      </c>
      <c r="BG964" t="s">
        <v>74</v>
      </c>
      <c r="BH964" t="s">
        <v>74</v>
      </c>
      <c r="BI964">
        <v>22</v>
      </c>
      <c r="BJ964" t="s">
        <v>268</v>
      </c>
      <c r="BK964" t="s">
        <v>313</v>
      </c>
      <c r="BL964" t="s">
        <v>100</v>
      </c>
      <c r="BM964" t="s">
        <v>17780</v>
      </c>
      <c r="BN964" t="s">
        <v>74</v>
      </c>
      <c r="BO964" t="s">
        <v>212</v>
      </c>
      <c r="BP964" t="s">
        <v>74</v>
      </c>
      <c r="BQ964" t="s">
        <v>74</v>
      </c>
      <c r="BR964" t="s">
        <v>102</v>
      </c>
      <c r="BS964" t="s">
        <v>17781</v>
      </c>
      <c r="BT964" t="str">
        <f>HYPERLINK("https%3A%2F%2Fwww.webofscience.com%2Fwos%2Fwoscc%2Ffull-record%2FWOS:001496088200001","View Full Record in Web of Science")</f>
        <v>View Full Record in Web of Science</v>
      </c>
    </row>
    <row r="965" spans="1:72" x14ac:dyDescent="0.25">
      <c r="A965" t="s">
        <v>72</v>
      </c>
      <c r="B965" t="s">
        <v>17782</v>
      </c>
      <c r="C965" t="s">
        <v>74</v>
      </c>
      <c r="D965" t="s">
        <v>74</v>
      </c>
      <c r="E965" t="s">
        <v>74</v>
      </c>
      <c r="F965" t="s">
        <v>17783</v>
      </c>
      <c r="G965" t="s">
        <v>74</v>
      </c>
      <c r="H965" t="s">
        <v>74</v>
      </c>
      <c r="I965" t="s">
        <v>17784</v>
      </c>
      <c r="J965" t="s">
        <v>1963</v>
      </c>
      <c r="K965" t="s">
        <v>74</v>
      </c>
      <c r="L965" t="s">
        <v>74</v>
      </c>
      <c r="M965" t="s">
        <v>78</v>
      </c>
      <c r="N965" t="s">
        <v>79</v>
      </c>
      <c r="O965" t="s">
        <v>74</v>
      </c>
      <c r="P965" t="s">
        <v>74</v>
      </c>
      <c r="Q965" t="s">
        <v>74</v>
      </c>
      <c r="R965" t="s">
        <v>74</v>
      </c>
      <c r="S965" t="s">
        <v>74</v>
      </c>
      <c r="T965" t="s">
        <v>17785</v>
      </c>
      <c r="U965" t="s">
        <v>17786</v>
      </c>
      <c r="V965" t="s">
        <v>17787</v>
      </c>
      <c r="W965" t="s">
        <v>17788</v>
      </c>
      <c r="X965" t="s">
        <v>17789</v>
      </c>
      <c r="Y965" t="s">
        <v>17790</v>
      </c>
      <c r="Z965" t="s">
        <v>17791</v>
      </c>
      <c r="AA965" t="s">
        <v>17792</v>
      </c>
      <c r="AB965" t="s">
        <v>17793</v>
      </c>
      <c r="AC965" t="s">
        <v>74</v>
      </c>
      <c r="AD965" t="s">
        <v>74</v>
      </c>
      <c r="AE965" t="s">
        <v>74</v>
      </c>
      <c r="AF965" t="s">
        <v>74</v>
      </c>
      <c r="AG965">
        <v>65</v>
      </c>
      <c r="AH965">
        <v>10</v>
      </c>
      <c r="AI965">
        <v>12</v>
      </c>
      <c r="AJ965">
        <v>5</v>
      </c>
      <c r="AK965">
        <v>42</v>
      </c>
      <c r="AL965" t="s">
        <v>332</v>
      </c>
      <c r="AM965" t="s">
        <v>333</v>
      </c>
      <c r="AN965" t="s">
        <v>334</v>
      </c>
      <c r="AO965" t="s">
        <v>1975</v>
      </c>
      <c r="AP965" t="s">
        <v>1976</v>
      </c>
      <c r="AQ965" t="s">
        <v>74</v>
      </c>
      <c r="AR965" t="s">
        <v>1977</v>
      </c>
      <c r="AS965" t="s">
        <v>1978</v>
      </c>
      <c r="AT965" t="s">
        <v>17794</v>
      </c>
      <c r="AU965">
        <v>2024</v>
      </c>
      <c r="AV965">
        <v>56</v>
      </c>
      <c r="AW965">
        <v>52</v>
      </c>
      <c r="AX965" t="s">
        <v>74</v>
      </c>
      <c r="AY965" t="s">
        <v>74</v>
      </c>
      <c r="AZ965" t="s">
        <v>74</v>
      </c>
      <c r="BA965" t="s">
        <v>74</v>
      </c>
      <c r="BB965">
        <v>6498</v>
      </c>
      <c r="BC965">
        <v>6515</v>
      </c>
      <c r="BD965" t="s">
        <v>74</v>
      </c>
      <c r="BE965" t="s">
        <v>17795</v>
      </c>
      <c r="BF965" t="str">
        <f>HYPERLINK("http://dx.doi.org/10.1080/00036846.2024.2313600","http://dx.doi.org/10.1080/00036846.2024.2313600")</f>
        <v>http://dx.doi.org/10.1080/00036846.2024.2313600</v>
      </c>
      <c r="BG965" t="s">
        <v>74</v>
      </c>
      <c r="BH965" t="s">
        <v>1239</v>
      </c>
      <c r="BI965">
        <v>18</v>
      </c>
      <c r="BJ965" t="s">
        <v>291</v>
      </c>
      <c r="BK965" t="s">
        <v>99</v>
      </c>
      <c r="BL965" t="s">
        <v>100</v>
      </c>
      <c r="BM965" t="s">
        <v>17796</v>
      </c>
      <c r="BN965" t="s">
        <v>74</v>
      </c>
      <c r="BO965" t="s">
        <v>74</v>
      </c>
      <c r="BP965" t="s">
        <v>74</v>
      </c>
      <c r="BQ965" t="s">
        <v>74</v>
      </c>
      <c r="BR965" t="s">
        <v>102</v>
      </c>
      <c r="BS965" t="s">
        <v>17797</v>
      </c>
      <c r="BT965" t="str">
        <f>HYPERLINK("https%3A%2F%2Fwww.webofscience.com%2Fwos%2Fwoscc%2Ffull-record%2FWOS:001161418900001","View Full Record in Web of Science")</f>
        <v>View Full Record in Web of Science</v>
      </c>
    </row>
    <row r="966" spans="1:72" x14ac:dyDescent="0.25">
      <c r="A966" t="s">
        <v>72</v>
      </c>
      <c r="B966" t="s">
        <v>17798</v>
      </c>
      <c r="C966" t="s">
        <v>74</v>
      </c>
      <c r="D966" t="s">
        <v>74</v>
      </c>
      <c r="E966" t="s">
        <v>74</v>
      </c>
      <c r="F966" t="s">
        <v>17799</v>
      </c>
      <c r="G966" t="s">
        <v>74</v>
      </c>
      <c r="H966" t="s">
        <v>74</v>
      </c>
      <c r="I966" t="s">
        <v>17800</v>
      </c>
      <c r="J966" t="s">
        <v>17801</v>
      </c>
      <c r="K966" t="s">
        <v>74</v>
      </c>
      <c r="L966" t="s">
        <v>74</v>
      </c>
      <c r="M966" t="s">
        <v>78</v>
      </c>
      <c r="N966" t="s">
        <v>79</v>
      </c>
      <c r="O966" t="s">
        <v>74</v>
      </c>
      <c r="P966" t="s">
        <v>74</v>
      </c>
      <c r="Q966" t="s">
        <v>74</v>
      </c>
      <c r="R966" t="s">
        <v>74</v>
      </c>
      <c r="S966" t="s">
        <v>74</v>
      </c>
      <c r="T966" t="s">
        <v>17802</v>
      </c>
      <c r="U966" t="s">
        <v>74</v>
      </c>
      <c r="V966" t="s">
        <v>17803</v>
      </c>
      <c r="W966" t="s">
        <v>17804</v>
      </c>
      <c r="X966" t="s">
        <v>17805</v>
      </c>
      <c r="Y966" t="s">
        <v>17806</v>
      </c>
      <c r="Z966" t="s">
        <v>17807</v>
      </c>
      <c r="AA966" t="s">
        <v>74</v>
      </c>
      <c r="AB966" t="s">
        <v>74</v>
      </c>
      <c r="AC966" t="s">
        <v>74</v>
      </c>
      <c r="AD966" t="s">
        <v>74</v>
      </c>
      <c r="AE966" t="s">
        <v>74</v>
      </c>
      <c r="AF966" t="s">
        <v>74</v>
      </c>
      <c r="AG966">
        <v>20</v>
      </c>
      <c r="AH966">
        <v>12</v>
      </c>
      <c r="AI966">
        <v>15</v>
      </c>
      <c r="AJ966">
        <v>0</v>
      </c>
      <c r="AK966">
        <v>19</v>
      </c>
      <c r="AL966" t="s">
        <v>17808</v>
      </c>
      <c r="AM966" t="s">
        <v>17809</v>
      </c>
      <c r="AN966" t="s">
        <v>17810</v>
      </c>
      <c r="AO966" t="s">
        <v>17811</v>
      </c>
      <c r="AP966" t="s">
        <v>17812</v>
      </c>
      <c r="AQ966" t="s">
        <v>74</v>
      </c>
      <c r="AR966" t="s">
        <v>17801</v>
      </c>
      <c r="AS966" t="s">
        <v>17813</v>
      </c>
      <c r="AT966" t="s">
        <v>2462</v>
      </c>
      <c r="AU966">
        <v>2014</v>
      </c>
      <c r="AV966">
        <v>30</v>
      </c>
      <c r="AW966">
        <v>2</v>
      </c>
      <c r="AX966" t="s">
        <v>74</v>
      </c>
      <c r="AY966" t="s">
        <v>74</v>
      </c>
      <c r="AZ966" t="s">
        <v>74</v>
      </c>
      <c r="BA966" t="s">
        <v>74</v>
      </c>
      <c r="BB966">
        <v>3</v>
      </c>
      <c r="BC966">
        <v>25</v>
      </c>
      <c r="BD966" t="s">
        <v>74</v>
      </c>
      <c r="BE966" t="s">
        <v>74</v>
      </c>
      <c r="BF966" t="s">
        <v>74</v>
      </c>
      <c r="BG966" t="s">
        <v>74</v>
      </c>
      <c r="BH966" t="s">
        <v>74</v>
      </c>
      <c r="BI966">
        <v>23</v>
      </c>
      <c r="BJ966" t="s">
        <v>4761</v>
      </c>
      <c r="BK966" t="s">
        <v>99</v>
      </c>
      <c r="BL966" t="s">
        <v>4761</v>
      </c>
      <c r="BM966" t="s">
        <v>17814</v>
      </c>
      <c r="BN966" t="s">
        <v>74</v>
      </c>
      <c r="BO966" t="s">
        <v>74</v>
      </c>
      <c r="BP966" t="s">
        <v>74</v>
      </c>
      <c r="BQ966" t="s">
        <v>74</v>
      </c>
      <c r="BR966" t="s">
        <v>102</v>
      </c>
      <c r="BS966" t="s">
        <v>17815</v>
      </c>
      <c r="BT966" t="str">
        <f>HYPERLINK("https%3A%2F%2Fwww.webofscience.com%2Fwos%2Fwoscc%2Ffull-record%2FWOS:000339086100002","View Full Record in Web of Science")</f>
        <v>View Full Record in Web of Science</v>
      </c>
    </row>
    <row r="967" spans="1:72" x14ac:dyDescent="0.25">
      <c r="A967" t="s">
        <v>72</v>
      </c>
      <c r="B967" t="s">
        <v>17816</v>
      </c>
      <c r="C967" t="s">
        <v>74</v>
      </c>
      <c r="D967" t="s">
        <v>74</v>
      </c>
      <c r="E967" t="s">
        <v>74</v>
      </c>
      <c r="F967" t="s">
        <v>17817</v>
      </c>
      <c r="G967" t="s">
        <v>74</v>
      </c>
      <c r="H967" t="s">
        <v>74</v>
      </c>
      <c r="I967" t="s">
        <v>17818</v>
      </c>
      <c r="J967" t="s">
        <v>17819</v>
      </c>
      <c r="K967" t="s">
        <v>74</v>
      </c>
      <c r="L967" t="s">
        <v>74</v>
      </c>
      <c r="M967" t="s">
        <v>78</v>
      </c>
      <c r="N967" t="s">
        <v>79</v>
      </c>
      <c r="O967" t="s">
        <v>74</v>
      </c>
      <c r="P967" t="s">
        <v>74</v>
      </c>
      <c r="Q967" t="s">
        <v>74</v>
      </c>
      <c r="R967" t="s">
        <v>74</v>
      </c>
      <c r="S967" t="s">
        <v>74</v>
      </c>
      <c r="T967" t="s">
        <v>74</v>
      </c>
      <c r="U967" t="s">
        <v>74</v>
      </c>
      <c r="V967" t="s">
        <v>17820</v>
      </c>
      <c r="W967" t="s">
        <v>17821</v>
      </c>
      <c r="X967" t="s">
        <v>17822</v>
      </c>
      <c r="Y967" t="s">
        <v>17823</v>
      </c>
      <c r="Z967" t="s">
        <v>17824</v>
      </c>
      <c r="AA967" t="s">
        <v>17825</v>
      </c>
      <c r="AB967" t="s">
        <v>17826</v>
      </c>
      <c r="AC967" t="s">
        <v>17827</v>
      </c>
      <c r="AD967" t="s">
        <v>17828</v>
      </c>
      <c r="AE967" t="s">
        <v>17829</v>
      </c>
      <c r="AF967" t="s">
        <v>74</v>
      </c>
      <c r="AG967">
        <v>19</v>
      </c>
      <c r="AH967">
        <v>15</v>
      </c>
      <c r="AI967">
        <v>18</v>
      </c>
      <c r="AJ967">
        <v>2</v>
      </c>
      <c r="AK967">
        <v>6</v>
      </c>
      <c r="AL967" t="s">
        <v>5379</v>
      </c>
      <c r="AM967" t="s">
        <v>5380</v>
      </c>
      <c r="AN967" t="s">
        <v>5425</v>
      </c>
      <c r="AO967" t="s">
        <v>17830</v>
      </c>
      <c r="AP967" t="s">
        <v>17831</v>
      </c>
      <c r="AQ967" t="s">
        <v>74</v>
      </c>
      <c r="AR967" t="s">
        <v>17819</v>
      </c>
      <c r="AS967" t="s">
        <v>17832</v>
      </c>
      <c r="AT967" t="s">
        <v>208</v>
      </c>
      <c r="AU967">
        <v>2020</v>
      </c>
      <c r="AV967">
        <v>53</v>
      </c>
      <c r="AW967">
        <v>1</v>
      </c>
      <c r="AX967" t="s">
        <v>74</v>
      </c>
      <c r="AY967" t="s">
        <v>74</v>
      </c>
      <c r="AZ967" t="s">
        <v>74</v>
      </c>
      <c r="BA967" t="s">
        <v>74</v>
      </c>
      <c r="BB967">
        <v>53</v>
      </c>
      <c r="BC967">
        <v>62</v>
      </c>
      <c r="BD967" t="s">
        <v>74</v>
      </c>
      <c r="BE967" t="s">
        <v>17833</v>
      </c>
      <c r="BF967" t="str">
        <f>HYPERLINK("http://dx.doi.org/10.1109/MC.2019.2951977","http://dx.doi.org/10.1109/MC.2019.2951977")</f>
        <v>http://dx.doi.org/10.1109/MC.2019.2951977</v>
      </c>
      <c r="BG967" t="s">
        <v>74</v>
      </c>
      <c r="BH967" t="s">
        <v>74</v>
      </c>
      <c r="BI967">
        <v>10</v>
      </c>
      <c r="BJ967" t="s">
        <v>17834</v>
      </c>
      <c r="BK967" t="s">
        <v>128</v>
      </c>
      <c r="BL967" t="s">
        <v>157</v>
      </c>
      <c r="BM967" t="s">
        <v>17835</v>
      </c>
      <c r="BN967" t="s">
        <v>74</v>
      </c>
      <c r="BO967" t="s">
        <v>1205</v>
      </c>
      <c r="BP967" t="s">
        <v>74</v>
      </c>
      <c r="BQ967" t="s">
        <v>74</v>
      </c>
      <c r="BR967" t="s">
        <v>102</v>
      </c>
      <c r="BS967" t="s">
        <v>17836</v>
      </c>
      <c r="BT967" t="str">
        <f>HYPERLINK("https%3A%2F%2Fwww.webofscience.com%2Fwos%2Fwoscc%2Ffull-record%2FWOS:000508384500008","View Full Record in Web of Science")</f>
        <v>View Full Record in Web of Science</v>
      </c>
    </row>
    <row r="968" spans="1:72" x14ac:dyDescent="0.25">
      <c r="A968" t="s">
        <v>72</v>
      </c>
      <c r="B968" t="s">
        <v>17837</v>
      </c>
      <c r="C968" t="s">
        <v>74</v>
      </c>
      <c r="D968" t="s">
        <v>74</v>
      </c>
      <c r="E968" t="s">
        <v>74</v>
      </c>
      <c r="F968" t="s">
        <v>17838</v>
      </c>
      <c r="G968" t="s">
        <v>74</v>
      </c>
      <c r="H968" t="s">
        <v>74</v>
      </c>
      <c r="I968" t="s">
        <v>17839</v>
      </c>
      <c r="J968" t="s">
        <v>1987</v>
      </c>
      <c r="K968" t="s">
        <v>74</v>
      </c>
      <c r="L968" t="s">
        <v>74</v>
      </c>
      <c r="M968" t="s">
        <v>78</v>
      </c>
      <c r="N968" t="s">
        <v>79</v>
      </c>
      <c r="O968" t="s">
        <v>74</v>
      </c>
      <c r="P968" t="s">
        <v>74</v>
      </c>
      <c r="Q968" t="s">
        <v>74</v>
      </c>
      <c r="R968" t="s">
        <v>74</v>
      </c>
      <c r="S968" t="s">
        <v>74</v>
      </c>
      <c r="T968" t="s">
        <v>17840</v>
      </c>
      <c r="U968" t="s">
        <v>13423</v>
      </c>
      <c r="V968" t="s">
        <v>17841</v>
      </c>
      <c r="W968" t="s">
        <v>17842</v>
      </c>
      <c r="X968" t="s">
        <v>17843</v>
      </c>
      <c r="Y968" t="s">
        <v>17844</v>
      </c>
      <c r="Z968" t="s">
        <v>17845</v>
      </c>
      <c r="AA968" t="s">
        <v>17846</v>
      </c>
      <c r="AB968" t="s">
        <v>17847</v>
      </c>
      <c r="AC968" t="s">
        <v>74</v>
      </c>
      <c r="AD968" t="s">
        <v>74</v>
      </c>
      <c r="AE968" t="s">
        <v>74</v>
      </c>
      <c r="AF968" t="s">
        <v>74</v>
      </c>
      <c r="AG968">
        <v>49</v>
      </c>
      <c r="AH968">
        <v>4</v>
      </c>
      <c r="AI968">
        <v>5</v>
      </c>
      <c r="AJ968">
        <v>1</v>
      </c>
      <c r="AK968">
        <v>8</v>
      </c>
      <c r="AL968" t="s">
        <v>479</v>
      </c>
      <c r="AM968" t="s">
        <v>480</v>
      </c>
      <c r="AN968" t="s">
        <v>481</v>
      </c>
      <c r="AO968" t="s">
        <v>1997</v>
      </c>
      <c r="AP968" t="s">
        <v>1998</v>
      </c>
      <c r="AQ968" t="s">
        <v>74</v>
      </c>
      <c r="AR968" t="s">
        <v>1999</v>
      </c>
      <c r="AS968" t="s">
        <v>2000</v>
      </c>
      <c r="AT968" t="s">
        <v>743</v>
      </c>
      <c r="AU968">
        <v>2024</v>
      </c>
      <c r="AV968">
        <v>36</v>
      </c>
      <c r="AW968">
        <v>3</v>
      </c>
      <c r="AX968" t="s">
        <v>74</v>
      </c>
      <c r="AY968" t="s">
        <v>74</v>
      </c>
      <c r="AZ968" t="s">
        <v>74</v>
      </c>
      <c r="BA968" t="s">
        <v>74</v>
      </c>
      <c r="BB968">
        <v>1896</v>
      </c>
      <c r="BC968">
        <v>1917</v>
      </c>
      <c r="BD968" t="s">
        <v>74</v>
      </c>
      <c r="BE968" t="s">
        <v>17848</v>
      </c>
      <c r="BF968" t="str">
        <f>HYPERLINK("http://dx.doi.org/10.1002/jid.3861","http://dx.doi.org/10.1002/jid.3861")</f>
        <v>http://dx.doi.org/10.1002/jid.3861</v>
      </c>
      <c r="BG968" t="s">
        <v>74</v>
      </c>
      <c r="BH968" t="s">
        <v>1239</v>
      </c>
      <c r="BI968">
        <v>22</v>
      </c>
      <c r="BJ968" t="s">
        <v>1137</v>
      </c>
      <c r="BK968" t="s">
        <v>99</v>
      </c>
      <c r="BL968" t="s">
        <v>1137</v>
      </c>
      <c r="BM968" t="s">
        <v>13830</v>
      </c>
      <c r="BN968" t="s">
        <v>74</v>
      </c>
      <c r="BO968" t="s">
        <v>74</v>
      </c>
      <c r="BP968" t="s">
        <v>74</v>
      </c>
      <c r="BQ968" t="s">
        <v>74</v>
      </c>
      <c r="BR968" t="s">
        <v>102</v>
      </c>
      <c r="BS968" t="s">
        <v>17849</v>
      </c>
      <c r="BT968" t="str">
        <f>HYPERLINK("https%3A%2F%2Fwww.webofscience.com%2Fwos%2Fwoscc%2Ffull-record%2FWOS:001164449800001","View Full Record in Web of Science")</f>
        <v>View Full Record in Web of Science</v>
      </c>
    </row>
    <row r="969" spans="1:72" x14ac:dyDescent="0.25">
      <c r="A969" t="s">
        <v>72</v>
      </c>
      <c r="B969" t="s">
        <v>17850</v>
      </c>
      <c r="C969" t="s">
        <v>74</v>
      </c>
      <c r="D969" t="s">
        <v>74</v>
      </c>
      <c r="E969" t="s">
        <v>74</v>
      </c>
      <c r="F969" t="s">
        <v>17851</v>
      </c>
      <c r="G969" t="s">
        <v>74</v>
      </c>
      <c r="H969" t="s">
        <v>74</v>
      </c>
      <c r="I969" t="s">
        <v>17852</v>
      </c>
      <c r="J969" t="s">
        <v>17853</v>
      </c>
      <c r="K969" t="s">
        <v>74</v>
      </c>
      <c r="L969" t="s">
        <v>74</v>
      </c>
      <c r="M969" t="s">
        <v>78</v>
      </c>
      <c r="N969" t="s">
        <v>79</v>
      </c>
      <c r="O969" t="s">
        <v>74</v>
      </c>
      <c r="P969" t="s">
        <v>74</v>
      </c>
      <c r="Q969" t="s">
        <v>74</v>
      </c>
      <c r="R969" t="s">
        <v>74</v>
      </c>
      <c r="S969" t="s">
        <v>74</v>
      </c>
      <c r="T969" t="s">
        <v>17854</v>
      </c>
      <c r="U969" t="s">
        <v>3837</v>
      </c>
      <c r="V969" t="s">
        <v>17855</v>
      </c>
      <c r="W969" t="s">
        <v>17856</v>
      </c>
      <c r="X969" t="s">
        <v>17857</v>
      </c>
      <c r="Y969" t="s">
        <v>17858</v>
      </c>
      <c r="Z969" t="s">
        <v>17859</v>
      </c>
      <c r="AA969" t="s">
        <v>17860</v>
      </c>
      <c r="AB969" t="s">
        <v>17861</v>
      </c>
      <c r="AC969" t="s">
        <v>74</v>
      </c>
      <c r="AD969" t="s">
        <v>74</v>
      </c>
      <c r="AE969" t="s">
        <v>74</v>
      </c>
      <c r="AF969" t="s">
        <v>74</v>
      </c>
      <c r="AG969">
        <v>52</v>
      </c>
      <c r="AH969">
        <v>1</v>
      </c>
      <c r="AI969">
        <v>1</v>
      </c>
      <c r="AJ969">
        <v>7</v>
      </c>
      <c r="AK969">
        <v>7</v>
      </c>
      <c r="AL969" t="s">
        <v>201</v>
      </c>
      <c r="AM969" t="s">
        <v>202</v>
      </c>
      <c r="AN969" t="s">
        <v>203</v>
      </c>
      <c r="AO969" t="s">
        <v>17862</v>
      </c>
      <c r="AP969" t="s">
        <v>74</v>
      </c>
      <c r="AQ969" t="s">
        <v>74</v>
      </c>
      <c r="AR969" t="s">
        <v>17863</v>
      </c>
      <c r="AS969" t="s">
        <v>17864</v>
      </c>
      <c r="AT969" t="s">
        <v>124</v>
      </c>
      <c r="AU969">
        <v>2025</v>
      </c>
      <c r="AV969">
        <v>10</v>
      </c>
      <c r="AW969" t="s">
        <v>74</v>
      </c>
      <c r="AX969" t="s">
        <v>74</v>
      </c>
      <c r="AY969" t="s">
        <v>74</v>
      </c>
      <c r="AZ969" t="s">
        <v>74</v>
      </c>
      <c r="BA969" t="s">
        <v>74</v>
      </c>
      <c r="BB969" t="s">
        <v>74</v>
      </c>
      <c r="BC969" t="s">
        <v>74</v>
      </c>
      <c r="BD969">
        <v>101392</v>
      </c>
      <c r="BE969" t="s">
        <v>17865</v>
      </c>
      <c r="BF969" t="str">
        <f>HYPERLINK("http://dx.doi.org/10.1016/j.sftr.2025.101392","http://dx.doi.org/10.1016/j.sftr.2025.101392")</f>
        <v>http://dx.doi.org/10.1016/j.sftr.2025.101392</v>
      </c>
      <c r="BG969" t="s">
        <v>74</v>
      </c>
      <c r="BH969" t="s">
        <v>12078</v>
      </c>
      <c r="BI969">
        <v>9</v>
      </c>
      <c r="BJ969" t="s">
        <v>17866</v>
      </c>
      <c r="BK969" t="s">
        <v>313</v>
      </c>
      <c r="BL969" t="s">
        <v>17867</v>
      </c>
      <c r="BM969" t="s">
        <v>17868</v>
      </c>
      <c r="BN969" t="s">
        <v>74</v>
      </c>
      <c r="BO969" t="s">
        <v>212</v>
      </c>
      <c r="BP969" t="s">
        <v>74</v>
      </c>
      <c r="BQ969" t="s">
        <v>74</v>
      </c>
      <c r="BR969" t="s">
        <v>102</v>
      </c>
      <c r="BS969" t="s">
        <v>17869</v>
      </c>
      <c r="BT969" t="str">
        <f>HYPERLINK("https%3A%2F%2Fwww.webofscience.com%2Fwos%2Fwoscc%2Ffull-record%2FWOS:001596937700001","View Full Record in Web of Science")</f>
        <v>View Full Record in Web of Science</v>
      </c>
    </row>
    <row r="970" spans="1:72" x14ac:dyDescent="0.25">
      <c r="A970" t="s">
        <v>72</v>
      </c>
      <c r="B970" t="s">
        <v>17870</v>
      </c>
      <c r="C970" t="s">
        <v>74</v>
      </c>
      <c r="D970" t="s">
        <v>74</v>
      </c>
      <c r="E970" t="s">
        <v>74</v>
      </c>
      <c r="F970" t="s">
        <v>17871</v>
      </c>
      <c r="G970" t="s">
        <v>74</v>
      </c>
      <c r="H970" t="s">
        <v>74</v>
      </c>
      <c r="I970" t="s">
        <v>17872</v>
      </c>
      <c r="J970" t="s">
        <v>17873</v>
      </c>
      <c r="K970" t="s">
        <v>74</v>
      </c>
      <c r="L970" t="s">
        <v>74</v>
      </c>
      <c r="M970" t="s">
        <v>78</v>
      </c>
      <c r="N970" t="s">
        <v>79</v>
      </c>
      <c r="O970" t="s">
        <v>74</v>
      </c>
      <c r="P970" t="s">
        <v>74</v>
      </c>
      <c r="Q970" t="s">
        <v>74</v>
      </c>
      <c r="R970" t="s">
        <v>74</v>
      </c>
      <c r="S970" t="s">
        <v>74</v>
      </c>
      <c r="T970" t="s">
        <v>17874</v>
      </c>
      <c r="U970" t="s">
        <v>8565</v>
      </c>
      <c r="V970" t="s">
        <v>17875</v>
      </c>
      <c r="W970" t="s">
        <v>17876</v>
      </c>
      <c r="X970" t="s">
        <v>9303</v>
      </c>
      <c r="Y970" t="s">
        <v>17877</v>
      </c>
      <c r="Z970" t="s">
        <v>17878</v>
      </c>
      <c r="AA970" t="s">
        <v>17879</v>
      </c>
      <c r="AB970" t="s">
        <v>17880</v>
      </c>
      <c r="AC970" t="s">
        <v>74</v>
      </c>
      <c r="AD970" t="s">
        <v>74</v>
      </c>
      <c r="AE970" t="s">
        <v>74</v>
      </c>
      <c r="AF970" t="s">
        <v>74</v>
      </c>
      <c r="AG970">
        <v>30</v>
      </c>
      <c r="AH970">
        <v>0</v>
      </c>
      <c r="AI970">
        <v>1</v>
      </c>
      <c r="AJ970">
        <v>2</v>
      </c>
      <c r="AK970">
        <v>2</v>
      </c>
      <c r="AL970" t="s">
        <v>17881</v>
      </c>
      <c r="AM970" t="s">
        <v>17882</v>
      </c>
      <c r="AN970" t="s">
        <v>17883</v>
      </c>
      <c r="AO970" t="s">
        <v>17884</v>
      </c>
      <c r="AP970" t="s">
        <v>74</v>
      </c>
      <c r="AQ970" t="s">
        <v>74</v>
      </c>
      <c r="AR970" t="s">
        <v>17885</v>
      </c>
      <c r="AS970" t="s">
        <v>17886</v>
      </c>
      <c r="AT970" t="s">
        <v>17887</v>
      </c>
      <c r="AU970">
        <v>2025</v>
      </c>
      <c r="AV970">
        <v>19</v>
      </c>
      <c r="AW970">
        <v>1</v>
      </c>
      <c r="AX970" t="s">
        <v>74</v>
      </c>
      <c r="AY970" t="s">
        <v>74</v>
      </c>
      <c r="AZ970" t="s">
        <v>74</v>
      </c>
      <c r="BA970" t="s">
        <v>74</v>
      </c>
      <c r="BB970">
        <v>102</v>
      </c>
      <c r="BC970">
        <v>112</v>
      </c>
      <c r="BD970" t="s">
        <v>74</v>
      </c>
      <c r="BE970" t="s">
        <v>17888</v>
      </c>
      <c r="BF970" t="str">
        <f>HYPERLINK("http://dx.doi.org/10.51709/19951272/Spring2025/9","http://dx.doi.org/10.51709/19951272/Spring2025/9")</f>
        <v>http://dx.doi.org/10.51709/19951272/Spring2025/9</v>
      </c>
      <c r="BG970" t="s">
        <v>74</v>
      </c>
      <c r="BH970" t="s">
        <v>74</v>
      </c>
      <c r="BI970">
        <v>11</v>
      </c>
      <c r="BJ970" t="s">
        <v>364</v>
      </c>
      <c r="BK970" t="s">
        <v>313</v>
      </c>
      <c r="BL970" t="s">
        <v>365</v>
      </c>
      <c r="BM970" t="s">
        <v>17889</v>
      </c>
      <c r="BN970" t="s">
        <v>74</v>
      </c>
      <c r="BO970" t="s">
        <v>212</v>
      </c>
      <c r="BP970" t="s">
        <v>74</v>
      </c>
      <c r="BQ970" t="s">
        <v>74</v>
      </c>
      <c r="BR970" t="s">
        <v>102</v>
      </c>
      <c r="BS970" t="s">
        <v>17890</v>
      </c>
      <c r="BT970" t="str">
        <f>HYPERLINK("https%3A%2F%2Fwww.webofscience.com%2Fwos%2Fwoscc%2Ffull-record%2FWOS:001530290000001","View Full Record in Web of Science")</f>
        <v>View Full Record in Web of Science</v>
      </c>
    </row>
    <row r="971" spans="1:72" x14ac:dyDescent="0.25">
      <c r="A971" t="s">
        <v>72</v>
      </c>
      <c r="B971" t="s">
        <v>17891</v>
      </c>
      <c r="C971" t="s">
        <v>74</v>
      </c>
      <c r="D971" t="s">
        <v>74</v>
      </c>
      <c r="E971" t="s">
        <v>74</v>
      </c>
      <c r="F971" t="s">
        <v>17892</v>
      </c>
      <c r="G971" t="s">
        <v>74</v>
      </c>
      <c r="H971" t="s">
        <v>74</v>
      </c>
      <c r="I971" t="s">
        <v>17893</v>
      </c>
      <c r="J971" t="s">
        <v>17894</v>
      </c>
      <c r="K971" t="s">
        <v>74</v>
      </c>
      <c r="L971" t="s">
        <v>74</v>
      </c>
      <c r="M971" t="s">
        <v>78</v>
      </c>
      <c r="N971" t="s">
        <v>79</v>
      </c>
      <c r="O971" t="s">
        <v>74</v>
      </c>
      <c r="P971" t="s">
        <v>74</v>
      </c>
      <c r="Q971" t="s">
        <v>74</v>
      </c>
      <c r="R971" t="s">
        <v>74</v>
      </c>
      <c r="S971" t="s">
        <v>74</v>
      </c>
      <c r="T971" t="s">
        <v>17895</v>
      </c>
      <c r="U971" t="s">
        <v>17896</v>
      </c>
      <c r="V971" t="s">
        <v>17897</v>
      </c>
      <c r="W971" t="s">
        <v>17898</v>
      </c>
      <c r="X971" t="s">
        <v>17899</v>
      </c>
      <c r="Y971" t="s">
        <v>17900</v>
      </c>
      <c r="Z971" t="s">
        <v>17901</v>
      </c>
      <c r="AA971" t="s">
        <v>74</v>
      </c>
      <c r="AB971" t="s">
        <v>74</v>
      </c>
      <c r="AC971" t="s">
        <v>74</v>
      </c>
      <c r="AD971" t="s">
        <v>74</v>
      </c>
      <c r="AE971" t="s">
        <v>74</v>
      </c>
      <c r="AF971" t="s">
        <v>74</v>
      </c>
      <c r="AG971">
        <v>67</v>
      </c>
      <c r="AH971">
        <v>50</v>
      </c>
      <c r="AI971">
        <v>63</v>
      </c>
      <c r="AJ971">
        <v>0</v>
      </c>
      <c r="AK971">
        <v>72</v>
      </c>
      <c r="AL971" t="s">
        <v>385</v>
      </c>
      <c r="AM971" t="s">
        <v>151</v>
      </c>
      <c r="AN971" t="s">
        <v>386</v>
      </c>
      <c r="AO971" t="s">
        <v>17902</v>
      </c>
      <c r="AP971" t="s">
        <v>17903</v>
      </c>
      <c r="AQ971" t="s">
        <v>74</v>
      </c>
      <c r="AR971" t="s">
        <v>17904</v>
      </c>
      <c r="AS971" t="s">
        <v>17905</v>
      </c>
      <c r="AT971" t="s">
        <v>17906</v>
      </c>
      <c r="AU971">
        <v>2021</v>
      </c>
      <c r="AV971">
        <v>15</v>
      </c>
      <c r="AW971">
        <v>1</v>
      </c>
      <c r="AX971" t="s">
        <v>74</v>
      </c>
      <c r="AY971" t="s">
        <v>74</v>
      </c>
      <c r="AZ971" t="s">
        <v>74</v>
      </c>
      <c r="BA971" t="s">
        <v>74</v>
      </c>
      <c r="BB971" t="s">
        <v>74</v>
      </c>
      <c r="BC971" t="s">
        <v>74</v>
      </c>
      <c r="BD971">
        <v>4</v>
      </c>
      <c r="BE971" t="s">
        <v>17907</v>
      </c>
      <c r="BF971" t="str">
        <f>HYPERLINK("http://dx.doi.org/10.1186/s11782-021-00098-6","http://dx.doi.org/10.1186/s11782-021-00098-6")</f>
        <v>http://dx.doi.org/10.1186/s11782-021-00098-6</v>
      </c>
      <c r="BG971" t="s">
        <v>74</v>
      </c>
      <c r="BH971" t="s">
        <v>74</v>
      </c>
      <c r="BI971">
        <v>21</v>
      </c>
      <c r="BJ971" t="s">
        <v>418</v>
      </c>
      <c r="BK971" t="s">
        <v>313</v>
      </c>
      <c r="BL971" t="s">
        <v>100</v>
      </c>
      <c r="BM971" t="s">
        <v>17908</v>
      </c>
      <c r="BN971" t="s">
        <v>74</v>
      </c>
      <c r="BO971" t="s">
        <v>270</v>
      </c>
      <c r="BP971" t="s">
        <v>74</v>
      </c>
      <c r="BQ971" t="s">
        <v>74</v>
      </c>
      <c r="BR971" t="s">
        <v>102</v>
      </c>
      <c r="BS971" t="s">
        <v>17909</v>
      </c>
      <c r="BT971" t="str">
        <f>HYPERLINK("https%3A%2F%2Fwww.webofscience.com%2Fwos%2Fwoscc%2Ffull-record%2FWOS:000631701200001","View Full Record in Web of Science")</f>
        <v>View Full Record in Web of Science</v>
      </c>
    </row>
    <row r="972" spans="1:72" x14ac:dyDescent="0.25">
      <c r="A972" t="s">
        <v>72</v>
      </c>
      <c r="B972" t="s">
        <v>17910</v>
      </c>
      <c r="C972" t="s">
        <v>74</v>
      </c>
      <c r="D972" t="s">
        <v>74</v>
      </c>
      <c r="E972" t="s">
        <v>74</v>
      </c>
      <c r="F972" t="s">
        <v>17911</v>
      </c>
      <c r="G972" t="s">
        <v>74</v>
      </c>
      <c r="H972" t="s">
        <v>74</v>
      </c>
      <c r="I972" t="s">
        <v>17912</v>
      </c>
      <c r="J972" t="s">
        <v>17913</v>
      </c>
      <c r="K972" t="s">
        <v>74</v>
      </c>
      <c r="L972" t="s">
        <v>74</v>
      </c>
      <c r="M972" t="s">
        <v>78</v>
      </c>
      <c r="N972" t="s">
        <v>79</v>
      </c>
      <c r="O972" t="s">
        <v>74</v>
      </c>
      <c r="P972" t="s">
        <v>74</v>
      </c>
      <c r="Q972" t="s">
        <v>74</v>
      </c>
      <c r="R972" t="s">
        <v>74</v>
      </c>
      <c r="S972" t="s">
        <v>74</v>
      </c>
      <c r="T972" t="s">
        <v>74</v>
      </c>
      <c r="U972" t="s">
        <v>74</v>
      </c>
      <c r="V972" t="s">
        <v>17914</v>
      </c>
      <c r="W972" t="s">
        <v>17915</v>
      </c>
      <c r="X972" t="s">
        <v>17916</v>
      </c>
      <c r="Y972" t="s">
        <v>17917</v>
      </c>
      <c r="Z972" t="s">
        <v>17918</v>
      </c>
      <c r="AA972" t="s">
        <v>17919</v>
      </c>
      <c r="AB972" t="s">
        <v>17920</v>
      </c>
      <c r="AC972" t="s">
        <v>17921</v>
      </c>
      <c r="AD972" t="s">
        <v>17921</v>
      </c>
      <c r="AE972" t="s">
        <v>17922</v>
      </c>
      <c r="AF972" t="s">
        <v>74</v>
      </c>
      <c r="AG972">
        <v>29</v>
      </c>
      <c r="AH972">
        <v>140</v>
      </c>
      <c r="AI972">
        <v>240</v>
      </c>
      <c r="AJ972">
        <v>39</v>
      </c>
      <c r="AK972">
        <v>282</v>
      </c>
      <c r="AL972" t="s">
        <v>2551</v>
      </c>
      <c r="AM972" t="s">
        <v>231</v>
      </c>
      <c r="AN972" t="s">
        <v>2552</v>
      </c>
      <c r="AO972" t="s">
        <v>17923</v>
      </c>
      <c r="AP972" t="s">
        <v>17924</v>
      </c>
      <c r="AQ972" t="s">
        <v>74</v>
      </c>
      <c r="AR972" t="s">
        <v>17925</v>
      </c>
      <c r="AS972" t="s">
        <v>17926</v>
      </c>
      <c r="AT972" t="s">
        <v>237</v>
      </c>
      <c r="AU972">
        <v>2021</v>
      </c>
      <c r="AV972">
        <v>131</v>
      </c>
      <c r="AW972">
        <v>634</v>
      </c>
      <c r="AX972" t="s">
        <v>74</v>
      </c>
      <c r="AY972" t="s">
        <v>74</v>
      </c>
      <c r="AZ972" t="s">
        <v>74</v>
      </c>
      <c r="BA972" t="s">
        <v>74</v>
      </c>
      <c r="BB972">
        <v>525</v>
      </c>
      <c r="BC972">
        <v>540</v>
      </c>
      <c r="BD972" t="s">
        <v>74</v>
      </c>
      <c r="BE972" t="s">
        <v>17927</v>
      </c>
      <c r="BF972" t="str">
        <f>HYPERLINK("http://dx.doi.org/10.1093/ej/ueaa073","http://dx.doi.org/10.1093/ej/ueaa073")</f>
        <v>http://dx.doi.org/10.1093/ej/ueaa073</v>
      </c>
      <c r="BG972" t="s">
        <v>74</v>
      </c>
      <c r="BH972" t="s">
        <v>74</v>
      </c>
      <c r="BI972">
        <v>16</v>
      </c>
      <c r="BJ972" t="s">
        <v>291</v>
      </c>
      <c r="BK972" t="s">
        <v>99</v>
      </c>
      <c r="BL972" t="s">
        <v>100</v>
      </c>
      <c r="BM972" t="s">
        <v>17928</v>
      </c>
      <c r="BN972" t="s">
        <v>74</v>
      </c>
      <c r="BO972" t="s">
        <v>74</v>
      </c>
      <c r="BP972" t="s">
        <v>74</v>
      </c>
      <c r="BQ972" t="s">
        <v>74</v>
      </c>
      <c r="BR972" t="s">
        <v>102</v>
      </c>
      <c r="BS972" t="s">
        <v>17929</v>
      </c>
      <c r="BT972" t="str">
        <f>HYPERLINK("https%3A%2F%2Fwww.webofscience.com%2Fwos%2Fwoscc%2Ffull-record%2FWOS:000637047200001","View Full Record in Web of Science")</f>
        <v>View Full Record in Web of Science</v>
      </c>
    </row>
    <row r="973" spans="1:72" x14ac:dyDescent="0.25">
      <c r="A973" t="s">
        <v>72</v>
      </c>
      <c r="B973" t="s">
        <v>17930</v>
      </c>
      <c r="C973" t="s">
        <v>74</v>
      </c>
      <c r="D973" t="s">
        <v>74</v>
      </c>
      <c r="E973" t="s">
        <v>74</v>
      </c>
      <c r="F973" t="s">
        <v>17931</v>
      </c>
      <c r="G973" t="s">
        <v>74</v>
      </c>
      <c r="H973" t="s">
        <v>74</v>
      </c>
      <c r="I973" t="s">
        <v>17932</v>
      </c>
      <c r="J973" t="s">
        <v>6737</v>
      </c>
      <c r="K973" t="s">
        <v>74</v>
      </c>
      <c r="L973" t="s">
        <v>74</v>
      </c>
      <c r="M973" t="s">
        <v>78</v>
      </c>
      <c r="N973" t="s">
        <v>79</v>
      </c>
      <c r="O973" t="s">
        <v>74</v>
      </c>
      <c r="P973" t="s">
        <v>74</v>
      </c>
      <c r="Q973" t="s">
        <v>74</v>
      </c>
      <c r="R973" t="s">
        <v>74</v>
      </c>
      <c r="S973" t="s">
        <v>74</v>
      </c>
      <c r="T973" t="s">
        <v>17933</v>
      </c>
      <c r="U973" t="s">
        <v>74</v>
      </c>
      <c r="V973" t="s">
        <v>17934</v>
      </c>
      <c r="W973" t="s">
        <v>17935</v>
      </c>
      <c r="X973" t="s">
        <v>17936</v>
      </c>
      <c r="Y973" t="s">
        <v>17937</v>
      </c>
      <c r="Z973" t="s">
        <v>17938</v>
      </c>
      <c r="AA973" t="s">
        <v>17939</v>
      </c>
      <c r="AB973" t="s">
        <v>17940</v>
      </c>
      <c r="AC973" t="s">
        <v>74</v>
      </c>
      <c r="AD973" t="s">
        <v>74</v>
      </c>
      <c r="AE973" t="s">
        <v>74</v>
      </c>
      <c r="AF973" t="s">
        <v>74</v>
      </c>
      <c r="AG973">
        <v>57</v>
      </c>
      <c r="AH973">
        <v>2</v>
      </c>
      <c r="AI973">
        <v>3</v>
      </c>
      <c r="AJ973">
        <v>1</v>
      </c>
      <c r="AK973">
        <v>16</v>
      </c>
      <c r="AL973" t="s">
        <v>6747</v>
      </c>
      <c r="AM973" t="s">
        <v>6748</v>
      </c>
      <c r="AN973" t="s">
        <v>6749</v>
      </c>
      <c r="AO973" t="s">
        <v>6750</v>
      </c>
      <c r="AP973" t="s">
        <v>74</v>
      </c>
      <c r="AQ973" t="s">
        <v>74</v>
      </c>
      <c r="AR973" t="s">
        <v>6751</v>
      </c>
      <c r="AS973" t="s">
        <v>6752</v>
      </c>
      <c r="AT973" t="s">
        <v>7558</v>
      </c>
      <c r="AU973">
        <v>2016</v>
      </c>
      <c r="AV973">
        <v>7</v>
      </c>
      <c r="AW973">
        <v>4</v>
      </c>
      <c r="AX973" t="s">
        <v>74</v>
      </c>
      <c r="AY973" t="s">
        <v>74</v>
      </c>
      <c r="AZ973" t="s">
        <v>74</v>
      </c>
      <c r="BA973" t="s">
        <v>74</v>
      </c>
      <c r="BB973">
        <v>1005</v>
      </c>
      <c r="BC973">
        <v>1033</v>
      </c>
      <c r="BD973" t="s">
        <v>74</v>
      </c>
      <c r="BE973" t="s">
        <v>17941</v>
      </c>
      <c r="BF973" t="str">
        <f>HYPERLINK("http://dx.doi.org/10.14807/ijmp.v7i4.424","http://dx.doi.org/10.14807/ijmp.v7i4.424")</f>
        <v>http://dx.doi.org/10.14807/ijmp.v7i4.424</v>
      </c>
      <c r="BG973" t="s">
        <v>74</v>
      </c>
      <c r="BH973" t="s">
        <v>74</v>
      </c>
      <c r="BI973">
        <v>29</v>
      </c>
      <c r="BJ973" t="s">
        <v>583</v>
      </c>
      <c r="BK973" t="s">
        <v>313</v>
      </c>
      <c r="BL973" t="s">
        <v>100</v>
      </c>
      <c r="BM973" t="s">
        <v>17942</v>
      </c>
      <c r="BN973" t="s">
        <v>74</v>
      </c>
      <c r="BO973" t="s">
        <v>916</v>
      </c>
      <c r="BP973" t="s">
        <v>74</v>
      </c>
      <c r="BQ973" t="s">
        <v>74</v>
      </c>
      <c r="BR973" t="s">
        <v>102</v>
      </c>
      <c r="BS973" t="s">
        <v>17943</v>
      </c>
      <c r="BT973" t="str">
        <f>HYPERLINK("https%3A%2F%2Fwww.webofscience.com%2Fwos%2Fwoscc%2Ffull-record%2FWOS:000448017200002","View Full Record in Web of Science")</f>
        <v>View Full Record in Web of Science</v>
      </c>
    </row>
    <row r="974" spans="1:72" x14ac:dyDescent="0.25">
      <c r="A974" t="s">
        <v>72</v>
      </c>
      <c r="B974" t="s">
        <v>17944</v>
      </c>
      <c r="C974" t="s">
        <v>74</v>
      </c>
      <c r="D974" t="s">
        <v>74</v>
      </c>
      <c r="E974" t="s">
        <v>74</v>
      </c>
      <c r="F974" t="s">
        <v>17945</v>
      </c>
      <c r="G974" t="s">
        <v>74</v>
      </c>
      <c r="H974" t="s">
        <v>74</v>
      </c>
      <c r="I974" t="s">
        <v>17946</v>
      </c>
      <c r="J974" t="s">
        <v>3439</v>
      </c>
      <c r="K974" t="s">
        <v>74</v>
      </c>
      <c r="L974" t="s">
        <v>74</v>
      </c>
      <c r="M974" t="s">
        <v>78</v>
      </c>
      <c r="N974" t="s">
        <v>79</v>
      </c>
      <c r="O974" t="s">
        <v>74</v>
      </c>
      <c r="P974" t="s">
        <v>74</v>
      </c>
      <c r="Q974" t="s">
        <v>74</v>
      </c>
      <c r="R974" t="s">
        <v>74</v>
      </c>
      <c r="S974" t="s">
        <v>74</v>
      </c>
      <c r="T974" t="s">
        <v>17947</v>
      </c>
      <c r="U974" t="s">
        <v>17948</v>
      </c>
      <c r="V974" t="s">
        <v>17949</v>
      </c>
      <c r="W974" t="s">
        <v>17950</v>
      </c>
      <c r="X974" t="s">
        <v>74</v>
      </c>
      <c r="Y974" t="s">
        <v>17951</v>
      </c>
      <c r="Z974" t="s">
        <v>17952</v>
      </c>
      <c r="AA974" t="s">
        <v>74</v>
      </c>
      <c r="AB974" t="s">
        <v>17953</v>
      </c>
      <c r="AC974" t="s">
        <v>74</v>
      </c>
      <c r="AD974" t="s">
        <v>74</v>
      </c>
      <c r="AE974" t="s">
        <v>74</v>
      </c>
      <c r="AF974" t="s">
        <v>74</v>
      </c>
      <c r="AG974">
        <v>64</v>
      </c>
      <c r="AH974">
        <v>10</v>
      </c>
      <c r="AI974">
        <v>14</v>
      </c>
      <c r="AJ974">
        <v>4</v>
      </c>
      <c r="AK974">
        <v>32</v>
      </c>
      <c r="AL974" t="s">
        <v>2481</v>
      </c>
      <c r="AM974" t="s">
        <v>2482</v>
      </c>
      <c r="AN974" t="s">
        <v>2483</v>
      </c>
      <c r="AO974" t="s">
        <v>3443</v>
      </c>
      <c r="AP974" t="s">
        <v>74</v>
      </c>
      <c r="AQ974" t="s">
        <v>74</v>
      </c>
      <c r="AR974" t="s">
        <v>3444</v>
      </c>
      <c r="AS974" t="s">
        <v>3445</v>
      </c>
      <c r="AT974" t="s">
        <v>2970</v>
      </c>
      <c r="AU974">
        <v>2022</v>
      </c>
      <c r="AV974">
        <v>10</v>
      </c>
      <c r="AW974">
        <v>1</v>
      </c>
      <c r="AX974" t="s">
        <v>74</v>
      </c>
      <c r="AY974" t="s">
        <v>74</v>
      </c>
      <c r="AZ974" t="s">
        <v>74</v>
      </c>
      <c r="BA974" t="s">
        <v>74</v>
      </c>
      <c r="BB974" t="s">
        <v>74</v>
      </c>
      <c r="BC974" t="s">
        <v>74</v>
      </c>
      <c r="BD974">
        <v>2157120</v>
      </c>
      <c r="BE974" t="s">
        <v>17954</v>
      </c>
      <c r="BF974" t="str">
        <f>HYPERLINK("http://dx.doi.org/10.1080/23322039.2022.2157120","http://dx.doi.org/10.1080/23322039.2022.2157120")</f>
        <v>http://dx.doi.org/10.1080/23322039.2022.2157120</v>
      </c>
      <c r="BG974" t="s">
        <v>74</v>
      </c>
      <c r="BH974" t="s">
        <v>74</v>
      </c>
      <c r="BI974">
        <v>35</v>
      </c>
      <c r="BJ974" t="s">
        <v>291</v>
      </c>
      <c r="BK974" t="s">
        <v>313</v>
      </c>
      <c r="BL974" t="s">
        <v>100</v>
      </c>
      <c r="BM974" t="s">
        <v>17955</v>
      </c>
      <c r="BN974" t="s">
        <v>74</v>
      </c>
      <c r="BO974" t="s">
        <v>916</v>
      </c>
      <c r="BP974" t="s">
        <v>74</v>
      </c>
      <c r="BQ974" t="s">
        <v>74</v>
      </c>
      <c r="BR974" t="s">
        <v>102</v>
      </c>
      <c r="BS974" t="s">
        <v>17956</v>
      </c>
      <c r="BT974" t="str">
        <f>HYPERLINK("https%3A%2F%2Fwww.webofscience.com%2Fwos%2Fwoscc%2Ffull-record%2FWOS:000898486700001","View Full Record in Web of Science")</f>
        <v>View Full Record in Web of Science</v>
      </c>
    </row>
    <row r="975" spans="1:72" x14ac:dyDescent="0.25">
      <c r="A975" t="s">
        <v>72</v>
      </c>
      <c r="B975" t="s">
        <v>17957</v>
      </c>
      <c r="C975" t="s">
        <v>74</v>
      </c>
      <c r="D975" t="s">
        <v>74</v>
      </c>
      <c r="E975" t="s">
        <v>74</v>
      </c>
      <c r="F975" t="s">
        <v>17958</v>
      </c>
      <c r="G975" t="s">
        <v>74</v>
      </c>
      <c r="H975" t="s">
        <v>74</v>
      </c>
      <c r="I975" t="s">
        <v>17959</v>
      </c>
      <c r="J975" t="s">
        <v>17679</v>
      </c>
      <c r="K975" t="s">
        <v>74</v>
      </c>
      <c r="L975" t="s">
        <v>74</v>
      </c>
      <c r="M975" t="s">
        <v>78</v>
      </c>
      <c r="N975" t="s">
        <v>79</v>
      </c>
      <c r="O975" t="s">
        <v>74</v>
      </c>
      <c r="P975" t="s">
        <v>74</v>
      </c>
      <c r="Q975" t="s">
        <v>74</v>
      </c>
      <c r="R975" t="s">
        <v>74</v>
      </c>
      <c r="S975" t="s">
        <v>74</v>
      </c>
      <c r="T975" t="s">
        <v>17960</v>
      </c>
      <c r="U975" t="s">
        <v>74</v>
      </c>
      <c r="V975" t="s">
        <v>17961</v>
      </c>
      <c r="W975" t="s">
        <v>17962</v>
      </c>
      <c r="X975" t="s">
        <v>17963</v>
      </c>
      <c r="Y975" t="s">
        <v>17964</v>
      </c>
      <c r="Z975" t="s">
        <v>74</v>
      </c>
      <c r="AA975" t="s">
        <v>17965</v>
      </c>
      <c r="AB975" t="s">
        <v>74</v>
      </c>
      <c r="AC975" t="s">
        <v>74</v>
      </c>
      <c r="AD975" t="s">
        <v>74</v>
      </c>
      <c r="AE975" t="s">
        <v>74</v>
      </c>
      <c r="AF975" t="s">
        <v>74</v>
      </c>
      <c r="AG975">
        <v>40</v>
      </c>
      <c r="AH975">
        <v>0</v>
      </c>
      <c r="AI975">
        <v>2</v>
      </c>
      <c r="AJ975">
        <v>0</v>
      </c>
      <c r="AK975">
        <v>11</v>
      </c>
      <c r="AL975" t="s">
        <v>7551</v>
      </c>
      <c r="AM975" t="s">
        <v>7552</v>
      </c>
      <c r="AN975" t="s">
        <v>7553</v>
      </c>
      <c r="AO975" t="s">
        <v>17687</v>
      </c>
      <c r="AP975" t="s">
        <v>17688</v>
      </c>
      <c r="AQ975" t="s">
        <v>74</v>
      </c>
      <c r="AR975" t="s">
        <v>17689</v>
      </c>
      <c r="AS975" t="s">
        <v>17690</v>
      </c>
      <c r="AT975" t="s">
        <v>7558</v>
      </c>
      <c r="AU975">
        <v>2020</v>
      </c>
      <c r="AV975">
        <v>9</v>
      </c>
      <c r="AW975">
        <v>4</v>
      </c>
      <c r="AX975" t="s">
        <v>74</v>
      </c>
      <c r="AY975" t="s">
        <v>74</v>
      </c>
      <c r="AZ975" t="s">
        <v>74</v>
      </c>
      <c r="BA975" t="s">
        <v>74</v>
      </c>
      <c r="BB975">
        <v>33</v>
      </c>
      <c r="BC975">
        <v>57</v>
      </c>
      <c r="BD975" t="s">
        <v>74</v>
      </c>
      <c r="BE975" t="s">
        <v>17966</v>
      </c>
      <c r="BF975" t="str">
        <f>HYPERLINK("http://dx.doi.org/10.4018/IJABE.2020100103","http://dx.doi.org/10.4018/IJABE.2020100103")</f>
        <v>http://dx.doi.org/10.4018/IJABE.2020100103</v>
      </c>
      <c r="BG975" t="s">
        <v>74</v>
      </c>
      <c r="BH975" t="s">
        <v>74</v>
      </c>
      <c r="BI975">
        <v>25</v>
      </c>
      <c r="BJ975" t="s">
        <v>291</v>
      </c>
      <c r="BK975" t="s">
        <v>313</v>
      </c>
      <c r="BL975" t="s">
        <v>100</v>
      </c>
      <c r="BM975" t="s">
        <v>17967</v>
      </c>
      <c r="BN975" t="s">
        <v>74</v>
      </c>
      <c r="BO975" t="s">
        <v>74</v>
      </c>
      <c r="BP975" t="s">
        <v>74</v>
      </c>
      <c r="BQ975" t="s">
        <v>74</v>
      </c>
      <c r="BR975" t="s">
        <v>102</v>
      </c>
      <c r="BS975" t="s">
        <v>17968</v>
      </c>
      <c r="BT975" t="str">
        <f>HYPERLINK("https%3A%2F%2Fwww.webofscience.com%2Fwos%2Fwoscc%2Ffull-record%2FWOS:000581136200003","View Full Record in Web of Science")</f>
        <v>View Full Record in Web of Science</v>
      </c>
    </row>
    <row r="976" spans="1:72" x14ac:dyDescent="0.25">
      <c r="A976" t="s">
        <v>72</v>
      </c>
      <c r="B976" t="s">
        <v>17969</v>
      </c>
      <c r="C976" t="s">
        <v>74</v>
      </c>
      <c r="D976" t="s">
        <v>74</v>
      </c>
      <c r="E976" t="s">
        <v>74</v>
      </c>
      <c r="F976" t="s">
        <v>17970</v>
      </c>
      <c r="G976" t="s">
        <v>74</v>
      </c>
      <c r="H976" t="s">
        <v>74</v>
      </c>
      <c r="I976" t="s">
        <v>17971</v>
      </c>
      <c r="J976" t="s">
        <v>1266</v>
      </c>
      <c r="K976" t="s">
        <v>74</v>
      </c>
      <c r="L976" t="s">
        <v>74</v>
      </c>
      <c r="M976" t="s">
        <v>78</v>
      </c>
      <c r="N976" t="s">
        <v>3795</v>
      </c>
      <c r="O976" t="s">
        <v>17972</v>
      </c>
      <c r="P976" t="s">
        <v>17973</v>
      </c>
      <c r="Q976" t="s">
        <v>17974</v>
      </c>
      <c r="R976" t="s">
        <v>17975</v>
      </c>
      <c r="S976" t="s">
        <v>17976</v>
      </c>
      <c r="T976" t="s">
        <v>17977</v>
      </c>
      <c r="U976" t="s">
        <v>17978</v>
      </c>
      <c r="V976" t="s">
        <v>17979</v>
      </c>
      <c r="W976" t="s">
        <v>17980</v>
      </c>
      <c r="X976" t="s">
        <v>17981</v>
      </c>
      <c r="Y976" t="s">
        <v>17982</v>
      </c>
      <c r="Z976" t="s">
        <v>17983</v>
      </c>
      <c r="AA976" t="s">
        <v>17984</v>
      </c>
      <c r="AB976" t="s">
        <v>17985</v>
      </c>
      <c r="AC976" t="s">
        <v>17986</v>
      </c>
      <c r="AD976" t="s">
        <v>17987</v>
      </c>
      <c r="AE976" t="s">
        <v>17988</v>
      </c>
      <c r="AF976" t="s">
        <v>74</v>
      </c>
      <c r="AG976">
        <v>41</v>
      </c>
      <c r="AH976">
        <v>63</v>
      </c>
      <c r="AI976">
        <v>75</v>
      </c>
      <c r="AJ976">
        <v>4</v>
      </c>
      <c r="AK976">
        <v>105</v>
      </c>
      <c r="AL976" t="s">
        <v>332</v>
      </c>
      <c r="AM976" t="s">
        <v>333</v>
      </c>
      <c r="AN976" t="s">
        <v>334</v>
      </c>
      <c r="AO976" t="s">
        <v>1277</v>
      </c>
      <c r="AP976" t="s">
        <v>1278</v>
      </c>
      <c r="AQ976" t="s">
        <v>74</v>
      </c>
      <c r="AR976" t="s">
        <v>1279</v>
      </c>
      <c r="AS976" t="s">
        <v>1280</v>
      </c>
      <c r="AT976" t="s">
        <v>74</v>
      </c>
      <c r="AU976">
        <v>2018</v>
      </c>
      <c r="AV976">
        <v>54</v>
      </c>
      <c r="AW976">
        <v>12</v>
      </c>
      <c r="AX976" t="s">
        <v>74</v>
      </c>
      <c r="AY976" t="s">
        <v>74</v>
      </c>
      <c r="AZ976" t="s">
        <v>74</v>
      </c>
      <c r="BA976" t="s">
        <v>74</v>
      </c>
      <c r="BB976">
        <v>2851</v>
      </c>
      <c r="BC976">
        <v>2873</v>
      </c>
      <c r="BD976" t="s">
        <v>74</v>
      </c>
      <c r="BE976" t="s">
        <v>17989</v>
      </c>
      <c r="BF976" t="str">
        <f>HYPERLINK("http://dx.doi.org/10.1080/1540496X.2017.1418318","http://dx.doi.org/10.1080/1540496X.2017.1418318")</f>
        <v>http://dx.doi.org/10.1080/1540496X.2017.1418318</v>
      </c>
      <c r="BG976" t="s">
        <v>74</v>
      </c>
      <c r="BH976" t="s">
        <v>74</v>
      </c>
      <c r="BI976">
        <v>23</v>
      </c>
      <c r="BJ976" t="s">
        <v>1283</v>
      </c>
      <c r="BK976" t="s">
        <v>4493</v>
      </c>
      <c r="BL976" t="s">
        <v>1284</v>
      </c>
      <c r="BM976" t="s">
        <v>17990</v>
      </c>
      <c r="BN976" t="s">
        <v>74</v>
      </c>
      <c r="BO976" t="s">
        <v>74</v>
      </c>
      <c r="BP976" t="s">
        <v>74</v>
      </c>
      <c r="BQ976" t="s">
        <v>74</v>
      </c>
      <c r="BR976" t="s">
        <v>102</v>
      </c>
      <c r="BS976" t="s">
        <v>17991</v>
      </c>
      <c r="BT976" t="str">
        <f>HYPERLINK("https%3A%2F%2Fwww.webofscience.com%2Fwos%2Fwoscc%2Ffull-record%2FWOS:000445197600012","View Full Record in Web of Science")</f>
        <v>View Full Record in Web of Science</v>
      </c>
    </row>
    <row r="977" spans="1:72" x14ac:dyDescent="0.25">
      <c r="A977" t="s">
        <v>72</v>
      </c>
      <c r="B977" t="s">
        <v>17992</v>
      </c>
      <c r="C977" t="s">
        <v>74</v>
      </c>
      <c r="D977" t="s">
        <v>74</v>
      </c>
      <c r="E977" t="s">
        <v>74</v>
      </c>
      <c r="F977" t="s">
        <v>17993</v>
      </c>
      <c r="G977" t="s">
        <v>74</v>
      </c>
      <c r="H977" t="s">
        <v>74</v>
      </c>
      <c r="I977" t="s">
        <v>17994</v>
      </c>
      <c r="J977" t="s">
        <v>3231</v>
      </c>
      <c r="K977" t="s">
        <v>74</v>
      </c>
      <c r="L977" t="s">
        <v>74</v>
      </c>
      <c r="M977" t="s">
        <v>78</v>
      </c>
      <c r="N977" t="s">
        <v>79</v>
      </c>
      <c r="O977" t="s">
        <v>74</v>
      </c>
      <c r="P977" t="s">
        <v>74</v>
      </c>
      <c r="Q977" t="s">
        <v>74</v>
      </c>
      <c r="R977" t="s">
        <v>74</v>
      </c>
      <c r="S977" t="s">
        <v>74</v>
      </c>
      <c r="T977" t="s">
        <v>17995</v>
      </c>
      <c r="U977" t="s">
        <v>74</v>
      </c>
      <c r="V977" t="s">
        <v>17996</v>
      </c>
      <c r="W977" t="s">
        <v>17997</v>
      </c>
      <c r="X977" t="s">
        <v>17998</v>
      </c>
      <c r="Y977" t="s">
        <v>17999</v>
      </c>
      <c r="Z977" t="s">
        <v>18000</v>
      </c>
      <c r="AA977" t="s">
        <v>18001</v>
      </c>
      <c r="AB977" t="s">
        <v>18002</v>
      </c>
      <c r="AC977" t="s">
        <v>74</v>
      </c>
      <c r="AD977" t="s">
        <v>74</v>
      </c>
      <c r="AE977" t="s">
        <v>74</v>
      </c>
      <c r="AF977" t="s">
        <v>74</v>
      </c>
      <c r="AG977">
        <v>44</v>
      </c>
      <c r="AH977">
        <v>6</v>
      </c>
      <c r="AI977">
        <v>6</v>
      </c>
      <c r="AJ977">
        <v>5</v>
      </c>
      <c r="AK977">
        <v>35</v>
      </c>
      <c r="AL977" t="s">
        <v>575</v>
      </c>
      <c r="AM977" t="s">
        <v>576</v>
      </c>
      <c r="AN977" t="s">
        <v>3242</v>
      </c>
      <c r="AO977" t="s">
        <v>74</v>
      </c>
      <c r="AP977" t="s">
        <v>3243</v>
      </c>
      <c r="AQ977" t="s">
        <v>74</v>
      </c>
      <c r="AR977" t="s">
        <v>3244</v>
      </c>
      <c r="AS977" t="s">
        <v>3245</v>
      </c>
      <c r="AT977" t="s">
        <v>848</v>
      </c>
      <c r="AU977">
        <v>2023</v>
      </c>
      <c r="AV977">
        <v>15</v>
      </c>
      <c r="AW977">
        <v>13</v>
      </c>
      <c r="AX977" t="s">
        <v>74</v>
      </c>
      <c r="AY977" t="s">
        <v>74</v>
      </c>
      <c r="AZ977" t="s">
        <v>74</v>
      </c>
      <c r="BA977" t="s">
        <v>74</v>
      </c>
      <c r="BB977" t="s">
        <v>74</v>
      </c>
      <c r="BC977" t="s">
        <v>74</v>
      </c>
      <c r="BD977">
        <v>10286</v>
      </c>
      <c r="BE977" t="s">
        <v>18003</v>
      </c>
      <c r="BF977" t="str">
        <f>HYPERLINK("http://dx.doi.org/10.3390/su151310286","http://dx.doi.org/10.3390/su151310286")</f>
        <v>http://dx.doi.org/10.3390/su151310286</v>
      </c>
      <c r="BG977" t="s">
        <v>74</v>
      </c>
      <c r="BH977" t="s">
        <v>74</v>
      </c>
      <c r="BI977">
        <v>22</v>
      </c>
      <c r="BJ977" t="s">
        <v>3247</v>
      </c>
      <c r="BK977" t="s">
        <v>2623</v>
      </c>
      <c r="BL977" t="s">
        <v>3248</v>
      </c>
      <c r="BM977" t="s">
        <v>18004</v>
      </c>
      <c r="BN977" t="s">
        <v>74</v>
      </c>
      <c r="BO977" t="s">
        <v>916</v>
      </c>
      <c r="BP977" t="s">
        <v>74</v>
      </c>
      <c r="BQ977" t="s">
        <v>74</v>
      </c>
      <c r="BR977" t="s">
        <v>102</v>
      </c>
      <c r="BS977" t="s">
        <v>18005</v>
      </c>
      <c r="BT977" t="str">
        <f>HYPERLINK("https%3A%2F%2Fwww.webofscience.com%2Fwos%2Fwoscc%2Ffull-record%2FWOS:001028655800001","View Full Record in Web of Science")</f>
        <v>View Full Record in Web of Science</v>
      </c>
    </row>
    <row r="978" spans="1:72" x14ac:dyDescent="0.25">
      <c r="A978" t="s">
        <v>72</v>
      </c>
      <c r="B978" t="s">
        <v>18006</v>
      </c>
      <c r="C978" t="s">
        <v>74</v>
      </c>
      <c r="D978" t="s">
        <v>74</v>
      </c>
      <c r="E978" t="s">
        <v>74</v>
      </c>
      <c r="F978" t="s">
        <v>18007</v>
      </c>
      <c r="G978" t="s">
        <v>74</v>
      </c>
      <c r="H978" t="s">
        <v>74</v>
      </c>
      <c r="I978" t="s">
        <v>18008</v>
      </c>
      <c r="J978" t="s">
        <v>8087</v>
      </c>
      <c r="K978" t="s">
        <v>74</v>
      </c>
      <c r="L978" t="s">
        <v>74</v>
      </c>
      <c r="M978" t="s">
        <v>78</v>
      </c>
      <c r="N978" t="s">
        <v>79</v>
      </c>
      <c r="O978" t="s">
        <v>74</v>
      </c>
      <c r="P978" t="s">
        <v>74</v>
      </c>
      <c r="Q978" t="s">
        <v>74</v>
      </c>
      <c r="R978" t="s">
        <v>74</v>
      </c>
      <c r="S978" t="s">
        <v>74</v>
      </c>
      <c r="T978" t="s">
        <v>18009</v>
      </c>
      <c r="U978" t="s">
        <v>18010</v>
      </c>
      <c r="V978" t="s">
        <v>18011</v>
      </c>
      <c r="W978" t="s">
        <v>18012</v>
      </c>
      <c r="X978" t="s">
        <v>18013</v>
      </c>
      <c r="Y978" t="s">
        <v>18014</v>
      </c>
      <c r="Z978" t="s">
        <v>18015</v>
      </c>
      <c r="AA978" t="s">
        <v>18016</v>
      </c>
      <c r="AB978" t="s">
        <v>18017</v>
      </c>
      <c r="AC978" t="s">
        <v>74</v>
      </c>
      <c r="AD978" t="s">
        <v>74</v>
      </c>
      <c r="AE978" t="s">
        <v>74</v>
      </c>
      <c r="AF978" t="s">
        <v>74</v>
      </c>
      <c r="AG978">
        <v>134</v>
      </c>
      <c r="AH978">
        <v>1</v>
      </c>
      <c r="AI978">
        <v>1</v>
      </c>
      <c r="AJ978">
        <v>6</v>
      </c>
      <c r="AK978">
        <v>6</v>
      </c>
      <c r="AL978" t="s">
        <v>479</v>
      </c>
      <c r="AM978" t="s">
        <v>480</v>
      </c>
      <c r="AN978" t="s">
        <v>481</v>
      </c>
      <c r="AO978" t="s">
        <v>8097</v>
      </c>
      <c r="AP978" t="s">
        <v>8098</v>
      </c>
      <c r="AQ978" t="s">
        <v>74</v>
      </c>
      <c r="AR978" t="s">
        <v>8099</v>
      </c>
      <c r="AS978" t="s">
        <v>8100</v>
      </c>
      <c r="AT978" t="s">
        <v>18018</v>
      </c>
      <c r="AU978">
        <v>2025</v>
      </c>
      <c r="AV978">
        <v>49</v>
      </c>
      <c r="AW978">
        <v>4</v>
      </c>
      <c r="AX978" t="s">
        <v>74</v>
      </c>
      <c r="AY978" t="s">
        <v>74</v>
      </c>
      <c r="AZ978" t="s">
        <v>74</v>
      </c>
      <c r="BA978" t="s">
        <v>74</v>
      </c>
      <c r="BB978" t="s">
        <v>74</v>
      </c>
      <c r="BC978" t="s">
        <v>74</v>
      </c>
      <c r="BD978" t="s">
        <v>18019</v>
      </c>
      <c r="BE978" t="s">
        <v>18020</v>
      </c>
      <c r="BF978" t="str">
        <f>HYPERLINK("http://dx.doi.org/10.1111/ijcs.70101","http://dx.doi.org/10.1111/ijcs.70101")</f>
        <v>http://dx.doi.org/10.1111/ijcs.70101</v>
      </c>
      <c r="BG978" t="s">
        <v>74</v>
      </c>
      <c r="BH978" t="s">
        <v>74</v>
      </c>
      <c r="BI978">
        <v>30</v>
      </c>
      <c r="BJ978" t="s">
        <v>418</v>
      </c>
      <c r="BK978" t="s">
        <v>99</v>
      </c>
      <c r="BL978" t="s">
        <v>100</v>
      </c>
      <c r="BM978" t="s">
        <v>18021</v>
      </c>
      <c r="BN978" t="s">
        <v>74</v>
      </c>
      <c r="BO978" t="s">
        <v>74</v>
      </c>
      <c r="BP978" t="s">
        <v>74</v>
      </c>
      <c r="BQ978" t="s">
        <v>74</v>
      </c>
      <c r="BR978" t="s">
        <v>102</v>
      </c>
      <c r="BS978" t="s">
        <v>18022</v>
      </c>
      <c r="BT978" t="str">
        <f>HYPERLINK("https%3A%2F%2Fwww.webofscience.com%2Fwos%2Fwoscc%2Ffull-record%2FWOS:001534275000001","View Full Record in Web of Science")</f>
        <v>View Full Record in Web of Science</v>
      </c>
    </row>
    <row r="979" spans="1:72" x14ac:dyDescent="0.25">
      <c r="A979" t="s">
        <v>72</v>
      </c>
      <c r="B979" t="s">
        <v>18023</v>
      </c>
      <c r="C979" t="s">
        <v>74</v>
      </c>
      <c r="D979" t="s">
        <v>74</v>
      </c>
      <c r="E979" t="s">
        <v>74</v>
      </c>
      <c r="F979" t="s">
        <v>18024</v>
      </c>
      <c r="G979" t="s">
        <v>74</v>
      </c>
      <c r="H979" t="s">
        <v>74</v>
      </c>
      <c r="I979" t="s">
        <v>18025</v>
      </c>
      <c r="J979" t="s">
        <v>3231</v>
      </c>
      <c r="K979" t="s">
        <v>74</v>
      </c>
      <c r="L979" t="s">
        <v>74</v>
      </c>
      <c r="M979" t="s">
        <v>78</v>
      </c>
      <c r="N979" t="s">
        <v>79</v>
      </c>
      <c r="O979" t="s">
        <v>74</v>
      </c>
      <c r="P979" t="s">
        <v>74</v>
      </c>
      <c r="Q979" t="s">
        <v>74</v>
      </c>
      <c r="R979" t="s">
        <v>74</v>
      </c>
      <c r="S979" t="s">
        <v>74</v>
      </c>
      <c r="T979" t="s">
        <v>18026</v>
      </c>
      <c r="U979" t="s">
        <v>74</v>
      </c>
      <c r="V979" t="s">
        <v>18027</v>
      </c>
      <c r="W979" t="s">
        <v>18028</v>
      </c>
      <c r="X979" t="s">
        <v>18029</v>
      </c>
      <c r="Y979" t="s">
        <v>74</v>
      </c>
      <c r="Z979" t="s">
        <v>18030</v>
      </c>
      <c r="AA979" t="s">
        <v>74</v>
      </c>
      <c r="AB979" t="s">
        <v>18031</v>
      </c>
      <c r="AC979" t="s">
        <v>74</v>
      </c>
      <c r="AD979" t="s">
        <v>74</v>
      </c>
      <c r="AE979" t="s">
        <v>74</v>
      </c>
      <c r="AF979" t="s">
        <v>74</v>
      </c>
      <c r="AG979">
        <v>43</v>
      </c>
      <c r="AH979">
        <v>9</v>
      </c>
      <c r="AI979">
        <v>13</v>
      </c>
      <c r="AJ979">
        <v>4</v>
      </c>
      <c r="AK979">
        <v>92</v>
      </c>
      <c r="AL979" t="s">
        <v>575</v>
      </c>
      <c r="AM979" t="s">
        <v>576</v>
      </c>
      <c r="AN979" t="s">
        <v>577</v>
      </c>
      <c r="AO979" t="s">
        <v>74</v>
      </c>
      <c r="AP979" t="s">
        <v>3243</v>
      </c>
      <c r="AQ979" t="s">
        <v>74</v>
      </c>
      <c r="AR979" t="s">
        <v>3244</v>
      </c>
      <c r="AS979" t="s">
        <v>3245</v>
      </c>
      <c r="AT979" t="s">
        <v>237</v>
      </c>
      <c r="AU979">
        <v>2021</v>
      </c>
      <c r="AV979">
        <v>13</v>
      </c>
      <c r="AW979">
        <v>3</v>
      </c>
      <c r="AX979" t="s">
        <v>74</v>
      </c>
      <c r="AY979" t="s">
        <v>74</v>
      </c>
      <c r="AZ979" t="s">
        <v>74</v>
      </c>
      <c r="BA979" t="s">
        <v>74</v>
      </c>
      <c r="BB979" t="s">
        <v>74</v>
      </c>
      <c r="BC979" t="s">
        <v>74</v>
      </c>
      <c r="BD979">
        <v>1513</v>
      </c>
      <c r="BE979" t="s">
        <v>18032</v>
      </c>
      <c r="BF979" t="str">
        <f>HYPERLINK("http://dx.doi.org/10.3390/su13031513","http://dx.doi.org/10.3390/su13031513")</f>
        <v>http://dx.doi.org/10.3390/su13031513</v>
      </c>
      <c r="BG979" t="s">
        <v>74</v>
      </c>
      <c r="BH979" t="s">
        <v>74</v>
      </c>
      <c r="BI979">
        <v>18</v>
      </c>
      <c r="BJ979" t="s">
        <v>3247</v>
      </c>
      <c r="BK979" t="s">
        <v>2623</v>
      </c>
      <c r="BL979" t="s">
        <v>3248</v>
      </c>
      <c r="BM979" t="s">
        <v>18033</v>
      </c>
      <c r="BN979" t="s">
        <v>74</v>
      </c>
      <c r="BO979" t="s">
        <v>916</v>
      </c>
      <c r="BP979" t="s">
        <v>74</v>
      </c>
      <c r="BQ979" t="s">
        <v>74</v>
      </c>
      <c r="BR979" t="s">
        <v>102</v>
      </c>
      <c r="BS979" t="s">
        <v>18034</v>
      </c>
      <c r="BT979" t="str">
        <f>HYPERLINK("https%3A%2F%2Fwww.webofscience.com%2Fwos%2Fwoscc%2Ffull-record%2FWOS:000615635300001","View Full Record in Web of Science")</f>
        <v>View Full Record in Web of Science</v>
      </c>
    </row>
    <row r="980" spans="1:72" x14ac:dyDescent="0.25">
      <c r="A980" t="s">
        <v>72</v>
      </c>
      <c r="B980" t="s">
        <v>18035</v>
      </c>
      <c r="C980" t="s">
        <v>74</v>
      </c>
      <c r="D980" t="s">
        <v>74</v>
      </c>
      <c r="E980" t="s">
        <v>74</v>
      </c>
      <c r="F980" t="s">
        <v>18036</v>
      </c>
      <c r="G980" t="s">
        <v>74</v>
      </c>
      <c r="H980" t="s">
        <v>74</v>
      </c>
      <c r="I980" t="s">
        <v>18037</v>
      </c>
      <c r="J980" t="s">
        <v>18038</v>
      </c>
      <c r="K980" t="s">
        <v>74</v>
      </c>
      <c r="L980" t="s">
        <v>74</v>
      </c>
      <c r="M980" t="s">
        <v>78</v>
      </c>
      <c r="N980" t="s">
        <v>79</v>
      </c>
      <c r="O980" t="s">
        <v>74</v>
      </c>
      <c r="P980" t="s">
        <v>74</v>
      </c>
      <c r="Q980" t="s">
        <v>74</v>
      </c>
      <c r="R980" t="s">
        <v>74</v>
      </c>
      <c r="S980" t="s">
        <v>74</v>
      </c>
      <c r="T980" t="s">
        <v>18039</v>
      </c>
      <c r="U980" t="s">
        <v>18040</v>
      </c>
      <c r="V980" t="s">
        <v>18041</v>
      </c>
      <c r="W980" t="s">
        <v>18042</v>
      </c>
      <c r="X980" t="s">
        <v>74</v>
      </c>
      <c r="Y980" t="s">
        <v>18043</v>
      </c>
      <c r="Z980" t="s">
        <v>18044</v>
      </c>
      <c r="AA980" t="s">
        <v>74</v>
      </c>
      <c r="AB980" t="s">
        <v>18045</v>
      </c>
      <c r="AC980" t="s">
        <v>18046</v>
      </c>
      <c r="AD980" t="s">
        <v>18047</v>
      </c>
      <c r="AE980" t="s">
        <v>18048</v>
      </c>
      <c r="AF980" t="s">
        <v>74</v>
      </c>
      <c r="AG980">
        <v>111</v>
      </c>
      <c r="AH980">
        <v>0</v>
      </c>
      <c r="AI980">
        <v>0</v>
      </c>
      <c r="AJ980">
        <v>1</v>
      </c>
      <c r="AK980">
        <v>1</v>
      </c>
      <c r="AL980" t="s">
        <v>332</v>
      </c>
      <c r="AM980" t="s">
        <v>333</v>
      </c>
      <c r="AN980" t="s">
        <v>334</v>
      </c>
      <c r="AO980" t="s">
        <v>18049</v>
      </c>
      <c r="AP980" t="s">
        <v>18050</v>
      </c>
      <c r="AQ980" t="s">
        <v>74</v>
      </c>
      <c r="AR980" t="s">
        <v>18038</v>
      </c>
      <c r="AS980" t="s">
        <v>18051</v>
      </c>
      <c r="AT980" t="s">
        <v>18052</v>
      </c>
      <c r="AU980">
        <v>2025</v>
      </c>
      <c r="AV980">
        <v>22</v>
      </c>
      <c r="AW980">
        <v>6</v>
      </c>
      <c r="AX980" t="s">
        <v>74</v>
      </c>
      <c r="AY980" t="s">
        <v>74</v>
      </c>
      <c r="AZ980" t="s">
        <v>74</v>
      </c>
      <c r="BA980" t="s">
        <v>74</v>
      </c>
      <c r="BB980">
        <v>954</v>
      </c>
      <c r="BC980">
        <v>974</v>
      </c>
      <c r="BD980" t="s">
        <v>74</v>
      </c>
      <c r="BE980" t="s">
        <v>18053</v>
      </c>
      <c r="BF980" t="str">
        <f>HYPERLINK("http://dx.doi.org/10.1080/14747731.2025.2471707","http://dx.doi.org/10.1080/14747731.2025.2471707")</f>
        <v>http://dx.doi.org/10.1080/14747731.2025.2471707</v>
      </c>
      <c r="BG980" t="s">
        <v>74</v>
      </c>
      <c r="BH980" t="s">
        <v>2781</v>
      </c>
      <c r="BI980">
        <v>21</v>
      </c>
      <c r="BJ980" t="s">
        <v>18054</v>
      </c>
      <c r="BK980" t="s">
        <v>99</v>
      </c>
      <c r="BL980" t="s">
        <v>18055</v>
      </c>
      <c r="BM980" t="s">
        <v>18056</v>
      </c>
      <c r="BN980" t="s">
        <v>74</v>
      </c>
      <c r="BO980" t="s">
        <v>270</v>
      </c>
      <c r="BP980" t="s">
        <v>74</v>
      </c>
      <c r="BQ980" t="s">
        <v>74</v>
      </c>
      <c r="BR980" t="s">
        <v>102</v>
      </c>
      <c r="BS980" t="s">
        <v>18057</v>
      </c>
      <c r="BT980" t="str">
        <f>HYPERLINK("https%3A%2F%2Fwww.webofscience.com%2Fwos%2Fwoscc%2Ffull-record%2FWOS:001449278600001","View Full Record in Web of Science")</f>
        <v>View Full Record in Web of Science</v>
      </c>
    </row>
    <row r="981" spans="1:72" x14ac:dyDescent="0.25">
      <c r="A981" t="s">
        <v>72</v>
      </c>
      <c r="B981" t="s">
        <v>18058</v>
      </c>
      <c r="C981" t="s">
        <v>74</v>
      </c>
      <c r="D981" t="s">
        <v>74</v>
      </c>
      <c r="E981" t="s">
        <v>74</v>
      </c>
      <c r="F981" t="s">
        <v>18059</v>
      </c>
      <c r="G981" t="s">
        <v>74</v>
      </c>
      <c r="H981" t="s">
        <v>74</v>
      </c>
      <c r="I981" t="s">
        <v>18060</v>
      </c>
      <c r="J981" t="s">
        <v>16009</v>
      </c>
      <c r="K981" t="s">
        <v>74</v>
      </c>
      <c r="L981" t="s">
        <v>74</v>
      </c>
      <c r="M981" t="s">
        <v>298</v>
      </c>
      <c r="N981" t="s">
        <v>79</v>
      </c>
      <c r="O981" t="s">
        <v>74</v>
      </c>
      <c r="P981" t="s">
        <v>74</v>
      </c>
      <c r="Q981" t="s">
        <v>74</v>
      </c>
      <c r="R981" t="s">
        <v>74</v>
      </c>
      <c r="S981" t="s">
        <v>74</v>
      </c>
      <c r="T981" t="s">
        <v>18061</v>
      </c>
      <c r="U981" t="s">
        <v>18062</v>
      </c>
      <c r="V981" t="s">
        <v>18063</v>
      </c>
      <c r="W981" t="s">
        <v>18064</v>
      </c>
      <c r="X981" t="s">
        <v>18065</v>
      </c>
      <c r="Y981" t="s">
        <v>18066</v>
      </c>
      <c r="Z981" t="s">
        <v>18067</v>
      </c>
      <c r="AA981" t="s">
        <v>18068</v>
      </c>
      <c r="AB981" t="s">
        <v>74</v>
      </c>
      <c r="AC981" t="s">
        <v>74</v>
      </c>
      <c r="AD981" t="s">
        <v>74</v>
      </c>
      <c r="AE981" t="s">
        <v>74</v>
      </c>
      <c r="AF981" t="s">
        <v>74</v>
      </c>
      <c r="AG981">
        <v>36</v>
      </c>
      <c r="AH981">
        <v>2</v>
      </c>
      <c r="AI981">
        <v>3</v>
      </c>
      <c r="AJ981">
        <v>2</v>
      </c>
      <c r="AK981">
        <v>25</v>
      </c>
      <c r="AL981" t="s">
        <v>16015</v>
      </c>
      <c r="AM981" t="s">
        <v>16016</v>
      </c>
      <c r="AN981" t="s">
        <v>16017</v>
      </c>
      <c r="AO981" t="s">
        <v>16018</v>
      </c>
      <c r="AP981" t="s">
        <v>16019</v>
      </c>
      <c r="AQ981" t="s">
        <v>74</v>
      </c>
      <c r="AR981" t="s">
        <v>16020</v>
      </c>
      <c r="AS981" t="s">
        <v>16021</v>
      </c>
      <c r="AT981" t="s">
        <v>16433</v>
      </c>
      <c r="AU981">
        <v>2022</v>
      </c>
      <c r="AV981">
        <v>14</v>
      </c>
      <c r="AW981">
        <v>1</v>
      </c>
      <c r="AX981" t="s">
        <v>74</v>
      </c>
      <c r="AY981" t="s">
        <v>74</v>
      </c>
      <c r="AZ981" t="s">
        <v>74</v>
      </c>
      <c r="BA981" t="s">
        <v>74</v>
      </c>
      <c r="BB981">
        <v>17</v>
      </c>
      <c r="BC981">
        <v>48</v>
      </c>
      <c r="BD981" t="s">
        <v>74</v>
      </c>
      <c r="BE981" t="s">
        <v>18069</v>
      </c>
      <c r="BF981" t="str">
        <f>HYPERLINK("http://dx.doi.org/10.14718/revfinanzpolitecon.v14.n1.2022.2","http://dx.doi.org/10.14718/revfinanzpolitecon.v14.n1.2022.2")</f>
        <v>http://dx.doi.org/10.14718/revfinanzpolitecon.v14.n1.2022.2</v>
      </c>
      <c r="BG981" t="s">
        <v>74</v>
      </c>
      <c r="BH981" t="s">
        <v>74</v>
      </c>
      <c r="BI981">
        <v>32</v>
      </c>
      <c r="BJ981" t="s">
        <v>291</v>
      </c>
      <c r="BK981" t="s">
        <v>313</v>
      </c>
      <c r="BL981" t="s">
        <v>100</v>
      </c>
      <c r="BM981" t="s">
        <v>18070</v>
      </c>
      <c r="BN981" t="s">
        <v>74</v>
      </c>
      <c r="BO981" t="s">
        <v>916</v>
      </c>
      <c r="BP981" t="s">
        <v>74</v>
      </c>
      <c r="BQ981" t="s">
        <v>74</v>
      </c>
      <c r="BR981" t="s">
        <v>102</v>
      </c>
      <c r="BS981" t="s">
        <v>18071</v>
      </c>
      <c r="BT981" t="str">
        <f>HYPERLINK("https%3A%2F%2Fwww.webofscience.com%2Fwos%2Fwoscc%2Ffull-record%2FWOS:000838237600002","View Full Record in Web of Science")</f>
        <v>View Full Record in Web of Science</v>
      </c>
    </row>
    <row r="982" spans="1:72" x14ac:dyDescent="0.25">
      <c r="A982" t="s">
        <v>72</v>
      </c>
      <c r="B982" t="s">
        <v>18072</v>
      </c>
      <c r="C982" t="s">
        <v>74</v>
      </c>
      <c r="D982" t="s">
        <v>74</v>
      </c>
      <c r="E982" t="s">
        <v>74</v>
      </c>
      <c r="F982" t="s">
        <v>18073</v>
      </c>
      <c r="G982" t="s">
        <v>74</v>
      </c>
      <c r="H982" t="s">
        <v>74</v>
      </c>
      <c r="I982" t="s">
        <v>18074</v>
      </c>
      <c r="J982" t="s">
        <v>18075</v>
      </c>
      <c r="K982" t="s">
        <v>74</v>
      </c>
      <c r="L982" t="s">
        <v>74</v>
      </c>
      <c r="M982" t="s">
        <v>78</v>
      </c>
      <c r="N982" t="s">
        <v>79</v>
      </c>
      <c r="O982" t="s">
        <v>74</v>
      </c>
      <c r="P982" t="s">
        <v>74</v>
      </c>
      <c r="Q982" t="s">
        <v>74</v>
      </c>
      <c r="R982" t="s">
        <v>74</v>
      </c>
      <c r="S982" t="s">
        <v>74</v>
      </c>
      <c r="T982" t="s">
        <v>18076</v>
      </c>
      <c r="U982" t="s">
        <v>18077</v>
      </c>
      <c r="V982" t="s">
        <v>18078</v>
      </c>
      <c r="W982" t="s">
        <v>18079</v>
      </c>
      <c r="X982" t="s">
        <v>18080</v>
      </c>
      <c r="Y982" t="s">
        <v>18081</v>
      </c>
      <c r="Z982" t="s">
        <v>18082</v>
      </c>
      <c r="AA982" t="s">
        <v>18083</v>
      </c>
      <c r="AB982" t="s">
        <v>18084</v>
      </c>
      <c r="AC982" t="s">
        <v>74</v>
      </c>
      <c r="AD982" t="s">
        <v>74</v>
      </c>
      <c r="AE982" t="s">
        <v>74</v>
      </c>
      <c r="AF982" t="s">
        <v>74</v>
      </c>
      <c r="AG982">
        <v>46</v>
      </c>
      <c r="AH982">
        <v>4</v>
      </c>
      <c r="AI982">
        <v>4</v>
      </c>
      <c r="AJ982">
        <v>0</v>
      </c>
      <c r="AK982">
        <v>13</v>
      </c>
      <c r="AL982" t="s">
        <v>89</v>
      </c>
      <c r="AM982" t="s">
        <v>90</v>
      </c>
      <c r="AN982" t="s">
        <v>91</v>
      </c>
      <c r="AO982" t="s">
        <v>18085</v>
      </c>
      <c r="AP982" t="s">
        <v>18086</v>
      </c>
      <c r="AQ982" t="s">
        <v>74</v>
      </c>
      <c r="AR982" t="s">
        <v>18075</v>
      </c>
      <c r="AS982" t="s">
        <v>18087</v>
      </c>
      <c r="AT982" t="s">
        <v>13051</v>
      </c>
      <c r="AU982">
        <v>2025</v>
      </c>
      <c r="AV982">
        <v>54</v>
      </c>
      <c r="AW982">
        <v>3</v>
      </c>
      <c r="AX982" t="s">
        <v>74</v>
      </c>
      <c r="AY982" t="s">
        <v>74</v>
      </c>
      <c r="AZ982" t="s">
        <v>74</v>
      </c>
      <c r="BA982" t="s">
        <v>74</v>
      </c>
      <c r="BB982">
        <v>1424</v>
      </c>
      <c r="BC982">
        <v>1446</v>
      </c>
      <c r="BD982" t="s">
        <v>74</v>
      </c>
      <c r="BE982" t="s">
        <v>18088</v>
      </c>
      <c r="BF982" t="str">
        <f>HYPERLINK("http://dx.doi.org/10.1108/K-07-2023-1295","http://dx.doi.org/10.1108/K-07-2023-1295")</f>
        <v>http://dx.doi.org/10.1108/K-07-2023-1295</v>
      </c>
      <c r="BG982" t="s">
        <v>74</v>
      </c>
      <c r="BH982" t="s">
        <v>1524</v>
      </c>
      <c r="BI982">
        <v>23</v>
      </c>
      <c r="BJ982" t="s">
        <v>6568</v>
      </c>
      <c r="BK982" t="s">
        <v>128</v>
      </c>
      <c r="BL982" t="s">
        <v>157</v>
      </c>
      <c r="BM982" t="s">
        <v>18089</v>
      </c>
      <c r="BN982" t="s">
        <v>74</v>
      </c>
      <c r="BO982" t="s">
        <v>74</v>
      </c>
      <c r="BP982" t="s">
        <v>74</v>
      </c>
      <c r="BQ982" t="s">
        <v>74</v>
      </c>
      <c r="BR982" t="s">
        <v>102</v>
      </c>
      <c r="BS982" t="s">
        <v>18090</v>
      </c>
      <c r="BT982" t="str">
        <f>HYPERLINK("https%3A%2F%2Fwww.webofscience.com%2Fwos%2Fwoscc%2Ffull-record%2FWOS:001112514300001","View Full Record in Web of Science")</f>
        <v>View Full Record in Web of Science</v>
      </c>
    </row>
    <row r="983" spans="1:72" x14ac:dyDescent="0.25">
      <c r="A983" t="s">
        <v>72</v>
      </c>
      <c r="B983" t="s">
        <v>18091</v>
      </c>
      <c r="C983" t="s">
        <v>74</v>
      </c>
      <c r="D983" t="s">
        <v>74</v>
      </c>
      <c r="E983" t="s">
        <v>74</v>
      </c>
      <c r="F983" t="s">
        <v>18092</v>
      </c>
      <c r="G983" t="s">
        <v>74</v>
      </c>
      <c r="H983" t="s">
        <v>74</v>
      </c>
      <c r="I983" t="s">
        <v>18093</v>
      </c>
      <c r="J983" t="s">
        <v>8087</v>
      </c>
      <c r="K983" t="s">
        <v>74</v>
      </c>
      <c r="L983" t="s">
        <v>74</v>
      </c>
      <c r="M983" t="s">
        <v>78</v>
      </c>
      <c r="N983" t="s">
        <v>79</v>
      </c>
      <c r="O983" t="s">
        <v>74</v>
      </c>
      <c r="P983" t="s">
        <v>74</v>
      </c>
      <c r="Q983" t="s">
        <v>74</v>
      </c>
      <c r="R983" t="s">
        <v>74</v>
      </c>
      <c r="S983" t="s">
        <v>74</v>
      </c>
      <c r="T983" t="s">
        <v>18094</v>
      </c>
      <c r="U983" t="s">
        <v>18095</v>
      </c>
      <c r="V983" t="s">
        <v>18096</v>
      </c>
      <c r="W983" t="s">
        <v>18097</v>
      </c>
      <c r="X983" t="s">
        <v>18098</v>
      </c>
      <c r="Y983" t="s">
        <v>18099</v>
      </c>
      <c r="Z983" t="s">
        <v>14669</v>
      </c>
      <c r="AA983" t="s">
        <v>14670</v>
      </c>
      <c r="AB983" t="s">
        <v>14671</v>
      </c>
      <c r="AC983" t="s">
        <v>74</v>
      </c>
      <c r="AD983" t="s">
        <v>74</v>
      </c>
      <c r="AE983" t="s">
        <v>74</v>
      </c>
      <c r="AF983" t="s">
        <v>74</v>
      </c>
      <c r="AG983">
        <v>58</v>
      </c>
      <c r="AH983">
        <v>103</v>
      </c>
      <c r="AI983">
        <v>147</v>
      </c>
      <c r="AJ983">
        <v>2</v>
      </c>
      <c r="AK983">
        <v>69</v>
      </c>
      <c r="AL983" t="s">
        <v>5317</v>
      </c>
      <c r="AM983" t="s">
        <v>480</v>
      </c>
      <c r="AN983" t="s">
        <v>481</v>
      </c>
      <c r="AO983" t="s">
        <v>8097</v>
      </c>
      <c r="AP983" t="s">
        <v>8098</v>
      </c>
      <c r="AQ983" t="s">
        <v>74</v>
      </c>
      <c r="AR983" t="s">
        <v>8099</v>
      </c>
      <c r="AS983" t="s">
        <v>8100</v>
      </c>
      <c r="AT983" t="s">
        <v>848</v>
      </c>
      <c r="AU983">
        <v>2015</v>
      </c>
      <c r="AV983">
        <v>39</v>
      </c>
      <c r="AW983">
        <v>4</v>
      </c>
      <c r="AX983" t="s">
        <v>74</v>
      </c>
      <c r="AY983" t="s">
        <v>74</v>
      </c>
      <c r="AZ983" t="s">
        <v>74</v>
      </c>
      <c r="BA983" t="s">
        <v>74</v>
      </c>
      <c r="BB983">
        <v>387</v>
      </c>
      <c r="BC983">
        <v>395</v>
      </c>
      <c r="BD983" t="s">
        <v>74</v>
      </c>
      <c r="BE983" t="s">
        <v>18100</v>
      </c>
      <c r="BF983" t="str">
        <f>HYPERLINK("http://dx.doi.org/10.1111/ijcs.12205","http://dx.doi.org/10.1111/ijcs.12205")</f>
        <v>http://dx.doi.org/10.1111/ijcs.12205</v>
      </c>
      <c r="BG983" t="s">
        <v>74</v>
      </c>
      <c r="BH983" t="s">
        <v>74</v>
      </c>
      <c r="BI983">
        <v>9</v>
      </c>
      <c r="BJ983" t="s">
        <v>418</v>
      </c>
      <c r="BK983" t="s">
        <v>99</v>
      </c>
      <c r="BL983" t="s">
        <v>100</v>
      </c>
      <c r="BM983" t="s">
        <v>18101</v>
      </c>
      <c r="BN983" t="s">
        <v>74</v>
      </c>
      <c r="BO983" t="s">
        <v>74</v>
      </c>
      <c r="BP983" t="s">
        <v>74</v>
      </c>
      <c r="BQ983" t="s">
        <v>74</v>
      </c>
      <c r="BR983" t="s">
        <v>102</v>
      </c>
      <c r="BS983" t="s">
        <v>18102</v>
      </c>
      <c r="BT983" t="str">
        <f>HYPERLINK("https%3A%2F%2Fwww.webofscience.com%2Fwos%2Fwoscc%2Ffull-record%2FWOS:000355989000013","View Full Record in Web of Science")</f>
        <v>View Full Record in Web of Science</v>
      </c>
    </row>
    <row r="984" spans="1:72" x14ac:dyDescent="0.25">
      <c r="A984" t="s">
        <v>72</v>
      </c>
      <c r="B984" t="s">
        <v>18103</v>
      </c>
      <c r="C984" t="s">
        <v>74</v>
      </c>
      <c r="D984" t="s">
        <v>74</v>
      </c>
      <c r="E984" t="s">
        <v>74</v>
      </c>
      <c r="F984" t="s">
        <v>18104</v>
      </c>
      <c r="G984" t="s">
        <v>74</v>
      </c>
      <c r="H984" t="s">
        <v>74</v>
      </c>
      <c r="I984" t="s">
        <v>18105</v>
      </c>
      <c r="J984" t="s">
        <v>7424</v>
      </c>
      <c r="K984" t="s">
        <v>74</v>
      </c>
      <c r="L984" t="s">
        <v>74</v>
      </c>
      <c r="M984" t="s">
        <v>78</v>
      </c>
      <c r="N984" t="s">
        <v>79</v>
      </c>
      <c r="O984" t="s">
        <v>74</v>
      </c>
      <c r="P984" t="s">
        <v>74</v>
      </c>
      <c r="Q984" t="s">
        <v>74</v>
      </c>
      <c r="R984" t="s">
        <v>74</v>
      </c>
      <c r="S984" t="s">
        <v>74</v>
      </c>
      <c r="T984" t="s">
        <v>18106</v>
      </c>
      <c r="U984" t="s">
        <v>18107</v>
      </c>
      <c r="V984" t="s">
        <v>18108</v>
      </c>
      <c r="W984" t="s">
        <v>18109</v>
      </c>
      <c r="X984" t="s">
        <v>18110</v>
      </c>
      <c r="Y984" t="s">
        <v>18111</v>
      </c>
      <c r="Z984" t="s">
        <v>18112</v>
      </c>
      <c r="AA984" t="s">
        <v>74</v>
      </c>
      <c r="AB984" t="s">
        <v>74</v>
      </c>
      <c r="AC984" t="s">
        <v>74</v>
      </c>
      <c r="AD984" t="s">
        <v>74</v>
      </c>
      <c r="AE984" t="s">
        <v>74</v>
      </c>
      <c r="AF984" t="s">
        <v>74</v>
      </c>
      <c r="AG984">
        <v>42</v>
      </c>
      <c r="AH984">
        <v>4</v>
      </c>
      <c r="AI984">
        <v>4</v>
      </c>
      <c r="AJ984">
        <v>1</v>
      </c>
      <c r="AK984">
        <v>5</v>
      </c>
      <c r="AL984" t="s">
        <v>7432</v>
      </c>
      <c r="AM984" t="s">
        <v>7433</v>
      </c>
      <c r="AN984" t="s">
        <v>7434</v>
      </c>
      <c r="AO984" t="s">
        <v>7435</v>
      </c>
      <c r="AP984" t="s">
        <v>7436</v>
      </c>
      <c r="AQ984" t="s">
        <v>74</v>
      </c>
      <c r="AR984" t="s">
        <v>7437</v>
      </c>
      <c r="AS984" t="s">
        <v>7438</v>
      </c>
      <c r="AT984" t="s">
        <v>74</v>
      </c>
      <c r="AU984">
        <v>2020</v>
      </c>
      <c r="AV984">
        <v>16</v>
      </c>
      <c r="AW984" t="s">
        <v>74</v>
      </c>
      <c r="AX984" t="s">
        <v>74</v>
      </c>
      <c r="AY984" t="s">
        <v>74</v>
      </c>
      <c r="AZ984" t="s">
        <v>74</v>
      </c>
      <c r="BA984" t="s">
        <v>74</v>
      </c>
      <c r="BB984">
        <v>20</v>
      </c>
      <c r="BC984">
        <v>31</v>
      </c>
      <c r="BD984" t="s">
        <v>74</v>
      </c>
      <c r="BE984" t="s">
        <v>74</v>
      </c>
      <c r="BF984" t="s">
        <v>74</v>
      </c>
      <c r="BG984" t="s">
        <v>74</v>
      </c>
      <c r="BH984" t="s">
        <v>74</v>
      </c>
      <c r="BI984">
        <v>12</v>
      </c>
      <c r="BJ984" t="s">
        <v>2351</v>
      </c>
      <c r="BK984" t="s">
        <v>313</v>
      </c>
      <c r="BL984" t="s">
        <v>2351</v>
      </c>
      <c r="BM984" t="s">
        <v>18113</v>
      </c>
      <c r="BN984" t="s">
        <v>74</v>
      </c>
      <c r="BO984" t="s">
        <v>74</v>
      </c>
      <c r="BP984" t="s">
        <v>74</v>
      </c>
      <c r="BQ984" t="s">
        <v>74</v>
      </c>
      <c r="BR984" t="s">
        <v>102</v>
      </c>
      <c r="BS984" t="s">
        <v>18114</v>
      </c>
      <c r="BT984" t="str">
        <f>HYPERLINK("https%3A%2F%2Fwww.webofscience.com%2Fwos%2Fwoscc%2Ffull-record%2FWOS:000612982000002","View Full Record in Web of Science")</f>
        <v>View Full Record in Web of Science</v>
      </c>
    </row>
    <row r="985" spans="1:72" x14ac:dyDescent="0.25">
      <c r="A985" t="s">
        <v>72</v>
      </c>
      <c r="B985" t="s">
        <v>18115</v>
      </c>
      <c r="C985" t="s">
        <v>74</v>
      </c>
      <c r="D985" t="s">
        <v>74</v>
      </c>
      <c r="E985" t="s">
        <v>74</v>
      </c>
      <c r="F985" t="s">
        <v>18116</v>
      </c>
      <c r="G985" t="s">
        <v>74</v>
      </c>
      <c r="H985" t="s">
        <v>74</v>
      </c>
      <c r="I985" t="s">
        <v>18117</v>
      </c>
      <c r="J985" t="s">
        <v>1987</v>
      </c>
      <c r="K985" t="s">
        <v>74</v>
      </c>
      <c r="L985" t="s">
        <v>74</v>
      </c>
      <c r="M985" t="s">
        <v>78</v>
      </c>
      <c r="N985" t="s">
        <v>79</v>
      </c>
      <c r="O985" t="s">
        <v>74</v>
      </c>
      <c r="P985" t="s">
        <v>74</v>
      </c>
      <c r="Q985" t="s">
        <v>74</v>
      </c>
      <c r="R985" t="s">
        <v>74</v>
      </c>
      <c r="S985" t="s">
        <v>74</v>
      </c>
      <c r="T985" t="s">
        <v>18118</v>
      </c>
      <c r="U985" t="s">
        <v>18119</v>
      </c>
      <c r="V985" t="s">
        <v>18120</v>
      </c>
      <c r="W985" t="s">
        <v>18121</v>
      </c>
      <c r="X985" t="s">
        <v>18122</v>
      </c>
      <c r="Y985" t="s">
        <v>18123</v>
      </c>
      <c r="Z985" t="s">
        <v>18124</v>
      </c>
      <c r="AA985" t="s">
        <v>18125</v>
      </c>
      <c r="AB985" t="s">
        <v>18126</v>
      </c>
      <c r="AC985" t="s">
        <v>74</v>
      </c>
      <c r="AD985" t="s">
        <v>74</v>
      </c>
      <c r="AE985" t="s">
        <v>74</v>
      </c>
      <c r="AF985" t="s">
        <v>74</v>
      </c>
      <c r="AG985">
        <v>48</v>
      </c>
      <c r="AH985">
        <v>43</v>
      </c>
      <c r="AI985">
        <v>66</v>
      </c>
      <c r="AJ985">
        <v>0</v>
      </c>
      <c r="AK985">
        <v>52</v>
      </c>
      <c r="AL985" t="s">
        <v>479</v>
      </c>
      <c r="AM985" t="s">
        <v>480</v>
      </c>
      <c r="AN985" t="s">
        <v>481</v>
      </c>
      <c r="AO985" t="s">
        <v>1997</v>
      </c>
      <c r="AP985" t="s">
        <v>1998</v>
      </c>
      <c r="AQ985" t="s">
        <v>74</v>
      </c>
      <c r="AR985" t="s">
        <v>1999</v>
      </c>
      <c r="AS985" t="s">
        <v>2000</v>
      </c>
      <c r="AT985" t="s">
        <v>891</v>
      </c>
      <c r="AU985">
        <v>2018</v>
      </c>
      <c r="AV985">
        <v>30</v>
      </c>
      <c r="AW985">
        <v>8</v>
      </c>
      <c r="AX985" t="s">
        <v>74</v>
      </c>
      <c r="AY985" t="s">
        <v>74</v>
      </c>
      <c r="AZ985" t="s">
        <v>74</v>
      </c>
      <c r="BA985" t="s">
        <v>74</v>
      </c>
      <c r="BB985">
        <v>1474</v>
      </c>
      <c r="BC985">
        <v>1504</v>
      </c>
      <c r="BD985" t="s">
        <v>74</v>
      </c>
      <c r="BE985" t="s">
        <v>18127</v>
      </c>
      <c r="BF985" t="str">
        <f>HYPERLINK("http://dx.doi.org/10.1002/jid.3376","http://dx.doi.org/10.1002/jid.3376")</f>
        <v>http://dx.doi.org/10.1002/jid.3376</v>
      </c>
      <c r="BG985" t="s">
        <v>74</v>
      </c>
      <c r="BH985" t="s">
        <v>74</v>
      </c>
      <c r="BI985">
        <v>31</v>
      </c>
      <c r="BJ985" t="s">
        <v>1137</v>
      </c>
      <c r="BK985" t="s">
        <v>99</v>
      </c>
      <c r="BL985" t="s">
        <v>1137</v>
      </c>
      <c r="BM985" t="s">
        <v>18128</v>
      </c>
      <c r="BN985" t="s">
        <v>74</v>
      </c>
      <c r="BO985" t="s">
        <v>74</v>
      </c>
      <c r="BP985" t="s">
        <v>74</v>
      </c>
      <c r="BQ985" t="s">
        <v>74</v>
      </c>
      <c r="BR985" t="s">
        <v>102</v>
      </c>
      <c r="BS985" t="s">
        <v>18129</v>
      </c>
      <c r="BT985" t="str">
        <f>HYPERLINK("https%3A%2F%2Fwww.webofscience.com%2Fwos%2Fwoscc%2Ffull-record%2FWOS:000449678100011","View Full Record in Web of Science")</f>
        <v>View Full Record in Web of Science</v>
      </c>
    </row>
    <row r="986" spans="1:72" x14ac:dyDescent="0.25">
      <c r="A986" t="s">
        <v>72</v>
      </c>
      <c r="B986" t="s">
        <v>18130</v>
      </c>
      <c r="C986" t="s">
        <v>74</v>
      </c>
      <c r="D986" t="s">
        <v>74</v>
      </c>
      <c r="E986" t="s">
        <v>74</v>
      </c>
      <c r="F986" t="s">
        <v>18131</v>
      </c>
      <c r="G986" t="s">
        <v>74</v>
      </c>
      <c r="H986" t="s">
        <v>74</v>
      </c>
      <c r="I986" t="s">
        <v>18132</v>
      </c>
      <c r="J986" t="s">
        <v>18133</v>
      </c>
      <c r="K986" t="s">
        <v>74</v>
      </c>
      <c r="L986" t="s">
        <v>74</v>
      </c>
      <c r="M986" t="s">
        <v>78</v>
      </c>
      <c r="N986" t="s">
        <v>79</v>
      </c>
      <c r="O986" t="s">
        <v>74</v>
      </c>
      <c r="P986" t="s">
        <v>74</v>
      </c>
      <c r="Q986" t="s">
        <v>74</v>
      </c>
      <c r="R986" t="s">
        <v>74</v>
      </c>
      <c r="S986" t="s">
        <v>74</v>
      </c>
      <c r="T986" t="s">
        <v>18134</v>
      </c>
      <c r="U986" t="s">
        <v>74</v>
      </c>
      <c r="V986" t="s">
        <v>18135</v>
      </c>
      <c r="W986" t="s">
        <v>18136</v>
      </c>
      <c r="X986" t="s">
        <v>18137</v>
      </c>
      <c r="Y986" t="s">
        <v>18138</v>
      </c>
      <c r="Z986" t="s">
        <v>18139</v>
      </c>
      <c r="AA986" t="s">
        <v>18140</v>
      </c>
      <c r="AB986" t="s">
        <v>18141</v>
      </c>
      <c r="AC986" t="s">
        <v>74</v>
      </c>
      <c r="AD986" t="s">
        <v>74</v>
      </c>
      <c r="AE986" t="s">
        <v>74</v>
      </c>
      <c r="AF986" t="s">
        <v>74</v>
      </c>
      <c r="AG986">
        <v>7</v>
      </c>
      <c r="AH986">
        <v>7</v>
      </c>
      <c r="AI986">
        <v>9</v>
      </c>
      <c r="AJ986">
        <v>0</v>
      </c>
      <c r="AK986">
        <v>41</v>
      </c>
      <c r="AL986" t="s">
        <v>18142</v>
      </c>
      <c r="AM986" t="s">
        <v>7673</v>
      </c>
      <c r="AN986" t="s">
        <v>18143</v>
      </c>
      <c r="AO986" t="s">
        <v>18144</v>
      </c>
      <c r="AP986" t="s">
        <v>74</v>
      </c>
      <c r="AQ986" t="s">
        <v>74</v>
      </c>
      <c r="AR986" t="s">
        <v>18145</v>
      </c>
      <c r="AS986" t="s">
        <v>18146</v>
      </c>
      <c r="AT986" t="s">
        <v>124</v>
      </c>
      <c r="AU986">
        <v>2017</v>
      </c>
      <c r="AV986">
        <v>18</v>
      </c>
      <c r="AW986">
        <v>161</v>
      </c>
      <c r="AX986" t="s">
        <v>74</v>
      </c>
      <c r="AY986" t="s">
        <v>74</v>
      </c>
      <c r="AZ986" t="s">
        <v>74</v>
      </c>
      <c r="BA986" t="s">
        <v>74</v>
      </c>
      <c r="BB986">
        <v>113</v>
      </c>
      <c r="BC986">
        <v>115</v>
      </c>
      <c r="BD986" t="s">
        <v>74</v>
      </c>
      <c r="BE986" t="s">
        <v>74</v>
      </c>
      <c r="BF986" t="s">
        <v>74</v>
      </c>
      <c r="BG986" t="s">
        <v>74</v>
      </c>
      <c r="BH986" t="s">
        <v>74</v>
      </c>
      <c r="BI986">
        <v>3</v>
      </c>
      <c r="BJ986" t="s">
        <v>583</v>
      </c>
      <c r="BK986" t="s">
        <v>313</v>
      </c>
      <c r="BL986" t="s">
        <v>100</v>
      </c>
      <c r="BM986" t="s">
        <v>18147</v>
      </c>
      <c r="BN986" t="s">
        <v>74</v>
      </c>
      <c r="BO986" t="s">
        <v>74</v>
      </c>
      <c r="BP986" t="s">
        <v>74</v>
      </c>
      <c r="BQ986" t="s">
        <v>74</v>
      </c>
      <c r="BR986" t="s">
        <v>102</v>
      </c>
      <c r="BS986" t="s">
        <v>18148</v>
      </c>
      <c r="BT986" t="str">
        <f>HYPERLINK("https%3A%2F%2Fwww.webofscience.com%2Fwos%2Fwoscc%2Ffull-record%2FWOS:000423621600015","View Full Record in Web of Science")</f>
        <v>View Full Record in Web of Science</v>
      </c>
    </row>
    <row r="987" spans="1:72" x14ac:dyDescent="0.25">
      <c r="A987" t="s">
        <v>72</v>
      </c>
      <c r="B987" t="s">
        <v>18149</v>
      </c>
      <c r="C987" t="s">
        <v>74</v>
      </c>
      <c r="D987" t="s">
        <v>74</v>
      </c>
      <c r="E987" t="s">
        <v>74</v>
      </c>
      <c r="F987" t="s">
        <v>18150</v>
      </c>
      <c r="G987" t="s">
        <v>74</v>
      </c>
      <c r="H987" t="s">
        <v>74</v>
      </c>
      <c r="I987" t="s">
        <v>18151</v>
      </c>
      <c r="J987" t="s">
        <v>449</v>
      </c>
      <c r="K987" t="s">
        <v>74</v>
      </c>
      <c r="L987" t="s">
        <v>74</v>
      </c>
      <c r="M987" t="s">
        <v>78</v>
      </c>
      <c r="N987" t="s">
        <v>79</v>
      </c>
      <c r="O987" t="s">
        <v>74</v>
      </c>
      <c r="P987" t="s">
        <v>74</v>
      </c>
      <c r="Q987" t="s">
        <v>74</v>
      </c>
      <c r="R987" t="s">
        <v>74</v>
      </c>
      <c r="S987" t="s">
        <v>74</v>
      </c>
      <c r="T987" t="s">
        <v>18152</v>
      </c>
      <c r="U987" t="s">
        <v>18153</v>
      </c>
      <c r="V987" t="s">
        <v>18154</v>
      </c>
      <c r="W987" t="s">
        <v>18155</v>
      </c>
      <c r="X987" t="s">
        <v>18156</v>
      </c>
      <c r="Y987" t="s">
        <v>18157</v>
      </c>
      <c r="Z987" t="s">
        <v>18158</v>
      </c>
      <c r="AA987" t="s">
        <v>74</v>
      </c>
      <c r="AB987" t="s">
        <v>18159</v>
      </c>
      <c r="AC987" t="s">
        <v>18160</v>
      </c>
      <c r="AD987" t="s">
        <v>18161</v>
      </c>
      <c r="AE987" t="s">
        <v>18162</v>
      </c>
      <c r="AF987" t="s">
        <v>74</v>
      </c>
      <c r="AG987">
        <v>60</v>
      </c>
      <c r="AH987">
        <v>17</v>
      </c>
      <c r="AI987">
        <v>19</v>
      </c>
      <c r="AJ987">
        <v>0</v>
      </c>
      <c r="AK987">
        <v>36</v>
      </c>
      <c r="AL987" t="s">
        <v>332</v>
      </c>
      <c r="AM987" t="s">
        <v>333</v>
      </c>
      <c r="AN987" t="s">
        <v>334</v>
      </c>
      <c r="AO987" t="s">
        <v>459</v>
      </c>
      <c r="AP987" t="s">
        <v>460</v>
      </c>
      <c r="AQ987" t="s">
        <v>74</v>
      </c>
      <c r="AR987" t="s">
        <v>461</v>
      </c>
      <c r="AS987" t="s">
        <v>462</v>
      </c>
      <c r="AT987" t="s">
        <v>124</v>
      </c>
      <c r="AU987">
        <v>2016</v>
      </c>
      <c r="AV987">
        <v>21</v>
      </c>
      <c r="AW987">
        <v>6</v>
      </c>
      <c r="AX987" t="s">
        <v>74</v>
      </c>
      <c r="AY987" t="s">
        <v>74</v>
      </c>
      <c r="AZ987" t="s">
        <v>74</v>
      </c>
      <c r="BA987" t="s">
        <v>74</v>
      </c>
      <c r="BB987">
        <v>606</v>
      </c>
      <c r="BC987">
        <v>620</v>
      </c>
      <c r="BD987" t="s">
        <v>74</v>
      </c>
      <c r="BE987" t="s">
        <v>18163</v>
      </c>
      <c r="BF987" t="str">
        <f>HYPERLINK("http://dx.doi.org/10.1080/13563467.2016.1183115","http://dx.doi.org/10.1080/13563467.2016.1183115")</f>
        <v>http://dx.doi.org/10.1080/13563467.2016.1183115</v>
      </c>
      <c r="BG987" t="s">
        <v>74</v>
      </c>
      <c r="BH987" t="s">
        <v>74</v>
      </c>
      <c r="BI987">
        <v>15</v>
      </c>
      <c r="BJ987" t="s">
        <v>342</v>
      </c>
      <c r="BK987" t="s">
        <v>99</v>
      </c>
      <c r="BL987" t="s">
        <v>343</v>
      </c>
      <c r="BM987" t="s">
        <v>18164</v>
      </c>
      <c r="BN987" t="s">
        <v>74</v>
      </c>
      <c r="BO987" t="s">
        <v>74</v>
      </c>
      <c r="BP987" t="s">
        <v>74</v>
      </c>
      <c r="BQ987" t="s">
        <v>74</v>
      </c>
      <c r="BR987" t="s">
        <v>102</v>
      </c>
      <c r="BS987" t="s">
        <v>18165</v>
      </c>
      <c r="BT987" t="str">
        <f>HYPERLINK("https%3A%2F%2Fwww.webofscience.com%2Fwos%2Fwoscc%2Ffull-record%2FWOS:000383996100007","View Full Record in Web of Science")</f>
        <v>View Full Record in Web of Science</v>
      </c>
    </row>
    <row r="988" spans="1:72" x14ac:dyDescent="0.25">
      <c r="A988" t="s">
        <v>72</v>
      </c>
      <c r="B988" t="s">
        <v>18166</v>
      </c>
      <c r="C988" t="s">
        <v>74</v>
      </c>
      <c r="D988" t="s">
        <v>74</v>
      </c>
      <c r="E988" t="s">
        <v>74</v>
      </c>
      <c r="F988" t="s">
        <v>18167</v>
      </c>
      <c r="G988" t="s">
        <v>74</v>
      </c>
      <c r="H988" t="s">
        <v>74</v>
      </c>
      <c r="I988" t="s">
        <v>18168</v>
      </c>
      <c r="J988" t="s">
        <v>18169</v>
      </c>
      <c r="K988" t="s">
        <v>74</v>
      </c>
      <c r="L988" t="s">
        <v>74</v>
      </c>
      <c r="M988" t="s">
        <v>78</v>
      </c>
      <c r="N988" t="s">
        <v>79</v>
      </c>
      <c r="O988" t="s">
        <v>74</v>
      </c>
      <c r="P988" t="s">
        <v>74</v>
      </c>
      <c r="Q988" t="s">
        <v>74</v>
      </c>
      <c r="R988" t="s">
        <v>74</v>
      </c>
      <c r="S988" t="s">
        <v>74</v>
      </c>
      <c r="T988" t="s">
        <v>18170</v>
      </c>
      <c r="U988" t="s">
        <v>74</v>
      </c>
      <c r="V988" t="s">
        <v>18171</v>
      </c>
      <c r="W988" t="s">
        <v>18172</v>
      </c>
      <c r="X988" t="s">
        <v>18173</v>
      </c>
      <c r="Y988" t="s">
        <v>18174</v>
      </c>
      <c r="Z988" t="s">
        <v>18175</v>
      </c>
      <c r="AA988" t="s">
        <v>18176</v>
      </c>
      <c r="AB988" t="s">
        <v>18177</v>
      </c>
      <c r="AC988" t="s">
        <v>18178</v>
      </c>
      <c r="AD988" t="s">
        <v>18179</v>
      </c>
      <c r="AE988" t="s">
        <v>18180</v>
      </c>
      <c r="AF988" t="s">
        <v>74</v>
      </c>
      <c r="AG988">
        <v>42</v>
      </c>
      <c r="AH988">
        <v>2</v>
      </c>
      <c r="AI988">
        <v>4</v>
      </c>
      <c r="AJ988">
        <v>1</v>
      </c>
      <c r="AK988">
        <v>20</v>
      </c>
      <c r="AL988" t="s">
        <v>18181</v>
      </c>
      <c r="AM988" t="s">
        <v>4238</v>
      </c>
      <c r="AN988" t="s">
        <v>18182</v>
      </c>
      <c r="AO988" t="s">
        <v>18183</v>
      </c>
      <c r="AP988" t="s">
        <v>18184</v>
      </c>
      <c r="AQ988" t="s">
        <v>74</v>
      </c>
      <c r="AR988" t="s">
        <v>18185</v>
      </c>
      <c r="AS988" t="s">
        <v>18186</v>
      </c>
      <c r="AT988" t="s">
        <v>18187</v>
      </c>
      <c r="AU988">
        <v>2021</v>
      </c>
      <c r="AV988">
        <v>190</v>
      </c>
      <c r="AW988" t="s">
        <v>7213</v>
      </c>
      <c r="AX988" t="s">
        <v>74</v>
      </c>
      <c r="AY988" t="s">
        <v>74</v>
      </c>
      <c r="AZ988" t="s">
        <v>74</v>
      </c>
      <c r="BA988" t="s">
        <v>74</v>
      </c>
      <c r="BB988">
        <v>162</v>
      </c>
      <c r="BC988">
        <v>170</v>
      </c>
      <c r="BD988" t="s">
        <v>74</v>
      </c>
      <c r="BE988" t="s">
        <v>18188</v>
      </c>
      <c r="BF988" t="str">
        <f>HYPERLINK("http://dx.doi.org/10.21003/ea.V190-15","http://dx.doi.org/10.21003/ea.V190-15")</f>
        <v>http://dx.doi.org/10.21003/ea.V190-15</v>
      </c>
      <c r="BG988" t="s">
        <v>74</v>
      </c>
      <c r="BH988" t="s">
        <v>74</v>
      </c>
      <c r="BI988">
        <v>9</v>
      </c>
      <c r="BJ988" t="s">
        <v>291</v>
      </c>
      <c r="BK988" t="s">
        <v>313</v>
      </c>
      <c r="BL988" t="s">
        <v>100</v>
      </c>
      <c r="BM988" t="s">
        <v>18189</v>
      </c>
      <c r="BN988" t="s">
        <v>74</v>
      </c>
      <c r="BO988" t="s">
        <v>212</v>
      </c>
      <c r="BP988" t="s">
        <v>74</v>
      </c>
      <c r="BQ988" t="s">
        <v>74</v>
      </c>
      <c r="BR988" t="s">
        <v>102</v>
      </c>
      <c r="BS988" t="s">
        <v>18190</v>
      </c>
      <c r="BT988" t="str">
        <f>HYPERLINK("https%3A%2F%2Fwww.webofscience.com%2Fwos%2Fwoscc%2Ffull-record%2FWOS:001044287000009","View Full Record in Web of Science")</f>
        <v>View Full Record in Web of Science</v>
      </c>
    </row>
    <row r="989" spans="1:72" x14ac:dyDescent="0.25">
      <c r="A989" t="s">
        <v>72</v>
      </c>
      <c r="B989" t="s">
        <v>18191</v>
      </c>
      <c r="C989" t="s">
        <v>74</v>
      </c>
      <c r="D989" t="s">
        <v>74</v>
      </c>
      <c r="E989" t="s">
        <v>74</v>
      </c>
      <c r="F989" t="s">
        <v>18192</v>
      </c>
      <c r="G989" t="s">
        <v>74</v>
      </c>
      <c r="H989" t="s">
        <v>74</v>
      </c>
      <c r="I989" t="s">
        <v>18193</v>
      </c>
      <c r="J989" t="s">
        <v>18194</v>
      </c>
      <c r="K989" t="s">
        <v>74</v>
      </c>
      <c r="L989" t="s">
        <v>74</v>
      </c>
      <c r="M989" t="s">
        <v>78</v>
      </c>
      <c r="N989" t="s">
        <v>79</v>
      </c>
      <c r="O989" t="s">
        <v>74</v>
      </c>
      <c r="P989" t="s">
        <v>74</v>
      </c>
      <c r="Q989" t="s">
        <v>74</v>
      </c>
      <c r="R989" t="s">
        <v>74</v>
      </c>
      <c r="S989" t="s">
        <v>74</v>
      </c>
      <c r="T989" t="s">
        <v>18195</v>
      </c>
      <c r="U989" t="s">
        <v>18196</v>
      </c>
      <c r="V989" t="s">
        <v>18197</v>
      </c>
      <c r="W989" t="s">
        <v>18198</v>
      </c>
      <c r="X989" t="s">
        <v>18199</v>
      </c>
      <c r="Y989" t="s">
        <v>18200</v>
      </c>
      <c r="Z989" t="s">
        <v>18201</v>
      </c>
      <c r="AA989" t="s">
        <v>74</v>
      </c>
      <c r="AB989" t="s">
        <v>18202</v>
      </c>
      <c r="AC989" t="s">
        <v>18203</v>
      </c>
      <c r="AD989" t="s">
        <v>9224</v>
      </c>
      <c r="AE989" t="s">
        <v>18204</v>
      </c>
      <c r="AF989" t="s">
        <v>74</v>
      </c>
      <c r="AG989">
        <v>67</v>
      </c>
      <c r="AH989">
        <v>29</v>
      </c>
      <c r="AI989">
        <v>35</v>
      </c>
      <c r="AJ989">
        <v>5</v>
      </c>
      <c r="AK989">
        <v>117</v>
      </c>
      <c r="AL989" t="s">
        <v>575</v>
      </c>
      <c r="AM989" t="s">
        <v>576</v>
      </c>
      <c r="AN989" t="s">
        <v>3242</v>
      </c>
      <c r="AO989" t="s">
        <v>74</v>
      </c>
      <c r="AP989" t="s">
        <v>18205</v>
      </c>
      <c r="AQ989" t="s">
        <v>74</v>
      </c>
      <c r="AR989" t="s">
        <v>18194</v>
      </c>
      <c r="AS989" t="s">
        <v>18206</v>
      </c>
      <c r="AT989" t="s">
        <v>1159</v>
      </c>
      <c r="AU989">
        <v>2022</v>
      </c>
      <c r="AV989">
        <v>12</v>
      </c>
      <c r="AW989">
        <v>10</v>
      </c>
      <c r="AX989" t="s">
        <v>74</v>
      </c>
      <c r="AY989" t="s">
        <v>74</v>
      </c>
      <c r="AZ989" t="s">
        <v>74</v>
      </c>
      <c r="BA989" t="s">
        <v>74</v>
      </c>
      <c r="BB989" t="s">
        <v>74</v>
      </c>
      <c r="BC989" t="s">
        <v>74</v>
      </c>
      <c r="BD989">
        <v>1514</v>
      </c>
      <c r="BE989" t="s">
        <v>18207</v>
      </c>
      <c r="BF989" t="str">
        <f>HYPERLINK("http://dx.doi.org/10.3390/agriculture12101514","http://dx.doi.org/10.3390/agriculture12101514")</f>
        <v>http://dx.doi.org/10.3390/agriculture12101514</v>
      </c>
      <c r="BG989" t="s">
        <v>74</v>
      </c>
      <c r="BH989" t="s">
        <v>74</v>
      </c>
      <c r="BI989">
        <v>21</v>
      </c>
      <c r="BJ989" t="s">
        <v>18208</v>
      </c>
      <c r="BK989" t="s">
        <v>128</v>
      </c>
      <c r="BL989" t="s">
        <v>5152</v>
      </c>
      <c r="BM989" t="s">
        <v>18209</v>
      </c>
      <c r="BN989" t="s">
        <v>74</v>
      </c>
      <c r="BO989" t="s">
        <v>916</v>
      </c>
      <c r="BP989" t="s">
        <v>74</v>
      </c>
      <c r="BQ989" t="s">
        <v>74</v>
      </c>
      <c r="BR989" t="s">
        <v>102</v>
      </c>
      <c r="BS989" t="s">
        <v>18210</v>
      </c>
      <c r="BT989" t="str">
        <f>HYPERLINK("https%3A%2F%2Fwww.webofscience.com%2Fwos%2Fwoscc%2Ffull-record%2FWOS:000872008000001","View Full Record in Web of Science")</f>
        <v>View Full Record in Web of Science</v>
      </c>
    </row>
    <row r="990" spans="1:72" x14ac:dyDescent="0.25">
      <c r="A990" t="s">
        <v>72</v>
      </c>
      <c r="B990" t="s">
        <v>18211</v>
      </c>
      <c r="C990" t="s">
        <v>74</v>
      </c>
      <c r="D990" t="s">
        <v>74</v>
      </c>
      <c r="E990" t="s">
        <v>74</v>
      </c>
      <c r="F990" t="s">
        <v>18212</v>
      </c>
      <c r="G990" t="s">
        <v>74</v>
      </c>
      <c r="H990" t="s">
        <v>74</v>
      </c>
      <c r="I990" t="s">
        <v>18213</v>
      </c>
      <c r="J990" t="s">
        <v>9983</v>
      </c>
      <c r="K990" t="s">
        <v>74</v>
      </c>
      <c r="L990" t="s">
        <v>74</v>
      </c>
      <c r="M990" t="s">
        <v>78</v>
      </c>
      <c r="N990" t="s">
        <v>79</v>
      </c>
      <c r="O990" t="s">
        <v>74</v>
      </c>
      <c r="P990" t="s">
        <v>74</v>
      </c>
      <c r="Q990" t="s">
        <v>74</v>
      </c>
      <c r="R990" t="s">
        <v>74</v>
      </c>
      <c r="S990" t="s">
        <v>74</v>
      </c>
      <c r="T990" t="s">
        <v>18214</v>
      </c>
      <c r="U990" t="s">
        <v>74</v>
      </c>
      <c r="V990" t="s">
        <v>18215</v>
      </c>
      <c r="W990" t="s">
        <v>18216</v>
      </c>
      <c r="X990" t="s">
        <v>18217</v>
      </c>
      <c r="Y990" t="s">
        <v>18218</v>
      </c>
      <c r="Z990" t="s">
        <v>18219</v>
      </c>
      <c r="AA990" t="s">
        <v>74</v>
      </c>
      <c r="AB990" t="s">
        <v>74</v>
      </c>
      <c r="AC990" t="s">
        <v>18220</v>
      </c>
      <c r="AD990" t="s">
        <v>18221</v>
      </c>
      <c r="AE990" t="s">
        <v>18222</v>
      </c>
      <c r="AF990" t="s">
        <v>74</v>
      </c>
      <c r="AG990">
        <v>38</v>
      </c>
      <c r="AH990">
        <v>0</v>
      </c>
      <c r="AI990">
        <v>0</v>
      </c>
      <c r="AJ990">
        <v>11</v>
      </c>
      <c r="AK990">
        <v>11</v>
      </c>
      <c r="AL990" t="s">
        <v>575</v>
      </c>
      <c r="AM990" t="s">
        <v>576</v>
      </c>
      <c r="AN990" t="s">
        <v>577</v>
      </c>
      <c r="AO990" t="s">
        <v>74</v>
      </c>
      <c r="AP990" t="s">
        <v>9995</v>
      </c>
      <c r="AQ990" t="s">
        <v>74</v>
      </c>
      <c r="AR990" t="s">
        <v>9996</v>
      </c>
      <c r="AS990" t="s">
        <v>9997</v>
      </c>
      <c r="AT990" t="s">
        <v>15063</v>
      </c>
      <c r="AU990">
        <v>2025</v>
      </c>
      <c r="AV990">
        <v>13</v>
      </c>
      <c r="AW990">
        <v>7</v>
      </c>
      <c r="AX990" t="s">
        <v>74</v>
      </c>
      <c r="AY990" t="s">
        <v>74</v>
      </c>
      <c r="AZ990" t="s">
        <v>74</v>
      </c>
      <c r="BA990" t="s">
        <v>74</v>
      </c>
      <c r="BB990" t="s">
        <v>74</v>
      </c>
      <c r="BC990" t="s">
        <v>74</v>
      </c>
      <c r="BD990">
        <v>522</v>
      </c>
      <c r="BE990" t="s">
        <v>18223</v>
      </c>
      <c r="BF990" t="str">
        <f>HYPERLINK("http://dx.doi.org/10.3390/systems13070522","http://dx.doi.org/10.3390/systems13070522")</f>
        <v>http://dx.doi.org/10.3390/systems13070522</v>
      </c>
      <c r="BG990" t="s">
        <v>74</v>
      </c>
      <c r="BH990" t="s">
        <v>74</v>
      </c>
      <c r="BI990">
        <v>18</v>
      </c>
      <c r="BJ990" t="s">
        <v>364</v>
      </c>
      <c r="BK990" t="s">
        <v>99</v>
      </c>
      <c r="BL990" t="s">
        <v>365</v>
      </c>
      <c r="BM990" t="s">
        <v>18224</v>
      </c>
      <c r="BN990" t="s">
        <v>74</v>
      </c>
      <c r="BO990" t="s">
        <v>212</v>
      </c>
      <c r="BP990" t="s">
        <v>74</v>
      </c>
      <c r="BQ990" t="s">
        <v>74</v>
      </c>
      <c r="BR990" t="s">
        <v>102</v>
      </c>
      <c r="BS990" t="s">
        <v>18225</v>
      </c>
      <c r="BT990" t="str">
        <f>HYPERLINK("https%3A%2F%2Fwww.webofscience.com%2Fwos%2Fwoscc%2Ffull-record%2FWOS:001541911000001","View Full Record in Web of Science")</f>
        <v>View Full Record in Web of Science</v>
      </c>
    </row>
    <row r="991" spans="1:72" x14ac:dyDescent="0.25">
      <c r="A991" t="s">
        <v>72</v>
      </c>
      <c r="B991" t="s">
        <v>18226</v>
      </c>
      <c r="C991" t="s">
        <v>74</v>
      </c>
      <c r="D991" t="s">
        <v>74</v>
      </c>
      <c r="E991" t="s">
        <v>74</v>
      </c>
      <c r="F991" t="s">
        <v>18227</v>
      </c>
      <c r="G991" t="s">
        <v>74</v>
      </c>
      <c r="H991" t="s">
        <v>74</v>
      </c>
      <c r="I991" t="s">
        <v>18228</v>
      </c>
      <c r="J991" t="s">
        <v>1987</v>
      </c>
      <c r="K991" t="s">
        <v>74</v>
      </c>
      <c r="L991" t="s">
        <v>74</v>
      </c>
      <c r="M991" t="s">
        <v>78</v>
      </c>
      <c r="N991" t="s">
        <v>79</v>
      </c>
      <c r="O991" t="s">
        <v>74</v>
      </c>
      <c r="P991" t="s">
        <v>74</v>
      </c>
      <c r="Q991" t="s">
        <v>74</v>
      </c>
      <c r="R991" t="s">
        <v>74</v>
      </c>
      <c r="S991" t="s">
        <v>74</v>
      </c>
      <c r="T991" t="s">
        <v>18229</v>
      </c>
      <c r="U991" t="s">
        <v>18230</v>
      </c>
      <c r="V991" t="s">
        <v>18231</v>
      </c>
      <c r="W991" t="s">
        <v>18232</v>
      </c>
      <c r="X991" t="s">
        <v>7713</v>
      </c>
      <c r="Y991" t="s">
        <v>16576</v>
      </c>
      <c r="Z991" t="s">
        <v>18233</v>
      </c>
      <c r="AA991" t="s">
        <v>16578</v>
      </c>
      <c r="AB991" t="s">
        <v>74</v>
      </c>
      <c r="AC991" t="s">
        <v>18234</v>
      </c>
      <c r="AD991" t="s">
        <v>18235</v>
      </c>
      <c r="AE991" t="s">
        <v>18236</v>
      </c>
      <c r="AF991" t="s">
        <v>74</v>
      </c>
      <c r="AG991">
        <v>63</v>
      </c>
      <c r="AH991">
        <v>21</v>
      </c>
      <c r="AI991">
        <v>24</v>
      </c>
      <c r="AJ991">
        <v>5</v>
      </c>
      <c r="AK991">
        <v>22</v>
      </c>
      <c r="AL991" t="s">
        <v>479</v>
      </c>
      <c r="AM991" t="s">
        <v>480</v>
      </c>
      <c r="AN991" t="s">
        <v>481</v>
      </c>
      <c r="AO991" t="s">
        <v>1997</v>
      </c>
      <c r="AP991" t="s">
        <v>1998</v>
      </c>
      <c r="AQ991" t="s">
        <v>74</v>
      </c>
      <c r="AR991" t="s">
        <v>1999</v>
      </c>
      <c r="AS991" t="s">
        <v>2000</v>
      </c>
      <c r="AT991" t="s">
        <v>605</v>
      </c>
      <c r="AU991">
        <v>2023</v>
      </c>
      <c r="AV991">
        <v>35</v>
      </c>
      <c r="AW991">
        <v>2</v>
      </c>
      <c r="AX991" t="s">
        <v>74</v>
      </c>
      <c r="AY991" t="s">
        <v>74</v>
      </c>
      <c r="AZ991" t="s">
        <v>74</v>
      </c>
      <c r="BA991" t="s">
        <v>74</v>
      </c>
      <c r="BB991">
        <v>272</v>
      </c>
      <c r="BC991">
        <v>295</v>
      </c>
      <c r="BD991" t="s">
        <v>74</v>
      </c>
      <c r="BE991" t="s">
        <v>18237</v>
      </c>
      <c r="BF991" t="str">
        <f>HYPERLINK("http://dx.doi.org/10.1002/jid.3687","http://dx.doi.org/10.1002/jid.3687")</f>
        <v>http://dx.doi.org/10.1002/jid.3687</v>
      </c>
      <c r="BG991" t="s">
        <v>74</v>
      </c>
      <c r="BH991" t="s">
        <v>126</v>
      </c>
      <c r="BI991">
        <v>24</v>
      </c>
      <c r="BJ991" t="s">
        <v>1137</v>
      </c>
      <c r="BK991" t="s">
        <v>99</v>
      </c>
      <c r="BL991" t="s">
        <v>1137</v>
      </c>
      <c r="BM991" t="s">
        <v>18238</v>
      </c>
      <c r="BN991" t="s">
        <v>74</v>
      </c>
      <c r="BO991" t="s">
        <v>466</v>
      </c>
      <c r="BP991" t="s">
        <v>74</v>
      </c>
      <c r="BQ991" t="s">
        <v>74</v>
      </c>
      <c r="BR991" t="s">
        <v>102</v>
      </c>
      <c r="BS991" t="s">
        <v>18239</v>
      </c>
      <c r="BT991" t="str">
        <f>HYPERLINK("https%3A%2F%2Fwww.webofscience.com%2Fwos%2Fwoscc%2Ffull-record%2FWOS:000826254700001","View Full Record in Web of Science")</f>
        <v>View Full Record in Web of Science</v>
      </c>
    </row>
    <row r="992" spans="1:72" x14ac:dyDescent="0.25">
      <c r="A992" t="s">
        <v>72</v>
      </c>
      <c r="B992" t="s">
        <v>18240</v>
      </c>
      <c r="C992" t="s">
        <v>74</v>
      </c>
      <c r="D992" t="s">
        <v>74</v>
      </c>
      <c r="E992" t="s">
        <v>74</v>
      </c>
      <c r="F992" t="s">
        <v>18241</v>
      </c>
      <c r="G992" t="s">
        <v>74</v>
      </c>
      <c r="H992" t="s">
        <v>74</v>
      </c>
      <c r="I992" t="s">
        <v>18242</v>
      </c>
      <c r="J992" t="s">
        <v>10469</v>
      </c>
      <c r="K992" t="s">
        <v>74</v>
      </c>
      <c r="L992" t="s">
        <v>74</v>
      </c>
      <c r="M992" t="s">
        <v>78</v>
      </c>
      <c r="N992" t="s">
        <v>79</v>
      </c>
      <c r="O992" t="s">
        <v>74</v>
      </c>
      <c r="P992" t="s">
        <v>74</v>
      </c>
      <c r="Q992" t="s">
        <v>74</v>
      </c>
      <c r="R992" t="s">
        <v>74</v>
      </c>
      <c r="S992" t="s">
        <v>74</v>
      </c>
      <c r="T992" t="s">
        <v>18243</v>
      </c>
      <c r="U992" t="s">
        <v>18244</v>
      </c>
      <c r="V992" t="s">
        <v>18245</v>
      </c>
      <c r="W992" t="s">
        <v>18246</v>
      </c>
      <c r="X992" t="s">
        <v>18247</v>
      </c>
      <c r="Y992" t="s">
        <v>18248</v>
      </c>
      <c r="Z992" t="s">
        <v>18249</v>
      </c>
      <c r="AA992" t="s">
        <v>13483</v>
      </c>
      <c r="AB992" t="s">
        <v>13484</v>
      </c>
      <c r="AC992" t="s">
        <v>74</v>
      </c>
      <c r="AD992" t="s">
        <v>74</v>
      </c>
      <c r="AE992" t="s">
        <v>74</v>
      </c>
      <c r="AF992" t="s">
        <v>74</v>
      </c>
      <c r="AG992">
        <v>84</v>
      </c>
      <c r="AH992">
        <v>3</v>
      </c>
      <c r="AI992">
        <v>3</v>
      </c>
      <c r="AJ992">
        <v>0</v>
      </c>
      <c r="AK992">
        <v>3</v>
      </c>
      <c r="AL992" t="s">
        <v>332</v>
      </c>
      <c r="AM992" t="s">
        <v>333</v>
      </c>
      <c r="AN992" t="s">
        <v>334</v>
      </c>
      <c r="AO992" t="s">
        <v>10477</v>
      </c>
      <c r="AP992" t="s">
        <v>10478</v>
      </c>
      <c r="AQ992" t="s">
        <v>74</v>
      </c>
      <c r="AR992" t="s">
        <v>10479</v>
      </c>
      <c r="AS992" t="s">
        <v>10480</v>
      </c>
      <c r="AT992" t="s">
        <v>4361</v>
      </c>
      <c r="AU992">
        <v>2022</v>
      </c>
      <c r="AV992">
        <v>32</v>
      </c>
      <c r="AW992">
        <v>8</v>
      </c>
      <c r="AX992" t="s">
        <v>74</v>
      </c>
      <c r="AY992" t="s">
        <v>74</v>
      </c>
      <c r="AZ992" t="s">
        <v>74</v>
      </c>
      <c r="BA992" t="s">
        <v>74</v>
      </c>
      <c r="BB992">
        <v>1020</v>
      </c>
      <c r="BC992">
        <v>1035</v>
      </c>
      <c r="BD992" t="s">
        <v>74</v>
      </c>
      <c r="BE992" t="s">
        <v>18250</v>
      </c>
      <c r="BF992" t="str">
        <f>HYPERLINK("http://dx.doi.org/10.1080/09614524.2021.1937539","http://dx.doi.org/10.1080/09614524.2021.1937539")</f>
        <v>http://dx.doi.org/10.1080/09614524.2021.1937539</v>
      </c>
      <c r="BG992" t="s">
        <v>74</v>
      </c>
      <c r="BH992" t="s">
        <v>2730</v>
      </c>
      <c r="BI992">
        <v>16</v>
      </c>
      <c r="BJ992" t="s">
        <v>1137</v>
      </c>
      <c r="BK992" t="s">
        <v>313</v>
      </c>
      <c r="BL992" t="s">
        <v>1137</v>
      </c>
      <c r="BM992" t="s">
        <v>18251</v>
      </c>
      <c r="BN992" t="s">
        <v>74</v>
      </c>
      <c r="BO992" t="s">
        <v>74</v>
      </c>
      <c r="BP992" t="s">
        <v>74</v>
      </c>
      <c r="BQ992" t="s">
        <v>74</v>
      </c>
      <c r="BR992" t="s">
        <v>102</v>
      </c>
      <c r="BS992" t="s">
        <v>18252</v>
      </c>
      <c r="BT992" t="str">
        <f>HYPERLINK("https%3A%2F%2Fwww.webofscience.com%2Fwos%2Fwoscc%2Ffull-record%2FWOS:000736376600001","View Full Record in Web of Science")</f>
        <v>View Full Record in Web of Science</v>
      </c>
    </row>
    <row r="993" spans="1:72" x14ac:dyDescent="0.25">
      <c r="A993" t="s">
        <v>72</v>
      </c>
      <c r="B993" t="s">
        <v>18253</v>
      </c>
      <c r="C993" t="s">
        <v>74</v>
      </c>
      <c r="D993" t="s">
        <v>74</v>
      </c>
      <c r="E993" t="s">
        <v>74</v>
      </c>
      <c r="F993" t="s">
        <v>18254</v>
      </c>
      <c r="G993" t="s">
        <v>74</v>
      </c>
      <c r="H993" t="s">
        <v>74</v>
      </c>
      <c r="I993" t="s">
        <v>18255</v>
      </c>
      <c r="J993" t="s">
        <v>18256</v>
      </c>
      <c r="K993" t="s">
        <v>74</v>
      </c>
      <c r="L993" t="s">
        <v>74</v>
      </c>
      <c r="M993" t="s">
        <v>78</v>
      </c>
      <c r="N993" t="s">
        <v>79</v>
      </c>
      <c r="O993" t="s">
        <v>74</v>
      </c>
      <c r="P993" t="s">
        <v>74</v>
      </c>
      <c r="Q993" t="s">
        <v>74</v>
      </c>
      <c r="R993" t="s">
        <v>74</v>
      </c>
      <c r="S993" t="s">
        <v>74</v>
      </c>
      <c r="T993" t="s">
        <v>18257</v>
      </c>
      <c r="U993" t="s">
        <v>18258</v>
      </c>
      <c r="V993" t="s">
        <v>18259</v>
      </c>
      <c r="W993" t="s">
        <v>18260</v>
      </c>
      <c r="X993" t="s">
        <v>18261</v>
      </c>
      <c r="Y993" t="s">
        <v>18262</v>
      </c>
      <c r="Z993" t="s">
        <v>18263</v>
      </c>
      <c r="AA993" t="s">
        <v>18264</v>
      </c>
      <c r="AB993" t="s">
        <v>74</v>
      </c>
      <c r="AC993" t="s">
        <v>7095</v>
      </c>
      <c r="AD993" t="s">
        <v>7096</v>
      </c>
      <c r="AE993" t="s">
        <v>18265</v>
      </c>
      <c r="AF993" t="s">
        <v>74</v>
      </c>
      <c r="AG993">
        <v>71</v>
      </c>
      <c r="AH993">
        <v>3</v>
      </c>
      <c r="AI993">
        <v>3</v>
      </c>
      <c r="AJ993">
        <v>1</v>
      </c>
      <c r="AK993">
        <v>1</v>
      </c>
      <c r="AL993" t="s">
        <v>2551</v>
      </c>
      <c r="AM993" t="s">
        <v>231</v>
      </c>
      <c r="AN993" t="s">
        <v>2552</v>
      </c>
      <c r="AO993" t="s">
        <v>74</v>
      </c>
      <c r="AP993" t="s">
        <v>18266</v>
      </c>
      <c r="AQ993" t="s">
        <v>74</v>
      </c>
      <c r="AR993" t="s">
        <v>18256</v>
      </c>
      <c r="AS993" t="s">
        <v>18267</v>
      </c>
      <c r="AT993" t="s">
        <v>74</v>
      </c>
      <c r="AU993">
        <v>2023</v>
      </c>
      <c r="AV993">
        <v>3</v>
      </c>
      <c r="AW993">
        <v>1</v>
      </c>
      <c r="AX993" t="s">
        <v>74</v>
      </c>
      <c r="AY993" t="s">
        <v>74</v>
      </c>
      <c r="AZ993" t="s">
        <v>74</v>
      </c>
      <c r="BA993" t="s">
        <v>74</v>
      </c>
      <c r="BB993" t="s">
        <v>74</v>
      </c>
      <c r="BC993" t="s">
        <v>74</v>
      </c>
      <c r="BD993" t="s">
        <v>18268</v>
      </c>
      <c r="BE993" t="s">
        <v>18269</v>
      </c>
      <c r="BF993" t="str">
        <f>HYPERLINK("http://dx.doi.org/10.1093/qopen/qoad007","http://dx.doi.org/10.1093/qopen/qoad007")</f>
        <v>http://dx.doi.org/10.1093/qopen/qoad007</v>
      </c>
      <c r="BG993" t="s">
        <v>74</v>
      </c>
      <c r="BH993" t="s">
        <v>74</v>
      </c>
      <c r="BI993">
        <v>24</v>
      </c>
      <c r="BJ993" t="s">
        <v>18270</v>
      </c>
      <c r="BK993" t="s">
        <v>313</v>
      </c>
      <c r="BL993" t="s">
        <v>18271</v>
      </c>
      <c r="BM993" t="s">
        <v>18272</v>
      </c>
      <c r="BN993" t="s">
        <v>74</v>
      </c>
      <c r="BO993" t="s">
        <v>212</v>
      </c>
      <c r="BP993" t="s">
        <v>74</v>
      </c>
      <c r="BQ993" t="s">
        <v>74</v>
      </c>
      <c r="BR993" t="s">
        <v>102</v>
      </c>
      <c r="BS993" t="s">
        <v>18273</v>
      </c>
      <c r="BT993" t="str">
        <f>HYPERLINK("https%3A%2F%2Fwww.webofscience.com%2Fwos%2Fwoscc%2Ffull-record%2FWOS:001635580200001","View Full Record in Web of Science")</f>
        <v>View Full Record in Web of Science</v>
      </c>
    </row>
    <row r="994" spans="1:72" x14ac:dyDescent="0.25">
      <c r="A994" t="s">
        <v>72</v>
      </c>
      <c r="B994" t="s">
        <v>18274</v>
      </c>
      <c r="C994" t="s">
        <v>74</v>
      </c>
      <c r="D994" t="s">
        <v>74</v>
      </c>
      <c r="E994" t="s">
        <v>74</v>
      </c>
      <c r="F994" t="s">
        <v>18275</v>
      </c>
      <c r="G994" t="s">
        <v>74</v>
      </c>
      <c r="H994" t="s">
        <v>74</v>
      </c>
      <c r="I994" t="s">
        <v>18276</v>
      </c>
      <c r="J994" t="s">
        <v>107</v>
      </c>
      <c r="K994" t="s">
        <v>74</v>
      </c>
      <c r="L994" t="s">
        <v>74</v>
      </c>
      <c r="M994" t="s">
        <v>78</v>
      </c>
      <c r="N994" t="s">
        <v>79</v>
      </c>
      <c r="O994" t="s">
        <v>74</v>
      </c>
      <c r="P994" t="s">
        <v>74</v>
      </c>
      <c r="Q994" t="s">
        <v>74</v>
      </c>
      <c r="R994" t="s">
        <v>74</v>
      </c>
      <c r="S994" t="s">
        <v>74</v>
      </c>
      <c r="T994" t="s">
        <v>18277</v>
      </c>
      <c r="U994" t="s">
        <v>18278</v>
      </c>
      <c r="V994" t="s">
        <v>18279</v>
      </c>
      <c r="W994" t="s">
        <v>18280</v>
      </c>
      <c r="X994" t="s">
        <v>18281</v>
      </c>
      <c r="Y994" t="s">
        <v>18282</v>
      </c>
      <c r="Z994" t="s">
        <v>18283</v>
      </c>
      <c r="AA994" t="s">
        <v>18284</v>
      </c>
      <c r="AB994" t="s">
        <v>74</v>
      </c>
      <c r="AC994" t="s">
        <v>18285</v>
      </c>
      <c r="AD994" t="s">
        <v>18286</v>
      </c>
      <c r="AE994" t="s">
        <v>18287</v>
      </c>
      <c r="AF994" t="s">
        <v>74</v>
      </c>
      <c r="AG994">
        <v>49</v>
      </c>
      <c r="AH994">
        <v>31</v>
      </c>
      <c r="AI994">
        <v>33</v>
      </c>
      <c r="AJ994">
        <v>6</v>
      </c>
      <c r="AK994">
        <v>135</v>
      </c>
      <c r="AL994" t="s">
        <v>117</v>
      </c>
      <c r="AM994" t="s">
        <v>118</v>
      </c>
      <c r="AN994" t="s">
        <v>119</v>
      </c>
      <c r="AO994" t="s">
        <v>120</v>
      </c>
      <c r="AP994" t="s">
        <v>121</v>
      </c>
      <c r="AQ994" t="s">
        <v>74</v>
      </c>
      <c r="AR994" t="s">
        <v>122</v>
      </c>
      <c r="AS994" t="s">
        <v>123</v>
      </c>
      <c r="AT994" t="s">
        <v>124</v>
      </c>
      <c r="AU994">
        <v>2022</v>
      </c>
      <c r="AV994">
        <v>29</v>
      </c>
      <c r="AW994">
        <v>60</v>
      </c>
      <c r="AX994" t="s">
        <v>74</v>
      </c>
      <c r="AY994" t="s">
        <v>74</v>
      </c>
      <c r="AZ994" t="s">
        <v>74</v>
      </c>
      <c r="BA994" t="s">
        <v>74</v>
      </c>
      <c r="BB994">
        <v>90404</v>
      </c>
      <c r="BC994">
        <v>90418</v>
      </c>
      <c r="BD994" t="s">
        <v>74</v>
      </c>
      <c r="BE994" t="s">
        <v>18288</v>
      </c>
      <c r="BF994" t="str">
        <f>HYPERLINK("http://dx.doi.org/10.1007/s11356-022-22071-3","http://dx.doi.org/10.1007/s11356-022-22071-3")</f>
        <v>http://dx.doi.org/10.1007/s11356-022-22071-3</v>
      </c>
      <c r="BG994" t="s">
        <v>74</v>
      </c>
      <c r="BH994" t="s">
        <v>126</v>
      </c>
      <c r="BI994">
        <v>15</v>
      </c>
      <c r="BJ994" t="s">
        <v>127</v>
      </c>
      <c r="BK994" t="s">
        <v>128</v>
      </c>
      <c r="BL994" t="s">
        <v>129</v>
      </c>
      <c r="BM994" t="s">
        <v>18289</v>
      </c>
      <c r="BN994">
        <v>35869344</v>
      </c>
      <c r="BO994" t="s">
        <v>74</v>
      </c>
      <c r="BP994" t="s">
        <v>74</v>
      </c>
      <c r="BQ994" t="s">
        <v>74</v>
      </c>
      <c r="BR994" t="s">
        <v>102</v>
      </c>
      <c r="BS994" t="s">
        <v>18290</v>
      </c>
      <c r="BT994" t="str">
        <f>HYPERLINK("https%3A%2F%2Fwww.webofscience.com%2Fwos%2Fwoscc%2Ffull-record%2FWOS:000829994900001","View Full Record in Web of Science")</f>
        <v>View Full Record in Web of Science</v>
      </c>
    </row>
    <row r="995" spans="1:72" x14ac:dyDescent="0.25">
      <c r="A995" t="s">
        <v>72</v>
      </c>
      <c r="B995" t="s">
        <v>18291</v>
      </c>
      <c r="C995" t="s">
        <v>74</v>
      </c>
      <c r="D995" t="s">
        <v>74</v>
      </c>
      <c r="E995" t="s">
        <v>74</v>
      </c>
      <c r="F995" t="s">
        <v>18292</v>
      </c>
      <c r="G995" t="s">
        <v>74</v>
      </c>
      <c r="H995" t="s">
        <v>74</v>
      </c>
      <c r="I995" t="s">
        <v>18293</v>
      </c>
      <c r="J995" t="s">
        <v>18294</v>
      </c>
      <c r="K995" t="s">
        <v>74</v>
      </c>
      <c r="L995" t="s">
        <v>74</v>
      </c>
      <c r="M995" t="s">
        <v>78</v>
      </c>
      <c r="N995" t="s">
        <v>79</v>
      </c>
      <c r="O995" t="s">
        <v>74</v>
      </c>
      <c r="P995" t="s">
        <v>74</v>
      </c>
      <c r="Q995" t="s">
        <v>74</v>
      </c>
      <c r="R995" t="s">
        <v>74</v>
      </c>
      <c r="S995" t="s">
        <v>74</v>
      </c>
      <c r="T995" t="s">
        <v>18295</v>
      </c>
      <c r="U995" t="s">
        <v>18296</v>
      </c>
      <c r="V995" t="s">
        <v>18297</v>
      </c>
      <c r="W995" t="s">
        <v>18298</v>
      </c>
      <c r="X995" t="s">
        <v>18299</v>
      </c>
      <c r="Y995" t="s">
        <v>18300</v>
      </c>
      <c r="Z995" t="s">
        <v>18301</v>
      </c>
      <c r="AA995" t="s">
        <v>18302</v>
      </c>
      <c r="AB995" t="s">
        <v>18303</v>
      </c>
      <c r="AC995" t="s">
        <v>18304</v>
      </c>
      <c r="AD995" t="s">
        <v>18305</v>
      </c>
      <c r="AE995" t="s">
        <v>18306</v>
      </c>
      <c r="AF995" t="s">
        <v>74</v>
      </c>
      <c r="AG995">
        <v>97</v>
      </c>
      <c r="AH995">
        <v>7</v>
      </c>
      <c r="AI995">
        <v>8</v>
      </c>
      <c r="AJ995">
        <v>2</v>
      </c>
      <c r="AK995">
        <v>48</v>
      </c>
      <c r="AL995" t="s">
        <v>479</v>
      </c>
      <c r="AM995" t="s">
        <v>480</v>
      </c>
      <c r="AN995" t="s">
        <v>481</v>
      </c>
      <c r="AO995" t="s">
        <v>18307</v>
      </c>
      <c r="AP995" t="s">
        <v>18308</v>
      </c>
      <c r="AQ995" t="s">
        <v>74</v>
      </c>
      <c r="AR995" t="s">
        <v>18309</v>
      </c>
      <c r="AS995" t="s">
        <v>18310</v>
      </c>
      <c r="AT995" t="s">
        <v>605</v>
      </c>
      <c r="AU995">
        <v>2024</v>
      </c>
      <c r="AV995">
        <v>45</v>
      </c>
      <c r="AW995">
        <v>3</v>
      </c>
      <c r="AX995" t="s">
        <v>74</v>
      </c>
      <c r="AY995" t="s">
        <v>74</v>
      </c>
      <c r="AZ995" t="s">
        <v>74</v>
      </c>
      <c r="BA995" t="s">
        <v>74</v>
      </c>
      <c r="BB995">
        <v>535</v>
      </c>
      <c r="BC995">
        <v>563</v>
      </c>
      <c r="BD995" t="s">
        <v>74</v>
      </c>
      <c r="BE995" t="s">
        <v>18311</v>
      </c>
      <c r="BF995" t="str">
        <f>HYPERLINK("http://dx.doi.org/10.1002/smj.3558","http://dx.doi.org/10.1002/smj.3558")</f>
        <v>http://dx.doi.org/10.1002/smj.3558</v>
      </c>
      <c r="BG995" t="s">
        <v>74</v>
      </c>
      <c r="BH995" t="s">
        <v>2417</v>
      </c>
      <c r="BI995">
        <v>29</v>
      </c>
      <c r="BJ995" t="s">
        <v>98</v>
      </c>
      <c r="BK995" t="s">
        <v>99</v>
      </c>
      <c r="BL995" t="s">
        <v>100</v>
      </c>
      <c r="BM995" t="s">
        <v>18312</v>
      </c>
      <c r="BN995" t="s">
        <v>74</v>
      </c>
      <c r="BO995" t="s">
        <v>270</v>
      </c>
      <c r="BP995" t="s">
        <v>74</v>
      </c>
      <c r="BQ995" t="s">
        <v>74</v>
      </c>
      <c r="BR995" t="s">
        <v>102</v>
      </c>
      <c r="BS995" t="s">
        <v>18313</v>
      </c>
      <c r="BT995" t="str">
        <f>HYPERLINK("https%3A%2F%2Fwww.webofscience.com%2Fwos%2Fwoscc%2Ffull-record%2FWOS:001090785300001","View Full Record in Web of Science")</f>
        <v>View Full Record in Web of Science</v>
      </c>
    </row>
    <row r="996" spans="1:72" x14ac:dyDescent="0.25">
      <c r="A996" t="s">
        <v>72</v>
      </c>
      <c r="B996" t="s">
        <v>18314</v>
      </c>
      <c r="C996" t="s">
        <v>74</v>
      </c>
      <c r="D996" t="s">
        <v>74</v>
      </c>
      <c r="E996" t="s">
        <v>74</v>
      </c>
      <c r="F996" t="s">
        <v>18315</v>
      </c>
      <c r="G996" t="s">
        <v>74</v>
      </c>
      <c r="H996" t="s">
        <v>74</v>
      </c>
      <c r="I996" t="s">
        <v>18316</v>
      </c>
      <c r="J996" t="s">
        <v>7004</v>
      </c>
      <c r="K996" t="s">
        <v>74</v>
      </c>
      <c r="L996" t="s">
        <v>74</v>
      </c>
      <c r="M996" t="s">
        <v>78</v>
      </c>
      <c r="N996" t="s">
        <v>79</v>
      </c>
      <c r="O996" t="s">
        <v>74</v>
      </c>
      <c r="P996" t="s">
        <v>74</v>
      </c>
      <c r="Q996" t="s">
        <v>74</v>
      </c>
      <c r="R996" t="s">
        <v>74</v>
      </c>
      <c r="S996" t="s">
        <v>74</v>
      </c>
      <c r="T996" t="s">
        <v>18317</v>
      </c>
      <c r="U996" t="s">
        <v>18318</v>
      </c>
      <c r="V996" t="s">
        <v>18319</v>
      </c>
      <c r="W996" t="s">
        <v>18320</v>
      </c>
      <c r="X996" t="s">
        <v>74</v>
      </c>
      <c r="Y996" t="s">
        <v>18321</v>
      </c>
      <c r="Z996" t="s">
        <v>18322</v>
      </c>
      <c r="AA996" t="s">
        <v>18323</v>
      </c>
      <c r="AB996" t="s">
        <v>74</v>
      </c>
      <c r="AC996" t="s">
        <v>74</v>
      </c>
      <c r="AD996" t="s">
        <v>74</v>
      </c>
      <c r="AE996" t="s">
        <v>74</v>
      </c>
      <c r="AF996" t="s">
        <v>74</v>
      </c>
      <c r="AG996">
        <v>50</v>
      </c>
      <c r="AH996">
        <v>3</v>
      </c>
      <c r="AI996">
        <v>3</v>
      </c>
      <c r="AJ996">
        <v>0</v>
      </c>
      <c r="AK996">
        <v>4</v>
      </c>
      <c r="AL996" t="s">
        <v>7014</v>
      </c>
      <c r="AM996" t="s">
        <v>7015</v>
      </c>
      <c r="AN996" t="s">
        <v>7016</v>
      </c>
      <c r="AO996" t="s">
        <v>74</v>
      </c>
      <c r="AP996" t="s">
        <v>7017</v>
      </c>
      <c r="AQ996" t="s">
        <v>74</v>
      </c>
      <c r="AR996" t="s">
        <v>7018</v>
      </c>
      <c r="AS996" t="s">
        <v>7019</v>
      </c>
      <c r="AT996" t="s">
        <v>7020</v>
      </c>
      <c r="AU996">
        <v>2024</v>
      </c>
      <c r="AV996">
        <v>19</v>
      </c>
      <c r="AW996">
        <v>1</v>
      </c>
      <c r="AX996" t="s">
        <v>74</v>
      </c>
      <c r="AY996" t="s">
        <v>74</v>
      </c>
      <c r="AZ996" t="s">
        <v>74</v>
      </c>
      <c r="BA996" t="s">
        <v>74</v>
      </c>
      <c r="BB996" t="s">
        <v>74</v>
      </c>
      <c r="BC996" t="s">
        <v>74</v>
      </c>
      <c r="BD996" t="s">
        <v>18324</v>
      </c>
      <c r="BE996" t="s">
        <v>18325</v>
      </c>
      <c r="BF996" t="str">
        <f>HYPERLINK("http://dx.doi.org/10.21919/remef.v19i1.958","http://dx.doi.org/10.21919/remef.v19i1.958")</f>
        <v>http://dx.doi.org/10.21919/remef.v19i1.958</v>
      </c>
      <c r="BG996" t="s">
        <v>74</v>
      </c>
      <c r="BH996" t="s">
        <v>74</v>
      </c>
      <c r="BI996">
        <v>21</v>
      </c>
      <c r="BJ996" t="s">
        <v>210</v>
      </c>
      <c r="BK996" t="s">
        <v>313</v>
      </c>
      <c r="BL996" t="s">
        <v>100</v>
      </c>
      <c r="BM996" t="s">
        <v>7023</v>
      </c>
      <c r="BN996" t="s">
        <v>74</v>
      </c>
      <c r="BO996" t="s">
        <v>916</v>
      </c>
      <c r="BP996" t="s">
        <v>74</v>
      </c>
      <c r="BQ996" t="s">
        <v>74</v>
      </c>
      <c r="BR996" t="s">
        <v>102</v>
      </c>
      <c r="BS996" t="s">
        <v>18326</v>
      </c>
      <c r="BT996" t="str">
        <f>HYPERLINK("https%3A%2F%2Fwww.webofscience.com%2Fwos%2Fwoscc%2Ffull-record%2FWOS:001637628300009","View Full Record in Web of Science")</f>
        <v>View Full Record in Web of Science</v>
      </c>
    </row>
    <row r="997" spans="1:72" x14ac:dyDescent="0.25">
      <c r="A997" t="s">
        <v>72</v>
      </c>
      <c r="B997" t="s">
        <v>18327</v>
      </c>
      <c r="C997" t="s">
        <v>74</v>
      </c>
      <c r="D997" t="s">
        <v>74</v>
      </c>
      <c r="E997" t="s">
        <v>74</v>
      </c>
      <c r="F997" t="s">
        <v>18328</v>
      </c>
      <c r="G997" t="s">
        <v>74</v>
      </c>
      <c r="H997" t="s">
        <v>74</v>
      </c>
      <c r="I997" t="s">
        <v>18329</v>
      </c>
      <c r="J997" t="s">
        <v>1290</v>
      </c>
      <c r="K997" t="s">
        <v>74</v>
      </c>
      <c r="L997" t="s">
        <v>74</v>
      </c>
      <c r="M997" t="s">
        <v>78</v>
      </c>
      <c r="N997" t="s">
        <v>79</v>
      </c>
      <c r="O997" t="s">
        <v>74</v>
      </c>
      <c r="P997" t="s">
        <v>74</v>
      </c>
      <c r="Q997" t="s">
        <v>74</v>
      </c>
      <c r="R997" t="s">
        <v>74</v>
      </c>
      <c r="S997" t="s">
        <v>74</v>
      </c>
      <c r="T997" t="s">
        <v>18330</v>
      </c>
      <c r="U997" t="s">
        <v>18331</v>
      </c>
      <c r="V997" t="s">
        <v>18332</v>
      </c>
      <c r="W997" t="s">
        <v>18333</v>
      </c>
      <c r="X997" t="s">
        <v>18334</v>
      </c>
      <c r="Y997" t="s">
        <v>18335</v>
      </c>
      <c r="Z997" t="s">
        <v>18336</v>
      </c>
      <c r="AA997" t="s">
        <v>18337</v>
      </c>
      <c r="AB997" t="s">
        <v>74</v>
      </c>
      <c r="AC997" t="s">
        <v>74</v>
      </c>
      <c r="AD997" t="s">
        <v>74</v>
      </c>
      <c r="AE997" t="s">
        <v>74</v>
      </c>
      <c r="AF997" t="s">
        <v>74</v>
      </c>
      <c r="AG997">
        <v>119</v>
      </c>
      <c r="AH997">
        <v>0</v>
      </c>
      <c r="AI997">
        <v>0</v>
      </c>
      <c r="AJ997">
        <v>6</v>
      </c>
      <c r="AK997">
        <v>6</v>
      </c>
      <c r="AL997" t="s">
        <v>575</v>
      </c>
      <c r="AM997" t="s">
        <v>576</v>
      </c>
      <c r="AN997" t="s">
        <v>577</v>
      </c>
      <c r="AO997" t="s">
        <v>1299</v>
      </c>
      <c r="AP997" t="s">
        <v>74</v>
      </c>
      <c r="AQ997" t="s">
        <v>74</v>
      </c>
      <c r="AR997" t="s">
        <v>1300</v>
      </c>
      <c r="AS997" t="s">
        <v>1301</v>
      </c>
      <c r="AT997" t="s">
        <v>5472</v>
      </c>
      <c r="AU997">
        <v>2025</v>
      </c>
      <c r="AV997">
        <v>13</v>
      </c>
      <c r="AW997">
        <v>3</v>
      </c>
      <c r="AX997" t="s">
        <v>74</v>
      </c>
      <c r="AY997" t="s">
        <v>74</v>
      </c>
      <c r="AZ997" t="s">
        <v>74</v>
      </c>
      <c r="BA997" t="s">
        <v>74</v>
      </c>
      <c r="BB997" t="s">
        <v>74</v>
      </c>
      <c r="BC997" t="s">
        <v>74</v>
      </c>
      <c r="BD997">
        <v>124</v>
      </c>
      <c r="BE997" t="s">
        <v>18338</v>
      </c>
      <c r="BF997" t="str">
        <f>HYPERLINK("http://dx.doi.org/10.3390/ijfs13030124","http://dx.doi.org/10.3390/ijfs13030124")</f>
        <v>http://dx.doi.org/10.3390/ijfs13030124</v>
      </c>
      <c r="BG997" t="s">
        <v>74</v>
      </c>
      <c r="BH997" t="s">
        <v>74</v>
      </c>
      <c r="BI997">
        <v>25</v>
      </c>
      <c r="BJ997" t="s">
        <v>268</v>
      </c>
      <c r="BK997" t="s">
        <v>313</v>
      </c>
      <c r="BL997" t="s">
        <v>100</v>
      </c>
      <c r="BM997" t="s">
        <v>18339</v>
      </c>
      <c r="BN997" t="s">
        <v>74</v>
      </c>
      <c r="BO997" t="s">
        <v>212</v>
      </c>
      <c r="BP997" t="s">
        <v>74</v>
      </c>
      <c r="BQ997" t="s">
        <v>74</v>
      </c>
      <c r="BR997" t="s">
        <v>102</v>
      </c>
      <c r="BS997" t="s">
        <v>18340</v>
      </c>
      <c r="BT997" t="str">
        <f>HYPERLINK("https%3A%2F%2Fwww.webofscience.com%2Fwos%2Fwoscc%2Ffull-record%2FWOS:001580087200001","View Full Record in Web of Science")</f>
        <v>View Full Record in Web of Science</v>
      </c>
    </row>
    <row r="998" spans="1:72" x14ac:dyDescent="0.25">
      <c r="A998" t="s">
        <v>72</v>
      </c>
      <c r="B998" t="s">
        <v>18341</v>
      </c>
      <c r="C998" t="s">
        <v>74</v>
      </c>
      <c r="D998" t="s">
        <v>74</v>
      </c>
      <c r="E998" t="s">
        <v>74</v>
      </c>
      <c r="F998" t="s">
        <v>18342</v>
      </c>
      <c r="G998" t="s">
        <v>74</v>
      </c>
      <c r="H998" t="s">
        <v>74</v>
      </c>
      <c r="I998" t="s">
        <v>18343</v>
      </c>
      <c r="J998" t="s">
        <v>18344</v>
      </c>
      <c r="K998" t="s">
        <v>74</v>
      </c>
      <c r="L998" t="s">
        <v>74</v>
      </c>
      <c r="M998" t="s">
        <v>78</v>
      </c>
      <c r="N998" t="s">
        <v>79</v>
      </c>
      <c r="O998" t="s">
        <v>74</v>
      </c>
      <c r="P998" t="s">
        <v>74</v>
      </c>
      <c r="Q998" t="s">
        <v>74</v>
      </c>
      <c r="R998" t="s">
        <v>74</v>
      </c>
      <c r="S998" t="s">
        <v>74</v>
      </c>
      <c r="T998" t="s">
        <v>18345</v>
      </c>
      <c r="U998" t="s">
        <v>74</v>
      </c>
      <c r="V998" t="s">
        <v>18346</v>
      </c>
      <c r="W998" t="s">
        <v>18347</v>
      </c>
      <c r="X998" t="s">
        <v>18348</v>
      </c>
      <c r="Y998" t="s">
        <v>18349</v>
      </c>
      <c r="Z998" t="s">
        <v>18350</v>
      </c>
      <c r="AA998" t="s">
        <v>74</v>
      </c>
      <c r="AB998" t="s">
        <v>18351</v>
      </c>
      <c r="AC998" t="s">
        <v>18352</v>
      </c>
      <c r="AD998" t="s">
        <v>18352</v>
      </c>
      <c r="AE998" t="s">
        <v>18353</v>
      </c>
      <c r="AF998" t="s">
        <v>74</v>
      </c>
      <c r="AG998">
        <v>62</v>
      </c>
      <c r="AH998">
        <v>1</v>
      </c>
      <c r="AI998">
        <v>3</v>
      </c>
      <c r="AJ998">
        <v>0</v>
      </c>
      <c r="AK998">
        <v>13</v>
      </c>
      <c r="AL998" t="s">
        <v>89</v>
      </c>
      <c r="AM998" t="s">
        <v>1497</v>
      </c>
      <c r="AN998" t="s">
        <v>1498</v>
      </c>
      <c r="AO998" t="s">
        <v>18354</v>
      </c>
      <c r="AP998" t="s">
        <v>18355</v>
      </c>
      <c r="AQ998" t="s">
        <v>74</v>
      </c>
      <c r="AR998" t="s">
        <v>18356</v>
      </c>
      <c r="AS998" t="s">
        <v>18357</v>
      </c>
      <c r="AT998" t="s">
        <v>2206</v>
      </c>
      <c r="AU998">
        <v>2021</v>
      </c>
      <c r="AV998">
        <v>37</v>
      </c>
      <c r="AW998">
        <v>2</v>
      </c>
      <c r="AX998" t="s">
        <v>74</v>
      </c>
      <c r="AY998" t="s">
        <v>74</v>
      </c>
      <c r="AZ998" t="s">
        <v>74</v>
      </c>
      <c r="BA998" t="s">
        <v>74</v>
      </c>
      <c r="BB998">
        <v>301</v>
      </c>
      <c r="BC998">
        <v>317</v>
      </c>
      <c r="BD998" t="s">
        <v>74</v>
      </c>
      <c r="BE998" t="s">
        <v>18358</v>
      </c>
      <c r="BF998" t="str">
        <f>HYPERLINK("http://dx.doi.org/10.1108/IJOES-06-2020-0095","http://dx.doi.org/10.1108/IJOES-06-2020-0095")</f>
        <v>http://dx.doi.org/10.1108/IJOES-06-2020-0095</v>
      </c>
      <c r="BG998" t="s">
        <v>74</v>
      </c>
      <c r="BH998" t="s">
        <v>11376</v>
      </c>
      <c r="BI998">
        <v>17</v>
      </c>
      <c r="BJ998" t="s">
        <v>291</v>
      </c>
      <c r="BK998" t="s">
        <v>313</v>
      </c>
      <c r="BL998" t="s">
        <v>100</v>
      </c>
      <c r="BM998" t="s">
        <v>18359</v>
      </c>
      <c r="BN998" t="s">
        <v>74</v>
      </c>
      <c r="BO998" t="s">
        <v>74</v>
      </c>
      <c r="BP998" t="s">
        <v>74</v>
      </c>
      <c r="BQ998" t="s">
        <v>74</v>
      </c>
      <c r="BR998" t="s">
        <v>102</v>
      </c>
      <c r="BS998" t="s">
        <v>18360</v>
      </c>
      <c r="BT998" t="str">
        <f>HYPERLINK("https%3A%2F%2Fwww.webofscience.com%2Fwos%2Fwoscc%2Ffull-record%2FWOS:000616540000001","View Full Record in Web of Science")</f>
        <v>View Full Record in Web of Science</v>
      </c>
    </row>
    <row r="999" spans="1:72" x14ac:dyDescent="0.25">
      <c r="A999" t="s">
        <v>72</v>
      </c>
      <c r="B999" t="s">
        <v>18361</v>
      </c>
      <c r="C999" t="s">
        <v>74</v>
      </c>
      <c r="D999" t="s">
        <v>74</v>
      </c>
      <c r="E999" t="s">
        <v>74</v>
      </c>
      <c r="F999" t="s">
        <v>18362</v>
      </c>
      <c r="G999" t="s">
        <v>74</v>
      </c>
      <c r="H999" t="s">
        <v>74</v>
      </c>
      <c r="I999" t="s">
        <v>18363</v>
      </c>
      <c r="J999" t="s">
        <v>1510</v>
      </c>
      <c r="K999" t="s">
        <v>74</v>
      </c>
      <c r="L999" t="s">
        <v>74</v>
      </c>
      <c r="M999" t="s">
        <v>78</v>
      </c>
      <c r="N999" t="s">
        <v>79</v>
      </c>
      <c r="O999" t="s">
        <v>74</v>
      </c>
      <c r="P999" t="s">
        <v>74</v>
      </c>
      <c r="Q999" t="s">
        <v>74</v>
      </c>
      <c r="R999" t="s">
        <v>74</v>
      </c>
      <c r="S999" t="s">
        <v>74</v>
      </c>
      <c r="T999" t="s">
        <v>18364</v>
      </c>
      <c r="U999" t="s">
        <v>2964</v>
      </c>
      <c r="V999" t="s">
        <v>18365</v>
      </c>
      <c r="W999" t="s">
        <v>18366</v>
      </c>
      <c r="X999" t="s">
        <v>14848</v>
      </c>
      <c r="Y999" t="s">
        <v>18367</v>
      </c>
      <c r="Z999" t="s">
        <v>18368</v>
      </c>
      <c r="AA999" t="s">
        <v>18369</v>
      </c>
      <c r="AB999" t="s">
        <v>18370</v>
      </c>
      <c r="AC999" t="s">
        <v>74</v>
      </c>
      <c r="AD999" t="s">
        <v>74</v>
      </c>
      <c r="AE999" t="s">
        <v>74</v>
      </c>
      <c r="AF999" t="s">
        <v>74</v>
      </c>
      <c r="AG999">
        <v>34</v>
      </c>
      <c r="AH999">
        <v>19</v>
      </c>
      <c r="AI999">
        <v>24</v>
      </c>
      <c r="AJ999">
        <v>0</v>
      </c>
      <c r="AK999">
        <v>16</v>
      </c>
      <c r="AL999" t="s">
        <v>89</v>
      </c>
      <c r="AM999" t="s">
        <v>1497</v>
      </c>
      <c r="AN999" t="s">
        <v>1498</v>
      </c>
      <c r="AO999" t="s">
        <v>1519</v>
      </c>
      <c r="AP999" t="s">
        <v>1520</v>
      </c>
      <c r="AQ999" t="s">
        <v>74</v>
      </c>
      <c r="AR999" t="s">
        <v>1521</v>
      </c>
      <c r="AS999" t="s">
        <v>1522</v>
      </c>
      <c r="AT999" t="s">
        <v>18052</v>
      </c>
      <c r="AU999">
        <v>2021</v>
      </c>
      <c r="AV999">
        <v>48</v>
      </c>
      <c r="AW999">
        <v>9</v>
      </c>
      <c r="AX999" t="s">
        <v>74</v>
      </c>
      <c r="AY999" t="s">
        <v>74</v>
      </c>
      <c r="AZ999" t="s">
        <v>74</v>
      </c>
      <c r="BA999" t="s">
        <v>74</v>
      </c>
      <c r="BB999">
        <v>1331</v>
      </c>
      <c r="BC999">
        <v>1346</v>
      </c>
      <c r="BD999" t="s">
        <v>74</v>
      </c>
      <c r="BE999" t="s">
        <v>18371</v>
      </c>
      <c r="BF999" t="str">
        <f>HYPERLINK("http://dx.doi.org/10.1108/IJSE-08-2020-0527","http://dx.doi.org/10.1108/IJSE-08-2020-0527")</f>
        <v>http://dx.doi.org/10.1108/IJSE-08-2020-0527</v>
      </c>
      <c r="BG999" t="s">
        <v>74</v>
      </c>
      <c r="BH999" t="s">
        <v>11151</v>
      </c>
      <c r="BI999">
        <v>16</v>
      </c>
      <c r="BJ999" t="s">
        <v>291</v>
      </c>
      <c r="BK999" t="s">
        <v>313</v>
      </c>
      <c r="BL999" t="s">
        <v>100</v>
      </c>
      <c r="BM999" t="s">
        <v>18372</v>
      </c>
      <c r="BN999" t="s">
        <v>74</v>
      </c>
      <c r="BO999" t="s">
        <v>74</v>
      </c>
      <c r="BP999" t="s">
        <v>74</v>
      </c>
      <c r="BQ999" t="s">
        <v>74</v>
      </c>
      <c r="BR999" t="s">
        <v>102</v>
      </c>
      <c r="BS999" t="s">
        <v>18373</v>
      </c>
      <c r="BT999" t="str">
        <f>HYPERLINK("https%3A%2F%2Fwww.webofscience.com%2Fwos%2Fwoscc%2Ffull-record%2FWOS:000675903300001","View Full Record in Web of Science")</f>
        <v>View Full Record in Web of Science</v>
      </c>
    </row>
    <row r="1000" spans="1:72" x14ac:dyDescent="0.25">
      <c r="A1000" t="s">
        <v>72</v>
      </c>
      <c r="B1000" t="s">
        <v>18374</v>
      </c>
      <c r="C1000" t="s">
        <v>74</v>
      </c>
      <c r="D1000" t="s">
        <v>74</v>
      </c>
      <c r="E1000" t="s">
        <v>74</v>
      </c>
      <c r="F1000" t="s">
        <v>18375</v>
      </c>
      <c r="G1000" t="s">
        <v>74</v>
      </c>
      <c r="H1000" t="s">
        <v>74</v>
      </c>
      <c r="I1000" t="s">
        <v>18376</v>
      </c>
      <c r="J1000" t="s">
        <v>18377</v>
      </c>
      <c r="K1000" t="s">
        <v>74</v>
      </c>
      <c r="L1000" t="s">
        <v>74</v>
      </c>
      <c r="M1000" t="s">
        <v>78</v>
      </c>
      <c r="N1000" t="s">
        <v>79</v>
      </c>
      <c r="O1000" t="s">
        <v>74</v>
      </c>
      <c r="P1000" t="s">
        <v>74</v>
      </c>
      <c r="Q1000" t="s">
        <v>74</v>
      </c>
      <c r="R1000" t="s">
        <v>74</v>
      </c>
      <c r="S1000" t="s">
        <v>74</v>
      </c>
      <c r="T1000" t="s">
        <v>18378</v>
      </c>
      <c r="U1000" t="s">
        <v>18379</v>
      </c>
      <c r="V1000" t="s">
        <v>18380</v>
      </c>
      <c r="W1000" t="s">
        <v>18381</v>
      </c>
      <c r="X1000" t="s">
        <v>18382</v>
      </c>
      <c r="Y1000" t="s">
        <v>18383</v>
      </c>
      <c r="Z1000" t="s">
        <v>18384</v>
      </c>
      <c r="AA1000" t="s">
        <v>18385</v>
      </c>
      <c r="AB1000" t="s">
        <v>74</v>
      </c>
      <c r="AC1000" t="s">
        <v>74</v>
      </c>
      <c r="AD1000" t="s">
        <v>74</v>
      </c>
      <c r="AE1000" t="s">
        <v>74</v>
      </c>
      <c r="AF1000" t="s">
        <v>74</v>
      </c>
      <c r="AG1000">
        <v>49</v>
      </c>
      <c r="AH1000">
        <v>14</v>
      </c>
      <c r="AI1000">
        <v>28</v>
      </c>
      <c r="AJ1000">
        <v>0</v>
      </c>
      <c r="AK1000">
        <v>20</v>
      </c>
      <c r="AL1000" t="s">
        <v>479</v>
      </c>
      <c r="AM1000" t="s">
        <v>480</v>
      </c>
      <c r="AN1000" t="s">
        <v>481</v>
      </c>
      <c r="AO1000" t="s">
        <v>18386</v>
      </c>
      <c r="AP1000" t="s">
        <v>18387</v>
      </c>
      <c r="AQ1000" t="s">
        <v>74</v>
      </c>
      <c r="AR1000" t="s">
        <v>18388</v>
      </c>
      <c r="AS1000" t="s">
        <v>18389</v>
      </c>
      <c r="AT1000" t="s">
        <v>1652</v>
      </c>
      <c r="AU1000">
        <v>2021</v>
      </c>
      <c r="AV1000">
        <v>49</v>
      </c>
      <c r="AW1000">
        <v>4</v>
      </c>
      <c r="AX1000" t="s">
        <v>74</v>
      </c>
      <c r="AY1000" t="s">
        <v>74</v>
      </c>
      <c r="AZ1000" t="s">
        <v>74</v>
      </c>
      <c r="BA1000" t="s">
        <v>74</v>
      </c>
      <c r="BB1000">
        <v>344</v>
      </c>
      <c r="BC1000">
        <v>361</v>
      </c>
      <c r="BD1000" t="s">
        <v>74</v>
      </c>
      <c r="BE1000" t="s">
        <v>18390</v>
      </c>
      <c r="BF1000" t="str">
        <f>HYPERLINK("http://dx.doi.org/10.1111/fcsr.12400","http://dx.doi.org/10.1111/fcsr.12400")</f>
        <v>http://dx.doi.org/10.1111/fcsr.12400</v>
      </c>
      <c r="BG1000" t="s">
        <v>74</v>
      </c>
      <c r="BH1000" t="s">
        <v>4575</v>
      </c>
      <c r="BI1000">
        <v>18</v>
      </c>
      <c r="BJ1000" t="s">
        <v>18391</v>
      </c>
      <c r="BK1000" t="s">
        <v>313</v>
      </c>
      <c r="BL1000" t="s">
        <v>18391</v>
      </c>
      <c r="BM1000" t="s">
        <v>18392</v>
      </c>
      <c r="BN1000" t="s">
        <v>74</v>
      </c>
      <c r="BO1000" t="s">
        <v>74</v>
      </c>
      <c r="BP1000" t="s">
        <v>74</v>
      </c>
      <c r="BQ1000" t="s">
        <v>74</v>
      </c>
      <c r="BR1000" t="s">
        <v>102</v>
      </c>
      <c r="BS1000" t="s">
        <v>18393</v>
      </c>
      <c r="BT1000" t="str">
        <f>HYPERLINK("https%3A%2F%2Fwww.webofscience.com%2Fwos%2Fwoscc%2Ffull-record%2FWOS:000648944100001","View Full Record in Web of Science")</f>
        <v>View Full Record in Web of Science</v>
      </c>
    </row>
    <row r="1001" spans="1:72" x14ac:dyDescent="0.25">
      <c r="A1001" t="s">
        <v>72</v>
      </c>
      <c r="B1001" t="s">
        <v>18394</v>
      </c>
      <c r="C1001" t="s">
        <v>74</v>
      </c>
      <c r="D1001" t="s">
        <v>74</v>
      </c>
      <c r="E1001" t="s">
        <v>74</v>
      </c>
      <c r="F1001" t="s">
        <v>18395</v>
      </c>
      <c r="G1001" t="s">
        <v>74</v>
      </c>
      <c r="H1001" t="s">
        <v>74</v>
      </c>
      <c r="I1001" t="s">
        <v>18396</v>
      </c>
      <c r="J1001" t="s">
        <v>8087</v>
      </c>
      <c r="K1001" t="s">
        <v>74</v>
      </c>
      <c r="L1001" t="s">
        <v>74</v>
      </c>
      <c r="M1001" t="s">
        <v>78</v>
      </c>
      <c r="N1001" t="s">
        <v>1766</v>
      </c>
      <c r="O1001" t="s">
        <v>74</v>
      </c>
      <c r="P1001" t="s">
        <v>74</v>
      </c>
      <c r="Q1001" t="s">
        <v>74</v>
      </c>
      <c r="R1001" t="s">
        <v>74</v>
      </c>
      <c r="S1001" t="s">
        <v>74</v>
      </c>
      <c r="T1001" t="s">
        <v>18397</v>
      </c>
      <c r="U1001" t="s">
        <v>18398</v>
      </c>
      <c r="V1001" t="s">
        <v>18399</v>
      </c>
      <c r="W1001" t="s">
        <v>18400</v>
      </c>
      <c r="X1001" t="s">
        <v>18401</v>
      </c>
      <c r="Y1001" t="s">
        <v>18402</v>
      </c>
      <c r="Z1001" t="s">
        <v>18403</v>
      </c>
      <c r="AA1001" t="s">
        <v>18404</v>
      </c>
      <c r="AB1001" t="s">
        <v>18405</v>
      </c>
      <c r="AC1001" t="s">
        <v>74</v>
      </c>
      <c r="AD1001" t="s">
        <v>74</v>
      </c>
      <c r="AE1001" t="s">
        <v>74</v>
      </c>
      <c r="AF1001" t="s">
        <v>74</v>
      </c>
      <c r="AG1001">
        <v>189</v>
      </c>
      <c r="AH1001">
        <v>576</v>
      </c>
      <c r="AI1001">
        <v>746</v>
      </c>
      <c r="AJ1001">
        <v>54</v>
      </c>
      <c r="AK1001">
        <v>842</v>
      </c>
      <c r="AL1001" t="s">
        <v>479</v>
      </c>
      <c r="AM1001" t="s">
        <v>480</v>
      </c>
      <c r="AN1001" t="s">
        <v>481</v>
      </c>
      <c r="AO1001" t="s">
        <v>8097</v>
      </c>
      <c r="AP1001" t="s">
        <v>8098</v>
      </c>
      <c r="AQ1001" t="s">
        <v>74</v>
      </c>
      <c r="AR1001" t="s">
        <v>8099</v>
      </c>
      <c r="AS1001" t="s">
        <v>8100</v>
      </c>
      <c r="AT1001" t="s">
        <v>208</v>
      </c>
      <c r="AU1001">
        <v>2021</v>
      </c>
      <c r="AV1001">
        <v>45</v>
      </c>
      <c r="AW1001">
        <v>1</v>
      </c>
      <c r="AX1001" t="s">
        <v>74</v>
      </c>
      <c r="AY1001" t="s">
        <v>74</v>
      </c>
      <c r="AZ1001" t="s">
        <v>74</v>
      </c>
      <c r="BA1001" t="s">
        <v>74</v>
      </c>
      <c r="BB1001">
        <v>80</v>
      </c>
      <c r="BC1001">
        <v>105</v>
      </c>
      <c r="BD1001" t="s">
        <v>74</v>
      </c>
      <c r="BE1001" t="s">
        <v>18406</v>
      </c>
      <c r="BF1001" t="str">
        <f>HYPERLINK("http://dx.doi.org/10.1111/ijcs.12605","http://dx.doi.org/10.1111/ijcs.12605")</f>
        <v>http://dx.doi.org/10.1111/ijcs.12605</v>
      </c>
      <c r="BG1001" t="s">
        <v>74</v>
      </c>
      <c r="BH1001" t="s">
        <v>2937</v>
      </c>
      <c r="BI1001">
        <v>26</v>
      </c>
      <c r="BJ1001" t="s">
        <v>418</v>
      </c>
      <c r="BK1001" t="s">
        <v>99</v>
      </c>
      <c r="BL1001" t="s">
        <v>100</v>
      </c>
      <c r="BM1001" t="s">
        <v>18407</v>
      </c>
      <c r="BN1001" t="s">
        <v>74</v>
      </c>
      <c r="BO1001" t="s">
        <v>74</v>
      </c>
      <c r="BP1001" t="s">
        <v>74</v>
      </c>
      <c r="BQ1001" t="s">
        <v>74</v>
      </c>
      <c r="BR1001" t="s">
        <v>102</v>
      </c>
      <c r="BS1001" t="s">
        <v>18408</v>
      </c>
      <c r="BT1001" t="str">
        <f>HYPERLINK("https%3A%2F%2Fwww.webofscience.com%2Fwos%2Fwoscc%2Ffull-record%2FWOS:000555323400001","View Full Record in Web of Science")</f>
        <v>View Full Record in Web of Science</v>
      </c>
    </row>
    <row r="1002" spans="1:72" x14ac:dyDescent="0.25">
      <c r="A1002" t="s">
        <v>72</v>
      </c>
      <c r="B1002" t="s">
        <v>34375</v>
      </c>
      <c r="C1002" t="s">
        <v>74</v>
      </c>
      <c r="D1002" t="s">
        <v>74</v>
      </c>
      <c r="E1002" t="s">
        <v>74</v>
      </c>
      <c r="F1002" t="s">
        <v>34374</v>
      </c>
      <c r="G1002" t="s">
        <v>74</v>
      </c>
      <c r="H1002" t="s">
        <v>74</v>
      </c>
      <c r="I1002" t="s">
        <v>34373</v>
      </c>
      <c r="J1002" t="s">
        <v>34372</v>
      </c>
      <c r="K1002" t="s">
        <v>74</v>
      </c>
      <c r="L1002" t="s">
        <v>74</v>
      </c>
      <c r="M1002" t="s">
        <v>78</v>
      </c>
      <c r="N1002" t="s">
        <v>79</v>
      </c>
      <c r="O1002" t="s">
        <v>74</v>
      </c>
      <c r="P1002" t="s">
        <v>74</v>
      </c>
      <c r="Q1002" t="s">
        <v>74</v>
      </c>
      <c r="R1002" t="s">
        <v>74</v>
      </c>
      <c r="S1002" t="s">
        <v>74</v>
      </c>
      <c r="T1002" t="s">
        <v>34371</v>
      </c>
      <c r="U1002" t="s">
        <v>74</v>
      </c>
      <c r="V1002" t="s">
        <v>34370</v>
      </c>
      <c r="W1002" t="s">
        <v>34369</v>
      </c>
      <c r="X1002" t="s">
        <v>34368</v>
      </c>
      <c r="Y1002" t="s">
        <v>34367</v>
      </c>
      <c r="Z1002" t="s">
        <v>34366</v>
      </c>
      <c r="AA1002" t="s">
        <v>34365</v>
      </c>
      <c r="AB1002" t="s">
        <v>34364</v>
      </c>
      <c r="AC1002" t="s">
        <v>74</v>
      </c>
      <c r="AD1002" t="s">
        <v>74</v>
      </c>
      <c r="AE1002" t="s">
        <v>74</v>
      </c>
      <c r="AF1002" t="s">
        <v>74</v>
      </c>
      <c r="AG1002">
        <v>54</v>
      </c>
      <c r="AH1002">
        <v>11</v>
      </c>
      <c r="AI1002">
        <v>11</v>
      </c>
      <c r="AJ1002">
        <v>2</v>
      </c>
      <c r="AK1002">
        <v>10</v>
      </c>
      <c r="AL1002" t="s">
        <v>823</v>
      </c>
      <c r="AM1002" t="s">
        <v>333</v>
      </c>
      <c r="AN1002" t="s">
        <v>824</v>
      </c>
      <c r="AO1002" t="s">
        <v>34363</v>
      </c>
      <c r="AP1002" t="s">
        <v>34362</v>
      </c>
      <c r="AQ1002" t="s">
        <v>74</v>
      </c>
      <c r="AR1002" t="s">
        <v>34361</v>
      </c>
      <c r="AS1002" t="s">
        <v>34360</v>
      </c>
      <c r="AT1002" t="s">
        <v>1427</v>
      </c>
      <c r="AU1002">
        <v>2021</v>
      </c>
      <c r="AV1002">
        <v>11</v>
      </c>
      <c r="AW1002">
        <v>1</v>
      </c>
      <c r="AX1002" t="s">
        <v>74</v>
      </c>
      <c r="AY1002" t="s">
        <v>74</v>
      </c>
      <c r="AZ1002" t="s">
        <v>74</v>
      </c>
      <c r="BA1002" t="s">
        <v>74</v>
      </c>
      <c r="BB1002">
        <v>1</v>
      </c>
      <c r="BC1002">
        <v>23</v>
      </c>
      <c r="BD1002" t="s">
        <v>74</v>
      </c>
      <c r="BE1002" t="s">
        <v>34359</v>
      </c>
      <c r="BF1002" t="str">
        <f>HYPERLINK("http://dx.doi.org/10.1080/2157930X.2019.1678803","http://dx.doi.org/10.1080/2157930X.2019.1678803")</f>
        <v>http://dx.doi.org/10.1080/2157930X.2019.1678803</v>
      </c>
      <c r="BG1002" t="s">
        <v>74</v>
      </c>
      <c r="BH1002" t="s">
        <v>74</v>
      </c>
      <c r="BI1002">
        <v>23</v>
      </c>
      <c r="BJ1002" t="s">
        <v>701</v>
      </c>
      <c r="BK1002" t="s">
        <v>313</v>
      </c>
      <c r="BL1002" t="s">
        <v>702</v>
      </c>
      <c r="BM1002" t="s">
        <v>34358</v>
      </c>
      <c r="BN1002" t="s">
        <v>74</v>
      </c>
      <c r="BO1002" t="s">
        <v>74</v>
      </c>
      <c r="BP1002" t="s">
        <v>74</v>
      </c>
      <c r="BQ1002" t="s">
        <v>74</v>
      </c>
      <c r="BR1002" t="s">
        <v>102</v>
      </c>
      <c r="BS1002" t="s">
        <v>34357</v>
      </c>
      <c r="BT1002" t="str">
        <f>HYPERLINK("https%3A%2F%2Fwww.webofscience.com%2Fwos%2Fwoscc%2Ffull-record%2FWOS:000995831200001","View Full Record in Web of Science")</f>
        <v>View Full Record in Web of Science</v>
      </c>
    </row>
    <row r="1003" spans="1:72" x14ac:dyDescent="0.25">
      <c r="A1003" t="s">
        <v>72</v>
      </c>
      <c r="B1003" t="s">
        <v>34356</v>
      </c>
      <c r="C1003" t="s">
        <v>74</v>
      </c>
      <c r="D1003" t="s">
        <v>74</v>
      </c>
      <c r="E1003" t="s">
        <v>74</v>
      </c>
      <c r="F1003" t="s">
        <v>34355</v>
      </c>
      <c r="G1003" t="s">
        <v>74</v>
      </c>
      <c r="H1003" t="s">
        <v>74</v>
      </c>
      <c r="I1003" t="s">
        <v>34354</v>
      </c>
      <c r="J1003" t="s">
        <v>2030</v>
      </c>
      <c r="K1003" t="s">
        <v>74</v>
      </c>
      <c r="L1003" t="s">
        <v>74</v>
      </c>
      <c r="M1003" t="s">
        <v>78</v>
      </c>
      <c r="N1003" t="s">
        <v>79</v>
      </c>
      <c r="O1003" t="s">
        <v>74</v>
      </c>
      <c r="P1003" t="s">
        <v>74</v>
      </c>
      <c r="Q1003" t="s">
        <v>74</v>
      </c>
      <c r="R1003" t="s">
        <v>74</v>
      </c>
      <c r="S1003" t="s">
        <v>74</v>
      </c>
      <c r="T1003" t="s">
        <v>34353</v>
      </c>
      <c r="U1003" t="s">
        <v>34352</v>
      </c>
      <c r="V1003" t="s">
        <v>34351</v>
      </c>
      <c r="W1003" t="s">
        <v>34350</v>
      </c>
      <c r="X1003" t="s">
        <v>34349</v>
      </c>
      <c r="Y1003" t="s">
        <v>34348</v>
      </c>
      <c r="Z1003" t="s">
        <v>34347</v>
      </c>
      <c r="AA1003" t="s">
        <v>19707</v>
      </c>
      <c r="AB1003" t="s">
        <v>34346</v>
      </c>
      <c r="AC1003" t="s">
        <v>74</v>
      </c>
      <c r="AD1003" t="s">
        <v>74</v>
      </c>
      <c r="AE1003" t="s">
        <v>74</v>
      </c>
      <c r="AF1003" t="s">
        <v>74</v>
      </c>
      <c r="AG1003">
        <v>51</v>
      </c>
      <c r="AH1003">
        <v>16</v>
      </c>
      <c r="AI1003">
        <v>20</v>
      </c>
      <c r="AJ1003">
        <v>3</v>
      </c>
      <c r="AK1003">
        <v>28</v>
      </c>
      <c r="AL1003" t="s">
        <v>666</v>
      </c>
      <c r="AM1003" t="s">
        <v>667</v>
      </c>
      <c r="AN1003" t="s">
        <v>668</v>
      </c>
      <c r="AO1003" t="s">
        <v>2039</v>
      </c>
      <c r="AP1003" t="s">
        <v>74</v>
      </c>
      <c r="AQ1003" t="s">
        <v>74</v>
      </c>
      <c r="AR1003" t="s">
        <v>2040</v>
      </c>
      <c r="AS1003" t="s">
        <v>2041</v>
      </c>
      <c r="AT1003" t="s">
        <v>605</v>
      </c>
      <c r="AU1003">
        <v>2023</v>
      </c>
      <c r="AV1003">
        <v>10</v>
      </c>
      <c r="AW1003">
        <v>1</v>
      </c>
      <c r="AX1003" t="s">
        <v>74</v>
      </c>
      <c r="AY1003" t="s">
        <v>74</v>
      </c>
      <c r="AZ1003" t="s">
        <v>441</v>
      </c>
      <c r="BA1003" t="s">
        <v>74</v>
      </c>
      <c r="BB1003">
        <v>93</v>
      </c>
      <c r="BC1003">
        <v>103</v>
      </c>
      <c r="BD1003" t="s">
        <v>74</v>
      </c>
      <c r="BE1003" t="s">
        <v>34345</v>
      </c>
      <c r="BF1003" t="str">
        <f>HYPERLINK("http://dx.doi.org/10.1007/s40609-022-00259-2","http://dx.doi.org/10.1007/s40609-022-00259-2")</f>
        <v>http://dx.doi.org/10.1007/s40609-022-00259-2</v>
      </c>
      <c r="BG1003" t="s">
        <v>74</v>
      </c>
      <c r="BH1003" t="s">
        <v>7904</v>
      </c>
      <c r="BI1003">
        <v>11</v>
      </c>
      <c r="BJ1003" t="s">
        <v>2045</v>
      </c>
      <c r="BK1003" t="s">
        <v>313</v>
      </c>
      <c r="BL1003" t="s">
        <v>2045</v>
      </c>
      <c r="BM1003" t="s">
        <v>25286</v>
      </c>
      <c r="BN1003">
        <v>36532297</v>
      </c>
      <c r="BO1003" t="s">
        <v>16420</v>
      </c>
      <c r="BP1003" t="s">
        <v>74</v>
      </c>
      <c r="BQ1003" t="s">
        <v>74</v>
      </c>
      <c r="BR1003" t="s">
        <v>102</v>
      </c>
      <c r="BS1003" t="s">
        <v>34344</v>
      </c>
      <c r="BT1003" t="str">
        <f>HYPERLINK("https%3A%2F%2Fwww.webofscience.com%2Fwos%2Fwoscc%2Ffull-record%2FWOS:000896451200001","View Full Record in Web of Science")</f>
        <v>View Full Record in Web of Science</v>
      </c>
    </row>
    <row r="1004" spans="1:72" x14ac:dyDescent="0.25">
      <c r="A1004" t="s">
        <v>72</v>
      </c>
      <c r="B1004" t="s">
        <v>34343</v>
      </c>
      <c r="C1004" t="s">
        <v>74</v>
      </c>
      <c r="D1004" t="s">
        <v>74</v>
      </c>
      <c r="E1004" t="s">
        <v>74</v>
      </c>
      <c r="F1004" t="s">
        <v>34342</v>
      </c>
      <c r="G1004" t="s">
        <v>74</v>
      </c>
      <c r="H1004" t="s">
        <v>74</v>
      </c>
      <c r="I1004" t="s">
        <v>34341</v>
      </c>
      <c r="J1004" t="s">
        <v>5036</v>
      </c>
      <c r="K1004" t="s">
        <v>74</v>
      </c>
      <c r="L1004" t="s">
        <v>74</v>
      </c>
      <c r="M1004" t="s">
        <v>78</v>
      </c>
      <c r="N1004" t="s">
        <v>79</v>
      </c>
      <c r="O1004" t="s">
        <v>74</v>
      </c>
      <c r="P1004" t="s">
        <v>74</v>
      </c>
      <c r="Q1004" t="s">
        <v>74</v>
      </c>
      <c r="R1004" t="s">
        <v>74</v>
      </c>
      <c r="S1004" t="s">
        <v>74</v>
      </c>
      <c r="T1004" t="s">
        <v>34340</v>
      </c>
      <c r="U1004" t="s">
        <v>34339</v>
      </c>
      <c r="V1004" t="s">
        <v>34338</v>
      </c>
      <c r="W1004" t="s">
        <v>34337</v>
      </c>
      <c r="X1004" t="s">
        <v>34336</v>
      </c>
      <c r="Y1004" t="s">
        <v>34335</v>
      </c>
      <c r="Z1004" t="s">
        <v>34334</v>
      </c>
      <c r="AA1004" t="s">
        <v>74</v>
      </c>
      <c r="AB1004" t="s">
        <v>74</v>
      </c>
      <c r="AC1004" t="s">
        <v>34333</v>
      </c>
      <c r="AD1004" t="s">
        <v>34333</v>
      </c>
      <c r="AE1004" t="s">
        <v>34332</v>
      </c>
      <c r="AF1004" t="s">
        <v>74</v>
      </c>
      <c r="AG1004">
        <v>47</v>
      </c>
      <c r="AH1004">
        <v>107</v>
      </c>
      <c r="AI1004">
        <v>149</v>
      </c>
      <c r="AJ1004">
        <v>12</v>
      </c>
      <c r="AK1004">
        <v>120</v>
      </c>
      <c r="AL1004" t="s">
        <v>201</v>
      </c>
      <c r="AM1004" t="s">
        <v>202</v>
      </c>
      <c r="AN1004" t="s">
        <v>203</v>
      </c>
      <c r="AO1004" t="s">
        <v>5045</v>
      </c>
      <c r="AP1004" t="s">
        <v>5046</v>
      </c>
      <c r="AQ1004" t="s">
        <v>74</v>
      </c>
      <c r="AR1004" t="s">
        <v>5047</v>
      </c>
      <c r="AS1004" t="s">
        <v>5048</v>
      </c>
      <c r="AT1004" t="s">
        <v>1652</v>
      </c>
      <c r="AU1004">
        <v>2020</v>
      </c>
      <c r="AV1004">
        <v>68</v>
      </c>
      <c r="AW1004" t="s">
        <v>74</v>
      </c>
      <c r="AX1004" t="s">
        <v>74</v>
      </c>
      <c r="AY1004" t="s">
        <v>74</v>
      </c>
      <c r="AZ1004" t="s">
        <v>74</v>
      </c>
      <c r="BA1004" t="s">
        <v>74</v>
      </c>
      <c r="BB1004" t="s">
        <v>74</v>
      </c>
      <c r="BC1004" t="s">
        <v>74</v>
      </c>
      <c r="BD1004">
        <v>101197</v>
      </c>
      <c r="BE1004" t="s">
        <v>34331</v>
      </c>
      <c r="BF1004" t="str">
        <f>HYPERLINK("http://dx.doi.org/10.1016/j.asieco.2020.101197","http://dx.doi.org/10.1016/j.asieco.2020.101197")</f>
        <v>http://dx.doi.org/10.1016/j.asieco.2020.101197</v>
      </c>
      <c r="BG1004" t="s">
        <v>74</v>
      </c>
      <c r="BH1004" t="s">
        <v>74</v>
      </c>
      <c r="BI1004">
        <v>20</v>
      </c>
      <c r="BJ1004" t="s">
        <v>291</v>
      </c>
      <c r="BK1004" t="s">
        <v>99</v>
      </c>
      <c r="BL1004" t="s">
        <v>100</v>
      </c>
      <c r="BM1004" t="s">
        <v>34330</v>
      </c>
      <c r="BN1004" t="s">
        <v>74</v>
      </c>
      <c r="BO1004" t="s">
        <v>74</v>
      </c>
      <c r="BP1004" t="s">
        <v>74</v>
      </c>
      <c r="BQ1004" t="s">
        <v>74</v>
      </c>
      <c r="BR1004" t="s">
        <v>102</v>
      </c>
      <c r="BS1004" t="s">
        <v>34329</v>
      </c>
      <c r="BT1004" t="str">
        <f>HYPERLINK("https%3A%2F%2Fwww.webofscience.com%2Fwos%2Fwoscc%2Ffull-record%2FWOS:000539468000006","View Full Record in Web of Science")</f>
        <v>View Full Record in Web of Science</v>
      </c>
    </row>
    <row r="1005" spans="1:72" x14ac:dyDescent="0.25">
      <c r="A1005" t="s">
        <v>72</v>
      </c>
      <c r="B1005" t="s">
        <v>34328</v>
      </c>
      <c r="C1005" t="s">
        <v>74</v>
      </c>
      <c r="D1005" t="s">
        <v>74</v>
      </c>
      <c r="E1005" t="s">
        <v>74</v>
      </c>
      <c r="F1005" t="s">
        <v>34327</v>
      </c>
      <c r="G1005" t="s">
        <v>74</v>
      </c>
      <c r="H1005" t="s">
        <v>74</v>
      </c>
      <c r="I1005" t="s">
        <v>34326</v>
      </c>
      <c r="J1005" t="s">
        <v>34325</v>
      </c>
      <c r="K1005" t="s">
        <v>74</v>
      </c>
      <c r="L1005" t="s">
        <v>74</v>
      </c>
      <c r="M1005" t="s">
        <v>78</v>
      </c>
      <c r="N1005" t="s">
        <v>1766</v>
      </c>
      <c r="O1005" t="s">
        <v>74</v>
      </c>
      <c r="P1005" t="s">
        <v>74</v>
      </c>
      <c r="Q1005" t="s">
        <v>74</v>
      </c>
      <c r="R1005" t="s">
        <v>74</v>
      </c>
      <c r="S1005" t="s">
        <v>74</v>
      </c>
      <c r="T1005" t="s">
        <v>34324</v>
      </c>
      <c r="U1005" t="s">
        <v>34323</v>
      </c>
      <c r="V1005" t="s">
        <v>34322</v>
      </c>
      <c r="W1005" t="s">
        <v>34321</v>
      </c>
      <c r="X1005" t="s">
        <v>34320</v>
      </c>
      <c r="Y1005" t="s">
        <v>34319</v>
      </c>
      <c r="Z1005" t="s">
        <v>34318</v>
      </c>
      <c r="AA1005" t="s">
        <v>74</v>
      </c>
      <c r="AB1005" t="s">
        <v>74</v>
      </c>
      <c r="AC1005" t="s">
        <v>34317</v>
      </c>
      <c r="AD1005" t="s">
        <v>34317</v>
      </c>
      <c r="AE1005" t="s">
        <v>34316</v>
      </c>
      <c r="AF1005" t="s">
        <v>74</v>
      </c>
      <c r="AG1005">
        <v>97</v>
      </c>
      <c r="AH1005">
        <v>64</v>
      </c>
      <c r="AI1005">
        <v>78</v>
      </c>
      <c r="AJ1005">
        <v>31</v>
      </c>
      <c r="AK1005">
        <v>437</v>
      </c>
      <c r="AL1005" t="s">
        <v>2371</v>
      </c>
      <c r="AM1005" t="s">
        <v>2372</v>
      </c>
      <c r="AN1005" t="s">
        <v>2373</v>
      </c>
      <c r="AO1005" t="s">
        <v>34315</v>
      </c>
      <c r="AP1005" t="s">
        <v>34314</v>
      </c>
      <c r="AQ1005" t="s">
        <v>74</v>
      </c>
      <c r="AR1005" t="s">
        <v>34313</v>
      </c>
      <c r="AS1005" t="s">
        <v>34312</v>
      </c>
      <c r="AT1005" t="s">
        <v>74</v>
      </c>
      <c r="AU1005">
        <v>2021</v>
      </c>
      <c r="AV1005">
        <v>86</v>
      </c>
      <c r="AW1005">
        <v>1</v>
      </c>
      <c r="AX1005" t="s">
        <v>74</v>
      </c>
      <c r="AY1005" t="s">
        <v>74</v>
      </c>
      <c r="AZ1005" t="s">
        <v>74</v>
      </c>
      <c r="BA1005" t="s">
        <v>74</v>
      </c>
      <c r="BB1005">
        <v>67</v>
      </c>
      <c r="BC1005">
        <v>88</v>
      </c>
      <c r="BD1005" t="s">
        <v>74</v>
      </c>
      <c r="BE1005" t="s">
        <v>74</v>
      </c>
      <c r="BF1005" t="s">
        <v>74</v>
      </c>
      <c r="BG1005" t="s">
        <v>74</v>
      </c>
      <c r="BH1005" t="s">
        <v>74</v>
      </c>
      <c r="BI1005">
        <v>22</v>
      </c>
      <c r="BJ1005" t="s">
        <v>34311</v>
      </c>
      <c r="BK1005" t="s">
        <v>2623</v>
      </c>
      <c r="BL1005" t="s">
        <v>33956</v>
      </c>
      <c r="BM1005" t="s">
        <v>34310</v>
      </c>
      <c r="BN1005" t="s">
        <v>74</v>
      </c>
      <c r="BO1005" t="s">
        <v>270</v>
      </c>
      <c r="BP1005" t="s">
        <v>74</v>
      </c>
      <c r="BQ1005" t="s">
        <v>74</v>
      </c>
      <c r="BR1005" t="s">
        <v>102</v>
      </c>
      <c r="BS1005" t="s">
        <v>34309</v>
      </c>
      <c r="BT1005" t="str">
        <f>HYPERLINK("https%3A%2F%2Fwww.webofscience.com%2Fwos%2Fwoscc%2Ffull-record%2FWOS:000665078200004","View Full Record in Web of Science")</f>
        <v>View Full Record in Web of Science</v>
      </c>
    </row>
    <row r="1006" spans="1:72" x14ac:dyDescent="0.25">
      <c r="A1006" t="s">
        <v>72</v>
      </c>
      <c r="B1006" t="s">
        <v>34308</v>
      </c>
      <c r="C1006" t="s">
        <v>74</v>
      </c>
      <c r="D1006" t="s">
        <v>74</v>
      </c>
      <c r="E1006" t="s">
        <v>74</v>
      </c>
      <c r="F1006" t="s">
        <v>34307</v>
      </c>
      <c r="G1006" t="s">
        <v>74</v>
      </c>
      <c r="H1006" t="s">
        <v>74</v>
      </c>
      <c r="I1006" t="s">
        <v>34306</v>
      </c>
      <c r="J1006" t="s">
        <v>9372</v>
      </c>
      <c r="K1006" t="s">
        <v>74</v>
      </c>
      <c r="L1006" t="s">
        <v>74</v>
      </c>
      <c r="M1006" t="s">
        <v>78</v>
      </c>
      <c r="N1006" t="s">
        <v>79</v>
      </c>
      <c r="O1006" t="s">
        <v>74</v>
      </c>
      <c r="P1006" t="s">
        <v>74</v>
      </c>
      <c r="Q1006" t="s">
        <v>74</v>
      </c>
      <c r="R1006" t="s">
        <v>74</v>
      </c>
      <c r="S1006" t="s">
        <v>74</v>
      </c>
      <c r="T1006" t="s">
        <v>34305</v>
      </c>
      <c r="U1006" t="s">
        <v>34304</v>
      </c>
      <c r="V1006" t="s">
        <v>34303</v>
      </c>
      <c r="W1006" t="s">
        <v>34302</v>
      </c>
      <c r="X1006" t="s">
        <v>34301</v>
      </c>
      <c r="Y1006" t="s">
        <v>34300</v>
      </c>
      <c r="Z1006" t="s">
        <v>34299</v>
      </c>
      <c r="AA1006" t="s">
        <v>34298</v>
      </c>
      <c r="AB1006" t="s">
        <v>34297</v>
      </c>
      <c r="AC1006" t="s">
        <v>74</v>
      </c>
      <c r="AD1006" t="s">
        <v>74</v>
      </c>
      <c r="AE1006" t="s">
        <v>74</v>
      </c>
      <c r="AF1006" t="s">
        <v>74</v>
      </c>
      <c r="AG1006">
        <v>107</v>
      </c>
      <c r="AH1006">
        <v>45</v>
      </c>
      <c r="AI1006">
        <v>51</v>
      </c>
      <c r="AJ1006">
        <v>11</v>
      </c>
      <c r="AK1006">
        <v>107</v>
      </c>
      <c r="AL1006" t="s">
        <v>201</v>
      </c>
      <c r="AM1006" t="s">
        <v>202</v>
      </c>
      <c r="AN1006" t="s">
        <v>203</v>
      </c>
      <c r="AO1006" t="s">
        <v>9384</v>
      </c>
      <c r="AP1006" t="s">
        <v>9385</v>
      </c>
      <c r="AQ1006" t="s">
        <v>74</v>
      </c>
      <c r="AR1006" t="s">
        <v>9386</v>
      </c>
      <c r="AS1006" t="s">
        <v>9387</v>
      </c>
      <c r="AT1006" t="s">
        <v>1159</v>
      </c>
      <c r="AU1006">
        <v>2023</v>
      </c>
      <c r="AV1006">
        <v>66</v>
      </c>
      <c r="AW1006" t="s">
        <v>74</v>
      </c>
      <c r="AX1006" t="s">
        <v>74</v>
      </c>
      <c r="AY1006" t="s">
        <v>74</v>
      </c>
      <c r="AZ1006" t="s">
        <v>74</v>
      </c>
      <c r="BA1006" t="s">
        <v>74</v>
      </c>
      <c r="BB1006" t="s">
        <v>74</v>
      </c>
      <c r="BC1006" t="s">
        <v>74</v>
      </c>
      <c r="BD1006">
        <v>101993</v>
      </c>
      <c r="BE1006" t="s">
        <v>34296</v>
      </c>
      <c r="BF1006" t="str">
        <f>HYPERLINK("http://dx.doi.org/10.1016/j.ribaf.2023.101993","http://dx.doi.org/10.1016/j.ribaf.2023.101993")</f>
        <v>http://dx.doi.org/10.1016/j.ribaf.2023.101993</v>
      </c>
      <c r="BG1006" t="s">
        <v>74</v>
      </c>
      <c r="BH1006" t="s">
        <v>6418</v>
      </c>
      <c r="BI1006">
        <v>17</v>
      </c>
      <c r="BJ1006" t="s">
        <v>268</v>
      </c>
      <c r="BK1006" t="s">
        <v>99</v>
      </c>
      <c r="BL1006" t="s">
        <v>100</v>
      </c>
      <c r="BM1006" t="s">
        <v>34295</v>
      </c>
      <c r="BN1006" t="s">
        <v>74</v>
      </c>
      <c r="BO1006" t="s">
        <v>74</v>
      </c>
      <c r="BP1006" t="s">
        <v>74</v>
      </c>
      <c r="BQ1006" t="s">
        <v>74</v>
      </c>
      <c r="BR1006" t="s">
        <v>102</v>
      </c>
      <c r="BS1006" t="s">
        <v>34294</v>
      </c>
      <c r="BT1006" t="str">
        <f>HYPERLINK("https%3A%2F%2Fwww.webofscience.com%2Fwos%2Fwoscc%2Ffull-record%2FWOS:001012604700001","View Full Record in Web of Science")</f>
        <v>View Full Record in Web of Science</v>
      </c>
    </row>
    <row r="1007" spans="1:72" x14ac:dyDescent="0.25">
      <c r="A1007" t="s">
        <v>132</v>
      </c>
      <c r="B1007" t="s">
        <v>34293</v>
      </c>
      <c r="C1007" t="s">
        <v>74</v>
      </c>
      <c r="D1007" t="s">
        <v>74</v>
      </c>
      <c r="E1007" t="s">
        <v>771</v>
      </c>
      <c r="F1007" t="s">
        <v>34292</v>
      </c>
      <c r="G1007" t="s">
        <v>74</v>
      </c>
      <c r="H1007" t="s">
        <v>74</v>
      </c>
      <c r="I1007" t="s">
        <v>34291</v>
      </c>
      <c r="J1007" t="s">
        <v>34290</v>
      </c>
      <c r="K1007" t="s">
        <v>34289</v>
      </c>
      <c r="L1007" t="s">
        <v>74</v>
      </c>
      <c r="M1007" t="s">
        <v>78</v>
      </c>
      <c r="N1007" t="s">
        <v>138</v>
      </c>
      <c r="O1007" t="s">
        <v>34288</v>
      </c>
      <c r="P1007" t="s">
        <v>34287</v>
      </c>
      <c r="Q1007" t="s">
        <v>34286</v>
      </c>
      <c r="R1007" t="s">
        <v>771</v>
      </c>
      <c r="S1007" t="s">
        <v>74</v>
      </c>
      <c r="T1007" t="s">
        <v>34285</v>
      </c>
      <c r="U1007" t="s">
        <v>74</v>
      </c>
      <c r="V1007" t="s">
        <v>34284</v>
      </c>
      <c r="W1007" t="s">
        <v>34283</v>
      </c>
      <c r="X1007" t="s">
        <v>34282</v>
      </c>
      <c r="Y1007" t="s">
        <v>34281</v>
      </c>
      <c r="Z1007" t="s">
        <v>34280</v>
      </c>
      <c r="AA1007" t="s">
        <v>34279</v>
      </c>
      <c r="AB1007" t="s">
        <v>74</v>
      </c>
      <c r="AC1007" t="s">
        <v>74</v>
      </c>
      <c r="AD1007" t="s">
        <v>74</v>
      </c>
      <c r="AE1007" t="s">
        <v>74</v>
      </c>
      <c r="AF1007" t="s">
        <v>74</v>
      </c>
      <c r="AG1007">
        <v>27</v>
      </c>
      <c r="AH1007">
        <v>0</v>
      </c>
      <c r="AI1007">
        <v>0</v>
      </c>
      <c r="AJ1007">
        <v>0</v>
      </c>
      <c r="AK1007">
        <v>6</v>
      </c>
      <c r="AL1007" t="s">
        <v>771</v>
      </c>
      <c r="AM1007" t="s">
        <v>151</v>
      </c>
      <c r="AN1007" t="s">
        <v>785</v>
      </c>
      <c r="AO1007" t="s">
        <v>34278</v>
      </c>
      <c r="AP1007" t="s">
        <v>74</v>
      </c>
      <c r="AQ1007" t="s">
        <v>34277</v>
      </c>
      <c r="AR1007" t="s">
        <v>34276</v>
      </c>
      <c r="AS1007" t="s">
        <v>74</v>
      </c>
      <c r="AT1007" t="s">
        <v>74</v>
      </c>
      <c r="AU1007">
        <v>2013</v>
      </c>
      <c r="AV1007" t="s">
        <v>74</v>
      </c>
      <c r="AW1007" t="s">
        <v>74</v>
      </c>
      <c r="AX1007" t="s">
        <v>74</v>
      </c>
      <c r="AY1007" t="s">
        <v>74</v>
      </c>
      <c r="AZ1007" t="s">
        <v>74</v>
      </c>
      <c r="BA1007" t="s">
        <v>74</v>
      </c>
      <c r="BB1007" t="s">
        <v>74</v>
      </c>
      <c r="BC1007" t="s">
        <v>74</v>
      </c>
      <c r="BD1007" t="s">
        <v>74</v>
      </c>
      <c r="BE1007" t="s">
        <v>74</v>
      </c>
      <c r="BF1007" t="s">
        <v>74</v>
      </c>
      <c r="BG1007" t="s">
        <v>74</v>
      </c>
      <c r="BH1007" t="s">
        <v>74</v>
      </c>
      <c r="BI1007">
        <v>4</v>
      </c>
      <c r="BJ1007" t="s">
        <v>980</v>
      </c>
      <c r="BK1007" t="s">
        <v>156</v>
      </c>
      <c r="BL1007" t="s">
        <v>981</v>
      </c>
      <c r="BM1007" t="s">
        <v>34275</v>
      </c>
      <c r="BN1007" t="s">
        <v>74</v>
      </c>
      <c r="BO1007" t="s">
        <v>74</v>
      </c>
      <c r="BP1007" t="s">
        <v>74</v>
      </c>
      <c r="BQ1007" t="s">
        <v>74</v>
      </c>
      <c r="BR1007" t="s">
        <v>102</v>
      </c>
      <c r="BS1007" t="s">
        <v>34274</v>
      </c>
      <c r="BT1007" t="str">
        <f>HYPERLINK("https%3A%2F%2Fwww.webofscience.com%2Fwos%2Fwoscc%2Ffull-record%2FWOS:000345618800089","View Full Record in Web of Science")</f>
        <v>View Full Record in Web of Science</v>
      </c>
    </row>
    <row r="1008" spans="1:72" x14ac:dyDescent="0.25">
      <c r="A1008" t="s">
        <v>72</v>
      </c>
      <c r="B1008" t="s">
        <v>34273</v>
      </c>
      <c r="C1008" t="s">
        <v>74</v>
      </c>
      <c r="D1008" t="s">
        <v>74</v>
      </c>
      <c r="E1008" t="s">
        <v>74</v>
      </c>
      <c r="F1008" t="s">
        <v>34272</v>
      </c>
      <c r="G1008" t="s">
        <v>74</v>
      </c>
      <c r="H1008" t="s">
        <v>74</v>
      </c>
      <c r="I1008" t="s">
        <v>34271</v>
      </c>
      <c r="J1008" t="s">
        <v>3439</v>
      </c>
      <c r="K1008" t="s">
        <v>74</v>
      </c>
      <c r="L1008" t="s">
        <v>74</v>
      </c>
      <c r="M1008" t="s">
        <v>78</v>
      </c>
      <c r="N1008" t="s">
        <v>79</v>
      </c>
      <c r="O1008" t="s">
        <v>74</v>
      </c>
      <c r="P1008" t="s">
        <v>74</v>
      </c>
      <c r="Q1008" t="s">
        <v>74</v>
      </c>
      <c r="R1008" t="s">
        <v>74</v>
      </c>
      <c r="S1008" t="s">
        <v>74</v>
      </c>
      <c r="T1008" t="s">
        <v>34270</v>
      </c>
      <c r="U1008" t="s">
        <v>34269</v>
      </c>
      <c r="V1008" t="s">
        <v>34268</v>
      </c>
      <c r="W1008" t="s">
        <v>34267</v>
      </c>
      <c r="X1008" t="s">
        <v>9303</v>
      </c>
      <c r="Y1008" t="s">
        <v>34266</v>
      </c>
      <c r="Z1008" t="s">
        <v>8227</v>
      </c>
      <c r="AA1008" t="s">
        <v>34265</v>
      </c>
      <c r="AB1008" t="s">
        <v>8229</v>
      </c>
      <c r="AC1008" t="s">
        <v>74</v>
      </c>
      <c r="AD1008" t="s">
        <v>74</v>
      </c>
      <c r="AE1008" t="s">
        <v>74</v>
      </c>
      <c r="AF1008" t="s">
        <v>74</v>
      </c>
      <c r="AG1008">
        <v>107</v>
      </c>
      <c r="AH1008">
        <v>23</v>
      </c>
      <c r="AI1008">
        <v>29</v>
      </c>
      <c r="AJ1008">
        <v>3</v>
      </c>
      <c r="AK1008">
        <v>50</v>
      </c>
      <c r="AL1008" t="s">
        <v>823</v>
      </c>
      <c r="AM1008" t="s">
        <v>333</v>
      </c>
      <c r="AN1008" t="s">
        <v>824</v>
      </c>
      <c r="AO1008" t="s">
        <v>3443</v>
      </c>
      <c r="AP1008" t="s">
        <v>74</v>
      </c>
      <c r="AQ1008" t="s">
        <v>74</v>
      </c>
      <c r="AR1008" t="s">
        <v>3444</v>
      </c>
      <c r="AS1008" t="s">
        <v>3445</v>
      </c>
      <c r="AT1008" t="s">
        <v>2970</v>
      </c>
      <c r="AU1008">
        <v>2022</v>
      </c>
      <c r="AV1008">
        <v>10</v>
      </c>
      <c r="AW1008">
        <v>1</v>
      </c>
      <c r="AX1008" t="s">
        <v>74</v>
      </c>
      <c r="AY1008" t="s">
        <v>74</v>
      </c>
      <c r="AZ1008" t="s">
        <v>74</v>
      </c>
      <c r="BA1008" t="s">
        <v>74</v>
      </c>
      <c r="BB1008" t="s">
        <v>74</v>
      </c>
      <c r="BC1008" t="s">
        <v>74</v>
      </c>
      <c r="BD1008">
        <v>2133356</v>
      </c>
      <c r="BE1008" t="s">
        <v>34264</v>
      </c>
      <c r="BF1008" t="str">
        <f>HYPERLINK("http://dx.doi.org/10.1080/23322039.2022.2133356","http://dx.doi.org/10.1080/23322039.2022.2133356")</f>
        <v>http://dx.doi.org/10.1080/23322039.2022.2133356</v>
      </c>
      <c r="BG1008" t="s">
        <v>74</v>
      </c>
      <c r="BH1008" t="s">
        <v>74</v>
      </c>
      <c r="BI1008">
        <v>30</v>
      </c>
      <c r="BJ1008" t="s">
        <v>291</v>
      </c>
      <c r="BK1008" t="s">
        <v>313</v>
      </c>
      <c r="BL1008" t="s">
        <v>100</v>
      </c>
      <c r="BM1008" t="s">
        <v>34263</v>
      </c>
      <c r="BN1008" t="s">
        <v>74</v>
      </c>
      <c r="BO1008" t="s">
        <v>916</v>
      </c>
      <c r="BP1008" t="s">
        <v>74</v>
      </c>
      <c r="BQ1008" t="s">
        <v>74</v>
      </c>
      <c r="BR1008" t="s">
        <v>102</v>
      </c>
      <c r="BS1008" t="s">
        <v>34262</v>
      </c>
      <c r="BT1008" t="str">
        <f>HYPERLINK("https%3A%2F%2Fwww.webofscience.com%2Fwos%2Fwoscc%2Ffull-record%2FWOS:000877934200001","View Full Record in Web of Science")</f>
        <v>View Full Record in Web of Science</v>
      </c>
    </row>
    <row r="1009" spans="1:72" x14ac:dyDescent="0.25">
      <c r="A1009" t="s">
        <v>72</v>
      </c>
      <c r="B1009" t="s">
        <v>34261</v>
      </c>
      <c r="C1009" t="s">
        <v>74</v>
      </c>
      <c r="D1009" t="s">
        <v>74</v>
      </c>
      <c r="E1009" t="s">
        <v>74</v>
      </c>
      <c r="F1009" t="s">
        <v>34260</v>
      </c>
      <c r="G1009" t="s">
        <v>74</v>
      </c>
      <c r="H1009" t="s">
        <v>74</v>
      </c>
      <c r="I1009" t="s">
        <v>34259</v>
      </c>
      <c r="J1009" t="s">
        <v>20579</v>
      </c>
      <c r="K1009" t="s">
        <v>74</v>
      </c>
      <c r="L1009" t="s">
        <v>74</v>
      </c>
      <c r="M1009" t="s">
        <v>78</v>
      </c>
      <c r="N1009" t="s">
        <v>79</v>
      </c>
      <c r="O1009" t="s">
        <v>74</v>
      </c>
      <c r="P1009" t="s">
        <v>74</v>
      </c>
      <c r="Q1009" t="s">
        <v>74</v>
      </c>
      <c r="R1009" t="s">
        <v>74</v>
      </c>
      <c r="S1009" t="s">
        <v>74</v>
      </c>
      <c r="T1009" t="s">
        <v>34258</v>
      </c>
      <c r="U1009" t="s">
        <v>34257</v>
      </c>
      <c r="V1009" t="s">
        <v>34256</v>
      </c>
      <c r="W1009" t="s">
        <v>34255</v>
      </c>
      <c r="X1009" t="s">
        <v>34254</v>
      </c>
      <c r="Y1009" t="s">
        <v>34253</v>
      </c>
      <c r="Z1009" t="s">
        <v>34252</v>
      </c>
      <c r="AA1009" t="s">
        <v>34251</v>
      </c>
      <c r="AB1009" t="s">
        <v>34250</v>
      </c>
      <c r="AC1009" t="s">
        <v>74</v>
      </c>
      <c r="AD1009" t="s">
        <v>74</v>
      </c>
      <c r="AE1009" t="s">
        <v>34249</v>
      </c>
      <c r="AF1009" t="s">
        <v>74</v>
      </c>
      <c r="AG1009">
        <v>52</v>
      </c>
      <c r="AH1009">
        <v>5</v>
      </c>
      <c r="AI1009">
        <v>5</v>
      </c>
      <c r="AJ1009">
        <v>2</v>
      </c>
      <c r="AK1009">
        <v>5</v>
      </c>
      <c r="AL1009" t="s">
        <v>89</v>
      </c>
      <c r="AM1009" t="s">
        <v>90</v>
      </c>
      <c r="AN1009" t="s">
        <v>91</v>
      </c>
      <c r="AO1009" t="s">
        <v>20569</v>
      </c>
      <c r="AP1009" t="s">
        <v>20568</v>
      </c>
      <c r="AQ1009" t="s">
        <v>74</v>
      </c>
      <c r="AR1009" t="s">
        <v>20567</v>
      </c>
      <c r="AS1009" t="s">
        <v>20566</v>
      </c>
      <c r="AT1009" t="s">
        <v>20565</v>
      </c>
      <c r="AU1009">
        <v>2025</v>
      </c>
      <c r="AV1009">
        <v>23</v>
      </c>
      <c r="AW1009">
        <v>2</v>
      </c>
      <c r="AX1009" t="s">
        <v>74</v>
      </c>
      <c r="AY1009" t="s">
        <v>74</v>
      </c>
      <c r="AZ1009" t="s">
        <v>441</v>
      </c>
      <c r="BA1009" t="s">
        <v>74</v>
      </c>
      <c r="BB1009">
        <v>550</v>
      </c>
      <c r="BC1009">
        <v>574</v>
      </c>
      <c r="BD1009" t="s">
        <v>74</v>
      </c>
      <c r="BE1009" t="s">
        <v>34248</v>
      </c>
      <c r="BF1009" t="str">
        <f>HYPERLINK("http://dx.doi.org/10.1108/JFRA-12-2023-0789","http://dx.doi.org/10.1108/JFRA-12-2023-0789")</f>
        <v>http://dx.doi.org/10.1108/JFRA-12-2023-0789</v>
      </c>
      <c r="BG1009" t="s">
        <v>74</v>
      </c>
      <c r="BH1009" t="s">
        <v>2524</v>
      </c>
      <c r="BI1009">
        <v>25</v>
      </c>
      <c r="BJ1009" t="s">
        <v>268</v>
      </c>
      <c r="BK1009" t="s">
        <v>313</v>
      </c>
      <c r="BL1009" t="s">
        <v>100</v>
      </c>
      <c r="BM1009" t="s">
        <v>20563</v>
      </c>
      <c r="BN1009" t="s">
        <v>74</v>
      </c>
      <c r="BO1009" t="s">
        <v>74</v>
      </c>
      <c r="BP1009" t="s">
        <v>74</v>
      </c>
      <c r="BQ1009" t="s">
        <v>74</v>
      </c>
      <c r="BR1009" t="s">
        <v>102</v>
      </c>
      <c r="BS1009" t="s">
        <v>34247</v>
      </c>
      <c r="BT1009" t="str">
        <f>HYPERLINK("https%3A%2F%2Fwww.webofscience.com%2Fwos%2Fwoscc%2Ffull-record%2FWOS:001274119000001","View Full Record in Web of Science")</f>
        <v>View Full Record in Web of Science</v>
      </c>
    </row>
    <row r="1010" spans="1:72" x14ac:dyDescent="0.25">
      <c r="A1010" t="s">
        <v>3790</v>
      </c>
      <c r="B1010" t="s">
        <v>34246</v>
      </c>
      <c r="C1010" t="s">
        <v>74</v>
      </c>
      <c r="D1010" t="s">
        <v>34245</v>
      </c>
      <c r="E1010" t="s">
        <v>74</v>
      </c>
      <c r="F1010" t="s">
        <v>34244</v>
      </c>
      <c r="G1010" t="s">
        <v>74</v>
      </c>
      <c r="H1010" t="s">
        <v>74</v>
      </c>
      <c r="I1010" t="s">
        <v>34243</v>
      </c>
      <c r="J1010" t="s">
        <v>34242</v>
      </c>
      <c r="K1010" t="s">
        <v>34241</v>
      </c>
      <c r="L1010" t="s">
        <v>74</v>
      </c>
      <c r="M1010" t="s">
        <v>78</v>
      </c>
      <c r="N1010" t="s">
        <v>6023</v>
      </c>
      <c r="O1010" t="s">
        <v>74</v>
      </c>
      <c r="P1010" t="s">
        <v>74</v>
      </c>
      <c r="Q1010" t="s">
        <v>74</v>
      </c>
      <c r="R1010" t="s">
        <v>74</v>
      </c>
      <c r="S1010" t="s">
        <v>74</v>
      </c>
      <c r="T1010" t="s">
        <v>34240</v>
      </c>
      <c r="U1010" t="s">
        <v>34239</v>
      </c>
      <c r="V1010" t="s">
        <v>34238</v>
      </c>
      <c r="W1010" t="s">
        <v>34237</v>
      </c>
      <c r="X1010" t="s">
        <v>34236</v>
      </c>
      <c r="Y1010" t="s">
        <v>34235</v>
      </c>
      <c r="Z1010" t="s">
        <v>74</v>
      </c>
      <c r="AA1010" t="s">
        <v>20277</v>
      </c>
      <c r="AB1010" t="s">
        <v>20276</v>
      </c>
      <c r="AC1010" t="s">
        <v>74</v>
      </c>
      <c r="AD1010" t="s">
        <v>74</v>
      </c>
      <c r="AE1010" t="s">
        <v>74</v>
      </c>
      <c r="AF1010" t="s">
        <v>74</v>
      </c>
      <c r="AG1010">
        <v>214</v>
      </c>
      <c r="AH1010">
        <v>126</v>
      </c>
      <c r="AI1010">
        <v>169</v>
      </c>
      <c r="AJ1010">
        <v>0</v>
      </c>
      <c r="AK1010">
        <v>20</v>
      </c>
      <c r="AL1010" t="s">
        <v>34234</v>
      </c>
      <c r="AM1010" t="s">
        <v>202</v>
      </c>
      <c r="AN1010" t="s">
        <v>23868</v>
      </c>
      <c r="AO1010" t="s">
        <v>34233</v>
      </c>
      <c r="AP1010" t="s">
        <v>74</v>
      </c>
      <c r="AQ1010" t="s">
        <v>34232</v>
      </c>
      <c r="AR1010" t="s">
        <v>34231</v>
      </c>
      <c r="AS1010" t="s">
        <v>74</v>
      </c>
      <c r="AT1010" t="s">
        <v>74</v>
      </c>
      <c r="AU1010">
        <v>2010</v>
      </c>
      <c r="AV1010">
        <v>5</v>
      </c>
      <c r="AW1010" t="s">
        <v>74</v>
      </c>
      <c r="AX1010" t="s">
        <v>74</v>
      </c>
      <c r="AY1010" t="s">
        <v>74</v>
      </c>
      <c r="AZ1010" t="s">
        <v>74</v>
      </c>
      <c r="BA1010" t="s">
        <v>74</v>
      </c>
      <c r="BB1010">
        <v>4703</v>
      </c>
      <c r="BC1010">
        <v>4784</v>
      </c>
      <c r="BD1010" t="s">
        <v>74</v>
      </c>
      <c r="BE1010" t="s">
        <v>34230</v>
      </c>
      <c r="BF1010" t="str">
        <f>HYPERLINK("http://dx.doi.org/10.1016/B978-0-444-52944-2.00009-4","http://dx.doi.org/10.1016/B978-0-444-52944-2.00009-4")</f>
        <v>http://dx.doi.org/10.1016/B978-0-444-52944-2.00009-4</v>
      </c>
      <c r="BG1010" t="s">
        <v>74</v>
      </c>
      <c r="BH1010" t="s">
        <v>74</v>
      </c>
      <c r="BI1010">
        <v>82</v>
      </c>
      <c r="BJ1010" t="s">
        <v>1405</v>
      </c>
      <c r="BK1010" t="s">
        <v>8314</v>
      </c>
      <c r="BL1010" t="s">
        <v>1406</v>
      </c>
      <c r="BM1010" t="s">
        <v>34229</v>
      </c>
      <c r="BN1010" t="s">
        <v>74</v>
      </c>
      <c r="BO1010" t="s">
        <v>74</v>
      </c>
      <c r="BP1010" t="s">
        <v>74</v>
      </c>
      <c r="BQ1010" t="s">
        <v>74</v>
      </c>
      <c r="BR1010" t="s">
        <v>102</v>
      </c>
      <c r="BS1010" t="s">
        <v>34228</v>
      </c>
      <c r="BT1010" t="str">
        <f>HYPERLINK("https%3A%2F%2Fwww.webofscience.com%2Fwos%2Fwoscc%2Ffull-record%2FWOS:000321951000011","View Full Record in Web of Science")</f>
        <v>View Full Record in Web of Science</v>
      </c>
    </row>
    <row r="1011" spans="1:72" x14ac:dyDescent="0.25">
      <c r="A1011" t="s">
        <v>132</v>
      </c>
      <c r="B1011" t="s">
        <v>34227</v>
      </c>
      <c r="C1011" t="s">
        <v>21238</v>
      </c>
      <c r="D1011" t="s">
        <v>74</v>
      </c>
      <c r="E1011" t="s">
        <v>74</v>
      </c>
      <c r="F1011" t="s">
        <v>34226</v>
      </c>
      <c r="G1011" t="s">
        <v>21238</v>
      </c>
      <c r="H1011" t="s">
        <v>74</v>
      </c>
      <c r="I1011" t="s">
        <v>34225</v>
      </c>
      <c r="J1011" t="s">
        <v>21236</v>
      </c>
      <c r="K1011" t="s">
        <v>2425</v>
      </c>
      <c r="L1011" t="s">
        <v>74</v>
      </c>
      <c r="M1011" t="s">
        <v>78</v>
      </c>
      <c r="N1011" t="s">
        <v>138</v>
      </c>
      <c r="O1011" t="s">
        <v>34224</v>
      </c>
      <c r="P1011" t="s">
        <v>21234</v>
      </c>
      <c r="Q1011" t="s">
        <v>21233</v>
      </c>
      <c r="R1011" t="s">
        <v>74</v>
      </c>
      <c r="S1011" t="s">
        <v>74</v>
      </c>
      <c r="T1011" t="s">
        <v>34223</v>
      </c>
      <c r="U1011" t="s">
        <v>74</v>
      </c>
      <c r="V1011" t="s">
        <v>34222</v>
      </c>
      <c r="W1011" t="s">
        <v>34221</v>
      </c>
      <c r="X1011" t="s">
        <v>74</v>
      </c>
      <c r="Y1011" t="s">
        <v>34220</v>
      </c>
      <c r="Z1011" t="s">
        <v>34219</v>
      </c>
      <c r="AA1011" t="s">
        <v>74</v>
      </c>
      <c r="AB1011" t="s">
        <v>34218</v>
      </c>
      <c r="AC1011" t="s">
        <v>74</v>
      </c>
      <c r="AD1011" t="s">
        <v>74</v>
      </c>
      <c r="AE1011" t="s">
        <v>74</v>
      </c>
      <c r="AF1011" t="s">
        <v>74</v>
      </c>
      <c r="AG1011">
        <v>9</v>
      </c>
      <c r="AH1011">
        <v>10</v>
      </c>
      <c r="AI1011">
        <v>13</v>
      </c>
      <c r="AJ1011">
        <v>0</v>
      </c>
      <c r="AK1011">
        <v>17</v>
      </c>
      <c r="AL1011" t="s">
        <v>3807</v>
      </c>
      <c r="AM1011" t="s">
        <v>3098</v>
      </c>
      <c r="AN1011" t="s">
        <v>3808</v>
      </c>
      <c r="AO1011" t="s">
        <v>2437</v>
      </c>
      <c r="AP1011" t="s">
        <v>2438</v>
      </c>
      <c r="AQ1011" t="s">
        <v>21226</v>
      </c>
      <c r="AR1011" t="s">
        <v>2440</v>
      </c>
      <c r="AS1011" t="s">
        <v>74</v>
      </c>
      <c r="AT1011" t="s">
        <v>74</v>
      </c>
      <c r="AU1011">
        <v>2009</v>
      </c>
      <c r="AV1011">
        <v>5623</v>
      </c>
      <c r="AW1011" t="s">
        <v>74</v>
      </c>
      <c r="AX1011" t="s">
        <v>74</v>
      </c>
      <c r="AY1011" t="s">
        <v>74</v>
      </c>
      <c r="AZ1011" t="s">
        <v>74</v>
      </c>
      <c r="BA1011" t="s">
        <v>74</v>
      </c>
      <c r="BB1011">
        <v>475</v>
      </c>
      <c r="BC1011">
        <v>484</v>
      </c>
      <c r="BD1011" t="s">
        <v>74</v>
      </c>
      <c r="BE1011" t="s">
        <v>74</v>
      </c>
      <c r="BF1011" t="s">
        <v>74</v>
      </c>
      <c r="BG1011" t="s">
        <v>74</v>
      </c>
      <c r="BH1011" t="s">
        <v>74</v>
      </c>
      <c r="BI1011">
        <v>10</v>
      </c>
      <c r="BJ1011" t="s">
        <v>1803</v>
      </c>
      <c r="BK1011" t="s">
        <v>156</v>
      </c>
      <c r="BL1011" t="s">
        <v>157</v>
      </c>
      <c r="BM1011" t="s">
        <v>21225</v>
      </c>
      <c r="BN1011" t="s">
        <v>74</v>
      </c>
      <c r="BO1011" t="s">
        <v>1205</v>
      </c>
      <c r="BP1011" t="s">
        <v>74</v>
      </c>
      <c r="BQ1011" t="s">
        <v>74</v>
      </c>
      <c r="BR1011" t="s">
        <v>102</v>
      </c>
      <c r="BS1011" t="s">
        <v>34217</v>
      </c>
      <c r="BT1011" t="str">
        <f>HYPERLINK("https%3A%2F%2Fwww.webofscience.com%2Fwos%2Fwoscc%2Ffull-record%2FWOS:000269191600053","View Full Record in Web of Science")</f>
        <v>View Full Record in Web of Science</v>
      </c>
    </row>
    <row r="1012" spans="1:72" x14ac:dyDescent="0.25">
      <c r="A1012" t="s">
        <v>72</v>
      </c>
      <c r="B1012" t="s">
        <v>34216</v>
      </c>
      <c r="C1012" t="s">
        <v>74</v>
      </c>
      <c r="D1012" t="s">
        <v>74</v>
      </c>
      <c r="E1012" t="s">
        <v>74</v>
      </c>
      <c r="F1012" t="s">
        <v>34215</v>
      </c>
      <c r="G1012" t="s">
        <v>74</v>
      </c>
      <c r="H1012" t="s">
        <v>74</v>
      </c>
      <c r="I1012" t="s">
        <v>34214</v>
      </c>
      <c r="J1012" t="s">
        <v>34213</v>
      </c>
      <c r="K1012" t="s">
        <v>74</v>
      </c>
      <c r="L1012" t="s">
        <v>74</v>
      </c>
      <c r="M1012" t="s">
        <v>78</v>
      </c>
      <c r="N1012" t="s">
        <v>79</v>
      </c>
      <c r="O1012" t="s">
        <v>74</v>
      </c>
      <c r="P1012" t="s">
        <v>74</v>
      </c>
      <c r="Q1012" t="s">
        <v>74</v>
      </c>
      <c r="R1012" t="s">
        <v>74</v>
      </c>
      <c r="S1012" t="s">
        <v>74</v>
      </c>
      <c r="T1012" t="s">
        <v>34212</v>
      </c>
      <c r="U1012" t="s">
        <v>900</v>
      </c>
      <c r="V1012" t="s">
        <v>34211</v>
      </c>
      <c r="W1012" t="s">
        <v>34210</v>
      </c>
      <c r="X1012" t="s">
        <v>34209</v>
      </c>
      <c r="Y1012" t="s">
        <v>34208</v>
      </c>
      <c r="Z1012" t="s">
        <v>34207</v>
      </c>
      <c r="AA1012" t="s">
        <v>74</v>
      </c>
      <c r="AB1012" t="s">
        <v>74</v>
      </c>
      <c r="AC1012" t="s">
        <v>34206</v>
      </c>
      <c r="AD1012" t="s">
        <v>1795</v>
      </c>
      <c r="AE1012" t="s">
        <v>34205</v>
      </c>
      <c r="AF1012" t="s">
        <v>74</v>
      </c>
      <c r="AG1012">
        <v>118</v>
      </c>
      <c r="AH1012">
        <v>9</v>
      </c>
      <c r="AI1012">
        <v>14</v>
      </c>
      <c r="AJ1012">
        <v>2</v>
      </c>
      <c r="AK1012">
        <v>23</v>
      </c>
      <c r="AL1012" t="s">
        <v>34204</v>
      </c>
      <c r="AM1012" t="s">
        <v>34203</v>
      </c>
      <c r="AN1012" t="s">
        <v>34202</v>
      </c>
      <c r="AO1012" t="s">
        <v>34201</v>
      </c>
      <c r="AP1012" t="s">
        <v>34200</v>
      </c>
      <c r="AQ1012" t="s">
        <v>74</v>
      </c>
      <c r="AR1012" t="s">
        <v>34199</v>
      </c>
      <c r="AS1012" t="s">
        <v>34198</v>
      </c>
      <c r="AT1012" t="s">
        <v>74</v>
      </c>
      <c r="AU1012">
        <v>2018</v>
      </c>
      <c r="AV1012">
        <v>87</v>
      </c>
      <c r="AW1012">
        <v>4</v>
      </c>
      <c r="AX1012" t="s">
        <v>74</v>
      </c>
      <c r="AY1012" t="s">
        <v>74</v>
      </c>
      <c r="AZ1012" t="s">
        <v>74</v>
      </c>
      <c r="BA1012" t="s">
        <v>74</v>
      </c>
      <c r="BB1012">
        <v>1077</v>
      </c>
      <c r="BC1012">
        <v>1122</v>
      </c>
      <c r="BD1012">
        <v>5</v>
      </c>
      <c r="BE1012" t="s">
        <v>74</v>
      </c>
      <c r="BF1012" t="s">
        <v>74</v>
      </c>
      <c r="BG1012" t="s">
        <v>74</v>
      </c>
      <c r="BH1012" t="s">
        <v>74</v>
      </c>
      <c r="BI1012">
        <v>46</v>
      </c>
      <c r="BJ1012" t="s">
        <v>182</v>
      </c>
      <c r="BK1012" t="s">
        <v>99</v>
      </c>
      <c r="BL1012" t="s">
        <v>184</v>
      </c>
      <c r="BM1012" t="s">
        <v>34197</v>
      </c>
      <c r="BN1012" t="s">
        <v>74</v>
      </c>
      <c r="BO1012" t="s">
        <v>74</v>
      </c>
      <c r="BP1012" t="s">
        <v>74</v>
      </c>
      <c r="BQ1012" t="s">
        <v>74</v>
      </c>
      <c r="BR1012" t="s">
        <v>102</v>
      </c>
      <c r="BS1012" t="s">
        <v>34196</v>
      </c>
      <c r="BT1012" t="str">
        <f>HYPERLINK("https%3A%2F%2Fwww.webofscience.com%2Fwos%2Fwoscc%2Ffull-record%2FWOS:000468893000005","View Full Record in Web of Science")</f>
        <v>View Full Record in Web of Science</v>
      </c>
    </row>
    <row r="1013" spans="1:72" x14ac:dyDescent="0.25">
      <c r="A1013" t="s">
        <v>132</v>
      </c>
      <c r="B1013" t="s">
        <v>34195</v>
      </c>
      <c r="C1013" t="s">
        <v>74</v>
      </c>
      <c r="D1013" t="s">
        <v>34194</v>
      </c>
      <c r="E1013" t="s">
        <v>74</v>
      </c>
      <c r="F1013" t="s">
        <v>34193</v>
      </c>
      <c r="G1013" t="s">
        <v>74</v>
      </c>
      <c r="H1013" t="s">
        <v>74</v>
      </c>
      <c r="I1013" t="s">
        <v>34192</v>
      </c>
      <c r="J1013" t="s">
        <v>34191</v>
      </c>
      <c r="K1013" t="s">
        <v>74</v>
      </c>
      <c r="L1013" t="s">
        <v>74</v>
      </c>
      <c r="M1013" t="s">
        <v>78</v>
      </c>
      <c r="N1013" t="s">
        <v>138</v>
      </c>
      <c r="O1013" t="s">
        <v>34190</v>
      </c>
      <c r="P1013" t="s">
        <v>34189</v>
      </c>
      <c r="Q1013" t="s">
        <v>34188</v>
      </c>
      <c r="R1013" t="s">
        <v>4168</v>
      </c>
      <c r="S1013" t="s">
        <v>74</v>
      </c>
      <c r="T1013" t="s">
        <v>34187</v>
      </c>
      <c r="U1013" t="s">
        <v>74</v>
      </c>
      <c r="V1013" t="s">
        <v>34186</v>
      </c>
      <c r="W1013" t="s">
        <v>34185</v>
      </c>
      <c r="X1013" t="s">
        <v>34184</v>
      </c>
      <c r="Y1013" t="s">
        <v>74</v>
      </c>
      <c r="Z1013" t="s">
        <v>34183</v>
      </c>
      <c r="AA1013" t="s">
        <v>34182</v>
      </c>
      <c r="AB1013" t="s">
        <v>74</v>
      </c>
      <c r="AC1013" t="s">
        <v>74</v>
      </c>
      <c r="AD1013" t="s">
        <v>74</v>
      </c>
      <c r="AE1013" t="s">
        <v>74</v>
      </c>
      <c r="AF1013" t="s">
        <v>74</v>
      </c>
      <c r="AG1013">
        <v>28</v>
      </c>
      <c r="AH1013">
        <v>0</v>
      </c>
      <c r="AI1013">
        <v>0</v>
      </c>
      <c r="AJ1013">
        <v>0</v>
      </c>
      <c r="AK1013">
        <v>43</v>
      </c>
      <c r="AL1013" t="s">
        <v>34181</v>
      </c>
      <c r="AM1013" t="s">
        <v>621</v>
      </c>
      <c r="AN1013" t="s">
        <v>34180</v>
      </c>
      <c r="AO1013" t="s">
        <v>74</v>
      </c>
      <c r="AP1013" t="s">
        <v>74</v>
      </c>
      <c r="AQ1013" t="s">
        <v>34179</v>
      </c>
      <c r="AR1013" t="s">
        <v>74</v>
      </c>
      <c r="AS1013" t="s">
        <v>74</v>
      </c>
      <c r="AT1013" t="s">
        <v>74</v>
      </c>
      <c r="AU1013">
        <v>2014</v>
      </c>
      <c r="AV1013" t="s">
        <v>74</v>
      </c>
      <c r="AW1013" t="s">
        <v>74</v>
      </c>
      <c r="AX1013" t="s">
        <v>74</v>
      </c>
      <c r="AY1013" t="s">
        <v>74</v>
      </c>
      <c r="AZ1013" t="s">
        <v>74</v>
      </c>
      <c r="BA1013" t="s">
        <v>74</v>
      </c>
      <c r="BB1013">
        <v>308</v>
      </c>
      <c r="BC1013">
        <v>315</v>
      </c>
      <c r="BD1013" t="s">
        <v>74</v>
      </c>
      <c r="BE1013" t="s">
        <v>74</v>
      </c>
      <c r="BF1013" t="s">
        <v>74</v>
      </c>
      <c r="BG1013" t="s">
        <v>74</v>
      </c>
      <c r="BH1013" t="s">
        <v>74</v>
      </c>
      <c r="BI1013">
        <v>8</v>
      </c>
      <c r="BJ1013" t="s">
        <v>210</v>
      </c>
      <c r="BK1013" t="s">
        <v>183</v>
      </c>
      <c r="BL1013" t="s">
        <v>100</v>
      </c>
      <c r="BM1013" t="s">
        <v>34178</v>
      </c>
      <c r="BN1013" t="s">
        <v>74</v>
      </c>
      <c r="BO1013" t="s">
        <v>74</v>
      </c>
      <c r="BP1013" t="s">
        <v>74</v>
      </c>
      <c r="BQ1013" t="s">
        <v>74</v>
      </c>
      <c r="BR1013" t="s">
        <v>102</v>
      </c>
      <c r="BS1013" t="s">
        <v>34177</v>
      </c>
      <c r="BT1013" t="str">
        <f>HYPERLINK("https%3A%2F%2Fwww.webofscience.com%2Fwos%2Fwoscc%2Ffull-record%2FWOS:000346752000043","View Full Record in Web of Science")</f>
        <v>View Full Record in Web of Science</v>
      </c>
    </row>
    <row r="1014" spans="1:72" x14ac:dyDescent="0.25">
      <c r="A1014" t="s">
        <v>72</v>
      </c>
      <c r="B1014" t="s">
        <v>34176</v>
      </c>
      <c r="C1014" t="s">
        <v>74</v>
      </c>
      <c r="D1014" t="s">
        <v>74</v>
      </c>
      <c r="E1014" t="s">
        <v>74</v>
      </c>
      <c r="F1014" t="s">
        <v>34175</v>
      </c>
      <c r="G1014" t="s">
        <v>74</v>
      </c>
      <c r="H1014" t="s">
        <v>74</v>
      </c>
      <c r="I1014" t="s">
        <v>34174</v>
      </c>
      <c r="J1014" t="s">
        <v>28413</v>
      </c>
      <c r="K1014" t="s">
        <v>74</v>
      </c>
      <c r="L1014" t="s">
        <v>74</v>
      </c>
      <c r="M1014" t="s">
        <v>78</v>
      </c>
      <c r="N1014" t="s">
        <v>79</v>
      </c>
      <c r="O1014" t="s">
        <v>74</v>
      </c>
      <c r="P1014" t="s">
        <v>74</v>
      </c>
      <c r="Q1014" t="s">
        <v>74</v>
      </c>
      <c r="R1014" t="s">
        <v>74</v>
      </c>
      <c r="S1014" t="s">
        <v>74</v>
      </c>
      <c r="T1014" t="s">
        <v>34173</v>
      </c>
      <c r="U1014" t="s">
        <v>74</v>
      </c>
      <c r="V1014" t="s">
        <v>34172</v>
      </c>
      <c r="W1014" t="s">
        <v>34171</v>
      </c>
      <c r="X1014" t="s">
        <v>34170</v>
      </c>
      <c r="Y1014" t="s">
        <v>34169</v>
      </c>
      <c r="Z1014" t="s">
        <v>74</v>
      </c>
      <c r="AA1014" t="s">
        <v>74</v>
      </c>
      <c r="AB1014" t="s">
        <v>34168</v>
      </c>
      <c r="AC1014" t="s">
        <v>74</v>
      </c>
      <c r="AD1014" t="s">
        <v>74</v>
      </c>
      <c r="AE1014" t="s">
        <v>74</v>
      </c>
      <c r="AF1014" t="s">
        <v>74</v>
      </c>
      <c r="AG1014">
        <v>11</v>
      </c>
      <c r="AH1014">
        <v>2</v>
      </c>
      <c r="AI1014">
        <v>2</v>
      </c>
      <c r="AJ1014">
        <v>0</v>
      </c>
      <c r="AK1014">
        <v>14</v>
      </c>
      <c r="AL1014" t="s">
        <v>34167</v>
      </c>
      <c r="AM1014" t="s">
        <v>4280</v>
      </c>
      <c r="AN1014" t="s">
        <v>34166</v>
      </c>
      <c r="AO1014" t="s">
        <v>28403</v>
      </c>
      <c r="AP1014" t="s">
        <v>28402</v>
      </c>
      <c r="AQ1014" t="s">
        <v>74</v>
      </c>
      <c r="AR1014" t="s">
        <v>28401</v>
      </c>
      <c r="AS1014" t="s">
        <v>28400</v>
      </c>
      <c r="AT1014" t="s">
        <v>124</v>
      </c>
      <c r="AU1014">
        <v>2015</v>
      </c>
      <c r="AV1014">
        <v>18</v>
      </c>
      <c r="AW1014">
        <v>4</v>
      </c>
      <c r="AX1014" t="s">
        <v>74</v>
      </c>
      <c r="AY1014" t="s">
        <v>74</v>
      </c>
      <c r="AZ1014" t="s">
        <v>74</v>
      </c>
      <c r="BA1014" t="s">
        <v>74</v>
      </c>
      <c r="BB1014">
        <v>179</v>
      </c>
      <c r="BC1014">
        <v>194</v>
      </c>
      <c r="BD1014" t="s">
        <v>74</v>
      </c>
      <c r="BE1014" t="s">
        <v>34165</v>
      </c>
      <c r="BF1014" t="str">
        <f>HYPERLINK("http://dx.doi.org/10.1515/cer-2015-0035","http://dx.doi.org/10.1515/cer-2015-0035")</f>
        <v>http://dx.doi.org/10.1515/cer-2015-0035</v>
      </c>
      <c r="BG1014" t="s">
        <v>74</v>
      </c>
      <c r="BH1014" t="s">
        <v>74</v>
      </c>
      <c r="BI1014">
        <v>16</v>
      </c>
      <c r="BJ1014" t="s">
        <v>291</v>
      </c>
      <c r="BK1014" t="s">
        <v>313</v>
      </c>
      <c r="BL1014" t="s">
        <v>100</v>
      </c>
      <c r="BM1014" t="s">
        <v>34164</v>
      </c>
      <c r="BN1014" t="s">
        <v>74</v>
      </c>
      <c r="BO1014" t="s">
        <v>916</v>
      </c>
      <c r="BP1014" t="s">
        <v>74</v>
      </c>
      <c r="BQ1014" t="s">
        <v>74</v>
      </c>
      <c r="BR1014" t="s">
        <v>102</v>
      </c>
      <c r="BS1014" t="s">
        <v>34163</v>
      </c>
      <c r="BT1014" t="str">
        <f>HYPERLINK("https%3A%2F%2Fwww.webofscience.com%2Fwos%2Fwoscc%2Ffull-record%2FWOS:000372516200010","View Full Record in Web of Science")</f>
        <v>View Full Record in Web of Science</v>
      </c>
    </row>
    <row r="1015" spans="1:72" x14ac:dyDescent="0.25">
      <c r="A1015" t="s">
        <v>72</v>
      </c>
      <c r="B1015" t="s">
        <v>34162</v>
      </c>
      <c r="C1015" t="s">
        <v>74</v>
      </c>
      <c r="D1015" t="s">
        <v>74</v>
      </c>
      <c r="E1015" t="s">
        <v>74</v>
      </c>
      <c r="F1015" t="s">
        <v>34161</v>
      </c>
      <c r="G1015" t="s">
        <v>74</v>
      </c>
      <c r="H1015" t="s">
        <v>74</v>
      </c>
      <c r="I1015" t="s">
        <v>34160</v>
      </c>
      <c r="J1015" t="s">
        <v>34159</v>
      </c>
      <c r="K1015" t="s">
        <v>74</v>
      </c>
      <c r="L1015" t="s">
        <v>74</v>
      </c>
      <c r="M1015" t="s">
        <v>78</v>
      </c>
      <c r="N1015" t="s">
        <v>79</v>
      </c>
      <c r="O1015" t="s">
        <v>74</v>
      </c>
      <c r="P1015" t="s">
        <v>74</v>
      </c>
      <c r="Q1015" t="s">
        <v>74</v>
      </c>
      <c r="R1015" t="s">
        <v>74</v>
      </c>
      <c r="S1015" t="s">
        <v>74</v>
      </c>
      <c r="T1015" t="s">
        <v>34158</v>
      </c>
      <c r="U1015" t="s">
        <v>34157</v>
      </c>
      <c r="V1015" t="s">
        <v>34156</v>
      </c>
      <c r="W1015" t="s">
        <v>34155</v>
      </c>
      <c r="X1015" t="s">
        <v>28940</v>
      </c>
      <c r="Y1015" t="s">
        <v>34154</v>
      </c>
      <c r="Z1015" t="s">
        <v>34153</v>
      </c>
      <c r="AA1015" t="s">
        <v>74</v>
      </c>
      <c r="AB1015" t="s">
        <v>34152</v>
      </c>
      <c r="AC1015" t="s">
        <v>34151</v>
      </c>
      <c r="AD1015" t="s">
        <v>34150</v>
      </c>
      <c r="AE1015" t="s">
        <v>34149</v>
      </c>
      <c r="AF1015" t="s">
        <v>74</v>
      </c>
      <c r="AG1015">
        <v>92</v>
      </c>
      <c r="AH1015">
        <v>22</v>
      </c>
      <c r="AI1015">
        <v>28</v>
      </c>
      <c r="AJ1015">
        <v>2</v>
      </c>
      <c r="AK1015">
        <v>28</v>
      </c>
      <c r="AL1015" t="s">
        <v>757</v>
      </c>
      <c r="AM1015" t="s">
        <v>758</v>
      </c>
      <c r="AN1015" t="s">
        <v>759</v>
      </c>
      <c r="AO1015" t="s">
        <v>34148</v>
      </c>
      <c r="AP1015" t="s">
        <v>34147</v>
      </c>
      <c r="AQ1015" t="s">
        <v>74</v>
      </c>
      <c r="AR1015" t="s">
        <v>34146</v>
      </c>
      <c r="AS1015" t="s">
        <v>34145</v>
      </c>
      <c r="AT1015" t="s">
        <v>1159</v>
      </c>
      <c r="AU1015">
        <v>2021</v>
      </c>
      <c r="AV1015">
        <v>53</v>
      </c>
      <c r="AW1015">
        <v>7</v>
      </c>
      <c r="AX1015" t="s">
        <v>74</v>
      </c>
      <c r="AY1015" t="s">
        <v>74</v>
      </c>
      <c r="AZ1015" t="s">
        <v>74</v>
      </c>
      <c r="BA1015" t="s">
        <v>74</v>
      </c>
      <c r="BB1015">
        <v>1810</v>
      </c>
      <c r="BC1015">
        <v>1827</v>
      </c>
      <c r="BD1015" t="s">
        <v>34144</v>
      </c>
      <c r="BE1015" t="s">
        <v>34143</v>
      </c>
      <c r="BF1015" t="str">
        <f>HYPERLINK("http://dx.doi.org/10.1177/0308518X211026320","http://dx.doi.org/10.1177/0308518X211026320")</f>
        <v>http://dx.doi.org/10.1177/0308518X211026320</v>
      </c>
      <c r="BG1015" t="s">
        <v>74</v>
      </c>
      <c r="BH1015" t="s">
        <v>11242</v>
      </c>
      <c r="BI1015">
        <v>18</v>
      </c>
      <c r="BJ1015" t="s">
        <v>34142</v>
      </c>
      <c r="BK1015" t="s">
        <v>99</v>
      </c>
      <c r="BL1015" t="s">
        <v>34141</v>
      </c>
      <c r="BM1015" t="s">
        <v>34140</v>
      </c>
      <c r="BN1015" t="s">
        <v>74</v>
      </c>
      <c r="BO1015" t="s">
        <v>270</v>
      </c>
      <c r="BP1015" t="s">
        <v>74</v>
      </c>
      <c r="BQ1015" t="s">
        <v>74</v>
      </c>
      <c r="BR1015" t="s">
        <v>102</v>
      </c>
      <c r="BS1015" t="s">
        <v>34139</v>
      </c>
      <c r="BT1015" t="str">
        <f>HYPERLINK("https%3A%2F%2Fwww.webofscience.com%2Fwos%2Fwoscc%2Ffull-record%2FWOS:000669333800001","View Full Record in Web of Science")</f>
        <v>View Full Record in Web of Science</v>
      </c>
    </row>
    <row r="1016" spans="1:72" x14ac:dyDescent="0.25">
      <c r="A1016" t="s">
        <v>72</v>
      </c>
      <c r="B1016" t="s">
        <v>34138</v>
      </c>
      <c r="C1016" t="s">
        <v>74</v>
      </c>
      <c r="D1016" t="s">
        <v>74</v>
      </c>
      <c r="E1016" t="s">
        <v>74</v>
      </c>
      <c r="F1016" t="s">
        <v>34137</v>
      </c>
      <c r="G1016" t="s">
        <v>74</v>
      </c>
      <c r="H1016" t="s">
        <v>74</v>
      </c>
      <c r="I1016" t="s">
        <v>34136</v>
      </c>
      <c r="J1016" t="s">
        <v>34135</v>
      </c>
      <c r="K1016" t="s">
        <v>74</v>
      </c>
      <c r="L1016" t="s">
        <v>74</v>
      </c>
      <c r="M1016" t="s">
        <v>78</v>
      </c>
      <c r="N1016" t="s">
        <v>79</v>
      </c>
      <c r="O1016" t="s">
        <v>74</v>
      </c>
      <c r="P1016" t="s">
        <v>74</v>
      </c>
      <c r="Q1016" t="s">
        <v>74</v>
      </c>
      <c r="R1016" t="s">
        <v>74</v>
      </c>
      <c r="S1016" t="s">
        <v>74</v>
      </c>
      <c r="T1016" t="s">
        <v>34134</v>
      </c>
      <c r="U1016" t="s">
        <v>34133</v>
      </c>
      <c r="V1016" t="s">
        <v>34132</v>
      </c>
      <c r="W1016" t="s">
        <v>34131</v>
      </c>
      <c r="X1016" t="s">
        <v>34130</v>
      </c>
      <c r="Y1016" t="s">
        <v>34129</v>
      </c>
      <c r="Z1016" t="s">
        <v>34128</v>
      </c>
      <c r="AA1016" t="s">
        <v>34127</v>
      </c>
      <c r="AB1016" t="s">
        <v>34126</v>
      </c>
      <c r="AC1016" t="s">
        <v>74</v>
      </c>
      <c r="AD1016" t="s">
        <v>74</v>
      </c>
      <c r="AE1016" t="s">
        <v>74</v>
      </c>
      <c r="AF1016" t="s">
        <v>74</v>
      </c>
      <c r="AG1016">
        <v>154</v>
      </c>
      <c r="AH1016">
        <v>21</v>
      </c>
      <c r="AI1016">
        <v>26</v>
      </c>
      <c r="AJ1016">
        <v>5</v>
      </c>
      <c r="AK1016">
        <v>44</v>
      </c>
      <c r="AL1016" t="s">
        <v>230</v>
      </c>
      <c r="AM1016" t="s">
        <v>231</v>
      </c>
      <c r="AN1016" t="s">
        <v>232</v>
      </c>
      <c r="AO1016" t="s">
        <v>34125</v>
      </c>
      <c r="AP1016" t="s">
        <v>34124</v>
      </c>
      <c r="AQ1016" t="s">
        <v>74</v>
      </c>
      <c r="AR1016" t="s">
        <v>34123</v>
      </c>
      <c r="AS1016" t="s">
        <v>34122</v>
      </c>
      <c r="AT1016" t="s">
        <v>743</v>
      </c>
      <c r="AU1016">
        <v>2023</v>
      </c>
      <c r="AV1016">
        <v>97</v>
      </c>
      <c r="AW1016" t="s">
        <v>74</v>
      </c>
      <c r="AX1016" t="s">
        <v>74</v>
      </c>
      <c r="AY1016" t="s">
        <v>74</v>
      </c>
      <c r="AZ1016" t="s">
        <v>74</v>
      </c>
      <c r="BA1016" t="s">
        <v>74</v>
      </c>
      <c r="BB1016" t="s">
        <v>74</v>
      </c>
      <c r="BC1016" t="s">
        <v>74</v>
      </c>
      <c r="BD1016">
        <v>102215</v>
      </c>
      <c r="BE1016" t="s">
        <v>34121</v>
      </c>
      <c r="BF1016" t="str">
        <f>HYPERLINK("http://dx.doi.org/10.1016/j.evalprogplan.2022.102215","http://dx.doi.org/10.1016/j.evalprogplan.2022.102215")</f>
        <v>http://dx.doi.org/10.1016/j.evalprogplan.2022.102215</v>
      </c>
      <c r="BG1016" t="s">
        <v>74</v>
      </c>
      <c r="BH1016" t="s">
        <v>7904</v>
      </c>
      <c r="BI1016">
        <v>15</v>
      </c>
      <c r="BJ1016" t="s">
        <v>364</v>
      </c>
      <c r="BK1016" t="s">
        <v>99</v>
      </c>
      <c r="BL1016" t="s">
        <v>365</v>
      </c>
      <c r="BM1016" t="s">
        <v>34120</v>
      </c>
      <c r="BN1016">
        <v>36571966</v>
      </c>
      <c r="BO1016" t="s">
        <v>270</v>
      </c>
      <c r="BP1016" t="s">
        <v>74</v>
      </c>
      <c r="BQ1016" t="s">
        <v>74</v>
      </c>
      <c r="BR1016" t="s">
        <v>102</v>
      </c>
      <c r="BS1016" t="s">
        <v>34119</v>
      </c>
      <c r="BT1016" t="str">
        <f>HYPERLINK("https%3A%2F%2Fwww.webofscience.com%2Fwos%2Fwoscc%2Ffull-record%2FWOS:000968077100001","View Full Record in Web of Science")</f>
        <v>View Full Record in Web of Science</v>
      </c>
    </row>
    <row r="1017" spans="1:72" x14ac:dyDescent="0.25">
      <c r="A1017" t="s">
        <v>72</v>
      </c>
      <c r="B1017" t="s">
        <v>2331</v>
      </c>
      <c r="C1017" t="s">
        <v>74</v>
      </c>
      <c r="D1017" t="s">
        <v>74</v>
      </c>
      <c r="E1017" t="s">
        <v>74</v>
      </c>
      <c r="F1017" t="s">
        <v>2332</v>
      </c>
      <c r="G1017" t="s">
        <v>74</v>
      </c>
      <c r="H1017" t="s">
        <v>74</v>
      </c>
      <c r="I1017" t="s">
        <v>17818</v>
      </c>
      <c r="J1017" t="s">
        <v>17819</v>
      </c>
      <c r="K1017" t="s">
        <v>74</v>
      </c>
      <c r="L1017" t="s">
        <v>74</v>
      </c>
      <c r="M1017" t="s">
        <v>78</v>
      </c>
      <c r="N1017" t="s">
        <v>79</v>
      </c>
      <c r="O1017" t="s">
        <v>74</v>
      </c>
      <c r="P1017" t="s">
        <v>74</v>
      </c>
      <c r="Q1017" t="s">
        <v>74</v>
      </c>
      <c r="R1017" t="s">
        <v>74</v>
      </c>
      <c r="S1017" t="s">
        <v>74</v>
      </c>
      <c r="T1017" t="s">
        <v>74</v>
      </c>
      <c r="U1017" t="s">
        <v>74</v>
      </c>
      <c r="V1017" t="s">
        <v>34118</v>
      </c>
      <c r="W1017" t="s">
        <v>34117</v>
      </c>
      <c r="X1017" t="s">
        <v>2340</v>
      </c>
      <c r="Y1017" t="s">
        <v>34116</v>
      </c>
      <c r="Z1017" t="s">
        <v>74</v>
      </c>
      <c r="AA1017" t="s">
        <v>17825</v>
      </c>
      <c r="AB1017" t="s">
        <v>17826</v>
      </c>
      <c r="AC1017" t="s">
        <v>74</v>
      </c>
      <c r="AD1017" t="s">
        <v>74</v>
      </c>
      <c r="AE1017" t="s">
        <v>74</v>
      </c>
      <c r="AF1017" t="s">
        <v>74</v>
      </c>
      <c r="AG1017">
        <v>46</v>
      </c>
      <c r="AH1017">
        <v>15</v>
      </c>
      <c r="AI1017">
        <v>18</v>
      </c>
      <c r="AJ1017">
        <v>2</v>
      </c>
      <c r="AK1017">
        <v>6</v>
      </c>
      <c r="AL1017" t="s">
        <v>5379</v>
      </c>
      <c r="AM1017" t="s">
        <v>5380</v>
      </c>
      <c r="AN1017" t="s">
        <v>5425</v>
      </c>
      <c r="AO1017" t="s">
        <v>17830</v>
      </c>
      <c r="AP1017" t="s">
        <v>17831</v>
      </c>
      <c r="AQ1017" t="s">
        <v>74</v>
      </c>
      <c r="AR1017" t="s">
        <v>17819</v>
      </c>
      <c r="AS1017" t="s">
        <v>17832</v>
      </c>
      <c r="AT1017" t="s">
        <v>208</v>
      </c>
      <c r="AU1017">
        <v>2020</v>
      </c>
      <c r="AV1017">
        <v>53</v>
      </c>
      <c r="AW1017">
        <v>1</v>
      </c>
      <c r="AX1017" t="s">
        <v>74</v>
      </c>
      <c r="AY1017" t="s">
        <v>74</v>
      </c>
      <c r="AZ1017" t="s">
        <v>74</v>
      </c>
      <c r="BA1017" t="s">
        <v>74</v>
      </c>
      <c r="BB1017">
        <v>18</v>
      </c>
      <c r="BC1017">
        <v>29</v>
      </c>
      <c r="BD1017" t="s">
        <v>74</v>
      </c>
      <c r="BE1017" t="s">
        <v>34115</v>
      </c>
      <c r="BF1017" t="str">
        <f>HYPERLINK("http://dx.doi.org/10.1109/MC.2019.2959903","http://dx.doi.org/10.1109/MC.2019.2959903")</f>
        <v>http://dx.doi.org/10.1109/MC.2019.2959903</v>
      </c>
      <c r="BG1017" t="s">
        <v>74</v>
      </c>
      <c r="BH1017" t="s">
        <v>74</v>
      </c>
      <c r="BI1017">
        <v>12</v>
      </c>
      <c r="BJ1017" t="s">
        <v>17834</v>
      </c>
      <c r="BK1017" t="s">
        <v>2623</v>
      </c>
      <c r="BL1017" t="s">
        <v>157</v>
      </c>
      <c r="BM1017" t="s">
        <v>17835</v>
      </c>
      <c r="BN1017" t="s">
        <v>74</v>
      </c>
      <c r="BO1017" t="s">
        <v>1205</v>
      </c>
      <c r="BP1017" t="s">
        <v>74</v>
      </c>
      <c r="BQ1017" t="s">
        <v>74</v>
      </c>
      <c r="BR1017" t="s">
        <v>102</v>
      </c>
      <c r="BS1017" t="s">
        <v>34114</v>
      </c>
      <c r="BT1017" t="str">
        <f>HYPERLINK("https%3A%2F%2Fwww.webofscience.com%2Fwos%2Fwoscc%2Ffull-record%2FWOS:000508384500004","View Full Record in Web of Science")</f>
        <v>View Full Record in Web of Science</v>
      </c>
    </row>
    <row r="1018" spans="1:72" x14ac:dyDescent="0.25">
      <c r="A1018" t="s">
        <v>132</v>
      </c>
      <c r="B1018" t="s">
        <v>34113</v>
      </c>
      <c r="C1018" t="s">
        <v>74</v>
      </c>
      <c r="D1018" t="s">
        <v>74</v>
      </c>
      <c r="E1018" t="s">
        <v>771</v>
      </c>
      <c r="F1018" t="s">
        <v>34112</v>
      </c>
      <c r="G1018" t="s">
        <v>74</v>
      </c>
      <c r="H1018" t="s">
        <v>74</v>
      </c>
      <c r="I1018" t="s">
        <v>34111</v>
      </c>
      <c r="J1018" t="s">
        <v>34110</v>
      </c>
      <c r="K1018" t="s">
        <v>74</v>
      </c>
      <c r="L1018" t="s">
        <v>74</v>
      </c>
      <c r="M1018" t="s">
        <v>78</v>
      </c>
      <c r="N1018" t="s">
        <v>138</v>
      </c>
      <c r="O1018" t="s">
        <v>34109</v>
      </c>
      <c r="P1018" t="s">
        <v>34108</v>
      </c>
      <c r="Q1018" t="s">
        <v>34107</v>
      </c>
      <c r="R1018" t="s">
        <v>74</v>
      </c>
      <c r="S1018" t="s">
        <v>74</v>
      </c>
      <c r="T1018" t="s">
        <v>34106</v>
      </c>
      <c r="U1018" t="s">
        <v>74</v>
      </c>
      <c r="V1018" t="s">
        <v>34105</v>
      </c>
      <c r="W1018" t="s">
        <v>34104</v>
      </c>
      <c r="X1018" t="s">
        <v>74</v>
      </c>
      <c r="Y1018" t="s">
        <v>34103</v>
      </c>
      <c r="Z1018" t="s">
        <v>34102</v>
      </c>
      <c r="AA1018" t="s">
        <v>74</v>
      </c>
      <c r="AB1018" t="s">
        <v>33943</v>
      </c>
      <c r="AC1018" t="s">
        <v>74</v>
      </c>
      <c r="AD1018" t="s">
        <v>74</v>
      </c>
      <c r="AE1018" t="s">
        <v>74</v>
      </c>
      <c r="AF1018" t="s">
        <v>74</v>
      </c>
      <c r="AG1018">
        <v>14</v>
      </c>
      <c r="AH1018">
        <v>2</v>
      </c>
      <c r="AI1018">
        <v>4</v>
      </c>
      <c r="AJ1018">
        <v>0</v>
      </c>
      <c r="AK1018">
        <v>1</v>
      </c>
      <c r="AL1018" t="s">
        <v>771</v>
      </c>
      <c r="AM1018" t="s">
        <v>151</v>
      </c>
      <c r="AN1018" t="s">
        <v>785</v>
      </c>
      <c r="AO1018" t="s">
        <v>74</v>
      </c>
      <c r="AP1018" t="s">
        <v>74</v>
      </c>
      <c r="AQ1018" t="s">
        <v>34101</v>
      </c>
      <c r="AR1018" t="s">
        <v>74</v>
      </c>
      <c r="AS1018" t="s">
        <v>74</v>
      </c>
      <c r="AT1018" t="s">
        <v>74</v>
      </c>
      <c r="AU1018">
        <v>2019</v>
      </c>
      <c r="AV1018" t="s">
        <v>74</v>
      </c>
      <c r="AW1018" t="s">
        <v>74</v>
      </c>
      <c r="AX1018" t="s">
        <v>74</v>
      </c>
      <c r="AY1018" t="s">
        <v>74</v>
      </c>
      <c r="AZ1018" t="s">
        <v>74</v>
      </c>
      <c r="BA1018" t="s">
        <v>74</v>
      </c>
      <c r="BB1018" t="s">
        <v>74</v>
      </c>
      <c r="BC1018" t="s">
        <v>74</v>
      </c>
      <c r="BD1018" t="s">
        <v>74</v>
      </c>
      <c r="BE1018" t="s">
        <v>34100</v>
      </c>
      <c r="BF1018" t="str">
        <f>HYPERLINK("http://dx.doi.org/10.1109/csnet47905.2019.9108970","http://dx.doi.org/10.1109/csnet47905.2019.9108970")</f>
        <v>http://dx.doi.org/10.1109/csnet47905.2019.9108970</v>
      </c>
      <c r="BG1018" t="s">
        <v>74</v>
      </c>
      <c r="BH1018" t="s">
        <v>74</v>
      </c>
      <c r="BI1018">
        <v>7</v>
      </c>
      <c r="BJ1018" t="s">
        <v>2647</v>
      </c>
      <c r="BK1018" t="s">
        <v>156</v>
      </c>
      <c r="BL1018" t="s">
        <v>2648</v>
      </c>
      <c r="BM1018" t="s">
        <v>34099</v>
      </c>
      <c r="BN1018" t="s">
        <v>74</v>
      </c>
      <c r="BO1018" t="s">
        <v>74</v>
      </c>
      <c r="BP1018" t="s">
        <v>74</v>
      </c>
      <c r="BQ1018" t="s">
        <v>74</v>
      </c>
      <c r="BR1018" t="s">
        <v>102</v>
      </c>
      <c r="BS1018" t="s">
        <v>34098</v>
      </c>
      <c r="BT1018" t="str">
        <f>HYPERLINK("https%3A%2F%2Fwww.webofscience.com%2Fwos%2Fwoscc%2Ffull-record%2FWOS:000681563600003","View Full Record in Web of Science")</f>
        <v>View Full Record in Web of Science</v>
      </c>
    </row>
    <row r="1019" spans="1:72" x14ac:dyDescent="0.25">
      <c r="A1019" t="s">
        <v>72</v>
      </c>
      <c r="B1019" t="s">
        <v>34097</v>
      </c>
      <c r="C1019" t="s">
        <v>74</v>
      </c>
      <c r="D1019" t="s">
        <v>74</v>
      </c>
      <c r="E1019" t="s">
        <v>74</v>
      </c>
      <c r="F1019" t="s">
        <v>34096</v>
      </c>
      <c r="G1019" t="s">
        <v>74</v>
      </c>
      <c r="H1019" t="s">
        <v>74</v>
      </c>
      <c r="I1019" t="s">
        <v>34095</v>
      </c>
      <c r="J1019" t="s">
        <v>2309</v>
      </c>
      <c r="K1019" t="s">
        <v>74</v>
      </c>
      <c r="L1019" t="s">
        <v>74</v>
      </c>
      <c r="M1019" t="s">
        <v>78</v>
      </c>
      <c r="N1019" t="s">
        <v>79</v>
      </c>
      <c r="O1019" t="s">
        <v>74</v>
      </c>
      <c r="P1019" t="s">
        <v>74</v>
      </c>
      <c r="Q1019" t="s">
        <v>74</v>
      </c>
      <c r="R1019" t="s">
        <v>74</v>
      </c>
      <c r="S1019" t="s">
        <v>74</v>
      </c>
      <c r="T1019" t="s">
        <v>34094</v>
      </c>
      <c r="U1019" t="s">
        <v>34093</v>
      </c>
      <c r="V1019" t="s">
        <v>34092</v>
      </c>
      <c r="W1019" t="s">
        <v>34091</v>
      </c>
      <c r="X1019" t="s">
        <v>34090</v>
      </c>
      <c r="Y1019" t="s">
        <v>34089</v>
      </c>
      <c r="Z1019" t="s">
        <v>34088</v>
      </c>
      <c r="AA1019" t="s">
        <v>74</v>
      </c>
      <c r="AB1019" t="s">
        <v>34087</v>
      </c>
      <c r="AC1019" t="s">
        <v>34086</v>
      </c>
      <c r="AD1019" t="s">
        <v>7096</v>
      </c>
      <c r="AE1019" t="s">
        <v>34085</v>
      </c>
      <c r="AF1019" t="s">
        <v>74</v>
      </c>
      <c r="AG1019">
        <v>34</v>
      </c>
      <c r="AH1019">
        <v>23</v>
      </c>
      <c r="AI1019">
        <v>28</v>
      </c>
      <c r="AJ1019">
        <v>2</v>
      </c>
      <c r="AK1019">
        <v>30</v>
      </c>
      <c r="AL1019" t="s">
        <v>332</v>
      </c>
      <c r="AM1019" t="s">
        <v>333</v>
      </c>
      <c r="AN1019" t="s">
        <v>334</v>
      </c>
      <c r="AO1019" t="s">
        <v>2322</v>
      </c>
      <c r="AP1019" t="s">
        <v>2323</v>
      </c>
      <c r="AQ1019" t="s">
        <v>74</v>
      </c>
      <c r="AR1019" t="s">
        <v>2324</v>
      </c>
      <c r="AS1019" t="s">
        <v>2325</v>
      </c>
      <c r="AT1019" t="s">
        <v>1693</v>
      </c>
      <c r="AU1019">
        <v>2022</v>
      </c>
      <c r="AV1019">
        <v>58</v>
      </c>
      <c r="AW1019">
        <v>4</v>
      </c>
      <c r="AX1019" t="s">
        <v>74</v>
      </c>
      <c r="AY1019" t="s">
        <v>74</v>
      </c>
      <c r="AZ1019" t="s">
        <v>74</v>
      </c>
      <c r="BA1019" t="s">
        <v>74</v>
      </c>
      <c r="BB1019">
        <v>671</v>
      </c>
      <c r="BC1019">
        <v>691</v>
      </c>
      <c r="BD1019" t="s">
        <v>74</v>
      </c>
      <c r="BE1019" t="s">
        <v>34084</v>
      </c>
      <c r="BF1019" t="str">
        <f>HYPERLINK("http://dx.doi.org/10.1080/00220388.2021.1988078","http://dx.doi.org/10.1080/00220388.2021.1988078")</f>
        <v>http://dx.doi.org/10.1080/00220388.2021.1988078</v>
      </c>
      <c r="BG1019" t="s">
        <v>74</v>
      </c>
      <c r="BH1019" t="s">
        <v>6817</v>
      </c>
      <c r="BI1019">
        <v>21</v>
      </c>
      <c r="BJ1019" t="s">
        <v>701</v>
      </c>
      <c r="BK1019" t="s">
        <v>99</v>
      </c>
      <c r="BL1019" t="s">
        <v>702</v>
      </c>
      <c r="BM1019" t="s">
        <v>12911</v>
      </c>
      <c r="BN1019" t="s">
        <v>74</v>
      </c>
      <c r="BO1019" t="s">
        <v>466</v>
      </c>
      <c r="BP1019" t="s">
        <v>74</v>
      </c>
      <c r="BQ1019" t="s">
        <v>74</v>
      </c>
      <c r="BR1019" t="s">
        <v>102</v>
      </c>
      <c r="BS1019" t="s">
        <v>34083</v>
      </c>
      <c r="BT1019" t="str">
        <f>HYPERLINK("https%3A%2F%2Fwww.webofscience.com%2Fwos%2Fwoscc%2Ffull-record%2FWOS:000713581900001","View Full Record in Web of Science")</f>
        <v>View Full Record in Web of Science</v>
      </c>
    </row>
    <row r="1020" spans="1:72" x14ac:dyDescent="0.25">
      <c r="A1020" t="s">
        <v>72</v>
      </c>
      <c r="B1020" t="s">
        <v>34082</v>
      </c>
      <c r="C1020" t="s">
        <v>74</v>
      </c>
      <c r="D1020" t="s">
        <v>74</v>
      </c>
      <c r="E1020" t="s">
        <v>74</v>
      </c>
      <c r="F1020" t="s">
        <v>34081</v>
      </c>
      <c r="G1020" t="s">
        <v>74</v>
      </c>
      <c r="H1020" t="s">
        <v>74</v>
      </c>
      <c r="I1020" t="s">
        <v>34080</v>
      </c>
      <c r="J1020" t="s">
        <v>34079</v>
      </c>
      <c r="K1020" t="s">
        <v>74</v>
      </c>
      <c r="L1020" t="s">
        <v>74</v>
      </c>
      <c r="M1020" t="s">
        <v>78</v>
      </c>
      <c r="N1020" t="s">
        <v>79</v>
      </c>
      <c r="O1020" t="s">
        <v>74</v>
      </c>
      <c r="P1020" t="s">
        <v>74</v>
      </c>
      <c r="Q1020" t="s">
        <v>74</v>
      </c>
      <c r="R1020" t="s">
        <v>74</v>
      </c>
      <c r="S1020" t="s">
        <v>74</v>
      </c>
      <c r="T1020" t="s">
        <v>34078</v>
      </c>
      <c r="U1020" t="s">
        <v>74</v>
      </c>
      <c r="V1020" t="s">
        <v>34077</v>
      </c>
      <c r="W1020" t="s">
        <v>34076</v>
      </c>
      <c r="X1020" t="s">
        <v>34075</v>
      </c>
      <c r="Y1020" t="s">
        <v>15331</v>
      </c>
      <c r="Z1020" t="s">
        <v>34074</v>
      </c>
      <c r="AA1020" t="s">
        <v>34073</v>
      </c>
      <c r="AB1020" t="s">
        <v>74</v>
      </c>
      <c r="AC1020" t="s">
        <v>15334</v>
      </c>
      <c r="AD1020" t="s">
        <v>15335</v>
      </c>
      <c r="AE1020" t="s">
        <v>34072</v>
      </c>
      <c r="AF1020" t="s">
        <v>74</v>
      </c>
      <c r="AG1020">
        <v>33</v>
      </c>
      <c r="AH1020">
        <v>43</v>
      </c>
      <c r="AI1020">
        <v>44</v>
      </c>
      <c r="AJ1020">
        <v>21</v>
      </c>
      <c r="AK1020">
        <v>141</v>
      </c>
      <c r="AL1020" t="s">
        <v>4485</v>
      </c>
      <c r="AM1020" t="s">
        <v>6724</v>
      </c>
      <c r="AN1020" t="s">
        <v>6725</v>
      </c>
      <c r="AO1020" t="s">
        <v>34071</v>
      </c>
      <c r="AP1020" t="s">
        <v>34070</v>
      </c>
      <c r="AQ1020" t="s">
        <v>74</v>
      </c>
      <c r="AR1020" t="s">
        <v>34069</v>
      </c>
      <c r="AS1020" t="s">
        <v>34068</v>
      </c>
      <c r="AT1020" t="s">
        <v>698</v>
      </c>
      <c r="AU1020">
        <v>2023</v>
      </c>
      <c r="AV1020">
        <v>60</v>
      </c>
      <c r="AW1020">
        <v>5</v>
      </c>
      <c r="AX1020" t="s">
        <v>74</v>
      </c>
      <c r="AY1020" t="s">
        <v>74</v>
      </c>
      <c r="AZ1020" t="s">
        <v>74</v>
      </c>
      <c r="BA1020" t="s">
        <v>74</v>
      </c>
      <c r="BB1020" t="s">
        <v>74</v>
      </c>
      <c r="BC1020" t="s">
        <v>74</v>
      </c>
      <c r="BD1020">
        <v>103478</v>
      </c>
      <c r="BE1020" t="s">
        <v>34067</v>
      </c>
      <c r="BF1020" t="str">
        <f>HYPERLINK("http://dx.doi.org/10.1016/j.ipm.2023.103478","http://dx.doi.org/10.1016/j.ipm.2023.103478")</f>
        <v>http://dx.doi.org/10.1016/j.ipm.2023.103478</v>
      </c>
      <c r="BG1020" t="s">
        <v>74</v>
      </c>
      <c r="BH1020" t="s">
        <v>7993</v>
      </c>
      <c r="BI1020">
        <v>18</v>
      </c>
      <c r="BJ1020" t="s">
        <v>16851</v>
      </c>
      <c r="BK1020" t="s">
        <v>2623</v>
      </c>
      <c r="BL1020" t="s">
        <v>16852</v>
      </c>
      <c r="BM1020" t="s">
        <v>34066</v>
      </c>
      <c r="BN1020" t="s">
        <v>74</v>
      </c>
      <c r="BO1020" t="s">
        <v>74</v>
      </c>
      <c r="BP1020" t="s">
        <v>74</v>
      </c>
      <c r="BQ1020" t="s">
        <v>74</v>
      </c>
      <c r="BR1020" t="s">
        <v>102</v>
      </c>
      <c r="BS1020" t="s">
        <v>34065</v>
      </c>
      <c r="BT1020" t="str">
        <f>HYPERLINK("https%3A%2F%2Fwww.webofscience.com%2Fwos%2Fwoscc%2Ffull-record%2FWOS:001147911600001","View Full Record in Web of Science")</f>
        <v>View Full Record in Web of Science</v>
      </c>
    </row>
    <row r="1021" spans="1:72" x14ac:dyDescent="0.25">
      <c r="A1021" t="s">
        <v>72</v>
      </c>
      <c r="B1021" t="s">
        <v>34064</v>
      </c>
      <c r="C1021" t="s">
        <v>74</v>
      </c>
      <c r="D1021" t="s">
        <v>74</v>
      </c>
      <c r="E1021" t="s">
        <v>74</v>
      </c>
      <c r="F1021" t="s">
        <v>34063</v>
      </c>
      <c r="G1021" t="s">
        <v>74</v>
      </c>
      <c r="H1021" t="s">
        <v>74</v>
      </c>
      <c r="I1021" t="s">
        <v>34062</v>
      </c>
      <c r="J1021" t="s">
        <v>4208</v>
      </c>
      <c r="K1021" t="s">
        <v>74</v>
      </c>
      <c r="L1021" t="s">
        <v>74</v>
      </c>
      <c r="M1021" t="s">
        <v>78</v>
      </c>
      <c r="N1021" t="s">
        <v>79</v>
      </c>
      <c r="O1021" t="s">
        <v>74</v>
      </c>
      <c r="P1021" t="s">
        <v>74</v>
      </c>
      <c r="Q1021" t="s">
        <v>74</v>
      </c>
      <c r="R1021" t="s">
        <v>74</v>
      </c>
      <c r="S1021" t="s">
        <v>74</v>
      </c>
      <c r="T1021" t="s">
        <v>74</v>
      </c>
      <c r="U1021" t="s">
        <v>34061</v>
      </c>
      <c r="V1021" t="s">
        <v>34060</v>
      </c>
      <c r="W1021" t="s">
        <v>34059</v>
      </c>
      <c r="X1021" t="s">
        <v>34058</v>
      </c>
      <c r="Y1021" t="s">
        <v>34057</v>
      </c>
      <c r="Z1021" t="s">
        <v>34056</v>
      </c>
      <c r="AA1021" t="s">
        <v>34055</v>
      </c>
      <c r="AB1021" t="s">
        <v>74</v>
      </c>
      <c r="AC1021" t="s">
        <v>34054</v>
      </c>
      <c r="AD1021" t="s">
        <v>34053</v>
      </c>
      <c r="AE1021" t="s">
        <v>34052</v>
      </c>
      <c r="AF1021" t="s">
        <v>74</v>
      </c>
      <c r="AG1021">
        <v>63</v>
      </c>
      <c r="AH1021">
        <v>27</v>
      </c>
      <c r="AI1021">
        <v>30</v>
      </c>
      <c r="AJ1021">
        <v>15</v>
      </c>
      <c r="AK1021">
        <v>158</v>
      </c>
      <c r="AL1021" t="s">
        <v>4218</v>
      </c>
      <c r="AM1021" t="s">
        <v>4219</v>
      </c>
      <c r="AN1021" t="s">
        <v>4220</v>
      </c>
      <c r="AO1021" t="s">
        <v>4221</v>
      </c>
      <c r="AP1021" t="s">
        <v>74</v>
      </c>
      <c r="AQ1021" t="s">
        <v>74</v>
      </c>
      <c r="AR1021" t="s">
        <v>4208</v>
      </c>
      <c r="AS1021" t="s">
        <v>4222</v>
      </c>
      <c r="AT1021" t="s">
        <v>74</v>
      </c>
      <c r="AU1021">
        <v>2022</v>
      </c>
      <c r="AV1021">
        <v>17</v>
      </c>
      <c r="AW1021">
        <v>4</v>
      </c>
      <c r="AX1021" t="s">
        <v>74</v>
      </c>
      <c r="AY1021" t="s">
        <v>74</v>
      </c>
      <c r="AZ1021" t="s">
        <v>74</v>
      </c>
      <c r="BA1021" t="s">
        <v>74</v>
      </c>
      <c r="BB1021" t="s">
        <v>74</v>
      </c>
      <c r="BC1021" t="s">
        <v>74</v>
      </c>
      <c r="BD1021" t="s">
        <v>34051</v>
      </c>
      <c r="BE1021" t="s">
        <v>34050</v>
      </c>
      <c r="BF1021" t="str">
        <f>HYPERLINK("http://dx.doi.org/10.1371/journal.pone.0265606","http://dx.doi.org/10.1371/journal.pone.0265606")</f>
        <v>http://dx.doi.org/10.1371/journal.pone.0265606</v>
      </c>
      <c r="BG1021" t="s">
        <v>74</v>
      </c>
      <c r="BH1021" t="s">
        <v>74</v>
      </c>
      <c r="BI1021">
        <v>16</v>
      </c>
      <c r="BJ1021" t="s">
        <v>559</v>
      </c>
      <c r="BK1021" t="s">
        <v>128</v>
      </c>
      <c r="BL1021" t="s">
        <v>560</v>
      </c>
      <c r="BM1021" t="s">
        <v>34049</v>
      </c>
      <c r="BN1021">
        <v>35390007</v>
      </c>
      <c r="BO1021" t="s">
        <v>916</v>
      </c>
      <c r="BP1021" t="s">
        <v>74</v>
      </c>
      <c r="BQ1021" t="s">
        <v>74</v>
      </c>
      <c r="BR1021" t="s">
        <v>102</v>
      </c>
      <c r="BS1021" t="s">
        <v>34048</v>
      </c>
      <c r="BT1021" t="str">
        <f>HYPERLINK("https%3A%2F%2Fwww.webofscience.com%2Fwos%2Fwoscc%2Ffull-record%2FWOS:000795077200025","View Full Record in Web of Science")</f>
        <v>View Full Record in Web of Science</v>
      </c>
    </row>
    <row r="1022" spans="1:72" x14ac:dyDescent="0.25">
      <c r="A1022" t="s">
        <v>72</v>
      </c>
      <c r="B1022" t="s">
        <v>34047</v>
      </c>
      <c r="C1022" t="s">
        <v>74</v>
      </c>
      <c r="D1022" t="s">
        <v>74</v>
      </c>
      <c r="E1022" t="s">
        <v>74</v>
      </c>
      <c r="F1022" t="s">
        <v>34046</v>
      </c>
      <c r="G1022" t="s">
        <v>74</v>
      </c>
      <c r="H1022" t="s">
        <v>74</v>
      </c>
      <c r="I1022" t="s">
        <v>34045</v>
      </c>
      <c r="J1022" t="s">
        <v>246</v>
      </c>
      <c r="K1022" t="s">
        <v>74</v>
      </c>
      <c r="L1022" t="s">
        <v>74</v>
      </c>
      <c r="M1022" t="s">
        <v>78</v>
      </c>
      <c r="N1022" t="s">
        <v>79</v>
      </c>
      <c r="O1022" t="s">
        <v>74</v>
      </c>
      <c r="P1022" t="s">
        <v>74</v>
      </c>
      <c r="Q1022" t="s">
        <v>74</v>
      </c>
      <c r="R1022" t="s">
        <v>74</v>
      </c>
      <c r="S1022" t="s">
        <v>74</v>
      </c>
      <c r="T1022" t="s">
        <v>34044</v>
      </c>
      <c r="U1022" t="s">
        <v>74</v>
      </c>
      <c r="V1022" t="s">
        <v>34043</v>
      </c>
      <c r="W1022" t="s">
        <v>34042</v>
      </c>
      <c r="X1022" t="s">
        <v>34041</v>
      </c>
      <c r="Y1022" t="s">
        <v>34040</v>
      </c>
      <c r="Z1022" t="s">
        <v>34039</v>
      </c>
      <c r="AA1022" t="s">
        <v>34038</v>
      </c>
      <c r="AB1022" t="s">
        <v>74</v>
      </c>
      <c r="AC1022" t="s">
        <v>34037</v>
      </c>
      <c r="AD1022" t="s">
        <v>34036</v>
      </c>
      <c r="AE1022" t="s">
        <v>34035</v>
      </c>
      <c r="AF1022" t="s">
        <v>74</v>
      </c>
      <c r="AG1022">
        <v>25</v>
      </c>
      <c r="AH1022">
        <v>16</v>
      </c>
      <c r="AI1022">
        <v>17</v>
      </c>
      <c r="AJ1022">
        <v>20</v>
      </c>
      <c r="AK1022">
        <v>94</v>
      </c>
      <c r="AL1022" t="s">
        <v>259</v>
      </c>
      <c r="AM1022" t="s">
        <v>260</v>
      </c>
      <c r="AN1022" t="s">
        <v>261</v>
      </c>
      <c r="AO1022" t="s">
        <v>262</v>
      </c>
      <c r="AP1022" t="s">
        <v>263</v>
      </c>
      <c r="AQ1022" t="s">
        <v>74</v>
      </c>
      <c r="AR1022" t="s">
        <v>264</v>
      </c>
      <c r="AS1022" t="s">
        <v>265</v>
      </c>
      <c r="AT1022" t="s">
        <v>1540</v>
      </c>
      <c r="AU1022">
        <v>2024</v>
      </c>
      <c r="AV1022">
        <v>63</v>
      </c>
      <c r="AW1022" t="s">
        <v>74</v>
      </c>
      <c r="AX1022" t="s">
        <v>74</v>
      </c>
      <c r="AY1022" t="s">
        <v>74</v>
      </c>
      <c r="AZ1022" t="s">
        <v>74</v>
      </c>
      <c r="BA1022" t="s">
        <v>74</v>
      </c>
      <c r="BB1022" t="s">
        <v>74</v>
      </c>
      <c r="BC1022" t="s">
        <v>74</v>
      </c>
      <c r="BD1022">
        <v>105312</v>
      </c>
      <c r="BE1022" t="s">
        <v>34034</v>
      </c>
      <c r="BF1022" t="str">
        <f>HYPERLINK("http://dx.doi.org/10.1016/j.frl.2024.105312","http://dx.doi.org/10.1016/j.frl.2024.105312")</f>
        <v>http://dx.doi.org/10.1016/j.frl.2024.105312</v>
      </c>
      <c r="BG1022" t="s">
        <v>74</v>
      </c>
      <c r="BH1022" t="s">
        <v>1981</v>
      </c>
      <c r="BI1022">
        <v>12</v>
      </c>
      <c r="BJ1022" t="s">
        <v>268</v>
      </c>
      <c r="BK1022" t="s">
        <v>99</v>
      </c>
      <c r="BL1022" t="s">
        <v>100</v>
      </c>
      <c r="BM1022" t="s">
        <v>34033</v>
      </c>
      <c r="BN1022" t="s">
        <v>74</v>
      </c>
      <c r="BO1022" t="s">
        <v>74</v>
      </c>
      <c r="BP1022" t="s">
        <v>74</v>
      </c>
      <c r="BQ1022" t="s">
        <v>74</v>
      </c>
      <c r="BR1022" t="s">
        <v>102</v>
      </c>
      <c r="BS1022" t="s">
        <v>34032</v>
      </c>
      <c r="BT1022" t="str">
        <f>HYPERLINK("https%3A%2F%2Fwww.webofscience.com%2Fwos%2Fwoscc%2Ffull-record%2FWOS:001221544300001","View Full Record in Web of Science")</f>
        <v>View Full Record in Web of Science</v>
      </c>
    </row>
    <row r="1023" spans="1:72" x14ac:dyDescent="0.25">
      <c r="A1023" t="s">
        <v>72</v>
      </c>
      <c r="B1023" t="s">
        <v>34031</v>
      </c>
      <c r="C1023" t="s">
        <v>74</v>
      </c>
      <c r="D1023" t="s">
        <v>74</v>
      </c>
      <c r="E1023" t="s">
        <v>74</v>
      </c>
      <c r="F1023" t="s">
        <v>34030</v>
      </c>
      <c r="G1023" t="s">
        <v>74</v>
      </c>
      <c r="H1023" t="s">
        <v>74</v>
      </c>
      <c r="I1023" t="s">
        <v>34029</v>
      </c>
      <c r="J1023" t="s">
        <v>34028</v>
      </c>
      <c r="K1023" t="s">
        <v>74</v>
      </c>
      <c r="L1023" t="s">
        <v>74</v>
      </c>
      <c r="M1023" t="s">
        <v>78</v>
      </c>
      <c r="N1023" t="s">
        <v>79</v>
      </c>
      <c r="O1023" t="s">
        <v>74</v>
      </c>
      <c r="P1023" t="s">
        <v>74</v>
      </c>
      <c r="Q1023" t="s">
        <v>74</v>
      </c>
      <c r="R1023" t="s">
        <v>74</v>
      </c>
      <c r="S1023" t="s">
        <v>74</v>
      </c>
      <c r="T1023" t="s">
        <v>34027</v>
      </c>
      <c r="U1023" t="s">
        <v>8579</v>
      </c>
      <c r="V1023" t="s">
        <v>34026</v>
      </c>
      <c r="W1023" t="s">
        <v>34025</v>
      </c>
      <c r="X1023" t="s">
        <v>74</v>
      </c>
      <c r="Y1023" t="s">
        <v>34024</v>
      </c>
      <c r="Z1023" t="s">
        <v>34023</v>
      </c>
      <c r="AA1023" t="s">
        <v>34022</v>
      </c>
      <c r="AB1023" t="s">
        <v>34021</v>
      </c>
      <c r="AC1023" t="s">
        <v>74</v>
      </c>
      <c r="AD1023" t="s">
        <v>74</v>
      </c>
      <c r="AE1023" t="s">
        <v>74</v>
      </c>
      <c r="AF1023" t="s">
        <v>74</v>
      </c>
      <c r="AG1023">
        <v>71</v>
      </c>
      <c r="AH1023">
        <v>1</v>
      </c>
      <c r="AI1023">
        <v>2</v>
      </c>
      <c r="AJ1023">
        <v>7</v>
      </c>
      <c r="AK1023">
        <v>10</v>
      </c>
      <c r="AL1023" t="s">
        <v>117</v>
      </c>
      <c r="AM1023" t="s">
        <v>118</v>
      </c>
      <c r="AN1023" t="s">
        <v>119</v>
      </c>
      <c r="AO1023" t="s">
        <v>34020</v>
      </c>
      <c r="AP1023" t="s">
        <v>34019</v>
      </c>
      <c r="AQ1023" t="s">
        <v>74</v>
      </c>
      <c r="AR1023" t="s">
        <v>34018</v>
      </c>
      <c r="AS1023" t="s">
        <v>34017</v>
      </c>
      <c r="AT1023" t="s">
        <v>848</v>
      </c>
      <c r="AU1023">
        <v>2025</v>
      </c>
      <c r="AV1023">
        <v>11</v>
      </c>
      <c r="AW1023">
        <v>2</v>
      </c>
      <c r="AX1023" t="s">
        <v>74</v>
      </c>
      <c r="AY1023" t="s">
        <v>74</v>
      </c>
      <c r="AZ1023" t="s">
        <v>441</v>
      </c>
      <c r="BA1023" t="s">
        <v>74</v>
      </c>
      <c r="BB1023">
        <v>815</v>
      </c>
      <c r="BC1023">
        <v>829</v>
      </c>
      <c r="BD1023" t="s">
        <v>74</v>
      </c>
      <c r="BE1023" t="s">
        <v>34016</v>
      </c>
      <c r="BF1023" t="str">
        <f>HYPERLINK("http://dx.doi.org/10.1007/s40797-025-00334-5","http://dx.doi.org/10.1007/s40797-025-00334-5")</f>
        <v>http://dx.doi.org/10.1007/s40797-025-00334-5</v>
      </c>
      <c r="BG1023" t="s">
        <v>74</v>
      </c>
      <c r="BH1023" t="s">
        <v>2359</v>
      </c>
      <c r="BI1023">
        <v>15</v>
      </c>
      <c r="BJ1023" t="s">
        <v>291</v>
      </c>
      <c r="BK1023" t="s">
        <v>313</v>
      </c>
      <c r="BL1023" t="s">
        <v>100</v>
      </c>
      <c r="BM1023" t="s">
        <v>34015</v>
      </c>
      <c r="BN1023" t="s">
        <v>74</v>
      </c>
      <c r="BO1023" t="s">
        <v>74</v>
      </c>
      <c r="BP1023" t="s">
        <v>74</v>
      </c>
      <c r="BQ1023" t="s">
        <v>74</v>
      </c>
      <c r="BR1023" t="s">
        <v>102</v>
      </c>
      <c r="BS1023" t="s">
        <v>34014</v>
      </c>
      <c r="BT1023" t="str">
        <f>HYPERLINK("https%3A%2F%2Fwww.webofscience.com%2Fwos%2Fwoscc%2Ffull-record%2FWOS:001499197900001","View Full Record in Web of Science")</f>
        <v>View Full Record in Web of Science</v>
      </c>
    </row>
    <row r="1024" spans="1:72" x14ac:dyDescent="0.25">
      <c r="A1024" t="s">
        <v>132</v>
      </c>
      <c r="B1024" t="s">
        <v>3696</v>
      </c>
      <c r="C1024" t="s">
        <v>74</v>
      </c>
      <c r="D1024" t="s">
        <v>34013</v>
      </c>
      <c r="E1024" t="s">
        <v>74</v>
      </c>
      <c r="F1024" t="s">
        <v>34012</v>
      </c>
      <c r="G1024" t="s">
        <v>74</v>
      </c>
      <c r="H1024" t="s">
        <v>74</v>
      </c>
      <c r="I1024" t="s">
        <v>34011</v>
      </c>
      <c r="J1024" t="s">
        <v>34010</v>
      </c>
      <c r="K1024" t="s">
        <v>34009</v>
      </c>
      <c r="L1024" t="s">
        <v>74</v>
      </c>
      <c r="M1024" t="s">
        <v>78</v>
      </c>
      <c r="N1024" t="s">
        <v>138</v>
      </c>
      <c r="O1024" t="s">
        <v>34008</v>
      </c>
      <c r="P1024" t="s">
        <v>34007</v>
      </c>
      <c r="Q1024" t="s">
        <v>11799</v>
      </c>
      <c r="R1024" t="s">
        <v>34006</v>
      </c>
      <c r="S1024" t="s">
        <v>74</v>
      </c>
      <c r="T1024" t="s">
        <v>34005</v>
      </c>
      <c r="U1024" t="s">
        <v>34004</v>
      </c>
      <c r="V1024" t="s">
        <v>34003</v>
      </c>
      <c r="W1024" t="s">
        <v>34002</v>
      </c>
      <c r="X1024" t="s">
        <v>34001</v>
      </c>
      <c r="Y1024" t="s">
        <v>34000</v>
      </c>
      <c r="Z1024" t="s">
        <v>33999</v>
      </c>
      <c r="AA1024" t="s">
        <v>33998</v>
      </c>
      <c r="AB1024" t="s">
        <v>33997</v>
      </c>
      <c r="AC1024" t="s">
        <v>74</v>
      </c>
      <c r="AD1024" t="s">
        <v>74</v>
      </c>
      <c r="AE1024" t="s">
        <v>74</v>
      </c>
      <c r="AF1024" t="s">
        <v>74</v>
      </c>
      <c r="AG1024">
        <v>37</v>
      </c>
      <c r="AH1024">
        <v>7</v>
      </c>
      <c r="AI1024">
        <v>9</v>
      </c>
      <c r="AJ1024">
        <v>1</v>
      </c>
      <c r="AK1024">
        <v>12</v>
      </c>
      <c r="AL1024" t="s">
        <v>771</v>
      </c>
      <c r="AM1024" t="s">
        <v>151</v>
      </c>
      <c r="AN1024" t="s">
        <v>785</v>
      </c>
      <c r="AO1024" t="s">
        <v>33996</v>
      </c>
      <c r="AP1024" t="s">
        <v>74</v>
      </c>
      <c r="AQ1024" t="s">
        <v>33995</v>
      </c>
      <c r="AR1024" t="s">
        <v>33994</v>
      </c>
      <c r="AS1024" t="s">
        <v>74</v>
      </c>
      <c r="AT1024" t="s">
        <v>74</v>
      </c>
      <c r="AU1024">
        <v>2017</v>
      </c>
      <c r="AV1024" t="s">
        <v>74</v>
      </c>
      <c r="AW1024" t="s">
        <v>74</v>
      </c>
      <c r="AX1024" t="s">
        <v>74</v>
      </c>
      <c r="AY1024" t="s">
        <v>74</v>
      </c>
      <c r="AZ1024" t="s">
        <v>74</v>
      </c>
      <c r="BA1024" t="s">
        <v>74</v>
      </c>
      <c r="BB1024">
        <v>929</v>
      </c>
      <c r="BC1024">
        <v>934</v>
      </c>
      <c r="BD1024" t="s">
        <v>74</v>
      </c>
      <c r="BE1024" t="s">
        <v>74</v>
      </c>
      <c r="BF1024" t="s">
        <v>74</v>
      </c>
      <c r="BG1024" t="s">
        <v>74</v>
      </c>
      <c r="BH1024" t="s">
        <v>74</v>
      </c>
      <c r="BI1024">
        <v>6</v>
      </c>
      <c r="BJ1024" t="s">
        <v>33993</v>
      </c>
      <c r="BK1024" t="s">
        <v>156</v>
      </c>
      <c r="BL1024" t="s">
        <v>981</v>
      </c>
      <c r="BM1024" t="s">
        <v>33992</v>
      </c>
      <c r="BN1024" t="s">
        <v>74</v>
      </c>
      <c r="BO1024" t="s">
        <v>74</v>
      </c>
      <c r="BP1024" t="s">
        <v>74</v>
      </c>
      <c r="BQ1024" t="s">
        <v>74</v>
      </c>
      <c r="BR1024" t="s">
        <v>102</v>
      </c>
      <c r="BS1024" t="s">
        <v>33991</v>
      </c>
      <c r="BT1024" t="str">
        <f>HYPERLINK("https%3A%2F%2Fwww.webofscience.com%2Fwos%2Fwoscc%2Ffull-record%2FWOS:000424741600158","View Full Record in Web of Science")</f>
        <v>View Full Record in Web of Science</v>
      </c>
    </row>
    <row r="1025" spans="1:72" x14ac:dyDescent="0.25">
      <c r="A1025" t="s">
        <v>72</v>
      </c>
      <c r="B1025" t="s">
        <v>33990</v>
      </c>
      <c r="C1025" t="s">
        <v>74</v>
      </c>
      <c r="D1025" t="s">
        <v>74</v>
      </c>
      <c r="E1025" t="s">
        <v>74</v>
      </c>
      <c r="F1025" t="s">
        <v>33989</v>
      </c>
      <c r="G1025" t="s">
        <v>74</v>
      </c>
      <c r="H1025" t="s">
        <v>74</v>
      </c>
      <c r="I1025" t="s">
        <v>33988</v>
      </c>
      <c r="J1025" t="s">
        <v>3231</v>
      </c>
      <c r="K1025" t="s">
        <v>74</v>
      </c>
      <c r="L1025" t="s">
        <v>74</v>
      </c>
      <c r="M1025" t="s">
        <v>78</v>
      </c>
      <c r="N1025" t="s">
        <v>79</v>
      </c>
      <c r="O1025" t="s">
        <v>74</v>
      </c>
      <c r="P1025" t="s">
        <v>74</v>
      </c>
      <c r="Q1025" t="s">
        <v>74</v>
      </c>
      <c r="R1025" t="s">
        <v>74</v>
      </c>
      <c r="S1025" t="s">
        <v>74</v>
      </c>
      <c r="T1025" t="s">
        <v>33987</v>
      </c>
      <c r="U1025" t="s">
        <v>8288</v>
      </c>
      <c r="V1025" t="s">
        <v>33986</v>
      </c>
      <c r="W1025" t="s">
        <v>33985</v>
      </c>
      <c r="X1025" t="s">
        <v>33984</v>
      </c>
      <c r="Y1025" t="s">
        <v>33983</v>
      </c>
      <c r="Z1025" t="s">
        <v>33982</v>
      </c>
      <c r="AA1025" t="s">
        <v>74</v>
      </c>
      <c r="AB1025" t="s">
        <v>74</v>
      </c>
      <c r="AC1025" t="s">
        <v>33981</v>
      </c>
      <c r="AD1025" t="s">
        <v>33980</v>
      </c>
      <c r="AE1025" t="s">
        <v>33979</v>
      </c>
      <c r="AF1025" t="s">
        <v>74</v>
      </c>
      <c r="AG1025">
        <v>47</v>
      </c>
      <c r="AH1025">
        <v>24</v>
      </c>
      <c r="AI1025">
        <v>29</v>
      </c>
      <c r="AJ1025">
        <v>4</v>
      </c>
      <c r="AK1025">
        <v>153</v>
      </c>
      <c r="AL1025" t="s">
        <v>575</v>
      </c>
      <c r="AM1025" t="s">
        <v>576</v>
      </c>
      <c r="AN1025" t="s">
        <v>3242</v>
      </c>
      <c r="AO1025" t="s">
        <v>74</v>
      </c>
      <c r="AP1025" t="s">
        <v>3243</v>
      </c>
      <c r="AQ1025" t="s">
        <v>74</v>
      </c>
      <c r="AR1025" t="s">
        <v>3244</v>
      </c>
      <c r="AS1025" t="s">
        <v>3245</v>
      </c>
      <c r="AT1025" t="s">
        <v>33978</v>
      </c>
      <c r="AU1025">
        <v>2019</v>
      </c>
      <c r="AV1025">
        <v>11</v>
      </c>
      <c r="AW1025">
        <v>7</v>
      </c>
      <c r="AX1025" t="s">
        <v>74</v>
      </c>
      <c r="AY1025" t="s">
        <v>74</v>
      </c>
      <c r="AZ1025" t="s">
        <v>74</v>
      </c>
      <c r="BA1025" t="s">
        <v>74</v>
      </c>
      <c r="BB1025" t="s">
        <v>74</v>
      </c>
      <c r="BC1025" t="s">
        <v>74</v>
      </c>
      <c r="BD1025">
        <v>1900</v>
      </c>
      <c r="BE1025" t="s">
        <v>33977</v>
      </c>
      <c r="BF1025" t="str">
        <f>HYPERLINK("http://dx.doi.org/10.3390/su11071900","http://dx.doi.org/10.3390/su11071900")</f>
        <v>http://dx.doi.org/10.3390/su11071900</v>
      </c>
      <c r="BG1025" t="s">
        <v>74</v>
      </c>
      <c r="BH1025" t="s">
        <v>74</v>
      </c>
      <c r="BI1025">
        <v>17</v>
      </c>
      <c r="BJ1025" t="s">
        <v>3247</v>
      </c>
      <c r="BK1025" t="s">
        <v>2623</v>
      </c>
      <c r="BL1025" t="s">
        <v>3248</v>
      </c>
      <c r="BM1025" t="s">
        <v>33976</v>
      </c>
      <c r="BN1025" t="s">
        <v>74</v>
      </c>
      <c r="BO1025" t="s">
        <v>916</v>
      </c>
      <c r="BP1025" t="s">
        <v>74</v>
      </c>
      <c r="BQ1025" t="s">
        <v>74</v>
      </c>
      <c r="BR1025" t="s">
        <v>102</v>
      </c>
      <c r="BS1025" t="s">
        <v>33975</v>
      </c>
      <c r="BT1025" t="str">
        <f>HYPERLINK("https%3A%2F%2Fwww.webofscience.com%2Fwos%2Fwoscc%2Ffull-record%2FWOS:000466551600077","View Full Record in Web of Science")</f>
        <v>View Full Record in Web of Science</v>
      </c>
    </row>
    <row r="1026" spans="1:72" x14ac:dyDescent="0.25">
      <c r="A1026" t="s">
        <v>72</v>
      </c>
      <c r="B1026" t="s">
        <v>33974</v>
      </c>
      <c r="C1026" t="s">
        <v>74</v>
      </c>
      <c r="D1026" t="s">
        <v>74</v>
      </c>
      <c r="E1026" t="s">
        <v>74</v>
      </c>
      <c r="F1026" t="s">
        <v>33973</v>
      </c>
      <c r="G1026" t="s">
        <v>74</v>
      </c>
      <c r="H1026" t="s">
        <v>74</v>
      </c>
      <c r="I1026" t="s">
        <v>33972</v>
      </c>
      <c r="J1026" t="s">
        <v>33960</v>
      </c>
      <c r="K1026" t="s">
        <v>74</v>
      </c>
      <c r="L1026" t="s">
        <v>74</v>
      </c>
      <c r="M1026" t="s">
        <v>78</v>
      </c>
      <c r="N1026" t="s">
        <v>79</v>
      </c>
      <c r="O1026" t="s">
        <v>74</v>
      </c>
      <c r="P1026" t="s">
        <v>74</v>
      </c>
      <c r="Q1026" t="s">
        <v>74</v>
      </c>
      <c r="R1026" t="s">
        <v>74</v>
      </c>
      <c r="S1026" t="s">
        <v>74</v>
      </c>
      <c r="T1026" t="s">
        <v>33971</v>
      </c>
      <c r="U1026" t="s">
        <v>33970</v>
      </c>
      <c r="V1026" t="s">
        <v>33969</v>
      </c>
      <c r="W1026" t="s">
        <v>33968</v>
      </c>
      <c r="X1026" t="s">
        <v>33967</v>
      </c>
      <c r="Y1026" t="s">
        <v>33966</v>
      </c>
      <c r="Z1026" t="s">
        <v>33965</v>
      </c>
      <c r="AA1026" t="s">
        <v>33964</v>
      </c>
      <c r="AB1026" t="s">
        <v>33963</v>
      </c>
      <c r="AC1026" t="s">
        <v>74</v>
      </c>
      <c r="AD1026" t="s">
        <v>74</v>
      </c>
      <c r="AE1026" t="s">
        <v>74</v>
      </c>
      <c r="AF1026" t="s">
        <v>74</v>
      </c>
      <c r="AG1026">
        <v>59</v>
      </c>
      <c r="AH1026">
        <v>199</v>
      </c>
      <c r="AI1026">
        <v>265</v>
      </c>
      <c r="AJ1026">
        <v>8</v>
      </c>
      <c r="AK1026">
        <v>258</v>
      </c>
      <c r="AL1026" t="s">
        <v>201</v>
      </c>
      <c r="AM1026" t="s">
        <v>202</v>
      </c>
      <c r="AN1026" t="s">
        <v>203</v>
      </c>
      <c r="AO1026" t="s">
        <v>33962</v>
      </c>
      <c r="AP1026" t="s">
        <v>33961</v>
      </c>
      <c r="AQ1026" t="s">
        <v>74</v>
      </c>
      <c r="AR1026" t="s">
        <v>33960</v>
      </c>
      <c r="AS1026" t="s">
        <v>33959</v>
      </c>
      <c r="AT1026" t="s">
        <v>124</v>
      </c>
      <c r="AU1026">
        <v>2020</v>
      </c>
      <c r="AV1026">
        <v>98</v>
      </c>
      <c r="AW1026" t="s">
        <v>74</v>
      </c>
      <c r="AX1026" t="s">
        <v>74</v>
      </c>
      <c r="AY1026" t="s">
        <v>74</v>
      </c>
      <c r="AZ1026" t="s">
        <v>74</v>
      </c>
      <c r="BA1026" t="s">
        <v>74</v>
      </c>
      <c r="BB1026" t="s">
        <v>74</v>
      </c>
      <c r="BC1026" t="s">
        <v>74</v>
      </c>
      <c r="BD1026">
        <v>102155</v>
      </c>
      <c r="BE1026" t="s">
        <v>33958</v>
      </c>
      <c r="BF1026" t="str">
        <f>HYPERLINK("http://dx.doi.org/10.1016/j.technovation.2020.102155","http://dx.doi.org/10.1016/j.technovation.2020.102155")</f>
        <v>http://dx.doi.org/10.1016/j.technovation.2020.102155</v>
      </c>
      <c r="BG1026" t="s">
        <v>74</v>
      </c>
      <c r="BH1026" t="s">
        <v>74</v>
      </c>
      <c r="BI1026">
        <v>14</v>
      </c>
      <c r="BJ1026" t="s">
        <v>33957</v>
      </c>
      <c r="BK1026" t="s">
        <v>2623</v>
      </c>
      <c r="BL1026" t="s">
        <v>33956</v>
      </c>
      <c r="BM1026" t="s">
        <v>33955</v>
      </c>
      <c r="BN1026" t="s">
        <v>74</v>
      </c>
      <c r="BO1026" t="s">
        <v>74</v>
      </c>
      <c r="BP1026" t="s">
        <v>74</v>
      </c>
      <c r="BQ1026" t="s">
        <v>74</v>
      </c>
      <c r="BR1026" t="s">
        <v>102</v>
      </c>
      <c r="BS1026" t="s">
        <v>33954</v>
      </c>
      <c r="BT1026" t="str">
        <f>HYPERLINK("https%3A%2F%2Fwww.webofscience.com%2Fwos%2Fwoscc%2Ffull-record%2FWOS:000571473300006","View Full Record in Web of Science")</f>
        <v>View Full Record in Web of Science</v>
      </c>
    </row>
    <row r="1027" spans="1:72" x14ac:dyDescent="0.25">
      <c r="A1027" t="s">
        <v>72</v>
      </c>
      <c r="B1027" t="s">
        <v>33953</v>
      </c>
      <c r="C1027" t="s">
        <v>74</v>
      </c>
      <c r="D1027" t="s">
        <v>74</v>
      </c>
      <c r="E1027" t="s">
        <v>74</v>
      </c>
      <c r="F1027" t="s">
        <v>33952</v>
      </c>
      <c r="G1027" t="s">
        <v>74</v>
      </c>
      <c r="H1027" t="s">
        <v>74</v>
      </c>
      <c r="I1027" t="s">
        <v>33951</v>
      </c>
      <c r="J1027" t="s">
        <v>33950</v>
      </c>
      <c r="K1027" t="s">
        <v>74</v>
      </c>
      <c r="L1027" t="s">
        <v>74</v>
      </c>
      <c r="M1027" t="s">
        <v>78</v>
      </c>
      <c r="N1027" t="s">
        <v>79</v>
      </c>
      <c r="O1027" t="s">
        <v>74</v>
      </c>
      <c r="P1027" t="s">
        <v>74</v>
      </c>
      <c r="Q1027" t="s">
        <v>74</v>
      </c>
      <c r="R1027" t="s">
        <v>74</v>
      </c>
      <c r="S1027" t="s">
        <v>74</v>
      </c>
      <c r="T1027" t="s">
        <v>33949</v>
      </c>
      <c r="U1027" t="s">
        <v>74</v>
      </c>
      <c r="V1027" t="s">
        <v>33948</v>
      </c>
      <c r="W1027" t="s">
        <v>33947</v>
      </c>
      <c r="X1027" t="s">
        <v>33946</v>
      </c>
      <c r="Y1027" t="s">
        <v>33945</v>
      </c>
      <c r="Z1027" t="s">
        <v>33944</v>
      </c>
      <c r="AA1027" t="s">
        <v>74</v>
      </c>
      <c r="AB1027" t="s">
        <v>33943</v>
      </c>
      <c r="AC1027" t="s">
        <v>74</v>
      </c>
      <c r="AD1027" t="s">
        <v>74</v>
      </c>
      <c r="AE1027" t="s">
        <v>74</v>
      </c>
      <c r="AF1027" t="s">
        <v>74</v>
      </c>
      <c r="AG1027">
        <v>26</v>
      </c>
      <c r="AH1027">
        <v>6</v>
      </c>
      <c r="AI1027">
        <v>7</v>
      </c>
      <c r="AJ1027">
        <v>0</v>
      </c>
      <c r="AK1027">
        <v>12</v>
      </c>
      <c r="AL1027" t="s">
        <v>666</v>
      </c>
      <c r="AM1027" t="s">
        <v>667</v>
      </c>
      <c r="AN1027" t="s">
        <v>668</v>
      </c>
      <c r="AO1027" t="s">
        <v>33942</v>
      </c>
      <c r="AP1027" t="s">
        <v>33941</v>
      </c>
      <c r="AQ1027" t="s">
        <v>74</v>
      </c>
      <c r="AR1027" t="s">
        <v>33940</v>
      </c>
      <c r="AS1027" t="s">
        <v>33939</v>
      </c>
      <c r="AT1027" t="s">
        <v>743</v>
      </c>
      <c r="AU1027">
        <v>2021</v>
      </c>
      <c r="AV1027">
        <v>76</v>
      </c>
      <c r="AW1027" t="s">
        <v>5324</v>
      </c>
      <c r="AX1027" t="s">
        <v>74</v>
      </c>
      <c r="AY1027" t="s">
        <v>74</v>
      </c>
      <c r="AZ1027" t="s">
        <v>441</v>
      </c>
      <c r="BA1027" t="s">
        <v>74</v>
      </c>
      <c r="BB1027">
        <v>223</v>
      </c>
      <c r="BC1027">
        <v>233</v>
      </c>
      <c r="BD1027" t="s">
        <v>74</v>
      </c>
      <c r="BE1027" t="s">
        <v>33938</v>
      </c>
      <c r="BF1027" t="str">
        <f>HYPERLINK("http://dx.doi.org/10.1007/s12243-021-00840-4","http://dx.doi.org/10.1007/s12243-021-00840-4")</f>
        <v>http://dx.doi.org/10.1007/s12243-021-00840-4</v>
      </c>
      <c r="BG1027" t="s">
        <v>74</v>
      </c>
      <c r="BH1027" t="s">
        <v>443</v>
      </c>
      <c r="BI1027">
        <v>11</v>
      </c>
      <c r="BJ1027" t="s">
        <v>2173</v>
      </c>
      <c r="BK1027" t="s">
        <v>128</v>
      </c>
      <c r="BL1027" t="s">
        <v>2173</v>
      </c>
      <c r="BM1027" t="s">
        <v>33937</v>
      </c>
      <c r="BN1027" t="s">
        <v>74</v>
      </c>
      <c r="BO1027" t="s">
        <v>74</v>
      </c>
      <c r="BP1027" t="s">
        <v>74</v>
      </c>
      <c r="BQ1027" t="s">
        <v>74</v>
      </c>
      <c r="BR1027" t="s">
        <v>102</v>
      </c>
      <c r="BS1027" t="s">
        <v>33936</v>
      </c>
      <c r="BT1027" t="str">
        <f>HYPERLINK("https%3A%2F%2Fwww.webofscience.com%2Fwos%2Fwoscc%2Ffull-record%2FWOS:000638057200001","View Full Record in Web of Science")</f>
        <v>View Full Record in Web of Science</v>
      </c>
    </row>
    <row r="1028" spans="1:72" x14ac:dyDescent="0.25">
      <c r="A1028" t="s">
        <v>72</v>
      </c>
      <c r="B1028" t="s">
        <v>33935</v>
      </c>
      <c r="C1028" t="s">
        <v>74</v>
      </c>
      <c r="D1028" t="s">
        <v>74</v>
      </c>
      <c r="E1028" t="s">
        <v>74</v>
      </c>
      <c r="F1028" t="s">
        <v>33934</v>
      </c>
      <c r="G1028" t="s">
        <v>74</v>
      </c>
      <c r="H1028" t="s">
        <v>74</v>
      </c>
      <c r="I1028" t="s">
        <v>33933</v>
      </c>
      <c r="J1028" t="s">
        <v>3439</v>
      </c>
      <c r="K1028" t="s">
        <v>74</v>
      </c>
      <c r="L1028" t="s">
        <v>74</v>
      </c>
      <c r="M1028" t="s">
        <v>78</v>
      </c>
      <c r="N1028" t="s">
        <v>79</v>
      </c>
      <c r="O1028" t="s">
        <v>74</v>
      </c>
      <c r="P1028" t="s">
        <v>74</v>
      </c>
      <c r="Q1028" t="s">
        <v>74</v>
      </c>
      <c r="R1028" t="s">
        <v>74</v>
      </c>
      <c r="S1028" t="s">
        <v>74</v>
      </c>
      <c r="T1028" t="s">
        <v>33932</v>
      </c>
      <c r="U1028" t="s">
        <v>33931</v>
      </c>
      <c r="V1028" t="s">
        <v>33930</v>
      </c>
      <c r="W1028" t="s">
        <v>33929</v>
      </c>
      <c r="X1028" t="s">
        <v>33928</v>
      </c>
      <c r="Y1028" t="s">
        <v>33927</v>
      </c>
      <c r="Z1028" t="s">
        <v>33926</v>
      </c>
      <c r="AA1028" t="s">
        <v>33925</v>
      </c>
      <c r="AB1028" t="s">
        <v>33924</v>
      </c>
      <c r="AC1028" t="s">
        <v>33923</v>
      </c>
      <c r="AD1028" t="s">
        <v>33923</v>
      </c>
      <c r="AE1028" t="s">
        <v>33922</v>
      </c>
      <c r="AF1028" t="s">
        <v>74</v>
      </c>
      <c r="AG1028">
        <v>56</v>
      </c>
      <c r="AH1028">
        <v>6</v>
      </c>
      <c r="AI1028">
        <v>8</v>
      </c>
      <c r="AJ1028">
        <v>0</v>
      </c>
      <c r="AK1028">
        <v>15</v>
      </c>
      <c r="AL1028" t="s">
        <v>2481</v>
      </c>
      <c r="AM1028" t="s">
        <v>2482</v>
      </c>
      <c r="AN1028" t="s">
        <v>2483</v>
      </c>
      <c r="AO1028" t="s">
        <v>3443</v>
      </c>
      <c r="AP1028" t="s">
        <v>74</v>
      </c>
      <c r="AQ1028" t="s">
        <v>74</v>
      </c>
      <c r="AR1028" t="s">
        <v>3444</v>
      </c>
      <c r="AS1028" t="s">
        <v>3445</v>
      </c>
      <c r="AT1028" t="s">
        <v>33921</v>
      </c>
      <c r="AU1028">
        <v>2023</v>
      </c>
      <c r="AV1028">
        <v>11</v>
      </c>
      <c r="AW1028">
        <v>2</v>
      </c>
      <c r="AX1028" t="s">
        <v>74</v>
      </c>
      <c r="AY1028" t="s">
        <v>74</v>
      </c>
      <c r="AZ1028" t="s">
        <v>74</v>
      </c>
      <c r="BA1028" t="s">
        <v>74</v>
      </c>
      <c r="BB1028" t="s">
        <v>74</v>
      </c>
      <c r="BC1028" t="s">
        <v>74</v>
      </c>
      <c r="BD1028">
        <v>2230725</v>
      </c>
      <c r="BE1028" t="s">
        <v>33920</v>
      </c>
      <c r="BF1028" t="str">
        <f>HYPERLINK("http://dx.doi.org/10.1080/23322039.2023.2230725","http://dx.doi.org/10.1080/23322039.2023.2230725")</f>
        <v>http://dx.doi.org/10.1080/23322039.2023.2230725</v>
      </c>
      <c r="BG1028" t="s">
        <v>74</v>
      </c>
      <c r="BH1028" t="s">
        <v>74</v>
      </c>
      <c r="BI1028">
        <v>29</v>
      </c>
      <c r="BJ1028" t="s">
        <v>291</v>
      </c>
      <c r="BK1028" t="s">
        <v>313</v>
      </c>
      <c r="BL1028" t="s">
        <v>100</v>
      </c>
      <c r="BM1028" t="s">
        <v>33919</v>
      </c>
      <c r="BN1028" t="s">
        <v>74</v>
      </c>
      <c r="BO1028" t="s">
        <v>916</v>
      </c>
      <c r="BP1028" t="s">
        <v>74</v>
      </c>
      <c r="BQ1028" t="s">
        <v>74</v>
      </c>
      <c r="BR1028" t="s">
        <v>102</v>
      </c>
      <c r="BS1028" t="s">
        <v>33918</v>
      </c>
      <c r="BT1028" t="str">
        <f>HYPERLINK("https%3A%2F%2Fwww.webofscience.com%2Fwos%2Fwoscc%2Ffull-record%2FWOS:001023854200001","View Full Record in Web of Science")</f>
        <v>View Full Record in Web of Science</v>
      </c>
    </row>
    <row r="1029" spans="1:72" x14ac:dyDescent="0.25">
      <c r="A1029" t="s">
        <v>72</v>
      </c>
      <c r="B1029" t="s">
        <v>33917</v>
      </c>
      <c r="C1029" t="s">
        <v>74</v>
      </c>
      <c r="D1029" t="s">
        <v>74</v>
      </c>
      <c r="E1029" t="s">
        <v>74</v>
      </c>
      <c r="F1029" t="s">
        <v>33916</v>
      </c>
      <c r="G1029" t="s">
        <v>74</v>
      </c>
      <c r="H1029" t="s">
        <v>74</v>
      </c>
      <c r="I1029" t="s">
        <v>33915</v>
      </c>
      <c r="J1029" t="s">
        <v>2309</v>
      </c>
      <c r="K1029" t="s">
        <v>74</v>
      </c>
      <c r="L1029" t="s">
        <v>74</v>
      </c>
      <c r="M1029" t="s">
        <v>78</v>
      </c>
      <c r="N1029" t="s">
        <v>79</v>
      </c>
      <c r="O1029" t="s">
        <v>74</v>
      </c>
      <c r="P1029" t="s">
        <v>74</v>
      </c>
      <c r="Q1029" t="s">
        <v>74</v>
      </c>
      <c r="R1029" t="s">
        <v>74</v>
      </c>
      <c r="S1029" t="s">
        <v>74</v>
      </c>
      <c r="T1029" t="s">
        <v>74</v>
      </c>
      <c r="U1029" t="s">
        <v>33914</v>
      </c>
      <c r="V1029" t="s">
        <v>33913</v>
      </c>
      <c r="W1029" t="s">
        <v>33912</v>
      </c>
      <c r="X1029" t="s">
        <v>33911</v>
      </c>
      <c r="Y1029" t="s">
        <v>33910</v>
      </c>
      <c r="Z1029" t="s">
        <v>33909</v>
      </c>
      <c r="AA1029" t="s">
        <v>33908</v>
      </c>
      <c r="AB1029" t="s">
        <v>33907</v>
      </c>
      <c r="AC1029" t="s">
        <v>33906</v>
      </c>
      <c r="AD1029" t="s">
        <v>33905</v>
      </c>
      <c r="AE1029" t="s">
        <v>74</v>
      </c>
      <c r="AF1029" t="s">
        <v>74</v>
      </c>
      <c r="AG1029">
        <v>59</v>
      </c>
      <c r="AH1029">
        <v>190</v>
      </c>
      <c r="AI1029">
        <v>230</v>
      </c>
      <c r="AJ1029">
        <v>0</v>
      </c>
      <c r="AK1029">
        <v>72</v>
      </c>
      <c r="AL1029" t="s">
        <v>332</v>
      </c>
      <c r="AM1029" t="s">
        <v>333</v>
      </c>
      <c r="AN1029" t="s">
        <v>334</v>
      </c>
      <c r="AO1029" t="s">
        <v>2322</v>
      </c>
      <c r="AP1029" t="s">
        <v>2323</v>
      </c>
      <c r="AQ1029" t="s">
        <v>74</v>
      </c>
      <c r="AR1029" t="s">
        <v>2324</v>
      </c>
      <c r="AS1029" t="s">
        <v>2325</v>
      </c>
      <c r="AT1029" t="s">
        <v>74</v>
      </c>
      <c r="AU1029">
        <v>2012</v>
      </c>
      <c r="AV1029">
        <v>48</v>
      </c>
      <c r="AW1029">
        <v>5</v>
      </c>
      <c r="AX1029" t="s">
        <v>74</v>
      </c>
      <c r="AY1029" t="s">
        <v>74</v>
      </c>
      <c r="AZ1029" t="s">
        <v>441</v>
      </c>
      <c r="BA1029" t="s">
        <v>74</v>
      </c>
      <c r="BB1029">
        <v>589</v>
      </c>
      <c r="BC1029">
        <v>604</v>
      </c>
      <c r="BD1029" t="s">
        <v>74</v>
      </c>
      <c r="BE1029" t="s">
        <v>33904</v>
      </c>
      <c r="BF1029" t="str">
        <f>HYPERLINK("http://dx.doi.org/10.1080/00220388.2011.621944","http://dx.doi.org/10.1080/00220388.2011.621944")</f>
        <v>http://dx.doi.org/10.1080/00220388.2011.621944</v>
      </c>
      <c r="BG1029" t="s">
        <v>74</v>
      </c>
      <c r="BH1029" t="s">
        <v>74</v>
      </c>
      <c r="BI1029">
        <v>16</v>
      </c>
      <c r="BJ1029" t="s">
        <v>701</v>
      </c>
      <c r="BK1029" t="s">
        <v>99</v>
      </c>
      <c r="BL1029" t="s">
        <v>702</v>
      </c>
      <c r="BM1029" t="s">
        <v>33903</v>
      </c>
      <c r="BN1029" t="s">
        <v>74</v>
      </c>
      <c r="BO1029" t="s">
        <v>212</v>
      </c>
      <c r="BP1029" t="s">
        <v>74</v>
      </c>
      <c r="BQ1029" t="s">
        <v>74</v>
      </c>
      <c r="BR1029" t="s">
        <v>102</v>
      </c>
      <c r="BS1029" t="s">
        <v>33902</v>
      </c>
      <c r="BT1029" t="str">
        <f>HYPERLINK("https%3A%2F%2Fwww.webofscience.com%2Fwos%2Fwoscc%2Ffull-record%2FWOS:000304918700001","View Full Record in Web of Science")</f>
        <v>View Full Record in Web of Science</v>
      </c>
    </row>
    <row r="1030" spans="1:72" x14ac:dyDescent="0.25">
      <c r="A1030" t="s">
        <v>72</v>
      </c>
      <c r="B1030" t="s">
        <v>33901</v>
      </c>
      <c r="C1030" t="s">
        <v>74</v>
      </c>
      <c r="D1030" t="s">
        <v>74</v>
      </c>
      <c r="E1030" t="s">
        <v>74</v>
      </c>
      <c r="F1030" t="s">
        <v>33900</v>
      </c>
      <c r="G1030" t="s">
        <v>74</v>
      </c>
      <c r="H1030" t="s">
        <v>74</v>
      </c>
      <c r="I1030" t="s">
        <v>33899</v>
      </c>
      <c r="J1030" t="s">
        <v>1143</v>
      </c>
      <c r="K1030" t="s">
        <v>74</v>
      </c>
      <c r="L1030" t="s">
        <v>74</v>
      </c>
      <c r="M1030" t="s">
        <v>78</v>
      </c>
      <c r="N1030" t="s">
        <v>79</v>
      </c>
      <c r="O1030" t="s">
        <v>74</v>
      </c>
      <c r="P1030" t="s">
        <v>74</v>
      </c>
      <c r="Q1030" t="s">
        <v>74</v>
      </c>
      <c r="R1030" t="s">
        <v>74</v>
      </c>
      <c r="S1030" t="s">
        <v>74</v>
      </c>
      <c r="T1030" t="s">
        <v>33898</v>
      </c>
      <c r="U1030" t="s">
        <v>33897</v>
      </c>
      <c r="V1030" t="s">
        <v>33896</v>
      </c>
      <c r="W1030" t="s">
        <v>33895</v>
      </c>
      <c r="X1030" t="s">
        <v>18098</v>
      </c>
      <c r="Y1030" t="s">
        <v>24682</v>
      </c>
      <c r="Z1030" t="s">
        <v>14669</v>
      </c>
      <c r="AA1030" t="s">
        <v>33894</v>
      </c>
      <c r="AB1030" t="s">
        <v>33893</v>
      </c>
      <c r="AC1030" t="s">
        <v>74</v>
      </c>
      <c r="AD1030" t="s">
        <v>74</v>
      </c>
      <c r="AE1030" t="s">
        <v>74</v>
      </c>
      <c r="AF1030" t="s">
        <v>74</v>
      </c>
      <c r="AG1030">
        <v>39</v>
      </c>
      <c r="AH1030">
        <v>280</v>
      </c>
      <c r="AI1030">
        <v>379</v>
      </c>
      <c r="AJ1030">
        <v>12</v>
      </c>
      <c r="AK1030">
        <v>226</v>
      </c>
      <c r="AL1030" t="s">
        <v>385</v>
      </c>
      <c r="AM1030" t="s">
        <v>1153</v>
      </c>
      <c r="AN1030" t="s">
        <v>1154</v>
      </c>
      <c r="AO1030" t="s">
        <v>1155</v>
      </c>
      <c r="AP1030" t="s">
        <v>1156</v>
      </c>
      <c r="AQ1030" t="s">
        <v>74</v>
      </c>
      <c r="AR1030" t="s">
        <v>1157</v>
      </c>
      <c r="AS1030" t="s">
        <v>1158</v>
      </c>
      <c r="AT1030" t="s">
        <v>289</v>
      </c>
      <c r="AU1030">
        <v>2014</v>
      </c>
      <c r="AV1030">
        <v>118</v>
      </c>
      <c r="AW1030">
        <v>1</v>
      </c>
      <c r="AX1030" t="s">
        <v>74</v>
      </c>
      <c r="AY1030" t="s">
        <v>74</v>
      </c>
      <c r="AZ1030" t="s">
        <v>74</v>
      </c>
      <c r="BA1030" t="s">
        <v>74</v>
      </c>
      <c r="BB1030">
        <v>415</v>
      </c>
      <c r="BC1030">
        <v>432</v>
      </c>
      <c r="BD1030" t="s">
        <v>74</v>
      </c>
      <c r="BE1030" t="s">
        <v>33892</v>
      </c>
      <c r="BF1030" t="str">
        <f>HYPERLINK("http://dx.doi.org/10.1007/s11205-013-0414-8","http://dx.doi.org/10.1007/s11205-013-0414-8")</f>
        <v>http://dx.doi.org/10.1007/s11205-013-0414-8</v>
      </c>
      <c r="BG1030" t="s">
        <v>74</v>
      </c>
      <c r="BH1030" t="s">
        <v>74</v>
      </c>
      <c r="BI1030">
        <v>18</v>
      </c>
      <c r="BJ1030" t="s">
        <v>1161</v>
      </c>
      <c r="BK1030" t="s">
        <v>99</v>
      </c>
      <c r="BL1030" t="s">
        <v>1162</v>
      </c>
      <c r="BM1030" t="s">
        <v>33891</v>
      </c>
      <c r="BN1030" t="s">
        <v>74</v>
      </c>
      <c r="BO1030" t="s">
        <v>74</v>
      </c>
      <c r="BP1030" t="s">
        <v>74</v>
      </c>
      <c r="BQ1030" t="s">
        <v>74</v>
      </c>
      <c r="BR1030" t="s">
        <v>102</v>
      </c>
      <c r="BS1030" t="s">
        <v>33890</v>
      </c>
      <c r="BT1030" t="str">
        <f>HYPERLINK("https%3A%2F%2Fwww.webofscience.com%2Fwos%2Fwoscc%2Ffull-record%2FWOS:000339151700025","View Full Record in Web of Science")</f>
        <v>View Full Record in Web of Science</v>
      </c>
    </row>
    <row r="1031" spans="1:72" x14ac:dyDescent="0.25">
      <c r="A1031" t="s">
        <v>72</v>
      </c>
      <c r="B1031" t="s">
        <v>33889</v>
      </c>
      <c r="C1031" t="s">
        <v>74</v>
      </c>
      <c r="D1031" t="s">
        <v>74</v>
      </c>
      <c r="E1031" t="s">
        <v>74</v>
      </c>
      <c r="F1031" t="s">
        <v>33888</v>
      </c>
      <c r="G1031" t="s">
        <v>74</v>
      </c>
      <c r="H1031" t="s">
        <v>74</v>
      </c>
      <c r="I1031" t="s">
        <v>33887</v>
      </c>
      <c r="J1031" t="s">
        <v>1190</v>
      </c>
      <c r="K1031" t="s">
        <v>74</v>
      </c>
      <c r="L1031" t="s">
        <v>74</v>
      </c>
      <c r="M1031" t="s">
        <v>78</v>
      </c>
      <c r="N1031" t="s">
        <v>79</v>
      </c>
      <c r="O1031" t="s">
        <v>74</v>
      </c>
      <c r="P1031" t="s">
        <v>74</v>
      </c>
      <c r="Q1031" t="s">
        <v>74</v>
      </c>
      <c r="R1031" t="s">
        <v>74</v>
      </c>
      <c r="S1031" t="s">
        <v>74</v>
      </c>
      <c r="T1031" t="s">
        <v>33886</v>
      </c>
      <c r="U1031" t="s">
        <v>33885</v>
      </c>
      <c r="V1031" t="s">
        <v>33884</v>
      </c>
      <c r="W1031" t="s">
        <v>33883</v>
      </c>
      <c r="X1031" t="s">
        <v>18122</v>
      </c>
      <c r="Y1031" t="s">
        <v>33882</v>
      </c>
      <c r="Z1031" t="s">
        <v>33881</v>
      </c>
      <c r="AA1031" t="s">
        <v>33880</v>
      </c>
      <c r="AB1031" t="s">
        <v>33879</v>
      </c>
      <c r="AC1031" t="s">
        <v>74</v>
      </c>
      <c r="AD1031" t="s">
        <v>74</v>
      </c>
      <c r="AE1031" t="s">
        <v>74</v>
      </c>
      <c r="AF1031" t="s">
        <v>74</v>
      </c>
      <c r="AG1031">
        <v>57</v>
      </c>
      <c r="AH1031">
        <v>9</v>
      </c>
      <c r="AI1031">
        <v>14</v>
      </c>
      <c r="AJ1031">
        <v>0</v>
      </c>
      <c r="AK1031">
        <v>23</v>
      </c>
      <c r="AL1031" t="s">
        <v>1197</v>
      </c>
      <c r="AM1031" t="s">
        <v>1198</v>
      </c>
      <c r="AN1031" t="s">
        <v>1199</v>
      </c>
      <c r="AO1031" t="s">
        <v>1200</v>
      </c>
      <c r="AP1031" t="s">
        <v>74</v>
      </c>
      <c r="AQ1031" t="s">
        <v>74</v>
      </c>
      <c r="AR1031" t="s">
        <v>1201</v>
      </c>
      <c r="AS1031" t="s">
        <v>1202</v>
      </c>
      <c r="AT1031" t="s">
        <v>743</v>
      </c>
      <c r="AU1031">
        <v>2020</v>
      </c>
      <c r="AV1031">
        <v>20</v>
      </c>
      <c r="AW1031">
        <v>2</v>
      </c>
      <c r="AX1031" t="s">
        <v>74</v>
      </c>
      <c r="AY1031" t="s">
        <v>74</v>
      </c>
      <c r="AZ1031" t="s">
        <v>74</v>
      </c>
      <c r="BA1031" t="s">
        <v>74</v>
      </c>
      <c r="BB1031">
        <v>101</v>
      </c>
      <c r="BC1031">
        <v>124</v>
      </c>
      <c r="BD1031" t="s">
        <v>74</v>
      </c>
      <c r="BE1031" t="s">
        <v>33878</v>
      </c>
      <c r="BF1031" t="str">
        <f>HYPERLINK("http://dx.doi.org/10.21121/eab.729532","http://dx.doi.org/10.21121/eab.729532")</f>
        <v>http://dx.doi.org/10.21121/eab.729532</v>
      </c>
      <c r="BG1031" t="s">
        <v>74</v>
      </c>
      <c r="BH1031" t="s">
        <v>74</v>
      </c>
      <c r="BI1031">
        <v>24</v>
      </c>
      <c r="BJ1031" t="s">
        <v>291</v>
      </c>
      <c r="BK1031" t="s">
        <v>313</v>
      </c>
      <c r="BL1031" t="s">
        <v>100</v>
      </c>
      <c r="BM1031" t="s">
        <v>33877</v>
      </c>
      <c r="BN1031" t="s">
        <v>74</v>
      </c>
      <c r="BO1031" t="s">
        <v>74</v>
      </c>
      <c r="BP1031" t="s">
        <v>74</v>
      </c>
      <c r="BQ1031" t="s">
        <v>74</v>
      </c>
      <c r="BR1031" t="s">
        <v>102</v>
      </c>
      <c r="BS1031" t="s">
        <v>33876</v>
      </c>
      <c r="BT1031" t="str">
        <f>HYPERLINK("https%3A%2F%2Fwww.webofscience.com%2Fwos%2Fwoscc%2Ffull-record%2FWOS:000531005600003","View Full Record in Web of Science")</f>
        <v>View Full Record in Web of Science</v>
      </c>
    </row>
    <row r="1032" spans="1:72" x14ac:dyDescent="0.25">
      <c r="A1032" t="s">
        <v>72</v>
      </c>
      <c r="B1032" t="s">
        <v>33875</v>
      </c>
      <c r="C1032" t="s">
        <v>74</v>
      </c>
      <c r="D1032" t="s">
        <v>74</v>
      </c>
      <c r="E1032" t="s">
        <v>74</v>
      </c>
      <c r="F1032" t="s">
        <v>33874</v>
      </c>
      <c r="G1032" t="s">
        <v>74</v>
      </c>
      <c r="H1032" t="s">
        <v>74</v>
      </c>
      <c r="I1032" t="s">
        <v>33873</v>
      </c>
      <c r="J1032" t="s">
        <v>33872</v>
      </c>
      <c r="K1032" t="s">
        <v>74</v>
      </c>
      <c r="L1032" t="s">
        <v>74</v>
      </c>
      <c r="M1032" t="s">
        <v>78</v>
      </c>
      <c r="N1032" t="s">
        <v>79</v>
      </c>
      <c r="O1032" t="s">
        <v>74</v>
      </c>
      <c r="P1032" t="s">
        <v>74</v>
      </c>
      <c r="Q1032" t="s">
        <v>74</v>
      </c>
      <c r="R1032" t="s">
        <v>74</v>
      </c>
      <c r="S1032" t="s">
        <v>74</v>
      </c>
      <c r="T1032" t="s">
        <v>33871</v>
      </c>
      <c r="U1032" t="s">
        <v>33870</v>
      </c>
      <c r="V1032" t="s">
        <v>33869</v>
      </c>
      <c r="W1032" t="s">
        <v>33868</v>
      </c>
      <c r="X1032" t="s">
        <v>33867</v>
      </c>
      <c r="Y1032" t="s">
        <v>33866</v>
      </c>
      <c r="Z1032" t="s">
        <v>33865</v>
      </c>
      <c r="AA1032" t="s">
        <v>33864</v>
      </c>
      <c r="AB1032" t="s">
        <v>33863</v>
      </c>
      <c r="AC1032" t="s">
        <v>74</v>
      </c>
      <c r="AD1032" t="s">
        <v>74</v>
      </c>
      <c r="AE1032" t="s">
        <v>74</v>
      </c>
      <c r="AF1032" t="s">
        <v>74</v>
      </c>
      <c r="AG1032">
        <v>61</v>
      </c>
      <c r="AH1032">
        <v>3</v>
      </c>
      <c r="AI1032">
        <v>4</v>
      </c>
      <c r="AJ1032">
        <v>13</v>
      </c>
      <c r="AK1032">
        <v>27</v>
      </c>
      <c r="AL1032" t="s">
        <v>994</v>
      </c>
      <c r="AM1032" t="s">
        <v>995</v>
      </c>
      <c r="AN1032" t="s">
        <v>2061</v>
      </c>
      <c r="AO1032" t="s">
        <v>33862</v>
      </c>
      <c r="AP1032" t="s">
        <v>33861</v>
      </c>
      <c r="AQ1032" t="s">
        <v>74</v>
      </c>
      <c r="AR1032" t="s">
        <v>33860</v>
      </c>
      <c r="AS1032" t="s">
        <v>33859</v>
      </c>
      <c r="AT1032" t="s">
        <v>891</v>
      </c>
      <c r="AU1032">
        <v>2025</v>
      </c>
      <c r="AV1032">
        <v>50</v>
      </c>
      <c r="AW1032">
        <v>4</v>
      </c>
      <c r="AX1032" t="s">
        <v>74</v>
      </c>
      <c r="AY1032" t="s">
        <v>74</v>
      </c>
      <c r="AZ1032" t="s">
        <v>74</v>
      </c>
      <c r="BA1032" t="s">
        <v>74</v>
      </c>
      <c r="BB1032">
        <v>1187</v>
      </c>
      <c r="BC1032">
        <v>1214</v>
      </c>
      <c r="BD1032" t="s">
        <v>74</v>
      </c>
      <c r="BE1032" t="s">
        <v>33858</v>
      </c>
      <c r="BF1032" t="str">
        <f>HYPERLINK("http://dx.doi.org/10.1177/03128962241270809","http://dx.doi.org/10.1177/03128962241270809")</f>
        <v>http://dx.doi.org/10.1177/03128962241270809</v>
      </c>
      <c r="BG1032" t="s">
        <v>74</v>
      </c>
      <c r="BH1032" t="s">
        <v>9389</v>
      </c>
      <c r="BI1032">
        <v>28</v>
      </c>
      <c r="BJ1032" t="s">
        <v>98</v>
      </c>
      <c r="BK1032" t="s">
        <v>99</v>
      </c>
      <c r="BL1032" t="s">
        <v>100</v>
      </c>
      <c r="BM1032" t="s">
        <v>33857</v>
      </c>
      <c r="BN1032" t="s">
        <v>74</v>
      </c>
      <c r="BO1032" t="s">
        <v>466</v>
      </c>
      <c r="BP1032" t="s">
        <v>74</v>
      </c>
      <c r="BQ1032" t="s">
        <v>74</v>
      </c>
      <c r="BR1032" t="s">
        <v>102</v>
      </c>
      <c r="BS1032" t="s">
        <v>33856</v>
      </c>
      <c r="BT1032" t="str">
        <f>HYPERLINK("https%3A%2F%2Fwww.webofscience.com%2Fwos%2Fwoscc%2Ffull-record%2FWOS:001317867400001","View Full Record in Web of Science")</f>
        <v>View Full Record in Web of Science</v>
      </c>
    </row>
    <row r="1033" spans="1:72" x14ac:dyDescent="0.25">
      <c r="A1033" t="s">
        <v>72</v>
      </c>
      <c r="B1033" t="s">
        <v>33855</v>
      </c>
      <c r="C1033" t="s">
        <v>74</v>
      </c>
      <c r="D1033" t="s">
        <v>74</v>
      </c>
      <c r="E1033" t="s">
        <v>74</v>
      </c>
      <c r="F1033" t="s">
        <v>33854</v>
      </c>
      <c r="G1033" t="s">
        <v>74</v>
      </c>
      <c r="H1033" t="s">
        <v>74</v>
      </c>
      <c r="I1033" t="s">
        <v>33853</v>
      </c>
      <c r="J1033" t="s">
        <v>33838</v>
      </c>
      <c r="K1033" t="s">
        <v>74</v>
      </c>
      <c r="L1033" t="s">
        <v>74</v>
      </c>
      <c r="M1033" t="s">
        <v>78</v>
      </c>
      <c r="N1033" t="s">
        <v>79</v>
      </c>
      <c r="O1033" t="s">
        <v>74</v>
      </c>
      <c r="P1033" t="s">
        <v>74</v>
      </c>
      <c r="Q1033" t="s">
        <v>74</v>
      </c>
      <c r="R1033" t="s">
        <v>74</v>
      </c>
      <c r="S1033" t="s">
        <v>74</v>
      </c>
      <c r="T1033" t="s">
        <v>33852</v>
      </c>
      <c r="U1033" t="s">
        <v>33851</v>
      </c>
      <c r="V1033" t="s">
        <v>33850</v>
      </c>
      <c r="W1033" t="s">
        <v>33849</v>
      </c>
      <c r="X1033" t="s">
        <v>33848</v>
      </c>
      <c r="Y1033" t="s">
        <v>33847</v>
      </c>
      <c r="Z1033" t="s">
        <v>33846</v>
      </c>
      <c r="AA1033" t="s">
        <v>33845</v>
      </c>
      <c r="AB1033" t="s">
        <v>33844</v>
      </c>
      <c r="AC1033" t="s">
        <v>33843</v>
      </c>
      <c r="AD1033" t="s">
        <v>33842</v>
      </c>
      <c r="AE1033" t="s">
        <v>33841</v>
      </c>
      <c r="AF1033" t="s">
        <v>74</v>
      </c>
      <c r="AG1033">
        <v>76</v>
      </c>
      <c r="AH1033">
        <v>57</v>
      </c>
      <c r="AI1033">
        <v>61</v>
      </c>
      <c r="AJ1033">
        <v>6</v>
      </c>
      <c r="AK1033">
        <v>110</v>
      </c>
      <c r="AL1033" t="s">
        <v>230</v>
      </c>
      <c r="AM1033" t="s">
        <v>231</v>
      </c>
      <c r="AN1033" t="s">
        <v>232</v>
      </c>
      <c r="AO1033" t="s">
        <v>33840</v>
      </c>
      <c r="AP1033" t="s">
        <v>33839</v>
      </c>
      <c r="AQ1033" t="s">
        <v>74</v>
      </c>
      <c r="AR1033" t="s">
        <v>33838</v>
      </c>
      <c r="AS1033" t="s">
        <v>33837</v>
      </c>
      <c r="AT1033" t="s">
        <v>8352</v>
      </c>
      <c r="AU1033">
        <v>2022</v>
      </c>
      <c r="AV1033">
        <v>251</v>
      </c>
      <c r="AW1033" t="s">
        <v>74</v>
      </c>
      <c r="AX1033" t="s">
        <v>74</v>
      </c>
      <c r="AY1033" t="s">
        <v>74</v>
      </c>
      <c r="AZ1033" t="s">
        <v>74</v>
      </c>
      <c r="BA1033" t="s">
        <v>74</v>
      </c>
      <c r="BB1033" t="s">
        <v>74</v>
      </c>
      <c r="BC1033" t="s">
        <v>74</v>
      </c>
      <c r="BD1033">
        <v>123922</v>
      </c>
      <c r="BE1033" t="s">
        <v>33836</v>
      </c>
      <c r="BF1033" t="str">
        <f>HYPERLINK("http://dx.doi.org/10.1016/j.energy.2022.123922","http://dx.doi.org/10.1016/j.energy.2022.123922")</f>
        <v>http://dx.doi.org/10.1016/j.energy.2022.123922</v>
      </c>
      <c r="BG1033" t="s">
        <v>74</v>
      </c>
      <c r="BH1033" t="s">
        <v>12980</v>
      </c>
      <c r="BI1033">
        <v>15</v>
      </c>
      <c r="BJ1033" t="s">
        <v>33835</v>
      </c>
      <c r="BK1033" t="s">
        <v>2623</v>
      </c>
      <c r="BL1033" t="s">
        <v>33835</v>
      </c>
      <c r="BM1033" t="s">
        <v>33834</v>
      </c>
      <c r="BN1033" t="s">
        <v>74</v>
      </c>
      <c r="BO1033" t="s">
        <v>74</v>
      </c>
      <c r="BP1033" t="s">
        <v>74</v>
      </c>
      <c r="BQ1033" t="s">
        <v>74</v>
      </c>
      <c r="BR1033" t="s">
        <v>102</v>
      </c>
      <c r="BS1033" t="s">
        <v>33833</v>
      </c>
      <c r="BT1033" t="str">
        <f>HYPERLINK("https%3A%2F%2Fwww.webofscience.com%2Fwos%2Fwoscc%2Ffull-record%2FWOS:000798561400007","View Full Record in Web of Science")</f>
        <v>View Full Record in Web of Science</v>
      </c>
    </row>
    <row r="1034" spans="1:72" x14ac:dyDescent="0.25">
      <c r="A1034" t="s">
        <v>72</v>
      </c>
      <c r="B1034" t="s">
        <v>33832</v>
      </c>
      <c r="C1034" t="s">
        <v>74</v>
      </c>
      <c r="D1034" t="s">
        <v>74</v>
      </c>
      <c r="E1034" t="s">
        <v>74</v>
      </c>
      <c r="F1034" t="s">
        <v>33831</v>
      </c>
      <c r="G1034" t="s">
        <v>74</v>
      </c>
      <c r="H1034" t="s">
        <v>74</v>
      </c>
      <c r="I1034" t="s">
        <v>33830</v>
      </c>
      <c r="J1034" t="s">
        <v>1765</v>
      </c>
      <c r="K1034" t="s">
        <v>74</v>
      </c>
      <c r="L1034" t="s">
        <v>74</v>
      </c>
      <c r="M1034" t="s">
        <v>78</v>
      </c>
      <c r="N1034" t="s">
        <v>79</v>
      </c>
      <c r="O1034" t="s">
        <v>74</v>
      </c>
      <c r="P1034" t="s">
        <v>74</v>
      </c>
      <c r="Q1034" t="s">
        <v>74</v>
      </c>
      <c r="R1034" t="s">
        <v>74</v>
      </c>
      <c r="S1034" t="s">
        <v>74</v>
      </c>
      <c r="T1034" t="s">
        <v>33829</v>
      </c>
      <c r="U1034" t="s">
        <v>33828</v>
      </c>
      <c r="V1034" t="s">
        <v>33827</v>
      </c>
      <c r="W1034" t="s">
        <v>33826</v>
      </c>
      <c r="X1034" t="s">
        <v>33825</v>
      </c>
      <c r="Y1034" t="s">
        <v>33824</v>
      </c>
      <c r="Z1034" t="s">
        <v>30182</v>
      </c>
      <c r="AA1034" t="s">
        <v>33823</v>
      </c>
      <c r="AB1034" t="s">
        <v>33822</v>
      </c>
      <c r="AC1034" t="s">
        <v>74</v>
      </c>
      <c r="AD1034" t="s">
        <v>74</v>
      </c>
      <c r="AE1034" t="s">
        <v>74</v>
      </c>
      <c r="AF1034" t="s">
        <v>74</v>
      </c>
      <c r="AG1034">
        <v>91</v>
      </c>
      <c r="AH1034">
        <v>29</v>
      </c>
      <c r="AI1034">
        <v>46</v>
      </c>
      <c r="AJ1034">
        <v>16</v>
      </c>
      <c r="AK1034">
        <v>103</v>
      </c>
      <c r="AL1034" t="s">
        <v>575</v>
      </c>
      <c r="AM1034" t="s">
        <v>576</v>
      </c>
      <c r="AN1034" t="s">
        <v>3242</v>
      </c>
      <c r="AO1034" t="s">
        <v>74</v>
      </c>
      <c r="AP1034" t="s">
        <v>1775</v>
      </c>
      <c r="AQ1034" t="s">
        <v>74</v>
      </c>
      <c r="AR1034" t="s">
        <v>1765</v>
      </c>
      <c r="AS1034" t="s">
        <v>1776</v>
      </c>
      <c r="AT1034" t="s">
        <v>289</v>
      </c>
      <c r="AU1034">
        <v>2022</v>
      </c>
      <c r="AV1034">
        <v>13</v>
      </c>
      <c r="AW1034">
        <v>8</v>
      </c>
      <c r="AX1034" t="s">
        <v>74</v>
      </c>
      <c r="AY1034" t="s">
        <v>74</v>
      </c>
      <c r="AZ1034" t="s">
        <v>74</v>
      </c>
      <c r="BA1034" t="s">
        <v>74</v>
      </c>
      <c r="BB1034" t="s">
        <v>74</v>
      </c>
      <c r="BC1034" t="s">
        <v>74</v>
      </c>
      <c r="BD1034">
        <v>390</v>
      </c>
      <c r="BE1034" t="s">
        <v>33821</v>
      </c>
      <c r="BF1034" t="str">
        <f>HYPERLINK("http://dx.doi.org/10.3390/info13080390","http://dx.doi.org/10.3390/info13080390")</f>
        <v>http://dx.doi.org/10.3390/info13080390</v>
      </c>
      <c r="BG1034" t="s">
        <v>74</v>
      </c>
      <c r="BH1034" t="s">
        <v>74</v>
      </c>
      <c r="BI1034">
        <v>17</v>
      </c>
      <c r="BJ1034" t="s">
        <v>1779</v>
      </c>
      <c r="BK1034" t="s">
        <v>313</v>
      </c>
      <c r="BL1034" t="s">
        <v>157</v>
      </c>
      <c r="BM1034" t="s">
        <v>33820</v>
      </c>
      <c r="BN1034" t="s">
        <v>74</v>
      </c>
      <c r="BO1034" t="s">
        <v>916</v>
      </c>
      <c r="BP1034" t="s">
        <v>74</v>
      </c>
      <c r="BQ1034" t="s">
        <v>74</v>
      </c>
      <c r="BR1034" t="s">
        <v>102</v>
      </c>
      <c r="BS1034" t="s">
        <v>33819</v>
      </c>
      <c r="BT1034" t="str">
        <f>HYPERLINK("https%3A%2F%2Fwww.webofscience.com%2Fwos%2Fwoscc%2Ffull-record%2FWOS:000845577700001","View Full Record in Web of Science")</f>
        <v>View Full Record in Web of Science</v>
      </c>
    </row>
    <row r="1035" spans="1:72" x14ac:dyDescent="0.25">
      <c r="A1035" t="s">
        <v>72</v>
      </c>
      <c r="B1035" t="s">
        <v>33818</v>
      </c>
      <c r="C1035" t="s">
        <v>74</v>
      </c>
      <c r="D1035" t="s">
        <v>74</v>
      </c>
      <c r="E1035" t="s">
        <v>74</v>
      </c>
      <c r="F1035" t="s">
        <v>33817</v>
      </c>
      <c r="G1035" t="s">
        <v>74</v>
      </c>
      <c r="H1035" t="s">
        <v>74</v>
      </c>
      <c r="I1035" t="s">
        <v>33816</v>
      </c>
      <c r="J1035" t="s">
        <v>656</v>
      </c>
      <c r="K1035" t="s">
        <v>74</v>
      </c>
      <c r="L1035" t="s">
        <v>74</v>
      </c>
      <c r="M1035" t="s">
        <v>78</v>
      </c>
      <c r="N1035" t="s">
        <v>79</v>
      </c>
      <c r="O1035" t="s">
        <v>74</v>
      </c>
      <c r="P1035" t="s">
        <v>74</v>
      </c>
      <c r="Q1035" t="s">
        <v>74</v>
      </c>
      <c r="R1035" t="s">
        <v>74</v>
      </c>
      <c r="S1035" t="s">
        <v>74</v>
      </c>
      <c r="T1035" t="s">
        <v>33815</v>
      </c>
      <c r="U1035" t="s">
        <v>33814</v>
      </c>
      <c r="V1035" t="s">
        <v>33813</v>
      </c>
      <c r="W1035" t="s">
        <v>33812</v>
      </c>
      <c r="X1035" t="s">
        <v>33811</v>
      </c>
      <c r="Y1035" t="s">
        <v>33810</v>
      </c>
      <c r="Z1035" t="s">
        <v>33809</v>
      </c>
      <c r="AA1035" t="s">
        <v>33808</v>
      </c>
      <c r="AB1035" t="s">
        <v>33807</v>
      </c>
      <c r="AC1035" t="s">
        <v>74</v>
      </c>
      <c r="AD1035" t="s">
        <v>74</v>
      </c>
      <c r="AE1035" t="s">
        <v>74</v>
      </c>
      <c r="AF1035" t="s">
        <v>74</v>
      </c>
      <c r="AG1035">
        <v>87</v>
      </c>
      <c r="AH1035">
        <v>27</v>
      </c>
      <c r="AI1035">
        <v>37</v>
      </c>
      <c r="AJ1035">
        <v>2</v>
      </c>
      <c r="AK1035">
        <v>52</v>
      </c>
      <c r="AL1035" t="s">
        <v>1062</v>
      </c>
      <c r="AM1035" t="s">
        <v>667</v>
      </c>
      <c r="AN1035" t="s">
        <v>668</v>
      </c>
      <c r="AO1035" t="s">
        <v>669</v>
      </c>
      <c r="AP1035" t="s">
        <v>670</v>
      </c>
      <c r="AQ1035" t="s">
        <v>74</v>
      </c>
      <c r="AR1035" t="s">
        <v>671</v>
      </c>
      <c r="AS1035" t="s">
        <v>672</v>
      </c>
      <c r="AT1035" t="s">
        <v>605</v>
      </c>
      <c r="AU1035">
        <v>2021</v>
      </c>
      <c r="AV1035">
        <v>42</v>
      </c>
      <c r="AW1035">
        <v>1</v>
      </c>
      <c r="AX1035" t="s">
        <v>74</v>
      </c>
      <c r="AY1035" t="s">
        <v>74</v>
      </c>
      <c r="AZ1035" t="s">
        <v>74</v>
      </c>
      <c r="BA1035" t="s">
        <v>74</v>
      </c>
      <c r="BB1035">
        <v>133</v>
      </c>
      <c r="BC1035">
        <v>150</v>
      </c>
      <c r="BD1035" t="s">
        <v>74</v>
      </c>
      <c r="BE1035" t="s">
        <v>33806</v>
      </c>
      <c r="BF1035" t="str">
        <f>HYPERLINK("http://dx.doi.org/10.1007/s10834-020-09699-4","http://dx.doi.org/10.1007/s10834-020-09699-4")</f>
        <v>http://dx.doi.org/10.1007/s10834-020-09699-4</v>
      </c>
      <c r="BG1035" t="s">
        <v>74</v>
      </c>
      <c r="BH1035" t="s">
        <v>2937</v>
      </c>
      <c r="BI1035">
        <v>18</v>
      </c>
      <c r="BJ1035" t="s">
        <v>675</v>
      </c>
      <c r="BK1035" t="s">
        <v>99</v>
      </c>
      <c r="BL1035" t="s">
        <v>676</v>
      </c>
      <c r="BM1035" t="s">
        <v>33805</v>
      </c>
      <c r="BN1035" t="s">
        <v>74</v>
      </c>
      <c r="BO1035" t="s">
        <v>74</v>
      </c>
      <c r="BP1035" t="s">
        <v>74</v>
      </c>
      <c r="BQ1035" t="s">
        <v>74</v>
      </c>
      <c r="BR1035" t="s">
        <v>102</v>
      </c>
      <c r="BS1035" t="s">
        <v>33804</v>
      </c>
      <c r="BT1035" t="str">
        <f>HYPERLINK("https%3A%2F%2Fwww.webofscience.com%2Fwos%2Fwoscc%2Ffull-record%2FWOS:000559404500001","View Full Record in Web of Science")</f>
        <v>View Full Record in Web of Science</v>
      </c>
    </row>
    <row r="1036" spans="1:72" x14ac:dyDescent="0.25">
      <c r="A1036" t="s">
        <v>72</v>
      </c>
      <c r="B1036" t="s">
        <v>33803</v>
      </c>
      <c r="C1036" t="s">
        <v>74</v>
      </c>
      <c r="D1036" t="s">
        <v>74</v>
      </c>
      <c r="E1036" t="s">
        <v>74</v>
      </c>
      <c r="F1036" t="s">
        <v>33802</v>
      </c>
      <c r="G1036" t="s">
        <v>74</v>
      </c>
      <c r="H1036" t="s">
        <v>74</v>
      </c>
      <c r="I1036" t="s">
        <v>33801</v>
      </c>
      <c r="J1036" t="s">
        <v>1245</v>
      </c>
      <c r="K1036" t="s">
        <v>74</v>
      </c>
      <c r="L1036" t="s">
        <v>74</v>
      </c>
      <c r="M1036" t="s">
        <v>78</v>
      </c>
      <c r="N1036" t="s">
        <v>79</v>
      </c>
      <c r="O1036" t="s">
        <v>74</v>
      </c>
      <c r="P1036" t="s">
        <v>74</v>
      </c>
      <c r="Q1036" t="s">
        <v>74</v>
      </c>
      <c r="R1036" t="s">
        <v>74</v>
      </c>
      <c r="S1036" t="s">
        <v>74</v>
      </c>
      <c r="T1036" t="s">
        <v>33800</v>
      </c>
      <c r="U1036" t="s">
        <v>74</v>
      </c>
      <c r="V1036" t="s">
        <v>33799</v>
      </c>
      <c r="W1036" t="s">
        <v>33798</v>
      </c>
      <c r="X1036" t="s">
        <v>33797</v>
      </c>
      <c r="Y1036" t="s">
        <v>33796</v>
      </c>
      <c r="Z1036" t="s">
        <v>33795</v>
      </c>
      <c r="AA1036" t="s">
        <v>33794</v>
      </c>
      <c r="AB1036" t="s">
        <v>74</v>
      </c>
      <c r="AC1036" t="s">
        <v>33793</v>
      </c>
      <c r="AD1036" t="s">
        <v>33792</v>
      </c>
      <c r="AE1036" t="s">
        <v>33791</v>
      </c>
      <c r="AF1036" t="s">
        <v>74</v>
      </c>
      <c r="AG1036">
        <v>22</v>
      </c>
      <c r="AH1036">
        <v>2</v>
      </c>
      <c r="AI1036">
        <v>2</v>
      </c>
      <c r="AJ1036">
        <v>0</v>
      </c>
      <c r="AK1036">
        <v>5</v>
      </c>
      <c r="AL1036" t="s">
        <v>23947</v>
      </c>
      <c r="AM1036" t="s">
        <v>23946</v>
      </c>
      <c r="AN1036" t="s">
        <v>23945</v>
      </c>
      <c r="AO1036" t="s">
        <v>1257</v>
      </c>
      <c r="AP1036" t="s">
        <v>1258</v>
      </c>
      <c r="AQ1036" t="s">
        <v>74</v>
      </c>
      <c r="AR1036" t="s">
        <v>1259</v>
      </c>
      <c r="AS1036" t="s">
        <v>1260</v>
      </c>
      <c r="AT1036" t="s">
        <v>74</v>
      </c>
      <c r="AU1036">
        <v>2021</v>
      </c>
      <c r="AV1036">
        <v>6</v>
      </c>
      <c r="AW1036">
        <v>41</v>
      </c>
      <c r="AX1036" t="s">
        <v>74</v>
      </c>
      <c r="AY1036" t="s">
        <v>74</v>
      </c>
      <c r="AZ1036" t="s">
        <v>74</v>
      </c>
      <c r="BA1036" t="s">
        <v>74</v>
      </c>
      <c r="BB1036">
        <v>268</v>
      </c>
      <c r="BC1036">
        <v>276</v>
      </c>
      <c r="BD1036" t="s">
        <v>74</v>
      </c>
      <c r="BE1036" t="s">
        <v>74</v>
      </c>
      <c r="BF1036" t="s">
        <v>74</v>
      </c>
      <c r="BG1036" t="s">
        <v>74</v>
      </c>
      <c r="BH1036" t="s">
        <v>74</v>
      </c>
      <c r="BI1036">
        <v>9</v>
      </c>
      <c r="BJ1036" t="s">
        <v>268</v>
      </c>
      <c r="BK1036" t="s">
        <v>313</v>
      </c>
      <c r="BL1036" t="s">
        <v>100</v>
      </c>
      <c r="BM1036" t="s">
        <v>33790</v>
      </c>
      <c r="BN1036" t="s">
        <v>74</v>
      </c>
      <c r="BO1036" t="s">
        <v>74</v>
      </c>
      <c r="BP1036" t="s">
        <v>74</v>
      </c>
      <c r="BQ1036" t="s">
        <v>74</v>
      </c>
      <c r="BR1036" t="s">
        <v>102</v>
      </c>
      <c r="BS1036" t="s">
        <v>33789</v>
      </c>
      <c r="BT1036" t="str">
        <f>HYPERLINK("https%3A%2F%2Fwww.webofscience.com%2Fwos%2Fwoscc%2Ffull-record%2FWOS:000747222000025","View Full Record in Web of Science")</f>
        <v>View Full Record in Web of Science</v>
      </c>
    </row>
    <row r="1037" spans="1:72" x14ac:dyDescent="0.25">
      <c r="A1037" t="s">
        <v>72</v>
      </c>
      <c r="B1037" t="s">
        <v>33788</v>
      </c>
      <c r="C1037" t="s">
        <v>74</v>
      </c>
      <c r="D1037" t="s">
        <v>74</v>
      </c>
      <c r="E1037" t="s">
        <v>74</v>
      </c>
      <c r="F1037" t="s">
        <v>33787</v>
      </c>
      <c r="G1037" t="s">
        <v>74</v>
      </c>
      <c r="H1037" t="s">
        <v>74</v>
      </c>
      <c r="I1037" t="s">
        <v>33786</v>
      </c>
      <c r="J1037" t="s">
        <v>793</v>
      </c>
      <c r="K1037" t="s">
        <v>74</v>
      </c>
      <c r="L1037" t="s">
        <v>74</v>
      </c>
      <c r="M1037" t="s">
        <v>78</v>
      </c>
      <c r="N1037" t="s">
        <v>79</v>
      </c>
      <c r="O1037" t="s">
        <v>74</v>
      </c>
      <c r="P1037" t="s">
        <v>74</v>
      </c>
      <c r="Q1037" t="s">
        <v>74</v>
      </c>
      <c r="R1037" t="s">
        <v>74</v>
      </c>
      <c r="S1037" t="s">
        <v>74</v>
      </c>
      <c r="T1037" t="s">
        <v>33785</v>
      </c>
      <c r="U1037" t="s">
        <v>33784</v>
      </c>
      <c r="V1037" t="s">
        <v>33783</v>
      </c>
      <c r="W1037" t="s">
        <v>33782</v>
      </c>
      <c r="X1037" t="s">
        <v>33781</v>
      </c>
      <c r="Y1037" t="s">
        <v>33780</v>
      </c>
      <c r="Z1037" t="s">
        <v>33779</v>
      </c>
      <c r="AA1037" t="s">
        <v>33778</v>
      </c>
      <c r="AB1037" t="s">
        <v>33777</v>
      </c>
      <c r="AC1037" t="s">
        <v>74</v>
      </c>
      <c r="AD1037" t="s">
        <v>74</v>
      </c>
      <c r="AE1037" t="s">
        <v>74</v>
      </c>
      <c r="AF1037" t="s">
        <v>74</v>
      </c>
      <c r="AG1037">
        <v>108</v>
      </c>
      <c r="AH1037">
        <v>6</v>
      </c>
      <c r="AI1037">
        <v>7</v>
      </c>
      <c r="AJ1037">
        <v>1</v>
      </c>
      <c r="AK1037">
        <v>25</v>
      </c>
      <c r="AL1037" t="s">
        <v>89</v>
      </c>
      <c r="AM1037" t="s">
        <v>90</v>
      </c>
      <c r="AN1037" t="s">
        <v>91</v>
      </c>
      <c r="AO1037" t="s">
        <v>803</v>
      </c>
      <c r="AP1037" t="s">
        <v>804</v>
      </c>
      <c r="AQ1037" t="s">
        <v>74</v>
      </c>
      <c r="AR1037" t="s">
        <v>805</v>
      </c>
      <c r="AS1037" t="s">
        <v>806</v>
      </c>
      <c r="AT1037" t="s">
        <v>2487</v>
      </c>
      <c r="AU1037">
        <v>2026</v>
      </c>
      <c r="AV1037">
        <v>48</v>
      </c>
      <c r="AW1037">
        <v>1</v>
      </c>
      <c r="AX1037" t="s">
        <v>74</v>
      </c>
      <c r="AY1037" t="s">
        <v>74</v>
      </c>
      <c r="AZ1037" t="s">
        <v>74</v>
      </c>
      <c r="BA1037" t="s">
        <v>74</v>
      </c>
      <c r="BB1037">
        <v>55</v>
      </c>
      <c r="BC1037">
        <v>75</v>
      </c>
      <c r="BD1037" t="s">
        <v>74</v>
      </c>
      <c r="BE1037" t="s">
        <v>33776</v>
      </c>
      <c r="BF1037" t="str">
        <f>HYPERLINK("http://dx.doi.org/10.1108/JAL-10-2023-0190","http://dx.doi.org/10.1108/JAL-10-2023-0190")</f>
        <v>http://dx.doi.org/10.1108/JAL-10-2023-0190</v>
      </c>
      <c r="BG1037" t="s">
        <v>74</v>
      </c>
      <c r="BH1037" t="s">
        <v>5285</v>
      </c>
      <c r="BI1037">
        <v>21</v>
      </c>
      <c r="BJ1037" t="s">
        <v>268</v>
      </c>
      <c r="BK1037" t="s">
        <v>313</v>
      </c>
      <c r="BL1037" t="s">
        <v>100</v>
      </c>
      <c r="BM1037" t="s">
        <v>33775</v>
      </c>
      <c r="BN1037" t="s">
        <v>74</v>
      </c>
      <c r="BO1037" t="s">
        <v>74</v>
      </c>
      <c r="BP1037" t="s">
        <v>74</v>
      </c>
      <c r="BQ1037" t="s">
        <v>74</v>
      </c>
      <c r="BR1037" t="s">
        <v>102</v>
      </c>
      <c r="BS1037" t="s">
        <v>33774</v>
      </c>
      <c r="BT1037" t="str">
        <f>HYPERLINK("https%3A%2F%2Fwww.webofscience.com%2Fwos%2Fwoscc%2Ffull-record%2FWOS:001216747100001","View Full Record in Web of Science")</f>
        <v>View Full Record in Web of Science</v>
      </c>
    </row>
    <row r="1038" spans="1:72" x14ac:dyDescent="0.25">
      <c r="A1038" t="s">
        <v>72</v>
      </c>
      <c r="B1038" t="s">
        <v>33773</v>
      </c>
      <c r="C1038" t="s">
        <v>74</v>
      </c>
      <c r="D1038" t="s">
        <v>74</v>
      </c>
      <c r="E1038" t="s">
        <v>74</v>
      </c>
      <c r="F1038" t="s">
        <v>33772</v>
      </c>
      <c r="G1038" t="s">
        <v>74</v>
      </c>
      <c r="H1038" t="s">
        <v>74</v>
      </c>
      <c r="I1038" t="s">
        <v>33771</v>
      </c>
      <c r="J1038" t="s">
        <v>4842</v>
      </c>
      <c r="K1038" t="s">
        <v>74</v>
      </c>
      <c r="L1038" t="s">
        <v>74</v>
      </c>
      <c r="M1038" t="s">
        <v>78</v>
      </c>
      <c r="N1038" t="s">
        <v>79</v>
      </c>
      <c r="O1038" t="s">
        <v>74</v>
      </c>
      <c r="P1038" t="s">
        <v>74</v>
      </c>
      <c r="Q1038" t="s">
        <v>74</v>
      </c>
      <c r="R1038" t="s">
        <v>74</v>
      </c>
      <c r="S1038" t="s">
        <v>74</v>
      </c>
      <c r="T1038" t="s">
        <v>33770</v>
      </c>
      <c r="U1038" t="s">
        <v>33769</v>
      </c>
      <c r="V1038" t="s">
        <v>33768</v>
      </c>
      <c r="W1038" t="s">
        <v>33767</v>
      </c>
      <c r="X1038" t="s">
        <v>33766</v>
      </c>
      <c r="Y1038" t="s">
        <v>33765</v>
      </c>
      <c r="Z1038" t="s">
        <v>33764</v>
      </c>
      <c r="AA1038" t="s">
        <v>33763</v>
      </c>
      <c r="AB1038" t="s">
        <v>33762</v>
      </c>
      <c r="AC1038" t="s">
        <v>74</v>
      </c>
      <c r="AD1038" t="s">
        <v>74</v>
      </c>
      <c r="AE1038" t="s">
        <v>74</v>
      </c>
      <c r="AF1038" t="s">
        <v>74</v>
      </c>
      <c r="AG1038">
        <v>81</v>
      </c>
      <c r="AH1038">
        <v>6</v>
      </c>
      <c r="AI1038">
        <v>9</v>
      </c>
      <c r="AJ1038">
        <v>0</v>
      </c>
      <c r="AK1038">
        <v>7</v>
      </c>
      <c r="AL1038" t="s">
        <v>2481</v>
      </c>
      <c r="AM1038" t="s">
        <v>2482</v>
      </c>
      <c r="AN1038" t="s">
        <v>2483</v>
      </c>
      <c r="AO1038" t="s">
        <v>4853</v>
      </c>
      <c r="AP1038" t="s">
        <v>74</v>
      </c>
      <c r="AQ1038" t="s">
        <v>74</v>
      </c>
      <c r="AR1038" t="s">
        <v>4854</v>
      </c>
      <c r="AS1038" t="s">
        <v>4855</v>
      </c>
      <c r="AT1038" t="s">
        <v>4856</v>
      </c>
      <c r="AU1038">
        <v>2023</v>
      </c>
      <c r="AV1038">
        <v>10</v>
      </c>
      <c r="AW1038">
        <v>2</v>
      </c>
      <c r="AX1038" t="s">
        <v>74</v>
      </c>
      <c r="AY1038" t="s">
        <v>74</v>
      </c>
      <c r="AZ1038" t="s">
        <v>74</v>
      </c>
      <c r="BA1038" t="s">
        <v>74</v>
      </c>
      <c r="BB1038" t="s">
        <v>74</v>
      </c>
      <c r="BC1038" t="s">
        <v>74</v>
      </c>
      <c r="BD1038">
        <v>2238124</v>
      </c>
      <c r="BE1038" t="s">
        <v>33761</v>
      </c>
      <c r="BF1038" t="str">
        <f>HYPERLINK("http://dx.doi.org/10.1080/23311975.2023.2238124","http://dx.doi.org/10.1080/23311975.2023.2238124")</f>
        <v>http://dx.doi.org/10.1080/23311975.2023.2238124</v>
      </c>
      <c r="BG1038" t="s">
        <v>74</v>
      </c>
      <c r="BH1038" t="s">
        <v>74</v>
      </c>
      <c r="BI1038">
        <v>26</v>
      </c>
      <c r="BJ1038" t="s">
        <v>418</v>
      </c>
      <c r="BK1038" t="s">
        <v>313</v>
      </c>
      <c r="BL1038" t="s">
        <v>100</v>
      </c>
      <c r="BM1038" t="s">
        <v>33760</v>
      </c>
      <c r="BN1038" t="s">
        <v>74</v>
      </c>
      <c r="BO1038" t="s">
        <v>916</v>
      </c>
      <c r="BP1038" t="s">
        <v>74</v>
      </c>
      <c r="BQ1038" t="s">
        <v>74</v>
      </c>
      <c r="BR1038" t="s">
        <v>102</v>
      </c>
      <c r="BS1038" t="s">
        <v>33759</v>
      </c>
      <c r="BT1038" t="str">
        <f>HYPERLINK("https%3A%2F%2Fwww.webofscience.com%2Fwos%2Fwoscc%2Ffull-record%2FWOS:001037054000001","View Full Record in Web of Science")</f>
        <v>View Full Record in Web of Science</v>
      </c>
    </row>
    <row r="1039" spans="1:72" x14ac:dyDescent="0.25">
      <c r="A1039" t="s">
        <v>72</v>
      </c>
      <c r="B1039" t="s">
        <v>33758</v>
      </c>
      <c r="C1039" t="s">
        <v>74</v>
      </c>
      <c r="D1039" t="s">
        <v>74</v>
      </c>
      <c r="E1039" t="s">
        <v>74</v>
      </c>
      <c r="F1039" t="s">
        <v>33757</v>
      </c>
      <c r="G1039" t="s">
        <v>74</v>
      </c>
      <c r="H1039" t="s">
        <v>74</v>
      </c>
      <c r="I1039" t="s">
        <v>33756</v>
      </c>
      <c r="J1039" t="s">
        <v>14135</v>
      </c>
      <c r="K1039" t="s">
        <v>74</v>
      </c>
      <c r="L1039" t="s">
        <v>74</v>
      </c>
      <c r="M1039" t="s">
        <v>78</v>
      </c>
      <c r="N1039" t="s">
        <v>79</v>
      </c>
      <c r="O1039" t="s">
        <v>74</v>
      </c>
      <c r="P1039" t="s">
        <v>74</v>
      </c>
      <c r="Q1039" t="s">
        <v>74</v>
      </c>
      <c r="R1039" t="s">
        <v>74</v>
      </c>
      <c r="S1039" t="s">
        <v>74</v>
      </c>
      <c r="T1039" t="s">
        <v>74</v>
      </c>
      <c r="U1039" t="s">
        <v>8288</v>
      </c>
      <c r="V1039" t="s">
        <v>33755</v>
      </c>
      <c r="W1039" t="s">
        <v>33754</v>
      </c>
      <c r="X1039" t="s">
        <v>33753</v>
      </c>
      <c r="Y1039" t="s">
        <v>15865</v>
      </c>
      <c r="Z1039" t="s">
        <v>33752</v>
      </c>
      <c r="AA1039" t="s">
        <v>33751</v>
      </c>
      <c r="AB1039" t="s">
        <v>33750</v>
      </c>
      <c r="AC1039" t="s">
        <v>33749</v>
      </c>
      <c r="AD1039" t="s">
        <v>22964</v>
      </c>
      <c r="AE1039" t="s">
        <v>74</v>
      </c>
      <c r="AF1039" t="s">
        <v>74</v>
      </c>
      <c r="AG1039">
        <v>48</v>
      </c>
      <c r="AH1039">
        <v>10</v>
      </c>
      <c r="AI1039">
        <v>11</v>
      </c>
      <c r="AJ1039">
        <v>0</v>
      </c>
      <c r="AK1039">
        <v>14</v>
      </c>
      <c r="AL1039" t="s">
        <v>479</v>
      </c>
      <c r="AM1039" t="s">
        <v>480</v>
      </c>
      <c r="AN1039" t="s">
        <v>481</v>
      </c>
      <c r="AO1039" t="s">
        <v>14142</v>
      </c>
      <c r="AP1039" t="s">
        <v>14143</v>
      </c>
      <c r="AQ1039" t="s">
        <v>74</v>
      </c>
      <c r="AR1039" t="s">
        <v>14144</v>
      </c>
      <c r="AS1039" t="s">
        <v>14145</v>
      </c>
      <c r="AT1039" t="s">
        <v>848</v>
      </c>
      <c r="AU1039">
        <v>2021</v>
      </c>
      <c r="AV1039">
        <v>52</v>
      </c>
      <c r="AW1039">
        <v>4</v>
      </c>
      <c r="AX1039" t="s">
        <v>74</v>
      </c>
      <c r="AY1039" t="s">
        <v>74</v>
      </c>
      <c r="AZ1039" t="s">
        <v>74</v>
      </c>
      <c r="BA1039" t="s">
        <v>74</v>
      </c>
      <c r="BB1039">
        <v>927</v>
      </c>
      <c r="BC1039">
        <v>951</v>
      </c>
      <c r="BD1039" t="s">
        <v>74</v>
      </c>
      <c r="BE1039" t="s">
        <v>33748</v>
      </c>
      <c r="BF1039" t="str">
        <f>HYPERLINK("http://dx.doi.org/10.1111/dech.12674","http://dx.doi.org/10.1111/dech.12674")</f>
        <v>http://dx.doi.org/10.1111/dech.12674</v>
      </c>
      <c r="BG1039" t="s">
        <v>74</v>
      </c>
      <c r="BH1039" t="s">
        <v>74</v>
      </c>
      <c r="BI1039">
        <v>25</v>
      </c>
      <c r="BJ1039" t="s">
        <v>1137</v>
      </c>
      <c r="BK1039" t="s">
        <v>99</v>
      </c>
      <c r="BL1039" t="s">
        <v>1137</v>
      </c>
      <c r="BM1039" t="s">
        <v>33747</v>
      </c>
      <c r="BN1039">
        <v>34548676</v>
      </c>
      <c r="BO1039" t="s">
        <v>466</v>
      </c>
      <c r="BP1039" t="s">
        <v>74</v>
      </c>
      <c r="BQ1039" t="s">
        <v>74</v>
      </c>
      <c r="BR1039" t="s">
        <v>102</v>
      </c>
      <c r="BS1039" t="s">
        <v>33746</v>
      </c>
      <c r="BT1039" t="str">
        <f>HYPERLINK("https%3A%2F%2Fwww.webofscience.com%2Fwos%2Fwoscc%2Ffull-record%2FWOS:000685164900011","View Full Record in Web of Science")</f>
        <v>View Full Record in Web of Science</v>
      </c>
    </row>
    <row r="1040" spans="1:72" x14ac:dyDescent="0.25">
      <c r="A1040" t="s">
        <v>72</v>
      </c>
      <c r="B1040" t="s">
        <v>33745</v>
      </c>
      <c r="C1040" t="s">
        <v>74</v>
      </c>
      <c r="D1040" t="s">
        <v>74</v>
      </c>
      <c r="E1040" t="s">
        <v>74</v>
      </c>
      <c r="F1040" t="s">
        <v>33744</v>
      </c>
      <c r="G1040" t="s">
        <v>74</v>
      </c>
      <c r="H1040" t="s">
        <v>74</v>
      </c>
      <c r="I1040" t="s">
        <v>33743</v>
      </c>
      <c r="J1040" t="s">
        <v>33742</v>
      </c>
      <c r="K1040" t="s">
        <v>74</v>
      </c>
      <c r="L1040" t="s">
        <v>74</v>
      </c>
      <c r="M1040" t="s">
        <v>78</v>
      </c>
      <c r="N1040" t="s">
        <v>79</v>
      </c>
      <c r="O1040" t="s">
        <v>74</v>
      </c>
      <c r="P1040" t="s">
        <v>74</v>
      </c>
      <c r="Q1040" t="s">
        <v>74</v>
      </c>
      <c r="R1040" t="s">
        <v>74</v>
      </c>
      <c r="S1040" t="s">
        <v>74</v>
      </c>
      <c r="T1040" t="s">
        <v>33741</v>
      </c>
      <c r="U1040" t="s">
        <v>33740</v>
      </c>
      <c r="V1040" t="s">
        <v>33739</v>
      </c>
      <c r="W1040" t="s">
        <v>33738</v>
      </c>
      <c r="X1040" t="s">
        <v>33737</v>
      </c>
      <c r="Y1040" t="s">
        <v>33736</v>
      </c>
      <c r="Z1040" t="s">
        <v>28618</v>
      </c>
      <c r="AA1040" t="s">
        <v>33735</v>
      </c>
      <c r="AB1040" t="s">
        <v>33734</v>
      </c>
      <c r="AC1040" t="s">
        <v>33733</v>
      </c>
      <c r="AD1040" t="s">
        <v>33732</v>
      </c>
      <c r="AE1040" t="s">
        <v>33731</v>
      </c>
      <c r="AF1040" t="s">
        <v>74</v>
      </c>
      <c r="AG1040">
        <v>58</v>
      </c>
      <c r="AH1040">
        <v>31</v>
      </c>
      <c r="AI1040">
        <v>38</v>
      </c>
      <c r="AJ1040">
        <v>0</v>
      </c>
      <c r="AK1040">
        <v>39</v>
      </c>
      <c r="AL1040" t="s">
        <v>29383</v>
      </c>
      <c r="AM1040" t="s">
        <v>29382</v>
      </c>
      <c r="AN1040" t="s">
        <v>29381</v>
      </c>
      <c r="AO1040" t="s">
        <v>33730</v>
      </c>
      <c r="AP1040" t="s">
        <v>74</v>
      </c>
      <c r="AQ1040" t="s">
        <v>74</v>
      </c>
      <c r="AR1040" t="s">
        <v>33729</v>
      </c>
      <c r="AS1040" t="s">
        <v>33728</v>
      </c>
      <c r="AT1040" t="s">
        <v>74</v>
      </c>
      <c r="AU1040">
        <v>2021</v>
      </c>
      <c r="AV1040">
        <v>3</v>
      </c>
      <c r="AW1040">
        <v>3</v>
      </c>
      <c r="AX1040" t="s">
        <v>74</v>
      </c>
      <c r="AY1040" t="s">
        <v>74</v>
      </c>
      <c r="AZ1040" t="s">
        <v>74</v>
      </c>
      <c r="BA1040" t="s">
        <v>74</v>
      </c>
      <c r="BB1040">
        <v>253</v>
      </c>
      <c r="BC1040">
        <v>267</v>
      </c>
      <c r="BD1040" t="s">
        <v>74</v>
      </c>
      <c r="BE1040" t="s">
        <v>33727</v>
      </c>
      <c r="BF1040" t="str">
        <f>HYPERLINK("http://dx.doi.org/10.3934/GF.2021013","http://dx.doi.org/10.3934/GF.2021013")</f>
        <v>http://dx.doi.org/10.3934/GF.2021013</v>
      </c>
      <c r="BG1040" t="s">
        <v>74</v>
      </c>
      <c r="BH1040" t="s">
        <v>74</v>
      </c>
      <c r="BI1040">
        <v>15</v>
      </c>
      <c r="BJ1040" t="s">
        <v>8558</v>
      </c>
      <c r="BK1040" t="s">
        <v>313</v>
      </c>
      <c r="BL1040" t="s">
        <v>650</v>
      </c>
      <c r="BM1040" t="s">
        <v>33726</v>
      </c>
      <c r="BN1040" t="s">
        <v>74</v>
      </c>
      <c r="BO1040" t="s">
        <v>916</v>
      </c>
      <c r="BP1040" t="s">
        <v>74</v>
      </c>
      <c r="BQ1040" t="s">
        <v>74</v>
      </c>
      <c r="BR1040" t="s">
        <v>102</v>
      </c>
      <c r="BS1040" t="s">
        <v>33725</v>
      </c>
      <c r="BT1040" t="str">
        <f>HYPERLINK("https%3A%2F%2Fwww.webofscience.com%2Fwos%2Fwoscc%2Ffull-record%2FWOS:000677480300001","View Full Record in Web of Science")</f>
        <v>View Full Record in Web of Science</v>
      </c>
    </row>
    <row r="1041" spans="1:72" x14ac:dyDescent="0.25">
      <c r="A1041" t="s">
        <v>72</v>
      </c>
      <c r="B1041" t="s">
        <v>33724</v>
      </c>
      <c r="C1041" t="s">
        <v>74</v>
      </c>
      <c r="D1041" t="s">
        <v>74</v>
      </c>
      <c r="E1041" t="s">
        <v>74</v>
      </c>
      <c r="F1041" t="s">
        <v>33723</v>
      </c>
      <c r="G1041" t="s">
        <v>74</v>
      </c>
      <c r="H1041" t="s">
        <v>74</v>
      </c>
      <c r="I1041" t="s">
        <v>33722</v>
      </c>
      <c r="J1041" t="s">
        <v>33721</v>
      </c>
      <c r="K1041" t="s">
        <v>74</v>
      </c>
      <c r="L1041" t="s">
        <v>74</v>
      </c>
      <c r="M1041" t="s">
        <v>78</v>
      </c>
      <c r="N1041" t="s">
        <v>79</v>
      </c>
      <c r="O1041" t="s">
        <v>74</v>
      </c>
      <c r="P1041" t="s">
        <v>74</v>
      </c>
      <c r="Q1041" t="s">
        <v>74</v>
      </c>
      <c r="R1041" t="s">
        <v>74</v>
      </c>
      <c r="S1041" t="s">
        <v>74</v>
      </c>
      <c r="T1041" t="s">
        <v>33720</v>
      </c>
      <c r="U1041" t="s">
        <v>33719</v>
      </c>
      <c r="V1041" t="s">
        <v>33718</v>
      </c>
      <c r="W1041" t="s">
        <v>33717</v>
      </c>
      <c r="X1041" t="s">
        <v>33716</v>
      </c>
      <c r="Y1041" t="s">
        <v>33715</v>
      </c>
      <c r="Z1041" t="s">
        <v>74</v>
      </c>
      <c r="AA1041" t="s">
        <v>74</v>
      </c>
      <c r="AB1041" t="s">
        <v>33714</v>
      </c>
      <c r="AC1041" t="s">
        <v>74</v>
      </c>
      <c r="AD1041" t="s">
        <v>74</v>
      </c>
      <c r="AE1041" t="s">
        <v>74</v>
      </c>
      <c r="AF1041" t="s">
        <v>74</v>
      </c>
      <c r="AG1041">
        <v>87</v>
      </c>
      <c r="AH1041">
        <v>5</v>
      </c>
      <c r="AI1041">
        <v>7</v>
      </c>
      <c r="AJ1041">
        <v>1</v>
      </c>
      <c r="AK1041">
        <v>17</v>
      </c>
      <c r="AL1041" t="s">
        <v>33713</v>
      </c>
      <c r="AM1041" t="s">
        <v>33712</v>
      </c>
      <c r="AN1041" t="s">
        <v>33711</v>
      </c>
      <c r="AO1041" t="s">
        <v>33710</v>
      </c>
      <c r="AP1041" t="s">
        <v>74</v>
      </c>
      <c r="AQ1041" t="s">
        <v>74</v>
      </c>
      <c r="AR1041" t="s">
        <v>33709</v>
      </c>
      <c r="AS1041" t="s">
        <v>33708</v>
      </c>
      <c r="AT1041" t="s">
        <v>74</v>
      </c>
      <c r="AU1041">
        <v>2019</v>
      </c>
      <c r="AV1041">
        <v>43</v>
      </c>
      <c r="AW1041">
        <v>2</v>
      </c>
      <c r="AX1041" t="s">
        <v>74</v>
      </c>
      <c r="AY1041" t="s">
        <v>74</v>
      </c>
      <c r="AZ1041" t="s">
        <v>74</v>
      </c>
      <c r="BA1041" t="s">
        <v>74</v>
      </c>
      <c r="BB1041">
        <v>85</v>
      </c>
      <c r="BC1041">
        <v>114</v>
      </c>
      <c r="BD1041" t="s">
        <v>74</v>
      </c>
      <c r="BE1041" t="s">
        <v>33707</v>
      </c>
      <c r="BF1041" t="str">
        <f>HYPERLINK("http://dx.doi.org/10.15611/aoe.2019.2.04","http://dx.doi.org/10.15611/aoe.2019.2.04")</f>
        <v>http://dx.doi.org/10.15611/aoe.2019.2.04</v>
      </c>
      <c r="BG1041" t="s">
        <v>74</v>
      </c>
      <c r="BH1041" t="s">
        <v>74</v>
      </c>
      <c r="BI1041">
        <v>30</v>
      </c>
      <c r="BJ1041" t="s">
        <v>291</v>
      </c>
      <c r="BK1041" t="s">
        <v>99</v>
      </c>
      <c r="BL1041" t="s">
        <v>100</v>
      </c>
      <c r="BM1041" t="s">
        <v>33706</v>
      </c>
      <c r="BN1041" t="s">
        <v>74</v>
      </c>
      <c r="BO1041" t="s">
        <v>212</v>
      </c>
      <c r="BP1041" t="s">
        <v>74</v>
      </c>
      <c r="BQ1041" t="s">
        <v>74</v>
      </c>
      <c r="BR1041" t="s">
        <v>102</v>
      </c>
      <c r="BS1041" t="s">
        <v>33705</v>
      </c>
      <c r="BT1041" t="str">
        <f>HYPERLINK("https%3A%2F%2Fwww.webofscience.com%2Fwos%2Fwoscc%2Ffull-record%2FWOS:000501410300004","View Full Record in Web of Science")</f>
        <v>View Full Record in Web of Science</v>
      </c>
    </row>
    <row r="1042" spans="1:72" x14ac:dyDescent="0.25">
      <c r="A1042" t="s">
        <v>72</v>
      </c>
      <c r="B1042" t="s">
        <v>33704</v>
      </c>
      <c r="C1042" t="s">
        <v>74</v>
      </c>
      <c r="D1042" t="s">
        <v>74</v>
      </c>
      <c r="E1042" t="s">
        <v>74</v>
      </c>
      <c r="F1042" t="s">
        <v>33703</v>
      </c>
      <c r="G1042" t="s">
        <v>74</v>
      </c>
      <c r="H1042" t="s">
        <v>74</v>
      </c>
      <c r="I1042" t="s">
        <v>33702</v>
      </c>
      <c r="J1042" t="s">
        <v>15203</v>
      </c>
      <c r="K1042" t="s">
        <v>74</v>
      </c>
      <c r="L1042" t="s">
        <v>74</v>
      </c>
      <c r="M1042" t="s">
        <v>78</v>
      </c>
      <c r="N1042" t="s">
        <v>79</v>
      </c>
      <c r="O1042" t="s">
        <v>74</v>
      </c>
      <c r="P1042" t="s">
        <v>74</v>
      </c>
      <c r="Q1042" t="s">
        <v>74</v>
      </c>
      <c r="R1042" t="s">
        <v>74</v>
      </c>
      <c r="S1042" t="s">
        <v>74</v>
      </c>
      <c r="T1042" t="s">
        <v>33701</v>
      </c>
      <c r="U1042" t="s">
        <v>74</v>
      </c>
      <c r="V1042" t="s">
        <v>33700</v>
      </c>
      <c r="W1042" t="s">
        <v>33699</v>
      </c>
      <c r="X1042" t="s">
        <v>33698</v>
      </c>
      <c r="Y1042" t="s">
        <v>33697</v>
      </c>
      <c r="Z1042" t="s">
        <v>33696</v>
      </c>
      <c r="AA1042" t="s">
        <v>33695</v>
      </c>
      <c r="AB1042" t="s">
        <v>33694</v>
      </c>
      <c r="AC1042" t="s">
        <v>33693</v>
      </c>
      <c r="AD1042" t="s">
        <v>33692</v>
      </c>
      <c r="AE1042" t="s">
        <v>33691</v>
      </c>
      <c r="AF1042" t="s">
        <v>74</v>
      </c>
      <c r="AG1042">
        <v>38</v>
      </c>
      <c r="AH1042">
        <v>38</v>
      </c>
      <c r="AI1042">
        <v>42</v>
      </c>
      <c r="AJ1042">
        <v>31</v>
      </c>
      <c r="AK1042">
        <v>396</v>
      </c>
      <c r="AL1042" t="s">
        <v>1216</v>
      </c>
      <c r="AM1042" t="s">
        <v>283</v>
      </c>
      <c r="AN1042" t="s">
        <v>1217</v>
      </c>
      <c r="AO1042" t="s">
        <v>74</v>
      </c>
      <c r="AP1042" t="s">
        <v>15215</v>
      </c>
      <c r="AQ1042" t="s">
        <v>74</v>
      </c>
      <c r="AR1042" t="s">
        <v>15216</v>
      </c>
      <c r="AS1042" t="s">
        <v>15217</v>
      </c>
      <c r="AT1042" t="s">
        <v>23220</v>
      </c>
      <c r="AU1042">
        <v>2022</v>
      </c>
      <c r="AV1042">
        <v>10</v>
      </c>
      <c r="AW1042" t="s">
        <v>74</v>
      </c>
      <c r="AX1042" t="s">
        <v>74</v>
      </c>
      <c r="AY1042" t="s">
        <v>74</v>
      </c>
      <c r="AZ1042" t="s">
        <v>74</v>
      </c>
      <c r="BA1042" t="s">
        <v>74</v>
      </c>
      <c r="BB1042" t="s">
        <v>74</v>
      </c>
      <c r="BC1042" t="s">
        <v>74</v>
      </c>
      <c r="BD1042">
        <v>985620</v>
      </c>
      <c r="BE1042" t="s">
        <v>33690</v>
      </c>
      <c r="BF1042" t="str">
        <f>HYPERLINK("http://dx.doi.org/10.3389/fenvs.2022.985620","http://dx.doi.org/10.3389/fenvs.2022.985620")</f>
        <v>http://dx.doi.org/10.3389/fenvs.2022.985620</v>
      </c>
      <c r="BG1042" t="s">
        <v>74</v>
      </c>
      <c r="BH1042" t="s">
        <v>74</v>
      </c>
      <c r="BI1042">
        <v>16</v>
      </c>
      <c r="BJ1042" t="s">
        <v>127</v>
      </c>
      <c r="BK1042" t="s">
        <v>128</v>
      </c>
      <c r="BL1042" t="s">
        <v>129</v>
      </c>
      <c r="BM1042" t="s">
        <v>33689</v>
      </c>
      <c r="BN1042" t="s">
        <v>74</v>
      </c>
      <c r="BO1042" t="s">
        <v>916</v>
      </c>
      <c r="BP1042" t="s">
        <v>74</v>
      </c>
      <c r="BQ1042" t="s">
        <v>74</v>
      </c>
      <c r="BR1042" t="s">
        <v>102</v>
      </c>
      <c r="BS1042" t="s">
        <v>33688</v>
      </c>
      <c r="BT1042" t="str">
        <f>HYPERLINK("https%3A%2F%2Fwww.webofscience.com%2Fwos%2Fwoscc%2Ffull-record%2FWOS:000890146300001","View Full Record in Web of Science")</f>
        <v>View Full Record in Web of Science</v>
      </c>
    </row>
    <row r="1043" spans="1:72" x14ac:dyDescent="0.25">
      <c r="A1043" t="s">
        <v>72</v>
      </c>
      <c r="B1043" t="s">
        <v>33687</v>
      </c>
      <c r="C1043" t="s">
        <v>74</v>
      </c>
      <c r="D1043" t="s">
        <v>74</v>
      </c>
      <c r="E1043" t="s">
        <v>74</v>
      </c>
      <c r="F1043" t="s">
        <v>33686</v>
      </c>
      <c r="G1043" t="s">
        <v>74</v>
      </c>
      <c r="H1043" t="s">
        <v>74</v>
      </c>
      <c r="I1043" t="s">
        <v>33685</v>
      </c>
      <c r="J1043" t="s">
        <v>1987</v>
      </c>
      <c r="K1043" t="s">
        <v>74</v>
      </c>
      <c r="L1043" t="s">
        <v>74</v>
      </c>
      <c r="M1043" t="s">
        <v>78</v>
      </c>
      <c r="N1043" t="s">
        <v>79</v>
      </c>
      <c r="O1043" t="s">
        <v>74</v>
      </c>
      <c r="P1043" t="s">
        <v>74</v>
      </c>
      <c r="Q1043" t="s">
        <v>74</v>
      </c>
      <c r="R1043" t="s">
        <v>74</v>
      </c>
      <c r="S1043" t="s">
        <v>74</v>
      </c>
      <c r="T1043" t="s">
        <v>33684</v>
      </c>
      <c r="U1043" t="s">
        <v>33683</v>
      </c>
      <c r="V1043" t="s">
        <v>33682</v>
      </c>
      <c r="W1043" t="s">
        <v>33681</v>
      </c>
      <c r="X1043" t="s">
        <v>18468</v>
      </c>
      <c r="Y1043" t="s">
        <v>33680</v>
      </c>
      <c r="Z1043" t="s">
        <v>33679</v>
      </c>
      <c r="AA1043" t="s">
        <v>30241</v>
      </c>
      <c r="AB1043" t="s">
        <v>33678</v>
      </c>
      <c r="AC1043" t="s">
        <v>74</v>
      </c>
      <c r="AD1043" t="s">
        <v>74</v>
      </c>
      <c r="AE1043" t="s">
        <v>74</v>
      </c>
      <c r="AF1043" t="s">
        <v>74</v>
      </c>
      <c r="AG1043">
        <v>117</v>
      </c>
      <c r="AH1043">
        <v>1</v>
      </c>
      <c r="AI1043">
        <v>1</v>
      </c>
      <c r="AJ1043">
        <v>4</v>
      </c>
      <c r="AK1043">
        <v>7</v>
      </c>
      <c r="AL1043" t="s">
        <v>479</v>
      </c>
      <c r="AM1043" t="s">
        <v>480</v>
      </c>
      <c r="AN1043" t="s">
        <v>481</v>
      </c>
      <c r="AO1043" t="s">
        <v>1997</v>
      </c>
      <c r="AP1043" t="s">
        <v>1998</v>
      </c>
      <c r="AQ1043" t="s">
        <v>74</v>
      </c>
      <c r="AR1043" t="s">
        <v>1999</v>
      </c>
      <c r="AS1043" t="s">
        <v>2000</v>
      </c>
      <c r="AT1043" t="s">
        <v>1540</v>
      </c>
      <c r="AU1043">
        <v>2025</v>
      </c>
      <c r="AV1043">
        <v>37</v>
      </c>
      <c r="AW1043">
        <v>4</v>
      </c>
      <c r="AX1043" t="s">
        <v>74</v>
      </c>
      <c r="AY1043" t="s">
        <v>74</v>
      </c>
      <c r="AZ1043" t="s">
        <v>74</v>
      </c>
      <c r="BA1043" t="s">
        <v>74</v>
      </c>
      <c r="BB1043">
        <v>887</v>
      </c>
      <c r="BC1043">
        <v>923</v>
      </c>
      <c r="BD1043" t="s">
        <v>74</v>
      </c>
      <c r="BE1043" t="s">
        <v>33677</v>
      </c>
      <c r="BF1043" t="str">
        <f>HYPERLINK("http://dx.doi.org/10.1002/jid.3992","http://dx.doi.org/10.1002/jid.3992")</f>
        <v>http://dx.doi.org/10.1002/jid.3992</v>
      </c>
      <c r="BG1043" t="s">
        <v>74</v>
      </c>
      <c r="BH1043" t="s">
        <v>2781</v>
      </c>
      <c r="BI1043">
        <v>37</v>
      </c>
      <c r="BJ1043" t="s">
        <v>1137</v>
      </c>
      <c r="BK1043" t="s">
        <v>99</v>
      </c>
      <c r="BL1043" t="s">
        <v>1137</v>
      </c>
      <c r="BM1043" t="s">
        <v>33676</v>
      </c>
      <c r="BN1043" t="s">
        <v>74</v>
      </c>
      <c r="BO1043" t="s">
        <v>1205</v>
      </c>
      <c r="BP1043" t="s">
        <v>74</v>
      </c>
      <c r="BQ1043" t="s">
        <v>74</v>
      </c>
      <c r="BR1043" t="s">
        <v>102</v>
      </c>
      <c r="BS1043" t="s">
        <v>33675</v>
      </c>
      <c r="BT1043" t="str">
        <f>HYPERLINK("https%3A%2F%2Fwww.webofscience.com%2Fwos%2Fwoscc%2Ffull-record%2FWOS:001448688100001","View Full Record in Web of Science")</f>
        <v>View Full Record in Web of Science</v>
      </c>
    </row>
    <row r="1044" spans="1:72" x14ac:dyDescent="0.25">
      <c r="A1044" t="s">
        <v>72</v>
      </c>
      <c r="B1044" t="s">
        <v>33674</v>
      </c>
      <c r="C1044" t="s">
        <v>74</v>
      </c>
      <c r="D1044" t="s">
        <v>74</v>
      </c>
      <c r="E1044" t="s">
        <v>74</v>
      </c>
      <c r="F1044" t="s">
        <v>33673</v>
      </c>
      <c r="G1044" t="s">
        <v>74</v>
      </c>
      <c r="H1044" t="s">
        <v>74</v>
      </c>
      <c r="I1044" t="s">
        <v>33672</v>
      </c>
      <c r="J1044" t="s">
        <v>424</v>
      </c>
      <c r="K1044" t="s">
        <v>74</v>
      </c>
      <c r="L1044" t="s">
        <v>74</v>
      </c>
      <c r="M1044" t="s">
        <v>78</v>
      </c>
      <c r="N1044" t="s">
        <v>79</v>
      </c>
      <c r="O1044" t="s">
        <v>74</v>
      </c>
      <c r="P1044" t="s">
        <v>74</v>
      </c>
      <c r="Q1044" t="s">
        <v>74</v>
      </c>
      <c r="R1044" t="s">
        <v>74</v>
      </c>
      <c r="S1044" t="s">
        <v>74</v>
      </c>
      <c r="T1044" t="s">
        <v>33671</v>
      </c>
      <c r="U1044" t="s">
        <v>33670</v>
      </c>
      <c r="V1044" t="s">
        <v>33669</v>
      </c>
      <c r="W1044" t="s">
        <v>33668</v>
      </c>
      <c r="X1044" t="s">
        <v>33667</v>
      </c>
      <c r="Y1044" t="s">
        <v>33666</v>
      </c>
      <c r="Z1044" t="s">
        <v>33665</v>
      </c>
      <c r="AA1044" t="s">
        <v>33664</v>
      </c>
      <c r="AB1044" t="s">
        <v>74</v>
      </c>
      <c r="AC1044" t="s">
        <v>33663</v>
      </c>
      <c r="AD1044" t="s">
        <v>33662</v>
      </c>
      <c r="AE1044" t="s">
        <v>33661</v>
      </c>
      <c r="AF1044" t="s">
        <v>74</v>
      </c>
      <c r="AG1044">
        <v>131</v>
      </c>
      <c r="AH1044">
        <v>0</v>
      </c>
      <c r="AI1044">
        <v>0</v>
      </c>
      <c r="AJ1044">
        <v>6</v>
      </c>
      <c r="AK1044">
        <v>6</v>
      </c>
      <c r="AL1044" t="s">
        <v>89</v>
      </c>
      <c r="AM1044" t="s">
        <v>90</v>
      </c>
      <c r="AN1044" t="s">
        <v>91</v>
      </c>
      <c r="AO1044" t="s">
        <v>436</v>
      </c>
      <c r="AP1044" t="s">
        <v>437</v>
      </c>
      <c r="AQ1044" t="s">
        <v>74</v>
      </c>
      <c r="AR1044" t="s">
        <v>438</v>
      </c>
      <c r="AS1044" t="s">
        <v>439</v>
      </c>
      <c r="AT1044" t="s">
        <v>1221</v>
      </c>
      <c r="AU1044">
        <v>2025</v>
      </c>
      <c r="AV1044">
        <v>43</v>
      </c>
      <c r="AW1044">
        <v>9</v>
      </c>
      <c r="AX1044" t="s">
        <v>74</v>
      </c>
      <c r="AY1044" t="s">
        <v>74</v>
      </c>
      <c r="AZ1044" t="s">
        <v>74</v>
      </c>
      <c r="BA1044" t="s">
        <v>74</v>
      </c>
      <c r="BB1044">
        <v>1938</v>
      </c>
      <c r="BC1044">
        <v>1968</v>
      </c>
      <c r="BD1044" t="s">
        <v>74</v>
      </c>
      <c r="BE1044" t="s">
        <v>33660</v>
      </c>
      <c r="BF1044" t="str">
        <f>HYPERLINK("http://dx.doi.org/10.1108/IJBM-01-2024-0022","http://dx.doi.org/10.1108/IJBM-01-2024-0022")</f>
        <v>http://dx.doi.org/10.1108/IJBM-01-2024-0022</v>
      </c>
      <c r="BG1044" t="s">
        <v>74</v>
      </c>
      <c r="BH1044" t="s">
        <v>12078</v>
      </c>
      <c r="BI1044">
        <v>31</v>
      </c>
      <c r="BJ1044" t="s">
        <v>418</v>
      </c>
      <c r="BK1044" t="s">
        <v>99</v>
      </c>
      <c r="BL1044" t="s">
        <v>100</v>
      </c>
      <c r="BM1044" t="s">
        <v>33659</v>
      </c>
      <c r="BN1044" t="s">
        <v>74</v>
      </c>
      <c r="BO1044" t="s">
        <v>74</v>
      </c>
      <c r="BP1044" t="s">
        <v>74</v>
      </c>
      <c r="BQ1044" t="s">
        <v>74</v>
      </c>
      <c r="BR1044" t="s">
        <v>102</v>
      </c>
      <c r="BS1044" t="s">
        <v>33658</v>
      </c>
      <c r="BT1044" t="str">
        <f>HYPERLINK("https%3A%2F%2Fwww.webofscience.com%2Fwos%2Fwoscc%2Ffull-record%2FWOS:001602254900001","View Full Record in Web of Science")</f>
        <v>View Full Record in Web of Science</v>
      </c>
    </row>
    <row r="1045" spans="1:72" x14ac:dyDescent="0.25">
      <c r="A1045" t="s">
        <v>72</v>
      </c>
      <c r="B1045" t="s">
        <v>33657</v>
      </c>
      <c r="C1045" t="s">
        <v>74</v>
      </c>
      <c r="D1045" t="s">
        <v>74</v>
      </c>
      <c r="E1045" t="s">
        <v>74</v>
      </c>
      <c r="F1045" t="s">
        <v>33656</v>
      </c>
      <c r="G1045" t="s">
        <v>74</v>
      </c>
      <c r="H1045" t="s">
        <v>74</v>
      </c>
      <c r="I1045" t="s">
        <v>33655</v>
      </c>
      <c r="J1045" t="s">
        <v>3579</v>
      </c>
      <c r="K1045" t="s">
        <v>74</v>
      </c>
      <c r="L1045" t="s">
        <v>74</v>
      </c>
      <c r="M1045" t="s">
        <v>78</v>
      </c>
      <c r="N1045" t="s">
        <v>79</v>
      </c>
      <c r="O1045" t="s">
        <v>74</v>
      </c>
      <c r="P1045" t="s">
        <v>74</v>
      </c>
      <c r="Q1045" t="s">
        <v>74</v>
      </c>
      <c r="R1045" t="s">
        <v>74</v>
      </c>
      <c r="S1045" t="s">
        <v>74</v>
      </c>
      <c r="T1045" t="s">
        <v>33654</v>
      </c>
      <c r="U1045" t="s">
        <v>33653</v>
      </c>
      <c r="V1045" t="s">
        <v>33652</v>
      </c>
      <c r="W1045" t="s">
        <v>33651</v>
      </c>
      <c r="X1045" t="s">
        <v>6442</v>
      </c>
      <c r="Y1045" t="s">
        <v>33650</v>
      </c>
      <c r="Z1045" t="s">
        <v>33649</v>
      </c>
      <c r="AA1045" t="s">
        <v>74</v>
      </c>
      <c r="AB1045" t="s">
        <v>6445</v>
      </c>
      <c r="AC1045" t="s">
        <v>74</v>
      </c>
      <c r="AD1045" t="s">
        <v>74</v>
      </c>
      <c r="AE1045" t="s">
        <v>74</v>
      </c>
      <c r="AF1045" t="s">
        <v>74</v>
      </c>
      <c r="AG1045">
        <v>33</v>
      </c>
      <c r="AH1045">
        <v>1</v>
      </c>
      <c r="AI1045">
        <v>1</v>
      </c>
      <c r="AJ1045">
        <v>3</v>
      </c>
      <c r="AK1045">
        <v>5</v>
      </c>
      <c r="AL1045" t="s">
        <v>3588</v>
      </c>
      <c r="AM1045" t="s">
        <v>410</v>
      </c>
      <c r="AN1045" t="s">
        <v>3589</v>
      </c>
      <c r="AO1045" t="s">
        <v>3590</v>
      </c>
      <c r="AP1045" t="s">
        <v>3591</v>
      </c>
      <c r="AQ1045" t="s">
        <v>74</v>
      </c>
      <c r="AR1045" t="s">
        <v>3592</v>
      </c>
      <c r="AS1045" t="s">
        <v>3593</v>
      </c>
      <c r="AT1045" t="s">
        <v>124</v>
      </c>
      <c r="AU1045">
        <v>2023</v>
      </c>
      <c r="AV1045">
        <v>25</v>
      </c>
      <c r="AW1045" t="s">
        <v>26372</v>
      </c>
      <c r="AX1045" t="s">
        <v>74</v>
      </c>
      <c r="AY1045">
        <v>1</v>
      </c>
      <c r="AZ1045" t="s">
        <v>441</v>
      </c>
      <c r="BA1045" t="s">
        <v>74</v>
      </c>
      <c r="BB1045">
        <v>101</v>
      </c>
      <c r="BC1045">
        <v>126</v>
      </c>
      <c r="BD1045" t="s">
        <v>74</v>
      </c>
      <c r="BE1045" t="s">
        <v>33648</v>
      </c>
      <c r="BF1045" t="str">
        <f>HYPERLINK("http://dx.doi.org/10.1007/s40847-023-00250-3","http://dx.doi.org/10.1007/s40847-023-00250-3")</f>
        <v>http://dx.doi.org/10.1007/s40847-023-00250-3</v>
      </c>
      <c r="BG1045" t="s">
        <v>74</v>
      </c>
      <c r="BH1045" t="s">
        <v>13995</v>
      </c>
      <c r="BI1045">
        <v>26</v>
      </c>
      <c r="BJ1045" t="s">
        <v>701</v>
      </c>
      <c r="BK1045" t="s">
        <v>313</v>
      </c>
      <c r="BL1045" t="s">
        <v>702</v>
      </c>
      <c r="BM1045" t="s">
        <v>33647</v>
      </c>
      <c r="BN1045" t="s">
        <v>74</v>
      </c>
      <c r="BO1045" t="s">
        <v>74</v>
      </c>
      <c r="BP1045" t="s">
        <v>74</v>
      </c>
      <c r="BQ1045" t="s">
        <v>74</v>
      </c>
      <c r="BR1045" t="s">
        <v>102</v>
      </c>
      <c r="BS1045" t="s">
        <v>33646</v>
      </c>
      <c r="BT1045" t="str">
        <f>HYPERLINK("https%3A%2F%2Fwww.webofscience.com%2Fwos%2Fwoscc%2Ffull-record%2FWOS:001003113800001","View Full Record in Web of Science")</f>
        <v>View Full Record in Web of Science</v>
      </c>
    </row>
    <row r="1046" spans="1:72" x14ac:dyDescent="0.25">
      <c r="A1046" t="s">
        <v>72</v>
      </c>
      <c r="B1046" t="s">
        <v>26932</v>
      </c>
      <c r="C1046" t="s">
        <v>74</v>
      </c>
      <c r="D1046" t="s">
        <v>74</v>
      </c>
      <c r="E1046" t="s">
        <v>74</v>
      </c>
      <c r="F1046" t="s">
        <v>26931</v>
      </c>
      <c r="G1046" t="s">
        <v>74</v>
      </c>
      <c r="H1046" t="s">
        <v>74</v>
      </c>
      <c r="I1046" t="s">
        <v>33645</v>
      </c>
      <c r="J1046" t="s">
        <v>23912</v>
      </c>
      <c r="K1046" t="s">
        <v>74</v>
      </c>
      <c r="L1046" t="s">
        <v>74</v>
      </c>
      <c r="M1046" t="s">
        <v>78</v>
      </c>
      <c r="N1046" t="s">
        <v>79</v>
      </c>
      <c r="O1046" t="s">
        <v>74</v>
      </c>
      <c r="P1046" t="s">
        <v>74</v>
      </c>
      <c r="Q1046" t="s">
        <v>74</v>
      </c>
      <c r="R1046" t="s">
        <v>74</v>
      </c>
      <c r="S1046" t="s">
        <v>74</v>
      </c>
      <c r="T1046" t="s">
        <v>74</v>
      </c>
      <c r="U1046" t="s">
        <v>33644</v>
      </c>
      <c r="V1046" t="s">
        <v>33643</v>
      </c>
      <c r="W1046" t="s">
        <v>33642</v>
      </c>
      <c r="X1046" t="s">
        <v>26925</v>
      </c>
      <c r="Y1046" t="s">
        <v>33641</v>
      </c>
      <c r="Z1046" t="s">
        <v>33640</v>
      </c>
      <c r="AA1046" t="s">
        <v>33639</v>
      </c>
      <c r="AB1046" t="s">
        <v>33638</v>
      </c>
      <c r="AC1046" t="s">
        <v>74</v>
      </c>
      <c r="AD1046" t="s">
        <v>74</v>
      </c>
      <c r="AE1046" t="s">
        <v>74</v>
      </c>
      <c r="AF1046" t="s">
        <v>74</v>
      </c>
      <c r="AG1046">
        <v>29</v>
      </c>
      <c r="AH1046">
        <v>14</v>
      </c>
      <c r="AI1046">
        <v>21</v>
      </c>
      <c r="AJ1046">
        <v>0</v>
      </c>
      <c r="AK1046">
        <v>4</v>
      </c>
      <c r="AL1046" t="s">
        <v>23912</v>
      </c>
      <c r="AM1046" t="s">
        <v>3024</v>
      </c>
      <c r="AN1046" t="s">
        <v>23911</v>
      </c>
      <c r="AO1046" t="s">
        <v>23910</v>
      </c>
      <c r="AP1046" t="s">
        <v>74</v>
      </c>
      <c r="AQ1046" t="s">
        <v>74</v>
      </c>
      <c r="AR1046" t="s">
        <v>23909</v>
      </c>
      <c r="AS1046" t="s">
        <v>23908</v>
      </c>
      <c r="AT1046" t="s">
        <v>74</v>
      </c>
      <c r="AU1046">
        <v>2019</v>
      </c>
      <c r="AV1046">
        <v>39</v>
      </c>
      <c r="AW1046">
        <v>4</v>
      </c>
      <c r="AX1046" t="s">
        <v>74</v>
      </c>
      <c r="AY1046" t="s">
        <v>74</v>
      </c>
      <c r="AZ1046" t="s">
        <v>74</v>
      </c>
      <c r="BA1046" t="s">
        <v>74</v>
      </c>
      <c r="BB1046">
        <v>2615</v>
      </c>
      <c r="BC1046">
        <v>2630</v>
      </c>
      <c r="BD1046" t="s">
        <v>74</v>
      </c>
      <c r="BE1046" t="s">
        <v>74</v>
      </c>
      <c r="BF1046" t="s">
        <v>74</v>
      </c>
      <c r="BG1046" t="s">
        <v>74</v>
      </c>
      <c r="BH1046" t="s">
        <v>74</v>
      </c>
      <c r="BI1046">
        <v>17</v>
      </c>
      <c r="BJ1046" t="s">
        <v>291</v>
      </c>
      <c r="BK1046" t="s">
        <v>313</v>
      </c>
      <c r="BL1046" t="s">
        <v>100</v>
      </c>
      <c r="BM1046" t="s">
        <v>33637</v>
      </c>
      <c r="BN1046" t="s">
        <v>74</v>
      </c>
      <c r="BO1046" t="s">
        <v>74</v>
      </c>
      <c r="BP1046" t="s">
        <v>74</v>
      </c>
      <c r="BQ1046" t="s">
        <v>74</v>
      </c>
      <c r="BR1046" t="s">
        <v>102</v>
      </c>
      <c r="BS1046" t="s">
        <v>33636</v>
      </c>
      <c r="BT1046" t="str">
        <f>HYPERLINK("https%3A%2F%2Fwww.webofscience.com%2Fwos%2Fwoscc%2Ffull-record%2FWOS:000504895700034","View Full Record in Web of Science")</f>
        <v>View Full Record in Web of Science</v>
      </c>
    </row>
    <row r="1047" spans="1:72" x14ac:dyDescent="0.25">
      <c r="A1047" t="s">
        <v>132</v>
      </c>
      <c r="B1047" t="s">
        <v>33635</v>
      </c>
      <c r="C1047" t="s">
        <v>74</v>
      </c>
      <c r="D1047" t="s">
        <v>74</v>
      </c>
      <c r="E1047" t="s">
        <v>771</v>
      </c>
      <c r="F1047" t="s">
        <v>33634</v>
      </c>
      <c r="G1047" t="s">
        <v>74</v>
      </c>
      <c r="H1047" t="s">
        <v>74</v>
      </c>
      <c r="I1047" t="s">
        <v>33633</v>
      </c>
      <c r="J1047" t="s">
        <v>17697</v>
      </c>
      <c r="K1047" t="s">
        <v>74</v>
      </c>
      <c r="L1047" t="s">
        <v>74</v>
      </c>
      <c r="M1047" t="s">
        <v>78</v>
      </c>
      <c r="N1047" t="s">
        <v>138</v>
      </c>
      <c r="O1047" t="s">
        <v>17698</v>
      </c>
      <c r="P1047" t="s">
        <v>17699</v>
      </c>
      <c r="Q1047" t="s">
        <v>1550</v>
      </c>
      <c r="R1047" t="s">
        <v>17700</v>
      </c>
      <c r="S1047" t="s">
        <v>74</v>
      </c>
      <c r="T1047" t="s">
        <v>33632</v>
      </c>
      <c r="U1047" t="s">
        <v>33631</v>
      </c>
      <c r="V1047" t="s">
        <v>33630</v>
      </c>
      <c r="W1047" t="s">
        <v>33629</v>
      </c>
      <c r="X1047" t="s">
        <v>33628</v>
      </c>
      <c r="Y1047" t="s">
        <v>33627</v>
      </c>
      <c r="Z1047" t="s">
        <v>33626</v>
      </c>
      <c r="AA1047" t="s">
        <v>33625</v>
      </c>
      <c r="AB1047" t="s">
        <v>33624</v>
      </c>
      <c r="AC1047" t="s">
        <v>74</v>
      </c>
      <c r="AD1047" t="s">
        <v>74</v>
      </c>
      <c r="AE1047" t="s">
        <v>74</v>
      </c>
      <c r="AF1047" t="s">
        <v>74</v>
      </c>
      <c r="AG1047">
        <v>25</v>
      </c>
      <c r="AH1047">
        <v>0</v>
      </c>
      <c r="AI1047">
        <v>1</v>
      </c>
      <c r="AJ1047">
        <v>2</v>
      </c>
      <c r="AK1047">
        <v>33</v>
      </c>
      <c r="AL1047" t="s">
        <v>771</v>
      </c>
      <c r="AM1047" t="s">
        <v>151</v>
      </c>
      <c r="AN1047" t="s">
        <v>785</v>
      </c>
      <c r="AO1047" t="s">
        <v>74</v>
      </c>
      <c r="AP1047" t="s">
        <v>74</v>
      </c>
      <c r="AQ1047" t="s">
        <v>17707</v>
      </c>
      <c r="AR1047" t="s">
        <v>74</v>
      </c>
      <c r="AS1047" t="s">
        <v>74</v>
      </c>
      <c r="AT1047" t="s">
        <v>74</v>
      </c>
      <c r="AU1047">
        <v>2022</v>
      </c>
      <c r="AV1047" t="s">
        <v>74</v>
      </c>
      <c r="AW1047" t="s">
        <v>74</v>
      </c>
      <c r="AX1047" t="s">
        <v>74</v>
      </c>
      <c r="AY1047" t="s">
        <v>74</v>
      </c>
      <c r="AZ1047" t="s">
        <v>74</v>
      </c>
      <c r="BA1047" t="s">
        <v>74</v>
      </c>
      <c r="BB1047">
        <v>254</v>
      </c>
      <c r="BC1047">
        <v>258</v>
      </c>
      <c r="BD1047" t="s">
        <v>74</v>
      </c>
      <c r="BE1047" t="s">
        <v>33623</v>
      </c>
      <c r="BF1047" t="str">
        <f>HYPERLINK("http://dx.doi.org/10.1109/ICBIR54589.2022.9786477","http://dx.doi.org/10.1109/ICBIR54589.2022.9786477")</f>
        <v>http://dx.doi.org/10.1109/ICBIR54589.2022.9786477</v>
      </c>
      <c r="BG1047" t="s">
        <v>74</v>
      </c>
      <c r="BH1047" t="s">
        <v>74</v>
      </c>
      <c r="BI1047">
        <v>5</v>
      </c>
      <c r="BJ1047" t="s">
        <v>17709</v>
      </c>
      <c r="BK1047" t="s">
        <v>1069</v>
      </c>
      <c r="BL1047" t="s">
        <v>17710</v>
      </c>
      <c r="BM1047" t="s">
        <v>17711</v>
      </c>
      <c r="BN1047" t="s">
        <v>74</v>
      </c>
      <c r="BO1047" t="s">
        <v>74</v>
      </c>
      <c r="BP1047" t="s">
        <v>74</v>
      </c>
      <c r="BQ1047" t="s">
        <v>74</v>
      </c>
      <c r="BR1047" t="s">
        <v>102</v>
      </c>
      <c r="BS1047" t="s">
        <v>33622</v>
      </c>
      <c r="BT1047" t="str">
        <f>HYPERLINK("https%3A%2F%2Fwww.webofscience.com%2Fwos%2Fwoscc%2Ffull-record%2FWOS:000851392300047","View Full Record in Web of Science")</f>
        <v>View Full Record in Web of Science</v>
      </c>
    </row>
    <row r="1048" spans="1:72" x14ac:dyDescent="0.25">
      <c r="A1048" t="s">
        <v>72</v>
      </c>
      <c r="B1048" t="s">
        <v>33621</v>
      </c>
      <c r="C1048" t="s">
        <v>74</v>
      </c>
      <c r="D1048" t="s">
        <v>74</v>
      </c>
      <c r="E1048" t="s">
        <v>74</v>
      </c>
      <c r="F1048" t="s">
        <v>33620</v>
      </c>
      <c r="G1048" t="s">
        <v>74</v>
      </c>
      <c r="H1048" t="s">
        <v>74</v>
      </c>
      <c r="I1048" t="s">
        <v>33619</v>
      </c>
      <c r="J1048" t="s">
        <v>4842</v>
      </c>
      <c r="K1048" t="s">
        <v>74</v>
      </c>
      <c r="L1048" t="s">
        <v>74</v>
      </c>
      <c r="M1048" t="s">
        <v>78</v>
      </c>
      <c r="N1048" t="s">
        <v>79</v>
      </c>
      <c r="O1048" t="s">
        <v>74</v>
      </c>
      <c r="P1048" t="s">
        <v>74</v>
      </c>
      <c r="Q1048" t="s">
        <v>74</v>
      </c>
      <c r="R1048" t="s">
        <v>74</v>
      </c>
      <c r="S1048" t="s">
        <v>74</v>
      </c>
      <c r="T1048" t="s">
        <v>33618</v>
      </c>
      <c r="U1048" t="s">
        <v>33617</v>
      </c>
      <c r="V1048" t="s">
        <v>33616</v>
      </c>
      <c r="W1048" t="s">
        <v>33615</v>
      </c>
      <c r="X1048" t="s">
        <v>33614</v>
      </c>
      <c r="Y1048" t="s">
        <v>33613</v>
      </c>
      <c r="Z1048" t="s">
        <v>16332</v>
      </c>
      <c r="AA1048" t="s">
        <v>33612</v>
      </c>
      <c r="AB1048" t="s">
        <v>33611</v>
      </c>
      <c r="AC1048" t="s">
        <v>33610</v>
      </c>
      <c r="AD1048" t="s">
        <v>31875</v>
      </c>
      <c r="AE1048" t="s">
        <v>33609</v>
      </c>
      <c r="AF1048" t="s">
        <v>74</v>
      </c>
      <c r="AG1048">
        <v>124</v>
      </c>
      <c r="AH1048">
        <v>7</v>
      </c>
      <c r="AI1048">
        <v>11</v>
      </c>
      <c r="AJ1048">
        <v>22</v>
      </c>
      <c r="AK1048">
        <v>22</v>
      </c>
      <c r="AL1048" t="s">
        <v>823</v>
      </c>
      <c r="AM1048" t="s">
        <v>333</v>
      </c>
      <c r="AN1048" t="s">
        <v>824</v>
      </c>
      <c r="AO1048" t="s">
        <v>4853</v>
      </c>
      <c r="AP1048" t="s">
        <v>74</v>
      </c>
      <c r="AQ1048" t="s">
        <v>74</v>
      </c>
      <c r="AR1048" t="s">
        <v>4854</v>
      </c>
      <c r="AS1048" t="s">
        <v>4855</v>
      </c>
      <c r="AT1048" t="s">
        <v>4856</v>
      </c>
      <c r="AU1048">
        <v>2025</v>
      </c>
      <c r="AV1048">
        <v>12</v>
      </c>
      <c r="AW1048">
        <v>1</v>
      </c>
      <c r="AX1048" t="s">
        <v>74</v>
      </c>
      <c r="AY1048" t="s">
        <v>74</v>
      </c>
      <c r="AZ1048" t="s">
        <v>74</v>
      </c>
      <c r="BA1048" t="s">
        <v>74</v>
      </c>
      <c r="BB1048" t="s">
        <v>74</v>
      </c>
      <c r="BC1048" t="s">
        <v>74</v>
      </c>
      <c r="BD1048">
        <v>2487837</v>
      </c>
      <c r="BE1048" t="s">
        <v>33608</v>
      </c>
      <c r="BF1048" t="str">
        <f>HYPERLINK("http://dx.doi.org/10.1080/23311975.2025.2487837","http://dx.doi.org/10.1080/23311975.2025.2487837")</f>
        <v>http://dx.doi.org/10.1080/23311975.2025.2487837</v>
      </c>
      <c r="BG1048" t="s">
        <v>74</v>
      </c>
      <c r="BH1048" t="s">
        <v>74</v>
      </c>
      <c r="BI1048">
        <v>27</v>
      </c>
      <c r="BJ1048" t="s">
        <v>418</v>
      </c>
      <c r="BK1048" t="s">
        <v>313</v>
      </c>
      <c r="BL1048" t="s">
        <v>100</v>
      </c>
      <c r="BM1048" t="s">
        <v>33607</v>
      </c>
      <c r="BN1048" t="s">
        <v>74</v>
      </c>
      <c r="BO1048" t="s">
        <v>212</v>
      </c>
      <c r="BP1048" t="s">
        <v>74</v>
      </c>
      <c r="BQ1048" t="s">
        <v>74</v>
      </c>
      <c r="BR1048" t="s">
        <v>102</v>
      </c>
      <c r="BS1048" t="s">
        <v>33606</v>
      </c>
      <c r="BT1048" t="str">
        <f>HYPERLINK("https%3A%2F%2Fwww.webofscience.com%2Fwos%2Fwoscc%2Ffull-record%2FWOS:001518499100001","View Full Record in Web of Science")</f>
        <v>View Full Record in Web of Science</v>
      </c>
    </row>
    <row r="1049" spans="1:72" x14ac:dyDescent="0.25">
      <c r="A1049" t="s">
        <v>72</v>
      </c>
      <c r="B1049" t="s">
        <v>33605</v>
      </c>
      <c r="C1049" t="s">
        <v>74</v>
      </c>
      <c r="D1049" t="s">
        <v>74</v>
      </c>
      <c r="E1049" t="s">
        <v>74</v>
      </c>
      <c r="F1049" t="s">
        <v>33604</v>
      </c>
      <c r="G1049" t="s">
        <v>74</v>
      </c>
      <c r="H1049" t="s">
        <v>74</v>
      </c>
      <c r="I1049" t="s">
        <v>33603</v>
      </c>
      <c r="J1049" t="s">
        <v>14349</v>
      </c>
      <c r="K1049" t="s">
        <v>74</v>
      </c>
      <c r="L1049" t="s">
        <v>74</v>
      </c>
      <c r="M1049" t="s">
        <v>78</v>
      </c>
      <c r="N1049" t="s">
        <v>79</v>
      </c>
      <c r="O1049" t="s">
        <v>74</v>
      </c>
      <c r="P1049" t="s">
        <v>74</v>
      </c>
      <c r="Q1049" t="s">
        <v>74</v>
      </c>
      <c r="R1049" t="s">
        <v>74</v>
      </c>
      <c r="S1049" t="s">
        <v>74</v>
      </c>
      <c r="T1049" t="s">
        <v>33602</v>
      </c>
      <c r="U1049" t="s">
        <v>33601</v>
      </c>
      <c r="V1049" t="s">
        <v>33600</v>
      </c>
      <c r="W1049" t="s">
        <v>33599</v>
      </c>
      <c r="X1049" t="s">
        <v>33598</v>
      </c>
      <c r="Y1049" t="s">
        <v>33597</v>
      </c>
      <c r="Z1049" t="s">
        <v>33596</v>
      </c>
      <c r="AA1049" t="s">
        <v>74</v>
      </c>
      <c r="AB1049" t="s">
        <v>32132</v>
      </c>
      <c r="AC1049" t="s">
        <v>74</v>
      </c>
      <c r="AD1049" t="s">
        <v>74</v>
      </c>
      <c r="AE1049" t="s">
        <v>74</v>
      </c>
      <c r="AF1049" t="s">
        <v>74</v>
      </c>
      <c r="AG1049">
        <v>99</v>
      </c>
      <c r="AH1049">
        <v>8</v>
      </c>
      <c r="AI1049">
        <v>8</v>
      </c>
      <c r="AJ1049">
        <v>2</v>
      </c>
      <c r="AK1049">
        <v>33</v>
      </c>
      <c r="AL1049" t="s">
        <v>332</v>
      </c>
      <c r="AM1049" t="s">
        <v>333</v>
      </c>
      <c r="AN1049" t="s">
        <v>334</v>
      </c>
      <c r="AO1049" t="s">
        <v>14355</v>
      </c>
      <c r="AP1049" t="s">
        <v>14356</v>
      </c>
      <c r="AQ1049" t="s">
        <v>74</v>
      </c>
      <c r="AR1049" t="s">
        <v>14357</v>
      </c>
      <c r="AS1049" t="s">
        <v>14358</v>
      </c>
      <c r="AT1049" t="s">
        <v>2082</v>
      </c>
      <c r="AU1049">
        <v>2022</v>
      </c>
      <c r="AV1049">
        <v>15</v>
      </c>
      <c r="AW1049">
        <v>4</v>
      </c>
      <c r="AX1049" t="s">
        <v>74</v>
      </c>
      <c r="AY1049" t="s">
        <v>74</v>
      </c>
      <c r="AZ1049" t="s">
        <v>441</v>
      </c>
      <c r="BA1049" t="s">
        <v>74</v>
      </c>
      <c r="BB1049">
        <v>488</v>
      </c>
      <c r="BC1049">
        <v>507</v>
      </c>
      <c r="BD1049" t="s">
        <v>74</v>
      </c>
      <c r="BE1049" t="s">
        <v>33595</v>
      </c>
      <c r="BF1049" t="str">
        <f>HYPERLINK("http://dx.doi.org/10.1080/17530350.2022.2087718","http://dx.doi.org/10.1080/17530350.2022.2087718")</f>
        <v>http://dx.doi.org/10.1080/17530350.2022.2087718</v>
      </c>
      <c r="BG1049" t="s">
        <v>74</v>
      </c>
      <c r="BH1049" t="s">
        <v>74</v>
      </c>
      <c r="BI1049">
        <v>20</v>
      </c>
      <c r="BJ1049" t="s">
        <v>14360</v>
      </c>
      <c r="BK1049" t="s">
        <v>871</v>
      </c>
      <c r="BL1049" t="s">
        <v>14361</v>
      </c>
      <c r="BM1049" t="s">
        <v>15869</v>
      </c>
      <c r="BN1049" t="s">
        <v>74</v>
      </c>
      <c r="BO1049" t="s">
        <v>74</v>
      </c>
      <c r="BP1049" t="s">
        <v>74</v>
      </c>
      <c r="BQ1049" t="s">
        <v>74</v>
      </c>
      <c r="BR1049" t="s">
        <v>102</v>
      </c>
      <c r="BS1049" t="s">
        <v>33594</v>
      </c>
      <c r="BT1049" t="str">
        <f>HYPERLINK("https%3A%2F%2Fwww.webofscience.com%2Fwos%2Fwoscc%2Ffull-record%2FWOS:000843892100007","View Full Record in Web of Science")</f>
        <v>View Full Record in Web of Science</v>
      </c>
    </row>
    <row r="1050" spans="1:72" x14ac:dyDescent="0.25">
      <c r="A1050" t="s">
        <v>132</v>
      </c>
      <c r="B1050" t="s">
        <v>33593</v>
      </c>
      <c r="C1050" t="s">
        <v>74</v>
      </c>
      <c r="D1050" t="s">
        <v>33592</v>
      </c>
      <c r="E1050" t="s">
        <v>74</v>
      </c>
      <c r="F1050" t="s">
        <v>16715</v>
      </c>
      <c r="G1050" t="s">
        <v>74</v>
      </c>
      <c r="H1050" t="s">
        <v>74</v>
      </c>
      <c r="I1050" t="s">
        <v>33591</v>
      </c>
      <c r="J1050" t="s">
        <v>33590</v>
      </c>
      <c r="K1050" t="s">
        <v>2425</v>
      </c>
      <c r="L1050" t="s">
        <v>74</v>
      </c>
      <c r="M1050" t="s">
        <v>78</v>
      </c>
      <c r="N1050" t="s">
        <v>138</v>
      </c>
      <c r="O1050" t="s">
        <v>33589</v>
      </c>
      <c r="P1050" t="s">
        <v>33588</v>
      </c>
      <c r="Q1050" t="s">
        <v>33587</v>
      </c>
      <c r="R1050" t="s">
        <v>33586</v>
      </c>
      <c r="S1050" t="s">
        <v>33585</v>
      </c>
      <c r="T1050" t="s">
        <v>33584</v>
      </c>
      <c r="U1050" t="s">
        <v>74</v>
      </c>
      <c r="V1050" t="s">
        <v>33583</v>
      </c>
      <c r="W1050" t="s">
        <v>16725</v>
      </c>
      <c r="X1050" t="s">
        <v>5841</v>
      </c>
      <c r="Y1050" t="s">
        <v>33582</v>
      </c>
      <c r="Z1050" t="s">
        <v>16727</v>
      </c>
      <c r="AA1050" t="s">
        <v>16728</v>
      </c>
      <c r="AB1050" t="s">
        <v>16729</v>
      </c>
      <c r="AC1050" t="s">
        <v>8690</v>
      </c>
      <c r="AD1050" t="s">
        <v>8691</v>
      </c>
      <c r="AE1050" t="s">
        <v>33581</v>
      </c>
      <c r="AF1050" t="s">
        <v>74</v>
      </c>
      <c r="AG1050">
        <v>24</v>
      </c>
      <c r="AH1050">
        <v>2</v>
      </c>
      <c r="AI1050">
        <v>2</v>
      </c>
      <c r="AJ1050">
        <v>1</v>
      </c>
      <c r="AK1050">
        <v>6</v>
      </c>
      <c r="AL1050" t="s">
        <v>1062</v>
      </c>
      <c r="AM1050" t="s">
        <v>667</v>
      </c>
      <c r="AN1050" t="s">
        <v>668</v>
      </c>
      <c r="AO1050" t="s">
        <v>2437</v>
      </c>
      <c r="AP1050" t="s">
        <v>2438</v>
      </c>
      <c r="AQ1050" t="s">
        <v>33580</v>
      </c>
      <c r="AR1050" t="s">
        <v>2440</v>
      </c>
      <c r="AS1050" t="s">
        <v>74</v>
      </c>
      <c r="AT1050" t="s">
        <v>74</v>
      </c>
      <c r="AU1050">
        <v>2018</v>
      </c>
      <c r="AV1050">
        <v>11195</v>
      </c>
      <c r="AW1050" t="s">
        <v>74</v>
      </c>
      <c r="AX1050" t="s">
        <v>74</v>
      </c>
      <c r="AY1050" t="s">
        <v>74</v>
      </c>
      <c r="AZ1050" t="s">
        <v>74</v>
      </c>
      <c r="BA1050" t="s">
        <v>74</v>
      </c>
      <c r="BB1050">
        <v>387</v>
      </c>
      <c r="BC1050">
        <v>396</v>
      </c>
      <c r="BD1050" t="s">
        <v>74</v>
      </c>
      <c r="BE1050" t="s">
        <v>33579</v>
      </c>
      <c r="BF1050" t="str">
        <f>HYPERLINK("http://dx.doi.org/10.1007/978-3-030-02131-3_35","http://dx.doi.org/10.1007/978-3-030-02131-3_35")</f>
        <v>http://dx.doi.org/10.1007/978-3-030-02131-3_35</v>
      </c>
      <c r="BG1050" t="s">
        <v>74</v>
      </c>
      <c r="BH1050" t="s">
        <v>74</v>
      </c>
      <c r="BI1050">
        <v>10</v>
      </c>
      <c r="BJ1050" t="s">
        <v>33578</v>
      </c>
      <c r="BK1050" t="s">
        <v>1069</v>
      </c>
      <c r="BL1050" t="s">
        <v>1070</v>
      </c>
      <c r="BM1050" t="s">
        <v>33577</v>
      </c>
      <c r="BN1050" t="s">
        <v>74</v>
      </c>
      <c r="BO1050" t="s">
        <v>1696</v>
      </c>
      <c r="BP1050" t="s">
        <v>74</v>
      </c>
      <c r="BQ1050" t="s">
        <v>74</v>
      </c>
      <c r="BR1050" t="s">
        <v>102</v>
      </c>
      <c r="BS1050" t="s">
        <v>33576</v>
      </c>
      <c r="BT1050" t="str">
        <f>HYPERLINK("https%3A%2F%2Fwww.webofscience.com%2Fwos%2Fwoscc%2Ffull-record%2FWOS:000515675500035","View Full Record in Web of Science")</f>
        <v>View Full Record in Web of Science</v>
      </c>
    </row>
    <row r="1051" spans="1:72" x14ac:dyDescent="0.25">
      <c r="A1051" t="s">
        <v>72</v>
      </c>
      <c r="B1051" t="s">
        <v>33575</v>
      </c>
      <c r="C1051" t="s">
        <v>74</v>
      </c>
      <c r="D1051" t="s">
        <v>74</v>
      </c>
      <c r="E1051" t="s">
        <v>74</v>
      </c>
      <c r="F1051" t="s">
        <v>33574</v>
      </c>
      <c r="G1051" t="s">
        <v>74</v>
      </c>
      <c r="H1051" t="s">
        <v>74</v>
      </c>
      <c r="I1051" t="s">
        <v>33573</v>
      </c>
      <c r="J1051" t="s">
        <v>2471</v>
      </c>
      <c r="K1051" t="s">
        <v>74</v>
      </c>
      <c r="L1051" t="s">
        <v>74</v>
      </c>
      <c r="M1051" t="s">
        <v>78</v>
      </c>
      <c r="N1051" t="s">
        <v>79</v>
      </c>
      <c r="O1051" t="s">
        <v>74</v>
      </c>
      <c r="P1051" t="s">
        <v>74</v>
      </c>
      <c r="Q1051" t="s">
        <v>74</v>
      </c>
      <c r="R1051" t="s">
        <v>74</v>
      </c>
      <c r="S1051" t="s">
        <v>74</v>
      </c>
      <c r="T1051" t="s">
        <v>33572</v>
      </c>
      <c r="U1051" t="s">
        <v>33571</v>
      </c>
      <c r="V1051" t="s">
        <v>33570</v>
      </c>
      <c r="W1051" t="s">
        <v>33569</v>
      </c>
      <c r="X1051" t="s">
        <v>33568</v>
      </c>
      <c r="Y1051" t="s">
        <v>33567</v>
      </c>
      <c r="Z1051" t="s">
        <v>33566</v>
      </c>
      <c r="AA1051" t="s">
        <v>33565</v>
      </c>
      <c r="AB1051" t="s">
        <v>33564</v>
      </c>
      <c r="AC1051" t="s">
        <v>33563</v>
      </c>
      <c r="AD1051" t="s">
        <v>33562</v>
      </c>
      <c r="AE1051" t="s">
        <v>33561</v>
      </c>
      <c r="AF1051" t="s">
        <v>74</v>
      </c>
      <c r="AG1051">
        <v>121</v>
      </c>
      <c r="AH1051">
        <v>11</v>
      </c>
      <c r="AI1051">
        <v>14</v>
      </c>
      <c r="AJ1051">
        <v>1</v>
      </c>
      <c r="AK1051">
        <v>25</v>
      </c>
      <c r="AL1051" t="s">
        <v>2481</v>
      </c>
      <c r="AM1051" t="s">
        <v>2482</v>
      </c>
      <c r="AN1051" t="s">
        <v>2483</v>
      </c>
      <c r="AO1051" t="s">
        <v>2484</v>
      </c>
      <c r="AP1051" t="s">
        <v>74</v>
      </c>
      <c r="AQ1051" t="s">
        <v>74</v>
      </c>
      <c r="AR1051" t="s">
        <v>2485</v>
      </c>
      <c r="AS1051" t="s">
        <v>2486</v>
      </c>
      <c r="AT1051" t="s">
        <v>2970</v>
      </c>
      <c r="AU1051">
        <v>2023</v>
      </c>
      <c r="AV1051">
        <v>9</v>
      </c>
      <c r="AW1051">
        <v>1</v>
      </c>
      <c r="AX1051" t="s">
        <v>74</v>
      </c>
      <c r="AY1051" t="s">
        <v>74</v>
      </c>
      <c r="AZ1051" t="s">
        <v>74</v>
      </c>
      <c r="BA1051" t="s">
        <v>74</v>
      </c>
      <c r="BB1051" t="s">
        <v>74</v>
      </c>
      <c r="BC1051" t="s">
        <v>74</v>
      </c>
      <c r="BD1051">
        <v>2225829</v>
      </c>
      <c r="BE1051" t="s">
        <v>33560</v>
      </c>
      <c r="BF1051" t="str">
        <f>HYPERLINK("http://dx.doi.org/10.1080/23311886.2023.2225829","http://dx.doi.org/10.1080/23311886.2023.2225829")</f>
        <v>http://dx.doi.org/10.1080/23311886.2023.2225829</v>
      </c>
      <c r="BG1051" t="s">
        <v>74</v>
      </c>
      <c r="BH1051" t="s">
        <v>74</v>
      </c>
      <c r="BI1051">
        <v>24</v>
      </c>
      <c r="BJ1051" t="s">
        <v>364</v>
      </c>
      <c r="BK1051" t="s">
        <v>313</v>
      </c>
      <c r="BL1051" t="s">
        <v>365</v>
      </c>
      <c r="BM1051" t="s">
        <v>33559</v>
      </c>
      <c r="BN1051" t="s">
        <v>74</v>
      </c>
      <c r="BO1051" t="s">
        <v>212</v>
      </c>
      <c r="BP1051" t="s">
        <v>74</v>
      </c>
      <c r="BQ1051" t="s">
        <v>74</v>
      </c>
      <c r="BR1051" t="s">
        <v>102</v>
      </c>
      <c r="BS1051" t="s">
        <v>33558</v>
      </c>
      <c r="BT1051" t="str">
        <f>HYPERLINK("https%3A%2F%2Fwww.webofscience.com%2Fwos%2Fwoscc%2Ffull-record%2FWOS:001011120100001","View Full Record in Web of Science")</f>
        <v>View Full Record in Web of Science</v>
      </c>
    </row>
    <row r="1052" spans="1:72" x14ac:dyDescent="0.25">
      <c r="A1052" t="s">
        <v>72</v>
      </c>
      <c r="B1052" t="s">
        <v>33557</v>
      </c>
      <c r="C1052" t="s">
        <v>74</v>
      </c>
      <c r="D1052" t="s">
        <v>74</v>
      </c>
      <c r="E1052" t="s">
        <v>74</v>
      </c>
      <c r="F1052" t="s">
        <v>33556</v>
      </c>
      <c r="G1052" t="s">
        <v>74</v>
      </c>
      <c r="H1052" t="s">
        <v>74</v>
      </c>
      <c r="I1052" t="s">
        <v>33555</v>
      </c>
      <c r="J1052" t="s">
        <v>33542</v>
      </c>
      <c r="K1052" t="s">
        <v>74</v>
      </c>
      <c r="L1052" t="s">
        <v>74</v>
      </c>
      <c r="M1052" t="s">
        <v>78</v>
      </c>
      <c r="N1052" t="s">
        <v>79</v>
      </c>
      <c r="O1052" t="s">
        <v>74</v>
      </c>
      <c r="P1052" t="s">
        <v>74</v>
      </c>
      <c r="Q1052" t="s">
        <v>74</v>
      </c>
      <c r="R1052" t="s">
        <v>74</v>
      </c>
      <c r="S1052" t="s">
        <v>74</v>
      </c>
      <c r="T1052" t="s">
        <v>33554</v>
      </c>
      <c r="U1052" t="s">
        <v>33553</v>
      </c>
      <c r="V1052" t="s">
        <v>33552</v>
      </c>
      <c r="W1052" t="s">
        <v>33551</v>
      </c>
      <c r="X1052" t="s">
        <v>33550</v>
      </c>
      <c r="Y1052" t="s">
        <v>33549</v>
      </c>
      <c r="Z1052" t="s">
        <v>33548</v>
      </c>
      <c r="AA1052" t="s">
        <v>74</v>
      </c>
      <c r="AB1052" t="s">
        <v>74</v>
      </c>
      <c r="AC1052" t="s">
        <v>74</v>
      </c>
      <c r="AD1052" t="s">
        <v>74</v>
      </c>
      <c r="AE1052" t="s">
        <v>74</v>
      </c>
      <c r="AF1052" t="s">
        <v>74</v>
      </c>
      <c r="AG1052">
        <v>30</v>
      </c>
      <c r="AH1052">
        <v>3</v>
      </c>
      <c r="AI1052">
        <v>5</v>
      </c>
      <c r="AJ1052">
        <v>0</v>
      </c>
      <c r="AK1052">
        <v>11</v>
      </c>
      <c r="AL1052" t="s">
        <v>33547</v>
      </c>
      <c r="AM1052" t="s">
        <v>33546</v>
      </c>
      <c r="AN1052" t="s">
        <v>33545</v>
      </c>
      <c r="AO1052" t="s">
        <v>33544</v>
      </c>
      <c r="AP1052" t="s">
        <v>33543</v>
      </c>
      <c r="AQ1052" t="s">
        <v>74</v>
      </c>
      <c r="AR1052" t="s">
        <v>33542</v>
      </c>
      <c r="AS1052" t="s">
        <v>33541</v>
      </c>
      <c r="AT1052" t="s">
        <v>74</v>
      </c>
      <c r="AU1052">
        <v>2019</v>
      </c>
      <c r="AV1052">
        <v>18</v>
      </c>
      <c r="AW1052">
        <v>1</v>
      </c>
      <c r="AX1052" t="s">
        <v>74</v>
      </c>
      <c r="AY1052" t="s">
        <v>74</v>
      </c>
      <c r="AZ1052" t="s">
        <v>74</v>
      </c>
      <c r="BA1052" t="s">
        <v>74</v>
      </c>
      <c r="BB1052">
        <v>121</v>
      </c>
      <c r="BC1052">
        <v>132</v>
      </c>
      <c r="BD1052" t="s">
        <v>74</v>
      </c>
      <c r="BE1052" t="s">
        <v>33540</v>
      </c>
      <c r="BF1052" t="str">
        <f>HYPERLINK("http://dx.doi.org/10.15408/etk.v18i1.9070","http://dx.doi.org/10.15408/etk.v18i1.9070")</f>
        <v>http://dx.doi.org/10.15408/etk.v18i1.9070</v>
      </c>
      <c r="BG1052" t="s">
        <v>74</v>
      </c>
      <c r="BH1052" t="s">
        <v>74</v>
      </c>
      <c r="BI1052">
        <v>12</v>
      </c>
      <c r="BJ1052" t="s">
        <v>291</v>
      </c>
      <c r="BK1052" t="s">
        <v>313</v>
      </c>
      <c r="BL1052" t="s">
        <v>100</v>
      </c>
      <c r="BM1052" t="s">
        <v>33539</v>
      </c>
      <c r="BN1052" t="s">
        <v>74</v>
      </c>
      <c r="BO1052" t="s">
        <v>916</v>
      </c>
      <c r="BP1052" t="s">
        <v>74</v>
      </c>
      <c r="BQ1052" t="s">
        <v>74</v>
      </c>
      <c r="BR1052" t="s">
        <v>102</v>
      </c>
      <c r="BS1052" t="s">
        <v>33538</v>
      </c>
      <c r="BT1052" t="str">
        <f>HYPERLINK("https%3A%2F%2Fwww.webofscience.com%2Fwos%2Fwoscc%2Ffull-record%2FWOS:000487309000010","View Full Record in Web of Science")</f>
        <v>View Full Record in Web of Science</v>
      </c>
    </row>
    <row r="1053" spans="1:72" x14ac:dyDescent="0.25">
      <c r="A1053" t="s">
        <v>72</v>
      </c>
      <c r="B1053" t="s">
        <v>33537</v>
      </c>
      <c r="C1053" t="s">
        <v>74</v>
      </c>
      <c r="D1053" t="s">
        <v>74</v>
      </c>
      <c r="E1053" t="s">
        <v>74</v>
      </c>
      <c r="F1053" t="s">
        <v>33536</v>
      </c>
      <c r="G1053" t="s">
        <v>74</v>
      </c>
      <c r="H1053" t="s">
        <v>74</v>
      </c>
      <c r="I1053" t="s">
        <v>33535</v>
      </c>
      <c r="J1053" t="s">
        <v>12620</v>
      </c>
      <c r="K1053" t="s">
        <v>74</v>
      </c>
      <c r="L1053" t="s">
        <v>74</v>
      </c>
      <c r="M1053" t="s">
        <v>78</v>
      </c>
      <c r="N1053" t="s">
        <v>79</v>
      </c>
      <c r="O1053" t="s">
        <v>74</v>
      </c>
      <c r="P1053" t="s">
        <v>74</v>
      </c>
      <c r="Q1053" t="s">
        <v>74</v>
      </c>
      <c r="R1053" t="s">
        <v>74</v>
      </c>
      <c r="S1053" t="s">
        <v>74</v>
      </c>
      <c r="T1053" t="s">
        <v>33534</v>
      </c>
      <c r="U1053" t="s">
        <v>33533</v>
      </c>
      <c r="V1053" t="s">
        <v>33532</v>
      </c>
      <c r="W1053" t="s">
        <v>33531</v>
      </c>
      <c r="X1053" t="s">
        <v>33530</v>
      </c>
      <c r="Y1053" t="s">
        <v>33529</v>
      </c>
      <c r="Z1053" t="s">
        <v>33528</v>
      </c>
      <c r="AA1053" t="s">
        <v>33527</v>
      </c>
      <c r="AB1053" t="s">
        <v>33526</v>
      </c>
      <c r="AC1053" t="s">
        <v>74</v>
      </c>
      <c r="AD1053" t="s">
        <v>74</v>
      </c>
      <c r="AE1053" t="s">
        <v>74</v>
      </c>
      <c r="AF1053" t="s">
        <v>74</v>
      </c>
      <c r="AG1053">
        <v>44</v>
      </c>
      <c r="AH1053">
        <v>1</v>
      </c>
      <c r="AI1053">
        <v>1</v>
      </c>
      <c r="AJ1053">
        <v>1</v>
      </c>
      <c r="AK1053">
        <v>5</v>
      </c>
      <c r="AL1053" t="s">
        <v>89</v>
      </c>
      <c r="AM1053" t="s">
        <v>90</v>
      </c>
      <c r="AN1053" t="s">
        <v>91</v>
      </c>
      <c r="AO1053" t="s">
        <v>12628</v>
      </c>
      <c r="AP1053" t="s">
        <v>12629</v>
      </c>
      <c r="AQ1053" t="s">
        <v>74</v>
      </c>
      <c r="AR1053" t="s">
        <v>12630</v>
      </c>
      <c r="AS1053" t="s">
        <v>12631</v>
      </c>
      <c r="AT1053" t="s">
        <v>33525</v>
      </c>
      <c r="AU1053">
        <v>2023</v>
      </c>
      <c r="AV1053">
        <v>44</v>
      </c>
      <c r="AW1053" t="s">
        <v>33524</v>
      </c>
      <c r="AX1053" t="s">
        <v>74</v>
      </c>
      <c r="AY1053" t="s">
        <v>74</v>
      </c>
      <c r="AZ1053" t="s">
        <v>74</v>
      </c>
      <c r="BA1053" t="s">
        <v>74</v>
      </c>
      <c r="BB1053">
        <v>1</v>
      </c>
      <c r="BC1053">
        <v>15</v>
      </c>
      <c r="BD1053" t="s">
        <v>74</v>
      </c>
      <c r="BE1053" t="s">
        <v>33523</v>
      </c>
      <c r="BF1053" t="str">
        <f>HYPERLINK("http://dx.doi.org/10.1108/IJSSP-03-2023-0056","http://dx.doi.org/10.1108/IJSSP-03-2023-0056")</f>
        <v>http://dx.doi.org/10.1108/IJSSP-03-2023-0056</v>
      </c>
      <c r="BG1053" t="s">
        <v>74</v>
      </c>
      <c r="BH1053" t="s">
        <v>13995</v>
      </c>
      <c r="BI1053">
        <v>15</v>
      </c>
      <c r="BJ1053" t="s">
        <v>5129</v>
      </c>
      <c r="BK1053" t="s">
        <v>313</v>
      </c>
      <c r="BL1053" t="s">
        <v>5129</v>
      </c>
      <c r="BM1053" t="s">
        <v>33522</v>
      </c>
      <c r="BN1053" t="s">
        <v>74</v>
      </c>
      <c r="BO1053" t="s">
        <v>1696</v>
      </c>
      <c r="BP1053" t="s">
        <v>74</v>
      </c>
      <c r="BQ1053" t="s">
        <v>74</v>
      </c>
      <c r="BR1053" t="s">
        <v>102</v>
      </c>
      <c r="BS1053" t="s">
        <v>33521</v>
      </c>
      <c r="BT1053" t="str">
        <f>HYPERLINK("https%3A%2F%2Fwww.webofscience.com%2Fwos%2Fwoscc%2Ffull-record%2FWOS:001002970800001","View Full Record in Web of Science")</f>
        <v>View Full Record in Web of Science</v>
      </c>
    </row>
    <row r="1054" spans="1:72" x14ac:dyDescent="0.25">
      <c r="A1054" t="s">
        <v>72</v>
      </c>
      <c r="B1054" t="s">
        <v>33520</v>
      </c>
      <c r="C1054" t="s">
        <v>74</v>
      </c>
      <c r="D1054" t="s">
        <v>74</v>
      </c>
      <c r="E1054" t="s">
        <v>74</v>
      </c>
      <c r="F1054" t="s">
        <v>33519</v>
      </c>
      <c r="G1054" t="s">
        <v>74</v>
      </c>
      <c r="H1054" t="s">
        <v>74</v>
      </c>
      <c r="I1054" t="s">
        <v>33518</v>
      </c>
      <c r="J1054" t="s">
        <v>836</v>
      </c>
      <c r="K1054" t="s">
        <v>74</v>
      </c>
      <c r="L1054" t="s">
        <v>74</v>
      </c>
      <c r="M1054" t="s">
        <v>78</v>
      </c>
      <c r="N1054" t="s">
        <v>79</v>
      </c>
      <c r="O1054" t="s">
        <v>74</v>
      </c>
      <c r="P1054" t="s">
        <v>74</v>
      </c>
      <c r="Q1054" t="s">
        <v>74</v>
      </c>
      <c r="R1054" t="s">
        <v>74</v>
      </c>
      <c r="S1054" t="s">
        <v>74</v>
      </c>
      <c r="T1054" t="s">
        <v>33517</v>
      </c>
      <c r="U1054" t="s">
        <v>33516</v>
      </c>
      <c r="V1054" t="s">
        <v>33515</v>
      </c>
      <c r="W1054" t="s">
        <v>33514</v>
      </c>
      <c r="X1054" t="s">
        <v>33513</v>
      </c>
      <c r="Y1054" t="s">
        <v>33512</v>
      </c>
      <c r="Z1054" t="s">
        <v>33511</v>
      </c>
      <c r="AA1054" t="s">
        <v>33510</v>
      </c>
      <c r="AB1054" t="s">
        <v>74</v>
      </c>
      <c r="AC1054" t="s">
        <v>74</v>
      </c>
      <c r="AD1054" t="s">
        <v>74</v>
      </c>
      <c r="AE1054" t="s">
        <v>74</v>
      </c>
      <c r="AF1054" t="s">
        <v>74</v>
      </c>
      <c r="AG1054">
        <v>163</v>
      </c>
      <c r="AH1054">
        <v>25</v>
      </c>
      <c r="AI1054">
        <v>28</v>
      </c>
      <c r="AJ1054">
        <v>39</v>
      </c>
      <c r="AK1054">
        <v>72</v>
      </c>
      <c r="AL1054" t="s">
        <v>503</v>
      </c>
      <c r="AM1054" t="s">
        <v>151</v>
      </c>
      <c r="AN1054" t="s">
        <v>504</v>
      </c>
      <c r="AO1054" t="s">
        <v>844</v>
      </c>
      <c r="AP1054" t="s">
        <v>845</v>
      </c>
      <c r="AQ1054" t="s">
        <v>74</v>
      </c>
      <c r="AR1054" t="s">
        <v>846</v>
      </c>
      <c r="AS1054" t="s">
        <v>847</v>
      </c>
      <c r="AT1054" t="s">
        <v>1159</v>
      </c>
      <c r="AU1054">
        <v>2024</v>
      </c>
      <c r="AV1054">
        <v>95</v>
      </c>
      <c r="AW1054" t="s">
        <v>74</v>
      </c>
      <c r="AX1054" t="s">
        <v>8303</v>
      </c>
      <c r="AY1054" t="s">
        <v>74</v>
      </c>
      <c r="AZ1054" t="s">
        <v>74</v>
      </c>
      <c r="BA1054" t="s">
        <v>74</v>
      </c>
      <c r="BB1054" t="s">
        <v>74</v>
      </c>
      <c r="BC1054" t="s">
        <v>74</v>
      </c>
      <c r="BD1054">
        <v>103481</v>
      </c>
      <c r="BE1054" t="s">
        <v>33509</v>
      </c>
      <c r="BF1054" t="str">
        <f>HYPERLINK("http://dx.doi.org/10.1016/j.irfa.2024.103481","http://dx.doi.org/10.1016/j.irfa.2024.103481")</f>
        <v>http://dx.doi.org/10.1016/j.irfa.2024.103481</v>
      </c>
      <c r="BG1054" t="s">
        <v>74</v>
      </c>
      <c r="BH1054" t="s">
        <v>2524</v>
      </c>
      <c r="BI1054">
        <v>17</v>
      </c>
      <c r="BJ1054" t="s">
        <v>268</v>
      </c>
      <c r="BK1054" t="s">
        <v>99</v>
      </c>
      <c r="BL1054" t="s">
        <v>100</v>
      </c>
      <c r="BM1054" t="s">
        <v>33508</v>
      </c>
      <c r="BN1054" t="s">
        <v>74</v>
      </c>
      <c r="BO1054" t="s">
        <v>74</v>
      </c>
      <c r="BP1054" t="s">
        <v>74</v>
      </c>
      <c r="BQ1054" t="s">
        <v>74</v>
      </c>
      <c r="BR1054" t="s">
        <v>102</v>
      </c>
      <c r="BS1054" t="s">
        <v>33507</v>
      </c>
      <c r="BT1054" t="str">
        <f>HYPERLINK("https%3A%2F%2Fwww.webofscience.com%2Fwos%2Fwoscc%2Ffull-record%2FWOS:001279532800001","View Full Record in Web of Science")</f>
        <v>View Full Record in Web of Science</v>
      </c>
    </row>
    <row r="1055" spans="1:72" x14ac:dyDescent="0.25">
      <c r="A1055" t="s">
        <v>72</v>
      </c>
      <c r="B1055" t="s">
        <v>33506</v>
      </c>
      <c r="C1055" t="s">
        <v>74</v>
      </c>
      <c r="D1055" t="s">
        <v>74</v>
      </c>
      <c r="E1055" t="s">
        <v>74</v>
      </c>
      <c r="F1055" t="s">
        <v>33505</v>
      </c>
      <c r="G1055" t="s">
        <v>74</v>
      </c>
      <c r="H1055" t="s">
        <v>74</v>
      </c>
      <c r="I1055" t="s">
        <v>33504</v>
      </c>
      <c r="J1055" t="s">
        <v>12172</v>
      </c>
      <c r="K1055" t="s">
        <v>74</v>
      </c>
      <c r="L1055" t="s">
        <v>74</v>
      </c>
      <c r="M1055" t="s">
        <v>78</v>
      </c>
      <c r="N1055" t="s">
        <v>79</v>
      </c>
      <c r="O1055" t="s">
        <v>74</v>
      </c>
      <c r="P1055" t="s">
        <v>74</v>
      </c>
      <c r="Q1055" t="s">
        <v>74</v>
      </c>
      <c r="R1055" t="s">
        <v>74</v>
      </c>
      <c r="S1055" t="s">
        <v>74</v>
      </c>
      <c r="T1055" t="s">
        <v>33503</v>
      </c>
      <c r="U1055" t="s">
        <v>33502</v>
      </c>
      <c r="V1055" t="s">
        <v>33501</v>
      </c>
      <c r="W1055" t="s">
        <v>33500</v>
      </c>
      <c r="X1055" t="s">
        <v>33499</v>
      </c>
      <c r="Y1055" t="s">
        <v>33498</v>
      </c>
      <c r="Z1055" t="s">
        <v>33497</v>
      </c>
      <c r="AA1055" t="s">
        <v>33496</v>
      </c>
      <c r="AB1055" t="s">
        <v>33495</v>
      </c>
      <c r="AC1055" t="s">
        <v>33494</v>
      </c>
      <c r="AD1055" t="s">
        <v>33494</v>
      </c>
      <c r="AE1055" t="s">
        <v>33493</v>
      </c>
      <c r="AF1055" t="s">
        <v>74</v>
      </c>
      <c r="AG1055">
        <v>84</v>
      </c>
      <c r="AH1055">
        <v>60</v>
      </c>
      <c r="AI1055">
        <v>71</v>
      </c>
      <c r="AJ1055">
        <v>9</v>
      </c>
      <c r="AK1055">
        <v>338</v>
      </c>
      <c r="AL1055" t="s">
        <v>757</v>
      </c>
      <c r="AM1055" t="s">
        <v>758</v>
      </c>
      <c r="AN1055" t="s">
        <v>759</v>
      </c>
      <c r="AO1055" t="s">
        <v>12179</v>
      </c>
      <c r="AP1055" t="s">
        <v>74</v>
      </c>
      <c r="AQ1055" t="s">
        <v>74</v>
      </c>
      <c r="AR1055" t="s">
        <v>12172</v>
      </c>
      <c r="AS1055" t="s">
        <v>12180</v>
      </c>
      <c r="AT1055" t="s">
        <v>208</v>
      </c>
      <c r="AU1055">
        <v>2020</v>
      </c>
      <c r="AV1055">
        <v>10</v>
      </c>
      <c r="AW1055">
        <v>1</v>
      </c>
      <c r="AX1055" t="s">
        <v>74</v>
      </c>
      <c r="AY1055" t="s">
        <v>74</v>
      </c>
      <c r="AZ1055" t="s">
        <v>74</v>
      </c>
      <c r="BA1055" t="s">
        <v>74</v>
      </c>
      <c r="BB1055" t="s">
        <v>74</v>
      </c>
      <c r="BC1055" t="s">
        <v>74</v>
      </c>
      <c r="BD1055">
        <v>2158244019901252</v>
      </c>
      <c r="BE1055" t="s">
        <v>33492</v>
      </c>
      <c r="BF1055" t="str">
        <f>HYPERLINK("http://dx.doi.org/10.1177/2158244019901252","http://dx.doi.org/10.1177/2158244019901252")</f>
        <v>http://dx.doi.org/10.1177/2158244019901252</v>
      </c>
      <c r="BG1055" t="s">
        <v>74</v>
      </c>
      <c r="BH1055" t="s">
        <v>74</v>
      </c>
      <c r="BI1055">
        <v>16</v>
      </c>
      <c r="BJ1055" t="s">
        <v>364</v>
      </c>
      <c r="BK1055" t="s">
        <v>99</v>
      </c>
      <c r="BL1055" t="s">
        <v>365</v>
      </c>
      <c r="BM1055" t="s">
        <v>33491</v>
      </c>
      <c r="BN1055" t="s">
        <v>74</v>
      </c>
      <c r="BO1055" t="s">
        <v>916</v>
      </c>
      <c r="BP1055" t="s">
        <v>74</v>
      </c>
      <c r="BQ1055" t="s">
        <v>74</v>
      </c>
      <c r="BR1055" t="s">
        <v>102</v>
      </c>
      <c r="BS1055" t="s">
        <v>33490</v>
      </c>
      <c r="BT1055" t="str">
        <f>HYPERLINK("https%3A%2F%2Fwww.webofscience.com%2Fwos%2Fwoscc%2Ffull-record%2FWOS:000512153300001","View Full Record in Web of Science")</f>
        <v>View Full Record in Web of Science</v>
      </c>
    </row>
    <row r="1056" spans="1:72" x14ac:dyDescent="0.25">
      <c r="A1056" t="s">
        <v>72</v>
      </c>
      <c r="B1056" t="s">
        <v>33489</v>
      </c>
      <c r="C1056" t="s">
        <v>74</v>
      </c>
      <c r="D1056" t="s">
        <v>74</v>
      </c>
      <c r="E1056" t="s">
        <v>74</v>
      </c>
      <c r="F1056" t="s">
        <v>33488</v>
      </c>
      <c r="G1056" t="s">
        <v>74</v>
      </c>
      <c r="H1056" t="s">
        <v>74</v>
      </c>
      <c r="I1056" t="s">
        <v>33487</v>
      </c>
      <c r="J1056" t="s">
        <v>33486</v>
      </c>
      <c r="K1056" t="s">
        <v>74</v>
      </c>
      <c r="L1056" t="s">
        <v>74</v>
      </c>
      <c r="M1056" t="s">
        <v>78</v>
      </c>
      <c r="N1056" t="s">
        <v>79</v>
      </c>
      <c r="O1056" t="s">
        <v>74</v>
      </c>
      <c r="P1056" t="s">
        <v>74</v>
      </c>
      <c r="Q1056" t="s">
        <v>74</v>
      </c>
      <c r="R1056" t="s">
        <v>74</v>
      </c>
      <c r="S1056" t="s">
        <v>74</v>
      </c>
      <c r="T1056" t="s">
        <v>33485</v>
      </c>
      <c r="U1056" t="s">
        <v>74</v>
      </c>
      <c r="V1056" t="s">
        <v>33484</v>
      </c>
      <c r="W1056" t="s">
        <v>33483</v>
      </c>
      <c r="X1056" t="s">
        <v>33482</v>
      </c>
      <c r="Y1056" t="s">
        <v>33481</v>
      </c>
      <c r="Z1056" t="s">
        <v>33480</v>
      </c>
      <c r="AA1056" t="s">
        <v>33479</v>
      </c>
      <c r="AB1056" t="s">
        <v>74</v>
      </c>
      <c r="AC1056" t="s">
        <v>33478</v>
      </c>
      <c r="AD1056" t="s">
        <v>33477</v>
      </c>
      <c r="AE1056" t="s">
        <v>33476</v>
      </c>
      <c r="AF1056" t="s">
        <v>74</v>
      </c>
      <c r="AG1056">
        <v>30</v>
      </c>
      <c r="AH1056">
        <v>1</v>
      </c>
      <c r="AI1056">
        <v>1</v>
      </c>
      <c r="AJ1056">
        <v>0</v>
      </c>
      <c r="AK1056">
        <v>2</v>
      </c>
      <c r="AL1056" t="s">
        <v>757</v>
      </c>
      <c r="AM1056" t="s">
        <v>758</v>
      </c>
      <c r="AN1056" t="s">
        <v>759</v>
      </c>
      <c r="AO1056" t="s">
        <v>33475</v>
      </c>
      <c r="AP1056" t="s">
        <v>33474</v>
      </c>
      <c r="AQ1056" t="s">
        <v>74</v>
      </c>
      <c r="AR1056" t="s">
        <v>33473</v>
      </c>
      <c r="AS1056" t="s">
        <v>33472</v>
      </c>
      <c r="AT1056" t="s">
        <v>848</v>
      </c>
      <c r="AU1056">
        <v>2025</v>
      </c>
      <c r="AV1056">
        <v>25</v>
      </c>
      <c r="AW1056">
        <v>4</v>
      </c>
      <c r="AX1056" t="s">
        <v>74</v>
      </c>
      <c r="AY1056" t="s">
        <v>74</v>
      </c>
      <c r="AZ1056" t="s">
        <v>74</v>
      </c>
      <c r="BA1056" t="s">
        <v>74</v>
      </c>
      <c r="BB1056">
        <v>3282</v>
      </c>
      <c r="BC1056">
        <v>3295</v>
      </c>
      <c r="BD1056" t="s">
        <v>74</v>
      </c>
      <c r="BE1056" t="s">
        <v>33471</v>
      </c>
      <c r="BF1056" t="str">
        <f>HYPERLINK("http://dx.doi.org/10.1177/14727978251318815","http://dx.doi.org/10.1177/14727978251318815")</f>
        <v>http://dx.doi.org/10.1177/14727978251318815</v>
      </c>
      <c r="BG1056" t="s">
        <v>74</v>
      </c>
      <c r="BH1056" t="s">
        <v>417</v>
      </c>
      <c r="BI1056">
        <v>14</v>
      </c>
      <c r="BJ1056" t="s">
        <v>8592</v>
      </c>
      <c r="BK1056" t="s">
        <v>313</v>
      </c>
      <c r="BL1056" t="s">
        <v>2581</v>
      </c>
      <c r="BM1056" t="s">
        <v>33470</v>
      </c>
      <c r="BN1056" t="s">
        <v>74</v>
      </c>
      <c r="BO1056" t="s">
        <v>74</v>
      </c>
      <c r="BP1056" t="s">
        <v>74</v>
      </c>
      <c r="BQ1056" t="s">
        <v>74</v>
      </c>
      <c r="BR1056" t="s">
        <v>102</v>
      </c>
      <c r="BS1056" t="s">
        <v>33469</v>
      </c>
      <c r="BT1056" t="str">
        <f>HYPERLINK("https%3A%2F%2Fwww.webofscience.com%2Fwos%2Fwoscc%2Ffull-record%2FWOS:001464259700001","View Full Record in Web of Science")</f>
        <v>View Full Record in Web of Science</v>
      </c>
    </row>
    <row r="1057" spans="1:72" x14ac:dyDescent="0.25">
      <c r="A1057" t="s">
        <v>72</v>
      </c>
      <c r="B1057" t="s">
        <v>33468</v>
      </c>
      <c r="C1057" t="s">
        <v>74</v>
      </c>
      <c r="D1057" t="s">
        <v>74</v>
      </c>
      <c r="E1057" t="s">
        <v>74</v>
      </c>
      <c r="F1057" t="s">
        <v>33467</v>
      </c>
      <c r="G1057" t="s">
        <v>74</v>
      </c>
      <c r="H1057" t="s">
        <v>74</v>
      </c>
      <c r="I1057" t="s">
        <v>33466</v>
      </c>
      <c r="J1057" t="s">
        <v>22091</v>
      </c>
      <c r="K1057" t="s">
        <v>74</v>
      </c>
      <c r="L1057" t="s">
        <v>74</v>
      </c>
      <c r="M1057" t="s">
        <v>78</v>
      </c>
      <c r="N1057" t="s">
        <v>79</v>
      </c>
      <c r="O1057" t="s">
        <v>74</v>
      </c>
      <c r="P1057" t="s">
        <v>74</v>
      </c>
      <c r="Q1057" t="s">
        <v>74</v>
      </c>
      <c r="R1057" t="s">
        <v>74</v>
      </c>
      <c r="S1057" t="s">
        <v>74</v>
      </c>
      <c r="T1057" t="s">
        <v>33465</v>
      </c>
      <c r="U1057" t="s">
        <v>74</v>
      </c>
      <c r="V1057" t="s">
        <v>33464</v>
      </c>
      <c r="W1057" t="s">
        <v>33463</v>
      </c>
      <c r="X1057" t="s">
        <v>33462</v>
      </c>
      <c r="Y1057" t="s">
        <v>33461</v>
      </c>
      <c r="Z1057" t="s">
        <v>33460</v>
      </c>
      <c r="AA1057" t="s">
        <v>33459</v>
      </c>
      <c r="AB1057" t="s">
        <v>33458</v>
      </c>
      <c r="AC1057" t="s">
        <v>74</v>
      </c>
      <c r="AD1057" t="s">
        <v>74</v>
      </c>
      <c r="AE1057" t="s">
        <v>74</v>
      </c>
      <c r="AF1057" t="s">
        <v>74</v>
      </c>
      <c r="AG1057">
        <v>41</v>
      </c>
      <c r="AH1057">
        <v>26</v>
      </c>
      <c r="AI1057">
        <v>39</v>
      </c>
      <c r="AJ1057">
        <v>1</v>
      </c>
      <c r="AK1057">
        <v>21</v>
      </c>
      <c r="AL1057" t="s">
        <v>89</v>
      </c>
      <c r="AM1057" t="s">
        <v>1497</v>
      </c>
      <c r="AN1057" t="s">
        <v>1498</v>
      </c>
      <c r="AO1057" t="s">
        <v>22093</v>
      </c>
      <c r="AP1057" t="s">
        <v>22092</v>
      </c>
      <c r="AQ1057" t="s">
        <v>74</v>
      </c>
      <c r="AR1057" t="s">
        <v>22091</v>
      </c>
      <c r="AS1057" t="s">
        <v>22090</v>
      </c>
      <c r="AT1057" t="s">
        <v>74</v>
      </c>
      <c r="AU1057">
        <v>2015</v>
      </c>
      <c r="AV1057">
        <v>31</v>
      </c>
      <c r="AW1057">
        <v>3</v>
      </c>
      <c r="AX1057" t="s">
        <v>74</v>
      </c>
      <c r="AY1057" t="s">
        <v>74</v>
      </c>
      <c r="AZ1057" t="s">
        <v>74</v>
      </c>
      <c r="BA1057" t="s">
        <v>74</v>
      </c>
      <c r="BB1057">
        <v>354</v>
      </c>
      <c r="BC1057">
        <v>371</v>
      </c>
      <c r="BD1057" t="s">
        <v>74</v>
      </c>
      <c r="BE1057" t="s">
        <v>33457</v>
      </c>
      <c r="BF1057" t="str">
        <f>HYPERLINK("http://dx.doi.org/10.1108/H-07-2014-0051","http://dx.doi.org/10.1108/H-07-2014-0051")</f>
        <v>http://dx.doi.org/10.1108/H-07-2014-0051</v>
      </c>
      <c r="BG1057" t="s">
        <v>74</v>
      </c>
      <c r="BH1057" t="s">
        <v>74</v>
      </c>
      <c r="BI1057">
        <v>18</v>
      </c>
      <c r="BJ1057" t="s">
        <v>291</v>
      </c>
      <c r="BK1057" t="s">
        <v>313</v>
      </c>
      <c r="BL1057" t="s">
        <v>100</v>
      </c>
      <c r="BM1057" t="s">
        <v>33456</v>
      </c>
      <c r="BN1057" t="s">
        <v>74</v>
      </c>
      <c r="BO1057" t="s">
        <v>74</v>
      </c>
      <c r="BP1057" t="s">
        <v>74</v>
      </c>
      <c r="BQ1057" t="s">
        <v>74</v>
      </c>
      <c r="BR1057" t="s">
        <v>102</v>
      </c>
      <c r="BS1057" t="s">
        <v>33455</v>
      </c>
      <c r="BT1057" t="str">
        <f>HYPERLINK("https%3A%2F%2Fwww.webofscience.com%2Fwos%2Fwoscc%2Ffull-record%2FWOS:000210905500008","View Full Record in Web of Science")</f>
        <v>View Full Record in Web of Science</v>
      </c>
    </row>
    <row r="1058" spans="1:72" x14ac:dyDescent="0.25">
      <c r="A1058" t="s">
        <v>72</v>
      </c>
      <c r="B1058" t="s">
        <v>33454</v>
      </c>
      <c r="C1058" t="s">
        <v>74</v>
      </c>
      <c r="D1058" t="s">
        <v>74</v>
      </c>
      <c r="E1058" t="s">
        <v>74</v>
      </c>
      <c r="F1058" t="s">
        <v>33453</v>
      </c>
      <c r="G1058" t="s">
        <v>74</v>
      </c>
      <c r="H1058" t="s">
        <v>74</v>
      </c>
      <c r="I1058" t="s">
        <v>33452</v>
      </c>
      <c r="J1058" t="s">
        <v>6713</v>
      </c>
      <c r="K1058" t="s">
        <v>74</v>
      </c>
      <c r="L1058" t="s">
        <v>74</v>
      </c>
      <c r="M1058" t="s">
        <v>78</v>
      </c>
      <c r="N1058" t="s">
        <v>79</v>
      </c>
      <c r="O1058" t="s">
        <v>74</v>
      </c>
      <c r="P1058" t="s">
        <v>74</v>
      </c>
      <c r="Q1058" t="s">
        <v>74</v>
      </c>
      <c r="R1058" t="s">
        <v>74</v>
      </c>
      <c r="S1058" t="s">
        <v>74</v>
      </c>
      <c r="T1058" t="s">
        <v>33451</v>
      </c>
      <c r="U1058" t="s">
        <v>3837</v>
      </c>
      <c r="V1058" t="s">
        <v>33450</v>
      </c>
      <c r="W1058" t="s">
        <v>33449</v>
      </c>
      <c r="X1058" t="s">
        <v>33448</v>
      </c>
      <c r="Y1058" t="s">
        <v>33447</v>
      </c>
      <c r="Z1058" t="s">
        <v>33446</v>
      </c>
      <c r="AA1058" t="s">
        <v>33445</v>
      </c>
      <c r="AB1058" t="s">
        <v>33444</v>
      </c>
      <c r="AC1058" t="s">
        <v>74</v>
      </c>
      <c r="AD1058" t="s">
        <v>74</v>
      </c>
      <c r="AE1058" t="s">
        <v>74</v>
      </c>
      <c r="AF1058" t="s">
        <v>74</v>
      </c>
      <c r="AG1058">
        <v>27</v>
      </c>
      <c r="AH1058">
        <v>88</v>
      </c>
      <c r="AI1058">
        <v>106</v>
      </c>
      <c r="AJ1058">
        <v>3</v>
      </c>
      <c r="AK1058">
        <v>76</v>
      </c>
      <c r="AL1058" t="s">
        <v>4485</v>
      </c>
      <c r="AM1058" t="s">
        <v>231</v>
      </c>
      <c r="AN1058" t="s">
        <v>4486</v>
      </c>
      <c r="AO1058" t="s">
        <v>6726</v>
      </c>
      <c r="AP1058" t="s">
        <v>6727</v>
      </c>
      <c r="AQ1058" t="s">
        <v>74</v>
      </c>
      <c r="AR1058" t="s">
        <v>6728</v>
      </c>
      <c r="AS1058" t="s">
        <v>6729</v>
      </c>
      <c r="AT1058" t="s">
        <v>10516</v>
      </c>
      <c r="AU1058">
        <v>2013</v>
      </c>
      <c r="AV1058">
        <v>37</v>
      </c>
      <c r="AW1058" t="s">
        <v>33443</v>
      </c>
      <c r="AX1058" t="s">
        <v>74</v>
      </c>
      <c r="AY1058" t="s">
        <v>74</v>
      </c>
      <c r="AZ1058" t="s">
        <v>74</v>
      </c>
      <c r="BA1058" t="s">
        <v>74</v>
      </c>
      <c r="BB1058">
        <v>503</v>
      </c>
      <c r="BC1058">
        <v>514</v>
      </c>
      <c r="BD1058" t="s">
        <v>74</v>
      </c>
      <c r="BE1058" t="s">
        <v>33442</v>
      </c>
      <c r="BF1058" t="str">
        <f>HYPERLINK("http://dx.doi.org/10.1016/j.telpol.2012.10.004","http://dx.doi.org/10.1016/j.telpol.2012.10.004")</f>
        <v>http://dx.doi.org/10.1016/j.telpol.2012.10.004</v>
      </c>
      <c r="BG1058" t="s">
        <v>74</v>
      </c>
      <c r="BH1058" t="s">
        <v>74</v>
      </c>
      <c r="BI1058">
        <v>12</v>
      </c>
      <c r="BJ1058" t="s">
        <v>6731</v>
      </c>
      <c r="BK1058" t="s">
        <v>2623</v>
      </c>
      <c r="BL1058" t="s">
        <v>6731</v>
      </c>
      <c r="BM1058" t="s">
        <v>33441</v>
      </c>
      <c r="BN1058" t="s">
        <v>74</v>
      </c>
      <c r="BO1058" t="s">
        <v>74</v>
      </c>
      <c r="BP1058" t="s">
        <v>74</v>
      </c>
      <c r="BQ1058" t="s">
        <v>74</v>
      </c>
      <c r="BR1058" t="s">
        <v>102</v>
      </c>
      <c r="BS1058" t="s">
        <v>33440</v>
      </c>
      <c r="BT1058" t="str">
        <f>HYPERLINK("https%3A%2F%2Fwww.webofscience.com%2Fwos%2Fwoscc%2Ffull-record%2FWOS:000321535700006","View Full Record in Web of Science")</f>
        <v>View Full Record in Web of Science</v>
      </c>
    </row>
    <row r="1059" spans="1:72" x14ac:dyDescent="0.25">
      <c r="A1059" t="s">
        <v>72</v>
      </c>
      <c r="B1059" t="s">
        <v>33439</v>
      </c>
      <c r="C1059" t="s">
        <v>74</v>
      </c>
      <c r="D1059" t="s">
        <v>74</v>
      </c>
      <c r="E1059" t="s">
        <v>74</v>
      </c>
      <c r="F1059" t="s">
        <v>33438</v>
      </c>
      <c r="G1059" t="s">
        <v>74</v>
      </c>
      <c r="H1059" t="s">
        <v>74</v>
      </c>
      <c r="I1059" t="s">
        <v>33437</v>
      </c>
      <c r="J1059" t="s">
        <v>13564</v>
      </c>
      <c r="K1059" t="s">
        <v>74</v>
      </c>
      <c r="L1059" t="s">
        <v>74</v>
      </c>
      <c r="M1059" t="s">
        <v>78</v>
      </c>
      <c r="N1059" t="s">
        <v>79</v>
      </c>
      <c r="O1059" t="s">
        <v>74</v>
      </c>
      <c r="P1059" t="s">
        <v>74</v>
      </c>
      <c r="Q1059" t="s">
        <v>74</v>
      </c>
      <c r="R1059" t="s">
        <v>74</v>
      </c>
      <c r="S1059" t="s">
        <v>74</v>
      </c>
      <c r="T1059" t="s">
        <v>33436</v>
      </c>
      <c r="U1059" t="s">
        <v>33435</v>
      </c>
      <c r="V1059" t="s">
        <v>33434</v>
      </c>
      <c r="W1059" t="s">
        <v>33433</v>
      </c>
      <c r="X1059" t="s">
        <v>33432</v>
      </c>
      <c r="Y1059" t="s">
        <v>33431</v>
      </c>
      <c r="Z1059" t="s">
        <v>33430</v>
      </c>
      <c r="AA1059" t="s">
        <v>33429</v>
      </c>
      <c r="AB1059" t="s">
        <v>33428</v>
      </c>
      <c r="AC1059" t="s">
        <v>74</v>
      </c>
      <c r="AD1059" t="s">
        <v>74</v>
      </c>
      <c r="AE1059" t="s">
        <v>33427</v>
      </c>
      <c r="AF1059" t="s">
        <v>74</v>
      </c>
      <c r="AG1059">
        <v>91</v>
      </c>
      <c r="AH1059">
        <v>6</v>
      </c>
      <c r="AI1059">
        <v>10</v>
      </c>
      <c r="AJ1059">
        <v>5</v>
      </c>
      <c r="AK1059">
        <v>17</v>
      </c>
      <c r="AL1059" t="s">
        <v>201</v>
      </c>
      <c r="AM1059" t="s">
        <v>202</v>
      </c>
      <c r="AN1059" t="s">
        <v>203</v>
      </c>
      <c r="AO1059" t="s">
        <v>13571</v>
      </c>
      <c r="AP1059" t="s">
        <v>13572</v>
      </c>
      <c r="AQ1059" t="s">
        <v>74</v>
      </c>
      <c r="AR1059" t="s">
        <v>13573</v>
      </c>
      <c r="AS1059" t="s">
        <v>13574</v>
      </c>
      <c r="AT1059" t="s">
        <v>698</v>
      </c>
      <c r="AU1059">
        <v>2024</v>
      </c>
      <c r="AV1059">
        <v>62</v>
      </c>
      <c r="AW1059" t="s">
        <v>74</v>
      </c>
      <c r="AX1059" t="s">
        <v>74</v>
      </c>
      <c r="AY1059" t="s">
        <v>74</v>
      </c>
      <c r="AZ1059" t="s">
        <v>74</v>
      </c>
      <c r="BA1059" t="s">
        <v>74</v>
      </c>
      <c r="BB1059" t="s">
        <v>74</v>
      </c>
      <c r="BC1059" t="s">
        <v>74</v>
      </c>
      <c r="BD1059">
        <v>101008</v>
      </c>
      <c r="BE1059" t="s">
        <v>33426</v>
      </c>
      <c r="BF1059" t="str">
        <f>HYPERLINK("http://dx.doi.org/10.1016/j.gfj.2024.101008","http://dx.doi.org/10.1016/j.gfj.2024.101008")</f>
        <v>http://dx.doi.org/10.1016/j.gfj.2024.101008</v>
      </c>
      <c r="BG1059" t="s">
        <v>74</v>
      </c>
      <c r="BH1059" t="s">
        <v>2524</v>
      </c>
      <c r="BI1059">
        <v>19</v>
      </c>
      <c r="BJ1059" t="s">
        <v>268</v>
      </c>
      <c r="BK1059" t="s">
        <v>99</v>
      </c>
      <c r="BL1059" t="s">
        <v>100</v>
      </c>
      <c r="BM1059" t="s">
        <v>33425</v>
      </c>
      <c r="BN1059" t="s">
        <v>74</v>
      </c>
      <c r="BO1059" t="s">
        <v>466</v>
      </c>
      <c r="BP1059" t="s">
        <v>74</v>
      </c>
      <c r="BQ1059" t="s">
        <v>74</v>
      </c>
      <c r="BR1059" t="s">
        <v>102</v>
      </c>
      <c r="BS1059" t="s">
        <v>33424</v>
      </c>
      <c r="BT1059" t="str">
        <f>HYPERLINK("https%3A%2F%2Fwww.webofscience.com%2Fwos%2Fwoscc%2Ffull-record%2FWOS:001271258100001","View Full Record in Web of Science")</f>
        <v>View Full Record in Web of Science</v>
      </c>
    </row>
    <row r="1060" spans="1:72" x14ac:dyDescent="0.25">
      <c r="A1060" t="s">
        <v>132</v>
      </c>
      <c r="B1060" t="s">
        <v>33423</v>
      </c>
      <c r="C1060" t="s">
        <v>74</v>
      </c>
      <c r="D1060" t="s">
        <v>74</v>
      </c>
      <c r="E1060" t="s">
        <v>13579</v>
      </c>
      <c r="F1060" t="s">
        <v>33422</v>
      </c>
      <c r="G1060" t="s">
        <v>74</v>
      </c>
      <c r="H1060" t="s">
        <v>74</v>
      </c>
      <c r="I1060" t="s">
        <v>33421</v>
      </c>
      <c r="J1060" t="s">
        <v>33420</v>
      </c>
      <c r="K1060" t="s">
        <v>74</v>
      </c>
      <c r="L1060" t="s">
        <v>74</v>
      </c>
      <c r="M1060" t="s">
        <v>78</v>
      </c>
      <c r="N1060" t="s">
        <v>138</v>
      </c>
      <c r="O1060" t="s">
        <v>33419</v>
      </c>
      <c r="P1060" t="s">
        <v>33418</v>
      </c>
      <c r="Q1060" t="s">
        <v>33417</v>
      </c>
      <c r="R1060" t="s">
        <v>33416</v>
      </c>
      <c r="S1060" t="s">
        <v>74</v>
      </c>
      <c r="T1060" t="s">
        <v>74</v>
      </c>
      <c r="U1060" t="s">
        <v>33415</v>
      </c>
      <c r="V1060" t="s">
        <v>33414</v>
      </c>
      <c r="W1060" t="s">
        <v>33413</v>
      </c>
      <c r="X1060" t="s">
        <v>33412</v>
      </c>
      <c r="Y1060" t="s">
        <v>33411</v>
      </c>
      <c r="Z1060" t="s">
        <v>33410</v>
      </c>
      <c r="AA1060" t="s">
        <v>33409</v>
      </c>
      <c r="AB1060" t="s">
        <v>33408</v>
      </c>
      <c r="AC1060" t="s">
        <v>10241</v>
      </c>
      <c r="AD1060" t="s">
        <v>10242</v>
      </c>
      <c r="AE1060" t="s">
        <v>33407</v>
      </c>
      <c r="AF1060" t="s">
        <v>74</v>
      </c>
      <c r="AG1060">
        <v>23</v>
      </c>
      <c r="AH1060">
        <v>3</v>
      </c>
      <c r="AI1060">
        <v>3</v>
      </c>
      <c r="AJ1060">
        <v>0</v>
      </c>
      <c r="AK1060">
        <v>0</v>
      </c>
      <c r="AL1060" t="s">
        <v>5343</v>
      </c>
      <c r="AM1060" t="s">
        <v>5357</v>
      </c>
      <c r="AN1060" t="s">
        <v>5358</v>
      </c>
      <c r="AO1060" t="s">
        <v>74</v>
      </c>
      <c r="AP1060" t="s">
        <v>74</v>
      </c>
      <c r="AQ1060" t="s">
        <v>33406</v>
      </c>
      <c r="AR1060" t="s">
        <v>74</v>
      </c>
      <c r="AS1060" t="s">
        <v>74</v>
      </c>
      <c r="AT1060" t="s">
        <v>74</v>
      </c>
      <c r="AU1060">
        <v>2017</v>
      </c>
      <c r="AV1060" t="s">
        <v>74</v>
      </c>
      <c r="AW1060" t="s">
        <v>74</v>
      </c>
      <c r="AX1060" t="s">
        <v>74</v>
      </c>
      <c r="AY1060" t="s">
        <v>74</v>
      </c>
      <c r="AZ1060" t="s">
        <v>74</v>
      </c>
      <c r="BA1060" t="s">
        <v>74</v>
      </c>
      <c r="BB1060">
        <v>131</v>
      </c>
      <c r="BC1060">
        <v>143</v>
      </c>
      <c r="BD1060" t="s">
        <v>74</v>
      </c>
      <c r="BE1060" t="s">
        <v>74</v>
      </c>
      <c r="BF1060" t="s">
        <v>74</v>
      </c>
      <c r="BG1060" t="s">
        <v>74</v>
      </c>
      <c r="BH1060" t="s">
        <v>74</v>
      </c>
      <c r="BI1060">
        <v>13</v>
      </c>
      <c r="BJ1060" t="s">
        <v>4466</v>
      </c>
      <c r="BK1060" t="s">
        <v>156</v>
      </c>
      <c r="BL1060" t="s">
        <v>157</v>
      </c>
      <c r="BM1060" t="s">
        <v>33405</v>
      </c>
      <c r="BN1060" t="s">
        <v>74</v>
      </c>
      <c r="BO1060" t="s">
        <v>74</v>
      </c>
      <c r="BP1060" t="s">
        <v>74</v>
      </c>
      <c r="BQ1060" t="s">
        <v>74</v>
      </c>
      <c r="BR1060" t="s">
        <v>102</v>
      </c>
      <c r="BS1060" t="s">
        <v>33404</v>
      </c>
      <c r="BT1060" t="str">
        <f>HYPERLINK("https%3A%2F%2Fwww.webofscience.com%2Fwos%2Fwoscc%2Ffull-record%2FWOS:000698688000009","View Full Record in Web of Science")</f>
        <v>View Full Record in Web of Science</v>
      </c>
    </row>
    <row r="1061" spans="1:72" x14ac:dyDescent="0.25">
      <c r="A1061" t="s">
        <v>72</v>
      </c>
      <c r="B1061" t="s">
        <v>33403</v>
      </c>
      <c r="C1061" t="s">
        <v>74</v>
      </c>
      <c r="D1061" t="s">
        <v>74</v>
      </c>
      <c r="E1061" t="s">
        <v>74</v>
      </c>
      <c r="F1061" t="s">
        <v>33402</v>
      </c>
      <c r="G1061" t="s">
        <v>74</v>
      </c>
      <c r="H1061" t="s">
        <v>74</v>
      </c>
      <c r="I1061" t="s">
        <v>33401</v>
      </c>
      <c r="J1061" t="s">
        <v>3971</v>
      </c>
      <c r="K1061" t="s">
        <v>74</v>
      </c>
      <c r="L1061" t="s">
        <v>74</v>
      </c>
      <c r="M1061" t="s">
        <v>78</v>
      </c>
      <c r="N1061" t="s">
        <v>79</v>
      </c>
      <c r="O1061" t="s">
        <v>74</v>
      </c>
      <c r="P1061" t="s">
        <v>74</v>
      </c>
      <c r="Q1061" t="s">
        <v>74</v>
      </c>
      <c r="R1061" t="s">
        <v>74</v>
      </c>
      <c r="S1061" t="s">
        <v>74</v>
      </c>
      <c r="T1061" t="s">
        <v>33400</v>
      </c>
      <c r="U1061" t="s">
        <v>33399</v>
      </c>
      <c r="V1061" t="s">
        <v>33398</v>
      </c>
      <c r="W1061" t="s">
        <v>33397</v>
      </c>
      <c r="X1061" t="s">
        <v>33396</v>
      </c>
      <c r="Y1061" t="s">
        <v>14297</v>
      </c>
      <c r="Z1061" t="s">
        <v>33395</v>
      </c>
      <c r="AA1061" t="s">
        <v>33394</v>
      </c>
      <c r="AB1061" t="s">
        <v>74</v>
      </c>
      <c r="AC1061" t="s">
        <v>74</v>
      </c>
      <c r="AD1061" t="s">
        <v>74</v>
      </c>
      <c r="AE1061" t="s">
        <v>74</v>
      </c>
      <c r="AF1061" t="s">
        <v>74</v>
      </c>
      <c r="AG1061">
        <v>90</v>
      </c>
      <c r="AH1061">
        <v>7</v>
      </c>
      <c r="AI1061">
        <v>9</v>
      </c>
      <c r="AJ1061">
        <v>2</v>
      </c>
      <c r="AK1061">
        <v>16</v>
      </c>
      <c r="AL1061" t="s">
        <v>3980</v>
      </c>
      <c r="AM1061" t="s">
        <v>552</v>
      </c>
      <c r="AN1061" t="s">
        <v>3981</v>
      </c>
      <c r="AO1061" t="s">
        <v>3982</v>
      </c>
      <c r="AP1061" t="s">
        <v>3983</v>
      </c>
      <c r="AQ1061" t="s">
        <v>74</v>
      </c>
      <c r="AR1061" t="s">
        <v>3984</v>
      </c>
      <c r="AS1061" t="s">
        <v>3984</v>
      </c>
      <c r="AT1061" t="s">
        <v>605</v>
      </c>
      <c r="AU1061">
        <v>2024</v>
      </c>
      <c r="AV1061">
        <v>110</v>
      </c>
      <c r="AW1061" t="s">
        <v>74</v>
      </c>
      <c r="AX1061" t="s">
        <v>74</v>
      </c>
      <c r="AY1061" t="s">
        <v>74</v>
      </c>
      <c r="AZ1061" t="s">
        <v>74</v>
      </c>
      <c r="BA1061" t="s">
        <v>74</v>
      </c>
      <c r="BB1061" t="s">
        <v>74</v>
      </c>
      <c r="BC1061" t="s">
        <v>74</v>
      </c>
      <c r="BD1061" t="s">
        <v>74</v>
      </c>
      <c r="BE1061" t="s">
        <v>33393</v>
      </c>
      <c r="BF1061" t="str">
        <f>HYPERLINK("http://dx.doi.org/10.7203/CIRIEC-E.110.25755","http://dx.doi.org/10.7203/CIRIEC-E.110.25755")</f>
        <v>http://dx.doi.org/10.7203/CIRIEC-E.110.25755</v>
      </c>
      <c r="BG1061" t="s">
        <v>74</v>
      </c>
      <c r="BH1061" t="s">
        <v>74</v>
      </c>
      <c r="BI1061">
        <v>39</v>
      </c>
      <c r="BJ1061" t="s">
        <v>291</v>
      </c>
      <c r="BK1061" t="s">
        <v>313</v>
      </c>
      <c r="BL1061" t="s">
        <v>100</v>
      </c>
      <c r="BM1061" t="s">
        <v>33392</v>
      </c>
      <c r="BN1061" t="s">
        <v>74</v>
      </c>
      <c r="BO1061" t="s">
        <v>916</v>
      </c>
      <c r="BP1061" t="s">
        <v>74</v>
      </c>
      <c r="BQ1061" t="s">
        <v>74</v>
      </c>
      <c r="BR1061" t="s">
        <v>102</v>
      </c>
      <c r="BS1061" t="s">
        <v>33391</v>
      </c>
      <c r="BT1061" t="str">
        <f>HYPERLINK("https%3A%2F%2Fwww.webofscience.com%2Fwos%2Fwoscc%2Ffull-record%2FWOS:001200187400008","View Full Record in Web of Science")</f>
        <v>View Full Record in Web of Science</v>
      </c>
    </row>
    <row r="1062" spans="1:72" x14ac:dyDescent="0.25">
      <c r="A1062" t="s">
        <v>72</v>
      </c>
      <c r="B1062" t="s">
        <v>33390</v>
      </c>
      <c r="C1062" t="s">
        <v>74</v>
      </c>
      <c r="D1062" t="s">
        <v>74</v>
      </c>
      <c r="E1062" t="s">
        <v>74</v>
      </c>
      <c r="F1062" t="s">
        <v>33389</v>
      </c>
      <c r="G1062" t="s">
        <v>74</v>
      </c>
      <c r="H1062" t="s">
        <v>74</v>
      </c>
      <c r="I1062" t="s">
        <v>33388</v>
      </c>
      <c r="J1062" t="s">
        <v>24588</v>
      </c>
      <c r="K1062" t="s">
        <v>74</v>
      </c>
      <c r="L1062" t="s">
        <v>74</v>
      </c>
      <c r="M1062" t="s">
        <v>78</v>
      </c>
      <c r="N1062" t="s">
        <v>372</v>
      </c>
      <c r="O1062" t="s">
        <v>74</v>
      </c>
      <c r="P1062" t="s">
        <v>74</v>
      </c>
      <c r="Q1062" t="s">
        <v>74</v>
      </c>
      <c r="R1062" t="s">
        <v>74</v>
      </c>
      <c r="S1062" t="s">
        <v>74</v>
      </c>
      <c r="T1062" t="s">
        <v>33387</v>
      </c>
      <c r="U1062" t="s">
        <v>74</v>
      </c>
      <c r="V1062" t="s">
        <v>33386</v>
      </c>
      <c r="W1062" t="s">
        <v>33385</v>
      </c>
      <c r="X1062" t="s">
        <v>33384</v>
      </c>
      <c r="Y1062" t="s">
        <v>33383</v>
      </c>
      <c r="Z1062" t="s">
        <v>33382</v>
      </c>
      <c r="AA1062" t="s">
        <v>33381</v>
      </c>
      <c r="AB1062" t="s">
        <v>33380</v>
      </c>
      <c r="AC1062" t="s">
        <v>74</v>
      </c>
      <c r="AD1062" t="s">
        <v>74</v>
      </c>
      <c r="AE1062" t="s">
        <v>74</v>
      </c>
      <c r="AF1062" t="s">
        <v>74</v>
      </c>
      <c r="AG1062">
        <v>53</v>
      </c>
      <c r="AH1062">
        <v>0</v>
      </c>
      <c r="AI1062">
        <v>0</v>
      </c>
      <c r="AJ1062">
        <v>0</v>
      </c>
      <c r="AK1062">
        <v>0</v>
      </c>
      <c r="AL1062" t="s">
        <v>757</v>
      </c>
      <c r="AM1062" t="s">
        <v>758</v>
      </c>
      <c r="AN1062" t="s">
        <v>759</v>
      </c>
      <c r="AO1062" t="s">
        <v>24578</v>
      </c>
      <c r="AP1062" t="s">
        <v>24577</v>
      </c>
      <c r="AQ1062" t="s">
        <v>74</v>
      </c>
      <c r="AR1062" t="s">
        <v>24576</v>
      </c>
      <c r="AS1062" t="s">
        <v>24575</v>
      </c>
      <c r="AT1062" t="s">
        <v>33379</v>
      </c>
      <c r="AU1062">
        <v>2025</v>
      </c>
      <c r="AV1062" t="s">
        <v>74</v>
      </c>
      <c r="AW1062" t="s">
        <v>74</v>
      </c>
      <c r="AX1062" t="s">
        <v>74</v>
      </c>
      <c r="AY1062" t="s">
        <v>74</v>
      </c>
      <c r="AZ1062" t="s">
        <v>74</v>
      </c>
      <c r="BA1062" t="s">
        <v>74</v>
      </c>
      <c r="BB1062" t="s">
        <v>74</v>
      </c>
      <c r="BC1062" t="s">
        <v>74</v>
      </c>
      <c r="BD1062" t="s">
        <v>74</v>
      </c>
      <c r="BE1062" t="s">
        <v>33378</v>
      </c>
      <c r="BF1062" t="str">
        <f>HYPERLINK("http://dx.doi.org/10.1177/09763996251356998","http://dx.doi.org/10.1177/09763996251356998")</f>
        <v>http://dx.doi.org/10.1177/09763996251356998</v>
      </c>
      <c r="BG1062" t="s">
        <v>74</v>
      </c>
      <c r="BH1062" t="s">
        <v>5030</v>
      </c>
      <c r="BI1062">
        <v>19</v>
      </c>
      <c r="BJ1062" t="s">
        <v>1674</v>
      </c>
      <c r="BK1062" t="s">
        <v>313</v>
      </c>
      <c r="BL1062" t="s">
        <v>1674</v>
      </c>
      <c r="BM1062" t="s">
        <v>33377</v>
      </c>
      <c r="BN1062" t="s">
        <v>74</v>
      </c>
      <c r="BO1062" t="s">
        <v>74</v>
      </c>
      <c r="BP1062" t="s">
        <v>74</v>
      </c>
      <c r="BQ1062" t="s">
        <v>74</v>
      </c>
      <c r="BR1062" t="s">
        <v>102</v>
      </c>
      <c r="BS1062" t="s">
        <v>33376</v>
      </c>
      <c r="BT1062" t="str">
        <f>HYPERLINK("https%3A%2F%2Fwww.webofscience.com%2Fwos%2Fwoscc%2Ffull-record%2FWOS:001547670000001","View Full Record in Web of Science")</f>
        <v>View Full Record in Web of Science</v>
      </c>
    </row>
    <row r="1063" spans="1:72" x14ac:dyDescent="0.25">
      <c r="A1063" t="s">
        <v>72</v>
      </c>
      <c r="B1063" t="s">
        <v>33375</v>
      </c>
      <c r="C1063" t="s">
        <v>74</v>
      </c>
      <c r="D1063" t="s">
        <v>74</v>
      </c>
      <c r="E1063" t="s">
        <v>74</v>
      </c>
      <c r="F1063" t="s">
        <v>33374</v>
      </c>
      <c r="G1063" t="s">
        <v>74</v>
      </c>
      <c r="H1063" t="s">
        <v>74</v>
      </c>
      <c r="I1063" t="s">
        <v>33373</v>
      </c>
      <c r="J1063" t="s">
        <v>1902</v>
      </c>
      <c r="K1063" t="s">
        <v>74</v>
      </c>
      <c r="L1063" t="s">
        <v>74</v>
      </c>
      <c r="M1063" t="s">
        <v>78</v>
      </c>
      <c r="N1063" t="s">
        <v>79</v>
      </c>
      <c r="O1063" t="s">
        <v>74</v>
      </c>
      <c r="P1063" t="s">
        <v>74</v>
      </c>
      <c r="Q1063" t="s">
        <v>74</v>
      </c>
      <c r="R1063" t="s">
        <v>74</v>
      </c>
      <c r="S1063" t="s">
        <v>74</v>
      </c>
      <c r="T1063" t="s">
        <v>33372</v>
      </c>
      <c r="U1063" t="s">
        <v>1369</v>
      </c>
      <c r="V1063" t="s">
        <v>33371</v>
      </c>
      <c r="W1063" t="s">
        <v>33370</v>
      </c>
      <c r="X1063" t="s">
        <v>33369</v>
      </c>
      <c r="Y1063" t="s">
        <v>33368</v>
      </c>
      <c r="Z1063" t="s">
        <v>33367</v>
      </c>
      <c r="AA1063" t="s">
        <v>33366</v>
      </c>
      <c r="AB1063" t="s">
        <v>33365</v>
      </c>
      <c r="AC1063" t="s">
        <v>74</v>
      </c>
      <c r="AD1063" t="s">
        <v>74</v>
      </c>
      <c r="AE1063" t="s">
        <v>74</v>
      </c>
      <c r="AF1063" t="s">
        <v>74</v>
      </c>
      <c r="AG1063">
        <v>52</v>
      </c>
      <c r="AH1063">
        <v>3</v>
      </c>
      <c r="AI1063">
        <v>3</v>
      </c>
      <c r="AJ1063">
        <v>1</v>
      </c>
      <c r="AK1063">
        <v>22</v>
      </c>
      <c r="AL1063" t="s">
        <v>89</v>
      </c>
      <c r="AM1063" t="s">
        <v>1497</v>
      </c>
      <c r="AN1063" t="s">
        <v>1498</v>
      </c>
      <c r="AO1063" t="s">
        <v>1910</v>
      </c>
      <c r="AP1063" t="s">
        <v>1911</v>
      </c>
      <c r="AQ1063" t="s">
        <v>74</v>
      </c>
      <c r="AR1063" t="s">
        <v>1912</v>
      </c>
      <c r="AS1063" t="s">
        <v>1913</v>
      </c>
      <c r="AT1063" t="s">
        <v>13030</v>
      </c>
      <c r="AU1063">
        <v>2021</v>
      </c>
      <c r="AV1063">
        <v>13</v>
      </c>
      <c r="AW1063">
        <v>3</v>
      </c>
      <c r="AX1063" t="s">
        <v>74</v>
      </c>
      <c r="AY1063" t="s">
        <v>74</v>
      </c>
      <c r="AZ1063" t="s">
        <v>74</v>
      </c>
      <c r="BA1063" t="s">
        <v>74</v>
      </c>
      <c r="BB1063">
        <v>317</v>
      </c>
      <c r="BC1063">
        <v>336</v>
      </c>
      <c r="BD1063" t="s">
        <v>74</v>
      </c>
      <c r="BE1063" t="s">
        <v>33364</v>
      </c>
      <c r="BF1063" t="str">
        <f>HYPERLINK("http://dx.doi.org/10.1108/JFEP-10-2019-0207","http://dx.doi.org/10.1108/JFEP-10-2019-0207")</f>
        <v>http://dx.doi.org/10.1108/JFEP-10-2019-0207</v>
      </c>
      <c r="BG1063" t="s">
        <v>74</v>
      </c>
      <c r="BH1063" t="s">
        <v>14147</v>
      </c>
      <c r="BI1063">
        <v>20</v>
      </c>
      <c r="BJ1063" t="s">
        <v>291</v>
      </c>
      <c r="BK1063" t="s">
        <v>313</v>
      </c>
      <c r="BL1063" t="s">
        <v>100</v>
      </c>
      <c r="BM1063" t="s">
        <v>13032</v>
      </c>
      <c r="BN1063" t="s">
        <v>74</v>
      </c>
      <c r="BO1063" t="s">
        <v>74</v>
      </c>
      <c r="BP1063" t="s">
        <v>74</v>
      </c>
      <c r="BQ1063" t="s">
        <v>74</v>
      </c>
      <c r="BR1063" t="s">
        <v>102</v>
      </c>
      <c r="BS1063" t="s">
        <v>33363</v>
      </c>
      <c r="BT1063" t="str">
        <f>HYPERLINK("https%3A%2F%2Fwww.webofscience.com%2Fwos%2Fwoscc%2Ffull-record%2FWOS:000588514100001","View Full Record in Web of Science")</f>
        <v>View Full Record in Web of Science</v>
      </c>
    </row>
    <row r="1064" spans="1:72" x14ac:dyDescent="0.25">
      <c r="A1064" t="s">
        <v>72</v>
      </c>
      <c r="B1064" t="s">
        <v>33362</v>
      </c>
      <c r="C1064" t="s">
        <v>74</v>
      </c>
      <c r="D1064" t="s">
        <v>74</v>
      </c>
      <c r="E1064" t="s">
        <v>74</v>
      </c>
      <c r="F1064" t="s">
        <v>33361</v>
      </c>
      <c r="G1064" t="s">
        <v>74</v>
      </c>
      <c r="H1064" t="s">
        <v>74</v>
      </c>
      <c r="I1064" t="s">
        <v>33360</v>
      </c>
      <c r="J1064" t="s">
        <v>23316</v>
      </c>
      <c r="K1064" t="s">
        <v>74</v>
      </c>
      <c r="L1064" t="s">
        <v>74</v>
      </c>
      <c r="M1064" t="s">
        <v>78</v>
      </c>
      <c r="N1064" t="s">
        <v>79</v>
      </c>
      <c r="O1064" t="s">
        <v>74</v>
      </c>
      <c r="P1064" t="s">
        <v>74</v>
      </c>
      <c r="Q1064" t="s">
        <v>74</v>
      </c>
      <c r="R1064" t="s">
        <v>74</v>
      </c>
      <c r="S1064" t="s">
        <v>74</v>
      </c>
      <c r="T1064" t="s">
        <v>33359</v>
      </c>
      <c r="U1064" t="s">
        <v>33358</v>
      </c>
      <c r="V1064" t="s">
        <v>33357</v>
      </c>
      <c r="W1064" t="s">
        <v>33356</v>
      </c>
      <c r="X1064" t="s">
        <v>26950</v>
      </c>
      <c r="Y1064" t="s">
        <v>33355</v>
      </c>
      <c r="Z1064" t="s">
        <v>26948</v>
      </c>
      <c r="AA1064" t="s">
        <v>74</v>
      </c>
      <c r="AB1064" t="s">
        <v>33354</v>
      </c>
      <c r="AC1064" t="s">
        <v>74</v>
      </c>
      <c r="AD1064" t="s">
        <v>74</v>
      </c>
      <c r="AE1064" t="s">
        <v>74</v>
      </c>
      <c r="AF1064" t="s">
        <v>74</v>
      </c>
      <c r="AG1064">
        <v>121</v>
      </c>
      <c r="AH1064">
        <v>8</v>
      </c>
      <c r="AI1064">
        <v>10</v>
      </c>
      <c r="AJ1064">
        <v>5</v>
      </c>
      <c r="AK1064">
        <v>25</v>
      </c>
      <c r="AL1064" t="s">
        <v>823</v>
      </c>
      <c r="AM1064" t="s">
        <v>333</v>
      </c>
      <c r="AN1064" t="s">
        <v>824</v>
      </c>
      <c r="AO1064" t="s">
        <v>23310</v>
      </c>
      <c r="AP1064" t="s">
        <v>23309</v>
      </c>
      <c r="AQ1064" t="s">
        <v>74</v>
      </c>
      <c r="AR1064" t="s">
        <v>23308</v>
      </c>
      <c r="AS1064" t="s">
        <v>23307</v>
      </c>
      <c r="AT1064" t="s">
        <v>5028</v>
      </c>
      <c r="AU1064">
        <v>2025</v>
      </c>
      <c r="AV1064">
        <v>6</v>
      </c>
      <c r="AW1064">
        <v>4</v>
      </c>
      <c r="AX1064" t="s">
        <v>74</v>
      </c>
      <c r="AY1064" t="s">
        <v>74</v>
      </c>
      <c r="AZ1064" t="s">
        <v>74</v>
      </c>
      <c r="BA1064" t="s">
        <v>74</v>
      </c>
      <c r="BB1064">
        <v>721</v>
      </c>
      <c r="BC1064">
        <v>751</v>
      </c>
      <c r="BD1064" t="s">
        <v>74</v>
      </c>
      <c r="BE1064" t="s">
        <v>33353</v>
      </c>
      <c r="BF1064" t="str">
        <f>HYPERLINK("http://dx.doi.org/10.1080/26437015.2024.2432385","http://dx.doi.org/10.1080/26437015.2024.2432385")</f>
        <v>http://dx.doi.org/10.1080/26437015.2024.2432385</v>
      </c>
      <c r="BG1064" t="s">
        <v>74</v>
      </c>
      <c r="BH1064" t="s">
        <v>809</v>
      </c>
      <c r="BI1064">
        <v>31</v>
      </c>
      <c r="BJ1064" t="s">
        <v>98</v>
      </c>
      <c r="BK1064" t="s">
        <v>313</v>
      </c>
      <c r="BL1064" t="s">
        <v>100</v>
      </c>
      <c r="BM1064" t="s">
        <v>33352</v>
      </c>
      <c r="BN1064" t="s">
        <v>74</v>
      </c>
      <c r="BO1064" t="s">
        <v>270</v>
      </c>
      <c r="BP1064" t="s">
        <v>74</v>
      </c>
      <c r="BQ1064" t="s">
        <v>74</v>
      </c>
      <c r="BR1064" t="s">
        <v>102</v>
      </c>
      <c r="BS1064" t="s">
        <v>33351</v>
      </c>
      <c r="BT1064" t="str">
        <f>HYPERLINK("https%3A%2F%2Fwww.webofscience.com%2Fwos%2Fwoscc%2Ffull-record%2FWOS:001397410200001","View Full Record in Web of Science")</f>
        <v>View Full Record in Web of Science</v>
      </c>
    </row>
    <row r="1065" spans="1:72" x14ac:dyDescent="0.25">
      <c r="A1065" t="s">
        <v>72</v>
      </c>
      <c r="B1065" t="s">
        <v>33350</v>
      </c>
      <c r="C1065" t="s">
        <v>74</v>
      </c>
      <c r="D1065" t="s">
        <v>74</v>
      </c>
      <c r="E1065" t="s">
        <v>74</v>
      </c>
      <c r="F1065" t="s">
        <v>33349</v>
      </c>
      <c r="G1065" t="s">
        <v>74</v>
      </c>
      <c r="H1065" t="s">
        <v>74</v>
      </c>
      <c r="I1065" t="s">
        <v>33348</v>
      </c>
      <c r="J1065" t="s">
        <v>33347</v>
      </c>
      <c r="K1065" t="s">
        <v>74</v>
      </c>
      <c r="L1065" t="s">
        <v>74</v>
      </c>
      <c r="M1065" t="s">
        <v>78</v>
      </c>
      <c r="N1065" t="s">
        <v>1766</v>
      </c>
      <c r="O1065" t="s">
        <v>74</v>
      </c>
      <c r="P1065" t="s">
        <v>74</v>
      </c>
      <c r="Q1065" t="s">
        <v>74</v>
      </c>
      <c r="R1065" t="s">
        <v>74</v>
      </c>
      <c r="S1065" t="s">
        <v>74</v>
      </c>
      <c r="T1065" t="s">
        <v>33346</v>
      </c>
      <c r="U1065" t="s">
        <v>33345</v>
      </c>
      <c r="V1065" t="s">
        <v>33344</v>
      </c>
      <c r="W1065" t="s">
        <v>33343</v>
      </c>
      <c r="X1065" t="s">
        <v>33342</v>
      </c>
      <c r="Y1065" t="s">
        <v>33341</v>
      </c>
      <c r="Z1065" t="s">
        <v>33340</v>
      </c>
      <c r="AA1065" t="s">
        <v>74</v>
      </c>
      <c r="AB1065" t="s">
        <v>74</v>
      </c>
      <c r="AC1065" t="s">
        <v>74</v>
      </c>
      <c r="AD1065" t="s">
        <v>74</v>
      </c>
      <c r="AE1065" t="s">
        <v>74</v>
      </c>
      <c r="AF1065" t="s">
        <v>74</v>
      </c>
      <c r="AG1065">
        <v>118</v>
      </c>
      <c r="AH1065">
        <v>118</v>
      </c>
      <c r="AI1065">
        <v>137</v>
      </c>
      <c r="AJ1065">
        <v>5</v>
      </c>
      <c r="AK1065">
        <v>61</v>
      </c>
      <c r="AL1065" t="s">
        <v>994</v>
      </c>
      <c r="AM1065" t="s">
        <v>995</v>
      </c>
      <c r="AN1065" t="s">
        <v>2061</v>
      </c>
      <c r="AO1065" t="s">
        <v>33339</v>
      </c>
      <c r="AP1065" t="s">
        <v>33338</v>
      </c>
      <c r="AQ1065" t="s">
        <v>74</v>
      </c>
      <c r="AR1065" t="s">
        <v>33337</v>
      </c>
      <c r="AS1065" t="s">
        <v>33336</v>
      </c>
      <c r="AT1065" t="s">
        <v>289</v>
      </c>
      <c r="AU1065">
        <v>2017</v>
      </c>
      <c r="AV1065">
        <v>21</v>
      </c>
      <c r="AW1065">
        <v>4</v>
      </c>
      <c r="AX1065" t="s">
        <v>74</v>
      </c>
      <c r="AY1065" t="s">
        <v>74</v>
      </c>
      <c r="AZ1065" t="s">
        <v>74</v>
      </c>
      <c r="BA1065" t="s">
        <v>74</v>
      </c>
      <c r="BB1065">
        <v>274</v>
      </c>
      <c r="BC1065">
        <v>300</v>
      </c>
      <c r="BD1065" t="s">
        <v>74</v>
      </c>
      <c r="BE1065" t="s">
        <v>33335</v>
      </c>
      <c r="BF1065" t="str">
        <f>HYPERLINK("http://dx.doi.org/10.1177/1024529417712830","http://dx.doi.org/10.1177/1024529417712830")</f>
        <v>http://dx.doi.org/10.1177/1024529417712830</v>
      </c>
      <c r="BG1065" t="s">
        <v>74</v>
      </c>
      <c r="BH1065" t="s">
        <v>74</v>
      </c>
      <c r="BI1065">
        <v>27</v>
      </c>
      <c r="BJ1065" t="s">
        <v>33334</v>
      </c>
      <c r="BK1065" t="s">
        <v>99</v>
      </c>
      <c r="BL1065" t="s">
        <v>33333</v>
      </c>
      <c r="BM1065" t="s">
        <v>33332</v>
      </c>
      <c r="BN1065" t="s">
        <v>74</v>
      </c>
      <c r="BO1065" t="s">
        <v>74</v>
      </c>
      <c r="BP1065" t="s">
        <v>74</v>
      </c>
      <c r="BQ1065" t="s">
        <v>74</v>
      </c>
      <c r="BR1065" t="s">
        <v>102</v>
      </c>
      <c r="BS1065" t="s">
        <v>33331</v>
      </c>
      <c r="BT1065" t="str">
        <f>HYPERLINK("https%3A%2F%2Fwww.webofscience.com%2Fwos%2Fwoscc%2Ffull-record%2FWOS:000407466100002","View Full Record in Web of Science")</f>
        <v>View Full Record in Web of Science</v>
      </c>
    </row>
    <row r="1066" spans="1:72" x14ac:dyDescent="0.25">
      <c r="A1066" t="s">
        <v>72</v>
      </c>
      <c r="B1066" t="s">
        <v>33330</v>
      </c>
      <c r="C1066" t="s">
        <v>74</v>
      </c>
      <c r="D1066" t="s">
        <v>74</v>
      </c>
      <c r="E1066" t="s">
        <v>74</v>
      </c>
      <c r="F1066" t="s">
        <v>33329</v>
      </c>
      <c r="G1066" t="s">
        <v>74</v>
      </c>
      <c r="H1066" t="s">
        <v>74</v>
      </c>
      <c r="I1066" t="s">
        <v>33328</v>
      </c>
      <c r="J1066" t="s">
        <v>1468</v>
      </c>
      <c r="K1066" t="s">
        <v>74</v>
      </c>
      <c r="L1066" t="s">
        <v>74</v>
      </c>
      <c r="M1066" t="s">
        <v>78</v>
      </c>
      <c r="N1066" t="s">
        <v>79</v>
      </c>
      <c r="O1066" t="s">
        <v>74</v>
      </c>
      <c r="P1066" t="s">
        <v>74</v>
      </c>
      <c r="Q1066" t="s">
        <v>74</v>
      </c>
      <c r="R1066" t="s">
        <v>74</v>
      </c>
      <c r="S1066" t="s">
        <v>74</v>
      </c>
      <c r="T1066" t="s">
        <v>33327</v>
      </c>
      <c r="U1066" t="s">
        <v>33326</v>
      </c>
      <c r="V1066" t="s">
        <v>33325</v>
      </c>
      <c r="W1066" t="s">
        <v>33324</v>
      </c>
      <c r="X1066" t="s">
        <v>33323</v>
      </c>
      <c r="Y1066" t="s">
        <v>33322</v>
      </c>
      <c r="Z1066" t="s">
        <v>13607</v>
      </c>
      <c r="AA1066" t="s">
        <v>33321</v>
      </c>
      <c r="AB1066" t="s">
        <v>33320</v>
      </c>
      <c r="AC1066" t="s">
        <v>74</v>
      </c>
      <c r="AD1066" t="s">
        <v>74</v>
      </c>
      <c r="AE1066" t="s">
        <v>74</v>
      </c>
      <c r="AF1066" t="s">
        <v>74</v>
      </c>
      <c r="AG1066">
        <v>56</v>
      </c>
      <c r="AH1066">
        <v>13</v>
      </c>
      <c r="AI1066">
        <v>16</v>
      </c>
      <c r="AJ1066">
        <v>2</v>
      </c>
      <c r="AK1066">
        <v>26</v>
      </c>
      <c r="AL1066" t="s">
        <v>479</v>
      </c>
      <c r="AM1066" t="s">
        <v>480</v>
      </c>
      <c r="AN1066" t="s">
        <v>481</v>
      </c>
      <c r="AO1066" t="s">
        <v>1480</v>
      </c>
      <c r="AP1066" t="s">
        <v>1481</v>
      </c>
      <c r="AQ1066" t="s">
        <v>74</v>
      </c>
      <c r="AR1066" t="s">
        <v>1482</v>
      </c>
      <c r="AS1066" t="s">
        <v>1483</v>
      </c>
      <c r="AT1066" t="s">
        <v>848</v>
      </c>
      <c r="AU1066">
        <v>2021</v>
      </c>
      <c r="AV1066">
        <v>29</v>
      </c>
      <c r="AW1066">
        <v>3</v>
      </c>
      <c r="AX1066" t="s">
        <v>74</v>
      </c>
      <c r="AY1066" t="s">
        <v>74</v>
      </c>
      <c r="AZ1066" t="s">
        <v>74</v>
      </c>
      <c r="BA1066" t="s">
        <v>74</v>
      </c>
      <c r="BB1066">
        <v>369</v>
      </c>
      <c r="BC1066">
        <v>403</v>
      </c>
      <c r="BD1066" t="s">
        <v>74</v>
      </c>
      <c r="BE1066" t="s">
        <v>33319</v>
      </c>
      <c r="BF1066" t="str">
        <f>HYPERLINK("http://dx.doi.org/10.1111/ecot.12262","http://dx.doi.org/10.1111/ecot.12262")</f>
        <v>http://dx.doi.org/10.1111/ecot.12262</v>
      </c>
      <c r="BG1066" t="s">
        <v>74</v>
      </c>
      <c r="BH1066" t="s">
        <v>2937</v>
      </c>
      <c r="BI1066">
        <v>35</v>
      </c>
      <c r="BJ1066" t="s">
        <v>291</v>
      </c>
      <c r="BK1066" t="s">
        <v>99</v>
      </c>
      <c r="BL1066" t="s">
        <v>100</v>
      </c>
      <c r="BM1066" t="s">
        <v>33318</v>
      </c>
      <c r="BN1066" t="s">
        <v>74</v>
      </c>
      <c r="BO1066" t="s">
        <v>74</v>
      </c>
      <c r="BP1066" t="s">
        <v>74</v>
      </c>
      <c r="BQ1066" t="s">
        <v>74</v>
      </c>
      <c r="BR1066" t="s">
        <v>102</v>
      </c>
      <c r="BS1066" t="s">
        <v>33317</v>
      </c>
      <c r="BT1066" t="str">
        <f>HYPERLINK("https%3A%2F%2Fwww.webofscience.com%2Fwos%2Fwoscc%2Ffull-record%2FWOS:000563539900001","View Full Record in Web of Science")</f>
        <v>View Full Record in Web of Science</v>
      </c>
    </row>
    <row r="1067" spans="1:72" x14ac:dyDescent="0.25">
      <c r="A1067" t="s">
        <v>72</v>
      </c>
      <c r="B1067" t="s">
        <v>32140</v>
      </c>
      <c r="C1067" t="s">
        <v>74</v>
      </c>
      <c r="D1067" t="s">
        <v>74</v>
      </c>
      <c r="E1067" t="s">
        <v>74</v>
      </c>
      <c r="F1067" t="s">
        <v>32139</v>
      </c>
      <c r="G1067" t="s">
        <v>74</v>
      </c>
      <c r="H1067" t="s">
        <v>74</v>
      </c>
      <c r="I1067" t="s">
        <v>33316</v>
      </c>
      <c r="J1067" t="s">
        <v>8787</v>
      </c>
      <c r="K1067" t="s">
        <v>74</v>
      </c>
      <c r="L1067" t="s">
        <v>74</v>
      </c>
      <c r="M1067" t="s">
        <v>78</v>
      </c>
      <c r="N1067" t="s">
        <v>1766</v>
      </c>
      <c r="O1067" t="s">
        <v>74</v>
      </c>
      <c r="P1067" t="s">
        <v>74</v>
      </c>
      <c r="Q1067" t="s">
        <v>74</v>
      </c>
      <c r="R1067" t="s">
        <v>74</v>
      </c>
      <c r="S1067" t="s">
        <v>74</v>
      </c>
      <c r="T1067" t="s">
        <v>74</v>
      </c>
      <c r="U1067" t="s">
        <v>33315</v>
      </c>
      <c r="V1067" t="s">
        <v>74</v>
      </c>
      <c r="W1067" t="s">
        <v>33314</v>
      </c>
      <c r="X1067" t="s">
        <v>32135</v>
      </c>
      <c r="Y1067" t="s">
        <v>33313</v>
      </c>
      <c r="Z1067" t="s">
        <v>32133</v>
      </c>
      <c r="AA1067" t="s">
        <v>74</v>
      </c>
      <c r="AB1067" t="s">
        <v>74</v>
      </c>
      <c r="AC1067" t="s">
        <v>32131</v>
      </c>
      <c r="AD1067" t="s">
        <v>32131</v>
      </c>
      <c r="AE1067" t="s">
        <v>32130</v>
      </c>
      <c r="AF1067" t="s">
        <v>74</v>
      </c>
      <c r="AG1067">
        <v>80</v>
      </c>
      <c r="AH1067">
        <v>1</v>
      </c>
      <c r="AI1067">
        <v>1</v>
      </c>
      <c r="AJ1067">
        <v>0</v>
      </c>
      <c r="AK1067">
        <v>1</v>
      </c>
      <c r="AL1067" t="s">
        <v>479</v>
      </c>
      <c r="AM1067" t="s">
        <v>480</v>
      </c>
      <c r="AN1067" t="s">
        <v>481</v>
      </c>
      <c r="AO1067" t="s">
        <v>74</v>
      </c>
      <c r="AP1067" t="s">
        <v>8792</v>
      </c>
      <c r="AQ1067" t="s">
        <v>74</v>
      </c>
      <c r="AR1067" t="s">
        <v>8793</v>
      </c>
      <c r="AS1067" t="s">
        <v>8794</v>
      </c>
      <c r="AT1067" t="s">
        <v>74</v>
      </c>
      <c r="AU1067">
        <v>2018</v>
      </c>
      <c r="AV1067">
        <v>14</v>
      </c>
      <c r="AW1067">
        <v>1</v>
      </c>
      <c r="AX1067" t="s">
        <v>74</v>
      </c>
      <c r="AY1067" t="s">
        <v>74</v>
      </c>
      <c r="AZ1067" t="s">
        <v>74</v>
      </c>
      <c r="BA1067" t="s">
        <v>74</v>
      </c>
      <c r="BB1067" t="s">
        <v>74</v>
      </c>
      <c r="BC1067" t="s">
        <v>74</v>
      </c>
      <c r="BD1067" t="s">
        <v>74</v>
      </c>
      <c r="BE1067" t="s">
        <v>74</v>
      </c>
      <c r="BF1067" t="s">
        <v>74</v>
      </c>
      <c r="BG1067" t="s">
        <v>74</v>
      </c>
      <c r="BH1067" t="s">
        <v>74</v>
      </c>
      <c r="BI1067">
        <v>58</v>
      </c>
      <c r="BJ1067" t="s">
        <v>364</v>
      </c>
      <c r="BK1067" t="s">
        <v>313</v>
      </c>
      <c r="BL1067" t="s">
        <v>365</v>
      </c>
      <c r="BM1067" t="s">
        <v>33312</v>
      </c>
      <c r="BN1067" t="s">
        <v>74</v>
      </c>
      <c r="BO1067" t="s">
        <v>74</v>
      </c>
      <c r="BP1067" t="s">
        <v>74</v>
      </c>
      <c r="BQ1067" t="s">
        <v>74</v>
      </c>
      <c r="BR1067" t="s">
        <v>102</v>
      </c>
      <c r="BS1067" t="s">
        <v>33311</v>
      </c>
      <c r="BT1067" t="str">
        <f>HYPERLINK("https%3A%2F%2Fwww.webofscience.com%2Fwos%2Fwoscc%2Ffull-record%2FWOS:000636054800024","View Full Record in Web of Science")</f>
        <v>View Full Record in Web of Science</v>
      </c>
    </row>
    <row r="1068" spans="1:72" x14ac:dyDescent="0.25">
      <c r="A1068" t="s">
        <v>72</v>
      </c>
      <c r="B1068" t="s">
        <v>22712</v>
      </c>
      <c r="C1068" t="s">
        <v>74</v>
      </c>
      <c r="D1068" t="s">
        <v>74</v>
      </c>
      <c r="E1068" t="s">
        <v>74</v>
      </c>
      <c r="F1068" t="s">
        <v>33310</v>
      </c>
      <c r="G1068" t="s">
        <v>74</v>
      </c>
      <c r="H1068" t="s">
        <v>74</v>
      </c>
      <c r="I1068" t="s">
        <v>33309</v>
      </c>
      <c r="J1068" t="s">
        <v>22709</v>
      </c>
      <c r="K1068" t="s">
        <v>74</v>
      </c>
      <c r="L1068" t="s">
        <v>74</v>
      </c>
      <c r="M1068" t="s">
        <v>78</v>
      </c>
      <c r="N1068" t="s">
        <v>79</v>
      </c>
      <c r="O1068" t="s">
        <v>74</v>
      </c>
      <c r="P1068" t="s">
        <v>74</v>
      </c>
      <c r="Q1068" t="s">
        <v>74</v>
      </c>
      <c r="R1068" t="s">
        <v>74</v>
      </c>
      <c r="S1068" t="s">
        <v>74</v>
      </c>
      <c r="T1068" t="s">
        <v>33308</v>
      </c>
      <c r="U1068" t="s">
        <v>33307</v>
      </c>
      <c r="V1068" t="s">
        <v>33306</v>
      </c>
      <c r="W1068" t="s">
        <v>33305</v>
      </c>
      <c r="X1068" t="s">
        <v>33304</v>
      </c>
      <c r="Y1068" t="s">
        <v>33303</v>
      </c>
      <c r="Z1068" t="s">
        <v>32144</v>
      </c>
      <c r="AA1068" t="s">
        <v>74</v>
      </c>
      <c r="AB1068" t="s">
        <v>74</v>
      </c>
      <c r="AC1068" t="s">
        <v>33302</v>
      </c>
      <c r="AD1068" t="s">
        <v>33302</v>
      </c>
      <c r="AE1068" t="s">
        <v>33301</v>
      </c>
      <c r="AF1068" t="s">
        <v>74</v>
      </c>
      <c r="AG1068">
        <v>31</v>
      </c>
      <c r="AH1068">
        <v>40</v>
      </c>
      <c r="AI1068">
        <v>43</v>
      </c>
      <c r="AJ1068">
        <v>0</v>
      </c>
      <c r="AK1068">
        <v>26</v>
      </c>
      <c r="AL1068" t="s">
        <v>332</v>
      </c>
      <c r="AM1068" t="s">
        <v>333</v>
      </c>
      <c r="AN1068" t="s">
        <v>334</v>
      </c>
      <c r="AO1068" t="s">
        <v>22708</v>
      </c>
      <c r="AP1068" t="s">
        <v>22707</v>
      </c>
      <c r="AQ1068" t="s">
        <v>74</v>
      </c>
      <c r="AR1068" t="s">
        <v>22706</v>
      </c>
      <c r="AS1068" t="s">
        <v>22705</v>
      </c>
      <c r="AT1068" t="s">
        <v>1427</v>
      </c>
      <c r="AU1068">
        <v>2016</v>
      </c>
      <c r="AV1068">
        <v>37</v>
      </c>
      <c r="AW1068">
        <v>1</v>
      </c>
      <c r="AX1068" t="s">
        <v>74</v>
      </c>
      <c r="AY1068" t="s">
        <v>74</v>
      </c>
      <c r="AZ1068" t="s">
        <v>74</v>
      </c>
      <c r="BA1068" t="s">
        <v>74</v>
      </c>
      <c r="BB1068">
        <v>83</v>
      </c>
      <c r="BC1068">
        <v>100</v>
      </c>
      <c r="BD1068" t="s">
        <v>74</v>
      </c>
      <c r="BE1068" t="s">
        <v>33300</v>
      </c>
      <c r="BF1068" t="str">
        <f>HYPERLINK("http://dx.doi.org/10.1080/02255189.2016.1140022","http://dx.doi.org/10.1080/02255189.2016.1140022")</f>
        <v>http://dx.doi.org/10.1080/02255189.2016.1140022</v>
      </c>
      <c r="BG1068" t="s">
        <v>74</v>
      </c>
      <c r="BH1068" t="s">
        <v>74</v>
      </c>
      <c r="BI1068">
        <v>18</v>
      </c>
      <c r="BJ1068" t="s">
        <v>1137</v>
      </c>
      <c r="BK1068" t="s">
        <v>99</v>
      </c>
      <c r="BL1068" t="s">
        <v>1137</v>
      </c>
      <c r="BM1068" t="s">
        <v>33299</v>
      </c>
      <c r="BN1068" t="s">
        <v>74</v>
      </c>
      <c r="BO1068" t="s">
        <v>74</v>
      </c>
      <c r="BP1068" t="s">
        <v>74</v>
      </c>
      <c r="BQ1068" t="s">
        <v>74</v>
      </c>
      <c r="BR1068" t="s">
        <v>102</v>
      </c>
      <c r="BS1068" t="s">
        <v>33298</v>
      </c>
      <c r="BT1068" t="str">
        <f>HYPERLINK("https%3A%2F%2Fwww.webofscience.com%2Fwos%2Fwoscc%2Ffull-record%2FWOS:000373817800006","View Full Record in Web of Science")</f>
        <v>View Full Record in Web of Science</v>
      </c>
    </row>
    <row r="1069" spans="1:72" x14ac:dyDescent="0.25">
      <c r="A1069" t="s">
        <v>72</v>
      </c>
      <c r="B1069" t="s">
        <v>33297</v>
      </c>
      <c r="C1069" t="s">
        <v>74</v>
      </c>
      <c r="D1069" t="s">
        <v>74</v>
      </c>
      <c r="E1069" t="s">
        <v>74</v>
      </c>
      <c r="F1069" t="s">
        <v>33296</v>
      </c>
      <c r="G1069" t="s">
        <v>74</v>
      </c>
      <c r="H1069" t="s">
        <v>74</v>
      </c>
      <c r="I1069" t="s">
        <v>33295</v>
      </c>
      <c r="J1069" t="s">
        <v>33294</v>
      </c>
      <c r="K1069" t="s">
        <v>74</v>
      </c>
      <c r="L1069" t="s">
        <v>74</v>
      </c>
      <c r="M1069" t="s">
        <v>78</v>
      </c>
      <c r="N1069" t="s">
        <v>79</v>
      </c>
      <c r="O1069" t="s">
        <v>74</v>
      </c>
      <c r="P1069" t="s">
        <v>74</v>
      </c>
      <c r="Q1069" t="s">
        <v>74</v>
      </c>
      <c r="R1069" t="s">
        <v>74</v>
      </c>
      <c r="S1069" t="s">
        <v>74</v>
      </c>
      <c r="T1069" t="s">
        <v>33293</v>
      </c>
      <c r="U1069" t="s">
        <v>74</v>
      </c>
      <c r="V1069" t="s">
        <v>33292</v>
      </c>
      <c r="W1069" t="s">
        <v>33291</v>
      </c>
      <c r="X1069" t="s">
        <v>74</v>
      </c>
      <c r="Y1069" t="s">
        <v>33290</v>
      </c>
      <c r="Z1069" t="s">
        <v>33289</v>
      </c>
      <c r="AA1069" t="s">
        <v>74</v>
      </c>
      <c r="AB1069" t="s">
        <v>74</v>
      </c>
      <c r="AC1069" t="s">
        <v>74</v>
      </c>
      <c r="AD1069" t="s">
        <v>74</v>
      </c>
      <c r="AE1069" t="s">
        <v>74</v>
      </c>
      <c r="AF1069" t="s">
        <v>74</v>
      </c>
      <c r="AG1069">
        <v>54</v>
      </c>
      <c r="AH1069">
        <v>65</v>
      </c>
      <c r="AI1069">
        <v>77</v>
      </c>
      <c r="AJ1069">
        <v>4</v>
      </c>
      <c r="AK1069">
        <v>36</v>
      </c>
      <c r="AL1069" t="s">
        <v>332</v>
      </c>
      <c r="AM1069" t="s">
        <v>333</v>
      </c>
      <c r="AN1069" t="s">
        <v>334</v>
      </c>
      <c r="AO1069" t="s">
        <v>33288</v>
      </c>
      <c r="AP1069" t="s">
        <v>33287</v>
      </c>
      <c r="AQ1069" t="s">
        <v>74</v>
      </c>
      <c r="AR1069" t="s">
        <v>33286</v>
      </c>
      <c r="AS1069" t="s">
        <v>33285</v>
      </c>
      <c r="AT1069" t="s">
        <v>1693</v>
      </c>
      <c r="AU1069">
        <v>2022</v>
      </c>
      <c r="AV1069">
        <v>31</v>
      </c>
      <c r="AW1069">
        <v>3</v>
      </c>
      <c r="AX1069" t="s">
        <v>74</v>
      </c>
      <c r="AY1069" t="s">
        <v>74</v>
      </c>
      <c r="AZ1069" t="s">
        <v>74</v>
      </c>
      <c r="BA1069" t="s">
        <v>74</v>
      </c>
      <c r="BB1069">
        <v>306</v>
      </c>
      <c r="BC1069">
        <v>322</v>
      </c>
      <c r="BD1069" t="s">
        <v>74</v>
      </c>
      <c r="BE1069" t="s">
        <v>33284</v>
      </c>
      <c r="BF1069" t="str">
        <f>HYPERLINK("http://dx.doi.org/10.1080/09589236.2021.1884536","http://dx.doi.org/10.1080/09589236.2021.1884536")</f>
        <v>http://dx.doi.org/10.1080/09589236.2021.1884536</v>
      </c>
      <c r="BG1069" t="s">
        <v>74</v>
      </c>
      <c r="BH1069" t="s">
        <v>11376</v>
      </c>
      <c r="BI1069">
        <v>17</v>
      </c>
      <c r="BJ1069" t="s">
        <v>33283</v>
      </c>
      <c r="BK1069" t="s">
        <v>99</v>
      </c>
      <c r="BL1069" t="s">
        <v>33282</v>
      </c>
      <c r="BM1069" t="s">
        <v>33281</v>
      </c>
      <c r="BN1069" t="s">
        <v>74</v>
      </c>
      <c r="BO1069" t="s">
        <v>1205</v>
      </c>
      <c r="BP1069" t="s">
        <v>74</v>
      </c>
      <c r="BQ1069" t="s">
        <v>74</v>
      </c>
      <c r="BR1069" t="s">
        <v>102</v>
      </c>
      <c r="BS1069" t="s">
        <v>33280</v>
      </c>
      <c r="BT1069" t="str">
        <f>HYPERLINK("https%3A%2F%2Fwww.webofscience.com%2Fwos%2Fwoscc%2Ffull-record%2FWOS:000615822200001","View Full Record in Web of Science")</f>
        <v>View Full Record in Web of Science</v>
      </c>
    </row>
    <row r="1070" spans="1:72" x14ac:dyDescent="0.25">
      <c r="A1070" t="s">
        <v>72</v>
      </c>
      <c r="B1070" t="s">
        <v>33279</v>
      </c>
      <c r="C1070" t="s">
        <v>74</v>
      </c>
      <c r="D1070" t="s">
        <v>74</v>
      </c>
      <c r="E1070" t="s">
        <v>74</v>
      </c>
      <c r="F1070" t="s">
        <v>33278</v>
      </c>
      <c r="G1070" t="s">
        <v>74</v>
      </c>
      <c r="H1070" t="s">
        <v>74</v>
      </c>
      <c r="I1070" t="s">
        <v>33277</v>
      </c>
      <c r="J1070" t="s">
        <v>30999</v>
      </c>
      <c r="K1070" t="s">
        <v>74</v>
      </c>
      <c r="L1070" t="s">
        <v>74</v>
      </c>
      <c r="M1070" t="s">
        <v>78</v>
      </c>
      <c r="N1070" t="s">
        <v>79</v>
      </c>
      <c r="O1070" t="s">
        <v>74</v>
      </c>
      <c r="P1070" t="s">
        <v>74</v>
      </c>
      <c r="Q1070" t="s">
        <v>74</v>
      </c>
      <c r="R1070" t="s">
        <v>74</v>
      </c>
      <c r="S1070" t="s">
        <v>74</v>
      </c>
      <c r="T1070" t="s">
        <v>74</v>
      </c>
      <c r="U1070" t="s">
        <v>74</v>
      </c>
      <c r="V1070" t="s">
        <v>33276</v>
      </c>
      <c r="W1070" t="s">
        <v>33275</v>
      </c>
      <c r="X1070" t="s">
        <v>33274</v>
      </c>
      <c r="Y1070" t="s">
        <v>33273</v>
      </c>
      <c r="Z1070" t="s">
        <v>74</v>
      </c>
      <c r="AA1070" t="s">
        <v>74</v>
      </c>
      <c r="AB1070" t="s">
        <v>74</v>
      </c>
      <c r="AC1070" t="s">
        <v>74</v>
      </c>
      <c r="AD1070" t="s">
        <v>74</v>
      </c>
      <c r="AE1070" t="s">
        <v>74</v>
      </c>
      <c r="AF1070" t="s">
        <v>74</v>
      </c>
      <c r="AG1070">
        <v>16</v>
      </c>
      <c r="AH1070">
        <v>2</v>
      </c>
      <c r="AI1070">
        <v>33</v>
      </c>
      <c r="AJ1070">
        <v>0</v>
      </c>
      <c r="AK1070">
        <v>5</v>
      </c>
      <c r="AL1070" t="s">
        <v>30993</v>
      </c>
      <c r="AM1070" t="s">
        <v>5318</v>
      </c>
      <c r="AN1070" t="s">
        <v>33272</v>
      </c>
      <c r="AO1070" t="s">
        <v>30991</v>
      </c>
      <c r="AP1070" t="s">
        <v>74</v>
      </c>
      <c r="AQ1070" t="s">
        <v>74</v>
      </c>
      <c r="AR1070" t="s">
        <v>30990</v>
      </c>
      <c r="AS1070" t="s">
        <v>30989</v>
      </c>
      <c r="AT1070" t="s">
        <v>698</v>
      </c>
      <c r="AU1070">
        <v>2011</v>
      </c>
      <c r="AV1070">
        <v>16</v>
      </c>
      <c r="AW1070">
        <v>2</v>
      </c>
      <c r="AX1070" t="s">
        <v>74</v>
      </c>
      <c r="AY1070" t="s">
        <v>74</v>
      </c>
      <c r="AZ1070" t="s">
        <v>441</v>
      </c>
      <c r="BA1070" t="s">
        <v>74</v>
      </c>
      <c r="BB1070">
        <v>219</v>
      </c>
      <c r="BC1070">
        <v>233</v>
      </c>
      <c r="BD1070" t="s">
        <v>74</v>
      </c>
      <c r="BE1070" t="s">
        <v>33271</v>
      </c>
      <c r="BF1070" t="str">
        <f>HYPERLINK("http://dx.doi.org/10.1002/bltj.20512","http://dx.doi.org/10.1002/bltj.20512")</f>
        <v>http://dx.doi.org/10.1002/bltj.20512</v>
      </c>
      <c r="BG1070" t="s">
        <v>74</v>
      </c>
      <c r="BH1070" t="s">
        <v>74</v>
      </c>
      <c r="BI1070">
        <v>15</v>
      </c>
      <c r="BJ1070" t="s">
        <v>3467</v>
      </c>
      <c r="BK1070" t="s">
        <v>128</v>
      </c>
      <c r="BL1070" t="s">
        <v>1023</v>
      </c>
      <c r="BM1070" t="s">
        <v>33270</v>
      </c>
      <c r="BN1070" t="s">
        <v>74</v>
      </c>
      <c r="BO1070" t="s">
        <v>74</v>
      </c>
      <c r="BP1070" t="s">
        <v>74</v>
      </c>
      <c r="BQ1070" t="s">
        <v>74</v>
      </c>
      <c r="BR1070" t="s">
        <v>102</v>
      </c>
      <c r="BS1070" t="s">
        <v>33269</v>
      </c>
      <c r="BT1070" t="str">
        <f>HYPERLINK("https%3A%2F%2Fwww.webofscience.com%2Fwos%2Fwoscc%2Ffull-record%2FWOS:000294348000015","View Full Record in Web of Science")</f>
        <v>View Full Record in Web of Science</v>
      </c>
    </row>
    <row r="1071" spans="1:72" x14ac:dyDescent="0.25">
      <c r="A1071" t="s">
        <v>72</v>
      </c>
      <c r="B1071" t="s">
        <v>33268</v>
      </c>
      <c r="C1071" t="s">
        <v>74</v>
      </c>
      <c r="D1071" t="s">
        <v>74</v>
      </c>
      <c r="E1071" t="s">
        <v>74</v>
      </c>
      <c r="F1071" t="s">
        <v>33267</v>
      </c>
      <c r="G1071" t="s">
        <v>74</v>
      </c>
      <c r="H1071" t="s">
        <v>74</v>
      </c>
      <c r="I1071" t="s">
        <v>33266</v>
      </c>
      <c r="J1071" t="s">
        <v>33265</v>
      </c>
      <c r="K1071" t="s">
        <v>74</v>
      </c>
      <c r="L1071" t="s">
        <v>74</v>
      </c>
      <c r="M1071" t="s">
        <v>78</v>
      </c>
      <c r="N1071" t="s">
        <v>79</v>
      </c>
      <c r="O1071" t="s">
        <v>74</v>
      </c>
      <c r="P1071" t="s">
        <v>74</v>
      </c>
      <c r="Q1071" t="s">
        <v>74</v>
      </c>
      <c r="R1071" t="s">
        <v>74</v>
      </c>
      <c r="S1071" t="s">
        <v>74</v>
      </c>
      <c r="T1071" t="s">
        <v>33264</v>
      </c>
      <c r="U1071" t="s">
        <v>33263</v>
      </c>
      <c r="V1071" t="s">
        <v>33262</v>
      </c>
      <c r="W1071" t="s">
        <v>33261</v>
      </c>
      <c r="X1071" t="s">
        <v>33260</v>
      </c>
      <c r="Y1071" t="s">
        <v>33259</v>
      </c>
      <c r="Z1071" t="s">
        <v>33258</v>
      </c>
      <c r="AA1071" t="s">
        <v>33257</v>
      </c>
      <c r="AB1071" t="s">
        <v>33256</v>
      </c>
      <c r="AC1071" t="s">
        <v>74</v>
      </c>
      <c r="AD1071" t="s">
        <v>74</v>
      </c>
      <c r="AE1071" t="s">
        <v>74</v>
      </c>
      <c r="AF1071" t="s">
        <v>74</v>
      </c>
      <c r="AG1071">
        <v>41</v>
      </c>
      <c r="AH1071">
        <v>2</v>
      </c>
      <c r="AI1071">
        <v>2</v>
      </c>
      <c r="AJ1071">
        <v>1</v>
      </c>
      <c r="AK1071">
        <v>39</v>
      </c>
      <c r="AL1071" t="s">
        <v>33255</v>
      </c>
      <c r="AM1071" t="s">
        <v>7673</v>
      </c>
      <c r="AN1071" t="s">
        <v>33254</v>
      </c>
      <c r="AO1071" t="s">
        <v>33253</v>
      </c>
      <c r="AP1071" t="s">
        <v>33252</v>
      </c>
      <c r="AQ1071" t="s">
        <v>74</v>
      </c>
      <c r="AR1071" t="s">
        <v>33251</v>
      </c>
      <c r="AS1071" t="s">
        <v>33250</v>
      </c>
      <c r="AT1071" t="s">
        <v>74</v>
      </c>
      <c r="AU1071">
        <v>2022</v>
      </c>
      <c r="AV1071">
        <v>32</v>
      </c>
      <c r="AW1071">
        <v>4</v>
      </c>
      <c r="AX1071" t="s">
        <v>74</v>
      </c>
      <c r="AY1071" t="s">
        <v>74</v>
      </c>
      <c r="AZ1071" t="s">
        <v>74</v>
      </c>
      <c r="BA1071" t="s">
        <v>74</v>
      </c>
      <c r="BB1071">
        <v>77</v>
      </c>
      <c r="BC1071">
        <v>92</v>
      </c>
      <c r="BD1071" t="s">
        <v>74</v>
      </c>
      <c r="BE1071" t="s">
        <v>33249</v>
      </c>
      <c r="BF1071" t="str">
        <f>HYPERLINK("http://dx.doi.org/10.33436/v32i4y202207","http://dx.doi.org/10.33436/v32i4y202207")</f>
        <v>http://dx.doi.org/10.33436/v32i4y202207</v>
      </c>
      <c r="BG1071" t="s">
        <v>74</v>
      </c>
      <c r="BH1071" t="s">
        <v>74</v>
      </c>
      <c r="BI1071">
        <v>16</v>
      </c>
      <c r="BJ1071" t="s">
        <v>2622</v>
      </c>
      <c r="BK1071" t="s">
        <v>313</v>
      </c>
      <c r="BL1071" t="s">
        <v>157</v>
      </c>
      <c r="BM1071" t="s">
        <v>33248</v>
      </c>
      <c r="BN1071" t="s">
        <v>74</v>
      </c>
      <c r="BO1071" t="s">
        <v>212</v>
      </c>
      <c r="BP1071" t="s">
        <v>74</v>
      </c>
      <c r="BQ1071" t="s">
        <v>74</v>
      </c>
      <c r="BR1071" t="s">
        <v>102</v>
      </c>
      <c r="BS1071" t="s">
        <v>33247</v>
      </c>
      <c r="BT1071" t="str">
        <f>HYPERLINK("https%3A%2F%2Fwww.webofscience.com%2Fwos%2Fwoscc%2Ffull-record%2FWOS:000924067500007","View Full Record in Web of Science")</f>
        <v>View Full Record in Web of Science</v>
      </c>
    </row>
    <row r="1072" spans="1:72" x14ac:dyDescent="0.25">
      <c r="A1072" t="s">
        <v>72</v>
      </c>
      <c r="B1072" t="s">
        <v>33246</v>
      </c>
      <c r="C1072" t="s">
        <v>74</v>
      </c>
      <c r="D1072" t="s">
        <v>74</v>
      </c>
      <c r="E1072" t="s">
        <v>74</v>
      </c>
      <c r="F1072" t="s">
        <v>33245</v>
      </c>
      <c r="G1072" t="s">
        <v>74</v>
      </c>
      <c r="H1072" t="s">
        <v>74</v>
      </c>
      <c r="I1072" t="s">
        <v>33244</v>
      </c>
      <c r="J1072" t="s">
        <v>33243</v>
      </c>
      <c r="K1072" t="s">
        <v>74</v>
      </c>
      <c r="L1072" t="s">
        <v>74</v>
      </c>
      <c r="M1072" t="s">
        <v>78</v>
      </c>
      <c r="N1072" t="s">
        <v>79</v>
      </c>
      <c r="O1072" t="s">
        <v>74</v>
      </c>
      <c r="P1072" t="s">
        <v>74</v>
      </c>
      <c r="Q1072" t="s">
        <v>74</v>
      </c>
      <c r="R1072" t="s">
        <v>74</v>
      </c>
      <c r="S1072" t="s">
        <v>74</v>
      </c>
      <c r="T1072" t="s">
        <v>33242</v>
      </c>
      <c r="U1072" t="s">
        <v>33241</v>
      </c>
      <c r="V1072" t="s">
        <v>33240</v>
      </c>
      <c r="W1072" t="s">
        <v>33239</v>
      </c>
      <c r="X1072" t="s">
        <v>33238</v>
      </c>
      <c r="Y1072" t="s">
        <v>33237</v>
      </c>
      <c r="Z1072" t="s">
        <v>33236</v>
      </c>
      <c r="AA1072" t="s">
        <v>33235</v>
      </c>
      <c r="AB1072" t="s">
        <v>33234</v>
      </c>
      <c r="AC1072" t="s">
        <v>74</v>
      </c>
      <c r="AD1072" t="s">
        <v>74</v>
      </c>
      <c r="AE1072" t="s">
        <v>74</v>
      </c>
      <c r="AF1072" t="s">
        <v>74</v>
      </c>
      <c r="AG1072">
        <v>207</v>
      </c>
      <c r="AH1072">
        <v>11</v>
      </c>
      <c r="AI1072">
        <v>15</v>
      </c>
      <c r="AJ1072">
        <v>4</v>
      </c>
      <c r="AK1072">
        <v>30</v>
      </c>
      <c r="AL1072" t="s">
        <v>16843</v>
      </c>
      <c r="AM1072" t="s">
        <v>16844</v>
      </c>
      <c r="AN1072" t="s">
        <v>16845</v>
      </c>
      <c r="AO1072" t="s">
        <v>33233</v>
      </c>
      <c r="AP1072" t="s">
        <v>74</v>
      </c>
      <c r="AQ1072" t="s">
        <v>74</v>
      </c>
      <c r="AR1072" t="s">
        <v>33232</v>
      </c>
      <c r="AS1072" t="s">
        <v>33231</v>
      </c>
      <c r="AT1072" t="s">
        <v>74</v>
      </c>
      <c r="AU1072">
        <v>2022</v>
      </c>
      <c r="AV1072">
        <v>50</v>
      </c>
      <c r="AW1072" t="s">
        <v>74</v>
      </c>
      <c r="AX1072" t="s">
        <v>74</v>
      </c>
      <c r="AY1072" t="s">
        <v>74</v>
      </c>
      <c r="AZ1072" t="s">
        <v>74</v>
      </c>
      <c r="BA1072" t="s">
        <v>74</v>
      </c>
      <c r="BB1072">
        <v>803</v>
      </c>
      <c r="BC1072">
        <v>834</v>
      </c>
      <c r="BD1072">
        <v>40</v>
      </c>
      <c r="BE1072" t="s">
        <v>33230</v>
      </c>
      <c r="BF1072" t="str">
        <f>HYPERLINK("http://dx.doi.org/10.17705/1CAIS.05036","http://dx.doi.org/10.17705/1CAIS.05036")</f>
        <v>http://dx.doi.org/10.17705/1CAIS.05036</v>
      </c>
      <c r="BG1072" t="s">
        <v>74</v>
      </c>
      <c r="BH1072" t="s">
        <v>74</v>
      </c>
      <c r="BI1072">
        <v>32</v>
      </c>
      <c r="BJ1072" t="s">
        <v>1779</v>
      </c>
      <c r="BK1072" t="s">
        <v>313</v>
      </c>
      <c r="BL1072" t="s">
        <v>157</v>
      </c>
      <c r="BM1072" t="s">
        <v>33229</v>
      </c>
      <c r="BN1072" t="s">
        <v>74</v>
      </c>
      <c r="BO1072" t="s">
        <v>74</v>
      </c>
      <c r="BP1072" t="s">
        <v>74</v>
      </c>
      <c r="BQ1072" t="s">
        <v>74</v>
      </c>
      <c r="BR1072" t="s">
        <v>102</v>
      </c>
      <c r="BS1072" t="s">
        <v>33228</v>
      </c>
      <c r="BT1072" t="str">
        <f>HYPERLINK("https%3A%2F%2Fwww.webofscience.com%2Fwos%2Fwoscc%2Ffull-record%2FWOS:000930999400009","View Full Record in Web of Science")</f>
        <v>View Full Record in Web of Science</v>
      </c>
    </row>
    <row r="1073" spans="1:72" x14ac:dyDescent="0.25">
      <c r="A1073" t="s">
        <v>72</v>
      </c>
      <c r="B1073" t="s">
        <v>33227</v>
      </c>
      <c r="C1073" t="s">
        <v>74</v>
      </c>
      <c r="D1073" t="s">
        <v>74</v>
      </c>
      <c r="E1073" t="s">
        <v>74</v>
      </c>
      <c r="F1073" t="s">
        <v>33226</v>
      </c>
      <c r="G1073" t="s">
        <v>74</v>
      </c>
      <c r="H1073" t="s">
        <v>74</v>
      </c>
      <c r="I1073" t="s">
        <v>33225</v>
      </c>
      <c r="J1073" t="s">
        <v>3439</v>
      </c>
      <c r="K1073" t="s">
        <v>74</v>
      </c>
      <c r="L1073" t="s">
        <v>74</v>
      </c>
      <c r="M1073" t="s">
        <v>78</v>
      </c>
      <c r="N1073" t="s">
        <v>79</v>
      </c>
      <c r="O1073" t="s">
        <v>74</v>
      </c>
      <c r="P1073" t="s">
        <v>74</v>
      </c>
      <c r="Q1073" t="s">
        <v>74</v>
      </c>
      <c r="R1073" t="s">
        <v>74</v>
      </c>
      <c r="S1073" t="s">
        <v>74</v>
      </c>
      <c r="T1073" t="s">
        <v>33224</v>
      </c>
      <c r="U1073" t="s">
        <v>33223</v>
      </c>
      <c r="V1073" t="s">
        <v>33222</v>
      </c>
      <c r="W1073" t="s">
        <v>33221</v>
      </c>
      <c r="X1073" t="s">
        <v>33220</v>
      </c>
      <c r="Y1073" t="s">
        <v>33219</v>
      </c>
      <c r="Z1073" t="s">
        <v>33218</v>
      </c>
      <c r="AA1073" t="s">
        <v>33217</v>
      </c>
      <c r="AB1073" t="s">
        <v>74</v>
      </c>
      <c r="AC1073" t="s">
        <v>74</v>
      </c>
      <c r="AD1073" t="s">
        <v>74</v>
      </c>
      <c r="AE1073" t="s">
        <v>74</v>
      </c>
      <c r="AF1073" t="s">
        <v>74</v>
      </c>
      <c r="AG1073">
        <v>84</v>
      </c>
      <c r="AH1073">
        <v>8</v>
      </c>
      <c r="AI1073">
        <v>11</v>
      </c>
      <c r="AJ1073">
        <v>12</v>
      </c>
      <c r="AK1073">
        <v>76</v>
      </c>
      <c r="AL1073" t="s">
        <v>2481</v>
      </c>
      <c r="AM1073" t="s">
        <v>2482</v>
      </c>
      <c r="AN1073" t="s">
        <v>2483</v>
      </c>
      <c r="AO1073" t="s">
        <v>3443</v>
      </c>
      <c r="AP1073" t="s">
        <v>74</v>
      </c>
      <c r="AQ1073" t="s">
        <v>74</v>
      </c>
      <c r="AR1073" t="s">
        <v>3444</v>
      </c>
      <c r="AS1073" t="s">
        <v>3445</v>
      </c>
      <c r="AT1073" t="s">
        <v>22161</v>
      </c>
      <c r="AU1073">
        <v>2023</v>
      </c>
      <c r="AV1073">
        <v>11</v>
      </c>
      <c r="AW1073">
        <v>2</v>
      </c>
      <c r="AX1073" t="s">
        <v>74</v>
      </c>
      <c r="AY1073" t="s">
        <v>74</v>
      </c>
      <c r="AZ1073" t="s">
        <v>74</v>
      </c>
      <c r="BA1073" t="s">
        <v>74</v>
      </c>
      <c r="BB1073" t="s">
        <v>74</v>
      </c>
      <c r="BC1073" t="s">
        <v>74</v>
      </c>
      <c r="BD1073">
        <v>2267270</v>
      </c>
      <c r="BE1073" t="s">
        <v>33216</v>
      </c>
      <c r="BF1073" t="str">
        <f>HYPERLINK("http://dx.doi.org/10.1080/23322039.2023.2267270","http://dx.doi.org/10.1080/23322039.2023.2267270")</f>
        <v>http://dx.doi.org/10.1080/23322039.2023.2267270</v>
      </c>
      <c r="BG1073" t="s">
        <v>74</v>
      </c>
      <c r="BH1073" t="s">
        <v>74</v>
      </c>
      <c r="BI1073">
        <v>22</v>
      </c>
      <c r="BJ1073" t="s">
        <v>291</v>
      </c>
      <c r="BK1073" t="s">
        <v>313</v>
      </c>
      <c r="BL1073" t="s">
        <v>100</v>
      </c>
      <c r="BM1073" t="s">
        <v>33215</v>
      </c>
      <c r="BN1073" t="s">
        <v>74</v>
      </c>
      <c r="BO1073" t="s">
        <v>916</v>
      </c>
      <c r="BP1073" t="s">
        <v>74</v>
      </c>
      <c r="BQ1073" t="s">
        <v>74</v>
      </c>
      <c r="BR1073" t="s">
        <v>102</v>
      </c>
      <c r="BS1073" t="s">
        <v>33214</v>
      </c>
      <c r="BT1073" t="str">
        <f>HYPERLINK("https%3A%2F%2Fwww.webofscience.com%2Fwos%2Fwoscc%2Ffull-record%2FWOS:001082510400001","View Full Record in Web of Science")</f>
        <v>View Full Record in Web of Science</v>
      </c>
    </row>
    <row r="1074" spans="1:72" x14ac:dyDescent="0.25">
      <c r="A1074" t="s">
        <v>72</v>
      </c>
      <c r="B1074" t="s">
        <v>27633</v>
      </c>
      <c r="C1074" t="s">
        <v>74</v>
      </c>
      <c r="D1074" t="s">
        <v>74</v>
      </c>
      <c r="E1074" t="s">
        <v>74</v>
      </c>
      <c r="F1074" t="s">
        <v>27632</v>
      </c>
      <c r="G1074" t="s">
        <v>74</v>
      </c>
      <c r="H1074" t="s">
        <v>74</v>
      </c>
      <c r="I1074" t="s">
        <v>33213</v>
      </c>
      <c r="J1074" t="s">
        <v>33212</v>
      </c>
      <c r="K1074" t="s">
        <v>74</v>
      </c>
      <c r="L1074" t="s">
        <v>74</v>
      </c>
      <c r="M1074" t="s">
        <v>78</v>
      </c>
      <c r="N1074" t="s">
        <v>79</v>
      </c>
      <c r="O1074" t="s">
        <v>74</v>
      </c>
      <c r="P1074" t="s">
        <v>74</v>
      </c>
      <c r="Q1074" t="s">
        <v>74</v>
      </c>
      <c r="R1074" t="s">
        <v>74</v>
      </c>
      <c r="S1074" t="s">
        <v>74</v>
      </c>
      <c r="T1074" t="s">
        <v>33211</v>
      </c>
      <c r="U1074" t="s">
        <v>33210</v>
      </c>
      <c r="V1074" t="s">
        <v>33209</v>
      </c>
      <c r="W1074" t="s">
        <v>33208</v>
      </c>
      <c r="X1074" t="s">
        <v>27626</v>
      </c>
      <c r="Y1074" t="s">
        <v>33207</v>
      </c>
      <c r="Z1074" t="s">
        <v>27624</v>
      </c>
      <c r="AA1074" t="s">
        <v>33206</v>
      </c>
      <c r="AB1074" t="s">
        <v>33205</v>
      </c>
      <c r="AC1074" t="s">
        <v>33204</v>
      </c>
      <c r="AD1074" t="s">
        <v>33203</v>
      </c>
      <c r="AE1074" t="s">
        <v>33202</v>
      </c>
      <c r="AF1074" t="s">
        <v>74</v>
      </c>
      <c r="AG1074">
        <v>76</v>
      </c>
      <c r="AH1074">
        <v>9</v>
      </c>
      <c r="AI1074">
        <v>11</v>
      </c>
      <c r="AJ1074">
        <v>0</v>
      </c>
      <c r="AK1074">
        <v>21</v>
      </c>
      <c r="AL1074" t="s">
        <v>1889</v>
      </c>
      <c r="AM1074" t="s">
        <v>1890</v>
      </c>
      <c r="AN1074" t="s">
        <v>1891</v>
      </c>
      <c r="AO1074" t="s">
        <v>33201</v>
      </c>
      <c r="AP1074" t="s">
        <v>33200</v>
      </c>
      <c r="AQ1074" t="s">
        <v>74</v>
      </c>
      <c r="AR1074" t="s">
        <v>33199</v>
      </c>
      <c r="AS1074" t="s">
        <v>33198</v>
      </c>
      <c r="AT1074" t="s">
        <v>1652</v>
      </c>
      <c r="AU1074">
        <v>2021</v>
      </c>
      <c r="AV1074">
        <v>21</v>
      </c>
      <c r="AW1074">
        <v>2</v>
      </c>
      <c r="AX1074" t="s">
        <v>74</v>
      </c>
      <c r="AY1074" t="s">
        <v>74</v>
      </c>
      <c r="AZ1074" t="s">
        <v>74</v>
      </c>
      <c r="BA1074" t="s">
        <v>74</v>
      </c>
      <c r="BB1074" t="s">
        <v>74</v>
      </c>
      <c r="BC1074" t="s">
        <v>74</v>
      </c>
      <c r="BD1074">
        <v>2150009</v>
      </c>
      <c r="BE1074" t="s">
        <v>33197</v>
      </c>
      <c r="BF1074" t="str">
        <f>HYPERLINK("http://dx.doi.org/10.1142/S2194565921500093","http://dx.doi.org/10.1142/S2194565921500093")</f>
        <v>http://dx.doi.org/10.1142/S2194565921500093</v>
      </c>
      <c r="BG1074" t="s">
        <v>74</v>
      </c>
      <c r="BH1074" t="s">
        <v>74</v>
      </c>
      <c r="BI1074">
        <v>30</v>
      </c>
      <c r="BJ1074" t="s">
        <v>291</v>
      </c>
      <c r="BK1074" t="s">
        <v>313</v>
      </c>
      <c r="BL1074" t="s">
        <v>100</v>
      </c>
      <c r="BM1074" t="s">
        <v>33196</v>
      </c>
      <c r="BN1074" t="s">
        <v>74</v>
      </c>
      <c r="BO1074" t="s">
        <v>74</v>
      </c>
      <c r="BP1074" t="s">
        <v>74</v>
      </c>
      <c r="BQ1074" t="s">
        <v>74</v>
      </c>
      <c r="BR1074" t="s">
        <v>102</v>
      </c>
      <c r="BS1074" t="s">
        <v>33195</v>
      </c>
      <c r="BT1074" t="str">
        <f>HYPERLINK("https%3A%2F%2Fwww.webofscience.com%2Fwos%2Fwoscc%2Ffull-record%2FWOS:000731009700005","View Full Record in Web of Science")</f>
        <v>View Full Record in Web of Science</v>
      </c>
    </row>
    <row r="1075" spans="1:72" x14ac:dyDescent="0.25">
      <c r="A1075" t="s">
        <v>132</v>
      </c>
      <c r="B1075" t="s">
        <v>33194</v>
      </c>
      <c r="C1075" t="s">
        <v>74</v>
      </c>
      <c r="D1075" t="s">
        <v>74</v>
      </c>
      <c r="E1075" t="s">
        <v>74</v>
      </c>
      <c r="F1075" t="s">
        <v>33193</v>
      </c>
      <c r="G1075" t="s">
        <v>74</v>
      </c>
      <c r="H1075" t="s">
        <v>74</v>
      </c>
      <c r="I1075" t="s">
        <v>33192</v>
      </c>
      <c r="J1075" t="s">
        <v>24135</v>
      </c>
      <c r="K1075" t="s">
        <v>74</v>
      </c>
      <c r="L1075" t="s">
        <v>74</v>
      </c>
      <c r="M1075" t="s">
        <v>78</v>
      </c>
      <c r="N1075" t="s">
        <v>138</v>
      </c>
      <c r="O1075" t="s">
        <v>24134</v>
      </c>
      <c r="P1075" t="s">
        <v>24133</v>
      </c>
      <c r="Q1075" t="s">
        <v>1550</v>
      </c>
      <c r="R1075" t="s">
        <v>74</v>
      </c>
      <c r="S1075" t="s">
        <v>74</v>
      </c>
      <c r="T1075" t="s">
        <v>33191</v>
      </c>
      <c r="U1075" t="s">
        <v>74</v>
      </c>
      <c r="V1075" t="s">
        <v>33190</v>
      </c>
      <c r="W1075" t="s">
        <v>33189</v>
      </c>
      <c r="X1075" t="s">
        <v>9052</v>
      </c>
      <c r="Y1075" t="s">
        <v>33188</v>
      </c>
      <c r="Z1075" t="s">
        <v>33187</v>
      </c>
      <c r="AA1075" t="s">
        <v>74</v>
      </c>
      <c r="AB1075" t="s">
        <v>74</v>
      </c>
      <c r="AC1075" t="s">
        <v>33186</v>
      </c>
      <c r="AD1075" t="s">
        <v>33186</v>
      </c>
      <c r="AE1075" t="s">
        <v>33185</v>
      </c>
      <c r="AF1075" t="s">
        <v>74</v>
      </c>
      <c r="AG1075">
        <v>19</v>
      </c>
      <c r="AH1075">
        <v>0</v>
      </c>
      <c r="AI1075">
        <v>0</v>
      </c>
      <c r="AJ1075">
        <v>0</v>
      </c>
      <c r="AK1075">
        <v>0</v>
      </c>
      <c r="AL1075" t="s">
        <v>4605</v>
      </c>
      <c r="AM1075" t="s">
        <v>4280</v>
      </c>
      <c r="AN1075" t="s">
        <v>4606</v>
      </c>
      <c r="AO1075" t="s">
        <v>24125</v>
      </c>
      <c r="AP1075" t="s">
        <v>24124</v>
      </c>
      <c r="AQ1075" t="s">
        <v>74</v>
      </c>
      <c r="AR1075" t="s">
        <v>24123</v>
      </c>
      <c r="AS1075" t="s">
        <v>24122</v>
      </c>
      <c r="AT1075" t="s">
        <v>3387</v>
      </c>
      <c r="AU1075">
        <v>2025</v>
      </c>
      <c r="AV1075">
        <v>19</v>
      </c>
      <c r="AW1075">
        <v>1</v>
      </c>
      <c r="AX1075" t="s">
        <v>74</v>
      </c>
      <c r="AY1075" t="s">
        <v>74</v>
      </c>
      <c r="AZ1075" t="s">
        <v>74</v>
      </c>
      <c r="BA1075" t="s">
        <v>74</v>
      </c>
      <c r="BB1075">
        <v>1471</v>
      </c>
      <c r="BC1075">
        <v>1505</v>
      </c>
      <c r="BD1075" t="s">
        <v>74</v>
      </c>
      <c r="BE1075" t="s">
        <v>33184</v>
      </c>
      <c r="BF1075" t="str">
        <f>HYPERLINK("http://dx.doi.org/10.2478/picbe-2025-0116","http://dx.doi.org/10.2478/picbe-2025-0116")</f>
        <v>http://dx.doi.org/10.2478/picbe-2025-0116</v>
      </c>
      <c r="BG1075" t="s">
        <v>74</v>
      </c>
      <c r="BH1075" t="s">
        <v>74</v>
      </c>
      <c r="BI1075">
        <v>35</v>
      </c>
      <c r="BJ1075" t="s">
        <v>418</v>
      </c>
      <c r="BK1075" t="s">
        <v>156</v>
      </c>
      <c r="BL1075" t="s">
        <v>100</v>
      </c>
      <c r="BM1075" t="s">
        <v>33183</v>
      </c>
      <c r="BN1075" t="s">
        <v>74</v>
      </c>
      <c r="BO1075" t="s">
        <v>270</v>
      </c>
      <c r="BP1075" t="s">
        <v>74</v>
      </c>
      <c r="BQ1075" t="s">
        <v>74</v>
      </c>
      <c r="BR1075" t="s">
        <v>102</v>
      </c>
      <c r="BS1075" t="s">
        <v>33182</v>
      </c>
      <c r="BT1075" t="str">
        <f>HYPERLINK("https%3A%2F%2Fwww.webofscience.com%2Fwos%2Fwoscc%2Ffull-record%2FWOS:001536632300012","View Full Record in Web of Science")</f>
        <v>View Full Record in Web of Science</v>
      </c>
    </row>
    <row r="1076" spans="1:72" x14ac:dyDescent="0.25">
      <c r="A1076" t="s">
        <v>72</v>
      </c>
      <c r="B1076" t="s">
        <v>33181</v>
      </c>
      <c r="C1076" t="s">
        <v>74</v>
      </c>
      <c r="D1076" t="s">
        <v>74</v>
      </c>
      <c r="E1076" t="s">
        <v>74</v>
      </c>
      <c r="F1076" t="s">
        <v>33180</v>
      </c>
      <c r="G1076" t="s">
        <v>74</v>
      </c>
      <c r="H1076" t="s">
        <v>74</v>
      </c>
      <c r="I1076" t="s">
        <v>33179</v>
      </c>
      <c r="J1076" t="s">
        <v>1987</v>
      </c>
      <c r="K1076" t="s">
        <v>74</v>
      </c>
      <c r="L1076" t="s">
        <v>74</v>
      </c>
      <c r="M1076" t="s">
        <v>78</v>
      </c>
      <c r="N1076" t="s">
        <v>79</v>
      </c>
      <c r="O1076" t="s">
        <v>74</v>
      </c>
      <c r="P1076" t="s">
        <v>74</v>
      </c>
      <c r="Q1076" t="s">
        <v>74</v>
      </c>
      <c r="R1076" t="s">
        <v>74</v>
      </c>
      <c r="S1076" t="s">
        <v>74</v>
      </c>
      <c r="T1076" t="s">
        <v>33178</v>
      </c>
      <c r="U1076" t="s">
        <v>33177</v>
      </c>
      <c r="V1076" t="s">
        <v>33176</v>
      </c>
      <c r="W1076" t="s">
        <v>33175</v>
      </c>
      <c r="X1076" t="s">
        <v>33174</v>
      </c>
      <c r="Y1076" t="s">
        <v>33173</v>
      </c>
      <c r="Z1076" t="s">
        <v>33172</v>
      </c>
      <c r="AA1076" t="s">
        <v>74</v>
      </c>
      <c r="AB1076" t="s">
        <v>33171</v>
      </c>
      <c r="AC1076" t="s">
        <v>74</v>
      </c>
      <c r="AD1076" t="s">
        <v>74</v>
      </c>
      <c r="AE1076" t="s">
        <v>74</v>
      </c>
      <c r="AF1076" t="s">
        <v>74</v>
      </c>
      <c r="AG1076">
        <v>37</v>
      </c>
      <c r="AH1076">
        <v>10</v>
      </c>
      <c r="AI1076">
        <v>11</v>
      </c>
      <c r="AJ1076">
        <v>0</v>
      </c>
      <c r="AK1076">
        <v>5</v>
      </c>
      <c r="AL1076" t="s">
        <v>479</v>
      </c>
      <c r="AM1076" t="s">
        <v>480</v>
      </c>
      <c r="AN1076" t="s">
        <v>481</v>
      </c>
      <c r="AO1076" t="s">
        <v>1997</v>
      </c>
      <c r="AP1076" t="s">
        <v>1998</v>
      </c>
      <c r="AQ1076" t="s">
        <v>74</v>
      </c>
      <c r="AR1076" t="s">
        <v>1999</v>
      </c>
      <c r="AS1076" t="s">
        <v>2000</v>
      </c>
      <c r="AT1076" t="s">
        <v>289</v>
      </c>
      <c r="AU1076">
        <v>2023</v>
      </c>
      <c r="AV1076">
        <v>35</v>
      </c>
      <c r="AW1076">
        <v>6</v>
      </c>
      <c r="AX1076" t="s">
        <v>74</v>
      </c>
      <c r="AY1076" t="s">
        <v>74</v>
      </c>
      <c r="AZ1076" t="s">
        <v>74</v>
      </c>
      <c r="BA1076" t="s">
        <v>74</v>
      </c>
      <c r="BB1076">
        <v>1143</v>
      </c>
      <c r="BC1076">
        <v>1162</v>
      </c>
      <c r="BD1076" t="s">
        <v>74</v>
      </c>
      <c r="BE1076" t="s">
        <v>33170</v>
      </c>
      <c r="BF1076" t="str">
        <f>HYPERLINK("http://dx.doi.org/10.1002/jid.3722","http://dx.doi.org/10.1002/jid.3722")</f>
        <v>http://dx.doi.org/10.1002/jid.3722</v>
      </c>
      <c r="BG1076" t="s">
        <v>74</v>
      </c>
      <c r="BH1076" t="s">
        <v>7904</v>
      </c>
      <c r="BI1076">
        <v>20</v>
      </c>
      <c r="BJ1076" t="s">
        <v>1137</v>
      </c>
      <c r="BK1076" t="s">
        <v>99</v>
      </c>
      <c r="BL1076" t="s">
        <v>1137</v>
      </c>
      <c r="BM1076" t="s">
        <v>33169</v>
      </c>
      <c r="BN1076" t="s">
        <v>74</v>
      </c>
      <c r="BO1076" t="s">
        <v>270</v>
      </c>
      <c r="BP1076" t="s">
        <v>74</v>
      </c>
      <c r="BQ1076" t="s">
        <v>74</v>
      </c>
      <c r="BR1076" t="s">
        <v>102</v>
      </c>
      <c r="BS1076" t="s">
        <v>33168</v>
      </c>
      <c r="BT1076" t="str">
        <f>HYPERLINK("https%3A%2F%2Fwww.webofscience.com%2Fwos%2Fwoscc%2Ffull-record%2FWOS:000899796700001","View Full Record in Web of Science")</f>
        <v>View Full Record in Web of Science</v>
      </c>
    </row>
    <row r="1077" spans="1:72" x14ac:dyDescent="0.25">
      <c r="A1077" t="s">
        <v>132</v>
      </c>
      <c r="B1077" t="s">
        <v>33167</v>
      </c>
      <c r="C1077" t="s">
        <v>74</v>
      </c>
      <c r="D1077" t="s">
        <v>33166</v>
      </c>
      <c r="E1077" t="s">
        <v>74</v>
      </c>
      <c r="F1077" t="s">
        <v>33165</v>
      </c>
      <c r="G1077" t="s">
        <v>74</v>
      </c>
      <c r="H1077" t="s">
        <v>74</v>
      </c>
      <c r="I1077" t="s">
        <v>33164</v>
      </c>
      <c r="J1077" t="s">
        <v>33163</v>
      </c>
      <c r="K1077" t="s">
        <v>74</v>
      </c>
      <c r="L1077" t="s">
        <v>74</v>
      </c>
      <c r="M1077" t="s">
        <v>78</v>
      </c>
      <c r="N1077" t="s">
        <v>138</v>
      </c>
      <c r="O1077" t="s">
        <v>33162</v>
      </c>
      <c r="P1077" t="s">
        <v>33161</v>
      </c>
      <c r="Q1077" t="s">
        <v>33160</v>
      </c>
      <c r="R1077" t="s">
        <v>33159</v>
      </c>
      <c r="S1077" t="s">
        <v>33158</v>
      </c>
      <c r="T1077" t="s">
        <v>33157</v>
      </c>
      <c r="U1077" t="s">
        <v>74</v>
      </c>
      <c r="V1077" t="s">
        <v>33156</v>
      </c>
      <c r="W1077" t="s">
        <v>33155</v>
      </c>
      <c r="X1077" t="s">
        <v>16474</v>
      </c>
      <c r="Y1077" t="s">
        <v>74</v>
      </c>
      <c r="Z1077" t="s">
        <v>33154</v>
      </c>
      <c r="AA1077" t="s">
        <v>74</v>
      </c>
      <c r="AB1077" t="s">
        <v>74</v>
      </c>
      <c r="AC1077" t="s">
        <v>74</v>
      </c>
      <c r="AD1077" t="s">
        <v>74</v>
      </c>
      <c r="AE1077" t="s">
        <v>74</v>
      </c>
      <c r="AF1077" t="s">
        <v>74</v>
      </c>
      <c r="AG1077">
        <v>11</v>
      </c>
      <c r="AH1077">
        <v>0</v>
      </c>
      <c r="AI1077">
        <v>0</v>
      </c>
      <c r="AJ1077">
        <v>1</v>
      </c>
      <c r="AK1077">
        <v>16</v>
      </c>
      <c r="AL1077" t="s">
        <v>31692</v>
      </c>
      <c r="AM1077" t="s">
        <v>31691</v>
      </c>
      <c r="AN1077" t="s">
        <v>31690</v>
      </c>
      <c r="AO1077" t="s">
        <v>74</v>
      </c>
      <c r="AP1077" t="s">
        <v>74</v>
      </c>
      <c r="AQ1077" t="s">
        <v>33153</v>
      </c>
      <c r="AR1077" t="s">
        <v>74</v>
      </c>
      <c r="AS1077" t="s">
        <v>74</v>
      </c>
      <c r="AT1077" t="s">
        <v>74</v>
      </c>
      <c r="AU1077">
        <v>2012</v>
      </c>
      <c r="AV1077" t="s">
        <v>74</v>
      </c>
      <c r="AW1077" t="s">
        <v>74</v>
      </c>
      <c r="AX1077" t="s">
        <v>74</v>
      </c>
      <c r="AY1077" t="s">
        <v>74</v>
      </c>
      <c r="AZ1077" t="s">
        <v>74</v>
      </c>
      <c r="BA1077" t="s">
        <v>74</v>
      </c>
      <c r="BB1077">
        <v>864</v>
      </c>
      <c r="BC1077">
        <v>868</v>
      </c>
      <c r="BD1077" t="s">
        <v>74</v>
      </c>
      <c r="BE1077" t="s">
        <v>74</v>
      </c>
      <c r="BF1077" t="s">
        <v>74</v>
      </c>
      <c r="BG1077" t="s">
        <v>74</v>
      </c>
      <c r="BH1077" t="s">
        <v>74</v>
      </c>
      <c r="BI1077">
        <v>5</v>
      </c>
      <c r="BJ1077" t="s">
        <v>33152</v>
      </c>
      <c r="BK1077" t="s">
        <v>183</v>
      </c>
      <c r="BL1077" t="s">
        <v>1406</v>
      </c>
      <c r="BM1077" t="s">
        <v>33151</v>
      </c>
      <c r="BN1077" t="s">
        <v>74</v>
      </c>
      <c r="BO1077" t="s">
        <v>74</v>
      </c>
      <c r="BP1077" t="s">
        <v>74</v>
      </c>
      <c r="BQ1077" t="s">
        <v>74</v>
      </c>
      <c r="BR1077" t="s">
        <v>102</v>
      </c>
      <c r="BS1077" t="s">
        <v>33150</v>
      </c>
      <c r="BT1077" t="str">
        <f>HYPERLINK("https%3A%2F%2Fwww.webofscience.com%2Fwos%2Fwoscc%2Ffull-record%2FWOS:000313020500136","View Full Record in Web of Science")</f>
        <v>View Full Record in Web of Science</v>
      </c>
    </row>
    <row r="1078" spans="1:72" x14ac:dyDescent="0.25">
      <c r="A1078" t="s">
        <v>72</v>
      </c>
      <c r="B1078" t="s">
        <v>15492</v>
      </c>
      <c r="C1078" t="s">
        <v>74</v>
      </c>
      <c r="D1078" t="s">
        <v>74</v>
      </c>
      <c r="E1078" t="s">
        <v>74</v>
      </c>
      <c r="F1078" t="s">
        <v>15493</v>
      </c>
      <c r="G1078" t="s">
        <v>74</v>
      </c>
      <c r="H1078" t="s">
        <v>74</v>
      </c>
      <c r="I1078" t="s">
        <v>33149</v>
      </c>
      <c r="J1078" t="s">
        <v>29530</v>
      </c>
      <c r="K1078" t="s">
        <v>74</v>
      </c>
      <c r="L1078" t="s">
        <v>74</v>
      </c>
      <c r="M1078" t="s">
        <v>78</v>
      </c>
      <c r="N1078" t="s">
        <v>79</v>
      </c>
      <c r="O1078" t="s">
        <v>74</v>
      </c>
      <c r="P1078" t="s">
        <v>74</v>
      </c>
      <c r="Q1078" t="s">
        <v>74</v>
      </c>
      <c r="R1078" t="s">
        <v>74</v>
      </c>
      <c r="S1078" t="s">
        <v>74</v>
      </c>
      <c r="T1078" t="s">
        <v>33148</v>
      </c>
      <c r="U1078" t="s">
        <v>2337</v>
      </c>
      <c r="V1078" t="s">
        <v>33147</v>
      </c>
      <c r="W1078" t="s">
        <v>33146</v>
      </c>
      <c r="X1078" t="s">
        <v>74</v>
      </c>
      <c r="Y1078" t="s">
        <v>33145</v>
      </c>
      <c r="Z1078" t="s">
        <v>12156</v>
      </c>
      <c r="AA1078" t="s">
        <v>14950</v>
      </c>
      <c r="AB1078" t="s">
        <v>12157</v>
      </c>
      <c r="AC1078" t="s">
        <v>74</v>
      </c>
      <c r="AD1078" t="s">
        <v>74</v>
      </c>
      <c r="AE1078" t="s">
        <v>74</v>
      </c>
      <c r="AF1078" t="s">
        <v>74</v>
      </c>
      <c r="AG1078">
        <v>99</v>
      </c>
      <c r="AH1078">
        <v>41</v>
      </c>
      <c r="AI1078">
        <v>68</v>
      </c>
      <c r="AJ1078">
        <v>0</v>
      </c>
      <c r="AK1078">
        <v>14</v>
      </c>
      <c r="AL1078" t="s">
        <v>89</v>
      </c>
      <c r="AM1078" t="s">
        <v>90</v>
      </c>
      <c r="AN1078" t="s">
        <v>91</v>
      </c>
      <c r="AO1078" t="s">
        <v>29525</v>
      </c>
      <c r="AP1078" t="s">
        <v>29524</v>
      </c>
      <c r="AQ1078" t="s">
        <v>74</v>
      </c>
      <c r="AR1078" t="s">
        <v>29523</v>
      </c>
      <c r="AS1078" t="s">
        <v>29522</v>
      </c>
      <c r="AT1078" t="s">
        <v>74</v>
      </c>
      <c r="AU1078">
        <v>2016</v>
      </c>
      <c r="AV1078">
        <v>26</v>
      </c>
      <c r="AW1078">
        <v>2</v>
      </c>
      <c r="AX1078" t="s">
        <v>74</v>
      </c>
      <c r="AY1078" t="s">
        <v>74</v>
      </c>
      <c r="AZ1078" t="s">
        <v>74</v>
      </c>
      <c r="BA1078" t="s">
        <v>74</v>
      </c>
      <c r="BB1078">
        <v>291</v>
      </c>
      <c r="BC1078">
        <v>312</v>
      </c>
      <c r="BD1078" t="s">
        <v>74</v>
      </c>
      <c r="BE1078" t="s">
        <v>33144</v>
      </c>
      <c r="BF1078" t="str">
        <f>HYPERLINK("http://dx.doi.org/10.1108/RIBS-06-2014-0072","http://dx.doi.org/10.1108/RIBS-06-2014-0072")</f>
        <v>http://dx.doi.org/10.1108/RIBS-06-2014-0072</v>
      </c>
      <c r="BG1078" t="s">
        <v>74</v>
      </c>
      <c r="BH1078" t="s">
        <v>74</v>
      </c>
      <c r="BI1078">
        <v>22</v>
      </c>
      <c r="BJ1078" t="s">
        <v>418</v>
      </c>
      <c r="BK1078" t="s">
        <v>313</v>
      </c>
      <c r="BL1078" t="s">
        <v>100</v>
      </c>
      <c r="BM1078" t="s">
        <v>33143</v>
      </c>
      <c r="BN1078" t="s">
        <v>74</v>
      </c>
      <c r="BO1078" t="s">
        <v>74</v>
      </c>
      <c r="BP1078" t="s">
        <v>74</v>
      </c>
      <c r="BQ1078" t="s">
        <v>74</v>
      </c>
      <c r="BR1078" t="s">
        <v>102</v>
      </c>
      <c r="BS1078" t="s">
        <v>33142</v>
      </c>
      <c r="BT1078" t="str">
        <f>HYPERLINK("https%3A%2F%2Fwww.webofscience.com%2Fwos%2Fwoscc%2Ffull-record%2FWOS:000399080500008","View Full Record in Web of Science")</f>
        <v>View Full Record in Web of Science</v>
      </c>
    </row>
    <row r="1079" spans="1:72" x14ac:dyDescent="0.25">
      <c r="A1079" t="s">
        <v>72</v>
      </c>
      <c r="B1079" t="s">
        <v>33141</v>
      </c>
      <c r="C1079" t="s">
        <v>74</v>
      </c>
      <c r="D1079" t="s">
        <v>74</v>
      </c>
      <c r="E1079" t="s">
        <v>74</v>
      </c>
      <c r="F1079" t="s">
        <v>33140</v>
      </c>
      <c r="G1079" t="s">
        <v>74</v>
      </c>
      <c r="H1079" t="s">
        <v>74</v>
      </c>
      <c r="I1079" t="s">
        <v>33139</v>
      </c>
      <c r="J1079" t="s">
        <v>25531</v>
      </c>
      <c r="K1079" t="s">
        <v>74</v>
      </c>
      <c r="L1079" t="s">
        <v>74</v>
      </c>
      <c r="M1079" t="s">
        <v>78</v>
      </c>
      <c r="N1079" t="s">
        <v>79</v>
      </c>
      <c r="O1079" t="s">
        <v>74</v>
      </c>
      <c r="P1079" t="s">
        <v>74</v>
      </c>
      <c r="Q1079" t="s">
        <v>74</v>
      </c>
      <c r="R1079" t="s">
        <v>74</v>
      </c>
      <c r="S1079" t="s">
        <v>74</v>
      </c>
      <c r="T1079" t="s">
        <v>33138</v>
      </c>
      <c r="U1079" t="s">
        <v>74</v>
      </c>
      <c r="V1079" t="s">
        <v>33137</v>
      </c>
      <c r="W1079" t="s">
        <v>33136</v>
      </c>
      <c r="X1079" t="s">
        <v>6841</v>
      </c>
      <c r="Y1079" t="s">
        <v>33135</v>
      </c>
      <c r="Z1079" t="s">
        <v>33134</v>
      </c>
      <c r="AA1079" t="s">
        <v>33133</v>
      </c>
      <c r="AB1079" t="s">
        <v>33132</v>
      </c>
      <c r="AC1079" t="s">
        <v>74</v>
      </c>
      <c r="AD1079" t="s">
        <v>74</v>
      </c>
      <c r="AE1079" t="s">
        <v>74</v>
      </c>
      <c r="AF1079" t="s">
        <v>74</v>
      </c>
      <c r="AG1079">
        <v>24</v>
      </c>
      <c r="AH1079">
        <v>2</v>
      </c>
      <c r="AI1079">
        <v>3</v>
      </c>
      <c r="AJ1079">
        <v>3</v>
      </c>
      <c r="AK1079">
        <v>17</v>
      </c>
      <c r="AL1079" t="s">
        <v>89</v>
      </c>
      <c r="AM1079" t="s">
        <v>90</v>
      </c>
      <c r="AN1079" t="s">
        <v>91</v>
      </c>
      <c r="AO1079" t="s">
        <v>25518</v>
      </c>
      <c r="AP1079" t="s">
        <v>74</v>
      </c>
      <c r="AQ1079" t="s">
        <v>74</v>
      </c>
      <c r="AR1079" t="s">
        <v>25517</v>
      </c>
      <c r="AS1079" t="s">
        <v>25516</v>
      </c>
      <c r="AT1079" t="s">
        <v>12332</v>
      </c>
      <c r="AU1079">
        <v>2025</v>
      </c>
      <c r="AV1079">
        <v>18</v>
      </c>
      <c r="AW1079">
        <v>1</v>
      </c>
      <c r="AX1079" t="s">
        <v>74</v>
      </c>
      <c r="AY1079" t="s">
        <v>74</v>
      </c>
      <c r="AZ1079" t="s">
        <v>441</v>
      </c>
      <c r="BA1079" t="s">
        <v>74</v>
      </c>
      <c r="BB1079">
        <v>177</v>
      </c>
      <c r="BC1079">
        <v>190</v>
      </c>
      <c r="BD1079" t="s">
        <v>74</v>
      </c>
      <c r="BE1079" t="s">
        <v>33131</v>
      </c>
      <c r="BF1079" t="str">
        <f>HYPERLINK("http://dx.doi.org/10.1108/JSMA-07-2023-0175","http://dx.doi.org/10.1108/JSMA-07-2023-0175")</f>
        <v>http://dx.doi.org/10.1108/JSMA-07-2023-0175</v>
      </c>
      <c r="BG1079" t="s">
        <v>74</v>
      </c>
      <c r="BH1079" t="s">
        <v>5285</v>
      </c>
      <c r="BI1079">
        <v>14</v>
      </c>
      <c r="BJ1079" t="s">
        <v>583</v>
      </c>
      <c r="BK1079" t="s">
        <v>313</v>
      </c>
      <c r="BL1079" t="s">
        <v>100</v>
      </c>
      <c r="BM1079" t="s">
        <v>25514</v>
      </c>
      <c r="BN1079" t="s">
        <v>74</v>
      </c>
      <c r="BO1079" t="s">
        <v>74</v>
      </c>
      <c r="BP1079" t="s">
        <v>74</v>
      </c>
      <c r="BQ1079" t="s">
        <v>74</v>
      </c>
      <c r="BR1079" t="s">
        <v>102</v>
      </c>
      <c r="BS1079" t="s">
        <v>33130</v>
      </c>
      <c r="BT1079" t="str">
        <f>HYPERLINK("https%3A%2F%2Fwww.webofscience.com%2Fwos%2Fwoscc%2Ffull-record%2FWOS:001227497100001","View Full Record in Web of Science")</f>
        <v>View Full Record in Web of Science</v>
      </c>
    </row>
    <row r="1080" spans="1:72" x14ac:dyDescent="0.25">
      <c r="A1080" t="s">
        <v>72</v>
      </c>
      <c r="B1080" t="s">
        <v>33129</v>
      </c>
      <c r="C1080" t="s">
        <v>74</v>
      </c>
      <c r="D1080" t="s">
        <v>74</v>
      </c>
      <c r="E1080" t="s">
        <v>74</v>
      </c>
      <c r="F1080" t="s">
        <v>33128</v>
      </c>
      <c r="G1080" t="s">
        <v>74</v>
      </c>
      <c r="H1080" t="s">
        <v>74</v>
      </c>
      <c r="I1080" t="s">
        <v>33127</v>
      </c>
      <c r="J1080" t="s">
        <v>12427</v>
      </c>
      <c r="K1080" t="s">
        <v>74</v>
      </c>
      <c r="L1080" t="s">
        <v>74</v>
      </c>
      <c r="M1080" t="s">
        <v>78</v>
      </c>
      <c r="N1080" t="s">
        <v>79</v>
      </c>
      <c r="O1080" t="s">
        <v>74</v>
      </c>
      <c r="P1080" t="s">
        <v>74</v>
      </c>
      <c r="Q1080" t="s">
        <v>74</v>
      </c>
      <c r="R1080" t="s">
        <v>74</v>
      </c>
      <c r="S1080" t="s">
        <v>74</v>
      </c>
      <c r="T1080" t="s">
        <v>33126</v>
      </c>
      <c r="U1080" t="s">
        <v>33125</v>
      </c>
      <c r="V1080" t="s">
        <v>33124</v>
      </c>
      <c r="W1080" t="s">
        <v>33123</v>
      </c>
      <c r="X1080" t="s">
        <v>33122</v>
      </c>
      <c r="Y1080" t="s">
        <v>33121</v>
      </c>
      <c r="Z1080" t="s">
        <v>33120</v>
      </c>
      <c r="AA1080" t="s">
        <v>33119</v>
      </c>
      <c r="AB1080" t="s">
        <v>74</v>
      </c>
      <c r="AC1080" t="s">
        <v>33118</v>
      </c>
      <c r="AD1080" t="s">
        <v>33118</v>
      </c>
      <c r="AE1080" t="s">
        <v>33117</v>
      </c>
      <c r="AF1080" t="s">
        <v>74</v>
      </c>
      <c r="AG1080">
        <v>70</v>
      </c>
      <c r="AH1080">
        <v>2</v>
      </c>
      <c r="AI1080">
        <v>2</v>
      </c>
      <c r="AJ1080">
        <v>10</v>
      </c>
      <c r="AK1080">
        <v>12</v>
      </c>
      <c r="AL1080" t="s">
        <v>201</v>
      </c>
      <c r="AM1080" t="s">
        <v>202</v>
      </c>
      <c r="AN1080" t="s">
        <v>203</v>
      </c>
      <c r="AO1080" t="s">
        <v>74</v>
      </c>
      <c r="AP1080" t="s">
        <v>12435</v>
      </c>
      <c r="AQ1080" t="s">
        <v>74</v>
      </c>
      <c r="AR1080" t="s">
        <v>12436</v>
      </c>
      <c r="AS1080" t="s">
        <v>12437</v>
      </c>
      <c r="AT1080" t="s">
        <v>1652</v>
      </c>
      <c r="AU1080">
        <v>2025</v>
      </c>
      <c r="AV1080">
        <v>5</v>
      </c>
      <c r="AW1080">
        <v>1</v>
      </c>
      <c r="AX1080" t="s">
        <v>74</v>
      </c>
      <c r="AY1080" t="s">
        <v>74</v>
      </c>
      <c r="AZ1080" t="s">
        <v>74</v>
      </c>
      <c r="BA1080" t="s">
        <v>74</v>
      </c>
      <c r="BB1080" t="s">
        <v>74</v>
      </c>
      <c r="BC1080" t="s">
        <v>74</v>
      </c>
      <c r="BD1080">
        <v>100119</v>
      </c>
      <c r="BE1080" t="s">
        <v>33116</v>
      </c>
      <c r="BF1080" t="str">
        <f>HYPERLINK("http://dx.doi.org/10.1016/j.digbus.2025.100119","http://dx.doi.org/10.1016/j.digbus.2025.100119")</f>
        <v>http://dx.doi.org/10.1016/j.digbus.2025.100119</v>
      </c>
      <c r="BG1080" t="s">
        <v>74</v>
      </c>
      <c r="BH1080" t="s">
        <v>1485</v>
      </c>
      <c r="BI1080">
        <v>16</v>
      </c>
      <c r="BJ1080" t="s">
        <v>98</v>
      </c>
      <c r="BK1080" t="s">
        <v>313</v>
      </c>
      <c r="BL1080" t="s">
        <v>100</v>
      </c>
      <c r="BM1080" t="s">
        <v>33115</v>
      </c>
      <c r="BN1080" t="s">
        <v>74</v>
      </c>
      <c r="BO1080" t="s">
        <v>916</v>
      </c>
      <c r="BP1080" t="s">
        <v>74</v>
      </c>
      <c r="BQ1080" t="s">
        <v>74</v>
      </c>
      <c r="BR1080" t="s">
        <v>102</v>
      </c>
      <c r="BS1080" t="s">
        <v>33114</v>
      </c>
      <c r="BT1080" t="str">
        <f>HYPERLINK("https%3A%2F%2Fwww.webofscience.com%2Fwos%2Fwoscc%2Ffull-record%2FWOS:001466410200001","View Full Record in Web of Science")</f>
        <v>View Full Record in Web of Science</v>
      </c>
    </row>
    <row r="1081" spans="1:72" x14ac:dyDescent="0.25">
      <c r="A1081" t="s">
        <v>72</v>
      </c>
      <c r="B1081" t="s">
        <v>33113</v>
      </c>
      <c r="C1081" t="s">
        <v>74</v>
      </c>
      <c r="D1081" t="s">
        <v>74</v>
      </c>
      <c r="E1081" t="s">
        <v>74</v>
      </c>
      <c r="F1081" t="s">
        <v>33112</v>
      </c>
      <c r="G1081" t="s">
        <v>74</v>
      </c>
      <c r="H1081" t="s">
        <v>74</v>
      </c>
      <c r="I1081" t="s">
        <v>33111</v>
      </c>
      <c r="J1081" t="s">
        <v>33110</v>
      </c>
      <c r="K1081" t="s">
        <v>74</v>
      </c>
      <c r="L1081" t="s">
        <v>74</v>
      </c>
      <c r="M1081" t="s">
        <v>78</v>
      </c>
      <c r="N1081" t="s">
        <v>79</v>
      </c>
      <c r="O1081" t="s">
        <v>74</v>
      </c>
      <c r="P1081" t="s">
        <v>74</v>
      </c>
      <c r="Q1081" t="s">
        <v>74</v>
      </c>
      <c r="R1081" t="s">
        <v>74</v>
      </c>
      <c r="S1081" t="s">
        <v>74</v>
      </c>
      <c r="T1081" t="s">
        <v>33109</v>
      </c>
      <c r="U1081" t="s">
        <v>74</v>
      </c>
      <c r="V1081" t="s">
        <v>33108</v>
      </c>
      <c r="W1081" t="s">
        <v>33107</v>
      </c>
      <c r="X1081" t="s">
        <v>33106</v>
      </c>
      <c r="Y1081" t="s">
        <v>33105</v>
      </c>
      <c r="Z1081" t="s">
        <v>33104</v>
      </c>
      <c r="AA1081" t="s">
        <v>33103</v>
      </c>
      <c r="AB1081" t="s">
        <v>74</v>
      </c>
      <c r="AC1081" t="s">
        <v>74</v>
      </c>
      <c r="AD1081" t="s">
        <v>74</v>
      </c>
      <c r="AE1081" t="s">
        <v>74</v>
      </c>
      <c r="AF1081" t="s">
        <v>74</v>
      </c>
      <c r="AG1081">
        <v>10</v>
      </c>
      <c r="AH1081">
        <v>0</v>
      </c>
      <c r="AI1081">
        <v>0</v>
      </c>
      <c r="AJ1081">
        <v>2</v>
      </c>
      <c r="AK1081">
        <v>11</v>
      </c>
      <c r="AL1081" t="s">
        <v>33102</v>
      </c>
      <c r="AM1081" t="s">
        <v>33101</v>
      </c>
      <c r="AN1081" t="s">
        <v>33100</v>
      </c>
      <c r="AO1081" t="s">
        <v>33099</v>
      </c>
      <c r="AP1081" t="s">
        <v>74</v>
      </c>
      <c r="AQ1081" t="s">
        <v>74</v>
      </c>
      <c r="AR1081" t="s">
        <v>33098</v>
      </c>
      <c r="AS1081" t="s">
        <v>33097</v>
      </c>
      <c r="AT1081" t="s">
        <v>74</v>
      </c>
      <c r="AU1081">
        <v>2022</v>
      </c>
      <c r="AV1081">
        <v>14</v>
      </c>
      <c r="AW1081">
        <v>2</v>
      </c>
      <c r="AX1081" t="s">
        <v>74</v>
      </c>
      <c r="AY1081" t="s">
        <v>74</v>
      </c>
      <c r="AZ1081" t="s">
        <v>74</v>
      </c>
      <c r="BA1081" t="s">
        <v>74</v>
      </c>
      <c r="BB1081">
        <v>8018</v>
      </c>
      <c r="BC1081">
        <v>8024</v>
      </c>
      <c r="BD1081" t="s">
        <v>74</v>
      </c>
      <c r="BE1081" t="s">
        <v>33096</v>
      </c>
      <c r="BF1081" t="str">
        <f>HYPERLINK("http://dx.doi.org/10.9756/INTJECSE/V14I2.903","http://dx.doi.org/10.9756/INTJECSE/V14I2.903")</f>
        <v>http://dx.doi.org/10.9756/INTJECSE/V14I2.903</v>
      </c>
      <c r="BG1081" t="s">
        <v>74</v>
      </c>
      <c r="BH1081" t="s">
        <v>74</v>
      </c>
      <c r="BI1081">
        <v>7</v>
      </c>
      <c r="BJ1081" t="s">
        <v>33095</v>
      </c>
      <c r="BK1081" t="s">
        <v>313</v>
      </c>
      <c r="BL1081" t="s">
        <v>4031</v>
      </c>
      <c r="BM1081" t="s">
        <v>33094</v>
      </c>
      <c r="BN1081" t="s">
        <v>74</v>
      </c>
      <c r="BO1081" t="s">
        <v>74</v>
      </c>
      <c r="BP1081" t="s">
        <v>74</v>
      </c>
      <c r="BQ1081" t="s">
        <v>74</v>
      </c>
      <c r="BR1081" t="s">
        <v>102</v>
      </c>
      <c r="BS1081" t="s">
        <v>33093</v>
      </c>
      <c r="BT1081" t="str">
        <f>HYPERLINK("https%3A%2F%2Fwww.webofscience.com%2Fwos%2Fwoscc%2Ffull-record%2FWOS:000825115100017","View Full Record in Web of Science")</f>
        <v>View Full Record in Web of Science</v>
      </c>
    </row>
    <row r="1082" spans="1:72" x14ac:dyDescent="0.25">
      <c r="A1082" t="s">
        <v>72</v>
      </c>
      <c r="B1082" t="s">
        <v>33092</v>
      </c>
      <c r="C1082" t="s">
        <v>74</v>
      </c>
      <c r="D1082" t="s">
        <v>74</v>
      </c>
      <c r="E1082" t="s">
        <v>74</v>
      </c>
      <c r="F1082" t="s">
        <v>33091</v>
      </c>
      <c r="G1082" t="s">
        <v>74</v>
      </c>
      <c r="H1082" t="s">
        <v>74</v>
      </c>
      <c r="I1082" t="s">
        <v>33090</v>
      </c>
      <c r="J1082" t="s">
        <v>612</v>
      </c>
      <c r="K1082" t="s">
        <v>74</v>
      </c>
      <c r="L1082" t="s">
        <v>74</v>
      </c>
      <c r="M1082" t="s">
        <v>78</v>
      </c>
      <c r="N1082" t="s">
        <v>79</v>
      </c>
      <c r="O1082" t="s">
        <v>74</v>
      </c>
      <c r="P1082" t="s">
        <v>74</v>
      </c>
      <c r="Q1082" t="s">
        <v>74</v>
      </c>
      <c r="R1082" t="s">
        <v>74</v>
      </c>
      <c r="S1082" t="s">
        <v>74</v>
      </c>
      <c r="T1082" t="s">
        <v>33089</v>
      </c>
      <c r="U1082" t="s">
        <v>33088</v>
      </c>
      <c r="V1082" t="s">
        <v>33087</v>
      </c>
      <c r="W1082" t="s">
        <v>33086</v>
      </c>
      <c r="X1082" t="s">
        <v>33085</v>
      </c>
      <c r="Y1082" t="s">
        <v>33084</v>
      </c>
      <c r="Z1082" t="s">
        <v>33083</v>
      </c>
      <c r="AA1082" t="s">
        <v>33082</v>
      </c>
      <c r="AB1082" t="s">
        <v>33081</v>
      </c>
      <c r="AC1082" t="s">
        <v>74</v>
      </c>
      <c r="AD1082" t="s">
        <v>74</v>
      </c>
      <c r="AE1082" t="s">
        <v>74</v>
      </c>
      <c r="AF1082" t="s">
        <v>74</v>
      </c>
      <c r="AG1082">
        <v>64</v>
      </c>
      <c r="AH1082">
        <v>6</v>
      </c>
      <c r="AI1082">
        <v>8</v>
      </c>
      <c r="AJ1082">
        <v>0</v>
      </c>
      <c r="AK1082">
        <v>13</v>
      </c>
      <c r="AL1082" t="s">
        <v>620</v>
      </c>
      <c r="AM1082" t="s">
        <v>621</v>
      </c>
      <c r="AN1082" t="s">
        <v>622</v>
      </c>
      <c r="AO1082" t="s">
        <v>623</v>
      </c>
      <c r="AP1082" t="s">
        <v>624</v>
      </c>
      <c r="AQ1082" t="s">
        <v>74</v>
      </c>
      <c r="AR1082" t="s">
        <v>625</v>
      </c>
      <c r="AS1082" t="s">
        <v>626</v>
      </c>
      <c r="AT1082" t="s">
        <v>605</v>
      </c>
      <c r="AU1082">
        <v>2019</v>
      </c>
      <c r="AV1082">
        <v>66</v>
      </c>
      <c r="AW1082">
        <v>1</v>
      </c>
      <c r="AX1082" t="s">
        <v>74</v>
      </c>
      <c r="AY1082" t="s">
        <v>74</v>
      </c>
      <c r="AZ1082" t="s">
        <v>74</v>
      </c>
      <c r="BA1082" t="s">
        <v>74</v>
      </c>
      <c r="BB1082">
        <v>41</v>
      </c>
      <c r="BC1082">
        <v>63</v>
      </c>
      <c r="BD1082" t="s">
        <v>74</v>
      </c>
      <c r="BE1082" t="s">
        <v>33080</v>
      </c>
      <c r="BF1082" t="str">
        <f>HYPERLINK("http://dx.doi.org/10.2478/saeb-2019-0004","http://dx.doi.org/10.2478/saeb-2019-0004")</f>
        <v>http://dx.doi.org/10.2478/saeb-2019-0004</v>
      </c>
      <c r="BG1082" t="s">
        <v>74</v>
      </c>
      <c r="BH1082" t="s">
        <v>74</v>
      </c>
      <c r="BI1082">
        <v>23</v>
      </c>
      <c r="BJ1082" t="s">
        <v>291</v>
      </c>
      <c r="BK1082" t="s">
        <v>313</v>
      </c>
      <c r="BL1082" t="s">
        <v>100</v>
      </c>
      <c r="BM1082" t="s">
        <v>33079</v>
      </c>
      <c r="BN1082" t="s">
        <v>74</v>
      </c>
      <c r="BO1082" t="s">
        <v>212</v>
      </c>
      <c r="BP1082" t="s">
        <v>74</v>
      </c>
      <c r="BQ1082" t="s">
        <v>74</v>
      </c>
      <c r="BR1082" t="s">
        <v>102</v>
      </c>
      <c r="BS1082" t="s">
        <v>33078</v>
      </c>
      <c r="BT1082" t="str">
        <f>HYPERLINK("https%3A%2F%2Fwww.webofscience.com%2Fwos%2Fwoscc%2Ffull-record%2FWOS:000463534200004","View Full Record in Web of Science")</f>
        <v>View Full Record in Web of Science</v>
      </c>
    </row>
    <row r="1083" spans="1:72" x14ac:dyDescent="0.25">
      <c r="A1083" t="s">
        <v>72</v>
      </c>
      <c r="B1083" t="s">
        <v>33077</v>
      </c>
      <c r="C1083" t="s">
        <v>74</v>
      </c>
      <c r="D1083" t="s">
        <v>74</v>
      </c>
      <c r="E1083" t="s">
        <v>74</v>
      </c>
      <c r="F1083" t="s">
        <v>33076</v>
      </c>
      <c r="G1083" t="s">
        <v>74</v>
      </c>
      <c r="H1083" t="s">
        <v>74</v>
      </c>
      <c r="I1083" t="s">
        <v>33075</v>
      </c>
      <c r="J1083" t="s">
        <v>33074</v>
      </c>
      <c r="K1083" t="s">
        <v>74</v>
      </c>
      <c r="L1083" t="s">
        <v>74</v>
      </c>
      <c r="M1083" t="s">
        <v>78</v>
      </c>
      <c r="N1083" t="s">
        <v>79</v>
      </c>
      <c r="O1083" t="s">
        <v>74</v>
      </c>
      <c r="P1083" t="s">
        <v>74</v>
      </c>
      <c r="Q1083" t="s">
        <v>74</v>
      </c>
      <c r="R1083" t="s">
        <v>74</v>
      </c>
      <c r="S1083" t="s">
        <v>74</v>
      </c>
      <c r="T1083" t="s">
        <v>74</v>
      </c>
      <c r="U1083" t="s">
        <v>33073</v>
      </c>
      <c r="V1083" t="s">
        <v>33072</v>
      </c>
      <c r="W1083" t="s">
        <v>33071</v>
      </c>
      <c r="X1083" t="s">
        <v>33070</v>
      </c>
      <c r="Y1083" t="s">
        <v>33069</v>
      </c>
      <c r="Z1083" t="s">
        <v>33068</v>
      </c>
      <c r="AA1083" t="s">
        <v>74</v>
      </c>
      <c r="AB1083" t="s">
        <v>74</v>
      </c>
      <c r="AC1083" t="s">
        <v>33067</v>
      </c>
      <c r="AD1083" t="s">
        <v>33067</v>
      </c>
      <c r="AE1083" t="s">
        <v>33066</v>
      </c>
      <c r="AF1083" t="s">
        <v>74</v>
      </c>
      <c r="AG1083">
        <v>83</v>
      </c>
      <c r="AH1083">
        <v>75</v>
      </c>
      <c r="AI1083">
        <v>92</v>
      </c>
      <c r="AJ1083">
        <v>3</v>
      </c>
      <c r="AK1083">
        <v>55</v>
      </c>
      <c r="AL1083" t="s">
        <v>4485</v>
      </c>
      <c r="AM1083" t="s">
        <v>6724</v>
      </c>
      <c r="AN1083" t="s">
        <v>6725</v>
      </c>
      <c r="AO1083" t="s">
        <v>33065</v>
      </c>
      <c r="AP1083" t="s">
        <v>33064</v>
      </c>
      <c r="AQ1083" t="s">
        <v>74</v>
      </c>
      <c r="AR1083" t="s">
        <v>33063</v>
      </c>
      <c r="AS1083" t="s">
        <v>33062</v>
      </c>
      <c r="AT1083" t="s">
        <v>289</v>
      </c>
      <c r="AU1083">
        <v>2020</v>
      </c>
      <c r="AV1083">
        <v>118</v>
      </c>
      <c r="AW1083" t="s">
        <v>74</v>
      </c>
      <c r="AX1083" t="s">
        <v>74</v>
      </c>
      <c r="AY1083" t="s">
        <v>74</v>
      </c>
      <c r="AZ1083" t="s">
        <v>74</v>
      </c>
      <c r="BA1083" t="s">
        <v>74</v>
      </c>
      <c r="BB1083" t="s">
        <v>74</v>
      </c>
      <c r="BC1083" t="s">
        <v>74</v>
      </c>
      <c r="BD1083">
        <v>103982</v>
      </c>
      <c r="BE1083" t="s">
        <v>33061</v>
      </c>
      <c r="BF1083" t="str">
        <f>HYPERLINK("http://dx.doi.org/10.1016/j.marpol.2020.103982","http://dx.doi.org/10.1016/j.marpol.2020.103982")</f>
        <v>http://dx.doi.org/10.1016/j.marpol.2020.103982</v>
      </c>
      <c r="BG1083" t="s">
        <v>74</v>
      </c>
      <c r="BH1083" t="s">
        <v>74</v>
      </c>
      <c r="BI1083">
        <v>9</v>
      </c>
      <c r="BJ1083" t="s">
        <v>33060</v>
      </c>
      <c r="BK1083" t="s">
        <v>99</v>
      </c>
      <c r="BL1083" t="s">
        <v>33059</v>
      </c>
      <c r="BM1083" t="s">
        <v>33058</v>
      </c>
      <c r="BN1083" t="s">
        <v>74</v>
      </c>
      <c r="BO1083" t="s">
        <v>74</v>
      </c>
      <c r="BP1083" t="s">
        <v>74</v>
      </c>
      <c r="BQ1083" t="s">
        <v>74</v>
      </c>
      <c r="BR1083" t="s">
        <v>102</v>
      </c>
      <c r="BS1083" t="s">
        <v>33057</v>
      </c>
      <c r="BT1083" t="str">
        <f>HYPERLINK("https%3A%2F%2Fwww.webofscience.com%2Fwos%2Fwoscc%2Ffull-record%2FWOS:000541263600019","View Full Record in Web of Science")</f>
        <v>View Full Record in Web of Science</v>
      </c>
    </row>
    <row r="1084" spans="1:72" x14ac:dyDescent="0.25">
      <c r="A1084" t="s">
        <v>72</v>
      </c>
      <c r="B1084" t="s">
        <v>33056</v>
      </c>
      <c r="C1084" t="s">
        <v>74</v>
      </c>
      <c r="D1084" t="s">
        <v>74</v>
      </c>
      <c r="E1084" t="s">
        <v>74</v>
      </c>
      <c r="F1084" t="s">
        <v>33055</v>
      </c>
      <c r="G1084" t="s">
        <v>74</v>
      </c>
      <c r="H1084" t="s">
        <v>74</v>
      </c>
      <c r="I1084" t="s">
        <v>33054</v>
      </c>
      <c r="J1084" t="s">
        <v>19928</v>
      </c>
      <c r="K1084" t="s">
        <v>74</v>
      </c>
      <c r="L1084" t="s">
        <v>74</v>
      </c>
      <c r="M1084" t="s">
        <v>78</v>
      </c>
      <c r="N1084" t="s">
        <v>79</v>
      </c>
      <c r="O1084" t="s">
        <v>74</v>
      </c>
      <c r="P1084" t="s">
        <v>74</v>
      </c>
      <c r="Q1084" t="s">
        <v>74</v>
      </c>
      <c r="R1084" t="s">
        <v>74</v>
      </c>
      <c r="S1084" t="s">
        <v>74</v>
      </c>
      <c r="T1084" t="s">
        <v>33053</v>
      </c>
      <c r="U1084" t="s">
        <v>9655</v>
      </c>
      <c r="V1084" t="s">
        <v>33052</v>
      </c>
      <c r="W1084" t="s">
        <v>33051</v>
      </c>
      <c r="X1084" t="s">
        <v>23562</v>
      </c>
      <c r="Y1084" t="s">
        <v>27133</v>
      </c>
      <c r="Z1084" t="s">
        <v>33050</v>
      </c>
      <c r="AA1084" t="s">
        <v>74</v>
      </c>
      <c r="AB1084" t="s">
        <v>74</v>
      </c>
      <c r="AC1084" t="s">
        <v>74</v>
      </c>
      <c r="AD1084" t="s">
        <v>74</v>
      </c>
      <c r="AE1084" t="s">
        <v>74</v>
      </c>
      <c r="AF1084" t="s">
        <v>74</v>
      </c>
      <c r="AG1084">
        <v>55</v>
      </c>
      <c r="AH1084">
        <v>9</v>
      </c>
      <c r="AI1084">
        <v>14</v>
      </c>
      <c r="AJ1084">
        <v>1</v>
      </c>
      <c r="AK1084">
        <v>5</v>
      </c>
      <c r="AL1084" t="s">
        <v>19920</v>
      </c>
      <c r="AM1084" t="s">
        <v>19919</v>
      </c>
      <c r="AN1084" t="s">
        <v>19918</v>
      </c>
      <c r="AO1084" t="s">
        <v>19917</v>
      </c>
      <c r="AP1084" t="s">
        <v>19916</v>
      </c>
      <c r="AQ1084" t="s">
        <v>74</v>
      </c>
      <c r="AR1084" t="s">
        <v>19915</v>
      </c>
      <c r="AS1084" t="s">
        <v>19914</v>
      </c>
      <c r="AT1084" t="s">
        <v>1652</v>
      </c>
      <c r="AU1084">
        <v>2020</v>
      </c>
      <c r="AV1084">
        <v>12</v>
      </c>
      <c r="AW1084">
        <v>1</v>
      </c>
      <c r="AX1084" t="s">
        <v>74</v>
      </c>
      <c r="AY1084" t="s">
        <v>74</v>
      </c>
      <c r="AZ1084" t="s">
        <v>74</v>
      </c>
      <c r="BA1084" t="s">
        <v>74</v>
      </c>
      <c r="BB1084">
        <v>171</v>
      </c>
      <c r="BC1084">
        <v>202</v>
      </c>
      <c r="BD1084" t="s">
        <v>74</v>
      </c>
      <c r="BE1084" t="s">
        <v>74</v>
      </c>
      <c r="BF1084" t="s">
        <v>74</v>
      </c>
      <c r="BG1084" t="s">
        <v>74</v>
      </c>
      <c r="BH1084" t="s">
        <v>74</v>
      </c>
      <c r="BI1084">
        <v>32</v>
      </c>
      <c r="BJ1084" t="s">
        <v>291</v>
      </c>
      <c r="BK1084" t="s">
        <v>313</v>
      </c>
      <c r="BL1084" t="s">
        <v>100</v>
      </c>
      <c r="BM1084" t="s">
        <v>33049</v>
      </c>
      <c r="BN1084" t="s">
        <v>74</v>
      </c>
      <c r="BO1084" t="s">
        <v>74</v>
      </c>
      <c r="BP1084" t="s">
        <v>74</v>
      </c>
      <c r="BQ1084" t="s">
        <v>74</v>
      </c>
      <c r="BR1084" t="s">
        <v>102</v>
      </c>
      <c r="BS1084" t="s">
        <v>33048</v>
      </c>
      <c r="BT1084" t="str">
        <f>HYPERLINK("https%3A%2F%2Fwww.webofscience.com%2Fwos%2Fwoscc%2Ffull-record%2FWOS:000770803500007","View Full Record in Web of Science")</f>
        <v>View Full Record in Web of Science</v>
      </c>
    </row>
    <row r="1085" spans="1:72" x14ac:dyDescent="0.25">
      <c r="A1085" t="s">
        <v>72</v>
      </c>
      <c r="B1085" t="s">
        <v>33047</v>
      </c>
      <c r="C1085" t="s">
        <v>74</v>
      </c>
      <c r="D1085" t="s">
        <v>74</v>
      </c>
      <c r="E1085" t="s">
        <v>74</v>
      </c>
      <c r="F1085" t="s">
        <v>33046</v>
      </c>
      <c r="G1085" t="s">
        <v>74</v>
      </c>
      <c r="H1085" t="s">
        <v>74</v>
      </c>
      <c r="I1085" t="s">
        <v>33045</v>
      </c>
      <c r="J1085" t="s">
        <v>4208</v>
      </c>
      <c r="K1085" t="s">
        <v>74</v>
      </c>
      <c r="L1085" t="s">
        <v>74</v>
      </c>
      <c r="M1085" t="s">
        <v>78</v>
      </c>
      <c r="N1085" t="s">
        <v>79</v>
      </c>
      <c r="O1085" t="s">
        <v>74</v>
      </c>
      <c r="P1085" t="s">
        <v>74</v>
      </c>
      <c r="Q1085" t="s">
        <v>74</v>
      </c>
      <c r="R1085" t="s">
        <v>74</v>
      </c>
      <c r="S1085" t="s">
        <v>74</v>
      </c>
      <c r="T1085" t="s">
        <v>74</v>
      </c>
      <c r="U1085" t="s">
        <v>33044</v>
      </c>
      <c r="V1085" t="s">
        <v>33043</v>
      </c>
      <c r="W1085" t="s">
        <v>33042</v>
      </c>
      <c r="X1085" t="s">
        <v>33041</v>
      </c>
      <c r="Y1085" t="s">
        <v>33040</v>
      </c>
      <c r="Z1085" t="s">
        <v>33039</v>
      </c>
      <c r="AA1085" t="s">
        <v>74</v>
      </c>
      <c r="AB1085" t="s">
        <v>74</v>
      </c>
      <c r="AC1085" t="s">
        <v>74</v>
      </c>
      <c r="AD1085" t="s">
        <v>74</v>
      </c>
      <c r="AE1085" t="s">
        <v>74</v>
      </c>
      <c r="AF1085" t="s">
        <v>74</v>
      </c>
      <c r="AG1085">
        <v>66</v>
      </c>
      <c r="AH1085">
        <v>93</v>
      </c>
      <c r="AI1085">
        <v>110</v>
      </c>
      <c r="AJ1085">
        <v>43</v>
      </c>
      <c r="AK1085">
        <v>589</v>
      </c>
      <c r="AL1085" t="s">
        <v>4218</v>
      </c>
      <c r="AM1085" t="s">
        <v>4219</v>
      </c>
      <c r="AN1085" t="s">
        <v>4220</v>
      </c>
      <c r="AO1085" t="s">
        <v>4221</v>
      </c>
      <c r="AP1085" t="s">
        <v>74</v>
      </c>
      <c r="AQ1085" t="s">
        <v>74</v>
      </c>
      <c r="AR1085" t="s">
        <v>4208</v>
      </c>
      <c r="AS1085" t="s">
        <v>4222</v>
      </c>
      <c r="AT1085" t="s">
        <v>33038</v>
      </c>
      <c r="AU1085">
        <v>2022</v>
      </c>
      <c r="AV1085">
        <v>17</v>
      </c>
      <c r="AW1085">
        <v>3</v>
      </c>
      <c r="AX1085" t="s">
        <v>74</v>
      </c>
      <c r="AY1085" t="s">
        <v>74</v>
      </c>
      <c r="AZ1085" t="s">
        <v>74</v>
      </c>
      <c r="BA1085" t="s">
        <v>74</v>
      </c>
      <c r="BB1085" t="s">
        <v>74</v>
      </c>
      <c r="BC1085" t="s">
        <v>74</v>
      </c>
      <c r="BD1085" t="s">
        <v>33037</v>
      </c>
      <c r="BE1085" t="s">
        <v>33036</v>
      </c>
      <c r="BF1085" t="str">
        <f>HYPERLINK("http://dx.doi.org/10.1371/journal.pone.0264647","http://dx.doi.org/10.1371/journal.pone.0264647")</f>
        <v>http://dx.doi.org/10.1371/journal.pone.0264647</v>
      </c>
      <c r="BG1085" t="s">
        <v>74</v>
      </c>
      <c r="BH1085" t="s">
        <v>74</v>
      </c>
      <c r="BI1085">
        <v>20</v>
      </c>
      <c r="BJ1085" t="s">
        <v>559</v>
      </c>
      <c r="BK1085" t="s">
        <v>2623</v>
      </c>
      <c r="BL1085" t="s">
        <v>560</v>
      </c>
      <c r="BM1085" t="s">
        <v>33035</v>
      </c>
      <c r="BN1085">
        <v>35239717</v>
      </c>
      <c r="BO1085" t="s">
        <v>916</v>
      </c>
      <c r="BP1085" t="s">
        <v>74</v>
      </c>
      <c r="BQ1085" t="s">
        <v>74</v>
      </c>
      <c r="BR1085" t="s">
        <v>102</v>
      </c>
      <c r="BS1085" t="s">
        <v>33034</v>
      </c>
      <c r="BT1085" t="str">
        <f>HYPERLINK("https%3A%2F%2Fwww.webofscience.com%2Fwos%2Fwoscc%2Ffull-record%2FWOS:000776002200059","View Full Record in Web of Science")</f>
        <v>View Full Record in Web of Science</v>
      </c>
    </row>
    <row r="1086" spans="1:72" x14ac:dyDescent="0.25">
      <c r="A1086" t="s">
        <v>72</v>
      </c>
      <c r="B1086" t="s">
        <v>33033</v>
      </c>
      <c r="C1086" t="s">
        <v>74</v>
      </c>
      <c r="D1086" t="s">
        <v>74</v>
      </c>
      <c r="E1086" t="s">
        <v>74</v>
      </c>
      <c r="F1086" t="s">
        <v>33032</v>
      </c>
      <c r="G1086" t="s">
        <v>74</v>
      </c>
      <c r="H1086" t="s">
        <v>74</v>
      </c>
      <c r="I1086" t="s">
        <v>33031</v>
      </c>
      <c r="J1086" t="s">
        <v>20429</v>
      </c>
      <c r="K1086" t="s">
        <v>74</v>
      </c>
      <c r="L1086" t="s">
        <v>74</v>
      </c>
      <c r="M1086" t="s">
        <v>78</v>
      </c>
      <c r="N1086" t="s">
        <v>79</v>
      </c>
      <c r="O1086" t="s">
        <v>74</v>
      </c>
      <c r="P1086" t="s">
        <v>74</v>
      </c>
      <c r="Q1086" t="s">
        <v>74</v>
      </c>
      <c r="R1086" t="s">
        <v>74</v>
      </c>
      <c r="S1086" t="s">
        <v>74</v>
      </c>
      <c r="T1086" t="s">
        <v>33030</v>
      </c>
      <c r="U1086" t="s">
        <v>33029</v>
      </c>
      <c r="V1086" t="s">
        <v>33028</v>
      </c>
      <c r="W1086" t="s">
        <v>33027</v>
      </c>
      <c r="X1086" t="s">
        <v>33026</v>
      </c>
      <c r="Y1086" t="s">
        <v>33025</v>
      </c>
      <c r="Z1086" t="s">
        <v>33024</v>
      </c>
      <c r="AA1086" t="s">
        <v>33023</v>
      </c>
      <c r="AB1086" t="s">
        <v>74</v>
      </c>
      <c r="AC1086" t="s">
        <v>74</v>
      </c>
      <c r="AD1086" t="s">
        <v>74</v>
      </c>
      <c r="AE1086" t="s">
        <v>74</v>
      </c>
      <c r="AF1086" t="s">
        <v>74</v>
      </c>
      <c r="AG1086">
        <v>54</v>
      </c>
      <c r="AH1086">
        <v>9</v>
      </c>
      <c r="AI1086">
        <v>11</v>
      </c>
      <c r="AJ1086">
        <v>0</v>
      </c>
      <c r="AK1086">
        <v>3</v>
      </c>
      <c r="AL1086" t="s">
        <v>409</v>
      </c>
      <c r="AM1086" t="s">
        <v>410</v>
      </c>
      <c r="AN1086" t="s">
        <v>411</v>
      </c>
      <c r="AO1086" t="s">
        <v>20419</v>
      </c>
      <c r="AP1086" t="s">
        <v>20418</v>
      </c>
      <c r="AQ1086" t="s">
        <v>74</v>
      </c>
      <c r="AR1086" t="s">
        <v>20417</v>
      </c>
      <c r="AS1086" t="s">
        <v>20416</v>
      </c>
      <c r="AT1086" t="s">
        <v>848</v>
      </c>
      <c r="AU1086">
        <v>2015</v>
      </c>
      <c r="AV1086">
        <v>4</v>
      </c>
      <c r="AW1086">
        <v>2</v>
      </c>
      <c r="AX1086" t="s">
        <v>74</v>
      </c>
      <c r="AY1086" t="s">
        <v>74</v>
      </c>
      <c r="AZ1086" t="s">
        <v>74</v>
      </c>
      <c r="BA1086" t="s">
        <v>74</v>
      </c>
      <c r="BB1086">
        <v>106</v>
      </c>
      <c r="BC1086">
        <v>123</v>
      </c>
      <c r="BD1086" t="s">
        <v>74</v>
      </c>
      <c r="BE1086" t="s">
        <v>33022</v>
      </c>
      <c r="BF1086" t="str">
        <f>HYPERLINK("http://dx.doi.org/10.1177/2277975215607251","http://dx.doi.org/10.1177/2277975215607251")</f>
        <v>http://dx.doi.org/10.1177/2277975215607251</v>
      </c>
      <c r="BG1086" t="s">
        <v>74</v>
      </c>
      <c r="BH1086" t="s">
        <v>74</v>
      </c>
      <c r="BI1086">
        <v>18</v>
      </c>
      <c r="BJ1086" t="s">
        <v>583</v>
      </c>
      <c r="BK1086" t="s">
        <v>313</v>
      </c>
      <c r="BL1086" t="s">
        <v>100</v>
      </c>
      <c r="BM1086" t="s">
        <v>33021</v>
      </c>
      <c r="BN1086" t="s">
        <v>74</v>
      </c>
      <c r="BO1086" t="s">
        <v>74</v>
      </c>
      <c r="BP1086" t="s">
        <v>74</v>
      </c>
      <c r="BQ1086" t="s">
        <v>74</v>
      </c>
      <c r="BR1086" t="s">
        <v>102</v>
      </c>
      <c r="BS1086" t="s">
        <v>33020</v>
      </c>
      <c r="BT1086" t="str">
        <f>HYPERLINK("https%3A%2F%2Fwww.webofscience.com%2Fwos%2Fwoscc%2Ffull-record%2FWOS:000457918100004","View Full Record in Web of Science")</f>
        <v>View Full Record in Web of Science</v>
      </c>
    </row>
    <row r="1087" spans="1:72" x14ac:dyDescent="0.25">
      <c r="A1087" t="s">
        <v>72</v>
      </c>
      <c r="B1087" t="s">
        <v>33019</v>
      </c>
      <c r="C1087" t="s">
        <v>74</v>
      </c>
      <c r="D1087" t="s">
        <v>74</v>
      </c>
      <c r="E1087" t="s">
        <v>74</v>
      </c>
      <c r="F1087" t="s">
        <v>33018</v>
      </c>
      <c r="G1087" t="s">
        <v>74</v>
      </c>
      <c r="H1087" t="s">
        <v>74</v>
      </c>
      <c r="I1087" t="s">
        <v>33017</v>
      </c>
      <c r="J1087" t="s">
        <v>656</v>
      </c>
      <c r="K1087" t="s">
        <v>74</v>
      </c>
      <c r="L1087" t="s">
        <v>74</v>
      </c>
      <c r="M1087" t="s">
        <v>78</v>
      </c>
      <c r="N1087" t="s">
        <v>79</v>
      </c>
      <c r="O1087" t="s">
        <v>74</v>
      </c>
      <c r="P1087" t="s">
        <v>74</v>
      </c>
      <c r="Q1087" t="s">
        <v>74</v>
      </c>
      <c r="R1087" t="s">
        <v>74</v>
      </c>
      <c r="S1087" t="s">
        <v>74</v>
      </c>
      <c r="T1087" t="s">
        <v>33016</v>
      </c>
      <c r="U1087" t="s">
        <v>33015</v>
      </c>
      <c r="V1087" t="s">
        <v>33014</v>
      </c>
      <c r="W1087" t="s">
        <v>33013</v>
      </c>
      <c r="X1087" t="s">
        <v>33012</v>
      </c>
      <c r="Y1087" t="s">
        <v>33011</v>
      </c>
      <c r="Z1087" t="s">
        <v>33010</v>
      </c>
      <c r="AA1087" t="s">
        <v>33009</v>
      </c>
      <c r="AB1087" t="s">
        <v>33008</v>
      </c>
      <c r="AC1087" t="s">
        <v>74</v>
      </c>
      <c r="AD1087" t="s">
        <v>74</v>
      </c>
      <c r="AE1087" t="s">
        <v>74</v>
      </c>
      <c r="AF1087" t="s">
        <v>74</v>
      </c>
      <c r="AG1087">
        <v>77</v>
      </c>
      <c r="AH1087">
        <v>20</v>
      </c>
      <c r="AI1087">
        <v>27</v>
      </c>
      <c r="AJ1087">
        <v>1</v>
      </c>
      <c r="AK1087">
        <v>23</v>
      </c>
      <c r="AL1087" t="s">
        <v>666</v>
      </c>
      <c r="AM1087" t="s">
        <v>667</v>
      </c>
      <c r="AN1087" t="s">
        <v>668</v>
      </c>
      <c r="AO1087" t="s">
        <v>669</v>
      </c>
      <c r="AP1087" t="s">
        <v>670</v>
      </c>
      <c r="AQ1087" t="s">
        <v>74</v>
      </c>
      <c r="AR1087" t="s">
        <v>671</v>
      </c>
      <c r="AS1087" t="s">
        <v>672</v>
      </c>
      <c r="AT1087" t="s">
        <v>124</v>
      </c>
      <c r="AU1087">
        <v>2022</v>
      </c>
      <c r="AV1087">
        <v>43</v>
      </c>
      <c r="AW1087">
        <v>4</v>
      </c>
      <c r="AX1087" t="s">
        <v>74</v>
      </c>
      <c r="AY1087" t="s">
        <v>74</v>
      </c>
      <c r="AZ1087" t="s">
        <v>441</v>
      </c>
      <c r="BA1087" t="s">
        <v>74</v>
      </c>
      <c r="BB1087">
        <v>744</v>
      </c>
      <c r="BC1087">
        <v>755</v>
      </c>
      <c r="BD1087" t="s">
        <v>74</v>
      </c>
      <c r="BE1087" t="s">
        <v>33007</v>
      </c>
      <c r="BF1087" t="str">
        <f>HYPERLINK("http://dx.doi.org/10.1007/s10834-022-09869-6","http://dx.doi.org/10.1007/s10834-022-09869-6")</f>
        <v>http://dx.doi.org/10.1007/s10834-022-09869-6</v>
      </c>
      <c r="BG1087" t="s">
        <v>74</v>
      </c>
      <c r="BH1087" t="s">
        <v>5112</v>
      </c>
      <c r="BI1087">
        <v>12</v>
      </c>
      <c r="BJ1087" t="s">
        <v>675</v>
      </c>
      <c r="BK1087" t="s">
        <v>99</v>
      </c>
      <c r="BL1087" t="s">
        <v>676</v>
      </c>
      <c r="BM1087" t="s">
        <v>677</v>
      </c>
      <c r="BN1087">
        <v>36338921</v>
      </c>
      <c r="BO1087" t="s">
        <v>678</v>
      </c>
      <c r="BP1087" t="s">
        <v>74</v>
      </c>
      <c r="BQ1087" t="s">
        <v>74</v>
      </c>
      <c r="BR1087" t="s">
        <v>102</v>
      </c>
      <c r="BS1087" t="s">
        <v>33006</v>
      </c>
      <c r="BT1087" t="str">
        <f>HYPERLINK("https%3A%2F%2Fwww.webofscience.com%2Fwos%2Fwoscc%2Ffull-record%2FWOS:000876883800001","View Full Record in Web of Science")</f>
        <v>View Full Record in Web of Science</v>
      </c>
    </row>
    <row r="1088" spans="1:72" x14ac:dyDescent="0.25">
      <c r="A1088" t="s">
        <v>72</v>
      </c>
      <c r="B1088" t="s">
        <v>33005</v>
      </c>
      <c r="C1088" t="s">
        <v>74</v>
      </c>
      <c r="D1088" t="s">
        <v>74</v>
      </c>
      <c r="E1088" t="s">
        <v>74</v>
      </c>
      <c r="F1088" t="s">
        <v>33004</v>
      </c>
      <c r="G1088" t="s">
        <v>74</v>
      </c>
      <c r="H1088" t="s">
        <v>74</v>
      </c>
      <c r="I1088" t="s">
        <v>33003</v>
      </c>
      <c r="J1088" t="s">
        <v>33002</v>
      </c>
      <c r="K1088" t="s">
        <v>74</v>
      </c>
      <c r="L1088" t="s">
        <v>74</v>
      </c>
      <c r="M1088" t="s">
        <v>78</v>
      </c>
      <c r="N1088" t="s">
        <v>79</v>
      </c>
      <c r="O1088" t="s">
        <v>74</v>
      </c>
      <c r="P1088" t="s">
        <v>74</v>
      </c>
      <c r="Q1088" t="s">
        <v>74</v>
      </c>
      <c r="R1088" t="s">
        <v>74</v>
      </c>
      <c r="S1088" t="s">
        <v>74</v>
      </c>
      <c r="T1088" t="s">
        <v>33001</v>
      </c>
      <c r="U1088" t="s">
        <v>33000</v>
      </c>
      <c r="V1088" t="s">
        <v>32999</v>
      </c>
      <c r="W1088" t="s">
        <v>32998</v>
      </c>
      <c r="X1088" t="s">
        <v>32997</v>
      </c>
      <c r="Y1088" t="s">
        <v>32996</v>
      </c>
      <c r="Z1088" t="s">
        <v>23129</v>
      </c>
      <c r="AA1088" t="s">
        <v>74</v>
      </c>
      <c r="AB1088" t="s">
        <v>32995</v>
      </c>
      <c r="AC1088" t="s">
        <v>32994</v>
      </c>
      <c r="AD1088" t="s">
        <v>32993</v>
      </c>
      <c r="AE1088" t="s">
        <v>32992</v>
      </c>
      <c r="AF1088" t="s">
        <v>74</v>
      </c>
      <c r="AG1088">
        <v>100</v>
      </c>
      <c r="AH1088">
        <v>2</v>
      </c>
      <c r="AI1088">
        <v>2</v>
      </c>
      <c r="AJ1088">
        <v>15</v>
      </c>
      <c r="AK1088">
        <v>26</v>
      </c>
      <c r="AL1088" t="s">
        <v>479</v>
      </c>
      <c r="AM1088" t="s">
        <v>480</v>
      </c>
      <c r="AN1088" t="s">
        <v>481</v>
      </c>
      <c r="AO1088" t="s">
        <v>32991</v>
      </c>
      <c r="AP1088" t="s">
        <v>32990</v>
      </c>
      <c r="AQ1088" t="s">
        <v>74</v>
      </c>
      <c r="AR1088" t="s">
        <v>32989</v>
      </c>
      <c r="AS1088" t="s">
        <v>32988</v>
      </c>
      <c r="AT1088" t="s">
        <v>1540</v>
      </c>
      <c r="AU1088">
        <v>2025</v>
      </c>
      <c r="AV1088">
        <v>34</v>
      </c>
      <c r="AW1088">
        <v>4</v>
      </c>
      <c r="AX1088" t="s">
        <v>74</v>
      </c>
      <c r="AY1088" t="s">
        <v>74</v>
      </c>
      <c r="AZ1088" t="s">
        <v>74</v>
      </c>
      <c r="BA1088" t="s">
        <v>74</v>
      </c>
      <c r="BB1088">
        <v>4409</v>
      </c>
      <c r="BC1088">
        <v>4435</v>
      </c>
      <c r="BD1088" t="s">
        <v>74</v>
      </c>
      <c r="BE1088" t="s">
        <v>32987</v>
      </c>
      <c r="BF1088" t="str">
        <f>HYPERLINK("http://dx.doi.org/10.1002/bse.4178","http://dx.doi.org/10.1002/bse.4178")</f>
        <v>http://dx.doi.org/10.1002/bse.4178</v>
      </c>
      <c r="BG1088" t="s">
        <v>74</v>
      </c>
      <c r="BH1088" t="s">
        <v>417</v>
      </c>
      <c r="BI1088">
        <v>27</v>
      </c>
      <c r="BJ1088" t="s">
        <v>14039</v>
      </c>
      <c r="BK1088" t="s">
        <v>99</v>
      </c>
      <c r="BL1088" t="s">
        <v>14040</v>
      </c>
      <c r="BM1088" t="s">
        <v>32986</v>
      </c>
      <c r="BN1088" t="s">
        <v>74</v>
      </c>
      <c r="BO1088" t="s">
        <v>466</v>
      </c>
      <c r="BP1088" t="s">
        <v>74</v>
      </c>
      <c r="BQ1088" t="s">
        <v>74</v>
      </c>
      <c r="BR1088" t="s">
        <v>102</v>
      </c>
      <c r="BS1088" t="s">
        <v>32985</v>
      </c>
      <c r="BT1088" t="str">
        <f>HYPERLINK("https%3A%2F%2Fwww.webofscience.com%2Fwos%2Fwoscc%2Ffull-record%2FWOS:001423957500001","View Full Record in Web of Science")</f>
        <v>View Full Record in Web of Science</v>
      </c>
    </row>
    <row r="1089" spans="1:72" x14ac:dyDescent="0.25">
      <c r="A1089" t="s">
        <v>72</v>
      </c>
      <c r="B1089" t="s">
        <v>32984</v>
      </c>
      <c r="C1089" t="s">
        <v>74</v>
      </c>
      <c r="D1089" t="s">
        <v>74</v>
      </c>
      <c r="E1089" t="s">
        <v>74</v>
      </c>
      <c r="F1089" t="s">
        <v>32983</v>
      </c>
      <c r="G1089" t="s">
        <v>74</v>
      </c>
      <c r="H1089" t="s">
        <v>74</v>
      </c>
      <c r="I1089" t="s">
        <v>32982</v>
      </c>
      <c r="J1089" t="s">
        <v>32981</v>
      </c>
      <c r="K1089" t="s">
        <v>74</v>
      </c>
      <c r="L1089" t="s">
        <v>74</v>
      </c>
      <c r="M1089" t="s">
        <v>78</v>
      </c>
      <c r="N1089" t="s">
        <v>1766</v>
      </c>
      <c r="O1089" t="s">
        <v>74</v>
      </c>
      <c r="P1089" t="s">
        <v>74</v>
      </c>
      <c r="Q1089" t="s">
        <v>74</v>
      </c>
      <c r="R1089" t="s">
        <v>74</v>
      </c>
      <c r="S1089" t="s">
        <v>74</v>
      </c>
      <c r="T1089" t="s">
        <v>32980</v>
      </c>
      <c r="U1089" t="s">
        <v>32979</v>
      </c>
      <c r="V1089" t="s">
        <v>32978</v>
      </c>
      <c r="W1089" t="s">
        <v>32977</v>
      </c>
      <c r="X1089" t="s">
        <v>32976</v>
      </c>
      <c r="Y1089" t="s">
        <v>32975</v>
      </c>
      <c r="Z1089" t="s">
        <v>32974</v>
      </c>
      <c r="AA1089" t="s">
        <v>74</v>
      </c>
      <c r="AB1089" t="s">
        <v>32973</v>
      </c>
      <c r="AC1089" t="s">
        <v>32972</v>
      </c>
      <c r="AD1089" t="s">
        <v>32971</v>
      </c>
      <c r="AE1089" t="s">
        <v>32970</v>
      </c>
      <c r="AF1089" t="s">
        <v>74</v>
      </c>
      <c r="AG1089">
        <v>94</v>
      </c>
      <c r="AH1089">
        <v>9</v>
      </c>
      <c r="AI1089">
        <v>10</v>
      </c>
      <c r="AJ1089">
        <v>4</v>
      </c>
      <c r="AK1089">
        <v>58</v>
      </c>
      <c r="AL1089" t="s">
        <v>575</v>
      </c>
      <c r="AM1089" t="s">
        <v>576</v>
      </c>
      <c r="AN1089" t="s">
        <v>577</v>
      </c>
      <c r="AO1089" t="s">
        <v>74</v>
      </c>
      <c r="AP1089" t="s">
        <v>32969</v>
      </c>
      <c r="AQ1089" t="s">
        <v>74</v>
      </c>
      <c r="AR1089" t="s">
        <v>32968</v>
      </c>
      <c r="AS1089" t="s">
        <v>32967</v>
      </c>
      <c r="AT1089" t="s">
        <v>698</v>
      </c>
      <c r="AU1089">
        <v>2022</v>
      </c>
      <c r="AV1089">
        <v>11</v>
      </c>
      <c r="AW1089">
        <v>9</v>
      </c>
      <c r="AX1089" t="s">
        <v>74</v>
      </c>
      <c r="AY1089" t="s">
        <v>74</v>
      </c>
      <c r="AZ1089" t="s">
        <v>74</v>
      </c>
      <c r="BA1089" t="s">
        <v>74</v>
      </c>
      <c r="BB1089" t="s">
        <v>74</v>
      </c>
      <c r="BC1089" t="s">
        <v>74</v>
      </c>
      <c r="BD1089">
        <v>1444</v>
      </c>
      <c r="BE1089" t="s">
        <v>32966</v>
      </c>
      <c r="BF1089" t="str">
        <f>HYPERLINK("http://dx.doi.org/10.3390/land11091444","http://dx.doi.org/10.3390/land11091444")</f>
        <v>http://dx.doi.org/10.3390/land11091444</v>
      </c>
      <c r="BG1089" t="s">
        <v>74</v>
      </c>
      <c r="BH1089" t="s">
        <v>74</v>
      </c>
      <c r="BI1089">
        <v>26</v>
      </c>
      <c r="BJ1089" t="s">
        <v>14327</v>
      </c>
      <c r="BK1089" t="s">
        <v>99</v>
      </c>
      <c r="BL1089" t="s">
        <v>129</v>
      </c>
      <c r="BM1089" t="s">
        <v>32965</v>
      </c>
      <c r="BN1089" t="s">
        <v>74</v>
      </c>
      <c r="BO1089" t="s">
        <v>916</v>
      </c>
      <c r="BP1089" t="s">
        <v>74</v>
      </c>
      <c r="BQ1089" t="s">
        <v>74</v>
      </c>
      <c r="BR1089" t="s">
        <v>102</v>
      </c>
      <c r="BS1089" t="s">
        <v>32964</v>
      </c>
      <c r="BT1089" t="str">
        <f>HYPERLINK("https%3A%2F%2Fwww.webofscience.com%2Fwos%2Fwoscc%2Ffull-record%2FWOS:000856692000001","View Full Record in Web of Science")</f>
        <v>View Full Record in Web of Science</v>
      </c>
    </row>
    <row r="1090" spans="1:72" x14ac:dyDescent="0.25">
      <c r="A1090" t="s">
        <v>72</v>
      </c>
      <c r="B1090" t="s">
        <v>32963</v>
      </c>
      <c r="C1090" t="s">
        <v>74</v>
      </c>
      <c r="D1090" t="s">
        <v>74</v>
      </c>
      <c r="E1090" t="s">
        <v>74</v>
      </c>
      <c r="F1090" t="s">
        <v>32962</v>
      </c>
      <c r="G1090" t="s">
        <v>74</v>
      </c>
      <c r="H1090" t="s">
        <v>74</v>
      </c>
      <c r="I1090" t="s">
        <v>32961</v>
      </c>
      <c r="J1090" t="s">
        <v>32960</v>
      </c>
      <c r="K1090" t="s">
        <v>74</v>
      </c>
      <c r="L1090" t="s">
        <v>74</v>
      </c>
      <c r="M1090" t="s">
        <v>78</v>
      </c>
      <c r="N1090" t="s">
        <v>79</v>
      </c>
      <c r="O1090" t="s">
        <v>74</v>
      </c>
      <c r="P1090" t="s">
        <v>74</v>
      </c>
      <c r="Q1090" t="s">
        <v>74</v>
      </c>
      <c r="R1090" t="s">
        <v>74</v>
      </c>
      <c r="S1090" t="s">
        <v>74</v>
      </c>
      <c r="T1090" t="s">
        <v>32959</v>
      </c>
      <c r="U1090" t="s">
        <v>32958</v>
      </c>
      <c r="V1090" t="s">
        <v>32957</v>
      </c>
      <c r="W1090" t="s">
        <v>32956</v>
      </c>
      <c r="X1090" t="s">
        <v>32955</v>
      </c>
      <c r="Y1090" t="s">
        <v>32954</v>
      </c>
      <c r="Z1090" t="s">
        <v>32953</v>
      </c>
      <c r="AA1090" t="s">
        <v>74</v>
      </c>
      <c r="AB1090" t="s">
        <v>32952</v>
      </c>
      <c r="AC1090" t="s">
        <v>74</v>
      </c>
      <c r="AD1090" t="s">
        <v>74</v>
      </c>
      <c r="AE1090" t="s">
        <v>74</v>
      </c>
      <c r="AF1090" t="s">
        <v>74</v>
      </c>
      <c r="AG1090">
        <v>41</v>
      </c>
      <c r="AH1090">
        <v>13</v>
      </c>
      <c r="AI1090">
        <v>15</v>
      </c>
      <c r="AJ1090">
        <v>0</v>
      </c>
      <c r="AK1090">
        <v>13</v>
      </c>
      <c r="AL1090" t="s">
        <v>757</v>
      </c>
      <c r="AM1090" t="s">
        <v>758</v>
      </c>
      <c r="AN1090" t="s">
        <v>759</v>
      </c>
      <c r="AO1090" t="s">
        <v>32951</v>
      </c>
      <c r="AP1090" t="s">
        <v>32950</v>
      </c>
      <c r="AQ1090" t="s">
        <v>74</v>
      </c>
      <c r="AR1090" t="s">
        <v>32949</v>
      </c>
      <c r="AS1090" t="s">
        <v>32948</v>
      </c>
      <c r="AT1090" t="s">
        <v>698</v>
      </c>
      <c r="AU1090">
        <v>2020</v>
      </c>
      <c r="AV1090">
        <v>20</v>
      </c>
      <c r="AW1090">
        <v>5</v>
      </c>
      <c r="AX1090" t="s">
        <v>74</v>
      </c>
      <c r="AY1090" t="s">
        <v>74</v>
      </c>
      <c r="AZ1090" t="s">
        <v>74</v>
      </c>
      <c r="BA1090" t="s">
        <v>74</v>
      </c>
      <c r="BB1090">
        <v>657</v>
      </c>
      <c r="BC1090">
        <v>672</v>
      </c>
      <c r="BD1090" t="s">
        <v>74</v>
      </c>
      <c r="BE1090" t="s">
        <v>32947</v>
      </c>
      <c r="BF1090" t="str">
        <f>HYPERLINK("http://dx.doi.org/10.1177/1468017319860308","http://dx.doi.org/10.1177/1468017319860308")</f>
        <v>http://dx.doi.org/10.1177/1468017319860308</v>
      </c>
      <c r="BG1090" t="s">
        <v>74</v>
      </c>
      <c r="BH1090" t="s">
        <v>74</v>
      </c>
      <c r="BI1090">
        <v>16</v>
      </c>
      <c r="BJ1090" t="s">
        <v>2045</v>
      </c>
      <c r="BK1090" t="s">
        <v>99</v>
      </c>
      <c r="BL1090" t="s">
        <v>2045</v>
      </c>
      <c r="BM1090" t="s">
        <v>32946</v>
      </c>
      <c r="BN1090" t="s">
        <v>74</v>
      </c>
      <c r="BO1090" t="s">
        <v>74</v>
      </c>
      <c r="BP1090" t="s">
        <v>74</v>
      </c>
      <c r="BQ1090" t="s">
        <v>74</v>
      </c>
      <c r="BR1090" t="s">
        <v>102</v>
      </c>
      <c r="BS1090" t="s">
        <v>32945</v>
      </c>
      <c r="BT1090" t="str">
        <f>HYPERLINK("https%3A%2F%2Fwww.webofscience.com%2Fwos%2Fwoscc%2Ffull-record%2FWOS:000553840800007","View Full Record in Web of Science")</f>
        <v>View Full Record in Web of Science</v>
      </c>
    </row>
    <row r="1091" spans="1:72" x14ac:dyDescent="0.25">
      <c r="A1091" t="s">
        <v>72</v>
      </c>
      <c r="B1091" t="s">
        <v>32944</v>
      </c>
      <c r="C1091" t="s">
        <v>74</v>
      </c>
      <c r="D1091" t="s">
        <v>74</v>
      </c>
      <c r="E1091" t="s">
        <v>74</v>
      </c>
      <c r="F1091" t="s">
        <v>32943</v>
      </c>
      <c r="G1091" t="s">
        <v>74</v>
      </c>
      <c r="H1091" t="s">
        <v>74</v>
      </c>
      <c r="I1091" t="s">
        <v>32942</v>
      </c>
      <c r="J1091" t="s">
        <v>16089</v>
      </c>
      <c r="K1091" t="s">
        <v>74</v>
      </c>
      <c r="L1091" t="s">
        <v>74</v>
      </c>
      <c r="M1091" t="s">
        <v>78</v>
      </c>
      <c r="N1091" t="s">
        <v>79</v>
      </c>
      <c r="O1091" t="s">
        <v>74</v>
      </c>
      <c r="P1091" t="s">
        <v>74</v>
      </c>
      <c r="Q1091" t="s">
        <v>74</v>
      </c>
      <c r="R1091" t="s">
        <v>74</v>
      </c>
      <c r="S1091" t="s">
        <v>74</v>
      </c>
      <c r="T1091" t="s">
        <v>74</v>
      </c>
      <c r="U1091" t="s">
        <v>74</v>
      </c>
      <c r="V1091" t="s">
        <v>32941</v>
      </c>
      <c r="W1091" t="s">
        <v>32940</v>
      </c>
      <c r="X1091" t="s">
        <v>74</v>
      </c>
      <c r="Y1091" t="s">
        <v>32939</v>
      </c>
      <c r="Z1091" t="s">
        <v>32938</v>
      </c>
      <c r="AA1091" t="s">
        <v>74</v>
      </c>
      <c r="AB1091" t="s">
        <v>74</v>
      </c>
      <c r="AC1091" t="s">
        <v>74</v>
      </c>
      <c r="AD1091" t="s">
        <v>74</v>
      </c>
      <c r="AE1091" t="s">
        <v>74</v>
      </c>
      <c r="AF1091" t="s">
        <v>74</v>
      </c>
      <c r="AG1091">
        <v>45</v>
      </c>
      <c r="AH1091">
        <v>4</v>
      </c>
      <c r="AI1091">
        <v>7</v>
      </c>
      <c r="AJ1091">
        <v>0</v>
      </c>
      <c r="AK1091">
        <v>3</v>
      </c>
      <c r="AL1091" t="s">
        <v>16099</v>
      </c>
      <c r="AM1091" t="s">
        <v>16100</v>
      </c>
      <c r="AN1091" t="s">
        <v>16101</v>
      </c>
      <c r="AO1091" t="s">
        <v>16102</v>
      </c>
      <c r="AP1091" t="s">
        <v>16103</v>
      </c>
      <c r="AQ1091" t="s">
        <v>74</v>
      </c>
      <c r="AR1091" t="s">
        <v>16104</v>
      </c>
      <c r="AS1091" t="s">
        <v>16105</v>
      </c>
      <c r="AT1091" t="s">
        <v>1540</v>
      </c>
      <c r="AU1091">
        <v>2015</v>
      </c>
      <c r="AV1091">
        <v>24</v>
      </c>
      <c r="AW1091">
        <v>3</v>
      </c>
      <c r="AX1091" t="s">
        <v>74</v>
      </c>
      <c r="AY1091" t="s">
        <v>74</v>
      </c>
      <c r="AZ1091" t="s">
        <v>441</v>
      </c>
      <c r="BA1091" t="s">
        <v>74</v>
      </c>
      <c r="BB1091">
        <v>225</v>
      </c>
      <c r="BC1091">
        <v>241</v>
      </c>
      <c r="BD1091" t="s">
        <v>74</v>
      </c>
      <c r="BE1091" t="s">
        <v>32937</v>
      </c>
      <c r="BF1091" t="str">
        <f>HYPERLINK("http://dx.doi.org/10.1002/jsc.2006","http://dx.doi.org/10.1002/jsc.2006")</f>
        <v>http://dx.doi.org/10.1002/jsc.2006</v>
      </c>
      <c r="BG1091" t="s">
        <v>74</v>
      </c>
      <c r="BH1091" t="s">
        <v>74</v>
      </c>
      <c r="BI1091">
        <v>17</v>
      </c>
      <c r="BJ1091" t="s">
        <v>268</v>
      </c>
      <c r="BK1091" t="s">
        <v>313</v>
      </c>
      <c r="BL1091" t="s">
        <v>100</v>
      </c>
      <c r="BM1091" t="s">
        <v>32936</v>
      </c>
      <c r="BN1091" t="s">
        <v>74</v>
      </c>
      <c r="BO1091" t="s">
        <v>74</v>
      </c>
      <c r="BP1091" t="s">
        <v>74</v>
      </c>
      <c r="BQ1091" t="s">
        <v>74</v>
      </c>
      <c r="BR1091" t="s">
        <v>102</v>
      </c>
      <c r="BS1091" t="s">
        <v>32935</v>
      </c>
      <c r="BT1091" t="str">
        <f>HYPERLINK("https%3A%2F%2Fwww.webofscience.com%2Fwos%2Fwoscc%2Ffull-record%2FWOS:000218229200002","View Full Record in Web of Science")</f>
        <v>View Full Record in Web of Science</v>
      </c>
    </row>
    <row r="1092" spans="1:72" x14ac:dyDescent="0.25">
      <c r="A1092" t="s">
        <v>72</v>
      </c>
      <c r="B1092" t="s">
        <v>32934</v>
      </c>
      <c r="C1092" t="s">
        <v>74</v>
      </c>
      <c r="D1092" t="s">
        <v>74</v>
      </c>
      <c r="E1092" t="s">
        <v>74</v>
      </c>
      <c r="F1092" t="s">
        <v>32933</v>
      </c>
      <c r="G1092" t="s">
        <v>74</v>
      </c>
      <c r="H1092" t="s">
        <v>74</v>
      </c>
      <c r="I1092" t="s">
        <v>32932</v>
      </c>
      <c r="J1092" t="s">
        <v>32931</v>
      </c>
      <c r="K1092" t="s">
        <v>74</v>
      </c>
      <c r="L1092" t="s">
        <v>74</v>
      </c>
      <c r="M1092" t="s">
        <v>78</v>
      </c>
      <c r="N1092" t="s">
        <v>79</v>
      </c>
      <c r="O1092" t="s">
        <v>74</v>
      </c>
      <c r="P1092" t="s">
        <v>74</v>
      </c>
      <c r="Q1092" t="s">
        <v>74</v>
      </c>
      <c r="R1092" t="s">
        <v>74</v>
      </c>
      <c r="S1092" t="s">
        <v>74</v>
      </c>
      <c r="T1092" t="s">
        <v>32930</v>
      </c>
      <c r="U1092" t="s">
        <v>32929</v>
      </c>
      <c r="V1092" t="s">
        <v>32928</v>
      </c>
      <c r="W1092" t="s">
        <v>32927</v>
      </c>
      <c r="X1092" t="s">
        <v>11804</v>
      </c>
      <c r="Y1092" t="s">
        <v>32926</v>
      </c>
      <c r="Z1092" t="s">
        <v>32925</v>
      </c>
      <c r="AA1092" t="s">
        <v>74</v>
      </c>
      <c r="AB1092" t="s">
        <v>74</v>
      </c>
      <c r="AC1092" t="s">
        <v>74</v>
      </c>
      <c r="AD1092" t="s">
        <v>74</v>
      </c>
      <c r="AE1092" t="s">
        <v>74</v>
      </c>
      <c r="AF1092" t="s">
        <v>74</v>
      </c>
      <c r="AG1092">
        <v>22</v>
      </c>
      <c r="AH1092">
        <v>5</v>
      </c>
      <c r="AI1092">
        <v>9</v>
      </c>
      <c r="AJ1092">
        <v>0</v>
      </c>
      <c r="AK1092">
        <v>23</v>
      </c>
      <c r="AL1092" t="s">
        <v>89</v>
      </c>
      <c r="AM1092" t="s">
        <v>1497</v>
      </c>
      <c r="AN1092" t="s">
        <v>1498</v>
      </c>
      <c r="AO1092" t="s">
        <v>32924</v>
      </c>
      <c r="AP1092" t="s">
        <v>32923</v>
      </c>
      <c r="AQ1092" t="s">
        <v>74</v>
      </c>
      <c r="AR1092" t="s">
        <v>32922</v>
      </c>
      <c r="AS1092" t="s">
        <v>32921</v>
      </c>
      <c r="AT1092" t="s">
        <v>32920</v>
      </c>
      <c r="AU1092">
        <v>2020</v>
      </c>
      <c r="AV1092">
        <v>17</v>
      </c>
      <c r="AW1092">
        <v>4</v>
      </c>
      <c r="AX1092" t="s">
        <v>74</v>
      </c>
      <c r="AY1092" t="s">
        <v>74</v>
      </c>
      <c r="AZ1092" t="s">
        <v>74</v>
      </c>
      <c r="BA1092" t="s">
        <v>74</v>
      </c>
      <c r="BB1092">
        <v>329</v>
      </c>
      <c r="BC1092">
        <v>340</v>
      </c>
      <c r="BD1092" t="s">
        <v>74</v>
      </c>
      <c r="BE1092" t="s">
        <v>32919</v>
      </c>
      <c r="BF1092" t="str">
        <f>HYPERLINK("http://dx.doi.org/10.1108/WJSTSD-06-2020-0058","http://dx.doi.org/10.1108/WJSTSD-06-2020-0058")</f>
        <v>http://dx.doi.org/10.1108/WJSTSD-06-2020-0058</v>
      </c>
      <c r="BG1092" t="s">
        <v>74</v>
      </c>
      <c r="BH1092" t="s">
        <v>22961</v>
      </c>
      <c r="BI1092">
        <v>12</v>
      </c>
      <c r="BJ1092" t="s">
        <v>14114</v>
      </c>
      <c r="BK1092" t="s">
        <v>313</v>
      </c>
      <c r="BL1092" t="s">
        <v>560</v>
      </c>
      <c r="BM1092" t="s">
        <v>32918</v>
      </c>
      <c r="BN1092" t="s">
        <v>74</v>
      </c>
      <c r="BO1092" t="s">
        <v>74</v>
      </c>
      <c r="BP1092" t="s">
        <v>74</v>
      </c>
      <c r="BQ1092" t="s">
        <v>74</v>
      </c>
      <c r="BR1092" t="s">
        <v>102</v>
      </c>
      <c r="BS1092" t="s">
        <v>32917</v>
      </c>
      <c r="BT1092" t="str">
        <f>HYPERLINK("https%3A%2F%2Fwww.webofscience.com%2Fwos%2Fwoscc%2Ffull-record%2FWOS:000591083200001","View Full Record in Web of Science")</f>
        <v>View Full Record in Web of Science</v>
      </c>
    </row>
    <row r="1093" spans="1:72" x14ac:dyDescent="0.25">
      <c r="A1093" t="s">
        <v>72</v>
      </c>
      <c r="B1093" t="s">
        <v>32916</v>
      </c>
      <c r="C1093" t="s">
        <v>74</v>
      </c>
      <c r="D1093" t="s">
        <v>74</v>
      </c>
      <c r="E1093" t="s">
        <v>74</v>
      </c>
      <c r="F1093" t="s">
        <v>32915</v>
      </c>
      <c r="G1093" t="s">
        <v>74</v>
      </c>
      <c r="H1093" t="s">
        <v>74</v>
      </c>
      <c r="I1093" t="s">
        <v>32914</v>
      </c>
      <c r="J1093" t="s">
        <v>30417</v>
      </c>
      <c r="K1093" t="s">
        <v>74</v>
      </c>
      <c r="L1093" t="s">
        <v>74</v>
      </c>
      <c r="M1093" t="s">
        <v>78</v>
      </c>
      <c r="N1093" t="s">
        <v>79</v>
      </c>
      <c r="O1093" t="s">
        <v>74</v>
      </c>
      <c r="P1093" t="s">
        <v>74</v>
      </c>
      <c r="Q1093" t="s">
        <v>74</v>
      </c>
      <c r="R1093" t="s">
        <v>74</v>
      </c>
      <c r="S1093" t="s">
        <v>74</v>
      </c>
      <c r="T1093" t="s">
        <v>32913</v>
      </c>
      <c r="U1093" t="s">
        <v>32912</v>
      </c>
      <c r="V1093" t="s">
        <v>32911</v>
      </c>
      <c r="W1093" t="s">
        <v>32910</v>
      </c>
      <c r="X1093" t="s">
        <v>32909</v>
      </c>
      <c r="Y1093" t="s">
        <v>32908</v>
      </c>
      <c r="Z1093" t="s">
        <v>32907</v>
      </c>
      <c r="AA1093" t="s">
        <v>32906</v>
      </c>
      <c r="AB1093" t="s">
        <v>32905</v>
      </c>
      <c r="AC1093" t="s">
        <v>74</v>
      </c>
      <c r="AD1093" t="s">
        <v>74</v>
      </c>
      <c r="AE1093" t="s">
        <v>74</v>
      </c>
      <c r="AF1093" t="s">
        <v>74</v>
      </c>
      <c r="AG1093">
        <v>121</v>
      </c>
      <c r="AH1093">
        <v>31</v>
      </c>
      <c r="AI1093">
        <v>40</v>
      </c>
      <c r="AJ1093">
        <v>0</v>
      </c>
      <c r="AK1093">
        <v>39</v>
      </c>
      <c r="AL1093" t="s">
        <v>994</v>
      </c>
      <c r="AM1093" t="s">
        <v>995</v>
      </c>
      <c r="AN1093" t="s">
        <v>2061</v>
      </c>
      <c r="AO1093" t="s">
        <v>997</v>
      </c>
      <c r="AP1093" t="s">
        <v>30407</v>
      </c>
      <c r="AQ1093" t="s">
        <v>74</v>
      </c>
      <c r="AR1093" t="s">
        <v>998</v>
      </c>
      <c r="AS1093" t="s">
        <v>30406</v>
      </c>
      <c r="AT1093" t="s">
        <v>891</v>
      </c>
      <c r="AU1093">
        <v>2017</v>
      </c>
      <c r="AV1093">
        <v>35</v>
      </c>
      <c r="AW1093">
        <v>7</v>
      </c>
      <c r="AX1093" t="s">
        <v>74</v>
      </c>
      <c r="AY1093" t="s">
        <v>74</v>
      </c>
      <c r="AZ1093" t="s">
        <v>441</v>
      </c>
      <c r="BA1093" t="s">
        <v>74</v>
      </c>
      <c r="BB1093">
        <v>803</v>
      </c>
      <c r="BC1093">
        <v>828</v>
      </c>
      <c r="BD1093" t="s">
        <v>74</v>
      </c>
      <c r="BE1093" t="s">
        <v>32904</v>
      </c>
      <c r="BF1093" t="str">
        <f>HYPERLINK("http://dx.doi.org/10.1177/0266242617700699","http://dx.doi.org/10.1177/0266242617700699")</f>
        <v>http://dx.doi.org/10.1177/0266242617700699</v>
      </c>
      <c r="BG1093" t="s">
        <v>74</v>
      </c>
      <c r="BH1093" t="s">
        <v>74</v>
      </c>
      <c r="BI1093">
        <v>26</v>
      </c>
      <c r="BJ1093" t="s">
        <v>98</v>
      </c>
      <c r="BK1093" t="s">
        <v>99</v>
      </c>
      <c r="BL1093" t="s">
        <v>100</v>
      </c>
      <c r="BM1093" t="s">
        <v>30404</v>
      </c>
      <c r="BN1093" t="s">
        <v>74</v>
      </c>
      <c r="BO1093" t="s">
        <v>212</v>
      </c>
      <c r="BP1093" t="s">
        <v>74</v>
      </c>
      <c r="BQ1093" t="s">
        <v>74</v>
      </c>
      <c r="BR1093" t="s">
        <v>102</v>
      </c>
      <c r="BS1093" t="s">
        <v>32903</v>
      </c>
      <c r="BT1093" t="str">
        <f>HYPERLINK("https%3A%2F%2Fwww.webofscience.com%2Fwos%2Fwoscc%2Ffull-record%2FWOS:000414304900003","View Full Record in Web of Science")</f>
        <v>View Full Record in Web of Science</v>
      </c>
    </row>
    <row r="1094" spans="1:72" x14ac:dyDescent="0.25">
      <c r="A1094" t="s">
        <v>72</v>
      </c>
      <c r="B1094" t="s">
        <v>32902</v>
      </c>
      <c r="C1094" t="s">
        <v>74</v>
      </c>
      <c r="D1094" t="s">
        <v>74</v>
      </c>
      <c r="E1094" t="s">
        <v>74</v>
      </c>
      <c r="F1094" t="s">
        <v>32901</v>
      </c>
      <c r="G1094" t="s">
        <v>74</v>
      </c>
      <c r="H1094" t="s">
        <v>74</v>
      </c>
      <c r="I1094" t="s">
        <v>32900</v>
      </c>
      <c r="J1094" t="s">
        <v>7466</v>
      </c>
      <c r="K1094" t="s">
        <v>74</v>
      </c>
      <c r="L1094" t="s">
        <v>74</v>
      </c>
      <c r="M1094" t="s">
        <v>78</v>
      </c>
      <c r="N1094" t="s">
        <v>1766</v>
      </c>
      <c r="O1094" t="s">
        <v>74</v>
      </c>
      <c r="P1094" t="s">
        <v>74</v>
      </c>
      <c r="Q1094" t="s">
        <v>74</v>
      </c>
      <c r="R1094" t="s">
        <v>74</v>
      </c>
      <c r="S1094" t="s">
        <v>74</v>
      </c>
      <c r="T1094" t="s">
        <v>32899</v>
      </c>
      <c r="U1094" t="s">
        <v>74</v>
      </c>
      <c r="V1094" t="s">
        <v>32898</v>
      </c>
      <c r="W1094" t="s">
        <v>32897</v>
      </c>
      <c r="X1094" t="s">
        <v>32896</v>
      </c>
      <c r="Y1094" t="s">
        <v>32895</v>
      </c>
      <c r="Z1094" t="s">
        <v>32894</v>
      </c>
      <c r="AA1094" t="s">
        <v>74</v>
      </c>
      <c r="AB1094" t="s">
        <v>74</v>
      </c>
      <c r="AC1094" t="s">
        <v>74</v>
      </c>
      <c r="AD1094" t="s">
        <v>74</v>
      </c>
      <c r="AE1094" t="s">
        <v>74</v>
      </c>
      <c r="AF1094" t="s">
        <v>74</v>
      </c>
      <c r="AG1094">
        <v>52</v>
      </c>
      <c r="AH1094">
        <v>2</v>
      </c>
      <c r="AI1094">
        <v>2</v>
      </c>
      <c r="AJ1094">
        <v>16</v>
      </c>
      <c r="AK1094">
        <v>27</v>
      </c>
      <c r="AL1094" t="s">
        <v>7475</v>
      </c>
      <c r="AM1094" t="s">
        <v>5144</v>
      </c>
      <c r="AN1094" t="s">
        <v>7476</v>
      </c>
      <c r="AO1094" t="s">
        <v>7477</v>
      </c>
      <c r="AP1094" t="s">
        <v>7478</v>
      </c>
      <c r="AQ1094" t="s">
        <v>74</v>
      </c>
      <c r="AR1094" t="s">
        <v>7479</v>
      </c>
      <c r="AS1094" t="s">
        <v>7480</v>
      </c>
      <c r="AT1094" t="s">
        <v>32893</v>
      </c>
      <c r="AU1094">
        <v>2024</v>
      </c>
      <c r="AV1094">
        <v>74</v>
      </c>
      <c r="AW1094">
        <v>4</v>
      </c>
      <c r="AX1094" t="s">
        <v>74</v>
      </c>
      <c r="AY1094" t="s">
        <v>74</v>
      </c>
      <c r="AZ1094" t="s">
        <v>74</v>
      </c>
      <c r="BA1094" t="s">
        <v>74</v>
      </c>
      <c r="BB1094">
        <v>483</v>
      </c>
      <c r="BC1094">
        <v>506</v>
      </c>
      <c r="BD1094" t="s">
        <v>74</v>
      </c>
      <c r="BE1094" t="s">
        <v>32892</v>
      </c>
      <c r="BF1094" t="str">
        <f>HYPERLINK("http://dx.doi.org/10.1556/032.2024.00023","http://dx.doi.org/10.1556/032.2024.00023")</f>
        <v>http://dx.doi.org/10.1556/032.2024.00023</v>
      </c>
      <c r="BG1094" t="s">
        <v>74</v>
      </c>
      <c r="BH1094" t="s">
        <v>74</v>
      </c>
      <c r="BI1094">
        <v>24</v>
      </c>
      <c r="BJ1094" t="s">
        <v>291</v>
      </c>
      <c r="BK1094" t="s">
        <v>99</v>
      </c>
      <c r="BL1094" t="s">
        <v>100</v>
      </c>
      <c r="BM1094" t="s">
        <v>32891</v>
      </c>
      <c r="BN1094" t="s">
        <v>74</v>
      </c>
      <c r="BO1094" t="s">
        <v>270</v>
      </c>
      <c r="BP1094" t="s">
        <v>74</v>
      </c>
      <c r="BQ1094" t="s">
        <v>74</v>
      </c>
      <c r="BR1094" t="s">
        <v>102</v>
      </c>
      <c r="BS1094" t="s">
        <v>32890</v>
      </c>
      <c r="BT1094" t="str">
        <f>HYPERLINK("https%3A%2F%2Fwww.webofscience.com%2Fwos%2Fwoscc%2Ffull-record%2FWOS:001428238100001","View Full Record in Web of Science")</f>
        <v>View Full Record in Web of Science</v>
      </c>
    </row>
    <row r="1095" spans="1:72" x14ac:dyDescent="0.25">
      <c r="A1095" t="s">
        <v>132</v>
      </c>
      <c r="B1095" t="s">
        <v>32889</v>
      </c>
      <c r="C1095" t="s">
        <v>74</v>
      </c>
      <c r="D1095" t="s">
        <v>74</v>
      </c>
      <c r="E1095" t="s">
        <v>29111</v>
      </c>
      <c r="F1095" t="s">
        <v>32888</v>
      </c>
      <c r="G1095" t="s">
        <v>74</v>
      </c>
      <c r="H1095" t="s">
        <v>74</v>
      </c>
      <c r="I1095" t="s">
        <v>32887</v>
      </c>
      <c r="J1095" t="s">
        <v>32886</v>
      </c>
      <c r="K1095" t="s">
        <v>74</v>
      </c>
      <c r="L1095" t="s">
        <v>74</v>
      </c>
      <c r="M1095" t="s">
        <v>78</v>
      </c>
      <c r="N1095" t="s">
        <v>138</v>
      </c>
      <c r="O1095" t="s">
        <v>32885</v>
      </c>
      <c r="P1095" t="s">
        <v>32884</v>
      </c>
      <c r="Q1095" t="s">
        <v>32883</v>
      </c>
      <c r="R1095" t="s">
        <v>74</v>
      </c>
      <c r="S1095" t="s">
        <v>74</v>
      </c>
      <c r="T1095" t="s">
        <v>32882</v>
      </c>
      <c r="U1095" t="s">
        <v>74</v>
      </c>
      <c r="V1095" t="s">
        <v>32881</v>
      </c>
      <c r="W1095" t="s">
        <v>32880</v>
      </c>
      <c r="X1095" t="s">
        <v>32879</v>
      </c>
      <c r="Y1095" t="s">
        <v>32878</v>
      </c>
      <c r="Z1095" t="s">
        <v>32877</v>
      </c>
      <c r="AA1095" t="s">
        <v>74</v>
      </c>
      <c r="AB1095" t="s">
        <v>74</v>
      </c>
      <c r="AC1095" t="s">
        <v>74</v>
      </c>
      <c r="AD1095" t="s">
        <v>74</v>
      </c>
      <c r="AE1095" t="s">
        <v>74</v>
      </c>
      <c r="AF1095" t="s">
        <v>74</v>
      </c>
      <c r="AG1095">
        <v>18</v>
      </c>
      <c r="AH1095">
        <v>0</v>
      </c>
      <c r="AI1095">
        <v>0</v>
      </c>
      <c r="AJ1095">
        <v>0</v>
      </c>
      <c r="AK1095">
        <v>2</v>
      </c>
      <c r="AL1095" t="s">
        <v>16843</v>
      </c>
      <c r="AM1095" t="s">
        <v>16844</v>
      </c>
      <c r="AN1095" t="s">
        <v>29097</v>
      </c>
      <c r="AO1095" t="s">
        <v>74</v>
      </c>
      <c r="AP1095" t="s">
        <v>74</v>
      </c>
      <c r="AQ1095" t="s">
        <v>32876</v>
      </c>
      <c r="AR1095" t="s">
        <v>74</v>
      </c>
      <c r="AS1095" t="s">
        <v>74</v>
      </c>
      <c r="AT1095" t="s">
        <v>74</v>
      </c>
      <c r="AU1095">
        <v>2014</v>
      </c>
      <c r="AV1095" t="s">
        <v>74</v>
      </c>
      <c r="AW1095" t="s">
        <v>74</v>
      </c>
      <c r="AX1095" t="s">
        <v>74</v>
      </c>
      <c r="AY1095" t="s">
        <v>74</v>
      </c>
      <c r="AZ1095" t="s">
        <v>74</v>
      </c>
      <c r="BA1095" t="s">
        <v>74</v>
      </c>
      <c r="BB1095" t="s">
        <v>74</v>
      </c>
      <c r="BC1095" t="s">
        <v>74</v>
      </c>
      <c r="BD1095" t="s">
        <v>74</v>
      </c>
      <c r="BE1095" t="s">
        <v>74</v>
      </c>
      <c r="BF1095" t="s">
        <v>74</v>
      </c>
      <c r="BG1095" t="s">
        <v>74</v>
      </c>
      <c r="BH1095" t="s">
        <v>74</v>
      </c>
      <c r="BI1095">
        <v>11</v>
      </c>
      <c r="BJ1095" t="s">
        <v>32875</v>
      </c>
      <c r="BK1095" t="s">
        <v>156</v>
      </c>
      <c r="BL1095" t="s">
        <v>157</v>
      </c>
      <c r="BM1095" t="s">
        <v>32874</v>
      </c>
      <c r="BN1095" t="s">
        <v>74</v>
      </c>
      <c r="BO1095" t="s">
        <v>74</v>
      </c>
      <c r="BP1095" t="s">
        <v>74</v>
      </c>
      <c r="BQ1095" t="s">
        <v>74</v>
      </c>
      <c r="BR1095" t="s">
        <v>102</v>
      </c>
      <c r="BS1095" t="s">
        <v>32873</v>
      </c>
      <c r="BT1095" t="str">
        <f>HYPERLINK("https%3A%2F%2Fwww.webofscience.com%2Fwos%2Fwoscc%2Ffull-record%2FWOS:000901675001060","View Full Record in Web of Science")</f>
        <v>View Full Record in Web of Science</v>
      </c>
    </row>
    <row r="1096" spans="1:72" x14ac:dyDescent="0.25">
      <c r="A1096" t="s">
        <v>72</v>
      </c>
      <c r="B1096" t="s">
        <v>32872</v>
      </c>
      <c r="C1096" t="s">
        <v>74</v>
      </c>
      <c r="D1096" t="s">
        <v>74</v>
      </c>
      <c r="E1096" t="s">
        <v>74</v>
      </c>
      <c r="F1096" t="s">
        <v>32871</v>
      </c>
      <c r="G1096" t="s">
        <v>74</v>
      </c>
      <c r="H1096" t="s">
        <v>74</v>
      </c>
      <c r="I1096" t="s">
        <v>32870</v>
      </c>
      <c r="J1096" t="s">
        <v>3231</v>
      </c>
      <c r="K1096" t="s">
        <v>74</v>
      </c>
      <c r="L1096" t="s">
        <v>74</v>
      </c>
      <c r="M1096" t="s">
        <v>78</v>
      </c>
      <c r="N1096" t="s">
        <v>79</v>
      </c>
      <c r="O1096" t="s">
        <v>74</v>
      </c>
      <c r="P1096" t="s">
        <v>74</v>
      </c>
      <c r="Q1096" t="s">
        <v>74</v>
      </c>
      <c r="R1096" t="s">
        <v>74</v>
      </c>
      <c r="S1096" t="s">
        <v>74</v>
      </c>
      <c r="T1096" t="s">
        <v>32869</v>
      </c>
      <c r="U1096" t="s">
        <v>32868</v>
      </c>
      <c r="V1096" t="s">
        <v>32867</v>
      </c>
      <c r="W1096" t="s">
        <v>32866</v>
      </c>
      <c r="X1096" t="s">
        <v>32865</v>
      </c>
      <c r="Y1096" t="s">
        <v>32864</v>
      </c>
      <c r="Z1096" t="s">
        <v>32863</v>
      </c>
      <c r="AA1096" t="s">
        <v>32862</v>
      </c>
      <c r="AB1096" t="s">
        <v>32861</v>
      </c>
      <c r="AC1096" t="s">
        <v>32860</v>
      </c>
      <c r="AD1096" t="s">
        <v>32860</v>
      </c>
      <c r="AE1096" t="s">
        <v>32859</v>
      </c>
      <c r="AF1096" t="s">
        <v>74</v>
      </c>
      <c r="AG1096">
        <v>82</v>
      </c>
      <c r="AH1096">
        <v>33</v>
      </c>
      <c r="AI1096">
        <v>35</v>
      </c>
      <c r="AJ1096">
        <v>2</v>
      </c>
      <c r="AK1096">
        <v>45</v>
      </c>
      <c r="AL1096" t="s">
        <v>575</v>
      </c>
      <c r="AM1096" t="s">
        <v>576</v>
      </c>
      <c r="AN1096" t="s">
        <v>3242</v>
      </c>
      <c r="AO1096" t="s">
        <v>74</v>
      </c>
      <c r="AP1096" t="s">
        <v>3243</v>
      </c>
      <c r="AQ1096" t="s">
        <v>74</v>
      </c>
      <c r="AR1096" t="s">
        <v>3244</v>
      </c>
      <c r="AS1096" t="s">
        <v>3245</v>
      </c>
      <c r="AT1096" t="s">
        <v>698</v>
      </c>
      <c r="AU1096">
        <v>2020</v>
      </c>
      <c r="AV1096">
        <v>12</v>
      </c>
      <c r="AW1096">
        <v>18</v>
      </c>
      <c r="AX1096" t="s">
        <v>74</v>
      </c>
      <c r="AY1096" t="s">
        <v>74</v>
      </c>
      <c r="AZ1096" t="s">
        <v>74</v>
      </c>
      <c r="BA1096" t="s">
        <v>74</v>
      </c>
      <c r="BB1096" t="s">
        <v>74</v>
      </c>
      <c r="BC1096" t="s">
        <v>74</v>
      </c>
      <c r="BD1096">
        <v>7480</v>
      </c>
      <c r="BE1096" t="s">
        <v>32858</v>
      </c>
      <c r="BF1096" t="str">
        <f>HYPERLINK("http://dx.doi.org/10.3390/su12187480","http://dx.doi.org/10.3390/su12187480")</f>
        <v>http://dx.doi.org/10.3390/su12187480</v>
      </c>
      <c r="BG1096" t="s">
        <v>74</v>
      </c>
      <c r="BH1096" t="s">
        <v>74</v>
      </c>
      <c r="BI1096">
        <v>33</v>
      </c>
      <c r="BJ1096" t="s">
        <v>3247</v>
      </c>
      <c r="BK1096" t="s">
        <v>2623</v>
      </c>
      <c r="BL1096" t="s">
        <v>3248</v>
      </c>
      <c r="BM1096" t="s">
        <v>32857</v>
      </c>
      <c r="BN1096" t="s">
        <v>74</v>
      </c>
      <c r="BO1096" t="s">
        <v>916</v>
      </c>
      <c r="BP1096" t="s">
        <v>74</v>
      </c>
      <c r="BQ1096" t="s">
        <v>74</v>
      </c>
      <c r="BR1096" t="s">
        <v>102</v>
      </c>
      <c r="BS1096" t="s">
        <v>32856</v>
      </c>
      <c r="BT1096" t="str">
        <f>HYPERLINK("https%3A%2F%2Fwww.webofscience.com%2Fwos%2Fwoscc%2Ffull-record%2FWOS:000584248100001","View Full Record in Web of Science")</f>
        <v>View Full Record in Web of Science</v>
      </c>
    </row>
    <row r="1097" spans="1:72" x14ac:dyDescent="0.25">
      <c r="A1097" t="s">
        <v>72</v>
      </c>
      <c r="B1097" t="s">
        <v>32855</v>
      </c>
      <c r="C1097" t="s">
        <v>74</v>
      </c>
      <c r="D1097" t="s">
        <v>74</v>
      </c>
      <c r="E1097" t="s">
        <v>74</v>
      </c>
      <c r="F1097" t="s">
        <v>32854</v>
      </c>
      <c r="G1097" t="s">
        <v>74</v>
      </c>
      <c r="H1097" t="s">
        <v>74</v>
      </c>
      <c r="I1097" t="s">
        <v>32853</v>
      </c>
      <c r="J1097" t="s">
        <v>4055</v>
      </c>
      <c r="K1097" t="s">
        <v>74</v>
      </c>
      <c r="L1097" t="s">
        <v>74</v>
      </c>
      <c r="M1097" t="s">
        <v>78</v>
      </c>
      <c r="N1097" t="s">
        <v>79</v>
      </c>
      <c r="O1097" t="s">
        <v>74</v>
      </c>
      <c r="P1097" t="s">
        <v>74</v>
      </c>
      <c r="Q1097" t="s">
        <v>74</v>
      </c>
      <c r="R1097" t="s">
        <v>74</v>
      </c>
      <c r="S1097" t="s">
        <v>74</v>
      </c>
      <c r="T1097" t="s">
        <v>32852</v>
      </c>
      <c r="U1097" t="s">
        <v>32851</v>
      </c>
      <c r="V1097" t="s">
        <v>32850</v>
      </c>
      <c r="W1097" t="s">
        <v>32849</v>
      </c>
      <c r="X1097" t="s">
        <v>10580</v>
      </c>
      <c r="Y1097" t="s">
        <v>32848</v>
      </c>
      <c r="Z1097" t="s">
        <v>32847</v>
      </c>
      <c r="AA1097" t="s">
        <v>74</v>
      </c>
      <c r="AB1097" t="s">
        <v>32846</v>
      </c>
      <c r="AC1097" t="s">
        <v>74</v>
      </c>
      <c r="AD1097" t="s">
        <v>74</v>
      </c>
      <c r="AE1097" t="s">
        <v>74</v>
      </c>
      <c r="AF1097" t="s">
        <v>74</v>
      </c>
      <c r="AG1097">
        <v>117</v>
      </c>
      <c r="AH1097">
        <v>3</v>
      </c>
      <c r="AI1097">
        <v>3</v>
      </c>
      <c r="AJ1097">
        <v>6</v>
      </c>
      <c r="AK1097">
        <v>7</v>
      </c>
      <c r="AL1097" t="s">
        <v>2907</v>
      </c>
      <c r="AM1097" t="s">
        <v>2908</v>
      </c>
      <c r="AN1097" t="s">
        <v>2909</v>
      </c>
      <c r="AO1097" t="s">
        <v>4064</v>
      </c>
      <c r="AP1097" t="s">
        <v>4065</v>
      </c>
      <c r="AQ1097" t="s">
        <v>74</v>
      </c>
      <c r="AR1097" t="s">
        <v>4066</v>
      </c>
      <c r="AS1097" t="s">
        <v>4067</v>
      </c>
      <c r="AT1097" t="s">
        <v>698</v>
      </c>
      <c r="AU1097">
        <v>2025</v>
      </c>
      <c r="AV1097">
        <v>30</v>
      </c>
      <c r="AW1097">
        <v>3</v>
      </c>
      <c r="AX1097" t="s">
        <v>74</v>
      </c>
      <c r="AY1097" t="s">
        <v>74</v>
      </c>
      <c r="AZ1097" t="s">
        <v>74</v>
      </c>
      <c r="BA1097" t="s">
        <v>74</v>
      </c>
      <c r="BB1097" t="s">
        <v>74</v>
      </c>
      <c r="BC1097" t="s">
        <v>74</v>
      </c>
      <c r="BD1097">
        <v>17</v>
      </c>
      <c r="BE1097" t="s">
        <v>32845</v>
      </c>
      <c r="BF1097" t="str">
        <f>HYPERLINK("http://dx.doi.org/10.1057/s41264-025-00310-1","http://dx.doi.org/10.1057/s41264-025-00310-1")</f>
        <v>http://dx.doi.org/10.1057/s41264-025-00310-1</v>
      </c>
      <c r="BG1097" t="s">
        <v>74</v>
      </c>
      <c r="BH1097" t="s">
        <v>74</v>
      </c>
      <c r="BI1097">
        <v>20</v>
      </c>
      <c r="BJ1097" t="s">
        <v>418</v>
      </c>
      <c r="BK1097" t="s">
        <v>313</v>
      </c>
      <c r="BL1097" t="s">
        <v>100</v>
      </c>
      <c r="BM1097" t="s">
        <v>32844</v>
      </c>
      <c r="BN1097" t="s">
        <v>74</v>
      </c>
      <c r="BO1097" t="s">
        <v>74</v>
      </c>
      <c r="BP1097" t="s">
        <v>74</v>
      </c>
      <c r="BQ1097" t="s">
        <v>74</v>
      </c>
      <c r="BR1097" t="s">
        <v>102</v>
      </c>
      <c r="BS1097" t="s">
        <v>32843</v>
      </c>
      <c r="BT1097" t="str">
        <f>HYPERLINK("https%3A%2F%2Fwww.webofscience.com%2Fwos%2Fwoscc%2Ffull-record%2FWOS:001511861200001","View Full Record in Web of Science")</f>
        <v>View Full Record in Web of Science</v>
      </c>
    </row>
    <row r="1098" spans="1:72" x14ac:dyDescent="0.25">
      <c r="A1098" t="s">
        <v>72</v>
      </c>
      <c r="B1098" t="s">
        <v>32842</v>
      </c>
      <c r="C1098" t="s">
        <v>74</v>
      </c>
      <c r="D1098" t="s">
        <v>74</v>
      </c>
      <c r="E1098" t="s">
        <v>74</v>
      </c>
      <c r="F1098" t="s">
        <v>32841</v>
      </c>
      <c r="G1098" t="s">
        <v>74</v>
      </c>
      <c r="H1098" t="s">
        <v>74</v>
      </c>
      <c r="I1098" t="s">
        <v>32840</v>
      </c>
      <c r="J1098" t="s">
        <v>1510</v>
      </c>
      <c r="K1098" t="s">
        <v>74</v>
      </c>
      <c r="L1098" t="s">
        <v>74</v>
      </c>
      <c r="M1098" t="s">
        <v>78</v>
      </c>
      <c r="N1098" t="s">
        <v>79</v>
      </c>
      <c r="O1098" t="s">
        <v>74</v>
      </c>
      <c r="P1098" t="s">
        <v>74</v>
      </c>
      <c r="Q1098" t="s">
        <v>74</v>
      </c>
      <c r="R1098" t="s">
        <v>74</v>
      </c>
      <c r="S1098" t="s">
        <v>74</v>
      </c>
      <c r="T1098" t="s">
        <v>32839</v>
      </c>
      <c r="U1098" t="s">
        <v>32838</v>
      </c>
      <c r="V1098" t="s">
        <v>32837</v>
      </c>
      <c r="W1098" t="s">
        <v>32836</v>
      </c>
      <c r="X1098" t="s">
        <v>17936</v>
      </c>
      <c r="Y1098" t="s">
        <v>32835</v>
      </c>
      <c r="Z1098" t="s">
        <v>32834</v>
      </c>
      <c r="AA1098" t="s">
        <v>17939</v>
      </c>
      <c r="AB1098" t="s">
        <v>17940</v>
      </c>
      <c r="AC1098" t="s">
        <v>74</v>
      </c>
      <c r="AD1098" t="s">
        <v>74</v>
      </c>
      <c r="AE1098" t="s">
        <v>74</v>
      </c>
      <c r="AF1098" t="s">
        <v>74</v>
      </c>
      <c r="AG1098">
        <v>56</v>
      </c>
      <c r="AH1098">
        <v>29</v>
      </c>
      <c r="AI1098">
        <v>44</v>
      </c>
      <c r="AJ1098">
        <v>0</v>
      </c>
      <c r="AK1098">
        <v>20</v>
      </c>
      <c r="AL1098" t="s">
        <v>89</v>
      </c>
      <c r="AM1098" t="s">
        <v>1497</v>
      </c>
      <c r="AN1098" t="s">
        <v>1498</v>
      </c>
      <c r="AO1098" t="s">
        <v>1519</v>
      </c>
      <c r="AP1098" t="s">
        <v>1520</v>
      </c>
      <c r="AQ1098" t="s">
        <v>74</v>
      </c>
      <c r="AR1098" t="s">
        <v>1521</v>
      </c>
      <c r="AS1098" t="s">
        <v>1522</v>
      </c>
      <c r="AT1098" t="s">
        <v>74</v>
      </c>
      <c r="AU1098">
        <v>2017</v>
      </c>
      <c r="AV1098">
        <v>44</v>
      </c>
      <c r="AW1098">
        <v>8</v>
      </c>
      <c r="AX1098" t="s">
        <v>74</v>
      </c>
      <c r="AY1098" t="s">
        <v>74</v>
      </c>
      <c r="AZ1098" t="s">
        <v>74</v>
      </c>
      <c r="BA1098" t="s">
        <v>74</v>
      </c>
      <c r="BB1098">
        <v>1032</v>
      </c>
      <c r="BC1098">
        <v>1045</v>
      </c>
      <c r="BD1098" t="s">
        <v>74</v>
      </c>
      <c r="BE1098" t="s">
        <v>32833</v>
      </c>
      <c r="BF1098" t="str">
        <f>HYPERLINK("http://dx.doi.org/10.1108/IJSE-10-2015-0277","http://dx.doi.org/10.1108/IJSE-10-2015-0277")</f>
        <v>http://dx.doi.org/10.1108/IJSE-10-2015-0277</v>
      </c>
      <c r="BG1098" t="s">
        <v>74</v>
      </c>
      <c r="BH1098" t="s">
        <v>74</v>
      </c>
      <c r="BI1098">
        <v>14</v>
      </c>
      <c r="BJ1098" t="s">
        <v>291</v>
      </c>
      <c r="BK1098" t="s">
        <v>313</v>
      </c>
      <c r="BL1098" t="s">
        <v>100</v>
      </c>
      <c r="BM1098" t="s">
        <v>32832</v>
      </c>
      <c r="BN1098" t="s">
        <v>74</v>
      </c>
      <c r="BO1098" t="s">
        <v>74</v>
      </c>
      <c r="BP1098" t="s">
        <v>74</v>
      </c>
      <c r="BQ1098" t="s">
        <v>74</v>
      </c>
      <c r="BR1098" t="s">
        <v>102</v>
      </c>
      <c r="BS1098" t="s">
        <v>32831</v>
      </c>
      <c r="BT1098" t="str">
        <f>HYPERLINK("https%3A%2F%2Fwww.webofscience.com%2Fwos%2Fwoscc%2Ffull-record%2FWOS:000405479400003","View Full Record in Web of Science")</f>
        <v>View Full Record in Web of Science</v>
      </c>
    </row>
    <row r="1099" spans="1:72" x14ac:dyDescent="0.25">
      <c r="A1099" t="s">
        <v>72</v>
      </c>
      <c r="B1099" t="s">
        <v>32830</v>
      </c>
      <c r="C1099" t="s">
        <v>74</v>
      </c>
      <c r="D1099" t="s">
        <v>74</v>
      </c>
      <c r="E1099" t="s">
        <v>74</v>
      </c>
      <c r="F1099" t="s">
        <v>32829</v>
      </c>
      <c r="G1099" t="s">
        <v>74</v>
      </c>
      <c r="H1099" t="s">
        <v>74</v>
      </c>
      <c r="I1099" t="s">
        <v>32828</v>
      </c>
      <c r="J1099" t="s">
        <v>31298</v>
      </c>
      <c r="K1099" t="s">
        <v>74</v>
      </c>
      <c r="L1099" t="s">
        <v>74</v>
      </c>
      <c r="M1099" t="s">
        <v>78</v>
      </c>
      <c r="N1099" t="s">
        <v>79</v>
      </c>
      <c r="O1099" t="s">
        <v>74</v>
      </c>
      <c r="P1099" t="s">
        <v>74</v>
      </c>
      <c r="Q1099" t="s">
        <v>74</v>
      </c>
      <c r="R1099" t="s">
        <v>74</v>
      </c>
      <c r="S1099" t="s">
        <v>74</v>
      </c>
      <c r="T1099" t="s">
        <v>32827</v>
      </c>
      <c r="U1099" t="s">
        <v>32826</v>
      </c>
      <c r="V1099" t="s">
        <v>32825</v>
      </c>
      <c r="W1099" t="s">
        <v>32824</v>
      </c>
      <c r="X1099" t="s">
        <v>32823</v>
      </c>
      <c r="Y1099" t="s">
        <v>32822</v>
      </c>
      <c r="Z1099" t="s">
        <v>32821</v>
      </c>
      <c r="AA1099" t="s">
        <v>32820</v>
      </c>
      <c r="AB1099" t="s">
        <v>32819</v>
      </c>
      <c r="AC1099" t="s">
        <v>32818</v>
      </c>
      <c r="AD1099" t="s">
        <v>32817</v>
      </c>
      <c r="AE1099" t="s">
        <v>32816</v>
      </c>
      <c r="AF1099" t="s">
        <v>74</v>
      </c>
      <c r="AG1099">
        <v>56</v>
      </c>
      <c r="AH1099">
        <v>73</v>
      </c>
      <c r="AI1099">
        <v>101</v>
      </c>
      <c r="AJ1099">
        <v>2</v>
      </c>
      <c r="AK1099">
        <v>86</v>
      </c>
      <c r="AL1099" t="s">
        <v>89</v>
      </c>
      <c r="AM1099" t="s">
        <v>90</v>
      </c>
      <c r="AN1099" t="s">
        <v>91</v>
      </c>
      <c r="AO1099" t="s">
        <v>31291</v>
      </c>
      <c r="AP1099" t="s">
        <v>31290</v>
      </c>
      <c r="AQ1099" t="s">
        <v>74</v>
      </c>
      <c r="AR1099" t="s">
        <v>31289</v>
      </c>
      <c r="AS1099" t="s">
        <v>31288</v>
      </c>
      <c r="AT1099" t="s">
        <v>32815</v>
      </c>
      <c r="AU1099">
        <v>2021</v>
      </c>
      <c r="AV1099">
        <v>38</v>
      </c>
      <c r="AW1099">
        <v>2</v>
      </c>
      <c r="AX1099" t="s">
        <v>74</v>
      </c>
      <c r="AY1099" t="s">
        <v>74</v>
      </c>
      <c r="AZ1099" t="s">
        <v>441</v>
      </c>
      <c r="BA1099" t="s">
        <v>74</v>
      </c>
      <c r="BB1099">
        <v>504</v>
      </c>
      <c r="BC1099">
        <v>523</v>
      </c>
      <c r="BD1099" t="s">
        <v>74</v>
      </c>
      <c r="BE1099" t="s">
        <v>32814</v>
      </c>
      <c r="BF1099" t="str">
        <f>HYPERLINK("http://dx.doi.org/10.1108/SEF-09-2020-0388","http://dx.doi.org/10.1108/SEF-09-2020-0388")</f>
        <v>http://dx.doi.org/10.1108/SEF-09-2020-0388</v>
      </c>
      <c r="BG1099" t="s">
        <v>74</v>
      </c>
      <c r="BH1099" t="s">
        <v>4575</v>
      </c>
      <c r="BI1099">
        <v>20</v>
      </c>
      <c r="BJ1099" t="s">
        <v>268</v>
      </c>
      <c r="BK1099" t="s">
        <v>313</v>
      </c>
      <c r="BL1099" t="s">
        <v>100</v>
      </c>
      <c r="BM1099" t="s">
        <v>32813</v>
      </c>
      <c r="BN1099" t="s">
        <v>74</v>
      </c>
      <c r="BO1099" t="s">
        <v>74</v>
      </c>
      <c r="BP1099" t="s">
        <v>74</v>
      </c>
      <c r="BQ1099" t="s">
        <v>74</v>
      </c>
      <c r="BR1099" t="s">
        <v>102</v>
      </c>
      <c r="BS1099" t="s">
        <v>32812</v>
      </c>
      <c r="BT1099" t="str">
        <f>HYPERLINK("https%3A%2F%2Fwww.webofscience.com%2Fwos%2Fwoscc%2Ffull-record%2FWOS:000657825200001","View Full Record in Web of Science")</f>
        <v>View Full Record in Web of Science</v>
      </c>
    </row>
    <row r="1100" spans="1:72" x14ac:dyDescent="0.25">
      <c r="A1100" t="s">
        <v>72</v>
      </c>
      <c r="B1100" t="s">
        <v>2331</v>
      </c>
      <c r="C1100" t="s">
        <v>74</v>
      </c>
      <c r="D1100" t="s">
        <v>74</v>
      </c>
      <c r="E1100" t="s">
        <v>74</v>
      </c>
      <c r="F1100" t="s">
        <v>2332</v>
      </c>
      <c r="G1100" t="s">
        <v>74</v>
      </c>
      <c r="H1100" t="s">
        <v>74</v>
      </c>
      <c r="I1100" t="s">
        <v>32811</v>
      </c>
      <c r="J1100" t="s">
        <v>6713</v>
      </c>
      <c r="K1100" t="s">
        <v>74</v>
      </c>
      <c r="L1100" t="s">
        <v>74</v>
      </c>
      <c r="M1100" t="s">
        <v>78</v>
      </c>
      <c r="N1100" t="s">
        <v>2335</v>
      </c>
      <c r="O1100" t="s">
        <v>74</v>
      </c>
      <c r="P1100" t="s">
        <v>74</v>
      </c>
      <c r="Q1100" t="s">
        <v>74</v>
      </c>
      <c r="R1100" t="s">
        <v>74</v>
      </c>
      <c r="S1100" t="s">
        <v>74</v>
      </c>
      <c r="T1100" t="s">
        <v>32810</v>
      </c>
      <c r="U1100" t="s">
        <v>32809</v>
      </c>
      <c r="V1100" t="s">
        <v>32808</v>
      </c>
      <c r="W1100" t="s">
        <v>32807</v>
      </c>
      <c r="X1100" t="s">
        <v>2340</v>
      </c>
      <c r="Y1100" t="s">
        <v>32806</v>
      </c>
      <c r="Z1100" t="s">
        <v>2342</v>
      </c>
      <c r="AA1100" t="s">
        <v>74</v>
      </c>
      <c r="AB1100" t="s">
        <v>74</v>
      </c>
      <c r="AC1100" t="s">
        <v>74</v>
      </c>
      <c r="AD1100" t="s">
        <v>74</v>
      </c>
      <c r="AE1100" t="s">
        <v>74</v>
      </c>
      <c r="AF1100" t="s">
        <v>74</v>
      </c>
      <c r="AG1100">
        <v>74</v>
      </c>
      <c r="AH1100">
        <v>5</v>
      </c>
      <c r="AI1100">
        <v>5</v>
      </c>
      <c r="AJ1100">
        <v>4</v>
      </c>
      <c r="AK1100">
        <v>14</v>
      </c>
      <c r="AL1100" t="s">
        <v>4485</v>
      </c>
      <c r="AM1100" t="s">
        <v>6724</v>
      </c>
      <c r="AN1100" t="s">
        <v>6725</v>
      </c>
      <c r="AO1100" t="s">
        <v>6726</v>
      </c>
      <c r="AP1100" t="s">
        <v>6727</v>
      </c>
      <c r="AQ1100" t="s">
        <v>74</v>
      </c>
      <c r="AR1100" t="s">
        <v>6728</v>
      </c>
      <c r="AS1100" t="s">
        <v>6729</v>
      </c>
      <c r="AT1100" t="s">
        <v>743</v>
      </c>
      <c r="AU1100">
        <v>2024</v>
      </c>
      <c r="AV1100">
        <v>48</v>
      </c>
      <c r="AW1100">
        <v>3</v>
      </c>
      <c r="AX1100" t="s">
        <v>74</v>
      </c>
      <c r="AY1100" t="s">
        <v>74</v>
      </c>
      <c r="AZ1100" t="s">
        <v>74</v>
      </c>
      <c r="BA1100" t="s">
        <v>74</v>
      </c>
      <c r="BB1100" t="s">
        <v>74</v>
      </c>
      <c r="BC1100" t="s">
        <v>74</v>
      </c>
      <c r="BD1100">
        <v>102718</v>
      </c>
      <c r="BE1100" t="s">
        <v>32805</v>
      </c>
      <c r="BF1100" t="str">
        <f>HYPERLINK("http://dx.doi.org/10.1016/j.telpol.2024.102718","http://dx.doi.org/10.1016/j.telpol.2024.102718")</f>
        <v>http://dx.doi.org/10.1016/j.telpol.2024.102718</v>
      </c>
      <c r="BG1100" t="s">
        <v>74</v>
      </c>
      <c r="BH1100" t="s">
        <v>1981</v>
      </c>
      <c r="BI1100">
        <v>9</v>
      </c>
      <c r="BJ1100" t="s">
        <v>6731</v>
      </c>
      <c r="BK1100" t="s">
        <v>2623</v>
      </c>
      <c r="BL1100" t="s">
        <v>6731</v>
      </c>
      <c r="BM1100" t="s">
        <v>32804</v>
      </c>
      <c r="BN1100" t="s">
        <v>74</v>
      </c>
      <c r="BO1100" t="s">
        <v>74</v>
      </c>
      <c r="BP1100" t="s">
        <v>74</v>
      </c>
      <c r="BQ1100" t="s">
        <v>74</v>
      </c>
      <c r="BR1100" t="s">
        <v>102</v>
      </c>
      <c r="BS1100" t="s">
        <v>32803</v>
      </c>
      <c r="BT1100" t="str">
        <f>HYPERLINK("https%3A%2F%2Fwww.webofscience.com%2Fwos%2Fwoscc%2Ffull-record%2FWOS:001208591600001","View Full Record in Web of Science")</f>
        <v>View Full Record in Web of Science</v>
      </c>
    </row>
    <row r="1101" spans="1:72" x14ac:dyDescent="0.25">
      <c r="A1101" t="s">
        <v>72</v>
      </c>
      <c r="B1101" t="s">
        <v>32802</v>
      </c>
      <c r="C1101" t="s">
        <v>74</v>
      </c>
      <c r="D1101" t="s">
        <v>74</v>
      </c>
      <c r="E1101" t="s">
        <v>74</v>
      </c>
      <c r="F1101" t="s">
        <v>32801</v>
      </c>
      <c r="G1101" t="s">
        <v>74</v>
      </c>
      <c r="H1101" t="s">
        <v>74</v>
      </c>
      <c r="I1101" t="s">
        <v>32800</v>
      </c>
      <c r="J1101" t="s">
        <v>12932</v>
      </c>
      <c r="K1101" t="s">
        <v>74</v>
      </c>
      <c r="L1101" t="s">
        <v>74</v>
      </c>
      <c r="M1101" t="s">
        <v>78</v>
      </c>
      <c r="N1101" t="s">
        <v>79</v>
      </c>
      <c r="O1101" t="s">
        <v>74</v>
      </c>
      <c r="P1101" t="s">
        <v>74</v>
      </c>
      <c r="Q1101" t="s">
        <v>74</v>
      </c>
      <c r="R1101" t="s">
        <v>74</v>
      </c>
      <c r="S1101" t="s">
        <v>74</v>
      </c>
      <c r="T1101" t="s">
        <v>32799</v>
      </c>
      <c r="U1101" t="s">
        <v>74</v>
      </c>
      <c r="V1101" t="s">
        <v>32798</v>
      </c>
      <c r="W1101" t="s">
        <v>32797</v>
      </c>
      <c r="X1101" t="s">
        <v>32796</v>
      </c>
      <c r="Y1101" t="s">
        <v>32795</v>
      </c>
      <c r="Z1101" t="s">
        <v>32794</v>
      </c>
      <c r="AA1101" t="s">
        <v>74</v>
      </c>
      <c r="AB1101" t="s">
        <v>74</v>
      </c>
      <c r="AC1101" t="s">
        <v>74</v>
      </c>
      <c r="AD1101" t="s">
        <v>74</v>
      </c>
      <c r="AE1101" t="s">
        <v>74</v>
      </c>
      <c r="AF1101" t="s">
        <v>74</v>
      </c>
      <c r="AG1101">
        <v>30</v>
      </c>
      <c r="AH1101">
        <v>46</v>
      </c>
      <c r="AI1101">
        <v>54</v>
      </c>
      <c r="AJ1101">
        <v>0</v>
      </c>
      <c r="AK1101">
        <v>63</v>
      </c>
      <c r="AL1101" t="s">
        <v>479</v>
      </c>
      <c r="AM1101" t="s">
        <v>480</v>
      </c>
      <c r="AN1101" t="s">
        <v>481</v>
      </c>
      <c r="AO1101" t="s">
        <v>12938</v>
      </c>
      <c r="AP1101" t="s">
        <v>12939</v>
      </c>
      <c r="AQ1101" t="s">
        <v>74</v>
      </c>
      <c r="AR1101" t="s">
        <v>12940</v>
      </c>
      <c r="AS1101" t="s">
        <v>12941</v>
      </c>
      <c r="AT1101" t="s">
        <v>124</v>
      </c>
      <c r="AU1101">
        <v>2011</v>
      </c>
      <c r="AV1101">
        <v>6</v>
      </c>
      <c r="AW1101">
        <v>2</v>
      </c>
      <c r="AX1101" t="s">
        <v>74</v>
      </c>
      <c r="AY1101" t="s">
        <v>74</v>
      </c>
      <c r="AZ1101" t="s">
        <v>74</v>
      </c>
      <c r="BA1101" t="s">
        <v>74</v>
      </c>
      <c r="BB1101">
        <v>273</v>
      </c>
      <c r="BC1101">
        <v>296</v>
      </c>
      <c r="BD1101" t="s">
        <v>74</v>
      </c>
      <c r="BE1101" t="s">
        <v>32793</v>
      </c>
      <c r="BF1101" t="str">
        <f>HYPERLINK("http://dx.doi.org/10.1111/j.1748-3131.2011.01205.x","http://dx.doi.org/10.1111/j.1748-3131.2011.01205.x")</f>
        <v>http://dx.doi.org/10.1111/j.1748-3131.2011.01205.x</v>
      </c>
      <c r="BG1101" t="s">
        <v>74</v>
      </c>
      <c r="BH1101" t="s">
        <v>74</v>
      </c>
      <c r="BI1101">
        <v>24</v>
      </c>
      <c r="BJ1101" t="s">
        <v>291</v>
      </c>
      <c r="BK1101" t="s">
        <v>99</v>
      </c>
      <c r="BL1101" t="s">
        <v>100</v>
      </c>
      <c r="BM1101" t="s">
        <v>32792</v>
      </c>
      <c r="BN1101" t="s">
        <v>74</v>
      </c>
      <c r="BO1101" t="s">
        <v>1205</v>
      </c>
      <c r="BP1101" t="s">
        <v>74</v>
      </c>
      <c r="BQ1101" t="s">
        <v>74</v>
      </c>
      <c r="BR1101" t="s">
        <v>102</v>
      </c>
      <c r="BS1101" t="s">
        <v>32791</v>
      </c>
      <c r="BT1101" t="str">
        <f>HYPERLINK("https%3A%2F%2Fwww.webofscience.com%2Fwos%2Fwoscc%2Ffull-record%2FWOS:000297743600014","View Full Record in Web of Science")</f>
        <v>View Full Record in Web of Science</v>
      </c>
    </row>
    <row r="1102" spans="1:72" x14ac:dyDescent="0.25">
      <c r="A1102" t="s">
        <v>72</v>
      </c>
      <c r="B1102" t="s">
        <v>32790</v>
      </c>
      <c r="C1102" t="s">
        <v>74</v>
      </c>
      <c r="D1102" t="s">
        <v>74</v>
      </c>
      <c r="E1102" t="s">
        <v>74</v>
      </c>
      <c r="F1102" t="s">
        <v>32789</v>
      </c>
      <c r="G1102" t="s">
        <v>74</v>
      </c>
      <c r="H1102" t="s">
        <v>74</v>
      </c>
      <c r="I1102" t="s">
        <v>32788</v>
      </c>
      <c r="J1102" t="s">
        <v>900</v>
      </c>
      <c r="K1102" t="s">
        <v>74</v>
      </c>
      <c r="L1102" t="s">
        <v>74</v>
      </c>
      <c r="M1102" t="s">
        <v>78</v>
      </c>
      <c r="N1102" t="s">
        <v>79</v>
      </c>
      <c r="O1102" t="s">
        <v>74</v>
      </c>
      <c r="P1102" t="s">
        <v>74</v>
      </c>
      <c r="Q1102" t="s">
        <v>74</v>
      </c>
      <c r="R1102" t="s">
        <v>74</v>
      </c>
      <c r="S1102" t="s">
        <v>74</v>
      </c>
      <c r="T1102" t="s">
        <v>32787</v>
      </c>
      <c r="U1102" t="s">
        <v>74</v>
      </c>
      <c r="V1102" t="s">
        <v>32786</v>
      </c>
      <c r="W1102" t="s">
        <v>32785</v>
      </c>
      <c r="X1102" t="s">
        <v>32784</v>
      </c>
      <c r="Y1102" t="s">
        <v>32783</v>
      </c>
      <c r="Z1102" t="s">
        <v>32782</v>
      </c>
      <c r="AA1102" t="s">
        <v>32781</v>
      </c>
      <c r="AB1102" t="s">
        <v>74</v>
      </c>
      <c r="AC1102" t="s">
        <v>74</v>
      </c>
      <c r="AD1102" t="s">
        <v>74</v>
      </c>
      <c r="AE1102" t="s">
        <v>74</v>
      </c>
      <c r="AF1102" t="s">
        <v>74</v>
      </c>
      <c r="AG1102">
        <v>41</v>
      </c>
      <c r="AH1102">
        <v>0</v>
      </c>
      <c r="AI1102">
        <v>0</v>
      </c>
      <c r="AJ1102">
        <v>2</v>
      </c>
      <c r="AK1102">
        <v>2</v>
      </c>
      <c r="AL1102" t="s">
        <v>575</v>
      </c>
      <c r="AM1102" t="s">
        <v>576</v>
      </c>
      <c r="AN1102" t="s">
        <v>577</v>
      </c>
      <c r="AO1102" t="s">
        <v>74</v>
      </c>
      <c r="AP1102" t="s">
        <v>4045</v>
      </c>
      <c r="AQ1102" t="s">
        <v>74</v>
      </c>
      <c r="AR1102" t="s">
        <v>4046</v>
      </c>
      <c r="AS1102" t="s">
        <v>4047</v>
      </c>
      <c r="AT1102" t="s">
        <v>7590</v>
      </c>
      <c r="AU1102">
        <v>2025</v>
      </c>
      <c r="AV1102">
        <v>4</v>
      </c>
      <c r="AW1102">
        <v>3</v>
      </c>
      <c r="AX1102" t="s">
        <v>74</v>
      </c>
      <c r="AY1102" t="s">
        <v>74</v>
      </c>
      <c r="AZ1102" t="s">
        <v>74</v>
      </c>
      <c r="BA1102" t="s">
        <v>74</v>
      </c>
      <c r="BB1102" t="s">
        <v>74</v>
      </c>
      <c r="BC1102" t="s">
        <v>74</v>
      </c>
      <c r="BD1102">
        <v>39</v>
      </c>
      <c r="BE1102" t="s">
        <v>32780</v>
      </c>
      <c r="BF1102" t="str">
        <f>HYPERLINK("http://dx.doi.org/10.3390/fintech4030039","http://dx.doi.org/10.3390/fintech4030039")</f>
        <v>http://dx.doi.org/10.3390/fintech4030039</v>
      </c>
      <c r="BG1102" t="s">
        <v>74</v>
      </c>
      <c r="BH1102" t="s">
        <v>74</v>
      </c>
      <c r="BI1102">
        <v>17</v>
      </c>
      <c r="BJ1102" t="s">
        <v>4049</v>
      </c>
      <c r="BK1102" t="s">
        <v>313</v>
      </c>
      <c r="BL1102" t="s">
        <v>1070</v>
      </c>
      <c r="BM1102" t="s">
        <v>32779</v>
      </c>
      <c r="BN1102" t="s">
        <v>74</v>
      </c>
      <c r="BO1102" t="s">
        <v>212</v>
      </c>
      <c r="BP1102" t="s">
        <v>74</v>
      </c>
      <c r="BQ1102" t="s">
        <v>74</v>
      </c>
      <c r="BR1102" t="s">
        <v>102</v>
      </c>
      <c r="BS1102" t="s">
        <v>32778</v>
      </c>
      <c r="BT1102" t="str">
        <f>HYPERLINK("https%3A%2F%2Fwww.webofscience.com%2Fwos%2Fwoscc%2Ffull-record%2FWOS:001580801100001","View Full Record in Web of Science")</f>
        <v>View Full Record in Web of Science</v>
      </c>
    </row>
    <row r="1103" spans="1:72" x14ac:dyDescent="0.25">
      <c r="A1103" t="s">
        <v>72</v>
      </c>
      <c r="B1103" t="s">
        <v>32777</v>
      </c>
      <c r="C1103" t="s">
        <v>74</v>
      </c>
      <c r="D1103" t="s">
        <v>74</v>
      </c>
      <c r="E1103" t="s">
        <v>74</v>
      </c>
      <c r="F1103" t="s">
        <v>32776</v>
      </c>
      <c r="G1103" t="s">
        <v>74</v>
      </c>
      <c r="H1103" t="s">
        <v>74</v>
      </c>
      <c r="I1103" t="s">
        <v>32775</v>
      </c>
      <c r="J1103" t="s">
        <v>2809</v>
      </c>
      <c r="K1103" t="s">
        <v>74</v>
      </c>
      <c r="L1103" t="s">
        <v>74</v>
      </c>
      <c r="M1103" t="s">
        <v>78</v>
      </c>
      <c r="N1103" t="s">
        <v>79</v>
      </c>
      <c r="O1103" t="s">
        <v>74</v>
      </c>
      <c r="P1103" t="s">
        <v>74</v>
      </c>
      <c r="Q1103" t="s">
        <v>74</v>
      </c>
      <c r="R1103" t="s">
        <v>74</v>
      </c>
      <c r="S1103" t="s">
        <v>74</v>
      </c>
      <c r="T1103" t="s">
        <v>32774</v>
      </c>
      <c r="U1103" t="s">
        <v>32773</v>
      </c>
      <c r="V1103" t="s">
        <v>32772</v>
      </c>
      <c r="W1103" t="s">
        <v>32771</v>
      </c>
      <c r="X1103" t="s">
        <v>32770</v>
      </c>
      <c r="Y1103" t="s">
        <v>32769</v>
      </c>
      <c r="Z1103" t="s">
        <v>32768</v>
      </c>
      <c r="AA1103" t="s">
        <v>32767</v>
      </c>
      <c r="AB1103" t="s">
        <v>32766</v>
      </c>
      <c r="AC1103" t="s">
        <v>74</v>
      </c>
      <c r="AD1103" t="s">
        <v>74</v>
      </c>
      <c r="AE1103" t="s">
        <v>74</v>
      </c>
      <c r="AF1103" t="s">
        <v>74</v>
      </c>
      <c r="AG1103">
        <v>68</v>
      </c>
      <c r="AH1103">
        <v>17</v>
      </c>
      <c r="AI1103">
        <v>24</v>
      </c>
      <c r="AJ1103">
        <v>1</v>
      </c>
      <c r="AK1103">
        <v>17</v>
      </c>
      <c r="AL1103" t="s">
        <v>479</v>
      </c>
      <c r="AM1103" t="s">
        <v>480</v>
      </c>
      <c r="AN1103" t="s">
        <v>481</v>
      </c>
      <c r="AO1103" t="s">
        <v>2816</v>
      </c>
      <c r="AP1103" t="s">
        <v>2817</v>
      </c>
      <c r="AQ1103" t="s">
        <v>74</v>
      </c>
      <c r="AR1103" t="s">
        <v>2818</v>
      </c>
      <c r="AS1103" t="s">
        <v>2819</v>
      </c>
      <c r="AT1103" t="s">
        <v>208</v>
      </c>
      <c r="AU1103">
        <v>2023</v>
      </c>
      <c r="AV1103">
        <v>57</v>
      </c>
      <c r="AW1103">
        <v>1</v>
      </c>
      <c r="AX1103" t="s">
        <v>74</v>
      </c>
      <c r="AY1103" t="s">
        <v>74</v>
      </c>
      <c r="AZ1103" t="s">
        <v>74</v>
      </c>
      <c r="BA1103" t="s">
        <v>74</v>
      </c>
      <c r="BB1103">
        <v>418</v>
      </c>
      <c r="BC1103">
        <v>444</v>
      </c>
      <c r="BD1103" t="s">
        <v>74</v>
      </c>
      <c r="BE1103" t="s">
        <v>32765</v>
      </c>
      <c r="BF1103" t="str">
        <f>HYPERLINK("http://dx.doi.org/10.1111/joca.12505","http://dx.doi.org/10.1111/joca.12505")</f>
        <v>http://dx.doi.org/10.1111/joca.12505</v>
      </c>
      <c r="BG1103" t="s">
        <v>74</v>
      </c>
      <c r="BH1103" t="s">
        <v>7904</v>
      </c>
      <c r="BI1103">
        <v>27</v>
      </c>
      <c r="BJ1103" t="s">
        <v>1453</v>
      </c>
      <c r="BK1103" t="s">
        <v>99</v>
      </c>
      <c r="BL1103" t="s">
        <v>100</v>
      </c>
      <c r="BM1103" t="s">
        <v>25944</v>
      </c>
      <c r="BN1103" t="s">
        <v>74</v>
      </c>
      <c r="BO1103" t="s">
        <v>466</v>
      </c>
      <c r="BP1103" t="s">
        <v>74</v>
      </c>
      <c r="BQ1103" t="s">
        <v>74</v>
      </c>
      <c r="BR1103" t="s">
        <v>102</v>
      </c>
      <c r="BS1103" t="s">
        <v>32764</v>
      </c>
      <c r="BT1103" t="str">
        <f>HYPERLINK("https%3A%2F%2Fwww.webofscience.com%2Fwos%2Fwoscc%2Ffull-record%2FWOS:000905726500001","View Full Record in Web of Science")</f>
        <v>View Full Record in Web of Science</v>
      </c>
    </row>
    <row r="1104" spans="1:72" x14ac:dyDescent="0.25">
      <c r="A1104" t="s">
        <v>72</v>
      </c>
      <c r="B1104" t="s">
        <v>32763</v>
      </c>
      <c r="C1104" t="s">
        <v>74</v>
      </c>
      <c r="D1104" t="s">
        <v>74</v>
      </c>
      <c r="E1104" t="s">
        <v>74</v>
      </c>
      <c r="F1104" t="s">
        <v>32762</v>
      </c>
      <c r="G1104" t="s">
        <v>74</v>
      </c>
      <c r="H1104" t="s">
        <v>74</v>
      </c>
      <c r="I1104" t="s">
        <v>32761</v>
      </c>
      <c r="J1104" t="s">
        <v>4306</v>
      </c>
      <c r="K1104" t="s">
        <v>74</v>
      </c>
      <c r="L1104" t="s">
        <v>74</v>
      </c>
      <c r="M1104" t="s">
        <v>78</v>
      </c>
      <c r="N1104" t="s">
        <v>79</v>
      </c>
      <c r="O1104" t="s">
        <v>74</v>
      </c>
      <c r="P1104" t="s">
        <v>74</v>
      </c>
      <c r="Q1104" t="s">
        <v>74</v>
      </c>
      <c r="R1104" t="s">
        <v>74</v>
      </c>
      <c r="S1104" t="s">
        <v>74</v>
      </c>
      <c r="T1104" t="s">
        <v>32760</v>
      </c>
      <c r="U1104" t="s">
        <v>32759</v>
      </c>
      <c r="V1104" t="s">
        <v>32758</v>
      </c>
      <c r="W1104" t="s">
        <v>32757</v>
      </c>
      <c r="X1104" t="s">
        <v>32756</v>
      </c>
      <c r="Y1104" t="s">
        <v>16576</v>
      </c>
      <c r="Z1104" t="s">
        <v>32755</v>
      </c>
      <c r="AA1104" t="s">
        <v>32754</v>
      </c>
      <c r="AB1104" t="s">
        <v>74</v>
      </c>
      <c r="AC1104" t="s">
        <v>74</v>
      </c>
      <c r="AD1104" t="s">
        <v>74</v>
      </c>
      <c r="AE1104" t="s">
        <v>74</v>
      </c>
      <c r="AF1104" t="s">
        <v>74</v>
      </c>
      <c r="AG1104">
        <v>60</v>
      </c>
      <c r="AH1104">
        <v>17</v>
      </c>
      <c r="AI1104">
        <v>22</v>
      </c>
      <c r="AJ1104">
        <v>3</v>
      </c>
      <c r="AK1104">
        <v>17</v>
      </c>
      <c r="AL1104" t="s">
        <v>503</v>
      </c>
      <c r="AM1104" t="s">
        <v>151</v>
      </c>
      <c r="AN1104" t="s">
        <v>504</v>
      </c>
      <c r="AO1104" t="s">
        <v>4315</v>
      </c>
      <c r="AP1104" t="s">
        <v>4316</v>
      </c>
      <c r="AQ1104" t="s">
        <v>74</v>
      </c>
      <c r="AR1104" t="s">
        <v>4317</v>
      </c>
      <c r="AS1104" t="s">
        <v>4318</v>
      </c>
      <c r="AT1104" t="s">
        <v>1652</v>
      </c>
      <c r="AU1104">
        <v>2023</v>
      </c>
      <c r="AV1104">
        <v>191</v>
      </c>
      <c r="AW1104" t="s">
        <v>74</v>
      </c>
      <c r="AX1104" t="s">
        <v>74</v>
      </c>
      <c r="AY1104" t="s">
        <v>74</v>
      </c>
      <c r="AZ1104" t="s">
        <v>74</v>
      </c>
      <c r="BA1104" t="s">
        <v>74</v>
      </c>
      <c r="BB1104" t="s">
        <v>74</v>
      </c>
      <c r="BC1104" t="s">
        <v>74</v>
      </c>
      <c r="BD1104">
        <v>122503</v>
      </c>
      <c r="BE1104" t="s">
        <v>32753</v>
      </c>
      <c r="BF1104" t="str">
        <f>HYPERLINK("http://dx.doi.org/10.1016/j.techfore.2023.122503","http://dx.doi.org/10.1016/j.techfore.2023.122503")</f>
        <v>http://dx.doi.org/10.1016/j.techfore.2023.122503</v>
      </c>
      <c r="BG1104" t="s">
        <v>74</v>
      </c>
      <c r="BH1104" t="s">
        <v>3595</v>
      </c>
      <c r="BI1104">
        <v>17</v>
      </c>
      <c r="BJ1104" t="s">
        <v>1627</v>
      </c>
      <c r="BK1104" t="s">
        <v>99</v>
      </c>
      <c r="BL1104" t="s">
        <v>1406</v>
      </c>
      <c r="BM1104" t="s">
        <v>32752</v>
      </c>
      <c r="BN1104" t="s">
        <v>74</v>
      </c>
      <c r="BO1104" t="s">
        <v>1696</v>
      </c>
      <c r="BP1104" t="s">
        <v>74</v>
      </c>
      <c r="BQ1104" t="s">
        <v>74</v>
      </c>
      <c r="BR1104" t="s">
        <v>102</v>
      </c>
      <c r="BS1104" t="s">
        <v>32751</v>
      </c>
      <c r="BT1104" t="str">
        <f>HYPERLINK("https%3A%2F%2Fwww.webofscience.com%2Fwos%2Fwoscc%2Ffull-record%2FWOS:001053033200001","View Full Record in Web of Science")</f>
        <v>View Full Record in Web of Science</v>
      </c>
    </row>
    <row r="1105" spans="1:72" x14ac:dyDescent="0.25">
      <c r="A1105" t="s">
        <v>72</v>
      </c>
      <c r="B1105" t="s">
        <v>32750</v>
      </c>
      <c r="C1105" t="s">
        <v>74</v>
      </c>
      <c r="D1105" t="s">
        <v>74</v>
      </c>
      <c r="E1105" t="s">
        <v>74</v>
      </c>
      <c r="F1105" t="s">
        <v>32749</v>
      </c>
      <c r="G1105" t="s">
        <v>74</v>
      </c>
      <c r="H1105" t="s">
        <v>74</v>
      </c>
      <c r="I1105" t="s">
        <v>32748</v>
      </c>
      <c r="J1105" t="s">
        <v>4789</v>
      </c>
      <c r="K1105" t="s">
        <v>74</v>
      </c>
      <c r="L1105" t="s">
        <v>74</v>
      </c>
      <c r="M1105" t="s">
        <v>78</v>
      </c>
      <c r="N1105" t="s">
        <v>79</v>
      </c>
      <c r="O1105" t="s">
        <v>74</v>
      </c>
      <c r="P1105" t="s">
        <v>74</v>
      </c>
      <c r="Q1105" t="s">
        <v>74</v>
      </c>
      <c r="R1105" t="s">
        <v>74</v>
      </c>
      <c r="S1105" t="s">
        <v>74</v>
      </c>
      <c r="T1105" t="s">
        <v>32747</v>
      </c>
      <c r="U1105" t="s">
        <v>32746</v>
      </c>
      <c r="V1105" t="s">
        <v>32745</v>
      </c>
      <c r="W1105" t="s">
        <v>32744</v>
      </c>
      <c r="X1105" t="s">
        <v>32743</v>
      </c>
      <c r="Y1105" t="s">
        <v>32742</v>
      </c>
      <c r="Z1105" t="s">
        <v>32741</v>
      </c>
      <c r="AA1105" t="s">
        <v>32740</v>
      </c>
      <c r="AB1105" t="s">
        <v>32739</v>
      </c>
      <c r="AC1105" t="s">
        <v>74</v>
      </c>
      <c r="AD1105" t="s">
        <v>74</v>
      </c>
      <c r="AE1105" t="s">
        <v>74</v>
      </c>
      <c r="AF1105" t="s">
        <v>74</v>
      </c>
      <c r="AG1105">
        <v>61</v>
      </c>
      <c r="AH1105">
        <v>233</v>
      </c>
      <c r="AI1105">
        <v>276</v>
      </c>
      <c r="AJ1105">
        <v>4</v>
      </c>
      <c r="AK1105">
        <v>286</v>
      </c>
      <c r="AL1105" t="s">
        <v>4485</v>
      </c>
      <c r="AM1105" t="s">
        <v>231</v>
      </c>
      <c r="AN1105" t="s">
        <v>4486</v>
      </c>
      <c r="AO1105" t="s">
        <v>4797</v>
      </c>
      <c r="AP1105" t="s">
        <v>4798</v>
      </c>
      <c r="AQ1105" t="s">
        <v>74</v>
      </c>
      <c r="AR1105" t="s">
        <v>4799</v>
      </c>
      <c r="AS1105" t="s">
        <v>4800</v>
      </c>
      <c r="AT1105" t="s">
        <v>1652</v>
      </c>
      <c r="AU1105">
        <v>2020</v>
      </c>
      <c r="AV1105">
        <v>52</v>
      </c>
      <c r="AW1105" t="s">
        <v>74</v>
      </c>
      <c r="AX1105" t="s">
        <v>74</v>
      </c>
      <c r="AY1105" t="s">
        <v>74</v>
      </c>
      <c r="AZ1105" t="s">
        <v>74</v>
      </c>
      <c r="BA1105" t="s">
        <v>74</v>
      </c>
      <c r="BB1105" t="s">
        <v>74</v>
      </c>
      <c r="BC1105" t="s">
        <v>74</v>
      </c>
      <c r="BD1105">
        <v>101936</v>
      </c>
      <c r="BE1105" t="s">
        <v>32738</v>
      </c>
      <c r="BF1105" t="str">
        <f>HYPERLINK("http://dx.doi.org/10.1016/j.ijinfomgt.2019.04.009","http://dx.doi.org/10.1016/j.ijinfomgt.2019.04.009")</f>
        <v>http://dx.doi.org/10.1016/j.ijinfomgt.2019.04.009</v>
      </c>
      <c r="BG1105" t="s">
        <v>74</v>
      </c>
      <c r="BH1105" t="s">
        <v>74</v>
      </c>
      <c r="BI1105">
        <v>8</v>
      </c>
      <c r="BJ1105" t="s">
        <v>2351</v>
      </c>
      <c r="BK1105" t="s">
        <v>99</v>
      </c>
      <c r="BL1105" t="s">
        <v>2351</v>
      </c>
      <c r="BM1105" t="s">
        <v>32737</v>
      </c>
      <c r="BN1105" t="s">
        <v>74</v>
      </c>
      <c r="BO1105" t="s">
        <v>74</v>
      </c>
      <c r="BP1105" t="s">
        <v>74</v>
      </c>
      <c r="BQ1105" t="s">
        <v>74</v>
      </c>
      <c r="BR1105" t="s">
        <v>102</v>
      </c>
      <c r="BS1105" t="s">
        <v>32736</v>
      </c>
      <c r="BT1105" t="str">
        <f>HYPERLINK("https%3A%2F%2Fwww.webofscience.com%2Fwos%2Fwoscc%2Ffull-record%2FWOS:000519969300001","View Full Record in Web of Science")</f>
        <v>View Full Record in Web of Science</v>
      </c>
    </row>
    <row r="1106" spans="1:72" x14ac:dyDescent="0.25">
      <c r="A1106" t="s">
        <v>72</v>
      </c>
      <c r="B1106" t="s">
        <v>32735</v>
      </c>
      <c r="C1106" t="s">
        <v>74</v>
      </c>
      <c r="D1106" t="s">
        <v>74</v>
      </c>
      <c r="E1106" t="s">
        <v>74</v>
      </c>
      <c r="F1106" t="s">
        <v>32734</v>
      </c>
      <c r="G1106" t="s">
        <v>74</v>
      </c>
      <c r="H1106" t="s">
        <v>74</v>
      </c>
      <c r="I1106" t="s">
        <v>32733</v>
      </c>
      <c r="J1106" t="s">
        <v>9191</v>
      </c>
      <c r="K1106" t="s">
        <v>74</v>
      </c>
      <c r="L1106" t="s">
        <v>74</v>
      </c>
      <c r="M1106" t="s">
        <v>78</v>
      </c>
      <c r="N1106" t="s">
        <v>79</v>
      </c>
      <c r="O1106" t="s">
        <v>74</v>
      </c>
      <c r="P1106" t="s">
        <v>74</v>
      </c>
      <c r="Q1106" t="s">
        <v>74</v>
      </c>
      <c r="R1106" t="s">
        <v>74</v>
      </c>
      <c r="S1106" t="s">
        <v>74</v>
      </c>
      <c r="T1106" t="s">
        <v>32732</v>
      </c>
      <c r="U1106" t="s">
        <v>32731</v>
      </c>
      <c r="V1106" t="s">
        <v>32730</v>
      </c>
      <c r="W1106" t="s">
        <v>32729</v>
      </c>
      <c r="X1106" t="s">
        <v>32728</v>
      </c>
      <c r="Y1106" t="s">
        <v>32727</v>
      </c>
      <c r="Z1106" t="s">
        <v>32726</v>
      </c>
      <c r="AA1106" t="s">
        <v>74</v>
      </c>
      <c r="AB1106" t="s">
        <v>32725</v>
      </c>
      <c r="AC1106" t="s">
        <v>74</v>
      </c>
      <c r="AD1106" t="s">
        <v>74</v>
      </c>
      <c r="AE1106" t="s">
        <v>74</v>
      </c>
      <c r="AF1106" t="s">
        <v>74</v>
      </c>
      <c r="AG1106">
        <v>98</v>
      </c>
      <c r="AH1106">
        <v>1</v>
      </c>
      <c r="AI1106">
        <v>1</v>
      </c>
      <c r="AJ1106">
        <v>2</v>
      </c>
      <c r="AK1106">
        <v>13</v>
      </c>
      <c r="AL1106" t="s">
        <v>9204</v>
      </c>
      <c r="AM1106" t="s">
        <v>2016</v>
      </c>
      <c r="AN1106" t="s">
        <v>9205</v>
      </c>
      <c r="AO1106" t="s">
        <v>74</v>
      </c>
      <c r="AP1106" t="s">
        <v>9206</v>
      </c>
      <c r="AQ1106" t="s">
        <v>74</v>
      </c>
      <c r="AR1106" t="s">
        <v>9191</v>
      </c>
      <c r="AS1106" t="s">
        <v>9207</v>
      </c>
      <c r="AT1106" t="s">
        <v>26234</v>
      </c>
      <c r="AU1106">
        <v>2024</v>
      </c>
      <c r="AV1106">
        <v>10</v>
      </c>
      <c r="AW1106">
        <v>6</v>
      </c>
      <c r="AX1106" t="s">
        <v>74</v>
      </c>
      <c r="AY1106" t="s">
        <v>74</v>
      </c>
      <c r="AZ1106" t="s">
        <v>74</v>
      </c>
      <c r="BA1106" t="s">
        <v>74</v>
      </c>
      <c r="BB1106" t="s">
        <v>74</v>
      </c>
      <c r="BC1106" t="s">
        <v>74</v>
      </c>
      <c r="BD1106" t="s">
        <v>32724</v>
      </c>
      <c r="BE1106" t="s">
        <v>32723</v>
      </c>
      <c r="BF1106" t="str">
        <f>HYPERLINK("http://dx.doi.org/10.1016/j.heliyon.2024.e27750","http://dx.doi.org/10.1016/j.heliyon.2024.e27750")</f>
        <v>http://dx.doi.org/10.1016/j.heliyon.2024.e27750</v>
      </c>
      <c r="BG1106" t="s">
        <v>74</v>
      </c>
      <c r="BH1106" t="s">
        <v>1981</v>
      </c>
      <c r="BI1106">
        <v>18</v>
      </c>
      <c r="BJ1106" t="s">
        <v>559</v>
      </c>
      <c r="BK1106" t="s">
        <v>128</v>
      </c>
      <c r="BL1106" t="s">
        <v>560</v>
      </c>
      <c r="BM1106" t="s">
        <v>32722</v>
      </c>
      <c r="BN1106">
        <v>38545222</v>
      </c>
      <c r="BO1106" t="s">
        <v>916</v>
      </c>
      <c r="BP1106" t="s">
        <v>74</v>
      </c>
      <c r="BQ1106" t="s">
        <v>74</v>
      </c>
      <c r="BR1106" t="s">
        <v>102</v>
      </c>
      <c r="BS1106" t="s">
        <v>32721</v>
      </c>
      <c r="BT1106" t="str">
        <f>HYPERLINK("https%3A%2F%2Fwww.webofscience.com%2Fwos%2Fwoscc%2Ffull-record%2FWOS:001250910600001","View Full Record in Web of Science")</f>
        <v>View Full Record in Web of Science</v>
      </c>
    </row>
    <row r="1107" spans="1:72" x14ac:dyDescent="0.25">
      <c r="A1107" t="s">
        <v>72</v>
      </c>
      <c r="B1107" t="s">
        <v>32720</v>
      </c>
      <c r="C1107" t="s">
        <v>74</v>
      </c>
      <c r="D1107" t="s">
        <v>74</v>
      </c>
      <c r="E1107" t="s">
        <v>74</v>
      </c>
      <c r="F1107" t="s">
        <v>32719</v>
      </c>
      <c r="G1107" t="s">
        <v>74</v>
      </c>
      <c r="H1107" t="s">
        <v>74</v>
      </c>
      <c r="I1107" t="s">
        <v>32718</v>
      </c>
      <c r="J1107" t="s">
        <v>1367</v>
      </c>
      <c r="K1107" t="s">
        <v>74</v>
      </c>
      <c r="L1107" t="s">
        <v>74</v>
      </c>
      <c r="M1107" t="s">
        <v>78</v>
      </c>
      <c r="N1107" t="s">
        <v>79</v>
      </c>
      <c r="O1107" t="s">
        <v>74</v>
      </c>
      <c r="P1107" t="s">
        <v>74</v>
      </c>
      <c r="Q1107" t="s">
        <v>74</v>
      </c>
      <c r="R1107" t="s">
        <v>74</v>
      </c>
      <c r="S1107" t="s">
        <v>74</v>
      </c>
      <c r="T1107" t="s">
        <v>32717</v>
      </c>
      <c r="U1107" t="s">
        <v>2964</v>
      </c>
      <c r="V1107" t="s">
        <v>32716</v>
      </c>
      <c r="W1107" t="s">
        <v>32715</v>
      </c>
      <c r="X1107" t="s">
        <v>32714</v>
      </c>
      <c r="Y1107" t="s">
        <v>32713</v>
      </c>
      <c r="Z1107" t="s">
        <v>32712</v>
      </c>
      <c r="AA1107" t="s">
        <v>32711</v>
      </c>
      <c r="AB1107" t="s">
        <v>74</v>
      </c>
      <c r="AC1107" t="s">
        <v>74</v>
      </c>
      <c r="AD1107" t="s">
        <v>74</v>
      </c>
      <c r="AE1107" t="s">
        <v>74</v>
      </c>
      <c r="AF1107" t="s">
        <v>74</v>
      </c>
      <c r="AG1107">
        <v>22</v>
      </c>
      <c r="AH1107">
        <v>6</v>
      </c>
      <c r="AI1107">
        <v>10</v>
      </c>
      <c r="AJ1107">
        <v>0</v>
      </c>
      <c r="AK1107">
        <v>17</v>
      </c>
      <c r="AL1107" t="s">
        <v>1376</v>
      </c>
      <c r="AM1107" t="s">
        <v>1377</v>
      </c>
      <c r="AN1107" t="s">
        <v>1378</v>
      </c>
      <c r="AO1107" t="s">
        <v>1379</v>
      </c>
      <c r="AP1107" t="s">
        <v>1380</v>
      </c>
      <c r="AQ1107" t="s">
        <v>74</v>
      </c>
      <c r="AR1107" t="s">
        <v>1381</v>
      </c>
      <c r="AS1107" t="s">
        <v>1382</v>
      </c>
      <c r="AT1107" t="s">
        <v>74</v>
      </c>
      <c r="AU1107">
        <v>2020</v>
      </c>
      <c r="AV1107">
        <v>12</v>
      </c>
      <c r="AW1107">
        <v>1</v>
      </c>
      <c r="AX1107" t="s">
        <v>74</v>
      </c>
      <c r="AY1107" t="s">
        <v>74</v>
      </c>
      <c r="AZ1107" t="s">
        <v>74</v>
      </c>
      <c r="BA1107" t="s">
        <v>74</v>
      </c>
      <c r="BB1107">
        <v>25</v>
      </c>
      <c r="BC1107">
        <v>38</v>
      </c>
      <c r="BD1107" t="s">
        <v>74</v>
      </c>
      <c r="BE1107" t="s">
        <v>32710</v>
      </c>
      <c r="BF1107" t="str">
        <f>HYPERLINK("http://dx.doi.org/10.20885/ejem.vol12.iss1.art3","http://dx.doi.org/10.20885/ejem.vol12.iss1.art3")</f>
        <v>http://dx.doi.org/10.20885/ejem.vol12.iss1.art3</v>
      </c>
      <c r="BG1107" t="s">
        <v>74</v>
      </c>
      <c r="BH1107" t="s">
        <v>74</v>
      </c>
      <c r="BI1107">
        <v>14</v>
      </c>
      <c r="BJ1107" t="s">
        <v>291</v>
      </c>
      <c r="BK1107" t="s">
        <v>313</v>
      </c>
      <c r="BL1107" t="s">
        <v>100</v>
      </c>
      <c r="BM1107" t="s">
        <v>32709</v>
      </c>
      <c r="BN1107" t="s">
        <v>74</v>
      </c>
      <c r="BO1107" t="s">
        <v>916</v>
      </c>
      <c r="BP1107" t="s">
        <v>74</v>
      </c>
      <c r="BQ1107" t="s">
        <v>74</v>
      </c>
      <c r="BR1107" t="s">
        <v>102</v>
      </c>
      <c r="BS1107" t="s">
        <v>32708</v>
      </c>
      <c r="BT1107" t="str">
        <f>HYPERLINK("https%3A%2F%2Fwww.webofscience.com%2Fwos%2Fwoscc%2Ffull-record%2FWOS:000544805200003","View Full Record in Web of Science")</f>
        <v>View Full Record in Web of Science</v>
      </c>
    </row>
    <row r="1108" spans="1:72" x14ac:dyDescent="0.25">
      <c r="A1108" t="s">
        <v>72</v>
      </c>
      <c r="B1108" t="s">
        <v>32707</v>
      </c>
      <c r="C1108" t="s">
        <v>74</v>
      </c>
      <c r="D1108" t="s">
        <v>74</v>
      </c>
      <c r="E1108" t="s">
        <v>74</v>
      </c>
      <c r="F1108" t="s">
        <v>32706</v>
      </c>
      <c r="G1108" t="s">
        <v>74</v>
      </c>
      <c r="H1108" t="s">
        <v>74</v>
      </c>
      <c r="I1108" t="s">
        <v>32705</v>
      </c>
      <c r="J1108" t="s">
        <v>4842</v>
      </c>
      <c r="K1108" t="s">
        <v>74</v>
      </c>
      <c r="L1108" t="s">
        <v>74</v>
      </c>
      <c r="M1108" t="s">
        <v>78</v>
      </c>
      <c r="N1108" t="s">
        <v>1766</v>
      </c>
      <c r="O1108" t="s">
        <v>74</v>
      </c>
      <c r="P1108" t="s">
        <v>74</v>
      </c>
      <c r="Q1108" t="s">
        <v>74</v>
      </c>
      <c r="R1108" t="s">
        <v>74</v>
      </c>
      <c r="S1108" t="s">
        <v>74</v>
      </c>
      <c r="T1108" t="s">
        <v>32704</v>
      </c>
      <c r="U1108" t="s">
        <v>32703</v>
      </c>
      <c r="V1108" t="s">
        <v>32702</v>
      </c>
      <c r="W1108" t="s">
        <v>32701</v>
      </c>
      <c r="X1108" t="s">
        <v>32700</v>
      </c>
      <c r="Y1108" t="s">
        <v>32699</v>
      </c>
      <c r="Z1108" t="s">
        <v>32698</v>
      </c>
      <c r="AA1108" t="s">
        <v>32697</v>
      </c>
      <c r="AB1108" t="s">
        <v>32696</v>
      </c>
      <c r="AC1108" t="s">
        <v>74</v>
      </c>
      <c r="AD1108" t="s">
        <v>74</v>
      </c>
      <c r="AE1108" t="s">
        <v>74</v>
      </c>
      <c r="AF1108" t="s">
        <v>74</v>
      </c>
      <c r="AG1108">
        <v>137</v>
      </c>
      <c r="AH1108">
        <v>61</v>
      </c>
      <c r="AI1108">
        <v>93</v>
      </c>
      <c r="AJ1108">
        <v>7</v>
      </c>
      <c r="AK1108">
        <v>76</v>
      </c>
      <c r="AL1108" t="s">
        <v>2481</v>
      </c>
      <c r="AM1108" t="s">
        <v>2482</v>
      </c>
      <c r="AN1108" t="s">
        <v>2483</v>
      </c>
      <c r="AO1108" t="s">
        <v>4853</v>
      </c>
      <c r="AP1108" t="s">
        <v>74</v>
      </c>
      <c r="AQ1108" t="s">
        <v>74</v>
      </c>
      <c r="AR1108" t="s">
        <v>4854</v>
      </c>
      <c r="AS1108" t="s">
        <v>4855</v>
      </c>
      <c r="AT1108" t="s">
        <v>2970</v>
      </c>
      <c r="AU1108">
        <v>2022</v>
      </c>
      <c r="AV1108">
        <v>9</v>
      </c>
      <c r="AW1108">
        <v>1</v>
      </c>
      <c r="AX1108" t="s">
        <v>74</v>
      </c>
      <c r="AY1108" t="s">
        <v>74</v>
      </c>
      <c r="AZ1108" t="s">
        <v>74</v>
      </c>
      <c r="BA1108" t="s">
        <v>74</v>
      </c>
      <c r="BB1108" t="s">
        <v>74</v>
      </c>
      <c r="BC1108" t="s">
        <v>74</v>
      </c>
      <c r="BD1108">
        <v>2034236</v>
      </c>
      <c r="BE1108" t="s">
        <v>32695</v>
      </c>
      <c r="BF1108" t="str">
        <f>HYPERLINK("http://dx.doi.org/10.1080/23311975.2022.2034236","http://dx.doi.org/10.1080/23311975.2022.2034236")</f>
        <v>http://dx.doi.org/10.1080/23311975.2022.2034236</v>
      </c>
      <c r="BG1108" t="s">
        <v>74</v>
      </c>
      <c r="BH1108" t="s">
        <v>74</v>
      </c>
      <c r="BI1108">
        <v>37</v>
      </c>
      <c r="BJ1108" t="s">
        <v>418</v>
      </c>
      <c r="BK1108" t="s">
        <v>313</v>
      </c>
      <c r="BL1108" t="s">
        <v>100</v>
      </c>
      <c r="BM1108" t="s">
        <v>32694</v>
      </c>
      <c r="BN1108" t="s">
        <v>74</v>
      </c>
      <c r="BO1108" t="s">
        <v>916</v>
      </c>
      <c r="BP1108" t="s">
        <v>74</v>
      </c>
      <c r="BQ1108" t="s">
        <v>74</v>
      </c>
      <c r="BR1108" t="s">
        <v>102</v>
      </c>
      <c r="BS1108" t="s">
        <v>32693</v>
      </c>
      <c r="BT1108" t="str">
        <f>HYPERLINK("https%3A%2F%2Fwww.webofscience.com%2Fwos%2Fwoscc%2Ffull-record%2FWOS:000758009200001","View Full Record in Web of Science")</f>
        <v>View Full Record in Web of Science</v>
      </c>
    </row>
    <row r="1109" spans="1:72" x14ac:dyDescent="0.25">
      <c r="A1109" t="s">
        <v>72</v>
      </c>
      <c r="B1109" t="s">
        <v>32692</v>
      </c>
      <c r="C1109" t="s">
        <v>74</v>
      </c>
      <c r="D1109" t="s">
        <v>74</v>
      </c>
      <c r="E1109" t="s">
        <v>74</v>
      </c>
      <c r="F1109" t="s">
        <v>32691</v>
      </c>
      <c r="G1109" t="s">
        <v>74</v>
      </c>
      <c r="H1109" t="s">
        <v>74</v>
      </c>
      <c r="I1109" t="s">
        <v>32690</v>
      </c>
      <c r="J1109" t="s">
        <v>32689</v>
      </c>
      <c r="K1109" t="s">
        <v>74</v>
      </c>
      <c r="L1109" t="s">
        <v>74</v>
      </c>
      <c r="M1109" t="s">
        <v>78</v>
      </c>
      <c r="N1109" t="s">
        <v>79</v>
      </c>
      <c r="O1109" t="s">
        <v>74</v>
      </c>
      <c r="P1109" t="s">
        <v>74</v>
      </c>
      <c r="Q1109" t="s">
        <v>74</v>
      </c>
      <c r="R1109" t="s">
        <v>74</v>
      </c>
      <c r="S1109" t="s">
        <v>74</v>
      </c>
      <c r="T1109" t="s">
        <v>32688</v>
      </c>
      <c r="U1109" t="s">
        <v>32687</v>
      </c>
      <c r="V1109" t="s">
        <v>32686</v>
      </c>
      <c r="W1109" t="s">
        <v>32685</v>
      </c>
      <c r="X1109" t="s">
        <v>17508</v>
      </c>
      <c r="Y1109" t="s">
        <v>32684</v>
      </c>
      <c r="Z1109" t="s">
        <v>32683</v>
      </c>
      <c r="AA1109" t="s">
        <v>74</v>
      </c>
      <c r="AB1109" t="s">
        <v>32682</v>
      </c>
      <c r="AC1109" t="s">
        <v>74</v>
      </c>
      <c r="AD1109" t="s">
        <v>74</v>
      </c>
      <c r="AE1109" t="s">
        <v>74</v>
      </c>
      <c r="AF1109" t="s">
        <v>74</v>
      </c>
      <c r="AG1109">
        <v>64</v>
      </c>
      <c r="AH1109">
        <v>7</v>
      </c>
      <c r="AI1109">
        <v>10</v>
      </c>
      <c r="AJ1109">
        <v>0</v>
      </c>
      <c r="AK1109">
        <v>12</v>
      </c>
      <c r="AL1109" t="s">
        <v>89</v>
      </c>
      <c r="AM1109" t="s">
        <v>1497</v>
      </c>
      <c r="AN1109" t="s">
        <v>1498</v>
      </c>
      <c r="AO1109" t="s">
        <v>32681</v>
      </c>
      <c r="AP1109" t="s">
        <v>32680</v>
      </c>
      <c r="AQ1109" t="s">
        <v>74</v>
      </c>
      <c r="AR1109" t="s">
        <v>32679</v>
      </c>
      <c r="AS1109" t="s">
        <v>32678</v>
      </c>
      <c r="AT1109" t="s">
        <v>7590</v>
      </c>
      <c r="AU1109">
        <v>2019</v>
      </c>
      <c r="AV1109">
        <v>15</v>
      </c>
      <c r="AW1109">
        <v>4</v>
      </c>
      <c r="AX1109" t="s">
        <v>74</v>
      </c>
      <c r="AY1109" t="s">
        <v>74</v>
      </c>
      <c r="AZ1109" t="s">
        <v>74</v>
      </c>
      <c r="BA1109" t="s">
        <v>74</v>
      </c>
      <c r="BB1109">
        <v>406</v>
      </c>
      <c r="BC1109">
        <v>424</v>
      </c>
      <c r="BD1109" t="s">
        <v>74</v>
      </c>
      <c r="BE1109" t="s">
        <v>32677</v>
      </c>
      <c r="BF1109" t="str">
        <f>HYPERLINK("http://dx.doi.org/10.1108/IJMF-05-2018-0132","http://dx.doi.org/10.1108/IJMF-05-2018-0132")</f>
        <v>http://dx.doi.org/10.1108/IJMF-05-2018-0132</v>
      </c>
      <c r="BG1109" t="s">
        <v>74</v>
      </c>
      <c r="BH1109" t="s">
        <v>74</v>
      </c>
      <c r="BI1109">
        <v>19</v>
      </c>
      <c r="BJ1109" t="s">
        <v>268</v>
      </c>
      <c r="BK1109" t="s">
        <v>313</v>
      </c>
      <c r="BL1109" t="s">
        <v>100</v>
      </c>
      <c r="BM1109" t="s">
        <v>32676</v>
      </c>
      <c r="BN1109" t="s">
        <v>74</v>
      </c>
      <c r="BO1109" t="s">
        <v>74</v>
      </c>
      <c r="BP1109" t="s">
        <v>74</v>
      </c>
      <c r="BQ1109" t="s">
        <v>74</v>
      </c>
      <c r="BR1109" t="s">
        <v>102</v>
      </c>
      <c r="BS1109" t="s">
        <v>32675</v>
      </c>
      <c r="BT1109" t="str">
        <f>HYPERLINK("https%3A%2F%2Fwww.webofscience.com%2Fwos%2Fwoscc%2Ffull-record%2FWOS:000485927600001","View Full Record in Web of Science")</f>
        <v>View Full Record in Web of Science</v>
      </c>
    </row>
    <row r="1110" spans="1:72" x14ac:dyDescent="0.25">
      <c r="A1110" t="s">
        <v>72</v>
      </c>
      <c r="B1110" t="s">
        <v>32674</v>
      </c>
      <c r="C1110" t="s">
        <v>74</v>
      </c>
      <c r="D1110" t="s">
        <v>74</v>
      </c>
      <c r="E1110" t="s">
        <v>74</v>
      </c>
      <c r="F1110" t="s">
        <v>32673</v>
      </c>
      <c r="G1110" t="s">
        <v>74</v>
      </c>
      <c r="H1110" t="s">
        <v>74</v>
      </c>
      <c r="I1110" t="s">
        <v>32672</v>
      </c>
      <c r="J1110" t="s">
        <v>29719</v>
      </c>
      <c r="K1110" t="s">
        <v>74</v>
      </c>
      <c r="L1110" t="s">
        <v>74</v>
      </c>
      <c r="M1110" t="s">
        <v>78</v>
      </c>
      <c r="N1110" t="s">
        <v>1766</v>
      </c>
      <c r="O1110" t="s">
        <v>74</v>
      </c>
      <c r="P1110" t="s">
        <v>74</v>
      </c>
      <c r="Q1110" t="s">
        <v>74</v>
      </c>
      <c r="R1110" t="s">
        <v>74</v>
      </c>
      <c r="S1110" t="s">
        <v>74</v>
      </c>
      <c r="T1110" t="s">
        <v>74</v>
      </c>
      <c r="U1110" t="s">
        <v>32671</v>
      </c>
      <c r="V1110" t="s">
        <v>32670</v>
      </c>
      <c r="W1110" t="s">
        <v>32669</v>
      </c>
      <c r="X1110" t="s">
        <v>1533</v>
      </c>
      <c r="Y1110" t="s">
        <v>32668</v>
      </c>
      <c r="Z1110" t="s">
        <v>74</v>
      </c>
      <c r="AA1110" t="s">
        <v>74</v>
      </c>
      <c r="AB1110" t="s">
        <v>74</v>
      </c>
      <c r="AC1110" t="s">
        <v>32667</v>
      </c>
      <c r="AD1110" t="s">
        <v>32666</v>
      </c>
      <c r="AE1110" t="s">
        <v>32665</v>
      </c>
      <c r="AF1110" t="s">
        <v>74</v>
      </c>
      <c r="AG1110">
        <v>67</v>
      </c>
      <c r="AH1110">
        <v>101</v>
      </c>
      <c r="AI1110">
        <v>140</v>
      </c>
      <c r="AJ1110">
        <v>0</v>
      </c>
      <c r="AK1110">
        <v>36</v>
      </c>
      <c r="AL1110" t="s">
        <v>2551</v>
      </c>
      <c r="AM1110" t="s">
        <v>231</v>
      </c>
      <c r="AN1110" t="s">
        <v>2552</v>
      </c>
      <c r="AO1110" t="s">
        <v>29716</v>
      </c>
      <c r="AP1110" t="s">
        <v>29715</v>
      </c>
      <c r="AQ1110" t="s">
        <v>74</v>
      </c>
      <c r="AR1110" t="s">
        <v>29714</v>
      </c>
      <c r="AS1110" t="s">
        <v>29713</v>
      </c>
      <c r="AT1110" t="s">
        <v>289</v>
      </c>
      <c r="AU1110">
        <v>2018</v>
      </c>
      <c r="AV1110">
        <v>33</v>
      </c>
      <c r="AW1110">
        <v>2</v>
      </c>
      <c r="AX1110" t="s">
        <v>74</v>
      </c>
      <c r="AY1110" t="s">
        <v>74</v>
      </c>
      <c r="AZ1110" t="s">
        <v>74</v>
      </c>
      <c r="BA1110" t="s">
        <v>74</v>
      </c>
      <c r="BB1110">
        <v>135</v>
      </c>
      <c r="BC1110">
        <v>188</v>
      </c>
      <c r="BD1110" t="s">
        <v>74</v>
      </c>
      <c r="BE1110" t="s">
        <v>32664</v>
      </c>
      <c r="BF1110" t="str">
        <f>HYPERLINK("http://dx.doi.org/10.1093/wbro/lky001","http://dx.doi.org/10.1093/wbro/lky001")</f>
        <v>http://dx.doi.org/10.1093/wbro/lky001</v>
      </c>
      <c r="BG1110" t="s">
        <v>74</v>
      </c>
      <c r="BH1110" t="s">
        <v>74</v>
      </c>
      <c r="BI1110">
        <v>54</v>
      </c>
      <c r="BJ1110" t="s">
        <v>701</v>
      </c>
      <c r="BK1110" t="s">
        <v>99</v>
      </c>
      <c r="BL1110" t="s">
        <v>702</v>
      </c>
      <c r="BM1110" t="s">
        <v>32663</v>
      </c>
      <c r="BN1110" t="s">
        <v>74</v>
      </c>
      <c r="BO1110" t="s">
        <v>1205</v>
      </c>
      <c r="BP1110" t="s">
        <v>74</v>
      </c>
      <c r="BQ1110" t="s">
        <v>74</v>
      </c>
      <c r="BR1110" t="s">
        <v>102</v>
      </c>
      <c r="BS1110" t="s">
        <v>32662</v>
      </c>
      <c r="BT1110" t="str">
        <f>HYPERLINK("https%3A%2F%2Fwww.webofscience.com%2Fwos%2Fwoscc%2Ffull-record%2FWOS:000456688000001","View Full Record in Web of Science")</f>
        <v>View Full Record in Web of Science</v>
      </c>
    </row>
    <row r="1111" spans="1:72" x14ac:dyDescent="0.25">
      <c r="A1111" t="s">
        <v>72</v>
      </c>
      <c r="B1111" t="s">
        <v>32661</v>
      </c>
      <c r="C1111" t="s">
        <v>74</v>
      </c>
      <c r="D1111" t="s">
        <v>74</v>
      </c>
      <c r="E1111" t="s">
        <v>74</v>
      </c>
      <c r="F1111" t="s">
        <v>32660</v>
      </c>
      <c r="G1111" t="s">
        <v>74</v>
      </c>
      <c r="H1111" t="s">
        <v>74</v>
      </c>
      <c r="I1111" t="s">
        <v>32659</v>
      </c>
      <c r="J1111" t="s">
        <v>6306</v>
      </c>
      <c r="K1111" t="s">
        <v>74</v>
      </c>
      <c r="L1111" t="s">
        <v>74</v>
      </c>
      <c r="M1111" t="s">
        <v>78</v>
      </c>
      <c r="N1111" t="s">
        <v>79</v>
      </c>
      <c r="O1111" t="s">
        <v>74</v>
      </c>
      <c r="P1111" t="s">
        <v>74</v>
      </c>
      <c r="Q1111" t="s">
        <v>74</v>
      </c>
      <c r="R1111" t="s">
        <v>74</v>
      </c>
      <c r="S1111" t="s">
        <v>74</v>
      </c>
      <c r="T1111" t="s">
        <v>32658</v>
      </c>
      <c r="U1111" t="s">
        <v>32657</v>
      </c>
      <c r="V1111" t="s">
        <v>32656</v>
      </c>
      <c r="W1111" t="s">
        <v>32655</v>
      </c>
      <c r="X1111" t="s">
        <v>11679</v>
      </c>
      <c r="Y1111" t="s">
        <v>32654</v>
      </c>
      <c r="Z1111" t="s">
        <v>32653</v>
      </c>
      <c r="AA1111" t="s">
        <v>74</v>
      </c>
      <c r="AB1111" t="s">
        <v>32652</v>
      </c>
      <c r="AC1111" t="s">
        <v>74</v>
      </c>
      <c r="AD1111" t="s">
        <v>74</v>
      </c>
      <c r="AE1111" t="s">
        <v>74</v>
      </c>
      <c r="AF1111" t="s">
        <v>74</v>
      </c>
      <c r="AG1111">
        <v>55</v>
      </c>
      <c r="AH1111">
        <v>8</v>
      </c>
      <c r="AI1111">
        <v>12</v>
      </c>
      <c r="AJ1111">
        <v>3</v>
      </c>
      <c r="AK1111">
        <v>9</v>
      </c>
      <c r="AL1111" t="s">
        <v>575</v>
      </c>
      <c r="AM1111" t="s">
        <v>576</v>
      </c>
      <c r="AN1111" t="s">
        <v>3242</v>
      </c>
      <c r="AO1111" t="s">
        <v>74</v>
      </c>
      <c r="AP1111" t="s">
        <v>6319</v>
      </c>
      <c r="AQ1111" t="s">
        <v>74</v>
      </c>
      <c r="AR1111" t="s">
        <v>6306</v>
      </c>
      <c r="AS1111" t="s">
        <v>6320</v>
      </c>
      <c r="AT1111" t="s">
        <v>848</v>
      </c>
      <c r="AU1111">
        <v>2024</v>
      </c>
      <c r="AV1111">
        <v>12</v>
      </c>
      <c r="AW1111">
        <v>7</v>
      </c>
      <c r="AX1111" t="s">
        <v>74</v>
      </c>
      <c r="AY1111" t="s">
        <v>74</v>
      </c>
      <c r="AZ1111" t="s">
        <v>74</v>
      </c>
      <c r="BA1111" t="s">
        <v>74</v>
      </c>
      <c r="BB1111" t="s">
        <v>74</v>
      </c>
      <c r="BC1111" t="s">
        <v>74</v>
      </c>
      <c r="BD1111">
        <v>115</v>
      </c>
      <c r="BE1111" t="s">
        <v>32651</v>
      </c>
      <c r="BF1111" t="str">
        <f>HYPERLINK("http://dx.doi.org/10.3390/risks12070115","http://dx.doi.org/10.3390/risks12070115")</f>
        <v>http://dx.doi.org/10.3390/risks12070115</v>
      </c>
      <c r="BG1111" t="s">
        <v>74</v>
      </c>
      <c r="BH1111" t="s">
        <v>74</v>
      </c>
      <c r="BI1111">
        <v>19</v>
      </c>
      <c r="BJ1111" t="s">
        <v>268</v>
      </c>
      <c r="BK1111" t="s">
        <v>313</v>
      </c>
      <c r="BL1111" t="s">
        <v>100</v>
      </c>
      <c r="BM1111" t="s">
        <v>32650</v>
      </c>
      <c r="BN1111" t="s">
        <v>74</v>
      </c>
      <c r="BO1111" t="s">
        <v>212</v>
      </c>
      <c r="BP1111" t="s">
        <v>74</v>
      </c>
      <c r="BQ1111" t="s">
        <v>74</v>
      </c>
      <c r="BR1111" t="s">
        <v>102</v>
      </c>
      <c r="BS1111" t="s">
        <v>32649</v>
      </c>
      <c r="BT1111" t="str">
        <f>HYPERLINK("https%3A%2F%2Fwww.webofscience.com%2Fwos%2Fwoscc%2Ffull-record%2FWOS:001277011800001","View Full Record in Web of Science")</f>
        <v>View Full Record in Web of Science</v>
      </c>
    </row>
    <row r="1112" spans="1:72" x14ac:dyDescent="0.25">
      <c r="A1112" t="s">
        <v>72</v>
      </c>
      <c r="B1112" t="s">
        <v>32648</v>
      </c>
      <c r="C1112" t="s">
        <v>74</v>
      </c>
      <c r="D1112" t="s">
        <v>74</v>
      </c>
      <c r="E1112" t="s">
        <v>74</v>
      </c>
      <c r="F1112" t="s">
        <v>32647</v>
      </c>
      <c r="G1112" t="s">
        <v>74</v>
      </c>
      <c r="H1112" t="s">
        <v>74</v>
      </c>
      <c r="I1112" t="s">
        <v>32646</v>
      </c>
      <c r="J1112" t="s">
        <v>8087</v>
      </c>
      <c r="K1112" t="s">
        <v>74</v>
      </c>
      <c r="L1112" t="s">
        <v>74</v>
      </c>
      <c r="M1112" t="s">
        <v>78</v>
      </c>
      <c r="N1112" t="s">
        <v>79</v>
      </c>
      <c r="O1112" t="s">
        <v>74</v>
      </c>
      <c r="P1112" t="s">
        <v>74</v>
      </c>
      <c r="Q1112" t="s">
        <v>74</v>
      </c>
      <c r="R1112" t="s">
        <v>74</v>
      </c>
      <c r="S1112" t="s">
        <v>74</v>
      </c>
      <c r="T1112" t="s">
        <v>32645</v>
      </c>
      <c r="U1112" t="s">
        <v>32644</v>
      </c>
      <c r="V1112" t="s">
        <v>32643</v>
      </c>
      <c r="W1112" t="s">
        <v>32642</v>
      </c>
      <c r="X1112" t="s">
        <v>32537</v>
      </c>
      <c r="Y1112" t="s">
        <v>32641</v>
      </c>
      <c r="Z1112" t="s">
        <v>32640</v>
      </c>
      <c r="AA1112" t="s">
        <v>74</v>
      </c>
      <c r="AB1112" t="s">
        <v>74</v>
      </c>
      <c r="AC1112" t="s">
        <v>74</v>
      </c>
      <c r="AD1112" t="s">
        <v>74</v>
      </c>
      <c r="AE1112" t="s">
        <v>74</v>
      </c>
      <c r="AF1112" t="s">
        <v>74</v>
      </c>
      <c r="AG1112">
        <v>108</v>
      </c>
      <c r="AH1112">
        <v>3</v>
      </c>
      <c r="AI1112">
        <v>4</v>
      </c>
      <c r="AJ1112">
        <v>18</v>
      </c>
      <c r="AK1112">
        <v>35</v>
      </c>
      <c r="AL1112" t="s">
        <v>479</v>
      </c>
      <c r="AM1112" t="s">
        <v>480</v>
      </c>
      <c r="AN1112" t="s">
        <v>481</v>
      </c>
      <c r="AO1112" t="s">
        <v>8097</v>
      </c>
      <c r="AP1112" t="s">
        <v>8098</v>
      </c>
      <c r="AQ1112" t="s">
        <v>74</v>
      </c>
      <c r="AR1112" t="s">
        <v>8099</v>
      </c>
      <c r="AS1112" t="s">
        <v>8100</v>
      </c>
      <c r="AT1112" t="s">
        <v>23533</v>
      </c>
      <c r="AU1112">
        <v>2025</v>
      </c>
      <c r="AV1112">
        <v>49</v>
      </c>
      <c r="AW1112">
        <v>3</v>
      </c>
      <c r="AX1112" t="s">
        <v>74</v>
      </c>
      <c r="AY1112" t="s">
        <v>74</v>
      </c>
      <c r="AZ1112" t="s">
        <v>74</v>
      </c>
      <c r="BA1112" t="s">
        <v>74</v>
      </c>
      <c r="BB1112" t="s">
        <v>74</v>
      </c>
      <c r="BC1112" t="s">
        <v>74</v>
      </c>
      <c r="BD1112" t="s">
        <v>32639</v>
      </c>
      <c r="BE1112" t="s">
        <v>32638</v>
      </c>
      <c r="BF1112" t="str">
        <f>HYPERLINK("http://dx.doi.org/10.1111/ijcs.70058","http://dx.doi.org/10.1111/ijcs.70058")</f>
        <v>http://dx.doi.org/10.1111/ijcs.70058</v>
      </c>
      <c r="BG1112" t="s">
        <v>74</v>
      </c>
      <c r="BH1112" t="s">
        <v>74</v>
      </c>
      <c r="BI1112">
        <v>21</v>
      </c>
      <c r="BJ1112" t="s">
        <v>418</v>
      </c>
      <c r="BK1112" t="s">
        <v>99</v>
      </c>
      <c r="BL1112" t="s">
        <v>100</v>
      </c>
      <c r="BM1112" t="s">
        <v>32637</v>
      </c>
      <c r="BN1112" t="s">
        <v>74</v>
      </c>
      <c r="BO1112" t="s">
        <v>270</v>
      </c>
      <c r="BP1112" t="s">
        <v>74</v>
      </c>
      <c r="BQ1112" t="s">
        <v>74</v>
      </c>
      <c r="BR1112" t="s">
        <v>102</v>
      </c>
      <c r="BS1112" t="s">
        <v>32636</v>
      </c>
      <c r="BT1112" t="str">
        <f>HYPERLINK("https%3A%2F%2Fwww.webofscience.com%2Fwos%2Fwoscc%2Ffull-record%2FWOS:001463398500001","View Full Record in Web of Science")</f>
        <v>View Full Record in Web of Science</v>
      </c>
    </row>
    <row r="1113" spans="1:72" x14ac:dyDescent="0.25">
      <c r="A1113" t="s">
        <v>72</v>
      </c>
      <c r="B1113" t="s">
        <v>32635</v>
      </c>
      <c r="C1113" t="s">
        <v>74</v>
      </c>
      <c r="D1113" t="s">
        <v>74</v>
      </c>
      <c r="E1113" t="s">
        <v>74</v>
      </c>
      <c r="F1113" t="s">
        <v>32634</v>
      </c>
      <c r="G1113" t="s">
        <v>74</v>
      </c>
      <c r="H1113" t="s">
        <v>74</v>
      </c>
      <c r="I1113" t="s">
        <v>32633</v>
      </c>
      <c r="J1113" t="s">
        <v>3735</v>
      </c>
      <c r="K1113" t="s">
        <v>74</v>
      </c>
      <c r="L1113" t="s">
        <v>74</v>
      </c>
      <c r="M1113" t="s">
        <v>78</v>
      </c>
      <c r="N1113" t="s">
        <v>79</v>
      </c>
      <c r="O1113" t="s">
        <v>74</v>
      </c>
      <c r="P1113" t="s">
        <v>74</v>
      </c>
      <c r="Q1113" t="s">
        <v>74</v>
      </c>
      <c r="R1113" t="s">
        <v>74</v>
      </c>
      <c r="S1113" t="s">
        <v>74</v>
      </c>
      <c r="T1113" t="s">
        <v>32632</v>
      </c>
      <c r="U1113" t="s">
        <v>32631</v>
      </c>
      <c r="V1113" t="s">
        <v>32630</v>
      </c>
      <c r="W1113" t="s">
        <v>32629</v>
      </c>
      <c r="X1113" t="s">
        <v>32628</v>
      </c>
      <c r="Y1113" t="s">
        <v>32627</v>
      </c>
      <c r="Z1113" t="s">
        <v>32626</v>
      </c>
      <c r="AA1113" t="s">
        <v>32625</v>
      </c>
      <c r="AB1113" t="s">
        <v>32624</v>
      </c>
      <c r="AC1113" t="s">
        <v>32623</v>
      </c>
      <c r="AD1113" t="s">
        <v>32622</v>
      </c>
      <c r="AE1113" t="s">
        <v>32621</v>
      </c>
      <c r="AF1113" t="s">
        <v>74</v>
      </c>
      <c r="AG1113">
        <v>88</v>
      </c>
      <c r="AH1113">
        <v>43</v>
      </c>
      <c r="AI1113">
        <v>46</v>
      </c>
      <c r="AJ1113">
        <v>19</v>
      </c>
      <c r="AK1113">
        <v>235</v>
      </c>
      <c r="AL1113" t="s">
        <v>385</v>
      </c>
      <c r="AM1113" t="s">
        <v>1153</v>
      </c>
      <c r="AN1113" t="s">
        <v>1154</v>
      </c>
      <c r="AO1113" t="s">
        <v>3744</v>
      </c>
      <c r="AP1113" t="s">
        <v>3745</v>
      </c>
      <c r="AQ1113" t="s">
        <v>74</v>
      </c>
      <c r="AR1113" t="s">
        <v>3746</v>
      </c>
      <c r="AS1113" t="s">
        <v>3747</v>
      </c>
      <c r="AT1113" t="s">
        <v>605</v>
      </c>
      <c r="AU1113">
        <v>2024</v>
      </c>
      <c r="AV1113">
        <v>24</v>
      </c>
      <c r="AW1113">
        <v>1</v>
      </c>
      <c r="AX1113" t="s">
        <v>74</v>
      </c>
      <c r="AY1113" t="s">
        <v>74</v>
      </c>
      <c r="AZ1113" t="s">
        <v>441</v>
      </c>
      <c r="BA1113" t="s">
        <v>74</v>
      </c>
      <c r="BB1113">
        <v>69</v>
      </c>
      <c r="BC1113">
        <v>104</v>
      </c>
      <c r="BD1113" t="s">
        <v>74</v>
      </c>
      <c r="BE1113" t="s">
        <v>32620</v>
      </c>
      <c r="BF1113" t="str">
        <f>HYPERLINK("http://dx.doi.org/10.1007/s10660-022-09549-5","http://dx.doi.org/10.1007/s10660-022-09549-5")</f>
        <v>http://dx.doi.org/10.1007/s10660-022-09549-5</v>
      </c>
      <c r="BG1113" t="s">
        <v>74</v>
      </c>
      <c r="BH1113" t="s">
        <v>1802</v>
      </c>
      <c r="BI1113">
        <v>36</v>
      </c>
      <c r="BJ1113" t="s">
        <v>98</v>
      </c>
      <c r="BK1113" t="s">
        <v>99</v>
      </c>
      <c r="BL1113" t="s">
        <v>100</v>
      </c>
      <c r="BM1113" t="s">
        <v>32619</v>
      </c>
      <c r="BN1113" t="s">
        <v>74</v>
      </c>
      <c r="BO1113" t="s">
        <v>3694</v>
      </c>
      <c r="BP1113" t="s">
        <v>74</v>
      </c>
      <c r="BQ1113" t="s">
        <v>74</v>
      </c>
      <c r="BR1113" t="s">
        <v>102</v>
      </c>
      <c r="BS1113" t="s">
        <v>32618</v>
      </c>
      <c r="BT1113" t="str">
        <f>HYPERLINK("https%3A%2F%2Fwww.webofscience.com%2Fwos%2Fwoscc%2Ffull-record%2FWOS:000811413800001","View Full Record in Web of Science")</f>
        <v>View Full Record in Web of Science</v>
      </c>
    </row>
    <row r="1114" spans="1:72" x14ac:dyDescent="0.25">
      <c r="A1114" t="s">
        <v>72</v>
      </c>
      <c r="B1114" t="s">
        <v>14150</v>
      </c>
      <c r="C1114" t="s">
        <v>74</v>
      </c>
      <c r="D1114" t="s">
        <v>74</v>
      </c>
      <c r="E1114" t="s">
        <v>74</v>
      </c>
      <c r="F1114" t="s">
        <v>14151</v>
      </c>
      <c r="G1114" t="s">
        <v>74</v>
      </c>
      <c r="H1114" t="s">
        <v>74</v>
      </c>
      <c r="I1114" t="s">
        <v>32617</v>
      </c>
      <c r="J1114" t="s">
        <v>1168</v>
      </c>
      <c r="K1114" t="s">
        <v>74</v>
      </c>
      <c r="L1114" t="s">
        <v>74</v>
      </c>
      <c r="M1114" t="s">
        <v>78</v>
      </c>
      <c r="N1114" t="s">
        <v>79</v>
      </c>
      <c r="O1114" t="s">
        <v>74</v>
      </c>
      <c r="P1114" t="s">
        <v>74</v>
      </c>
      <c r="Q1114" t="s">
        <v>74</v>
      </c>
      <c r="R1114" t="s">
        <v>74</v>
      </c>
      <c r="S1114" t="s">
        <v>74</v>
      </c>
      <c r="T1114" t="s">
        <v>32616</v>
      </c>
      <c r="U1114" t="s">
        <v>32615</v>
      </c>
      <c r="V1114" t="s">
        <v>32614</v>
      </c>
      <c r="W1114" t="s">
        <v>14155</v>
      </c>
      <c r="X1114" t="s">
        <v>13249</v>
      </c>
      <c r="Y1114" t="s">
        <v>14156</v>
      </c>
      <c r="Z1114" t="s">
        <v>11412</v>
      </c>
      <c r="AA1114" t="s">
        <v>20956</v>
      </c>
      <c r="AB1114" t="s">
        <v>20955</v>
      </c>
      <c r="AC1114" t="s">
        <v>74</v>
      </c>
      <c r="AD1114" t="s">
        <v>74</v>
      </c>
      <c r="AE1114" t="s">
        <v>74</v>
      </c>
      <c r="AF1114" t="s">
        <v>74</v>
      </c>
      <c r="AG1114">
        <v>48</v>
      </c>
      <c r="AH1114">
        <v>20</v>
      </c>
      <c r="AI1114">
        <v>24</v>
      </c>
      <c r="AJ1114">
        <v>1</v>
      </c>
      <c r="AK1114">
        <v>23</v>
      </c>
      <c r="AL1114" t="s">
        <v>332</v>
      </c>
      <c r="AM1114" t="s">
        <v>333</v>
      </c>
      <c r="AN1114" t="s">
        <v>334</v>
      </c>
      <c r="AO1114" t="s">
        <v>1179</v>
      </c>
      <c r="AP1114" t="s">
        <v>1180</v>
      </c>
      <c r="AQ1114" t="s">
        <v>74</v>
      </c>
      <c r="AR1114" t="s">
        <v>1181</v>
      </c>
      <c r="AS1114" t="s">
        <v>1182</v>
      </c>
      <c r="AT1114" t="s">
        <v>5472</v>
      </c>
      <c r="AU1114">
        <v>2022</v>
      </c>
      <c r="AV1114">
        <v>23</v>
      </c>
      <c r="AW1114">
        <v>3</v>
      </c>
      <c r="AX1114" t="s">
        <v>74</v>
      </c>
      <c r="AY1114" t="s">
        <v>74</v>
      </c>
      <c r="AZ1114" t="s">
        <v>74</v>
      </c>
      <c r="BA1114" t="s">
        <v>74</v>
      </c>
      <c r="BB1114">
        <v>731</v>
      </c>
      <c r="BC1114">
        <v>756</v>
      </c>
      <c r="BD1114" t="s">
        <v>74</v>
      </c>
      <c r="BE1114" t="s">
        <v>32613</v>
      </c>
      <c r="BF1114" t="str">
        <f>HYPERLINK("http://dx.doi.org/10.1080/15228916.2021.1926856","http://dx.doi.org/10.1080/15228916.2021.1926856")</f>
        <v>http://dx.doi.org/10.1080/15228916.2021.1926856</v>
      </c>
      <c r="BG1114" t="s">
        <v>74</v>
      </c>
      <c r="BH1114" t="s">
        <v>11151</v>
      </c>
      <c r="BI1114">
        <v>26</v>
      </c>
      <c r="BJ1114" t="s">
        <v>418</v>
      </c>
      <c r="BK1114" t="s">
        <v>313</v>
      </c>
      <c r="BL1114" t="s">
        <v>100</v>
      </c>
      <c r="BM1114" t="s">
        <v>32612</v>
      </c>
      <c r="BN1114" t="s">
        <v>74</v>
      </c>
      <c r="BO1114" t="s">
        <v>74</v>
      </c>
      <c r="BP1114" t="s">
        <v>74</v>
      </c>
      <c r="BQ1114" t="s">
        <v>74</v>
      </c>
      <c r="BR1114" t="s">
        <v>102</v>
      </c>
      <c r="BS1114" t="s">
        <v>32611</v>
      </c>
      <c r="BT1114" t="str">
        <f>HYPERLINK("https%3A%2F%2Fwww.webofscience.com%2Fwos%2Fwoscc%2Ffull-record%2FWOS:000669744900001","View Full Record in Web of Science")</f>
        <v>View Full Record in Web of Science</v>
      </c>
    </row>
    <row r="1115" spans="1:72" x14ac:dyDescent="0.25">
      <c r="A1115" t="s">
        <v>72</v>
      </c>
      <c r="B1115" t="s">
        <v>32610</v>
      </c>
      <c r="C1115" t="s">
        <v>74</v>
      </c>
      <c r="D1115" t="s">
        <v>74</v>
      </c>
      <c r="E1115" t="s">
        <v>74</v>
      </c>
      <c r="F1115" t="s">
        <v>32609</v>
      </c>
      <c r="G1115" t="s">
        <v>74</v>
      </c>
      <c r="H1115" t="s">
        <v>74</v>
      </c>
      <c r="I1115" t="s">
        <v>32608</v>
      </c>
      <c r="J1115" t="s">
        <v>9616</v>
      </c>
      <c r="K1115" t="s">
        <v>74</v>
      </c>
      <c r="L1115" t="s">
        <v>74</v>
      </c>
      <c r="M1115" t="s">
        <v>78</v>
      </c>
      <c r="N1115" t="s">
        <v>79</v>
      </c>
      <c r="O1115" t="s">
        <v>74</v>
      </c>
      <c r="P1115" t="s">
        <v>74</v>
      </c>
      <c r="Q1115" t="s">
        <v>74</v>
      </c>
      <c r="R1115" t="s">
        <v>74</v>
      </c>
      <c r="S1115" t="s">
        <v>74</v>
      </c>
      <c r="T1115" t="s">
        <v>32607</v>
      </c>
      <c r="U1115" t="s">
        <v>74</v>
      </c>
      <c r="V1115" t="s">
        <v>32606</v>
      </c>
      <c r="W1115" t="s">
        <v>32605</v>
      </c>
      <c r="X1115" t="s">
        <v>32604</v>
      </c>
      <c r="Y1115" t="s">
        <v>32603</v>
      </c>
      <c r="Z1115" t="s">
        <v>32602</v>
      </c>
      <c r="AA1115" t="s">
        <v>32601</v>
      </c>
      <c r="AB1115" t="s">
        <v>32600</v>
      </c>
      <c r="AC1115" t="s">
        <v>32599</v>
      </c>
      <c r="AD1115" t="s">
        <v>32599</v>
      </c>
      <c r="AE1115" t="s">
        <v>32598</v>
      </c>
      <c r="AF1115" t="s">
        <v>74</v>
      </c>
      <c r="AG1115">
        <v>38</v>
      </c>
      <c r="AH1115">
        <v>14</v>
      </c>
      <c r="AI1115">
        <v>14</v>
      </c>
      <c r="AJ1115">
        <v>4</v>
      </c>
      <c r="AK1115">
        <v>19</v>
      </c>
      <c r="AL1115" t="s">
        <v>575</v>
      </c>
      <c r="AM1115" t="s">
        <v>576</v>
      </c>
      <c r="AN1115" t="s">
        <v>3242</v>
      </c>
      <c r="AO1115" t="s">
        <v>74</v>
      </c>
      <c r="AP1115" t="s">
        <v>9626</v>
      </c>
      <c r="AQ1115" t="s">
        <v>74</v>
      </c>
      <c r="AR1115" t="s">
        <v>9616</v>
      </c>
      <c r="AS1115" t="s">
        <v>9627</v>
      </c>
      <c r="AT1115" t="s">
        <v>891</v>
      </c>
      <c r="AU1115">
        <v>2023</v>
      </c>
      <c r="AV1115">
        <v>11</v>
      </c>
      <c r="AW1115">
        <v>11</v>
      </c>
      <c r="AX1115" t="s">
        <v>74</v>
      </c>
      <c r="AY1115" t="s">
        <v>74</v>
      </c>
      <c r="AZ1115" t="s">
        <v>74</v>
      </c>
      <c r="BA1115" t="s">
        <v>74</v>
      </c>
      <c r="BB1115" t="s">
        <v>74</v>
      </c>
      <c r="BC1115" t="s">
        <v>74</v>
      </c>
      <c r="BD1115">
        <v>282</v>
      </c>
      <c r="BE1115" t="s">
        <v>32597</v>
      </c>
      <c r="BF1115" t="str">
        <f>HYPERLINK("http://dx.doi.org/10.3390/economies11110282","http://dx.doi.org/10.3390/economies11110282")</f>
        <v>http://dx.doi.org/10.3390/economies11110282</v>
      </c>
      <c r="BG1115" t="s">
        <v>74</v>
      </c>
      <c r="BH1115" t="s">
        <v>74</v>
      </c>
      <c r="BI1115">
        <v>14</v>
      </c>
      <c r="BJ1115" t="s">
        <v>291</v>
      </c>
      <c r="BK1115" t="s">
        <v>313</v>
      </c>
      <c r="BL1115" t="s">
        <v>100</v>
      </c>
      <c r="BM1115" t="s">
        <v>32596</v>
      </c>
      <c r="BN1115" t="s">
        <v>74</v>
      </c>
      <c r="BO1115" t="s">
        <v>916</v>
      </c>
      <c r="BP1115" t="s">
        <v>74</v>
      </c>
      <c r="BQ1115" t="s">
        <v>74</v>
      </c>
      <c r="BR1115" t="s">
        <v>102</v>
      </c>
      <c r="BS1115" t="s">
        <v>32595</v>
      </c>
      <c r="BT1115" t="str">
        <f>HYPERLINK("https%3A%2F%2Fwww.webofscience.com%2Fwos%2Fwoscc%2Ffull-record%2FWOS:001107933900001","View Full Record in Web of Science")</f>
        <v>View Full Record in Web of Science</v>
      </c>
    </row>
    <row r="1116" spans="1:72" x14ac:dyDescent="0.25">
      <c r="A1116" t="s">
        <v>72</v>
      </c>
      <c r="B1116" t="s">
        <v>32594</v>
      </c>
      <c r="C1116" t="s">
        <v>74</v>
      </c>
      <c r="D1116" t="s">
        <v>74</v>
      </c>
      <c r="E1116" t="s">
        <v>74</v>
      </c>
      <c r="F1116" t="s">
        <v>32593</v>
      </c>
      <c r="G1116" t="s">
        <v>74</v>
      </c>
      <c r="H1116" t="s">
        <v>74</v>
      </c>
      <c r="I1116" t="s">
        <v>32592</v>
      </c>
      <c r="J1116" t="s">
        <v>32591</v>
      </c>
      <c r="K1116" t="s">
        <v>74</v>
      </c>
      <c r="L1116" t="s">
        <v>74</v>
      </c>
      <c r="M1116" t="s">
        <v>78</v>
      </c>
      <c r="N1116" t="s">
        <v>79</v>
      </c>
      <c r="O1116" t="s">
        <v>74</v>
      </c>
      <c r="P1116" t="s">
        <v>74</v>
      </c>
      <c r="Q1116" t="s">
        <v>74</v>
      </c>
      <c r="R1116" t="s">
        <v>74</v>
      </c>
      <c r="S1116" t="s">
        <v>74</v>
      </c>
      <c r="T1116" t="s">
        <v>32590</v>
      </c>
      <c r="U1116" t="s">
        <v>32589</v>
      </c>
      <c r="V1116" t="s">
        <v>32588</v>
      </c>
      <c r="W1116" t="s">
        <v>32587</v>
      </c>
      <c r="X1116" t="s">
        <v>74</v>
      </c>
      <c r="Y1116" t="s">
        <v>32586</v>
      </c>
      <c r="Z1116" t="s">
        <v>32585</v>
      </c>
      <c r="AA1116" t="s">
        <v>74</v>
      </c>
      <c r="AB1116" t="s">
        <v>32584</v>
      </c>
      <c r="AC1116" t="s">
        <v>74</v>
      </c>
      <c r="AD1116" t="s">
        <v>74</v>
      </c>
      <c r="AE1116" t="s">
        <v>74</v>
      </c>
      <c r="AF1116" t="s">
        <v>74</v>
      </c>
      <c r="AG1116">
        <v>56</v>
      </c>
      <c r="AH1116">
        <v>28</v>
      </c>
      <c r="AI1116">
        <v>46</v>
      </c>
      <c r="AJ1116">
        <v>0</v>
      </c>
      <c r="AK1116">
        <v>6</v>
      </c>
      <c r="AL1116" t="s">
        <v>409</v>
      </c>
      <c r="AM1116" t="s">
        <v>410</v>
      </c>
      <c r="AN1116" t="s">
        <v>411</v>
      </c>
      <c r="AO1116" t="s">
        <v>32583</v>
      </c>
      <c r="AP1116" t="s">
        <v>32582</v>
      </c>
      <c r="AQ1116" t="s">
        <v>74</v>
      </c>
      <c r="AR1116" t="s">
        <v>32581</v>
      </c>
      <c r="AS1116" t="s">
        <v>32580</v>
      </c>
      <c r="AT1116" t="s">
        <v>848</v>
      </c>
      <c r="AU1116">
        <v>2021</v>
      </c>
      <c r="AV1116">
        <v>41</v>
      </c>
      <c r="AW1116">
        <v>2</v>
      </c>
      <c r="AX1116" t="s">
        <v>74</v>
      </c>
      <c r="AY1116" t="s">
        <v>74</v>
      </c>
      <c r="AZ1116" t="s">
        <v>74</v>
      </c>
      <c r="BA1116" t="s">
        <v>74</v>
      </c>
      <c r="BB1116">
        <v>238</v>
      </c>
      <c r="BC1116">
        <v>258</v>
      </c>
      <c r="BD1116">
        <v>262728020964605</v>
      </c>
      <c r="BE1116" t="s">
        <v>32579</v>
      </c>
      <c r="BF1116" t="str">
        <f>HYPERLINK("http://dx.doi.org/10.1177/0262728020964605","http://dx.doi.org/10.1177/0262728020964605")</f>
        <v>http://dx.doi.org/10.1177/0262728020964605</v>
      </c>
      <c r="BG1116" t="s">
        <v>74</v>
      </c>
      <c r="BH1116" t="s">
        <v>14147</v>
      </c>
      <c r="BI1116">
        <v>21</v>
      </c>
      <c r="BJ1116" t="s">
        <v>32578</v>
      </c>
      <c r="BK1116" t="s">
        <v>313</v>
      </c>
      <c r="BL1116" t="s">
        <v>32578</v>
      </c>
      <c r="BM1116" t="s">
        <v>32577</v>
      </c>
      <c r="BN1116" t="s">
        <v>74</v>
      </c>
      <c r="BO1116" t="s">
        <v>74</v>
      </c>
      <c r="BP1116" t="s">
        <v>74</v>
      </c>
      <c r="BQ1116" t="s">
        <v>74</v>
      </c>
      <c r="BR1116" t="s">
        <v>102</v>
      </c>
      <c r="BS1116" t="s">
        <v>32576</v>
      </c>
      <c r="BT1116" t="str">
        <f>HYPERLINK("https%3A%2F%2Fwww.webofscience.com%2Fwos%2Fwoscc%2Ffull-record%2FWOS:000598672800001","View Full Record in Web of Science")</f>
        <v>View Full Record in Web of Science</v>
      </c>
    </row>
    <row r="1117" spans="1:72" x14ac:dyDescent="0.25">
      <c r="A1117" t="s">
        <v>72</v>
      </c>
      <c r="B1117" t="s">
        <v>32575</v>
      </c>
      <c r="C1117" t="s">
        <v>74</v>
      </c>
      <c r="D1117" t="s">
        <v>74</v>
      </c>
      <c r="E1117" t="s">
        <v>74</v>
      </c>
      <c r="F1117" t="s">
        <v>32574</v>
      </c>
      <c r="G1117" t="s">
        <v>74</v>
      </c>
      <c r="H1117" t="s">
        <v>74</v>
      </c>
      <c r="I1117" t="s">
        <v>32573</v>
      </c>
      <c r="J1117" t="s">
        <v>1963</v>
      </c>
      <c r="K1117" t="s">
        <v>74</v>
      </c>
      <c r="L1117" t="s">
        <v>74</v>
      </c>
      <c r="M1117" t="s">
        <v>78</v>
      </c>
      <c r="N1117" t="s">
        <v>79</v>
      </c>
      <c r="O1117" t="s">
        <v>74</v>
      </c>
      <c r="P1117" t="s">
        <v>74</v>
      </c>
      <c r="Q1117" t="s">
        <v>74</v>
      </c>
      <c r="R1117" t="s">
        <v>74</v>
      </c>
      <c r="S1117" t="s">
        <v>74</v>
      </c>
      <c r="T1117" t="s">
        <v>32572</v>
      </c>
      <c r="U1117" t="s">
        <v>32571</v>
      </c>
      <c r="V1117" t="s">
        <v>32570</v>
      </c>
      <c r="W1117" t="s">
        <v>32569</v>
      </c>
      <c r="X1117" t="s">
        <v>30701</v>
      </c>
      <c r="Y1117" t="s">
        <v>32568</v>
      </c>
      <c r="Z1117" t="s">
        <v>32567</v>
      </c>
      <c r="AA1117" t="s">
        <v>32566</v>
      </c>
      <c r="AB1117" t="s">
        <v>32565</v>
      </c>
      <c r="AC1117" t="s">
        <v>32564</v>
      </c>
      <c r="AD1117" t="s">
        <v>30695</v>
      </c>
      <c r="AE1117" t="s">
        <v>32563</v>
      </c>
      <c r="AF1117" t="s">
        <v>74</v>
      </c>
      <c r="AG1117">
        <v>47</v>
      </c>
      <c r="AH1117">
        <v>13</v>
      </c>
      <c r="AI1117">
        <v>21</v>
      </c>
      <c r="AJ1117">
        <v>4</v>
      </c>
      <c r="AK1117">
        <v>36</v>
      </c>
      <c r="AL1117" t="s">
        <v>332</v>
      </c>
      <c r="AM1117" t="s">
        <v>333</v>
      </c>
      <c r="AN1117" t="s">
        <v>334</v>
      </c>
      <c r="AO1117" t="s">
        <v>1975</v>
      </c>
      <c r="AP1117" t="s">
        <v>1976</v>
      </c>
      <c r="AQ1117" t="s">
        <v>74</v>
      </c>
      <c r="AR1117" t="s">
        <v>1977</v>
      </c>
      <c r="AS1117" t="s">
        <v>1978</v>
      </c>
      <c r="AT1117" t="s">
        <v>74</v>
      </c>
      <c r="AU1117">
        <v>2016</v>
      </c>
      <c r="AV1117">
        <v>48</v>
      </c>
      <c r="AW1117">
        <v>4</v>
      </c>
      <c r="AX1117" t="s">
        <v>74</v>
      </c>
      <c r="AY1117" t="s">
        <v>74</v>
      </c>
      <c r="AZ1117" t="s">
        <v>74</v>
      </c>
      <c r="BA1117" t="s">
        <v>74</v>
      </c>
      <c r="BB1117">
        <v>300</v>
      </c>
      <c r="BC1117">
        <v>311</v>
      </c>
      <c r="BD1117" t="s">
        <v>74</v>
      </c>
      <c r="BE1117" t="s">
        <v>32562</v>
      </c>
      <c r="BF1117" t="str">
        <f>HYPERLINK("http://dx.doi.org/10.1080/00036846.2015.1078447","http://dx.doi.org/10.1080/00036846.2015.1078447")</f>
        <v>http://dx.doi.org/10.1080/00036846.2015.1078447</v>
      </c>
      <c r="BG1117" t="s">
        <v>74</v>
      </c>
      <c r="BH1117" t="s">
        <v>74</v>
      </c>
      <c r="BI1117">
        <v>12</v>
      </c>
      <c r="BJ1117" t="s">
        <v>291</v>
      </c>
      <c r="BK1117" t="s">
        <v>99</v>
      </c>
      <c r="BL1117" t="s">
        <v>100</v>
      </c>
      <c r="BM1117" t="s">
        <v>32561</v>
      </c>
      <c r="BN1117" t="s">
        <v>74</v>
      </c>
      <c r="BO1117" t="s">
        <v>1696</v>
      </c>
      <c r="BP1117" t="s">
        <v>74</v>
      </c>
      <c r="BQ1117" t="s">
        <v>74</v>
      </c>
      <c r="BR1117" t="s">
        <v>102</v>
      </c>
      <c r="BS1117" t="s">
        <v>32560</v>
      </c>
      <c r="BT1117" t="str">
        <f>HYPERLINK("https%3A%2F%2Fwww.webofscience.com%2Fwos%2Fwoscc%2Ffull-record%2FWOS:000365661300004","View Full Record in Web of Science")</f>
        <v>View Full Record in Web of Science</v>
      </c>
    </row>
    <row r="1118" spans="1:72" x14ac:dyDescent="0.25">
      <c r="A1118" t="s">
        <v>72</v>
      </c>
      <c r="B1118" t="s">
        <v>32559</v>
      </c>
      <c r="C1118" t="s">
        <v>74</v>
      </c>
      <c r="D1118" t="s">
        <v>74</v>
      </c>
      <c r="E1118" t="s">
        <v>74</v>
      </c>
      <c r="F1118" t="s">
        <v>32558</v>
      </c>
      <c r="G1118" t="s">
        <v>74</v>
      </c>
      <c r="H1118" t="s">
        <v>74</v>
      </c>
      <c r="I1118" t="s">
        <v>32557</v>
      </c>
      <c r="J1118" t="s">
        <v>10005</v>
      </c>
      <c r="K1118" t="s">
        <v>74</v>
      </c>
      <c r="L1118" t="s">
        <v>74</v>
      </c>
      <c r="M1118" t="s">
        <v>78</v>
      </c>
      <c r="N1118" t="s">
        <v>79</v>
      </c>
      <c r="O1118" t="s">
        <v>74</v>
      </c>
      <c r="P1118" t="s">
        <v>74</v>
      </c>
      <c r="Q1118" t="s">
        <v>74</v>
      </c>
      <c r="R1118" t="s">
        <v>74</v>
      </c>
      <c r="S1118" t="s">
        <v>74</v>
      </c>
      <c r="T1118" t="s">
        <v>32556</v>
      </c>
      <c r="U1118" t="s">
        <v>32555</v>
      </c>
      <c r="V1118" t="s">
        <v>32554</v>
      </c>
      <c r="W1118" t="s">
        <v>32553</v>
      </c>
      <c r="X1118" t="s">
        <v>32552</v>
      </c>
      <c r="Y1118" t="s">
        <v>32551</v>
      </c>
      <c r="Z1118" t="s">
        <v>32550</v>
      </c>
      <c r="AA1118" t="s">
        <v>74</v>
      </c>
      <c r="AB1118" t="s">
        <v>32549</v>
      </c>
      <c r="AC1118" t="s">
        <v>32548</v>
      </c>
      <c r="AD1118" t="s">
        <v>32547</v>
      </c>
      <c r="AE1118" t="s">
        <v>32546</v>
      </c>
      <c r="AF1118" t="s">
        <v>74</v>
      </c>
      <c r="AG1118">
        <v>109</v>
      </c>
      <c r="AH1118">
        <v>7</v>
      </c>
      <c r="AI1118">
        <v>14</v>
      </c>
      <c r="AJ1118">
        <v>4</v>
      </c>
      <c r="AK1118">
        <v>16</v>
      </c>
      <c r="AL1118" t="s">
        <v>201</v>
      </c>
      <c r="AM1118" t="s">
        <v>202</v>
      </c>
      <c r="AN1118" t="s">
        <v>203</v>
      </c>
      <c r="AO1118" t="s">
        <v>10015</v>
      </c>
      <c r="AP1118" t="s">
        <v>10016</v>
      </c>
      <c r="AQ1118" t="s">
        <v>74</v>
      </c>
      <c r="AR1118" t="s">
        <v>10017</v>
      </c>
      <c r="AS1118" t="s">
        <v>10018</v>
      </c>
      <c r="AT1118" t="s">
        <v>124</v>
      </c>
      <c r="AU1118">
        <v>2023</v>
      </c>
      <c r="AV1118">
        <v>65</v>
      </c>
      <c r="AW1118" t="s">
        <v>74</v>
      </c>
      <c r="AX1118" t="s">
        <v>74</v>
      </c>
      <c r="AY1118" t="s">
        <v>74</v>
      </c>
      <c r="AZ1118" t="s">
        <v>74</v>
      </c>
      <c r="BA1118" t="s">
        <v>74</v>
      </c>
      <c r="BB1118" t="s">
        <v>74</v>
      </c>
      <c r="BC1118" t="s">
        <v>74</v>
      </c>
      <c r="BD1118">
        <v>101068</v>
      </c>
      <c r="BE1118" t="s">
        <v>32545</v>
      </c>
      <c r="BF1118" t="str">
        <f>HYPERLINK("http://dx.doi.org/10.1016/j.infoecopol.2023.101068","http://dx.doi.org/10.1016/j.infoecopol.2023.101068")</f>
        <v>http://dx.doi.org/10.1016/j.infoecopol.2023.101068</v>
      </c>
      <c r="BG1118" t="s">
        <v>74</v>
      </c>
      <c r="BH1118" t="s">
        <v>1524</v>
      </c>
      <c r="BI1118">
        <v>17</v>
      </c>
      <c r="BJ1118" t="s">
        <v>291</v>
      </c>
      <c r="BK1118" t="s">
        <v>99</v>
      </c>
      <c r="BL1118" t="s">
        <v>100</v>
      </c>
      <c r="BM1118" t="s">
        <v>32544</v>
      </c>
      <c r="BN1118" t="s">
        <v>74</v>
      </c>
      <c r="BO1118" t="s">
        <v>74</v>
      </c>
      <c r="BP1118" t="s">
        <v>74</v>
      </c>
      <c r="BQ1118" t="s">
        <v>74</v>
      </c>
      <c r="BR1118" t="s">
        <v>102</v>
      </c>
      <c r="BS1118" t="s">
        <v>32543</v>
      </c>
      <c r="BT1118" t="str">
        <f>HYPERLINK("https%3A%2F%2Fwww.webofscience.com%2Fwos%2Fwoscc%2Ffull-record%2FWOS:001132184100001","View Full Record in Web of Science")</f>
        <v>View Full Record in Web of Science</v>
      </c>
    </row>
    <row r="1119" spans="1:72" x14ac:dyDescent="0.25">
      <c r="A1119" t="s">
        <v>72</v>
      </c>
      <c r="B1119" t="s">
        <v>11007</v>
      </c>
      <c r="C1119" t="s">
        <v>74</v>
      </c>
      <c r="D1119" t="s">
        <v>74</v>
      </c>
      <c r="E1119" t="s">
        <v>74</v>
      </c>
      <c r="F1119" t="s">
        <v>11008</v>
      </c>
      <c r="G1119" t="s">
        <v>74</v>
      </c>
      <c r="H1119" t="s">
        <v>74</v>
      </c>
      <c r="I1119" t="s">
        <v>32542</v>
      </c>
      <c r="J1119" t="s">
        <v>2137</v>
      </c>
      <c r="K1119" t="s">
        <v>74</v>
      </c>
      <c r="L1119" t="s">
        <v>74</v>
      </c>
      <c r="M1119" t="s">
        <v>78</v>
      </c>
      <c r="N1119" t="s">
        <v>79</v>
      </c>
      <c r="O1119" t="s">
        <v>74</v>
      </c>
      <c r="P1119" t="s">
        <v>74</v>
      </c>
      <c r="Q1119" t="s">
        <v>74</v>
      </c>
      <c r="R1119" t="s">
        <v>74</v>
      </c>
      <c r="S1119" t="s">
        <v>74</v>
      </c>
      <c r="T1119" t="s">
        <v>32541</v>
      </c>
      <c r="U1119" t="s">
        <v>32540</v>
      </c>
      <c r="V1119" t="s">
        <v>32539</v>
      </c>
      <c r="W1119" t="s">
        <v>32538</v>
      </c>
      <c r="X1119" t="s">
        <v>32537</v>
      </c>
      <c r="Y1119" t="s">
        <v>32536</v>
      </c>
      <c r="Z1119" t="s">
        <v>32535</v>
      </c>
      <c r="AA1119" t="s">
        <v>11017</v>
      </c>
      <c r="AB1119" t="s">
        <v>74</v>
      </c>
      <c r="AC1119" t="s">
        <v>74</v>
      </c>
      <c r="AD1119" t="s">
        <v>74</v>
      </c>
      <c r="AE1119" t="s">
        <v>74</v>
      </c>
      <c r="AF1119" t="s">
        <v>74</v>
      </c>
      <c r="AG1119">
        <v>105</v>
      </c>
      <c r="AH1119">
        <v>22</v>
      </c>
      <c r="AI1119">
        <v>31</v>
      </c>
      <c r="AJ1119">
        <v>2</v>
      </c>
      <c r="AK1119">
        <v>34</v>
      </c>
      <c r="AL1119" t="s">
        <v>2145</v>
      </c>
      <c r="AM1119" t="s">
        <v>151</v>
      </c>
      <c r="AN1119" t="s">
        <v>2146</v>
      </c>
      <c r="AO1119" t="s">
        <v>2147</v>
      </c>
      <c r="AP1119" t="s">
        <v>2148</v>
      </c>
      <c r="AQ1119" t="s">
        <v>74</v>
      </c>
      <c r="AR1119" t="s">
        <v>2149</v>
      </c>
      <c r="AS1119" t="s">
        <v>2150</v>
      </c>
      <c r="AT1119" t="s">
        <v>74</v>
      </c>
      <c r="AU1119">
        <v>2022</v>
      </c>
      <c r="AV1119">
        <v>33</v>
      </c>
      <c r="AW1119">
        <v>3</v>
      </c>
      <c r="AX1119" t="s">
        <v>74</v>
      </c>
      <c r="AY1119" t="s">
        <v>74</v>
      </c>
      <c r="AZ1119" t="s">
        <v>74</v>
      </c>
      <c r="BA1119" t="s">
        <v>74</v>
      </c>
      <c r="BB1119">
        <v>324</v>
      </c>
      <c r="BC1119">
        <v>343</v>
      </c>
      <c r="BD1119" t="s">
        <v>74</v>
      </c>
      <c r="BE1119" t="s">
        <v>32534</v>
      </c>
      <c r="BF1119" t="str">
        <f>HYPERLINK("http://dx.doi.org/10.1891/JFCP-2021-0039","http://dx.doi.org/10.1891/JFCP-2021-0039")</f>
        <v>http://dx.doi.org/10.1891/JFCP-2021-0039</v>
      </c>
      <c r="BG1119" t="s">
        <v>74</v>
      </c>
      <c r="BH1119" t="s">
        <v>74</v>
      </c>
      <c r="BI1119">
        <v>20</v>
      </c>
      <c r="BJ1119" t="s">
        <v>1453</v>
      </c>
      <c r="BK1119" t="s">
        <v>313</v>
      </c>
      <c r="BL1119" t="s">
        <v>100</v>
      </c>
      <c r="BM1119" t="s">
        <v>24705</v>
      </c>
      <c r="BN1119" t="s">
        <v>74</v>
      </c>
      <c r="BO1119" t="s">
        <v>74</v>
      </c>
      <c r="BP1119" t="s">
        <v>74</v>
      </c>
      <c r="BQ1119" t="s">
        <v>74</v>
      </c>
      <c r="BR1119" t="s">
        <v>102</v>
      </c>
      <c r="BS1119" t="s">
        <v>32533</v>
      </c>
      <c r="BT1119" t="str">
        <f>HYPERLINK("https%3A%2F%2Fwww.webofscience.com%2Fwos%2Fwoscc%2Ffull-record%2FWOS:000887813500004","View Full Record in Web of Science")</f>
        <v>View Full Record in Web of Science</v>
      </c>
    </row>
    <row r="1120" spans="1:72" x14ac:dyDescent="0.25">
      <c r="A1120" t="s">
        <v>132</v>
      </c>
      <c r="B1120" t="s">
        <v>32532</v>
      </c>
      <c r="C1120" t="s">
        <v>74</v>
      </c>
      <c r="D1120" t="s">
        <v>32531</v>
      </c>
      <c r="E1120" t="s">
        <v>74</v>
      </c>
      <c r="F1120" t="s">
        <v>32530</v>
      </c>
      <c r="G1120" t="s">
        <v>74</v>
      </c>
      <c r="H1120" t="s">
        <v>74</v>
      </c>
      <c r="I1120" t="s">
        <v>32529</v>
      </c>
      <c r="J1120" t="s">
        <v>32528</v>
      </c>
      <c r="K1120" t="s">
        <v>32527</v>
      </c>
      <c r="L1120" t="s">
        <v>74</v>
      </c>
      <c r="M1120" t="s">
        <v>78</v>
      </c>
      <c r="N1120" t="s">
        <v>138</v>
      </c>
      <c r="O1120" t="s">
        <v>32526</v>
      </c>
      <c r="P1120" t="s">
        <v>32525</v>
      </c>
      <c r="Q1120" t="s">
        <v>32524</v>
      </c>
      <c r="R1120" t="s">
        <v>74</v>
      </c>
      <c r="S1120" t="s">
        <v>22494</v>
      </c>
      <c r="T1120" t="s">
        <v>32523</v>
      </c>
      <c r="U1120" t="s">
        <v>74</v>
      </c>
      <c r="V1120" t="s">
        <v>32522</v>
      </c>
      <c r="W1120" t="s">
        <v>32521</v>
      </c>
      <c r="X1120" t="s">
        <v>32520</v>
      </c>
      <c r="Y1120" t="s">
        <v>32519</v>
      </c>
      <c r="Z1120" t="s">
        <v>74</v>
      </c>
      <c r="AA1120" t="s">
        <v>32518</v>
      </c>
      <c r="AB1120" t="s">
        <v>74</v>
      </c>
      <c r="AC1120" t="s">
        <v>74</v>
      </c>
      <c r="AD1120" t="s">
        <v>74</v>
      </c>
      <c r="AE1120" t="s">
        <v>74</v>
      </c>
      <c r="AF1120" t="s">
        <v>74</v>
      </c>
      <c r="AG1120">
        <v>18</v>
      </c>
      <c r="AH1120">
        <v>1</v>
      </c>
      <c r="AI1120">
        <v>1</v>
      </c>
      <c r="AJ1120">
        <v>1</v>
      </c>
      <c r="AK1120">
        <v>5</v>
      </c>
      <c r="AL1120" t="s">
        <v>32517</v>
      </c>
      <c r="AM1120" t="s">
        <v>32516</v>
      </c>
      <c r="AN1120" t="s">
        <v>32515</v>
      </c>
      <c r="AO1120" t="s">
        <v>32514</v>
      </c>
      <c r="AP1120" t="s">
        <v>74</v>
      </c>
      <c r="AQ1120" t="s">
        <v>74</v>
      </c>
      <c r="AR1120" t="s">
        <v>32513</v>
      </c>
      <c r="AS1120" t="s">
        <v>74</v>
      </c>
      <c r="AT1120" t="s">
        <v>74</v>
      </c>
      <c r="AU1120">
        <v>2018</v>
      </c>
      <c r="AV1120">
        <v>40</v>
      </c>
      <c r="AW1120" t="s">
        <v>74</v>
      </c>
      <c r="AX1120" t="s">
        <v>74</v>
      </c>
      <c r="AY1120" t="s">
        <v>74</v>
      </c>
      <c r="AZ1120" t="s">
        <v>74</v>
      </c>
      <c r="BA1120" t="s">
        <v>74</v>
      </c>
      <c r="BB1120">
        <v>648</v>
      </c>
      <c r="BC1120">
        <v>657</v>
      </c>
      <c r="BD1120" t="s">
        <v>74</v>
      </c>
      <c r="BE1120" t="s">
        <v>32512</v>
      </c>
      <c r="BF1120" t="str">
        <f>HYPERLINK("http://dx.doi.org/10.15405/epsbs.2018.05.53","http://dx.doi.org/10.15405/epsbs.2018.05.53")</f>
        <v>http://dx.doi.org/10.15405/epsbs.2018.05.53</v>
      </c>
      <c r="BG1120" t="s">
        <v>74</v>
      </c>
      <c r="BH1120" t="s">
        <v>74</v>
      </c>
      <c r="BI1120">
        <v>10</v>
      </c>
      <c r="BJ1120" t="s">
        <v>32511</v>
      </c>
      <c r="BK1120" t="s">
        <v>183</v>
      </c>
      <c r="BL1120" t="s">
        <v>32510</v>
      </c>
      <c r="BM1120" t="s">
        <v>32509</v>
      </c>
      <c r="BN1120" t="s">
        <v>74</v>
      </c>
      <c r="BO1120" t="s">
        <v>270</v>
      </c>
      <c r="BP1120" t="s">
        <v>74</v>
      </c>
      <c r="BQ1120" t="s">
        <v>74</v>
      </c>
      <c r="BR1120" t="s">
        <v>102</v>
      </c>
      <c r="BS1120" t="s">
        <v>32508</v>
      </c>
      <c r="BT1120" t="str">
        <f>HYPERLINK("https%3A%2F%2Fwww.webofscience.com%2Fwos%2Fwoscc%2Ffull-record%2FWOS:000449454000056","View Full Record in Web of Science")</f>
        <v>View Full Record in Web of Science</v>
      </c>
    </row>
    <row r="1121" spans="1:72" x14ac:dyDescent="0.25">
      <c r="A1121" t="s">
        <v>72</v>
      </c>
      <c r="B1121" t="s">
        <v>32507</v>
      </c>
      <c r="C1121" t="s">
        <v>74</v>
      </c>
      <c r="D1121" t="s">
        <v>74</v>
      </c>
      <c r="E1121" t="s">
        <v>74</v>
      </c>
      <c r="F1121" t="s">
        <v>32506</v>
      </c>
      <c r="G1121" t="s">
        <v>74</v>
      </c>
      <c r="H1121" t="s">
        <v>74</v>
      </c>
      <c r="I1121" t="s">
        <v>32505</v>
      </c>
      <c r="J1121" t="s">
        <v>729</v>
      </c>
      <c r="K1121" t="s">
        <v>74</v>
      </c>
      <c r="L1121" t="s">
        <v>74</v>
      </c>
      <c r="M1121" t="s">
        <v>78</v>
      </c>
      <c r="N1121" t="s">
        <v>79</v>
      </c>
      <c r="O1121" t="s">
        <v>74</v>
      </c>
      <c r="P1121" t="s">
        <v>74</v>
      </c>
      <c r="Q1121" t="s">
        <v>74</v>
      </c>
      <c r="R1121" t="s">
        <v>74</v>
      </c>
      <c r="S1121" t="s">
        <v>74</v>
      </c>
      <c r="T1121" t="s">
        <v>32504</v>
      </c>
      <c r="U1121" t="s">
        <v>32503</v>
      </c>
      <c r="V1121" t="s">
        <v>32502</v>
      </c>
      <c r="W1121" t="s">
        <v>32501</v>
      </c>
      <c r="X1121" t="s">
        <v>32500</v>
      </c>
      <c r="Y1121" t="s">
        <v>32499</v>
      </c>
      <c r="Z1121" t="s">
        <v>10065</v>
      </c>
      <c r="AA1121" t="s">
        <v>32498</v>
      </c>
      <c r="AB1121" t="s">
        <v>32497</v>
      </c>
      <c r="AC1121" t="s">
        <v>32496</v>
      </c>
      <c r="AD1121" t="s">
        <v>32495</v>
      </c>
      <c r="AE1121" t="s">
        <v>32494</v>
      </c>
      <c r="AF1121" t="s">
        <v>74</v>
      </c>
      <c r="AG1121">
        <v>96</v>
      </c>
      <c r="AH1121">
        <v>11</v>
      </c>
      <c r="AI1121">
        <v>12</v>
      </c>
      <c r="AJ1121">
        <v>9</v>
      </c>
      <c r="AK1121">
        <v>35</v>
      </c>
      <c r="AL1121" t="s">
        <v>479</v>
      </c>
      <c r="AM1121" t="s">
        <v>480</v>
      </c>
      <c r="AN1121" t="s">
        <v>481</v>
      </c>
      <c r="AO1121" t="s">
        <v>739</v>
      </c>
      <c r="AP1121" t="s">
        <v>740</v>
      </c>
      <c r="AQ1121" t="s">
        <v>74</v>
      </c>
      <c r="AR1121" t="s">
        <v>741</v>
      </c>
      <c r="AS1121" t="s">
        <v>742</v>
      </c>
      <c r="AT1121" t="s">
        <v>743</v>
      </c>
      <c r="AU1121">
        <v>2025</v>
      </c>
      <c r="AV1121">
        <v>30</v>
      </c>
      <c r="AW1121">
        <v>2</v>
      </c>
      <c r="AX1121" t="s">
        <v>74</v>
      </c>
      <c r="AY1121" t="s">
        <v>74</v>
      </c>
      <c r="AZ1121" t="s">
        <v>74</v>
      </c>
      <c r="BA1121" t="s">
        <v>74</v>
      </c>
      <c r="BB1121">
        <v>1348</v>
      </c>
      <c r="BC1121">
        <v>1371</v>
      </c>
      <c r="BD1121" t="s">
        <v>74</v>
      </c>
      <c r="BE1121" t="s">
        <v>32493</v>
      </c>
      <c r="BF1121" t="str">
        <f>HYPERLINK("http://dx.doi.org/10.1002/ijfe.2963","http://dx.doi.org/10.1002/ijfe.2963")</f>
        <v>http://dx.doi.org/10.1002/ijfe.2963</v>
      </c>
      <c r="BG1121" t="s">
        <v>74</v>
      </c>
      <c r="BH1121" t="s">
        <v>1981</v>
      </c>
      <c r="BI1121">
        <v>24</v>
      </c>
      <c r="BJ1121" t="s">
        <v>268</v>
      </c>
      <c r="BK1121" t="s">
        <v>99</v>
      </c>
      <c r="BL1121" t="s">
        <v>100</v>
      </c>
      <c r="BM1121" t="s">
        <v>32492</v>
      </c>
      <c r="BN1121" t="s">
        <v>74</v>
      </c>
      <c r="BO1121" t="s">
        <v>16420</v>
      </c>
      <c r="BP1121" t="s">
        <v>74</v>
      </c>
      <c r="BQ1121" t="s">
        <v>74</v>
      </c>
      <c r="BR1121" t="s">
        <v>102</v>
      </c>
      <c r="BS1121" t="s">
        <v>32491</v>
      </c>
      <c r="BT1121" t="str">
        <f>HYPERLINK("https%3A%2F%2Fwww.webofscience.com%2Fwos%2Fwoscc%2Ffull-record%2FWOS:001191810100001","View Full Record in Web of Science")</f>
        <v>View Full Record in Web of Science</v>
      </c>
    </row>
    <row r="1122" spans="1:72" x14ac:dyDescent="0.25">
      <c r="A1122" t="s">
        <v>72</v>
      </c>
      <c r="B1122" t="s">
        <v>32490</v>
      </c>
      <c r="C1122" t="s">
        <v>74</v>
      </c>
      <c r="D1122" t="s">
        <v>74</v>
      </c>
      <c r="E1122" t="s">
        <v>74</v>
      </c>
      <c r="F1122" t="s">
        <v>32489</v>
      </c>
      <c r="G1122" t="s">
        <v>74</v>
      </c>
      <c r="H1122" t="s">
        <v>74</v>
      </c>
      <c r="I1122" t="s">
        <v>32488</v>
      </c>
      <c r="J1122" t="s">
        <v>6400</v>
      </c>
      <c r="K1122" t="s">
        <v>74</v>
      </c>
      <c r="L1122" t="s">
        <v>74</v>
      </c>
      <c r="M1122" t="s">
        <v>78</v>
      </c>
      <c r="N1122" t="s">
        <v>79</v>
      </c>
      <c r="O1122" t="s">
        <v>74</v>
      </c>
      <c r="P1122" t="s">
        <v>74</v>
      </c>
      <c r="Q1122" t="s">
        <v>74</v>
      </c>
      <c r="R1122" t="s">
        <v>74</v>
      </c>
      <c r="S1122" t="s">
        <v>74</v>
      </c>
      <c r="T1122" t="s">
        <v>32487</v>
      </c>
      <c r="U1122" t="s">
        <v>32486</v>
      </c>
      <c r="V1122" t="s">
        <v>32485</v>
      </c>
      <c r="W1122" t="s">
        <v>32484</v>
      </c>
      <c r="X1122" t="s">
        <v>32483</v>
      </c>
      <c r="Y1122" t="s">
        <v>32482</v>
      </c>
      <c r="Z1122" t="s">
        <v>32481</v>
      </c>
      <c r="AA1122" t="s">
        <v>32480</v>
      </c>
      <c r="AB1122" t="s">
        <v>32479</v>
      </c>
      <c r="AC1122" t="s">
        <v>32478</v>
      </c>
      <c r="AD1122" t="s">
        <v>32478</v>
      </c>
      <c r="AE1122" t="s">
        <v>32477</v>
      </c>
      <c r="AF1122" t="s">
        <v>74</v>
      </c>
      <c r="AG1122">
        <v>116</v>
      </c>
      <c r="AH1122">
        <v>22</v>
      </c>
      <c r="AI1122">
        <v>28</v>
      </c>
      <c r="AJ1122">
        <v>3</v>
      </c>
      <c r="AK1122">
        <v>85</v>
      </c>
      <c r="AL1122" t="s">
        <v>479</v>
      </c>
      <c r="AM1122" t="s">
        <v>480</v>
      </c>
      <c r="AN1122" t="s">
        <v>481</v>
      </c>
      <c r="AO1122" t="s">
        <v>6413</v>
      </c>
      <c r="AP1122" t="s">
        <v>6414</v>
      </c>
      <c r="AQ1122" t="s">
        <v>74</v>
      </c>
      <c r="AR1122" t="s">
        <v>6415</v>
      </c>
      <c r="AS1122" t="s">
        <v>6416</v>
      </c>
      <c r="AT1122" t="s">
        <v>605</v>
      </c>
      <c r="AU1122">
        <v>2022</v>
      </c>
      <c r="AV1122">
        <v>16</v>
      </c>
      <c r="AW1122">
        <v>1</v>
      </c>
      <c r="AX1122" t="s">
        <v>74</v>
      </c>
      <c r="AY1122" t="s">
        <v>74</v>
      </c>
      <c r="AZ1122" t="s">
        <v>74</v>
      </c>
      <c r="BA1122" t="s">
        <v>74</v>
      </c>
      <c r="BB1122">
        <v>3</v>
      </c>
      <c r="BC1122">
        <v>31</v>
      </c>
      <c r="BD1122" t="s">
        <v>74</v>
      </c>
      <c r="BE1122" t="s">
        <v>32476</v>
      </c>
      <c r="BF1122" t="str">
        <f>HYPERLINK("http://dx.doi.org/10.1002/sej.1394","http://dx.doi.org/10.1002/sej.1394")</f>
        <v>http://dx.doi.org/10.1002/sej.1394</v>
      </c>
      <c r="BG1122" t="s">
        <v>74</v>
      </c>
      <c r="BH1122" t="s">
        <v>11376</v>
      </c>
      <c r="BI1122">
        <v>29</v>
      </c>
      <c r="BJ1122" t="s">
        <v>98</v>
      </c>
      <c r="BK1122" t="s">
        <v>99</v>
      </c>
      <c r="BL1122" t="s">
        <v>100</v>
      </c>
      <c r="BM1122" t="s">
        <v>32475</v>
      </c>
      <c r="BN1122" t="s">
        <v>74</v>
      </c>
      <c r="BO1122" t="s">
        <v>74</v>
      </c>
      <c r="BP1122" t="s">
        <v>74</v>
      </c>
      <c r="BQ1122" t="s">
        <v>74</v>
      </c>
      <c r="BR1122" t="s">
        <v>102</v>
      </c>
      <c r="BS1122" t="s">
        <v>32474</v>
      </c>
      <c r="BT1122" t="str">
        <f>HYPERLINK("https%3A%2F%2Fwww.webofscience.com%2Fwos%2Fwoscc%2Ffull-record%2FWOS:000617934300001","View Full Record in Web of Science")</f>
        <v>View Full Record in Web of Science</v>
      </c>
    </row>
    <row r="1123" spans="1:72" x14ac:dyDescent="0.25">
      <c r="A1123" t="s">
        <v>72</v>
      </c>
      <c r="B1123" t="s">
        <v>32473</v>
      </c>
      <c r="C1123" t="s">
        <v>74</v>
      </c>
      <c r="D1123" t="s">
        <v>74</v>
      </c>
      <c r="E1123" t="s">
        <v>74</v>
      </c>
      <c r="F1123" t="s">
        <v>32472</v>
      </c>
      <c r="G1123" t="s">
        <v>74</v>
      </c>
      <c r="H1123" t="s">
        <v>74</v>
      </c>
      <c r="I1123" t="s">
        <v>32471</v>
      </c>
      <c r="J1123" t="s">
        <v>836</v>
      </c>
      <c r="K1123" t="s">
        <v>74</v>
      </c>
      <c r="L1123" t="s">
        <v>74</v>
      </c>
      <c r="M1123" t="s">
        <v>78</v>
      </c>
      <c r="N1123" t="s">
        <v>1766</v>
      </c>
      <c r="O1123" t="s">
        <v>74</v>
      </c>
      <c r="P1123" t="s">
        <v>74</v>
      </c>
      <c r="Q1123" t="s">
        <v>74</v>
      </c>
      <c r="R1123" t="s">
        <v>74</v>
      </c>
      <c r="S1123" t="s">
        <v>74</v>
      </c>
      <c r="T1123" t="s">
        <v>32470</v>
      </c>
      <c r="U1123" t="s">
        <v>32469</v>
      </c>
      <c r="V1123" t="s">
        <v>32468</v>
      </c>
      <c r="W1123" t="s">
        <v>32467</v>
      </c>
      <c r="X1123" t="s">
        <v>32466</v>
      </c>
      <c r="Y1123" t="s">
        <v>32465</v>
      </c>
      <c r="Z1123" t="s">
        <v>32464</v>
      </c>
      <c r="AA1123" t="s">
        <v>74</v>
      </c>
      <c r="AB1123" t="s">
        <v>74</v>
      </c>
      <c r="AC1123" t="s">
        <v>74</v>
      </c>
      <c r="AD1123" t="s">
        <v>74</v>
      </c>
      <c r="AE1123" t="s">
        <v>74</v>
      </c>
      <c r="AF1123" t="s">
        <v>74</v>
      </c>
      <c r="AG1123">
        <v>136</v>
      </c>
      <c r="AH1123">
        <v>128</v>
      </c>
      <c r="AI1123">
        <v>153</v>
      </c>
      <c r="AJ1123">
        <v>12</v>
      </c>
      <c r="AK1123">
        <v>112</v>
      </c>
      <c r="AL1123" t="s">
        <v>503</v>
      </c>
      <c r="AM1123" t="s">
        <v>151</v>
      </c>
      <c r="AN1123" t="s">
        <v>504</v>
      </c>
      <c r="AO1123" t="s">
        <v>844</v>
      </c>
      <c r="AP1123" t="s">
        <v>845</v>
      </c>
      <c r="AQ1123" t="s">
        <v>74</v>
      </c>
      <c r="AR1123" t="s">
        <v>846</v>
      </c>
      <c r="AS1123" t="s">
        <v>847</v>
      </c>
      <c r="AT1123" t="s">
        <v>1159</v>
      </c>
      <c r="AU1123">
        <v>2021</v>
      </c>
      <c r="AV1123">
        <v>77</v>
      </c>
      <c r="AW1123" t="s">
        <v>74</v>
      </c>
      <c r="AX1123" t="s">
        <v>74</v>
      </c>
      <c r="AY1123" t="s">
        <v>74</v>
      </c>
      <c r="AZ1123" t="s">
        <v>74</v>
      </c>
      <c r="BA1123" t="s">
        <v>74</v>
      </c>
      <c r="BB1123" t="s">
        <v>74</v>
      </c>
      <c r="BC1123" t="s">
        <v>74</v>
      </c>
      <c r="BD1123">
        <v>101833</v>
      </c>
      <c r="BE1123" t="s">
        <v>32463</v>
      </c>
      <c r="BF1123" t="str">
        <f>HYPERLINK("http://dx.doi.org/10.1016/j.irfa.2021.101833","http://dx.doi.org/10.1016/j.irfa.2021.101833")</f>
        <v>http://dx.doi.org/10.1016/j.irfa.2021.101833</v>
      </c>
      <c r="BG1123" t="s">
        <v>74</v>
      </c>
      <c r="BH1123" t="s">
        <v>11242</v>
      </c>
      <c r="BI1123">
        <v>16</v>
      </c>
      <c r="BJ1123" t="s">
        <v>268</v>
      </c>
      <c r="BK1123" t="s">
        <v>99</v>
      </c>
      <c r="BL1123" t="s">
        <v>100</v>
      </c>
      <c r="BM1123" t="s">
        <v>32462</v>
      </c>
      <c r="BN1123" t="s">
        <v>74</v>
      </c>
      <c r="BO1123" t="s">
        <v>3694</v>
      </c>
      <c r="BP1123" t="s">
        <v>74</v>
      </c>
      <c r="BQ1123" t="s">
        <v>74</v>
      </c>
      <c r="BR1123" t="s">
        <v>102</v>
      </c>
      <c r="BS1123" t="s">
        <v>32461</v>
      </c>
      <c r="BT1123" t="str">
        <f>HYPERLINK("https%3A%2F%2Fwww.webofscience.com%2Fwos%2Fwoscc%2Ffull-record%2FWOS:000691794700009","View Full Record in Web of Science")</f>
        <v>View Full Record in Web of Science</v>
      </c>
    </row>
    <row r="1124" spans="1:72" x14ac:dyDescent="0.25">
      <c r="A1124" t="s">
        <v>72</v>
      </c>
      <c r="B1124" t="s">
        <v>32460</v>
      </c>
      <c r="C1124" t="s">
        <v>74</v>
      </c>
      <c r="D1124" t="s">
        <v>74</v>
      </c>
      <c r="E1124" t="s">
        <v>74</v>
      </c>
      <c r="F1124" t="s">
        <v>32459</v>
      </c>
      <c r="G1124" t="s">
        <v>74</v>
      </c>
      <c r="H1124" t="s">
        <v>74</v>
      </c>
      <c r="I1124" t="s">
        <v>32458</v>
      </c>
      <c r="J1124" t="s">
        <v>20213</v>
      </c>
      <c r="K1124" t="s">
        <v>74</v>
      </c>
      <c r="L1124" t="s">
        <v>74</v>
      </c>
      <c r="M1124" t="s">
        <v>78</v>
      </c>
      <c r="N1124" t="s">
        <v>372</v>
      </c>
      <c r="O1124" t="s">
        <v>74</v>
      </c>
      <c r="P1124" t="s">
        <v>74</v>
      </c>
      <c r="Q1124" t="s">
        <v>74</v>
      </c>
      <c r="R1124" t="s">
        <v>74</v>
      </c>
      <c r="S1124" t="s">
        <v>74</v>
      </c>
      <c r="T1124" t="s">
        <v>32457</v>
      </c>
      <c r="U1124" t="s">
        <v>32456</v>
      </c>
      <c r="V1124" t="s">
        <v>32455</v>
      </c>
      <c r="W1124" t="s">
        <v>32454</v>
      </c>
      <c r="X1124" t="s">
        <v>32453</v>
      </c>
      <c r="Y1124" t="s">
        <v>32452</v>
      </c>
      <c r="Z1124" t="s">
        <v>32451</v>
      </c>
      <c r="AA1124" t="s">
        <v>32450</v>
      </c>
      <c r="AB1124" t="s">
        <v>32449</v>
      </c>
      <c r="AC1124" t="s">
        <v>74</v>
      </c>
      <c r="AD1124" t="s">
        <v>74</v>
      </c>
      <c r="AE1124" t="s">
        <v>74</v>
      </c>
      <c r="AF1124" t="s">
        <v>74</v>
      </c>
      <c r="AG1124">
        <v>92</v>
      </c>
      <c r="AH1124">
        <v>1</v>
      </c>
      <c r="AI1124">
        <v>1</v>
      </c>
      <c r="AJ1124">
        <v>3</v>
      </c>
      <c r="AK1124">
        <v>5</v>
      </c>
      <c r="AL1124" t="s">
        <v>89</v>
      </c>
      <c r="AM1124" t="s">
        <v>90</v>
      </c>
      <c r="AN1124" t="s">
        <v>91</v>
      </c>
      <c r="AO1124" t="s">
        <v>20205</v>
      </c>
      <c r="AP1124" t="s">
        <v>20204</v>
      </c>
      <c r="AQ1124" t="s">
        <v>74</v>
      </c>
      <c r="AR1124" t="s">
        <v>20203</v>
      </c>
      <c r="AS1124" t="s">
        <v>20202</v>
      </c>
      <c r="AT1124" t="s">
        <v>27995</v>
      </c>
      <c r="AU1124">
        <v>2025</v>
      </c>
      <c r="AV1124" t="s">
        <v>74</v>
      </c>
      <c r="AW1124" t="s">
        <v>74</v>
      </c>
      <c r="AX1124" t="s">
        <v>74</v>
      </c>
      <c r="AY1124" t="s">
        <v>74</v>
      </c>
      <c r="AZ1124" t="s">
        <v>74</v>
      </c>
      <c r="BA1124" t="s">
        <v>74</v>
      </c>
      <c r="BB1124" t="s">
        <v>74</v>
      </c>
      <c r="BC1124" t="s">
        <v>74</v>
      </c>
      <c r="BD1124" t="s">
        <v>74</v>
      </c>
      <c r="BE1124" t="s">
        <v>32448</v>
      </c>
      <c r="BF1124" t="str">
        <f>HYPERLINK("http://dx.doi.org/10.1108/JIABR-09-2023-0296","http://dx.doi.org/10.1108/JIABR-09-2023-0296")</f>
        <v>http://dx.doi.org/10.1108/JIABR-09-2023-0296</v>
      </c>
      <c r="BG1124" t="s">
        <v>74</v>
      </c>
      <c r="BH1124" t="s">
        <v>2359</v>
      </c>
      <c r="BI1124">
        <v>23</v>
      </c>
      <c r="BJ1124" t="s">
        <v>268</v>
      </c>
      <c r="BK1124" t="s">
        <v>313</v>
      </c>
      <c r="BL1124" t="s">
        <v>100</v>
      </c>
      <c r="BM1124" t="s">
        <v>32447</v>
      </c>
      <c r="BN1124" t="s">
        <v>74</v>
      </c>
      <c r="BO1124" t="s">
        <v>74</v>
      </c>
      <c r="BP1124" t="s">
        <v>74</v>
      </c>
      <c r="BQ1124" t="s">
        <v>74</v>
      </c>
      <c r="BR1124" t="s">
        <v>102</v>
      </c>
      <c r="BS1124" t="s">
        <v>32446</v>
      </c>
      <c r="BT1124" t="str">
        <f>HYPERLINK("https%3A%2F%2Fwww.webofscience.com%2Fwos%2Fwoscc%2Ffull-record%2FWOS:001484049200001","View Full Record in Web of Science")</f>
        <v>View Full Record in Web of Science</v>
      </c>
    </row>
    <row r="1125" spans="1:72" x14ac:dyDescent="0.25">
      <c r="A1125" t="s">
        <v>72</v>
      </c>
      <c r="B1125" t="s">
        <v>13908</v>
      </c>
      <c r="C1125" t="s">
        <v>74</v>
      </c>
      <c r="D1125" t="s">
        <v>74</v>
      </c>
      <c r="E1125" t="s">
        <v>74</v>
      </c>
      <c r="F1125" t="s">
        <v>13909</v>
      </c>
      <c r="G1125" t="s">
        <v>74</v>
      </c>
      <c r="H1125" t="s">
        <v>74</v>
      </c>
      <c r="I1125" t="s">
        <v>32445</v>
      </c>
      <c r="J1125" t="s">
        <v>2117</v>
      </c>
      <c r="K1125" t="s">
        <v>74</v>
      </c>
      <c r="L1125" t="s">
        <v>74</v>
      </c>
      <c r="M1125" t="s">
        <v>78</v>
      </c>
      <c r="N1125" t="s">
        <v>79</v>
      </c>
      <c r="O1125" t="s">
        <v>74</v>
      </c>
      <c r="P1125" t="s">
        <v>74</v>
      </c>
      <c r="Q1125" t="s">
        <v>74</v>
      </c>
      <c r="R1125" t="s">
        <v>74</v>
      </c>
      <c r="S1125" t="s">
        <v>74</v>
      </c>
      <c r="T1125" t="s">
        <v>32444</v>
      </c>
      <c r="U1125" t="s">
        <v>32443</v>
      </c>
      <c r="V1125" t="s">
        <v>32442</v>
      </c>
      <c r="W1125" t="s">
        <v>32441</v>
      </c>
      <c r="X1125" t="s">
        <v>32440</v>
      </c>
      <c r="Y1125" t="s">
        <v>32439</v>
      </c>
      <c r="Z1125" t="s">
        <v>32438</v>
      </c>
      <c r="AA1125" t="s">
        <v>74</v>
      </c>
      <c r="AB1125" t="s">
        <v>74</v>
      </c>
      <c r="AC1125" t="s">
        <v>74</v>
      </c>
      <c r="AD1125" t="s">
        <v>74</v>
      </c>
      <c r="AE1125" t="s">
        <v>74</v>
      </c>
      <c r="AF1125" t="s">
        <v>74</v>
      </c>
      <c r="AG1125">
        <v>107</v>
      </c>
      <c r="AH1125">
        <v>18</v>
      </c>
      <c r="AI1125">
        <v>21</v>
      </c>
      <c r="AJ1125">
        <v>6</v>
      </c>
      <c r="AK1125">
        <v>40</v>
      </c>
      <c r="AL1125" t="s">
        <v>201</v>
      </c>
      <c r="AM1125" t="s">
        <v>202</v>
      </c>
      <c r="AN1125" t="s">
        <v>203</v>
      </c>
      <c r="AO1125" t="s">
        <v>2127</v>
      </c>
      <c r="AP1125" t="s">
        <v>2128</v>
      </c>
      <c r="AQ1125" t="s">
        <v>74</v>
      </c>
      <c r="AR1125" t="s">
        <v>2129</v>
      </c>
      <c r="AS1125" t="s">
        <v>2130</v>
      </c>
      <c r="AT1125" t="s">
        <v>605</v>
      </c>
      <c r="AU1125">
        <v>2023</v>
      </c>
      <c r="AV1125">
        <v>54</v>
      </c>
      <c r="AW1125" t="s">
        <v>74</v>
      </c>
      <c r="AX1125" t="s">
        <v>74</v>
      </c>
      <c r="AY1125" t="s">
        <v>74</v>
      </c>
      <c r="AZ1125" t="s">
        <v>74</v>
      </c>
      <c r="BA1125" t="s">
        <v>74</v>
      </c>
      <c r="BB1125" t="s">
        <v>74</v>
      </c>
      <c r="BC1125" t="s">
        <v>74</v>
      </c>
      <c r="BD1125">
        <v>100994</v>
      </c>
      <c r="BE1125" t="s">
        <v>32437</v>
      </c>
      <c r="BF1125" t="str">
        <f>HYPERLINK("http://dx.doi.org/10.1016/j.ememar.2022.100994","http://dx.doi.org/10.1016/j.ememar.2022.100994")</f>
        <v>http://dx.doi.org/10.1016/j.ememar.2022.100994</v>
      </c>
      <c r="BG1125" t="s">
        <v>74</v>
      </c>
      <c r="BH1125" t="s">
        <v>11288</v>
      </c>
      <c r="BI1125">
        <v>14</v>
      </c>
      <c r="BJ1125" t="s">
        <v>210</v>
      </c>
      <c r="BK1125" t="s">
        <v>99</v>
      </c>
      <c r="BL1125" t="s">
        <v>100</v>
      </c>
      <c r="BM1125" t="s">
        <v>32436</v>
      </c>
      <c r="BN1125" t="s">
        <v>74</v>
      </c>
      <c r="BO1125" t="s">
        <v>466</v>
      </c>
      <c r="BP1125" t="s">
        <v>74</v>
      </c>
      <c r="BQ1125" t="s">
        <v>74</v>
      </c>
      <c r="BR1125" t="s">
        <v>102</v>
      </c>
      <c r="BS1125" t="s">
        <v>32435</v>
      </c>
      <c r="BT1125" t="str">
        <f>HYPERLINK("https%3A%2F%2Fwww.webofscience.com%2Fwos%2Fwoscc%2Ffull-record%2FWOS:000918827200001","View Full Record in Web of Science")</f>
        <v>View Full Record in Web of Science</v>
      </c>
    </row>
    <row r="1126" spans="1:72" x14ac:dyDescent="0.25">
      <c r="A1126" t="s">
        <v>72</v>
      </c>
      <c r="B1126" t="s">
        <v>32434</v>
      </c>
      <c r="C1126" t="s">
        <v>74</v>
      </c>
      <c r="D1126" t="s">
        <v>74</v>
      </c>
      <c r="E1126" t="s">
        <v>74</v>
      </c>
      <c r="F1126" t="s">
        <v>32433</v>
      </c>
      <c r="G1126" t="s">
        <v>74</v>
      </c>
      <c r="H1126" t="s">
        <v>74</v>
      </c>
      <c r="I1126" t="s">
        <v>32432</v>
      </c>
      <c r="J1126" t="s">
        <v>1510</v>
      </c>
      <c r="K1126" t="s">
        <v>74</v>
      </c>
      <c r="L1126" t="s">
        <v>74</v>
      </c>
      <c r="M1126" t="s">
        <v>78</v>
      </c>
      <c r="N1126" t="s">
        <v>79</v>
      </c>
      <c r="O1126" t="s">
        <v>74</v>
      </c>
      <c r="P1126" t="s">
        <v>74</v>
      </c>
      <c r="Q1126" t="s">
        <v>74</v>
      </c>
      <c r="R1126" t="s">
        <v>74</v>
      </c>
      <c r="S1126" t="s">
        <v>74</v>
      </c>
      <c r="T1126" t="s">
        <v>32431</v>
      </c>
      <c r="U1126" t="s">
        <v>32430</v>
      </c>
      <c r="V1126" t="s">
        <v>32429</v>
      </c>
      <c r="W1126" t="s">
        <v>32428</v>
      </c>
      <c r="X1126" t="s">
        <v>5942</v>
      </c>
      <c r="Y1126" t="s">
        <v>32427</v>
      </c>
      <c r="Z1126" t="s">
        <v>32426</v>
      </c>
      <c r="AA1126" t="s">
        <v>32425</v>
      </c>
      <c r="AB1126" t="s">
        <v>32424</v>
      </c>
      <c r="AC1126" t="s">
        <v>74</v>
      </c>
      <c r="AD1126" t="s">
        <v>74</v>
      </c>
      <c r="AE1126" t="s">
        <v>74</v>
      </c>
      <c r="AF1126" t="s">
        <v>74</v>
      </c>
      <c r="AG1126">
        <v>44</v>
      </c>
      <c r="AH1126">
        <v>15</v>
      </c>
      <c r="AI1126">
        <v>20</v>
      </c>
      <c r="AJ1126">
        <v>1</v>
      </c>
      <c r="AK1126">
        <v>17</v>
      </c>
      <c r="AL1126" t="s">
        <v>89</v>
      </c>
      <c r="AM1126" t="s">
        <v>90</v>
      </c>
      <c r="AN1126" t="s">
        <v>91</v>
      </c>
      <c r="AO1126" t="s">
        <v>1519</v>
      </c>
      <c r="AP1126" t="s">
        <v>1520</v>
      </c>
      <c r="AQ1126" t="s">
        <v>74</v>
      </c>
      <c r="AR1126" t="s">
        <v>1521</v>
      </c>
      <c r="AS1126" t="s">
        <v>1522</v>
      </c>
      <c r="AT1126" t="s">
        <v>8848</v>
      </c>
      <c r="AU1126">
        <v>2021</v>
      </c>
      <c r="AV1126">
        <v>48</v>
      </c>
      <c r="AW1126">
        <v>5</v>
      </c>
      <c r="AX1126" t="s">
        <v>74</v>
      </c>
      <c r="AY1126" t="s">
        <v>74</v>
      </c>
      <c r="AZ1126" t="s">
        <v>74</v>
      </c>
      <c r="BA1126" t="s">
        <v>74</v>
      </c>
      <c r="BB1126">
        <v>693</v>
      </c>
      <c r="BC1126">
        <v>708</v>
      </c>
      <c r="BD1126" t="s">
        <v>74</v>
      </c>
      <c r="BE1126" t="s">
        <v>32423</v>
      </c>
      <c r="BF1126" t="str">
        <f>HYPERLINK("http://dx.doi.org/10.1108/IJSE-08-2020-0549","http://dx.doi.org/10.1108/IJSE-08-2020-0549")</f>
        <v>http://dx.doi.org/10.1108/IJSE-08-2020-0549</v>
      </c>
      <c r="BG1126" t="s">
        <v>74</v>
      </c>
      <c r="BH1126" t="s">
        <v>11376</v>
      </c>
      <c r="BI1126">
        <v>16</v>
      </c>
      <c r="BJ1126" t="s">
        <v>291</v>
      </c>
      <c r="BK1126" t="s">
        <v>313</v>
      </c>
      <c r="BL1126" t="s">
        <v>100</v>
      </c>
      <c r="BM1126" t="s">
        <v>32422</v>
      </c>
      <c r="BN1126" t="s">
        <v>74</v>
      </c>
      <c r="BO1126" t="s">
        <v>74</v>
      </c>
      <c r="BP1126" t="s">
        <v>74</v>
      </c>
      <c r="BQ1126" t="s">
        <v>74</v>
      </c>
      <c r="BR1126" t="s">
        <v>102</v>
      </c>
      <c r="BS1126" t="s">
        <v>32421</v>
      </c>
      <c r="BT1126" t="str">
        <f>HYPERLINK("https%3A%2F%2Fwww.webofscience.com%2Fwos%2Fwoscc%2Ffull-record%2FWOS:000621921400001","View Full Record in Web of Science")</f>
        <v>View Full Record in Web of Science</v>
      </c>
    </row>
    <row r="1127" spans="1:72" x14ac:dyDescent="0.25">
      <c r="A1127" t="s">
        <v>72</v>
      </c>
      <c r="B1127" t="s">
        <v>32420</v>
      </c>
      <c r="C1127" t="s">
        <v>74</v>
      </c>
      <c r="D1127" t="s">
        <v>74</v>
      </c>
      <c r="E1127" t="s">
        <v>74</v>
      </c>
      <c r="F1127" t="s">
        <v>32419</v>
      </c>
      <c r="G1127" t="s">
        <v>74</v>
      </c>
      <c r="H1127" t="s">
        <v>74</v>
      </c>
      <c r="I1127" t="s">
        <v>32418</v>
      </c>
      <c r="J1127" t="s">
        <v>10469</v>
      </c>
      <c r="K1127" t="s">
        <v>74</v>
      </c>
      <c r="L1127" t="s">
        <v>74</v>
      </c>
      <c r="M1127" t="s">
        <v>78</v>
      </c>
      <c r="N1127" t="s">
        <v>79</v>
      </c>
      <c r="O1127" t="s">
        <v>74</v>
      </c>
      <c r="P1127" t="s">
        <v>74</v>
      </c>
      <c r="Q1127" t="s">
        <v>74</v>
      </c>
      <c r="R1127" t="s">
        <v>74</v>
      </c>
      <c r="S1127" t="s">
        <v>74</v>
      </c>
      <c r="T1127" t="s">
        <v>32417</v>
      </c>
      <c r="U1127" t="s">
        <v>32416</v>
      </c>
      <c r="V1127" t="s">
        <v>32415</v>
      </c>
      <c r="W1127" t="s">
        <v>32414</v>
      </c>
      <c r="X1127" t="s">
        <v>32413</v>
      </c>
      <c r="Y1127" t="s">
        <v>32412</v>
      </c>
      <c r="Z1127" t="s">
        <v>32411</v>
      </c>
      <c r="AA1127" t="s">
        <v>32410</v>
      </c>
      <c r="AB1127" t="s">
        <v>32409</v>
      </c>
      <c r="AC1127" t="s">
        <v>32408</v>
      </c>
      <c r="AD1127" t="s">
        <v>32407</v>
      </c>
      <c r="AE1127" t="s">
        <v>32406</v>
      </c>
      <c r="AF1127" t="s">
        <v>74</v>
      </c>
      <c r="AG1127">
        <v>75</v>
      </c>
      <c r="AH1127">
        <v>22</v>
      </c>
      <c r="AI1127">
        <v>26</v>
      </c>
      <c r="AJ1127">
        <v>0</v>
      </c>
      <c r="AK1127">
        <v>23</v>
      </c>
      <c r="AL1127" t="s">
        <v>332</v>
      </c>
      <c r="AM1127" t="s">
        <v>333</v>
      </c>
      <c r="AN1127" t="s">
        <v>334</v>
      </c>
      <c r="AO1127" t="s">
        <v>10477</v>
      </c>
      <c r="AP1127" t="s">
        <v>10478</v>
      </c>
      <c r="AQ1127" t="s">
        <v>74</v>
      </c>
      <c r="AR1127" t="s">
        <v>10479</v>
      </c>
      <c r="AS1127" t="s">
        <v>10480</v>
      </c>
      <c r="AT1127" t="s">
        <v>5028</v>
      </c>
      <c r="AU1127">
        <v>2020</v>
      </c>
      <c r="AV1127">
        <v>30</v>
      </c>
      <c r="AW1127">
        <v>7</v>
      </c>
      <c r="AX1127" t="s">
        <v>74</v>
      </c>
      <c r="AY1127" t="s">
        <v>74</v>
      </c>
      <c r="AZ1127" t="s">
        <v>74</v>
      </c>
      <c r="BA1127" t="s">
        <v>74</v>
      </c>
      <c r="BB1127">
        <v>874</v>
      </c>
      <c r="BC1127">
        <v>889</v>
      </c>
      <c r="BD1127" t="s">
        <v>74</v>
      </c>
      <c r="BE1127" t="s">
        <v>32405</v>
      </c>
      <c r="BF1127" t="str">
        <f>HYPERLINK("http://dx.doi.org/10.1080/09614524.2020.1782844","http://dx.doi.org/10.1080/09614524.2020.1782844")</f>
        <v>http://dx.doi.org/10.1080/09614524.2020.1782844</v>
      </c>
      <c r="BG1127" t="s">
        <v>74</v>
      </c>
      <c r="BH1127" t="s">
        <v>960</v>
      </c>
      <c r="BI1127">
        <v>16</v>
      </c>
      <c r="BJ1127" t="s">
        <v>1137</v>
      </c>
      <c r="BK1127" t="s">
        <v>313</v>
      </c>
      <c r="BL1127" t="s">
        <v>1137</v>
      </c>
      <c r="BM1127" t="s">
        <v>32404</v>
      </c>
      <c r="BN1127" t="s">
        <v>74</v>
      </c>
      <c r="BO1127" t="s">
        <v>74</v>
      </c>
      <c r="BP1127" t="s">
        <v>74</v>
      </c>
      <c r="BQ1127" t="s">
        <v>74</v>
      </c>
      <c r="BR1127" t="s">
        <v>102</v>
      </c>
      <c r="BS1127" t="s">
        <v>32403</v>
      </c>
      <c r="BT1127" t="str">
        <f>HYPERLINK("https%3A%2F%2Fwww.webofscience.com%2Fwos%2Fwoscc%2Ffull-record%2FWOS:000547785100001","View Full Record in Web of Science")</f>
        <v>View Full Record in Web of Science</v>
      </c>
    </row>
    <row r="1128" spans="1:72" x14ac:dyDescent="0.25">
      <c r="A1128" t="s">
        <v>72</v>
      </c>
      <c r="B1128" t="s">
        <v>32402</v>
      </c>
      <c r="C1128" t="s">
        <v>74</v>
      </c>
      <c r="D1128" t="s">
        <v>74</v>
      </c>
      <c r="E1128" t="s">
        <v>74</v>
      </c>
      <c r="F1128" t="s">
        <v>32401</v>
      </c>
      <c r="G1128" t="s">
        <v>74</v>
      </c>
      <c r="H1128" t="s">
        <v>74</v>
      </c>
      <c r="I1128" t="s">
        <v>32400</v>
      </c>
      <c r="J1128" t="s">
        <v>32399</v>
      </c>
      <c r="K1128" t="s">
        <v>74</v>
      </c>
      <c r="L1128" t="s">
        <v>74</v>
      </c>
      <c r="M1128" t="s">
        <v>78</v>
      </c>
      <c r="N1128" t="s">
        <v>372</v>
      </c>
      <c r="O1128" t="s">
        <v>74</v>
      </c>
      <c r="P1128" t="s">
        <v>74</v>
      </c>
      <c r="Q1128" t="s">
        <v>74</v>
      </c>
      <c r="R1128" t="s">
        <v>74</v>
      </c>
      <c r="S1128" t="s">
        <v>74</v>
      </c>
      <c r="T1128" t="s">
        <v>32398</v>
      </c>
      <c r="U1128" t="s">
        <v>74</v>
      </c>
      <c r="V1128" t="s">
        <v>32397</v>
      </c>
      <c r="W1128" t="s">
        <v>32396</v>
      </c>
      <c r="X1128" t="s">
        <v>32395</v>
      </c>
      <c r="Y1128" t="s">
        <v>32394</v>
      </c>
      <c r="Z1128" t="s">
        <v>32393</v>
      </c>
      <c r="AA1128" t="s">
        <v>74</v>
      </c>
      <c r="AB1128" t="s">
        <v>32392</v>
      </c>
      <c r="AC1128" t="s">
        <v>74</v>
      </c>
      <c r="AD1128" t="s">
        <v>74</v>
      </c>
      <c r="AE1128" t="s">
        <v>74</v>
      </c>
      <c r="AF1128" t="s">
        <v>74</v>
      </c>
      <c r="AG1128">
        <v>13</v>
      </c>
      <c r="AH1128">
        <v>0</v>
      </c>
      <c r="AI1128">
        <v>0</v>
      </c>
      <c r="AJ1128">
        <v>2</v>
      </c>
      <c r="AK1128">
        <v>2</v>
      </c>
      <c r="AL1128" t="s">
        <v>1889</v>
      </c>
      <c r="AM1128" t="s">
        <v>1890</v>
      </c>
      <c r="AN1128" t="s">
        <v>1891</v>
      </c>
      <c r="AO1128" t="s">
        <v>32391</v>
      </c>
      <c r="AP1128" t="s">
        <v>32390</v>
      </c>
      <c r="AQ1128" t="s">
        <v>74</v>
      </c>
      <c r="AR1128" t="s">
        <v>32389</v>
      </c>
      <c r="AS1128" t="s">
        <v>32388</v>
      </c>
      <c r="AT1128" t="s">
        <v>32387</v>
      </c>
      <c r="AU1128">
        <v>2025</v>
      </c>
      <c r="AV1128" t="s">
        <v>74</v>
      </c>
      <c r="AW1128" t="s">
        <v>74</v>
      </c>
      <c r="AX1128" t="s">
        <v>74</v>
      </c>
      <c r="AY1128" t="s">
        <v>74</v>
      </c>
      <c r="AZ1128" t="s">
        <v>74</v>
      </c>
      <c r="BA1128" t="s">
        <v>74</v>
      </c>
      <c r="BB1128" t="s">
        <v>74</v>
      </c>
      <c r="BC1128" t="s">
        <v>74</v>
      </c>
      <c r="BD1128" t="s">
        <v>74</v>
      </c>
      <c r="BE1128" t="s">
        <v>32386</v>
      </c>
      <c r="BF1128" t="str">
        <f>HYPERLINK("http://dx.doi.org/10.1142/S2424862225500034","http://dx.doi.org/10.1142/S2424862225500034")</f>
        <v>http://dx.doi.org/10.1142/S2424862225500034</v>
      </c>
      <c r="BG1128" t="s">
        <v>74</v>
      </c>
      <c r="BH1128" t="s">
        <v>3389</v>
      </c>
      <c r="BI1128">
        <v>26</v>
      </c>
      <c r="BJ1128" t="s">
        <v>583</v>
      </c>
      <c r="BK1128" t="s">
        <v>313</v>
      </c>
      <c r="BL1128" t="s">
        <v>100</v>
      </c>
      <c r="BM1128" t="s">
        <v>32385</v>
      </c>
      <c r="BN1128" t="s">
        <v>74</v>
      </c>
      <c r="BO1128" t="s">
        <v>74</v>
      </c>
      <c r="BP1128" t="s">
        <v>74</v>
      </c>
      <c r="BQ1128" t="s">
        <v>74</v>
      </c>
      <c r="BR1128" t="s">
        <v>102</v>
      </c>
      <c r="BS1128" t="s">
        <v>32384</v>
      </c>
      <c r="BT1128" t="str">
        <f>HYPERLINK("https%3A%2F%2Fwww.webofscience.com%2Fwos%2Fwoscc%2Ffull-record%2FWOS:001535038400001","View Full Record in Web of Science")</f>
        <v>View Full Record in Web of Science</v>
      </c>
    </row>
    <row r="1129" spans="1:72" x14ac:dyDescent="0.25">
      <c r="A1129" t="s">
        <v>72</v>
      </c>
      <c r="B1129" t="s">
        <v>32383</v>
      </c>
      <c r="C1129" t="s">
        <v>74</v>
      </c>
      <c r="D1129" t="s">
        <v>74</v>
      </c>
      <c r="E1129" t="s">
        <v>74</v>
      </c>
      <c r="F1129" t="s">
        <v>32382</v>
      </c>
      <c r="G1129" t="s">
        <v>74</v>
      </c>
      <c r="H1129" t="s">
        <v>74</v>
      </c>
      <c r="I1129" t="s">
        <v>32381</v>
      </c>
      <c r="J1129" t="s">
        <v>16089</v>
      </c>
      <c r="K1129" t="s">
        <v>74</v>
      </c>
      <c r="L1129" t="s">
        <v>74</v>
      </c>
      <c r="M1129" t="s">
        <v>78</v>
      </c>
      <c r="N1129" t="s">
        <v>79</v>
      </c>
      <c r="O1129" t="s">
        <v>74</v>
      </c>
      <c r="P1129" t="s">
        <v>74</v>
      </c>
      <c r="Q1129" t="s">
        <v>74</v>
      </c>
      <c r="R1129" t="s">
        <v>74</v>
      </c>
      <c r="S1129" t="s">
        <v>74</v>
      </c>
      <c r="T1129" t="s">
        <v>32380</v>
      </c>
      <c r="U1129" t="s">
        <v>32379</v>
      </c>
      <c r="V1129" t="s">
        <v>32378</v>
      </c>
      <c r="W1129" t="s">
        <v>32377</v>
      </c>
      <c r="X1129" t="s">
        <v>32376</v>
      </c>
      <c r="Y1129" t="s">
        <v>32375</v>
      </c>
      <c r="Z1129" t="s">
        <v>32374</v>
      </c>
      <c r="AA1129" t="s">
        <v>74</v>
      </c>
      <c r="AB1129" t="s">
        <v>74</v>
      </c>
      <c r="AC1129" t="s">
        <v>32373</v>
      </c>
      <c r="AD1129" t="s">
        <v>32373</v>
      </c>
      <c r="AE1129" t="s">
        <v>32372</v>
      </c>
      <c r="AF1129" t="s">
        <v>74</v>
      </c>
      <c r="AG1129">
        <v>78</v>
      </c>
      <c r="AH1129">
        <v>5</v>
      </c>
      <c r="AI1129">
        <v>7</v>
      </c>
      <c r="AJ1129">
        <v>0</v>
      </c>
      <c r="AK1129">
        <v>11</v>
      </c>
      <c r="AL1129" t="s">
        <v>16099</v>
      </c>
      <c r="AM1129" t="s">
        <v>16100</v>
      </c>
      <c r="AN1129" t="s">
        <v>16101</v>
      </c>
      <c r="AO1129" t="s">
        <v>16102</v>
      </c>
      <c r="AP1129" t="s">
        <v>16103</v>
      </c>
      <c r="AQ1129" t="s">
        <v>74</v>
      </c>
      <c r="AR1129" t="s">
        <v>16104</v>
      </c>
      <c r="AS1129" t="s">
        <v>16105</v>
      </c>
      <c r="AT1129" t="s">
        <v>698</v>
      </c>
      <c r="AU1129">
        <v>2020</v>
      </c>
      <c r="AV1129">
        <v>29</v>
      </c>
      <c r="AW1129">
        <v>5</v>
      </c>
      <c r="AX1129" t="s">
        <v>74</v>
      </c>
      <c r="AY1129" t="s">
        <v>74</v>
      </c>
      <c r="AZ1129" t="s">
        <v>74</v>
      </c>
      <c r="BA1129" t="s">
        <v>74</v>
      </c>
      <c r="BB1129">
        <v>589</v>
      </c>
      <c r="BC1129">
        <v>606</v>
      </c>
      <c r="BD1129" t="s">
        <v>74</v>
      </c>
      <c r="BE1129" t="s">
        <v>32371</v>
      </c>
      <c r="BF1129" t="str">
        <f>HYPERLINK("http://dx.doi.org/10.1002/jsc.2367","http://dx.doi.org/10.1002/jsc.2367")</f>
        <v>http://dx.doi.org/10.1002/jsc.2367</v>
      </c>
      <c r="BG1129" t="s">
        <v>74</v>
      </c>
      <c r="BH1129" t="s">
        <v>74</v>
      </c>
      <c r="BI1129">
        <v>18</v>
      </c>
      <c r="BJ1129" t="s">
        <v>268</v>
      </c>
      <c r="BK1129" t="s">
        <v>313</v>
      </c>
      <c r="BL1129" t="s">
        <v>100</v>
      </c>
      <c r="BM1129" t="s">
        <v>32370</v>
      </c>
      <c r="BN1129" t="s">
        <v>74</v>
      </c>
      <c r="BO1129" t="s">
        <v>74</v>
      </c>
      <c r="BP1129" t="s">
        <v>74</v>
      </c>
      <c r="BQ1129" t="s">
        <v>74</v>
      </c>
      <c r="BR1129" t="s">
        <v>102</v>
      </c>
      <c r="BS1129" t="s">
        <v>32369</v>
      </c>
      <c r="BT1129" t="str">
        <f>HYPERLINK("https%3A%2F%2Fwww.webofscience.com%2Fwos%2Fwoscc%2Ffull-record%2FWOS:000571811300008","View Full Record in Web of Science")</f>
        <v>View Full Record in Web of Science</v>
      </c>
    </row>
    <row r="1130" spans="1:72" x14ac:dyDescent="0.25">
      <c r="A1130" t="s">
        <v>72</v>
      </c>
      <c r="B1130" t="s">
        <v>32368</v>
      </c>
      <c r="C1130" t="s">
        <v>74</v>
      </c>
      <c r="D1130" t="s">
        <v>74</v>
      </c>
      <c r="E1130" t="s">
        <v>74</v>
      </c>
      <c r="F1130" t="s">
        <v>32367</v>
      </c>
      <c r="G1130" t="s">
        <v>74</v>
      </c>
      <c r="H1130" t="s">
        <v>74</v>
      </c>
      <c r="I1130" t="s">
        <v>32366</v>
      </c>
      <c r="J1130" t="s">
        <v>14228</v>
      </c>
      <c r="K1130" t="s">
        <v>74</v>
      </c>
      <c r="L1130" t="s">
        <v>74</v>
      </c>
      <c r="M1130" t="s">
        <v>78</v>
      </c>
      <c r="N1130" t="s">
        <v>79</v>
      </c>
      <c r="O1130" t="s">
        <v>74</v>
      </c>
      <c r="P1130" t="s">
        <v>74</v>
      </c>
      <c r="Q1130" t="s">
        <v>74</v>
      </c>
      <c r="R1130" t="s">
        <v>74</v>
      </c>
      <c r="S1130" t="s">
        <v>74</v>
      </c>
      <c r="T1130" t="s">
        <v>32365</v>
      </c>
      <c r="U1130" t="s">
        <v>74</v>
      </c>
      <c r="V1130" t="s">
        <v>32364</v>
      </c>
      <c r="W1130" t="s">
        <v>32363</v>
      </c>
      <c r="X1130" t="s">
        <v>32362</v>
      </c>
      <c r="Y1130" t="s">
        <v>32361</v>
      </c>
      <c r="Z1130" t="s">
        <v>32360</v>
      </c>
      <c r="AA1130" t="s">
        <v>32359</v>
      </c>
      <c r="AB1130" t="s">
        <v>74</v>
      </c>
      <c r="AC1130" t="s">
        <v>32358</v>
      </c>
      <c r="AD1130" t="s">
        <v>32357</v>
      </c>
      <c r="AE1130" t="s">
        <v>32356</v>
      </c>
      <c r="AF1130" t="s">
        <v>74</v>
      </c>
      <c r="AG1130">
        <v>10</v>
      </c>
      <c r="AH1130">
        <v>38</v>
      </c>
      <c r="AI1130">
        <v>40</v>
      </c>
      <c r="AJ1130">
        <v>8</v>
      </c>
      <c r="AK1130">
        <v>209</v>
      </c>
      <c r="AL1130" t="s">
        <v>332</v>
      </c>
      <c r="AM1130" t="s">
        <v>333</v>
      </c>
      <c r="AN1130" t="s">
        <v>334</v>
      </c>
      <c r="AO1130" t="s">
        <v>14237</v>
      </c>
      <c r="AP1130" t="s">
        <v>14238</v>
      </c>
      <c r="AQ1130" t="s">
        <v>74</v>
      </c>
      <c r="AR1130" t="s">
        <v>14239</v>
      </c>
      <c r="AS1130" t="s">
        <v>14240</v>
      </c>
      <c r="AT1130" t="s">
        <v>1503</v>
      </c>
      <c r="AU1130">
        <v>2022</v>
      </c>
      <c r="AV1130">
        <v>29</v>
      </c>
      <c r="AW1130">
        <v>19</v>
      </c>
      <c r="AX1130" t="s">
        <v>74</v>
      </c>
      <c r="AY1130" t="s">
        <v>74</v>
      </c>
      <c r="AZ1130" t="s">
        <v>74</v>
      </c>
      <c r="BA1130" t="s">
        <v>74</v>
      </c>
      <c r="BB1130">
        <v>1829</v>
      </c>
      <c r="BC1130">
        <v>1832</v>
      </c>
      <c r="BD1130" t="s">
        <v>74</v>
      </c>
      <c r="BE1130" t="s">
        <v>32355</v>
      </c>
      <c r="BF1130" t="str">
        <f>HYPERLINK("http://dx.doi.org/10.1080/13504851.2021.1963404","http://dx.doi.org/10.1080/13504851.2021.1963404")</f>
        <v>http://dx.doi.org/10.1080/13504851.2021.1963404</v>
      </c>
      <c r="BG1130" t="s">
        <v>74</v>
      </c>
      <c r="BH1130" t="s">
        <v>1818</v>
      </c>
      <c r="BI1130">
        <v>4</v>
      </c>
      <c r="BJ1130" t="s">
        <v>291</v>
      </c>
      <c r="BK1130" t="s">
        <v>99</v>
      </c>
      <c r="BL1130" t="s">
        <v>100</v>
      </c>
      <c r="BM1130" t="s">
        <v>32354</v>
      </c>
      <c r="BN1130" t="s">
        <v>74</v>
      </c>
      <c r="BO1130" t="s">
        <v>74</v>
      </c>
      <c r="BP1130" t="s">
        <v>74</v>
      </c>
      <c r="BQ1130" t="s">
        <v>74</v>
      </c>
      <c r="BR1130" t="s">
        <v>102</v>
      </c>
      <c r="BS1130" t="s">
        <v>32353</v>
      </c>
      <c r="BT1130" t="str">
        <f>HYPERLINK("https%3A%2F%2Fwww.webofscience.com%2Fwos%2Fwoscc%2Ffull-record%2FWOS:000681177600001","View Full Record in Web of Science")</f>
        <v>View Full Record in Web of Science</v>
      </c>
    </row>
    <row r="1131" spans="1:72" x14ac:dyDescent="0.25">
      <c r="A1131" t="s">
        <v>72</v>
      </c>
      <c r="B1131" t="s">
        <v>32352</v>
      </c>
      <c r="C1131" t="s">
        <v>74</v>
      </c>
      <c r="D1131" t="s">
        <v>74</v>
      </c>
      <c r="E1131" t="s">
        <v>74</v>
      </c>
      <c r="F1131" t="s">
        <v>32351</v>
      </c>
      <c r="G1131" t="s">
        <v>74</v>
      </c>
      <c r="H1131" t="s">
        <v>74</v>
      </c>
      <c r="I1131" t="s">
        <v>32350</v>
      </c>
      <c r="J1131" t="s">
        <v>12549</v>
      </c>
      <c r="K1131" t="s">
        <v>74</v>
      </c>
      <c r="L1131" t="s">
        <v>74</v>
      </c>
      <c r="M1131" t="s">
        <v>78</v>
      </c>
      <c r="N1131" t="s">
        <v>79</v>
      </c>
      <c r="O1131" t="s">
        <v>74</v>
      </c>
      <c r="P1131" t="s">
        <v>74</v>
      </c>
      <c r="Q1131" t="s">
        <v>74</v>
      </c>
      <c r="R1131" t="s">
        <v>74</v>
      </c>
      <c r="S1131" t="s">
        <v>74</v>
      </c>
      <c r="T1131" t="s">
        <v>32349</v>
      </c>
      <c r="U1131" t="s">
        <v>32348</v>
      </c>
      <c r="V1131" t="s">
        <v>32347</v>
      </c>
      <c r="W1131" t="s">
        <v>32346</v>
      </c>
      <c r="X1131" t="s">
        <v>2476</v>
      </c>
      <c r="Y1131" t="s">
        <v>32345</v>
      </c>
      <c r="Z1131" t="s">
        <v>32344</v>
      </c>
      <c r="AA1131" t="s">
        <v>32343</v>
      </c>
      <c r="AB1131" t="s">
        <v>32342</v>
      </c>
      <c r="AC1131" t="s">
        <v>74</v>
      </c>
      <c r="AD1131" t="s">
        <v>74</v>
      </c>
      <c r="AE1131" t="s">
        <v>74</v>
      </c>
      <c r="AF1131" t="s">
        <v>74</v>
      </c>
      <c r="AG1131">
        <v>78</v>
      </c>
      <c r="AH1131">
        <v>18</v>
      </c>
      <c r="AI1131">
        <v>25</v>
      </c>
      <c r="AJ1131">
        <v>1</v>
      </c>
      <c r="AK1131">
        <v>15</v>
      </c>
      <c r="AL1131" t="s">
        <v>575</v>
      </c>
      <c r="AM1131" t="s">
        <v>576</v>
      </c>
      <c r="AN1131" t="s">
        <v>577</v>
      </c>
      <c r="AO1131" t="s">
        <v>12562</v>
      </c>
      <c r="AP1131" t="s">
        <v>12563</v>
      </c>
      <c r="AQ1131" t="s">
        <v>74</v>
      </c>
      <c r="AR1131" t="s">
        <v>12564</v>
      </c>
      <c r="AS1131" t="s">
        <v>12565</v>
      </c>
      <c r="AT1131" t="s">
        <v>698</v>
      </c>
      <c r="AU1131">
        <v>2022</v>
      </c>
      <c r="AV1131">
        <v>15</v>
      </c>
      <c r="AW1131">
        <v>9</v>
      </c>
      <c r="AX1131" t="s">
        <v>74</v>
      </c>
      <c r="AY1131" t="s">
        <v>74</v>
      </c>
      <c r="AZ1131" t="s">
        <v>74</v>
      </c>
      <c r="BA1131" t="s">
        <v>74</v>
      </c>
      <c r="BB1131" t="s">
        <v>74</v>
      </c>
      <c r="BC1131" t="s">
        <v>74</v>
      </c>
      <c r="BD1131">
        <v>376</v>
      </c>
      <c r="BE1131" t="s">
        <v>32341</v>
      </c>
      <c r="BF1131" t="str">
        <f>HYPERLINK("http://dx.doi.org/10.3390/jrfm15090376","http://dx.doi.org/10.3390/jrfm15090376")</f>
        <v>http://dx.doi.org/10.3390/jrfm15090376</v>
      </c>
      <c r="BG1131" t="s">
        <v>74</v>
      </c>
      <c r="BH1131" t="s">
        <v>74</v>
      </c>
      <c r="BI1131">
        <v>22</v>
      </c>
      <c r="BJ1131" t="s">
        <v>268</v>
      </c>
      <c r="BK1131" t="s">
        <v>313</v>
      </c>
      <c r="BL1131" t="s">
        <v>100</v>
      </c>
      <c r="BM1131" t="s">
        <v>32340</v>
      </c>
      <c r="BN1131" t="s">
        <v>74</v>
      </c>
      <c r="BO1131" t="s">
        <v>466</v>
      </c>
      <c r="BP1131" t="s">
        <v>74</v>
      </c>
      <c r="BQ1131" t="s">
        <v>74</v>
      </c>
      <c r="BR1131" t="s">
        <v>102</v>
      </c>
      <c r="BS1131" t="s">
        <v>32339</v>
      </c>
      <c r="BT1131" t="str">
        <f>HYPERLINK("https%3A%2F%2Fwww.webofscience.com%2Fwos%2Fwoscc%2Ffull-record%2FWOS:000856902200001","View Full Record in Web of Science")</f>
        <v>View Full Record in Web of Science</v>
      </c>
    </row>
    <row r="1132" spans="1:72" x14ac:dyDescent="0.25">
      <c r="A1132" t="s">
        <v>72</v>
      </c>
      <c r="B1132" t="s">
        <v>32338</v>
      </c>
      <c r="C1132" t="s">
        <v>74</v>
      </c>
      <c r="D1132" t="s">
        <v>74</v>
      </c>
      <c r="E1132" t="s">
        <v>74</v>
      </c>
      <c r="F1132" t="s">
        <v>32337</v>
      </c>
      <c r="G1132" t="s">
        <v>74</v>
      </c>
      <c r="H1132" t="s">
        <v>74</v>
      </c>
      <c r="I1132" t="s">
        <v>32336</v>
      </c>
      <c r="J1132" t="s">
        <v>4842</v>
      </c>
      <c r="K1132" t="s">
        <v>74</v>
      </c>
      <c r="L1132" t="s">
        <v>74</v>
      </c>
      <c r="M1132" t="s">
        <v>78</v>
      </c>
      <c r="N1132" t="s">
        <v>79</v>
      </c>
      <c r="O1132" t="s">
        <v>74</v>
      </c>
      <c r="P1132" t="s">
        <v>74</v>
      </c>
      <c r="Q1132" t="s">
        <v>74</v>
      </c>
      <c r="R1132" t="s">
        <v>74</v>
      </c>
      <c r="S1132" t="s">
        <v>74</v>
      </c>
      <c r="T1132" t="s">
        <v>32335</v>
      </c>
      <c r="U1132" t="s">
        <v>32334</v>
      </c>
      <c r="V1132" t="s">
        <v>32333</v>
      </c>
      <c r="W1132" t="s">
        <v>32332</v>
      </c>
      <c r="X1132" t="s">
        <v>32331</v>
      </c>
      <c r="Y1132" t="s">
        <v>32330</v>
      </c>
      <c r="Z1132" t="s">
        <v>32329</v>
      </c>
      <c r="AA1132" t="s">
        <v>32328</v>
      </c>
      <c r="AB1132" t="s">
        <v>74</v>
      </c>
      <c r="AC1132" t="s">
        <v>31876</v>
      </c>
      <c r="AD1132" t="s">
        <v>31875</v>
      </c>
      <c r="AE1132" t="s">
        <v>32327</v>
      </c>
      <c r="AF1132" t="s">
        <v>74</v>
      </c>
      <c r="AG1132">
        <v>209</v>
      </c>
      <c r="AH1132">
        <v>0</v>
      </c>
      <c r="AI1132">
        <v>0</v>
      </c>
      <c r="AJ1132">
        <v>0</v>
      </c>
      <c r="AK1132">
        <v>0</v>
      </c>
      <c r="AL1132" t="s">
        <v>823</v>
      </c>
      <c r="AM1132" t="s">
        <v>333</v>
      </c>
      <c r="AN1132" t="s">
        <v>824</v>
      </c>
      <c r="AO1132" t="s">
        <v>4853</v>
      </c>
      <c r="AP1132" t="s">
        <v>74</v>
      </c>
      <c r="AQ1132" t="s">
        <v>74</v>
      </c>
      <c r="AR1132" t="s">
        <v>4854</v>
      </c>
      <c r="AS1132" t="s">
        <v>4855</v>
      </c>
      <c r="AT1132" t="s">
        <v>4856</v>
      </c>
      <c r="AU1132">
        <v>2025</v>
      </c>
      <c r="AV1132">
        <v>12</v>
      </c>
      <c r="AW1132">
        <v>1</v>
      </c>
      <c r="AX1132" t="s">
        <v>74</v>
      </c>
      <c r="AY1132" t="s">
        <v>74</v>
      </c>
      <c r="AZ1132" t="s">
        <v>74</v>
      </c>
      <c r="BA1132" t="s">
        <v>74</v>
      </c>
      <c r="BB1132" t="s">
        <v>74</v>
      </c>
      <c r="BC1132" t="s">
        <v>74</v>
      </c>
      <c r="BD1132">
        <v>2593078</v>
      </c>
      <c r="BE1132" t="s">
        <v>32326</v>
      </c>
      <c r="BF1132" t="str">
        <f>HYPERLINK("http://dx.doi.org/10.1080/23311975.2025.2593078","http://dx.doi.org/10.1080/23311975.2025.2593078")</f>
        <v>http://dx.doi.org/10.1080/23311975.2025.2593078</v>
      </c>
      <c r="BG1132" t="s">
        <v>74</v>
      </c>
      <c r="BH1132" t="s">
        <v>74</v>
      </c>
      <c r="BI1132">
        <v>33</v>
      </c>
      <c r="BJ1132" t="s">
        <v>418</v>
      </c>
      <c r="BK1132" t="s">
        <v>313</v>
      </c>
      <c r="BL1132" t="s">
        <v>100</v>
      </c>
      <c r="BM1132" t="s">
        <v>32325</v>
      </c>
      <c r="BN1132" t="s">
        <v>74</v>
      </c>
      <c r="BO1132" t="s">
        <v>916</v>
      </c>
      <c r="BP1132" t="s">
        <v>74</v>
      </c>
      <c r="BQ1132" t="s">
        <v>74</v>
      </c>
      <c r="BR1132" t="s">
        <v>102</v>
      </c>
      <c r="BS1132" t="s">
        <v>32324</v>
      </c>
      <c r="BT1132" t="str">
        <f>HYPERLINK("https%3A%2F%2Fwww.webofscience.com%2Fwos%2Fwoscc%2Ffull-record%2FWOS:001625446300001","View Full Record in Web of Science")</f>
        <v>View Full Record in Web of Science</v>
      </c>
    </row>
    <row r="1133" spans="1:72" x14ac:dyDescent="0.25">
      <c r="A1133" t="s">
        <v>72</v>
      </c>
      <c r="B1133" t="s">
        <v>32323</v>
      </c>
      <c r="C1133" t="s">
        <v>74</v>
      </c>
      <c r="D1133" t="s">
        <v>74</v>
      </c>
      <c r="E1133" t="s">
        <v>74</v>
      </c>
      <c r="F1133" t="s">
        <v>32322</v>
      </c>
      <c r="G1133" t="s">
        <v>74</v>
      </c>
      <c r="H1133" t="s">
        <v>74</v>
      </c>
      <c r="I1133" t="s">
        <v>32321</v>
      </c>
      <c r="J1133" t="s">
        <v>4822</v>
      </c>
      <c r="K1133" t="s">
        <v>74</v>
      </c>
      <c r="L1133" t="s">
        <v>74</v>
      </c>
      <c r="M1133" t="s">
        <v>78</v>
      </c>
      <c r="N1133" t="s">
        <v>79</v>
      </c>
      <c r="O1133" t="s">
        <v>74</v>
      </c>
      <c r="P1133" t="s">
        <v>74</v>
      </c>
      <c r="Q1133" t="s">
        <v>74</v>
      </c>
      <c r="R1133" t="s">
        <v>74</v>
      </c>
      <c r="S1133" t="s">
        <v>74</v>
      </c>
      <c r="T1133" t="s">
        <v>32320</v>
      </c>
      <c r="U1133" t="s">
        <v>32319</v>
      </c>
      <c r="V1133" t="s">
        <v>32318</v>
      </c>
      <c r="W1133" t="s">
        <v>32317</v>
      </c>
      <c r="X1133" t="s">
        <v>32316</v>
      </c>
      <c r="Y1133" t="s">
        <v>32315</v>
      </c>
      <c r="Z1133" t="s">
        <v>32314</v>
      </c>
      <c r="AA1133" t="s">
        <v>74</v>
      </c>
      <c r="AB1133" t="s">
        <v>32313</v>
      </c>
      <c r="AC1133" t="s">
        <v>32312</v>
      </c>
      <c r="AD1133" t="s">
        <v>32311</v>
      </c>
      <c r="AE1133" t="s">
        <v>32310</v>
      </c>
      <c r="AF1133" t="s">
        <v>74</v>
      </c>
      <c r="AG1133">
        <v>78</v>
      </c>
      <c r="AH1133">
        <v>1</v>
      </c>
      <c r="AI1133">
        <v>2</v>
      </c>
      <c r="AJ1133">
        <v>20</v>
      </c>
      <c r="AK1133">
        <v>33</v>
      </c>
      <c r="AL1133" t="s">
        <v>201</v>
      </c>
      <c r="AM1133" t="s">
        <v>202</v>
      </c>
      <c r="AN1133" t="s">
        <v>203</v>
      </c>
      <c r="AO1133" t="s">
        <v>4833</v>
      </c>
      <c r="AP1133" t="s">
        <v>74</v>
      </c>
      <c r="AQ1133" t="s">
        <v>74</v>
      </c>
      <c r="AR1133" t="s">
        <v>4834</v>
      </c>
      <c r="AS1133" t="s">
        <v>4835</v>
      </c>
      <c r="AT1133" t="s">
        <v>1652</v>
      </c>
      <c r="AU1133">
        <v>2025</v>
      </c>
      <c r="AV1133">
        <v>86</v>
      </c>
      <c r="AW1133" t="s">
        <v>74</v>
      </c>
      <c r="AX1133" t="s">
        <v>74</v>
      </c>
      <c r="AY1133" t="s">
        <v>74</v>
      </c>
      <c r="AZ1133" t="s">
        <v>74</v>
      </c>
      <c r="BA1133" t="s">
        <v>74</v>
      </c>
      <c r="BB1133">
        <v>1119</v>
      </c>
      <c r="BC1133">
        <v>1136</v>
      </c>
      <c r="BD1133" t="s">
        <v>74</v>
      </c>
      <c r="BE1133" t="s">
        <v>32309</v>
      </c>
      <c r="BF1133" t="str">
        <f>HYPERLINK("http://dx.doi.org/10.1016/j.eap.2025.04.025","http://dx.doi.org/10.1016/j.eap.2025.04.025")</f>
        <v>http://dx.doi.org/10.1016/j.eap.2025.04.025</v>
      </c>
      <c r="BG1133" t="s">
        <v>74</v>
      </c>
      <c r="BH1133" t="s">
        <v>1485</v>
      </c>
      <c r="BI1133">
        <v>18</v>
      </c>
      <c r="BJ1133" t="s">
        <v>291</v>
      </c>
      <c r="BK1133" t="s">
        <v>99</v>
      </c>
      <c r="BL1133" t="s">
        <v>100</v>
      </c>
      <c r="BM1133" t="s">
        <v>32308</v>
      </c>
      <c r="BN1133" t="s">
        <v>74</v>
      </c>
      <c r="BO1133" t="s">
        <v>74</v>
      </c>
      <c r="BP1133" t="s">
        <v>74</v>
      </c>
      <c r="BQ1133" t="s">
        <v>74</v>
      </c>
      <c r="BR1133" t="s">
        <v>102</v>
      </c>
      <c r="BS1133" t="s">
        <v>32307</v>
      </c>
      <c r="BT1133" t="str">
        <f>HYPERLINK("https%3A%2F%2Fwww.webofscience.com%2Fwos%2Fwoscc%2Ffull-record%2FWOS:001483032300001","View Full Record in Web of Science")</f>
        <v>View Full Record in Web of Science</v>
      </c>
    </row>
    <row r="1134" spans="1:72" x14ac:dyDescent="0.25">
      <c r="A1134" t="s">
        <v>72</v>
      </c>
      <c r="B1134" t="s">
        <v>32306</v>
      </c>
      <c r="C1134" t="s">
        <v>74</v>
      </c>
      <c r="D1134" t="s">
        <v>74</v>
      </c>
      <c r="E1134" t="s">
        <v>74</v>
      </c>
      <c r="F1134" t="s">
        <v>32305</v>
      </c>
      <c r="G1134" t="s">
        <v>74</v>
      </c>
      <c r="H1134" t="s">
        <v>74</v>
      </c>
      <c r="I1134" t="s">
        <v>32304</v>
      </c>
      <c r="J1134" t="s">
        <v>20369</v>
      </c>
      <c r="K1134" t="s">
        <v>74</v>
      </c>
      <c r="L1134" t="s">
        <v>74</v>
      </c>
      <c r="M1134" t="s">
        <v>78</v>
      </c>
      <c r="N1134" t="s">
        <v>79</v>
      </c>
      <c r="O1134" t="s">
        <v>74</v>
      </c>
      <c r="P1134" t="s">
        <v>74</v>
      </c>
      <c r="Q1134" t="s">
        <v>74</v>
      </c>
      <c r="R1134" t="s">
        <v>74</v>
      </c>
      <c r="S1134" t="s">
        <v>74</v>
      </c>
      <c r="T1134" t="s">
        <v>32303</v>
      </c>
      <c r="U1134" t="s">
        <v>32302</v>
      </c>
      <c r="V1134" t="s">
        <v>32301</v>
      </c>
      <c r="W1134" t="s">
        <v>32300</v>
      </c>
      <c r="X1134" t="s">
        <v>32299</v>
      </c>
      <c r="Y1134" t="s">
        <v>32298</v>
      </c>
      <c r="Z1134" t="s">
        <v>32297</v>
      </c>
      <c r="AA1134" t="s">
        <v>32296</v>
      </c>
      <c r="AB1134" t="s">
        <v>32295</v>
      </c>
      <c r="AC1134" t="s">
        <v>74</v>
      </c>
      <c r="AD1134" t="s">
        <v>74</v>
      </c>
      <c r="AE1134" t="s">
        <v>74</v>
      </c>
      <c r="AF1134" t="s">
        <v>74</v>
      </c>
      <c r="AG1134">
        <v>34</v>
      </c>
      <c r="AH1134">
        <v>8</v>
      </c>
      <c r="AI1134">
        <v>10</v>
      </c>
      <c r="AJ1134">
        <v>1</v>
      </c>
      <c r="AK1134">
        <v>37</v>
      </c>
      <c r="AL1134" t="s">
        <v>385</v>
      </c>
      <c r="AM1134" t="s">
        <v>1153</v>
      </c>
      <c r="AN1134" t="s">
        <v>1154</v>
      </c>
      <c r="AO1134" t="s">
        <v>20359</v>
      </c>
      <c r="AP1134" t="s">
        <v>20358</v>
      </c>
      <c r="AQ1134" t="s">
        <v>74</v>
      </c>
      <c r="AR1134" t="s">
        <v>20357</v>
      </c>
      <c r="AS1134" t="s">
        <v>20356</v>
      </c>
      <c r="AT1134" t="s">
        <v>124</v>
      </c>
      <c r="AU1134">
        <v>2014</v>
      </c>
      <c r="AV1134">
        <v>43</v>
      </c>
      <c r="AW1134">
        <v>4</v>
      </c>
      <c r="AX1134" t="s">
        <v>74</v>
      </c>
      <c r="AY1134" t="s">
        <v>74</v>
      </c>
      <c r="AZ1134" t="s">
        <v>441</v>
      </c>
      <c r="BA1134" t="s">
        <v>74</v>
      </c>
      <c r="BB1134">
        <v>931</v>
      </c>
      <c r="BC1134">
        <v>944</v>
      </c>
      <c r="BD1134" t="s">
        <v>74</v>
      </c>
      <c r="BE1134" t="s">
        <v>32294</v>
      </c>
      <c r="BF1134" t="str">
        <f>HYPERLINK("http://dx.doi.org/10.1007/s11187-014-9578-0","http://dx.doi.org/10.1007/s11187-014-9578-0")</f>
        <v>http://dx.doi.org/10.1007/s11187-014-9578-0</v>
      </c>
      <c r="BG1134" t="s">
        <v>74</v>
      </c>
      <c r="BH1134" t="s">
        <v>74</v>
      </c>
      <c r="BI1134">
        <v>14</v>
      </c>
      <c r="BJ1134" t="s">
        <v>6512</v>
      </c>
      <c r="BK1134" t="s">
        <v>99</v>
      </c>
      <c r="BL1134" t="s">
        <v>100</v>
      </c>
      <c r="BM1134" t="s">
        <v>32293</v>
      </c>
      <c r="BN1134" t="s">
        <v>74</v>
      </c>
      <c r="BO1134" t="s">
        <v>74</v>
      </c>
      <c r="BP1134" t="s">
        <v>74</v>
      </c>
      <c r="BQ1134" t="s">
        <v>74</v>
      </c>
      <c r="BR1134" t="s">
        <v>102</v>
      </c>
      <c r="BS1134" t="s">
        <v>32292</v>
      </c>
      <c r="BT1134" t="str">
        <f>HYPERLINK("https%3A%2F%2Fwww.webofscience.com%2Fwos%2Fwoscc%2Ffull-record%2FWOS:000344811800013","View Full Record in Web of Science")</f>
        <v>View Full Record in Web of Science</v>
      </c>
    </row>
    <row r="1135" spans="1:72" x14ac:dyDescent="0.25">
      <c r="A1135" t="s">
        <v>72</v>
      </c>
      <c r="B1135" t="s">
        <v>32291</v>
      </c>
      <c r="C1135" t="s">
        <v>74</v>
      </c>
      <c r="D1135" t="s">
        <v>74</v>
      </c>
      <c r="E1135" t="s">
        <v>74</v>
      </c>
      <c r="F1135" t="s">
        <v>32290</v>
      </c>
      <c r="G1135" t="s">
        <v>74</v>
      </c>
      <c r="H1135" t="s">
        <v>74</v>
      </c>
      <c r="I1135" t="s">
        <v>32289</v>
      </c>
      <c r="J1135" t="s">
        <v>32288</v>
      </c>
      <c r="K1135" t="s">
        <v>74</v>
      </c>
      <c r="L1135" t="s">
        <v>74</v>
      </c>
      <c r="M1135" t="s">
        <v>78</v>
      </c>
      <c r="N1135" t="s">
        <v>79</v>
      </c>
      <c r="O1135" t="s">
        <v>74</v>
      </c>
      <c r="P1135" t="s">
        <v>74</v>
      </c>
      <c r="Q1135" t="s">
        <v>74</v>
      </c>
      <c r="R1135" t="s">
        <v>74</v>
      </c>
      <c r="S1135" t="s">
        <v>74</v>
      </c>
      <c r="T1135" t="s">
        <v>32287</v>
      </c>
      <c r="U1135" t="s">
        <v>32286</v>
      </c>
      <c r="V1135" t="s">
        <v>32285</v>
      </c>
      <c r="W1135" t="s">
        <v>32284</v>
      </c>
      <c r="X1135" t="s">
        <v>32283</v>
      </c>
      <c r="Y1135" t="s">
        <v>32282</v>
      </c>
      <c r="Z1135" t="s">
        <v>32281</v>
      </c>
      <c r="AA1135" t="s">
        <v>32280</v>
      </c>
      <c r="AB1135" t="s">
        <v>32279</v>
      </c>
      <c r="AC1135" t="s">
        <v>74</v>
      </c>
      <c r="AD1135" t="s">
        <v>74</v>
      </c>
      <c r="AE1135" t="s">
        <v>74</v>
      </c>
      <c r="AF1135" t="s">
        <v>74</v>
      </c>
      <c r="AG1135">
        <v>45</v>
      </c>
      <c r="AH1135">
        <v>8</v>
      </c>
      <c r="AI1135">
        <v>11</v>
      </c>
      <c r="AJ1135">
        <v>0</v>
      </c>
      <c r="AK1135">
        <v>38</v>
      </c>
      <c r="AL1135" t="s">
        <v>385</v>
      </c>
      <c r="AM1135" t="s">
        <v>1153</v>
      </c>
      <c r="AN1135" t="s">
        <v>1154</v>
      </c>
      <c r="AO1135" t="s">
        <v>32278</v>
      </c>
      <c r="AP1135" t="s">
        <v>32277</v>
      </c>
      <c r="AQ1135" t="s">
        <v>74</v>
      </c>
      <c r="AR1135" t="s">
        <v>32276</v>
      </c>
      <c r="AS1135" t="s">
        <v>32275</v>
      </c>
      <c r="AT1135" t="s">
        <v>848</v>
      </c>
      <c r="AU1135">
        <v>2017</v>
      </c>
      <c r="AV1135">
        <v>51</v>
      </c>
      <c r="AW1135">
        <v>4</v>
      </c>
      <c r="AX1135" t="s">
        <v>74</v>
      </c>
      <c r="AY1135" t="s">
        <v>74</v>
      </c>
      <c r="AZ1135" t="s">
        <v>74</v>
      </c>
      <c r="BA1135" t="s">
        <v>74</v>
      </c>
      <c r="BB1135">
        <v>1435</v>
      </c>
      <c r="BC1135">
        <v>1448</v>
      </c>
      <c r="BD1135" t="s">
        <v>74</v>
      </c>
      <c r="BE1135" t="s">
        <v>32274</v>
      </c>
      <c r="BF1135" t="str">
        <f>HYPERLINK("http://dx.doi.org/10.1007/s11135-016-0342-1","http://dx.doi.org/10.1007/s11135-016-0342-1")</f>
        <v>http://dx.doi.org/10.1007/s11135-016-0342-1</v>
      </c>
      <c r="BG1135" t="s">
        <v>74</v>
      </c>
      <c r="BH1135" t="s">
        <v>74</v>
      </c>
      <c r="BI1135">
        <v>14</v>
      </c>
      <c r="BJ1135" t="s">
        <v>32273</v>
      </c>
      <c r="BK1135" t="s">
        <v>2623</v>
      </c>
      <c r="BL1135" t="s">
        <v>32272</v>
      </c>
      <c r="BM1135" t="s">
        <v>32271</v>
      </c>
      <c r="BN1135" t="s">
        <v>74</v>
      </c>
      <c r="BO1135" t="s">
        <v>74</v>
      </c>
      <c r="BP1135" t="s">
        <v>74</v>
      </c>
      <c r="BQ1135" t="s">
        <v>74</v>
      </c>
      <c r="BR1135" t="s">
        <v>102</v>
      </c>
      <c r="BS1135" t="s">
        <v>32270</v>
      </c>
      <c r="BT1135" t="str">
        <f>HYPERLINK("https%3A%2F%2Fwww.webofscience.com%2Fwos%2Fwoscc%2Ffull-record%2FWOS:000403575600001","View Full Record in Web of Science")</f>
        <v>View Full Record in Web of Science</v>
      </c>
    </row>
    <row r="1136" spans="1:72" x14ac:dyDescent="0.25">
      <c r="A1136" t="s">
        <v>72</v>
      </c>
      <c r="B1136" t="s">
        <v>32269</v>
      </c>
      <c r="C1136" t="s">
        <v>74</v>
      </c>
      <c r="D1136" t="s">
        <v>74</v>
      </c>
      <c r="E1136" t="s">
        <v>74</v>
      </c>
      <c r="F1136" t="s">
        <v>32268</v>
      </c>
      <c r="G1136" t="s">
        <v>74</v>
      </c>
      <c r="H1136" t="s">
        <v>74</v>
      </c>
      <c r="I1136" t="s">
        <v>32267</v>
      </c>
      <c r="J1136" t="s">
        <v>656</v>
      </c>
      <c r="K1136" t="s">
        <v>74</v>
      </c>
      <c r="L1136" t="s">
        <v>74</v>
      </c>
      <c r="M1136" t="s">
        <v>78</v>
      </c>
      <c r="N1136" t="s">
        <v>372</v>
      </c>
      <c r="O1136" t="s">
        <v>74</v>
      </c>
      <c r="P1136" t="s">
        <v>74</v>
      </c>
      <c r="Q1136" t="s">
        <v>74</v>
      </c>
      <c r="R1136" t="s">
        <v>74</v>
      </c>
      <c r="S1136" t="s">
        <v>74</v>
      </c>
      <c r="T1136" t="s">
        <v>32266</v>
      </c>
      <c r="U1136" t="s">
        <v>74</v>
      </c>
      <c r="V1136" t="s">
        <v>32265</v>
      </c>
      <c r="W1136" t="s">
        <v>32264</v>
      </c>
      <c r="X1136" t="s">
        <v>32263</v>
      </c>
      <c r="Y1136" t="s">
        <v>32262</v>
      </c>
      <c r="Z1136" t="s">
        <v>32261</v>
      </c>
      <c r="AA1136" t="s">
        <v>74</v>
      </c>
      <c r="AB1136" t="s">
        <v>74</v>
      </c>
      <c r="AC1136" t="s">
        <v>32260</v>
      </c>
      <c r="AD1136" t="s">
        <v>32259</v>
      </c>
      <c r="AE1136" t="s">
        <v>32258</v>
      </c>
      <c r="AF1136" t="s">
        <v>74</v>
      </c>
      <c r="AG1136">
        <v>29</v>
      </c>
      <c r="AH1136">
        <v>32</v>
      </c>
      <c r="AI1136">
        <v>33</v>
      </c>
      <c r="AJ1136">
        <v>60</v>
      </c>
      <c r="AK1136">
        <v>113</v>
      </c>
      <c r="AL1136" t="s">
        <v>666</v>
      </c>
      <c r="AM1136" t="s">
        <v>667</v>
      </c>
      <c r="AN1136" t="s">
        <v>668</v>
      </c>
      <c r="AO1136" t="s">
        <v>669</v>
      </c>
      <c r="AP1136" t="s">
        <v>670</v>
      </c>
      <c r="AQ1136" t="s">
        <v>74</v>
      </c>
      <c r="AR1136" t="s">
        <v>671</v>
      </c>
      <c r="AS1136" t="s">
        <v>672</v>
      </c>
      <c r="AT1136" t="s">
        <v>29692</v>
      </c>
      <c r="AU1136">
        <v>2024</v>
      </c>
      <c r="AV1136" t="s">
        <v>74</v>
      </c>
      <c r="AW1136" t="s">
        <v>74</v>
      </c>
      <c r="AX1136" t="s">
        <v>74</v>
      </c>
      <c r="AY1136" t="s">
        <v>74</v>
      </c>
      <c r="AZ1136" t="s">
        <v>74</v>
      </c>
      <c r="BA1136" t="s">
        <v>74</v>
      </c>
      <c r="BB1136" t="s">
        <v>74</v>
      </c>
      <c r="BC1136" t="s">
        <v>74</v>
      </c>
      <c r="BD1136" t="s">
        <v>74</v>
      </c>
      <c r="BE1136" t="s">
        <v>32257</v>
      </c>
      <c r="BF1136" t="str">
        <f>HYPERLINK("http://dx.doi.org/10.1007/s10834-024-09992-6","http://dx.doi.org/10.1007/s10834-024-09992-6")</f>
        <v>http://dx.doi.org/10.1007/s10834-024-09992-6</v>
      </c>
      <c r="BG1136" t="s">
        <v>74</v>
      </c>
      <c r="BH1136" t="s">
        <v>1136</v>
      </c>
      <c r="BI1136">
        <v>14</v>
      </c>
      <c r="BJ1136" t="s">
        <v>675</v>
      </c>
      <c r="BK1136" t="s">
        <v>99</v>
      </c>
      <c r="BL1136" t="s">
        <v>676</v>
      </c>
      <c r="BM1136" t="s">
        <v>32256</v>
      </c>
      <c r="BN1136" t="s">
        <v>74</v>
      </c>
      <c r="BO1136" t="s">
        <v>74</v>
      </c>
      <c r="BP1136" t="s">
        <v>74</v>
      </c>
      <c r="BQ1136" t="s">
        <v>74</v>
      </c>
      <c r="BR1136" t="s">
        <v>102</v>
      </c>
      <c r="BS1136" t="s">
        <v>32255</v>
      </c>
      <c r="BT1136" t="str">
        <f>HYPERLINK("https%3A%2F%2Fwww.webofscience.com%2Fwos%2Fwoscc%2Ffull-record%2FWOS:001325696400001","View Full Record in Web of Science")</f>
        <v>View Full Record in Web of Science</v>
      </c>
    </row>
    <row r="1137" spans="1:72" x14ac:dyDescent="0.25">
      <c r="A1137" t="s">
        <v>72</v>
      </c>
      <c r="B1137" t="s">
        <v>32254</v>
      </c>
      <c r="C1137" t="s">
        <v>74</v>
      </c>
      <c r="D1137" t="s">
        <v>74</v>
      </c>
      <c r="E1137" t="s">
        <v>74</v>
      </c>
      <c r="F1137" t="s">
        <v>32253</v>
      </c>
      <c r="G1137" t="s">
        <v>74</v>
      </c>
      <c r="H1137" t="s">
        <v>74</v>
      </c>
      <c r="I1137" t="s">
        <v>32252</v>
      </c>
      <c r="J1137" t="s">
        <v>1510</v>
      </c>
      <c r="K1137" t="s">
        <v>74</v>
      </c>
      <c r="L1137" t="s">
        <v>74</v>
      </c>
      <c r="M1137" t="s">
        <v>78</v>
      </c>
      <c r="N1137" t="s">
        <v>79</v>
      </c>
      <c r="O1137" t="s">
        <v>74</v>
      </c>
      <c r="P1137" t="s">
        <v>74</v>
      </c>
      <c r="Q1137" t="s">
        <v>74</v>
      </c>
      <c r="R1137" t="s">
        <v>74</v>
      </c>
      <c r="S1137" t="s">
        <v>74</v>
      </c>
      <c r="T1137" t="s">
        <v>32251</v>
      </c>
      <c r="U1137" t="s">
        <v>74</v>
      </c>
      <c r="V1137" t="s">
        <v>32250</v>
      </c>
      <c r="W1137" t="s">
        <v>32249</v>
      </c>
      <c r="X1137" t="s">
        <v>74</v>
      </c>
      <c r="Y1137" t="s">
        <v>32248</v>
      </c>
      <c r="Z1137" t="s">
        <v>12156</v>
      </c>
      <c r="AA1137" t="s">
        <v>13483</v>
      </c>
      <c r="AB1137" t="s">
        <v>13484</v>
      </c>
      <c r="AC1137" t="s">
        <v>74</v>
      </c>
      <c r="AD1137" t="s">
        <v>74</v>
      </c>
      <c r="AE1137" t="s">
        <v>74</v>
      </c>
      <c r="AF1137" t="s">
        <v>74</v>
      </c>
      <c r="AG1137">
        <v>63</v>
      </c>
      <c r="AH1137">
        <v>23</v>
      </c>
      <c r="AI1137">
        <v>29</v>
      </c>
      <c r="AJ1137">
        <v>0</v>
      </c>
      <c r="AK1137">
        <v>20</v>
      </c>
      <c r="AL1137" t="s">
        <v>89</v>
      </c>
      <c r="AM1137" t="s">
        <v>1497</v>
      </c>
      <c r="AN1137" t="s">
        <v>1498</v>
      </c>
      <c r="AO1137" t="s">
        <v>1519</v>
      </c>
      <c r="AP1137" t="s">
        <v>1520</v>
      </c>
      <c r="AQ1137" t="s">
        <v>74</v>
      </c>
      <c r="AR1137" t="s">
        <v>1521</v>
      </c>
      <c r="AS1137" t="s">
        <v>1522</v>
      </c>
      <c r="AT1137" t="s">
        <v>74</v>
      </c>
      <c r="AU1137">
        <v>2017</v>
      </c>
      <c r="AV1137">
        <v>44</v>
      </c>
      <c r="AW1137">
        <v>12</v>
      </c>
      <c r="AX1137" t="s">
        <v>74</v>
      </c>
      <c r="AY1137" t="s">
        <v>74</v>
      </c>
      <c r="AZ1137" t="s">
        <v>74</v>
      </c>
      <c r="BA1137" t="s">
        <v>74</v>
      </c>
      <c r="BB1137">
        <v>1727</v>
      </c>
      <c r="BC1137">
        <v>1744</v>
      </c>
      <c r="BD1137" t="s">
        <v>74</v>
      </c>
      <c r="BE1137" t="s">
        <v>32247</v>
      </c>
      <c r="BF1137" t="str">
        <f>HYPERLINK("http://dx.doi.org/10.1108/IJSE-02-2015-0032","http://dx.doi.org/10.1108/IJSE-02-2015-0032")</f>
        <v>http://dx.doi.org/10.1108/IJSE-02-2015-0032</v>
      </c>
      <c r="BG1137" t="s">
        <v>74</v>
      </c>
      <c r="BH1137" t="s">
        <v>74</v>
      </c>
      <c r="BI1137">
        <v>18</v>
      </c>
      <c r="BJ1137" t="s">
        <v>291</v>
      </c>
      <c r="BK1137" t="s">
        <v>313</v>
      </c>
      <c r="BL1137" t="s">
        <v>100</v>
      </c>
      <c r="BM1137" t="s">
        <v>21323</v>
      </c>
      <c r="BN1137" t="s">
        <v>74</v>
      </c>
      <c r="BO1137" t="s">
        <v>74</v>
      </c>
      <c r="BP1137" t="s">
        <v>74</v>
      </c>
      <c r="BQ1137" t="s">
        <v>74</v>
      </c>
      <c r="BR1137" t="s">
        <v>102</v>
      </c>
      <c r="BS1137" t="s">
        <v>32246</v>
      </c>
      <c r="BT1137" t="str">
        <f>HYPERLINK("https%3A%2F%2Fwww.webofscience.com%2Fwos%2Fwoscc%2Ffull-record%2FWOS:000415099000012","View Full Record in Web of Science")</f>
        <v>View Full Record in Web of Science</v>
      </c>
    </row>
    <row r="1138" spans="1:72" x14ac:dyDescent="0.25">
      <c r="A1138" t="s">
        <v>132</v>
      </c>
      <c r="B1138" t="s">
        <v>32245</v>
      </c>
      <c r="C1138" t="s">
        <v>74</v>
      </c>
      <c r="D1138" t="s">
        <v>74</v>
      </c>
      <c r="E1138" t="s">
        <v>74</v>
      </c>
      <c r="F1138" t="s">
        <v>32244</v>
      </c>
      <c r="G1138" t="s">
        <v>74</v>
      </c>
      <c r="H1138" t="s">
        <v>74</v>
      </c>
      <c r="I1138" t="s">
        <v>32243</v>
      </c>
      <c r="J1138" t="s">
        <v>14309</v>
      </c>
      <c r="K1138" t="s">
        <v>74</v>
      </c>
      <c r="L1138" t="s">
        <v>74</v>
      </c>
      <c r="M1138" t="s">
        <v>78</v>
      </c>
      <c r="N1138" t="s">
        <v>138</v>
      </c>
      <c r="O1138" t="s">
        <v>32242</v>
      </c>
      <c r="P1138" t="s">
        <v>32241</v>
      </c>
      <c r="Q1138" t="s">
        <v>32240</v>
      </c>
      <c r="R1138" t="s">
        <v>32239</v>
      </c>
      <c r="S1138" t="s">
        <v>32238</v>
      </c>
      <c r="T1138" t="s">
        <v>32237</v>
      </c>
      <c r="U1138" t="s">
        <v>74</v>
      </c>
      <c r="V1138" t="s">
        <v>32236</v>
      </c>
      <c r="W1138" t="s">
        <v>32235</v>
      </c>
      <c r="X1138" t="s">
        <v>15466</v>
      </c>
      <c r="Y1138" t="s">
        <v>32234</v>
      </c>
      <c r="Z1138" t="s">
        <v>32233</v>
      </c>
      <c r="AA1138" t="s">
        <v>32232</v>
      </c>
      <c r="AB1138" t="s">
        <v>74</v>
      </c>
      <c r="AC1138" t="s">
        <v>32231</v>
      </c>
      <c r="AD1138" t="s">
        <v>32230</v>
      </c>
      <c r="AE1138" t="s">
        <v>32229</v>
      </c>
      <c r="AF1138" t="s">
        <v>74</v>
      </c>
      <c r="AG1138">
        <v>14</v>
      </c>
      <c r="AH1138">
        <v>0</v>
      </c>
      <c r="AI1138">
        <v>0</v>
      </c>
      <c r="AJ1138">
        <v>2</v>
      </c>
      <c r="AK1138">
        <v>2</v>
      </c>
      <c r="AL1138" t="s">
        <v>14320</v>
      </c>
      <c r="AM1138" t="s">
        <v>14321</v>
      </c>
      <c r="AN1138" t="s">
        <v>14322</v>
      </c>
      <c r="AO1138" t="s">
        <v>14323</v>
      </c>
      <c r="AP1138" t="s">
        <v>74</v>
      </c>
      <c r="AQ1138" t="s">
        <v>74</v>
      </c>
      <c r="AR1138" t="s">
        <v>14324</v>
      </c>
      <c r="AS1138" t="s">
        <v>14325</v>
      </c>
      <c r="AT1138" t="s">
        <v>1540</v>
      </c>
      <c r="AU1138">
        <v>2025</v>
      </c>
      <c r="AV1138">
        <v>10</v>
      </c>
      <c r="AW1138" t="s">
        <v>74</v>
      </c>
      <c r="AX1138" t="s">
        <v>74</v>
      </c>
      <c r="AY1138">
        <v>28</v>
      </c>
      <c r="AZ1138" t="s">
        <v>441</v>
      </c>
      <c r="BA1138" t="s">
        <v>74</v>
      </c>
      <c r="BB1138">
        <v>99</v>
      </c>
      <c r="BC1138">
        <v>108</v>
      </c>
      <c r="BD1138" t="s">
        <v>74</v>
      </c>
      <c r="BE1138" t="s">
        <v>32228</v>
      </c>
      <c r="BF1138" t="str">
        <f>HYPERLINK("http://dx.doi.org/10.21834/e-bpj.v10iSI28.6942","http://dx.doi.org/10.21834/e-bpj.v10iSI28.6942")</f>
        <v>http://dx.doi.org/10.21834/e-bpj.v10iSI28.6942</v>
      </c>
      <c r="BG1138" t="s">
        <v>74</v>
      </c>
      <c r="BH1138" t="s">
        <v>74</v>
      </c>
      <c r="BI1138">
        <v>10</v>
      </c>
      <c r="BJ1138" t="s">
        <v>14327</v>
      </c>
      <c r="BK1138" t="s">
        <v>156</v>
      </c>
      <c r="BL1138" t="s">
        <v>129</v>
      </c>
      <c r="BM1138" t="s">
        <v>32227</v>
      </c>
      <c r="BN1138" t="s">
        <v>74</v>
      </c>
      <c r="BO1138" t="s">
        <v>212</v>
      </c>
      <c r="BP1138" t="s">
        <v>74</v>
      </c>
      <c r="BQ1138" t="s">
        <v>74</v>
      </c>
      <c r="BR1138" t="s">
        <v>102</v>
      </c>
      <c r="BS1138" t="s">
        <v>32226</v>
      </c>
      <c r="BT1138" t="str">
        <f>HYPERLINK("https%3A%2F%2Fwww.webofscience.com%2Fwos%2Fwoscc%2Ffull-record%2FWOS:001529067500012","View Full Record in Web of Science")</f>
        <v>View Full Record in Web of Science</v>
      </c>
    </row>
    <row r="1139" spans="1:72" x14ac:dyDescent="0.25">
      <c r="A1139" t="s">
        <v>72</v>
      </c>
      <c r="B1139" t="s">
        <v>32225</v>
      </c>
      <c r="C1139" t="s">
        <v>74</v>
      </c>
      <c r="D1139" t="s">
        <v>74</v>
      </c>
      <c r="E1139" t="s">
        <v>74</v>
      </c>
      <c r="F1139" t="s">
        <v>32224</v>
      </c>
      <c r="G1139" t="s">
        <v>74</v>
      </c>
      <c r="H1139" t="s">
        <v>74</v>
      </c>
      <c r="I1139" t="s">
        <v>32223</v>
      </c>
      <c r="J1139" t="s">
        <v>246</v>
      </c>
      <c r="K1139" t="s">
        <v>74</v>
      </c>
      <c r="L1139" t="s">
        <v>74</v>
      </c>
      <c r="M1139" t="s">
        <v>78</v>
      </c>
      <c r="N1139" t="s">
        <v>79</v>
      </c>
      <c r="O1139" t="s">
        <v>74</v>
      </c>
      <c r="P1139" t="s">
        <v>74</v>
      </c>
      <c r="Q1139" t="s">
        <v>74</v>
      </c>
      <c r="R1139" t="s">
        <v>74</v>
      </c>
      <c r="S1139" t="s">
        <v>74</v>
      </c>
      <c r="T1139" t="s">
        <v>32222</v>
      </c>
      <c r="U1139" t="s">
        <v>32221</v>
      </c>
      <c r="V1139" t="s">
        <v>32220</v>
      </c>
      <c r="W1139" t="s">
        <v>32219</v>
      </c>
      <c r="X1139" t="s">
        <v>32218</v>
      </c>
      <c r="Y1139" t="s">
        <v>32217</v>
      </c>
      <c r="Z1139" t="s">
        <v>32216</v>
      </c>
      <c r="AA1139" t="s">
        <v>74</v>
      </c>
      <c r="AB1139" t="s">
        <v>32215</v>
      </c>
      <c r="AC1139" t="s">
        <v>74</v>
      </c>
      <c r="AD1139" t="s">
        <v>74</v>
      </c>
      <c r="AE1139" t="s">
        <v>74</v>
      </c>
      <c r="AF1139" t="s">
        <v>74</v>
      </c>
      <c r="AG1139">
        <v>26</v>
      </c>
      <c r="AH1139">
        <v>23</v>
      </c>
      <c r="AI1139">
        <v>27</v>
      </c>
      <c r="AJ1139">
        <v>2</v>
      </c>
      <c r="AK1139">
        <v>30</v>
      </c>
      <c r="AL1139" t="s">
        <v>259</v>
      </c>
      <c r="AM1139" t="s">
        <v>260</v>
      </c>
      <c r="AN1139" t="s">
        <v>261</v>
      </c>
      <c r="AO1139" t="s">
        <v>262</v>
      </c>
      <c r="AP1139" t="s">
        <v>263</v>
      </c>
      <c r="AQ1139" t="s">
        <v>74</v>
      </c>
      <c r="AR1139" t="s">
        <v>264</v>
      </c>
      <c r="AS1139" t="s">
        <v>265</v>
      </c>
      <c r="AT1139" t="s">
        <v>1652</v>
      </c>
      <c r="AU1139">
        <v>2022</v>
      </c>
      <c r="AV1139">
        <v>47</v>
      </c>
      <c r="AW1139" t="s">
        <v>74</v>
      </c>
      <c r="AX1139" t="s">
        <v>8303</v>
      </c>
      <c r="AY1139" t="s">
        <v>74</v>
      </c>
      <c r="AZ1139" t="s">
        <v>74</v>
      </c>
      <c r="BA1139" t="s">
        <v>74</v>
      </c>
      <c r="BB1139" t="s">
        <v>74</v>
      </c>
      <c r="BC1139" t="s">
        <v>74</v>
      </c>
      <c r="BD1139">
        <v>102694</v>
      </c>
      <c r="BE1139" t="s">
        <v>32214</v>
      </c>
      <c r="BF1139" t="str">
        <f>HYPERLINK("http://dx.doi.org/10.1016/j.frl.2022.102694","http://dx.doi.org/10.1016/j.frl.2022.102694")</f>
        <v>http://dx.doi.org/10.1016/j.frl.2022.102694</v>
      </c>
      <c r="BG1139" t="s">
        <v>74</v>
      </c>
      <c r="BH1139" t="s">
        <v>1802</v>
      </c>
      <c r="BI1139">
        <v>7</v>
      </c>
      <c r="BJ1139" t="s">
        <v>268</v>
      </c>
      <c r="BK1139" t="s">
        <v>99</v>
      </c>
      <c r="BL1139" t="s">
        <v>100</v>
      </c>
      <c r="BM1139" t="s">
        <v>32213</v>
      </c>
      <c r="BN1139" t="s">
        <v>74</v>
      </c>
      <c r="BO1139" t="s">
        <v>74</v>
      </c>
      <c r="BP1139" t="s">
        <v>74</v>
      </c>
      <c r="BQ1139" t="s">
        <v>74</v>
      </c>
      <c r="BR1139" t="s">
        <v>102</v>
      </c>
      <c r="BS1139" t="s">
        <v>32212</v>
      </c>
      <c r="BT1139" t="str">
        <f>HYPERLINK("https%3A%2F%2Fwww.webofscience.com%2Fwos%2Fwoscc%2Ffull-record%2FWOS:000820905800019","View Full Record in Web of Science")</f>
        <v>View Full Record in Web of Science</v>
      </c>
    </row>
    <row r="1140" spans="1:72" x14ac:dyDescent="0.25">
      <c r="A1140" t="s">
        <v>72</v>
      </c>
      <c r="B1140" t="s">
        <v>32211</v>
      </c>
      <c r="C1140" t="s">
        <v>74</v>
      </c>
      <c r="D1140" t="s">
        <v>74</v>
      </c>
      <c r="E1140" t="s">
        <v>74</v>
      </c>
      <c r="F1140" t="s">
        <v>32210</v>
      </c>
      <c r="G1140" t="s">
        <v>74</v>
      </c>
      <c r="H1140" t="s">
        <v>74</v>
      </c>
      <c r="I1140" t="s">
        <v>32209</v>
      </c>
      <c r="J1140" t="s">
        <v>20929</v>
      </c>
      <c r="K1140" t="s">
        <v>74</v>
      </c>
      <c r="L1140" t="s">
        <v>74</v>
      </c>
      <c r="M1140" t="s">
        <v>78</v>
      </c>
      <c r="N1140" t="s">
        <v>79</v>
      </c>
      <c r="O1140" t="s">
        <v>74</v>
      </c>
      <c r="P1140" t="s">
        <v>74</v>
      </c>
      <c r="Q1140" t="s">
        <v>74</v>
      </c>
      <c r="R1140" t="s">
        <v>74</v>
      </c>
      <c r="S1140" t="s">
        <v>74</v>
      </c>
      <c r="T1140" t="s">
        <v>32208</v>
      </c>
      <c r="U1140" t="s">
        <v>32207</v>
      </c>
      <c r="V1140" t="s">
        <v>32206</v>
      </c>
      <c r="W1140" t="s">
        <v>32205</v>
      </c>
      <c r="X1140" t="s">
        <v>32204</v>
      </c>
      <c r="Y1140" t="s">
        <v>32203</v>
      </c>
      <c r="Z1140" t="s">
        <v>32202</v>
      </c>
      <c r="AA1140" t="s">
        <v>32201</v>
      </c>
      <c r="AB1140" t="s">
        <v>74</v>
      </c>
      <c r="AC1140" t="s">
        <v>32200</v>
      </c>
      <c r="AD1140" t="s">
        <v>32199</v>
      </c>
      <c r="AE1140" t="s">
        <v>32198</v>
      </c>
      <c r="AF1140" t="s">
        <v>74</v>
      </c>
      <c r="AG1140">
        <v>31</v>
      </c>
      <c r="AH1140">
        <v>1</v>
      </c>
      <c r="AI1140">
        <v>1</v>
      </c>
      <c r="AJ1140">
        <v>5</v>
      </c>
      <c r="AK1140">
        <v>15</v>
      </c>
      <c r="AL1140" t="s">
        <v>89</v>
      </c>
      <c r="AM1140" t="s">
        <v>90</v>
      </c>
      <c r="AN1140" t="s">
        <v>91</v>
      </c>
      <c r="AO1140" t="s">
        <v>20922</v>
      </c>
      <c r="AP1140" t="s">
        <v>20921</v>
      </c>
      <c r="AQ1140" t="s">
        <v>74</v>
      </c>
      <c r="AR1140" t="s">
        <v>20920</v>
      </c>
      <c r="AS1140" t="s">
        <v>20919</v>
      </c>
      <c r="AT1140" t="s">
        <v>11286</v>
      </c>
      <c r="AU1140">
        <v>2025</v>
      </c>
      <c r="AV1140">
        <v>17</v>
      </c>
      <c r="AW1140">
        <v>2</v>
      </c>
      <c r="AX1140" t="s">
        <v>74</v>
      </c>
      <c r="AY1140" t="s">
        <v>74</v>
      </c>
      <c r="AZ1140" t="s">
        <v>74</v>
      </c>
      <c r="BA1140" t="s">
        <v>74</v>
      </c>
      <c r="BB1140">
        <v>398</v>
      </c>
      <c r="BC1140">
        <v>414</v>
      </c>
      <c r="BD1140" t="s">
        <v>74</v>
      </c>
      <c r="BE1140" t="s">
        <v>32197</v>
      </c>
      <c r="BF1140" t="str">
        <f>HYPERLINK("http://dx.doi.org/10.1108/CAER-01-2024-0026","http://dx.doi.org/10.1108/CAER-01-2024-0026")</f>
        <v>http://dx.doi.org/10.1108/CAER-01-2024-0026</v>
      </c>
      <c r="BG1140" t="s">
        <v>74</v>
      </c>
      <c r="BH1140" t="s">
        <v>417</v>
      </c>
      <c r="BI1140">
        <v>17</v>
      </c>
      <c r="BJ1140" t="s">
        <v>18270</v>
      </c>
      <c r="BK1140" t="s">
        <v>2623</v>
      </c>
      <c r="BL1140" t="s">
        <v>18271</v>
      </c>
      <c r="BM1140" t="s">
        <v>32196</v>
      </c>
      <c r="BN1140" t="s">
        <v>74</v>
      </c>
      <c r="BO1140" t="s">
        <v>74</v>
      </c>
      <c r="BP1140" t="s">
        <v>74</v>
      </c>
      <c r="BQ1140" t="s">
        <v>74</v>
      </c>
      <c r="BR1140" t="s">
        <v>102</v>
      </c>
      <c r="BS1140" t="s">
        <v>32195</v>
      </c>
      <c r="BT1140" t="str">
        <f>HYPERLINK("https%3A%2F%2Fwww.webofscience.com%2Fwos%2Fwoscc%2Ffull-record%2FWOS:001414978900001","View Full Record in Web of Science")</f>
        <v>View Full Record in Web of Science</v>
      </c>
    </row>
    <row r="1141" spans="1:72" x14ac:dyDescent="0.25">
      <c r="A1141" t="s">
        <v>72</v>
      </c>
      <c r="B1141" t="s">
        <v>32194</v>
      </c>
      <c r="C1141" t="s">
        <v>74</v>
      </c>
      <c r="D1141" t="s">
        <v>74</v>
      </c>
      <c r="E1141" t="s">
        <v>74</v>
      </c>
      <c r="F1141" t="s">
        <v>32193</v>
      </c>
      <c r="G1141" t="s">
        <v>74</v>
      </c>
      <c r="H1141" t="s">
        <v>74</v>
      </c>
      <c r="I1141" t="s">
        <v>32192</v>
      </c>
      <c r="J1141" t="s">
        <v>3231</v>
      </c>
      <c r="K1141" t="s">
        <v>74</v>
      </c>
      <c r="L1141" t="s">
        <v>74</v>
      </c>
      <c r="M1141" t="s">
        <v>78</v>
      </c>
      <c r="N1141" t="s">
        <v>79</v>
      </c>
      <c r="O1141" t="s">
        <v>74</v>
      </c>
      <c r="P1141" t="s">
        <v>74</v>
      </c>
      <c r="Q1141" t="s">
        <v>74</v>
      </c>
      <c r="R1141" t="s">
        <v>74</v>
      </c>
      <c r="S1141" t="s">
        <v>74</v>
      </c>
      <c r="T1141" t="s">
        <v>32191</v>
      </c>
      <c r="U1141" t="s">
        <v>32190</v>
      </c>
      <c r="V1141" t="s">
        <v>32189</v>
      </c>
      <c r="W1141" t="s">
        <v>32188</v>
      </c>
      <c r="X1141" t="s">
        <v>32187</v>
      </c>
      <c r="Y1141" t="s">
        <v>32186</v>
      </c>
      <c r="Z1141" t="s">
        <v>32185</v>
      </c>
      <c r="AA1141" t="s">
        <v>74</v>
      </c>
      <c r="AB1141" t="s">
        <v>74</v>
      </c>
      <c r="AC1141" t="s">
        <v>74</v>
      </c>
      <c r="AD1141" t="s">
        <v>74</v>
      </c>
      <c r="AE1141" t="s">
        <v>74</v>
      </c>
      <c r="AF1141" t="s">
        <v>74</v>
      </c>
      <c r="AG1141">
        <v>70</v>
      </c>
      <c r="AH1141">
        <v>0</v>
      </c>
      <c r="AI1141">
        <v>0</v>
      </c>
      <c r="AJ1141">
        <v>4</v>
      </c>
      <c r="AK1141">
        <v>23</v>
      </c>
      <c r="AL1141" t="s">
        <v>575</v>
      </c>
      <c r="AM1141" t="s">
        <v>576</v>
      </c>
      <c r="AN1141" t="s">
        <v>3242</v>
      </c>
      <c r="AO1141" t="s">
        <v>74</v>
      </c>
      <c r="AP1141" t="s">
        <v>3243</v>
      </c>
      <c r="AQ1141" t="s">
        <v>74</v>
      </c>
      <c r="AR1141" t="s">
        <v>3244</v>
      </c>
      <c r="AS1141" t="s">
        <v>3245</v>
      </c>
      <c r="AT1141" t="s">
        <v>743</v>
      </c>
      <c r="AU1141">
        <v>2023</v>
      </c>
      <c r="AV1141">
        <v>15</v>
      </c>
      <c r="AW1141">
        <v>8</v>
      </c>
      <c r="AX1141" t="s">
        <v>74</v>
      </c>
      <c r="AY1141" t="s">
        <v>74</v>
      </c>
      <c r="AZ1141" t="s">
        <v>74</v>
      </c>
      <c r="BA1141" t="s">
        <v>74</v>
      </c>
      <c r="BB1141" t="s">
        <v>74</v>
      </c>
      <c r="BC1141" t="s">
        <v>74</v>
      </c>
      <c r="BD1141">
        <v>6731</v>
      </c>
      <c r="BE1141" t="s">
        <v>32184</v>
      </c>
      <c r="BF1141" t="str">
        <f>HYPERLINK("http://dx.doi.org/10.3390/su15086731","http://dx.doi.org/10.3390/su15086731")</f>
        <v>http://dx.doi.org/10.3390/su15086731</v>
      </c>
      <c r="BG1141" t="s">
        <v>74</v>
      </c>
      <c r="BH1141" t="s">
        <v>74</v>
      </c>
      <c r="BI1141">
        <v>20</v>
      </c>
      <c r="BJ1141" t="s">
        <v>3247</v>
      </c>
      <c r="BK1141" t="s">
        <v>2623</v>
      </c>
      <c r="BL1141" t="s">
        <v>3248</v>
      </c>
      <c r="BM1141" t="s">
        <v>32183</v>
      </c>
      <c r="BN1141" t="s">
        <v>74</v>
      </c>
      <c r="BO1141" t="s">
        <v>916</v>
      </c>
      <c r="BP1141" t="s">
        <v>74</v>
      </c>
      <c r="BQ1141" t="s">
        <v>74</v>
      </c>
      <c r="BR1141" t="s">
        <v>102</v>
      </c>
      <c r="BS1141" t="s">
        <v>32182</v>
      </c>
      <c r="BT1141" t="str">
        <f>HYPERLINK("https%3A%2F%2Fwww.webofscience.com%2Fwos%2Fwoscc%2Ffull-record%2FWOS:000978375900001","View Full Record in Web of Science")</f>
        <v>View Full Record in Web of Science</v>
      </c>
    </row>
    <row r="1142" spans="1:72" x14ac:dyDescent="0.25">
      <c r="A1142" t="s">
        <v>132</v>
      </c>
      <c r="B1142" t="s">
        <v>32181</v>
      </c>
      <c r="C1142" t="s">
        <v>74</v>
      </c>
      <c r="D1142" t="s">
        <v>74</v>
      </c>
      <c r="E1142" t="s">
        <v>771</v>
      </c>
      <c r="F1142" t="s">
        <v>32180</v>
      </c>
      <c r="G1142" t="s">
        <v>74</v>
      </c>
      <c r="H1142" t="s">
        <v>74</v>
      </c>
      <c r="I1142" t="s">
        <v>32179</v>
      </c>
      <c r="J1142" t="s">
        <v>32178</v>
      </c>
      <c r="K1142" t="s">
        <v>74</v>
      </c>
      <c r="L1142" t="s">
        <v>74</v>
      </c>
      <c r="M1142" t="s">
        <v>78</v>
      </c>
      <c r="N1142" t="s">
        <v>138</v>
      </c>
      <c r="O1142" t="s">
        <v>32177</v>
      </c>
      <c r="P1142" t="s">
        <v>32176</v>
      </c>
      <c r="Q1142" t="s">
        <v>9567</v>
      </c>
      <c r="R1142" t="s">
        <v>74</v>
      </c>
      <c r="S1142" t="s">
        <v>74</v>
      </c>
      <c r="T1142" t="s">
        <v>32175</v>
      </c>
      <c r="U1142" t="s">
        <v>32174</v>
      </c>
      <c r="V1142" t="s">
        <v>32173</v>
      </c>
      <c r="W1142" t="s">
        <v>32172</v>
      </c>
      <c r="X1142" t="s">
        <v>24289</v>
      </c>
      <c r="Y1142" t="s">
        <v>32171</v>
      </c>
      <c r="Z1142" t="s">
        <v>32170</v>
      </c>
      <c r="AA1142" t="s">
        <v>32169</v>
      </c>
      <c r="AB1142" t="s">
        <v>74</v>
      </c>
      <c r="AC1142" t="s">
        <v>74</v>
      </c>
      <c r="AD1142" t="s">
        <v>74</v>
      </c>
      <c r="AE1142" t="s">
        <v>74</v>
      </c>
      <c r="AF1142" t="s">
        <v>74</v>
      </c>
      <c r="AG1142">
        <v>39</v>
      </c>
      <c r="AH1142">
        <v>2</v>
      </c>
      <c r="AI1142">
        <v>3</v>
      </c>
      <c r="AJ1142">
        <v>1</v>
      </c>
      <c r="AK1142">
        <v>54</v>
      </c>
      <c r="AL1142" t="s">
        <v>771</v>
      </c>
      <c r="AM1142" t="s">
        <v>151</v>
      </c>
      <c r="AN1142" t="s">
        <v>785</v>
      </c>
      <c r="AO1142" t="s">
        <v>74</v>
      </c>
      <c r="AP1142" t="s">
        <v>74</v>
      </c>
      <c r="AQ1142" t="s">
        <v>32168</v>
      </c>
      <c r="AR1142" t="s">
        <v>74</v>
      </c>
      <c r="AS1142" t="s">
        <v>74</v>
      </c>
      <c r="AT1142" t="s">
        <v>74</v>
      </c>
      <c r="AU1142">
        <v>2022</v>
      </c>
      <c r="AV1142" t="s">
        <v>74</v>
      </c>
      <c r="AW1142" t="s">
        <v>74</v>
      </c>
      <c r="AX1142" t="s">
        <v>74</v>
      </c>
      <c r="AY1142" t="s">
        <v>74</v>
      </c>
      <c r="AZ1142" t="s">
        <v>74</v>
      </c>
      <c r="BA1142" t="s">
        <v>74</v>
      </c>
      <c r="BB1142">
        <v>311</v>
      </c>
      <c r="BC1142">
        <v>321</v>
      </c>
      <c r="BD1142" t="s">
        <v>74</v>
      </c>
      <c r="BE1142" t="s">
        <v>74</v>
      </c>
      <c r="BF1142" t="s">
        <v>74</v>
      </c>
      <c r="BG1142" t="s">
        <v>74</v>
      </c>
      <c r="BH1142" t="s">
        <v>74</v>
      </c>
      <c r="BI1142">
        <v>11</v>
      </c>
      <c r="BJ1142" t="s">
        <v>2647</v>
      </c>
      <c r="BK1142" t="s">
        <v>156</v>
      </c>
      <c r="BL1142" t="s">
        <v>2648</v>
      </c>
      <c r="BM1142" t="s">
        <v>32167</v>
      </c>
      <c r="BN1142" t="s">
        <v>74</v>
      </c>
      <c r="BO1142" t="s">
        <v>74</v>
      </c>
      <c r="BP1142" t="s">
        <v>74</v>
      </c>
      <c r="BQ1142" t="s">
        <v>74</v>
      </c>
      <c r="BR1142" t="s">
        <v>102</v>
      </c>
      <c r="BS1142" t="s">
        <v>32166</v>
      </c>
      <c r="BT1142" t="str">
        <f>HYPERLINK("https%3A%2F%2Fwww.webofscience.com%2Fwos%2Fwoscc%2Ffull-record%2FWOS:000905024100058","View Full Record in Web of Science")</f>
        <v>View Full Record in Web of Science</v>
      </c>
    </row>
    <row r="1143" spans="1:72" x14ac:dyDescent="0.25">
      <c r="A1143" t="s">
        <v>72</v>
      </c>
      <c r="B1143" t="s">
        <v>32165</v>
      </c>
      <c r="C1143" t="s">
        <v>74</v>
      </c>
      <c r="D1143" t="s">
        <v>74</v>
      </c>
      <c r="E1143" t="s">
        <v>74</v>
      </c>
      <c r="F1143" t="s">
        <v>32164</v>
      </c>
      <c r="G1143" t="s">
        <v>74</v>
      </c>
      <c r="H1143" t="s">
        <v>74</v>
      </c>
      <c r="I1143" t="s">
        <v>32163</v>
      </c>
      <c r="J1143" t="s">
        <v>4700</v>
      </c>
      <c r="K1143" t="s">
        <v>74</v>
      </c>
      <c r="L1143" t="s">
        <v>74</v>
      </c>
      <c r="M1143" t="s">
        <v>78</v>
      </c>
      <c r="N1143" t="s">
        <v>79</v>
      </c>
      <c r="O1143" t="s">
        <v>74</v>
      </c>
      <c r="P1143" t="s">
        <v>74</v>
      </c>
      <c r="Q1143" t="s">
        <v>74</v>
      </c>
      <c r="R1143" t="s">
        <v>74</v>
      </c>
      <c r="S1143" t="s">
        <v>74</v>
      </c>
      <c r="T1143" t="s">
        <v>32162</v>
      </c>
      <c r="U1143" t="s">
        <v>32161</v>
      </c>
      <c r="V1143" t="s">
        <v>32160</v>
      </c>
      <c r="W1143" t="s">
        <v>32159</v>
      </c>
      <c r="X1143" t="s">
        <v>23639</v>
      </c>
      <c r="Y1143" t="s">
        <v>32158</v>
      </c>
      <c r="Z1143" t="s">
        <v>32157</v>
      </c>
      <c r="AA1143" t="s">
        <v>74</v>
      </c>
      <c r="AB1143" t="s">
        <v>74</v>
      </c>
      <c r="AC1143" t="s">
        <v>17987</v>
      </c>
      <c r="AD1143" t="s">
        <v>17987</v>
      </c>
      <c r="AE1143" t="s">
        <v>32156</v>
      </c>
      <c r="AF1143" t="s">
        <v>74</v>
      </c>
      <c r="AG1143">
        <v>57</v>
      </c>
      <c r="AH1143">
        <v>3</v>
      </c>
      <c r="AI1143">
        <v>4</v>
      </c>
      <c r="AJ1143">
        <v>1</v>
      </c>
      <c r="AK1143">
        <v>11</v>
      </c>
      <c r="AL1143" t="s">
        <v>332</v>
      </c>
      <c r="AM1143" t="s">
        <v>333</v>
      </c>
      <c r="AN1143" t="s">
        <v>334</v>
      </c>
      <c r="AO1143" t="s">
        <v>4711</v>
      </c>
      <c r="AP1143" t="s">
        <v>4712</v>
      </c>
      <c r="AQ1143" t="s">
        <v>74</v>
      </c>
      <c r="AR1143" t="s">
        <v>4713</v>
      </c>
      <c r="AS1143" t="s">
        <v>4714</v>
      </c>
      <c r="AT1143" t="s">
        <v>463</v>
      </c>
      <c r="AU1143">
        <v>2024</v>
      </c>
      <c r="AV1143">
        <v>16</v>
      </c>
      <c r="AW1143">
        <v>3</v>
      </c>
      <c r="AX1143" t="s">
        <v>74</v>
      </c>
      <c r="AY1143" t="s">
        <v>74</v>
      </c>
      <c r="AZ1143" t="s">
        <v>74</v>
      </c>
      <c r="BA1143" t="s">
        <v>74</v>
      </c>
      <c r="BB1143">
        <v>324</v>
      </c>
      <c r="BC1143">
        <v>343</v>
      </c>
      <c r="BD1143" t="s">
        <v>74</v>
      </c>
      <c r="BE1143" t="s">
        <v>32155</v>
      </c>
      <c r="BF1143" t="str">
        <f>HYPERLINK("http://dx.doi.org/10.1080/20421338.2023.2296681","http://dx.doi.org/10.1080/20421338.2023.2296681")</f>
        <v>http://dx.doi.org/10.1080/20421338.2023.2296681</v>
      </c>
      <c r="BG1143" t="s">
        <v>74</v>
      </c>
      <c r="BH1143" t="s">
        <v>1239</v>
      </c>
      <c r="BI1143">
        <v>20</v>
      </c>
      <c r="BJ1143" t="s">
        <v>559</v>
      </c>
      <c r="BK1143" t="s">
        <v>313</v>
      </c>
      <c r="BL1143" t="s">
        <v>560</v>
      </c>
      <c r="BM1143" t="s">
        <v>32154</v>
      </c>
      <c r="BN1143" t="s">
        <v>74</v>
      </c>
      <c r="BO1143" t="s">
        <v>74</v>
      </c>
      <c r="BP1143" t="s">
        <v>74</v>
      </c>
      <c r="BQ1143" t="s">
        <v>74</v>
      </c>
      <c r="BR1143" t="s">
        <v>102</v>
      </c>
      <c r="BS1143" t="s">
        <v>32153</v>
      </c>
      <c r="BT1143" t="str">
        <f>HYPERLINK("https%3A%2F%2Fwww.webofscience.com%2Fwos%2Fwoscc%2Ffull-record%2FWOS:001157487700001","View Full Record in Web of Science")</f>
        <v>View Full Record in Web of Science</v>
      </c>
    </row>
    <row r="1144" spans="1:72" x14ac:dyDescent="0.25">
      <c r="A1144" t="s">
        <v>72</v>
      </c>
      <c r="B1144" t="s">
        <v>32152</v>
      </c>
      <c r="C1144" t="s">
        <v>74</v>
      </c>
      <c r="D1144" t="s">
        <v>74</v>
      </c>
      <c r="E1144" t="s">
        <v>74</v>
      </c>
      <c r="F1144" t="s">
        <v>32151</v>
      </c>
      <c r="G1144" t="s">
        <v>74</v>
      </c>
      <c r="H1144" t="s">
        <v>74</v>
      </c>
      <c r="I1144" t="s">
        <v>32150</v>
      </c>
      <c r="J1144" t="s">
        <v>4539</v>
      </c>
      <c r="K1144" t="s">
        <v>74</v>
      </c>
      <c r="L1144" t="s">
        <v>74</v>
      </c>
      <c r="M1144" t="s">
        <v>78</v>
      </c>
      <c r="N1144" t="s">
        <v>79</v>
      </c>
      <c r="O1144" t="s">
        <v>74</v>
      </c>
      <c r="P1144" t="s">
        <v>74</v>
      </c>
      <c r="Q1144" t="s">
        <v>74</v>
      </c>
      <c r="R1144" t="s">
        <v>74</v>
      </c>
      <c r="S1144" t="s">
        <v>74</v>
      </c>
      <c r="T1144" t="s">
        <v>32149</v>
      </c>
      <c r="U1144" t="s">
        <v>23954</v>
      </c>
      <c r="V1144" t="s">
        <v>32148</v>
      </c>
      <c r="W1144" t="s">
        <v>32147</v>
      </c>
      <c r="X1144" t="s">
        <v>32146</v>
      </c>
      <c r="Y1144" t="s">
        <v>32145</v>
      </c>
      <c r="Z1144" t="s">
        <v>32144</v>
      </c>
      <c r="AA1144" t="s">
        <v>74</v>
      </c>
      <c r="AB1144" t="s">
        <v>74</v>
      </c>
      <c r="AC1144" t="s">
        <v>74</v>
      </c>
      <c r="AD1144" t="s">
        <v>74</v>
      </c>
      <c r="AE1144" t="s">
        <v>74</v>
      </c>
      <c r="AF1144" t="s">
        <v>74</v>
      </c>
      <c r="AG1144">
        <v>43</v>
      </c>
      <c r="AH1144">
        <v>27</v>
      </c>
      <c r="AI1144">
        <v>50</v>
      </c>
      <c r="AJ1144">
        <v>1</v>
      </c>
      <c r="AK1144">
        <v>58</v>
      </c>
      <c r="AL1144" t="s">
        <v>479</v>
      </c>
      <c r="AM1144" t="s">
        <v>480</v>
      </c>
      <c r="AN1144" t="s">
        <v>481</v>
      </c>
      <c r="AO1144" t="s">
        <v>4548</v>
      </c>
      <c r="AP1144" t="s">
        <v>4549</v>
      </c>
      <c r="AQ1144" t="s">
        <v>74</v>
      </c>
      <c r="AR1144" t="s">
        <v>4550</v>
      </c>
      <c r="AS1144" t="s">
        <v>4551</v>
      </c>
      <c r="AT1144" t="s">
        <v>891</v>
      </c>
      <c r="AU1144">
        <v>2012</v>
      </c>
      <c r="AV1144">
        <v>30</v>
      </c>
      <c r="AW1144">
        <v>6</v>
      </c>
      <c r="AX1144" t="s">
        <v>74</v>
      </c>
      <c r="AY1144" t="s">
        <v>74</v>
      </c>
      <c r="AZ1144" t="s">
        <v>74</v>
      </c>
      <c r="BA1144" t="s">
        <v>74</v>
      </c>
      <c r="BB1144">
        <v>719</v>
      </c>
      <c r="BC1144">
        <v>748</v>
      </c>
      <c r="BD1144" t="s">
        <v>74</v>
      </c>
      <c r="BE1144" t="s">
        <v>32143</v>
      </c>
      <c r="BF1144" t="str">
        <f>HYPERLINK("http://dx.doi.org/10.1111/j.1467-7679.2012.00596.x","http://dx.doi.org/10.1111/j.1467-7679.2012.00596.x")</f>
        <v>http://dx.doi.org/10.1111/j.1467-7679.2012.00596.x</v>
      </c>
      <c r="BG1144" t="s">
        <v>74</v>
      </c>
      <c r="BH1144" t="s">
        <v>74</v>
      </c>
      <c r="BI1144">
        <v>30</v>
      </c>
      <c r="BJ1144" t="s">
        <v>1137</v>
      </c>
      <c r="BK1144" t="s">
        <v>99</v>
      </c>
      <c r="BL1144" t="s">
        <v>1137</v>
      </c>
      <c r="BM1144" t="s">
        <v>32142</v>
      </c>
      <c r="BN1144" t="s">
        <v>74</v>
      </c>
      <c r="BO1144" t="s">
        <v>74</v>
      </c>
      <c r="BP1144" t="s">
        <v>74</v>
      </c>
      <c r="BQ1144" t="s">
        <v>74</v>
      </c>
      <c r="BR1144" t="s">
        <v>102</v>
      </c>
      <c r="BS1144" t="s">
        <v>32141</v>
      </c>
      <c r="BT1144" t="str">
        <f>HYPERLINK("https%3A%2F%2Fwww.webofscience.com%2Fwos%2Fwoscc%2Ffull-record%2FWOS:000309911300004","View Full Record in Web of Science")</f>
        <v>View Full Record in Web of Science</v>
      </c>
    </row>
    <row r="1145" spans="1:72" x14ac:dyDescent="0.25">
      <c r="A1145" t="s">
        <v>72</v>
      </c>
      <c r="B1145" t="s">
        <v>32140</v>
      </c>
      <c r="C1145" t="s">
        <v>74</v>
      </c>
      <c r="D1145" t="s">
        <v>74</v>
      </c>
      <c r="E1145" t="s">
        <v>74</v>
      </c>
      <c r="F1145" t="s">
        <v>32139</v>
      </c>
      <c r="G1145" t="s">
        <v>74</v>
      </c>
      <c r="H1145" t="s">
        <v>74</v>
      </c>
      <c r="I1145" t="s">
        <v>32138</v>
      </c>
      <c r="J1145" t="s">
        <v>8787</v>
      </c>
      <c r="K1145" t="s">
        <v>74</v>
      </c>
      <c r="L1145" t="s">
        <v>74</v>
      </c>
      <c r="M1145" t="s">
        <v>78</v>
      </c>
      <c r="N1145" t="s">
        <v>1766</v>
      </c>
      <c r="O1145" t="s">
        <v>74</v>
      </c>
      <c r="P1145" t="s">
        <v>74</v>
      </c>
      <c r="Q1145" t="s">
        <v>74</v>
      </c>
      <c r="R1145" t="s">
        <v>74</v>
      </c>
      <c r="S1145" t="s">
        <v>74</v>
      </c>
      <c r="T1145" t="s">
        <v>74</v>
      </c>
      <c r="U1145" t="s">
        <v>32137</v>
      </c>
      <c r="V1145" t="s">
        <v>74</v>
      </c>
      <c r="W1145" t="s">
        <v>32136</v>
      </c>
      <c r="X1145" t="s">
        <v>32135</v>
      </c>
      <c r="Y1145" t="s">
        <v>32134</v>
      </c>
      <c r="Z1145" t="s">
        <v>32133</v>
      </c>
      <c r="AA1145" t="s">
        <v>74</v>
      </c>
      <c r="AB1145" t="s">
        <v>32132</v>
      </c>
      <c r="AC1145" t="s">
        <v>32131</v>
      </c>
      <c r="AD1145" t="s">
        <v>32131</v>
      </c>
      <c r="AE1145" t="s">
        <v>32130</v>
      </c>
      <c r="AF1145" t="s">
        <v>74</v>
      </c>
      <c r="AG1145">
        <v>257</v>
      </c>
      <c r="AH1145">
        <v>44</v>
      </c>
      <c r="AI1145">
        <v>54</v>
      </c>
      <c r="AJ1145">
        <v>1</v>
      </c>
      <c r="AK1145">
        <v>17</v>
      </c>
      <c r="AL1145" t="s">
        <v>479</v>
      </c>
      <c r="AM1145" t="s">
        <v>480</v>
      </c>
      <c r="AN1145" t="s">
        <v>481</v>
      </c>
      <c r="AO1145" t="s">
        <v>74</v>
      </c>
      <c r="AP1145" t="s">
        <v>8792</v>
      </c>
      <c r="AQ1145" t="s">
        <v>74</v>
      </c>
      <c r="AR1145" t="s">
        <v>8793</v>
      </c>
      <c r="AS1145" t="s">
        <v>8794</v>
      </c>
      <c r="AT1145" t="s">
        <v>1652</v>
      </c>
      <c r="AU1145">
        <v>2019</v>
      </c>
      <c r="AV1145">
        <v>15</v>
      </c>
      <c r="AW1145" t="s">
        <v>6918</v>
      </c>
      <c r="AX1145" t="s">
        <v>74</v>
      </c>
      <c r="AY1145" t="s">
        <v>74</v>
      </c>
      <c r="AZ1145" t="s">
        <v>74</v>
      </c>
      <c r="BA1145" t="s">
        <v>74</v>
      </c>
      <c r="BB1145" t="s">
        <v>74</v>
      </c>
      <c r="BC1145" t="s">
        <v>74</v>
      </c>
      <c r="BD1145" t="s">
        <v>32129</v>
      </c>
      <c r="BE1145" t="s">
        <v>32128</v>
      </c>
      <c r="BF1145" t="str">
        <f>HYPERLINK("http://dx.doi.org/10.4073/csr.2019.2","http://dx.doi.org/10.4073/csr.2019.2")</f>
        <v>http://dx.doi.org/10.4073/csr.2019.2</v>
      </c>
      <c r="BG1145" t="s">
        <v>74</v>
      </c>
      <c r="BH1145" t="s">
        <v>74</v>
      </c>
      <c r="BI1145">
        <v>57</v>
      </c>
      <c r="BJ1145" t="s">
        <v>364</v>
      </c>
      <c r="BK1145" t="s">
        <v>313</v>
      </c>
      <c r="BL1145" t="s">
        <v>365</v>
      </c>
      <c r="BM1145" t="s">
        <v>32127</v>
      </c>
      <c r="BN1145">
        <v>37131469</v>
      </c>
      <c r="BO1145" t="s">
        <v>916</v>
      </c>
      <c r="BP1145" t="s">
        <v>74</v>
      </c>
      <c r="BQ1145" t="s">
        <v>74</v>
      </c>
      <c r="BR1145" t="s">
        <v>102</v>
      </c>
      <c r="BS1145" t="s">
        <v>32126</v>
      </c>
      <c r="BT1145" t="str">
        <f>HYPERLINK("https%3A%2F%2Fwww.webofscience.com%2Fwos%2Fwoscc%2Ffull-record%2FWOS:000632278100008","View Full Record in Web of Science")</f>
        <v>View Full Record in Web of Science</v>
      </c>
    </row>
    <row r="1146" spans="1:72" x14ac:dyDescent="0.25">
      <c r="A1146" t="s">
        <v>132</v>
      </c>
      <c r="B1146" t="s">
        <v>32125</v>
      </c>
      <c r="C1146" t="s">
        <v>74</v>
      </c>
      <c r="D1146" t="s">
        <v>32124</v>
      </c>
      <c r="E1146" t="s">
        <v>74</v>
      </c>
      <c r="F1146" t="s">
        <v>32123</v>
      </c>
      <c r="G1146" t="s">
        <v>74</v>
      </c>
      <c r="H1146" t="s">
        <v>74</v>
      </c>
      <c r="I1146" t="s">
        <v>32122</v>
      </c>
      <c r="J1146" t="s">
        <v>32121</v>
      </c>
      <c r="K1146" t="s">
        <v>74</v>
      </c>
      <c r="L1146" t="s">
        <v>74</v>
      </c>
      <c r="M1146" t="s">
        <v>78</v>
      </c>
      <c r="N1146" t="s">
        <v>138</v>
      </c>
      <c r="O1146" t="s">
        <v>32120</v>
      </c>
      <c r="P1146" t="s">
        <v>32119</v>
      </c>
      <c r="Q1146" t="s">
        <v>32118</v>
      </c>
      <c r="R1146" t="s">
        <v>32117</v>
      </c>
      <c r="S1146" t="s">
        <v>74</v>
      </c>
      <c r="T1146" t="s">
        <v>32116</v>
      </c>
      <c r="U1146" t="s">
        <v>32115</v>
      </c>
      <c r="V1146" t="s">
        <v>32114</v>
      </c>
      <c r="W1146" t="s">
        <v>32113</v>
      </c>
      <c r="X1146" t="s">
        <v>32112</v>
      </c>
      <c r="Y1146" t="s">
        <v>32111</v>
      </c>
      <c r="Z1146" t="s">
        <v>32110</v>
      </c>
      <c r="AA1146" t="s">
        <v>74</v>
      </c>
      <c r="AB1146" t="s">
        <v>32109</v>
      </c>
      <c r="AC1146" t="s">
        <v>74</v>
      </c>
      <c r="AD1146" t="s">
        <v>74</v>
      </c>
      <c r="AE1146" t="s">
        <v>74</v>
      </c>
      <c r="AF1146" t="s">
        <v>74</v>
      </c>
      <c r="AG1146">
        <v>63</v>
      </c>
      <c r="AH1146">
        <v>0</v>
      </c>
      <c r="AI1146">
        <v>1</v>
      </c>
      <c r="AJ1146">
        <v>0</v>
      </c>
      <c r="AK1146">
        <v>2</v>
      </c>
      <c r="AL1146" t="s">
        <v>150</v>
      </c>
      <c r="AM1146" t="s">
        <v>151</v>
      </c>
      <c r="AN1146" t="s">
        <v>1560</v>
      </c>
      <c r="AO1146" t="s">
        <v>74</v>
      </c>
      <c r="AP1146" t="s">
        <v>74</v>
      </c>
      <c r="AQ1146" t="s">
        <v>32108</v>
      </c>
      <c r="AR1146" t="s">
        <v>74</v>
      </c>
      <c r="AS1146" t="s">
        <v>74</v>
      </c>
      <c r="AT1146" t="s">
        <v>74</v>
      </c>
      <c r="AU1146">
        <v>2023</v>
      </c>
      <c r="AV1146" t="s">
        <v>74</v>
      </c>
      <c r="AW1146" t="s">
        <v>74</v>
      </c>
      <c r="AX1146" t="s">
        <v>74</v>
      </c>
      <c r="AY1146" t="s">
        <v>74</v>
      </c>
      <c r="AZ1146" t="s">
        <v>74</v>
      </c>
      <c r="BA1146" t="s">
        <v>74</v>
      </c>
      <c r="BB1146">
        <v>614</v>
      </c>
      <c r="BC1146">
        <v>625</v>
      </c>
      <c r="BD1146" t="s">
        <v>74</v>
      </c>
      <c r="BE1146" t="s">
        <v>32107</v>
      </c>
      <c r="BF1146" t="str">
        <f>HYPERLINK("http://dx.doi.org/10.1145/3598469.3598537","http://dx.doi.org/10.1145/3598469.3598537")</f>
        <v>http://dx.doi.org/10.1145/3598469.3598537</v>
      </c>
      <c r="BG1146" t="s">
        <v>74</v>
      </c>
      <c r="BH1146" t="s">
        <v>74</v>
      </c>
      <c r="BI1146">
        <v>12</v>
      </c>
      <c r="BJ1146" t="s">
        <v>32106</v>
      </c>
      <c r="BK1146" t="s">
        <v>1069</v>
      </c>
      <c r="BL1146" t="s">
        <v>32105</v>
      </c>
      <c r="BM1146" t="s">
        <v>32104</v>
      </c>
      <c r="BN1146" t="s">
        <v>74</v>
      </c>
      <c r="BO1146" t="s">
        <v>74</v>
      </c>
      <c r="BP1146" t="s">
        <v>74</v>
      </c>
      <c r="BQ1146" t="s">
        <v>74</v>
      </c>
      <c r="BR1146" t="s">
        <v>102</v>
      </c>
      <c r="BS1146" t="s">
        <v>32103</v>
      </c>
      <c r="BT1146" t="str">
        <f>HYPERLINK("https%3A%2F%2Fwww.webofscience.com%2Fwos%2Fwoscc%2Ffull-record%2FWOS:001048270700067","View Full Record in Web of Science")</f>
        <v>View Full Record in Web of Science</v>
      </c>
    </row>
    <row r="1147" spans="1:72" x14ac:dyDescent="0.25">
      <c r="A1147" t="s">
        <v>72</v>
      </c>
      <c r="B1147" t="s">
        <v>32102</v>
      </c>
      <c r="C1147" t="s">
        <v>74</v>
      </c>
      <c r="D1147" t="s">
        <v>74</v>
      </c>
      <c r="E1147" t="s">
        <v>74</v>
      </c>
      <c r="F1147" t="s">
        <v>32101</v>
      </c>
      <c r="G1147" t="s">
        <v>74</v>
      </c>
      <c r="H1147" t="s">
        <v>74</v>
      </c>
      <c r="I1147" t="s">
        <v>32100</v>
      </c>
      <c r="J1147" t="s">
        <v>10143</v>
      </c>
      <c r="K1147" t="s">
        <v>74</v>
      </c>
      <c r="L1147" t="s">
        <v>74</v>
      </c>
      <c r="M1147" t="s">
        <v>78</v>
      </c>
      <c r="N1147" t="s">
        <v>79</v>
      </c>
      <c r="O1147" t="s">
        <v>74</v>
      </c>
      <c r="P1147" t="s">
        <v>74</v>
      </c>
      <c r="Q1147" t="s">
        <v>74</v>
      </c>
      <c r="R1147" t="s">
        <v>74</v>
      </c>
      <c r="S1147" t="s">
        <v>74</v>
      </c>
      <c r="T1147" t="s">
        <v>32099</v>
      </c>
      <c r="U1147" t="s">
        <v>32098</v>
      </c>
      <c r="V1147" t="s">
        <v>32097</v>
      </c>
      <c r="W1147" t="s">
        <v>32096</v>
      </c>
      <c r="X1147" t="s">
        <v>3294</v>
      </c>
      <c r="Y1147" t="s">
        <v>32095</v>
      </c>
      <c r="Z1147" t="s">
        <v>32094</v>
      </c>
      <c r="AA1147" t="s">
        <v>32093</v>
      </c>
      <c r="AB1147" t="s">
        <v>32092</v>
      </c>
      <c r="AC1147" t="s">
        <v>32091</v>
      </c>
      <c r="AD1147" t="s">
        <v>32090</v>
      </c>
      <c r="AE1147" t="s">
        <v>32089</v>
      </c>
      <c r="AF1147" t="s">
        <v>74</v>
      </c>
      <c r="AG1147">
        <v>69</v>
      </c>
      <c r="AH1147">
        <v>181</v>
      </c>
      <c r="AI1147">
        <v>221</v>
      </c>
      <c r="AJ1147">
        <v>11</v>
      </c>
      <c r="AK1147">
        <v>143</v>
      </c>
      <c r="AL1147" t="s">
        <v>3298</v>
      </c>
      <c r="AM1147" t="s">
        <v>202</v>
      </c>
      <c r="AN1147" t="s">
        <v>3299</v>
      </c>
      <c r="AO1147" t="s">
        <v>10155</v>
      </c>
      <c r="AP1147" t="s">
        <v>10156</v>
      </c>
      <c r="AQ1147" t="s">
        <v>74</v>
      </c>
      <c r="AR1147" t="s">
        <v>10157</v>
      </c>
      <c r="AS1147" t="s">
        <v>10158</v>
      </c>
      <c r="AT1147" t="s">
        <v>1652</v>
      </c>
      <c r="AU1147">
        <v>2019</v>
      </c>
      <c r="AV1147">
        <v>48</v>
      </c>
      <c r="AW1147">
        <v>5</v>
      </c>
      <c r="AX1147" t="s">
        <v>74</v>
      </c>
      <c r="AY1147" t="s">
        <v>74</v>
      </c>
      <c r="AZ1147" t="s">
        <v>74</v>
      </c>
      <c r="BA1147" t="s">
        <v>74</v>
      </c>
      <c r="BB1147">
        <v>1201</v>
      </c>
      <c r="BC1147">
        <v>1215</v>
      </c>
      <c r="BD1147" t="s">
        <v>74</v>
      </c>
      <c r="BE1147" t="s">
        <v>32088</v>
      </c>
      <c r="BF1147" t="str">
        <f>HYPERLINK("http://dx.doi.org/10.1016/j.respol.2018.12.010","http://dx.doi.org/10.1016/j.respol.2018.12.010")</f>
        <v>http://dx.doi.org/10.1016/j.respol.2018.12.010</v>
      </c>
      <c r="BG1147" t="s">
        <v>74</v>
      </c>
      <c r="BH1147" t="s">
        <v>74</v>
      </c>
      <c r="BI1147">
        <v>15</v>
      </c>
      <c r="BJ1147" t="s">
        <v>583</v>
      </c>
      <c r="BK1147" t="s">
        <v>99</v>
      </c>
      <c r="BL1147" t="s">
        <v>100</v>
      </c>
      <c r="BM1147" t="s">
        <v>32087</v>
      </c>
      <c r="BN1147" t="s">
        <v>74</v>
      </c>
      <c r="BO1147" t="s">
        <v>74</v>
      </c>
      <c r="BP1147" t="s">
        <v>74</v>
      </c>
      <c r="BQ1147" t="s">
        <v>74</v>
      </c>
      <c r="BR1147" t="s">
        <v>102</v>
      </c>
      <c r="BS1147" t="s">
        <v>32086</v>
      </c>
      <c r="BT1147" t="str">
        <f>HYPERLINK("https%3A%2F%2Fwww.webofscience.com%2Fwos%2Fwoscc%2Ffull-record%2FWOS:000463687300009","View Full Record in Web of Science")</f>
        <v>View Full Record in Web of Science</v>
      </c>
    </row>
    <row r="1148" spans="1:72" x14ac:dyDescent="0.25">
      <c r="A1148" t="s">
        <v>3790</v>
      </c>
      <c r="B1148" t="s">
        <v>32085</v>
      </c>
      <c r="C1148" t="s">
        <v>74</v>
      </c>
      <c r="D1148" t="s">
        <v>32084</v>
      </c>
      <c r="E1148" t="s">
        <v>74</v>
      </c>
      <c r="F1148" t="s">
        <v>32083</v>
      </c>
      <c r="G1148" t="s">
        <v>74</v>
      </c>
      <c r="H1148" t="s">
        <v>74</v>
      </c>
      <c r="I1148" t="s">
        <v>32082</v>
      </c>
      <c r="J1148" t="s">
        <v>32081</v>
      </c>
      <c r="K1148" t="s">
        <v>32080</v>
      </c>
      <c r="L1148" t="s">
        <v>74</v>
      </c>
      <c r="M1148" t="s">
        <v>78</v>
      </c>
      <c r="N1148" t="s">
        <v>6023</v>
      </c>
      <c r="O1148" t="s">
        <v>74</v>
      </c>
      <c r="P1148" t="s">
        <v>74</v>
      </c>
      <c r="Q1148" t="s">
        <v>74</v>
      </c>
      <c r="R1148" t="s">
        <v>74</v>
      </c>
      <c r="S1148" t="s">
        <v>74</v>
      </c>
      <c r="T1148" t="s">
        <v>32079</v>
      </c>
      <c r="U1148" t="s">
        <v>74</v>
      </c>
      <c r="V1148" t="s">
        <v>32078</v>
      </c>
      <c r="W1148" t="s">
        <v>32077</v>
      </c>
      <c r="X1148" t="s">
        <v>32076</v>
      </c>
      <c r="Y1148" t="s">
        <v>32075</v>
      </c>
      <c r="Z1148" t="s">
        <v>32074</v>
      </c>
      <c r="AA1148" t="s">
        <v>74</v>
      </c>
      <c r="AB1148" t="s">
        <v>74</v>
      </c>
      <c r="AC1148" t="s">
        <v>74</v>
      </c>
      <c r="AD1148" t="s">
        <v>74</v>
      </c>
      <c r="AE1148" t="s">
        <v>74</v>
      </c>
      <c r="AF1148" t="s">
        <v>74</v>
      </c>
      <c r="AG1148">
        <v>25</v>
      </c>
      <c r="AH1148">
        <v>0</v>
      </c>
      <c r="AI1148">
        <v>1</v>
      </c>
      <c r="AJ1148">
        <v>0</v>
      </c>
      <c r="AK1148">
        <v>5</v>
      </c>
      <c r="AL1148" t="s">
        <v>385</v>
      </c>
      <c r="AM1148" t="s">
        <v>151</v>
      </c>
      <c r="AN1148" t="s">
        <v>32073</v>
      </c>
      <c r="AO1148" t="s">
        <v>32072</v>
      </c>
      <c r="AP1148" t="s">
        <v>74</v>
      </c>
      <c r="AQ1148" t="s">
        <v>32071</v>
      </c>
      <c r="AR1148" t="s">
        <v>32070</v>
      </c>
      <c r="AS1148" t="s">
        <v>74</v>
      </c>
      <c r="AT1148" t="s">
        <v>74</v>
      </c>
      <c r="AU1148">
        <v>2009</v>
      </c>
      <c r="AV1148">
        <v>8</v>
      </c>
      <c r="AW1148" t="s">
        <v>74</v>
      </c>
      <c r="AX1148" t="s">
        <v>74</v>
      </c>
      <c r="AY1148" t="s">
        <v>74</v>
      </c>
      <c r="AZ1148" t="s">
        <v>74</v>
      </c>
      <c r="BA1148" t="s">
        <v>74</v>
      </c>
      <c r="BB1148">
        <v>495</v>
      </c>
      <c r="BC1148">
        <v>520</v>
      </c>
      <c r="BD1148" t="s">
        <v>74</v>
      </c>
      <c r="BE1148" t="s">
        <v>32069</v>
      </c>
      <c r="BF1148" t="str">
        <f>HYPERLINK("http://dx.doi.org/10.1007/978-0-387-93769-4_16","http://dx.doi.org/10.1007/978-0-387-93769-4_16")</f>
        <v>http://dx.doi.org/10.1007/978-0-387-93769-4_16</v>
      </c>
      <c r="BG1148" t="s">
        <v>32068</v>
      </c>
      <c r="BH1148" t="s">
        <v>74</v>
      </c>
      <c r="BI1148">
        <v>26</v>
      </c>
      <c r="BJ1148" t="s">
        <v>210</v>
      </c>
      <c r="BK1148" t="s">
        <v>8314</v>
      </c>
      <c r="BL1148" t="s">
        <v>100</v>
      </c>
      <c r="BM1148" t="s">
        <v>32067</v>
      </c>
      <c r="BN1148" t="s">
        <v>74</v>
      </c>
      <c r="BO1148" t="s">
        <v>74</v>
      </c>
      <c r="BP1148" t="s">
        <v>74</v>
      </c>
      <c r="BQ1148" t="s">
        <v>74</v>
      </c>
      <c r="BR1148" t="s">
        <v>102</v>
      </c>
      <c r="BS1148" t="s">
        <v>32066</v>
      </c>
      <c r="BT1148" t="str">
        <f>HYPERLINK("https%3A%2F%2Fwww.webofscience.com%2Fwos%2Fwoscc%2Ffull-record%2FWOS:000270724000016","View Full Record in Web of Science")</f>
        <v>View Full Record in Web of Science</v>
      </c>
    </row>
    <row r="1149" spans="1:72" x14ac:dyDescent="0.25">
      <c r="A1149" t="s">
        <v>72</v>
      </c>
      <c r="B1149" t="s">
        <v>32065</v>
      </c>
      <c r="C1149" t="s">
        <v>74</v>
      </c>
      <c r="D1149" t="s">
        <v>74</v>
      </c>
      <c r="E1149" t="s">
        <v>74</v>
      </c>
      <c r="F1149" t="s">
        <v>32064</v>
      </c>
      <c r="G1149" t="s">
        <v>74</v>
      </c>
      <c r="H1149" t="s">
        <v>74</v>
      </c>
      <c r="I1149" t="s">
        <v>32063</v>
      </c>
      <c r="J1149" t="s">
        <v>32062</v>
      </c>
      <c r="K1149" t="s">
        <v>74</v>
      </c>
      <c r="L1149" t="s">
        <v>74</v>
      </c>
      <c r="M1149" t="s">
        <v>78</v>
      </c>
      <c r="N1149" t="s">
        <v>79</v>
      </c>
      <c r="O1149" t="s">
        <v>74</v>
      </c>
      <c r="P1149" t="s">
        <v>74</v>
      </c>
      <c r="Q1149" t="s">
        <v>74</v>
      </c>
      <c r="R1149" t="s">
        <v>74</v>
      </c>
      <c r="S1149" t="s">
        <v>74</v>
      </c>
      <c r="T1149" t="s">
        <v>32061</v>
      </c>
      <c r="U1149" t="s">
        <v>15835</v>
      </c>
      <c r="V1149" t="s">
        <v>32060</v>
      </c>
      <c r="W1149" t="s">
        <v>32059</v>
      </c>
      <c r="X1149" t="s">
        <v>32058</v>
      </c>
      <c r="Y1149" t="s">
        <v>32057</v>
      </c>
      <c r="Z1149" t="s">
        <v>32056</v>
      </c>
      <c r="AA1149" t="s">
        <v>12743</v>
      </c>
      <c r="AB1149" t="s">
        <v>32055</v>
      </c>
      <c r="AC1149" t="s">
        <v>32054</v>
      </c>
      <c r="AD1149" t="s">
        <v>32053</v>
      </c>
      <c r="AE1149" t="s">
        <v>32052</v>
      </c>
      <c r="AF1149" t="s">
        <v>74</v>
      </c>
      <c r="AG1149">
        <v>63</v>
      </c>
      <c r="AH1149">
        <v>18</v>
      </c>
      <c r="AI1149">
        <v>32</v>
      </c>
      <c r="AJ1149">
        <v>0</v>
      </c>
      <c r="AK1149">
        <v>62</v>
      </c>
      <c r="AL1149" t="s">
        <v>32051</v>
      </c>
      <c r="AM1149" t="s">
        <v>32050</v>
      </c>
      <c r="AN1149" t="s">
        <v>32049</v>
      </c>
      <c r="AO1149" t="s">
        <v>32048</v>
      </c>
      <c r="AP1149" t="s">
        <v>32047</v>
      </c>
      <c r="AQ1149" t="s">
        <v>74</v>
      </c>
      <c r="AR1149" t="s">
        <v>32046</v>
      </c>
      <c r="AS1149" t="s">
        <v>32045</v>
      </c>
      <c r="AT1149" t="s">
        <v>2801</v>
      </c>
      <c r="AU1149">
        <v>2016</v>
      </c>
      <c r="AV1149">
        <v>56</v>
      </c>
      <c r="AW1149">
        <v>3</v>
      </c>
      <c r="AX1149" t="s">
        <v>74</v>
      </c>
      <c r="AY1149" t="s">
        <v>74</v>
      </c>
      <c r="AZ1149" t="s">
        <v>74</v>
      </c>
      <c r="BA1149" t="s">
        <v>74</v>
      </c>
      <c r="BB1149">
        <v>266</v>
      </c>
      <c r="BC1149">
        <v>287</v>
      </c>
      <c r="BD1149" t="s">
        <v>74</v>
      </c>
      <c r="BE1149" t="s">
        <v>32044</v>
      </c>
      <c r="BF1149" t="str">
        <f>HYPERLINK("http://dx.doi.org/10.1590/S0034-759020160302","http://dx.doi.org/10.1590/S0034-759020160302")</f>
        <v>http://dx.doi.org/10.1590/S0034-759020160302</v>
      </c>
      <c r="BG1149" t="s">
        <v>74</v>
      </c>
      <c r="BH1149" t="s">
        <v>74</v>
      </c>
      <c r="BI1149">
        <v>22</v>
      </c>
      <c r="BJ1149" t="s">
        <v>98</v>
      </c>
      <c r="BK1149" t="s">
        <v>99</v>
      </c>
      <c r="BL1149" t="s">
        <v>100</v>
      </c>
      <c r="BM1149" t="s">
        <v>32043</v>
      </c>
      <c r="BN1149" t="s">
        <v>74</v>
      </c>
      <c r="BO1149" t="s">
        <v>212</v>
      </c>
      <c r="BP1149" t="s">
        <v>74</v>
      </c>
      <c r="BQ1149" t="s">
        <v>74</v>
      </c>
      <c r="BR1149" t="s">
        <v>102</v>
      </c>
      <c r="BS1149" t="s">
        <v>32042</v>
      </c>
      <c r="BT1149" t="str">
        <f>HYPERLINK("https%3A%2F%2Fwww.webofscience.com%2Fwos%2Fwoscc%2Ffull-record%2FWOS:000377152600002","View Full Record in Web of Science")</f>
        <v>View Full Record in Web of Science</v>
      </c>
    </row>
    <row r="1150" spans="1:72" x14ac:dyDescent="0.25">
      <c r="A1150" t="s">
        <v>72</v>
      </c>
      <c r="B1150" t="s">
        <v>32041</v>
      </c>
      <c r="C1150" t="s">
        <v>74</v>
      </c>
      <c r="D1150" t="s">
        <v>74</v>
      </c>
      <c r="E1150" t="s">
        <v>74</v>
      </c>
      <c r="F1150" t="s">
        <v>32040</v>
      </c>
      <c r="G1150" t="s">
        <v>74</v>
      </c>
      <c r="H1150" t="s">
        <v>74</v>
      </c>
      <c r="I1150" t="s">
        <v>32039</v>
      </c>
      <c r="J1150" t="s">
        <v>1122</v>
      </c>
      <c r="K1150" t="s">
        <v>74</v>
      </c>
      <c r="L1150" t="s">
        <v>74</v>
      </c>
      <c r="M1150" t="s">
        <v>78</v>
      </c>
      <c r="N1150" t="s">
        <v>79</v>
      </c>
      <c r="O1150" t="s">
        <v>74</v>
      </c>
      <c r="P1150" t="s">
        <v>74</v>
      </c>
      <c r="Q1150" t="s">
        <v>74</v>
      </c>
      <c r="R1150" t="s">
        <v>74</v>
      </c>
      <c r="S1150" t="s">
        <v>74</v>
      </c>
      <c r="T1150" t="s">
        <v>74</v>
      </c>
      <c r="U1150" t="s">
        <v>32038</v>
      </c>
      <c r="V1150" t="s">
        <v>32037</v>
      </c>
      <c r="W1150" t="s">
        <v>32036</v>
      </c>
      <c r="X1150" t="s">
        <v>32035</v>
      </c>
      <c r="Y1150" t="s">
        <v>32034</v>
      </c>
      <c r="Z1150" t="s">
        <v>32033</v>
      </c>
      <c r="AA1150" t="s">
        <v>32032</v>
      </c>
      <c r="AB1150" t="s">
        <v>30503</v>
      </c>
      <c r="AC1150" t="s">
        <v>74</v>
      </c>
      <c r="AD1150" t="s">
        <v>74</v>
      </c>
      <c r="AE1150" t="s">
        <v>74</v>
      </c>
      <c r="AF1150" t="s">
        <v>74</v>
      </c>
      <c r="AG1150">
        <v>53</v>
      </c>
      <c r="AH1150">
        <v>213</v>
      </c>
      <c r="AI1150">
        <v>256</v>
      </c>
      <c r="AJ1150">
        <v>5</v>
      </c>
      <c r="AK1150">
        <v>141</v>
      </c>
      <c r="AL1150" t="s">
        <v>479</v>
      </c>
      <c r="AM1150" t="s">
        <v>480</v>
      </c>
      <c r="AN1150" t="s">
        <v>481</v>
      </c>
      <c r="AO1150" t="s">
        <v>1131</v>
      </c>
      <c r="AP1150" t="s">
        <v>1132</v>
      </c>
      <c r="AQ1150" t="s">
        <v>74</v>
      </c>
      <c r="AR1150" t="s">
        <v>1133</v>
      </c>
      <c r="AS1150" t="s">
        <v>1134</v>
      </c>
      <c r="AT1150" t="s">
        <v>698</v>
      </c>
      <c r="AU1150">
        <v>2019</v>
      </c>
      <c r="AV1150">
        <v>31</v>
      </c>
      <c r="AW1150">
        <v>3</v>
      </c>
      <c r="AX1150" t="s">
        <v>74</v>
      </c>
      <c r="AY1150" t="s">
        <v>74</v>
      </c>
      <c r="AZ1150" t="s">
        <v>74</v>
      </c>
      <c r="BA1150" t="s">
        <v>74</v>
      </c>
      <c r="BB1150">
        <v>261</v>
      </c>
      <c r="BC1150">
        <v>274</v>
      </c>
      <c r="BD1150" t="s">
        <v>74</v>
      </c>
      <c r="BE1150" t="s">
        <v>32031</v>
      </c>
      <c r="BF1150" t="str">
        <f>HYPERLINK("http://dx.doi.org/10.1111/1467-8268.12388","http://dx.doi.org/10.1111/1467-8268.12388")</f>
        <v>http://dx.doi.org/10.1111/1467-8268.12388</v>
      </c>
      <c r="BG1150" t="s">
        <v>74</v>
      </c>
      <c r="BH1150" t="s">
        <v>74</v>
      </c>
      <c r="BI1150">
        <v>14</v>
      </c>
      <c r="BJ1150" t="s">
        <v>1137</v>
      </c>
      <c r="BK1150" t="s">
        <v>99</v>
      </c>
      <c r="BL1150" t="s">
        <v>1137</v>
      </c>
      <c r="BM1150" t="s">
        <v>32030</v>
      </c>
      <c r="BN1150" t="s">
        <v>74</v>
      </c>
      <c r="BO1150" t="s">
        <v>1205</v>
      </c>
      <c r="BP1150" t="s">
        <v>74</v>
      </c>
      <c r="BQ1150" t="s">
        <v>74</v>
      </c>
      <c r="BR1150" t="s">
        <v>102</v>
      </c>
      <c r="BS1150" t="s">
        <v>32029</v>
      </c>
      <c r="BT1150" t="str">
        <f>HYPERLINK("https%3A%2F%2Fwww.webofscience.com%2Fwos%2Fwoscc%2Ffull-record%2FWOS:000490251200001","View Full Record in Web of Science")</f>
        <v>View Full Record in Web of Science</v>
      </c>
    </row>
    <row r="1151" spans="1:72" x14ac:dyDescent="0.25">
      <c r="A1151" t="s">
        <v>132</v>
      </c>
      <c r="B1151" t="s">
        <v>32028</v>
      </c>
      <c r="C1151" t="s">
        <v>74</v>
      </c>
      <c r="D1151" t="s">
        <v>32027</v>
      </c>
      <c r="E1151" t="s">
        <v>74</v>
      </c>
      <c r="F1151" t="s">
        <v>32026</v>
      </c>
      <c r="G1151" t="s">
        <v>74</v>
      </c>
      <c r="H1151" t="s">
        <v>74</v>
      </c>
      <c r="I1151" t="s">
        <v>32025</v>
      </c>
      <c r="J1151" t="s">
        <v>32024</v>
      </c>
      <c r="K1151" t="s">
        <v>1608</v>
      </c>
      <c r="L1151" t="s">
        <v>74</v>
      </c>
      <c r="M1151" t="s">
        <v>78</v>
      </c>
      <c r="N1151" t="s">
        <v>138</v>
      </c>
      <c r="O1151" t="s">
        <v>32023</v>
      </c>
      <c r="P1151" t="s">
        <v>32022</v>
      </c>
      <c r="Q1151" t="s">
        <v>32021</v>
      </c>
      <c r="R1151" t="s">
        <v>32020</v>
      </c>
      <c r="S1151" t="s">
        <v>32019</v>
      </c>
      <c r="T1151" t="s">
        <v>32018</v>
      </c>
      <c r="U1151" t="s">
        <v>74</v>
      </c>
      <c r="V1151" t="s">
        <v>32017</v>
      </c>
      <c r="W1151" t="s">
        <v>32016</v>
      </c>
      <c r="X1151" t="s">
        <v>32015</v>
      </c>
      <c r="Y1151" t="s">
        <v>32014</v>
      </c>
      <c r="Z1151" t="s">
        <v>32013</v>
      </c>
      <c r="AA1151" t="s">
        <v>32012</v>
      </c>
      <c r="AB1151" t="s">
        <v>74</v>
      </c>
      <c r="AC1151" t="s">
        <v>74</v>
      </c>
      <c r="AD1151" t="s">
        <v>74</v>
      </c>
      <c r="AE1151" t="s">
        <v>74</v>
      </c>
      <c r="AF1151" t="s">
        <v>74</v>
      </c>
      <c r="AG1151">
        <v>10</v>
      </c>
      <c r="AH1151">
        <v>1</v>
      </c>
      <c r="AI1151">
        <v>2</v>
      </c>
      <c r="AJ1151">
        <v>1</v>
      </c>
      <c r="AK1151">
        <v>31</v>
      </c>
      <c r="AL1151" t="s">
        <v>32011</v>
      </c>
      <c r="AM1151" t="s">
        <v>32010</v>
      </c>
      <c r="AN1151" t="s">
        <v>32009</v>
      </c>
      <c r="AO1151" t="s">
        <v>1622</v>
      </c>
      <c r="AP1151" t="s">
        <v>1623</v>
      </c>
      <c r="AQ1151" t="s">
        <v>32008</v>
      </c>
      <c r="AR1151" t="s">
        <v>1625</v>
      </c>
      <c r="AS1151" t="s">
        <v>74</v>
      </c>
      <c r="AT1151" t="s">
        <v>74</v>
      </c>
      <c r="AU1151">
        <v>2018</v>
      </c>
      <c r="AV1151">
        <v>6</v>
      </c>
      <c r="AW1151" t="s">
        <v>74</v>
      </c>
      <c r="AX1151" t="s">
        <v>74</v>
      </c>
      <c r="AY1151" t="s">
        <v>74</v>
      </c>
      <c r="AZ1151" t="s">
        <v>74</v>
      </c>
      <c r="BA1151" t="s">
        <v>74</v>
      </c>
      <c r="BB1151">
        <v>314</v>
      </c>
      <c r="BC1151">
        <v>318</v>
      </c>
      <c r="BD1151" t="s">
        <v>74</v>
      </c>
      <c r="BE1151" t="s">
        <v>32007</v>
      </c>
      <c r="BF1151" t="str">
        <f>HYPERLINK("http://dx.doi.org/10.12955/cbup.v6.1175","http://dx.doi.org/10.12955/cbup.v6.1175")</f>
        <v>http://dx.doi.org/10.12955/cbup.v6.1175</v>
      </c>
      <c r="BG1151" t="s">
        <v>74</v>
      </c>
      <c r="BH1151" t="s">
        <v>74</v>
      </c>
      <c r="BI1151">
        <v>5</v>
      </c>
      <c r="BJ1151" t="s">
        <v>32006</v>
      </c>
      <c r="BK1151" t="s">
        <v>1069</v>
      </c>
      <c r="BL1151" t="s">
        <v>32005</v>
      </c>
      <c r="BM1151" t="s">
        <v>32004</v>
      </c>
      <c r="BN1151" t="s">
        <v>74</v>
      </c>
      <c r="BO1151" t="s">
        <v>466</v>
      </c>
      <c r="BP1151" t="s">
        <v>74</v>
      </c>
      <c r="BQ1151" t="s">
        <v>74</v>
      </c>
      <c r="BR1151" t="s">
        <v>102</v>
      </c>
      <c r="BS1151" t="s">
        <v>32003</v>
      </c>
      <c r="BT1151" t="str">
        <f>HYPERLINK("https%3A%2F%2Fwww.webofscience.com%2Fwos%2Fwoscc%2Ffull-record%2FWOS:000573716900051","View Full Record in Web of Science")</f>
        <v>View Full Record in Web of Science</v>
      </c>
    </row>
    <row r="1152" spans="1:72" x14ac:dyDescent="0.25">
      <c r="A1152" t="s">
        <v>72</v>
      </c>
      <c r="B1152" t="s">
        <v>32002</v>
      </c>
      <c r="C1152" t="s">
        <v>74</v>
      </c>
      <c r="D1152" t="s">
        <v>74</v>
      </c>
      <c r="E1152" t="s">
        <v>74</v>
      </c>
      <c r="F1152" t="s">
        <v>32001</v>
      </c>
      <c r="G1152" t="s">
        <v>74</v>
      </c>
      <c r="H1152" t="s">
        <v>74</v>
      </c>
      <c r="I1152" t="s">
        <v>32000</v>
      </c>
      <c r="J1152" t="s">
        <v>12948</v>
      </c>
      <c r="K1152" t="s">
        <v>74</v>
      </c>
      <c r="L1152" t="s">
        <v>74</v>
      </c>
      <c r="M1152" t="s">
        <v>78</v>
      </c>
      <c r="N1152" t="s">
        <v>79</v>
      </c>
      <c r="O1152" t="s">
        <v>74</v>
      </c>
      <c r="P1152" t="s">
        <v>74</v>
      </c>
      <c r="Q1152" t="s">
        <v>74</v>
      </c>
      <c r="R1152" t="s">
        <v>74</v>
      </c>
      <c r="S1152" t="s">
        <v>74</v>
      </c>
      <c r="T1152" t="s">
        <v>31999</v>
      </c>
      <c r="U1152" t="s">
        <v>74</v>
      </c>
      <c r="V1152" t="s">
        <v>31998</v>
      </c>
      <c r="W1152" t="s">
        <v>31997</v>
      </c>
      <c r="X1152" t="s">
        <v>31996</v>
      </c>
      <c r="Y1152" t="s">
        <v>31995</v>
      </c>
      <c r="Z1152" t="s">
        <v>31994</v>
      </c>
      <c r="AA1152" t="s">
        <v>74</v>
      </c>
      <c r="AB1152" t="s">
        <v>74</v>
      </c>
      <c r="AC1152" t="s">
        <v>74</v>
      </c>
      <c r="AD1152" t="s">
        <v>74</v>
      </c>
      <c r="AE1152" t="s">
        <v>74</v>
      </c>
      <c r="AF1152" t="s">
        <v>74</v>
      </c>
      <c r="AG1152">
        <v>41</v>
      </c>
      <c r="AH1152">
        <v>4</v>
      </c>
      <c r="AI1152">
        <v>4</v>
      </c>
      <c r="AJ1152">
        <v>2</v>
      </c>
      <c r="AK1152">
        <v>17</v>
      </c>
      <c r="AL1152" t="s">
        <v>479</v>
      </c>
      <c r="AM1152" t="s">
        <v>480</v>
      </c>
      <c r="AN1152" t="s">
        <v>481</v>
      </c>
      <c r="AO1152" t="s">
        <v>12956</v>
      </c>
      <c r="AP1152" t="s">
        <v>12957</v>
      </c>
      <c r="AQ1152" t="s">
        <v>74</v>
      </c>
      <c r="AR1152" t="s">
        <v>12958</v>
      </c>
      <c r="AS1152" t="s">
        <v>12959</v>
      </c>
      <c r="AT1152" t="s">
        <v>698</v>
      </c>
      <c r="AU1152">
        <v>2023</v>
      </c>
      <c r="AV1152">
        <v>42</v>
      </c>
      <c r="AW1152">
        <v>3</v>
      </c>
      <c r="AX1152" t="s">
        <v>74</v>
      </c>
      <c r="AY1152" t="s">
        <v>74</v>
      </c>
      <c r="AZ1152" t="s">
        <v>74</v>
      </c>
      <c r="BA1152" t="s">
        <v>74</v>
      </c>
      <c r="BB1152">
        <v>267</v>
      </c>
      <c r="BC1152">
        <v>281</v>
      </c>
      <c r="BD1152" t="s">
        <v>74</v>
      </c>
      <c r="BE1152" t="s">
        <v>31993</v>
      </c>
      <c r="BF1152" t="str">
        <f>HYPERLINK("http://dx.doi.org/10.1111/1759-3441.12399","http://dx.doi.org/10.1111/1759-3441.12399")</f>
        <v>http://dx.doi.org/10.1111/1759-3441.12399</v>
      </c>
      <c r="BG1152" t="s">
        <v>74</v>
      </c>
      <c r="BH1152" t="s">
        <v>700</v>
      </c>
      <c r="BI1152">
        <v>15</v>
      </c>
      <c r="BJ1152" t="s">
        <v>291</v>
      </c>
      <c r="BK1152" t="s">
        <v>313</v>
      </c>
      <c r="BL1152" t="s">
        <v>100</v>
      </c>
      <c r="BM1152" t="s">
        <v>31992</v>
      </c>
      <c r="BN1152" t="s">
        <v>74</v>
      </c>
      <c r="BO1152" t="s">
        <v>1205</v>
      </c>
      <c r="BP1152" t="s">
        <v>74</v>
      </c>
      <c r="BQ1152" t="s">
        <v>74</v>
      </c>
      <c r="BR1152" t="s">
        <v>102</v>
      </c>
      <c r="BS1152" t="s">
        <v>31991</v>
      </c>
      <c r="BT1152" t="str">
        <f>HYPERLINK("https%3A%2F%2Fwww.webofscience.com%2Fwos%2Fwoscc%2Ffull-record%2FWOS:001024168000001","View Full Record in Web of Science")</f>
        <v>View Full Record in Web of Science</v>
      </c>
    </row>
    <row r="1153" spans="1:72" x14ac:dyDescent="0.25">
      <c r="A1153" t="s">
        <v>72</v>
      </c>
      <c r="B1153" t="s">
        <v>31990</v>
      </c>
      <c r="C1153" t="s">
        <v>74</v>
      </c>
      <c r="D1153" t="s">
        <v>74</v>
      </c>
      <c r="E1153" t="s">
        <v>74</v>
      </c>
      <c r="F1153" t="s">
        <v>31989</v>
      </c>
      <c r="G1153" t="s">
        <v>74</v>
      </c>
      <c r="H1153" t="s">
        <v>74</v>
      </c>
      <c r="I1153" t="s">
        <v>31988</v>
      </c>
      <c r="J1153" t="s">
        <v>11655</v>
      </c>
      <c r="K1153" t="s">
        <v>74</v>
      </c>
      <c r="L1153" t="s">
        <v>74</v>
      </c>
      <c r="M1153" t="s">
        <v>78</v>
      </c>
      <c r="N1153" t="s">
        <v>79</v>
      </c>
      <c r="O1153" t="s">
        <v>74</v>
      </c>
      <c r="P1153" t="s">
        <v>74</v>
      </c>
      <c r="Q1153" t="s">
        <v>74</v>
      </c>
      <c r="R1153" t="s">
        <v>74</v>
      </c>
      <c r="S1153" t="s">
        <v>74</v>
      </c>
      <c r="T1153" t="s">
        <v>31987</v>
      </c>
      <c r="U1153" t="s">
        <v>31986</v>
      </c>
      <c r="V1153" t="s">
        <v>31985</v>
      </c>
      <c r="W1153" t="s">
        <v>31984</v>
      </c>
      <c r="X1153" t="s">
        <v>74</v>
      </c>
      <c r="Y1153" t="s">
        <v>31983</v>
      </c>
      <c r="Z1153" t="s">
        <v>31982</v>
      </c>
      <c r="AA1153" t="s">
        <v>31981</v>
      </c>
      <c r="AB1153" t="s">
        <v>74</v>
      </c>
      <c r="AC1153" t="s">
        <v>74</v>
      </c>
      <c r="AD1153" t="s">
        <v>74</v>
      </c>
      <c r="AE1153" t="s">
        <v>74</v>
      </c>
      <c r="AF1153" t="s">
        <v>74</v>
      </c>
      <c r="AG1153">
        <v>151</v>
      </c>
      <c r="AH1153">
        <v>37</v>
      </c>
      <c r="AI1153">
        <v>46</v>
      </c>
      <c r="AJ1153">
        <v>6</v>
      </c>
      <c r="AK1153">
        <v>57</v>
      </c>
      <c r="AL1153" t="s">
        <v>503</v>
      </c>
      <c r="AM1153" t="s">
        <v>151</v>
      </c>
      <c r="AN1153" t="s">
        <v>504</v>
      </c>
      <c r="AO1153" t="s">
        <v>11665</v>
      </c>
      <c r="AP1153" t="s">
        <v>11666</v>
      </c>
      <c r="AQ1153" t="s">
        <v>74</v>
      </c>
      <c r="AR1153" t="s">
        <v>11667</v>
      </c>
      <c r="AS1153" t="s">
        <v>11668</v>
      </c>
      <c r="AT1153" t="s">
        <v>698</v>
      </c>
      <c r="AU1153">
        <v>2022</v>
      </c>
      <c r="AV1153">
        <v>148</v>
      </c>
      <c r="AW1153" t="s">
        <v>74</v>
      </c>
      <c r="AX1153" t="s">
        <v>74</v>
      </c>
      <c r="AY1153" t="s">
        <v>74</v>
      </c>
      <c r="AZ1153" t="s">
        <v>74</v>
      </c>
      <c r="BA1153" t="s">
        <v>74</v>
      </c>
      <c r="BB1153">
        <v>262</v>
      </c>
      <c r="BC1153">
        <v>276</v>
      </c>
      <c r="BD1153" t="s">
        <v>74</v>
      </c>
      <c r="BE1153" t="s">
        <v>31980</v>
      </c>
      <c r="BF1153" t="str">
        <f>HYPERLINK("http://dx.doi.org/10.1016/j.jbusres.2022.04.070","http://dx.doi.org/10.1016/j.jbusres.2022.04.070")</f>
        <v>http://dx.doi.org/10.1016/j.jbusres.2022.04.070</v>
      </c>
      <c r="BG1153" t="s">
        <v>74</v>
      </c>
      <c r="BH1153" t="s">
        <v>1091</v>
      </c>
      <c r="BI1153">
        <v>15</v>
      </c>
      <c r="BJ1153" t="s">
        <v>418</v>
      </c>
      <c r="BK1153" t="s">
        <v>99</v>
      </c>
      <c r="BL1153" t="s">
        <v>100</v>
      </c>
      <c r="BM1153" t="s">
        <v>31979</v>
      </c>
      <c r="BN1153" t="s">
        <v>74</v>
      </c>
      <c r="BO1153" t="s">
        <v>212</v>
      </c>
      <c r="BP1153" t="s">
        <v>74</v>
      </c>
      <c r="BQ1153" t="s">
        <v>74</v>
      </c>
      <c r="BR1153" t="s">
        <v>102</v>
      </c>
      <c r="BS1153" t="s">
        <v>31978</v>
      </c>
      <c r="BT1153" t="str">
        <f>HYPERLINK("https%3A%2F%2Fwww.webofscience.com%2Fwos%2Fwoscc%2Ffull-record%2FWOS:000799940800021","View Full Record in Web of Science")</f>
        <v>View Full Record in Web of Science</v>
      </c>
    </row>
    <row r="1154" spans="1:72" x14ac:dyDescent="0.25">
      <c r="A1154" t="s">
        <v>72</v>
      </c>
      <c r="B1154" t="s">
        <v>31977</v>
      </c>
      <c r="C1154" t="s">
        <v>74</v>
      </c>
      <c r="D1154" t="s">
        <v>74</v>
      </c>
      <c r="E1154" t="s">
        <v>74</v>
      </c>
      <c r="F1154" t="s">
        <v>31976</v>
      </c>
      <c r="G1154" t="s">
        <v>74</v>
      </c>
      <c r="H1154" t="s">
        <v>74</v>
      </c>
      <c r="I1154" t="s">
        <v>31975</v>
      </c>
      <c r="J1154" t="s">
        <v>30522</v>
      </c>
      <c r="K1154" t="s">
        <v>74</v>
      </c>
      <c r="L1154" t="s">
        <v>74</v>
      </c>
      <c r="M1154" t="s">
        <v>78</v>
      </c>
      <c r="N1154" t="s">
        <v>79</v>
      </c>
      <c r="O1154" t="s">
        <v>74</v>
      </c>
      <c r="P1154" t="s">
        <v>74</v>
      </c>
      <c r="Q1154" t="s">
        <v>74</v>
      </c>
      <c r="R1154" t="s">
        <v>74</v>
      </c>
      <c r="S1154" t="s">
        <v>74</v>
      </c>
      <c r="T1154" t="s">
        <v>31974</v>
      </c>
      <c r="U1154" t="s">
        <v>74</v>
      </c>
      <c r="V1154" t="s">
        <v>31973</v>
      </c>
      <c r="W1154" t="s">
        <v>31972</v>
      </c>
      <c r="X1154" t="s">
        <v>31971</v>
      </c>
      <c r="Y1154" t="s">
        <v>31970</v>
      </c>
      <c r="Z1154" t="s">
        <v>31969</v>
      </c>
      <c r="AA1154" t="s">
        <v>31968</v>
      </c>
      <c r="AB1154" t="s">
        <v>31967</v>
      </c>
      <c r="AC1154" t="s">
        <v>31966</v>
      </c>
      <c r="AD1154" t="s">
        <v>31966</v>
      </c>
      <c r="AE1154" t="s">
        <v>31965</v>
      </c>
      <c r="AF1154" t="s">
        <v>74</v>
      </c>
      <c r="AG1154">
        <v>41</v>
      </c>
      <c r="AH1154">
        <v>6</v>
      </c>
      <c r="AI1154">
        <v>9</v>
      </c>
      <c r="AJ1154">
        <v>0</v>
      </c>
      <c r="AK1154">
        <v>7</v>
      </c>
      <c r="AL1154" t="s">
        <v>575</v>
      </c>
      <c r="AM1154" t="s">
        <v>576</v>
      </c>
      <c r="AN1154" t="s">
        <v>3242</v>
      </c>
      <c r="AO1154" t="s">
        <v>74</v>
      </c>
      <c r="AP1154" t="s">
        <v>30515</v>
      </c>
      <c r="AQ1154" t="s">
        <v>74</v>
      </c>
      <c r="AR1154" t="s">
        <v>30514</v>
      </c>
      <c r="AS1154" t="s">
        <v>30513</v>
      </c>
      <c r="AT1154" t="s">
        <v>698</v>
      </c>
      <c r="AU1154">
        <v>2022</v>
      </c>
      <c r="AV1154">
        <v>11</v>
      </c>
      <c r="AW1154">
        <v>9</v>
      </c>
      <c r="AX1154" t="s">
        <v>74</v>
      </c>
      <c r="AY1154" t="s">
        <v>74</v>
      </c>
      <c r="AZ1154" t="s">
        <v>74</v>
      </c>
      <c r="BA1154" t="s">
        <v>74</v>
      </c>
      <c r="BB1154" t="s">
        <v>74</v>
      </c>
      <c r="BC1154" t="s">
        <v>74</v>
      </c>
      <c r="BD1154">
        <v>402</v>
      </c>
      <c r="BE1154" t="s">
        <v>31964</v>
      </c>
      <c r="BF1154" t="str">
        <f>HYPERLINK("http://dx.doi.org/10.3390/socsci11090402","http://dx.doi.org/10.3390/socsci11090402")</f>
        <v>http://dx.doi.org/10.3390/socsci11090402</v>
      </c>
      <c r="BG1154" t="s">
        <v>74</v>
      </c>
      <c r="BH1154" t="s">
        <v>74</v>
      </c>
      <c r="BI1154">
        <v>13</v>
      </c>
      <c r="BJ1154" t="s">
        <v>364</v>
      </c>
      <c r="BK1154" t="s">
        <v>313</v>
      </c>
      <c r="BL1154" t="s">
        <v>365</v>
      </c>
      <c r="BM1154" t="s">
        <v>31963</v>
      </c>
      <c r="BN1154" t="s">
        <v>74</v>
      </c>
      <c r="BO1154" t="s">
        <v>916</v>
      </c>
      <c r="BP1154" t="s">
        <v>74</v>
      </c>
      <c r="BQ1154" t="s">
        <v>74</v>
      </c>
      <c r="BR1154" t="s">
        <v>102</v>
      </c>
      <c r="BS1154" t="s">
        <v>31962</v>
      </c>
      <c r="BT1154" t="str">
        <f>HYPERLINK("https%3A%2F%2Fwww.webofscience.com%2Fwos%2Fwoscc%2Ffull-record%2FWOS:000856856100001","View Full Record in Web of Science")</f>
        <v>View Full Record in Web of Science</v>
      </c>
    </row>
    <row r="1155" spans="1:72" x14ac:dyDescent="0.25">
      <c r="A1155" t="s">
        <v>72</v>
      </c>
      <c r="B1155" t="s">
        <v>31961</v>
      </c>
      <c r="C1155" t="s">
        <v>74</v>
      </c>
      <c r="D1155" t="s">
        <v>74</v>
      </c>
      <c r="E1155" t="s">
        <v>74</v>
      </c>
      <c r="F1155" t="s">
        <v>31960</v>
      </c>
      <c r="G1155" t="s">
        <v>74</v>
      </c>
      <c r="H1155" t="s">
        <v>74</v>
      </c>
      <c r="I1155" t="s">
        <v>31959</v>
      </c>
      <c r="J1155" t="s">
        <v>1290</v>
      </c>
      <c r="K1155" t="s">
        <v>74</v>
      </c>
      <c r="L1155" t="s">
        <v>74</v>
      </c>
      <c r="M1155" t="s">
        <v>78</v>
      </c>
      <c r="N1155" t="s">
        <v>79</v>
      </c>
      <c r="O1155" t="s">
        <v>74</v>
      </c>
      <c r="P1155" t="s">
        <v>74</v>
      </c>
      <c r="Q1155" t="s">
        <v>74</v>
      </c>
      <c r="R1155" t="s">
        <v>74</v>
      </c>
      <c r="S1155" t="s">
        <v>74</v>
      </c>
      <c r="T1155" t="s">
        <v>31958</v>
      </c>
      <c r="U1155" t="s">
        <v>31957</v>
      </c>
      <c r="V1155" t="s">
        <v>31956</v>
      </c>
      <c r="W1155" t="s">
        <v>31955</v>
      </c>
      <c r="X1155" t="s">
        <v>31954</v>
      </c>
      <c r="Y1155" t="s">
        <v>31953</v>
      </c>
      <c r="Z1155" t="s">
        <v>31952</v>
      </c>
      <c r="AA1155" t="s">
        <v>31951</v>
      </c>
      <c r="AB1155" t="s">
        <v>31950</v>
      </c>
      <c r="AC1155" t="s">
        <v>31949</v>
      </c>
      <c r="AD1155" t="s">
        <v>31948</v>
      </c>
      <c r="AE1155" t="s">
        <v>31947</v>
      </c>
      <c r="AF1155" t="s">
        <v>74</v>
      </c>
      <c r="AG1155">
        <v>34</v>
      </c>
      <c r="AH1155">
        <v>5</v>
      </c>
      <c r="AI1155">
        <v>5</v>
      </c>
      <c r="AJ1155">
        <v>4</v>
      </c>
      <c r="AK1155">
        <v>12</v>
      </c>
      <c r="AL1155" t="s">
        <v>575</v>
      </c>
      <c r="AM1155" t="s">
        <v>576</v>
      </c>
      <c r="AN1155" t="s">
        <v>577</v>
      </c>
      <c r="AO1155" t="s">
        <v>1299</v>
      </c>
      <c r="AP1155" t="s">
        <v>74</v>
      </c>
      <c r="AQ1155" t="s">
        <v>74</v>
      </c>
      <c r="AR1155" t="s">
        <v>1300</v>
      </c>
      <c r="AS1155" t="s">
        <v>1301</v>
      </c>
      <c r="AT1155" t="s">
        <v>124</v>
      </c>
      <c r="AU1155">
        <v>2024</v>
      </c>
      <c r="AV1155">
        <v>12</v>
      </c>
      <c r="AW1155">
        <v>4</v>
      </c>
      <c r="AX1155" t="s">
        <v>74</v>
      </c>
      <c r="AY1155" t="s">
        <v>74</v>
      </c>
      <c r="AZ1155" t="s">
        <v>74</v>
      </c>
      <c r="BA1155" t="s">
        <v>74</v>
      </c>
      <c r="BB1155" t="s">
        <v>74</v>
      </c>
      <c r="BC1155" t="s">
        <v>74</v>
      </c>
      <c r="BD1155">
        <v>124</v>
      </c>
      <c r="BE1155" t="s">
        <v>31946</v>
      </c>
      <c r="BF1155" t="str">
        <f>HYPERLINK("http://dx.doi.org/10.3390/ijfs12040124","http://dx.doi.org/10.3390/ijfs12040124")</f>
        <v>http://dx.doi.org/10.3390/ijfs12040124</v>
      </c>
      <c r="BG1155" t="s">
        <v>74</v>
      </c>
      <c r="BH1155" t="s">
        <v>74</v>
      </c>
      <c r="BI1155">
        <v>20</v>
      </c>
      <c r="BJ1155" t="s">
        <v>268</v>
      </c>
      <c r="BK1155" t="s">
        <v>313</v>
      </c>
      <c r="BL1155" t="s">
        <v>100</v>
      </c>
      <c r="BM1155" t="s">
        <v>31945</v>
      </c>
      <c r="BN1155" t="s">
        <v>74</v>
      </c>
      <c r="BO1155" t="s">
        <v>212</v>
      </c>
      <c r="BP1155" t="s">
        <v>74</v>
      </c>
      <c r="BQ1155" t="s">
        <v>74</v>
      </c>
      <c r="BR1155" t="s">
        <v>102</v>
      </c>
      <c r="BS1155" t="s">
        <v>31944</v>
      </c>
      <c r="BT1155" t="str">
        <f>HYPERLINK("https%3A%2F%2Fwww.webofscience.com%2Fwos%2Fwoscc%2Ffull-record%2FWOS:001384758300001","View Full Record in Web of Science")</f>
        <v>View Full Record in Web of Science</v>
      </c>
    </row>
    <row r="1156" spans="1:72" x14ac:dyDescent="0.25">
      <c r="A1156" t="s">
        <v>72</v>
      </c>
      <c r="B1156" t="s">
        <v>27986</v>
      </c>
      <c r="C1156" t="s">
        <v>74</v>
      </c>
      <c r="D1156" t="s">
        <v>74</v>
      </c>
      <c r="E1156" t="s">
        <v>74</v>
      </c>
      <c r="F1156" t="s">
        <v>27985</v>
      </c>
      <c r="G1156" t="s">
        <v>74</v>
      </c>
      <c r="H1156" t="s">
        <v>74</v>
      </c>
      <c r="I1156" t="s">
        <v>31943</v>
      </c>
      <c r="J1156" t="s">
        <v>14228</v>
      </c>
      <c r="K1156" t="s">
        <v>74</v>
      </c>
      <c r="L1156" t="s">
        <v>74</v>
      </c>
      <c r="M1156" t="s">
        <v>78</v>
      </c>
      <c r="N1156" t="s">
        <v>79</v>
      </c>
      <c r="O1156" t="s">
        <v>74</v>
      </c>
      <c r="P1156" t="s">
        <v>74</v>
      </c>
      <c r="Q1156" t="s">
        <v>74</v>
      </c>
      <c r="R1156" t="s">
        <v>74</v>
      </c>
      <c r="S1156" t="s">
        <v>74</v>
      </c>
      <c r="T1156" t="s">
        <v>31942</v>
      </c>
      <c r="U1156" t="s">
        <v>74</v>
      </c>
      <c r="V1156" t="s">
        <v>31941</v>
      </c>
      <c r="W1156" t="s">
        <v>27980</v>
      </c>
      <c r="X1156" t="s">
        <v>74</v>
      </c>
      <c r="Y1156" t="s">
        <v>27979</v>
      </c>
      <c r="Z1156" t="s">
        <v>27978</v>
      </c>
      <c r="AA1156" t="s">
        <v>74</v>
      </c>
      <c r="AB1156" t="s">
        <v>74</v>
      </c>
      <c r="AC1156" t="s">
        <v>74</v>
      </c>
      <c r="AD1156" t="s">
        <v>74</v>
      </c>
      <c r="AE1156" t="s">
        <v>74</v>
      </c>
      <c r="AF1156" t="s">
        <v>74</v>
      </c>
      <c r="AG1156">
        <v>10</v>
      </c>
      <c r="AH1156">
        <v>0</v>
      </c>
      <c r="AI1156">
        <v>2</v>
      </c>
      <c r="AJ1156">
        <v>0</v>
      </c>
      <c r="AK1156">
        <v>5</v>
      </c>
      <c r="AL1156" t="s">
        <v>332</v>
      </c>
      <c r="AM1156" t="s">
        <v>333</v>
      </c>
      <c r="AN1156" t="s">
        <v>334</v>
      </c>
      <c r="AO1156" t="s">
        <v>14237</v>
      </c>
      <c r="AP1156" t="s">
        <v>14238</v>
      </c>
      <c r="AQ1156" t="s">
        <v>74</v>
      </c>
      <c r="AR1156" t="s">
        <v>14239</v>
      </c>
      <c r="AS1156" t="s">
        <v>14240</v>
      </c>
      <c r="AT1156" t="s">
        <v>31940</v>
      </c>
      <c r="AU1156">
        <v>2025</v>
      </c>
      <c r="AV1156">
        <v>32</v>
      </c>
      <c r="AW1156">
        <v>5</v>
      </c>
      <c r="AX1156" t="s">
        <v>74</v>
      </c>
      <c r="AY1156" t="s">
        <v>74</v>
      </c>
      <c r="AZ1156" t="s">
        <v>74</v>
      </c>
      <c r="BA1156" t="s">
        <v>74</v>
      </c>
      <c r="BB1156">
        <v>721</v>
      </c>
      <c r="BC1156">
        <v>725</v>
      </c>
      <c r="BD1156" t="s">
        <v>74</v>
      </c>
      <c r="BE1156" t="s">
        <v>31939</v>
      </c>
      <c r="BF1156" t="str">
        <f>HYPERLINK("http://dx.doi.org/10.1080/13504851.2023.2289380","http://dx.doi.org/10.1080/13504851.2023.2289380")</f>
        <v>http://dx.doi.org/10.1080/13504851.2023.2289380</v>
      </c>
      <c r="BG1156" t="s">
        <v>74</v>
      </c>
      <c r="BH1156" t="s">
        <v>1524</v>
      </c>
      <c r="BI1156">
        <v>5</v>
      </c>
      <c r="BJ1156" t="s">
        <v>291</v>
      </c>
      <c r="BK1156" t="s">
        <v>99</v>
      </c>
      <c r="BL1156" t="s">
        <v>100</v>
      </c>
      <c r="BM1156" t="s">
        <v>31938</v>
      </c>
      <c r="BN1156" t="s">
        <v>74</v>
      </c>
      <c r="BO1156" t="s">
        <v>74</v>
      </c>
      <c r="BP1156" t="s">
        <v>74</v>
      </c>
      <c r="BQ1156" t="s">
        <v>74</v>
      </c>
      <c r="BR1156" t="s">
        <v>102</v>
      </c>
      <c r="BS1156" t="s">
        <v>31937</v>
      </c>
      <c r="BT1156" t="str">
        <f>HYPERLINK("https%3A%2F%2Fwww.webofscience.com%2Fwos%2Fwoscc%2Ffull-record%2FWOS:001153792600001","View Full Record in Web of Science")</f>
        <v>View Full Record in Web of Science</v>
      </c>
    </row>
    <row r="1157" spans="1:72" x14ac:dyDescent="0.25">
      <c r="A1157" t="s">
        <v>72</v>
      </c>
      <c r="B1157" t="s">
        <v>31936</v>
      </c>
      <c r="C1157" t="s">
        <v>74</v>
      </c>
      <c r="D1157" t="s">
        <v>74</v>
      </c>
      <c r="E1157" t="s">
        <v>74</v>
      </c>
      <c r="F1157" t="s">
        <v>31935</v>
      </c>
      <c r="G1157" t="s">
        <v>74</v>
      </c>
      <c r="H1157" t="s">
        <v>74</v>
      </c>
      <c r="I1157" t="s">
        <v>31934</v>
      </c>
      <c r="J1157" t="s">
        <v>2763</v>
      </c>
      <c r="K1157" t="s">
        <v>74</v>
      </c>
      <c r="L1157" t="s">
        <v>74</v>
      </c>
      <c r="M1157" t="s">
        <v>78</v>
      </c>
      <c r="N1157" t="s">
        <v>79</v>
      </c>
      <c r="O1157" t="s">
        <v>74</v>
      </c>
      <c r="P1157" t="s">
        <v>74</v>
      </c>
      <c r="Q1157" t="s">
        <v>74</v>
      </c>
      <c r="R1157" t="s">
        <v>74</v>
      </c>
      <c r="S1157" t="s">
        <v>74</v>
      </c>
      <c r="T1157" t="s">
        <v>31933</v>
      </c>
      <c r="U1157" t="s">
        <v>31932</v>
      </c>
      <c r="V1157" t="s">
        <v>31931</v>
      </c>
      <c r="W1157" t="s">
        <v>31930</v>
      </c>
      <c r="X1157" t="s">
        <v>31929</v>
      </c>
      <c r="Y1157" t="s">
        <v>31928</v>
      </c>
      <c r="Z1157" t="s">
        <v>31927</v>
      </c>
      <c r="AA1157" t="s">
        <v>31926</v>
      </c>
      <c r="AB1157" t="s">
        <v>31925</v>
      </c>
      <c r="AC1157" t="s">
        <v>31924</v>
      </c>
      <c r="AD1157" t="s">
        <v>31924</v>
      </c>
      <c r="AE1157" t="s">
        <v>31924</v>
      </c>
      <c r="AF1157" t="s">
        <v>74</v>
      </c>
      <c r="AG1157">
        <v>89</v>
      </c>
      <c r="AH1157">
        <v>6</v>
      </c>
      <c r="AI1157">
        <v>7</v>
      </c>
      <c r="AJ1157">
        <v>6</v>
      </c>
      <c r="AK1157">
        <v>44</v>
      </c>
      <c r="AL1157" t="s">
        <v>479</v>
      </c>
      <c r="AM1157" t="s">
        <v>480</v>
      </c>
      <c r="AN1157" t="s">
        <v>481</v>
      </c>
      <c r="AO1157" t="s">
        <v>2776</v>
      </c>
      <c r="AP1157" t="s">
        <v>2777</v>
      </c>
      <c r="AQ1157" t="s">
        <v>74</v>
      </c>
      <c r="AR1157" t="s">
        <v>2778</v>
      </c>
      <c r="AS1157" t="s">
        <v>2779</v>
      </c>
      <c r="AT1157" t="s">
        <v>1540</v>
      </c>
      <c r="AU1157">
        <v>2024</v>
      </c>
      <c r="AV1157">
        <v>28</v>
      </c>
      <c r="AW1157">
        <v>2</v>
      </c>
      <c r="AX1157" t="s">
        <v>74</v>
      </c>
      <c r="AY1157" t="s">
        <v>74</v>
      </c>
      <c r="AZ1157" t="s">
        <v>74</v>
      </c>
      <c r="BA1157" t="s">
        <v>74</v>
      </c>
      <c r="BB1157">
        <v>462</v>
      </c>
      <c r="BC1157">
        <v>498</v>
      </c>
      <c r="BD1157" t="s">
        <v>74</v>
      </c>
      <c r="BE1157" t="s">
        <v>31923</v>
      </c>
      <c r="BF1157" t="str">
        <f>HYPERLINK("http://dx.doi.org/10.1111/rode.13062","http://dx.doi.org/10.1111/rode.13062")</f>
        <v>http://dx.doi.org/10.1111/rode.13062</v>
      </c>
      <c r="BG1157" t="s">
        <v>74</v>
      </c>
      <c r="BH1157" t="s">
        <v>2417</v>
      </c>
      <c r="BI1157">
        <v>37</v>
      </c>
      <c r="BJ1157" t="s">
        <v>701</v>
      </c>
      <c r="BK1157" t="s">
        <v>99</v>
      </c>
      <c r="BL1157" t="s">
        <v>702</v>
      </c>
      <c r="BM1157" t="s">
        <v>31922</v>
      </c>
      <c r="BN1157" t="s">
        <v>74</v>
      </c>
      <c r="BO1157" t="s">
        <v>270</v>
      </c>
      <c r="BP1157" t="s">
        <v>74</v>
      </c>
      <c r="BQ1157" t="s">
        <v>74</v>
      </c>
      <c r="BR1157" t="s">
        <v>102</v>
      </c>
      <c r="BS1157" t="s">
        <v>31921</v>
      </c>
      <c r="BT1157" t="str">
        <f>HYPERLINK("https%3A%2F%2Fwww.webofscience.com%2Fwos%2Fwoscc%2Ffull-record%2FWOS:001089195200001","View Full Record in Web of Science")</f>
        <v>View Full Record in Web of Science</v>
      </c>
    </row>
    <row r="1158" spans="1:72" x14ac:dyDescent="0.25">
      <c r="A1158" t="s">
        <v>72</v>
      </c>
      <c r="B1158" t="s">
        <v>31920</v>
      </c>
      <c r="C1158" t="s">
        <v>74</v>
      </c>
      <c r="D1158" t="s">
        <v>74</v>
      </c>
      <c r="E1158" t="s">
        <v>74</v>
      </c>
      <c r="F1158" t="s">
        <v>31919</v>
      </c>
      <c r="G1158" t="s">
        <v>74</v>
      </c>
      <c r="H1158" t="s">
        <v>74</v>
      </c>
      <c r="I1158" t="s">
        <v>31918</v>
      </c>
      <c r="J1158" t="s">
        <v>4306</v>
      </c>
      <c r="K1158" t="s">
        <v>74</v>
      </c>
      <c r="L1158" t="s">
        <v>74</v>
      </c>
      <c r="M1158" t="s">
        <v>78</v>
      </c>
      <c r="N1158" t="s">
        <v>79</v>
      </c>
      <c r="O1158" t="s">
        <v>74</v>
      </c>
      <c r="P1158" t="s">
        <v>74</v>
      </c>
      <c r="Q1158" t="s">
        <v>74</v>
      </c>
      <c r="R1158" t="s">
        <v>74</v>
      </c>
      <c r="S1158" t="s">
        <v>74</v>
      </c>
      <c r="T1158" t="s">
        <v>31917</v>
      </c>
      <c r="U1158" t="s">
        <v>31916</v>
      </c>
      <c r="V1158" t="s">
        <v>31915</v>
      </c>
      <c r="W1158" t="s">
        <v>31914</v>
      </c>
      <c r="X1158" t="s">
        <v>31913</v>
      </c>
      <c r="Y1158" t="s">
        <v>31912</v>
      </c>
      <c r="Z1158" t="s">
        <v>31911</v>
      </c>
      <c r="AA1158" t="s">
        <v>31910</v>
      </c>
      <c r="AB1158" t="s">
        <v>31909</v>
      </c>
      <c r="AC1158" t="s">
        <v>31908</v>
      </c>
      <c r="AD1158" t="s">
        <v>31907</v>
      </c>
      <c r="AE1158" t="s">
        <v>31906</v>
      </c>
      <c r="AF1158" t="s">
        <v>74</v>
      </c>
      <c r="AG1158">
        <v>79</v>
      </c>
      <c r="AH1158">
        <v>53</v>
      </c>
      <c r="AI1158">
        <v>63</v>
      </c>
      <c r="AJ1158">
        <v>5</v>
      </c>
      <c r="AK1158">
        <v>51</v>
      </c>
      <c r="AL1158" t="s">
        <v>503</v>
      </c>
      <c r="AM1158" t="s">
        <v>151</v>
      </c>
      <c r="AN1158" t="s">
        <v>504</v>
      </c>
      <c r="AO1158" t="s">
        <v>4315</v>
      </c>
      <c r="AP1158" t="s">
        <v>4316</v>
      </c>
      <c r="AQ1158" t="s">
        <v>74</v>
      </c>
      <c r="AR1158" t="s">
        <v>4317</v>
      </c>
      <c r="AS1158" t="s">
        <v>4318</v>
      </c>
      <c r="AT1158" t="s">
        <v>124</v>
      </c>
      <c r="AU1158">
        <v>2022</v>
      </c>
      <c r="AV1158">
        <v>185</v>
      </c>
      <c r="AW1158" t="s">
        <v>74</v>
      </c>
      <c r="AX1158" t="s">
        <v>74</v>
      </c>
      <c r="AY1158" t="s">
        <v>74</v>
      </c>
      <c r="AZ1158" t="s">
        <v>74</v>
      </c>
      <c r="BA1158" t="s">
        <v>74</v>
      </c>
      <c r="BB1158" t="s">
        <v>74</v>
      </c>
      <c r="BC1158" t="s">
        <v>74</v>
      </c>
      <c r="BD1158">
        <v>122045</v>
      </c>
      <c r="BE1158" t="s">
        <v>31905</v>
      </c>
      <c r="BF1158" t="str">
        <f>HYPERLINK("http://dx.doi.org/10.1016/j.techfore.2022.122045","http://dx.doi.org/10.1016/j.techfore.2022.122045")</f>
        <v>http://dx.doi.org/10.1016/j.techfore.2022.122045</v>
      </c>
      <c r="BG1158" t="s">
        <v>74</v>
      </c>
      <c r="BH1158" t="s">
        <v>3050</v>
      </c>
      <c r="BI1158">
        <v>21</v>
      </c>
      <c r="BJ1158" t="s">
        <v>1627</v>
      </c>
      <c r="BK1158" t="s">
        <v>99</v>
      </c>
      <c r="BL1158" t="s">
        <v>1406</v>
      </c>
      <c r="BM1158" t="s">
        <v>31904</v>
      </c>
      <c r="BN1158" t="s">
        <v>74</v>
      </c>
      <c r="BO1158" t="s">
        <v>270</v>
      </c>
      <c r="BP1158" t="s">
        <v>74</v>
      </c>
      <c r="BQ1158" t="s">
        <v>74</v>
      </c>
      <c r="BR1158" t="s">
        <v>102</v>
      </c>
      <c r="BS1158" t="s">
        <v>31903</v>
      </c>
      <c r="BT1158" t="str">
        <f>HYPERLINK("https%3A%2F%2Fwww.webofscience.com%2Fwos%2Fwoscc%2Ffull-record%2FWOS:000884855300002","View Full Record in Web of Science")</f>
        <v>View Full Record in Web of Science</v>
      </c>
    </row>
    <row r="1159" spans="1:72" x14ac:dyDescent="0.25">
      <c r="A1159" t="s">
        <v>72</v>
      </c>
      <c r="B1159" t="s">
        <v>31708</v>
      </c>
      <c r="C1159" t="s">
        <v>74</v>
      </c>
      <c r="D1159" t="s">
        <v>74</v>
      </c>
      <c r="E1159" t="s">
        <v>74</v>
      </c>
      <c r="F1159" t="s">
        <v>31706</v>
      </c>
      <c r="G1159" t="s">
        <v>74</v>
      </c>
      <c r="H1159" t="s">
        <v>74</v>
      </c>
      <c r="I1159" t="s">
        <v>31902</v>
      </c>
      <c r="J1159" t="s">
        <v>31901</v>
      </c>
      <c r="K1159" t="s">
        <v>74</v>
      </c>
      <c r="L1159" t="s">
        <v>74</v>
      </c>
      <c r="M1159" t="s">
        <v>78</v>
      </c>
      <c r="N1159" t="s">
        <v>79</v>
      </c>
      <c r="O1159" t="s">
        <v>74</v>
      </c>
      <c r="P1159" t="s">
        <v>74</v>
      </c>
      <c r="Q1159" t="s">
        <v>74</v>
      </c>
      <c r="R1159" t="s">
        <v>74</v>
      </c>
      <c r="S1159" t="s">
        <v>74</v>
      </c>
      <c r="T1159" t="s">
        <v>31698</v>
      </c>
      <c r="U1159" t="s">
        <v>31900</v>
      </c>
      <c r="V1159" t="s">
        <v>31899</v>
      </c>
      <c r="W1159" t="s">
        <v>31695</v>
      </c>
      <c r="X1159" t="s">
        <v>16474</v>
      </c>
      <c r="Y1159" t="s">
        <v>31694</v>
      </c>
      <c r="Z1159" t="s">
        <v>31898</v>
      </c>
      <c r="AA1159" t="s">
        <v>74</v>
      </c>
      <c r="AB1159" t="s">
        <v>74</v>
      </c>
      <c r="AC1159" t="s">
        <v>31897</v>
      </c>
      <c r="AD1159" t="s">
        <v>31897</v>
      </c>
      <c r="AE1159" t="s">
        <v>31896</v>
      </c>
      <c r="AF1159" t="s">
        <v>74</v>
      </c>
      <c r="AG1159">
        <v>18</v>
      </c>
      <c r="AH1159">
        <v>0</v>
      </c>
      <c r="AI1159">
        <v>0</v>
      </c>
      <c r="AJ1159">
        <v>0</v>
      </c>
      <c r="AK1159">
        <v>42</v>
      </c>
      <c r="AL1159" t="s">
        <v>31895</v>
      </c>
      <c r="AM1159" t="s">
        <v>6748</v>
      </c>
      <c r="AN1159" t="s">
        <v>31894</v>
      </c>
      <c r="AO1159" t="s">
        <v>31893</v>
      </c>
      <c r="AP1159" t="s">
        <v>74</v>
      </c>
      <c r="AQ1159" t="s">
        <v>74</v>
      </c>
      <c r="AR1159" t="s">
        <v>31892</v>
      </c>
      <c r="AS1159" t="s">
        <v>31892</v>
      </c>
      <c r="AT1159" t="s">
        <v>698</v>
      </c>
      <c r="AU1159">
        <v>2017</v>
      </c>
      <c r="AV1159">
        <v>8</v>
      </c>
      <c r="AW1159">
        <v>3</v>
      </c>
      <c r="AX1159" t="s">
        <v>74</v>
      </c>
      <c r="AY1159" t="s">
        <v>74</v>
      </c>
      <c r="AZ1159" t="s">
        <v>74</v>
      </c>
      <c r="BA1159" t="s">
        <v>74</v>
      </c>
      <c r="BB1159">
        <v>75</v>
      </c>
      <c r="BC1159">
        <v>84</v>
      </c>
      <c r="BD1159" t="s">
        <v>74</v>
      </c>
      <c r="BE1159" t="s">
        <v>31891</v>
      </c>
      <c r="BF1159" t="str">
        <f>HYPERLINK("http://dx.doi.org/10.24212/2179-3565.2017v8i3p75-84","http://dx.doi.org/10.24212/2179-3565.2017v8i3p75-84")</f>
        <v>http://dx.doi.org/10.24212/2179-3565.2017v8i3p75-84</v>
      </c>
      <c r="BG1159" t="s">
        <v>74</v>
      </c>
      <c r="BH1159" t="s">
        <v>74</v>
      </c>
      <c r="BI1159">
        <v>10</v>
      </c>
      <c r="BJ1159" t="s">
        <v>583</v>
      </c>
      <c r="BK1159" t="s">
        <v>313</v>
      </c>
      <c r="BL1159" t="s">
        <v>100</v>
      </c>
      <c r="BM1159" t="s">
        <v>31890</v>
      </c>
      <c r="BN1159" t="s">
        <v>74</v>
      </c>
      <c r="BO1159" t="s">
        <v>212</v>
      </c>
      <c r="BP1159" t="s">
        <v>74</v>
      </c>
      <c r="BQ1159" t="s">
        <v>74</v>
      </c>
      <c r="BR1159" t="s">
        <v>102</v>
      </c>
      <c r="BS1159" t="s">
        <v>31889</v>
      </c>
      <c r="BT1159" t="str">
        <f>HYPERLINK("https%3A%2F%2Fwww.webofscience.com%2Fwos%2Fwoscc%2Ffull-record%2FWOS:000417409500006","View Full Record in Web of Science")</f>
        <v>View Full Record in Web of Science</v>
      </c>
    </row>
    <row r="1160" spans="1:72" x14ac:dyDescent="0.25">
      <c r="A1160" t="s">
        <v>72</v>
      </c>
      <c r="B1160" t="s">
        <v>31888</v>
      </c>
      <c r="C1160" t="s">
        <v>74</v>
      </c>
      <c r="D1160" t="s">
        <v>74</v>
      </c>
      <c r="E1160" t="s">
        <v>74</v>
      </c>
      <c r="F1160" t="s">
        <v>31887</v>
      </c>
      <c r="G1160" t="s">
        <v>74</v>
      </c>
      <c r="H1160" t="s">
        <v>74</v>
      </c>
      <c r="I1160" t="s">
        <v>31886</v>
      </c>
      <c r="J1160" t="s">
        <v>16325</v>
      </c>
      <c r="K1160" t="s">
        <v>74</v>
      </c>
      <c r="L1160" t="s">
        <v>74</v>
      </c>
      <c r="M1160" t="s">
        <v>78</v>
      </c>
      <c r="N1160" t="s">
        <v>79</v>
      </c>
      <c r="O1160" t="s">
        <v>74</v>
      </c>
      <c r="P1160" t="s">
        <v>74</v>
      </c>
      <c r="Q1160" t="s">
        <v>74</v>
      </c>
      <c r="R1160" t="s">
        <v>74</v>
      </c>
      <c r="S1160" t="s">
        <v>74</v>
      </c>
      <c r="T1160" t="s">
        <v>31885</v>
      </c>
      <c r="U1160" t="s">
        <v>31884</v>
      </c>
      <c r="V1160" t="s">
        <v>31883</v>
      </c>
      <c r="W1160" t="s">
        <v>31882</v>
      </c>
      <c r="X1160" t="s">
        <v>31881</v>
      </c>
      <c r="Y1160" t="s">
        <v>31880</v>
      </c>
      <c r="Z1160" t="s">
        <v>31879</v>
      </c>
      <c r="AA1160" t="s">
        <v>31878</v>
      </c>
      <c r="AB1160" t="s">
        <v>31877</v>
      </c>
      <c r="AC1160" t="s">
        <v>31876</v>
      </c>
      <c r="AD1160" t="s">
        <v>31875</v>
      </c>
      <c r="AE1160" t="s">
        <v>31874</v>
      </c>
      <c r="AF1160" t="s">
        <v>74</v>
      </c>
      <c r="AG1160">
        <v>94</v>
      </c>
      <c r="AH1160">
        <v>0</v>
      </c>
      <c r="AI1160">
        <v>0</v>
      </c>
      <c r="AJ1160">
        <v>5</v>
      </c>
      <c r="AK1160">
        <v>5</v>
      </c>
      <c r="AL1160" t="s">
        <v>16335</v>
      </c>
      <c r="AM1160" t="s">
        <v>16336</v>
      </c>
      <c r="AN1160" t="s">
        <v>16337</v>
      </c>
      <c r="AO1160" t="s">
        <v>16338</v>
      </c>
      <c r="AP1160" t="s">
        <v>16339</v>
      </c>
      <c r="AQ1160" t="s">
        <v>74</v>
      </c>
      <c r="AR1160" t="s">
        <v>16340</v>
      </c>
      <c r="AS1160" t="s">
        <v>16341</v>
      </c>
      <c r="AT1160" t="s">
        <v>289</v>
      </c>
      <c r="AU1160">
        <v>2025</v>
      </c>
      <c r="AV1160">
        <v>9</v>
      </c>
      <c r="AW1160">
        <v>1</v>
      </c>
      <c r="AX1160" t="s">
        <v>74</v>
      </c>
      <c r="AY1160" t="s">
        <v>74</v>
      </c>
      <c r="AZ1160" t="s">
        <v>74</v>
      </c>
      <c r="BA1160" t="s">
        <v>74</v>
      </c>
      <c r="BB1160">
        <v>232</v>
      </c>
      <c r="BC1160">
        <v>250</v>
      </c>
      <c r="BD1160" t="s">
        <v>74</v>
      </c>
      <c r="BE1160" t="s">
        <v>31873</v>
      </c>
      <c r="BF1160" t="str">
        <f>HYPERLINK("http://dx.doi.org/10.20448/ijsam.v9i1.7270","http://dx.doi.org/10.20448/ijsam.v9i1.7270")</f>
        <v>http://dx.doi.org/10.20448/ijsam.v9i1.7270</v>
      </c>
      <c r="BG1160" t="s">
        <v>74</v>
      </c>
      <c r="BH1160" t="s">
        <v>74</v>
      </c>
      <c r="BI1160">
        <v>19</v>
      </c>
      <c r="BJ1160" t="s">
        <v>4632</v>
      </c>
      <c r="BK1160" t="s">
        <v>313</v>
      </c>
      <c r="BL1160" t="s">
        <v>100</v>
      </c>
      <c r="BM1160" t="s">
        <v>21281</v>
      </c>
      <c r="BN1160" t="s">
        <v>74</v>
      </c>
      <c r="BO1160" t="s">
        <v>212</v>
      </c>
      <c r="BP1160" t="s">
        <v>74</v>
      </c>
      <c r="BQ1160" t="s">
        <v>74</v>
      </c>
      <c r="BR1160" t="s">
        <v>102</v>
      </c>
      <c r="BS1160" t="s">
        <v>31872</v>
      </c>
      <c r="BT1160" t="str">
        <f>HYPERLINK("https%3A%2F%2Fwww.webofscience.com%2Fwos%2Fwoscc%2Ffull-record%2FWOS:001604218900015","View Full Record in Web of Science")</f>
        <v>View Full Record in Web of Science</v>
      </c>
    </row>
    <row r="1161" spans="1:72" x14ac:dyDescent="0.25">
      <c r="A1161" t="s">
        <v>132</v>
      </c>
      <c r="B1161" t="s">
        <v>27484</v>
      </c>
      <c r="C1161" t="s">
        <v>74</v>
      </c>
      <c r="D1161" t="s">
        <v>74</v>
      </c>
      <c r="E1161" t="s">
        <v>771</v>
      </c>
      <c r="F1161" t="s">
        <v>27483</v>
      </c>
      <c r="G1161" t="s">
        <v>74</v>
      </c>
      <c r="H1161" t="s">
        <v>74</v>
      </c>
      <c r="I1161" t="s">
        <v>31871</v>
      </c>
      <c r="J1161" t="s">
        <v>31870</v>
      </c>
      <c r="K1161" t="s">
        <v>74</v>
      </c>
      <c r="L1161" t="s">
        <v>74</v>
      </c>
      <c r="M1161" t="s">
        <v>78</v>
      </c>
      <c r="N1161" t="s">
        <v>138</v>
      </c>
      <c r="O1161" t="s">
        <v>31869</v>
      </c>
      <c r="P1161" t="s">
        <v>31868</v>
      </c>
      <c r="Q1161" t="s">
        <v>6463</v>
      </c>
      <c r="R1161" t="s">
        <v>31867</v>
      </c>
      <c r="S1161" t="s">
        <v>74</v>
      </c>
      <c r="T1161" t="s">
        <v>31866</v>
      </c>
      <c r="U1161" t="s">
        <v>74</v>
      </c>
      <c r="V1161" t="s">
        <v>31865</v>
      </c>
      <c r="W1161" t="s">
        <v>31864</v>
      </c>
      <c r="X1161" t="s">
        <v>27478</v>
      </c>
      <c r="Y1161" t="s">
        <v>31863</v>
      </c>
      <c r="Z1161" t="s">
        <v>27476</v>
      </c>
      <c r="AA1161" t="s">
        <v>27475</v>
      </c>
      <c r="AB1161" t="s">
        <v>27474</v>
      </c>
      <c r="AC1161" t="s">
        <v>74</v>
      </c>
      <c r="AD1161" t="s">
        <v>74</v>
      </c>
      <c r="AE1161" t="s">
        <v>74</v>
      </c>
      <c r="AF1161" t="s">
        <v>74</v>
      </c>
      <c r="AG1161">
        <v>25</v>
      </c>
      <c r="AH1161">
        <v>9</v>
      </c>
      <c r="AI1161">
        <v>9</v>
      </c>
      <c r="AJ1161">
        <v>0</v>
      </c>
      <c r="AK1161">
        <v>1</v>
      </c>
      <c r="AL1161" t="s">
        <v>771</v>
      </c>
      <c r="AM1161" t="s">
        <v>151</v>
      </c>
      <c r="AN1161" t="s">
        <v>785</v>
      </c>
      <c r="AO1161" t="s">
        <v>74</v>
      </c>
      <c r="AP1161" t="s">
        <v>74</v>
      </c>
      <c r="AQ1161" t="s">
        <v>31862</v>
      </c>
      <c r="AR1161" t="s">
        <v>74</v>
      </c>
      <c r="AS1161" t="s">
        <v>74</v>
      </c>
      <c r="AT1161" t="s">
        <v>74</v>
      </c>
      <c r="AU1161">
        <v>2018</v>
      </c>
      <c r="AV1161" t="s">
        <v>74</v>
      </c>
      <c r="AW1161" t="s">
        <v>74</v>
      </c>
      <c r="AX1161" t="s">
        <v>74</v>
      </c>
      <c r="AY1161" t="s">
        <v>74</v>
      </c>
      <c r="AZ1161" t="s">
        <v>74</v>
      </c>
      <c r="BA1161" t="s">
        <v>74</v>
      </c>
      <c r="BB1161" t="s">
        <v>74</v>
      </c>
      <c r="BC1161" t="s">
        <v>74</v>
      </c>
      <c r="BD1161" t="s">
        <v>74</v>
      </c>
      <c r="BE1161" t="s">
        <v>74</v>
      </c>
      <c r="BF1161" t="s">
        <v>74</v>
      </c>
      <c r="BG1161" t="s">
        <v>74</v>
      </c>
      <c r="BH1161" t="s">
        <v>74</v>
      </c>
      <c r="BI1161">
        <v>8</v>
      </c>
      <c r="BJ1161" t="s">
        <v>31861</v>
      </c>
      <c r="BK1161" t="s">
        <v>156</v>
      </c>
      <c r="BL1161" t="s">
        <v>31860</v>
      </c>
      <c r="BM1161" t="s">
        <v>31859</v>
      </c>
      <c r="BN1161" t="s">
        <v>74</v>
      </c>
      <c r="BO1161" t="s">
        <v>74</v>
      </c>
      <c r="BP1161" t="s">
        <v>74</v>
      </c>
      <c r="BQ1161" t="s">
        <v>74</v>
      </c>
      <c r="BR1161" t="s">
        <v>102</v>
      </c>
      <c r="BS1161" t="s">
        <v>31858</v>
      </c>
      <c r="BT1161" t="str">
        <f>HYPERLINK("https%3A%2F%2Fwww.webofscience.com%2Fwos%2Fwoscc%2Ffull-record%2FWOS:000469921000056","View Full Record in Web of Science")</f>
        <v>View Full Record in Web of Science</v>
      </c>
    </row>
    <row r="1162" spans="1:72" x14ac:dyDescent="0.25">
      <c r="A1162" t="s">
        <v>72</v>
      </c>
      <c r="B1162" t="s">
        <v>31857</v>
      </c>
      <c r="C1162" t="s">
        <v>74</v>
      </c>
      <c r="D1162" t="s">
        <v>74</v>
      </c>
      <c r="E1162" t="s">
        <v>74</v>
      </c>
      <c r="F1162" t="s">
        <v>31856</v>
      </c>
      <c r="G1162" t="s">
        <v>74</v>
      </c>
      <c r="H1162" t="s">
        <v>74</v>
      </c>
      <c r="I1162" t="s">
        <v>31855</v>
      </c>
      <c r="J1162" t="s">
        <v>1987</v>
      </c>
      <c r="K1162" t="s">
        <v>74</v>
      </c>
      <c r="L1162" t="s">
        <v>74</v>
      </c>
      <c r="M1162" t="s">
        <v>78</v>
      </c>
      <c r="N1162" t="s">
        <v>79</v>
      </c>
      <c r="O1162" t="s">
        <v>74</v>
      </c>
      <c r="P1162" t="s">
        <v>74</v>
      </c>
      <c r="Q1162" t="s">
        <v>74</v>
      </c>
      <c r="R1162" t="s">
        <v>74</v>
      </c>
      <c r="S1162" t="s">
        <v>74</v>
      </c>
      <c r="T1162" t="s">
        <v>31854</v>
      </c>
      <c r="U1162" t="s">
        <v>31853</v>
      </c>
      <c r="V1162" t="s">
        <v>31852</v>
      </c>
      <c r="W1162" t="s">
        <v>31851</v>
      </c>
      <c r="X1162" t="s">
        <v>6910</v>
      </c>
      <c r="Y1162" t="s">
        <v>31850</v>
      </c>
      <c r="Z1162" t="s">
        <v>31849</v>
      </c>
      <c r="AA1162" t="s">
        <v>74</v>
      </c>
      <c r="AB1162" t="s">
        <v>31848</v>
      </c>
      <c r="AC1162" t="s">
        <v>74</v>
      </c>
      <c r="AD1162" t="s">
        <v>74</v>
      </c>
      <c r="AE1162" t="s">
        <v>74</v>
      </c>
      <c r="AF1162" t="s">
        <v>74</v>
      </c>
      <c r="AG1162">
        <v>91</v>
      </c>
      <c r="AH1162">
        <v>16</v>
      </c>
      <c r="AI1162">
        <v>20</v>
      </c>
      <c r="AJ1162">
        <v>4</v>
      </c>
      <c r="AK1162">
        <v>46</v>
      </c>
      <c r="AL1162" t="s">
        <v>479</v>
      </c>
      <c r="AM1162" t="s">
        <v>480</v>
      </c>
      <c r="AN1162" t="s">
        <v>481</v>
      </c>
      <c r="AO1162" t="s">
        <v>1997</v>
      </c>
      <c r="AP1162" t="s">
        <v>1998</v>
      </c>
      <c r="AQ1162" t="s">
        <v>74</v>
      </c>
      <c r="AR1162" t="s">
        <v>1999</v>
      </c>
      <c r="AS1162" t="s">
        <v>2000</v>
      </c>
      <c r="AT1162" t="s">
        <v>743</v>
      </c>
      <c r="AU1162">
        <v>2022</v>
      </c>
      <c r="AV1162">
        <v>34</v>
      </c>
      <c r="AW1162">
        <v>3</v>
      </c>
      <c r="AX1162" t="s">
        <v>74</v>
      </c>
      <c r="AY1162" t="s">
        <v>74</v>
      </c>
      <c r="AZ1162" t="s">
        <v>74</v>
      </c>
      <c r="BA1162" t="s">
        <v>74</v>
      </c>
      <c r="BB1162">
        <v>587</v>
      </c>
      <c r="BC1162">
        <v>611</v>
      </c>
      <c r="BD1162" t="s">
        <v>74</v>
      </c>
      <c r="BE1162" t="s">
        <v>31847</v>
      </c>
      <c r="BF1162" t="str">
        <f>HYPERLINK("http://dx.doi.org/10.1002/jid.3610","http://dx.doi.org/10.1002/jid.3610")</f>
        <v>http://dx.doi.org/10.1002/jid.3610</v>
      </c>
      <c r="BG1162" t="s">
        <v>74</v>
      </c>
      <c r="BH1162" t="s">
        <v>674</v>
      </c>
      <c r="BI1162">
        <v>25</v>
      </c>
      <c r="BJ1162" t="s">
        <v>1137</v>
      </c>
      <c r="BK1162" t="s">
        <v>99</v>
      </c>
      <c r="BL1162" t="s">
        <v>1137</v>
      </c>
      <c r="BM1162" t="s">
        <v>31846</v>
      </c>
      <c r="BN1162" t="s">
        <v>74</v>
      </c>
      <c r="BO1162" t="s">
        <v>74</v>
      </c>
      <c r="BP1162" t="s">
        <v>74</v>
      </c>
      <c r="BQ1162" t="s">
        <v>74</v>
      </c>
      <c r="BR1162" t="s">
        <v>102</v>
      </c>
      <c r="BS1162" t="s">
        <v>31845</v>
      </c>
      <c r="BT1162" t="str">
        <f>HYPERLINK("https%3A%2F%2Fwww.webofscience.com%2Fwos%2Fwoscc%2Ffull-record%2FWOS:000751887100001","View Full Record in Web of Science")</f>
        <v>View Full Record in Web of Science</v>
      </c>
    </row>
    <row r="1163" spans="1:72" x14ac:dyDescent="0.25">
      <c r="A1163" t="s">
        <v>72</v>
      </c>
      <c r="B1163" t="s">
        <v>31844</v>
      </c>
      <c r="C1163" t="s">
        <v>74</v>
      </c>
      <c r="D1163" t="s">
        <v>74</v>
      </c>
      <c r="E1163" t="s">
        <v>74</v>
      </c>
      <c r="F1163" t="s">
        <v>31843</v>
      </c>
      <c r="G1163" t="s">
        <v>74</v>
      </c>
      <c r="H1163" t="s">
        <v>74</v>
      </c>
      <c r="I1163" t="s">
        <v>31842</v>
      </c>
      <c r="J1163" t="s">
        <v>1902</v>
      </c>
      <c r="K1163" t="s">
        <v>74</v>
      </c>
      <c r="L1163" t="s">
        <v>74</v>
      </c>
      <c r="M1163" t="s">
        <v>78</v>
      </c>
      <c r="N1163" t="s">
        <v>79</v>
      </c>
      <c r="O1163" t="s">
        <v>74</v>
      </c>
      <c r="P1163" t="s">
        <v>74</v>
      </c>
      <c r="Q1163" t="s">
        <v>74</v>
      </c>
      <c r="R1163" t="s">
        <v>74</v>
      </c>
      <c r="S1163" t="s">
        <v>74</v>
      </c>
      <c r="T1163" t="s">
        <v>31841</v>
      </c>
      <c r="U1163" t="s">
        <v>31840</v>
      </c>
      <c r="V1163" t="s">
        <v>31839</v>
      </c>
      <c r="W1163" t="s">
        <v>31838</v>
      </c>
      <c r="X1163" t="s">
        <v>31837</v>
      </c>
      <c r="Y1163" t="s">
        <v>31836</v>
      </c>
      <c r="Z1163" t="s">
        <v>31835</v>
      </c>
      <c r="AA1163" t="s">
        <v>31834</v>
      </c>
      <c r="AB1163" t="s">
        <v>31833</v>
      </c>
      <c r="AC1163" t="s">
        <v>74</v>
      </c>
      <c r="AD1163" t="s">
        <v>74</v>
      </c>
      <c r="AE1163" t="s">
        <v>31832</v>
      </c>
      <c r="AF1163" t="s">
        <v>74</v>
      </c>
      <c r="AG1163">
        <v>100</v>
      </c>
      <c r="AH1163">
        <v>2</v>
      </c>
      <c r="AI1163">
        <v>2</v>
      </c>
      <c r="AJ1163">
        <v>0</v>
      </c>
      <c r="AK1163">
        <v>9</v>
      </c>
      <c r="AL1163" t="s">
        <v>89</v>
      </c>
      <c r="AM1163" t="s">
        <v>90</v>
      </c>
      <c r="AN1163" t="s">
        <v>91</v>
      </c>
      <c r="AO1163" t="s">
        <v>1910</v>
      </c>
      <c r="AP1163" t="s">
        <v>1911</v>
      </c>
      <c r="AQ1163" t="s">
        <v>74</v>
      </c>
      <c r="AR1163" t="s">
        <v>1912</v>
      </c>
      <c r="AS1163" t="s">
        <v>1913</v>
      </c>
      <c r="AT1163" t="s">
        <v>31831</v>
      </c>
      <c r="AU1163">
        <v>2025</v>
      </c>
      <c r="AV1163">
        <v>17</v>
      </c>
      <c r="AW1163">
        <v>3</v>
      </c>
      <c r="AX1163" t="s">
        <v>74</v>
      </c>
      <c r="AY1163" t="s">
        <v>74</v>
      </c>
      <c r="AZ1163" t="s">
        <v>74</v>
      </c>
      <c r="BA1163" t="s">
        <v>74</v>
      </c>
      <c r="BB1163">
        <v>378</v>
      </c>
      <c r="BC1163">
        <v>412</v>
      </c>
      <c r="BD1163" t="s">
        <v>74</v>
      </c>
      <c r="BE1163" t="s">
        <v>31830</v>
      </c>
      <c r="BF1163" t="str">
        <f>HYPERLINK("http://dx.doi.org/10.1108/JFEP-02-2024-0048","http://dx.doi.org/10.1108/JFEP-02-2024-0048")</f>
        <v>http://dx.doi.org/10.1108/JFEP-02-2024-0048</v>
      </c>
      <c r="BG1163" t="s">
        <v>74</v>
      </c>
      <c r="BH1163" t="s">
        <v>393</v>
      </c>
      <c r="BI1163">
        <v>35</v>
      </c>
      <c r="BJ1163" t="s">
        <v>291</v>
      </c>
      <c r="BK1163" t="s">
        <v>313</v>
      </c>
      <c r="BL1163" t="s">
        <v>100</v>
      </c>
      <c r="BM1163" t="s">
        <v>31829</v>
      </c>
      <c r="BN1163" t="s">
        <v>74</v>
      </c>
      <c r="BO1163" t="s">
        <v>74</v>
      </c>
      <c r="BP1163" t="s">
        <v>74</v>
      </c>
      <c r="BQ1163" t="s">
        <v>74</v>
      </c>
      <c r="BR1163" t="s">
        <v>102</v>
      </c>
      <c r="BS1163" t="s">
        <v>31828</v>
      </c>
      <c r="BT1163" t="str">
        <f>HYPERLINK("https%3A%2F%2Fwww.webofscience.com%2Fwos%2Fwoscc%2Ffull-record%2FWOS:001296466000001","View Full Record in Web of Science")</f>
        <v>View Full Record in Web of Science</v>
      </c>
    </row>
    <row r="1164" spans="1:72" x14ac:dyDescent="0.25">
      <c r="A1164" t="s">
        <v>72</v>
      </c>
      <c r="B1164" t="s">
        <v>31827</v>
      </c>
      <c r="C1164" t="s">
        <v>74</v>
      </c>
      <c r="D1164" t="s">
        <v>74</v>
      </c>
      <c r="E1164" t="s">
        <v>74</v>
      </c>
      <c r="F1164" t="s">
        <v>31826</v>
      </c>
      <c r="G1164" t="s">
        <v>74</v>
      </c>
      <c r="H1164" t="s">
        <v>74</v>
      </c>
      <c r="I1164" t="s">
        <v>31825</v>
      </c>
      <c r="J1164" t="s">
        <v>8942</v>
      </c>
      <c r="K1164" t="s">
        <v>74</v>
      </c>
      <c r="L1164" t="s">
        <v>74</v>
      </c>
      <c r="M1164" t="s">
        <v>78</v>
      </c>
      <c r="N1164" t="s">
        <v>372</v>
      </c>
      <c r="O1164" t="s">
        <v>74</v>
      </c>
      <c r="P1164" t="s">
        <v>74</v>
      </c>
      <c r="Q1164" t="s">
        <v>74</v>
      </c>
      <c r="R1164" t="s">
        <v>74</v>
      </c>
      <c r="S1164" t="s">
        <v>74</v>
      </c>
      <c r="T1164" t="s">
        <v>31824</v>
      </c>
      <c r="U1164" t="s">
        <v>31823</v>
      </c>
      <c r="V1164" t="s">
        <v>31822</v>
      </c>
      <c r="W1164" t="s">
        <v>31821</v>
      </c>
      <c r="X1164" t="s">
        <v>3960</v>
      </c>
      <c r="Y1164" t="s">
        <v>31820</v>
      </c>
      <c r="Z1164" t="s">
        <v>31819</v>
      </c>
      <c r="AA1164" t="s">
        <v>31818</v>
      </c>
      <c r="AB1164" t="s">
        <v>74</v>
      </c>
      <c r="AC1164" t="s">
        <v>74</v>
      </c>
      <c r="AD1164" t="s">
        <v>74</v>
      </c>
      <c r="AE1164" t="s">
        <v>74</v>
      </c>
      <c r="AF1164" t="s">
        <v>74</v>
      </c>
      <c r="AG1164">
        <v>64</v>
      </c>
      <c r="AH1164">
        <v>0</v>
      </c>
      <c r="AI1164">
        <v>0</v>
      </c>
      <c r="AJ1164">
        <v>0</v>
      </c>
      <c r="AK1164">
        <v>0</v>
      </c>
      <c r="AL1164" t="s">
        <v>89</v>
      </c>
      <c r="AM1164" t="s">
        <v>90</v>
      </c>
      <c r="AN1164" t="s">
        <v>91</v>
      </c>
      <c r="AO1164" t="s">
        <v>8952</v>
      </c>
      <c r="AP1164" t="s">
        <v>8953</v>
      </c>
      <c r="AQ1164" t="s">
        <v>74</v>
      </c>
      <c r="AR1164" t="s">
        <v>8954</v>
      </c>
      <c r="AS1164" t="s">
        <v>8955</v>
      </c>
      <c r="AT1164" t="s">
        <v>31817</v>
      </c>
      <c r="AU1164">
        <v>2025</v>
      </c>
      <c r="AV1164" t="s">
        <v>74</v>
      </c>
      <c r="AW1164" t="s">
        <v>74</v>
      </c>
      <c r="AX1164" t="s">
        <v>74</v>
      </c>
      <c r="AY1164" t="s">
        <v>74</v>
      </c>
      <c r="AZ1164" t="s">
        <v>74</v>
      </c>
      <c r="BA1164" t="s">
        <v>74</v>
      </c>
      <c r="BB1164" t="s">
        <v>74</v>
      </c>
      <c r="BC1164" t="s">
        <v>74</v>
      </c>
      <c r="BD1164" t="s">
        <v>74</v>
      </c>
      <c r="BE1164" t="s">
        <v>31816</v>
      </c>
      <c r="BF1164" t="str">
        <f>HYPERLINK("http://dx.doi.org/10.1108/AJEMS-01-2025-0053","http://dx.doi.org/10.1108/AJEMS-01-2025-0053")</f>
        <v>http://dx.doi.org/10.1108/AJEMS-01-2025-0053</v>
      </c>
      <c r="BG1164" t="s">
        <v>74</v>
      </c>
      <c r="BH1164" t="s">
        <v>488</v>
      </c>
      <c r="BI1164">
        <v>20</v>
      </c>
      <c r="BJ1164" t="s">
        <v>291</v>
      </c>
      <c r="BK1164" t="s">
        <v>313</v>
      </c>
      <c r="BL1164" t="s">
        <v>100</v>
      </c>
      <c r="BM1164" t="s">
        <v>31815</v>
      </c>
      <c r="BN1164" t="s">
        <v>74</v>
      </c>
      <c r="BO1164" t="s">
        <v>74</v>
      </c>
      <c r="BP1164" t="s">
        <v>74</v>
      </c>
      <c r="BQ1164" t="s">
        <v>74</v>
      </c>
      <c r="BR1164" t="s">
        <v>102</v>
      </c>
      <c r="BS1164" t="s">
        <v>31814</v>
      </c>
      <c r="BT1164" t="str">
        <f>HYPERLINK("https%3A%2F%2Fwww.webofscience.com%2Fwos%2Fwoscc%2Ffull-record%2FWOS:001629193000001","View Full Record in Web of Science")</f>
        <v>View Full Record in Web of Science</v>
      </c>
    </row>
    <row r="1165" spans="1:72" x14ac:dyDescent="0.25">
      <c r="A1165" t="s">
        <v>72</v>
      </c>
      <c r="B1165" t="s">
        <v>31813</v>
      </c>
      <c r="C1165" t="s">
        <v>74</v>
      </c>
      <c r="D1165" t="s">
        <v>74</v>
      </c>
      <c r="E1165" t="s">
        <v>74</v>
      </c>
      <c r="F1165" t="s">
        <v>31812</v>
      </c>
      <c r="G1165" t="s">
        <v>74</v>
      </c>
      <c r="H1165" t="s">
        <v>74</v>
      </c>
      <c r="I1165" t="s">
        <v>31811</v>
      </c>
      <c r="J1165" t="s">
        <v>19928</v>
      </c>
      <c r="K1165" t="s">
        <v>74</v>
      </c>
      <c r="L1165" t="s">
        <v>74</v>
      </c>
      <c r="M1165" t="s">
        <v>78</v>
      </c>
      <c r="N1165" t="s">
        <v>79</v>
      </c>
      <c r="O1165" t="s">
        <v>74</v>
      </c>
      <c r="P1165" t="s">
        <v>74</v>
      </c>
      <c r="Q1165" t="s">
        <v>74</v>
      </c>
      <c r="R1165" t="s">
        <v>74</v>
      </c>
      <c r="S1165" t="s">
        <v>74</v>
      </c>
      <c r="T1165" t="s">
        <v>31810</v>
      </c>
      <c r="U1165" t="s">
        <v>74</v>
      </c>
      <c r="V1165" t="s">
        <v>31809</v>
      </c>
      <c r="W1165" t="s">
        <v>31808</v>
      </c>
      <c r="X1165" t="s">
        <v>10117</v>
      </c>
      <c r="Y1165" t="s">
        <v>31807</v>
      </c>
      <c r="Z1165" t="s">
        <v>10119</v>
      </c>
      <c r="AA1165" t="s">
        <v>31806</v>
      </c>
      <c r="AB1165" t="s">
        <v>31805</v>
      </c>
      <c r="AC1165" t="s">
        <v>74</v>
      </c>
      <c r="AD1165" t="s">
        <v>74</v>
      </c>
      <c r="AE1165" t="s">
        <v>74</v>
      </c>
      <c r="AF1165" t="s">
        <v>74</v>
      </c>
      <c r="AG1165">
        <v>65</v>
      </c>
      <c r="AH1165">
        <v>23</v>
      </c>
      <c r="AI1165">
        <v>31</v>
      </c>
      <c r="AJ1165">
        <v>0</v>
      </c>
      <c r="AK1165">
        <v>4</v>
      </c>
      <c r="AL1165" t="s">
        <v>31804</v>
      </c>
      <c r="AM1165" t="s">
        <v>15173</v>
      </c>
      <c r="AN1165" t="s">
        <v>31803</v>
      </c>
      <c r="AO1165" t="s">
        <v>19917</v>
      </c>
      <c r="AP1165" t="s">
        <v>19916</v>
      </c>
      <c r="AQ1165" t="s">
        <v>74</v>
      </c>
      <c r="AR1165" t="s">
        <v>31802</v>
      </c>
      <c r="AS1165" t="s">
        <v>19914</v>
      </c>
      <c r="AT1165" t="s">
        <v>124</v>
      </c>
      <c r="AU1165">
        <v>2017</v>
      </c>
      <c r="AV1165">
        <v>9</v>
      </c>
      <c r="AW1165">
        <v>2</v>
      </c>
      <c r="AX1165" t="s">
        <v>74</v>
      </c>
      <c r="AY1165" t="s">
        <v>74</v>
      </c>
      <c r="AZ1165" t="s">
        <v>74</v>
      </c>
      <c r="BA1165" t="s">
        <v>74</v>
      </c>
      <c r="BB1165">
        <v>30</v>
      </c>
      <c r="BC1165">
        <v>65</v>
      </c>
      <c r="BD1165" t="s">
        <v>74</v>
      </c>
      <c r="BE1165" t="s">
        <v>74</v>
      </c>
      <c r="BF1165" t="s">
        <v>74</v>
      </c>
      <c r="BG1165" t="s">
        <v>74</v>
      </c>
      <c r="BH1165" t="s">
        <v>74</v>
      </c>
      <c r="BI1165">
        <v>36</v>
      </c>
      <c r="BJ1165" t="s">
        <v>291</v>
      </c>
      <c r="BK1165" t="s">
        <v>313</v>
      </c>
      <c r="BL1165" t="s">
        <v>100</v>
      </c>
      <c r="BM1165" t="s">
        <v>31801</v>
      </c>
      <c r="BN1165" t="s">
        <v>74</v>
      </c>
      <c r="BO1165" t="s">
        <v>74</v>
      </c>
      <c r="BP1165" t="s">
        <v>74</v>
      </c>
      <c r="BQ1165" t="s">
        <v>74</v>
      </c>
      <c r="BR1165" t="s">
        <v>102</v>
      </c>
      <c r="BS1165" t="s">
        <v>31800</v>
      </c>
      <c r="BT1165" t="str">
        <f>HYPERLINK("https%3A%2F%2Fwww.webofscience.com%2Fwos%2Fwoscc%2Ffull-record%2FWOS:000500948700002","View Full Record in Web of Science")</f>
        <v>View Full Record in Web of Science</v>
      </c>
    </row>
    <row r="1166" spans="1:72" x14ac:dyDescent="0.25">
      <c r="A1166" t="s">
        <v>72</v>
      </c>
      <c r="B1166" t="s">
        <v>31799</v>
      </c>
      <c r="C1166" t="s">
        <v>74</v>
      </c>
      <c r="D1166" t="s">
        <v>74</v>
      </c>
      <c r="E1166" t="s">
        <v>74</v>
      </c>
      <c r="F1166" t="s">
        <v>31798</v>
      </c>
      <c r="G1166" t="s">
        <v>74</v>
      </c>
      <c r="H1166" t="s">
        <v>74</v>
      </c>
      <c r="I1166" t="s">
        <v>31797</v>
      </c>
      <c r="J1166" t="s">
        <v>31796</v>
      </c>
      <c r="K1166" t="s">
        <v>74</v>
      </c>
      <c r="L1166" t="s">
        <v>74</v>
      </c>
      <c r="M1166" t="s">
        <v>78</v>
      </c>
      <c r="N1166" t="s">
        <v>79</v>
      </c>
      <c r="O1166" t="s">
        <v>74</v>
      </c>
      <c r="P1166" t="s">
        <v>74</v>
      </c>
      <c r="Q1166" t="s">
        <v>74</v>
      </c>
      <c r="R1166" t="s">
        <v>74</v>
      </c>
      <c r="S1166" t="s">
        <v>74</v>
      </c>
      <c r="T1166" t="s">
        <v>31795</v>
      </c>
      <c r="U1166" t="s">
        <v>31794</v>
      </c>
      <c r="V1166" t="s">
        <v>31793</v>
      </c>
      <c r="W1166" t="s">
        <v>31792</v>
      </c>
      <c r="X1166" t="s">
        <v>31791</v>
      </c>
      <c r="Y1166" t="s">
        <v>31790</v>
      </c>
      <c r="Z1166" t="s">
        <v>4813</v>
      </c>
      <c r="AA1166" t="s">
        <v>24029</v>
      </c>
      <c r="AB1166" t="s">
        <v>24028</v>
      </c>
      <c r="AC1166" t="s">
        <v>74</v>
      </c>
      <c r="AD1166" t="s">
        <v>74</v>
      </c>
      <c r="AE1166" t="s">
        <v>74</v>
      </c>
      <c r="AF1166" t="s">
        <v>74</v>
      </c>
      <c r="AG1166">
        <v>83</v>
      </c>
      <c r="AH1166">
        <v>3</v>
      </c>
      <c r="AI1166">
        <v>4</v>
      </c>
      <c r="AJ1166">
        <v>1</v>
      </c>
      <c r="AK1166">
        <v>7</v>
      </c>
      <c r="AL1166" t="s">
        <v>89</v>
      </c>
      <c r="AM1166" t="s">
        <v>90</v>
      </c>
      <c r="AN1166" t="s">
        <v>91</v>
      </c>
      <c r="AO1166" t="s">
        <v>31789</v>
      </c>
      <c r="AP1166" t="s">
        <v>31788</v>
      </c>
      <c r="AQ1166" t="s">
        <v>74</v>
      </c>
      <c r="AR1166" t="s">
        <v>31787</v>
      </c>
      <c r="AS1166" t="s">
        <v>31786</v>
      </c>
      <c r="AT1166" t="s">
        <v>339</v>
      </c>
      <c r="AU1166">
        <v>2024</v>
      </c>
      <c r="AV1166">
        <v>26</v>
      </c>
      <c r="AW1166">
        <v>4</v>
      </c>
      <c r="AX1166" t="s">
        <v>74</v>
      </c>
      <c r="AY1166" t="s">
        <v>74</v>
      </c>
      <c r="AZ1166" t="s">
        <v>74</v>
      </c>
      <c r="BA1166" t="s">
        <v>74</v>
      </c>
      <c r="BB1166">
        <v>306</v>
      </c>
      <c r="BC1166">
        <v>328</v>
      </c>
      <c r="BD1166" t="s">
        <v>74</v>
      </c>
      <c r="BE1166" t="s">
        <v>31785</v>
      </c>
      <c r="BF1166" t="str">
        <f>HYPERLINK("http://dx.doi.org/10.1108/JED-10-2023-0185","http://dx.doi.org/10.1108/JED-10-2023-0185")</f>
        <v>http://dx.doi.org/10.1108/JED-10-2023-0185</v>
      </c>
      <c r="BG1166" t="s">
        <v>74</v>
      </c>
      <c r="BH1166" t="s">
        <v>2524</v>
      </c>
      <c r="BI1166">
        <v>23</v>
      </c>
      <c r="BJ1166" t="s">
        <v>701</v>
      </c>
      <c r="BK1166" t="s">
        <v>313</v>
      </c>
      <c r="BL1166" t="s">
        <v>702</v>
      </c>
      <c r="BM1166" t="s">
        <v>31784</v>
      </c>
      <c r="BN1166" t="s">
        <v>74</v>
      </c>
      <c r="BO1166" t="s">
        <v>212</v>
      </c>
      <c r="BP1166" t="s">
        <v>74</v>
      </c>
      <c r="BQ1166" t="s">
        <v>74</v>
      </c>
      <c r="BR1166" t="s">
        <v>102</v>
      </c>
      <c r="BS1166" t="s">
        <v>31783</v>
      </c>
      <c r="BT1166" t="str">
        <f>HYPERLINK("https%3A%2F%2Fwww.webofscience.com%2Fwos%2Fwoscc%2Ffull-record%2FWOS:001308625800001","View Full Record in Web of Science")</f>
        <v>View Full Record in Web of Science</v>
      </c>
    </row>
    <row r="1167" spans="1:72" x14ac:dyDescent="0.25">
      <c r="A1167" t="s">
        <v>72</v>
      </c>
      <c r="B1167" t="s">
        <v>31782</v>
      </c>
      <c r="C1167" t="s">
        <v>74</v>
      </c>
      <c r="D1167" t="s">
        <v>74</v>
      </c>
      <c r="E1167" t="s">
        <v>74</v>
      </c>
      <c r="F1167" t="s">
        <v>31781</v>
      </c>
      <c r="G1167" t="s">
        <v>74</v>
      </c>
      <c r="H1167" t="s">
        <v>74</v>
      </c>
      <c r="I1167" t="s">
        <v>31780</v>
      </c>
      <c r="J1167" t="s">
        <v>19980</v>
      </c>
      <c r="K1167" t="s">
        <v>74</v>
      </c>
      <c r="L1167" t="s">
        <v>74</v>
      </c>
      <c r="M1167" t="s">
        <v>78</v>
      </c>
      <c r="N1167" t="s">
        <v>79</v>
      </c>
      <c r="O1167" t="s">
        <v>74</v>
      </c>
      <c r="P1167" t="s">
        <v>74</v>
      </c>
      <c r="Q1167" t="s">
        <v>74</v>
      </c>
      <c r="R1167" t="s">
        <v>74</v>
      </c>
      <c r="S1167" t="s">
        <v>74</v>
      </c>
      <c r="T1167" t="s">
        <v>31779</v>
      </c>
      <c r="U1167" t="s">
        <v>31778</v>
      </c>
      <c r="V1167" t="s">
        <v>31777</v>
      </c>
      <c r="W1167" t="s">
        <v>31776</v>
      </c>
      <c r="X1167" t="s">
        <v>31775</v>
      </c>
      <c r="Y1167" t="s">
        <v>31774</v>
      </c>
      <c r="Z1167" t="s">
        <v>31773</v>
      </c>
      <c r="AA1167" t="s">
        <v>31772</v>
      </c>
      <c r="AB1167" t="s">
        <v>31771</v>
      </c>
      <c r="AC1167" t="s">
        <v>2905</v>
      </c>
      <c r="AD1167" t="s">
        <v>2906</v>
      </c>
      <c r="AE1167" t="s">
        <v>74</v>
      </c>
      <c r="AF1167" t="s">
        <v>74</v>
      </c>
      <c r="AG1167">
        <v>69</v>
      </c>
      <c r="AH1167">
        <v>99</v>
      </c>
      <c r="AI1167">
        <v>158</v>
      </c>
      <c r="AJ1167">
        <v>1</v>
      </c>
      <c r="AK1167">
        <v>19</v>
      </c>
      <c r="AL1167" t="s">
        <v>201</v>
      </c>
      <c r="AM1167" t="s">
        <v>202</v>
      </c>
      <c r="AN1167" t="s">
        <v>203</v>
      </c>
      <c r="AO1167" t="s">
        <v>19973</v>
      </c>
      <c r="AP1167" t="s">
        <v>19972</v>
      </c>
      <c r="AQ1167" t="s">
        <v>74</v>
      </c>
      <c r="AR1167" t="s">
        <v>19971</v>
      </c>
      <c r="AS1167" t="s">
        <v>19970</v>
      </c>
      <c r="AT1167" t="s">
        <v>124</v>
      </c>
      <c r="AU1167">
        <v>2015</v>
      </c>
      <c r="AV1167">
        <v>27</v>
      </c>
      <c r="AW1167">
        <v>4</v>
      </c>
      <c r="AX1167" t="s">
        <v>74</v>
      </c>
      <c r="AY1167" t="s">
        <v>74</v>
      </c>
      <c r="AZ1167" t="s">
        <v>74</v>
      </c>
      <c r="BA1167" t="s">
        <v>74</v>
      </c>
      <c r="BB1167">
        <v>267</v>
      </c>
      <c r="BC1167">
        <v>287</v>
      </c>
      <c r="BD1167" t="s">
        <v>74</v>
      </c>
      <c r="BE1167" t="s">
        <v>31770</v>
      </c>
      <c r="BF1167" t="str">
        <f>HYPERLINK("http://dx.doi.org/10.1016/j.iimb.2015.09.004","http://dx.doi.org/10.1016/j.iimb.2015.09.004")</f>
        <v>http://dx.doi.org/10.1016/j.iimb.2015.09.004</v>
      </c>
      <c r="BG1167" t="s">
        <v>74</v>
      </c>
      <c r="BH1167" t="s">
        <v>74</v>
      </c>
      <c r="BI1167">
        <v>21</v>
      </c>
      <c r="BJ1167" t="s">
        <v>583</v>
      </c>
      <c r="BK1167" t="s">
        <v>313</v>
      </c>
      <c r="BL1167" t="s">
        <v>100</v>
      </c>
      <c r="BM1167" t="s">
        <v>31769</v>
      </c>
      <c r="BN1167" t="s">
        <v>74</v>
      </c>
      <c r="BO1167" t="s">
        <v>10768</v>
      </c>
      <c r="BP1167" t="s">
        <v>74</v>
      </c>
      <c r="BQ1167" t="s">
        <v>74</v>
      </c>
      <c r="BR1167" t="s">
        <v>102</v>
      </c>
      <c r="BS1167" t="s">
        <v>31768</v>
      </c>
      <c r="BT1167" t="str">
        <f>HYPERLINK("https%3A%2F%2Fwww.webofscience.com%2Fwos%2Fwoscc%2Ffull-record%2FWOS:000210181000006","View Full Record in Web of Science")</f>
        <v>View Full Record in Web of Science</v>
      </c>
    </row>
    <row r="1168" spans="1:72" x14ac:dyDescent="0.25">
      <c r="A1168" t="s">
        <v>72</v>
      </c>
      <c r="B1168" t="s">
        <v>31767</v>
      </c>
      <c r="C1168" t="s">
        <v>74</v>
      </c>
      <c r="D1168" t="s">
        <v>74</v>
      </c>
      <c r="E1168" t="s">
        <v>74</v>
      </c>
      <c r="F1168" t="s">
        <v>31766</v>
      </c>
      <c r="G1168" t="s">
        <v>74</v>
      </c>
      <c r="H1168" t="s">
        <v>74</v>
      </c>
      <c r="I1168" t="s">
        <v>31765</v>
      </c>
      <c r="J1168" t="s">
        <v>12806</v>
      </c>
      <c r="K1168" t="s">
        <v>74</v>
      </c>
      <c r="L1168" t="s">
        <v>74</v>
      </c>
      <c r="M1168" t="s">
        <v>78</v>
      </c>
      <c r="N1168" t="s">
        <v>79</v>
      </c>
      <c r="O1168" t="s">
        <v>74</v>
      </c>
      <c r="P1168" t="s">
        <v>74</v>
      </c>
      <c r="Q1168" t="s">
        <v>74</v>
      </c>
      <c r="R1168" t="s">
        <v>74</v>
      </c>
      <c r="S1168" t="s">
        <v>74</v>
      </c>
      <c r="T1168" t="s">
        <v>31764</v>
      </c>
      <c r="U1168" t="s">
        <v>7029</v>
      </c>
      <c r="V1168" t="s">
        <v>31763</v>
      </c>
      <c r="W1168" t="s">
        <v>31762</v>
      </c>
      <c r="X1168" t="s">
        <v>12810</v>
      </c>
      <c r="Y1168" t="s">
        <v>31761</v>
      </c>
      <c r="Z1168" t="s">
        <v>31760</v>
      </c>
      <c r="AA1168" t="s">
        <v>31759</v>
      </c>
      <c r="AB1168" t="s">
        <v>31758</v>
      </c>
      <c r="AC1168" t="s">
        <v>31757</v>
      </c>
      <c r="AD1168" t="s">
        <v>31756</v>
      </c>
      <c r="AE1168" t="s">
        <v>31755</v>
      </c>
      <c r="AF1168" t="s">
        <v>74</v>
      </c>
      <c r="AG1168">
        <v>29</v>
      </c>
      <c r="AH1168">
        <v>13</v>
      </c>
      <c r="AI1168">
        <v>15</v>
      </c>
      <c r="AJ1168">
        <v>6</v>
      </c>
      <c r="AK1168">
        <v>35</v>
      </c>
      <c r="AL1168" t="s">
        <v>12814</v>
      </c>
      <c r="AM1168" t="s">
        <v>7673</v>
      </c>
      <c r="AN1168" t="s">
        <v>12815</v>
      </c>
      <c r="AO1168" t="s">
        <v>12816</v>
      </c>
      <c r="AP1168" t="s">
        <v>12817</v>
      </c>
      <c r="AQ1168" t="s">
        <v>74</v>
      </c>
      <c r="AR1168" t="s">
        <v>12818</v>
      </c>
      <c r="AS1168" t="s">
        <v>12819</v>
      </c>
      <c r="AT1168" t="s">
        <v>1652</v>
      </c>
      <c r="AU1168">
        <v>2022</v>
      </c>
      <c r="AV1168">
        <v>22</v>
      </c>
      <c r="AW1168">
        <v>1</v>
      </c>
      <c r="AX1168" t="s">
        <v>74</v>
      </c>
      <c r="AY1168" t="s">
        <v>74</v>
      </c>
      <c r="AZ1168" t="s">
        <v>74</v>
      </c>
      <c r="BA1168" t="s">
        <v>74</v>
      </c>
      <c r="BB1168">
        <v>35</v>
      </c>
      <c r="BC1168">
        <v>49</v>
      </c>
      <c r="BD1168" t="s">
        <v>74</v>
      </c>
      <c r="BE1168" t="s">
        <v>74</v>
      </c>
      <c r="BF1168" t="s">
        <v>74</v>
      </c>
      <c r="BG1168" t="s">
        <v>74</v>
      </c>
      <c r="BH1168" t="s">
        <v>74</v>
      </c>
      <c r="BI1168">
        <v>15</v>
      </c>
      <c r="BJ1168" t="s">
        <v>12820</v>
      </c>
      <c r="BK1168" t="s">
        <v>313</v>
      </c>
      <c r="BL1168" t="s">
        <v>12820</v>
      </c>
      <c r="BM1168" t="s">
        <v>12821</v>
      </c>
      <c r="BN1168" t="s">
        <v>74</v>
      </c>
      <c r="BO1168" t="s">
        <v>74</v>
      </c>
      <c r="BP1168" t="s">
        <v>74</v>
      </c>
      <c r="BQ1168" t="s">
        <v>74</v>
      </c>
      <c r="BR1168" t="s">
        <v>102</v>
      </c>
      <c r="BS1168" t="s">
        <v>31754</v>
      </c>
      <c r="BT1168" t="str">
        <f>HYPERLINK("https%3A%2F%2Fwww.webofscience.com%2Fwos%2Fwoscc%2Ffull-record%2FWOS:000809638800003","View Full Record in Web of Science")</f>
        <v>View Full Record in Web of Science</v>
      </c>
    </row>
    <row r="1169" spans="1:72" x14ac:dyDescent="0.25">
      <c r="A1169" t="s">
        <v>72</v>
      </c>
      <c r="B1169" t="s">
        <v>31753</v>
      </c>
      <c r="C1169" t="s">
        <v>74</v>
      </c>
      <c r="D1169" t="s">
        <v>74</v>
      </c>
      <c r="E1169" t="s">
        <v>74</v>
      </c>
      <c r="F1169" t="s">
        <v>31752</v>
      </c>
      <c r="G1169" t="s">
        <v>74</v>
      </c>
      <c r="H1169" t="s">
        <v>74</v>
      </c>
      <c r="I1169" t="s">
        <v>31751</v>
      </c>
      <c r="J1169" t="s">
        <v>246</v>
      </c>
      <c r="K1169" t="s">
        <v>74</v>
      </c>
      <c r="L1169" t="s">
        <v>74</v>
      </c>
      <c r="M1169" t="s">
        <v>78</v>
      </c>
      <c r="N1169" t="s">
        <v>79</v>
      </c>
      <c r="O1169" t="s">
        <v>74</v>
      </c>
      <c r="P1169" t="s">
        <v>74</v>
      </c>
      <c r="Q1169" t="s">
        <v>74</v>
      </c>
      <c r="R1169" t="s">
        <v>74</v>
      </c>
      <c r="S1169" t="s">
        <v>74</v>
      </c>
      <c r="T1169" t="s">
        <v>31750</v>
      </c>
      <c r="U1169" t="s">
        <v>74</v>
      </c>
      <c r="V1169" t="s">
        <v>31749</v>
      </c>
      <c r="W1169" t="s">
        <v>31748</v>
      </c>
      <c r="X1169" t="s">
        <v>31747</v>
      </c>
      <c r="Y1169" t="s">
        <v>31746</v>
      </c>
      <c r="Z1169" t="s">
        <v>31745</v>
      </c>
      <c r="AA1169" t="s">
        <v>74</v>
      </c>
      <c r="AB1169" t="s">
        <v>74</v>
      </c>
      <c r="AC1169" t="s">
        <v>74</v>
      </c>
      <c r="AD1169" t="s">
        <v>74</v>
      </c>
      <c r="AE1169" t="s">
        <v>74</v>
      </c>
      <c r="AF1169" t="s">
        <v>74</v>
      </c>
      <c r="AG1169">
        <v>15</v>
      </c>
      <c r="AH1169">
        <v>1</v>
      </c>
      <c r="AI1169">
        <v>3</v>
      </c>
      <c r="AJ1169">
        <v>4</v>
      </c>
      <c r="AK1169">
        <v>12</v>
      </c>
      <c r="AL1169" t="s">
        <v>259</v>
      </c>
      <c r="AM1169" t="s">
        <v>260</v>
      </c>
      <c r="AN1169" t="s">
        <v>261</v>
      </c>
      <c r="AO1169" t="s">
        <v>262</v>
      </c>
      <c r="AP1169" t="s">
        <v>263</v>
      </c>
      <c r="AQ1169" t="s">
        <v>74</v>
      </c>
      <c r="AR1169" t="s">
        <v>264</v>
      </c>
      <c r="AS1169" t="s">
        <v>265</v>
      </c>
      <c r="AT1169" t="s">
        <v>605</v>
      </c>
      <c r="AU1169">
        <v>2025</v>
      </c>
      <c r="AV1169">
        <v>73</v>
      </c>
      <c r="AW1169" t="s">
        <v>74</v>
      </c>
      <c r="AX1169" t="s">
        <v>74</v>
      </c>
      <c r="AY1169" t="s">
        <v>74</v>
      </c>
      <c r="AZ1169" t="s">
        <v>74</v>
      </c>
      <c r="BA1169" t="s">
        <v>74</v>
      </c>
      <c r="BB1169" t="s">
        <v>74</v>
      </c>
      <c r="BC1169" t="s">
        <v>74</v>
      </c>
      <c r="BD1169">
        <v>106682</v>
      </c>
      <c r="BE1169" t="s">
        <v>31744</v>
      </c>
      <c r="BF1169" t="str">
        <f>HYPERLINK("http://dx.doi.org/10.1016/j.frl.2024.106682","http://dx.doi.org/10.1016/j.frl.2024.106682")</f>
        <v>http://dx.doi.org/10.1016/j.frl.2024.106682</v>
      </c>
      <c r="BG1169" t="s">
        <v>74</v>
      </c>
      <c r="BH1169" t="s">
        <v>809</v>
      </c>
      <c r="BI1169">
        <v>5</v>
      </c>
      <c r="BJ1169" t="s">
        <v>268</v>
      </c>
      <c r="BK1169" t="s">
        <v>99</v>
      </c>
      <c r="BL1169" t="s">
        <v>100</v>
      </c>
      <c r="BM1169" t="s">
        <v>31743</v>
      </c>
      <c r="BN1169" t="s">
        <v>74</v>
      </c>
      <c r="BO1169" t="s">
        <v>74</v>
      </c>
      <c r="BP1169" t="s">
        <v>74</v>
      </c>
      <c r="BQ1169" t="s">
        <v>74</v>
      </c>
      <c r="BR1169" t="s">
        <v>102</v>
      </c>
      <c r="BS1169" t="s">
        <v>31742</v>
      </c>
      <c r="BT1169" t="str">
        <f>HYPERLINK("https%3A%2F%2Fwww.webofscience.com%2Fwos%2Fwoscc%2Ffull-record%2FWOS:001403508800001","View Full Record in Web of Science")</f>
        <v>View Full Record in Web of Science</v>
      </c>
    </row>
    <row r="1170" spans="1:72" x14ac:dyDescent="0.25">
      <c r="A1170" t="s">
        <v>72</v>
      </c>
      <c r="B1170" t="s">
        <v>31741</v>
      </c>
      <c r="C1170" t="s">
        <v>74</v>
      </c>
      <c r="D1170" t="s">
        <v>74</v>
      </c>
      <c r="E1170" t="s">
        <v>74</v>
      </c>
      <c r="F1170" t="s">
        <v>31740</v>
      </c>
      <c r="G1170" t="s">
        <v>74</v>
      </c>
      <c r="H1170" t="s">
        <v>74</v>
      </c>
      <c r="I1170" t="s">
        <v>31739</v>
      </c>
      <c r="J1170" t="s">
        <v>4208</v>
      </c>
      <c r="K1170" t="s">
        <v>74</v>
      </c>
      <c r="L1170" t="s">
        <v>74</v>
      </c>
      <c r="M1170" t="s">
        <v>78</v>
      </c>
      <c r="N1170" t="s">
        <v>79</v>
      </c>
      <c r="O1170" t="s">
        <v>74</v>
      </c>
      <c r="P1170" t="s">
        <v>74</v>
      </c>
      <c r="Q1170" t="s">
        <v>74</v>
      </c>
      <c r="R1170" t="s">
        <v>74</v>
      </c>
      <c r="S1170" t="s">
        <v>74</v>
      </c>
      <c r="T1170" t="s">
        <v>74</v>
      </c>
      <c r="U1170" t="s">
        <v>31738</v>
      </c>
      <c r="V1170" t="s">
        <v>31737</v>
      </c>
      <c r="W1170" t="s">
        <v>31736</v>
      </c>
      <c r="X1170" t="s">
        <v>31735</v>
      </c>
      <c r="Y1170" t="s">
        <v>31734</v>
      </c>
      <c r="Z1170" t="s">
        <v>31733</v>
      </c>
      <c r="AA1170" t="s">
        <v>74</v>
      </c>
      <c r="AB1170" t="s">
        <v>74</v>
      </c>
      <c r="AC1170" t="s">
        <v>74</v>
      </c>
      <c r="AD1170" t="s">
        <v>74</v>
      </c>
      <c r="AE1170" t="s">
        <v>74</v>
      </c>
      <c r="AF1170" t="s">
        <v>74</v>
      </c>
      <c r="AG1170">
        <v>48</v>
      </c>
      <c r="AH1170">
        <v>18</v>
      </c>
      <c r="AI1170">
        <v>20</v>
      </c>
      <c r="AJ1170">
        <v>8</v>
      </c>
      <c r="AK1170">
        <v>51</v>
      </c>
      <c r="AL1170" t="s">
        <v>4218</v>
      </c>
      <c r="AM1170" t="s">
        <v>4219</v>
      </c>
      <c r="AN1170" t="s">
        <v>4220</v>
      </c>
      <c r="AO1170" t="s">
        <v>4221</v>
      </c>
      <c r="AP1170" t="s">
        <v>74</v>
      </c>
      <c r="AQ1170" t="s">
        <v>74</v>
      </c>
      <c r="AR1170" t="s">
        <v>4208</v>
      </c>
      <c r="AS1170" t="s">
        <v>4222</v>
      </c>
      <c r="AT1170" t="s">
        <v>31732</v>
      </c>
      <c r="AU1170">
        <v>2022</v>
      </c>
      <c r="AV1170">
        <v>17</v>
      </c>
      <c r="AW1170">
        <v>10</v>
      </c>
      <c r="AX1170" t="s">
        <v>74</v>
      </c>
      <c r="AY1170" t="s">
        <v>74</v>
      </c>
      <c r="AZ1170" t="s">
        <v>74</v>
      </c>
      <c r="BA1170" t="s">
        <v>74</v>
      </c>
      <c r="BB1170" t="s">
        <v>74</v>
      </c>
      <c r="BC1170" t="s">
        <v>74</v>
      </c>
      <c r="BD1170" t="s">
        <v>31731</v>
      </c>
      <c r="BE1170" t="s">
        <v>31730</v>
      </c>
      <c r="BF1170" t="str">
        <f>HYPERLINK("http://dx.doi.org/10.1371/journal.pone.0275577","http://dx.doi.org/10.1371/journal.pone.0275577")</f>
        <v>http://dx.doi.org/10.1371/journal.pone.0275577</v>
      </c>
      <c r="BG1170" t="s">
        <v>74</v>
      </c>
      <c r="BH1170" t="s">
        <v>74</v>
      </c>
      <c r="BI1170">
        <v>21</v>
      </c>
      <c r="BJ1170" t="s">
        <v>559</v>
      </c>
      <c r="BK1170" t="s">
        <v>128</v>
      </c>
      <c r="BL1170" t="s">
        <v>560</v>
      </c>
      <c r="BM1170" t="s">
        <v>31729</v>
      </c>
      <c r="BN1170">
        <v>36240234</v>
      </c>
      <c r="BO1170" t="s">
        <v>916</v>
      </c>
      <c r="BP1170" t="s">
        <v>74</v>
      </c>
      <c r="BQ1170" t="s">
        <v>74</v>
      </c>
      <c r="BR1170" t="s">
        <v>102</v>
      </c>
      <c r="BS1170" t="s">
        <v>31728</v>
      </c>
      <c r="BT1170" t="str">
        <f>HYPERLINK("https%3A%2F%2Fwww.webofscience.com%2Fwos%2Fwoscc%2Ffull-record%2FWOS:000924854300032","View Full Record in Web of Science")</f>
        <v>View Full Record in Web of Science</v>
      </c>
    </row>
    <row r="1171" spans="1:72" x14ac:dyDescent="0.25">
      <c r="A1171" t="s">
        <v>72</v>
      </c>
      <c r="B1171" t="s">
        <v>31727</v>
      </c>
      <c r="C1171" t="s">
        <v>74</v>
      </c>
      <c r="D1171" t="s">
        <v>74</v>
      </c>
      <c r="E1171" t="s">
        <v>74</v>
      </c>
      <c r="F1171" t="s">
        <v>31726</v>
      </c>
      <c r="G1171" t="s">
        <v>74</v>
      </c>
      <c r="H1171" t="s">
        <v>74</v>
      </c>
      <c r="I1171" t="s">
        <v>31725</v>
      </c>
      <c r="J1171" t="s">
        <v>31724</v>
      </c>
      <c r="K1171" t="s">
        <v>74</v>
      </c>
      <c r="L1171" t="s">
        <v>74</v>
      </c>
      <c r="M1171" t="s">
        <v>78</v>
      </c>
      <c r="N1171" t="s">
        <v>79</v>
      </c>
      <c r="O1171" t="s">
        <v>74</v>
      </c>
      <c r="P1171" t="s">
        <v>74</v>
      </c>
      <c r="Q1171" t="s">
        <v>74</v>
      </c>
      <c r="R1171" t="s">
        <v>74</v>
      </c>
      <c r="S1171" t="s">
        <v>74</v>
      </c>
      <c r="T1171" t="s">
        <v>31723</v>
      </c>
      <c r="U1171" t="s">
        <v>31722</v>
      </c>
      <c r="V1171" t="s">
        <v>31721</v>
      </c>
      <c r="W1171" t="s">
        <v>31720</v>
      </c>
      <c r="X1171" t="s">
        <v>31719</v>
      </c>
      <c r="Y1171" t="s">
        <v>31718</v>
      </c>
      <c r="Z1171" t="s">
        <v>31717</v>
      </c>
      <c r="AA1171" t="s">
        <v>74</v>
      </c>
      <c r="AB1171" t="s">
        <v>31716</v>
      </c>
      <c r="AC1171" t="s">
        <v>74</v>
      </c>
      <c r="AD1171" t="s">
        <v>74</v>
      </c>
      <c r="AE1171" t="s">
        <v>74</v>
      </c>
      <c r="AF1171" t="s">
        <v>74</v>
      </c>
      <c r="AG1171">
        <v>32</v>
      </c>
      <c r="AH1171">
        <v>30</v>
      </c>
      <c r="AI1171">
        <v>42</v>
      </c>
      <c r="AJ1171">
        <v>12</v>
      </c>
      <c r="AK1171">
        <v>94</v>
      </c>
      <c r="AL1171" t="s">
        <v>385</v>
      </c>
      <c r="AM1171" t="s">
        <v>151</v>
      </c>
      <c r="AN1171" t="s">
        <v>386</v>
      </c>
      <c r="AO1171" t="s">
        <v>31715</v>
      </c>
      <c r="AP1171" t="s">
        <v>31714</v>
      </c>
      <c r="AQ1171" t="s">
        <v>74</v>
      </c>
      <c r="AR1171" t="s">
        <v>31713</v>
      </c>
      <c r="AS1171" t="s">
        <v>31712</v>
      </c>
      <c r="AT1171" t="s">
        <v>237</v>
      </c>
      <c r="AU1171">
        <v>2023</v>
      </c>
      <c r="AV1171">
        <v>56</v>
      </c>
      <c r="AW1171">
        <v>1</v>
      </c>
      <c r="AX1171" t="s">
        <v>74</v>
      </c>
      <c r="AY1171" t="s">
        <v>74</v>
      </c>
      <c r="AZ1171" t="s">
        <v>74</v>
      </c>
      <c r="BA1171" t="s">
        <v>74</v>
      </c>
      <c r="BB1171">
        <v>409</v>
      </c>
      <c r="BC1171">
        <v>440</v>
      </c>
      <c r="BD1171" t="s">
        <v>74</v>
      </c>
      <c r="BE1171" t="s">
        <v>31711</v>
      </c>
      <c r="BF1171" t="str">
        <f>HYPERLINK("http://dx.doi.org/10.1007/s10644-022-09428-x","http://dx.doi.org/10.1007/s10644-022-09428-x")</f>
        <v>http://dx.doi.org/10.1007/s10644-022-09428-x</v>
      </c>
      <c r="BG1171" t="s">
        <v>74</v>
      </c>
      <c r="BH1171" t="s">
        <v>126</v>
      </c>
      <c r="BI1171">
        <v>32</v>
      </c>
      <c r="BJ1171" t="s">
        <v>291</v>
      </c>
      <c r="BK1171" t="s">
        <v>99</v>
      </c>
      <c r="BL1171" t="s">
        <v>100</v>
      </c>
      <c r="BM1171" t="s">
        <v>31710</v>
      </c>
      <c r="BN1171" t="s">
        <v>74</v>
      </c>
      <c r="BO1171" t="s">
        <v>3694</v>
      </c>
      <c r="BP1171" t="s">
        <v>74</v>
      </c>
      <c r="BQ1171" t="s">
        <v>74</v>
      </c>
      <c r="BR1171" t="s">
        <v>102</v>
      </c>
      <c r="BS1171" t="s">
        <v>31709</v>
      </c>
      <c r="BT1171" t="str">
        <f>HYPERLINK("https%3A%2F%2Fwww.webofscience.com%2Fwos%2Fwoscc%2Ffull-record%2FWOS:000828260500001","View Full Record in Web of Science")</f>
        <v>View Full Record in Web of Science</v>
      </c>
    </row>
    <row r="1172" spans="1:72" x14ac:dyDescent="0.25">
      <c r="A1172" t="s">
        <v>132</v>
      </c>
      <c r="B1172" t="s">
        <v>31708</v>
      </c>
      <c r="C1172" t="s">
        <v>74</v>
      </c>
      <c r="D1172" t="s">
        <v>31707</v>
      </c>
      <c r="E1172" t="s">
        <v>74</v>
      </c>
      <c r="F1172" t="s">
        <v>31706</v>
      </c>
      <c r="G1172" t="s">
        <v>74</v>
      </c>
      <c r="H1172" t="s">
        <v>74</v>
      </c>
      <c r="I1172" t="s">
        <v>31705</v>
      </c>
      <c r="J1172" t="s">
        <v>31704</v>
      </c>
      <c r="K1172" t="s">
        <v>74</v>
      </c>
      <c r="L1172" t="s">
        <v>74</v>
      </c>
      <c r="M1172" t="s">
        <v>78</v>
      </c>
      <c r="N1172" t="s">
        <v>138</v>
      </c>
      <c r="O1172" t="s">
        <v>31703</v>
      </c>
      <c r="P1172" t="s">
        <v>31702</v>
      </c>
      <c r="Q1172" t="s">
        <v>31701</v>
      </c>
      <c r="R1172" t="s">
        <v>31700</v>
      </c>
      <c r="S1172" t="s">
        <v>31699</v>
      </c>
      <c r="T1172" t="s">
        <v>31698</v>
      </c>
      <c r="U1172" t="s">
        <v>31697</v>
      </c>
      <c r="V1172" t="s">
        <v>31696</v>
      </c>
      <c r="W1172" t="s">
        <v>31695</v>
      </c>
      <c r="X1172" t="s">
        <v>16474</v>
      </c>
      <c r="Y1172" t="s">
        <v>31694</v>
      </c>
      <c r="Z1172" t="s">
        <v>31693</v>
      </c>
      <c r="AA1172" t="s">
        <v>74</v>
      </c>
      <c r="AB1172" t="s">
        <v>74</v>
      </c>
      <c r="AC1172" t="s">
        <v>74</v>
      </c>
      <c r="AD1172" t="s">
        <v>74</v>
      </c>
      <c r="AE1172" t="s">
        <v>74</v>
      </c>
      <c r="AF1172" t="s">
        <v>74</v>
      </c>
      <c r="AG1172">
        <v>18</v>
      </c>
      <c r="AH1172">
        <v>0</v>
      </c>
      <c r="AI1172">
        <v>0</v>
      </c>
      <c r="AJ1172">
        <v>0</v>
      </c>
      <c r="AK1172">
        <v>1</v>
      </c>
      <c r="AL1172" t="s">
        <v>31692</v>
      </c>
      <c r="AM1172" t="s">
        <v>31691</v>
      </c>
      <c r="AN1172" t="s">
        <v>31690</v>
      </c>
      <c r="AO1172" t="s">
        <v>74</v>
      </c>
      <c r="AP1172" t="s">
        <v>74</v>
      </c>
      <c r="AQ1172" t="s">
        <v>31689</v>
      </c>
      <c r="AR1172" t="s">
        <v>74</v>
      </c>
      <c r="AS1172" t="s">
        <v>74</v>
      </c>
      <c r="AT1172" t="s">
        <v>74</v>
      </c>
      <c r="AU1172">
        <v>2016</v>
      </c>
      <c r="AV1172" t="s">
        <v>74</v>
      </c>
      <c r="AW1172" t="s">
        <v>74</v>
      </c>
      <c r="AX1172" t="s">
        <v>74</v>
      </c>
      <c r="AY1172" t="s">
        <v>74</v>
      </c>
      <c r="AZ1172" t="s">
        <v>74</v>
      </c>
      <c r="BA1172" t="s">
        <v>74</v>
      </c>
      <c r="BB1172">
        <v>983</v>
      </c>
      <c r="BC1172">
        <v>988</v>
      </c>
      <c r="BD1172" t="s">
        <v>74</v>
      </c>
      <c r="BE1172" t="s">
        <v>74</v>
      </c>
      <c r="BF1172" t="s">
        <v>74</v>
      </c>
      <c r="BG1172" t="s">
        <v>74</v>
      </c>
      <c r="BH1172" t="s">
        <v>74</v>
      </c>
      <c r="BI1172">
        <v>6</v>
      </c>
      <c r="BJ1172" t="s">
        <v>5519</v>
      </c>
      <c r="BK1172" t="s">
        <v>183</v>
      </c>
      <c r="BL1172" t="s">
        <v>100</v>
      </c>
      <c r="BM1172" t="s">
        <v>31688</v>
      </c>
      <c r="BN1172" t="s">
        <v>74</v>
      </c>
      <c r="BO1172" t="s">
        <v>74</v>
      </c>
      <c r="BP1172" t="s">
        <v>74</v>
      </c>
      <c r="BQ1172" t="s">
        <v>74</v>
      </c>
      <c r="BR1172" t="s">
        <v>102</v>
      </c>
      <c r="BS1172" t="s">
        <v>31687</v>
      </c>
      <c r="BT1172" t="str">
        <f>HYPERLINK("https%3A%2F%2Fwww.webofscience.com%2Fwos%2Fwoscc%2Ffull-record%2FWOS:000393354400162","View Full Record in Web of Science")</f>
        <v>View Full Record in Web of Science</v>
      </c>
    </row>
    <row r="1173" spans="1:72" x14ac:dyDescent="0.25">
      <c r="A1173" t="s">
        <v>72</v>
      </c>
      <c r="B1173" t="s">
        <v>31686</v>
      </c>
      <c r="C1173" t="s">
        <v>74</v>
      </c>
      <c r="D1173" t="s">
        <v>74</v>
      </c>
      <c r="E1173" t="s">
        <v>74</v>
      </c>
      <c r="F1173" t="s">
        <v>31685</v>
      </c>
      <c r="G1173" t="s">
        <v>74</v>
      </c>
      <c r="H1173" t="s">
        <v>74</v>
      </c>
      <c r="I1173" t="s">
        <v>31684</v>
      </c>
      <c r="J1173" t="s">
        <v>19644</v>
      </c>
      <c r="K1173" t="s">
        <v>74</v>
      </c>
      <c r="L1173" t="s">
        <v>74</v>
      </c>
      <c r="M1173" t="s">
        <v>78</v>
      </c>
      <c r="N1173" t="s">
        <v>79</v>
      </c>
      <c r="O1173" t="s">
        <v>74</v>
      </c>
      <c r="P1173" t="s">
        <v>74</v>
      </c>
      <c r="Q1173" t="s">
        <v>74</v>
      </c>
      <c r="R1173" t="s">
        <v>74</v>
      </c>
      <c r="S1173" t="s">
        <v>74</v>
      </c>
      <c r="T1173" t="s">
        <v>31683</v>
      </c>
      <c r="U1173" t="s">
        <v>74</v>
      </c>
      <c r="V1173" t="s">
        <v>31682</v>
      </c>
      <c r="W1173" t="s">
        <v>31681</v>
      </c>
      <c r="X1173" t="s">
        <v>31680</v>
      </c>
      <c r="Y1173" t="s">
        <v>31679</v>
      </c>
      <c r="Z1173" t="s">
        <v>31678</v>
      </c>
      <c r="AA1173" t="s">
        <v>74</v>
      </c>
      <c r="AB1173" t="s">
        <v>74</v>
      </c>
      <c r="AC1173" t="s">
        <v>31677</v>
      </c>
      <c r="AD1173" t="s">
        <v>31677</v>
      </c>
      <c r="AE1173" t="s">
        <v>31676</v>
      </c>
      <c r="AF1173" t="s">
        <v>74</v>
      </c>
      <c r="AG1173">
        <v>32</v>
      </c>
      <c r="AH1173">
        <v>9</v>
      </c>
      <c r="AI1173">
        <v>13</v>
      </c>
      <c r="AJ1173">
        <v>0</v>
      </c>
      <c r="AK1173">
        <v>7</v>
      </c>
      <c r="AL1173" t="s">
        <v>332</v>
      </c>
      <c r="AM1173" t="s">
        <v>333</v>
      </c>
      <c r="AN1173" t="s">
        <v>334</v>
      </c>
      <c r="AO1173" t="s">
        <v>19634</v>
      </c>
      <c r="AP1173" t="s">
        <v>19633</v>
      </c>
      <c r="AQ1173" t="s">
        <v>74</v>
      </c>
      <c r="AR1173" t="s">
        <v>19632</v>
      </c>
      <c r="AS1173" t="s">
        <v>19631</v>
      </c>
      <c r="AT1173" t="s">
        <v>74</v>
      </c>
      <c r="AU1173">
        <v>2016</v>
      </c>
      <c r="AV1173">
        <v>24</v>
      </c>
      <c r="AW1173">
        <v>4</v>
      </c>
      <c r="AX1173" t="s">
        <v>74</v>
      </c>
      <c r="AY1173" t="s">
        <v>74</v>
      </c>
      <c r="AZ1173" t="s">
        <v>74</v>
      </c>
      <c r="BA1173" t="s">
        <v>74</v>
      </c>
      <c r="BB1173">
        <v>428</v>
      </c>
      <c r="BC1173">
        <v>444</v>
      </c>
      <c r="BD1173" t="s">
        <v>74</v>
      </c>
      <c r="BE1173" t="s">
        <v>31675</v>
      </c>
      <c r="BF1173" t="str">
        <f>HYPERLINK("http://dx.doi.org/10.1080/10705422.2016.1233477","http://dx.doi.org/10.1080/10705422.2016.1233477")</f>
        <v>http://dx.doi.org/10.1080/10705422.2016.1233477</v>
      </c>
      <c r="BG1173" t="s">
        <v>74</v>
      </c>
      <c r="BH1173" t="s">
        <v>74</v>
      </c>
      <c r="BI1173">
        <v>17</v>
      </c>
      <c r="BJ1173" t="s">
        <v>2045</v>
      </c>
      <c r="BK1173" t="s">
        <v>313</v>
      </c>
      <c r="BL1173" t="s">
        <v>2045</v>
      </c>
      <c r="BM1173" t="s">
        <v>19629</v>
      </c>
      <c r="BN1173" t="s">
        <v>74</v>
      </c>
      <c r="BO1173" t="s">
        <v>74</v>
      </c>
      <c r="BP1173" t="s">
        <v>74</v>
      </c>
      <c r="BQ1173" t="s">
        <v>74</v>
      </c>
      <c r="BR1173" t="s">
        <v>102</v>
      </c>
      <c r="BS1173" t="s">
        <v>31674</v>
      </c>
      <c r="BT1173" t="str">
        <f>HYPERLINK("https%3A%2F%2Fwww.webofscience.com%2Fwos%2Fwoscc%2Ffull-record%2FWOS:000390145900005","View Full Record in Web of Science")</f>
        <v>View Full Record in Web of Science</v>
      </c>
    </row>
    <row r="1174" spans="1:72" x14ac:dyDescent="0.25">
      <c r="A1174" t="s">
        <v>72</v>
      </c>
      <c r="B1174" t="s">
        <v>31673</v>
      </c>
      <c r="C1174" t="s">
        <v>74</v>
      </c>
      <c r="D1174" t="s">
        <v>74</v>
      </c>
      <c r="E1174" t="s">
        <v>74</v>
      </c>
      <c r="F1174" t="s">
        <v>31672</v>
      </c>
      <c r="G1174" t="s">
        <v>74</v>
      </c>
      <c r="H1174" t="s">
        <v>74</v>
      </c>
      <c r="I1174" t="s">
        <v>31671</v>
      </c>
      <c r="J1174" t="s">
        <v>9191</v>
      </c>
      <c r="K1174" t="s">
        <v>74</v>
      </c>
      <c r="L1174" t="s">
        <v>74</v>
      </c>
      <c r="M1174" t="s">
        <v>78</v>
      </c>
      <c r="N1174" t="s">
        <v>79</v>
      </c>
      <c r="O1174" t="s">
        <v>74</v>
      </c>
      <c r="P1174" t="s">
        <v>74</v>
      </c>
      <c r="Q1174" t="s">
        <v>74</v>
      </c>
      <c r="R1174" t="s">
        <v>74</v>
      </c>
      <c r="S1174" t="s">
        <v>74</v>
      </c>
      <c r="T1174" t="s">
        <v>31670</v>
      </c>
      <c r="U1174" t="s">
        <v>31669</v>
      </c>
      <c r="V1174" t="s">
        <v>31668</v>
      </c>
      <c r="W1174" t="s">
        <v>31667</v>
      </c>
      <c r="X1174" t="s">
        <v>31666</v>
      </c>
      <c r="Y1174" t="s">
        <v>31665</v>
      </c>
      <c r="Z1174" t="s">
        <v>26280</v>
      </c>
      <c r="AA1174" t="s">
        <v>31664</v>
      </c>
      <c r="AB1174" t="s">
        <v>31663</v>
      </c>
      <c r="AC1174" t="s">
        <v>74</v>
      </c>
      <c r="AD1174" t="s">
        <v>74</v>
      </c>
      <c r="AE1174" t="s">
        <v>74</v>
      </c>
      <c r="AF1174" t="s">
        <v>74</v>
      </c>
      <c r="AG1174">
        <v>82</v>
      </c>
      <c r="AH1174">
        <v>13</v>
      </c>
      <c r="AI1174">
        <v>17</v>
      </c>
      <c r="AJ1174">
        <v>4</v>
      </c>
      <c r="AK1174">
        <v>13</v>
      </c>
      <c r="AL1174" t="s">
        <v>9204</v>
      </c>
      <c r="AM1174" t="s">
        <v>2016</v>
      </c>
      <c r="AN1174" t="s">
        <v>9205</v>
      </c>
      <c r="AO1174" t="s">
        <v>74</v>
      </c>
      <c r="AP1174" t="s">
        <v>9206</v>
      </c>
      <c r="AQ1174" t="s">
        <v>74</v>
      </c>
      <c r="AR1174" t="s">
        <v>9191</v>
      </c>
      <c r="AS1174" t="s">
        <v>9207</v>
      </c>
      <c r="AT1174" t="s">
        <v>1159</v>
      </c>
      <c r="AU1174">
        <v>2022</v>
      </c>
      <c r="AV1174">
        <v>8</v>
      </c>
      <c r="AW1174">
        <v>10</v>
      </c>
      <c r="AX1174" t="s">
        <v>74</v>
      </c>
      <c r="AY1174" t="s">
        <v>74</v>
      </c>
      <c r="AZ1174" t="s">
        <v>74</v>
      </c>
      <c r="BA1174" t="s">
        <v>74</v>
      </c>
      <c r="BB1174" t="s">
        <v>74</v>
      </c>
      <c r="BC1174" t="s">
        <v>74</v>
      </c>
      <c r="BD1174" t="s">
        <v>31662</v>
      </c>
      <c r="BE1174" t="s">
        <v>31661</v>
      </c>
      <c r="BF1174" t="str">
        <f>HYPERLINK("http://dx.doi.org/10.1016/j.heliyon.2022.e10860","http://dx.doi.org/10.1016/j.heliyon.2022.e10860")</f>
        <v>http://dx.doi.org/10.1016/j.heliyon.2022.e10860</v>
      </c>
      <c r="BG1174" t="s">
        <v>74</v>
      </c>
      <c r="BH1174" t="s">
        <v>3050</v>
      </c>
      <c r="BI1174">
        <v>8</v>
      </c>
      <c r="BJ1174" t="s">
        <v>559</v>
      </c>
      <c r="BK1174" t="s">
        <v>128</v>
      </c>
      <c r="BL1174" t="s">
        <v>560</v>
      </c>
      <c r="BM1174" t="s">
        <v>31660</v>
      </c>
      <c r="BN1174">
        <v>36267370</v>
      </c>
      <c r="BO1174" t="s">
        <v>916</v>
      </c>
      <c r="BP1174" t="s">
        <v>74</v>
      </c>
      <c r="BQ1174" t="s">
        <v>74</v>
      </c>
      <c r="BR1174" t="s">
        <v>102</v>
      </c>
      <c r="BS1174" t="s">
        <v>31659</v>
      </c>
      <c r="BT1174" t="str">
        <f>HYPERLINK("https%3A%2F%2Fwww.webofscience.com%2Fwos%2Fwoscc%2Ffull-record%2FWOS:000883065200001","View Full Record in Web of Science")</f>
        <v>View Full Record in Web of Science</v>
      </c>
    </row>
    <row r="1175" spans="1:72" x14ac:dyDescent="0.25">
      <c r="A1175" t="s">
        <v>72</v>
      </c>
      <c r="B1175" t="s">
        <v>31658</v>
      </c>
      <c r="C1175" t="s">
        <v>74</v>
      </c>
      <c r="D1175" t="s">
        <v>74</v>
      </c>
      <c r="E1175" t="s">
        <v>74</v>
      </c>
      <c r="F1175" t="s">
        <v>31657</v>
      </c>
      <c r="G1175" t="s">
        <v>74</v>
      </c>
      <c r="H1175" t="s">
        <v>74</v>
      </c>
      <c r="I1175" t="s">
        <v>31656</v>
      </c>
      <c r="J1175" t="s">
        <v>28965</v>
      </c>
      <c r="K1175" t="s">
        <v>74</v>
      </c>
      <c r="L1175" t="s">
        <v>74</v>
      </c>
      <c r="M1175" t="s">
        <v>78</v>
      </c>
      <c r="N1175" t="s">
        <v>79</v>
      </c>
      <c r="O1175" t="s">
        <v>74</v>
      </c>
      <c r="P1175" t="s">
        <v>74</v>
      </c>
      <c r="Q1175" t="s">
        <v>74</v>
      </c>
      <c r="R1175" t="s">
        <v>74</v>
      </c>
      <c r="S1175" t="s">
        <v>74</v>
      </c>
      <c r="T1175" t="s">
        <v>74</v>
      </c>
      <c r="U1175" t="s">
        <v>31655</v>
      </c>
      <c r="V1175" t="s">
        <v>31654</v>
      </c>
      <c r="W1175" t="s">
        <v>31653</v>
      </c>
      <c r="X1175" t="s">
        <v>31652</v>
      </c>
      <c r="Y1175" t="s">
        <v>31651</v>
      </c>
      <c r="Z1175" t="s">
        <v>31650</v>
      </c>
      <c r="AA1175" t="s">
        <v>31649</v>
      </c>
      <c r="AB1175" t="s">
        <v>74</v>
      </c>
      <c r="AC1175" t="s">
        <v>74</v>
      </c>
      <c r="AD1175" t="s">
        <v>74</v>
      </c>
      <c r="AE1175" t="s">
        <v>74</v>
      </c>
      <c r="AF1175" t="s">
        <v>74</v>
      </c>
      <c r="AG1175">
        <v>55</v>
      </c>
      <c r="AH1175">
        <v>3</v>
      </c>
      <c r="AI1175">
        <v>4</v>
      </c>
      <c r="AJ1175">
        <v>16</v>
      </c>
      <c r="AK1175">
        <v>59</v>
      </c>
      <c r="AL1175" t="s">
        <v>3023</v>
      </c>
      <c r="AM1175" t="s">
        <v>3024</v>
      </c>
      <c r="AN1175" t="s">
        <v>3025</v>
      </c>
      <c r="AO1175" t="s">
        <v>28954</v>
      </c>
      <c r="AP1175" t="s">
        <v>28953</v>
      </c>
      <c r="AQ1175" t="s">
        <v>74</v>
      </c>
      <c r="AR1175" t="s">
        <v>28952</v>
      </c>
      <c r="AS1175" t="s">
        <v>28951</v>
      </c>
      <c r="AT1175" t="s">
        <v>1652</v>
      </c>
      <c r="AU1175">
        <v>2024</v>
      </c>
      <c r="AV1175">
        <v>114</v>
      </c>
      <c r="AW1175">
        <v>6</v>
      </c>
      <c r="AX1175" t="s">
        <v>74</v>
      </c>
      <c r="AY1175" t="s">
        <v>74</v>
      </c>
      <c r="AZ1175" t="s">
        <v>74</v>
      </c>
      <c r="BA1175" t="s">
        <v>74</v>
      </c>
      <c r="BB1175">
        <v>1854</v>
      </c>
      <c r="BC1175">
        <v>1881</v>
      </c>
      <c r="BD1175" t="s">
        <v>74</v>
      </c>
      <c r="BE1175" t="s">
        <v>31648</v>
      </c>
      <c r="BF1175" t="str">
        <f>HYPERLINK("http://dx.doi.org/10.1257/aer.20230585","http://dx.doi.org/10.1257/aer.20230585")</f>
        <v>http://dx.doi.org/10.1257/aer.20230585</v>
      </c>
      <c r="BG1175" t="s">
        <v>74</v>
      </c>
      <c r="BH1175" t="s">
        <v>74</v>
      </c>
      <c r="BI1175">
        <v>28</v>
      </c>
      <c r="BJ1175" t="s">
        <v>291</v>
      </c>
      <c r="BK1175" t="s">
        <v>99</v>
      </c>
      <c r="BL1175" t="s">
        <v>100</v>
      </c>
      <c r="BM1175" t="s">
        <v>31647</v>
      </c>
      <c r="BN1175" t="s">
        <v>74</v>
      </c>
      <c r="BO1175" t="s">
        <v>74</v>
      </c>
      <c r="BP1175" t="s">
        <v>74</v>
      </c>
      <c r="BQ1175" t="s">
        <v>74</v>
      </c>
      <c r="BR1175" t="s">
        <v>102</v>
      </c>
      <c r="BS1175" t="s">
        <v>31646</v>
      </c>
      <c r="BT1175" t="str">
        <f>HYPERLINK("https%3A%2F%2Fwww.webofscience.com%2Fwos%2Fwoscc%2Ffull-record%2FWOS:001249243600011","View Full Record in Web of Science")</f>
        <v>View Full Record in Web of Science</v>
      </c>
    </row>
    <row r="1176" spans="1:72" x14ac:dyDescent="0.25">
      <c r="A1176" t="s">
        <v>132</v>
      </c>
      <c r="B1176" t="s">
        <v>31645</v>
      </c>
      <c r="C1176" t="s">
        <v>74</v>
      </c>
      <c r="D1176" t="s">
        <v>31644</v>
      </c>
      <c r="E1176" t="s">
        <v>74</v>
      </c>
      <c r="F1176" t="s">
        <v>31643</v>
      </c>
      <c r="G1176" t="s">
        <v>74</v>
      </c>
      <c r="H1176" t="s">
        <v>74</v>
      </c>
      <c r="I1176" t="s">
        <v>31642</v>
      </c>
      <c r="J1176" t="s">
        <v>31641</v>
      </c>
      <c r="K1176" t="s">
        <v>74</v>
      </c>
      <c r="L1176" t="s">
        <v>74</v>
      </c>
      <c r="M1176" t="s">
        <v>78</v>
      </c>
      <c r="N1176" t="s">
        <v>138</v>
      </c>
      <c r="O1176" t="s">
        <v>31640</v>
      </c>
      <c r="P1176" t="s">
        <v>31639</v>
      </c>
      <c r="Q1176" t="s">
        <v>1550</v>
      </c>
      <c r="R1176" t="s">
        <v>74</v>
      </c>
      <c r="S1176" t="s">
        <v>74</v>
      </c>
      <c r="T1176" t="s">
        <v>74</v>
      </c>
      <c r="U1176" t="s">
        <v>74</v>
      </c>
      <c r="V1176" t="s">
        <v>31638</v>
      </c>
      <c r="W1176" t="s">
        <v>31637</v>
      </c>
      <c r="X1176" t="s">
        <v>11597</v>
      </c>
      <c r="Y1176" t="s">
        <v>31636</v>
      </c>
      <c r="Z1176" t="s">
        <v>74</v>
      </c>
      <c r="AA1176" t="s">
        <v>74</v>
      </c>
      <c r="AB1176" t="s">
        <v>74</v>
      </c>
      <c r="AC1176" t="s">
        <v>31635</v>
      </c>
      <c r="AD1176" t="s">
        <v>31634</v>
      </c>
      <c r="AE1176" t="s">
        <v>31633</v>
      </c>
      <c r="AF1176" t="s">
        <v>74</v>
      </c>
      <c r="AG1176">
        <v>16</v>
      </c>
      <c r="AH1176">
        <v>1</v>
      </c>
      <c r="AI1176">
        <v>1</v>
      </c>
      <c r="AJ1176">
        <v>0</v>
      </c>
      <c r="AK1176">
        <v>6</v>
      </c>
      <c r="AL1176" t="s">
        <v>31632</v>
      </c>
      <c r="AM1176" t="s">
        <v>31631</v>
      </c>
      <c r="AN1176" t="s">
        <v>31630</v>
      </c>
      <c r="AO1176" t="s">
        <v>74</v>
      </c>
      <c r="AP1176" t="s">
        <v>74</v>
      </c>
      <c r="AQ1176" t="s">
        <v>31629</v>
      </c>
      <c r="AR1176" t="s">
        <v>74</v>
      </c>
      <c r="AS1176" t="s">
        <v>74</v>
      </c>
      <c r="AT1176" t="s">
        <v>74</v>
      </c>
      <c r="AU1176">
        <v>2023</v>
      </c>
      <c r="AV1176" t="s">
        <v>74</v>
      </c>
      <c r="AW1176" t="s">
        <v>74</v>
      </c>
      <c r="AX1176" t="s">
        <v>74</v>
      </c>
      <c r="AY1176" t="s">
        <v>74</v>
      </c>
      <c r="AZ1176" t="s">
        <v>74</v>
      </c>
      <c r="BA1176" t="s">
        <v>74</v>
      </c>
      <c r="BB1176">
        <v>98</v>
      </c>
      <c r="BC1176">
        <v>104</v>
      </c>
      <c r="BD1176" t="s">
        <v>74</v>
      </c>
      <c r="BE1176" t="s">
        <v>31628</v>
      </c>
      <c r="BF1176" t="str">
        <f>HYPERLINK("http://dx.doi.org/10.1201/9781003278788-15","http://dx.doi.org/10.1201/9781003278788-15")</f>
        <v>http://dx.doi.org/10.1201/9781003278788-15</v>
      </c>
      <c r="BG1176" t="s">
        <v>74</v>
      </c>
      <c r="BH1176" t="s">
        <v>74</v>
      </c>
      <c r="BI1176">
        <v>7</v>
      </c>
      <c r="BJ1176" t="s">
        <v>4632</v>
      </c>
      <c r="BK1176" t="s">
        <v>183</v>
      </c>
      <c r="BL1176" t="s">
        <v>100</v>
      </c>
      <c r="BM1176" t="s">
        <v>31627</v>
      </c>
      <c r="BN1176" t="s">
        <v>74</v>
      </c>
      <c r="BO1176" t="s">
        <v>74</v>
      </c>
      <c r="BP1176" t="s">
        <v>74</v>
      </c>
      <c r="BQ1176" t="s">
        <v>74</v>
      </c>
      <c r="BR1176" t="s">
        <v>102</v>
      </c>
      <c r="BS1176" t="s">
        <v>31626</v>
      </c>
      <c r="BT1176" t="str">
        <f>HYPERLINK("https%3A%2F%2Fwww.webofscience.com%2Fwos%2Fwoscc%2Ffull-record%2FWOS:001196034100015","View Full Record in Web of Science")</f>
        <v>View Full Record in Web of Science</v>
      </c>
    </row>
    <row r="1177" spans="1:72" x14ac:dyDescent="0.25">
      <c r="A1177" t="s">
        <v>72</v>
      </c>
      <c r="B1177" t="s">
        <v>31625</v>
      </c>
      <c r="C1177" t="s">
        <v>74</v>
      </c>
      <c r="D1177" t="s">
        <v>74</v>
      </c>
      <c r="E1177" t="s">
        <v>74</v>
      </c>
      <c r="F1177" t="s">
        <v>31624</v>
      </c>
      <c r="G1177" t="s">
        <v>74</v>
      </c>
      <c r="H1177" t="s">
        <v>74</v>
      </c>
      <c r="I1177" t="s">
        <v>31623</v>
      </c>
      <c r="J1177" t="s">
        <v>31622</v>
      </c>
      <c r="K1177" t="s">
        <v>74</v>
      </c>
      <c r="L1177" t="s">
        <v>74</v>
      </c>
      <c r="M1177" t="s">
        <v>78</v>
      </c>
      <c r="N1177" t="s">
        <v>79</v>
      </c>
      <c r="O1177" t="s">
        <v>74</v>
      </c>
      <c r="P1177" t="s">
        <v>74</v>
      </c>
      <c r="Q1177" t="s">
        <v>74</v>
      </c>
      <c r="R1177" t="s">
        <v>74</v>
      </c>
      <c r="S1177" t="s">
        <v>74</v>
      </c>
      <c r="T1177" t="s">
        <v>31621</v>
      </c>
      <c r="U1177" t="s">
        <v>31620</v>
      </c>
      <c r="V1177" t="s">
        <v>31619</v>
      </c>
      <c r="W1177" t="s">
        <v>31618</v>
      </c>
      <c r="X1177" t="s">
        <v>31617</v>
      </c>
      <c r="Y1177" t="s">
        <v>31616</v>
      </c>
      <c r="Z1177" t="s">
        <v>31615</v>
      </c>
      <c r="AA1177" t="s">
        <v>31614</v>
      </c>
      <c r="AB1177" t="s">
        <v>31613</v>
      </c>
      <c r="AC1177" t="s">
        <v>74</v>
      </c>
      <c r="AD1177" t="s">
        <v>74</v>
      </c>
      <c r="AE1177" t="s">
        <v>74</v>
      </c>
      <c r="AF1177" t="s">
        <v>74</v>
      </c>
      <c r="AG1177">
        <v>115</v>
      </c>
      <c r="AH1177">
        <v>11</v>
      </c>
      <c r="AI1177">
        <v>15</v>
      </c>
      <c r="AJ1177">
        <v>0</v>
      </c>
      <c r="AK1177">
        <v>19</v>
      </c>
      <c r="AL1177" t="s">
        <v>757</v>
      </c>
      <c r="AM1177" t="s">
        <v>758</v>
      </c>
      <c r="AN1177" t="s">
        <v>759</v>
      </c>
      <c r="AO1177" t="s">
        <v>31612</v>
      </c>
      <c r="AP1177" t="s">
        <v>31611</v>
      </c>
      <c r="AQ1177" t="s">
        <v>74</v>
      </c>
      <c r="AR1177" t="s">
        <v>31610</v>
      </c>
      <c r="AS1177" t="s">
        <v>31609</v>
      </c>
      <c r="AT1177" t="s">
        <v>1540</v>
      </c>
      <c r="AU1177">
        <v>2019</v>
      </c>
      <c r="AV1177">
        <v>20</v>
      </c>
      <c r="AW1177">
        <v>2</v>
      </c>
      <c r="AX1177" t="s">
        <v>74</v>
      </c>
      <c r="AY1177" t="s">
        <v>74</v>
      </c>
      <c r="AZ1177" t="s">
        <v>441</v>
      </c>
      <c r="BA1177" t="s">
        <v>74</v>
      </c>
      <c r="BB1177">
        <v>90</v>
      </c>
      <c r="BC1177">
        <v>106</v>
      </c>
      <c r="BD1177" t="s">
        <v>74</v>
      </c>
      <c r="BE1177" t="s">
        <v>31608</v>
      </c>
      <c r="BF1177" t="str">
        <f>HYPERLINK("http://dx.doi.org/10.1177/1465750319832478","http://dx.doi.org/10.1177/1465750319832478")</f>
        <v>http://dx.doi.org/10.1177/1465750319832478</v>
      </c>
      <c r="BG1177" t="s">
        <v>74</v>
      </c>
      <c r="BH1177" t="s">
        <v>74</v>
      </c>
      <c r="BI1177">
        <v>17</v>
      </c>
      <c r="BJ1177" t="s">
        <v>418</v>
      </c>
      <c r="BK1177" t="s">
        <v>313</v>
      </c>
      <c r="BL1177" t="s">
        <v>100</v>
      </c>
      <c r="BM1177" t="s">
        <v>31607</v>
      </c>
      <c r="BN1177" t="s">
        <v>74</v>
      </c>
      <c r="BO1177" t="s">
        <v>1696</v>
      </c>
      <c r="BP1177" t="s">
        <v>74</v>
      </c>
      <c r="BQ1177" t="s">
        <v>74</v>
      </c>
      <c r="BR1177" t="s">
        <v>102</v>
      </c>
      <c r="BS1177" t="s">
        <v>31606</v>
      </c>
      <c r="BT1177" t="str">
        <f>HYPERLINK("https%3A%2F%2Fwww.webofscience.com%2Fwos%2Fwoscc%2Ffull-record%2FWOS:000464032600003","View Full Record in Web of Science")</f>
        <v>View Full Record in Web of Science</v>
      </c>
    </row>
    <row r="1178" spans="1:72" x14ac:dyDescent="0.25">
      <c r="A1178" t="s">
        <v>72</v>
      </c>
      <c r="B1178" t="s">
        <v>31605</v>
      </c>
      <c r="C1178" t="s">
        <v>74</v>
      </c>
      <c r="D1178" t="s">
        <v>74</v>
      </c>
      <c r="E1178" t="s">
        <v>74</v>
      </c>
      <c r="F1178" t="s">
        <v>31604</v>
      </c>
      <c r="G1178" t="s">
        <v>74</v>
      </c>
      <c r="H1178" t="s">
        <v>74</v>
      </c>
      <c r="I1178" t="s">
        <v>31603</v>
      </c>
      <c r="J1178" t="s">
        <v>31589</v>
      </c>
      <c r="K1178" t="s">
        <v>74</v>
      </c>
      <c r="L1178" t="s">
        <v>74</v>
      </c>
      <c r="M1178" t="s">
        <v>78</v>
      </c>
      <c r="N1178" t="s">
        <v>79</v>
      </c>
      <c r="O1178" t="s">
        <v>74</v>
      </c>
      <c r="P1178" t="s">
        <v>74</v>
      </c>
      <c r="Q1178" t="s">
        <v>74</v>
      </c>
      <c r="R1178" t="s">
        <v>74</v>
      </c>
      <c r="S1178" t="s">
        <v>74</v>
      </c>
      <c r="T1178" t="s">
        <v>31602</v>
      </c>
      <c r="U1178" t="s">
        <v>31601</v>
      </c>
      <c r="V1178" t="s">
        <v>31600</v>
      </c>
      <c r="W1178" t="s">
        <v>31599</v>
      </c>
      <c r="X1178" t="s">
        <v>31598</v>
      </c>
      <c r="Y1178" t="s">
        <v>31597</v>
      </c>
      <c r="Z1178" t="s">
        <v>31596</v>
      </c>
      <c r="AA1178" t="s">
        <v>31595</v>
      </c>
      <c r="AB1178" t="s">
        <v>31594</v>
      </c>
      <c r="AC1178" t="s">
        <v>31593</v>
      </c>
      <c r="AD1178" t="s">
        <v>31592</v>
      </c>
      <c r="AE1178" t="s">
        <v>31591</v>
      </c>
      <c r="AF1178" t="s">
        <v>74</v>
      </c>
      <c r="AG1178">
        <v>91</v>
      </c>
      <c r="AH1178">
        <v>1</v>
      </c>
      <c r="AI1178">
        <v>1</v>
      </c>
      <c r="AJ1178">
        <v>1</v>
      </c>
      <c r="AK1178">
        <v>5</v>
      </c>
      <c r="AL1178" t="s">
        <v>575</v>
      </c>
      <c r="AM1178" t="s">
        <v>576</v>
      </c>
      <c r="AN1178" t="s">
        <v>577</v>
      </c>
      <c r="AO1178" t="s">
        <v>74</v>
      </c>
      <c r="AP1178" t="s">
        <v>31590</v>
      </c>
      <c r="AQ1178" t="s">
        <v>74</v>
      </c>
      <c r="AR1178" t="s">
        <v>31589</v>
      </c>
      <c r="AS1178" t="s">
        <v>31588</v>
      </c>
      <c r="AT1178" t="s">
        <v>31587</v>
      </c>
      <c r="AU1178">
        <v>2025</v>
      </c>
      <c r="AV1178">
        <v>13</v>
      </c>
      <c r="AW1178">
        <v>1</v>
      </c>
      <c r="AX1178" t="s">
        <v>74</v>
      </c>
      <c r="AY1178" t="s">
        <v>74</v>
      </c>
      <c r="AZ1178" t="s">
        <v>74</v>
      </c>
      <c r="BA1178" t="s">
        <v>74</v>
      </c>
      <c r="BB1178" t="s">
        <v>74</v>
      </c>
      <c r="BC1178" t="s">
        <v>74</v>
      </c>
      <c r="BD1178">
        <v>12</v>
      </c>
      <c r="BE1178" t="s">
        <v>31586</v>
      </c>
      <c r="BF1178" t="str">
        <f>HYPERLINK("http://dx.doi.org/10.3390/econometrics13010012","http://dx.doi.org/10.3390/econometrics13010012")</f>
        <v>http://dx.doi.org/10.3390/econometrics13010012</v>
      </c>
      <c r="BG1178" t="s">
        <v>74</v>
      </c>
      <c r="BH1178" t="s">
        <v>74</v>
      </c>
      <c r="BI1178">
        <v>20</v>
      </c>
      <c r="BJ1178" t="s">
        <v>291</v>
      </c>
      <c r="BK1178" t="s">
        <v>313</v>
      </c>
      <c r="BL1178" t="s">
        <v>100</v>
      </c>
      <c r="BM1178" t="s">
        <v>31585</v>
      </c>
      <c r="BN1178" t="s">
        <v>74</v>
      </c>
      <c r="BO1178" t="s">
        <v>212</v>
      </c>
      <c r="BP1178" t="s">
        <v>74</v>
      </c>
      <c r="BQ1178" t="s">
        <v>74</v>
      </c>
      <c r="BR1178" t="s">
        <v>102</v>
      </c>
      <c r="BS1178" t="s">
        <v>31584</v>
      </c>
      <c r="BT1178" t="str">
        <f>HYPERLINK("https%3A%2F%2Fwww.webofscience.com%2Fwos%2Fwoscc%2Ffull-record%2FWOS:001453778300001","View Full Record in Web of Science")</f>
        <v>View Full Record in Web of Science</v>
      </c>
    </row>
    <row r="1179" spans="1:72" x14ac:dyDescent="0.25">
      <c r="A1179" t="s">
        <v>72</v>
      </c>
      <c r="B1179" t="s">
        <v>31583</v>
      </c>
      <c r="C1179" t="s">
        <v>74</v>
      </c>
      <c r="D1179" t="s">
        <v>74</v>
      </c>
      <c r="E1179" t="s">
        <v>74</v>
      </c>
      <c r="F1179" t="s">
        <v>31582</v>
      </c>
      <c r="G1179" t="s">
        <v>74</v>
      </c>
      <c r="H1179" t="s">
        <v>74</v>
      </c>
      <c r="I1179" t="s">
        <v>31581</v>
      </c>
      <c r="J1179" t="s">
        <v>16089</v>
      </c>
      <c r="K1179" t="s">
        <v>74</v>
      </c>
      <c r="L1179" t="s">
        <v>74</v>
      </c>
      <c r="M1179" t="s">
        <v>78</v>
      </c>
      <c r="N1179" t="s">
        <v>79</v>
      </c>
      <c r="O1179" t="s">
        <v>74</v>
      </c>
      <c r="P1179" t="s">
        <v>74</v>
      </c>
      <c r="Q1179" t="s">
        <v>74</v>
      </c>
      <c r="R1179" t="s">
        <v>74</v>
      </c>
      <c r="S1179" t="s">
        <v>74</v>
      </c>
      <c r="T1179" t="s">
        <v>31580</v>
      </c>
      <c r="U1179" t="s">
        <v>31579</v>
      </c>
      <c r="V1179" t="s">
        <v>31578</v>
      </c>
      <c r="W1179" t="s">
        <v>31577</v>
      </c>
      <c r="X1179" t="s">
        <v>31576</v>
      </c>
      <c r="Y1179" t="s">
        <v>31575</v>
      </c>
      <c r="Z1179" t="s">
        <v>31574</v>
      </c>
      <c r="AA1179" t="s">
        <v>31573</v>
      </c>
      <c r="AB1179" t="s">
        <v>31572</v>
      </c>
      <c r="AC1179" t="s">
        <v>74</v>
      </c>
      <c r="AD1179" t="s">
        <v>74</v>
      </c>
      <c r="AE1179" t="s">
        <v>74</v>
      </c>
      <c r="AF1179" t="s">
        <v>74</v>
      </c>
      <c r="AG1179">
        <v>40</v>
      </c>
      <c r="AH1179">
        <v>2</v>
      </c>
      <c r="AI1179">
        <v>7</v>
      </c>
      <c r="AJ1179">
        <v>3</v>
      </c>
      <c r="AK1179">
        <v>48</v>
      </c>
      <c r="AL1179" t="s">
        <v>16099</v>
      </c>
      <c r="AM1179" t="s">
        <v>16100</v>
      </c>
      <c r="AN1179" t="s">
        <v>16101</v>
      </c>
      <c r="AO1179" t="s">
        <v>16102</v>
      </c>
      <c r="AP1179" t="s">
        <v>16103</v>
      </c>
      <c r="AQ1179" t="s">
        <v>74</v>
      </c>
      <c r="AR1179" t="s">
        <v>16104</v>
      </c>
      <c r="AS1179" t="s">
        <v>16105</v>
      </c>
      <c r="AT1179" t="s">
        <v>848</v>
      </c>
      <c r="AU1179">
        <v>2021</v>
      </c>
      <c r="AV1179">
        <v>30</v>
      </c>
      <c r="AW1179">
        <v>4</v>
      </c>
      <c r="AX1179" t="s">
        <v>74</v>
      </c>
      <c r="AY1179" t="s">
        <v>74</v>
      </c>
      <c r="AZ1179" t="s">
        <v>441</v>
      </c>
      <c r="BA1179" t="s">
        <v>74</v>
      </c>
      <c r="BB1179">
        <v>377</v>
      </c>
      <c r="BC1179">
        <v>387</v>
      </c>
      <c r="BD1179" t="s">
        <v>74</v>
      </c>
      <c r="BE1179" t="s">
        <v>31571</v>
      </c>
      <c r="BF1179" t="str">
        <f>HYPERLINK("http://dx.doi.org/10.1002/jsc.2431","http://dx.doi.org/10.1002/jsc.2431")</f>
        <v>http://dx.doi.org/10.1002/jsc.2431</v>
      </c>
      <c r="BG1179" t="s">
        <v>74</v>
      </c>
      <c r="BH1179" t="s">
        <v>74</v>
      </c>
      <c r="BI1179">
        <v>11</v>
      </c>
      <c r="BJ1179" t="s">
        <v>268</v>
      </c>
      <c r="BK1179" t="s">
        <v>313</v>
      </c>
      <c r="BL1179" t="s">
        <v>100</v>
      </c>
      <c r="BM1179" t="s">
        <v>29080</v>
      </c>
      <c r="BN1179" t="s">
        <v>74</v>
      </c>
      <c r="BO1179" t="s">
        <v>74</v>
      </c>
      <c r="BP1179" t="s">
        <v>74</v>
      </c>
      <c r="BQ1179" t="s">
        <v>74</v>
      </c>
      <c r="BR1179" t="s">
        <v>102</v>
      </c>
      <c r="BS1179" t="s">
        <v>31570</v>
      </c>
      <c r="BT1179" t="str">
        <f>HYPERLINK("https%3A%2F%2Fwww.webofscience.com%2Fwos%2Fwoscc%2Ffull-record%2FWOS:000670698600006","View Full Record in Web of Science")</f>
        <v>View Full Record in Web of Science</v>
      </c>
    </row>
    <row r="1180" spans="1:72" x14ac:dyDescent="0.25">
      <c r="A1180" t="s">
        <v>72</v>
      </c>
      <c r="B1180" t="s">
        <v>31569</v>
      </c>
      <c r="C1180" t="s">
        <v>74</v>
      </c>
      <c r="D1180" t="s">
        <v>74</v>
      </c>
      <c r="E1180" t="s">
        <v>74</v>
      </c>
      <c r="F1180" t="s">
        <v>31568</v>
      </c>
      <c r="G1180" t="s">
        <v>74</v>
      </c>
      <c r="H1180" t="s">
        <v>74</v>
      </c>
      <c r="I1180" t="s">
        <v>31567</v>
      </c>
      <c r="J1180" t="s">
        <v>12172</v>
      </c>
      <c r="K1180" t="s">
        <v>74</v>
      </c>
      <c r="L1180" t="s">
        <v>74</v>
      </c>
      <c r="M1180" t="s">
        <v>78</v>
      </c>
      <c r="N1180" t="s">
        <v>79</v>
      </c>
      <c r="O1180" t="s">
        <v>74</v>
      </c>
      <c r="P1180" t="s">
        <v>74</v>
      </c>
      <c r="Q1180" t="s">
        <v>74</v>
      </c>
      <c r="R1180" t="s">
        <v>74</v>
      </c>
      <c r="S1180" t="s">
        <v>74</v>
      </c>
      <c r="T1180" t="s">
        <v>31566</v>
      </c>
      <c r="U1180" t="s">
        <v>31565</v>
      </c>
      <c r="V1180" t="s">
        <v>31564</v>
      </c>
      <c r="W1180" t="s">
        <v>31563</v>
      </c>
      <c r="X1180" t="s">
        <v>31562</v>
      </c>
      <c r="Y1180" t="s">
        <v>31561</v>
      </c>
      <c r="Z1180" t="s">
        <v>31560</v>
      </c>
      <c r="AA1180" t="s">
        <v>31559</v>
      </c>
      <c r="AB1180" t="s">
        <v>31558</v>
      </c>
      <c r="AC1180" t="s">
        <v>74</v>
      </c>
      <c r="AD1180" t="s">
        <v>74</v>
      </c>
      <c r="AE1180" t="s">
        <v>74</v>
      </c>
      <c r="AF1180" t="s">
        <v>74</v>
      </c>
      <c r="AG1180">
        <v>286</v>
      </c>
      <c r="AH1180">
        <v>49</v>
      </c>
      <c r="AI1180">
        <v>64</v>
      </c>
      <c r="AJ1180">
        <v>0</v>
      </c>
      <c r="AK1180">
        <v>21</v>
      </c>
      <c r="AL1180" t="s">
        <v>757</v>
      </c>
      <c r="AM1180" t="s">
        <v>758</v>
      </c>
      <c r="AN1180" t="s">
        <v>759</v>
      </c>
      <c r="AO1180" t="s">
        <v>12179</v>
      </c>
      <c r="AP1180" t="s">
        <v>74</v>
      </c>
      <c r="AQ1180" t="s">
        <v>74</v>
      </c>
      <c r="AR1180" t="s">
        <v>12172</v>
      </c>
      <c r="AS1180" t="s">
        <v>12180</v>
      </c>
      <c r="AT1180" t="s">
        <v>7020</v>
      </c>
      <c r="AU1180">
        <v>2016</v>
      </c>
      <c r="AV1180">
        <v>6</v>
      </c>
      <c r="AW1180">
        <v>1</v>
      </c>
      <c r="AX1180" t="s">
        <v>74</v>
      </c>
      <c r="AY1180" t="s">
        <v>74</v>
      </c>
      <c r="AZ1180" t="s">
        <v>74</v>
      </c>
      <c r="BA1180" t="s">
        <v>74</v>
      </c>
      <c r="BB1180" t="s">
        <v>74</v>
      </c>
      <c r="BC1180" t="s">
        <v>74</v>
      </c>
      <c r="BD1180">
        <v>2158244016633731</v>
      </c>
      <c r="BE1180" t="s">
        <v>31557</v>
      </c>
      <c r="BF1180" t="str">
        <f>HYPERLINK("http://dx.doi.org/10.1177/2158244016633731","http://dx.doi.org/10.1177/2158244016633731")</f>
        <v>http://dx.doi.org/10.1177/2158244016633731</v>
      </c>
      <c r="BG1180" t="s">
        <v>74</v>
      </c>
      <c r="BH1180" t="s">
        <v>74</v>
      </c>
      <c r="BI1180">
        <v>21</v>
      </c>
      <c r="BJ1180" t="s">
        <v>364</v>
      </c>
      <c r="BK1180" t="s">
        <v>99</v>
      </c>
      <c r="BL1180" t="s">
        <v>365</v>
      </c>
      <c r="BM1180" t="s">
        <v>31556</v>
      </c>
      <c r="BN1180" t="s">
        <v>74</v>
      </c>
      <c r="BO1180" t="s">
        <v>916</v>
      </c>
      <c r="BP1180" t="s">
        <v>74</v>
      </c>
      <c r="BQ1180" t="s">
        <v>74</v>
      </c>
      <c r="BR1180" t="s">
        <v>102</v>
      </c>
      <c r="BS1180" t="s">
        <v>31555</v>
      </c>
      <c r="BT1180" t="str">
        <f>HYPERLINK("https%3A%2F%2Fwww.webofscience.com%2Fwos%2Fwoscc%2Ffull-record%2FWOS:000458981700021","View Full Record in Web of Science")</f>
        <v>View Full Record in Web of Science</v>
      </c>
    </row>
    <row r="1181" spans="1:72" x14ac:dyDescent="0.25">
      <c r="A1181" t="s">
        <v>72</v>
      </c>
      <c r="B1181" t="s">
        <v>31554</v>
      </c>
      <c r="C1181" t="s">
        <v>74</v>
      </c>
      <c r="D1181" t="s">
        <v>74</v>
      </c>
      <c r="E1181" t="s">
        <v>74</v>
      </c>
      <c r="F1181" t="s">
        <v>31553</v>
      </c>
      <c r="G1181" t="s">
        <v>74</v>
      </c>
      <c r="H1181" t="s">
        <v>74</v>
      </c>
      <c r="I1181" t="s">
        <v>31552</v>
      </c>
      <c r="J1181" t="s">
        <v>1435</v>
      </c>
      <c r="K1181" t="s">
        <v>74</v>
      </c>
      <c r="L1181" t="s">
        <v>74</v>
      </c>
      <c r="M1181" t="s">
        <v>78</v>
      </c>
      <c r="N1181" t="s">
        <v>79</v>
      </c>
      <c r="O1181" t="s">
        <v>74</v>
      </c>
      <c r="P1181" t="s">
        <v>74</v>
      </c>
      <c r="Q1181" t="s">
        <v>74</v>
      </c>
      <c r="R1181" t="s">
        <v>74</v>
      </c>
      <c r="S1181" t="s">
        <v>74</v>
      </c>
      <c r="T1181" t="s">
        <v>31551</v>
      </c>
      <c r="U1181" t="s">
        <v>31550</v>
      </c>
      <c r="V1181" t="s">
        <v>31549</v>
      </c>
      <c r="W1181" t="s">
        <v>31548</v>
      </c>
      <c r="X1181" t="s">
        <v>31547</v>
      </c>
      <c r="Y1181" t="s">
        <v>31546</v>
      </c>
      <c r="Z1181" t="s">
        <v>31545</v>
      </c>
      <c r="AA1181" t="s">
        <v>31544</v>
      </c>
      <c r="AB1181" t="s">
        <v>74</v>
      </c>
      <c r="AC1181" t="s">
        <v>74</v>
      </c>
      <c r="AD1181" t="s">
        <v>74</v>
      </c>
      <c r="AE1181" t="s">
        <v>74</v>
      </c>
      <c r="AF1181" t="s">
        <v>74</v>
      </c>
      <c r="AG1181">
        <v>89</v>
      </c>
      <c r="AH1181">
        <v>0</v>
      </c>
      <c r="AI1181">
        <v>0</v>
      </c>
      <c r="AJ1181">
        <v>0</v>
      </c>
      <c r="AK1181">
        <v>0</v>
      </c>
      <c r="AL1181" t="s">
        <v>1445</v>
      </c>
      <c r="AM1181" t="s">
        <v>1446</v>
      </c>
      <c r="AN1181" t="s">
        <v>10534</v>
      </c>
      <c r="AO1181" t="s">
        <v>1448</v>
      </c>
      <c r="AP1181" t="s">
        <v>1449</v>
      </c>
      <c r="AQ1181" t="s">
        <v>74</v>
      </c>
      <c r="AR1181" t="s">
        <v>1450</v>
      </c>
      <c r="AS1181" t="s">
        <v>1451</v>
      </c>
      <c r="AT1181" t="s">
        <v>74</v>
      </c>
      <c r="AU1181">
        <v>2025</v>
      </c>
      <c r="AV1181">
        <v>18</v>
      </c>
      <c r="AW1181">
        <v>3</v>
      </c>
      <c r="AX1181" t="s">
        <v>74</v>
      </c>
      <c r="AY1181" t="s">
        <v>74</v>
      </c>
      <c r="AZ1181" t="s">
        <v>74</v>
      </c>
      <c r="BA1181" t="s">
        <v>74</v>
      </c>
      <c r="BB1181">
        <v>80</v>
      </c>
      <c r="BC1181">
        <v>105</v>
      </c>
      <c r="BD1181" t="s">
        <v>74</v>
      </c>
      <c r="BE1181" t="s">
        <v>31543</v>
      </c>
      <c r="BF1181" t="str">
        <f>HYPERLINK("http://dx.doi.org/10.14254/2071-789X.2025/18-3/5","http://dx.doi.org/10.14254/2071-789X.2025/18-3/5")</f>
        <v>http://dx.doi.org/10.14254/2071-789X.2025/18-3/5</v>
      </c>
      <c r="BG1181" t="s">
        <v>74</v>
      </c>
      <c r="BH1181" t="s">
        <v>74</v>
      </c>
      <c r="BI1181">
        <v>26</v>
      </c>
      <c r="BJ1181" t="s">
        <v>1453</v>
      </c>
      <c r="BK1181" t="s">
        <v>313</v>
      </c>
      <c r="BL1181" t="s">
        <v>100</v>
      </c>
      <c r="BM1181" t="s">
        <v>15921</v>
      </c>
      <c r="BN1181" t="s">
        <v>74</v>
      </c>
      <c r="BO1181" t="s">
        <v>212</v>
      </c>
      <c r="BP1181" t="s">
        <v>74</v>
      </c>
      <c r="BQ1181" t="s">
        <v>74</v>
      </c>
      <c r="BR1181" t="s">
        <v>102</v>
      </c>
      <c r="BS1181" t="s">
        <v>31542</v>
      </c>
      <c r="BT1181" t="str">
        <f>HYPERLINK("https%3A%2F%2Fwww.webofscience.com%2Fwos%2Fwoscc%2Ffull-record%2FWOS:001599946000005","View Full Record in Web of Science")</f>
        <v>View Full Record in Web of Science</v>
      </c>
    </row>
    <row r="1182" spans="1:72" x14ac:dyDescent="0.25">
      <c r="A1182" t="s">
        <v>72</v>
      </c>
      <c r="B1182" t="s">
        <v>31541</v>
      </c>
      <c r="C1182" t="s">
        <v>74</v>
      </c>
      <c r="D1182" t="s">
        <v>74</v>
      </c>
      <c r="E1182" t="s">
        <v>74</v>
      </c>
      <c r="F1182" t="s">
        <v>31540</v>
      </c>
      <c r="G1182" t="s">
        <v>74</v>
      </c>
      <c r="H1182" t="s">
        <v>74</v>
      </c>
      <c r="I1182" t="s">
        <v>31539</v>
      </c>
      <c r="J1182" t="s">
        <v>246</v>
      </c>
      <c r="K1182" t="s">
        <v>74</v>
      </c>
      <c r="L1182" t="s">
        <v>74</v>
      </c>
      <c r="M1182" t="s">
        <v>78</v>
      </c>
      <c r="N1182" t="s">
        <v>79</v>
      </c>
      <c r="O1182" t="s">
        <v>74</v>
      </c>
      <c r="P1182" t="s">
        <v>74</v>
      </c>
      <c r="Q1182" t="s">
        <v>74</v>
      </c>
      <c r="R1182" t="s">
        <v>74</v>
      </c>
      <c r="S1182" t="s">
        <v>74</v>
      </c>
      <c r="T1182" t="s">
        <v>31538</v>
      </c>
      <c r="U1182" t="s">
        <v>74</v>
      </c>
      <c r="V1182" t="s">
        <v>31537</v>
      </c>
      <c r="W1182" t="s">
        <v>31536</v>
      </c>
      <c r="X1182" t="s">
        <v>31535</v>
      </c>
      <c r="Y1182" t="s">
        <v>31534</v>
      </c>
      <c r="Z1182" t="s">
        <v>31533</v>
      </c>
      <c r="AA1182" t="s">
        <v>74</v>
      </c>
      <c r="AB1182" t="s">
        <v>74</v>
      </c>
      <c r="AC1182" t="s">
        <v>74</v>
      </c>
      <c r="AD1182" t="s">
        <v>74</v>
      </c>
      <c r="AE1182" t="s">
        <v>74</v>
      </c>
      <c r="AF1182" t="s">
        <v>74</v>
      </c>
      <c r="AG1182">
        <v>18</v>
      </c>
      <c r="AH1182">
        <v>12</v>
      </c>
      <c r="AI1182">
        <v>13</v>
      </c>
      <c r="AJ1182">
        <v>5</v>
      </c>
      <c r="AK1182">
        <v>45</v>
      </c>
      <c r="AL1182" t="s">
        <v>259</v>
      </c>
      <c r="AM1182" t="s">
        <v>260</v>
      </c>
      <c r="AN1182" t="s">
        <v>261</v>
      </c>
      <c r="AO1182" t="s">
        <v>262</v>
      </c>
      <c r="AP1182" t="s">
        <v>263</v>
      </c>
      <c r="AQ1182" t="s">
        <v>74</v>
      </c>
      <c r="AR1182" t="s">
        <v>264</v>
      </c>
      <c r="AS1182" t="s">
        <v>265</v>
      </c>
      <c r="AT1182" t="s">
        <v>124</v>
      </c>
      <c r="AU1182">
        <v>2023</v>
      </c>
      <c r="AV1182">
        <v>58</v>
      </c>
      <c r="AW1182" t="s">
        <v>74</v>
      </c>
      <c r="AX1182" t="s">
        <v>132</v>
      </c>
      <c r="AY1182" t="s">
        <v>74</v>
      </c>
      <c r="AZ1182" t="s">
        <v>74</v>
      </c>
      <c r="BA1182" t="s">
        <v>74</v>
      </c>
      <c r="BB1182" t="s">
        <v>74</v>
      </c>
      <c r="BC1182" t="s">
        <v>74</v>
      </c>
      <c r="BD1182">
        <v>104535</v>
      </c>
      <c r="BE1182" t="s">
        <v>31532</v>
      </c>
      <c r="BF1182" t="str">
        <f>HYPERLINK("http://dx.doi.org/10.1016/j.frl.2023.104535","http://dx.doi.org/10.1016/j.frl.2023.104535")</f>
        <v>http://dx.doi.org/10.1016/j.frl.2023.104535</v>
      </c>
      <c r="BG1182" t="s">
        <v>74</v>
      </c>
      <c r="BH1182" t="s">
        <v>2417</v>
      </c>
      <c r="BI1182">
        <v>8</v>
      </c>
      <c r="BJ1182" t="s">
        <v>268</v>
      </c>
      <c r="BK1182" t="s">
        <v>99</v>
      </c>
      <c r="BL1182" t="s">
        <v>100</v>
      </c>
      <c r="BM1182" t="s">
        <v>31531</v>
      </c>
      <c r="BN1182" t="s">
        <v>74</v>
      </c>
      <c r="BO1182" t="s">
        <v>74</v>
      </c>
      <c r="BP1182" t="s">
        <v>74</v>
      </c>
      <c r="BQ1182" t="s">
        <v>74</v>
      </c>
      <c r="BR1182" t="s">
        <v>102</v>
      </c>
      <c r="BS1182" t="s">
        <v>31530</v>
      </c>
      <c r="BT1182" t="str">
        <f>HYPERLINK("https%3A%2F%2Fwww.webofscience.com%2Fwos%2Fwoscc%2Ffull-record%2FWOS:001096869500001","View Full Record in Web of Science")</f>
        <v>View Full Record in Web of Science</v>
      </c>
    </row>
    <row r="1183" spans="1:72" x14ac:dyDescent="0.25">
      <c r="A1183" t="s">
        <v>72</v>
      </c>
      <c r="B1183" t="s">
        <v>31529</v>
      </c>
      <c r="C1183" t="s">
        <v>74</v>
      </c>
      <c r="D1183" t="s">
        <v>74</v>
      </c>
      <c r="E1183" t="s">
        <v>74</v>
      </c>
      <c r="F1183" t="s">
        <v>31528</v>
      </c>
      <c r="G1183" t="s">
        <v>74</v>
      </c>
      <c r="H1183" t="s">
        <v>74</v>
      </c>
      <c r="I1183" t="s">
        <v>31527</v>
      </c>
      <c r="J1183" t="s">
        <v>12172</v>
      </c>
      <c r="K1183" t="s">
        <v>74</v>
      </c>
      <c r="L1183" t="s">
        <v>74</v>
      </c>
      <c r="M1183" t="s">
        <v>78</v>
      </c>
      <c r="N1183" t="s">
        <v>79</v>
      </c>
      <c r="O1183" t="s">
        <v>74</v>
      </c>
      <c r="P1183" t="s">
        <v>74</v>
      </c>
      <c r="Q1183" t="s">
        <v>74</v>
      </c>
      <c r="R1183" t="s">
        <v>74</v>
      </c>
      <c r="S1183" t="s">
        <v>74</v>
      </c>
      <c r="T1183" t="s">
        <v>31526</v>
      </c>
      <c r="U1183" t="s">
        <v>31525</v>
      </c>
      <c r="V1183" t="s">
        <v>31524</v>
      </c>
      <c r="W1183" t="s">
        <v>31523</v>
      </c>
      <c r="X1183" t="s">
        <v>31522</v>
      </c>
      <c r="Y1183" t="s">
        <v>31521</v>
      </c>
      <c r="Z1183" t="s">
        <v>31520</v>
      </c>
      <c r="AA1183" t="s">
        <v>31519</v>
      </c>
      <c r="AB1183" t="s">
        <v>74</v>
      </c>
      <c r="AC1183" t="s">
        <v>74</v>
      </c>
      <c r="AD1183" t="s">
        <v>74</v>
      </c>
      <c r="AE1183" t="s">
        <v>74</v>
      </c>
      <c r="AF1183" t="s">
        <v>74</v>
      </c>
      <c r="AG1183">
        <v>111</v>
      </c>
      <c r="AH1183">
        <v>0</v>
      </c>
      <c r="AI1183">
        <v>0</v>
      </c>
      <c r="AJ1183">
        <v>3</v>
      </c>
      <c r="AK1183">
        <v>3</v>
      </c>
      <c r="AL1183" t="s">
        <v>757</v>
      </c>
      <c r="AM1183" t="s">
        <v>758</v>
      </c>
      <c r="AN1183" t="s">
        <v>759</v>
      </c>
      <c r="AO1183" t="s">
        <v>12179</v>
      </c>
      <c r="AP1183" t="s">
        <v>74</v>
      </c>
      <c r="AQ1183" t="s">
        <v>74</v>
      </c>
      <c r="AR1183" t="s">
        <v>12172</v>
      </c>
      <c r="AS1183" t="s">
        <v>12180</v>
      </c>
      <c r="AT1183" t="s">
        <v>1159</v>
      </c>
      <c r="AU1183">
        <v>2025</v>
      </c>
      <c r="AV1183">
        <v>15</v>
      </c>
      <c r="AW1183">
        <v>4</v>
      </c>
      <c r="AX1183" t="s">
        <v>74</v>
      </c>
      <c r="AY1183" t="s">
        <v>74</v>
      </c>
      <c r="AZ1183" t="s">
        <v>74</v>
      </c>
      <c r="BA1183" t="s">
        <v>74</v>
      </c>
      <c r="BB1183" t="s">
        <v>74</v>
      </c>
      <c r="BC1183" t="s">
        <v>74</v>
      </c>
      <c r="BD1183">
        <v>2.1582440251389328E+16</v>
      </c>
      <c r="BE1183" t="s">
        <v>31518</v>
      </c>
      <c r="BF1183" t="str">
        <f>HYPERLINK("http://dx.doi.org/10.1177/21582440251389326","http://dx.doi.org/10.1177/21582440251389326")</f>
        <v>http://dx.doi.org/10.1177/21582440251389326</v>
      </c>
      <c r="BG1183" t="s">
        <v>74</v>
      </c>
      <c r="BH1183" t="s">
        <v>74</v>
      </c>
      <c r="BI1183">
        <v>23</v>
      </c>
      <c r="BJ1183" t="s">
        <v>364</v>
      </c>
      <c r="BK1183" t="s">
        <v>99</v>
      </c>
      <c r="BL1183" t="s">
        <v>365</v>
      </c>
      <c r="BM1183" t="s">
        <v>31517</v>
      </c>
      <c r="BN1183" t="s">
        <v>74</v>
      </c>
      <c r="BO1183" t="s">
        <v>212</v>
      </c>
      <c r="BP1183" t="s">
        <v>74</v>
      </c>
      <c r="BQ1183" t="s">
        <v>74</v>
      </c>
      <c r="BR1183" t="s">
        <v>102</v>
      </c>
      <c r="BS1183" t="s">
        <v>31516</v>
      </c>
      <c r="BT1183" t="str">
        <f>HYPERLINK("https%3A%2F%2Fwww.webofscience.com%2Fwos%2Fwoscc%2Ffull-record%2FWOS:001605618200001","View Full Record in Web of Science")</f>
        <v>View Full Record in Web of Science</v>
      </c>
    </row>
    <row r="1184" spans="1:72" x14ac:dyDescent="0.25">
      <c r="A1184" t="s">
        <v>72</v>
      </c>
      <c r="B1184" t="s">
        <v>31515</v>
      </c>
      <c r="C1184" t="s">
        <v>74</v>
      </c>
      <c r="D1184" t="s">
        <v>74</v>
      </c>
      <c r="E1184" t="s">
        <v>74</v>
      </c>
      <c r="F1184" t="s">
        <v>31514</v>
      </c>
      <c r="G1184" t="s">
        <v>74</v>
      </c>
      <c r="H1184" t="s">
        <v>74</v>
      </c>
      <c r="I1184" t="s">
        <v>31513</v>
      </c>
      <c r="J1184" t="s">
        <v>11214</v>
      </c>
      <c r="K1184" t="s">
        <v>74</v>
      </c>
      <c r="L1184" t="s">
        <v>74</v>
      </c>
      <c r="M1184" t="s">
        <v>298</v>
      </c>
      <c r="N1184" t="s">
        <v>79</v>
      </c>
      <c r="O1184" t="s">
        <v>74</v>
      </c>
      <c r="P1184" t="s">
        <v>74</v>
      </c>
      <c r="Q1184" t="s">
        <v>74</v>
      </c>
      <c r="R1184" t="s">
        <v>74</v>
      </c>
      <c r="S1184" t="s">
        <v>74</v>
      </c>
      <c r="T1184" t="s">
        <v>31512</v>
      </c>
      <c r="U1184" t="s">
        <v>74</v>
      </c>
      <c r="V1184" t="s">
        <v>31511</v>
      </c>
      <c r="W1184" t="s">
        <v>31510</v>
      </c>
      <c r="X1184" t="s">
        <v>31509</v>
      </c>
      <c r="Y1184" t="s">
        <v>31508</v>
      </c>
      <c r="Z1184" t="s">
        <v>31507</v>
      </c>
      <c r="AA1184" t="s">
        <v>74</v>
      </c>
      <c r="AB1184" t="s">
        <v>74</v>
      </c>
      <c r="AC1184" t="s">
        <v>74</v>
      </c>
      <c r="AD1184" t="s">
        <v>74</v>
      </c>
      <c r="AE1184" t="s">
        <v>74</v>
      </c>
      <c r="AF1184" t="s">
        <v>74</v>
      </c>
      <c r="AG1184">
        <v>25</v>
      </c>
      <c r="AH1184">
        <v>0</v>
      </c>
      <c r="AI1184">
        <v>0</v>
      </c>
      <c r="AJ1184">
        <v>1</v>
      </c>
      <c r="AK1184">
        <v>5</v>
      </c>
      <c r="AL1184" t="s">
        <v>11222</v>
      </c>
      <c r="AM1184" t="s">
        <v>11223</v>
      </c>
      <c r="AN1184" t="s">
        <v>11224</v>
      </c>
      <c r="AO1184" t="s">
        <v>11225</v>
      </c>
      <c r="AP1184" t="s">
        <v>74</v>
      </c>
      <c r="AQ1184" t="s">
        <v>74</v>
      </c>
      <c r="AR1184" t="s">
        <v>11226</v>
      </c>
      <c r="AS1184" t="s">
        <v>11227</v>
      </c>
      <c r="AT1184" t="s">
        <v>363</v>
      </c>
      <c r="AU1184">
        <v>2025</v>
      </c>
      <c r="AV1184">
        <v>92</v>
      </c>
      <c r="AW1184">
        <v>2</v>
      </c>
      <c r="AX1184" t="s">
        <v>74</v>
      </c>
      <c r="AY1184" t="s">
        <v>74</v>
      </c>
      <c r="AZ1184" t="s">
        <v>74</v>
      </c>
      <c r="BA1184" t="s">
        <v>74</v>
      </c>
      <c r="BB1184">
        <v>451</v>
      </c>
      <c r="BC1184">
        <v>475</v>
      </c>
      <c r="BD1184" t="s">
        <v>74</v>
      </c>
      <c r="BE1184" t="s">
        <v>31506</v>
      </c>
      <c r="BF1184" t="str">
        <f>HYPERLINK("http://dx.doi.org/10.20430/ete.v92i366.2210","http://dx.doi.org/10.20430/ete.v92i366.2210")</f>
        <v>http://dx.doi.org/10.20430/ete.v92i366.2210</v>
      </c>
      <c r="BG1184" t="s">
        <v>74</v>
      </c>
      <c r="BH1184" t="s">
        <v>74</v>
      </c>
      <c r="BI1184">
        <v>25</v>
      </c>
      <c r="BJ1184" t="s">
        <v>291</v>
      </c>
      <c r="BK1184" t="s">
        <v>99</v>
      </c>
      <c r="BL1184" t="s">
        <v>100</v>
      </c>
      <c r="BM1184" t="s">
        <v>31505</v>
      </c>
      <c r="BN1184" t="s">
        <v>74</v>
      </c>
      <c r="BO1184" t="s">
        <v>212</v>
      </c>
      <c r="BP1184" t="s">
        <v>74</v>
      </c>
      <c r="BQ1184" t="s">
        <v>74</v>
      </c>
      <c r="BR1184" t="s">
        <v>102</v>
      </c>
      <c r="BS1184" t="s">
        <v>31504</v>
      </c>
      <c r="BT1184" t="str">
        <f>HYPERLINK("https%3A%2F%2Fwww.webofscience.com%2Fwos%2Fwoscc%2Ffull-record%2FWOS:001460394100005","View Full Record in Web of Science")</f>
        <v>View Full Record in Web of Science</v>
      </c>
    </row>
    <row r="1185" spans="1:72" x14ac:dyDescent="0.25">
      <c r="A1185" t="s">
        <v>72</v>
      </c>
      <c r="B1185" t="s">
        <v>31503</v>
      </c>
      <c r="C1185" t="s">
        <v>74</v>
      </c>
      <c r="D1185" t="s">
        <v>74</v>
      </c>
      <c r="E1185" t="s">
        <v>74</v>
      </c>
      <c r="F1185" t="s">
        <v>31502</v>
      </c>
      <c r="G1185" t="s">
        <v>74</v>
      </c>
      <c r="H1185" t="s">
        <v>74</v>
      </c>
      <c r="I1185" t="s">
        <v>31501</v>
      </c>
      <c r="J1185" t="s">
        <v>246</v>
      </c>
      <c r="K1185" t="s">
        <v>74</v>
      </c>
      <c r="L1185" t="s">
        <v>74</v>
      </c>
      <c r="M1185" t="s">
        <v>78</v>
      </c>
      <c r="N1185" t="s">
        <v>79</v>
      </c>
      <c r="O1185" t="s">
        <v>74</v>
      </c>
      <c r="P1185" t="s">
        <v>74</v>
      </c>
      <c r="Q1185" t="s">
        <v>74</v>
      </c>
      <c r="R1185" t="s">
        <v>74</v>
      </c>
      <c r="S1185" t="s">
        <v>74</v>
      </c>
      <c r="T1185" t="s">
        <v>31500</v>
      </c>
      <c r="U1185" t="s">
        <v>74</v>
      </c>
      <c r="V1185" t="s">
        <v>31499</v>
      </c>
      <c r="W1185" t="s">
        <v>31498</v>
      </c>
      <c r="X1185" t="s">
        <v>31497</v>
      </c>
      <c r="Y1185" t="s">
        <v>31496</v>
      </c>
      <c r="Z1185" t="s">
        <v>31495</v>
      </c>
      <c r="AA1185" t="s">
        <v>31494</v>
      </c>
      <c r="AB1185" t="s">
        <v>31493</v>
      </c>
      <c r="AC1185" t="s">
        <v>74</v>
      </c>
      <c r="AD1185" t="s">
        <v>74</v>
      </c>
      <c r="AE1185" t="s">
        <v>74</v>
      </c>
      <c r="AF1185" t="s">
        <v>74</v>
      </c>
      <c r="AG1185">
        <v>20</v>
      </c>
      <c r="AH1185">
        <v>149</v>
      </c>
      <c r="AI1185">
        <v>158</v>
      </c>
      <c r="AJ1185">
        <v>70</v>
      </c>
      <c r="AK1185">
        <v>290</v>
      </c>
      <c r="AL1185" t="s">
        <v>259</v>
      </c>
      <c r="AM1185" t="s">
        <v>260</v>
      </c>
      <c r="AN1185" t="s">
        <v>261</v>
      </c>
      <c r="AO1185" t="s">
        <v>262</v>
      </c>
      <c r="AP1185" t="s">
        <v>263</v>
      </c>
      <c r="AQ1185" t="s">
        <v>74</v>
      </c>
      <c r="AR1185" t="s">
        <v>264</v>
      </c>
      <c r="AS1185" t="s">
        <v>265</v>
      </c>
      <c r="AT1185" t="s">
        <v>124</v>
      </c>
      <c r="AU1185">
        <v>2023</v>
      </c>
      <c r="AV1185">
        <v>58</v>
      </c>
      <c r="AW1185" t="s">
        <v>74</v>
      </c>
      <c r="AX1185" t="s">
        <v>132</v>
      </c>
      <c r="AY1185" t="s">
        <v>74</v>
      </c>
      <c r="AZ1185" t="s">
        <v>74</v>
      </c>
      <c r="BA1185" t="s">
        <v>74</v>
      </c>
      <c r="BB1185" t="s">
        <v>74</v>
      </c>
      <c r="BC1185" t="s">
        <v>74</v>
      </c>
      <c r="BD1185">
        <v>104489</v>
      </c>
      <c r="BE1185" t="s">
        <v>31492</v>
      </c>
      <c r="BF1185" t="str">
        <f>HYPERLINK("http://dx.doi.org/10.1016/j.frl.2023.104489","http://dx.doi.org/10.1016/j.frl.2023.104489")</f>
        <v>http://dx.doi.org/10.1016/j.frl.2023.104489</v>
      </c>
      <c r="BG1185" t="s">
        <v>74</v>
      </c>
      <c r="BH1185" t="s">
        <v>5567</v>
      </c>
      <c r="BI1185">
        <v>10</v>
      </c>
      <c r="BJ1185" t="s">
        <v>268</v>
      </c>
      <c r="BK1185" t="s">
        <v>99</v>
      </c>
      <c r="BL1185" t="s">
        <v>100</v>
      </c>
      <c r="BM1185" t="s">
        <v>31491</v>
      </c>
      <c r="BN1185" t="s">
        <v>74</v>
      </c>
      <c r="BO1185" t="s">
        <v>74</v>
      </c>
      <c r="BP1185" t="s">
        <v>74</v>
      </c>
      <c r="BQ1185" t="s">
        <v>74</v>
      </c>
      <c r="BR1185" t="s">
        <v>102</v>
      </c>
      <c r="BS1185" t="s">
        <v>31490</v>
      </c>
      <c r="BT1185" t="str">
        <f>HYPERLINK("https%3A%2F%2Fwww.webofscience.com%2Fwos%2Fwoscc%2Ffull-record%2FWOS:001086048900001","View Full Record in Web of Science")</f>
        <v>View Full Record in Web of Science</v>
      </c>
    </row>
    <row r="1186" spans="1:72" x14ac:dyDescent="0.25">
      <c r="A1186" t="s">
        <v>72</v>
      </c>
      <c r="B1186" t="s">
        <v>31489</v>
      </c>
      <c r="C1186" t="s">
        <v>74</v>
      </c>
      <c r="D1186" t="s">
        <v>74</v>
      </c>
      <c r="E1186" t="s">
        <v>74</v>
      </c>
      <c r="F1186" t="s">
        <v>31488</v>
      </c>
      <c r="G1186" t="s">
        <v>74</v>
      </c>
      <c r="H1186" t="s">
        <v>74</v>
      </c>
      <c r="I1186" t="s">
        <v>31487</v>
      </c>
      <c r="J1186" t="s">
        <v>7274</v>
      </c>
      <c r="K1186" t="s">
        <v>74</v>
      </c>
      <c r="L1186" t="s">
        <v>74</v>
      </c>
      <c r="M1186" t="s">
        <v>78</v>
      </c>
      <c r="N1186" t="s">
        <v>79</v>
      </c>
      <c r="O1186" t="s">
        <v>74</v>
      </c>
      <c r="P1186" t="s">
        <v>74</v>
      </c>
      <c r="Q1186" t="s">
        <v>74</v>
      </c>
      <c r="R1186" t="s">
        <v>74</v>
      </c>
      <c r="S1186" t="s">
        <v>74</v>
      </c>
      <c r="T1186" t="s">
        <v>31486</v>
      </c>
      <c r="U1186" t="s">
        <v>74</v>
      </c>
      <c r="V1186" t="s">
        <v>31485</v>
      </c>
      <c r="W1186" t="s">
        <v>31484</v>
      </c>
      <c r="X1186" t="s">
        <v>31483</v>
      </c>
      <c r="Y1186" t="s">
        <v>31482</v>
      </c>
      <c r="Z1186" t="s">
        <v>31481</v>
      </c>
      <c r="AA1186" t="s">
        <v>74</v>
      </c>
      <c r="AB1186" t="s">
        <v>31480</v>
      </c>
      <c r="AC1186" t="s">
        <v>31479</v>
      </c>
      <c r="AD1186" t="s">
        <v>31479</v>
      </c>
      <c r="AE1186" t="s">
        <v>31478</v>
      </c>
      <c r="AF1186" t="s">
        <v>74</v>
      </c>
      <c r="AG1186">
        <v>27</v>
      </c>
      <c r="AH1186">
        <v>41</v>
      </c>
      <c r="AI1186">
        <v>56</v>
      </c>
      <c r="AJ1186">
        <v>2</v>
      </c>
      <c r="AK1186">
        <v>33</v>
      </c>
      <c r="AL1186" t="s">
        <v>2551</v>
      </c>
      <c r="AM1186" t="s">
        <v>231</v>
      </c>
      <c r="AN1186" t="s">
        <v>2552</v>
      </c>
      <c r="AO1186" t="s">
        <v>7284</v>
      </c>
      <c r="AP1186" t="s">
        <v>7285</v>
      </c>
      <c r="AQ1186" t="s">
        <v>74</v>
      </c>
      <c r="AR1186" t="s">
        <v>7286</v>
      </c>
      <c r="AS1186" t="s">
        <v>7287</v>
      </c>
      <c r="AT1186" t="s">
        <v>1159</v>
      </c>
      <c r="AU1186">
        <v>2020</v>
      </c>
      <c r="AV1186">
        <v>34</v>
      </c>
      <c r="AW1186">
        <v>3</v>
      </c>
      <c r="AX1186" t="s">
        <v>74</v>
      </c>
      <c r="AY1186" t="s">
        <v>74</v>
      </c>
      <c r="AZ1186" t="s">
        <v>74</v>
      </c>
      <c r="BA1186" t="s">
        <v>74</v>
      </c>
      <c r="BB1186">
        <v>618</v>
      </c>
      <c r="BC1186">
        <v>634</v>
      </c>
      <c r="BD1186" t="s">
        <v>74</v>
      </c>
      <c r="BE1186" t="s">
        <v>31477</v>
      </c>
      <c r="BF1186" t="str">
        <f>HYPERLINK("http://dx.doi.org/10.1093/wber/lhz006","http://dx.doi.org/10.1093/wber/lhz006")</f>
        <v>http://dx.doi.org/10.1093/wber/lhz006</v>
      </c>
      <c r="BG1186" t="s">
        <v>74</v>
      </c>
      <c r="BH1186" t="s">
        <v>74</v>
      </c>
      <c r="BI1186">
        <v>17</v>
      </c>
      <c r="BJ1186" t="s">
        <v>7291</v>
      </c>
      <c r="BK1186" t="s">
        <v>99</v>
      </c>
      <c r="BL1186" t="s">
        <v>7292</v>
      </c>
      <c r="BM1186" t="s">
        <v>31476</v>
      </c>
      <c r="BN1186" t="s">
        <v>74</v>
      </c>
      <c r="BO1186" t="s">
        <v>1696</v>
      </c>
      <c r="BP1186" t="s">
        <v>74</v>
      </c>
      <c r="BQ1186" t="s">
        <v>74</v>
      </c>
      <c r="BR1186" t="s">
        <v>102</v>
      </c>
      <c r="BS1186" t="s">
        <v>31475</v>
      </c>
      <c r="BT1186" t="str">
        <f>HYPERLINK("https%3A%2F%2Fwww.webofscience.com%2Fwos%2Fwoscc%2Ffull-record%2FWOS:000593427800004","View Full Record in Web of Science")</f>
        <v>View Full Record in Web of Science</v>
      </c>
    </row>
    <row r="1187" spans="1:72" x14ac:dyDescent="0.25">
      <c r="A1187" t="s">
        <v>72</v>
      </c>
      <c r="B1187" t="s">
        <v>31474</v>
      </c>
      <c r="C1187" t="s">
        <v>74</v>
      </c>
      <c r="D1187" t="s">
        <v>74</v>
      </c>
      <c r="E1187" t="s">
        <v>74</v>
      </c>
      <c r="F1187" t="s">
        <v>31473</v>
      </c>
      <c r="G1187" t="s">
        <v>74</v>
      </c>
      <c r="H1187" t="s">
        <v>74</v>
      </c>
      <c r="I1187" t="s">
        <v>31472</v>
      </c>
      <c r="J1187" t="s">
        <v>877</v>
      </c>
      <c r="K1187" t="s">
        <v>74</v>
      </c>
      <c r="L1187" t="s">
        <v>74</v>
      </c>
      <c r="M1187" t="s">
        <v>78</v>
      </c>
      <c r="N1187" t="s">
        <v>79</v>
      </c>
      <c r="O1187" t="s">
        <v>74</v>
      </c>
      <c r="P1187" t="s">
        <v>74</v>
      </c>
      <c r="Q1187" t="s">
        <v>74</v>
      </c>
      <c r="R1187" t="s">
        <v>74</v>
      </c>
      <c r="S1187" t="s">
        <v>74</v>
      </c>
      <c r="T1187" t="s">
        <v>31471</v>
      </c>
      <c r="U1187" t="s">
        <v>31470</v>
      </c>
      <c r="V1187" t="s">
        <v>31469</v>
      </c>
      <c r="W1187" t="s">
        <v>31468</v>
      </c>
      <c r="X1187" t="s">
        <v>31467</v>
      </c>
      <c r="Y1187" t="s">
        <v>9069</v>
      </c>
      <c r="Z1187" t="s">
        <v>31466</v>
      </c>
      <c r="AA1187" t="s">
        <v>31465</v>
      </c>
      <c r="AB1187" t="s">
        <v>31464</v>
      </c>
      <c r="AC1187" t="s">
        <v>74</v>
      </c>
      <c r="AD1187" t="s">
        <v>74</v>
      </c>
      <c r="AE1187" t="s">
        <v>74</v>
      </c>
      <c r="AF1187" t="s">
        <v>74</v>
      </c>
      <c r="AG1187">
        <v>30</v>
      </c>
      <c r="AH1187">
        <v>7</v>
      </c>
      <c r="AI1187">
        <v>9</v>
      </c>
      <c r="AJ1187">
        <v>0</v>
      </c>
      <c r="AK1187">
        <v>16</v>
      </c>
      <c r="AL1187" t="s">
        <v>884</v>
      </c>
      <c r="AM1187" t="s">
        <v>5203</v>
      </c>
      <c r="AN1187" t="s">
        <v>31463</v>
      </c>
      <c r="AO1187" t="s">
        <v>887</v>
      </c>
      <c r="AP1187" t="s">
        <v>888</v>
      </c>
      <c r="AQ1187" t="s">
        <v>74</v>
      </c>
      <c r="AR1187" t="s">
        <v>889</v>
      </c>
      <c r="AS1187" t="s">
        <v>890</v>
      </c>
      <c r="AT1187" t="s">
        <v>124</v>
      </c>
      <c r="AU1187">
        <v>2021</v>
      </c>
      <c r="AV1187">
        <v>8</v>
      </c>
      <c r="AW1187">
        <v>12</v>
      </c>
      <c r="AX1187" t="s">
        <v>74</v>
      </c>
      <c r="AY1187" t="s">
        <v>74</v>
      </c>
      <c r="AZ1187" t="s">
        <v>74</v>
      </c>
      <c r="BA1187" t="s">
        <v>74</v>
      </c>
      <c r="BB1187">
        <v>19</v>
      </c>
      <c r="BC1187">
        <v>29</v>
      </c>
      <c r="BD1187" t="s">
        <v>74</v>
      </c>
      <c r="BE1187" t="s">
        <v>31462</v>
      </c>
      <c r="BF1187" t="str">
        <f>HYPERLINK("http://dx.doi.org/10.13106/jafeb.2021.vol8.no12.0019","http://dx.doi.org/10.13106/jafeb.2021.vol8.no12.0019")</f>
        <v>http://dx.doi.org/10.13106/jafeb.2021.vol8.no12.0019</v>
      </c>
      <c r="BG1187" t="s">
        <v>74</v>
      </c>
      <c r="BH1187" t="s">
        <v>74</v>
      </c>
      <c r="BI1187">
        <v>11</v>
      </c>
      <c r="BJ1187" t="s">
        <v>418</v>
      </c>
      <c r="BK1187" t="s">
        <v>313</v>
      </c>
      <c r="BL1187" t="s">
        <v>100</v>
      </c>
      <c r="BM1187" t="s">
        <v>9074</v>
      </c>
      <c r="BN1187" t="s">
        <v>74</v>
      </c>
      <c r="BO1187" t="s">
        <v>74</v>
      </c>
      <c r="BP1187" t="s">
        <v>74</v>
      </c>
      <c r="BQ1187" t="s">
        <v>74</v>
      </c>
      <c r="BR1187" t="s">
        <v>102</v>
      </c>
      <c r="BS1187" t="s">
        <v>31461</v>
      </c>
      <c r="BT1187" t="str">
        <f>HYPERLINK("https%3A%2F%2Fwww.webofscience.com%2Fwos%2Fwoscc%2Ffull-record%2FWOS:000756204000003","View Full Record in Web of Science")</f>
        <v>View Full Record in Web of Science</v>
      </c>
    </row>
    <row r="1188" spans="1:72" x14ac:dyDescent="0.25">
      <c r="A1188" t="s">
        <v>72</v>
      </c>
      <c r="B1188" t="s">
        <v>22420</v>
      </c>
      <c r="C1188" t="s">
        <v>74</v>
      </c>
      <c r="D1188" t="s">
        <v>74</v>
      </c>
      <c r="E1188" t="s">
        <v>74</v>
      </c>
      <c r="F1188" t="s">
        <v>22419</v>
      </c>
      <c r="G1188" t="s">
        <v>74</v>
      </c>
      <c r="H1188" t="s">
        <v>74</v>
      </c>
      <c r="I1188" t="s">
        <v>31460</v>
      </c>
      <c r="J1188" t="s">
        <v>22417</v>
      </c>
      <c r="K1188" t="s">
        <v>74</v>
      </c>
      <c r="L1188" t="s">
        <v>74</v>
      </c>
      <c r="M1188" t="s">
        <v>78</v>
      </c>
      <c r="N1188" t="s">
        <v>79</v>
      </c>
      <c r="O1188" t="s">
        <v>74</v>
      </c>
      <c r="P1188" t="s">
        <v>74</v>
      </c>
      <c r="Q1188" t="s">
        <v>74</v>
      </c>
      <c r="R1188" t="s">
        <v>74</v>
      </c>
      <c r="S1188" t="s">
        <v>74</v>
      </c>
      <c r="T1188" t="s">
        <v>31459</v>
      </c>
      <c r="U1188" t="s">
        <v>74</v>
      </c>
      <c r="V1188" t="s">
        <v>31458</v>
      </c>
      <c r="W1188" t="s">
        <v>31457</v>
      </c>
      <c r="X1188" t="s">
        <v>22413</v>
      </c>
      <c r="Y1188" t="s">
        <v>31456</v>
      </c>
      <c r="Z1188" t="s">
        <v>22411</v>
      </c>
      <c r="AA1188" t="s">
        <v>31455</v>
      </c>
      <c r="AB1188" t="s">
        <v>22409</v>
      </c>
      <c r="AC1188" t="s">
        <v>31454</v>
      </c>
      <c r="AD1188" t="s">
        <v>31453</v>
      </c>
      <c r="AE1188" t="s">
        <v>31452</v>
      </c>
      <c r="AF1188" t="s">
        <v>74</v>
      </c>
      <c r="AG1188">
        <v>21</v>
      </c>
      <c r="AH1188">
        <v>0</v>
      </c>
      <c r="AI1188">
        <v>1</v>
      </c>
      <c r="AJ1188">
        <v>2</v>
      </c>
      <c r="AK1188">
        <v>23</v>
      </c>
      <c r="AL1188" t="s">
        <v>22405</v>
      </c>
      <c r="AM1188" t="s">
        <v>12848</v>
      </c>
      <c r="AN1188" t="s">
        <v>22404</v>
      </c>
      <c r="AO1188" t="s">
        <v>22403</v>
      </c>
      <c r="AP1188" t="s">
        <v>22402</v>
      </c>
      <c r="AQ1188" t="s">
        <v>74</v>
      </c>
      <c r="AR1188" t="s">
        <v>22401</v>
      </c>
      <c r="AS1188" t="s">
        <v>22400</v>
      </c>
      <c r="AT1188" t="s">
        <v>31451</v>
      </c>
      <c r="AU1188">
        <v>2020</v>
      </c>
      <c r="AV1188">
        <v>8</v>
      </c>
      <c r="AW1188">
        <v>3</v>
      </c>
      <c r="AX1188" t="s">
        <v>74</v>
      </c>
      <c r="AY1188" t="s">
        <v>74</v>
      </c>
      <c r="AZ1188" t="s">
        <v>74</v>
      </c>
      <c r="BA1188" t="s">
        <v>74</v>
      </c>
      <c r="BB1188" t="s">
        <v>74</v>
      </c>
      <c r="BC1188" t="s">
        <v>74</v>
      </c>
      <c r="BD1188" t="s">
        <v>31450</v>
      </c>
      <c r="BE1188" t="s">
        <v>31449</v>
      </c>
      <c r="BF1188" t="str">
        <f>HYPERLINK("http://dx.doi.org/10.20511/pyr2020.v8n3.504","http://dx.doi.org/10.20511/pyr2020.v8n3.504")</f>
        <v>http://dx.doi.org/10.20511/pyr2020.v8n3.504</v>
      </c>
      <c r="BG1188" t="s">
        <v>74</v>
      </c>
      <c r="BH1188" t="s">
        <v>74</v>
      </c>
      <c r="BI1188">
        <v>11</v>
      </c>
      <c r="BJ1188" t="s">
        <v>22397</v>
      </c>
      <c r="BK1188" t="s">
        <v>313</v>
      </c>
      <c r="BL1188" t="s">
        <v>2993</v>
      </c>
      <c r="BM1188" t="s">
        <v>31448</v>
      </c>
      <c r="BN1188" t="s">
        <v>74</v>
      </c>
      <c r="BO1188" t="s">
        <v>916</v>
      </c>
      <c r="BP1188" t="s">
        <v>74</v>
      </c>
      <c r="BQ1188" t="s">
        <v>74</v>
      </c>
      <c r="BR1188" t="s">
        <v>102</v>
      </c>
      <c r="BS1188" t="s">
        <v>31447</v>
      </c>
      <c r="BT1188" t="str">
        <f>HYPERLINK("https%3A%2F%2Fwww.webofscience.com%2Fwos%2Fwoscc%2Ffull-record%2FWOS:000595052800017","View Full Record in Web of Science")</f>
        <v>View Full Record in Web of Science</v>
      </c>
    </row>
    <row r="1189" spans="1:72" x14ac:dyDescent="0.25">
      <c r="A1189" t="s">
        <v>132</v>
      </c>
      <c r="B1189" t="s">
        <v>31446</v>
      </c>
      <c r="C1189" t="s">
        <v>74</v>
      </c>
      <c r="D1189" t="s">
        <v>19950</v>
      </c>
      <c r="E1189" t="s">
        <v>74</v>
      </c>
      <c r="F1189" t="s">
        <v>31445</v>
      </c>
      <c r="G1189" t="s">
        <v>74</v>
      </c>
      <c r="H1189" t="s">
        <v>74</v>
      </c>
      <c r="I1189" t="s">
        <v>31444</v>
      </c>
      <c r="J1189" t="s">
        <v>19947</v>
      </c>
      <c r="K1189" t="s">
        <v>5767</v>
      </c>
      <c r="L1189" t="s">
        <v>74</v>
      </c>
      <c r="M1189" t="s">
        <v>78</v>
      </c>
      <c r="N1189" t="s">
        <v>138</v>
      </c>
      <c r="O1189" t="s">
        <v>19946</v>
      </c>
      <c r="P1189" t="s">
        <v>19945</v>
      </c>
      <c r="Q1189" t="s">
        <v>19944</v>
      </c>
      <c r="R1189" t="s">
        <v>19943</v>
      </c>
      <c r="S1189" t="s">
        <v>74</v>
      </c>
      <c r="T1189" t="s">
        <v>74</v>
      </c>
      <c r="U1189" t="s">
        <v>31443</v>
      </c>
      <c r="V1189" t="s">
        <v>31442</v>
      </c>
      <c r="W1189" t="s">
        <v>31441</v>
      </c>
      <c r="X1189" t="s">
        <v>15690</v>
      </c>
      <c r="Y1189" t="s">
        <v>31440</v>
      </c>
      <c r="Z1189" t="s">
        <v>31439</v>
      </c>
      <c r="AA1189" t="s">
        <v>74</v>
      </c>
      <c r="AB1189" t="s">
        <v>31438</v>
      </c>
      <c r="AC1189" t="s">
        <v>74</v>
      </c>
      <c r="AD1189" t="s">
        <v>74</v>
      </c>
      <c r="AE1189" t="s">
        <v>74</v>
      </c>
      <c r="AF1189" t="s">
        <v>74</v>
      </c>
      <c r="AG1189">
        <v>52</v>
      </c>
      <c r="AH1189">
        <v>0</v>
      </c>
      <c r="AI1189">
        <v>2</v>
      </c>
      <c r="AJ1189">
        <v>0</v>
      </c>
      <c r="AK1189">
        <v>1</v>
      </c>
      <c r="AL1189" t="s">
        <v>2105</v>
      </c>
      <c r="AM1189" t="s">
        <v>1890</v>
      </c>
      <c r="AN1189" t="s">
        <v>4110</v>
      </c>
      <c r="AO1189" t="s">
        <v>5780</v>
      </c>
      <c r="AP1189" t="s">
        <v>5781</v>
      </c>
      <c r="AQ1189" t="s">
        <v>19936</v>
      </c>
      <c r="AR1189" t="s">
        <v>5783</v>
      </c>
      <c r="AS1189" t="s">
        <v>74</v>
      </c>
      <c r="AT1189" t="s">
        <v>74</v>
      </c>
      <c r="AU1189">
        <v>2024</v>
      </c>
      <c r="AV1189" t="s">
        <v>74</v>
      </c>
      <c r="AW1189" t="s">
        <v>74</v>
      </c>
      <c r="AX1189" t="s">
        <v>74</v>
      </c>
      <c r="AY1189" t="s">
        <v>74</v>
      </c>
      <c r="AZ1189" t="s">
        <v>74</v>
      </c>
      <c r="BA1189" t="s">
        <v>74</v>
      </c>
      <c r="BB1189">
        <v>257</v>
      </c>
      <c r="BC1189">
        <v>272</v>
      </c>
      <c r="BD1189" t="s">
        <v>74</v>
      </c>
      <c r="BE1189" t="s">
        <v>31437</v>
      </c>
      <c r="BF1189" t="str">
        <f>HYPERLINK("http://dx.doi.org/10.1007/978-981-97-6687-1_10","http://dx.doi.org/10.1007/978-981-97-6687-1_10")</f>
        <v>http://dx.doi.org/10.1007/978-981-97-6687-1_10</v>
      </c>
      <c r="BG1189" t="s">
        <v>74</v>
      </c>
      <c r="BH1189" t="s">
        <v>74</v>
      </c>
      <c r="BI1189">
        <v>16</v>
      </c>
      <c r="BJ1189" t="s">
        <v>19934</v>
      </c>
      <c r="BK1189" t="s">
        <v>1069</v>
      </c>
      <c r="BL1189" t="s">
        <v>650</v>
      </c>
      <c r="BM1189" t="s">
        <v>19933</v>
      </c>
      <c r="BN1189" t="s">
        <v>74</v>
      </c>
      <c r="BO1189" t="s">
        <v>74</v>
      </c>
      <c r="BP1189" t="s">
        <v>74</v>
      </c>
      <c r="BQ1189" t="s">
        <v>74</v>
      </c>
      <c r="BR1189" t="s">
        <v>102</v>
      </c>
      <c r="BS1189" t="s">
        <v>31436</v>
      </c>
      <c r="BT1189" t="str">
        <f>HYPERLINK("https%3A%2F%2Fwww.webofscience.com%2Fwos%2Fwoscc%2Ffull-record%2FWOS:001420160400014","View Full Record in Web of Science")</f>
        <v>View Full Record in Web of Science</v>
      </c>
    </row>
    <row r="1190" spans="1:72" x14ac:dyDescent="0.25">
      <c r="A1190" t="s">
        <v>72</v>
      </c>
      <c r="B1190" t="s">
        <v>31435</v>
      </c>
      <c r="C1190" t="s">
        <v>74</v>
      </c>
      <c r="D1190" t="s">
        <v>74</v>
      </c>
      <c r="E1190" t="s">
        <v>74</v>
      </c>
      <c r="F1190" t="s">
        <v>31434</v>
      </c>
      <c r="G1190" t="s">
        <v>74</v>
      </c>
      <c r="H1190" t="s">
        <v>74</v>
      </c>
      <c r="I1190" t="s">
        <v>31433</v>
      </c>
      <c r="J1190" t="s">
        <v>3579</v>
      </c>
      <c r="K1190" t="s">
        <v>74</v>
      </c>
      <c r="L1190" t="s">
        <v>74</v>
      </c>
      <c r="M1190" t="s">
        <v>78</v>
      </c>
      <c r="N1190" t="s">
        <v>372</v>
      </c>
      <c r="O1190" t="s">
        <v>74</v>
      </c>
      <c r="P1190" t="s">
        <v>74</v>
      </c>
      <c r="Q1190" t="s">
        <v>74</v>
      </c>
      <c r="R1190" t="s">
        <v>74</v>
      </c>
      <c r="S1190" t="s">
        <v>74</v>
      </c>
      <c r="T1190" t="s">
        <v>31432</v>
      </c>
      <c r="U1190" t="s">
        <v>31431</v>
      </c>
      <c r="V1190" t="s">
        <v>31430</v>
      </c>
      <c r="W1190" t="s">
        <v>31429</v>
      </c>
      <c r="X1190" t="s">
        <v>22658</v>
      </c>
      <c r="Y1190" t="s">
        <v>31428</v>
      </c>
      <c r="Z1190" t="s">
        <v>31427</v>
      </c>
      <c r="AA1190" t="s">
        <v>74</v>
      </c>
      <c r="AB1190" t="s">
        <v>31426</v>
      </c>
      <c r="AC1190" t="s">
        <v>31425</v>
      </c>
      <c r="AD1190" t="s">
        <v>31425</v>
      </c>
      <c r="AE1190" t="s">
        <v>31424</v>
      </c>
      <c r="AF1190" t="s">
        <v>74</v>
      </c>
      <c r="AG1190">
        <v>42</v>
      </c>
      <c r="AH1190">
        <v>0</v>
      </c>
      <c r="AI1190">
        <v>0</v>
      </c>
      <c r="AJ1190">
        <v>0</v>
      </c>
      <c r="AK1190">
        <v>0</v>
      </c>
      <c r="AL1190" t="s">
        <v>3588</v>
      </c>
      <c r="AM1190" t="s">
        <v>410</v>
      </c>
      <c r="AN1190" t="s">
        <v>3589</v>
      </c>
      <c r="AO1190" t="s">
        <v>3590</v>
      </c>
      <c r="AP1190" t="s">
        <v>3591</v>
      </c>
      <c r="AQ1190" t="s">
        <v>74</v>
      </c>
      <c r="AR1190" t="s">
        <v>3592</v>
      </c>
      <c r="AS1190" t="s">
        <v>3593</v>
      </c>
      <c r="AT1190" t="s">
        <v>31423</v>
      </c>
      <c r="AU1190">
        <v>2025</v>
      </c>
      <c r="AV1190" t="s">
        <v>74</v>
      </c>
      <c r="AW1190" t="s">
        <v>74</v>
      </c>
      <c r="AX1190" t="s">
        <v>74</v>
      </c>
      <c r="AY1190" t="s">
        <v>74</v>
      </c>
      <c r="AZ1190" t="s">
        <v>74</v>
      </c>
      <c r="BA1190" t="s">
        <v>74</v>
      </c>
      <c r="BB1190" t="s">
        <v>74</v>
      </c>
      <c r="BC1190" t="s">
        <v>74</v>
      </c>
      <c r="BD1190" t="s">
        <v>74</v>
      </c>
      <c r="BE1190" t="s">
        <v>31422</v>
      </c>
      <c r="BF1190" t="str">
        <f>HYPERLINK("http://dx.doi.org/10.1007/s40847-025-00461-w","http://dx.doi.org/10.1007/s40847-025-00461-w")</f>
        <v>http://dx.doi.org/10.1007/s40847-025-00461-w</v>
      </c>
      <c r="BG1190" t="s">
        <v>74</v>
      </c>
      <c r="BH1190" t="s">
        <v>5030</v>
      </c>
      <c r="BI1190">
        <v>20</v>
      </c>
      <c r="BJ1190" t="s">
        <v>701</v>
      </c>
      <c r="BK1190" t="s">
        <v>313</v>
      </c>
      <c r="BL1190" t="s">
        <v>702</v>
      </c>
      <c r="BM1190" t="s">
        <v>31421</v>
      </c>
      <c r="BN1190" t="s">
        <v>74</v>
      </c>
      <c r="BO1190" t="s">
        <v>270</v>
      </c>
      <c r="BP1190" t="s">
        <v>74</v>
      </c>
      <c r="BQ1190" t="s">
        <v>74</v>
      </c>
      <c r="BR1190" t="s">
        <v>102</v>
      </c>
      <c r="BS1190" t="s">
        <v>31420</v>
      </c>
      <c r="BT1190" t="str">
        <f>HYPERLINK("https%3A%2F%2Fwww.webofscience.com%2Fwos%2Fwoscc%2Ffull-record%2FWOS:001541731400001","View Full Record in Web of Science")</f>
        <v>View Full Record in Web of Science</v>
      </c>
    </row>
    <row r="1191" spans="1:72" x14ac:dyDescent="0.25">
      <c r="A1191" t="s">
        <v>72</v>
      </c>
      <c r="B1191" t="s">
        <v>31419</v>
      </c>
      <c r="C1191" t="s">
        <v>74</v>
      </c>
      <c r="D1191" t="s">
        <v>74</v>
      </c>
      <c r="E1191" t="s">
        <v>74</v>
      </c>
      <c r="F1191" t="s">
        <v>31418</v>
      </c>
      <c r="G1191" t="s">
        <v>74</v>
      </c>
      <c r="H1191" t="s">
        <v>74</v>
      </c>
      <c r="I1191" t="s">
        <v>31417</v>
      </c>
      <c r="J1191" t="s">
        <v>3439</v>
      </c>
      <c r="K1191" t="s">
        <v>74</v>
      </c>
      <c r="L1191" t="s">
        <v>74</v>
      </c>
      <c r="M1191" t="s">
        <v>78</v>
      </c>
      <c r="N1191" t="s">
        <v>79</v>
      </c>
      <c r="O1191" t="s">
        <v>74</v>
      </c>
      <c r="P1191" t="s">
        <v>74</v>
      </c>
      <c r="Q1191" t="s">
        <v>74</v>
      </c>
      <c r="R1191" t="s">
        <v>74</v>
      </c>
      <c r="S1191" t="s">
        <v>74</v>
      </c>
      <c r="T1191" t="s">
        <v>31416</v>
      </c>
      <c r="U1191" t="s">
        <v>31415</v>
      </c>
      <c r="V1191" t="s">
        <v>31414</v>
      </c>
      <c r="W1191" t="s">
        <v>31413</v>
      </c>
      <c r="X1191" t="s">
        <v>26950</v>
      </c>
      <c r="Y1191" t="s">
        <v>31412</v>
      </c>
      <c r="Z1191" t="s">
        <v>31411</v>
      </c>
      <c r="AA1191" t="s">
        <v>74</v>
      </c>
      <c r="AB1191" t="s">
        <v>31410</v>
      </c>
      <c r="AC1191" t="s">
        <v>74</v>
      </c>
      <c r="AD1191" t="s">
        <v>74</v>
      </c>
      <c r="AE1191" t="s">
        <v>74</v>
      </c>
      <c r="AF1191" t="s">
        <v>74</v>
      </c>
      <c r="AG1191">
        <v>61</v>
      </c>
      <c r="AH1191">
        <v>0</v>
      </c>
      <c r="AI1191">
        <v>0</v>
      </c>
      <c r="AJ1191">
        <v>5</v>
      </c>
      <c r="AK1191">
        <v>12</v>
      </c>
      <c r="AL1191" t="s">
        <v>823</v>
      </c>
      <c r="AM1191" t="s">
        <v>333</v>
      </c>
      <c r="AN1191" t="s">
        <v>824</v>
      </c>
      <c r="AO1191" t="s">
        <v>3443</v>
      </c>
      <c r="AP1191" t="s">
        <v>74</v>
      </c>
      <c r="AQ1191" t="s">
        <v>74</v>
      </c>
      <c r="AR1191" t="s">
        <v>3444</v>
      </c>
      <c r="AS1191" t="s">
        <v>3445</v>
      </c>
      <c r="AT1191" t="s">
        <v>2970</v>
      </c>
      <c r="AU1191">
        <v>2025</v>
      </c>
      <c r="AV1191">
        <v>13</v>
      </c>
      <c r="AW1191">
        <v>1</v>
      </c>
      <c r="AX1191" t="s">
        <v>74</v>
      </c>
      <c r="AY1191" t="s">
        <v>74</v>
      </c>
      <c r="AZ1191" t="s">
        <v>74</v>
      </c>
      <c r="BA1191" t="s">
        <v>74</v>
      </c>
      <c r="BB1191" t="s">
        <v>74</v>
      </c>
      <c r="BC1191" t="s">
        <v>74</v>
      </c>
      <c r="BD1191">
        <v>2448574</v>
      </c>
      <c r="BE1191" t="s">
        <v>31409</v>
      </c>
      <c r="BF1191" t="str">
        <f>HYPERLINK("http://dx.doi.org/10.1080/23322039.2024.2448574","http://dx.doi.org/10.1080/23322039.2024.2448574")</f>
        <v>http://dx.doi.org/10.1080/23322039.2024.2448574</v>
      </c>
      <c r="BG1191" t="s">
        <v>74</v>
      </c>
      <c r="BH1191" t="s">
        <v>74</v>
      </c>
      <c r="BI1191">
        <v>18</v>
      </c>
      <c r="BJ1191" t="s">
        <v>291</v>
      </c>
      <c r="BK1191" t="s">
        <v>313</v>
      </c>
      <c r="BL1191" t="s">
        <v>100</v>
      </c>
      <c r="BM1191" t="s">
        <v>31408</v>
      </c>
      <c r="BN1191" t="s">
        <v>74</v>
      </c>
      <c r="BO1191" t="s">
        <v>212</v>
      </c>
      <c r="BP1191" t="s">
        <v>74</v>
      </c>
      <c r="BQ1191" t="s">
        <v>74</v>
      </c>
      <c r="BR1191" t="s">
        <v>102</v>
      </c>
      <c r="BS1191" t="s">
        <v>31407</v>
      </c>
      <c r="BT1191" t="str">
        <f>HYPERLINK("https%3A%2F%2Fwww.webofscience.com%2Fwos%2Fwoscc%2Ffull-record%2FWOS:001392794800001","View Full Record in Web of Science")</f>
        <v>View Full Record in Web of Science</v>
      </c>
    </row>
    <row r="1192" spans="1:72" x14ac:dyDescent="0.25">
      <c r="A1192" t="s">
        <v>72</v>
      </c>
      <c r="B1192" t="s">
        <v>12963</v>
      </c>
      <c r="C1192" t="s">
        <v>74</v>
      </c>
      <c r="D1192" t="s">
        <v>74</v>
      </c>
      <c r="E1192" t="s">
        <v>74</v>
      </c>
      <c r="F1192" t="s">
        <v>12964</v>
      </c>
      <c r="G1192" t="s">
        <v>74</v>
      </c>
      <c r="H1192" t="s">
        <v>74</v>
      </c>
      <c r="I1192" t="s">
        <v>31406</v>
      </c>
      <c r="J1192" t="s">
        <v>3231</v>
      </c>
      <c r="K1192" t="s">
        <v>74</v>
      </c>
      <c r="L1192" t="s">
        <v>74</v>
      </c>
      <c r="M1192" t="s">
        <v>78</v>
      </c>
      <c r="N1192" t="s">
        <v>79</v>
      </c>
      <c r="O1192" t="s">
        <v>74</v>
      </c>
      <c r="P1192" t="s">
        <v>74</v>
      </c>
      <c r="Q1192" t="s">
        <v>74</v>
      </c>
      <c r="R1192" t="s">
        <v>74</v>
      </c>
      <c r="S1192" t="s">
        <v>74</v>
      </c>
      <c r="T1192" t="s">
        <v>31405</v>
      </c>
      <c r="U1192" t="s">
        <v>31404</v>
      </c>
      <c r="V1192" t="s">
        <v>31403</v>
      </c>
      <c r="W1192" t="s">
        <v>31402</v>
      </c>
      <c r="X1192" t="s">
        <v>31401</v>
      </c>
      <c r="Y1192" t="s">
        <v>31400</v>
      </c>
      <c r="Z1192" t="s">
        <v>12972</v>
      </c>
      <c r="AA1192" t="s">
        <v>12973</v>
      </c>
      <c r="AB1192" t="s">
        <v>12974</v>
      </c>
      <c r="AC1192" t="s">
        <v>31399</v>
      </c>
      <c r="AD1192" t="s">
        <v>31398</v>
      </c>
      <c r="AE1192" t="s">
        <v>31397</v>
      </c>
      <c r="AF1192" t="s">
        <v>74</v>
      </c>
      <c r="AG1192">
        <v>41</v>
      </c>
      <c r="AH1192">
        <v>46</v>
      </c>
      <c r="AI1192">
        <v>53</v>
      </c>
      <c r="AJ1192">
        <v>2</v>
      </c>
      <c r="AK1192">
        <v>36</v>
      </c>
      <c r="AL1192" t="s">
        <v>575</v>
      </c>
      <c r="AM1192" t="s">
        <v>576</v>
      </c>
      <c r="AN1192" t="s">
        <v>3242</v>
      </c>
      <c r="AO1192" t="s">
        <v>74</v>
      </c>
      <c r="AP1192" t="s">
        <v>3243</v>
      </c>
      <c r="AQ1192" t="s">
        <v>74</v>
      </c>
      <c r="AR1192" t="s">
        <v>3244</v>
      </c>
      <c r="AS1192" t="s">
        <v>3245</v>
      </c>
      <c r="AT1192" t="s">
        <v>1540</v>
      </c>
      <c r="AU1192">
        <v>2018</v>
      </c>
      <c r="AV1192">
        <v>10</v>
      </c>
      <c r="AW1192">
        <v>5</v>
      </c>
      <c r="AX1192" t="s">
        <v>74</v>
      </c>
      <c r="AY1192" t="s">
        <v>74</v>
      </c>
      <c r="AZ1192" t="s">
        <v>74</v>
      </c>
      <c r="BA1192" t="s">
        <v>74</v>
      </c>
      <c r="BB1192" t="s">
        <v>74</v>
      </c>
      <c r="BC1192" t="s">
        <v>74</v>
      </c>
      <c r="BD1192">
        <v>1409</v>
      </c>
      <c r="BE1192" t="s">
        <v>31396</v>
      </c>
      <c r="BF1192" t="str">
        <f>HYPERLINK("http://dx.doi.org/10.3390/su10051409","http://dx.doi.org/10.3390/su10051409")</f>
        <v>http://dx.doi.org/10.3390/su10051409</v>
      </c>
      <c r="BG1192" t="s">
        <v>74</v>
      </c>
      <c r="BH1192" t="s">
        <v>74</v>
      </c>
      <c r="BI1192">
        <v>26</v>
      </c>
      <c r="BJ1192" t="s">
        <v>3247</v>
      </c>
      <c r="BK1192" t="s">
        <v>2623</v>
      </c>
      <c r="BL1192" t="s">
        <v>3248</v>
      </c>
      <c r="BM1192" t="s">
        <v>31395</v>
      </c>
      <c r="BN1192" t="s">
        <v>74</v>
      </c>
      <c r="BO1192" t="s">
        <v>916</v>
      </c>
      <c r="BP1192" t="s">
        <v>74</v>
      </c>
      <c r="BQ1192" t="s">
        <v>74</v>
      </c>
      <c r="BR1192" t="s">
        <v>102</v>
      </c>
      <c r="BS1192" t="s">
        <v>31394</v>
      </c>
      <c r="BT1192" t="str">
        <f>HYPERLINK("https%3A%2F%2Fwww.webofscience.com%2Fwos%2Fwoscc%2Ffull-record%2FWOS:000435587100105","View Full Record in Web of Science")</f>
        <v>View Full Record in Web of Science</v>
      </c>
    </row>
    <row r="1193" spans="1:72" x14ac:dyDescent="0.25">
      <c r="A1193" t="s">
        <v>72</v>
      </c>
      <c r="B1193" t="s">
        <v>31393</v>
      </c>
      <c r="C1193" t="s">
        <v>74</v>
      </c>
      <c r="D1193" t="s">
        <v>74</v>
      </c>
      <c r="E1193" t="s">
        <v>74</v>
      </c>
      <c r="F1193" t="s">
        <v>31392</v>
      </c>
      <c r="G1193" t="s">
        <v>74</v>
      </c>
      <c r="H1193" t="s">
        <v>74</v>
      </c>
      <c r="I1193" t="s">
        <v>31391</v>
      </c>
      <c r="J1193" t="s">
        <v>4956</v>
      </c>
      <c r="K1193" t="s">
        <v>74</v>
      </c>
      <c r="L1193" t="s">
        <v>74</v>
      </c>
      <c r="M1193" t="s">
        <v>78</v>
      </c>
      <c r="N1193" t="s">
        <v>3795</v>
      </c>
      <c r="O1193" t="s">
        <v>26986</v>
      </c>
      <c r="P1193" t="s">
        <v>26985</v>
      </c>
      <c r="Q1193" t="s">
        <v>26984</v>
      </c>
      <c r="R1193" t="s">
        <v>74</v>
      </c>
      <c r="S1193" t="s">
        <v>26983</v>
      </c>
      <c r="T1193" t="s">
        <v>31390</v>
      </c>
      <c r="U1193" t="s">
        <v>31389</v>
      </c>
      <c r="V1193" t="s">
        <v>31388</v>
      </c>
      <c r="W1193" t="s">
        <v>31387</v>
      </c>
      <c r="X1193" t="s">
        <v>13264</v>
      </c>
      <c r="Y1193" t="s">
        <v>31386</v>
      </c>
      <c r="Z1193" t="s">
        <v>31385</v>
      </c>
      <c r="AA1193" t="s">
        <v>29227</v>
      </c>
      <c r="AB1193" t="s">
        <v>29226</v>
      </c>
      <c r="AC1193" t="s">
        <v>74</v>
      </c>
      <c r="AD1193" t="s">
        <v>74</v>
      </c>
      <c r="AE1193" t="s">
        <v>74</v>
      </c>
      <c r="AF1193" t="s">
        <v>74</v>
      </c>
      <c r="AG1193">
        <v>73</v>
      </c>
      <c r="AH1193">
        <v>131</v>
      </c>
      <c r="AI1193">
        <v>157</v>
      </c>
      <c r="AJ1193">
        <v>10</v>
      </c>
      <c r="AK1193">
        <v>106</v>
      </c>
      <c r="AL1193" t="s">
        <v>230</v>
      </c>
      <c r="AM1193" t="s">
        <v>231</v>
      </c>
      <c r="AN1193" t="s">
        <v>232</v>
      </c>
      <c r="AO1193" t="s">
        <v>4966</v>
      </c>
      <c r="AP1193" t="s">
        <v>4967</v>
      </c>
      <c r="AQ1193" t="s">
        <v>74</v>
      </c>
      <c r="AR1193" t="s">
        <v>4968</v>
      </c>
      <c r="AS1193" t="s">
        <v>4969</v>
      </c>
      <c r="AT1193" t="s">
        <v>605</v>
      </c>
      <c r="AU1193">
        <v>2020</v>
      </c>
      <c r="AV1193">
        <v>127</v>
      </c>
      <c r="AW1193" t="s">
        <v>74</v>
      </c>
      <c r="AX1193" t="s">
        <v>74</v>
      </c>
      <c r="AY1193" t="s">
        <v>74</v>
      </c>
      <c r="AZ1193" t="s">
        <v>74</v>
      </c>
      <c r="BA1193" t="s">
        <v>74</v>
      </c>
      <c r="BB1193" t="s">
        <v>74</v>
      </c>
      <c r="BC1193" t="s">
        <v>74</v>
      </c>
      <c r="BD1193">
        <v>104755</v>
      </c>
      <c r="BE1193" t="s">
        <v>31384</v>
      </c>
      <c r="BF1193" t="str">
        <f>HYPERLINK("http://dx.doi.org/10.1016/j.worlddev.2019.104755","http://dx.doi.org/10.1016/j.worlddev.2019.104755")</f>
        <v>http://dx.doi.org/10.1016/j.worlddev.2019.104755</v>
      </c>
      <c r="BG1193" t="s">
        <v>74</v>
      </c>
      <c r="BH1193" t="s">
        <v>74</v>
      </c>
      <c r="BI1193">
        <v>10</v>
      </c>
      <c r="BJ1193" t="s">
        <v>701</v>
      </c>
      <c r="BK1193" t="s">
        <v>4493</v>
      </c>
      <c r="BL1193" t="s">
        <v>702</v>
      </c>
      <c r="BM1193" t="s">
        <v>31383</v>
      </c>
      <c r="BN1193" t="s">
        <v>74</v>
      </c>
      <c r="BO1193" t="s">
        <v>74</v>
      </c>
      <c r="BP1193" t="s">
        <v>74</v>
      </c>
      <c r="BQ1193" t="s">
        <v>74</v>
      </c>
      <c r="BR1193" t="s">
        <v>102</v>
      </c>
      <c r="BS1193" t="s">
        <v>31382</v>
      </c>
      <c r="BT1193" t="str">
        <f>HYPERLINK("https%3A%2F%2Fwww.webofscience.com%2Fwos%2Fwoscc%2Ffull-record%2FWOS:000510953800088","View Full Record in Web of Science")</f>
        <v>View Full Record in Web of Science</v>
      </c>
    </row>
    <row r="1194" spans="1:72" x14ac:dyDescent="0.25">
      <c r="A1194" t="s">
        <v>72</v>
      </c>
      <c r="B1194" t="s">
        <v>31381</v>
      </c>
      <c r="C1194" t="s">
        <v>74</v>
      </c>
      <c r="D1194" t="s">
        <v>74</v>
      </c>
      <c r="E1194" t="s">
        <v>74</v>
      </c>
      <c r="F1194" t="s">
        <v>31380</v>
      </c>
      <c r="G1194" t="s">
        <v>74</v>
      </c>
      <c r="H1194" t="s">
        <v>74</v>
      </c>
      <c r="I1194" t="s">
        <v>31379</v>
      </c>
      <c r="J1194" t="s">
        <v>31378</v>
      </c>
      <c r="K1194" t="s">
        <v>74</v>
      </c>
      <c r="L1194" t="s">
        <v>74</v>
      </c>
      <c r="M1194" t="s">
        <v>78</v>
      </c>
      <c r="N1194" t="s">
        <v>79</v>
      </c>
      <c r="O1194" t="s">
        <v>74</v>
      </c>
      <c r="P1194" t="s">
        <v>74</v>
      </c>
      <c r="Q1194" t="s">
        <v>74</v>
      </c>
      <c r="R1194" t="s">
        <v>74</v>
      </c>
      <c r="S1194" t="s">
        <v>74</v>
      </c>
      <c r="T1194" t="s">
        <v>31377</v>
      </c>
      <c r="U1194" t="s">
        <v>74</v>
      </c>
      <c r="V1194" t="s">
        <v>31376</v>
      </c>
      <c r="W1194" t="s">
        <v>31375</v>
      </c>
      <c r="X1194" t="s">
        <v>31374</v>
      </c>
      <c r="Y1194" t="s">
        <v>31373</v>
      </c>
      <c r="Z1194" t="s">
        <v>31372</v>
      </c>
      <c r="AA1194" t="s">
        <v>31371</v>
      </c>
      <c r="AB1194" t="s">
        <v>31370</v>
      </c>
      <c r="AC1194" t="s">
        <v>74</v>
      </c>
      <c r="AD1194" t="s">
        <v>74</v>
      </c>
      <c r="AE1194" t="s">
        <v>74</v>
      </c>
      <c r="AF1194" t="s">
        <v>74</v>
      </c>
      <c r="AG1194">
        <v>29</v>
      </c>
      <c r="AH1194">
        <v>3</v>
      </c>
      <c r="AI1194">
        <v>4</v>
      </c>
      <c r="AJ1194">
        <v>2</v>
      </c>
      <c r="AK1194">
        <v>15</v>
      </c>
      <c r="AL1194" t="s">
        <v>385</v>
      </c>
      <c r="AM1194" t="s">
        <v>151</v>
      </c>
      <c r="AN1194" t="s">
        <v>386</v>
      </c>
      <c r="AO1194" t="s">
        <v>31369</v>
      </c>
      <c r="AP1194" t="s">
        <v>31368</v>
      </c>
      <c r="AQ1194" t="s">
        <v>74</v>
      </c>
      <c r="AR1194" t="s">
        <v>31367</v>
      </c>
      <c r="AS1194" t="s">
        <v>31366</v>
      </c>
      <c r="AT1194" t="s">
        <v>698</v>
      </c>
      <c r="AU1194">
        <v>2023</v>
      </c>
      <c r="AV1194">
        <v>16</v>
      </c>
      <c r="AW1194">
        <v>5</v>
      </c>
      <c r="AX1194" t="s">
        <v>74</v>
      </c>
      <c r="AY1194" t="s">
        <v>74</v>
      </c>
      <c r="AZ1194" t="s">
        <v>74</v>
      </c>
      <c r="BA1194" t="s">
        <v>74</v>
      </c>
      <c r="BB1194">
        <v>2113</v>
      </c>
      <c r="BC1194">
        <v>2130</v>
      </c>
      <c r="BD1194" t="s">
        <v>74</v>
      </c>
      <c r="BE1194" t="s">
        <v>31365</v>
      </c>
      <c r="BF1194" t="str">
        <f>HYPERLINK("http://dx.doi.org/10.1007/s12083-023-01526-5","http://dx.doi.org/10.1007/s12083-023-01526-5")</f>
        <v>http://dx.doi.org/10.1007/s12083-023-01526-5</v>
      </c>
      <c r="BG1194" t="s">
        <v>74</v>
      </c>
      <c r="BH1194" t="s">
        <v>700</v>
      </c>
      <c r="BI1194">
        <v>18</v>
      </c>
      <c r="BJ1194" t="s">
        <v>2647</v>
      </c>
      <c r="BK1194" t="s">
        <v>128</v>
      </c>
      <c r="BL1194" t="s">
        <v>2648</v>
      </c>
      <c r="BM1194" t="s">
        <v>31364</v>
      </c>
      <c r="BN1194" t="s">
        <v>74</v>
      </c>
      <c r="BO1194" t="s">
        <v>74</v>
      </c>
      <c r="BP1194" t="s">
        <v>74</v>
      </c>
      <c r="BQ1194" t="s">
        <v>74</v>
      </c>
      <c r="BR1194" t="s">
        <v>102</v>
      </c>
      <c r="BS1194" t="s">
        <v>31363</v>
      </c>
      <c r="BT1194" t="str">
        <f>HYPERLINK("https%3A%2F%2Fwww.webofscience.com%2Fwos%2Fwoscc%2Ffull-record%2FWOS:001023976700001","View Full Record in Web of Science")</f>
        <v>View Full Record in Web of Science</v>
      </c>
    </row>
    <row r="1195" spans="1:72" x14ac:dyDescent="0.25">
      <c r="A1195" t="s">
        <v>72</v>
      </c>
      <c r="B1195" t="s">
        <v>31362</v>
      </c>
      <c r="C1195" t="s">
        <v>74</v>
      </c>
      <c r="D1195" t="s">
        <v>74</v>
      </c>
      <c r="E1195" t="s">
        <v>74</v>
      </c>
      <c r="F1195" t="s">
        <v>31361</v>
      </c>
      <c r="G1195" t="s">
        <v>74</v>
      </c>
      <c r="H1195" t="s">
        <v>74</v>
      </c>
      <c r="I1195" t="s">
        <v>31360</v>
      </c>
      <c r="J1195" t="s">
        <v>31359</v>
      </c>
      <c r="K1195" t="s">
        <v>74</v>
      </c>
      <c r="L1195" t="s">
        <v>74</v>
      </c>
      <c r="M1195" t="s">
        <v>78</v>
      </c>
      <c r="N1195" t="s">
        <v>79</v>
      </c>
      <c r="O1195" t="s">
        <v>74</v>
      </c>
      <c r="P1195" t="s">
        <v>74</v>
      </c>
      <c r="Q1195" t="s">
        <v>74</v>
      </c>
      <c r="R1195" t="s">
        <v>74</v>
      </c>
      <c r="S1195" t="s">
        <v>74</v>
      </c>
      <c r="T1195" t="s">
        <v>31358</v>
      </c>
      <c r="U1195" t="s">
        <v>31357</v>
      </c>
      <c r="V1195" t="s">
        <v>31356</v>
      </c>
      <c r="W1195" t="s">
        <v>31355</v>
      </c>
      <c r="X1195" t="s">
        <v>14139</v>
      </c>
      <c r="Y1195" t="s">
        <v>31354</v>
      </c>
      <c r="Z1195" t="s">
        <v>31353</v>
      </c>
      <c r="AA1195" t="s">
        <v>74</v>
      </c>
      <c r="AB1195" t="s">
        <v>74</v>
      </c>
      <c r="AC1195" t="s">
        <v>74</v>
      </c>
      <c r="AD1195" t="s">
        <v>74</v>
      </c>
      <c r="AE1195" t="s">
        <v>74</v>
      </c>
      <c r="AF1195" t="s">
        <v>74</v>
      </c>
      <c r="AG1195">
        <v>78</v>
      </c>
      <c r="AH1195">
        <v>2</v>
      </c>
      <c r="AI1195">
        <v>3</v>
      </c>
      <c r="AJ1195">
        <v>0</v>
      </c>
      <c r="AK1195">
        <v>1</v>
      </c>
      <c r="AL1195" t="s">
        <v>332</v>
      </c>
      <c r="AM1195" t="s">
        <v>333</v>
      </c>
      <c r="AN1195" t="s">
        <v>334</v>
      </c>
      <c r="AO1195" t="s">
        <v>31352</v>
      </c>
      <c r="AP1195" t="s">
        <v>31351</v>
      </c>
      <c r="AQ1195" t="s">
        <v>74</v>
      </c>
      <c r="AR1195" t="s">
        <v>31350</v>
      </c>
      <c r="AS1195" t="s">
        <v>31349</v>
      </c>
      <c r="AT1195" t="s">
        <v>20892</v>
      </c>
      <c r="AU1195">
        <v>2023</v>
      </c>
      <c r="AV1195">
        <v>44</v>
      </c>
      <c r="AW1195">
        <v>9</v>
      </c>
      <c r="AX1195" t="s">
        <v>74</v>
      </c>
      <c r="AY1195" t="s">
        <v>74</v>
      </c>
      <c r="AZ1195" t="s">
        <v>441</v>
      </c>
      <c r="BA1195" t="s">
        <v>74</v>
      </c>
      <c r="BB1195">
        <v>2136</v>
      </c>
      <c r="BC1195">
        <v>2153</v>
      </c>
      <c r="BD1195" t="s">
        <v>74</v>
      </c>
      <c r="BE1195" t="s">
        <v>31348</v>
      </c>
      <c r="BF1195" t="str">
        <f>HYPERLINK("http://dx.doi.org/10.1080/01436597.2023.2221190","http://dx.doi.org/10.1080/01436597.2023.2221190")</f>
        <v>http://dx.doi.org/10.1080/01436597.2023.2221190</v>
      </c>
      <c r="BG1195" t="s">
        <v>74</v>
      </c>
      <c r="BH1195" t="s">
        <v>13995</v>
      </c>
      <c r="BI1195">
        <v>18</v>
      </c>
      <c r="BJ1195" t="s">
        <v>1137</v>
      </c>
      <c r="BK1195" t="s">
        <v>99</v>
      </c>
      <c r="BL1195" t="s">
        <v>1137</v>
      </c>
      <c r="BM1195" t="s">
        <v>31347</v>
      </c>
      <c r="BN1195" t="s">
        <v>74</v>
      </c>
      <c r="BO1195" t="s">
        <v>74</v>
      </c>
      <c r="BP1195" t="s">
        <v>74</v>
      </c>
      <c r="BQ1195" t="s">
        <v>74</v>
      </c>
      <c r="BR1195" t="s">
        <v>102</v>
      </c>
      <c r="BS1195" t="s">
        <v>31346</v>
      </c>
      <c r="BT1195" t="str">
        <f>HYPERLINK("https%3A%2F%2Fwww.webofscience.com%2Fwos%2Fwoscc%2Ffull-record%2FWOS:001008636300001","View Full Record in Web of Science")</f>
        <v>View Full Record in Web of Science</v>
      </c>
    </row>
    <row r="1196" spans="1:72" x14ac:dyDescent="0.25">
      <c r="A1196" t="s">
        <v>72</v>
      </c>
      <c r="B1196" t="s">
        <v>31345</v>
      </c>
      <c r="C1196" t="s">
        <v>74</v>
      </c>
      <c r="D1196" t="s">
        <v>74</v>
      </c>
      <c r="E1196" t="s">
        <v>74</v>
      </c>
      <c r="F1196" t="s">
        <v>31344</v>
      </c>
      <c r="G1196" t="s">
        <v>74</v>
      </c>
      <c r="H1196" t="s">
        <v>74</v>
      </c>
      <c r="I1196" t="s">
        <v>31343</v>
      </c>
      <c r="J1196" t="s">
        <v>900</v>
      </c>
      <c r="K1196" t="s">
        <v>74</v>
      </c>
      <c r="L1196" t="s">
        <v>74</v>
      </c>
      <c r="M1196" t="s">
        <v>78</v>
      </c>
      <c r="N1196" t="s">
        <v>79</v>
      </c>
      <c r="O1196" t="s">
        <v>74</v>
      </c>
      <c r="P1196" t="s">
        <v>74</v>
      </c>
      <c r="Q1196" t="s">
        <v>74</v>
      </c>
      <c r="R1196" t="s">
        <v>74</v>
      </c>
      <c r="S1196" t="s">
        <v>74</v>
      </c>
      <c r="T1196" t="s">
        <v>31342</v>
      </c>
      <c r="U1196" t="s">
        <v>74</v>
      </c>
      <c r="V1196" t="s">
        <v>31341</v>
      </c>
      <c r="W1196" t="s">
        <v>31340</v>
      </c>
      <c r="X1196" t="s">
        <v>31339</v>
      </c>
      <c r="Y1196" t="s">
        <v>31338</v>
      </c>
      <c r="Z1196" t="s">
        <v>31337</v>
      </c>
      <c r="AA1196" t="s">
        <v>74</v>
      </c>
      <c r="AB1196" t="s">
        <v>74</v>
      </c>
      <c r="AC1196" t="s">
        <v>74</v>
      </c>
      <c r="AD1196" t="s">
        <v>74</v>
      </c>
      <c r="AE1196" t="s">
        <v>74</v>
      </c>
      <c r="AF1196" t="s">
        <v>74</v>
      </c>
      <c r="AG1196">
        <v>37</v>
      </c>
      <c r="AH1196">
        <v>0</v>
      </c>
      <c r="AI1196">
        <v>0</v>
      </c>
      <c r="AJ1196">
        <v>1</v>
      </c>
      <c r="AK1196">
        <v>1</v>
      </c>
      <c r="AL1196" t="s">
        <v>575</v>
      </c>
      <c r="AM1196" t="s">
        <v>576</v>
      </c>
      <c r="AN1196" t="s">
        <v>577</v>
      </c>
      <c r="AO1196" t="s">
        <v>74</v>
      </c>
      <c r="AP1196" t="s">
        <v>4045</v>
      </c>
      <c r="AQ1196" t="s">
        <v>74</v>
      </c>
      <c r="AR1196" t="s">
        <v>4046</v>
      </c>
      <c r="AS1196" t="s">
        <v>4047</v>
      </c>
      <c r="AT1196" t="s">
        <v>12419</v>
      </c>
      <c r="AU1196">
        <v>2025</v>
      </c>
      <c r="AV1196">
        <v>4</v>
      </c>
      <c r="AW1196">
        <v>4</v>
      </c>
      <c r="AX1196" t="s">
        <v>74</v>
      </c>
      <c r="AY1196" t="s">
        <v>74</v>
      </c>
      <c r="AZ1196" t="s">
        <v>74</v>
      </c>
      <c r="BA1196" t="s">
        <v>74</v>
      </c>
      <c r="BB1196" t="s">
        <v>74</v>
      </c>
      <c r="BC1196" t="s">
        <v>74</v>
      </c>
      <c r="BD1196">
        <v>75</v>
      </c>
      <c r="BE1196" t="s">
        <v>31336</v>
      </c>
      <c r="BF1196" t="str">
        <f>HYPERLINK("http://dx.doi.org/10.3390/fintech4040075","http://dx.doi.org/10.3390/fintech4040075")</f>
        <v>http://dx.doi.org/10.3390/fintech4040075</v>
      </c>
      <c r="BG1196" t="s">
        <v>74</v>
      </c>
      <c r="BH1196" t="s">
        <v>74</v>
      </c>
      <c r="BI1196">
        <v>23</v>
      </c>
      <c r="BJ1196" t="s">
        <v>4049</v>
      </c>
      <c r="BK1196" t="s">
        <v>313</v>
      </c>
      <c r="BL1196" t="s">
        <v>1070</v>
      </c>
      <c r="BM1196" t="s">
        <v>31335</v>
      </c>
      <c r="BN1196" t="s">
        <v>74</v>
      </c>
      <c r="BO1196" t="s">
        <v>212</v>
      </c>
      <c r="BP1196" t="s">
        <v>74</v>
      </c>
      <c r="BQ1196" t="s">
        <v>74</v>
      </c>
      <c r="BR1196" t="s">
        <v>102</v>
      </c>
      <c r="BS1196" t="s">
        <v>31334</v>
      </c>
      <c r="BT1196" t="str">
        <f>HYPERLINK("https%3A%2F%2Fwww.webofscience.com%2Fwos%2Fwoscc%2Ffull-record%2FWOS:001647171400001","View Full Record in Web of Science")</f>
        <v>View Full Record in Web of Science</v>
      </c>
    </row>
    <row r="1197" spans="1:72" x14ac:dyDescent="0.25">
      <c r="A1197" t="s">
        <v>72</v>
      </c>
      <c r="B1197" t="s">
        <v>31333</v>
      </c>
      <c r="C1197" t="s">
        <v>74</v>
      </c>
      <c r="D1197" t="s">
        <v>74</v>
      </c>
      <c r="E1197" t="s">
        <v>74</v>
      </c>
      <c r="F1197" t="s">
        <v>31332</v>
      </c>
      <c r="G1197" t="s">
        <v>74</v>
      </c>
      <c r="H1197" t="s">
        <v>74</v>
      </c>
      <c r="I1197" t="s">
        <v>31331</v>
      </c>
      <c r="J1197" t="s">
        <v>20579</v>
      </c>
      <c r="K1197" t="s">
        <v>74</v>
      </c>
      <c r="L1197" t="s">
        <v>74</v>
      </c>
      <c r="M1197" t="s">
        <v>78</v>
      </c>
      <c r="N1197" t="s">
        <v>79</v>
      </c>
      <c r="O1197" t="s">
        <v>74</v>
      </c>
      <c r="P1197" t="s">
        <v>74</v>
      </c>
      <c r="Q1197" t="s">
        <v>74</v>
      </c>
      <c r="R1197" t="s">
        <v>74</v>
      </c>
      <c r="S1197" t="s">
        <v>74</v>
      </c>
      <c r="T1197" t="s">
        <v>31330</v>
      </c>
      <c r="U1197" t="s">
        <v>2073</v>
      </c>
      <c r="V1197" t="s">
        <v>31329</v>
      </c>
      <c r="W1197" t="s">
        <v>31328</v>
      </c>
      <c r="X1197" t="s">
        <v>74</v>
      </c>
      <c r="Y1197" t="s">
        <v>31327</v>
      </c>
      <c r="Z1197" t="s">
        <v>31326</v>
      </c>
      <c r="AA1197" t="s">
        <v>31325</v>
      </c>
      <c r="AB1197" t="s">
        <v>31324</v>
      </c>
      <c r="AC1197" t="s">
        <v>74</v>
      </c>
      <c r="AD1197" t="s">
        <v>74</v>
      </c>
      <c r="AE1197" t="s">
        <v>31323</v>
      </c>
      <c r="AF1197" t="s">
        <v>74</v>
      </c>
      <c r="AG1197">
        <v>85</v>
      </c>
      <c r="AH1197">
        <v>6</v>
      </c>
      <c r="AI1197">
        <v>13</v>
      </c>
      <c r="AJ1197">
        <v>11</v>
      </c>
      <c r="AK1197">
        <v>19</v>
      </c>
      <c r="AL1197" t="s">
        <v>89</v>
      </c>
      <c r="AM1197" t="s">
        <v>90</v>
      </c>
      <c r="AN1197" t="s">
        <v>91</v>
      </c>
      <c r="AO1197" t="s">
        <v>20569</v>
      </c>
      <c r="AP1197" t="s">
        <v>20568</v>
      </c>
      <c r="AQ1197" t="s">
        <v>74</v>
      </c>
      <c r="AR1197" t="s">
        <v>20567</v>
      </c>
      <c r="AS1197" t="s">
        <v>20566</v>
      </c>
      <c r="AT1197" t="s">
        <v>31322</v>
      </c>
      <c r="AU1197">
        <v>2025</v>
      </c>
      <c r="AV1197">
        <v>23</v>
      </c>
      <c r="AW1197">
        <v>4</v>
      </c>
      <c r="AX1197" t="s">
        <v>74</v>
      </c>
      <c r="AY1197" t="s">
        <v>74</v>
      </c>
      <c r="AZ1197" t="s">
        <v>74</v>
      </c>
      <c r="BA1197" t="s">
        <v>74</v>
      </c>
      <c r="BB1197">
        <v>1345</v>
      </c>
      <c r="BC1197">
        <v>1364</v>
      </c>
      <c r="BD1197" t="s">
        <v>74</v>
      </c>
      <c r="BE1197" t="s">
        <v>31321</v>
      </c>
      <c r="BF1197" t="str">
        <f>HYPERLINK("http://dx.doi.org/10.1108/JFRA-06-2024-0337","http://dx.doi.org/10.1108/JFRA-06-2024-0337")</f>
        <v>http://dx.doi.org/10.1108/JFRA-06-2024-0337</v>
      </c>
      <c r="BG1197" t="s">
        <v>74</v>
      </c>
      <c r="BH1197" t="s">
        <v>9389</v>
      </c>
      <c r="BI1197">
        <v>20</v>
      </c>
      <c r="BJ1197" t="s">
        <v>268</v>
      </c>
      <c r="BK1197" t="s">
        <v>313</v>
      </c>
      <c r="BL1197" t="s">
        <v>100</v>
      </c>
      <c r="BM1197" t="s">
        <v>31320</v>
      </c>
      <c r="BN1197" t="s">
        <v>74</v>
      </c>
      <c r="BO1197" t="s">
        <v>74</v>
      </c>
      <c r="BP1197" t="s">
        <v>74</v>
      </c>
      <c r="BQ1197" t="s">
        <v>74</v>
      </c>
      <c r="BR1197" t="s">
        <v>102</v>
      </c>
      <c r="BS1197" t="s">
        <v>31319</v>
      </c>
      <c r="BT1197" t="str">
        <f>HYPERLINK("https%3A%2F%2Fwww.webofscience.com%2Fwos%2Fwoscc%2Ffull-record%2FWOS:001317348900001","View Full Record in Web of Science")</f>
        <v>View Full Record in Web of Science</v>
      </c>
    </row>
    <row r="1198" spans="1:72" x14ac:dyDescent="0.25">
      <c r="A1198" t="s">
        <v>72</v>
      </c>
      <c r="B1198" t="s">
        <v>31318</v>
      </c>
      <c r="C1198" t="s">
        <v>74</v>
      </c>
      <c r="D1198" t="s">
        <v>74</v>
      </c>
      <c r="E1198" t="s">
        <v>74</v>
      </c>
      <c r="F1198" t="s">
        <v>31317</v>
      </c>
      <c r="G1198" t="s">
        <v>74</v>
      </c>
      <c r="H1198" t="s">
        <v>74</v>
      </c>
      <c r="I1198" t="s">
        <v>31316</v>
      </c>
      <c r="J1198" t="s">
        <v>9191</v>
      </c>
      <c r="K1198" t="s">
        <v>74</v>
      </c>
      <c r="L1198" t="s">
        <v>74</v>
      </c>
      <c r="M1198" t="s">
        <v>78</v>
      </c>
      <c r="N1198" t="s">
        <v>1766</v>
      </c>
      <c r="O1198" t="s">
        <v>74</v>
      </c>
      <c r="P1198" t="s">
        <v>74</v>
      </c>
      <c r="Q1198" t="s">
        <v>74</v>
      </c>
      <c r="R1198" t="s">
        <v>74</v>
      </c>
      <c r="S1198" t="s">
        <v>74</v>
      </c>
      <c r="T1198" t="s">
        <v>31315</v>
      </c>
      <c r="U1198" t="s">
        <v>31314</v>
      </c>
      <c r="V1198" t="s">
        <v>31313</v>
      </c>
      <c r="W1198" t="s">
        <v>31312</v>
      </c>
      <c r="X1198" t="s">
        <v>31311</v>
      </c>
      <c r="Y1198" t="s">
        <v>31310</v>
      </c>
      <c r="Z1198" t="s">
        <v>31309</v>
      </c>
      <c r="AA1198" t="s">
        <v>74</v>
      </c>
      <c r="AB1198" t="s">
        <v>31308</v>
      </c>
      <c r="AC1198" t="s">
        <v>31307</v>
      </c>
      <c r="AD1198" t="s">
        <v>31307</v>
      </c>
      <c r="AE1198" t="s">
        <v>31306</v>
      </c>
      <c r="AF1198" t="s">
        <v>74</v>
      </c>
      <c r="AG1198">
        <v>108</v>
      </c>
      <c r="AH1198">
        <v>7</v>
      </c>
      <c r="AI1198">
        <v>16</v>
      </c>
      <c r="AJ1198">
        <v>5</v>
      </c>
      <c r="AK1198">
        <v>46</v>
      </c>
      <c r="AL1198" t="s">
        <v>9204</v>
      </c>
      <c r="AM1198" t="s">
        <v>2016</v>
      </c>
      <c r="AN1198" t="s">
        <v>9205</v>
      </c>
      <c r="AO1198" t="s">
        <v>74</v>
      </c>
      <c r="AP1198" t="s">
        <v>9206</v>
      </c>
      <c r="AQ1198" t="s">
        <v>74</v>
      </c>
      <c r="AR1198" t="s">
        <v>9191</v>
      </c>
      <c r="AS1198" t="s">
        <v>9207</v>
      </c>
      <c r="AT1198" t="s">
        <v>17017</v>
      </c>
      <c r="AU1198">
        <v>2024</v>
      </c>
      <c r="AV1198">
        <v>10</v>
      </c>
      <c r="AW1198">
        <v>3</v>
      </c>
      <c r="AX1198" t="s">
        <v>74</v>
      </c>
      <c r="AY1198" t="s">
        <v>74</v>
      </c>
      <c r="AZ1198" t="s">
        <v>74</v>
      </c>
      <c r="BA1198" t="s">
        <v>74</v>
      </c>
      <c r="BB1198" t="s">
        <v>74</v>
      </c>
      <c r="BC1198" t="s">
        <v>74</v>
      </c>
      <c r="BD1198" t="s">
        <v>31305</v>
      </c>
      <c r="BE1198" t="s">
        <v>31304</v>
      </c>
      <c r="BF1198" t="str">
        <f>HYPERLINK("http://dx.doi.org/10.1016/j.heliyon.2024.e25779","http://dx.doi.org/10.1016/j.heliyon.2024.e25779")</f>
        <v>http://dx.doi.org/10.1016/j.heliyon.2024.e25779</v>
      </c>
      <c r="BG1198" t="s">
        <v>74</v>
      </c>
      <c r="BH1198" t="s">
        <v>1239</v>
      </c>
      <c r="BI1198">
        <v>25</v>
      </c>
      <c r="BJ1198" t="s">
        <v>559</v>
      </c>
      <c r="BK1198" t="s">
        <v>128</v>
      </c>
      <c r="BL1198" t="s">
        <v>560</v>
      </c>
      <c r="BM1198" t="s">
        <v>31303</v>
      </c>
      <c r="BN1198">
        <v>38356575</v>
      </c>
      <c r="BO1198" t="s">
        <v>916</v>
      </c>
      <c r="BP1198" t="s">
        <v>74</v>
      </c>
      <c r="BQ1198" t="s">
        <v>74</v>
      </c>
      <c r="BR1198" t="s">
        <v>102</v>
      </c>
      <c r="BS1198" t="s">
        <v>31302</v>
      </c>
      <c r="BT1198" t="str">
        <f>HYPERLINK("https%3A%2F%2Fwww.webofscience.com%2Fwos%2Fwoscc%2Ffull-record%2FWOS:001182244300001","View Full Record in Web of Science")</f>
        <v>View Full Record in Web of Science</v>
      </c>
    </row>
    <row r="1199" spans="1:72" x14ac:dyDescent="0.25">
      <c r="A1199" t="s">
        <v>72</v>
      </c>
      <c r="B1199" t="s">
        <v>31301</v>
      </c>
      <c r="C1199" t="s">
        <v>74</v>
      </c>
      <c r="D1199" t="s">
        <v>74</v>
      </c>
      <c r="E1199" t="s">
        <v>74</v>
      </c>
      <c r="F1199" t="s">
        <v>31300</v>
      </c>
      <c r="G1199" t="s">
        <v>74</v>
      </c>
      <c r="H1199" t="s">
        <v>74</v>
      </c>
      <c r="I1199" t="s">
        <v>31299</v>
      </c>
      <c r="J1199" t="s">
        <v>31298</v>
      </c>
      <c r="K1199" t="s">
        <v>74</v>
      </c>
      <c r="L1199" t="s">
        <v>74</v>
      </c>
      <c r="M1199" t="s">
        <v>78</v>
      </c>
      <c r="N1199" t="s">
        <v>372</v>
      </c>
      <c r="O1199" t="s">
        <v>74</v>
      </c>
      <c r="P1199" t="s">
        <v>74</v>
      </c>
      <c r="Q1199" t="s">
        <v>74</v>
      </c>
      <c r="R1199" t="s">
        <v>74</v>
      </c>
      <c r="S1199" t="s">
        <v>74</v>
      </c>
      <c r="T1199" t="s">
        <v>31297</v>
      </c>
      <c r="U1199" t="s">
        <v>74</v>
      </c>
      <c r="V1199" t="s">
        <v>31296</v>
      </c>
      <c r="W1199" t="s">
        <v>31295</v>
      </c>
      <c r="X1199" t="s">
        <v>74</v>
      </c>
      <c r="Y1199" t="s">
        <v>31294</v>
      </c>
      <c r="Z1199" t="s">
        <v>31293</v>
      </c>
      <c r="AA1199" t="s">
        <v>31292</v>
      </c>
      <c r="AB1199" t="s">
        <v>74</v>
      </c>
      <c r="AC1199" t="s">
        <v>74</v>
      </c>
      <c r="AD1199" t="s">
        <v>74</v>
      </c>
      <c r="AE1199" t="s">
        <v>74</v>
      </c>
      <c r="AF1199" t="s">
        <v>74</v>
      </c>
      <c r="AG1199">
        <v>72</v>
      </c>
      <c r="AH1199">
        <v>0</v>
      </c>
      <c r="AI1199">
        <v>0</v>
      </c>
      <c r="AJ1199">
        <v>0</v>
      </c>
      <c r="AK1199">
        <v>0</v>
      </c>
      <c r="AL1199" t="s">
        <v>89</v>
      </c>
      <c r="AM1199" t="s">
        <v>90</v>
      </c>
      <c r="AN1199" t="s">
        <v>91</v>
      </c>
      <c r="AO1199" t="s">
        <v>31291</v>
      </c>
      <c r="AP1199" t="s">
        <v>31290</v>
      </c>
      <c r="AQ1199" t="s">
        <v>74</v>
      </c>
      <c r="AR1199" t="s">
        <v>31289</v>
      </c>
      <c r="AS1199" t="s">
        <v>31288</v>
      </c>
      <c r="AT1199" t="s">
        <v>31287</v>
      </c>
      <c r="AU1199">
        <v>2025</v>
      </c>
      <c r="AV1199" t="s">
        <v>74</v>
      </c>
      <c r="AW1199" t="s">
        <v>74</v>
      </c>
      <c r="AX1199" t="s">
        <v>74</v>
      </c>
      <c r="AY1199" t="s">
        <v>74</v>
      </c>
      <c r="AZ1199" t="s">
        <v>74</v>
      </c>
      <c r="BA1199" t="s">
        <v>74</v>
      </c>
      <c r="BB1199" t="s">
        <v>74</v>
      </c>
      <c r="BC1199" t="s">
        <v>74</v>
      </c>
      <c r="BD1199" t="s">
        <v>74</v>
      </c>
      <c r="BE1199" t="s">
        <v>31286</v>
      </c>
      <c r="BF1199" t="str">
        <f>HYPERLINK("http://dx.doi.org/10.1108/SEF-04-2025-0277","http://dx.doi.org/10.1108/SEF-04-2025-0277")</f>
        <v>http://dx.doi.org/10.1108/SEF-04-2025-0277</v>
      </c>
      <c r="BG1199" t="s">
        <v>74</v>
      </c>
      <c r="BH1199" t="s">
        <v>488</v>
      </c>
      <c r="BI1199">
        <v>20</v>
      </c>
      <c r="BJ1199" t="s">
        <v>268</v>
      </c>
      <c r="BK1199" t="s">
        <v>313</v>
      </c>
      <c r="BL1199" t="s">
        <v>100</v>
      </c>
      <c r="BM1199" t="s">
        <v>31285</v>
      </c>
      <c r="BN1199" t="s">
        <v>74</v>
      </c>
      <c r="BO1199" t="s">
        <v>74</v>
      </c>
      <c r="BP1199" t="s">
        <v>74</v>
      </c>
      <c r="BQ1199" t="s">
        <v>74</v>
      </c>
      <c r="BR1199" t="s">
        <v>102</v>
      </c>
      <c r="BS1199" t="s">
        <v>31284</v>
      </c>
      <c r="BT1199" t="str">
        <f>HYPERLINK("https%3A%2F%2Fwww.webofscience.com%2Fwos%2Fwoscc%2Ffull-record%2FWOS:001632096100001","View Full Record in Web of Science")</f>
        <v>View Full Record in Web of Science</v>
      </c>
    </row>
    <row r="1200" spans="1:72" x14ac:dyDescent="0.25">
      <c r="A1200" t="s">
        <v>72</v>
      </c>
      <c r="B1200" t="s">
        <v>31283</v>
      </c>
      <c r="C1200" t="s">
        <v>74</v>
      </c>
      <c r="D1200" t="s">
        <v>74</v>
      </c>
      <c r="E1200" t="s">
        <v>74</v>
      </c>
      <c r="F1200" t="s">
        <v>31282</v>
      </c>
      <c r="G1200" t="s">
        <v>74</v>
      </c>
      <c r="H1200" t="s">
        <v>74</v>
      </c>
      <c r="I1200" t="s">
        <v>31281</v>
      </c>
      <c r="J1200" t="s">
        <v>31280</v>
      </c>
      <c r="K1200" t="s">
        <v>74</v>
      </c>
      <c r="L1200" t="s">
        <v>74</v>
      </c>
      <c r="M1200" t="s">
        <v>78</v>
      </c>
      <c r="N1200" t="s">
        <v>79</v>
      </c>
      <c r="O1200" t="s">
        <v>74</v>
      </c>
      <c r="P1200" t="s">
        <v>74</v>
      </c>
      <c r="Q1200" t="s">
        <v>74</v>
      </c>
      <c r="R1200" t="s">
        <v>74</v>
      </c>
      <c r="S1200" t="s">
        <v>74</v>
      </c>
      <c r="T1200" t="s">
        <v>31279</v>
      </c>
      <c r="U1200" t="s">
        <v>31278</v>
      </c>
      <c r="V1200" t="s">
        <v>31277</v>
      </c>
      <c r="W1200" t="s">
        <v>31276</v>
      </c>
      <c r="X1200" t="s">
        <v>31275</v>
      </c>
      <c r="Y1200" t="s">
        <v>31274</v>
      </c>
      <c r="Z1200" t="s">
        <v>31273</v>
      </c>
      <c r="AA1200" t="s">
        <v>31272</v>
      </c>
      <c r="AB1200" t="s">
        <v>74</v>
      </c>
      <c r="AC1200" t="s">
        <v>31271</v>
      </c>
      <c r="AD1200" t="s">
        <v>31271</v>
      </c>
      <c r="AE1200" t="s">
        <v>31270</v>
      </c>
      <c r="AF1200" t="s">
        <v>74</v>
      </c>
      <c r="AG1200">
        <v>39</v>
      </c>
      <c r="AH1200">
        <v>13</v>
      </c>
      <c r="AI1200">
        <v>18</v>
      </c>
      <c r="AJ1200">
        <v>3</v>
      </c>
      <c r="AK1200">
        <v>62</v>
      </c>
      <c r="AL1200" t="s">
        <v>117</v>
      </c>
      <c r="AM1200" t="s">
        <v>118</v>
      </c>
      <c r="AN1200" t="s">
        <v>119</v>
      </c>
      <c r="AO1200" t="s">
        <v>31269</v>
      </c>
      <c r="AP1200" t="s">
        <v>31268</v>
      </c>
      <c r="AQ1200" t="s">
        <v>74</v>
      </c>
      <c r="AR1200" t="s">
        <v>31267</v>
      </c>
      <c r="AS1200" t="s">
        <v>31266</v>
      </c>
      <c r="AT1200" t="s">
        <v>289</v>
      </c>
      <c r="AU1200">
        <v>2017</v>
      </c>
      <c r="AV1200">
        <v>26</v>
      </c>
      <c r="AW1200" t="s">
        <v>5324</v>
      </c>
      <c r="AX1200" t="s">
        <v>74</v>
      </c>
      <c r="AY1200" t="s">
        <v>74</v>
      </c>
      <c r="AZ1200" t="s">
        <v>74</v>
      </c>
      <c r="BA1200" t="s">
        <v>74</v>
      </c>
      <c r="BB1200">
        <v>183</v>
      </c>
      <c r="BC1200">
        <v>192</v>
      </c>
      <c r="BD1200" t="s">
        <v>74</v>
      </c>
      <c r="BE1200" t="s">
        <v>31265</v>
      </c>
      <c r="BF1200" t="str">
        <f>HYPERLINK("http://dx.doi.org/10.1007/s40299-017-0339-0","http://dx.doi.org/10.1007/s40299-017-0339-0")</f>
        <v>http://dx.doi.org/10.1007/s40299-017-0339-0</v>
      </c>
      <c r="BG1200" t="s">
        <v>74</v>
      </c>
      <c r="BH1200" t="s">
        <v>74</v>
      </c>
      <c r="BI1200">
        <v>10</v>
      </c>
      <c r="BJ1200" t="s">
        <v>4031</v>
      </c>
      <c r="BK1200" t="s">
        <v>99</v>
      </c>
      <c r="BL1200" t="s">
        <v>4031</v>
      </c>
      <c r="BM1200" t="s">
        <v>31264</v>
      </c>
      <c r="BN1200" t="s">
        <v>74</v>
      </c>
      <c r="BO1200" t="s">
        <v>74</v>
      </c>
      <c r="BP1200" t="s">
        <v>74</v>
      </c>
      <c r="BQ1200" t="s">
        <v>74</v>
      </c>
      <c r="BR1200" t="s">
        <v>102</v>
      </c>
      <c r="BS1200" t="s">
        <v>31263</v>
      </c>
      <c r="BT1200" t="str">
        <f>HYPERLINK("https%3A%2F%2Fwww.webofscience.com%2Fwos%2Fwoscc%2Ffull-record%2FWOS:000405313900008","View Full Record in Web of Science")</f>
        <v>View Full Record in Web of Science</v>
      </c>
    </row>
    <row r="1201" spans="1:72" x14ac:dyDescent="0.25">
      <c r="A1201" t="s">
        <v>72</v>
      </c>
      <c r="B1201" t="s">
        <v>31262</v>
      </c>
      <c r="C1201" t="s">
        <v>74</v>
      </c>
      <c r="D1201" t="s">
        <v>74</v>
      </c>
      <c r="E1201" t="s">
        <v>74</v>
      </c>
      <c r="F1201" t="s">
        <v>31261</v>
      </c>
      <c r="G1201" t="s">
        <v>74</v>
      </c>
      <c r="H1201" t="s">
        <v>74</v>
      </c>
      <c r="I1201" t="s">
        <v>31260</v>
      </c>
      <c r="J1201" t="s">
        <v>12108</v>
      </c>
      <c r="K1201" t="s">
        <v>74</v>
      </c>
      <c r="L1201" t="s">
        <v>74</v>
      </c>
      <c r="M1201" t="s">
        <v>78</v>
      </c>
      <c r="N1201" t="s">
        <v>79</v>
      </c>
      <c r="O1201" t="s">
        <v>74</v>
      </c>
      <c r="P1201" t="s">
        <v>74</v>
      </c>
      <c r="Q1201" t="s">
        <v>74</v>
      </c>
      <c r="R1201" t="s">
        <v>74</v>
      </c>
      <c r="S1201" t="s">
        <v>74</v>
      </c>
      <c r="T1201" t="s">
        <v>31259</v>
      </c>
      <c r="U1201" t="s">
        <v>31258</v>
      </c>
      <c r="V1201" t="s">
        <v>31257</v>
      </c>
      <c r="W1201" t="s">
        <v>31256</v>
      </c>
      <c r="X1201" t="s">
        <v>31255</v>
      </c>
      <c r="Y1201" t="s">
        <v>31254</v>
      </c>
      <c r="Z1201" t="s">
        <v>31253</v>
      </c>
      <c r="AA1201" t="s">
        <v>74</v>
      </c>
      <c r="AB1201" t="s">
        <v>31252</v>
      </c>
      <c r="AC1201" t="s">
        <v>31251</v>
      </c>
      <c r="AD1201" t="s">
        <v>31250</v>
      </c>
      <c r="AE1201" t="s">
        <v>31249</v>
      </c>
      <c r="AF1201" t="s">
        <v>74</v>
      </c>
      <c r="AG1201">
        <v>83</v>
      </c>
      <c r="AH1201">
        <v>7</v>
      </c>
      <c r="AI1201">
        <v>9</v>
      </c>
      <c r="AJ1201">
        <v>0</v>
      </c>
      <c r="AK1201">
        <v>7</v>
      </c>
      <c r="AL1201" t="s">
        <v>4666</v>
      </c>
      <c r="AM1201" t="s">
        <v>995</v>
      </c>
      <c r="AN1201" t="s">
        <v>4025</v>
      </c>
      <c r="AO1201" t="s">
        <v>12117</v>
      </c>
      <c r="AP1201" t="s">
        <v>12118</v>
      </c>
      <c r="AQ1201" t="s">
        <v>74</v>
      </c>
      <c r="AR1201" t="s">
        <v>12119</v>
      </c>
      <c r="AS1201" t="s">
        <v>12120</v>
      </c>
      <c r="AT1201" t="s">
        <v>698</v>
      </c>
      <c r="AU1201">
        <v>2021</v>
      </c>
      <c r="AV1201">
        <v>1</v>
      </c>
      <c r="AW1201">
        <v>3</v>
      </c>
      <c r="AX1201" t="s">
        <v>74</v>
      </c>
      <c r="AY1201" t="s">
        <v>74</v>
      </c>
      <c r="AZ1201" t="s">
        <v>441</v>
      </c>
      <c r="BA1201" t="s">
        <v>74</v>
      </c>
      <c r="BB1201">
        <v>361</v>
      </c>
      <c r="BC1201">
        <v>381</v>
      </c>
      <c r="BD1201" t="s">
        <v>74</v>
      </c>
      <c r="BE1201" t="s">
        <v>31248</v>
      </c>
      <c r="BF1201" t="str">
        <f>HYPERLINK("http://dx.doi.org/10.1007/s43508-021-00026-7","http://dx.doi.org/10.1007/s43508-021-00026-7")</f>
        <v>http://dx.doi.org/10.1007/s43508-021-00026-7</v>
      </c>
      <c r="BG1201" t="s">
        <v>74</v>
      </c>
      <c r="BH1201" t="s">
        <v>74</v>
      </c>
      <c r="BI1201">
        <v>21</v>
      </c>
      <c r="BJ1201" t="s">
        <v>12122</v>
      </c>
      <c r="BK1201" t="s">
        <v>313</v>
      </c>
      <c r="BL1201" t="s">
        <v>12123</v>
      </c>
      <c r="BM1201" t="s">
        <v>31247</v>
      </c>
      <c r="BN1201" t="s">
        <v>74</v>
      </c>
      <c r="BO1201" t="s">
        <v>466</v>
      </c>
      <c r="BP1201" t="s">
        <v>74</v>
      </c>
      <c r="BQ1201" t="s">
        <v>74</v>
      </c>
      <c r="BR1201" t="s">
        <v>102</v>
      </c>
      <c r="BS1201" t="s">
        <v>31246</v>
      </c>
      <c r="BT1201" t="str">
        <f>HYPERLINK("https%3A%2F%2Fwww.webofscience.com%2Fwos%2Fwoscc%2Ffull-record%2FWOS:001137772100003","View Full Record in Web of Science")</f>
        <v>View Full Record in Web of Science</v>
      </c>
    </row>
    <row r="1202" spans="1:72" x14ac:dyDescent="0.25">
      <c r="A1202" t="s">
        <v>72</v>
      </c>
      <c r="B1202" t="s">
        <v>31245</v>
      </c>
      <c r="C1202" t="s">
        <v>74</v>
      </c>
      <c r="D1202" t="s">
        <v>74</v>
      </c>
      <c r="E1202" t="s">
        <v>74</v>
      </c>
      <c r="F1202" t="s">
        <v>31244</v>
      </c>
      <c r="G1202" t="s">
        <v>74</v>
      </c>
      <c r="H1202" t="s">
        <v>74</v>
      </c>
      <c r="I1202" t="s">
        <v>31243</v>
      </c>
      <c r="J1202" t="s">
        <v>1987</v>
      </c>
      <c r="K1202" t="s">
        <v>74</v>
      </c>
      <c r="L1202" t="s">
        <v>74</v>
      </c>
      <c r="M1202" t="s">
        <v>78</v>
      </c>
      <c r="N1202" t="s">
        <v>79</v>
      </c>
      <c r="O1202" t="s">
        <v>74</v>
      </c>
      <c r="P1202" t="s">
        <v>74</v>
      </c>
      <c r="Q1202" t="s">
        <v>74</v>
      </c>
      <c r="R1202" t="s">
        <v>74</v>
      </c>
      <c r="S1202" t="s">
        <v>74</v>
      </c>
      <c r="T1202" t="s">
        <v>31242</v>
      </c>
      <c r="U1202" t="s">
        <v>31241</v>
      </c>
      <c r="V1202" t="s">
        <v>31240</v>
      </c>
      <c r="W1202" t="s">
        <v>31239</v>
      </c>
      <c r="X1202" t="s">
        <v>31238</v>
      </c>
      <c r="Y1202" t="s">
        <v>31237</v>
      </c>
      <c r="Z1202" t="s">
        <v>31236</v>
      </c>
      <c r="AA1202" t="s">
        <v>74</v>
      </c>
      <c r="AB1202" t="s">
        <v>31235</v>
      </c>
      <c r="AC1202" t="s">
        <v>74</v>
      </c>
      <c r="AD1202" t="s">
        <v>74</v>
      </c>
      <c r="AE1202" t="s">
        <v>74</v>
      </c>
      <c r="AF1202" t="s">
        <v>74</v>
      </c>
      <c r="AG1202">
        <v>65</v>
      </c>
      <c r="AH1202">
        <v>2</v>
      </c>
      <c r="AI1202">
        <v>3</v>
      </c>
      <c r="AJ1202">
        <v>0</v>
      </c>
      <c r="AK1202">
        <v>4</v>
      </c>
      <c r="AL1202" t="s">
        <v>479</v>
      </c>
      <c r="AM1202" t="s">
        <v>480</v>
      </c>
      <c r="AN1202" t="s">
        <v>481</v>
      </c>
      <c r="AO1202" t="s">
        <v>1997</v>
      </c>
      <c r="AP1202" t="s">
        <v>1998</v>
      </c>
      <c r="AQ1202" t="s">
        <v>74</v>
      </c>
      <c r="AR1202" t="s">
        <v>1999</v>
      </c>
      <c r="AS1202" t="s">
        <v>2000</v>
      </c>
      <c r="AT1202" t="s">
        <v>1159</v>
      </c>
      <c r="AU1202">
        <v>2022</v>
      </c>
      <c r="AV1202">
        <v>34</v>
      </c>
      <c r="AW1202">
        <v>7</v>
      </c>
      <c r="AX1202" t="s">
        <v>74</v>
      </c>
      <c r="AY1202" t="s">
        <v>74</v>
      </c>
      <c r="AZ1202" t="s">
        <v>74</v>
      </c>
      <c r="BA1202" t="s">
        <v>74</v>
      </c>
      <c r="BB1202">
        <v>1318</v>
      </c>
      <c r="BC1202">
        <v>1333</v>
      </c>
      <c r="BD1202" t="s">
        <v>74</v>
      </c>
      <c r="BE1202" t="s">
        <v>31234</v>
      </c>
      <c r="BF1202" t="str">
        <f>HYPERLINK("http://dx.doi.org/10.1002/jid.3633","http://dx.doi.org/10.1002/jid.3633")</f>
        <v>http://dx.doi.org/10.1002/jid.3633</v>
      </c>
      <c r="BG1202" t="s">
        <v>74</v>
      </c>
      <c r="BH1202" t="s">
        <v>674</v>
      </c>
      <c r="BI1202">
        <v>16</v>
      </c>
      <c r="BJ1202" t="s">
        <v>1137</v>
      </c>
      <c r="BK1202" t="s">
        <v>99</v>
      </c>
      <c r="BL1202" t="s">
        <v>1137</v>
      </c>
      <c r="BM1202" t="s">
        <v>31233</v>
      </c>
      <c r="BN1202" t="s">
        <v>74</v>
      </c>
      <c r="BO1202" t="s">
        <v>74</v>
      </c>
      <c r="BP1202" t="s">
        <v>74</v>
      </c>
      <c r="BQ1202" t="s">
        <v>74</v>
      </c>
      <c r="BR1202" t="s">
        <v>102</v>
      </c>
      <c r="BS1202" t="s">
        <v>31232</v>
      </c>
      <c r="BT1202" t="str">
        <f>HYPERLINK("https%3A%2F%2Fwww.webofscience.com%2Fwos%2Fwoscc%2Ffull-record%2FWOS:000756633900001","View Full Record in Web of Science")</f>
        <v>View Full Record in Web of Science</v>
      </c>
    </row>
    <row r="1203" spans="1:72" x14ac:dyDescent="0.25">
      <c r="A1203" t="s">
        <v>72</v>
      </c>
      <c r="B1203" t="s">
        <v>31231</v>
      </c>
      <c r="C1203" t="s">
        <v>74</v>
      </c>
      <c r="D1203" t="s">
        <v>74</v>
      </c>
      <c r="E1203" t="s">
        <v>74</v>
      </c>
      <c r="F1203" t="s">
        <v>31230</v>
      </c>
      <c r="G1203" t="s">
        <v>74</v>
      </c>
      <c r="H1203" t="s">
        <v>74</v>
      </c>
      <c r="I1203" t="s">
        <v>31229</v>
      </c>
      <c r="J1203" t="s">
        <v>6437</v>
      </c>
      <c r="K1203" t="s">
        <v>74</v>
      </c>
      <c r="L1203" t="s">
        <v>74</v>
      </c>
      <c r="M1203" t="s">
        <v>78</v>
      </c>
      <c r="N1203" t="s">
        <v>79</v>
      </c>
      <c r="O1203" t="s">
        <v>74</v>
      </c>
      <c r="P1203" t="s">
        <v>74</v>
      </c>
      <c r="Q1203" t="s">
        <v>74</v>
      </c>
      <c r="R1203" t="s">
        <v>74</v>
      </c>
      <c r="S1203" t="s">
        <v>74</v>
      </c>
      <c r="T1203" t="s">
        <v>31228</v>
      </c>
      <c r="U1203" t="s">
        <v>31227</v>
      </c>
      <c r="V1203" t="s">
        <v>31226</v>
      </c>
      <c r="W1203" t="s">
        <v>31225</v>
      </c>
      <c r="X1203" t="s">
        <v>31224</v>
      </c>
      <c r="Y1203" t="s">
        <v>20590</v>
      </c>
      <c r="Z1203" t="s">
        <v>20589</v>
      </c>
      <c r="AA1203" t="s">
        <v>20588</v>
      </c>
      <c r="AB1203" t="s">
        <v>31223</v>
      </c>
      <c r="AC1203" t="s">
        <v>74</v>
      </c>
      <c r="AD1203" t="s">
        <v>74</v>
      </c>
      <c r="AE1203" t="s">
        <v>74</v>
      </c>
      <c r="AF1203" t="s">
        <v>74</v>
      </c>
      <c r="AG1203">
        <v>50</v>
      </c>
      <c r="AH1203">
        <v>17</v>
      </c>
      <c r="AI1203">
        <v>24</v>
      </c>
      <c r="AJ1203">
        <v>1</v>
      </c>
      <c r="AK1203">
        <v>7</v>
      </c>
      <c r="AL1203" t="s">
        <v>479</v>
      </c>
      <c r="AM1203" t="s">
        <v>480</v>
      </c>
      <c r="AN1203" t="s">
        <v>481</v>
      </c>
      <c r="AO1203" t="s">
        <v>6446</v>
      </c>
      <c r="AP1203" t="s">
        <v>6447</v>
      </c>
      <c r="AQ1203" t="s">
        <v>74</v>
      </c>
      <c r="AR1203" t="s">
        <v>6448</v>
      </c>
      <c r="AS1203" t="s">
        <v>6449</v>
      </c>
      <c r="AT1203" t="s">
        <v>891</v>
      </c>
      <c r="AU1203">
        <v>2021</v>
      </c>
      <c r="AV1203">
        <v>50</v>
      </c>
      <c r="AW1203">
        <v>3</v>
      </c>
      <c r="AX1203" t="s">
        <v>74</v>
      </c>
      <c r="AY1203" t="s">
        <v>74</v>
      </c>
      <c r="AZ1203" t="s">
        <v>74</v>
      </c>
      <c r="BA1203" t="s">
        <v>74</v>
      </c>
      <c r="BB1203" t="s">
        <v>74</v>
      </c>
      <c r="BC1203" t="s">
        <v>74</v>
      </c>
      <c r="BD1203" t="s">
        <v>31222</v>
      </c>
      <c r="BE1203" t="s">
        <v>31221</v>
      </c>
      <c r="BF1203" t="str">
        <f>HYPERLINK("http://dx.doi.org/10.1111/ecno.12186","http://dx.doi.org/10.1111/ecno.12186")</f>
        <v>http://dx.doi.org/10.1111/ecno.12186</v>
      </c>
      <c r="BG1203" t="s">
        <v>74</v>
      </c>
      <c r="BH1203" t="s">
        <v>11242</v>
      </c>
      <c r="BI1203">
        <v>14</v>
      </c>
      <c r="BJ1203" t="s">
        <v>291</v>
      </c>
      <c r="BK1203" t="s">
        <v>313</v>
      </c>
      <c r="BL1203" t="s">
        <v>100</v>
      </c>
      <c r="BM1203" t="s">
        <v>31220</v>
      </c>
      <c r="BN1203" t="s">
        <v>74</v>
      </c>
      <c r="BO1203" t="s">
        <v>74</v>
      </c>
      <c r="BP1203" t="s">
        <v>74</v>
      </c>
      <c r="BQ1203" t="s">
        <v>74</v>
      </c>
      <c r="BR1203" t="s">
        <v>102</v>
      </c>
      <c r="BS1203" t="s">
        <v>31219</v>
      </c>
      <c r="BT1203" t="str">
        <f>HYPERLINK("https%3A%2F%2Fwww.webofscience.com%2Fwos%2Fwoscc%2Ffull-record%2FWOS:000657453100001","View Full Record in Web of Science")</f>
        <v>View Full Record in Web of Science</v>
      </c>
    </row>
    <row r="1204" spans="1:72" x14ac:dyDescent="0.25">
      <c r="A1204" t="s">
        <v>72</v>
      </c>
      <c r="B1204" t="s">
        <v>31218</v>
      </c>
      <c r="C1204" t="s">
        <v>74</v>
      </c>
      <c r="D1204" t="s">
        <v>74</v>
      </c>
      <c r="E1204" t="s">
        <v>74</v>
      </c>
      <c r="F1204" t="s">
        <v>31217</v>
      </c>
      <c r="G1204" t="s">
        <v>74</v>
      </c>
      <c r="H1204" t="s">
        <v>74</v>
      </c>
      <c r="I1204" t="s">
        <v>31216</v>
      </c>
      <c r="J1204" t="s">
        <v>9191</v>
      </c>
      <c r="K1204" t="s">
        <v>74</v>
      </c>
      <c r="L1204" t="s">
        <v>74</v>
      </c>
      <c r="M1204" t="s">
        <v>78</v>
      </c>
      <c r="N1204" t="s">
        <v>1766</v>
      </c>
      <c r="O1204" t="s">
        <v>74</v>
      </c>
      <c r="P1204" t="s">
        <v>74</v>
      </c>
      <c r="Q1204" t="s">
        <v>74</v>
      </c>
      <c r="R1204" t="s">
        <v>74</v>
      </c>
      <c r="S1204" t="s">
        <v>74</v>
      </c>
      <c r="T1204" t="s">
        <v>31215</v>
      </c>
      <c r="U1204" t="s">
        <v>31214</v>
      </c>
      <c r="V1204" t="s">
        <v>31213</v>
      </c>
      <c r="W1204" t="s">
        <v>31212</v>
      </c>
      <c r="X1204" t="s">
        <v>31211</v>
      </c>
      <c r="Y1204" t="s">
        <v>31210</v>
      </c>
      <c r="Z1204" t="s">
        <v>31209</v>
      </c>
      <c r="AA1204" t="s">
        <v>31208</v>
      </c>
      <c r="AB1204" t="s">
        <v>31207</v>
      </c>
      <c r="AC1204" t="s">
        <v>74</v>
      </c>
      <c r="AD1204" t="s">
        <v>74</v>
      </c>
      <c r="AE1204" t="s">
        <v>74</v>
      </c>
      <c r="AF1204" t="s">
        <v>74</v>
      </c>
      <c r="AG1204">
        <v>157</v>
      </c>
      <c r="AH1204">
        <v>57</v>
      </c>
      <c r="AI1204">
        <v>71</v>
      </c>
      <c r="AJ1204">
        <v>10</v>
      </c>
      <c r="AK1204">
        <v>114</v>
      </c>
      <c r="AL1204" t="s">
        <v>9204</v>
      </c>
      <c r="AM1204" t="s">
        <v>2016</v>
      </c>
      <c r="AN1204" t="s">
        <v>9205</v>
      </c>
      <c r="AO1204" t="s">
        <v>74</v>
      </c>
      <c r="AP1204" t="s">
        <v>9206</v>
      </c>
      <c r="AQ1204" t="s">
        <v>74</v>
      </c>
      <c r="AR1204" t="s">
        <v>9191</v>
      </c>
      <c r="AS1204" t="s">
        <v>9207</v>
      </c>
      <c r="AT1204" t="s">
        <v>698</v>
      </c>
      <c r="AU1204">
        <v>2022</v>
      </c>
      <c r="AV1204">
        <v>8</v>
      </c>
      <c r="AW1204">
        <v>9</v>
      </c>
      <c r="AX1204" t="s">
        <v>74</v>
      </c>
      <c r="AY1204" t="s">
        <v>74</v>
      </c>
      <c r="AZ1204" t="s">
        <v>74</v>
      </c>
      <c r="BA1204" t="s">
        <v>74</v>
      </c>
      <c r="BB1204" t="s">
        <v>74</v>
      </c>
      <c r="BC1204" t="s">
        <v>74</v>
      </c>
      <c r="BD1204" t="s">
        <v>31206</v>
      </c>
      <c r="BE1204" t="s">
        <v>31205</v>
      </c>
      <c r="BF1204" t="str">
        <f>HYPERLINK("http://dx.doi.org/10.1016/j.heliyon.2022.e10385","http://dx.doi.org/10.1016/j.heliyon.2022.e10385")</f>
        <v>http://dx.doi.org/10.1016/j.heliyon.2022.e10385</v>
      </c>
      <c r="BG1204" t="s">
        <v>74</v>
      </c>
      <c r="BH1204" t="s">
        <v>2328</v>
      </c>
      <c r="BI1204">
        <v>24</v>
      </c>
      <c r="BJ1204" t="s">
        <v>559</v>
      </c>
      <c r="BK1204" t="s">
        <v>128</v>
      </c>
      <c r="BL1204" t="s">
        <v>560</v>
      </c>
      <c r="BM1204" t="s">
        <v>31204</v>
      </c>
      <c r="BN1204">
        <v>36060472</v>
      </c>
      <c r="BO1204" t="s">
        <v>916</v>
      </c>
      <c r="BP1204" t="s">
        <v>74</v>
      </c>
      <c r="BQ1204" t="s">
        <v>74</v>
      </c>
      <c r="BR1204" t="s">
        <v>102</v>
      </c>
      <c r="BS1204" t="s">
        <v>31203</v>
      </c>
      <c r="BT1204" t="str">
        <f>HYPERLINK("https%3A%2F%2Fwww.webofscience.com%2Fwos%2Fwoscc%2Ffull-record%2FWOS:000863269000003","View Full Record in Web of Science")</f>
        <v>View Full Record in Web of Science</v>
      </c>
    </row>
    <row r="1205" spans="1:72" x14ac:dyDescent="0.25">
      <c r="A1205" t="s">
        <v>72</v>
      </c>
      <c r="B1205" t="s">
        <v>31202</v>
      </c>
      <c r="C1205" t="s">
        <v>74</v>
      </c>
      <c r="D1205" t="s">
        <v>74</v>
      </c>
      <c r="E1205" t="s">
        <v>74</v>
      </c>
      <c r="F1205" t="s">
        <v>31201</v>
      </c>
      <c r="G1205" t="s">
        <v>74</v>
      </c>
      <c r="H1205" t="s">
        <v>74</v>
      </c>
      <c r="I1205" t="s">
        <v>31200</v>
      </c>
      <c r="J1205" t="s">
        <v>3056</v>
      </c>
      <c r="K1205" t="s">
        <v>74</v>
      </c>
      <c r="L1205" t="s">
        <v>74</v>
      </c>
      <c r="M1205" t="s">
        <v>78</v>
      </c>
      <c r="N1205" t="s">
        <v>1766</v>
      </c>
      <c r="O1205" t="s">
        <v>74</v>
      </c>
      <c r="P1205" t="s">
        <v>74</v>
      </c>
      <c r="Q1205" t="s">
        <v>74</v>
      </c>
      <c r="R1205" t="s">
        <v>74</v>
      </c>
      <c r="S1205" t="s">
        <v>74</v>
      </c>
      <c r="T1205" t="s">
        <v>31199</v>
      </c>
      <c r="U1205" t="s">
        <v>74</v>
      </c>
      <c r="V1205" t="s">
        <v>31198</v>
      </c>
      <c r="W1205" t="s">
        <v>31197</v>
      </c>
      <c r="X1205" t="s">
        <v>31196</v>
      </c>
      <c r="Y1205" t="s">
        <v>31195</v>
      </c>
      <c r="Z1205" t="s">
        <v>31194</v>
      </c>
      <c r="AA1205" t="s">
        <v>31193</v>
      </c>
      <c r="AB1205" t="s">
        <v>74</v>
      </c>
      <c r="AC1205" t="s">
        <v>74</v>
      </c>
      <c r="AD1205" t="s">
        <v>74</v>
      </c>
      <c r="AE1205" t="s">
        <v>74</v>
      </c>
      <c r="AF1205" t="s">
        <v>74</v>
      </c>
      <c r="AG1205">
        <v>41</v>
      </c>
      <c r="AH1205">
        <v>2</v>
      </c>
      <c r="AI1205">
        <v>2</v>
      </c>
      <c r="AJ1205">
        <v>0</v>
      </c>
      <c r="AK1205">
        <v>28</v>
      </c>
      <c r="AL1205" t="s">
        <v>3064</v>
      </c>
      <c r="AM1205" t="s">
        <v>3065</v>
      </c>
      <c r="AN1205" t="s">
        <v>3066</v>
      </c>
      <c r="AO1205" t="s">
        <v>3067</v>
      </c>
      <c r="AP1205" t="s">
        <v>3068</v>
      </c>
      <c r="AQ1205" t="s">
        <v>74</v>
      </c>
      <c r="AR1205" t="s">
        <v>3069</v>
      </c>
      <c r="AS1205" t="s">
        <v>3070</v>
      </c>
      <c r="AT1205" t="s">
        <v>363</v>
      </c>
      <c r="AU1205">
        <v>2021</v>
      </c>
      <c r="AV1205">
        <v>17</v>
      </c>
      <c r="AW1205">
        <v>2</v>
      </c>
      <c r="AX1205" t="s">
        <v>74</v>
      </c>
      <c r="AY1205" t="s">
        <v>74</v>
      </c>
      <c r="AZ1205" t="s">
        <v>74</v>
      </c>
      <c r="BA1205" t="s">
        <v>74</v>
      </c>
      <c r="BB1205">
        <v>420</v>
      </c>
      <c r="BC1205">
        <v>431</v>
      </c>
      <c r="BD1205" t="s">
        <v>74</v>
      </c>
      <c r="BE1205" t="s">
        <v>31192</v>
      </c>
      <c r="BF1205" t="str">
        <f>HYPERLINK("http://dx.doi.org/10.35716/IJED/20241","http://dx.doi.org/10.35716/IJED/20241")</f>
        <v>http://dx.doi.org/10.35716/IJED/20241</v>
      </c>
      <c r="BG1205" t="s">
        <v>74</v>
      </c>
      <c r="BH1205" t="s">
        <v>74</v>
      </c>
      <c r="BI1205">
        <v>12</v>
      </c>
      <c r="BJ1205" t="s">
        <v>291</v>
      </c>
      <c r="BK1205" t="s">
        <v>313</v>
      </c>
      <c r="BL1205" t="s">
        <v>100</v>
      </c>
      <c r="BM1205" t="s">
        <v>31191</v>
      </c>
      <c r="BN1205" t="s">
        <v>74</v>
      </c>
      <c r="BO1205" t="s">
        <v>74</v>
      </c>
      <c r="BP1205" t="s">
        <v>74</v>
      </c>
      <c r="BQ1205" t="s">
        <v>74</v>
      </c>
      <c r="BR1205" t="s">
        <v>102</v>
      </c>
      <c r="BS1205" t="s">
        <v>31190</v>
      </c>
      <c r="BT1205" t="str">
        <f>HYPERLINK("https%3A%2F%2Fwww.webofscience.com%2Fwos%2Fwoscc%2Ffull-record%2FWOS:000696027400022","View Full Record in Web of Science")</f>
        <v>View Full Record in Web of Science</v>
      </c>
    </row>
    <row r="1206" spans="1:72" x14ac:dyDescent="0.25">
      <c r="A1206" t="s">
        <v>72</v>
      </c>
      <c r="B1206" t="s">
        <v>31189</v>
      </c>
      <c r="C1206" t="s">
        <v>74</v>
      </c>
      <c r="D1206" t="s">
        <v>74</v>
      </c>
      <c r="E1206" t="s">
        <v>74</v>
      </c>
      <c r="F1206" t="s">
        <v>31188</v>
      </c>
      <c r="G1206" t="s">
        <v>74</v>
      </c>
      <c r="H1206" t="s">
        <v>74</v>
      </c>
      <c r="I1206" t="s">
        <v>31187</v>
      </c>
      <c r="J1206" t="s">
        <v>246</v>
      </c>
      <c r="K1206" t="s">
        <v>74</v>
      </c>
      <c r="L1206" t="s">
        <v>74</v>
      </c>
      <c r="M1206" t="s">
        <v>78</v>
      </c>
      <c r="N1206" t="s">
        <v>79</v>
      </c>
      <c r="O1206" t="s">
        <v>74</v>
      </c>
      <c r="P1206" t="s">
        <v>74</v>
      </c>
      <c r="Q1206" t="s">
        <v>74</v>
      </c>
      <c r="R1206" t="s">
        <v>74</v>
      </c>
      <c r="S1206" t="s">
        <v>74</v>
      </c>
      <c r="T1206" t="s">
        <v>31186</v>
      </c>
      <c r="U1206" t="s">
        <v>74</v>
      </c>
      <c r="V1206" t="s">
        <v>31185</v>
      </c>
      <c r="W1206" t="s">
        <v>31184</v>
      </c>
      <c r="X1206" t="s">
        <v>3162</v>
      </c>
      <c r="Y1206" t="s">
        <v>31183</v>
      </c>
      <c r="Z1206" t="s">
        <v>31182</v>
      </c>
      <c r="AA1206" t="s">
        <v>31181</v>
      </c>
      <c r="AB1206" t="s">
        <v>31180</v>
      </c>
      <c r="AC1206" t="s">
        <v>74</v>
      </c>
      <c r="AD1206" t="s">
        <v>74</v>
      </c>
      <c r="AE1206" t="s">
        <v>74</v>
      </c>
      <c r="AF1206" t="s">
        <v>74</v>
      </c>
      <c r="AG1206">
        <v>15</v>
      </c>
      <c r="AH1206">
        <v>2</v>
      </c>
      <c r="AI1206">
        <v>2</v>
      </c>
      <c r="AJ1206">
        <v>0</v>
      </c>
      <c r="AK1206">
        <v>9</v>
      </c>
      <c r="AL1206" t="s">
        <v>259</v>
      </c>
      <c r="AM1206" t="s">
        <v>260</v>
      </c>
      <c r="AN1206" t="s">
        <v>261</v>
      </c>
      <c r="AO1206" t="s">
        <v>262</v>
      </c>
      <c r="AP1206" t="s">
        <v>263</v>
      </c>
      <c r="AQ1206" t="s">
        <v>74</v>
      </c>
      <c r="AR1206" t="s">
        <v>264</v>
      </c>
      <c r="AS1206" t="s">
        <v>265</v>
      </c>
      <c r="AT1206" t="s">
        <v>848</v>
      </c>
      <c r="AU1206">
        <v>2023</v>
      </c>
      <c r="AV1206">
        <v>55</v>
      </c>
      <c r="AW1206" t="s">
        <v>74</v>
      </c>
      <c r="AX1206" t="s">
        <v>8303</v>
      </c>
      <c r="AY1206" t="s">
        <v>74</v>
      </c>
      <c r="AZ1206" t="s">
        <v>74</v>
      </c>
      <c r="BA1206" t="s">
        <v>74</v>
      </c>
      <c r="BB1206" t="s">
        <v>74</v>
      </c>
      <c r="BC1206" t="s">
        <v>74</v>
      </c>
      <c r="BD1206">
        <v>103956</v>
      </c>
      <c r="BE1206" t="s">
        <v>31179</v>
      </c>
      <c r="BF1206" t="str">
        <f>HYPERLINK("http://dx.doi.org/10.1016/j.frl.2023.103956","http://dx.doi.org/10.1016/j.frl.2023.103956")</f>
        <v>http://dx.doi.org/10.1016/j.frl.2023.103956</v>
      </c>
      <c r="BG1206" t="s">
        <v>74</v>
      </c>
      <c r="BH1206" t="s">
        <v>13995</v>
      </c>
      <c r="BI1206">
        <v>6</v>
      </c>
      <c r="BJ1206" t="s">
        <v>268</v>
      </c>
      <c r="BK1206" t="s">
        <v>99</v>
      </c>
      <c r="BL1206" t="s">
        <v>100</v>
      </c>
      <c r="BM1206" t="s">
        <v>31178</v>
      </c>
      <c r="BN1206" t="s">
        <v>74</v>
      </c>
      <c r="BO1206" t="s">
        <v>270</v>
      </c>
      <c r="BP1206" t="s">
        <v>74</v>
      </c>
      <c r="BQ1206" t="s">
        <v>74</v>
      </c>
      <c r="BR1206" t="s">
        <v>102</v>
      </c>
      <c r="BS1206" t="s">
        <v>31177</v>
      </c>
      <c r="BT1206" t="str">
        <f>HYPERLINK("https%3A%2F%2Fwww.webofscience.com%2Fwos%2Fwoscc%2Ffull-record%2FWOS:001019864400001","View Full Record in Web of Science")</f>
        <v>View Full Record in Web of Science</v>
      </c>
    </row>
    <row r="1207" spans="1:72" x14ac:dyDescent="0.25">
      <c r="A1207" t="s">
        <v>72</v>
      </c>
      <c r="B1207" t="s">
        <v>31176</v>
      </c>
      <c r="C1207" t="s">
        <v>74</v>
      </c>
      <c r="D1207" t="s">
        <v>74</v>
      </c>
      <c r="E1207" t="s">
        <v>74</v>
      </c>
      <c r="F1207" t="s">
        <v>31175</v>
      </c>
      <c r="G1207" t="s">
        <v>74</v>
      </c>
      <c r="H1207" t="s">
        <v>74</v>
      </c>
      <c r="I1207" t="s">
        <v>31174</v>
      </c>
      <c r="J1207" t="s">
        <v>656</v>
      </c>
      <c r="K1207" t="s">
        <v>74</v>
      </c>
      <c r="L1207" t="s">
        <v>74</v>
      </c>
      <c r="M1207" t="s">
        <v>78</v>
      </c>
      <c r="N1207" t="s">
        <v>79</v>
      </c>
      <c r="O1207" t="s">
        <v>74</v>
      </c>
      <c r="P1207" t="s">
        <v>74</v>
      </c>
      <c r="Q1207" t="s">
        <v>74</v>
      </c>
      <c r="R1207" t="s">
        <v>74</v>
      </c>
      <c r="S1207" t="s">
        <v>74</v>
      </c>
      <c r="T1207" t="s">
        <v>31173</v>
      </c>
      <c r="U1207" t="s">
        <v>31172</v>
      </c>
      <c r="V1207" t="s">
        <v>31171</v>
      </c>
      <c r="W1207" t="s">
        <v>31170</v>
      </c>
      <c r="X1207" t="s">
        <v>31169</v>
      </c>
      <c r="Y1207" t="s">
        <v>31168</v>
      </c>
      <c r="Z1207" t="s">
        <v>31167</v>
      </c>
      <c r="AA1207" t="s">
        <v>74</v>
      </c>
      <c r="AB1207" t="s">
        <v>21294</v>
      </c>
      <c r="AC1207" t="s">
        <v>74</v>
      </c>
      <c r="AD1207" t="s">
        <v>74</v>
      </c>
      <c r="AE1207" t="s">
        <v>74</v>
      </c>
      <c r="AF1207" t="s">
        <v>74</v>
      </c>
      <c r="AG1207">
        <v>76</v>
      </c>
      <c r="AH1207">
        <v>87</v>
      </c>
      <c r="AI1207">
        <v>122</v>
      </c>
      <c r="AJ1207">
        <v>1</v>
      </c>
      <c r="AK1207">
        <v>72</v>
      </c>
      <c r="AL1207" t="s">
        <v>666</v>
      </c>
      <c r="AM1207" t="s">
        <v>667</v>
      </c>
      <c r="AN1207" t="s">
        <v>668</v>
      </c>
      <c r="AO1207" t="s">
        <v>669</v>
      </c>
      <c r="AP1207" t="s">
        <v>670</v>
      </c>
      <c r="AQ1207" t="s">
        <v>74</v>
      </c>
      <c r="AR1207" t="s">
        <v>671</v>
      </c>
      <c r="AS1207" t="s">
        <v>672</v>
      </c>
      <c r="AT1207" t="s">
        <v>124</v>
      </c>
      <c r="AU1207">
        <v>2016</v>
      </c>
      <c r="AV1207">
        <v>37</v>
      </c>
      <c r="AW1207">
        <v>4</v>
      </c>
      <c r="AX1207" t="s">
        <v>74</v>
      </c>
      <c r="AY1207" t="s">
        <v>74</v>
      </c>
      <c r="AZ1207" t="s">
        <v>74</v>
      </c>
      <c r="BA1207" t="s">
        <v>74</v>
      </c>
      <c r="BB1207">
        <v>649</v>
      </c>
      <c r="BC1207">
        <v>671</v>
      </c>
      <c r="BD1207" t="s">
        <v>74</v>
      </c>
      <c r="BE1207" t="s">
        <v>31166</v>
      </c>
      <c r="BF1207" t="str">
        <f>HYPERLINK("http://dx.doi.org/10.1007/s10834-015-9475-y","http://dx.doi.org/10.1007/s10834-015-9475-y")</f>
        <v>http://dx.doi.org/10.1007/s10834-015-9475-y</v>
      </c>
      <c r="BG1207" t="s">
        <v>74</v>
      </c>
      <c r="BH1207" t="s">
        <v>74</v>
      </c>
      <c r="BI1207">
        <v>23</v>
      </c>
      <c r="BJ1207" t="s">
        <v>675</v>
      </c>
      <c r="BK1207" t="s">
        <v>99</v>
      </c>
      <c r="BL1207" t="s">
        <v>676</v>
      </c>
      <c r="BM1207" t="s">
        <v>31165</v>
      </c>
      <c r="BN1207" t="s">
        <v>74</v>
      </c>
      <c r="BO1207" t="s">
        <v>74</v>
      </c>
      <c r="BP1207" t="s">
        <v>74</v>
      </c>
      <c r="BQ1207" t="s">
        <v>74</v>
      </c>
      <c r="BR1207" t="s">
        <v>102</v>
      </c>
      <c r="BS1207" t="s">
        <v>31164</v>
      </c>
      <c r="BT1207" t="str">
        <f>HYPERLINK("https%3A%2F%2Fwww.webofscience.com%2Fwos%2Fwoscc%2Ffull-record%2FWOS:000387327700011","View Full Record in Web of Science")</f>
        <v>View Full Record in Web of Science</v>
      </c>
    </row>
    <row r="1208" spans="1:72" x14ac:dyDescent="0.25">
      <c r="A1208" t="s">
        <v>132</v>
      </c>
      <c r="B1208" t="s">
        <v>31163</v>
      </c>
      <c r="C1208" t="s">
        <v>74</v>
      </c>
      <c r="D1208" t="s">
        <v>74</v>
      </c>
      <c r="E1208" t="s">
        <v>771</v>
      </c>
      <c r="F1208" t="s">
        <v>31162</v>
      </c>
      <c r="G1208" t="s">
        <v>74</v>
      </c>
      <c r="H1208" t="s">
        <v>74</v>
      </c>
      <c r="I1208" t="s">
        <v>31161</v>
      </c>
      <c r="J1208" t="s">
        <v>31160</v>
      </c>
      <c r="K1208" t="s">
        <v>74</v>
      </c>
      <c r="L1208" t="s">
        <v>74</v>
      </c>
      <c r="M1208" t="s">
        <v>78</v>
      </c>
      <c r="N1208" t="s">
        <v>138</v>
      </c>
      <c r="O1208" t="s">
        <v>31159</v>
      </c>
      <c r="P1208" t="s">
        <v>31158</v>
      </c>
      <c r="Q1208" t="s">
        <v>31157</v>
      </c>
      <c r="R1208" t="s">
        <v>31156</v>
      </c>
      <c r="S1208" t="s">
        <v>31155</v>
      </c>
      <c r="T1208" t="s">
        <v>31154</v>
      </c>
      <c r="U1208" t="s">
        <v>74</v>
      </c>
      <c r="V1208" t="s">
        <v>31153</v>
      </c>
      <c r="W1208" t="s">
        <v>31152</v>
      </c>
      <c r="X1208" t="s">
        <v>31151</v>
      </c>
      <c r="Y1208" t="s">
        <v>31150</v>
      </c>
      <c r="Z1208" t="s">
        <v>31149</v>
      </c>
      <c r="AA1208" t="s">
        <v>31148</v>
      </c>
      <c r="AB1208" t="s">
        <v>31147</v>
      </c>
      <c r="AC1208" t="s">
        <v>74</v>
      </c>
      <c r="AD1208" t="s">
        <v>74</v>
      </c>
      <c r="AE1208" t="s">
        <v>74</v>
      </c>
      <c r="AF1208" t="s">
        <v>74</v>
      </c>
      <c r="AG1208">
        <v>32</v>
      </c>
      <c r="AH1208">
        <v>0</v>
      </c>
      <c r="AI1208">
        <v>0</v>
      </c>
      <c r="AJ1208">
        <v>0</v>
      </c>
      <c r="AK1208">
        <v>2</v>
      </c>
      <c r="AL1208" t="s">
        <v>771</v>
      </c>
      <c r="AM1208" t="s">
        <v>151</v>
      </c>
      <c r="AN1208" t="s">
        <v>785</v>
      </c>
      <c r="AO1208" t="s">
        <v>74</v>
      </c>
      <c r="AP1208" t="s">
        <v>74</v>
      </c>
      <c r="AQ1208" t="s">
        <v>31146</v>
      </c>
      <c r="AR1208" t="s">
        <v>74</v>
      </c>
      <c r="AS1208" t="s">
        <v>74</v>
      </c>
      <c r="AT1208" t="s">
        <v>74</v>
      </c>
      <c r="AU1208">
        <v>2024</v>
      </c>
      <c r="AV1208" t="s">
        <v>74</v>
      </c>
      <c r="AW1208" t="s">
        <v>74</v>
      </c>
      <c r="AX1208" t="s">
        <v>74</v>
      </c>
      <c r="AY1208" t="s">
        <v>74</v>
      </c>
      <c r="AZ1208" t="s">
        <v>74</v>
      </c>
      <c r="BA1208" t="s">
        <v>74</v>
      </c>
      <c r="BB1208">
        <v>200</v>
      </c>
      <c r="BC1208">
        <v>205</v>
      </c>
      <c r="BD1208" t="s">
        <v>74</v>
      </c>
      <c r="BE1208" t="s">
        <v>31145</v>
      </c>
      <c r="BF1208" t="str">
        <f>HYPERLINK("http://dx.doi.org/10.1109/ICAC61394.2024.10718745","http://dx.doi.org/10.1109/ICAC61394.2024.10718745")</f>
        <v>http://dx.doi.org/10.1109/ICAC61394.2024.10718745</v>
      </c>
      <c r="BG1208" t="s">
        <v>74</v>
      </c>
      <c r="BH1208" t="s">
        <v>74</v>
      </c>
      <c r="BI1208">
        <v>6</v>
      </c>
      <c r="BJ1208" t="s">
        <v>31144</v>
      </c>
      <c r="BK1208" t="s">
        <v>156</v>
      </c>
      <c r="BL1208" t="s">
        <v>28584</v>
      </c>
      <c r="BM1208" t="s">
        <v>31143</v>
      </c>
      <c r="BN1208" t="s">
        <v>74</v>
      </c>
      <c r="BO1208" t="s">
        <v>74</v>
      </c>
      <c r="BP1208" t="s">
        <v>74</v>
      </c>
      <c r="BQ1208" t="s">
        <v>74</v>
      </c>
      <c r="BR1208" t="s">
        <v>102</v>
      </c>
      <c r="BS1208" t="s">
        <v>31142</v>
      </c>
      <c r="BT1208" t="str">
        <f>HYPERLINK("https%3A%2F%2Fwww.webofscience.com%2Fwos%2Fwoscc%2Ffull-record%2FWOS:001349716200038","View Full Record in Web of Science")</f>
        <v>View Full Record in Web of Science</v>
      </c>
    </row>
    <row r="1209" spans="1:72" x14ac:dyDescent="0.25">
      <c r="A1209" t="s">
        <v>72</v>
      </c>
      <c r="B1209" t="s">
        <v>31141</v>
      </c>
      <c r="C1209" t="s">
        <v>74</v>
      </c>
      <c r="D1209" t="s">
        <v>74</v>
      </c>
      <c r="E1209" t="s">
        <v>74</v>
      </c>
      <c r="F1209" t="s">
        <v>31140</v>
      </c>
      <c r="G1209" t="s">
        <v>74</v>
      </c>
      <c r="H1209" t="s">
        <v>74</v>
      </c>
      <c r="I1209" t="s">
        <v>31139</v>
      </c>
      <c r="J1209" t="s">
        <v>1659</v>
      </c>
      <c r="K1209" t="s">
        <v>74</v>
      </c>
      <c r="L1209" t="s">
        <v>74</v>
      </c>
      <c r="M1209" t="s">
        <v>78</v>
      </c>
      <c r="N1209" t="s">
        <v>79</v>
      </c>
      <c r="O1209" t="s">
        <v>74</v>
      </c>
      <c r="P1209" t="s">
        <v>74</v>
      </c>
      <c r="Q1209" t="s">
        <v>74</v>
      </c>
      <c r="R1209" t="s">
        <v>74</v>
      </c>
      <c r="S1209" t="s">
        <v>74</v>
      </c>
      <c r="T1209" t="s">
        <v>31138</v>
      </c>
      <c r="U1209" t="s">
        <v>31137</v>
      </c>
      <c r="V1209" t="s">
        <v>31136</v>
      </c>
      <c r="W1209" t="s">
        <v>31135</v>
      </c>
      <c r="X1209" t="s">
        <v>14610</v>
      </c>
      <c r="Y1209" t="s">
        <v>31134</v>
      </c>
      <c r="Z1209" t="s">
        <v>31133</v>
      </c>
      <c r="AA1209" t="s">
        <v>14613</v>
      </c>
      <c r="AB1209" t="s">
        <v>31132</v>
      </c>
      <c r="AC1209" t="s">
        <v>74</v>
      </c>
      <c r="AD1209" t="s">
        <v>74</v>
      </c>
      <c r="AE1209" t="s">
        <v>74</v>
      </c>
      <c r="AF1209" t="s">
        <v>74</v>
      </c>
      <c r="AG1209">
        <v>45</v>
      </c>
      <c r="AH1209">
        <v>6</v>
      </c>
      <c r="AI1209">
        <v>9</v>
      </c>
      <c r="AJ1209">
        <v>0</v>
      </c>
      <c r="AK1209">
        <v>15</v>
      </c>
      <c r="AL1209" t="s">
        <v>1666</v>
      </c>
      <c r="AM1209" t="s">
        <v>1667</v>
      </c>
      <c r="AN1209" t="s">
        <v>1668</v>
      </c>
      <c r="AO1209" t="s">
        <v>1669</v>
      </c>
      <c r="AP1209" t="s">
        <v>1670</v>
      </c>
      <c r="AQ1209" t="s">
        <v>74</v>
      </c>
      <c r="AR1209" t="s">
        <v>1671</v>
      </c>
      <c r="AS1209" t="s">
        <v>1672</v>
      </c>
      <c r="AT1209" t="s">
        <v>74</v>
      </c>
      <c r="AU1209">
        <v>2021</v>
      </c>
      <c r="AV1209">
        <v>17</v>
      </c>
      <c r="AW1209">
        <v>1</v>
      </c>
      <c r="AX1209" t="s">
        <v>74</v>
      </c>
      <c r="AY1209" t="s">
        <v>74</v>
      </c>
      <c r="AZ1209" t="s">
        <v>74</v>
      </c>
      <c r="BA1209" t="s">
        <v>74</v>
      </c>
      <c r="BB1209">
        <v>276</v>
      </c>
      <c r="BC1209">
        <v>287</v>
      </c>
      <c r="BD1209" t="s">
        <v>74</v>
      </c>
      <c r="BE1209" t="s">
        <v>31131</v>
      </c>
      <c r="BF1209" t="str">
        <f>HYPERLINK("http://dx.doi.org/10.17059/ekon.reg.2021-1-21","http://dx.doi.org/10.17059/ekon.reg.2021-1-21")</f>
        <v>http://dx.doi.org/10.17059/ekon.reg.2021-1-21</v>
      </c>
      <c r="BG1209" t="s">
        <v>74</v>
      </c>
      <c r="BH1209" t="s">
        <v>74</v>
      </c>
      <c r="BI1209">
        <v>12</v>
      </c>
      <c r="BJ1209" t="s">
        <v>1674</v>
      </c>
      <c r="BK1209" t="s">
        <v>313</v>
      </c>
      <c r="BL1209" t="s">
        <v>1674</v>
      </c>
      <c r="BM1209" t="s">
        <v>31130</v>
      </c>
      <c r="BN1209" t="s">
        <v>74</v>
      </c>
      <c r="BO1209" t="s">
        <v>315</v>
      </c>
      <c r="BP1209" t="s">
        <v>74</v>
      </c>
      <c r="BQ1209" t="s">
        <v>74</v>
      </c>
      <c r="BR1209" t="s">
        <v>102</v>
      </c>
      <c r="BS1209" t="s">
        <v>31129</v>
      </c>
      <c r="BT1209" t="str">
        <f>HYPERLINK("https%3A%2F%2Fwww.webofscience.com%2Fwos%2Fwoscc%2Ffull-record%2FWOS:000635677600021","View Full Record in Web of Science")</f>
        <v>View Full Record in Web of Science</v>
      </c>
    </row>
    <row r="1210" spans="1:72" x14ac:dyDescent="0.25">
      <c r="A1210" t="s">
        <v>72</v>
      </c>
      <c r="B1210" t="s">
        <v>31128</v>
      </c>
      <c r="C1210" t="s">
        <v>74</v>
      </c>
      <c r="D1210" t="s">
        <v>74</v>
      </c>
      <c r="E1210" t="s">
        <v>74</v>
      </c>
      <c r="F1210" t="s">
        <v>31127</v>
      </c>
      <c r="G1210" t="s">
        <v>74</v>
      </c>
      <c r="H1210" t="s">
        <v>74</v>
      </c>
      <c r="I1210" t="s">
        <v>31126</v>
      </c>
      <c r="J1210" t="s">
        <v>3332</v>
      </c>
      <c r="K1210" t="s">
        <v>74</v>
      </c>
      <c r="L1210" t="s">
        <v>74</v>
      </c>
      <c r="M1210" t="s">
        <v>78</v>
      </c>
      <c r="N1210" t="s">
        <v>79</v>
      </c>
      <c r="O1210" t="s">
        <v>74</v>
      </c>
      <c r="P1210" t="s">
        <v>74</v>
      </c>
      <c r="Q1210" t="s">
        <v>74</v>
      </c>
      <c r="R1210" t="s">
        <v>74</v>
      </c>
      <c r="S1210" t="s">
        <v>74</v>
      </c>
      <c r="T1210" t="s">
        <v>31125</v>
      </c>
      <c r="U1210" t="s">
        <v>31124</v>
      </c>
      <c r="V1210" t="s">
        <v>31123</v>
      </c>
      <c r="W1210" t="s">
        <v>31122</v>
      </c>
      <c r="X1210" t="s">
        <v>31121</v>
      </c>
      <c r="Y1210" t="s">
        <v>31120</v>
      </c>
      <c r="Z1210" t="s">
        <v>31119</v>
      </c>
      <c r="AA1210" t="s">
        <v>31118</v>
      </c>
      <c r="AB1210" t="s">
        <v>31117</v>
      </c>
      <c r="AC1210" t="s">
        <v>74</v>
      </c>
      <c r="AD1210" t="s">
        <v>74</v>
      </c>
      <c r="AE1210" t="s">
        <v>74</v>
      </c>
      <c r="AF1210" t="s">
        <v>74</v>
      </c>
      <c r="AG1210">
        <v>87</v>
      </c>
      <c r="AH1210">
        <v>2</v>
      </c>
      <c r="AI1210">
        <v>2</v>
      </c>
      <c r="AJ1210">
        <v>4</v>
      </c>
      <c r="AK1210">
        <v>8</v>
      </c>
      <c r="AL1210" t="s">
        <v>89</v>
      </c>
      <c r="AM1210" t="s">
        <v>90</v>
      </c>
      <c r="AN1210" t="s">
        <v>91</v>
      </c>
      <c r="AO1210" t="s">
        <v>3345</v>
      </c>
      <c r="AP1210" t="s">
        <v>3346</v>
      </c>
      <c r="AQ1210" t="s">
        <v>74</v>
      </c>
      <c r="AR1210" t="s">
        <v>3347</v>
      </c>
      <c r="AS1210" t="s">
        <v>3348</v>
      </c>
      <c r="AT1210" t="s">
        <v>3104</v>
      </c>
      <c r="AU1210">
        <v>2025</v>
      </c>
      <c r="AV1210">
        <v>16</v>
      </c>
      <c r="AW1210">
        <v>10</v>
      </c>
      <c r="AX1210" t="s">
        <v>74</v>
      </c>
      <c r="AY1210" t="s">
        <v>74</v>
      </c>
      <c r="AZ1210" t="s">
        <v>74</v>
      </c>
      <c r="BA1210" t="s">
        <v>74</v>
      </c>
      <c r="BB1210">
        <v>3071</v>
      </c>
      <c r="BC1210">
        <v>3091</v>
      </c>
      <c r="BD1210" t="s">
        <v>74</v>
      </c>
      <c r="BE1210" t="s">
        <v>31116</v>
      </c>
      <c r="BF1210" t="str">
        <f>HYPERLINK("http://dx.doi.org/10.1108/JIMA-02-2024-0072","http://dx.doi.org/10.1108/JIMA-02-2024-0072")</f>
        <v>http://dx.doi.org/10.1108/JIMA-02-2024-0072</v>
      </c>
      <c r="BG1210" t="s">
        <v>74</v>
      </c>
      <c r="BH1210" t="s">
        <v>1485</v>
      </c>
      <c r="BI1210">
        <v>21</v>
      </c>
      <c r="BJ1210" t="s">
        <v>418</v>
      </c>
      <c r="BK1210" t="s">
        <v>313</v>
      </c>
      <c r="BL1210" t="s">
        <v>100</v>
      </c>
      <c r="BM1210" t="s">
        <v>31115</v>
      </c>
      <c r="BN1210" t="s">
        <v>74</v>
      </c>
      <c r="BO1210" t="s">
        <v>74</v>
      </c>
      <c r="BP1210" t="s">
        <v>74</v>
      </c>
      <c r="BQ1210" t="s">
        <v>74</v>
      </c>
      <c r="BR1210" t="s">
        <v>102</v>
      </c>
      <c r="BS1210" t="s">
        <v>31114</v>
      </c>
      <c r="BT1210" t="str">
        <f>HYPERLINK("https%3A%2F%2Fwww.webofscience.com%2Fwos%2Fwoscc%2Ffull-record%2FWOS:001471798600001","View Full Record in Web of Science")</f>
        <v>View Full Record in Web of Science</v>
      </c>
    </row>
    <row r="1211" spans="1:72" x14ac:dyDescent="0.25">
      <c r="A1211" t="s">
        <v>72</v>
      </c>
      <c r="B1211" t="s">
        <v>31113</v>
      </c>
      <c r="C1211" t="s">
        <v>74</v>
      </c>
      <c r="D1211" t="s">
        <v>74</v>
      </c>
      <c r="E1211" t="s">
        <v>74</v>
      </c>
      <c r="F1211" t="s">
        <v>31112</v>
      </c>
      <c r="G1211" t="s">
        <v>74</v>
      </c>
      <c r="H1211" t="s">
        <v>74</v>
      </c>
      <c r="I1211" t="s">
        <v>31111</v>
      </c>
      <c r="J1211" t="s">
        <v>3231</v>
      </c>
      <c r="K1211" t="s">
        <v>74</v>
      </c>
      <c r="L1211" t="s">
        <v>74</v>
      </c>
      <c r="M1211" t="s">
        <v>78</v>
      </c>
      <c r="N1211" t="s">
        <v>79</v>
      </c>
      <c r="O1211" t="s">
        <v>74</v>
      </c>
      <c r="P1211" t="s">
        <v>74</v>
      </c>
      <c r="Q1211" t="s">
        <v>74</v>
      </c>
      <c r="R1211" t="s">
        <v>74</v>
      </c>
      <c r="S1211" t="s">
        <v>74</v>
      </c>
      <c r="T1211" t="s">
        <v>31110</v>
      </c>
      <c r="U1211" t="s">
        <v>31109</v>
      </c>
      <c r="V1211" t="s">
        <v>31108</v>
      </c>
      <c r="W1211" t="s">
        <v>31107</v>
      </c>
      <c r="X1211" t="s">
        <v>31106</v>
      </c>
      <c r="Y1211" t="s">
        <v>31105</v>
      </c>
      <c r="Z1211" t="s">
        <v>31104</v>
      </c>
      <c r="AA1211" t="s">
        <v>31103</v>
      </c>
      <c r="AB1211" t="s">
        <v>31102</v>
      </c>
      <c r="AC1211" t="s">
        <v>31101</v>
      </c>
      <c r="AD1211" t="s">
        <v>31101</v>
      </c>
      <c r="AE1211" t="s">
        <v>31100</v>
      </c>
      <c r="AF1211" t="s">
        <v>74</v>
      </c>
      <c r="AG1211">
        <v>101</v>
      </c>
      <c r="AH1211">
        <v>5</v>
      </c>
      <c r="AI1211">
        <v>9</v>
      </c>
      <c r="AJ1211">
        <v>3</v>
      </c>
      <c r="AK1211">
        <v>55</v>
      </c>
      <c r="AL1211" t="s">
        <v>575</v>
      </c>
      <c r="AM1211" t="s">
        <v>576</v>
      </c>
      <c r="AN1211" t="s">
        <v>577</v>
      </c>
      <c r="AO1211" t="s">
        <v>74</v>
      </c>
      <c r="AP1211" t="s">
        <v>3243</v>
      </c>
      <c r="AQ1211" t="s">
        <v>74</v>
      </c>
      <c r="AR1211" t="s">
        <v>3244</v>
      </c>
      <c r="AS1211" t="s">
        <v>3245</v>
      </c>
      <c r="AT1211" t="s">
        <v>1159</v>
      </c>
      <c r="AU1211">
        <v>2023</v>
      </c>
      <c r="AV1211">
        <v>15</v>
      </c>
      <c r="AW1211">
        <v>20</v>
      </c>
      <c r="AX1211" t="s">
        <v>74</v>
      </c>
      <c r="AY1211" t="s">
        <v>74</v>
      </c>
      <c r="AZ1211" t="s">
        <v>74</v>
      </c>
      <c r="BA1211" t="s">
        <v>74</v>
      </c>
      <c r="BB1211" t="s">
        <v>74</v>
      </c>
      <c r="BC1211" t="s">
        <v>74</v>
      </c>
      <c r="BD1211">
        <v>14854</v>
      </c>
      <c r="BE1211" t="s">
        <v>31099</v>
      </c>
      <c r="BF1211" t="str">
        <f>HYPERLINK("http://dx.doi.org/10.3390/su152014854","http://dx.doi.org/10.3390/su152014854")</f>
        <v>http://dx.doi.org/10.3390/su152014854</v>
      </c>
      <c r="BG1211" t="s">
        <v>74</v>
      </c>
      <c r="BH1211" t="s">
        <v>74</v>
      </c>
      <c r="BI1211">
        <v>21</v>
      </c>
      <c r="BJ1211" t="s">
        <v>3247</v>
      </c>
      <c r="BK1211" t="s">
        <v>2623</v>
      </c>
      <c r="BL1211" t="s">
        <v>3248</v>
      </c>
      <c r="BM1211" t="s">
        <v>31098</v>
      </c>
      <c r="BN1211" t="s">
        <v>74</v>
      </c>
      <c r="BO1211" t="s">
        <v>212</v>
      </c>
      <c r="BP1211" t="s">
        <v>74</v>
      </c>
      <c r="BQ1211" t="s">
        <v>74</v>
      </c>
      <c r="BR1211" t="s">
        <v>102</v>
      </c>
      <c r="BS1211" t="s">
        <v>31097</v>
      </c>
      <c r="BT1211" t="str">
        <f>HYPERLINK("https%3A%2F%2Fwww.webofscience.com%2Fwos%2Fwoscc%2Ffull-record%2FWOS:001093742900001","View Full Record in Web of Science")</f>
        <v>View Full Record in Web of Science</v>
      </c>
    </row>
    <row r="1212" spans="1:72" x14ac:dyDescent="0.25">
      <c r="A1212" t="s">
        <v>72</v>
      </c>
      <c r="B1212" t="s">
        <v>31096</v>
      </c>
      <c r="C1212" t="s">
        <v>74</v>
      </c>
      <c r="D1212" t="s">
        <v>74</v>
      </c>
      <c r="E1212" t="s">
        <v>74</v>
      </c>
      <c r="F1212" t="s">
        <v>31095</v>
      </c>
      <c r="G1212" t="s">
        <v>74</v>
      </c>
      <c r="H1212" t="s">
        <v>74</v>
      </c>
      <c r="I1212" t="s">
        <v>31094</v>
      </c>
      <c r="J1212" t="s">
        <v>1987</v>
      </c>
      <c r="K1212" t="s">
        <v>74</v>
      </c>
      <c r="L1212" t="s">
        <v>74</v>
      </c>
      <c r="M1212" t="s">
        <v>78</v>
      </c>
      <c r="N1212" t="s">
        <v>79</v>
      </c>
      <c r="O1212" t="s">
        <v>74</v>
      </c>
      <c r="P1212" t="s">
        <v>74</v>
      </c>
      <c r="Q1212" t="s">
        <v>74</v>
      </c>
      <c r="R1212" t="s">
        <v>74</v>
      </c>
      <c r="S1212" t="s">
        <v>74</v>
      </c>
      <c r="T1212" t="s">
        <v>31093</v>
      </c>
      <c r="U1212" t="s">
        <v>31092</v>
      </c>
      <c r="V1212" t="s">
        <v>31091</v>
      </c>
      <c r="W1212" t="s">
        <v>31090</v>
      </c>
      <c r="X1212" t="s">
        <v>31089</v>
      </c>
      <c r="Y1212" t="s">
        <v>31088</v>
      </c>
      <c r="Z1212" t="s">
        <v>31087</v>
      </c>
      <c r="AA1212" t="s">
        <v>31086</v>
      </c>
      <c r="AB1212" t="s">
        <v>31085</v>
      </c>
      <c r="AC1212" t="s">
        <v>31084</v>
      </c>
      <c r="AD1212" t="s">
        <v>31083</v>
      </c>
      <c r="AE1212" t="s">
        <v>31082</v>
      </c>
      <c r="AF1212" t="s">
        <v>74</v>
      </c>
      <c r="AG1212">
        <v>24</v>
      </c>
      <c r="AH1212">
        <v>1</v>
      </c>
      <c r="AI1212">
        <v>1</v>
      </c>
      <c r="AJ1212">
        <v>6</v>
      </c>
      <c r="AK1212">
        <v>6</v>
      </c>
      <c r="AL1212" t="s">
        <v>479</v>
      </c>
      <c r="AM1212" t="s">
        <v>480</v>
      </c>
      <c r="AN1212" t="s">
        <v>481</v>
      </c>
      <c r="AO1212" t="s">
        <v>1997</v>
      </c>
      <c r="AP1212" t="s">
        <v>1998</v>
      </c>
      <c r="AQ1212" t="s">
        <v>74</v>
      </c>
      <c r="AR1212" t="s">
        <v>1999</v>
      </c>
      <c r="AS1212" t="s">
        <v>2000</v>
      </c>
      <c r="AT1212" t="s">
        <v>848</v>
      </c>
      <c r="AU1212">
        <v>2025</v>
      </c>
      <c r="AV1212">
        <v>37</v>
      </c>
      <c r="AW1212">
        <v>5</v>
      </c>
      <c r="AX1212" t="s">
        <v>74</v>
      </c>
      <c r="AY1212" t="s">
        <v>74</v>
      </c>
      <c r="AZ1212" t="s">
        <v>74</v>
      </c>
      <c r="BA1212" t="s">
        <v>74</v>
      </c>
      <c r="BB1212">
        <v>1055</v>
      </c>
      <c r="BC1212">
        <v>1069</v>
      </c>
      <c r="BD1212" t="s">
        <v>74</v>
      </c>
      <c r="BE1212" t="s">
        <v>31081</v>
      </c>
      <c r="BF1212" t="str">
        <f>HYPERLINK("http://dx.doi.org/10.1002/jid.4001","http://dx.doi.org/10.1002/jid.4001")</f>
        <v>http://dx.doi.org/10.1002/jid.4001</v>
      </c>
      <c r="BG1212" t="s">
        <v>74</v>
      </c>
      <c r="BH1212" t="s">
        <v>1485</v>
      </c>
      <c r="BI1212">
        <v>15</v>
      </c>
      <c r="BJ1212" t="s">
        <v>1137</v>
      </c>
      <c r="BK1212" t="s">
        <v>99</v>
      </c>
      <c r="BL1212" t="s">
        <v>1137</v>
      </c>
      <c r="BM1212" t="s">
        <v>31080</v>
      </c>
      <c r="BN1212" t="s">
        <v>74</v>
      </c>
      <c r="BO1212" t="s">
        <v>74</v>
      </c>
      <c r="BP1212" t="s">
        <v>74</v>
      </c>
      <c r="BQ1212" t="s">
        <v>74</v>
      </c>
      <c r="BR1212" t="s">
        <v>102</v>
      </c>
      <c r="BS1212" t="s">
        <v>31079</v>
      </c>
      <c r="BT1212" t="str">
        <f>HYPERLINK("https%3A%2F%2Fwww.webofscience.com%2Fwos%2Fwoscc%2Ffull-record%2FWOS:001472722400001","View Full Record in Web of Science")</f>
        <v>View Full Record in Web of Science</v>
      </c>
    </row>
    <row r="1213" spans="1:72" x14ac:dyDescent="0.25">
      <c r="A1213" t="s">
        <v>72</v>
      </c>
      <c r="B1213" t="s">
        <v>31078</v>
      </c>
      <c r="C1213" t="s">
        <v>74</v>
      </c>
      <c r="D1213" t="s">
        <v>74</v>
      </c>
      <c r="E1213" t="s">
        <v>74</v>
      </c>
      <c r="F1213" t="s">
        <v>31077</v>
      </c>
      <c r="G1213" t="s">
        <v>74</v>
      </c>
      <c r="H1213" t="s">
        <v>74</v>
      </c>
      <c r="I1213" t="s">
        <v>31076</v>
      </c>
      <c r="J1213" t="s">
        <v>9191</v>
      </c>
      <c r="K1213" t="s">
        <v>74</v>
      </c>
      <c r="L1213" t="s">
        <v>74</v>
      </c>
      <c r="M1213" t="s">
        <v>78</v>
      </c>
      <c r="N1213" t="s">
        <v>1766</v>
      </c>
      <c r="O1213" t="s">
        <v>74</v>
      </c>
      <c r="P1213" t="s">
        <v>74</v>
      </c>
      <c r="Q1213" t="s">
        <v>74</v>
      </c>
      <c r="R1213" t="s">
        <v>74</v>
      </c>
      <c r="S1213" t="s">
        <v>74</v>
      </c>
      <c r="T1213" t="s">
        <v>31075</v>
      </c>
      <c r="U1213" t="s">
        <v>31074</v>
      </c>
      <c r="V1213" t="s">
        <v>31073</v>
      </c>
      <c r="W1213" t="s">
        <v>31072</v>
      </c>
      <c r="X1213" t="s">
        <v>31071</v>
      </c>
      <c r="Y1213" t="s">
        <v>31070</v>
      </c>
      <c r="Z1213" t="s">
        <v>31069</v>
      </c>
      <c r="AA1213" t="s">
        <v>31068</v>
      </c>
      <c r="AB1213" t="s">
        <v>74</v>
      </c>
      <c r="AC1213" t="s">
        <v>31067</v>
      </c>
      <c r="AD1213" t="s">
        <v>31067</v>
      </c>
      <c r="AE1213" t="s">
        <v>31066</v>
      </c>
      <c r="AF1213" t="s">
        <v>74</v>
      </c>
      <c r="AG1213">
        <v>94</v>
      </c>
      <c r="AH1213">
        <v>9</v>
      </c>
      <c r="AI1213">
        <v>17</v>
      </c>
      <c r="AJ1213">
        <v>4</v>
      </c>
      <c r="AK1213">
        <v>39</v>
      </c>
      <c r="AL1213" t="s">
        <v>9204</v>
      </c>
      <c r="AM1213" t="s">
        <v>2016</v>
      </c>
      <c r="AN1213" t="s">
        <v>9205</v>
      </c>
      <c r="AO1213" t="s">
        <v>74</v>
      </c>
      <c r="AP1213" t="s">
        <v>9206</v>
      </c>
      <c r="AQ1213" t="s">
        <v>74</v>
      </c>
      <c r="AR1213" t="s">
        <v>9191</v>
      </c>
      <c r="AS1213" t="s">
        <v>9207</v>
      </c>
      <c r="AT1213" t="s">
        <v>124</v>
      </c>
      <c r="AU1213">
        <v>2023</v>
      </c>
      <c r="AV1213">
        <v>9</v>
      </c>
      <c r="AW1213">
        <v>12</v>
      </c>
      <c r="AX1213" t="s">
        <v>74</v>
      </c>
      <c r="AY1213" t="s">
        <v>74</v>
      </c>
      <c r="AZ1213" t="s">
        <v>74</v>
      </c>
      <c r="BA1213" t="s">
        <v>74</v>
      </c>
      <c r="BB1213" t="s">
        <v>74</v>
      </c>
      <c r="BC1213" t="s">
        <v>74</v>
      </c>
      <c r="BD1213" t="s">
        <v>31065</v>
      </c>
      <c r="BE1213" t="s">
        <v>31064</v>
      </c>
      <c r="BF1213" t="str">
        <f>HYPERLINK("http://dx.doi.org/10.1016/j.heliyon.2023.e21379","http://dx.doi.org/10.1016/j.heliyon.2023.e21379")</f>
        <v>http://dx.doi.org/10.1016/j.heliyon.2023.e21379</v>
      </c>
      <c r="BG1213" t="s">
        <v>74</v>
      </c>
      <c r="BH1213" t="s">
        <v>1524</v>
      </c>
      <c r="BI1213">
        <v>17</v>
      </c>
      <c r="BJ1213" t="s">
        <v>559</v>
      </c>
      <c r="BK1213" t="s">
        <v>128</v>
      </c>
      <c r="BL1213" t="s">
        <v>560</v>
      </c>
      <c r="BM1213" t="s">
        <v>31063</v>
      </c>
      <c r="BN1213">
        <v>38144274</v>
      </c>
      <c r="BO1213" t="s">
        <v>916</v>
      </c>
      <c r="BP1213" t="s">
        <v>74</v>
      </c>
      <c r="BQ1213" t="s">
        <v>74</v>
      </c>
      <c r="BR1213" t="s">
        <v>102</v>
      </c>
      <c r="BS1213" t="s">
        <v>31062</v>
      </c>
      <c r="BT1213" t="str">
        <f>HYPERLINK("https%3A%2F%2Fwww.webofscience.com%2Fwos%2Fwoscc%2Ffull-record%2FWOS:001130354700001","View Full Record in Web of Science")</f>
        <v>View Full Record in Web of Science</v>
      </c>
    </row>
    <row r="1214" spans="1:72" x14ac:dyDescent="0.25">
      <c r="A1214" t="s">
        <v>72</v>
      </c>
      <c r="B1214" t="s">
        <v>31061</v>
      </c>
      <c r="C1214" t="s">
        <v>74</v>
      </c>
      <c r="D1214" t="s">
        <v>74</v>
      </c>
      <c r="E1214" t="s">
        <v>74</v>
      </c>
      <c r="F1214" t="s">
        <v>31060</v>
      </c>
      <c r="G1214" t="s">
        <v>74</v>
      </c>
      <c r="H1214" t="s">
        <v>74</v>
      </c>
      <c r="I1214" t="s">
        <v>31059</v>
      </c>
      <c r="J1214" t="s">
        <v>31058</v>
      </c>
      <c r="K1214" t="s">
        <v>74</v>
      </c>
      <c r="L1214" t="s">
        <v>74</v>
      </c>
      <c r="M1214" t="s">
        <v>78</v>
      </c>
      <c r="N1214" t="s">
        <v>79</v>
      </c>
      <c r="O1214" t="s">
        <v>74</v>
      </c>
      <c r="P1214" t="s">
        <v>74</v>
      </c>
      <c r="Q1214" t="s">
        <v>74</v>
      </c>
      <c r="R1214" t="s">
        <v>74</v>
      </c>
      <c r="S1214" t="s">
        <v>74</v>
      </c>
      <c r="T1214" t="s">
        <v>31057</v>
      </c>
      <c r="U1214" t="s">
        <v>31056</v>
      </c>
      <c r="V1214" t="s">
        <v>31055</v>
      </c>
      <c r="W1214" t="s">
        <v>31054</v>
      </c>
      <c r="X1214" t="s">
        <v>31053</v>
      </c>
      <c r="Y1214" t="s">
        <v>31052</v>
      </c>
      <c r="Z1214" t="s">
        <v>31051</v>
      </c>
      <c r="AA1214" t="s">
        <v>31050</v>
      </c>
      <c r="AB1214" t="s">
        <v>74</v>
      </c>
      <c r="AC1214" t="s">
        <v>31049</v>
      </c>
      <c r="AD1214" t="s">
        <v>31048</v>
      </c>
      <c r="AE1214" t="s">
        <v>31047</v>
      </c>
      <c r="AF1214" t="s">
        <v>74</v>
      </c>
      <c r="AG1214">
        <v>76</v>
      </c>
      <c r="AH1214">
        <v>7</v>
      </c>
      <c r="AI1214">
        <v>10</v>
      </c>
      <c r="AJ1214">
        <v>1</v>
      </c>
      <c r="AK1214">
        <v>31</v>
      </c>
      <c r="AL1214" t="s">
        <v>757</v>
      </c>
      <c r="AM1214" t="s">
        <v>758</v>
      </c>
      <c r="AN1214" t="s">
        <v>759</v>
      </c>
      <c r="AO1214" t="s">
        <v>31046</v>
      </c>
      <c r="AP1214" t="s">
        <v>31045</v>
      </c>
      <c r="AQ1214" t="s">
        <v>74</v>
      </c>
      <c r="AR1214" t="s">
        <v>31044</v>
      </c>
      <c r="AS1214" t="s">
        <v>31043</v>
      </c>
      <c r="AT1214" t="s">
        <v>743</v>
      </c>
      <c r="AU1214">
        <v>2019</v>
      </c>
      <c r="AV1214">
        <v>58</v>
      </c>
      <c r="AW1214">
        <v>4</v>
      </c>
      <c r="AX1214" t="s">
        <v>74</v>
      </c>
      <c r="AY1214" t="s">
        <v>74</v>
      </c>
      <c r="AZ1214" t="s">
        <v>74</v>
      </c>
      <c r="BA1214" t="s">
        <v>74</v>
      </c>
      <c r="BB1214">
        <v>841</v>
      </c>
      <c r="BC1214">
        <v>882</v>
      </c>
      <c r="BD1214" t="s">
        <v>74</v>
      </c>
      <c r="BE1214" t="s">
        <v>31042</v>
      </c>
      <c r="BF1214" t="str">
        <f>HYPERLINK("http://dx.doi.org/10.1177/0007650317701227","http://dx.doi.org/10.1177/0007650317701227")</f>
        <v>http://dx.doi.org/10.1177/0007650317701227</v>
      </c>
      <c r="BG1214" t="s">
        <v>74</v>
      </c>
      <c r="BH1214" t="s">
        <v>74</v>
      </c>
      <c r="BI1214">
        <v>42</v>
      </c>
      <c r="BJ1214" t="s">
        <v>418</v>
      </c>
      <c r="BK1214" t="s">
        <v>99</v>
      </c>
      <c r="BL1214" t="s">
        <v>100</v>
      </c>
      <c r="BM1214" t="s">
        <v>31041</v>
      </c>
      <c r="BN1214" t="s">
        <v>74</v>
      </c>
      <c r="BO1214" t="s">
        <v>2734</v>
      </c>
      <c r="BP1214" t="s">
        <v>74</v>
      </c>
      <c r="BQ1214" t="s">
        <v>74</v>
      </c>
      <c r="BR1214" t="s">
        <v>102</v>
      </c>
      <c r="BS1214" t="s">
        <v>31040</v>
      </c>
      <c r="BT1214" t="str">
        <f>HYPERLINK("https%3A%2F%2Fwww.webofscience.com%2Fwos%2Fwoscc%2Ffull-record%2FWOS:000458884500006","View Full Record in Web of Science")</f>
        <v>View Full Record in Web of Science</v>
      </c>
    </row>
    <row r="1215" spans="1:72" x14ac:dyDescent="0.25">
      <c r="A1215" t="s">
        <v>72</v>
      </c>
      <c r="B1215" t="s">
        <v>31039</v>
      </c>
      <c r="C1215" t="s">
        <v>74</v>
      </c>
      <c r="D1215" t="s">
        <v>74</v>
      </c>
      <c r="E1215" t="s">
        <v>74</v>
      </c>
      <c r="F1215" t="s">
        <v>31038</v>
      </c>
      <c r="G1215" t="s">
        <v>74</v>
      </c>
      <c r="H1215" t="s">
        <v>74</v>
      </c>
      <c r="I1215" t="s">
        <v>31037</v>
      </c>
      <c r="J1215" t="s">
        <v>19892</v>
      </c>
      <c r="K1215" t="s">
        <v>74</v>
      </c>
      <c r="L1215" t="s">
        <v>74</v>
      </c>
      <c r="M1215" t="s">
        <v>78</v>
      </c>
      <c r="N1215" t="s">
        <v>79</v>
      </c>
      <c r="O1215" t="s">
        <v>74</v>
      </c>
      <c r="P1215" t="s">
        <v>74</v>
      </c>
      <c r="Q1215" t="s">
        <v>74</v>
      </c>
      <c r="R1215" t="s">
        <v>74</v>
      </c>
      <c r="S1215" t="s">
        <v>74</v>
      </c>
      <c r="T1215" t="s">
        <v>31036</v>
      </c>
      <c r="U1215" t="s">
        <v>31035</v>
      </c>
      <c r="V1215" t="s">
        <v>31034</v>
      </c>
      <c r="W1215" t="s">
        <v>31033</v>
      </c>
      <c r="X1215" t="s">
        <v>31032</v>
      </c>
      <c r="Y1215" t="s">
        <v>31031</v>
      </c>
      <c r="Z1215" t="s">
        <v>31030</v>
      </c>
      <c r="AA1215" t="s">
        <v>74</v>
      </c>
      <c r="AB1215" t="s">
        <v>31029</v>
      </c>
      <c r="AC1215" t="s">
        <v>31028</v>
      </c>
      <c r="AD1215" t="s">
        <v>31028</v>
      </c>
      <c r="AE1215" t="s">
        <v>31027</v>
      </c>
      <c r="AF1215" t="s">
        <v>74</v>
      </c>
      <c r="AG1215">
        <v>21</v>
      </c>
      <c r="AH1215">
        <v>4</v>
      </c>
      <c r="AI1215">
        <v>7</v>
      </c>
      <c r="AJ1215">
        <v>0</v>
      </c>
      <c r="AK1215">
        <v>11</v>
      </c>
      <c r="AL1215" t="s">
        <v>332</v>
      </c>
      <c r="AM1215" t="s">
        <v>333</v>
      </c>
      <c r="AN1215" t="s">
        <v>334</v>
      </c>
      <c r="AO1215" t="s">
        <v>19881</v>
      </c>
      <c r="AP1215" t="s">
        <v>19880</v>
      </c>
      <c r="AQ1215" t="s">
        <v>74</v>
      </c>
      <c r="AR1215" t="s">
        <v>19879</v>
      </c>
      <c r="AS1215" t="s">
        <v>19878</v>
      </c>
      <c r="AT1215" t="s">
        <v>74</v>
      </c>
      <c r="AU1215">
        <v>2017</v>
      </c>
      <c r="AV1215">
        <v>9</v>
      </c>
      <c r="AW1215">
        <v>4</v>
      </c>
      <c r="AX1215" t="s">
        <v>74</v>
      </c>
      <c r="AY1215" t="s">
        <v>74</v>
      </c>
      <c r="AZ1215" t="s">
        <v>74</v>
      </c>
      <c r="BA1215" t="s">
        <v>74</v>
      </c>
      <c r="BB1215">
        <v>443</v>
      </c>
      <c r="BC1215">
        <v>461</v>
      </c>
      <c r="BD1215" t="s">
        <v>74</v>
      </c>
      <c r="BE1215" t="s">
        <v>31026</v>
      </c>
      <c r="BF1215" t="str">
        <f>HYPERLINK("http://dx.doi.org/10.1080/19439342.2017.1363802","http://dx.doi.org/10.1080/19439342.2017.1363802")</f>
        <v>http://dx.doi.org/10.1080/19439342.2017.1363802</v>
      </c>
      <c r="BG1215" t="s">
        <v>74</v>
      </c>
      <c r="BH1215" t="s">
        <v>74</v>
      </c>
      <c r="BI1215">
        <v>19</v>
      </c>
      <c r="BJ1215" t="s">
        <v>1137</v>
      </c>
      <c r="BK1215" t="s">
        <v>99</v>
      </c>
      <c r="BL1215" t="s">
        <v>1137</v>
      </c>
      <c r="BM1215" t="s">
        <v>31025</v>
      </c>
      <c r="BN1215" t="s">
        <v>74</v>
      </c>
      <c r="BO1215" t="s">
        <v>74</v>
      </c>
      <c r="BP1215" t="s">
        <v>74</v>
      </c>
      <c r="BQ1215" t="s">
        <v>74</v>
      </c>
      <c r="BR1215" t="s">
        <v>102</v>
      </c>
      <c r="BS1215" t="s">
        <v>31024</v>
      </c>
      <c r="BT1215" t="str">
        <f>HYPERLINK("https%3A%2F%2Fwww.webofscience.com%2Fwos%2Fwoscc%2Ffull-record%2FWOS:000417488800003","View Full Record in Web of Science")</f>
        <v>View Full Record in Web of Science</v>
      </c>
    </row>
    <row r="1216" spans="1:72" x14ac:dyDescent="0.25">
      <c r="A1216" t="s">
        <v>72</v>
      </c>
      <c r="B1216" t="s">
        <v>31023</v>
      </c>
      <c r="C1216" t="s">
        <v>74</v>
      </c>
      <c r="D1216" t="s">
        <v>74</v>
      </c>
      <c r="E1216" t="s">
        <v>74</v>
      </c>
      <c r="F1216" t="s">
        <v>31022</v>
      </c>
      <c r="G1216" t="s">
        <v>74</v>
      </c>
      <c r="H1216" t="s">
        <v>74</v>
      </c>
      <c r="I1216" t="s">
        <v>31021</v>
      </c>
      <c r="J1216" t="s">
        <v>31020</v>
      </c>
      <c r="K1216" t="s">
        <v>74</v>
      </c>
      <c r="L1216" t="s">
        <v>74</v>
      </c>
      <c r="M1216" t="s">
        <v>78</v>
      </c>
      <c r="N1216" t="s">
        <v>79</v>
      </c>
      <c r="O1216" t="s">
        <v>74</v>
      </c>
      <c r="P1216" t="s">
        <v>74</v>
      </c>
      <c r="Q1216" t="s">
        <v>74</v>
      </c>
      <c r="R1216" t="s">
        <v>74</v>
      </c>
      <c r="S1216" t="s">
        <v>74</v>
      </c>
      <c r="T1216" t="s">
        <v>31019</v>
      </c>
      <c r="U1216" t="s">
        <v>74</v>
      </c>
      <c r="V1216" t="s">
        <v>31018</v>
      </c>
      <c r="W1216" t="s">
        <v>31017</v>
      </c>
      <c r="X1216" t="s">
        <v>29390</v>
      </c>
      <c r="Y1216" t="s">
        <v>31016</v>
      </c>
      <c r="Z1216" t="s">
        <v>31015</v>
      </c>
      <c r="AA1216" t="s">
        <v>31014</v>
      </c>
      <c r="AB1216" t="s">
        <v>31013</v>
      </c>
      <c r="AC1216" t="s">
        <v>31012</v>
      </c>
      <c r="AD1216" t="s">
        <v>31011</v>
      </c>
      <c r="AE1216" t="s">
        <v>31010</v>
      </c>
      <c r="AF1216" t="s">
        <v>74</v>
      </c>
      <c r="AG1216">
        <v>27</v>
      </c>
      <c r="AH1216">
        <v>7</v>
      </c>
      <c r="AI1216">
        <v>9</v>
      </c>
      <c r="AJ1216">
        <v>1</v>
      </c>
      <c r="AK1216">
        <v>22</v>
      </c>
      <c r="AL1216" t="s">
        <v>89</v>
      </c>
      <c r="AM1216" t="s">
        <v>1497</v>
      </c>
      <c r="AN1216" t="s">
        <v>1498</v>
      </c>
      <c r="AO1216" t="s">
        <v>31009</v>
      </c>
      <c r="AP1216" t="s">
        <v>31008</v>
      </c>
      <c r="AQ1216" t="s">
        <v>74</v>
      </c>
      <c r="AR1216" t="s">
        <v>31007</v>
      </c>
      <c r="AS1216" t="s">
        <v>31006</v>
      </c>
      <c r="AT1216" t="s">
        <v>14805</v>
      </c>
      <c r="AU1216">
        <v>2020</v>
      </c>
      <c r="AV1216">
        <v>33</v>
      </c>
      <c r="AW1216">
        <v>2</v>
      </c>
      <c r="AX1216" t="s">
        <v>74</v>
      </c>
      <c r="AY1216" t="s">
        <v>74</v>
      </c>
      <c r="AZ1216" t="s">
        <v>74</v>
      </c>
      <c r="BA1216" t="s">
        <v>74</v>
      </c>
      <c r="BB1216">
        <v>261</v>
      </c>
      <c r="BC1216">
        <v>276</v>
      </c>
      <c r="BD1216" t="s">
        <v>74</v>
      </c>
      <c r="BE1216" t="s">
        <v>31005</v>
      </c>
      <c r="BF1216" t="str">
        <f>HYPERLINK("http://dx.doi.org/10.1108/ARLA-12-2018-0287","http://dx.doi.org/10.1108/ARLA-12-2018-0287")</f>
        <v>http://dx.doi.org/10.1108/ARLA-12-2018-0287</v>
      </c>
      <c r="BG1216" t="s">
        <v>74</v>
      </c>
      <c r="BH1216" t="s">
        <v>341</v>
      </c>
      <c r="BI1216">
        <v>16</v>
      </c>
      <c r="BJ1216" t="s">
        <v>98</v>
      </c>
      <c r="BK1216" t="s">
        <v>99</v>
      </c>
      <c r="BL1216" t="s">
        <v>100</v>
      </c>
      <c r="BM1216" t="s">
        <v>31004</v>
      </c>
      <c r="BN1216" t="s">
        <v>74</v>
      </c>
      <c r="BO1216" t="s">
        <v>74</v>
      </c>
      <c r="BP1216" t="s">
        <v>74</v>
      </c>
      <c r="BQ1216" t="s">
        <v>74</v>
      </c>
      <c r="BR1216" t="s">
        <v>102</v>
      </c>
      <c r="BS1216" t="s">
        <v>31003</v>
      </c>
      <c r="BT1216" t="str">
        <f>HYPERLINK("https%3A%2F%2Fwww.webofscience.com%2Fwos%2Fwoscc%2Ffull-record%2FWOS:000538525800001","View Full Record in Web of Science")</f>
        <v>View Full Record in Web of Science</v>
      </c>
    </row>
    <row r="1217" spans="1:72" x14ac:dyDescent="0.25">
      <c r="A1217" t="s">
        <v>72</v>
      </c>
      <c r="B1217" t="s">
        <v>31002</v>
      </c>
      <c r="C1217" t="s">
        <v>74</v>
      </c>
      <c r="D1217" t="s">
        <v>74</v>
      </c>
      <c r="E1217" t="s">
        <v>74</v>
      </c>
      <c r="F1217" t="s">
        <v>31001</v>
      </c>
      <c r="G1217" t="s">
        <v>74</v>
      </c>
      <c r="H1217" t="s">
        <v>74</v>
      </c>
      <c r="I1217" t="s">
        <v>31000</v>
      </c>
      <c r="J1217" t="s">
        <v>30999</v>
      </c>
      <c r="K1217" t="s">
        <v>74</v>
      </c>
      <c r="L1217" t="s">
        <v>74</v>
      </c>
      <c r="M1217" t="s">
        <v>78</v>
      </c>
      <c r="N1217" t="s">
        <v>79</v>
      </c>
      <c r="O1217" t="s">
        <v>74</v>
      </c>
      <c r="P1217" t="s">
        <v>74</v>
      </c>
      <c r="Q1217" t="s">
        <v>74</v>
      </c>
      <c r="R1217" t="s">
        <v>74</v>
      </c>
      <c r="S1217" t="s">
        <v>74</v>
      </c>
      <c r="T1217" t="s">
        <v>74</v>
      </c>
      <c r="U1217" t="s">
        <v>74</v>
      </c>
      <c r="V1217" t="s">
        <v>30998</v>
      </c>
      <c r="W1217" t="s">
        <v>30997</v>
      </c>
      <c r="X1217" t="s">
        <v>30996</v>
      </c>
      <c r="Y1217" t="s">
        <v>30995</v>
      </c>
      <c r="Z1217" t="s">
        <v>74</v>
      </c>
      <c r="AA1217" t="s">
        <v>30994</v>
      </c>
      <c r="AB1217" t="s">
        <v>74</v>
      </c>
      <c r="AC1217" t="s">
        <v>74</v>
      </c>
      <c r="AD1217" t="s">
        <v>74</v>
      </c>
      <c r="AE1217" t="s">
        <v>74</v>
      </c>
      <c r="AF1217" t="s">
        <v>74</v>
      </c>
      <c r="AG1217">
        <v>13</v>
      </c>
      <c r="AH1217">
        <v>2</v>
      </c>
      <c r="AI1217">
        <v>5</v>
      </c>
      <c r="AJ1217">
        <v>1</v>
      </c>
      <c r="AK1217">
        <v>29</v>
      </c>
      <c r="AL1217" t="s">
        <v>30993</v>
      </c>
      <c r="AM1217" t="s">
        <v>4219</v>
      </c>
      <c r="AN1217" t="s">
        <v>30992</v>
      </c>
      <c r="AO1217" t="s">
        <v>30991</v>
      </c>
      <c r="AP1217" t="s">
        <v>74</v>
      </c>
      <c r="AQ1217" t="s">
        <v>74</v>
      </c>
      <c r="AR1217" t="s">
        <v>30990</v>
      </c>
      <c r="AS1217" t="s">
        <v>30989</v>
      </c>
      <c r="AT1217" t="s">
        <v>605</v>
      </c>
      <c r="AU1217">
        <v>2013</v>
      </c>
      <c r="AV1217">
        <v>17</v>
      </c>
      <c r="AW1217">
        <v>4</v>
      </c>
      <c r="AX1217" t="s">
        <v>74</v>
      </c>
      <c r="AY1217" t="s">
        <v>74</v>
      </c>
      <c r="AZ1217" t="s">
        <v>441</v>
      </c>
      <c r="BA1217" t="s">
        <v>74</v>
      </c>
      <c r="BB1217">
        <v>37</v>
      </c>
      <c r="BC1217">
        <v>41</v>
      </c>
      <c r="BD1217" t="s">
        <v>74</v>
      </c>
      <c r="BE1217" t="s">
        <v>30988</v>
      </c>
      <c r="BF1217" t="str">
        <f>HYPERLINK("http://dx.doi.org/10.1002/bltj.21573","http://dx.doi.org/10.1002/bltj.21573")</f>
        <v>http://dx.doi.org/10.1002/bltj.21573</v>
      </c>
      <c r="BG1217" t="s">
        <v>74</v>
      </c>
      <c r="BH1217" t="s">
        <v>74</v>
      </c>
      <c r="BI1217">
        <v>5</v>
      </c>
      <c r="BJ1217" t="s">
        <v>3467</v>
      </c>
      <c r="BK1217" t="s">
        <v>128</v>
      </c>
      <c r="BL1217" t="s">
        <v>1023</v>
      </c>
      <c r="BM1217" t="s">
        <v>30987</v>
      </c>
      <c r="BN1217" t="s">
        <v>74</v>
      </c>
      <c r="BO1217" t="s">
        <v>74</v>
      </c>
      <c r="BP1217" t="s">
        <v>74</v>
      </c>
      <c r="BQ1217" t="s">
        <v>74</v>
      </c>
      <c r="BR1217" t="s">
        <v>102</v>
      </c>
      <c r="BS1217" t="s">
        <v>30986</v>
      </c>
      <c r="BT1217" t="str">
        <f>HYPERLINK("https%3A%2F%2Fwww.webofscience.com%2Fwos%2Fwoscc%2Ffull-record%2FWOS:000315505200004","View Full Record in Web of Science")</f>
        <v>View Full Record in Web of Science</v>
      </c>
    </row>
    <row r="1218" spans="1:72" x14ac:dyDescent="0.25">
      <c r="A1218" t="s">
        <v>72</v>
      </c>
      <c r="B1218" t="s">
        <v>30985</v>
      </c>
      <c r="C1218" t="s">
        <v>74</v>
      </c>
      <c r="D1218" t="s">
        <v>74</v>
      </c>
      <c r="E1218" t="s">
        <v>74</v>
      </c>
      <c r="F1218" t="s">
        <v>30984</v>
      </c>
      <c r="G1218" t="s">
        <v>74</v>
      </c>
      <c r="H1218" t="s">
        <v>74</v>
      </c>
      <c r="I1218" t="s">
        <v>30983</v>
      </c>
      <c r="J1218" t="s">
        <v>4055</v>
      </c>
      <c r="K1218" t="s">
        <v>74</v>
      </c>
      <c r="L1218" t="s">
        <v>74</v>
      </c>
      <c r="M1218" t="s">
        <v>78</v>
      </c>
      <c r="N1218" t="s">
        <v>79</v>
      </c>
      <c r="O1218" t="s">
        <v>74</v>
      </c>
      <c r="P1218" t="s">
        <v>74</v>
      </c>
      <c r="Q1218" t="s">
        <v>74</v>
      </c>
      <c r="R1218" t="s">
        <v>74</v>
      </c>
      <c r="S1218" t="s">
        <v>74</v>
      </c>
      <c r="T1218" t="s">
        <v>30982</v>
      </c>
      <c r="U1218" t="s">
        <v>30981</v>
      </c>
      <c r="V1218" t="s">
        <v>30980</v>
      </c>
      <c r="W1218" t="s">
        <v>30979</v>
      </c>
      <c r="X1218" t="s">
        <v>74</v>
      </c>
      <c r="Y1218" t="s">
        <v>30978</v>
      </c>
      <c r="Z1218" t="s">
        <v>30977</v>
      </c>
      <c r="AA1218" t="s">
        <v>30976</v>
      </c>
      <c r="AB1218" t="s">
        <v>30975</v>
      </c>
      <c r="AC1218" t="s">
        <v>74</v>
      </c>
      <c r="AD1218" t="s">
        <v>74</v>
      </c>
      <c r="AE1218" t="s">
        <v>74</v>
      </c>
      <c r="AF1218" t="s">
        <v>74</v>
      </c>
      <c r="AG1218">
        <v>76</v>
      </c>
      <c r="AH1218">
        <v>8</v>
      </c>
      <c r="AI1218">
        <v>9</v>
      </c>
      <c r="AJ1218">
        <v>1</v>
      </c>
      <c r="AK1218">
        <v>21</v>
      </c>
      <c r="AL1218" t="s">
        <v>2907</v>
      </c>
      <c r="AM1218" t="s">
        <v>2908</v>
      </c>
      <c r="AN1218" t="s">
        <v>2909</v>
      </c>
      <c r="AO1218" t="s">
        <v>4064</v>
      </c>
      <c r="AP1218" t="s">
        <v>4065</v>
      </c>
      <c r="AQ1218" t="s">
        <v>74</v>
      </c>
      <c r="AR1218" t="s">
        <v>4066</v>
      </c>
      <c r="AS1218" t="s">
        <v>4067</v>
      </c>
      <c r="AT1218" t="s">
        <v>1652</v>
      </c>
      <c r="AU1218">
        <v>2021</v>
      </c>
      <c r="AV1218">
        <v>26</v>
      </c>
      <c r="AW1218">
        <v>2</v>
      </c>
      <c r="AX1218" t="s">
        <v>74</v>
      </c>
      <c r="AY1218" t="s">
        <v>74</v>
      </c>
      <c r="AZ1218" t="s">
        <v>74</v>
      </c>
      <c r="BA1218" t="s">
        <v>74</v>
      </c>
      <c r="BB1218">
        <v>67</v>
      </c>
      <c r="BC1218">
        <v>80</v>
      </c>
      <c r="BD1218" t="s">
        <v>74</v>
      </c>
      <c r="BE1218" t="s">
        <v>30974</v>
      </c>
      <c r="BF1218" t="str">
        <f>HYPERLINK("http://dx.doi.org/10.1057/s41264-020-00085-7","http://dx.doi.org/10.1057/s41264-020-00085-7")</f>
        <v>http://dx.doi.org/10.1057/s41264-020-00085-7</v>
      </c>
      <c r="BG1218" t="s">
        <v>74</v>
      </c>
      <c r="BH1218" t="s">
        <v>11556</v>
      </c>
      <c r="BI1218">
        <v>14</v>
      </c>
      <c r="BJ1218" t="s">
        <v>418</v>
      </c>
      <c r="BK1218" t="s">
        <v>313</v>
      </c>
      <c r="BL1218" t="s">
        <v>100</v>
      </c>
      <c r="BM1218" t="s">
        <v>30973</v>
      </c>
      <c r="BN1218" t="s">
        <v>74</v>
      </c>
      <c r="BO1218" t="s">
        <v>74</v>
      </c>
      <c r="BP1218" t="s">
        <v>74</v>
      </c>
      <c r="BQ1218" t="s">
        <v>74</v>
      </c>
      <c r="BR1218" t="s">
        <v>102</v>
      </c>
      <c r="BS1218" t="s">
        <v>30972</v>
      </c>
      <c r="BT1218" t="str">
        <f>HYPERLINK("https%3A%2F%2Fwww.webofscience.com%2Fwos%2Fwoscc%2Ffull-record%2FWOS:000612708300001","View Full Record in Web of Science")</f>
        <v>View Full Record in Web of Science</v>
      </c>
    </row>
    <row r="1219" spans="1:72" x14ac:dyDescent="0.25">
      <c r="A1219" t="s">
        <v>72</v>
      </c>
      <c r="B1219" t="s">
        <v>30971</v>
      </c>
      <c r="C1219" t="s">
        <v>74</v>
      </c>
      <c r="D1219" t="s">
        <v>74</v>
      </c>
      <c r="E1219" t="s">
        <v>74</v>
      </c>
      <c r="F1219" t="s">
        <v>30970</v>
      </c>
      <c r="G1219" t="s">
        <v>74</v>
      </c>
      <c r="H1219" t="s">
        <v>74</v>
      </c>
      <c r="I1219" t="s">
        <v>30969</v>
      </c>
      <c r="J1219" t="s">
        <v>8942</v>
      </c>
      <c r="K1219" t="s">
        <v>74</v>
      </c>
      <c r="L1219" t="s">
        <v>74</v>
      </c>
      <c r="M1219" t="s">
        <v>78</v>
      </c>
      <c r="N1219" t="s">
        <v>79</v>
      </c>
      <c r="O1219" t="s">
        <v>74</v>
      </c>
      <c r="P1219" t="s">
        <v>74</v>
      </c>
      <c r="Q1219" t="s">
        <v>74</v>
      </c>
      <c r="R1219" t="s">
        <v>74</v>
      </c>
      <c r="S1219" t="s">
        <v>74</v>
      </c>
      <c r="T1219" t="s">
        <v>30968</v>
      </c>
      <c r="U1219" t="s">
        <v>74</v>
      </c>
      <c r="V1219" t="s">
        <v>30967</v>
      </c>
      <c r="W1219" t="s">
        <v>30966</v>
      </c>
      <c r="X1219" t="s">
        <v>74</v>
      </c>
      <c r="Y1219" t="s">
        <v>30965</v>
      </c>
      <c r="Z1219" t="s">
        <v>30964</v>
      </c>
      <c r="AA1219" t="s">
        <v>30963</v>
      </c>
      <c r="AB1219" t="s">
        <v>30962</v>
      </c>
      <c r="AC1219" t="s">
        <v>74</v>
      </c>
      <c r="AD1219" t="s">
        <v>74</v>
      </c>
      <c r="AE1219" t="s">
        <v>74</v>
      </c>
      <c r="AF1219" t="s">
        <v>74</v>
      </c>
      <c r="AG1219">
        <v>44</v>
      </c>
      <c r="AH1219">
        <v>5</v>
      </c>
      <c r="AI1219">
        <v>7</v>
      </c>
      <c r="AJ1219">
        <v>3</v>
      </c>
      <c r="AK1219">
        <v>20</v>
      </c>
      <c r="AL1219" t="s">
        <v>89</v>
      </c>
      <c r="AM1219" t="s">
        <v>90</v>
      </c>
      <c r="AN1219" t="s">
        <v>91</v>
      </c>
      <c r="AO1219" t="s">
        <v>8952</v>
      </c>
      <c r="AP1219" t="s">
        <v>8953</v>
      </c>
      <c r="AQ1219" t="s">
        <v>74</v>
      </c>
      <c r="AR1219" t="s">
        <v>8954</v>
      </c>
      <c r="AS1219" t="s">
        <v>8955</v>
      </c>
      <c r="AT1219" t="s">
        <v>16524</v>
      </c>
      <c r="AU1219">
        <v>2025</v>
      </c>
      <c r="AV1219">
        <v>16</v>
      </c>
      <c r="AW1219">
        <v>1</v>
      </c>
      <c r="AX1219" t="s">
        <v>74</v>
      </c>
      <c r="AY1219" t="s">
        <v>74</v>
      </c>
      <c r="AZ1219" t="s">
        <v>74</v>
      </c>
      <c r="BA1219" t="s">
        <v>74</v>
      </c>
      <c r="BB1219">
        <v>18</v>
      </c>
      <c r="BC1219">
        <v>33</v>
      </c>
      <c r="BD1219" t="s">
        <v>74</v>
      </c>
      <c r="BE1219" t="s">
        <v>30961</v>
      </c>
      <c r="BF1219" t="str">
        <f>HYPERLINK("http://dx.doi.org/10.1108/AJEMS-08-2023-0323","http://dx.doi.org/10.1108/AJEMS-08-2023-0323")</f>
        <v>http://dx.doi.org/10.1108/AJEMS-08-2023-0323</v>
      </c>
      <c r="BG1219" t="s">
        <v>74</v>
      </c>
      <c r="BH1219" t="s">
        <v>6256</v>
      </c>
      <c r="BI1219">
        <v>16</v>
      </c>
      <c r="BJ1219" t="s">
        <v>291</v>
      </c>
      <c r="BK1219" t="s">
        <v>313</v>
      </c>
      <c r="BL1219" t="s">
        <v>100</v>
      </c>
      <c r="BM1219" t="s">
        <v>30960</v>
      </c>
      <c r="BN1219" t="s">
        <v>74</v>
      </c>
      <c r="BO1219" t="s">
        <v>74</v>
      </c>
      <c r="BP1219" t="s">
        <v>74</v>
      </c>
      <c r="BQ1219" t="s">
        <v>74</v>
      </c>
      <c r="BR1219" t="s">
        <v>102</v>
      </c>
      <c r="BS1219" t="s">
        <v>30959</v>
      </c>
      <c r="BT1219" t="str">
        <f>HYPERLINK("https%3A%2F%2Fwww.webofscience.com%2Fwos%2Fwoscc%2Ffull-record%2FWOS:001245892900001","View Full Record in Web of Science")</f>
        <v>View Full Record in Web of Science</v>
      </c>
    </row>
    <row r="1220" spans="1:72" x14ac:dyDescent="0.25">
      <c r="A1220" t="s">
        <v>72</v>
      </c>
      <c r="B1220" t="s">
        <v>30958</v>
      </c>
      <c r="C1220" t="s">
        <v>74</v>
      </c>
      <c r="D1220" t="s">
        <v>74</v>
      </c>
      <c r="E1220" t="s">
        <v>74</v>
      </c>
      <c r="F1220" t="s">
        <v>30957</v>
      </c>
      <c r="G1220" t="s">
        <v>74</v>
      </c>
      <c r="H1220" t="s">
        <v>74</v>
      </c>
      <c r="I1220" t="s">
        <v>30956</v>
      </c>
      <c r="J1220" t="s">
        <v>3231</v>
      </c>
      <c r="K1220" t="s">
        <v>74</v>
      </c>
      <c r="L1220" t="s">
        <v>74</v>
      </c>
      <c r="M1220" t="s">
        <v>78</v>
      </c>
      <c r="N1220" t="s">
        <v>79</v>
      </c>
      <c r="O1220" t="s">
        <v>74</v>
      </c>
      <c r="P1220" t="s">
        <v>74</v>
      </c>
      <c r="Q1220" t="s">
        <v>74</v>
      </c>
      <c r="R1220" t="s">
        <v>74</v>
      </c>
      <c r="S1220" t="s">
        <v>74</v>
      </c>
      <c r="T1220" t="s">
        <v>30955</v>
      </c>
      <c r="U1220" t="s">
        <v>30954</v>
      </c>
      <c r="V1220" t="s">
        <v>30953</v>
      </c>
      <c r="W1220" t="s">
        <v>30952</v>
      </c>
      <c r="X1220" t="s">
        <v>6810</v>
      </c>
      <c r="Y1220" t="s">
        <v>30951</v>
      </c>
      <c r="Z1220" t="s">
        <v>30950</v>
      </c>
      <c r="AA1220" t="s">
        <v>30949</v>
      </c>
      <c r="AB1220" t="s">
        <v>30948</v>
      </c>
      <c r="AC1220" t="s">
        <v>74</v>
      </c>
      <c r="AD1220" t="s">
        <v>74</v>
      </c>
      <c r="AE1220" t="s">
        <v>74</v>
      </c>
      <c r="AF1220" t="s">
        <v>74</v>
      </c>
      <c r="AG1220">
        <v>73</v>
      </c>
      <c r="AH1220">
        <v>20</v>
      </c>
      <c r="AI1220">
        <v>33</v>
      </c>
      <c r="AJ1220">
        <v>15</v>
      </c>
      <c r="AK1220">
        <v>116</v>
      </c>
      <c r="AL1220" t="s">
        <v>575</v>
      </c>
      <c r="AM1220" t="s">
        <v>576</v>
      </c>
      <c r="AN1220" t="s">
        <v>3242</v>
      </c>
      <c r="AO1220" t="s">
        <v>74</v>
      </c>
      <c r="AP1220" t="s">
        <v>3243</v>
      </c>
      <c r="AQ1220" t="s">
        <v>74</v>
      </c>
      <c r="AR1220" t="s">
        <v>3244</v>
      </c>
      <c r="AS1220" t="s">
        <v>3245</v>
      </c>
      <c r="AT1220" t="s">
        <v>605</v>
      </c>
      <c r="AU1220">
        <v>2023</v>
      </c>
      <c r="AV1220">
        <v>15</v>
      </c>
      <c r="AW1220">
        <v>5</v>
      </c>
      <c r="AX1220" t="s">
        <v>74</v>
      </c>
      <c r="AY1220" t="s">
        <v>74</v>
      </c>
      <c r="AZ1220" t="s">
        <v>74</v>
      </c>
      <c r="BA1220" t="s">
        <v>74</v>
      </c>
      <c r="BB1220" t="s">
        <v>74</v>
      </c>
      <c r="BC1220" t="s">
        <v>74</v>
      </c>
      <c r="BD1220">
        <v>4505</v>
      </c>
      <c r="BE1220" t="s">
        <v>30947</v>
      </c>
      <c r="BF1220" t="str">
        <f>HYPERLINK("http://dx.doi.org/10.3390/su15054505","http://dx.doi.org/10.3390/su15054505")</f>
        <v>http://dx.doi.org/10.3390/su15054505</v>
      </c>
      <c r="BG1220" t="s">
        <v>74</v>
      </c>
      <c r="BH1220" t="s">
        <v>74</v>
      </c>
      <c r="BI1220">
        <v>18</v>
      </c>
      <c r="BJ1220" t="s">
        <v>3247</v>
      </c>
      <c r="BK1220" t="s">
        <v>2623</v>
      </c>
      <c r="BL1220" t="s">
        <v>3248</v>
      </c>
      <c r="BM1220" t="s">
        <v>30946</v>
      </c>
      <c r="BN1220" t="s">
        <v>74</v>
      </c>
      <c r="BO1220" t="s">
        <v>916</v>
      </c>
      <c r="BP1220" t="s">
        <v>74</v>
      </c>
      <c r="BQ1220" t="s">
        <v>74</v>
      </c>
      <c r="BR1220" t="s">
        <v>102</v>
      </c>
      <c r="BS1220" t="s">
        <v>30945</v>
      </c>
      <c r="BT1220" t="str">
        <f>HYPERLINK("https%3A%2F%2Fwww.webofscience.com%2Fwos%2Fwoscc%2Ffull-record%2FWOS:000947609600001","View Full Record in Web of Science")</f>
        <v>View Full Record in Web of Science</v>
      </c>
    </row>
    <row r="1221" spans="1:72" x14ac:dyDescent="0.25">
      <c r="A1221" t="s">
        <v>72</v>
      </c>
      <c r="B1221" t="s">
        <v>30944</v>
      </c>
      <c r="C1221" t="s">
        <v>74</v>
      </c>
      <c r="D1221" t="s">
        <v>74</v>
      </c>
      <c r="E1221" t="s">
        <v>74</v>
      </c>
      <c r="F1221" t="s">
        <v>30943</v>
      </c>
      <c r="G1221" t="s">
        <v>74</v>
      </c>
      <c r="H1221" t="s">
        <v>74</v>
      </c>
      <c r="I1221" t="s">
        <v>30942</v>
      </c>
      <c r="J1221" t="s">
        <v>1987</v>
      </c>
      <c r="K1221" t="s">
        <v>74</v>
      </c>
      <c r="L1221" t="s">
        <v>74</v>
      </c>
      <c r="M1221" t="s">
        <v>78</v>
      </c>
      <c r="N1221" t="s">
        <v>79</v>
      </c>
      <c r="O1221" t="s">
        <v>74</v>
      </c>
      <c r="P1221" t="s">
        <v>74</v>
      </c>
      <c r="Q1221" t="s">
        <v>74</v>
      </c>
      <c r="R1221" t="s">
        <v>74</v>
      </c>
      <c r="S1221" t="s">
        <v>74</v>
      </c>
      <c r="T1221" t="s">
        <v>30941</v>
      </c>
      <c r="U1221" t="s">
        <v>21221</v>
      </c>
      <c r="V1221" t="s">
        <v>30940</v>
      </c>
      <c r="W1221" t="s">
        <v>30939</v>
      </c>
      <c r="X1221" t="s">
        <v>30938</v>
      </c>
      <c r="Y1221" t="s">
        <v>30937</v>
      </c>
      <c r="Z1221" t="s">
        <v>30936</v>
      </c>
      <c r="AA1221" t="s">
        <v>30935</v>
      </c>
      <c r="AB1221" t="s">
        <v>30934</v>
      </c>
      <c r="AC1221" t="s">
        <v>30933</v>
      </c>
      <c r="AD1221" t="s">
        <v>30933</v>
      </c>
      <c r="AE1221" t="s">
        <v>30932</v>
      </c>
      <c r="AF1221" t="s">
        <v>74</v>
      </c>
      <c r="AG1221">
        <v>50</v>
      </c>
      <c r="AH1221">
        <v>23</v>
      </c>
      <c r="AI1221">
        <v>31</v>
      </c>
      <c r="AJ1221">
        <v>2</v>
      </c>
      <c r="AK1221">
        <v>23</v>
      </c>
      <c r="AL1221" t="s">
        <v>479</v>
      </c>
      <c r="AM1221" t="s">
        <v>480</v>
      </c>
      <c r="AN1221" t="s">
        <v>481</v>
      </c>
      <c r="AO1221" t="s">
        <v>1997</v>
      </c>
      <c r="AP1221" t="s">
        <v>1998</v>
      </c>
      <c r="AQ1221" t="s">
        <v>74</v>
      </c>
      <c r="AR1221" t="s">
        <v>1999</v>
      </c>
      <c r="AS1221" t="s">
        <v>2000</v>
      </c>
      <c r="AT1221" t="s">
        <v>1159</v>
      </c>
      <c r="AU1221">
        <v>2017</v>
      </c>
      <c r="AV1221">
        <v>29</v>
      </c>
      <c r="AW1221">
        <v>7</v>
      </c>
      <c r="AX1221" t="s">
        <v>74</v>
      </c>
      <c r="AY1221" t="s">
        <v>74</v>
      </c>
      <c r="AZ1221" t="s">
        <v>74</v>
      </c>
      <c r="BA1221" t="s">
        <v>74</v>
      </c>
      <c r="BB1221">
        <v>919</v>
      </c>
      <c r="BC1221">
        <v>935</v>
      </c>
      <c r="BD1221" t="s">
        <v>74</v>
      </c>
      <c r="BE1221" t="s">
        <v>30931</v>
      </c>
      <c r="BF1221" t="str">
        <f>HYPERLINK("http://dx.doi.org/10.1002/jid.3244","http://dx.doi.org/10.1002/jid.3244")</f>
        <v>http://dx.doi.org/10.1002/jid.3244</v>
      </c>
      <c r="BG1221" t="s">
        <v>74</v>
      </c>
      <c r="BH1221" t="s">
        <v>74</v>
      </c>
      <c r="BI1221">
        <v>17</v>
      </c>
      <c r="BJ1221" t="s">
        <v>1137</v>
      </c>
      <c r="BK1221" t="s">
        <v>99</v>
      </c>
      <c r="BL1221" t="s">
        <v>1137</v>
      </c>
      <c r="BM1221" t="s">
        <v>30930</v>
      </c>
      <c r="BN1221" t="s">
        <v>74</v>
      </c>
      <c r="BO1221" t="s">
        <v>74</v>
      </c>
      <c r="BP1221" t="s">
        <v>74</v>
      </c>
      <c r="BQ1221" t="s">
        <v>74</v>
      </c>
      <c r="BR1221" t="s">
        <v>102</v>
      </c>
      <c r="BS1221" t="s">
        <v>30929</v>
      </c>
      <c r="BT1221" t="str">
        <f>HYPERLINK("https%3A%2F%2Fwww.webofscience.com%2Fwos%2Fwoscc%2Ffull-record%2FWOS:000412540400004","View Full Record in Web of Science")</f>
        <v>View Full Record in Web of Science</v>
      </c>
    </row>
    <row r="1222" spans="1:72" x14ac:dyDescent="0.25">
      <c r="A1222" t="s">
        <v>72</v>
      </c>
      <c r="B1222" t="s">
        <v>30928</v>
      </c>
      <c r="C1222" t="s">
        <v>74</v>
      </c>
      <c r="D1222" t="s">
        <v>74</v>
      </c>
      <c r="E1222" t="s">
        <v>74</v>
      </c>
      <c r="F1222" t="s">
        <v>30927</v>
      </c>
      <c r="G1222" t="s">
        <v>74</v>
      </c>
      <c r="H1222" t="s">
        <v>74</v>
      </c>
      <c r="I1222" t="s">
        <v>30926</v>
      </c>
      <c r="J1222" t="s">
        <v>3231</v>
      </c>
      <c r="K1222" t="s">
        <v>74</v>
      </c>
      <c r="L1222" t="s">
        <v>74</v>
      </c>
      <c r="M1222" t="s">
        <v>78</v>
      </c>
      <c r="N1222" t="s">
        <v>1766</v>
      </c>
      <c r="O1222" t="s">
        <v>74</v>
      </c>
      <c r="P1222" t="s">
        <v>74</v>
      </c>
      <c r="Q1222" t="s">
        <v>74</v>
      </c>
      <c r="R1222" t="s">
        <v>74</v>
      </c>
      <c r="S1222" t="s">
        <v>74</v>
      </c>
      <c r="T1222" t="s">
        <v>30925</v>
      </c>
      <c r="U1222" t="s">
        <v>30924</v>
      </c>
      <c r="V1222" t="s">
        <v>30923</v>
      </c>
      <c r="W1222" t="s">
        <v>30922</v>
      </c>
      <c r="X1222" t="s">
        <v>30921</v>
      </c>
      <c r="Y1222" t="s">
        <v>30920</v>
      </c>
      <c r="Z1222" t="s">
        <v>30919</v>
      </c>
      <c r="AA1222" t="s">
        <v>30918</v>
      </c>
      <c r="AB1222" t="s">
        <v>30917</v>
      </c>
      <c r="AC1222" t="s">
        <v>30916</v>
      </c>
      <c r="AD1222" t="s">
        <v>30915</v>
      </c>
      <c r="AE1222" t="s">
        <v>30914</v>
      </c>
      <c r="AF1222" t="s">
        <v>74</v>
      </c>
      <c r="AG1222">
        <v>223</v>
      </c>
      <c r="AH1222">
        <v>32</v>
      </c>
      <c r="AI1222">
        <v>48</v>
      </c>
      <c r="AJ1222">
        <v>34</v>
      </c>
      <c r="AK1222">
        <v>240</v>
      </c>
      <c r="AL1222" t="s">
        <v>575</v>
      </c>
      <c r="AM1222" t="s">
        <v>576</v>
      </c>
      <c r="AN1222" t="s">
        <v>3242</v>
      </c>
      <c r="AO1222" t="s">
        <v>74</v>
      </c>
      <c r="AP1222" t="s">
        <v>3243</v>
      </c>
      <c r="AQ1222" t="s">
        <v>74</v>
      </c>
      <c r="AR1222" t="s">
        <v>3244</v>
      </c>
      <c r="AS1222" t="s">
        <v>3245</v>
      </c>
      <c r="AT1222" t="s">
        <v>1652</v>
      </c>
      <c r="AU1222">
        <v>2023</v>
      </c>
      <c r="AV1222">
        <v>15</v>
      </c>
      <c r="AW1222">
        <v>12</v>
      </c>
      <c r="AX1222" t="s">
        <v>74</v>
      </c>
      <c r="AY1222" t="s">
        <v>74</v>
      </c>
      <c r="AZ1222" t="s">
        <v>74</v>
      </c>
      <c r="BA1222" t="s">
        <v>74</v>
      </c>
      <c r="BB1222" t="s">
        <v>74</v>
      </c>
      <c r="BC1222" t="s">
        <v>74</v>
      </c>
      <c r="BD1222">
        <v>9358</v>
      </c>
      <c r="BE1222" t="s">
        <v>30913</v>
      </c>
      <c r="BF1222" t="str">
        <f>HYPERLINK("http://dx.doi.org/10.3390/su15129358","http://dx.doi.org/10.3390/su15129358")</f>
        <v>http://dx.doi.org/10.3390/su15129358</v>
      </c>
      <c r="BG1222" t="s">
        <v>74</v>
      </c>
      <c r="BH1222" t="s">
        <v>74</v>
      </c>
      <c r="BI1222">
        <v>30</v>
      </c>
      <c r="BJ1222" t="s">
        <v>3247</v>
      </c>
      <c r="BK1222" t="s">
        <v>2623</v>
      </c>
      <c r="BL1222" t="s">
        <v>3248</v>
      </c>
      <c r="BM1222" t="s">
        <v>30912</v>
      </c>
      <c r="BN1222" t="s">
        <v>74</v>
      </c>
      <c r="BO1222" t="s">
        <v>916</v>
      </c>
      <c r="BP1222" t="s">
        <v>74</v>
      </c>
      <c r="BQ1222" t="s">
        <v>74</v>
      </c>
      <c r="BR1222" t="s">
        <v>102</v>
      </c>
      <c r="BS1222" t="s">
        <v>30911</v>
      </c>
      <c r="BT1222" t="str">
        <f>HYPERLINK("https%3A%2F%2Fwww.webofscience.com%2Fwos%2Fwoscc%2Ffull-record%2FWOS:001017861400001","View Full Record in Web of Science")</f>
        <v>View Full Record in Web of Science</v>
      </c>
    </row>
    <row r="1223" spans="1:72" x14ac:dyDescent="0.25">
      <c r="A1223" t="s">
        <v>72</v>
      </c>
      <c r="B1223" t="s">
        <v>30910</v>
      </c>
      <c r="C1223" t="s">
        <v>74</v>
      </c>
      <c r="D1223" t="s">
        <v>74</v>
      </c>
      <c r="E1223" t="s">
        <v>74</v>
      </c>
      <c r="F1223" t="s">
        <v>30909</v>
      </c>
      <c r="G1223" t="s">
        <v>74</v>
      </c>
      <c r="H1223" t="s">
        <v>74</v>
      </c>
      <c r="I1223" t="s">
        <v>30908</v>
      </c>
      <c r="J1223" t="s">
        <v>14645</v>
      </c>
      <c r="K1223" t="s">
        <v>74</v>
      </c>
      <c r="L1223" t="s">
        <v>74</v>
      </c>
      <c r="M1223" t="s">
        <v>78</v>
      </c>
      <c r="N1223" t="s">
        <v>79</v>
      </c>
      <c r="O1223" t="s">
        <v>74</v>
      </c>
      <c r="P1223" t="s">
        <v>74</v>
      </c>
      <c r="Q1223" t="s">
        <v>74</v>
      </c>
      <c r="R1223" t="s">
        <v>74</v>
      </c>
      <c r="S1223" t="s">
        <v>74</v>
      </c>
      <c r="T1223" t="s">
        <v>30907</v>
      </c>
      <c r="U1223" t="s">
        <v>30906</v>
      </c>
      <c r="V1223" t="s">
        <v>30905</v>
      </c>
      <c r="W1223" t="s">
        <v>30904</v>
      </c>
      <c r="X1223" t="s">
        <v>30903</v>
      </c>
      <c r="Y1223" t="s">
        <v>30902</v>
      </c>
      <c r="Z1223" t="s">
        <v>30901</v>
      </c>
      <c r="AA1223" t="s">
        <v>74</v>
      </c>
      <c r="AB1223" t="s">
        <v>30900</v>
      </c>
      <c r="AC1223" t="s">
        <v>74</v>
      </c>
      <c r="AD1223" t="s">
        <v>74</v>
      </c>
      <c r="AE1223" t="s">
        <v>74</v>
      </c>
      <c r="AF1223" t="s">
        <v>74</v>
      </c>
      <c r="AG1223">
        <v>37</v>
      </c>
      <c r="AH1223">
        <v>2</v>
      </c>
      <c r="AI1223">
        <v>3</v>
      </c>
      <c r="AJ1223">
        <v>1</v>
      </c>
      <c r="AK1223">
        <v>6</v>
      </c>
      <c r="AL1223" t="s">
        <v>2551</v>
      </c>
      <c r="AM1223" t="s">
        <v>231</v>
      </c>
      <c r="AN1223" t="s">
        <v>2552</v>
      </c>
      <c r="AO1223" t="s">
        <v>14652</v>
      </c>
      <c r="AP1223" t="s">
        <v>14653</v>
      </c>
      <c r="AQ1223" t="s">
        <v>74</v>
      </c>
      <c r="AR1223" t="s">
        <v>14654</v>
      </c>
      <c r="AS1223" t="s">
        <v>14655</v>
      </c>
      <c r="AT1223" t="s">
        <v>14656</v>
      </c>
      <c r="AU1223">
        <v>2024</v>
      </c>
      <c r="AV1223">
        <v>40</v>
      </c>
      <c r="AW1223">
        <v>1</v>
      </c>
      <c r="AX1223" t="s">
        <v>74</v>
      </c>
      <c r="AY1223" t="s">
        <v>74</v>
      </c>
      <c r="AZ1223" t="s">
        <v>441</v>
      </c>
      <c r="BA1223" t="s">
        <v>74</v>
      </c>
      <c r="BB1223">
        <v>44</v>
      </c>
      <c r="BC1223">
        <v>53</v>
      </c>
      <c r="BD1223" t="s">
        <v>74</v>
      </c>
      <c r="BE1223" t="s">
        <v>30899</v>
      </c>
      <c r="BF1223" t="str">
        <f>HYPERLINK("http://dx.doi.org/10.1093/oxrep/grad056","http://dx.doi.org/10.1093/oxrep/grad056")</f>
        <v>http://dx.doi.org/10.1093/oxrep/grad056</v>
      </c>
      <c r="BG1223" t="s">
        <v>74</v>
      </c>
      <c r="BH1223" t="s">
        <v>74</v>
      </c>
      <c r="BI1223">
        <v>10</v>
      </c>
      <c r="BJ1223" t="s">
        <v>291</v>
      </c>
      <c r="BK1223" t="s">
        <v>99</v>
      </c>
      <c r="BL1223" t="s">
        <v>100</v>
      </c>
      <c r="BM1223" t="s">
        <v>14658</v>
      </c>
      <c r="BN1223" t="s">
        <v>74</v>
      </c>
      <c r="BO1223" t="s">
        <v>74</v>
      </c>
      <c r="BP1223" t="s">
        <v>74</v>
      </c>
      <c r="BQ1223" t="s">
        <v>74</v>
      </c>
      <c r="BR1223" t="s">
        <v>102</v>
      </c>
      <c r="BS1223" t="s">
        <v>30898</v>
      </c>
      <c r="BT1223" t="str">
        <f>HYPERLINK("https%3A%2F%2Fwww.webofscience.com%2Fwos%2Fwoscc%2Ffull-record%2FWOS:001186414700010","View Full Record in Web of Science")</f>
        <v>View Full Record in Web of Science</v>
      </c>
    </row>
    <row r="1224" spans="1:72" x14ac:dyDescent="0.25">
      <c r="A1224" t="s">
        <v>72</v>
      </c>
      <c r="B1224" t="s">
        <v>30897</v>
      </c>
      <c r="C1224" t="s">
        <v>74</v>
      </c>
      <c r="D1224" t="s">
        <v>74</v>
      </c>
      <c r="E1224" t="s">
        <v>74</v>
      </c>
      <c r="F1224" t="s">
        <v>30896</v>
      </c>
      <c r="G1224" t="s">
        <v>74</v>
      </c>
      <c r="H1224" t="s">
        <v>74</v>
      </c>
      <c r="I1224" t="s">
        <v>30895</v>
      </c>
      <c r="J1224" t="s">
        <v>30894</v>
      </c>
      <c r="K1224" t="s">
        <v>74</v>
      </c>
      <c r="L1224" t="s">
        <v>74</v>
      </c>
      <c r="M1224" t="s">
        <v>78</v>
      </c>
      <c r="N1224" t="s">
        <v>79</v>
      </c>
      <c r="O1224" t="s">
        <v>74</v>
      </c>
      <c r="P1224" t="s">
        <v>74</v>
      </c>
      <c r="Q1224" t="s">
        <v>74</v>
      </c>
      <c r="R1224" t="s">
        <v>74</v>
      </c>
      <c r="S1224" t="s">
        <v>74</v>
      </c>
      <c r="T1224" t="s">
        <v>30893</v>
      </c>
      <c r="U1224" t="s">
        <v>74</v>
      </c>
      <c r="V1224" t="s">
        <v>30892</v>
      </c>
      <c r="W1224" t="s">
        <v>30891</v>
      </c>
      <c r="X1224" t="s">
        <v>25968</v>
      </c>
      <c r="Y1224" t="s">
        <v>30890</v>
      </c>
      <c r="Z1224" t="s">
        <v>30889</v>
      </c>
      <c r="AA1224" t="s">
        <v>74</v>
      </c>
      <c r="AB1224" t="s">
        <v>30888</v>
      </c>
      <c r="AC1224" t="s">
        <v>30887</v>
      </c>
      <c r="AD1224" t="s">
        <v>30887</v>
      </c>
      <c r="AE1224" t="s">
        <v>30886</v>
      </c>
      <c r="AF1224" t="s">
        <v>74</v>
      </c>
      <c r="AG1224">
        <v>51</v>
      </c>
      <c r="AH1224">
        <v>3</v>
      </c>
      <c r="AI1224">
        <v>3</v>
      </c>
      <c r="AJ1224">
        <v>0</v>
      </c>
      <c r="AK1224">
        <v>3</v>
      </c>
      <c r="AL1224" t="s">
        <v>332</v>
      </c>
      <c r="AM1224" t="s">
        <v>333</v>
      </c>
      <c r="AN1224" t="s">
        <v>334</v>
      </c>
      <c r="AO1224" t="s">
        <v>30885</v>
      </c>
      <c r="AP1224" t="s">
        <v>30884</v>
      </c>
      <c r="AQ1224" t="s">
        <v>74</v>
      </c>
      <c r="AR1224" t="s">
        <v>30883</v>
      </c>
      <c r="AS1224" t="s">
        <v>30882</v>
      </c>
      <c r="AT1224" t="s">
        <v>74</v>
      </c>
      <c r="AU1224">
        <v>2015</v>
      </c>
      <c r="AV1224">
        <v>40</v>
      </c>
      <c r="AW1224">
        <v>3</v>
      </c>
      <c r="AX1224" t="s">
        <v>74</v>
      </c>
      <c r="AY1224" t="s">
        <v>74</v>
      </c>
      <c r="AZ1224" t="s">
        <v>74</v>
      </c>
      <c r="BA1224" t="s">
        <v>74</v>
      </c>
      <c r="BB1224">
        <v>394</v>
      </c>
      <c r="BC1224">
        <v>410</v>
      </c>
      <c r="BD1224" t="s">
        <v>74</v>
      </c>
      <c r="BE1224" t="s">
        <v>30881</v>
      </c>
      <c r="BF1224" t="str">
        <f>HYPERLINK("http://dx.doi.org/10.1080/08263663.2015.1090707","http://dx.doi.org/10.1080/08263663.2015.1090707")</f>
        <v>http://dx.doi.org/10.1080/08263663.2015.1090707</v>
      </c>
      <c r="BG1224" t="s">
        <v>74</v>
      </c>
      <c r="BH1224" t="s">
        <v>74</v>
      </c>
      <c r="BI1224">
        <v>17</v>
      </c>
      <c r="BJ1224" t="s">
        <v>30880</v>
      </c>
      <c r="BK1224" t="s">
        <v>313</v>
      </c>
      <c r="BL1224" t="s">
        <v>30879</v>
      </c>
      <c r="BM1224" t="s">
        <v>30878</v>
      </c>
      <c r="BN1224" t="s">
        <v>74</v>
      </c>
      <c r="BO1224" t="s">
        <v>74</v>
      </c>
      <c r="BP1224" t="s">
        <v>74</v>
      </c>
      <c r="BQ1224" t="s">
        <v>74</v>
      </c>
      <c r="BR1224" t="s">
        <v>102</v>
      </c>
      <c r="BS1224" t="s">
        <v>30877</v>
      </c>
      <c r="BT1224" t="str">
        <f>HYPERLINK("https%3A%2F%2Fwww.webofscience.com%2Fwos%2Fwoscc%2Ffull-record%2FWOS:000217450600006","View Full Record in Web of Science")</f>
        <v>View Full Record in Web of Science</v>
      </c>
    </row>
    <row r="1225" spans="1:72" x14ac:dyDescent="0.25">
      <c r="A1225" t="s">
        <v>72</v>
      </c>
      <c r="B1225" t="s">
        <v>30876</v>
      </c>
      <c r="C1225" t="s">
        <v>74</v>
      </c>
      <c r="D1225" t="s">
        <v>74</v>
      </c>
      <c r="E1225" t="s">
        <v>74</v>
      </c>
      <c r="F1225" t="s">
        <v>30875</v>
      </c>
      <c r="G1225" t="s">
        <v>74</v>
      </c>
      <c r="H1225" t="s">
        <v>74</v>
      </c>
      <c r="I1225" t="s">
        <v>30874</v>
      </c>
      <c r="J1225" t="s">
        <v>30873</v>
      </c>
      <c r="K1225" t="s">
        <v>74</v>
      </c>
      <c r="L1225" t="s">
        <v>74</v>
      </c>
      <c r="M1225" t="s">
        <v>78</v>
      </c>
      <c r="N1225" t="s">
        <v>79</v>
      </c>
      <c r="O1225" t="s">
        <v>74</v>
      </c>
      <c r="P1225" t="s">
        <v>74</v>
      </c>
      <c r="Q1225" t="s">
        <v>74</v>
      </c>
      <c r="R1225" t="s">
        <v>74</v>
      </c>
      <c r="S1225" t="s">
        <v>74</v>
      </c>
      <c r="T1225" t="s">
        <v>30872</v>
      </c>
      <c r="U1225" t="s">
        <v>30871</v>
      </c>
      <c r="V1225" t="s">
        <v>30870</v>
      </c>
      <c r="W1225" t="s">
        <v>30869</v>
      </c>
      <c r="X1225" t="s">
        <v>30868</v>
      </c>
      <c r="Y1225" t="s">
        <v>30867</v>
      </c>
      <c r="Z1225" t="s">
        <v>30866</v>
      </c>
      <c r="AA1225" t="s">
        <v>74</v>
      </c>
      <c r="AB1225" t="s">
        <v>74</v>
      </c>
      <c r="AC1225" t="s">
        <v>74</v>
      </c>
      <c r="AD1225" t="s">
        <v>74</v>
      </c>
      <c r="AE1225" t="s">
        <v>74</v>
      </c>
      <c r="AF1225" t="s">
        <v>74</v>
      </c>
      <c r="AG1225">
        <v>40</v>
      </c>
      <c r="AH1225">
        <v>0</v>
      </c>
      <c r="AI1225">
        <v>1</v>
      </c>
      <c r="AJ1225">
        <v>0</v>
      </c>
      <c r="AK1225">
        <v>10</v>
      </c>
      <c r="AL1225" t="s">
        <v>117</v>
      </c>
      <c r="AM1225" t="s">
        <v>118</v>
      </c>
      <c r="AN1225" t="s">
        <v>119</v>
      </c>
      <c r="AO1225" t="s">
        <v>30865</v>
      </c>
      <c r="AP1225" t="s">
        <v>30864</v>
      </c>
      <c r="AQ1225" t="s">
        <v>74</v>
      </c>
      <c r="AR1225" t="s">
        <v>30863</v>
      </c>
      <c r="AS1225" t="s">
        <v>30862</v>
      </c>
      <c r="AT1225" t="s">
        <v>1652</v>
      </c>
      <c r="AU1225">
        <v>2015</v>
      </c>
      <c r="AV1225">
        <v>24</v>
      </c>
      <c r="AW1225">
        <v>2</v>
      </c>
      <c r="AX1225" t="s">
        <v>74</v>
      </c>
      <c r="AY1225" t="s">
        <v>74</v>
      </c>
      <c r="AZ1225" t="s">
        <v>74</v>
      </c>
      <c r="BA1225" t="s">
        <v>74</v>
      </c>
      <c r="BB1225">
        <v>229</v>
      </c>
      <c r="BC1225">
        <v>257</v>
      </c>
      <c r="BD1225" t="s">
        <v>74</v>
      </c>
      <c r="BE1225" t="s">
        <v>30861</v>
      </c>
      <c r="BF1225" t="str">
        <f>HYPERLINK("http://dx.doi.org/10.1007/s11518-015-5272-2","http://dx.doi.org/10.1007/s11518-015-5272-2")</f>
        <v>http://dx.doi.org/10.1007/s11518-015-5272-2</v>
      </c>
      <c r="BG1225" t="s">
        <v>74</v>
      </c>
      <c r="BH1225" t="s">
        <v>74</v>
      </c>
      <c r="BI1225">
        <v>29</v>
      </c>
      <c r="BJ1225" t="s">
        <v>3174</v>
      </c>
      <c r="BK1225" t="s">
        <v>128</v>
      </c>
      <c r="BL1225" t="s">
        <v>3174</v>
      </c>
      <c r="BM1225" t="s">
        <v>30860</v>
      </c>
      <c r="BN1225" t="s">
        <v>74</v>
      </c>
      <c r="BO1225" t="s">
        <v>74</v>
      </c>
      <c r="BP1225" t="s">
        <v>74</v>
      </c>
      <c r="BQ1225" t="s">
        <v>74</v>
      </c>
      <c r="BR1225" t="s">
        <v>102</v>
      </c>
      <c r="BS1225" t="s">
        <v>30859</v>
      </c>
      <c r="BT1225" t="str">
        <f>HYPERLINK("https%3A%2F%2Fwww.webofscience.com%2Fwos%2Fwoscc%2Ffull-record%2FWOS:000355704400005","View Full Record in Web of Science")</f>
        <v>View Full Record in Web of Science</v>
      </c>
    </row>
    <row r="1226" spans="1:72" x14ac:dyDescent="0.25">
      <c r="A1226" t="s">
        <v>72</v>
      </c>
      <c r="B1226" t="s">
        <v>30858</v>
      </c>
      <c r="C1226" t="s">
        <v>74</v>
      </c>
      <c r="D1226" t="s">
        <v>74</v>
      </c>
      <c r="E1226" t="s">
        <v>74</v>
      </c>
      <c r="F1226" t="s">
        <v>30857</v>
      </c>
      <c r="G1226" t="s">
        <v>74</v>
      </c>
      <c r="H1226" t="s">
        <v>74</v>
      </c>
      <c r="I1226" t="s">
        <v>30856</v>
      </c>
      <c r="J1226" t="s">
        <v>424</v>
      </c>
      <c r="K1226" t="s">
        <v>74</v>
      </c>
      <c r="L1226" t="s">
        <v>74</v>
      </c>
      <c r="M1226" t="s">
        <v>78</v>
      </c>
      <c r="N1226" t="s">
        <v>79</v>
      </c>
      <c r="O1226" t="s">
        <v>74</v>
      </c>
      <c r="P1226" t="s">
        <v>74</v>
      </c>
      <c r="Q1226" t="s">
        <v>74</v>
      </c>
      <c r="R1226" t="s">
        <v>74</v>
      </c>
      <c r="S1226" t="s">
        <v>74</v>
      </c>
      <c r="T1226" t="s">
        <v>30855</v>
      </c>
      <c r="U1226" t="s">
        <v>30854</v>
      </c>
      <c r="V1226" t="s">
        <v>30853</v>
      </c>
      <c r="W1226" t="s">
        <v>30852</v>
      </c>
      <c r="X1226" t="s">
        <v>5041</v>
      </c>
      <c r="Y1226" t="s">
        <v>30851</v>
      </c>
      <c r="Z1226" t="s">
        <v>30850</v>
      </c>
      <c r="AA1226" t="s">
        <v>30849</v>
      </c>
      <c r="AB1226" t="s">
        <v>30848</v>
      </c>
      <c r="AC1226" t="s">
        <v>74</v>
      </c>
      <c r="AD1226" t="s">
        <v>74</v>
      </c>
      <c r="AE1226" t="s">
        <v>74</v>
      </c>
      <c r="AF1226" t="s">
        <v>74</v>
      </c>
      <c r="AG1226">
        <v>86</v>
      </c>
      <c r="AH1226">
        <v>10</v>
      </c>
      <c r="AI1226">
        <v>14</v>
      </c>
      <c r="AJ1226">
        <v>5</v>
      </c>
      <c r="AK1226">
        <v>35</v>
      </c>
      <c r="AL1226" t="s">
        <v>89</v>
      </c>
      <c r="AM1226" t="s">
        <v>90</v>
      </c>
      <c r="AN1226" t="s">
        <v>91</v>
      </c>
      <c r="AO1226" t="s">
        <v>436</v>
      </c>
      <c r="AP1226" t="s">
        <v>437</v>
      </c>
      <c r="AQ1226" t="s">
        <v>74</v>
      </c>
      <c r="AR1226" t="s">
        <v>438</v>
      </c>
      <c r="AS1226" t="s">
        <v>439</v>
      </c>
      <c r="AT1226" t="s">
        <v>29813</v>
      </c>
      <c r="AU1226">
        <v>2024</v>
      </c>
      <c r="AV1226">
        <v>42</v>
      </c>
      <c r="AW1226">
        <v>3</v>
      </c>
      <c r="AX1226" t="s">
        <v>74</v>
      </c>
      <c r="AY1226" t="s">
        <v>74</v>
      </c>
      <c r="AZ1226" t="s">
        <v>74</v>
      </c>
      <c r="BA1226" t="s">
        <v>74</v>
      </c>
      <c r="BB1226">
        <v>458</v>
      </c>
      <c r="BC1226">
        <v>485</v>
      </c>
      <c r="BD1226" t="s">
        <v>74</v>
      </c>
      <c r="BE1226" t="s">
        <v>30847</v>
      </c>
      <c r="BF1226" t="str">
        <f>HYPERLINK("http://dx.doi.org/10.1108/IJBM-04-2023-0214","http://dx.doi.org/10.1108/IJBM-04-2023-0214")</f>
        <v>http://dx.doi.org/10.1108/IJBM-04-2023-0214</v>
      </c>
      <c r="BG1226" t="s">
        <v>74</v>
      </c>
      <c r="BH1226" t="s">
        <v>1524</v>
      </c>
      <c r="BI1226">
        <v>28</v>
      </c>
      <c r="BJ1226" t="s">
        <v>418</v>
      </c>
      <c r="BK1226" t="s">
        <v>99</v>
      </c>
      <c r="BL1226" t="s">
        <v>100</v>
      </c>
      <c r="BM1226" t="s">
        <v>30846</v>
      </c>
      <c r="BN1226" t="s">
        <v>74</v>
      </c>
      <c r="BO1226" t="s">
        <v>74</v>
      </c>
      <c r="BP1226" t="s">
        <v>74</v>
      </c>
      <c r="BQ1226" t="s">
        <v>74</v>
      </c>
      <c r="BR1226" t="s">
        <v>102</v>
      </c>
      <c r="BS1226" t="s">
        <v>30845</v>
      </c>
      <c r="BT1226" t="str">
        <f>HYPERLINK("https%3A%2F%2Fwww.webofscience.com%2Fwos%2Fwoscc%2Ffull-record%2FWOS:001127162500001","View Full Record in Web of Science")</f>
        <v>View Full Record in Web of Science</v>
      </c>
    </row>
    <row r="1227" spans="1:72" x14ac:dyDescent="0.25">
      <c r="A1227" t="s">
        <v>72</v>
      </c>
      <c r="B1227" t="s">
        <v>30844</v>
      </c>
      <c r="C1227" t="s">
        <v>74</v>
      </c>
      <c r="D1227" t="s">
        <v>74</v>
      </c>
      <c r="E1227" t="s">
        <v>74</v>
      </c>
      <c r="F1227" t="s">
        <v>30843</v>
      </c>
      <c r="G1227" t="s">
        <v>74</v>
      </c>
      <c r="H1227" t="s">
        <v>74</v>
      </c>
      <c r="I1227" t="s">
        <v>30842</v>
      </c>
      <c r="J1227" t="s">
        <v>16089</v>
      </c>
      <c r="K1227" t="s">
        <v>74</v>
      </c>
      <c r="L1227" t="s">
        <v>74</v>
      </c>
      <c r="M1227" t="s">
        <v>78</v>
      </c>
      <c r="N1227" t="s">
        <v>79</v>
      </c>
      <c r="O1227" t="s">
        <v>74</v>
      </c>
      <c r="P1227" t="s">
        <v>74</v>
      </c>
      <c r="Q1227" t="s">
        <v>74</v>
      </c>
      <c r="R1227" t="s">
        <v>74</v>
      </c>
      <c r="S1227" t="s">
        <v>74</v>
      </c>
      <c r="T1227" t="s">
        <v>74</v>
      </c>
      <c r="U1227" t="s">
        <v>30841</v>
      </c>
      <c r="V1227" t="s">
        <v>30840</v>
      </c>
      <c r="W1227" t="s">
        <v>30839</v>
      </c>
      <c r="X1227" t="s">
        <v>30838</v>
      </c>
      <c r="Y1227" t="s">
        <v>30837</v>
      </c>
      <c r="Z1227" t="s">
        <v>30836</v>
      </c>
      <c r="AA1227" t="s">
        <v>20060</v>
      </c>
      <c r="AB1227" t="s">
        <v>22813</v>
      </c>
      <c r="AC1227" t="s">
        <v>74</v>
      </c>
      <c r="AD1227" t="s">
        <v>74</v>
      </c>
      <c r="AE1227" t="s">
        <v>74</v>
      </c>
      <c r="AF1227" t="s">
        <v>74</v>
      </c>
      <c r="AG1227">
        <v>109</v>
      </c>
      <c r="AH1227">
        <v>40</v>
      </c>
      <c r="AI1227">
        <v>59</v>
      </c>
      <c r="AJ1227">
        <v>1</v>
      </c>
      <c r="AK1227">
        <v>24</v>
      </c>
      <c r="AL1227" t="s">
        <v>16099</v>
      </c>
      <c r="AM1227" t="s">
        <v>16100</v>
      </c>
      <c r="AN1227" t="s">
        <v>16101</v>
      </c>
      <c r="AO1227" t="s">
        <v>16102</v>
      </c>
      <c r="AP1227" t="s">
        <v>16103</v>
      </c>
      <c r="AQ1227" t="s">
        <v>74</v>
      </c>
      <c r="AR1227" t="s">
        <v>16104</v>
      </c>
      <c r="AS1227" t="s">
        <v>16105</v>
      </c>
      <c r="AT1227" t="s">
        <v>1540</v>
      </c>
      <c r="AU1227">
        <v>2020</v>
      </c>
      <c r="AV1227">
        <v>29</v>
      </c>
      <c r="AW1227">
        <v>3</v>
      </c>
      <c r="AX1227" t="s">
        <v>74</v>
      </c>
      <c r="AY1227" t="s">
        <v>74</v>
      </c>
      <c r="AZ1227" t="s">
        <v>441</v>
      </c>
      <c r="BA1227" t="s">
        <v>74</v>
      </c>
      <c r="BB1227">
        <v>257</v>
      </c>
      <c r="BC1227">
        <v>266</v>
      </c>
      <c r="BD1227" t="s">
        <v>74</v>
      </c>
      <c r="BE1227" t="s">
        <v>30835</v>
      </c>
      <c r="BF1227" t="str">
        <f>HYPERLINK("http://dx.doi.org/10.1002/jsc.2339","http://dx.doi.org/10.1002/jsc.2339")</f>
        <v>http://dx.doi.org/10.1002/jsc.2339</v>
      </c>
      <c r="BG1227" t="s">
        <v>74</v>
      </c>
      <c r="BH1227" t="s">
        <v>74</v>
      </c>
      <c r="BI1227">
        <v>10</v>
      </c>
      <c r="BJ1227" t="s">
        <v>268</v>
      </c>
      <c r="BK1227" t="s">
        <v>313</v>
      </c>
      <c r="BL1227" t="s">
        <v>100</v>
      </c>
      <c r="BM1227" t="s">
        <v>23960</v>
      </c>
      <c r="BN1227" t="s">
        <v>74</v>
      </c>
      <c r="BO1227" t="s">
        <v>74</v>
      </c>
      <c r="BP1227" t="s">
        <v>74</v>
      </c>
      <c r="BQ1227" t="s">
        <v>74</v>
      </c>
      <c r="BR1227" t="s">
        <v>102</v>
      </c>
      <c r="BS1227" t="s">
        <v>30834</v>
      </c>
      <c r="BT1227" t="str">
        <f>HYPERLINK("https%3A%2F%2Fwww.webofscience.com%2Fwos%2Fwoscc%2Ffull-record%2FWOS:000531417000001","View Full Record in Web of Science")</f>
        <v>View Full Record in Web of Science</v>
      </c>
    </row>
    <row r="1228" spans="1:72" x14ac:dyDescent="0.25">
      <c r="A1228" t="s">
        <v>72</v>
      </c>
      <c r="B1228" t="s">
        <v>30833</v>
      </c>
      <c r="C1228" t="s">
        <v>74</v>
      </c>
      <c r="D1228" t="s">
        <v>74</v>
      </c>
      <c r="E1228" t="s">
        <v>74</v>
      </c>
      <c r="F1228" t="s">
        <v>30832</v>
      </c>
      <c r="G1228" t="s">
        <v>74</v>
      </c>
      <c r="H1228" t="s">
        <v>74</v>
      </c>
      <c r="I1228" t="s">
        <v>30831</v>
      </c>
      <c r="J1228" t="s">
        <v>8087</v>
      </c>
      <c r="K1228" t="s">
        <v>74</v>
      </c>
      <c r="L1228" t="s">
        <v>74</v>
      </c>
      <c r="M1228" t="s">
        <v>78</v>
      </c>
      <c r="N1228" t="s">
        <v>79</v>
      </c>
      <c r="O1228" t="s">
        <v>74</v>
      </c>
      <c r="P1228" t="s">
        <v>74</v>
      </c>
      <c r="Q1228" t="s">
        <v>74</v>
      </c>
      <c r="R1228" t="s">
        <v>74</v>
      </c>
      <c r="S1228" t="s">
        <v>74</v>
      </c>
      <c r="T1228" t="s">
        <v>30830</v>
      </c>
      <c r="U1228" t="s">
        <v>30829</v>
      </c>
      <c r="V1228" t="s">
        <v>30828</v>
      </c>
      <c r="W1228" t="s">
        <v>30827</v>
      </c>
      <c r="X1228" t="s">
        <v>30826</v>
      </c>
      <c r="Y1228" t="s">
        <v>30825</v>
      </c>
      <c r="Z1228" t="s">
        <v>30824</v>
      </c>
      <c r="AA1228" t="s">
        <v>30823</v>
      </c>
      <c r="AB1228" t="s">
        <v>30822</v>
      </c>
      <c r="AC1228" t="s">
        <v>30821</v>
      </c>
      <c r="AD1228" t="s">
        <v>30820</v>
      </c>
      <c r="AE1228" t="s">
        <v>30819</v>
      </c>
      <c r="AF1228" t="s">
        <v>74</v>
      </c>
      <c r="AG1228">
        <v>82</v>
      </c>
      <c r="AH1228">
        <v>32</v>
      </c>
      <c r="AI1228">
        <v>39</v>
      </c>
      <c r="AJ1228">
        <v>0</v>
      </c>
      <c r="AK1228">
        <v>31</v>
      </c>
      <c r="AL1228" t="s">
        <v>479</v>
      </c>
      <c r="AM1228" t="s">
        <v>480</v>
      </c>
      <c r="AN1228" t="s">
        <v>481</v>
      </c>
      <c r="AO1228" t="s">
        <v>8097</v>
      </c>
      <c r="AP1228" t="s">
        <v>8098</v>
      </c>
      <c r="AQ1228" t="s">
        <v>74</v>
      </c>
      <c r="AR1228" t="s">
        <v>8099</v>
      </c>
      <c r="AS1228" t="s">
        <v>8100</v>
      </c>
      <c r="AT1228" t="s">
        <v>605</v>
      </c>
      <c r="AU1228">
        <v>2019</v>
      </c>
      <c r="AV1228">
        <v>43</v>
      </c>
      <c r="AW1228">
        <v>2</v>
      </c>
      <c r="AX1228" t="s">
        <v>74</v>
      </c>
      <c r="AY1228" t="s">
        <v>74</v>
      </c>
      <c r="AZ1228" t="s">
        <v>74</v>
      </c>
      <c r="BA1228" t="s">
        <v>74</v>
      </c>
      <c r="BB1228">
        <v>187</v>
      </c>
      <c r="BC1228">
        <v>198</v>
      </c>
      <c r="BD1228" t="s">
        <v>74</v>
      </c>
      <c r="BE1228" t="s">
        <v>30818</v>
      </c>
      <c r="BF1228" t="str">
        <f>HYPERLINK("http://dx.doi.org/10.1111/ijcs.12498","http://dx.doi.org/10.1111/ijcs.12498")</f>
        <v>http://dx.doi.org/10.1111/ijcs.12498</v>
      </c>
      <c r="BG1228" t="s">
        <v>74</v>
      </c>
      <c r="BH1228" t="s">
        <v>74</v>
      </c>
      <c r="BI1228">
        <v>12</v>
      </c>
      <c r="BJ1228" t="s">
        <v>418</v>
      </c>
      <c r="BK1228" t="s">
        <v>99</v>
      </c>
      <c r="BL1228" t="s">
        <v>100</v>
      </c>
      <c r="BM1228" t="s">
        <v>30817</v>
      </c>
      <c r="BN1228" t="s">
        <v>74</v>
      </c>
      <c r="BO1228" t="s">
        <v>74</v>
      </c>
      <c r="BP1228" t="s">
        <v>74</v>
      </c>
      <c r="BQ1228" t="s">
        <v>74</v>
      </c>
      <c r="BR1228" t="s">
        <v>102</v>
      </c>
      <c r="BS1228" t="s">
        <v>30816</v>
      </c>
      <c r="BT1228" t="str">
        <f>HYPERLINK("https%3A%2F%2Fwww.webofscience.com%2Fwos%2Fwoscc%2Ffull-record%2FWOS:000459704100006","View Full Record in Web of Science")</f>
        <v>View Full Record in Web of Science</v>
      </c>
    </row>
    <row r="1229" spans="1:72" x14ac:dyDescent="0.25">
      <c r="A1229" t="s">
        <v>72</v>
      </c>
      <c r="B1229" t="s">
        <v>30815</v>
      </c>
      <c r="C1229" t="s">
        <v>74</v>
      </c>
      <c r="D1229" t="s">
        <v>74</v>
      </c>
      <c r="E1229" t="s">
        <v>74</v>
      </c>
      <c r="F1229" t="s">
        <v>30814</v>
      </c>
      <c r="G1229" t="s">
        <v>74</v>
      </c>
      <c r="H1229" t="s">
        <v>74</v>
      </c>
      <c r="I1229" t="s">
        <v>30813</v>
      </c>
      <c r="J1229" t="s">
        <v>4500</v>
      </c>
      <c r="K1229" t="s">
        <v>74</v>
      </c>
      <c r="L1229" t="s">
        <v>74</v>
      </c>
      <c r="M1229" t="s">
        <v>78</v>
      </c>
      <c r="N1229" t="s">
        <v>79</v>
      </c>
      <c r="O1229" t="s">
        <v>74</v>
      </c>
      <c r="P1229" t="s">
        <v>74</v>
      </c>
      <c r="Q1229" t="s">
        <v>74</v>
      </c>
      <c r="R1229" t="s">
        <v>74</v>
      </c>
      <c r="S1229" t="s">
        <v>74</v>
      </c>
      <c r="T1229" t="s">
        <v>30812</v>
      </c>
      <c r="U1229" t="s">
        <v>30811</v>
      </c>
      <c r="V1229" t="s">
        <v>30810</v>
      </c>
      <c r="W1229" t="s">
        <v>30809</v>
      </c>
      <c r="X1229" t="s">
        <v>13460</v>
      </c>
      <c r="Y1229" t="s">
        <v>30808</v>
      </c>
      <c r="Z1229" t="s">
        <v>29182</v>
      </c>
      <c r="AA1229" t="s">
        <v>30807</v>
      </c>
      <c r="AB1229" t="s">
        <v>30806</v>
      </c>
      <c r="AC1229" t="s">
        <v>74</v>
      </c>
      <c r="AD1229" t="s">
        <v>74</v>
      </c>
      <c r="AE1229" t="s">
        <v>74</v>
      </c>
      <c r="AF1229" t="s">
        <v>74</v>
      </c>
      <c r="AG1229">
        <v>65</v>
      </c>
      <c r="AH1229">
        <v>28</v>
      </c>
      <c r="AI1229">
        <v>36</v>
      </c>
      <c r="AJ1229">
        <v>0</v>
      </c>
      <c r="AK1229">
        <v>28</v>
      </c>
      <c r="AL1229" t="s">
        <v>479</v>
      </c>
      <c r="AM1229" t="s">
        <v>480</v>
      </c>
      <c r="AN1229" t="s">
        <v>481</v>
      </c>
      <c r="AO1229" t="s">
        <v>4509</v>
      </c>
      <c r="AP1229" t="s">
        <v>4510</v>
      </c>
      <c r="AQ1229" t="s">
        <v>74</v>
      </c>
      <c r="AR1229" t="s">
        <v>4511</v>
      </c>
      <c r="AS1229" t="s">
        <v>4512</v>
      </c>
      <c r="AT1229" t="s">
        <v>124</v>
      </c>
      <c r="AU1229">
        <v>2022</v>
      </c>
      <c r="AV1229">
        <v>22</v>
      </c>
      <c r="AW1229" t="s">
        <v>74</v>
      </c>
      <c r="AX1229" t="s">
        <v>74</v>
      </c>
      <c r="AY1229">
        <v>1</v>
      </c>
      <c r="AZ1229" t="s">
        <v>74</v>
      </c>
      <c r="BA1229" t="s">
        <v>74</v>
      </c>
      <c r="BB1229" t="s">
        <v>74</v>
      </c>
      <c r="BC1229" t="s">
        <v>74</v>
      </c>
      <c r="BD1229" t="s">
        <v>30805</v>
      </c>
      <c r="BE1229" t="s">
        <v>30804</v>
      </c>
      <c r="BF1229" t="str">
        <f>HYPERLINK("http://dx.doi.org/10.1002/pa.2722","http://dx.doi.org/10.1002/pa.2722")</f>
        <v>http://dx.doi.org/10.1002/pa.2722</v>
      </c>
      <c r="BG1229" t="s">
        <v>74</v>
      </c>
      <c r="BH1229" t="s">
        <v>1818</v>
      </c>
      <c r="BI1229">
        <v>10</v>
      </c>
      <c r="BJ1229" t="s">
        <v>3868</v>
      </c>
      <c r="BK1229" t="s">
        <v>313</v>
      </c>
      <c r="BL1229" t="s">
        <v>3868</v>
      </c>
      <c r="BM1229" t="s">
        <v>30803</v>
      </c>
      <c r="BN1229" t="s">
        <v>74</v>
      </c>
      <c r="BO1229" t="s">
        <v>74</v>
      </c>
      <c r="BP1229" t="s">
        <v>74</v>
      </c>
      <c r="BQ1229" t="s">
        <v>74</v>
      </c>
      <c r="BR1229" t="s">
        <v>102</v>
      </c>
      <c r="BS1229" t="s">
        <v>30802</v>
      </c>
      <c r="BT1229" t="str">
        <f>HYPERLINK("https%3A%2F%2Fwww.webofscience.com%2Fwos%2Fwoscc%2Ffull-record%2FWOS:000680206000001","View Full Record in Web of Science")</f>
        <v>View Full Record in Web of Science</v>
      </c>
    </row>
    <row r="1230" spans="1:72" x14ac:dyDescent="0.25">
      <c r="A1230" t="s">
        <v>72</v>
      </c>
      <c r="B1230" t="s">
        <v>22642</v>
      </c>
      <c r="C1230" t="s">
        <v>74</v>
      </c>
      <c r="D1230" t="s">
        <v>74</v>
      </c>
      <c r="E1230" t="s">
        <v>74</v>
      </c>
      <c r="F1230" t="s">
        <v>22640</v>
      </c>
      <c r="G1230" t="s">
        <v>74</v>
      </c>
      <c r="H1230" t="s">
        <v>74</v>
      </c>
      <c r="I1230" t="s">
        <v>30801</v>
      </c>
      <c r="J1230" t="s">
        <v>4472</v>
      </c>
      <c r="K1230" t="s">
        <v>74</v>
      </c>
      <c r="L1230" t="s">
        <v>74</v>
      </c>
      <c r="M1230" t="s">
        <v>78</v>
      </c>
      <c r="N1230" t="s">
        <v>79</v>
      </c>
      <c r="O1230" t="s">
        <v>74</v>
      </c>
      <c r="P1230" t="s">
        <v>74</v>
      </c>
      <c r="Q1230" t="s">
        <v>74</v>
      </c>
      <c r="R1230" t="s">
        <v>74</v>
      </c>
      <c r="S1230" t="s">
        <v>74</v>
      </c>
      <c r="T1230" t="s">
        <v>30800</v>
      </c>
      <c r="U1230" t="s">
        <v>30799</v>
      </c>
      <c r="V1230" t="s">
        <v>30798</v>
      </c>
      <c r="W1230" t="s">
        <v>30797</v>
      </c>
      <c r="X1230" t="s">
        <v>30796</v>
      </c>
      <c r="Y1230" t="s">
        <v>30795</v>
      </c>
      <c r="Z1230" t="s">
        <v>30794</v>
      </c>
      <c r="AA1230" t="s">
        <v>22627</v>
      </c>
      <c r="AB1230" t="s">
        <v>30793</v>
      </c>
      <c r="AC1230" t="s">
        <v>74</v>
      </c>
      <c r="AD1230" t="s">
        <v>74</v>
      </c>
      <c r="AE1230" t="s">
        <v>74</v>
      </c>
      <c r="AF1230" t="s">
        <v>74</v>
      </c>
      <c r="AG1230">
        <v>67</v>
      </c>
      <c r="AH1230">
        <v>252</v>
      </c>
      <c r="AI1230">
        <v>305</v>
      </c>
      <c r="AJ1230">
        <v>26</v>
      </c>
      <c r="AK1230">
        <v>428</v>
      </c>
      <c r="AL1230" t="s">
        <v>4485</v>
      </c>
      <c r="AM1230" t="s">
        <v>231</v>
      </c>
      <c r="AN1230" t="s">
        <v>4486</v>
      </c>
      <c r="AO1230" t="s">
        <v>4487</v>
      </c>
      <c r="AP1230" t="s">
        <v>4488</v>
      </c>
      <c r="AQ1230" t="s">
        <v>74</v>
      </c>
      <c r="AR1230" t="s">
        <v>4489</v>
      </c>
      <c r="AS1230" t="s">
        <v>4490</v>
      </c>
      <c r="AT1230" t="s">
        <v>891</v>
      </c>
      <c r="AU1230">
        <v>2019</v>
      </c>
      <c r="AV1230">
        <v>59</v>
      </c>
      <c r="AW1230" t="s">
        <v>74</v>
      </c>
      <c r="AX1230" t="s">
        <v>74</v>
      </c>
      <c r="AY1230" t="s">
        <v>74</v>
      </c>
      <c r="AZ1230" t="s">
        <v>74</v>
      </c>
      <c r="BA1230" t="s">
        <v>74</v>
      </c>
      <c r="BB1230" t="s">
        <v>74</v>
      </c>
      <c r="BC1230" t="s">
        <v>74</v>
      </c>
      <c r="BD1230">
        <v>101154</v>
      </c>
      <c r="BE1230" t="s">
        <v>30792</v>
      </c>
      <c r="BF1230" t="str">
        <f>HYPERLINK("http://dx.doi.org/10.1016/j.techsoc.2019.101154","http://dx.doi.org/10.1016/j.techsoc.2019.101154")</f>
        <v>http://dx.doi.org/10.1016/j.techsoc.2019.101154</v>
      </c>
      <c r="BG1230" t="s">
        <v>74</v>
      </c>
      <c r="BH1230" t="s">
        <v>74</v>
      </c>
      <c r="BI1230">
        <v>19</v>
      </c>
      <c r="BJ1230" t="s">
        <v>4492</v>
      </c>
      <c r="BK1230" t="s">
        <v>99</v>
      </c>
      <c r="BL1230" t="s">
        <v>4494</v>
      </c>
      <c r="BM1230" t="s">
        <v>30791</v>
      </c>
      <c r="BN1230" t="s">
        <v>74</v>
      </c>
      <c r="BO1230" t="s">
        <v>1205</v>
      </c>
      <c r="BP1230" t="s">
        <v>74</v>
      </c>
      <c r="BQ1230" t="s">
        <v>74</v>
      </c>
      <c r="BR1230" t="s">
        <v>102</v>
      </c>
      <c r="BS1230" t="s">
        <v>30790</v>
      </c>
      <c r="BT1230" t="str">
        <f>HYPERLINK("https%3A%2F%2Fwww.webofscience.com%2Fwos%2Fwoscc%2Ffull-record%2FWOS:000501800100024","View Full Record in Web of Science")</f>
        <v>View Full Record in Web of Science</v>
      </c>
    </row>
    <row r="1231" spans="1:72" x14ac:dyDescent="0.25">
      <c r="A1231" t="s">
        <v>72</v>
      </c>
      <c r="B1231" t="s">
        <v>30789</v>
      </c>
      <c r="C1231" t="s">
        <v>74</v>
      </c>
      <c r="D1231" t="s">
        <v>74</v>
      </c>
      <c r="E1231" t="s">
        <v>74</v>
      </c>
      <c r="F1231" t="s">
        <v>30788</v>
      </c>
      <c r="G1231" t="s">
        <v>74</v>
      </c>
      <c r="H1231" t="s">
        <v>74</v>
      </c>
      <c r="I1231" t="s">
        <v>30787</v>
      </c>
      <c r="J1231" t="s">
        <v>3397</v>
      </c>
      <c r="K1231" t="s">
        <v>74</v>
      </c>
      <c r="L1231" t="s">
        <v>74</v>
      </c>
      <c r="M1231" t="s">
        <v>78</v>
      </c>
      <c r="N1231" t="s">
        <v>79</v>
      </c>
      <c r="O1231" t="s">
        <v>74</v>
      </c>
      <c r="P1231" t="s">
        <v>74</v>
      </c>
      <c r="Q1231" t="s">
        <v>74</v>
      </c>
      <c r="R1231" t="s">
        <v>74</v>
      </c>
      <c r="S1231" t="s">
        <v>74</v>
      </c>
      <c r="T1231" t="s">
        <v>30786</v>
      </c>
      <c r="U1231" t="s">
        <v>30785</v>
      </c>
      <c r="V1231" t="s">
        <v>30784</v>
      </c>
      <c r="W1231" t="s">
        <v>30783</v>
      </c>
      <c r="X1231" t="s">
        <v>30782</v>
      </c>
      <c r="Y1231" t="s">
        <v>30781</v>
      </c>
      <c r="Z1231" t="s">
        <v>30780</v>
      </c>
      <c r="AA1231" t="s">
        <v>74</v>
      </c>
      <c r="AB1231" t="s">
        <v>30779</v>
      </c>
      <c r="AC1231" t="s">
        <v>30778</v>
      </c>
      <c r="AD1231" t="s">
        <v>30777</v>
      </c>
      <c r="AE1231" t="s">
        <v>30776</v>
      </c>
      <c r="AF1231" t="s">
        <v>74</v>
      </c>
      <c r="AG1231">
        <v>75</v>
      </c>
      <c r="AH1231">
        <v>15</v>
      </c>
      <c r="AI1231">
        <v>21</v>
      </c>
      <c r="AJ1231">
        <v>3</v>
      </c>
      <c r="AK1231">
        <v>74</v>
      </c>
      <c r="AL1231" t="s">
        <v>201</v>
      </c>
      <c r="AM1231" t="s">
        <v>202</v>
      </c>
      <c r="AN1231" t="s">
        <v>203</v>
      </c>
      <c r="AO1231" t="s">
        <v>3406</v>
      </c>
      <c r="AP1231" t="s">
        <v>3407</v>
      </c>
      <c r="AQ1231" t="s">
        <v>74</v>
      </c>
      <c r="AR1231" t="s">
        <v>3408</v>
      </c>
      <c r="AS1231" t="s">
        <v>3409</v>
      </c>
      <c r="AT1231" t="s">
        <v>1652</v>
      </c>
      <c r="AU1231">
        <v>2021</v>
      </c>
      <c r="AV1231">
        <v>67</v>
      </c>
      <c r="AW1231" t="s">
        <v>74</v>
      </c>
      <c r="AX1231" t="s">
        <v>74</v>
      </c>
      <c r="AY1231" t="s">
        <v>74</v>
      </c>
      <c r="AZ1231" t="s">
        <v>74</v>
      </c>
      <c r="BA1231" t="s">
        <v>74</v>
      </c>
      <c r="BB1231" t="s">
        <v>74</v>
      </c>
      <c r="BC1231" t="s">
        <v>74</v>
      </c>
      <c r="BD1231">
        <v>101552</v>
      </c>
      <c r="BE1231" t="s">
        <v>30775</v>
      </c>
      <c r="BF1231" t="str">
        <f>HYPERLINK("http://dx.doi.org/10.1016/j.pacfin.2021.101552","http://dx.doi.org/10.1016/j.pacfin.2021.101552")</f>
        <v>http://dx.doi.org/10.1016/j.pacfin.2021.101552</v>
      </c>
      <c r="BG1231" t="s">
        <v>74</v>
      </c>
      <c r="BH1231" t="s">
        <v>443</v>
      </c>
      <c r="BI1231">
        <v>20</v>
      </c>
      <c r="BJ1231" t="s">
        <v>268</v>
      </c>
      <c r="BK1231" t="s">
        <v>99</v>
      </c>
      <c r="BL1231" t="s">
        <v>100</v>
      </c>
      <c r="BM1231" t="s">
        <v>30774</v>
      </c>
      <c r="BN1231" t="s">
        <v>74</v>
      </c>
      <c r="BO1231" t="s">
        <v>74</v>
      </c>
      <c r="BP1231" t="s">
        <v>74</v>
      </c>
      <c r="BQ1231" t="s">
        <v>74</v>
      </c>
      <c r="BR1231" t="s">
        <v>102</v>
      </c>
      <c r="BS1231" t="s">
        <v>30773</v>
      </c>
      <c r="BT1231" t="str">
        <f>HYPERLINK("https%3A%2F%2Fwww.webofscience.com%2Fwos%2Fwoscc%2Ffull-record%2FWOS:000663439700008","View Full Record in Web of Science")</f>
        <v>View Full Record in Web of Science</v>
      </c>
    </row>
    <row r="1232" spans="1:72" x14ac:dyDescent="0.25">
      <c r="A1232" t="s">
        <v>132</v>
      </c>
      <c r="B1232" t="s">
        <v>30772</v>
      </c>
      <c r="C1232" t="s">
        <v>74</v>
      </c>
      <c r="D1232" t="s">
        <v>74</v>
      </c>
      <c r="E1232" t="s">
        <v>74</v>
      </c>
      <c r="F1232" t="s">
        <v>30771</v>
      </c>
      <c r="G1232" t="s">
        <v>74</v>
      </c>
      <c r="H1232" t="s">
        <v>74</v>
      </c>
      <c r="I1232" t="s">
        <v>30770</v>
      </c>
      <c r="J1232" t="s">
        <v>540</v>
      </c>
      <c r="K1232" t="s">
        <v>74</v>
      </c>
      <c r="L1232" t="s">
        <v>74</v>
      </c>
      <c r="M1232" t="s">
        <v>78</v>
      </c>
      <c r="N1232" t="s">
        <v>138</v>
      </c>
      <c r="O1232" t="s">
        <v>30769</v>
      </c>
      <c r="P1232" t="s">
        <v>30768</v>
      </c>
      <c r="Q1232" t="s">
        <v>30767</v>
      </c>
      <c r="R1232" t="s">
        <v>74</v>
      </c>
      <c r="S1232" t="s">
        <v>74</v>
      </c>
      <c r="T1232" t="s">
        <v>30766</v>
      </c>
      <c r="U1232" t="s">
        <v>74</v>
      </c>
      <c r="V1232" t="s">
        <v>30765</v>
      </c>
      <c r="W1232" t="s">
        <v>30764</v>
      </c>
      <c r="X1232" t="s">
        <v>30763</v>
      </c>
      <c r="Y1232" t="s">
        <v>30762</v>
      </c>
      <c r="Z1232" t="s">
        <v>74</v>
      </c>
      <c r="AA1232" t="s">
        <v>74</v>
      </c>
      <c r="AB1232" t="s">
        <v>30761</v>
      </c>
      <c r="AC1232" t="s">
        <v>74</v>
      </c>
      <c r="AD1232" t="s">
        <v>74</v>
      </c>
      <c r="AE1232" t="s">
        <v>74</v>
      </c>
      <c r="AF1232" t="s">
        <v>74</v>
      </c>
      <c r="AG1232">
        <v>9</v>
      </c>
      <c r="AH1232">
        <v>5</v>
      </c>
      <c r="AI1232">
        <v>5</v>
      </c>
      <c r="AJ1232">
        <v>0</v>
      </c>
      <c r="AK1232">
        <v>11</v>
      </c>
      <c r="AL1232" t="s">
        <v>551</v>
      </c>
      <c r="AM1232" t="s">
        <v>552</v>
      </c>
      <c r="AN1232" t="s">
        <v>553</v>
      </c>
      <c r="AO1232" t="s">
        <v>554</v>
      </c>
      <c r="AP1232" t="s">
        <v>555</v>
      </c>
      <c r="AQ1232" t="s">
        <v>74</v>
      </c>
      <c r="AR1232" t="s">
        <v>556</v>
      </c>
      <c r="AS1232" t="s">
        <v>557</v>
      </c>
      <c r="AT1232" t="s">
        <v>289</v>
      </c>
      <c r="AU1232">
        <v>2017</v>
      </c>
      <c r="AV1232">
        <v>23</v>
      </c>
      <c r="AW1232">
        <v>8</v>
      </c>
      <c r="AX1232" t="s">
        <v>74</v>
      </c>
      <c r="AY1232" t="s">
        <v>74</v>
      </c>
      <c r="AZ1232" t="s">
        <v>74</v>
      </c>
      <c r="BA1232" t="s">
        <v>74</v>
      </c>
      <c r="BB1232">
        <v>7204</v>
      </c>
      <c r="BC1232">
        <v>7206</v>
      </c>
      <c r="BD1232" t="s">
        <v>74</v>
      </c>
      <c r="BE1232" t="s">
        <v>30760</v>
      </c>
      <c r="BF1232" t="str">
        <f>HYPERLINK("http://dx.doi.org/10.1166/asl.2017.9330","http://dx.doi.org/10.1166/asl.2017.9330")</f>
        <v>http://dx.doi.org/10.1166/asl.2017.9330</v>
      </c>
      <c r="BG1232" t="s">
        <v>74</v>
      </c>
      <c r="BH1232" t="s">
        <v>74</v>
      </c>
      <c r="BI1232">
        <v>3</v>
      </c>
      <c r="BJ1232" t="s">
        <v>559</v>
      </c>
      <c r="BK1232" t="s">
        <v>156</v>
      </c>
      <c r="BL1232" t="s">
        <v>560</v>
      </c>
      <c r="BM1232" t="s">
        <v>30759</v>
      </c>
      <c r="BN1232" t="s">
        <v>74</v>
      </c>
      <c r="BO1232" t="s">
        <v>74</v>
      </c>
      <c r="BP1232" t="s">
        <v>74</v>
      </c>
      <c r="BQ1232" t="s">
        <v>74</v>
      </c>
      <c r="BR1232" t="s">
        <v>102</v>
      </c>
      <c r="BS1232" t="s">
        <v>30758</v>
      </c>
      <c r="BT1232" t="str">
        <f>HYPERLINK("https%3A%2F%2Fwww.webofscience.com%2Fwos%2Fwoscc%2Ffull-record%2FWOS:000431498300049","View Full Record in Web of Science")</f>
        <v>View Full Record in Web of Science</v>
      </c>
    </row>
    <row r="1233" spans="1:72" x14ac:dyDescent="0.25">
      <c r="A1233" t="s">
        <v>72</v>
      </c>
      <c r="B1233" t="s">
        <v>30757</v>
      </c>
      <c r="C1233" t="s">
        <v>74</v>
      </c>
      <c r="D1233" t="s">
        <v>74</v>
      </c>
      <c r="E1233" t="s">
        <v>74</v>
      </c>
      <c r="F1233" t="s">
        <v>30756</v>
      </c>
      <c r="G1233" t="s">
        <v>74</v>
      </c>
      <c r="H1233" t="s">
        <v>74</v>
      </c>
      <c r="I1233" t="s">
        <v>30755</v>
      </c>
      <c r="J1233" t="s">
        <v>11490</v>
      </c>
      <c r="K1233" t="s">
        <v>74</v>
      </c>
      <c r="L1233" t="s">
        <v>74</v>
      </c>
      <c r="M1233" t="s">
        <v>78</v>
      </c>
      <c r="N1233" t="s">
        <v>79</v>
      </c>
      <c r="O1233" t="s">
        <v>74</v>
      </c>
      <c r="P1233" t="s">
        <v>74</v>
      </c>
      <c r="Q1233" t="s">
        <v>74</v>
      </c>
      <c r="R1233" t="s">
        <v>74</v>
      </c>
      <c r="S1233" t="s">
        <v>74</v>
      </c>
      <c r="T1233" t="s">
        <v>30754</v>
      </c>
      <c r="U1233" t="s">
        <v>30753</v>
      </c>
      <c r="V1233" t="s">
        <v>30752</v>
      </c>
      <c r="W1233" t="s">
        <v>30751</v>
      </c>
      <c r="X1233" t="s">
        <v>30750</v>
      </c>
      <c r="Y1233" t="s">
        <v>30749</v>
      </c>
      <c r="Z1233" t="s">
        <v>30748</v>
      </c>
      <c r="AA1233" t="s">
        <v>30747</v>
      </c>
      <c r="AB1233" t="s">
        <v>30746</v>
      </c>
      <c r="AC1233" t="s">
        <v>30745</v>
      </c>
      <c r="AD1233" t="s">
        <v>30744</v>
      </c>
      <c r="AE1233" t="s">
        <v>30743</v>
      </c>
      <c r="AF1233" t="s">
        <v>74</v>
      </c>
      <c r="AG1233">
        <v>43</v>
      </c>
      <c r="AH1233">
        <v>67</v>
      </c>
      <c r="AI1233">
        <v>90</v>
      </c>
      <c r="AJ1233">
        <v>1</v>
      </c>
      <c r="AK1233">
        <v>88</v>
      </c>
      <c r="AL1233" t="s">
        <v>332</v>
      </c>
      <c r="AM1233" t="s">
        <v>333</v>
      </c>
      <c r="AN1233" t="s">
        <v>334</v>
      </c>
      <c r="AO1233" t="s">
        <v>11502</v>
      </c>
      <c r="AP1233" t="s">
        <v>11503</v>
      </c>
      <c r="AQ1233" t="s">
        <v>74</v>
      </c>
      <c r="AR1233" t="s">
        <v>11504</v>
      </c>
      <c r="AS1233" t="s">
        <v>11505</v>
      </c>
      <c r="AT1233" t="s">
        <v>13792</v>
      </c>
      <c r="AU1233">
        <v>2020</v>
      </c>
      <c r="AV1233">
        <v>26</v>
      </c>
      <c r="AW1233" t="s">
        <v>13793</v>
      </c>
      <c r="AX1233" t="s">
        <v>74</v>
      </c>
      <c r="AY1233" t="s">
        <v>74</v>
      </c>
      <c r="AZ1233" t="s">
        <v>441</v>
      </c>
      <c r="BA1233" t="s">
        <v>74</v>
      </c>
      <c r="BB1233">
        <v>319</v>
      </c>
      <c r="BC1233">
        <v>340</v>
      </c>
      <c r="BD1233" t="s">
        <v>74</v>
      </c>
      <c r="BE1233" t="s">
        <v>30742</v>
      </c>
      <c r="BF1233" t="str">
        <f>HYPERLINK("http://dx.doi.org/10.1080/1351847X.2019.1686709","http://dx.doi.org/10.1080/1351847X.2019.1686709")</f>
        <v>http://dx.doi.org/10.1080/1351847X.2019.1686709</v>
      </c>
      <c r="BG1233" t="s">
        <v>74</v>
      </c>
      <c r="BH1233" t="s">
        <v>7700</v>
      </c>
      <c r="BI1233">
        <v>22</v>
      </c>
      <c r="BJ1233" t="s">
        <v>268</v>
      </c>
      <c r="BK1233" t="s">
        <v>99</v>
      </c>
      <c r="BL1233" t="s">
        <v>100</v>
      </c>
      <c r="BM1233" t="s">
        <v>13795</v>
      </c>
      <c r="BN1233" t="s">
        <v>74</v>
      </c>
      <c r="BO1233" t="s">
        <v>74</v>
      </c>
      <c r="BP1233" t="s">
        <v>74</v>
      </c>
      <c r="BQ1233" t="s">
        <v>74</v>
      </c>
      <c r="BR1233" t="s">
        <v>102</v>
      </c>
      <c r="BS1233" t="s">
        <v>30741</v>
      </c>
      <c r="BT1233" t="str">
        <f>HYPERLINK("https%3A%2F%2Fwww.webofscience.com%2Fwos%2Fwoscc%2Ffull-record%2FWOS:000495158400001","View Full Record in Web of Science")</f>
        <v>View Full Record in Web of Science</v>
      </c>
    </row>
    <row r="1234" spans="1:72" x14ac:dyDescent="0.25">
      <c r="A1234" t="s">
        <v>72</v>
      </c>
      <c r="B1234" t="s">
        <v>30740</v>
      </c>
      <c r="C1234" t="s">
        <v>74</v>
      </c>
      <c r="D1234" t="s">
        <v>74</v>
      </c>
      <c r="E1234" t="s">
        <v>74</v>
      </c>
      <c r="F1234" t="s">
        <v>30739</v>
      </c>
      <c r="G1234" t="s">
        <v>74</v>
      </c>
      <c r="H1234" t="s">
        <v>74</v>
      </c>
      <c r="I1234" t="s">
        <v>30738</v>
      </c>
      <c r="J1234" t="s">
        <v>4306</v>
      </c>
      <c r="K1234" t="s">
        <v>74</v>
      </c>
      <c r="L1234" t="s">
        <v>74</v>
      </c>
      <c r="M1234" t="s">
        <v>78</v>
      </c>
      <c r="N1234" t="s">
        <v>79</v>
      </c>
      <c r="O1234" t="s">
        <v>74</v>
      </c>
      <c r="P1234" t="s">
        <v>74</v>
      </c>
      <c r="Q1234" t="s">
        <v>74</v>
      </c>
      <c r="R1234" t="s">
        <v>74</v>
      </c>
      <c r="S1234" t="s">
        <v>74</v>
      </c>
      <c r="T1234" t="s">
        <v>30737</v>
      </c>
      <c r="U1234" t="s">
        <v>30736</v>
      </c>
      <c r="V1234" t="s">
        <v>30735</v>
      </c>
      <c r="W1234" t="s">
        <v>30734</v>
      </c>
      <c r="X1234" t="s">
        <v>30733</v>
      </c>
      <c r="Y1234" t="s">
        <v>30732</v>
      </c>
      <c r="Z1234" t="s">
        <v>30731</v>
      </c>
      <c r="AA1234" t="s">
        <v>30730</v>
      </c>
      <c r="AB1234" t="s">
        <v>30729</v>
      </c>
      <c r="AC1234" t="s">
        <v>30728</v>
      </c>
      <c r="AD1234" t="s">
        <v>30727</v>
      </c>
      <c r="AE1234" t="s">
        <v>30726</v>
      </c>
      <c r="AF1234" t="s">
        <v>74</v>
      </c>
      <c r="AG1234">
        <v>78</v>
      </c>
      <c r="AH1234">
        <v>35</v>
      </c>
      <c r="AI1234">
        <v>35</v>
      </c>
      <c r="AJ1234">
        <v>57</v>
      </c>
      <c r="AK1234">
        <v>292</v>
      </c>
      <c r="AL1234" t="s">
        <v>503</v>
      </c>
      <c r="AM1234" t="s">
        <v>151</v>
      </c>
      <c r="AN1234" t="s">
        <v>504</v>
      </c>
      <c r="AO1234" t="s">
        <v>4315</v>
      </c>
      <c r="AP1234" t="s">
        <v>4316</v>
      </c>
      <c r="AQ1234" t="s">
        <v>74</v>
      </c>
      <c r="AR1234" t="s">
        <v>4317</v>
      </c>
      <c r="AS1234" t="s">
        <v>4318</v>
      </c>
      <c r="AT1234" t="s">
        <v>605</v>
      </c>
      <c r="AU1234">
        <v>2024</v>
      </c>
      <c r="AV1234">
        <v>200</v>
      </c>
      <c r="AW1234" t="s">
        <v>74</v>
      </c>
      <c r="AX1234" t="s">
        <v>74</v>
      </c>
      <c r="AY1234" t="s">
        <v>74</v>
      </c>
      <c r="AZ1234" t="s">
        <v>74</v>
      </c>
      <c r="BA1234" t="s">
        <v>74</v>
      </c>
      <c r="BB1234" t="s">
        <v>74</v>
      </c>
      <c r="BC1234" t="s">
        <v>74</v>
      </c>
      <c r="BD1234">
        <v>123179</v>
      </c>
      <c r="BE1234" t="s">
        <v>30725</v>
      </c>
      <c r="BF1234" t="str">
        <f>HYPERLINK("http://dx.doi.org/10.1016/j.techfore.2023.123179","http://dx.doi.org/10.1016/j.techfore.2023.123179")</f>
        <v>http://dx.doi.org/10.1016/j.techfore.2023.123179</v>
      </c>
      <c r="BG1234" t="s">
        <v>74</v>
      </c>
      <c r="BH1234" t="s">
        <v>239</v>
      </c>
      <c r="BI1234">
        <v>15</v>
      </c>
      <c r="BJ1234" t="s">
        <v>1627</v>
      </c>
      <c r="BK1234" t="s">
        <v>99</v>
      </c>
      <c r="BL1234" t="s">
        <v>1406</v>
      </c>
      <c r="BM1234" t="s">
        <v>30724</v>
      </c>
      <c r="BN1234" t="s">
        <v>74</v>
      </c>
      <c r="BO1234" t="s">
        <v>74</v>
      </c>
      <c r="BP1234" t="s">
        <v>74</v>
      </c>
      <c r="BQ1234" t="s">
        <v>74</v>
      </c>
      <c r="BR1234" t="s">
        <v>102</v>
      </c>
      <c r="BS1234" t="s">
        <v>30723</v>
      </c>
      <c r="BT1234" t="str">
        <f>HYPERLINK("https%3A%2F%2Fwww.webofscience.com%2Fwos%2Fwoscc%2Ffull-record%2FWOS:001155044400001","View Full Record in Web of Science")</f>
        <v>View Full Record in Web of Science</v>
      </c>
    </row>
    <row r="1235" spans="1:72" x14ac:dyDescent="0.25">
      <c r="A1235" t="s">
        <v>72</v>
      </c>
      <c r="B1235" t="s">
        <v>30722</v>
      </c>
      <c r="C1235" t="s">
        <v>74</v>
      </c>
      <c r="D1235" t="s">
        <v>74</v>
      </c>
      <c r="E1235" t="s">
        <v>74</v>
      </c>
      <c r="F1235" t="s">
        <v>30721</v>
      </c>
      <c r="G1235" t="s">
        <v>74</v>
      </c>
      <c r="H1235" t="s">
        <v>74</v>
      </c>
      <c r="I1235" t="s">
        <v>30720</v>
      </c>
      <c r="J1235" t="s">
        <v>13193</v>
      </c>
      <c r="K1235" t="s">
        <v>74</v>
      </c>
      <c r="L1235" t="s">
        <v>74</v>
      </c>
      <c r="M1235" t="s">
        <v>78</v>
      </c>
      <c r="N1235" t="s">
        <v>79</v>
      </c>
      <c r="O1235" t="s">
        <v>74</v>
      </c>
      <c r="P1235" t="s">
        <v>74</v>
      </c>
      <c r="Q1235" t="s">
        <v>74</v>
      </c>
      <c r="R1235" t="s">
        <v>74</v>
      </c>
      <c r="S1235" t="s">
        <v>74</v>
      </c>
      <c r="T1235" t="s">
        <v>30719</v>
      </c>
      <c r="U1235" t="s">
        <v>30718</v>
      </c>
      <c r="V1235" t="s">
        <v>30717</v>
      </c>
      <c r="W1235" t="s">
        <v>30716</v>
      </c>
      <c r="X1235" t="s">
        <v>30715</v>
      </c>
      <c r="Y1235" t="s">
        <v>30714</v>
      </c>
      <c r="Z1235" t="s">
        <v>30713</v>
      </c>
      <c r="AA1235" t="s">
        <v>74</v>
      </c>
      <c r="AB1235" t="s">
        <v>30712</v>
      </c>
      <c r="AC1235" t="s">
        <v>74</v>
      </c>
      <c r="AD1235" t="s">
        <v>74</v>
      </c>
      <c r="AE1235" t="s">
        <v>74</v>
      </c>
      <c r="AF1235" t="s">
        <v>74</v>
      </c>
      <c r="AG1235">
        <v>42</v>
      </c>
      <c r="AH1235">
        <v>8</v>
      </c>
      <c r="AI1235">
        <v>14</v>
      </c>
      <c r="AJ1235">
        <v>2</v>
      </c>
      <c r="AK1235">
        <v>28</v>
      </c>
      <c r="AL1235" t="s">
        <v>575</v>
      </c>
      <c r="AM1235" t="s">
        <v>576</v>
      </c>
      <c r="AN1235" t="s">
        <v>577</v>
      </c>
      <c r="AO1235" t="s">
        <v>74</v>
      </c>
      <c r="AP1235" t="s">
        <v>13206</v>
      </c>
      <c r="AQ1235" t="s">
        <v>74</v>
      </c>
      <c r="AR1235" t="s">
        <v>13207</v>
      </c>
      <c r="AS1235" t="s">
        <v>13208</v>
      </c>
      <c r="AT1235" t="s">
        <v>124</v>
      </c>
      <c r="AU1235">
        <v>2021</v>
      </c>
      <c r="AV1235">
        <v>11</v>
      </c>
      <c r="AW1235">
        <v>12</v>
      </c>
      <c r="AX1235" t="s">
        <v>74</v>
      </c>
      <c r="AY1235" t="s">
        <v>74</v>
      </c>
      <c r="AZ1235" t="s">
        <v>74</v>
      </c>
      <c r="BA1235" t="s">
        <v>74</v>
      </c>
      <c r="BB1235" t="s">
        <v>74</v>
      </c>
      <c r="BC1235" t="s">
        <v>74</v>
      </c>
      <c r="BD1235">
        <v>176</v>
      </c>
      <c r="BE1235" t="s">
        <v>30711</v>
      </c>
      <c r="BF1235" t="str">
        <f>HYPERLINK("http://dx.doi.org/10.3390/bs11120176","http://dx.doi.org/10.3390/bs11120176")</f>
        <v>http://dx.doi.org/10.3390/bs11120176</v>
      </c>
      <c r="BG1235" t="s">
        <v>74</v>
      </c>
      <c r="BH1235" t="s">
        <v>74</v>
      </c>
      <c r="BI1235">
        <v>19</v>
      </c>
      <c r="BJ1235" t="s">
        <v>2992</v>
      </c>
      <c r="BK1235" t="s">
        <v>99</v>
      </c>
      <c r="BL1235" t="s">
        <v>2993</v>
      </c>
      <c r="BM1235" t="s">
        <v>30710</v>
      </c>
      <c r="BN1235">
        <v>34940111</v>
      </c>
      <c r="BO1235" t="s">
        <v>916</v>
      </c>
      <c r="BP1235" t="s">
        <v>74</v>
      </c>
      <c r="BQ1235" t="s">
        <v>74</v>
      </c>
      <c r="BR1235" t="s">
        <v>102</v>
      </c>
      <c r="BS1235" t="s">
        <v>30709</v>
      </c>
      <c r="BT1235" t="str">
        <f>HYPERLINK("https%3A%2F%2Fwww.webofscience.com%2Fwos%2Fwoscc%2Ffull-record%2FWOS:000736254700001","View Full Record in Web of Science")</f>
        <v>View Full Record in Web of Science</v>
      </c>
    </row>
    <row r="1236" spans="1:72" x14ac:dyDescent="0.25">
      <c r="A1236" t="s">
        <v>72</v>
      </c>
      <c r="B1236" t="s">
        <v>30708</v>
      </c>
      <c r="C1236" t="s">
        <v>74</v>
      </c>
      <c r="D1236" t="s">
        <v>74</v>
      </c>
      <c r="E1236" t="s">
        <v>74</v>
      </c>
      <c r="F1236" t="s">
        <v>30707</v>
      </c>
      <c r="G1236" t="s">
        <v>74</v>
      </c>
      <c r="H1236" t="s">
        <v>74</v>
      </c>
      <c r="I1236" t="s">
        <v>30706</v>
      </c>
      <c r="J1236" t="s">
        <v>4789</v>
      </c>
      <c r="K1236" t="s">
        <v>74</v>
      </c>
      <c r="L1236" t="s">
        <v>74</v>
      </c>
      <c r="M1236" t="s">
        <v>78</v>
      </c>
      <c r="N1236" t="s">
        <v>1766</v>
      </c>
      <c r="O1236" t="s">
        <v>74</v>
      </c>
      <c r="P1236" t="s">
        <v>74</v>
      </c>
      <c r="Q1236" t="s">
        <v>74</v>
      </c>
      <c r="R1236" t="s">
        <v>74</v>
      </c>
      <c r="S1236" t="s">
        <v>74</v>
      </c>
      <c r="T1236" t="s">
        <v>30705</v>
      </c>
      <c r="U1236" t="s">
        <v>30704</v>
      </c>
      <c r="V1236" t="s">
        <v>30703</v>
      </c>
      <c r="W1236" t="s">
        <v>30702</v>
      </c>
      <c r="X1236" t="s">
        <v>30701</v>
      </c>
      <c r="Y1236" t="s">
        <v>30700</v>
      </c>
      <c r="Z1236" t="s">
        <v>30699</v>
      </c>
      <c r="AA1236" t="s">
        <v>30698</v>
      </c>
      <c r="AB1236" t="s">
        <v>30697</v>
      </c>
      <c r="AC1236" t="s">
        <v>30696</v>
      </c>
      <c r="AD1236" t="s">
        <v>30695</v>
      </c>
      <c r="AE1236" t="s">
        <v>30694</v>
      </c>
      <c r="AF1236" t="s">
        <v>74</v>
      </c>
      <c r="AG1236">
        <v>141</v>
      </c>
      <c r="AH1236">
        <v>61</v>
      </c>
      <c r="AI1236">
        <v>78</v>
      </c>
      <c r="AJ1236">
        <v>0</v>
      </c>
      <c r="AK1236">
        <v>94</v>
      </c>
      <c r="AL1236" t="s">
        <v>4485</v>
      </c>
      <c r="AM1236" t="s">
        <v>6724</v>
      </c>
      <c r="AN1236" t="s">
        <v>6725</v>
      </c>
      <c r="AO1236" t="s">
        <v>4797</v>
      </c>
      <c r="AP1236" t="s">
        <v>4798</v>
      </c>
      <c r="AQ1236" t="s">
        <v>74</v>
      </c>
      <c r="AR1236" t="s">
        <v>4799</v>
      </c>
      <c r="AS1236" t="s">
        <v>4800</v>
      </c>
      <c r="AT1236" t="s">
        <v>289</v>
      </c>
      <c r="AU1236">
        <v>2019</v>
      </c>
      <c r="AV1236">
        <v>47</v>
      </c>
      <c r="AW1236" t="s">
        <v>74</v>
      </c>
      <c r="AX1236" t="s">
        <v>74</v>
      </c>
      <c r="AY1236" t="s">
        <v>74</v>
      </c>
      <c r="AZ1236" t="s">
        <v>74</v>
      </c>
      <c r="BA1236" t="s">
        <v>74</v>
      </c>
      <c r="BB1236">
        <v>183</v>
      </c>
      <c r="BC1236">
        <v>197</v>
      </c>
      <c r="BD1236" t="s">
        <v>74</v>
      </c>
      <c r="BE1236" t="s">
        <v>30693</v>
      </c>
      <c r="BF1236" t="str">
        <f>HYPERLINK("http://dx.doi.org/10.1016/j.ijinfomgt.2019.01.001","http://dx.doi.org/10.1016/j.ijinfomgt.2019.01.001")</f>
        <v>http://dx.doi.org/10.1016/j.ijinfomgt.2019.01.001</v>
      </c>
      <c r="BG1236" t="s">
        <v>74</v>
      </c>
      <c r="BH1236" t="s">
        <v>74</v>
      </c>
      <c r="BI1236">
        <v>15</v>
      </c>
      <c r="BJ1236" t="s">
        <v>2351</v>
      </c>
      <c r="BK1236" t="s">
        <v>99</v>
      </c>
      <c r="BL1236" t="s">
        <v>2351</v>
      </c>
      <c r="BM1236" t="s">
        <v>30692</v>
      </c>
      <c r="BN1236" t="s">
        <v>74</v>
      </c>
      <c r="BO1236" t="s">
        <v>74</v>
      </c>
      <c r="BP1236" t="s">
        <v>74</v>
      </c>
      <c r="BQ1236" t="s">
        <v>74</v>
      </c>
      <c r="BR1236" t="s">
        <v>102</v>
      </c>
      <c r="BS1236" t="s">
        <v>30691</v>
      </c>
      <c r="BT1236" t="str">
        <f>HYPERLINK("https%3A%2F%2Fwww.webofscience.com%2Fwos%2Fwoscc%2Ffull-record%2FWOS:000471793400016","View Full Record in Web of Science")</f>
        <v>View Full Record in Web of Science</v>
      </c>
    </row>
    <row r="1237" spans="1:72" x14ac:dyDescent="0.25">
      <c r="A1237" t="s">
        <v>72</v>
      </c>
      <c r="B1237" t="s">
        <v>30690</v>
      </c>
      <c r="C1237" t="s">
        <v>74</v>
      </c>
      <c r="D1237" t="s">
        <v>74</v>
      </c>
      <c r="E1237" t="s">
        <v>74</v>
      </c>
      <c r="F1237" t="s">
        <v>30689</v>
      </c>
      <c r="G1237" t="s">
        <v>74</v>
      </c>
      <c r="H1237" t="s">
        <v>74</v>
      </c>
      <c r="I1237" t="s">
        <v>30688</v>
      </c>
      <c r="J1237" t="s">
        <v>11074</v>
      </c>
      <c r="K1237" t="s">
        <v>74</v>
      </c>
      <c r="L1237" t="s">
        <v>74</v>
      </c>
      <c r="M1237" t="s">
        <v>78</v>
      </c>
      <c r="N1237" t="s">
        <v>79</v>
      </c>
      <c r="O1237" t="s">
        <v>74</v>
      </c>
      <c r="P1237" t="s">
        <v>74</v>
      </c>
      <c r="Q1237" t="s">
        <v>74</v>
      </c>
      <c r="R1237" t="s">
        <v>74</v>
      </c>
      <c r="S1237" t="s">
        <v>74</v>
      </c>
      <c r="T1237" t="s">
        <v>30687</v>
      </c>
      <c r="U1237" t="s">
        <v>30686</v>
      </c>
      <c r="V1237" t="s">
        <v>30685</v>
      </c>
      <c r="W1237" t="s">
        <v>30684</v>
      </c>
      <c r="X1237" t="s">
        <v>74</v>
      </c>
      <c r="Y1237" t="s">
        <v>30683</v>
      </c>
      <c r="Z1237" t="s">
        <v>30682</v>
      </c>
      <c r="AA1237" t="s">
        <v>30681</v>
      </c>
      <c r="AB1237" t="s">
        <v>74</v>
      </c>
      <c r="AC1237" t="s">
        <v>74</v>
      </c>
      <c r="AD1237" t="s">
        <v>74</v>
      </c>
      <c r="AE1237" t="s">
        <v>74</v>
      </c>
      <c r="AF1237" t="s">
        <v>74</v>
      </c>
      <c r="AG1237">
        <v>54</v>
      </c>
      <c r="AH1237">
        <v>27</v>
      </c>
      <c r="AI1237">
        <v>34</v>
      </c>
      <c r="AJ1237">
        <v>8</v>
      </c>
      <c r="AK1237">
        <v>115</v>
      </c>
      <c r="AL1237" t="s">
        <v>89</v>
      </c>
      <c r="AM1237" t="s">
        <v>1497</v>
      </c>
      <c r="AN1237" t="s">
        <v>1498</v>
      </c>
      <c r="AO1237" t="s">
        <v>11083</v>
      </c>
      <c r="AP1237" t="s">
        <v>11084</v>
      </c>
      <c r="AQ1237" t="s">
        <v>74</v>
      </c>
      <c r="AR1237" t="s">
        <v>11085</v>
      </c>
      <c r="AS1237" t="s">
        <v>11086</v>
      </c>
      <c r="AT1237" t="s">
        <v>7247</v>
      </c>
      <c r="AU1237">
        <v>2022</v>
      </c>
      <c r="AV1237">
        <v>24</v>
      </c>
      <c r="AW1237">
        <v>5</v>
      </c>
      <c r="AX1237" t="s">
        <v>74</v>
      </c>
      <c r="AY1237" t="s">
        <v>74</v>
      </c>
      <c r="AZ1237" t="s">
        <v>74</v>
      </c>
      <c r="BA1237" t="s">
        <v>74</v>
      </c>
      <c r="BB1237">
        <v>435</v>
      </c>
      <c r="BC1237">
        <v>448</v>
      </c>
      <c r="BD1237" t="s">
        <v>74</v>
      </c>
      <c r="BE1237" t="s">
        <v>30680</v>
      </c>
      <c r="BF1237" t="str">
        <f>HYPERLINK("http://dx.doi.org/10.1108/DPRG-09-2021-0111","http://dx.doi.org/10.1108/DPRG-09-2021-0111")</f>
        <v>http://dx.doi.org/10.1108/DPRG-09-2021-0111</v>
      </c>
      <c r="BG1237" t="s">
        <v>74</v>
      </c>
      <c r="BH1237" t="s">
        <v>6014</v>
      </c>
      <c r="BI1237">
        <v>14</v>
      </c>
      <c r="BJ1237" t="s">
        <v>2351</v>
      </c>
      <c r="BK1237" t="s">
        <v>313</v>
      </c>
      <c r="BL1237" t="s">
        <v>2351</v>
      </c>
      <c r="BM1237" t="s">
        <v>30679</v>
      </c>
      <c r="BN1237" t="s">
        <v>74</v>
      </c>
      <c r="BO1237" t="s">
        <v>74</v>
      </c>
      <c r="BP1237" t="s">
        <v>74</v>
      </c>
      <c r="BQ1237" t="s">
        <v>74</v>
      </c>
      <c r="BR1237" t="s">
        <v>102</v>
      </c>
      <c r="BS1237" t="s">
        <v>30678</v>
      </c>
      <c r="BT1237" t="str">
        <f>HYPERLINK("https%3A%2F%2Fwww.webofscience.com%2Fwos%2Fwoscc%2Ffull-record%2FWOS:000860820200001","View Full Record in Web of Science")</f>
        <v>View Full Record in Web of Science</v>
      </c>
    </row>
    <row r="1238" spans="1:72" x14ac:dyDescent="0.25">
      <c r="A1238" t="s">
        <v>72</v>
      </c>
      <c r="B1238" t="s">
        <v>30677</v>
      </c>
      <c r="C1238" t="s">
        <v>74</v>
      </c>
      <c r="D1238" t="s">
        <v>74</v>
      </c>
      <c r="E1238" t="s">
        <v>74</v>
      </c>
      <c r="F1238" t="s">
        <v>30676</v>
      </c>
      <c r="G1238" t="s">
        <v>74</v>
      </c>
      <c r="H1238" t="s">
        <v>74</v>
      </c>
      <c r="I1238" t="s">
        <v>30675</v>
      </c>
      <c r="J1238" t="s">
        <v>12150</v>
      </c>
      <c r="K1238" t="s">
        <v>74</v>
      </c>
      <c r="L1238" t="s">
        <v>74</v>
      </c>
      <c r="M1238" t="s">
        <v>78</v>
      </c>
      <c r="N1238" t="s">
        <v>79</v>
      </c>
      <c r="O1238" t="s">
        <v>74</v>
      </c>
      <c r="P1238" t="s">
        <v>74</v>
      </c>
      <c r="Q1238" t="s">
        <v>74</v>
      </c>
      <c r="R1238" t="s">
        <v>74</v>
      </c>
      <c r="S1238" t="s">
        <v>74</v>
      </c>
      <c r="T1238" t="s">
        <v>30674</v>
      </c>
      <c r="U1238" t="s">
        <v>30673</v>
      </c>
      <c r="V1238" t="s">
        <v>30672</v>
      </c>
      <c r="W1238" t="s">
        <v>30671</v>
      </c>
      <c r="X1238" t="s">
        <v>30670</v>
      </c>
      <c r="Y1238" t="s">
        <v>30669</v>
      </c>
      <c r="Z1238" t="s">
        <v>30668</v>
      </c>
      <c r="AA1238" t="s">
        <v>30667</v>
      </c>
      <c r="AB1238" t="s">
        <v>30666</v>
      </c>
      <c r="AC1238" t="s">
        <v>74</v>
      </c>
      <c r="AD1238" t="s">
        <v>74</v>
      </c>
      <c r="AE1238" t="s">
        <v>74</v>
      </c>
      <c r="AF1238" t="s">
        <v>74</v>
      </c>
      <c r="AG1238">
        <v>47</v>
      </c>
      <c r="AH1238">
        <v>24</v>
      </c>
      <c r="AI1238">
        <v>31</v>
      </c>
      <c r="AJ1238">
        <v>0</v>
      </c>
      <c r="AK1238">
        <v>67</v>
      </c>
      <c r="AL1238" t="s">
        <v>89</v>
      </c>
      <c r="AM1238" t="s">
        <v>90</v>
      </c>
      <c r="AN1238" t="s">
        <v>91</v>
      </c>
      <c r="AO1238" t="s">
        <v>12161</v>
      </c>
      <c r="AP1238" t="s">
        <v>12162</v>
      </c>
      <c r="AQ1238" t="s">
        <v>74</v>
      </c>
      <c r="AR1238" t="s">
        <v>12163</v>
      </c>
      <c r="AS1238" t="s">
        <v>12164</v>
      </c>
      <c r="AT1238" t="s">
        <v>26438</v>
      </c>
      <c r="AU1238">
        <v>2021</v>
      </c>
      <c r="AV1238">
        <v>34</v>
      </c>
      <c r="AW1238">
        <v>7</v>
      </c>
      <c r="AX1238" t="s">
        <v>74</v>
      </c>
      <c r="AY1238" t="s">
        <v>74</v>
      </c>
      <c r="AZ1238" t="s">
        <v>74</v>
      </c>
      <c r="BA1238" t="s">
        <v>74</v>
      </c>
      <c r="BB1238">
        <v>1997</v>
      </c>
      <c r="BC1238">
        <v>2017</v>
      </c>
      <c r="BD1238" t="s">
        <v>74</v>
      </c>
      <c r="BE1238" t="s">
        <v>30665</v>
      </c>
      <c r="BF1238" t="str">
        <f>HYPERLINK("http://dx.doi.org/10.1108/ITP-06-2020-0418","http://dx.doi.org/10.1108/ITP-06-2020-0418")</f>
        <v>http://dx.doi.org/10.1108/ITP-06-2020-0418</v>
      </c>
      <c r="BG1238" t="s">
        <v>74</v>
      </c>
      <c r="BH1238" t="s">
        <v>14147</v>
      </c>
      <c r="BI1238">
        <v>21</v>
      </c>
      <c r="BJ1238" t="s">
        <v>2351</v>
      </c>
      <c r="BK1238" t="s">
        <v>99</v>
      </c>
      <c r="BL1238" t="s">
        <v>2351</v>
      </c>
      <c r="BM1238" t="s">
        <v>30664</v>
      </c>
      <c r="BN1238" t="s">
        <v>74</v>
      </c>
      <c r="BO1238" t="s">
        <v>74</v>
      </c>
      <c r="BP1238" t="s">
        <v>74</v>
      </c>
      <c r="BQ1238" t="s">
        <v>74</v>
      </c>
      <c r="BR1238" t="s">
        <v>102</v>
      </c>
      <c r="BS1238" t="s">
        <v>30663</v>
      </c>
      <c r="BT1238" t="str">
        <f>HYPERLINK("https%3A%2F%2Fwww.webofscience.com%2Fwos%2Fwoscc%2Ffull-record%2FWOS:000592706600001","View Full Record in Web of Science")</f>
        <v>View Full Record in Web of Science</v>
      </c>
    </row>
    <row r="1239" spans="1:72" x14ac:dyDescent="0.25">
      <c r="A1239" t="s">
        <v>72</v>
      </c>
      <c r="B1239" t="s">
        <v>30662</v>
      </c>
      <c r="C1239" t="s">
        <v>74</v>
      </c>
      <c r="D1239" t="s">
        <v>74</v>
      </c>
      <c r="E1239" t="s">
        <v>74</v>
      </c>
      <c r="F1239" t="s">
        <v>30661</v>
      </c>
      <c r="G1239" t="s">
        <v>74</v>
      </c>
      <c r="H1239" t="s">
        <v>74</v>
      </c>
      <c r="I1239" t="s">
        <v>30660</v>
      </c>
      <c r="J1239" t="s">
        <v>3439</v>
      </c>
      <c r="K1239" t="s">
        <v>74</v>
      </c>
      <c r="L1239" t="s">
        <v>74</v>
      </c>
      <c r="M1239" t="s">
        <v>78</v>
      </c>
      <c r="N1239" t="s">
        <v>79</v>
      </c>
      <c r="O1239" t="s">
        <v>74</v>
      </c>
      <c r="P1239" t="s">
        <v>74</v>
      </c>
      <c r="Q1239" t="s">
        <v>74</v>
      </c>
      <c r="R1239" t="s">
        <v>74</v>
      </c>
      <c r="S1239" t="s">
        <v>74</v>
      </c>
      <c r="T1239" t="s">
        <v>30659</v>
      </c>
      <c r="U1239" t="s">
        <v>8944</v>
      </c>
      <c r="V1239" t="s">
        <v>30658</v>
      </c>
      <c r="W1239" t="s">
        <v>30657</v>
      </c>
      <c r="X1239" t="s">
        <v>8519</v>
      </c>
      <c r="Y1239" t="s">
        <v>30656</v>
      </c>
      <c r="Z1239" t="s">
        <v>30655</v>
      </c>
      <c r="AA1239" t="s">
        <v>30654</v>
      </c>
      <c r="AB1239" t="s">
        <v>30653</v>
      </c>
      <c r="AC1239" t="s">
        <v>30652</v>
      </c>
      <c r="AD1239" t="s">
        <v>30651</v>
      </c>
      <c r="AE1239" t="s">
        <v>30650</v>
      </c>
      <c r="AF1239" t="s">
        <v>74</v>
      </c>
      <c r="AG1239">
        <v>41</v>
      </c>
      <c r="AH1239">
        <v>22</v>
      </c>
      <c r="AI1239">
        <v>30</v>
      </c>
      <c r="AJ1239">
        <v>1</v>
      </c>
      <c r="AK1239">
        <v>42</v>
      </c>
      <c r="AL1239" t="s">
        <v>2481</v>
      </c>
      <c r="AM1239" t="s">
        <v>2482</v>
      </c>
      <c r="AN1239" t="s">
        <v>2483</v>
      </c>
      <c r="AO1239" t="s">
        <v>3443</v>
      </c>
      <c r="AP1239" t="s">
        <v>74</v>
      </c>
      <c r="AQ1239" t="s">
        <v>74</v>
      </c>
      <c r="AR1239" t="s">
        <v>3444</v>
      </c>
      <c r="AS1239" t="s">
        <v>3445</v>
      </c>
      <c r="AT1239" t="s">
        <v>2970</v>
      </c>
      <c r="AU1239">
        <v>2022</v>
      </c>
      <c r="AV1239">
        <v>10</v>
      </c>
      <c r="AW1239">
        <v>1</v>
      </c>
      <c r="AX1239" t="s">
        <v>74</v>
      </c>
      <c r="AY1239" t="s">
        <v>74</v>
      </c>
      <c r="AZ1239" t="s">
        <v>74</v>
      </c>
      <c r="BA1239" t="s">
        <v>74</v>
      </c>
      <c r="BB1239" t="s">
        <v>74</v>
      </c>
      <c r="BC1239" t="s">
        <v>74</v>
      </c>
      <c r="BD1239">
        <v>2023955</v>
      </c>
      <c r="BE1239" t="s">
        <v>30649</v>
      </c>
      <c r="BF1239" t="str">
        <f>HYPERLINK("http://dx.doi.org/10.1080/23322039.2021.2023955","http://dx.doi.org/10.1080/23322039.2021.2023955")</f>
        <v>http://dx.doi.org/10.1080/23322039.2021.2023955</v>
      </c>
      <c r="BG1239" t="s">
        <v>74</v>
      </c>
      <c r="BH1239" t="s">
        <v>74</v>
      </c>
      <c r="BI1239">
        <v>34</v>
      </c>
      <c r="BJ1239" t="s">
        <v>291</v>
      </c>
      <c r="BK1239" t="s">
        <v>313</v>
      </c>
      <c r="BL1239" t="s">
        <v>100</v>
      </c>
      <c r="BM1239" t="s">
        <v>30648</v>
      </c>
      <c r="BN1239" t="s">
        <v>74</v>
      </c>
      <c r="BO1239" t="s">
        <v>916</v>
      </c>
      <c r="BP1239" t="s">
        <v>74</v>
      </c>
      <c r="BQ1239" t="s">
        <v>74</v>
      </c>
      <c r="BR1239" t="s">
        <v>102</v>
      </c>
      <c r="BS1239" t="s">
        <v>30647</v>
      </c>
      <c r="BT1239" t="str">
        <f>HYPERLINK("https%3A%2F%2Fwww.webofscience.com%2Fwos%2Fwoscc%2Ffull-record%2FWOS:000747479600001","View Full Record in Web of Science")</f>
        <v>View Full Record in Web of Science</v>
      </c>
    </row>
    <row r="1240" spans="1:72" x14ac:dyDescent="0.25">
      <c r="A1240" t="s">
        <v>72</v>
      </c>
      <c r="B1240" t="s">
        <v>30646</v>
      </c>
      <c r="C1240" t="s">
        <v>74</v>
      </c>
      <c r="D1240" t="s">
        <v>74</v>
      </c>
      <c r="E1240" t="s">
        <v>74</v>
      </c>
      <c r="F1240" t="s">
        <v>30645</v>
      </c>
      <c r="G1240" t="s">
        <v>74</v>
      </c>
      <c r="H1240" t="s">
        <v>74</v>
      </c>
      <c r="I1240" t="s">
        <v>30644</v>
      </c>
      <c r="J1240" t="s">
        <v>30643</v>
      </c>
      <c r="K1240" t="s">
        <v>74</v>
      </c>
      <c r="L1240" t="s">
        <v>74</v>
      </c>
      <c r="M1240" t="s">
        <v>78</v>
      </c>
      <c r="N1240" t="s">
        <v>79</v>
      </c>
      <c r="O1240" t="s">
        <v>74</v>
      </c>
      <c r="P1240" t="s">
        <v>74</v>
      </c>
      <c r="Q1240" t="s">
        <v>74</v>
      </c>
      <c r="R1240" t="s">
        <v>74</v>
      </c>
      <c r="S1240" t="s">
        <v>74</v>
      </c>
      <c r="T1240" t="s">
        <v>30642</v>
      </c>
      <c r="U1240" t="s">
        <v>30641</v>
      </c>
      <c r="V1240" t="s">
        <v>30640</v>
      </c>
      <c r="W1240" t="s">
        <v>30639</v>
      </c>
      <c r="X1240" t="s">
        <v>30638</v>
      </c>
      <c r="Y1240" t="s">
        <v>30637</v>
      </c>
      <c r="Z1240" t="s">
        <v>30636</v>
      </c>
      <c r="AA1240" t="s">
        <v>30635</v>
      </c>
      <c r="AB1240" t="s">
        <v>30634</v>
      </c>
      <c r="AC1240" t="s">
        <v>74</v>
      </c>
      <c r="AD1240" t="s">
        <v>74</v>
      </c>
      <c r="AE1240" t="s">
        <v>74</v>
      </c>
      <c r="AF1240" t="s">
        <v>74</v>
      </c>
      <c r="AG1240">
        <v>55</v>
      </c>
      <c r="AH1240">
        <v>4</v>
      </c>
      <c r="AI1240">
        <v>5</v>
      </c>
      <c r="AJ1240">
        <v>1</v>
      </c>
      <c r="AK1240">
        <v>11</v>
      </c>
      <c r="AL1240" t="s">
        <v>994</v>
      </c>
      <c r="AM1240" t="s">
        <v>995</v>
      </c>
      <c r="AN1240" t="s">
        <v>2061</v>
      </c>
      <c r="AO1240" t="s">
        <v>30633</v>
      </c>
      <c r="AP1240" t="s">
        <v>30632</v>
      </c>
      <c r="AQ1240" t="s">
        <v>74</v>
      </c>
      <c r="AR1240" t="s">
        <v>30631</v>
      </c>
      <c r="AS1240" t="s">
        <v>30630</v>
      </c>
      <c r="AT1240" t="s">
        <v>1652</v>
      </c>
      <c r="AU1240">
        <v>2022</v>
      </c>
      <c r="AV1240">
        <v>31</v>
      </c>
      <c r="AW1240">
        <v>2</v>
      </c>
      <c r="AX1240" t="s">
        <v>74</v>
      </c>
      <c r="AY1240" t="s">
        <v>74</v>
      </c>
      <c r="AZ1240" t="s">
        <v>74</v>
      </c>
      <c r="BA1240" t="s">
        <v>74</v>
      </c>
      <c r="BB1240">
        <v>118</v>
      </c>
      <c r="BC1240">
        <v>140</v>
      </c>
      <c r="BD1240" t="s">
        <v>74</v>
      </c>
      <c r="BE1240" t="s">
        <v>30629</v>
      </c>
      <c r="BF1240" t="str">
        <f>HYPERLINK("http://dx.doi.org/10.1177/01171968221113342","http://dx.doi.org/10.1177/01171968221113342")</f>
        <v>http://dx.doi.org/10.1177/01171968221113342</v>
      </c>
      <c r="BG1240" t="s">
        <v>74</v>
      </c>
      <c r="BH1240" t="s">
        <v>126</v>
      </c>
      <c r="BI1240">
        <v>23</v>
      </c>
      <c r="BJ1240" t="s">
        <v>3635</v>
      </c>
      <c r="BK1240" t="s">
        <v>99</v>
      </c>
      <c r="BL1240" t="s">
        <v>3635</v>
      </c>
      <c r="BM1240" t="s">
        <v>30628</v>
      </c>
      <c r="BN1240" t="s">
        <v>74</v>
      </c>
      <c r="BO1240" t="s">
        <v>74</v>
      </c>
      <c r="BP1240" t="s">
        <v>74</v>
      </c>
      <c r="BQ1240" t="s">
        <v>74</v>
      </c>
      <c r="BR1240" t="s">
        <v>102</v>
      </c>
      <c r="BS1240" t="s">
        <v>30627</v>
      </c>
      <c r="BT1240" t="str">
        <f>HYPERLINK("https%3A%2F%2Fwww.webofscience.com%2Fwos%2Fwoscc%2Ffull-record%2FWOS:000826664700001","View Full Record in Web of Science")</f>
        <v>View Full Record in Web of Science</v>
      </c>
    </row>
    <row r="1241" spans="1:72" x14ac:dyDescent="0.25">
      <c r="A1241" t="s">
        <v>72</v>
      </c>
      <c r="B1241" t="s">
        <v>30626</v>
      </c>
      <c r="C1241" t="s">
        <v>74</v>
      </c>
      <c r="D1241" t="s">
        <v>74</v>
      </c>
      <c r="E1241" t="s">
        <v>74</v>
      </c>
      <c r="F1241" t="s">
        <v>30625</v>
      </c>
      <c r="G1241" t="s">
        <v>74</v>
      </c>
      <c r="H1241" t="s">
        <v>74</v>
      </c>
      <c r="I1241" t="s">
        <v>30624</v>
      </c>
      <c r="J1241" t="s">
        <v>30623</v>
      </c>
      <c r="K1241" t="s">
        <v>74</v>
      </c>
      <c r="L1241" t="s">
        <v>74</v>
      </c>
      <c r="M1241" t="s">
        <v>78</v>
      </c>
      <c r="N1241" t="s">
        <v>79</v>
      </c>
      <c r="O1241" t="s">
        <v>74</v>
      </c>
      <c r="P1241" t="s">
        <v>74</v>
      </c>
      <c r="Q1241" t="s">
        <v>74</v>
      </c>
      <c r="R1241" t="s">
        <v>74</v>
      </c>
      <c r="S1241" t="s">
        <v>74</v>
      </c>
      <c r="T1241" t="s">
        <v>30622</v>
      </c>
      <c r="U1241" t="s">
        <v>30621</v>
      </c>
      <c r="V1241" t="s">
        <v>30620</v>
      </c>
      <c r="W1241" t="s">
        <v>30619</v>
      </c>
      <c r="X1241" t="s">
        <v>5313</v>
      </c>
      <c r="Y1241" t="s">
        <v>30618</v>
      </c>
      <c r="Z1241" t="s">
        <v>30617</v>
      </c>
      <c r="AA1241" t="s">
        <v>74</v>
      </c>
      <c r="AB1241" t="s">
        <v>74</v>
      </c>
      <c r="AC1241" t="s">
        <v>74</v>
      </c>
      <c r="AD1241" t="s">
        <v>74</v>
      </c>
      <c r="AE1241" t="s">
        <v>74</v>
      </c>
      <c r="AF1241" t="s">
        <v>74</v>
      </c>
      <c r="AG1241">
        <v>64</v>
      </c>
      <c r="AH1241">
        <v>5</v>
      </c>
      <c r="AI1241">
        <v>5</v>
      </c>
      <c r="AJ1241">
        <v>1</v>
      </c>
      <c r="AK1241">
        <v>38</v>
      </c>
      <c r="AL1241" t="s">
        <v>479</v>
      </c>
      <c r="AM1241" t="s">
        <v>480</v>
      </c>
      <c r="AN1241" t="s">
        <v>481</v>
      </c>
      <c r="AO1241" t="s">
        <v>30616</v>
      </c>
      <c r="AP1241" t="s">
        <v>30615</v>
      </c>
      <c r="AQ1241" t="s">
        <v>74</v>
      </c>
      <c r="AR1241" t="s">
        <v>30614</v>
      </c>
      <c r="AS1241" t="s">
        <v>30613</v>
      </c>
      <c r="AT1241" t="s">
        <v>848</v>
      </c>
      <c r="AU1241">
        <v>2014</v>
      </c>
      <c r="AV1241">
        <v>22</v>
      </c>
      <c r="AW1241">
        <v>3</v>
      </c>
      <c r="AX1241" t="s">
        <v>74</v>
      </c>
      <c r="AY1241" t="s">
        <v>74</v>
      </c>
      <c r="AZ1241" t="s">
        <v>74</v>
      </c>
      <c r="BA1241" t="s">
        <v>74</v>
      </c>
      <c r="BB1241">
        <v>497</v>
      </c>
      <c r="BC1241">
        <v>538</v>
      </c>
      <c r="BD1241" t="s">
        <v>74</v>
      </c>
      <c r="BE1241" t="s">
        <v>30612</v>
      </c>
      <c r="BF1241" t="str">
        <f>HYPERLINK("http://dx.doi.org/10.1111/ecot.12046","http://dx.doi.org/10.1111/ecot.12046")</f>
        <v>http://dx.doi.org/10.1111/ecot.12046</v>
      </c>
      <c r="BG1241" t="s">
        <v>74</v>
      </c>
      <c r="BH1241" t="s">
        <v>74</v>
      </c>
      <c r="BI1241">
        <v>42</v>
      </c>
      <c r="BJ1241" t="s">
        <v>291</v>
      </c>
      <c r="BK1241" t="s">
        <v>99</v>
      </c>
      <c r="BL1241" t="s">
        <v>100</v>
      </c>
      <c r="BM1241" t="s">
        <v>30611</v>
      </c>
      <c r="BN1241" t="s">
        <v>74</v>
      </c>
      <c r="BO1241" t="s">
        <v>74</v>
      </c>
      <c r="BP1241" t="s">
        <v>74</v>
      </c>
      <c r="BQ1241" t="s">
        <v>74</v>
      </c>
      <c r="BR1241" t="s">
        <v>102</v>
      </c>
      <c r="BS1241" t="s">
        <v>30610</v>
      </c>
      <c r="BT1241" t="str">
        <f>HYPERLINK("https%3A%2F%2Fwww.webofscience.com%2Fwos%2Fwoscc%2Ffull-record%2FWOS:000337628400004","View Full Record in Web of Science")</f>
        <v>View Full Record in Web of Science</v>
      </c>
    </row>
    <row r="1242" spans="1:72" x14ac:dyDescent="0.25">
      <c r="A1242" t="s">
        <v>72</v>
      </c>
      <c r="B1242" t="s">
        <v>30609</v>
      </c>
      <c r="C1242" t="s">
        <v>74</v>
      </c>
      <c r="D1242" t="s">
        <v>74</v>
      </c>
      <c r="E1242" t="s">
        <v>74</v>
      </c>
      <c r="F1242" t="s">
        <v>30608</v>
      </c>
      <c r="G1242" t="s">
        <v>74</v>
      </c>
      <c r="H1242" t="s">
        <v>74</v>
      </c>
      <c r="I1242" t="s">
        <v>30607</v>
      </c>
      <c r="J1242" t="s">
        <v>3056</v>
      </c>
      <c r="K1242" t="s">
        <v>74</v>
      </c>
      <c r="L1242" t="s">
        <v>74</v>
      </c>
      <c r="M1242" t="s">
        <v>78</v>
      </c>
      <c r="N1242" t="s">
        <v>79</v>
      </c>
      <c r="O1242" t="s">
        <v>74</v>
      </c>
      <c r="P1242" t="s">
        <v>74</v>
      </c>
      <c r="Q1242" t="s">
        <v>74</v>
      </c>
      <c r="R1242" t="s">
        <v>74</v>
      </c>
      <c r="S1242" t="s">
        <v>74</v>
      </c>
      <c r="T1242" t="s">
        <v>30606</v>
      </c>
      <c r="U1242" t="s">
        <v>30605</v>
      </c>
      <c r="V1242" t="s">
        <v>30604</v>
      </c>
      <c r="W1242" t="s">
        <v>30603</v>
      </c>
      <c r="X1242" t="s">
        <v>30602</v>
      </c>
      <c r="Y1242" t="s">
        <v>30601</v>
      </c>
      <c r="Z1242" t="s">
        <v>30600</v>
      </c>
      <c r="AA1242" t="s">
        <v>74</v>
      </c>
      <c r="AB1242" t="s">
        <v>74</v>
      </c>
      <c r="AC1242" t="s">
        <v>74</v>
      </c>
      <c r="AD1242" t="s">
        <v>74</v>
      </c>
      <c r="AE1242" t="s">
        <v>74</v>
      </c>
      <c r="AF1242" t="s">
        <v>74</v>
      </c>
      <c r="AG1242">
        <v>39</v>
      </c>
      <c r="AH1242">
        <v>5</v>
      </c>
      <c r="AI1242">
        <v>7</v>
      </c>
      <c r="AJ1242">
        <v>1</v>
      </c>
      <c r="AK1242">
        <v>20</v>
      </c>
      <c r="AL1242" t="s">
        <v>3064</v>
      </c>
      <c r="AM1242" t="s">
        <v>3065</v>
      </c>
      <c r="AN1242" t="s">
        <v>3066</v>
      </c>
      <c r="AO1242" t="s">
        <v>3067</v>
      </c>
      <c r="AP1242" t="s">
        <v>3068</v>
      </c>
      <c r="AQ1242" t="s">
        <v>74</v>
      </c>
      <c r="AR1242" t="s">
        <v>3069</v>
      </c>
      <c r="AS1242" t="s">
        <v>3070</v>
      </c>
      <c r="AT1242" t="s">
        <v>7020</v>
      </c>
      <c r="AU1242">
        <v>2021</v>
      </c>
      <c r="AV1242">
        <v>17</v>
      </c>
      <c r="AW1242">
        <v>1</v>
      </c>
      <c r="AX1242" t="s">
        <v>74</v>
      </c>
      <c r="AY1242" t="s">
        <v>74</v>
      </c>
      <c r="AZ1242" t="s">
        <v>74</v>
      </c>
      <c r="BA1242" t="s">
        <v>74</v>
      </c>
      <c r="BB1242">
        <v>11</v>
      </c>
      <c r="BC1242">
        <v>24</v>
      </c>
      <c r="BD1242" t="s">
        <v>74</v>
      </c>
      <c r="BE1242" t="s">
        <v>30599</v>
      </c>
      <c r="BF1242" t="str">
        <f>HYPERLINK("http://dx.doi.org/10.35716/IJED/20245","http://dx.doi.org/10.35716/IJED/20245")</f>
        <v>http://dx.doi.org/10.35716/IJED/20245</v>
      </c>
      <c r="BG1242" t="s">
        <v>74</v>
      </c>
      <c r="BH1242" t="s">
        <v>74</v>
      </c>
      <c r="BI1242">
        <v>14</v>
      </c>
      <c r="BJ1242" t="s">
        <v>291</v>
      </c>
      <c r="BK1242" t="s">
        <v>313</v>
      </c>
      <c r="BL1242" t="s">
        <v>100</v>
      </c>
      <c r="BM1242" t="s">
        <v>30598</v>
      </c>
      <c r="BN1242" t="s">
        <v>74</v>
      </c>
      <c r="BO1242" t="s">
        <v>74</v>
      </c>
      <c r="BP1242" t="s">
        <v>74</v>
      </c>
      <c r="BQ1242" t="s">
        <v>74</v>
      </c>
      <c r="BR1242" t="s">
        <v>102</v>
      </c>
      <c r="BS1242" t="s">
        <v>30597</v>
      </c>
      <c r="BT1242" t="str">
        <f>HYPERLINK("https%3A%2F%2Fwww.webofscience.com%2Fwos%2Fwoscc%2Ffull-record%2FWOS:000696027300002","View Full Record in Web of Science")</f>
        <v>View Full Record in Web of Science</v>
      </c>
    </row>
    <row r="1243" spans="1:72" x14ac:dyDescent="0.25">
      <c r="A1243" t="s">
        <v>132</v>
      </c>
      <c r="B1243" t="s">
        <v>30596</v>
      </c>
      <c r="C1243" t="s">
        <v>74</v>
      </c>
      <c r="D1243" t="s">
        <v>30595</v>
      </c>
      <c r="E1243" t="s">
        <v>74</v>
      </c>
      <c r="F1243" t="s">
        <v>30594</v>
      </c>
      <c r="G1243" t="s">
        <v>74</v>
      </c>
      <c r="H1243" t="s">
        <v>74</v>
      </c>
      <c r="I1243" t="s">
        <v>30593</v>
      </c>
      <c r="J1243" t="s">
        <v>30592</v>
      </c>
      <c r="K1243" t="s">
        <v>30591</v>
      </c>
      <c r="L1243" t="s">
        <v>74</v>
      </c>
      <c r="M1243" t="s">
        <v>78</v>
      </c>
      <c r="N1243" t="s">
        <v>138</v>
      </c>
      <c r="O1243" t="s">
        <v>30590</v>
      </c>
      <c r="P1243" t="s">
        <v>30589</v>
      </c>
      <c r="Q1243" t="s">
        <v>30588</v>
      </c>
      <c r="R1243" t="s">
        <v>30587</v>
      </c>
      <c r="S1243" t="s">
        <v>74</v>
      </c>
      <c r="T1243" t="s">
        <v>74</v>
      </c>
      <c r="U1243" t="s">
        <v>74</v>
      </c>
      <c r="V1243" t="s">
        <v>30586</v>
      </c>
      <c r="W1243" t="s">
        <v>30585</v>
      </c>
      <c r="X1243" t="s">
        <v>30584</v>
      </c>
      <c r="Y1243" t="s">
        <v>30583</v>
      </c>
      <c r="Z1243" t="s">
        <v>30582</v>
      </c>
      <c r="AA1243" t="s">
        <v>30581</v>
      </c>
      <c r="AB1243" t="s">
        <v>30580</v>
      </c>
      <c r="AC1243" t="s">
        <v>74</v>
      </c>
      <c r="AD1243" t="s">
        <v>74</v>
      </c>
      <c r="AE1243" t="s">
        <v>74</v>
      </c>
      <c r="AF1243" t="s">
        <v>74</v>
      </c>
      <c r="AG1243">
        <v>16</v>
      </c>
      <c r="AH1243">
        <v>8</v>
      </c>
      <c r="AI1243">
        <v>9</v>
      </c>
      <c r="AJ1243">
        <v>0</v>
      </c>
      <c r="AK1243">
        <v>3</v>
      </c>
      <c r="AL1243" t="s">
        <v>5379</v>
      </c>
      <c r="AM1243" t="s">
        <v>5380</v>
      </c>
      <c r="AN1243" t="s">
        <v>5381</v>
      </c>
      <c r="AO1243" t="s">
        <v>30579</v>
      </c>
      <c r="AP1243" t="s">
        <v>74</v>
      </c>
      <c r="AQ1243" t="s">
        <v>30578</v>
      </c>
      <c r="AR1243" t="s">
        <v>30577</v>
      </c>
      <c r="AS1243" t="s">
        <v>74</v>
      </c>
      <c r="AT1243" t="s">
        <v>74</v>
      </c>
      <c r="AU1243">
        <v>2015</v>
      </c>
      <c r="AV1243" t="s">
        <v>74</v>
      </c>
      <c r="AW1243" t="s">
        <v>74</v>
      </c>
      <c r="AX1243" t="s">
        <v>74</v>
      </c>
      <c r="AY1243" t="s">
        <v>74</v>
      </c>
      <c r="AZ1243" t="s">
        <v>74</v>
      </c>
      <c r="BA1243" t="s">
        <v>74</v>
      </c>
      <c r="BB1243">
        <v>2168</v>
      </c>
      <c r="BC1243">
        <v>2176</v>
      </c>
      <c r="BD1243" t="s">
        <v>74</v>
      </c>
      <c r="BE1243" t="s">
        <v>30576</v>
      </c>
      <c r="BF1243" t="str">
        <f>HYPERLINK("http://dx.doi.org/10.1109/HICSS.2015.260","http://dx.doi.org/10.1109/HICSS.2015.260")</f>
        <v>http://dx.doi.org/10.1109/HICSS.2015.260</v>
      </c>
      <c r="BG1243" t="s">
        <v>74</v>
      </c>
      <c r="BH1243" t="s">
        <v>74</v>
      </c>
      <c r="BI1243">
        <v>9</v>
      </c>
      <c r="BJ1243" t="s">
        <v>30575</v>
      </c>
      <c r="BK1243" t="s">
        <v>156</v>
      </c>
      <c r="BL1243" t="s">
        <v>9777</v>
      </c>
      <c r="BM1243" t="s">
        <v>30574</v>
      </c>
      <c r="BN1243" t="s">
        <v>74</v>
      </c>
      <c r="BO1243" t="s">
        <v>74</v>
      </c>
      <c r="BP1243" t="s">
        <v>74</v>
      </c>
      <c r="BQ1243" t="s">
        <v>74</v>
      </c>
      <c r="BR1243" t="s">
        <v>102</v>
      </c>
      <c r="BS1243" t="s">
        <v>30573</v>
      </c>
      <c r="BT1243" t="str">
        <f>HYPERLINK("https%3A%2F%2Fwww.webofscience.com%2Fwos%2Fwoscc%2Ffull-record%2FWOS:000366264102036","View Full Record in Web of Science")</f>
        <v>View Full Record in Web of Science</v>
      </c>
    </row>
    <row r="1244" spans="1:72" x14ac:dyDescent="0.25">
      <c r="A1244" t="s">
        <v>72</v>
      </c>
      <c r="B1244" t="s">
        <v>30572</v>
      </c>
      <c r="C1244" t="s">
        <v>74</v>
      </c>
      <c r="D1244" t="s">
        <v>74</v>
      </c>
      <c r="E1244" t="s">
        <v>74</v>
      </c>
      <c r="F1244" t="s">
        <v>30571</v>
      </c>
      <c r="G1244" t="s">
        <v>74</v>
      </c>
      <c r="H1244" t="s">
        <v>74</v>
      </c>
      <c r="I1244" t="s">
        <v>30570</v>
      </c>
      <c r="J1244" t="s">
        <v>10806</v>
      </c>
      <c r="K1244" t="s">
        <v>74</v>
      </c>
      <c r="L1244" t="s">
        <v>74</v>
      </c>
      <c r="M1244" t="s">
        <v>78</v>
      </c>
      <c r="N1244" t="s">
        <v>79</v>
      </c>
      <c r="O1244" t="s">
        <v>74</v>
      </c>
      <c r="P1244" t="s">
        <v>74</v>
      </c>
      <c r="Q1244" t="s">
        <v>74</v>
      </c>
      <c r="R1244" t="s">
        <v>74</v>
      </c>
      <c r="S1244" t="s">
        <v>74</v>
      </c>
      <c r="T1244" t="s">
        <v>30569</v>
      </c>
      <c r="U1244" t="s">
        <v>30568</v>
      </c>
      <c r="V1244" t="s">
        <v>30567</v>
      </c>
      <c r="W1244" t="s">
        <v>30566</v>
      </c>
      <c r="X1244" t="s">
        <v>30565</v>
      </c>
      <c r="Y1244" t="s">
        <v>30564</v>
      </c>
      <c r="Z1244" t="s">
        <v>30563</v>
      </c>
      <c r="AA1244" t="s">
        <v>74</v>
      </c>
      <c r="AB1244" t="s">
        <v>30562</v>
      </c>
      <c r="AC1244" t="s">
        <v>74</v>
      </c>
      <c r="AD1244" t="s">
        <v>74</v>
      </c>
      <c r="AE1244" t="s">
        <v>74</v>
      </c>
      <c r="AF1244" t="s">
        <v>74</v>
      </c>
      <c r="AG1244">
        <v>59</v>
      </c>
      <c r="AH1244">
        <v>0</v>
      </c>
      <c r="AI1244">
        <v>0</v>
      </c>
      <c r="AJ1244">
        <v>5</v>
      </c>
      <c r="AK1244">
        <v>6</v>
      </c>
      <c r="AL1244" t="s">
        <v>201</v>
      </c>
      <c r="AM1244" t="s">
        <v>202</v>
      </c>
      <c r="AN1244" t="s">
        <v>203</v>
      </c>
      <c r="AO1244" t="s">
        <v>10818</v>
      </c>
      <c r="AP1244" t="s">
        <v>10819</v>
      </c>
      <c r="AQ1244" t="s">
        <v>74</v>
      </c>
      <c r="AR1244" t="s">
        <v>10820</v>
      </c>
      <c r="AS1244" t="s">
        <v>10821</v>
      </c>
      <c r="AT1244" t="s">
        <v>289</v>
      </c>
      <c r="AU1244">
        <v>2025</v>
      </c>
      <c r="AV1244">
        <v>149</v>
      </c>
      <c r="AW1244" t="s">
        <v>74</v>
      </c>
      <c r="AX1244" t="s">
        <v>74</v>
      </c>
      <c r="AY1244" t="s">
        <v>74</v>
      </c>
      <c r="AZ1244" t="s">
        <v>74</v>
      </c>
      <c r="BA1244" t="s">
        <v>74</v>
      </c>
      <c r="BB1244" t="s">
        <v>74</v>
      </c>
      <c r="BC1244" t="s">
        <v>74</v>
      </c>
      <c r="BD1244">
        <v>107105</v>
      </c>
      <c r="BE1244" t="s">
        <v>30561</v>
      </c>
      <c r="BF1244" t="str">
        <f>HYPERLINK("http://dx.doi.org/10.1016/j.econmod.2025.107105","http://dx.doi.org/10.1016/j.econmod.2025.107105")</f>
        <v>http://dx.doi.org/10.1016/j.econmod.2025.107105</v>
      </c>
      <c r="BG1244" t="s">
        <v>74</v>
      </c>
      <c r="BH1244" t="s">
        <v>1485</v>
      </c>
      <c r="BI1244">
        <v>14</v>
      </c>
      <c r="BJ1244" t="s">
        <v>291</v>
      </c>
      <c r="BK1244" t="s">
        <v>99</v>
      </c>
      <c r="BL1244" t="s">
        <v>100</v>
      </c>
      <c r="BM1244" t="s">
        <v>30560</v>
      </c>
      <c r="BN1244" t="s">
        <v>74</v>
      </c>
      <c r="BO1244" t="s">
        <v>74</v>
      </c>
      <c r="BP1244" t="s">
        <v>74</v>
      </c>
      <c r="BQ1244" t="s">
        <v>74</v>
      </c>
      <c r="BR1244" t="s">
        <v>102</v>
      </c>
      <c r="BS1244" t="s">
        <v>30559</v>
      </c>
      <c r="BT1244" t="str">
        <f>HYPERLINK("https%3A%2F%2Fwww.webofscience.com%2Fwos%2Fwoscc%2Ffull-record%2FWOS:001470889300001","View Full Record in Web of Science")</f>
        <v>View Full Record in Web of Science</v>
      </c>
    </row>
    <row r="1245" spans="1:72" x14ac:dyDescent="0.25">
      <c r="A1245" t="s">
        <v>72</v>
      </c>
      <c r="B1245" t="s">
        <v>30558</v>
      </c>
      <c r="C1245" t="s">
        <v>74</v>
      </c>
      <c r="D1245" t="s">
        <v>74</v>
      </c>
      <c r="E1245" t="s">
        <v>74</v>
      </c>
      <c r="F1245" t="s">
        <v>30557</v>
      </c>
      <c r="G1245" t="s">
        <v>74</v>
      </c>
      <c r="H1245" t="s">
        <v>74</v>
      </c>
      <c r="I1245" t="s">
        <v>30556</v>
      </c>
      <c r="J1245" t="s">
        <v>4657</v>
      </c>
      <c r="K1245" t="s">
        <v>74</v>
      </c>
      <c r="L1245" t="s">
        <v>74</v>
      </c>
      <c r="M1245" t="s">
        <v>78</v>
      </c>
      <c r="N1245" t="s">
        <v>1766</v>
      </c>
      <c r="O1245" t="s">
        <v>74</v>
      </c>
      <c r="P1245" t="s">
        <v>74</v>
      </c>
      <c r="Q1245" t="s">
        <v>74</v>
      </c>
      <c r="R1245" t="s">
        <v>74</v>
      </c>
      <c r="S1245" t="s">
        <v>74</v>
      </c>
      <c r="T1245" t="s">
        <v>30555</v>
      </c>
      <c r="U1245" t="s">
        <v>30554</v>
      </c>
      <c r="V1245" t="s">
        <v>30553</v>
      </c>
      <c r="W1245" t="s">
        <v>30552</v>
      </c>
      <c r="X1245" t="s">
        <v>3513</v>
      </c>
      <c r="Y1245" t="s">
        <v>30551</v>
      </c>
      <c r="Z1245" t="s">
        <v>30550</v>
      </c>
      <c r="AA1245" t="s">
        <v>30549</v>
      </c>
      <c r="AB1245" t="s">
        <v>30548</v>
      </c>
      <c r="AC1245" t="s">
        <v>30547</v>
      </c>
      <c r="AD1245" t="s">
        <v>30547</v>
      </c>
      <c r="AE1245" t="s">
        <v>30546</v>
      </c>
      <c r="AF1245" t="s">
        <v>74</v>
      </c>
      <c r="AG1245">
        <v>165</v>
      </c>
      <c r="AH1245">
        <v>4</v>
      </c>
      <c r="AI1245">
        <v>4</v>
      </c>
      <c r="AJ1245">
        <v>3</v>
      </c>
      <c r="AK1245">
        <v>7</v>
      </c>
      <c r="AL1245" t="s">
        <v>4666</v>
      </c>
      <c r="AM1245" t="s">
        <v>995</v>
      </c>
      <c r="AN1245" t="s">
        <v>4025</v>
      </c>
      <c r="AO1245" t="s">
        <v>74</v>
      </c>
      <c r="AP1245" t="s">
        <v>4667</v>
      </c>
      <c r="AQ1245" t="s">
        <v>74</v>
      </c>
      <c r="AR1245" t="s">
        <v>4668</v>
      </c>
      <c r="AS1245" t="s">
        <v>4669</v>
      </c>
      <c r="AT1245" t="s">
        <v>25390</v>
      </c>
      <c r="AU1245">
        <v>2025</v>
      </c>
      <c r="AV1245">
        <v>6</v>
      </c>
      <c r="AW1245">
        <v>1</v>
      </c>
      <c r="AX1245" t="s">
        <v>74</v>
      </c>
      <c r="AY1245" t="s">
        <v>74</v>
      </c>
      <c r="AZ1245" t="s">
        <v>74</v>
      </c>
      <c r="BA1245" t="s">
        <v>74</v>
      </c>
      <c r="BB1245" t="s">
        <v>74</v>
      </c>
      <c r="BC1245" t="s">
        <v>74</v>
      </c>
      <c r="BD1245">
        <v>506</v>
      </c>
      <c r="BE1245" t="s">
        <v>30545</v>
      </c>
      <c r="BF1245" t="str">
        <f>HYPERLINK("http://dx.doi.org/10.1007/s43621-025-00997-1","http://dx.doi.org/10.1007/s43621-025-00997-1")</f>
        <v>http://dx.doi.org/10.1007/s43621-025-00997-1</v>
      </c>
      <c r="BG1245" t="s">
        <v>74</v>
      </c>
      <c r="BH1245" t="s">
        <v>74</v>
      </c>
      <c r="BI1245">
        <v>26</v>
      </c>
      <c r="BJ1245" t="s">
        <v>3247</v>
      </c>
      <c r="BK1245" t="s">
        <v>313</v>
      </c>
      <c r="BL1245" t="s">
        <v>3248</v>
      </c>
      <c r="BM1245" t="s">
        <v>30544</v>
      </c>
      <c r="BN1245" t="s">
        <v>74</v>
      </c>
      <c r="BO1245" t="s">
        <v>212</v>
      </c>
      <c r="BP1245" t="s">
        <v>74</v>
      </c>
      <c r="BQ1245" t="s">
        <v>74</v>
      </c>
      <c r="BR1245" t="s">
        <v>102</v>
      </c>
      <c r="BS1245" t="s">
        <v>30543</v>
      </c>
      <c r="BT1245" t="str">
        <f>HYPERLINK("https%3A%2F%2Fwww.webofscience.com%2Fwos%2Fwoscc%2Ffull-record%2FWOS:001503090700002","View Full Record in Web of Science")</f>
        <v>View Full Record in Web of Science</v>
      </c>
    </row>
    <row r="1246" spans="1:72" x14ac:dyDescent="0.25">
      <c r="A1246" t="s">
        <v>72</v>
      </c>
      <c r="B1246" t="s">
        <v>30542</v>
      </c>
      <c r="C1246" t="s">
        <v>74</v>
      </c>
      <c r="D1246" t="s">
        <v>74</v>
      </c>
      <c r="E1246" t="s">
        <v>74</v>
      </c>
      <c r="F1246" t="s">
        <v>30541</v>
      </c>
      <c r="G1246" t="s">
        <v>74</v>
      </c>
      <c r="H1246" t="s">
        <v>74</v>
      </c>
      <c r="I1246" t="s">
        <v>30540</v>
      </c>
      <c r="J1246" t="s">
        <v>424</v>
      </c>
      <c r="K1246" t="s">
        <v>74</v>
      </c>
      <c r="L1246" t="s">
        <v>74</v>
      </c>
      <c r="M1246" t="s">
        <v>78</v>
      </c>
      <c r="N1246" t="s">
        <v>79</v>
      </c>
      <c r="O1246" t="s">
        <v>74</v>
      </c>
      <c r="P1246" t="s">
        <v>74</v>
      </c>
      <c r="Q1246" t="s">
        <v>74</v>
      </c>
      <c r="R1246" t="s">
        <v>74</v>
      </c>
      <c r="S1246" t="s">
        <v>74</v>
      </c>
      <c r="T1246" t="s">
        <v>30539</v>
      </c>
      <c r="U1246" t="s">
        <v>8579</v>
      </c>
      <c r="V1246" t="s">
        <v>30538</v>
      </c>
      <c r="W1246" t="s">
        <v>30537</v>
      </c>
      <c r="X1246" t="s">
        <v>30536</v>
      </c>
      <c r="Y1246" t="s">
        <v>30535</v>
      </c>
      <c r="Z1246" t="s">
        <v>30534</v>
      </c>
      <c r="AA1246" t="s">
        <v>30533</v>
      </c>
      <c r="AB1246" t="s">
        <v>30532</v>
      </c>
      <c r="AC1246" t="s">
        <v>30531</v>
      </c>
      <c r="AD1246" t="s">
        <v>30530</v>
      </c>
      <c r="AE1246" t="s">
        <v>30529</v>
      </c>
      <c r="AF1246" t="s">
        <v>74</v>
      </c>
      <c r="AG1246">
        <v>91</v>
      </c>
      <c r="AH1246">
        <v>7</v>
      </c>
      <c r="AI1246">
        <v>7</v>
      </c>
      <c r="AJ1246">
        <v>14</v>
      </c>
      <c r="AK1246">
        <v>37</v>
      </c>
      <c r="AL1246" t="s">
        <v>89</v>
      </c>
      <c r="AM1246" t="s">
        <v>90</v>
      </c>
      <c r="AN1246" t="s">
        <v>91</v>
      </c>
      <c r="AO1246" t="s">
        <v>436</v>
      </c>
      <c r="AP1246" t="s">
        <v>437</v>
      </c>
      <c r="AQ1246" t="s">
        <v>74</v>
      </c>
      <c r="AR1246" t="s">
        <v>438</v>
      </c>
      <c r="AS1246" t="s">
        <v>439</v>
      </c>
      <c r="AT1246" t="s">
        <v>8648</v>
      </c>
      <c r="AU1246">
        <v>2025</v>
      </c>
      <c r="AV1246">
        <v>43</v>
      </c>
      <c r="AW1246">
        <v>2</v>
      </c>
      <c r="AX1246" t="s">
        <v>74</v>
      </c>
      <c r="AY1246" t="s">
        <v>74</v>
      </c>
      <c r="AZ1246" t="s">
        <v>74</v>
      </c>
      <c r="BA1246" t="s">
        <v>74</v>
      </c>
      <c r="BB1246">
        <v>388</v>
      </c>
      <c r="BC1246">
        <v>423</v>
      </c>
      <c r="BD1246" t="s">
        <v>74</v>
      </c>
      <c r="BE1246" t="s">
        <v>30528</v>
      </c>
      <c r="BF1246" t="str">
        <f>HYPERLINK("http://dx.doi.org/10.1108/IJBM-01-2024-0053","http://dx.doi.org/10.1108/IJBM-01-2024-0053")</f>
        <v>http://dx.doi.org/10.1108/IJBM-01-2024-0053</v>
      </c>
      <c r="BG1246" t="s">
        <v>74</v>
      </c>
      <c r="BH1246" t="s">
        <v>1136</v>
      </c>
      <c r="BI1246">
        <v>36</v>
      </c>
      <c r="BJ1246" t="s">
        <v>418</v>
      </c>
      <c r="BK1246" t="s">
        <v>99</v>
      </c>
      <c r="BL1246" t="s">
        <v>100</v>
      </c>
      <c r="BM1246" t="s">
        <v>30527</v>
      </c>
      <c r="BN1246" t="s">
        <v>74</v>
      </c>
      <c r="BO1246" t="s">
        <v>74</v>
      </c>
      <c r="BP1246" t="s">
        <v>74</v>
      </c>
      <c r="BQ1246" t="s">
        <v>74</v>
      </c>
      <c r="BR1246" t="s">
        <v>102</v>
      </c>
      <c r="BS1246" t="s">
        <v>30526</v>
      </c>
      <c r="BT1246" t="str">
        <f>HYPERLINK("https%3A%2F%2Fwww.webofscience.com%2Fwos%2Fwoscc%2Ffull-record%2FWOS:001337451200001","View Full Record in Web of Science")</f>
        <v>View Full Record in Web of Science</v>
      </c>
    </row>
    <row r="1247" spans="1:72" x14ac:dyDescent="0.25">
      <c r="A1247" t="s">
        <v>72</v>
      </c>
      <c r="B1247" t="s">
        <v>30525</v>
      </c>
      <c r="C1247" t="s">
        <v>74</v>
      </c>
      <c r="D1247" t="s">
        <v>74</v>
      </c>
      <c r="E1247" t="s">
        <v>74</v>
      </c>
      <c r="F1247" t="s">
        <v>30524</v>
      </c>
      <c r="G1247" t="s">
        <v>74</v>
      </c>
      <c r="H1247" t="s">
        <v>74</v>
      </c>
      <c r="I1247" t="s">
        <v>30523</v>
      </c>
      <c r="J1247" t="s">
        <v>30522</v>
      </c>
      <c r="K1247" t="s">
        <v>74</v>
      </c>
      <c r="L1247" t="s">
        <v>74</v>
      </c>
      <c r="M1247" t="s">
        <v>78</v>
      </c>
      <c r="N1247" t="s">
        <v>1766</v>
      </c>
      <c r="O1247" t="s">
        <v>74</v>
      </c>
      <c r="P1247" t="s">
        <v>74</v>
      </c>
      <c r="Q1247" t="s">
        <v>74</v>
      </c>
      <c r="R1247" t="s">
        <v>74</v>
      </c>
      <c r="S1247" t="s">
        <v>74</v>
      </c>
      <c r="T1247" t="s">
        <v>30521</v>
      </c>
      <c r="U1247" t="s">
        <v>2945</v>
      </c>
      <c r="V1247" t="s">
        <v>30520</v>
      </c>
      <c r="W1247" t="s">
        <v>30519</v>
      </c>
      <c r="X1247" t="s">
        <v>30518</v>
      </c>
      <c r="Y1247" t="s">
        <v>30517</v>
      </c>
      <c r="Z1247" t="s">
        <v>30516</v>
      </c>
      <c r="AA1247" t="s">
        <v>74</v>
      </c>
      <c r="AB1247" t="s">
        <v>74</v>
      </c>
      <c r="AC1247" t="s">
        <v>74</v>
      </c>
      <c r="AD1247" t="s">
        <v>74</v>
      </c>
      <c r="AE1247" t="s">
        <v>74</v>
      </c>
      <c r="AF1247" t="s">
        <v>74</v>
      </c>
      <c r="AG1247">
        <v>131</v>
      </c>
      <c r="AH1247">
        <v>0</v>
      </c>
      <c r="AI1247">
        <v>0</v>
      </c>
      <c r="AJ1247">
        <v>0</v>
      </c>
      <c r="AK1247">
        <v>0</v>
      </c>
      <c r="AL1247" t="s">
        <v>575</v>
      </c>
      <c r="AM1247" t="s">
        <v>576</v>
      </c>
      <c r="AN1247" t="s">
        <v>577</v>
      </c>
      <c r="AO1247" t="s">
        <v>74</v>
      </c>
      <c r="AP1247" t="s">
        <v>30515</v>
      </c>
      <c r="AQ1247" t="s">
        <v>74</v>
      </c>
      <c r="AR1247" t="s">
        <v>30514</v>
      </c>
      <c r="AS1247" t="s">
        <v>30513</v>
      </c>
      <c r="AT1247" t="s">
        <v>11682</v>
      </c>
      <c r="AU1247">
        <v>2025</v>
      </c>
      <c r="AV1247">
        <v>14</v>
      </c>
      <c r="AW1247">
        <v>11</v>
      </c>
      <c r="AX1247" t="s">
        <v>74</v>
      </c>
      <c r="AY1247" t="s">
        <v>74</v>
      </c>
      <c r="AZ1247" t="s">
        <v>74</v>
      </c>
      <c r="BA1247" t="s">
        <v>74</v>
      </c>
      <c r="BB1247" t="s">
        <v>74</v>
      </c>
      <c r="BC1247" t="s">
        <v>74</v>
      </c>
      <c r="BD1247">
        <v>658</v>
      </c>
      <c r="BE1247" t="s">
        <v>30512</v>
      </c>
      <c r="BF1247" t="str">
        <f>HYPERLINK("http://dx.doi.org/10.3390/socsci14110658","http://dx.doi.org/10.3390/socsci14110658")</f>
        <v>http://dx.doi.org/10.3390/socsci14110658</v>
      </c>
      <c r="BG1247" t="s">
        <v>74</v>
      </c>
      <c r="BH1247" t="s">
        <v>74</v>
      </c>
      <c r="BI1247">
        <v>24</v>
      </c>
      <c r="BJ1247" t="s">
        <v>364</v>
      </c>
      <c r="BK1247" t="s">
        <v>313</v>
      </c>
      <c r="BL1247" t="s">
        <v>365</v>
      </c>
      <c r="BM1247" t="s">
        <v>30511</v>
      </c>
      <c r="BN1247" t="s">
        <v>74</v>
      </c>
      <c r="BO1247" t="s">
        <v>212</v>
      </c>
      <c r="BP1247" t="s">
        <v>74</v>
      </c>
      <c r="BQ1247" t="s">
        <v>74</v>
      </c>
      <c r="BR1247" t="s">
        <v>102</v>
      </c>
      <c r="BS1247" t="s">
        <v>30510</v>
      </c>
      <c r="BT1247" t="str">
        <f>HYPERLINK("https%3A%2F%2Fwww.webofscience.com%2Fwos%2Fwoscc%2Ffull-record%2FWOS:001624398400001","View Full Record in Web of Science")</f>
        <v>View Full Record in Web of Science</v>
      </c>
    </row>
    <row r="1248" spans="1:72" x14ac:dyDescent="0.25">
      <c r="A1248" t="s">
        <v>72</v>
      </c>
      <c r="B1248" t="s">
        <v>11231</v>
      </c>
      <c r="C1248" t="s">
        <v>74</v>
      </c>
      <c r="D1248" t="s">
        <v>74</v>
      </c>
      <c r="E1248" t="s">
        <v>74</v>
      </c>
      <c r="F1248" t="s">
        <v>11232</v>
      </c>
      <c r="G1248" t="s">
        <v>74</v>
      </c>
      <c r="H1248" t="s">
        <v>74</v>
      </c>
      <c r="I1248" t="s">
        <v>30509</v>
      </c>
      <c r="J1248" t="s">
        <v>30508</v>
      </c>
      <c r="K1248" t="s">
        <v>74</v>
      </c>
      <c r="L1248" t="s">
        <v>74</v>
      </c>
      <c r="M1248" t="s">
        <v>78</v>
      </c>
      <c r="N1248" t="s">
        <v>79</v>
      </c>
      <c r="O1248" t="s">
        <v>74</v>
      </c>
      <c r="P1248" t="s">
        <v>74</v>
      </c>
      <c r="Q1248" t="s">
        <v>74</v>
      </c>
      <c r="R1248" t="s">
        <v>74</v>
      </c>
      <c r="S1248" t="s">
        <v>74</v>
      </c>
      <c r="T1248" t="s">
        <v>30507</v>
      </c>
      <c r="U1248" t="s">
        <v>30506</v>
      </c>
      <c r="V1248" t="s">
        <v>30505</v>
      </c>
      <c r="W1248" t="s">
        <v>30504</v>
      </c>
      <c r="X1248" t="s">
        <v>11237</v>
      </c>
      <c r="Y1248" t="s">
        <v>4311</v>
      </c>
      <c r="Z1248" t="s">
        <v>11239</v>
      </c>
      <c r="AA1248" t="s">
        <v>11360</v>
      </c>
      <c r="AB1248" t="s">
        <v>30503</v>
      </c>
      <c r="AC1248" t="s">
        <v>74</v>
      </c>
      <c r="AD1248" t="s">
        <v>74</v>
      </c>
      <c r="AE1248" t="s">
        <v>74</v>
      </c>
      <c r="AF1248" t="s">
        <v>74</v>
      </c>
      <c r="AG1248">
        <v>51</v>
      </c>
      <c r="AH1248">
        <v>24</v>
      </c>
      <c r="AI1248">
        <v>31</v>
      </c>
      <c r="AJ1248">
        <v>0</v>
      </c>
      <c r="AK1248">
        <v>34</v>
      </c>
      <c r="AL1248" t="s">
        <v>385</v>
      </c>
      <c r="AM1248" t="s">
        <v>151</v>
      </c>
      <c r="AN1248" t="s">
        <v>386</v>
      </c>
      <c r="AO1248" t="s">
        <v>30502</v>
      </c>
      <c r="AP1248" t="s">
        <v>30501</v>
      </c>
      <c r="AQ1248" t="s">
        <v>74</v>
      </c>
      <c r="AR1248" t="s">
        <v>30500</v>
      </c>
      <c r="AS1248" t="s">
        <v>30499</v>
      </c>
      <c r="AT1248" t="s">
        <v>698</v>
      </c>
      <c r="AU1248">
        <v>2019</v>
      </c>
      <c r="AV1248">
        <v>24</v>
      </c>
      <c r="AW1248">
        <v>5</v>
      </c>
      <c r="AX1248" t="s">
        <v>74</v>
      </c>
      <c r="AY1248" t="s">
        <v>74</v>
      </c>
      <c r="AZ1248" t="s">
        <v>74</v>
      </c>
      <c r="BA1248" t="s">
        <v>74</v>
      </c>
      <c r="BB1248">
        <v>2823</v>
      </c>
      <c r="BC1248">
        <v>2839</v>
      </c>
      <c r="BD1248" t="s">
        <v>74</v>
      </c>
      <c r="BE1248" t="s">
        <v>30498</v>
      </c>
      <c r="BF1248" t="str">
        <f>HYPERLINK("http://dx.doi.org/10.1007/s10639-019-09880-9","http://dx.doi.org/10.1007/s10639-019-09880-9")</f>
        <v>http://dx.doi.org/10.1007/s10639-019-09880-9</v>
      </c>
      <c r="BG1248" t="s">
        <v>74</v>
      </c>
      <c r="BH1248" t="s">
        <v>74</v>
      </c>
      <c r="BI1248">
        <v>17</v>
      </c>
      <c r="BJ1248" t="s">
        <v>4031</v>
      </c>
      <c r="BK1248" t="s">
        <v>99</v>
      </c>
      <c r="BL1248" t="s">
        <v>4031</v>
      </c>
      <c r="BM1248" t="s">
        <v>30497</v>
      </c>
      <c r="BN1248" t="s">
        <v>74</v>
      </c>
      <c r="BO1248" t="s">
        <v>4904</v>
      </c>
      <c r="BP1248" t="s">
        <v>74</v>
      </c>
      <c r="BQ1248" t="s">
        <v>74</v>
      </c>
      <c r="BR1248" t="s">
        <v>102</v>
      </c>
      <c r="BS1248" t="s">
        <v>30496</v>
      </c>
      <c r="BT1248" t="str">
        <f>HYPERLINK("https%3A%2F%2Fwww.webofscience.com%2Fwos%2Fwoscc%2Ffull-record%2FWOS:000482394200011","View Full Record in Web of Science")</f>
        <v>View Full Record in Web of Science</v>
      </c>
    </row>
    <row r="1249" spans="1:72" x14ac:dyDescent="0.25">
      <c r="A1249" t="s">
        <v>72</v>
      </c>
      <c r="B1249" t="s">
        <v>30495</v>
      </c>
      <c r="C1249" t="s">
        <v>74</v>
      </c>
      <c r="D1249" t="s">
        <v>74</v>
      </c>
      <c r="E1249" t="s">
        <v>74</v>
      </c>
      <c r="F1249" t="s">
        <v>30494</v>
      </c>
      <c r="G1249" t="s">
        <v>74</v>
      </c>
      <c r="H1249" t="s">
        <v>74</v>
      </c>
      <c r="I1249" t="s">
        <v>30493</v>
      </c>
      <c r="J1249" t="s">
        <v>11454</v>
      </c>
      <c r="K1249" t="s">
        <v>74</v>
      </c>
      <c r="L1249" t="s">
        <v>74</v>
      </c>
      <c r="M1249" t="s">
        <v>78</v>
      </c>
      <c r="N1249" t="s">
        <v>79</v>
      </c>
      <c r="O1249" t="s">
        <v>74</v>
      </c>
      <c r="P1249" t="s">
        <v>74</v>
      </c>
      <c r="Q1249" t="s">
        <v>74</v>
      </c>
      <c r="R1249" t="s">
        <v>74</v>
      </c>
      <c r="S1249" t="s">
        <v>74</v>
      </c>
      <c r="T1249" t="s">
        <v>30492</v>
      </c>
      <c r="U1249" t="s">
        <v>2337</v>
      </c>
      <c r="V1249" t="s">
        <v>30491</v>
      </c>
      <c r="W1249" t="s">
        <v>30490</v>
      </c>
      <c r="X1249" t="s">
        <v>30489</v>
      </c>
      <c r="Y1249" t="s">
        <v>30488</v>
      </c>
      <c r="Z1249" t="s">
        <v>30487</v>
      </c>
      <c r="AA1249" t="s">
        <v>30486</v>
      </c>
      <c r="AB1249" t="s">
        <v>30485</v>
      </c>
      <c r="AC1249" t="s">
        <v>74</v>
      </c>
      <c r="AD1249" t="s">
        <v>74</v>
      </c>
      <c r="AE1249" t="s">
        <v>74</v>
      </c>
      <c r="AF1249" t="s">
        <v>74</v>
      </c>
      <c r="AG1249">
        <v>67</v>
      </c>
      <c r="AH1249">
        <v>0</v>
      </c>
      <c r="AI1249">
        <v>1</v>
      </c>
      <c r="AJ1249">
        <v>7</v>
      </c>
      <c r="AK1249">
        <v>20</v>
      </c>
      <c r="AL1249" t="s">
        <v>11462</v>
      </c>
      <c r="AM1249" t="s">
        <v>11463</v>
      </c>
      <c r="AN1249" t="s">
        <v>11464</v>
      </c>
      <c r="AO1249" t="s">
        <v>74</v>
      </c>
      <c r="AP1249" t="s">
        <v>11465</v>
      </c>
      <c r="AQ1249" t="s">
        <v>74</v>
      </c>
      <c r="AR1249" t="s">
        <v>11466</v>
      </c>
      <c r="AS1249" t="s">
        <v>11467</v>
      </c>
      <c r="AT1249" t="s">
        <v>74</v>
      </c>
      <c r="AU1249">
        <v>2024</v>
      </c>
      <c r="AV1249">
        <v>9</v>
      </c>
      <c r="AW1249">
        <v>1</v>
      </c>
      <c r="AX1249" t="s">
        <v>74</v>
      </c>
      <c r="AY1249" t="s">
        <v>74</v>
      </c>
      <c r="AZ1249" t="s">
        <v>74</v>
      </c>
      <c r="BA1249" t="s">
        <v>74</v>
      </c>
      <c r="BB1249">
        <v>1</v>
      </c>
      <c r="BC1249">
        <v>25</v>
      </c>
      <c r="BD1249" t="s">
        <v>74</v>
      </c>
      <c r="BE1249" t="s">
        <v>30484</v>
      </c>
      <c r="BF1249" t="str">
        <f>HYPERLINK("http://dx.doi.org/10.30784/epfad.1433921","http://dx.doi.org/10.30784/epfad.1433921")</f>
        <v>http://dx.doi.org/10.30784/epfad.1433921</v>
      </c>
      <c r="BG1249" t="s">
        <v>74</v>
      </c>
      <c r="BH1249" t="s">
        <v>74</v>
      </c>
      <c r="BI1249">
        <v>25</v>
      </c>
      <c r="BJ1249" t="s">
        <v>210</v>
      </c>
      <c r="BK1249" t="s">
        <v>313</v>
      </c>
      <c r="BL1249" t="s">
        <v>100</v>
      </c>
      <c r="BM1249" t="s">
        <v>30483</v>
      </c>
      <c r="BN1249" t="s">
        <v>74</v>
      </c>
      <c r="BO1249" t="s">
        <v>212</v>
      </c>
      <c r="BP1249" t="s">
        <v>74</v>
      </c>
      <c r="BQ1249" t="s">
        <v>74</v>
      </c>
      <c r="BR1249" t="s">
        <v>102</v>
      </c>
      <c r="BS1249" t="s">
        <v>30482</v>
      </c>
      <c r="BT1249" t="str">
        <f>HYPERLINK("https%3A%2F%2Fwww.webofscience.com%2Fwos%2Fwoscc%2Ffull-record%2FWOS:001343077000001","View Full Record in Web of Science")</f>
        <v>View Full Record in Web of Science</v>
      </c>
    </row>
    <row r="1250" spans="1:72" x14ac:dyDescent="0.25">
      <c r="A1250" t="s">
        <v>72</v>
      </c>
      <c r="B1250" t="s">
        <v>30481</v>
      </c>
      <c r="C1250" t="s">
        <v>74</v>
      </c>
      <c r="D1250" t="s">
        <v>74</v>
      </c>
      <c r="E1250" t="s">
        <v>74</v>
      </c>
      <c r="F1250" t="s">
        <v>30480</v>
      </c>
      <c r="G1250" t="s">
        <v>74</v>
      </c>
      <c r="H1250" t="s">
        <v>74</v>
      </c>
      <c r="I1250" t="s">
        <v>30479</v>
      </c>
      <c r="J1250" t="s">
        <v>2763</v>
      </c>
      <c r="K1250" t="s">
        <v>74</v>
      </c>
      <c r="L1250" t="s">
        <v>74</v>
      </c>
      <c r="M1250" t="s">
        <v>78</v>
      </c>
      <c r="N1250" t="s">
        <v>79</v>
      </c>
      <c r="O1250" t="s">
        <v>74</v>
      </c>
      <c r="P1250" t="s">
        <v>74</v>
      </c>
      <c r="Q1250" t="s">
        <v>74</v>
      </c>
      <c r="R1250" t="s">
        <v>74</v>
      </c>
      <c r="S1250" t="s">
        <v>74</v>
      </c>
      <c r="T1250" t="s">
        <v>30478</v>
      </c>
      <c r="U1250" t="s">
        <v>30477</v>
      </c>
      <c r="V1250" t="s">
        <v>30476</v>
      </c>
      <c r="W1250" t="s">
        <v>30475</v>
      </c>
      <c r="X1250" t="s">
        <v>30474</v>
      </c>
      <c r="Y1250" t="s">
        <v>30473</v>
      </c>
      <c r="Z1250" t="s">
        <v>30472</v>
      </c>
      <c r="AA1250" t="s">
        <v>74</v>
      </c>
      <c r="AB1250" t="s">
        <v>30471</v>
      </c>
      <c r="AC1250" t="s">
        <v>30470</v>
      </c>
      <c r="AD1250" t="s">
        <v>30470</v>
      </c>
      <c r="AE1250" t="s">
        <v>30469</v>
      </c>
      <c r="AF1250" t="s">
        <v>74</v>
      </c>
      <c r="AG1250">
        <v>164</v>
      </c>
      <c r="AH1250">
        <v>1</v>
      </c>
      <c r="AI1250">
        <v>2</v>
      </c>
      <c r="AJ1250">
        <v>0</v>
      </c>
      <c r="AK1250">
        <v>7</v>
      </c>
      <c r="AL1250" t="s">
        <v>479</v>
      </c>
      <c r="AM1250" t="s">
        <v>480</v>
      </c>
      <c r="AN1250" t="s">
        <v>481</v>
      </c>
      <c r="AO1250" t="s">
        <v>2776</v>
      </c>
      <c r="AP1250" t="s">
        <v>2777</v>
      </c>
      <c r="AQ1250" t="s">
        <v>74</v>
      </c>
      <c r="AR1250" t="s">
        <v>2778</v>
      </c>
      <c r="AS1250" t="s">
        <v>2779</v>
      </c>
      <c r="AT1250" t="s">
        <v>237</v>
      </c>
      <c r="AU1250">
        <v>2025</v>
      </c>
      <c r="AV1250">
        <v>29</v>
      </c>
      <c r="AW1250">
        <v>1</v>
      </c>
      <c r="AX1250" t="s">
        <v>74</v>
      </c>
      <c r="AY1250" t="s">
        <v>74</v>
      </c>
      <c r="AZ1250" t="s">
        <v>74</v>
      </c>
      <c r="BA1250" t="s">
        <v>74</v>
      </c>
      <c r="BB1250">
        <v>105</v>
      </c>
      <c r="BC1250">
        <v>144</v>
      </c>
      <c r="BD1250" t="s">
        <v>74</v>
      </c>
      <c r="BE1250" t="s">
        <v>30468</v>
      </c>
      <c r="BF1250" t="str">
        <f>HYPERLINK("http://dx.doi.org/10.1111/rode.13056","http://dx.doi.org/10.1111/rode.13056")</f>
        <v>http://dx.doi.org/10.1111/rode.13056</v>
      </c>
      <c r="BG1250" t="s">
        <v>74</v>
      </c>
      <c r="BH1250" t="s">
        <v>5567</v>
      </c>
      <c r="BI1250">
        <v>40</v>
      </c>
      <c r="BJ1250" t="s">
        <v>701</v>
      </c>
      <c r="BK1250" t="s">
        <v>99</v>
      </c>
      <c r="BL1250" t="s">
        <v>702</v>
      </c>
      <c r="BM1250" t="s">
        <v>19985</v>
      </c>
      <c r="BN1250" t="s">
        <v>74</v>
      </c>
      <c r="BO1250" t="s">
        <v>270</v>
      </c>
      <c r="BP1250" t="s">
        <v>74</v>
      </c>
      <c r="BQ1250" t="s">
        <v>74</v>
      </c>
      <c r="BR1250" t="s">
        <v>102</v>
      </c>
      <c r="BS1250" t="s">
        <v>30467</v>
      </c>
      <c r="BT1250" t="str">
        <f>HYPERLINK("https%3A%2F%2Fwww.webofscience.com%2Fwos%2Fwoscc%2Ffull-record%2FWOS:001072768100001","View Full Record in Web of Science")</f>
        <v>View Full Record in Web of Science</v>
      </c>
    </row>
    <row r="1251" spans="1:72" x14ac:dyDescent="0.25">
      <c r="A1251" t="s">
        <v>72</v>
      </c>
      <c r="B1251" t="s">
        <v>30466</v>
      </c>
      <c r="C1251" t="s">
        <v>74</v>
      </c>
      <c r="D1251" t="s">
        <v>74</v>
      </c>
      <c r="E1251" t="s">
        <v>74</v>
      </c>
      <c r="F1251" t="s">
        <v>30465</v>
      </c>
      <c r="G1251" t="s">
        <v>74</v>
      </c>
      <c r="H1251" t="s">
        <v>74</v>
      </c>
      <c r="I1251" t="s">
        <v>30464</v>
      </c>
      <c r="J1251" t="s">
        <v>2809</v>
      </c>
      <c r="K1251" t="s">
        <v>74</v>
      </c>
      <c r="L1251" t="s">
        <v>74</v>
      </c>
      <c r="M1251" t="s">
        <v>78</v>
      </c>
      <c r="N1251" t="s">
        <v>79</v>
      </c>
      <c r="O1251" t="s">
        <v>74</v>
      </c>
      <c r="P1251" t="s">
        <v>74</v>
      </c>
      <c r="Q1251" t="s">
        <v>74</v>
      </c>
      <c r="R1251" t="s">
        <v>74</v>
      </c>
      <c r="S1251" t="s">
        <v>74</v>
      </c>
      <c r="T1251" t="s">
        <v>30463</v>
      </c>
      <c r="U1251" t="s">
        <v>30462</v>
      </c>
      <c r="V1251" t="s">
        <v>30461</v>
      </c>
      <c r="W1251" t="s">
        <v>30460</v>
      </c>
      <c r="X1251" t="s">
        <v>30459</v>
      </c>
      <c r="Y1251" t="s">
        <v>30458</v>
      </c>
      <c r="Z1251" t="s">
        <v>30457</v>
      </c>
      <c r="AA1251" t="s">
        <v>74</v>
      </c>
      <c r="AB1251" t="s">
        <v>3762</v>
      </c>
      <c r="AC1251" t="s">
        <v>30456</v>
      </c>
      <c r="AD1251" t="s">
        <v>30456</v>
      </c>
      <c r="AE1251" t="s">
        <v>30455</v>
      </c>
      <c r="AF1251" t="s">
        <v>74</v>
      </c>
      <c r="AG1251">
        <v>45</v>
      </c>
      <c r="AH1251">
        <v>35</v>
      </c>
      <c r="AI1251">
        <v>50</v>
      </c>
      <c r="AJ1251">
        <v>1</v>
      </c>
      <c r="AK1251">
        <v>30</v>
      </c>
      <c r="AL1251" t="s">
        <v>479</v>
      </c>
      <c r="AM1251" t="s">
        <v>480</v>
      </c>
      <c r="AN1251" t="s">
        <v>481</v>
      </c>
      <c r="AO1251" t="s">
        <v>2816</v>
      </c>
      <c r="AP1251" t="s">
        <v>2817</v>
      </c>
      <c r="AQ1251" t="s">
        <v>74</v>
      </c>
      <c r="AR1251" t="s">
        <v>2818</v>
      </c>
      <c r="AS1251" t="s">
        <v>2819</v>
      </c>
      <c r="AT1251" t="s">
        <v>17887</v>
      </c>
      <c r="AU1251">
        <v>2015</v>
      </c>
      <c r="AV1251">
        <v>49</v>
      </c>
      <c r="AW1251">
        <v>1</v>
      </c>
      <c r="AX1251" t="s">
        <v>74</v>
      </c>
      <c r="AY1251" t="s">
        <v>74</v>
      </c>
      <c r="AZ1251" t="s">
        <v>441</v>
      </c>
      <c r="BA1251" t="s">
        <v>74</v>
      </c>
      <c r="BB1251">
        <v>127</v>
      </c>
      <c r="BC1251">
        <v>155</v>
      </c>
      <c r="BD1251" t="s">
        <v>74</v>
      </c>
      <c r="BE1251" t="s">
        <v>30454</v>
      </c>
      <c r="BF1251" t="str">
        <f>HYPERLINK("http://dx.doi.org/10.1111/joca.12054","http://dx.doi.org/10.1111/joca.12054")</f>
        <v>http://dx.doi.org/10.1111/joca.12054</v>
      </c>
      <c r="BG1251" t="s">
        <v>74</v>
      </c>
      <c r="BH1251" t="s">
        <v>74</v>
      </c>
      <c r="BI1251">
        <v>29</v>
      </c>
      <c r="BJ1251" t="s">
        <v>1453</v>
      </c>
      <c r="BK1251" t="s">
        <v>99</v>
      </c>
      <c r="BL1251" t="s">
        <v>100</v>
      </c>
      <c r="BM1251" t="s">
        <v>19109</v>
      </c>
      <c r="BN1251" t="s">
        <v>74</v>
      </c>
      <c r="BO1251" t="s">
        <v>74</v>
      </c>
      <c r="BP1251" t="s">
        <v>74</v>
      </c>
      <c r="BQ1251" t="s">
        <v>74</v>
      </c>
      <c r="BR1251" t="s">
        <v>102</v>
      </c>
      <c r="BS1251" t="s">
        <v>30453</v>
      </c>
      <c r="BT1251" t="str">
        <f>HYPERLINK("https%3A%2F%2Fwww.webofscience.com%2Fwos%2Fwoscc%2Ffull-record%2FWOS:000351219200006","View Full Record in Web of Science")</f>
        <v>View Full Record in Web of Science</v>
      </c>
    </row>
    <row r="1252" spans="1:72" x14ac:dyDescent="0.25">
      <c r="A1252" t="s">
        <v>72</v>
      </c>
      <c r="B1252" t="s">
        <v>30452</v>
      </c>
      <c r="C1252" t="s">
        <v>74</v>
      </c>
      <c r="D1252" t="s">
        <v>74</v>
      </c>
      <c r="E1252" t="s">
        <v>74</v>
      </c>
      <c r="F1252" t="s">
        <v>30451</v>
      </c>
      <c r="G1252" t="s">
        <v>74</v>
      </c>
      <c r="H1252" t="s">
        <v>74</v>
      </c>
      <c r="I1252" t="s">
        <v>30450</v>
      </c>
      <c r="J1252" t="s">
        <v>5937</v>
      </c>
      <c r="K1252" t="s">
        <v>74</v>
      </c>
      <c r="L1252" t="s">
        <v>74</v>
      </c>
      <c r="M1252" t="s">
        <v>78</v>
      </c>
      <c r="N1252" t="s">
        <v>79</v>
      </c>
      <c r="O1252" t="s">
        <v>74</v>
      </c>
      <c r="P1252" t="s">
        <v>74</v>
      </c>
      <c r="Q1252" t="s">
        <v>74</v>
      </c>
      <c r="R1252" t="s">
        <v>74</v>
      </c>
      <c r="S1252" t="s">
        <v>74</v>
      </c>
      <c r="T1252" t="s">
        <v>30449</v>
      </c>
      <c r="U1252" t="s">
        <v>30448</v>
      </c>
      <c r="V1252" t="s">
        <v>30447</v>
      </c>
      <c r="W1252" t="s">
        <v>30446</v>
      </c>
      <c r="X1252" t="s">
        <v>30445</v>
      </c>
      <c r="Y1252" t="s">
        <v>30444</v>
      </c>
      <c r="Z1252" t="s">
        <v>30443</v>
      </c>
      <c r="AA1252" t="s">
        <v>30442</v>
      </c>
      <c r="AB1252" t="s">
        <v>30441</v>
      </c>
      <c r="AC1252" t="s">
        <v>30440</v>
      </c>
      <c r="AD1252" t="s">
        <v>30439</v>
      </c>
      <c r="AE1252" t="s">
        <v>30438</v>
      </c>
      <c r="AF1252" t="s">
        <v>74</v>
      </c>
      <c r="AG1252">
        <v>87</v>
      </c>
      <c r="AH1252">
        <v>11</v>
      </c>
      <c r="AI1252">
        <v>13</v>
      </c>
      <c r="AJ1252">
        <v>8</v>
      </c>
      <c r="AK1252">
        <v>44</v>
      </c>
      <c r="AL1252" t="s">
        <v>89</v>
      </c>
      <c r="AM1252" t="s">
        <v>90</v>
      </c>
      <c r="AN1252" t="s">
        <v>91</v>
      </c>
      <c r="AO1252" t="s">
        <v>5946</v>
      </c>
      <c r="AP1252" t="s">
        <v>5947</v>
      </c>
      <c r="AQ1252" t="s">
        <v>74</v>
      </c>
      <c r="AR1252" t="s">
        <v>5948</v>
      </c>
      <c r="AS1252" t="s">
        <v>5949</v>
      </c>
      <c r="AT1252" t="s">
        <v>30437</v>
      </c>
      <c r="AU1252">
        <v>2024</v>
      </c>
      <c r="AV1252">
        <v>15</v>
      </c>
      <c r="AW1252">
        <v>6</v>
      </c>
      <c r="AX1252" t="s">
        <v>74</v>
      </c>
      <c r="AY1252" t="s">
        <v>74</v>
      </c>
      <c r="AZ1252" t="s">
        <v>74</v>
      </c>
      <c r="BA1252" t="s">
        <v>74</v>
      </c>
      <c r="BB1252">
        <v>1709</v>
      </c>
      <c r="BC1252">
        <v>1733</v>
      </c>
      <c r="BD1252" t="s">
        <v>74</v>
      </c>
      <c r="BE1252" t="s">
        <v>30436</v>
      </c>
      <c r="BF1252" t="str">
        <f>HYPERLINK("http://dx.doi.org/10.1108/JSTPM-03-2023-0035","http://dx.doi.org/10.1108/JSTPM-03-2023-0035")</f>
        <v>http://dx.doi.org/10.1108/JSTPM-03-2023-0035</v>
      </c>
      <c r="BG1252" t="s">
        <v>74</v>
      </c>
      <c r="BH1252" t="s">
        <v>7993</v>
      </c>
      <c r="BI1252">
        <v>25</v>
      </c>
      <c r="BJ1252" t="s">
        <v>583</v>
      </c>
      <c r="BK1252" t="s">
        <v>313</v>
      </c>
      <c r="BL1252" t="s">
        <v>100</v>
      </c>
      <c r="BM1252" t="s">
        <v>30435</v>
      </c>
      <c r="BN1252" t="s">
        <v>74</v>
      </c>
      <c r="BO1252" t="s">
        <v>74</v>
      </c>
      <c r="BP1252" t="s">
        <v>74</v>
      </c>
      <c r="BQ1252" t="s">
        <v>74</v>
      </c>
      <c r="BR1252" t="s">
        <v>102</v>
      </c>
      <c r="BS1252" t="s">
        <v>30434</v>
      </c>
      <c r="BT1252" t="str">
        <f>HYPERLINK("https%3A%2F%2Fwww.webofscience.com%2Fwos%2Fwoscc%2Ffull-record%2FWOS:001052170400001","View Full Record in Web of Science")</f>
        <v>View Full Record in Web of Science</v>
      </c>
    </row>
    <row r="1253" spans="1:72" x14ac:dyDescent="0.25">
      <c r="A1253" t="s">
        <v>72</v>
      </c>
      <c r="B1253" t="s">
        <v>30433</v>
      </c>
      <c r="C1253" t="s">
        <v>74</v>
      </c>
      <c r="D1253" t="s">
        <v>74</v>
      </c>
      <c r="E1253" t="s">
        <v>74</v>
      </c>
      <c r="F1253" t="s">
        <v>30432</v>
      </c>
      <c r="G1253" t="s">
        <v>74</v>
      </c>
      <c r="H1253" t="s">
        <v>74</v>
      </c>
      <c r="I1253" t="s">
        <v>30431</v>
      </c>
      <c r="J1253" t="s">
        <v>1963</v>
      </c>
      <c r="K1253" t="s">
        <v>74</v>
      </c>
      <c r="L1253" t="s">
        <v>74</v>
      </c>
      <c r="M1253" t="s">
        <v>78</v>
      </c>
      <c r="N1253" t="s">
        <v>79</v>
      </c>
      <c r="O1253" t="s">
        <v>74</v>
      </c>
      <c r="P1253" t="s">
        <v>74</v>
      </c>
      <c r="Q1253" t="s">
        <v>74</v>
      </c>
      <c r="R1253" t="s">
        <v>74</v>
      </c>
      <c r="S1253" t="s">
        <v>74</v>
      </c>
      <c r="T1253" t="s">
        <v>30430</v>
      </c>
      <c r="U1253" t="s">
        <v>30429</v>
      </c>
      <c r="V1253" t="s">
        <v>30428</v>
      </c>
      <c r="W1253" t="s">
        <v>30427</v>
      </c>
      <c r="X1253" t="s">
        <v>7303</v>
      </c>
      <c r="Y1253" t="s">
        <v>30426</v>
      </c>
      <c r="Z1253" t="s">
        <v>7305</v>
      </c>
      <c r="AA1253" t="s">
        <v>7306</v>
      </c>
      <c r="AB1253" t="s">
        <v>7307</v>
      </c>
      <c r="AC1253" t="s">
        <v>30425</v>
      </c>
      <c r="AD1253" t="s">
        <v>30425</v>
      </c>
      <c r="AE1253" t="s">
        <v>30424</v>
      </c>
      <c r="AF1253" t="s">
        <v>74</v>
      </c>
      <c r="AG1253">
        <v>34</v>
      </c>
      <c r="AH1253">
        <v>9</v>
      </c>
      <c r="AI1253">
        <v>11</v>
      </c>
      <c r="AJ1253">
        <v>1</v>
      </c>
      <c r="AK1253">
        <v>13</v>
      </c>
      <c r="AL1253" t="s">
        <v>332</v>
      </c>
      <c r="AM1253" t="s">
        <v>333</v>
      </c>
      <c r="AN1253" t="s">
        <v>334</v>
      </c>
      <c r="AO1253" t="s">
        <v>1975</v>
      </c>
      <c r="AP1253" t="s">
        <v>1976</v>
      </c>
      <c r="AQ1253" t="s">
        <v>74</v>
      </c>
      <c r="AR1253" t="s">
        <v>1977</v>
      </c>
      <c r="AS1253" t="s">
        <v>1978</v>
      </c>
      <c r="AT1253" t="s">
        <v>74</v>
      </c>
      <c r="AU1253">
        <v>2018</v>
      </c>
      <c r="AV1253">
        <v>50</v>
      </c>
      <c r="AW1253">
        <v>50</v>
      </c>
      <c r="AX1253" t="s">
        <v>74</v>
      </c>
      <c r="AY1253" t="s">
        <v>74</v>
      </c>
      <c r="AZ1253" t="s">
        <v>74</v>
      </c>
      <c r="BA1253" t="s">
        <v>74</v>
      </c>
      <c r="BB1253">
        <v>5354</v>
      </c>
      <c r="BC1253">
        <v>5365</v>
      </c>
      <c r="BD1253" t="s">
        <v>74</v>
      </c>
      <c r="BE1253" t="s">
        <v>30423</v>
      </c>
      <c r="BF1253" t="str">
        <f>HYPERLINK("http://dx.doi.org/10.1080/00036846.2018.1486990","http://dx.doi.org/10.1080/00036846.2018.1486990")</f>
        <v>http://dx.doi.org/10.1080/00036846.2018.1486990</v>
      </c>
      <c r="BG1253" t="s">
        <v>74</v>
      </c>
      <c r="BH1253" t="s">
        <v>74</v>
      </c>
      <c r="BI1253">
        <v>12</v>
      </c>
      <c r="BJ1253" t="s">
        <v>291</v>
      </c>
      <c r="BK1253" t="s">
        <v>99</v>
      </c>
      <c r="BL1253" t="s">
        <v>100</v>
      </c>
      <c r="BM1253" t="s">
        <v>30422</v>
      </c>
      <c r="BN1253" t="s">
        <v>74</v>
      </c>
      <c r="BO1253" t="s">
        <v>74</v>
      </c>
      <c r="BP1253" t="s">
        <v>74</v>
      </c>
      <c r="BQ1253" t="s">
        <v>74</v>
      </c>
      <c r="BR1253" t="s">
        <v>102</v>
      </c>
      <c r="BS1253" t="s">
        <v>30421</v>
      </c>
      <c r="BT1253" t="str">
        <f>HYPERLINK("https%3A%2F%2Fwww.webofscience.com%2Fwos%2Fwoscc%2Ffull-record%2FWOS:000443840000001","View Full Record in Web of Science")</f>
        <v>View Full Record in Web of Science</v>
      </c>
    </row>
    <row r="1254" spans="1:72" x14ac:dyDescent="0.25">
      <c r="A1254" t="s">
        <v>72</v>
      </c>
      <c r="B1254" t="s">
        <v>30420</v>
      </c>
      <c r="C1254" t="s">
        <v>74</v>
      </c>
      <c r="D1254" t="s">
        <v>74</v>
      </c>
      <c r="E1254" t="s">
        <v>74</v>
      </c>
      <c r="F1254" t="s">
        <v>30419</v>
      </c>
      <c r="G1254" t="s">
        <v>74</v>
      </c>
      <c r="H1254" t="s">
        <v>74</v>
      </c>
      <c r="I1254" t="s">
        <v>30418</v>
      </c>
      <c r="J1254" t="s">
        <v>30417</v>
      </c>
      <c r="K1254" t="s">
        <v>74</v>
      </c>
      <c r="L1254" t="s">
        <v>74</v>
      </c>
      <c r="M1254" t="s">
        <v>78</v>
      </c>
      <c r="N1254" t="s">
        <v>79</v>
      </c>
      <c r="O1254" t="s">
        <v>74</v>
      </c>
      <c r="P1254" t="s">
        <v>74</v>
      </c>
      <c r="Q1254" t="s">
        <v>74</v>
      </c>
      <c r="R1254" t="s">
        <v>74</v>
      </c>
      <c r="S1254" t="s">
        <v>74</v>
      </c>
      <c r="T1254" t="s">
        <v>30416</v>
      </c>
      <c r="U1254" t="s">
        <v>30415</v>
      </c>
      <c r="V1254" t="s">
        <v>30414</v>
      </c>
      <c r="W1254" t="s">
        <v>30413</v>
      </c>
      <c r="X1254" t="s">
        <v>30412</v>
      </c>
      <c r="Y1254" t="s">
        <v>30411</v>
      </c>
      <c r="Z1254" t="s">
        <v>30410</v>
      </c>
      <c r="AA1254" t="s">
        <v>30409</v>
      </c>
      <c r="AB1254" t="s">
        <v>30408</v>
      </c>
      <c r="AC1254" t="s">
        <v>74</v>
      </c>
      <c r="AD1254" t="s">
        <v>74</v>
      </c>
      <c r="AE1254" t="s">
        <v>74</v>
      </c>
      <c r="AF1254" t="s">
        <v>74</v>
      </c>
      <c r="AG1254">
        <v>36</v>
      </c>
      <c r="AH1254">
        <v>38</v>
      </c>
      <c r="AI1254">
        <v>48</v>
      </c>
      <c r="AJ1254">
        <v>1</v>
      </c>
      <c r="AK1254">
        <v>56</v>
      </c>
      <c r="AL1254" t="s">
        <v>994</v>
      </c>
      <c r="AM1254" t="s">
        <v>995</v>
      </c>
      <c r="AN1254" t="s">
        <v>2061</v>
      </c>
      <c r="AO1254" t="s">
        <v>997</v>
      </c>
      <c r="AP1254" t="s">
        <v>30407</v>
      </c>
      <c r="AQ1254" t="s">
        <v>74</v>
      </c>
      <c r="AR1254" t="s">
        <v>998</v>
      </c>
      <c r="AS1254" t="s">
        <v>30406</v>
      </c>
      <c r="AT1254" t="s">
        <v>891</v>
      </c>
      <c r="AU1254">
        <v>2017</v>
      </c>
      <c r="AV1254">
        <v>35</v>
      </c>
      <c r="AW1254">
        <v>7</v>
      </c>
      <c r="AX1254" t="s">
        <v>74</v>
      </c>
      <c r="AY1254" t="s">
        <v>74</v>
      </c>
      <c r="AZ1254" t="s">
        <v>441</v>
      </c>
      <c r="BA1254" t="s">
        <v>74</v>
      </c>
      <c r="BB1254">
        <v>787</v>
      </c>
      <c r="BC1254">
        <v>792</v>
      </c>
      <c r="BD1254" t="s">
        <v>74</v>
      </c>
      <c r="BE1254" t="s">
        <v>30405</v>
      </c>
      <c r="BF1254" t="str">
        <f>HYPERLINK("http://dx.doi.org/10.1177/0266242617719314","http://dx.doi.org/10.1177/0266242617719314")</f>
        <v>http://dx.doi.org/10.1177/0266242617719314</v>
      </c>
      <c r="BG1254" t="s">
        <v>74</v>
      </c>
      <c r="BH1254" t="s">
        <v>74</v>
      </c>
      <c r="BI1254">
        <v>6</v>
      </c>
      <c r="BJ1254" t="s">
        <v>98</v>
      </c>
      <c r="BK1254" t="s">
        <v>99</v>
      </c>
      <c r="BL1254" t="s">
        <v>100</v>
      </c>
      <c r="BM1254" t="s">
        <v>30404</v>
      </c>
      <c r="BN1254" t="s">
        <v>74</v>
      </c>
      <c r="BO1254" t="s">
        <v>74</v>
      </c>
      <c r="BP1254" t="s">
        <v>74</v>
      </c>
      <c r="BQ1254" t="s">
        <v>74</v>
      </c>
      <c r="BR1254" t="s">
        <v>102</v>
      </c>
      <c r="BS1254" t="s">
        <v>30403</v>
      </c>
      <c r="BT1254" t="str">
        <f>HYPERLINK("https%3A%2F%2Fwww.webofscience.com%2Fwos%2Fwoscc%2Ffull-record%2FWOS:000414304900001","View Full Record in Web of Science")</f>
        <v>View Full Record in Web of Science</v>
      </c>
    </row>
    <row r="1255" spans="1:72" x14ac:dyDescent="0.25">
      <c r="A1255" t="s">
        <v>72</v>
      </c>
      <c r="B1255" t="s">
        <v>12257</v>
      </c>
      <c r="C1255" t="s">
        <v>74</v>
      </c>
      <c r="D1255" t="s">
        <v>74</v>
      </c>
      <c r="E1255" t="s">
        <v>74</v>
      </c>
      <c r="F1255" t="s">
        <v>30402</v>
      </c>
      <c r="G1255" t="s">
        <v>74</v>
      </c>
      <c r="H1255" t="s">
        <v>74</v>
      </c>
      <c r="I1255" t="s">
        <v>30401</v>
      </c>
      <c r="J1255" t="s">
        <v>1328</v>
      </c>
      <c r="K1255" t="s">
        <v>74</v>
      </c>
      <c r="L1255" t="s">
        <v>74</v>
      </c>
      <c r="M1255" t="s">
        <v>78</v>
      </c>
      <c r="N1255" t="s">
        <v>79</v>
      </c>
      <c r="O1255" t="s">
        <v>74</v>
      </c>
      <c r="P1255" t="s">
        <v>74</v>
      </c>
      <c r="Q1255" t="s">
        <v>74</v>
      </c>
      <c r="R1255" t="s">
        <v>74</v>
      </c>
      <c r="S1255" t="s">
        <v>74</v>
      </c>
      <c r="T1255" t="s">
        <v>30400</v>
      </c>
      <c r="U1255" t="s">
        <v>30399</v>
      </c>
      <c r="V1255" t="s">
        <v>30398</v>
      </c>
      <c r="W1255" t="s">
        <v>30397</v>
      </c>
      <c r="X1255" t="s">
        <v>12264</v>
      </c>
      <c r="Y1255" t="s">
        <v>30396</v>
      </c>
      <c r="Z1255" t="s">
        <v>30395</v>
      </c>
      <c r="AA1255" t="s">
        <v>12267</v>
      </c>
      <c r="AB1255" t="s">
        <v>74</v>
      </c>
      <c r="AC1255" t="s">
        <v>74</v>
      </c>
      <c r="AD1255" t="s">
        <v>74</v>
      </c>
      <c r="AE1255" t="s">
        <v>74</v>
      </c>
      <c r="AF1255" t="s">
        <v>74</v>
      </c>
      <c r="AG1255">
        <v>76</v>
      </c>
      <c r="AH1255">
        <v>8</v>
      </c>
      <c r="AI1255">
        <v>10</v>
      </c>
      <c r="AJ1255">
        <v>10</v>
      </c>
      <c r="AK1255">
        <v>20</v>
      </c>
      <c r="AL1255" t="s">
        <v>1335</v>
      </c>
      <c r="AM1255" t="s">
        <v>1336</v>
      </c>
      <c r="AN1255" t="s">
        <v>1337</v>
      </c>
      <c r="AO1255" t="s">
        <v>1338</v>
      </c>
      <c r="AP1255" t="s">
        <v>1339</v>
      </c>
      <c r="AQ1255" t="s">
        <v>74</v>
      </c>
      <c r="AR1255" t="s">
        <v>1340</v>
      </c>
      <c r="AS1255" t="s">
        <v>1341</v>
      </c>
      <c r="AT1255" t="s">
        <v>74</v>
      </c>
      <c r="AU1255">
        <v>2023</v>
      </c>
      <c r="AV1255">
        <v>17</v>
      </c>
      <c r="AW1255">
        <v>1</v>
      </c>
      <c r="AX1255" t="s">
        <v>74</v>
      </c>
      <c r="AY1255" t="s">
        <v>74</v>
      </c>
      <c r="AZ1255" t="s">
        <v>74</v>
      </c>
      <c r="BA1255" t="s">
        <v>74</v>
      </c>
      <c r="BB1255">
        <v>9</v>
      </c>
      <c r="BC1255">
        <v>31</v>
      </c>
      <c r="BD1255" t="s">
        <v>74</v>
      </c>
      <c r="BE1255" t="s">
        <v>74</v>
      </c>
      <c r="BF1255" t="s">
        <v>74</v>
      </c>
      <c r="BG1255" t="s">
        <v>74</v>
      </c>
      <c r="BH1255" t="s">
        <v>74</v>
      </c>
      <c r="BI1255">
        <v>23</v>
      </c>
      <c r="BJ1255" t="s">
        <v>268</v>
      </c>
      <c r="BK1255" t="s">
        <v>313</v>
      </c>
      <c r="BL1255" t="s">
        <v>100</v>
      </c>
      <c r="BM1255" t="s">
        <v>12451</v>
      </c>
      <c r="BN1255" t="s">
        <v>74</v>
      </c>
      <c r="BO1255" t="s">
        <v>212</v>
      </c>
      <c r="BP1255" t="s">
        <v>74</v>
      </c>
      <c r="BQ1255" t="s">
        <v>74</v>
      </c>
      <c r="BR1255" t="s">
        <v>102</v>
      </c>
      <c r="BS1255" t="s">
        <v>30394</v>
      </c>
      <c r="BT1255" t="str">
        <f>HYPERLINK("https%3A%2F%2Fwww.webofscience.com%2Fwos%2Fwoscc%2Ffull-record%2FWOS:000986530100002","View Full Record in Web of Science")</f>
        <v>View Full Record in Web of Science</v>
      </c>
    </row>
    <row r="1256" spans="1:72" x14ac:dyDescent="0.25">
      <c r="A1256" t="s">
        <v>72</v>
      </c>
      <c r="B1256" t="s">
        <v>30393</v>
      </c>
      <c r="C1256" t="s">
        <v>74</v>
      </c>
      <c r="D1256" t="s">
        <v>74</v>
      </c>
      <c r="E1256" t="s">
        <v>74</v>
      </c>
      <c r="F1256" t="s">
        <v>30392</v>
      </c>
      <c r="G1256" t="s">
        <v>74</v>
      </c>
      <c r="H1256" t="s">
        <v>74</v>
      </c>
      <c r="I1256" t="s">
        <v>30391</v>
      </c>
      <c r="J1256" t="s">
        <v>12549</v>
      </c>
      <c r="K1256" t="s">
        <v>74</v>
      </c>
      <c r="L1256" t="s">
        <v>74</v>
      </c>
      <c r="M1256" t="s">
        <v>78</v>
      </c>
      <c r="N1256" t="s">
        <v>79</v>
      </c>
      <c r="O1256" t="s">
        <v>74</v>
      </c>
      <c r="P1256" t="s">
        <v>74</v>
      </c>
      <c r="Q1256" t="s">
        <v>74</v>
      </c>
      <c r="R1256" t="s">
        <v>74</v>
      </c>
      <c r="S1256" t="s">
        <v>74</v>
      </c>
      <c r="T1256" t="s">
        <v>30390</v>
      </c>
      <c r="U1256" t="s">
        <v>30389</v>
      </c>
      <c r="V1256" t="s">
        <v>30388</v>
      </c>
      <c r="W1256" t="s">
        <v>30387</v>
      </c>
      <c r="X1256" t="s">
        <v>30386</v>
      </c>
      <c r="Y1256" t="s">
        <v>30385</v>
      </c>
      <c r="Z1256" t="s">
        <v>30384</v>
      </c>
      <c r="AA1256" t="s">
        <v>20060</v>
      </c>
      <c r="AB1256" t="s">
        <v>22813</v>
      </c>
      <c r="AC1256" t="s">
        <v>30383</v>
      </c>
      <c r="AD1256" t="s">
        <v>30382</v>
      </c>
      <c r="AE1256" t="s">
        <v>30381</v>
      </c>
      <c r="AF1256" t="s">
        <v>74</v>
      </c>
      <c r="AG1256">
        <v>81</v>
      </c>
      <c r="AH1256">
        <v>5</v>
      </c>
      <c r="AI1256">
        <v>7</v>
      </c>
      <c r="AJ1256">
        <v>0</v>
      </c>
      <c r="AK1256">
        <v>12</v>
      </c>
      <c r="AL1256" t="s">
        <v>575</v>
      </c>
      <c r="AM1256" t="s">
        <v>576</v>
      </c>
      <c r="AN1256" t="s">
        <v>3242</v>
      </c>
      <c r="AO1256" t="s">
        <v>12562</v>
      </c>
      <c r="AP1256" t="s">
        <v>12563</v>
      </c>
      <c r="AQ1256" t="s">
        <v>74</v>
      </c>
      <c r="AR1256" t="s">
        <v>12564</v>
      </c>
      <c r="AS1256" t="s">
        <v>12565</v>
      </c>
      <c r="AT1256" t="s">
        <v>1159</v>
      </c>
      <c r="AU1256">
        <v>2020</v>
      </c>
      <c r="AV1256">
        <v>13</v>
      </c>
      <c r="AW1256">
        <v>10</v>
      </c>
      <c r="AX1256" t="s">
        <v>74</v>
      </c>
      <c r="AY1256" t="s">
        <v>74</v>
      </c>
      <c r="AZ1256" t="s">
        <v>74</v>
      </c>
      <c r="BA1256" t="s">
        <v>74</v>
      </c>
      <c r="BB1256" t="s">
        <v>74</v>
      </c>
      <c r="BC1256" t="s">
        <v>74</v>
      </c>
      <c r="BD1256">
        <v>239</v>
      </c>
      <c r="BE1256" t="s">
        <v>30380</v>
      </c>
      <c r="BF1256" t="str">
        <f>HYPERLINK("http://dx.doi.org/10.3390/jrfm13100239","http://dx.doi.org/10.3390/jrfm13100239")</f>
        <v>http://dx.doi.org/10.3390/jrfm13100239</v>
      </c>
      <c r="BG1256" t="s">
        <v>74</v>
      </c>
      <c r="BH1256" t="s">
        <v>74</v>
      </c>
      <c r="BI1256">
        <v>28</v>
      </c>
      <c r="BJ1256" t="s">
        <v>268</v>
      </c>
      <c r="BK1256" t="s">
        <v>313</v>
      </c>
      <c r="BL1256" t="s">
        <v>100</v>
      </c>
      <c r="BM1256" t="s">
        <v>30379</v>
      </c>
      <c r="BN1256" t="s">
        <v>74</v>
      </c>
      <c r="BO1256" t="s">
        <v>466</v>
      </c>
      <c r="BP1256" t="s">
        <v>74</v>
      </c>
      <c r="BQ1256" t="s">
        <v>74</v>
      </c>
      <c r="BR1256" t="s">
        <v>102</v>
      </c>
      <c r="BS1256" t="s">
        <v>30378</v>
      </c>
      <c r="BT1256" t="str">
        <f>HYPERLINK("https%3A%2F%2Fwww.webofscience.com%2Fwos%2Fwoscc%2Ffull-record%2FWOS:000586871000001","View Full Record in Web of Science")</f>
        <v>View Full Record in Web of Science</v>
      </c>
    </row>
    <row r="1257" spans="1:72" x14ac:dyDescent="0.25">
      <c r="A1257" t="s">
        <v>72</v>
      </c>
      <c r="B1257" t="s">
        <v>30377</v>
      </c>
      <c r="C1257" t="s">
        <v>74</v>
      </c>
      <c r="D1257" t="s">
        <v>74</v>
      </c>
      <c r="E1257" t="s">
        <v>74</v>
      </c>
      <c r="F1257" t="s">
        <v>30376</v>
      </c>
      <c r="G1257" t="s">
        <v>74</v>
      </c>
      <c r="H1257" t="s">
        <v>74</v>
      </c>
      <c r="I1257" t="s">
        <v>30375</v>
      </c>
      <c r="J1257" t="s">
        <v>2137</v>
      </c>
      <c r="K1257" t="s">
        <v>74</v>
      </c>
      <c r="L1257" t="s">
        <v>74</v>
      </c>
      <c r="M1257" t="s">
        <v>78</v>
      </c>
      <c r="N1257" t="s">
        <v>79</v>
      </c>
      <c r="O1257" t="s">
        <v>74</v>
      </c>
      <c r="P1257" t="s">
        <v>74</v>
      </c>
      <c r="Q1257" t="s">
        <v>74</v>
      </c>
      <c r="R1257" t="s">
        <v>74</v>
      </c>
      <c r="S1257" t="s">
        <v>74</v>
      </c>
      <c r="T1257" t="s">
        <v>30374</v>
      </c>
      <c r="U1257" t="s">
        <v>30373</v>
      </c>
      <c r="V1257" t="s">
        <v>30372</v>
      </c>
      <c r="W1257" t="s">
        <v>30371</v>
      </c>
      <c r="X1257" t="s">
        <v>28961</v>
      </c>
      <c r="Y1257" t="s">
        <v>30370</v>
      </c>
      <c r="Z1257" t="s">
        <v>30369</v>
      </c>
      <c r="AA1257" t="s">
        <v>74</v>
      </c>
      <c r="AB1257" t="s">
        <v>74</v>
      </c>
      <c r="AC1257" t="s">
        <v>74</v>
      </c>
      <c r="AD1257" t="s">
        <v>74</v>
      </c>
      <c r="AE1257" t="s">
        <v>74</v>
      </c>
      <c r="AF1257" t="s">
        <v>74</v>
      </c>
      <c r="AG1257">
        <v>72</v>
      </c>
      <c r="AH1257">
        <v>7</v>
      </c>
      <c r="AI1257">
        <v>9</v>
      </c>
      <c r="AJ1257">
        <v>1</v>
      </c>
      <c r="AK1257">
        <v>10</v>
      </c>
      <c r="AL1257" t="s">
        <v>2145</v>
      </c>
      <c r="AM1257" t="s">
        <v>151</v>
      </c>
      <c r="AN1257" t="s">
        <v>2146</v>
      </c>
      <c r="AO1257" t="s">
        <v>2147</v>
      </c>
      <c r="AP1257" t="s">
        <v>2148</v>
      </c>
      <c r="AQ1257" t="s">
        <v>74</v>
      </c>
      <c r="AR1257" t="s">
        <v>2149</v>
      </c>
      <c r="AS1257" t="s">
        <v>2150</v>
      </c>
      <c r="AT1257" t="s">
        <v>74</v>
      </c>
      <c r="AU1257">
        <v>2023</v>
      </c>
      <c r="AV1257">
        <v>34</v>
      </c>
      <c r="AW1257">
        <v>2</v>
      </c>
      <c r="AX1257" t="s">
        <v>74</v>
      </c>
      <c r="AY1257" t="s">
        <v>74</v>
      </c>
      <c r="AZ1257" t="s">
        <v>74</v>
      </c>
      <c r="BA1257" t="s">
        <v>74</v>
      </c>
      <c r="BB1257">
        <v>184</v>
      </c>
      <c r="BC1257">
        <v>203</v>
      </c>
      <c r="BD1257" t="s">
        <v>74</v>
      </c>
      <c r="BE1257" t="s">
        <v>30368</v>
      </c>
      <c r="BF1257" t="str">
        <f>HYPERLINK("http://dx.doi.org/10.1891/JFCP-2022-0003","http://dx.doi.org/10.1891/JFCP-2022-0003")</f>
        <v>http://dx.doi.org/10.1891/JFCP-2022-0003</v>
      </c>
      <c r="BG1257" t="s">
        <v>74</v>
      </c>
      <c r="BH1257" t="s">
        <v>74</v>
      </c>
      <c r="BI1257">
        <v>20</v>
      </c>
      <c r="BJ1257" t="s">
        <v>1453</v>
      </c>
      <c r="BK1257" t="s">
        <v>313</v>
      </c>
      <c r="BL1257" t="s">
        <v>100</v>
      </c>
      <c r="BM1257" t="s">
        <v>8429</v>
      </c>
      <c r="BN1257" t="s">
        <v>74</v>
      </c>
      <c r="BO1257" t="s">
        <v>74</v>
      </c>
      <c r="BP1257" t="s">
        <v>74</v>
      </c>
      <c r="BQ1257" t="s">
        <v>74</v>
      </c>
      <c r="BR1257" t="s">
        <v>102</v>
      </c>
      <c r="BS1257" t="s">
        <v>30367</v>
      </c>
      <c r="BT1257" t="str">
        <f>HYPERLINK("https%3A%2F%2Fwww.webofscience.com%2Fwos%2Fwoscc%2Ffull-record%2FWOS:001041749400003","View Full Record in Web of Science")</f>
        <v>View Full Record in Web of Science</v>
      </c>
    </row>
    <row r="1258" spans="1:72" x14ac:dyDescent="0.25">
      <c r="A1258" t="s">
        <v>132</v>
      </c>
      <c r="B1258" t="s">
        <v>30366</v>
      </c>
      <c r="C1258" t="s">
        <v>74</v>
      </c>
      <c r="D1258" t="s">
        <v>74</v>
      </c>
      <c r="E1258" t="s">
        <v>771</v>
      </c>
      <c r="F1258" t="s">
        <v>30365</v>
      </c>
      <c r="G1258" t="s">
        <v>74</v>
      </c>
      <c r="H1258" t="s">
        <v>74</v>
      </c>
      <c r="I1258" t="s">
        <v>30364</v>
      </c>
      <c r="J1258" t="s">
        <v>30363</v>
      </c>
      <c r="K1258" t="s">
        <v>74</v>
      </c>
      <c r="L1258" t="s">
        <v>74</v>
      </c>
      <c r="M1258" t="s">
        <v>78</v>
      </c>
      <c r="N1258" t="s">
        <v>138</v>
      </c>
      <c r="O1258" t="s">
        <v>30362</v>
      </c>
      <c r="P1258" t="s">
        <v>30361</v>
      </c>
      <c r="Q1258" t="s">
        <v>30360</v>
      </c>
      <c r="R1258" t="s">
        <v>30359</v>
      </c>
      <c r="S1258" t="s">
        <v>30358</v>
      </c>
      <c r="T1258" t="s">
        <v>30357</v>
      </c>
      <c r="U1258" t="s">
        <v>74</v>
      </c>
      <c r="V1258" t="s">
        <v>30356</v>
      </c>
      <c r="W1258" t="s">
        <v>30355</v>
      </c>
      <c r="X1258" t="s">
        <v>30354</v>
      </c>
      <c r="Y1258" t="s">
        <v>30353</v>
      </c>
      <c r="Z1258" t="s">
        <v>30352</v>
      </c>
      <c r="AA1258" t="s">
        <v>30351</v>
      </c>
      <c r="AB1258" t="s">
        <v>74</v>
      </c>
      <c r="AC1258" t="s">
        <v>74</v>
      </c>
      <c r="AD1258" t="s">
        <v>74</v>
      </c>
      <c r="AE1258" t="s">
        <v>74</v>
      </c>
      <c r="AF1258" t="s">
        <v>74</v>
      </c>
      <c r="AG1258">
        <v>19</v>
      </c>
      <c r="AH1258">
        <v>1</v>
      </c>
      <c r="AI1258">
        <v>1</v>
      </c>
      <c r="AJ1258">
        <v>0</v>
      </c>
      <c r="AK1258">
        <v>1</v>
      </c>
      <c r="AL1258" t="s">
        <v>771</v>
      </c>
      <c r="AM1258" t="s">
        <v>151</v>
      </c>
      <c r="AN1258" t="s">
        <v>785</v>
      </c>
      <c r="AO1258" t="s">
        <v>74</v>
      </c>
      <c r="AP1258" t="s">
        <v>74</v>
      </c>
      <c r="AQ1258" t="s">
        <v>30350</v>
      </c>
      <c r="AR1258" t="s">
        <v>74</v>
      </c>
      <c r="AS1258" t="s">
        <v>74</v>
      </c>
      <c r="AT1258" t="s">
        <v>74</v>
      </c>
      <c r="AU1258">
        <v>2015</v>
      </c>
      <c r="AV1258" t="s">
        <v>74</v>
      </c>
      <c r="AW1258" t="s">
        <v>74</v>
      </c>
      <c r="AX1258" t="s">
        <v>74</v>
      </c>
      <c r="AY1258" t="s">
        <v>74</v>
      </c>
      <c r="AZ1258" t="s">
        <v>74</v>
      </c>
      <c r="BA1258" t="s">
        <v>74</v>
      </c>
      <c r="BB1258">
        <v>60</v>
      </c>
      <c r="BC1258">
        <v>64</v>
      </c>
      <c r="BD1258" t="s">
        <v>74</v>
      </c>
      <c r="BE1258" t="s">
        <v>74</v>
      </c>
      <c r="BF1258" t="s">
        <v>74</v>
      </c>
      <c r="BG1258" t="s">
        <v>74</v>
      </c>
      <c r="BH1258" t="s">
        <v>74</v>
      </c>
      <c r="BI1258">
        <v>5</v>
      </c>
      <c r="BJ1258" t="s">
        <v>30349</v>
      </c>
      <c r="BK1258" t="s">
        <v>156</v>
      </c>
      <c r="BL1258" t="s">
        <v>26014</v>
      </c>
      <c r="BM1258" t="s">
        <v>30348</v>
      </c>
      <c r="BN1258" t="s">
        <v>74</v>
      </c>
      <c r="BO1258" t="s">
        <v>74</v>
      </c>
      <c r="BP1258" t="s">
        <v>74</v>
      </c>
      <c r="BQ1258" t="s">
        <v>74</v>
      </c>
      <c r="BR1258" t="s">
        <v>102</v>
      </c>
      <c r="BS1258" t="s">
        <v>30347</v>
      </c>
      <c r="BT1258" t="str">
        <f>HYPERLINK("https%3A%2F%2Fwww.webofscience.com%2Fwos%2Fwoscc%2Ffull-record%2FWOS:000380517100012","View Full Record in Web of Science")</f>
        <v>View Full Record in Web of Science</v>
      </c>
    </row>
    <row r="1259" spans="1:72" x14ac:dyDescent="0.25">
      <c r="A1259" t="s">
        <v>72</v>
      </c>
      <c r="B1259" t="s">
        <v>30346</v>
      </c>
      <c r="C1259" t="s">
        <v>74</v>
      </c>
      <c r="D1259" t="s">
        <v>74</v>
      </c>
      <c r="E1259" t="s">
        <v>74</v>
      </c>
      <c r="F1259" t="s">
        <v>30345</v>
      </c>
      <c r="G1259" t="s">
        <v>74</v>
      </c>
      <c r="H1259" t="s">
        <v>74</v>
      </c>
      <c r="I1259" t="s">
        <v>30344</v>
      </c>
      <c r="J1259" t="s">
        <v>2809</v>
      </c>
      <c r="K1259" t="s">
        <v>74</v>
      </c>
      <c r="L1259" t="s">
        <v>74</v>
      </c>
      <c r="M1259" t="s">
        <v>78</v>
      </c>
      <c r="N1259" t="s">
        <v>79</v>
      </c>
      <c r="O1259" t="s">
        <v>74</v>
      </c>
      <c r="P1259" t="s">
        <v>74</v>
      </c>
      <c r="Q1259" t="s">
        <v>74</v>
      </c>
      <c r="R1259" t="s">
        <v>74</v>
      </c>
      <c r="S1259" t="s">
        <v>74</v>
      </c>
      <c r="T1259" t="s">
        <v>30343</v>
      </c>
      <c r="U1259" t="s">
        <v>30342</v>
      </c>
      <c r="V1259" t="s">
        <v>30341</v>
      </c>
      <c r="W1259" t="s">
        <v>30340</v>
      </c>
      <c r="X1259" t="s">
        <v>30339</v>
      </c>
      <c r="Y1259" t="s">
        <v>30338</v>
      </c>
      <c r="Z1259" t="s">
        <v>14669</v>
      </c>
      <c r="AA1259" t="s">
        <v>16384</v>
      </c>
      <c r="AB1259" t="s">
        <v>30337</v>
      </c>
      <c r="AC1259" t="s">
        <v>74</v>
      </c>
      <c r="AD1259" t="s">
        <v>74</v>
      </c>
      <c r="AE1259" t="s">
        <v>74</v>
      </c>
      <c r="AF1259" t="s">
        <v>74</v>
      </c>
      <c r="AG1259">
        <v>57</v>
      </c>
      <c r="AH1259">
        <v>27</v>
      </c>
      <c r="AI1259">
        <v>38</v>
      </c>
      <c r="AJ1259">
        <v>5</v>
      </c>
      <c r="AK1259">
        <v>39</v>
      </c>
      <c r="AL1259" t="s">
        <v>479</v>
      </c>
      <c r="AM1259" t="s">
        <v>480</v>
      </c>
      <c r="AN1259" t="s">
        <v>481</v>
      </c>
      <c r="AO1259" t="s">
        <v>2816</v>
      </c>
      <c r="AP1259" t="s">
        <v>2817</v>
      </c>
      <c r="AQ1259" t="s">
        <v>74</v>
      </c>
      <c r="AR1259" t="s">
        <v>2818</v>
      </c>
      <c r="AS1259" t="s">
        <v>2819</v>
      </c>
      <c r="AT1259" t="s">
        <v>124</v>
      </c>
      <c r="AU1259">
        <v>2020</v>
      </c>
      <c r="AV1259">
        <v>54</v>
      </c>
      <c r="AW1259">
        <v>4</v>
      </c>
      <c r="AX1259" t="s">
        <v>74</v>
      </c>
      <c r="AY1259" t="s">
        <v>74</v>
      </c>
      <c r="AZ1259" t="s">
        <v>74</v>
      </c>
      <c r="BA1259" t="s">
        <v>74</v>
      </c>
      <c r="BB1259">
        <v>1383</v>
      </c>
      <c r="BC1259">
        <v>1401</v>
      </c>
      <c r="BD1259" t="s">
        <v>74</v>
      </c>
      <c r="BE1259" t="s">
        <v>30336</v>
      </c>
      <c r="BF1259" t="str">
        <f>HYPERLINK("http://dx.doi.org/10.1111/joca.12336","http://dx.doi.org/10.1111/joca.12336")</f>
        <v>http://dx.doi.org/10.1111/joca.12336</v>
      </c>
      <c r="BG1259" t="s">
        <v>74</v>
      </c>
      <c r="BH1259" t="s">
        <v>22961</v>
      </c>
      <c r="BI1259">
        <v>19</v>
      </c>
      <c r="BJ1259" t="s">
        <v>1453</v>
      </c>
      <c r="BK1259" t="s">
        <v>99</v>
      </c>
      <c r="BL1259" t="s">
        <v>100</v>
      </c>
      <c r="BM1259" t="s">
        <v>30335</v>
      </c>
      <c r="BN1259" t="s">
        <v>74</v>
      </c>
      <c r="BO1259" t="s">
        <v>1696</v>
      </c>
      <c r="BP1259" t="s">
        <v>74</v>
      </c>
      <c r="BQ1259" t="s">
        <v>74</v>
      </c>
      <c r="BR1259" t="s">
        <v>102</v>
      </c>
      <c r="BS1259" t="s">
        <v>30334</v>
      </c>
      <c r="BT1259" t="str">
        <f>HYPERLINK("https%3A%2F%2Fwww.webofscience.com%2Fwos%2Fwoscc%2Ffull-record%2FWOS:000581788600001","View Full Record in Web of Science")</f>
        <v>View Full Record in Web of Science</v>
      </c>
    </row>
    <row r="1260" spans="1:72" x14ac:dyDescent="0.25">
      <c r="A1260" t="s">
        <v>72</v>
      </c>
      <c r="B1260" t="s">
        <v>30333</v>
      </c>
      <c r="C1260" t="s">
        <v>74</v>
      </c>
      <c r="D1260" t="s">
        <v>74</v>
      </c>
      <c r="E1260" t="s">
        <v>74</v>
      </c>
      <c r="F1260" t="s">
        <v>30332</v>
      </c>
      <c r="G1260" t="s">
        <v>74</v>
      </c>
      <c r="H1260" t="s">
        <v>74</v>
      </c>
      <c r="I1260" t="s">
        <v>30331</v>
      </c>
      <c r="J1260" t="s">
        <v>30330</v>
      </c>
      <c r="K1260" t="s">
        <v>74</v>
      </c>
      <c r="L1260" t="s">
        <v>74</v>
      </c>
      <c r="M1260" t="s">
        <v>78</v>
      </c>
      <c r="N1260" t="s">
        <v>79</v>
      </c>
      <c r="O1260" t="s">
        <v>74</v>
      </c>
      <c r="P1260" t="s">
        <v>74</v>
      </c>
      <c r="Q1260" t="s">
        <v>74</v>
      </c>
      <c r="R1260" t="s">
        <v>74</v>
      </c>
      <c r="S1260" t="s">
        <v>74</v>
      </c>
      <c r="T1260" t="s">
        <v>30329</v>
      </c>
      <c r="U1260" t="s">
        <v>74</v>
      </c>
      <c r="V1260" t="s">
        <v>30328</v>
      </c>
      <c r="W1260" t="s">
        <v>30327</v>
      </c>
      <c r="X1260" t="s">
        <v>30326</v>
      </c>
      <c r="Y1260" t="s">
        <v>30325</v>
      </c>
      <c r="Z1260" t="s">
        <v>30324</v>
      </c>
      <c r="AA1260" t="s">
        <v>30323</v>
      </c>
      <c r="AB1260" t="s">
        <v>30322</v>
      </c>
      <c r="AC1260" t="s">
        <v>74</v>
      </c>
      <c r="AD1260" t="s">
        <v>74</v>
      </c>
      <c r="AE1260" t="s">
        <v>74</v>
      </c>
      <c r="AF1260" t="s">
        <v>74</v>
      </c>
      <c r="AG1260">
        <v>19</v>
      </c>
      <c r="AH1260">
        <v>3</v>
      </c>
      <c r="AI1260">
        <v>6</v>
      </c>
      <c r="AJ1260">
        <v>2</v>
      </c>
      <c r="AK1260">
        <v>37</v>
      </c>
      <c r="AL1260" t="s">
        <v>30321</v>
      </c>
      <c r="AM1260" t="s">
        <v>22382</v>
      </c>
      <c r="AN1260" t="s">
        <v>30320</v>
      </c>
      <c r="AO1260" t="s">
        <v>30319</v>
      </c>
      <c r="AP1260" t="s">
        <v>30318</v>
      </c>
      <c r="AQ1260" t="s">
        <v>74</v>
      </c>
      <c r="AR1260" t="s">
        <v>30317</v>
      </c>
      <c r="AS1260" t="s">
        <v>30316</v>
      </c>
      <c r="AT1260" t="s">
        <v>74</v>
      </c>
      <c r="AU1260">
        <v>2021</v>
      </c>
      <c r="AV1260">
        <v>43</v>
      </c>
      <c r="AW1260">
        <v>3</v>
      </c>
      <c r="AX1260" t="s">
        <v>74</v>
      </c>
      <c r="AY1260" t="s">
        <v>74</v>
      </c>
      <c r="AZ1260" t="s">
        <v>74</v>
      </c>
      <c r="BA1260" t="s">
        <v>74</v>
      </c>
      <c r="BB1260">
        <v>328</v>
      </c>
      <c r="BC1260">
        <v>336</v>
      </c>
      <c r="BD1260" t="s">
        <v>74</v>
      </c>
      <c r="BE1260" t="s">
        <v>30315</v>
      </c>
      <c r="BF1260" t="str">
        <f>HYPERLINK("http://dx.doi.org/10.15544/mts.2021.29","http://dx.doi.org/10.15544/mts.2021.29")</f>
        <v>http://dx.doi.org/10.15544/mts.2021.29</v>
      </c>
      <c r="BG1260" t="s">
        <v>74</v>
      </c>
      <c r="BH1260" t="s">
        <v>74</v>
      </c>
      <c r="BI1260">
        <v>9</v>
      </c>
      <c r="BJ1260" t="s">
        <v>418</v>
      </c>
      <c r="BK1260" t="s">
        <v>313</v>
      </c>
      <c r="BL1260" t="s">
        <v>100</v>
      </c>
      <c r="BM1260" t="s">
        <v>30314</v>
      </c>
      <c r="BN1260" t="s">
        <v>74</v>
      </c>
      <c r="BO1260" t="s">
        <v>212</v>
      </c>
      <c r="BP1260" t="s">
        <v>74</v>
      </c>
      <c r="BQ1260" t="s">
        <v>74</v>
      </c>
      <c r="BR1260" t="s">
        <v>102</v>
      </c>
      <c r="BS1260" t="s">
        <v>30313</v>
      </c>
      <c r="BT1260" t="str">
        <f>HYPERLINK("https%3A%2F%2Fwww.webofscience.com%2Fwos%2Fwoscc%2Ffull-record%2FWOS:000710204100001","View Full Record in Web of Science")</f>
        <v>View Full Record in Web of Science</v>
      </c>
    </row>
    <row r="1261" spans="1:72" x14ac:dyDescent="0.25">
      <c r="A1261" t="s">
        <v>72</v>
      </c>
      <c r="B1261" t="s">
        <v>30312</v>
      </c>
      <c r="C1261" t="s">
        <v>74</v>
      </c>
      <c r="D1261" t="s">
        <v>74</v>
      </c>
      <c r="E1261" t="s">
        <v>74</v>
      </c>
      <c r="F1261" t="s">
        <v>30311</v>
      </c>
      <c r="G1261" t="s">
        <v>74</v>
      </c>
      <c r="H1261" t="s">
        <v>74</v>
      </c>
      <c r="I1261" t="s">
        <v>30310</v>
      </c>
      <c r="J1261" t="s">
        <v>944</v>
      </c>
      <c r="K1261" t="s">
        <v>74</v>
      </c>
      <c r="L1261" t="s">
        <v>74</v>
      </c>
      <c r="M1261" t="s">
        <v>78</v>
      </c>
      <c r="N1261" t="s">
        <v>79</v>
      </c>
      <c r="O1261" t="s">
        <v>74</v>
      </c>
      <c r="P1261" t="s">
        <v>74</v>
      </c>
      <c r="Q1261" t="s">
        <v>74</v>
      </c>
      <c r="R1261" t="s">
        <v>74</v>
      </c>
      <c r="S1261" t="s">
        <v>74</v>
      </c>
      <c r="T1261" t="s">
        <v>30309</v>
      </c>
      <c r="U1261" t="s">
        <v>30308</v>
      </c>
      <c r="V1261" t="s">
        <v>30307</v>
      </c>
      <c r="W1261" t="s">
        <v>30306</v>
      </c>
      <c r="X1261" t="s">
        <v>30305</v>
      </c>
      <c r="Y1261" t="s">
        <v>30304</v>
      </c>
      <c r="Z1261" t="s">
        <v>30303</v>
      </c>
      <c r="AA1261" t="s">
        <v>30302</v>
      </c>
      <c r="AB1261" t="s">
        <v>30301</v>
      </c>
      <c r="AC1261" t="s">
        <v>74</v>
      </c>
      <c r="AD1261" t="s">
        <v>74</v>
      </c>
      <c r="AE1261" t="s">
        <v>74</v>
      </c>
      <c r="AF1261" t="s">
        <v>74</v>
      </c>
      <c r="AG1261">
        <v>118</v>
      </c>
      <c r="AH1261">
        <v>96</v>
      </c>
      <c r="AI1261">
        <v>146</v>
      </c>
      <c r="AJ1261">
        <v>1</v>
      </c>
      <c r="AK1261">
        <v>39</v>
      </c>
      <c r="AL1261" t="s">
        <v>332</v>
      </c>
      <c r="AM1261" t="s">
        <v>333</v>
      </c>
      <c r="AN1261" t="s">
        <v>334</v>
      </c>
      <c r="AO1261" t="s">
        <v>954</v>
      </c>
      <c r="AP1261" t="s">
        <v>955</v>
      </c>
      <c r="AQ1261" t="s">
        <v>74</v>
      </c>
      <c r="AR1261" t="s">
        <v>956</v>
      </c>
      <c r="AS1261" t="s">
        <v>957</v>
      </c>
      <c r="AT1261" t="s">
        <v>74</v>
      </c>
      <c r="AU1261">
        <v>2016</v>
      </c>
      <c r="AV1261">
        <v>18</v>
      </c>
      <c r="AW1261">
        <v>1</v>
      </c>
      <c r="AX1261" t="s">
        <v>74</v>
      </c>
      <c r="AY1261" t="s">
        <v>74</v>
      </c>
      <c r="AZ1261" t="s">
        <v>74</v>
      </c>
      <c r="BA1261" t="s">
        <v>74</v>
      </c>
      <c r="BB1261">
        <v>43</v>
      </c>
      <c r="BC1261">
        <v>61</v>
      </c>
      <c r="BD1261" t="s">
        <v>74</v>
      </c>
      <c r="BE1261" t="s">
        <v>30300</v>
      </c>
      <c r="BF1261" t="str">
        <f>HYPERLINK("http://dx.doi.org/10.1080/13691066.2015.1079952","http://dx.doi.org/10.1080/13691066.2015.1079952")</f>
        <v>http://dx.doi.org/10.1080/13691066.2015.1079952</v>
      </c>
      <c r="BG1261" t="s">
        <v>74</v>
      </c>
      <c r="BH1261" t="s">
        <v>74</v>
      </c>
      <c r="BI1261">
        <v>19</v>
      </c>
      <c r="BJ1261" t="s">
        <v>268</v>
      </c>
      <c r="BK1261" t="s">
        <v>313</v>
      </c>
      <c r="BL1261" t="s">
        <v>100</v>
      </c>
      <c r="BM1261" t="s">
        <v>30299</v>
      </c>
      <c r="BN1261" t="s">
        <v>74</v>
      </c>
      <c r="BO1261" t="s">
        <v>212</v>
      </c>
      <c r="BP1261" t="s">
        <v>74</v>
      </c>
      <c r="BQ1261" t="s">
        <v>74</v>
      </c>
      <c r="BR1261" t="s">
        <v>102</v>
      </c>
      <c r="BS1261" t="s">
        <v>30298</v>
      </c>
      <c r="BT1261" t="str">
        <f>HYPERLINK("https%3A%2F%2Fwww.webofscience.com%2Fwos%2Fwoscc%2Ffull-record%2FWOS:000377104600003","View Full Record in Web of Science")</f>
        <v>View Full Record in Web of Science</v>
      </c>
    </row>
    <row r="1262" spans="1:72" x14ac:dyDescent="0.25">
      <c r="A1262" t="s">
        <v>72</v>
      </c>
      <c r="B1262" t="s">
        <v>28504</v>
      </c>
      <c r="C1262" t="s">
        <v>74</v>
      </c>
      <c r="D1262" t="s">
        <v>74</v>
      </c>
      <c r="E1262" t="s">
        <v>74</v>
      </c>
      <c r="F1262" t="s">
        <v>28503</v>
      </c>
      <c r="G1262" t="s">
        <v>74</v>
      </c>
      <c r="H1262" t="s">
        <v>74</v>
      </c>
      <c r="I1262" t="s">
        <v>30297</v>
      </c>
      <c r="J1262" t="s">
        <v>30296</v>
      </c>
      <c r="K1262" t="s">
        <v>74</v>
      </c>
      <c r="L1262" t="s">
        <v>74</v>
      </c>
      <c r="M1262" t="s">
        <v>78</v>
      </c>
      <c r="N1262" t="s">
        <v>79</v>
      </c>
      <c r="O1262" t="s">
        <v>74</v>
      </c>
      <c r="P1262" t="s">
        <v>74</v>
      </c>
      <c r="Q1262" t="s">
        <v>74</v>
      </c>
      <c r="R1262" t="s">
        <v>74</v>
      </c>
      <c r="S1262" t="s">
        <v>74</v>
      </c>
      <c r="T1262" t="s">
        <v>30295</v>
      </c>
      <c r="U1262" t="s">
        <v>30294</v>
      </c>
      <c r="V1262" t="s">
        <v>30293</v>
      </c>
      <c r="W1262" t="s">
        <v>30292</v>
      </c>
      <c r="X1262" t="s">
        <v>27860</v>
      </c>
      <c r="Y1262" t="s">
        <v>30291</v>
      </c>
      <c r="Z1262" t="s">
        <v>28495</v>
      </c>
      <c r="AA1262" t="s">
        <v>30290</v>
      </c>
      <c r="AB1262" t="s">
        <v>28493</v>
      </c>
      <c r="AC1262" t="s">
        <v>30289</v>
      </c>
      <c r="AD1262" t="s">
        <v>30289</v>
      </c>
      <c r="AE1262" t="s">
        <v>30288</v>
      </c>
      <c r="AF1262" t="s">
        <v>74</v>
      </c>
      <c r="AG1262">
        <v>49</v>
      </c>
      <c r="AH1262">
        <v>7</v>
      </c>
      <c r="AI1262">
        <v>8</v>
      </c>
      <c r="AJ1262">
        <v>0</v>
      </c>
      <c r="AK1262">
        <v>1</v>
      </c>
      <c r="AL1262" t="s">
        <v>30287</v>
      </c>
      <c r="AM1262" t="s">
        <v>7167</v>
      </c>
      <c r="AN1262" t="s">
        <v>30286</v>
      </c>
      <c r="AO1262" t="s">
        <v>30285</v>
      </c>
      <c r="AP1262" t="s">
        <v>30284</v>
      </c>
      <c r="AQ1262" t="s">
        <v>74</v>
      </c>
      <c r="AR1262" t="s">
        <v>30283</v>
      </c>
      <c r="AS1262" t="s">
        <v>30282</v>
      </c>
      <c r="AT1262" t="s">
        <v>74</v>
      </c>
      <c r="AU1262">
        <v>2022</v>
      </c>
      <c r="AV1262">
        <v>16</v>
      </c>
      <c r="AW1262">
        <v>3</v>
      </c>
      <c r="AX1262" t="s">
        <v>74</v>
      </c>
      <c r="AY1262" t="s">
        <v>74</v>
      </c>
      <c r="AZ1262" t="s">
        <v>74</v>
      </c>
      <c r="BA1262" t="s">
        <v>74</v>
      </c>
      <c r="BB1262">
        <v>41</v>
      </c>
      <c r="BC1262">
        <v>55</v>
      </c>
      <c r="BD1262" t="s">
        <v>74</v>
      </c>
      <c r="BE1262" t="s">
        <v>74</v>
      </c>
      <c r="BF1262" t="s">
        <v>74</v>
      </c>
      <c r="BG1262" t="s">
        <v>74</v>
      </c>
      <c r="BH1262" t="s">
        <v>74</v>
      </c>
      <c r="BI1262">
        <v>15</v>
      </c>
      <c r="BJ1262" t="s">
        <v>30281</v>
      </c>
      <c r="BK1262" t="s">
        <v>313</v>
      </c>
      <c r="BL1262" t="s">
        <v>30281</v>
      </c>
      <c r="BM1262" t="s">
        <v>30280</v>
      </c>
      <c r="BN1262" t="s">
        <v>74</v>
      </c>
      <c r="BO1262" t="s">
        <v>74</v>
      </c>
      <c r="BP1262" t="s">
        <v>74</v>
      </c>
      <c r="BQ1262" t="s">
        <v>74</v>
      </c>
      <c r="BR1262" t="s">
        <v>102</v>
      </c>
      <c r="BS1262" t="s">
        <v>30279</v>
      </c>
      <c r="BT1262" t="str">
        <f>HYPERLINK("https%3A%2F%2Fwww.webofscience.com%2Fwos%2Fwoscc%2Ffull-record%2FWOS:001074221200003","View Full Record in Web of Science")</f>
        <v>View Full Record in Web of Science</v>
      </c>
    </row>
    <row r="1263" spans="1:72" x14ac:dyDescent="0.25">
      <c r="A1263" t="s">
        <v>72</v>
      </c>
      <c r="B1263" t="s">
        <v>30278</v>
      </c>
      <c r="C1263" t="s">
        <v>74</v>
      </c>
      <c r="D1263" t="s">
        <v>74</v>
      </c>
      <c r="E1263" t="s">
        <v>74</v>
      </c>
      <c r="F1263" t="s">
        <v>30277</v>
      </c>
      <c r="G1263" t="s">
        <v>74</v>
      </c>
      <c r="H1263" t="s">
        <v>74</v>
      </c>
      <c r="I1263" t="s">
        <v>30276</v>
      </c>
      <c r="J1263" t="s">
        <v>11074</v>
      </c>
      <c r="K1263" t="s">
        <v>74</v>
      </c>
      <c r="L1263" t="s">
        <v>74</v>
      </c>
      <c r="M1263" t="s">
        <v>78</v>
      </c>
      <c r="N1263" t="s">
        <v>79</v>
      </c>
      <c r="O1263" t="s">
        <v>74</v>
      </c>
      <c r="P1263" t="s">
        <v>74</v>
      </c>
      <c r="Q1263" t="s">
        <v>74</v>
      </c>
      <c r="R1263" t="s">
        <v>74</v>
      </c>
      <c r="S1263" t="s">
        <v>74</v>
      </c>
      <c r="T1263" t="s">
        <v>30275</v>
      </c>
      <c r="U1263" t="s">
        <v>30274</v>
      </c>
      <c r="V1263" t="s">
        <v>30273</v>
      </c>
      <c r="W1263" t="s">
        <v>30272</v>
      </c>
      <c r="X1263" t="s">
        <v>30271</v>
      </c>
      <c r="Y1263" t="s">
        <v>30270</v>
      </c>
      <c r="Z1263" t="s">
        <v>30269</v>
      </c>
      <c r="AA1263" t="s">
        <v>74</v>
      </c>
      <c r="AB1263" t="s">
        <v>74</v>
      </c>
      <c r="AC1263" t="s">
        <v>74</v>
      </c>
      <c r="AD1263" t="s">
        <v>74</v>
      </c>
      <c r="AE1263" t="s">
        <v>74</v>
      </c>
      <c r="AF1263" t="s">
        <v>74</v>
      </c>
      <c r="AG1263">
        <v>83</v>
      </c>
      <c r="AH1263">
        <v>10</v>
      </c>
      <c r="AI1263">
        <v>12</v>
      </c>
      <c r="AJ1263">
        <v>5</v>
      </c>
      <c r="AK1263">
        <v>21</v>
      </c>
      <c r="AL1263" t="s">
        <v>89</v>
      </c>
      <c r="AM1263" t="s">
        <v>90</v>
      </c>
      <c r="AN1263" t="s">
        <v>91</v>
      </c>
      <c r="AO1263" t="s">
        <v>11083</v>
      </c>
      <c r="AP1263" t="s">
        <v>11084</v>
      </c>
      <c r="AQ1263" t="s">
        <v>74</v>
      </c>
      <c r="AR1263" t="s">
        <v>11085</v>
      </c>
      <c r="AS1263" t="s">
        <v>11086</v>
      </c>
      <c r="AT1263" t="s">
        <v>9324</v>
      </c>
      <c r="AU1263">
        <v>2024</v>
      </c>
      <c r="AV1263">
        <v>26</v>
      </c>
      <c r="AW1263">
        <v>4</v>
      </c>
      <c r="AX1263" t="s">
        <v>74</v>
      </c>
      <c r="AY1263" t="s">
        <v>74</v>
      </c>
      <c r="AZ1263" t="s">
        <v>74</v>
      </c>
      <c r="BA1263" t="s">
        <v>74</v>
      </c>
      <c r="BB1263">
        <v>394</v>
      </c>
      <c r="BC1263">
        <v>419</v>
      </c>
      <c r="BD1263" t="s">
        <v>74</v>
      </c>
      <c r="BE1263" t="s">
        <v>30268</v>
      </c>
      <c r="BF1263" t="str">
        <f>HYPERLINK("http://dx.doi.org/10.1108/DPRG-10-2023-0149","http://dx.doi.org/10.1108/DPRG-10-2023-0149")</f>
        <v>http://dx.doi.org/10.1108/DPRG-10-2023-0149</v>
      </c>
      <c r="BG1263" t="s">
        <v>74</v>
      </c>
      <c r="BH1263" t="s">
        <v>938</v>
      </c>
      <c r="BI1263">
        <v>26</v>
      </c>
      <c r="BJ1263" t="s">
        <v>2351</v>
      </c>
      <c r="BK1263" t="s">
        <v>313</v>
      </c>
      <c r="BL1263" t="s">
        <v>2351</v>
      </c>
      <c r="BM1263" t="s">
        <v>30267</v>
      </c>
      <c r="BN1263" t="s">
        <v>74</v>
      </c>
      <c r="BO1263" t="s">
        <v>74</v>
      </c>
      <c r="BP1263" t="s">
        <v>74</v>
      </c>
      <c r="BQ1263" t="s">
        <v>74</v>
      </c>
      <c r="BR1263" t="s">
        <v>102</v>
      </c>
      <c r="BS1263" t="s">
        <v>30266</v>
      </c>
      <c r="BT1263" t="str">
        <f>HYPERLINK("https%3A%2F%2Fwww.webofscience.com%2Fwos%2Fwoscc%2Ffull-record%2FWOS:001206290500001","View Full Record in Web of Science")</f>
        <v>View Full Record in Web of Science</v>
      </c>
    </row>
    <row r="1264" spans="1:72" x14ac:dyDescent="0.25">
      <c r="A1264" t="s">
        <v>72</v>
      </c>
      <c r="B1264" t="s">
        <v>30265</v>
      </c>
      <c r="C1264" t="s">
        <v>74</v>
      </c>
      <c r="D1264" t="s">
        <v>74</v>
      </c>
      <c r="E1264" t="s">
        <v>74</v>
      </c>
      <c r="F1264" t="s">
        <v>30264</v>
      </c>
      <c r="G1264" t="s">
        <v>74</v>
      </c>
      <c r="H1264" t="s">
        <v>74</v>
      </c>
      <c r="I1264" t="s">
        <v>30263</v>
      </c>
      <c r="J1264" t="s">
        <v>3231</v>
      </c>
      <c r="K1264" t="s">
        <v>74</v>
      </c>
      <c r="L1264" t="s">
        <v>74</v>
      </c>
      <c r="M1264" t="s">
        <v>78</v>
      </c>
      <c r="N1264" t="s">
        <v>79</v>
      </c>
      <c r="O1264" t="s">
        <v>74</v>
      </c>
      <c r="P1264" t="s">
        <v>74</v>
      </c>
      <c r="Q1264" t="s">
        <v>74</v>
      </c>
      <c r="R1264" t="s">
        <v>74</v>
      </c>
      <c r="S1264" t="s">
        <v>74</v>
      </c>
      <c r="T1264" t="s">
        <v>30262</v>
      </c>
      <c r="U1264" t="s">
        <v>30261</v>
      </c>
      <c r="V1264" t="s">
        <v>30260</v>
      </c>
      <c r="W1264" t="s">
        <v>30259</v>
      </c>
      <c r="X1264" t="s">
        <v>30258</v>
      </c>
      <c r="Y1264" t="s">
        <v>30257</v>
      </c>
      <c r="Z1264" t="s">
        <v>30256</v>
      </c>
      <c r="AA1264" t="s">
        <v>30255</v>
      </c>
      <c r="AB1264" t="s">
        <v>30254</v>
      </c>
      <c r="AC1264" t="s">
        <v>74</v>
      </c>
      <c r="AD1264" t="s">
        <v>74</v>
      </c>
      <c r="AE1264" t="s">
        <v>74</v>
      </c>
      <c r="AF1264" t="s">
        <v>74</v>
      </c>
      <c r="AG1264">
        <v>109</v>
      </c>
      <c r="AH1264">
        <v>45</v>
      </c>
      <c r="AI1264">
        <v>61</v>
      </c>
      <c r="AJ1264">
        <v>8</v>
      </c>
      <c r="AK1264">
        <v>60</v>
      </c>
      <c r="AL1264" t="s">
        <v>575</v>
      </c>
      <c r="AM1264" t="s">
        <v>576</v>
      </c>
      <c r="AN1264" t="s">
        <v>577</v>
      </c>
      <c r="AO1264" t="s">
        <v>74</v>
      </c>
      <c r="AP1264" t="s">
        <v>3243</v>
      </c>
      <c r="AQ1264" t="s">
        <v>74</v>
      </c>
      <c r="AR1264" t="s">
        <v>3244</v>
      </c>
      <c r="AS1264" t="s">
        <v>3245</v>
      </c>
      <c r="AT1264" t="s">
        <v>698</v>
      </c>
      <c r="AU1264">
        <v>2022</v>
      </c>
      <c r="AV1264">
        <v>14</v>
      </c>
      <c r="AW1264">
        <v>17</v>
      </c>
      <c r="AX1264" t="s">
        <v>74</v>
      </c>
      <c r="AY1264" t="s">
        <v>74</v>
      </c>
      <c r="AZ1264" t="s">
        <v>74</v>
      </c>
      <c r="BA1264" t="s">
        <v>74</v>
      </c>
      <c r="BB1264" t="s">
        <v>74</v>
      </c>
      <c r="BC1264" t="s">
        <v>74</v>
      </c>
      <c r="BD1264">
        <v>11061</v>
      </c>
      <c r="BE1264" t="s">
        <v>30253</v>
      </c>
      <c r="BF1264" t="str">
        <f>HYPERLINK("http://dx.doi.org/10.3390/su141711061","http://dx.doi.org/10.3390/su141711061")</f>
        <v>http://dx.doi.org/10.3390/su141711061</v>
      </c>
      <c r="BG1264" t="s">
        <v>74</v>
      </c>
      <c r="BH1264" t="s">
        <v>74</v>
      </c>
      <c r="BI1264">
        <v>21</v>
      </c>
      <c r="BJ1264" t="s">
        <v>3247</v>
      </c>
      <c r="BK1264" t="s">
        <v>2623</v>
      </c>
      <c r="BL1264" t="s">
        <v>3248</v>
      </c>
      <c r="BM1264" t="s">
        <v>30252</v>
      </c>
      <c r="BN1264" t="s">
        <v>74</v>
      </c>
      <c r="BO1264" t="s">
        <v>916</v>
      </c>
      <c r="BP1264" t="s">
        <v>74</v>
      </c>
      <c r="BQ1264" t="s">
        <v>74</v>
      </c>
      <c r="BR1264" t="s">
        <v>102</v>
      </c>
      <c r="BS1264" t="s">
        <v>30251</v>
      </c>
      <c r="BT1264" t="str">
        <f>HYPERLINK("https%3A%2F%2Fwww.webofscience.com%2Fwos%2Fwoscc%2Ffull-record%2FWOS:000851749000001","View Full Record in Web of Science")</f>
        <v>View Full Record in Web of Science</v>
      </c>
    </row>
    <row r="1265" spans="1:72" x14ac:dyDescent="0.25">
      <c r="A1265" t="s">
        <v>72</v>
      </c>
      <c r="B1265" t="s">
        <v>30250</v>
      </c>
      <c r="C1265" t="s">
        <v>74</v>
      </c>
      <c r="D1265" t="s">
        <v>74</v>
      </c>
      <c r="E1265" t="s">
        <v>74</v>
      </c>
      <c r="F1265" t="s">
        <v>30249</v>
      </c>
      <c r="G1265" t="s">
        <v>74</v>
      </c>
      <c r="H1265" t="s">
        <v>74</v>
      </c>
      <c r="I1265" t="s">
        <v>30248</v>
      </c>
      <c r="J1265" t="s">
        <v>6713</v>
      </c>
      <c r="K1265" t="s">
        <v>74</v>
      </c>
      <c r="L1265" t="s">
        <v>74</v>
      </c>
      <c r="M1265" t="s">
        <v>78</v>
      </c>
      <c r="N1265" t="s">
        <v>79</v>
      </c>
      <c r="O1265" t="s">
        <v>74</v>
      </c>
      <c r="P1265" t="s">
        <v>74</v>
      </c>
      <c r="Q1265" t="s">
        <v>74</v>
      </c>
      <c r="R1265" t="s">
        <v>74</v>
      </c>
      <c r="S1265" t="s">
        <v>74</v>
      </c>
      <c r="T1265" t="s">
        <v>30247</v>
      </c>
      <c r="U1265" t="s">
        <v>30246</v>
      </c>
      <c r="V1265" t="s">
        <v>30245</v>
      </c>
      <c r="W1265" t="s">
        <v>30244</v>
      </c>
      <c r="X1265" t="s">
        <v>18468</v>
      </c>
      <c r="Y1265" t="s">
        <v>30243</v>
      </c>
      <c r="Z1265" t="s">
        <v>30242</v>
      </c>
      <c r="AA1265" t="s">
        <v>30241</v>
      </c>
      <c r="AB1265" t="s">
        <v>30240</v>
      </c>
      <c r="AC1265" t="s">
        <v>74</v>
      </c>
      <c r="AD1265" t="s">
        <v>74</v>
      </c>
      <c r="AE1265" t="s">
        <v>74</v>
      </c>
      <c r="AF1265" t="s">
        <v>74</v>
      </c>
      <c r="AG1265">
        <v>110</v>
      </c>
      <c r="AH1265">
        <v>13</v>
      </c>
      <c r="AI1265">
        <v>13</v>
      </c>
      <c r="AJ1265">
        <v>1</v>
      </c>
      <c r="AK1265">
        <v>50</v>
      </c>
      <c r="AL1265" t="s">
        <v>4485</v>
      </c>
      <c r="AM1265" t="s">
        <v>6724</v>
      </c>
      <c r="AN1265" t="s">
        <v>6725</v>
      </c>
      <c r="AO1265" t="s">
        <v>6726</v>
      </c>
      <c r="AP1265" t="s">
        <v>6727</v>
      </c>
      <c r="AQ1265" t="s">
        <v>74</v>
      </c>
      <c r="AR1265" t="s">
        <v>6728</v>
      </c>
      <c r="AS1265" t="s">
        <v>6729</v>
      </c>
      <c r="AT1265" t="s">
        <v>848</v>
      </c>
      <c r="AU1265">
        <v>2023</v>
      </c>
      <c r="AV1265">
        <v>47</v>
      </c>
      <c r="AW1265">
        <v>6</v>
      </c>
      <c r="AX1265" t="s">
        <v>74</v>
      </c>
      <c r="AY1265" t="s">
        <v>74</v>
      </c>
      <c r="AZ1265" t="s">
        <v>74</v>
      </c>
      <c r="BA1265" t="s">
        <v>74</v>
      </c>
      <c r="BB1265" t="s">
        <v>74</v>
      </c>
      <c r="BC1265" t="s">
        <v>74</v>
      </c>
      <c r="BD1265">
        <v>102571</v>
      </c>
      <c r="BE1265" t="s">
        <v>30239</v>
      </c>
      <c r="BF1265" t="str">
        <f>HYPERLINK("http://dx.doi.org/10.1016/j.telpol.2023.102571","http://dx.doi.org/10.1016/j.telpol.2023.102571")</f>
        <v>http://dx.doi.org/10.1016/j.telpol.2023.102571</v>
      </c>
      <c r="BG1265" t="s">
        <v>74</v>
      </c>
      <c r="BH1265" t="s">
        <v>6418</v>
      </c>
      <c r="BI1265">
        <v>38</v>
      </c>
      <c r="BJ1265" t="s">
        <v>6731</v>
      </c>
      <c r="BK1265" t="s">
        <v>2623</v>
      </c>
      <c r="BL1265" t="s">
        <v>6731</v>
      </c>
      <c r="BM1265" t="s">
        <v>30238</v>
      </c>
      <c r="BN1265" t="s">
        <v>74</v>
      </c>
      <c r="BO1265" t="s">
        <v>74</v>
      </c>
      <c r="BP1265" t="s">
        <v>74</v>
      </c>
      <c r="BQ1265" t="s">
        <v>74</v>
      </c>
      <c r="BR1265" t="s">
        <v>102</v>
      </c>
      <c r="BS1265" t="s">
        <v>30237</v>
      </c>
      <c r="BT1265" t="str">
        <f>HYPERLINK("https%3A%2F%2Fwww.webofscience.com%2Fwos%2Fwoscc%2Ffull-record%2FWOS:001011458400001","View Full Record in Web of Science")</f>
        <v>View Full Record in Web of Science</v>
      </c>
    </row>
    <row r="1266" spans="1:72" x14ac:dyDescent="0.25">
      <c r="A1266" t="s">
        <v>72</v>
      </c>
      <c r="B1266" t="s">
        <v>30236</v>
      </c>
      <c r="C1266" t="s">
        <v>74</v>
      </c>
      <c r="D1266" t="s">
        <v>74</v>
      </c>
      <c r="E1266" t="s">
        <v>74</v>
      </c>
      <c r="F1266" t="s">
        <v>30235</v>
      </c>
      <c r="G1266" t="s">
        <v>74</v>
      </c>
      <c r="H1266" t="s">
        <v>74</v>
      </c>
      <c r="I1266" t="s">
        <v>30234</v>
      </c>
      <c r="J1266" t="s">
        <v>1963</v>
      </c>
      <c r="K1266" t="s">
        <v>74</v>
      </c>
      <c r="L1266" t="s">
        <v>74</v>
      </c>
      <c r="M1266" t="s">
        <v>78</v>
      </c>
      <c r="N1266" t="s">
        <v>79</v>
      </c>
      <c r="O1266" t="s">
        <v>74</v>
      </c>
      <c r="P1266" t="s">
        <v>74</v>
      </c>
      <c r="Q1266" t="s">
        <v>74</v>
      </c>
      <c r="R1266" t="s">
        <v>74</v>
      </c>
      <c r="S1266" t="s">
        <v>74</v>
      </c>
      <c r="T1266" t="s">
        <v>30233</v>
      </c>
      <c r="U1266" t="s">
        <v>30232</v>
      </c>
      <c r="V1266" t="s">
        <v>30231</v>
      </c>
      <c r="W1266" t="s">
        <v>30230</v>
      </c>
      <c r="X1266" t="s">
        <v>30229</v>
      </c>
      <c r="Y1266" t="s">
        <v>30228</v>
      </c>
      <c r="Z1266" t="s">
        <v>30227</v>
      </c>
      <c r="AA1266" t="s">
        <v>74</v>
      </c>
      <c r="AB1266" t="s">
        <v>30226</v>
      </c>
      <c r="AC1266" t="s">
        <v>74</v>
      </c>
      <c r="AD1266" t="s">
        <v>74</v>
      </c>
      <c r="AE1266" t="s">
        <v>74</v>
      </c>
      <c r="AF1266" t="s">
        <v>74</v>
      </c>
      <c r="AG1266">
        <v>63</v>
      </c>
      <c r="AH1266">
        <v>42</v>
      </c>
      <c r="AI1266">
        <v>50</v>
      </c>
      <c r="AJ1266">
        <v>3</v>
      </c>
      <c r="AK1266">
        <v>58</v>
      </c>
      <c r="AL1266" t="s">
        <v>332</v>
      </c>
      <c r="AM1266" t="s">
        <v>333</v>
      </c>
      <c r="AN1266" t="s">
        <v>334</v>
      </c>
      <c r="AO1266" t="s">
        <v>1975</v>
      </c>
      <c r="AP1266" t="s">
        <v>1976</v>
      </c>
      <c r="AQ1266" t="s">
        <v>74</v>
      </c>
      <c r="AR1266" t="s">
        <v>1977</v>
      </c>
      <c r="AS1266" t="s">
        <v>1978</v>
      </c>
      <c r="AT1266" t="s">
        <v>30225</v>
      </c>
      <c r="AU1266">
        <v>2020</v>
      </c>
      <c r="AV1266">
        <v>52</v>
      </c>
      <c r="AW1266">
        <v>10</v>
      </c>
      <c r="AX1266" t="s">
        <v>74</v>
      </c>
      <c r="AY1266" t="s">
        <v>74</v>
      </c>
      <c r="AZ1266" t="s">
        <v>74</v>
      </c>
      <c r="BA1266" t="s">
        <v>74</v>
      </c>
      <c r="BB1266">
        <v>1141</v>
      </c>
      <c r="BC1266">
        <v>1162</v>
      </c>
      <c r="BD1266" t="s">
        <v>74</v>
      </c>
      <c r="BE1266" t="s">
        <v>30224</v>
      </c>
      <c r="BF1266" t="str">
        <f>HYPERLINK("http://dx.doi.org/10.1080/00036846.2019.1659496","http://dx.doi.org/10.1080/00036846.2019.1659496")</f>
        <v>http://dx.doi.org/10.1080/00036846.2019.1659496</v>
      </c>
      <c r="BG1266" t="s">
        <v>74</v>
      </c>
      <c r="BH1266" t="s">
        <v>2208</v>
      </c>
      <c r="BI1266">
        <v>22</v>
      </c>
      <c r="BJ1266" t="s">
        <v>291</v>
      </c>
      <c r="BK1266" t="s">
        <v>99</v>
      </c>
      <c r="BL1266" t="s">
        <v>100</v>
      </c>
      <c r="BM1266" t="s">
        <v>30223</v>
      </c>
      <c r="BN1266" t="s">
        <v>74</v>
      </c>
      <c r="BO1266" t="s">
        <v>74</v>
      </c>
      <c r="BP1266" t="s">
        <v>74</v>
      </c>
      <c r="BQ1266" t="s">
        <v>74</v>
      </c>
      <c r="BR1266" t="s">
        <v>102</v>
      </c>
      <c r="BS1266" t="s">
        <v>30222</v>
      </c>
      <c r="BT1266" t="str">
        <f>HYPERLINK("https%3A%2F%2Fwww.webofscience.com%2Fwos%2Fwoscc%2Ffull-record%2FWOS:000486770100001","View Full Record in Web of Science")</f>
        <v>View Full Record in Web of Science</v>
      </c>
    </row>
    <row r="1267" spans="1:72" x14ac:dyDescent="0.25">
      <c r="A1267" t="s">
        <v>72</v>
      </c>
      <c r="B1267" t="s">
        <v>30221</v>
      </c>
      <c r="C1267" t="s">
        <v>74</v>
      </c>
      <c r="D1267" t="s">
        <v>74</v>
      </c>
      <c r="E1267" t="s">
        <v>74</v>
      </c>
      <c r="F1267" t="s">
        <v>30220</v>
      </c>
      <c r="G1267" t="s">
        <v>74</v>
      </c>
      <c r="H1267" t="s">
        <v>74</v>
      </c>
      <c r="I1267" t="s">
        <v>30219</v>
      </c>
      <c r="J1267" t="s">
        <v>11879</v>
      </c>
      <c r="K1267" t="s">
        <v>74</v>
      </c>
      <c r="L1267" t="s">
        <v>74</v>
      </c>
      <c r="M1267" t="s">
        <v>78</v>
      </c>
      <c r="N1267" t="s">
        <v>79</v>
      </c>
      <c r="O1267" t="s">
        <v>74</v>
      </c>
      <c r="P1267" t="s">
        <v>74</v>
      </c>
      <c r="Q1267" t="s">
        <v>74</v>
      </c>
      <c r="R1267" t="s">
        <v>74</v>
      </c>
      <c r="S1267" t="s">
        <v>74</v>
      </c>
      <c r="T1267" t="s">
        <v>30218</v>
      </c>
      <c r="U1267" t="s">
        <v>30217</v>
      </c>
      <c r="V1267" t="s">
        <v>30216</v>
      </c>
      <c r="W1267" t="s">
        <v>30215</v>
      </c>
      <c r="X1267" t="s">
        <v>30214</v>
      </c>
      <c r="Y1267" t="s">
        <v>30213</v>
      </c>
      <c r="Z1267" t="s">
        <v>30212</v>
      </c>
      <c r="AA1267" t="s">
        <v>30211</v>
      </c>
      <c r="AB1267" t="s">
        <v>74</v>
      </c>
      <c r="AC1267" t="s">
        <v>74</v>
      </c>
      <c r="AD1267" t="s">
        <v>74</v>
      </c>
      <c r="AE1267" t="s">
        <v>74</v>
      </c>
      <c r="AF1267" t="s">
        <v>74</v>
      </c>
      <c r="AG1267">
        <v>55</v>
      </c>
      <c r="AH1267">
        <v>0</v>
      </c>
      <c r="AI1267">
        <v>0</v>
      </c>
      <c r="AJ1267">
        <v>3</v>
      </c>
      <c r="AK1267">
        <v>3</v>
      </c>
      <c r="AL1267" t="s">
        <v>201</v>
      </c>
      <c r="AM1267" t="s">
        <v>202</v>
      </c>
      <c r="AN1267" t="s">
        <v>203</v>
      </c>
      <c r="AO1267" t="s">
        <v>11889</v>
      </c>
      <c r="AP1267" t="s">
        <v>11890</v>
      </c>
      <c r="AQ1267" t="s">
        <v>74</v>
      </c>
      <c r="AR1267" t="s">
        <v>11891</v>
      </c>
      <c r="AS1267" t="s">
        <v>11892</v>
      </c>
      <c r="AT1267" t="s">
        <v>124</v>
      </c>
      <c r="AU1267">
        <v>2025</v>
      </c>
      <c r="AV1267">
        <v>25</v>
      </c>
      <c r="AW1267" t="s">
        <v>74</v>
      </c>
      <c r="AX1267" t="s">
        <v>74</v>
      </c>
      <c r="AY1267">
        <v>2</v>
      </c>
      <c r="AZ1267" t="s">
        <v>74</v>
      </c>
      <c r="BA1267" t="s">
        <v>74</v>
      </c>
      <c r="BB1267">
        <v>119</v>
      </c>
      <c r="BC1267">
        <v>127</v>
      </c>
      <c r="BD1267" t="s">
        <v>74</v>
      </c>
      <c r="BE1267" t="s">
        <v>30210</v>
      </c>
      <c r="BF1267" t="str">
        <f>HYPERLINK("http://dx.doi.org/10.1016/j.bir.2025.09.001","http://dx.doi.org/10.1016/j.bir.2025.09.001")</f>
        <v>http://dx.doi.org/10.1016/j.bir.2025.09.001</v>
      </c>
      <c r="BG1267" t="s">
        <v>74</v>
      </c>
      <c r="BH1267" t="s">
        <v>2044</v>
      </c>
      <c r="BI1267">
        <v>9</v>
      </c>
      <c r="BJ1267" t="s">
        <v>210</v>
      </c>
      <c r="BK1267" t="s">
        <v>99</v>
      </c>
      <c r="BL1267" t="s">
        <v>100</v>
      </c>
      <c r="BM1267" t="s">
        <v>12665</v>
      </c>
      <c r="BN1267" t="s">
        <v>74</v>
      </c>
      <c r="BO1267" t="s">
        <v>916</v>
      </c>
      <c r="BP1267" t="s">
        <v>74</v>
      </c>
      <c r="BQ1267" t="s">
        <v>74</v>
      </c>
      <c r="BR1267" t="s">
        <v>102</v>
      </c>
      <c r="BS1267" t="s">
        <v>30209</v>
      </c>
      <c r="BT1267" t="str">
        <f>HYPERLINK("https%3A%2F%2Fwww.webofscience.com%2Fwos%2Fwoscc%2Ffull-record%2FWOS:001637944900003","View Full Record in Web of Science")</f>
        <v>View Full Record in Web of Science</v>
      </c>
    </row>
    <row r="1268" spans="1:72" x14ac:dyDescent="0.25">
      <c r="A1268" t="s">
        <v>72</v>
      </c>
      <c r="B1268" t="s">
        <v>30208</v>
      </c>
      <c r="C1268" t="s">
        <v>74</v>
      </c>
      <c r="D1268" t="s">
        <v>74</v>
      </c>
      <c r="E1268" t="s">
        <v>74</v>
      </c>
      <c r="F1268" t="s">
        <v>30207</v>
      </c>
      <c r="G1268" t="s">
        <v>74</v>
      </c>
      <c r="H1268" t="s">
        <v>74</v>
      </c>
      <c r="I1268" t="s">
        <v>30206</v>
      </c>
      <c r="J1268" t="s">
        <v>5540</v>
      </c>
      <c r="K1268" t="s">
        <v>74</v>
      </c>
      <c r="L1268" t="s">
        <v>74</v>
      </c>
      <c r="M1268" t="s">
        <v>78</v>
      </c>
      <c r="N1268" t="s">
        <v>1766</v>
      </c>
      <c r="O1268" t="s">
        <v>74</v>
      </c>
      <c r="P1268" t="s">
        <v>74</v>
      </c>
      <c r="Q1268" t="s">
        <v>74</v>
      </c>
      <c r="R1268" t="s">
        <v>74</v>
      </c>
      <c r="S1268" t="s">
        <v>74</v>
      </c>
      <c r="T1268" t="s">
        <v>30205</v>
      </c>
      <c r="U1268" t="s">
        <v>30204</v>
      </c>
      <c r="V1268" t="s">
        <v>30203</v>
      </c>
      <c r="W1268" t="s">
        <v>30202</v>
      </c>
      <c r="X1268" t="s">
        <v>12902</v>
      </c>
      <c r="Y1268" t="s">
        <v>30201</v>
      </c>
      <c r="Z1268" t="s">
        <v>30200</v>
      </c>
      <c r="AA1268" t="s">
        <v>30199</v>
      </c>
      <c r="AB1268" t="s">
        <v>30198</v>
      </c>
      <c r="AC1268" t="s">
        <v>30197</v>
      </c>
      <c r="AD1268" t="s">
        <v>30196</v>
      </c>
      <c r="AE1268" t="s">
        <v>30195</v>
      </c>
      <c r="AF1268" t="s">
        <v>74</v>
      </c>
      <c r="AG1268">
        <v>160</v>
      </c>
      <c r="AH1268">
        <v>117</v>
      </c>
      <c r="AI1268">
        <v>155</v>
      </c>
      <c r="AJ1268">
        <v>4</v>
      </c>
      <c r="AK1268">
        <v>80</v>
      </c>
      <c r="AL1268" t="s">
        <v>479</v>
      </c>
      <c r="AM1268" t="s">
        <v>480</v>
      </c>
      <c r="AN1268" t="s">
        <v>481</v>
      </c>
      <c r="AO1268" t="s">
        <v>5549</v>
      </c>
      <c r="AP1268" t="s">
        <v>5550</v>
      </c>
      <c r="AQ1268" t="s">
        <v>74</v>
      </c>
      <c r="AR1268" t="s">
        <v>5551</v>
      </c>
      <c r="AS1268" t="s">
        <v>5552</v>
      </c>
      <c r="AT1268" t="s">
        <v>698</v>
      </c>
      <c r="AU1268">
        <v>2020</v>
      </c>
      <c r="AV1268">
        <v>34</v>
      </c>
      <c r="AW1268">
        <v>4</v>
      </c>
      <c r="AX1268" t="s">
        <v>74</v>
      </c>
      <c r="AY1268" t="s">
        <v>74</v>
      </c>
      <c r="AZ1268" t="s">
        <v>74</v>
      </c>
      <c r="BA1268" t="s">
        <v>74</v>
      </c>
      <c r="BB1268">
        <v>753</v>
      </c>
      <c r="BC1268">
        <v>792</v>
      </c>
      <c r="BD1268" t="s">
        <v>74</v>
      </c>
      <c r="BE1268" t="s">
        <v>30194</v>
      </c>
      <c r="BF1268" t="str">
        <f>HYPERLINK("http://dx.doi.org/10.1111/joes.12372","http://dx.doi.org/10.1111/joes.12372")</f>
        <v>http://dx.doi.org/10.1111/joes.12372</v>
      </c>
      <c r="BG1268" t="s">
        <v>74</v>
      </c>
      <c r="BH1268" t="s">
        <v>341</v>
      </c>
      <c r="BI1268">
        <v>40</v>
      </c>
      <c r="BJ1268" t="s">
        <v>291</v>
      </c>
      <c r="BK1268" t="s">
        <v>99</v>
      </c>
      <c r="BL1268" t="s">
        <v>100</v>
      </c>
      <c r="BM1268" t="s">
        <v>30193</v>
      </c>
      <c r="BN1268" t="s">
        <v>74</v>
      </c>
      <c r="BO1268" t="s">
        <v>270</v>
      </c>
      <c r="BP1268" t="s">
        <v>74</v>
      </c>
      <c r="BQ1268" t="s">
        <v>74</v>
      </c>
      <c r="BR1268" t="s">
        <v>102</v>
      </c>
      <c r="BS1268" t="s">
        <v>30192</v>
      </c>
      <c r="BT1268" t="str">
        <f>HYPERLINK("https%3A%2F%2Fwww.webofscience.com%2Fwos%2Fwoscc%2Ffull-record%2FWOS:000535800500001","View Full Record in Web of Science")</f>
        <v>View Full Record in Web of Science</v>
      </c>
    </row>
    <row r="1269" spans="1:72" x14ac:dyDescent="0.25">
      <c r="A1269" t="s">
        <v>72</v>
      </c>
      <c r="B1269" t="s">
        <v>30191</v>
      </c>
      <c r="C1269" t="s">
        <v>74</v>
      </c>
      <c r="D1269" t="s">
        <v>74</v>
      </c>
      <c r="E1269" t="s">
        <v>74</v>
      </c>
      <c r="F1269" t="s">
        <v>30190</v>
      </c>
      <c r="G1269" t="s">
        <v>74</v>
      </c>
      <c r="H1269" t="s">
        <v>74</v>
      </c>
      <c r="I1269" t="s">
        <v>30189</v>
      </c>
      <c r="J1269" t="s">
        <v>12172</v>
      </c>
      <c r="K1269" t="s">
        <v>74</v>
      </c>
      <c r="L1269" t="s">
        <v>74</v>
      </c>
      <c r="M1269" t="s">
        <v>78</v>
      </c>
      <c r="N1269" t="s">
        <v>79</v>
      </c>
      <c r="O1269" t="s">
        <v>74</v>
      </c>
      <c r="P1269" t="s">
        <v>74</v>
      </c>
      <c r="Q1269" t="s">
        <v>74</v>
      </c>
      <c r="R1269" t="s">
        <v>74</v>
      </c>
      <c r="S1269" t="s">
        <v>74</v>
      </c>
      <c r="T1269" t="s">
        <v>30188</v>
      </c>
      <c r="U1269" t="s">
        <v>30187</v>
      </c>
      <c r="V1269" t="s">
        <v>30186</v>
      </c>
      <c r="W1269" t="s">
        <v>30185</v>
      </c>
      <c r="X1269" t="s">
        <v>30184</v>
      </c>
      <c r="Y1269" t="s">
        <v>30183</v>
      </c>
      <c r="Z1269" t="s">
        <v>30182</v>
      </c>
      <c r="AA1269" t="s">
        <v>30181</v>
      </c>
      <c r="AB1269" t="s">
        <v>30180</v>
      </c>
      <c r="AC1269" t="s">
        <v>74</v>
      </c>
      <c r="AD1269" t="s">
        <v>74</v>
      </c>
      <c r="AE1269" t="s">
        <v>74</v>
      </c>
      <c r="AF1269" t="s">
        <v>74</v>
      </c>
      <c r="AG1269">
        <v>71</v>
      </c>
      <c r="AH1269">
        <v>2</v>
      </c>
      <c r="AI1269">
        <v>7</v>
      </c>
      <c r="AJ1269">
        <v>0</v>
      </c>
      <c r="AK1269">
        <v>8</v>
      </c>
      <c r="AL1269" t="s">
        <v>757</v>
      </c>
      <c r="AM1269" t="s">
        <v>758</v>
      </c>
      <c r="AN1269" t="s">
        <v>759</v>
      </c>
      <c r="AO1269" t="s">
        <v>12179</v>
      </c>
      <c r="AP1269" t="s">
        <v>74</v>
      </c>
      <c r="AQ1269" t="s">
        <v>74</v>
      </c>
      <c r="AR1269" t="s">
        <v>12172</v>
      </c>
      <c r="AS1269" t="s">
        <v>12180</v>
      </c>
      <c r="AT1269" t="s">
        <v>848</v>
      </c>
      <c r="AU1269">
        <v>2023</v>
      </c>
      <c r="AV1269">
        <v>13</v>
      </c>
      <c r="AW1269">
        <v>3</v>
      </c>
      <c r="AX1269" t="s">
        <v>74</v>
      </c>
      <c r="AY1269" t="s">
        <v>74</v>
      </c>
      <c r="AZ1269" t="s">
        <v>74</v>
      </c>
      <c r="BA1269" t="s">
        <v>74</v>
      </c>
      <c r="BB1269" t="s">
        <v>74</v>
      </c>
      <c r="BC1269" t="s">
        <v>74</v>
      </c>
      <c r="BD1269">
        <v>2.1582440231187604E+16</v>
      </c>
      <c r="BE1269" t="s">
        <v>30179</v>
      </c>
      <c r="BF1269" t="str">
        <f>HYPERLINK("http://dx.doi.org/10.1177/21582440231187603","http://dx.doi.org/10.1177/21582440231187603")</f>
        <v>http://dx.doi.org/10.1177/21582440231187603</v>
      </c>
      <c r="BG1269" t="s">
        <v>74</v>
      </c>
      <c r="BH1269" t="s">
        <v>74</v>
      </c>
      <c r="BI1269">
        <v>13</v>
      </c>
      <c r="BJ1269" t="s">
        <v>364</v>
      </c>
      <c r="BK1269" t="s">
        <v>99</v>
      </c>
      <c r="BL1269" t="s">
        <v>365</v>
      </c>
      <c r="BM1269" t="s">
        <v>30178</v>
      </c>
      <c r="BN1269" t="s">
        <v>74</v>
      </c>
      <c r="BO1269" t="s">
        <v>916</v>
      </c>
      <c r="BP1269" t="s">
        <v>74</v>
      </c>
      <c r="BQ1269" t="s">
        <v>74</v>
      </c>
      <c r="BR1269" t="s">
        <v>102</v>
      </c>
      <c r="BS1269" t="s">
        <v>30177</v>
      </c>
      <c r="BT1269" t="str">
        <f>HYPERLINK("https%3A%2F%2Fwww.webofscience.com%2Fwos%2Fwoscc%2Ffull-record%2FWOS:001027440500001","View Full Record in Web of Science")</f>
        <v>View Full Record in Web of Science</v>
      </c>
    </row>
    <row r="1270" spans="1:72" x14ac:dyDescent="0.25">
      <c r="A1270" t="s">
        <v>72</v>
      </c>
      <c r="B1270" t="s">
        <v>30176</v>
      </c>
      <c r="C1270" t="s">
        <v>74</v>
      </c>
      <c r="D1270" t="s">
        <v>74</v>
      </c>
      <c r="E1270" t="s">
        <v>74</v>
      </c>
      <c r="F1270" t="s">
        <v>30175</v>
      </c>
      <c r="G1270" t="s">
        <v>74</v>
      </c>
      <c r="H1270" t="s">
        <v>74</v>
      </c>
      <c r="I1270" t="s">
        <v>30174</v>
      </c>
      <c r="J1270" t="s">
        <v>19577</v>
      </c>
      <c r="K1270" t="s">
        <v>74</v>
      </c>
      <c r="L1270" t="s">
        <v>74</v>
      </c>
      <c r="M1270" t="s">
        <v>78</v>
      </c>
      <c r="N1270" t="s">
        <v>79</v>
      </c>
      <c r="O1270" t="s">
        <v>74</v>
      </c>
      <c r="P1270" t="s">
        <v>74</v>
      </c>
      <c r="Q1270" t="s">
        <v>74</v>
      </c>
      <c r="R1270" t="s">
        <v>74</v>
      </c>
      <c r="S1270" t="s">
        <v>74</v>
      </c>
      <c r="T1270" t="s">
        <v>30173</v>
      </c>
      <c r="U1270" t="s">
        <v>7029</v>
      </c>
      <c r="V1270" t="s">
        <v>30172</v>
      </c>
      <c r="W1270" t="s">
        <v>30171</v>
      </c>
      <c r="X1270" t="s">
        <v>74</v>
      </c>
      <c r="Y1270" t="s">
        <v>30170</v>
      </c>
      <c r="Z1270" t="s">
        <v>30169</v>
      </c>
      <c r="AA1270" t="s">
        <v>30168</v>
      </c>
      <c r="AB1270" t="s">
        <v>74</v>
      </c>
      <c r="AC1270" t="s">
        <v>74</v>
      </c>
      <c r="AD1270" t="s">
        <v>74</v>
      </c>
      <c r="AE1270" t="s">
        <v>74</v>
      </c>
      <c r="AF1270" t="s">
        <v>74</v>
      </c>
      <c r="AG1270">
        <v>36</v>
      </c>
      <c r="AH1270">
        <v>0</v>
      </c>
      <c r="AI1270">
        <v>1</v>
      </c>
      <c r="AJ1270">
        <v>1</v>
      </c>
      <c r="AK1270">
        <v>25</v>
      </c>
      <c r="AL1270" t="s">
        <v>19567</v>
      </c>
      <c r="AM1270" t="s">
        <v>1953</v>
      </c>
      <c r="AN1270" t="s">
        <v>19566</v>
      </c>
      <c r="AO1270" t="s">
        <v>19565</v>
      </c>
      <c r="AP1270" t="s">
        <v>19564</v>
      </c>
      <c r="AQ1270" t="s">
        <v>74</v>
      </c>
      <c r="AR1270" t="s">
        <v>19563</v>
      </c>
      <c r="AS1270" t="s">
        <v>19562</v>
      </c>
      <c r="AT1270" t="s">
        <v>289</v>
      </c>
      <c r="AU1270">
        <v>2021</v>
      </c>
      <c r="AV1270">
        <v>8</v>
      </c>
      <c r="AW1270">
        <v>2</v>
      </c>
      <c r="AX1270" t="s">
        <v>74</v>
      </c>
      <c r="AY1270" t="s">
        <v>74</v>
      </c>
      <c r="AZ1270" t="s">
        <v>74</v>
      </c>
      <c r="BA1270" t="s">
        <v>74</v>
      </c>
      <c r="BB1270">
        <v>531</v>
      </c>
      <c r="BC1270">
        <v>551</v>
      </c>
      <c r="BD1270" t="s">
        <v>74</v>
      </c>
      <c r="BE1270" t="s">
        <v>30167</v>
      </c>
      <c r="BF1270" t="str">
        <f>HYPERLINK("http://dx.doi.org/10.26414/A148","http://dx.doi.org/10.26414/A148")</f>
        <v>http://dx.doi.org/10.26414/A148</v>
      </c>
      <c r="BG1270" t="s">
        <v>74</v>
      </c>
      <c r="BH1270" t="s">
        <v>74</v>
      </c>
      <c r="BI1270">
        <v>21</v>
      </c>
      <c r="BJ1270" t="s">
        <v>291</v>
      </c>
      <c r="BK1270" t="s">
        <v>313</v>
      </c>
      <c r="BL1270" t="s">
        <v>100</v>
      </c>
      <c r="BM1270" t="s">
        <v>30166</v>
      </c>
      <c r="BN1270" t="s">
        <v>74</v>
      </c>
      <c r="BO1270" t="s">
        <v>212</v>
      </c>
      <c r="BP1270" t="s">
        <v>74</v>
      </c>
      <c r="BQ1270" t="s">
        <v>74</v>
      </c>
      <c r="BR1270" t="s">
        <v>102</v>
      </c>
      <c r="BS1270" t="s">
        <v>30165</v>
      </c>
      <c r="BT1270" t="str">
        <f>HYPERLINK("https%3A%2F%2Fwww.webofscience.com%2Fwos%2Fwoscc%2Ffull-record%2FWOS:000686212900004","View Full Record in Web of Science")</f>
        <v>View Full Record in Web of Science</v>
      </c>
    </row>
    <row r="1271" spans="1:72" x14ac:dyDescent="0.25">
      <c r="A1271" t="s">
        <v>72</v>
      </c>
      <c r="B1271" t="s">
        <v>30164</v>
      </c>
      <c r="C1271" t="s">
        <v>74</v>
      </c>
      <c r="D1271" t="s">
        <v>74</v>
      </c>
      <c r="E1271" t="s">
        <v>74</v>
      </c>
      <c r="F1271" t="s">
        <v>30163</v>
      </c>
      <c r="G1271" t="s">
        <v>74</v>
      </c>
      <c r="H1271" t="s">
        <v>74</v>
      </c>
      <c r="I1271" t="s">
        <v>30162</v>
      </c>
      <c r="J1271" t="s">
        <v>1902</v>
      </c>
      <c r="K1271" t="s">
        <v>74</v>
      </c>
      <c r="L1271" t="s">
        <v>74</v>
      </c>
      <c r="M1271" t="s">
        <v>78</v>
      </c>
      <c r="N1271" t="s">
        <v>79</v>
      </c>
      <c r="O1271" t="s">
        <v>74</v>
      </c>
      <c r="P1271" t="s">
        <v>74</v>
      </c>
      <c r="Q1271" t="s">
        <v>74</v>
      </c>
      <c r="R1271" t="s">
        <v>74</v>
      </c>
      <c r="S1271" t="s">
        <v>74</v>
      </c>
      <c r="T1271" t="s">
        <v>30161</v>
      </c>
      <c r="U1271" t="s">
        <v>74</v>
      </c>
      <c r="V1271" t="s">
        <v>30160</v>
      </c>
      <c r="W1271" t="s">
        <v>30159</v>
      </c>
      <c r="X1271" t="s">
        <v>30158</v>
      </c>
      <c r="Y1271" t="s">
        <v>30157</v>
      </c>
      <c r="Z1271" t="s">
        <v>30156</v>
      </c>
      <c r="AA1271" t="s">
        <v>74</v>
      </c>
      <c r="AB1271" t="s">
        <v>74</v>
      </c>
      <c r="AC1271" t="s">
        <v>74</v>
      </c>
      <c r="AD1271" t="s">
        <v>74</v>
      </c>
      <c r="AE1271" t="s">
        <v>74</v>
      </c>
      <c r="AF1271" t="s">
        <v>74</v>
      </c>
      <c r="AG1271">
        <v>29</v>
      </c>
      <c r="AH1271">
        <v>16</v>
      </c>
      <c r="AI1271">
        <v>21</v>
      </c>
      <c r="AJ1271">
        <v>0</v>
      </c>
      <c r="AK1271">
        <v>11</v>
      </c>
      <c r="AL1271" t="s">
        <v>89</v>
      </c>
      <c r="AM1271" t="s">
        <v>1497</v>
      </c>
      <c r="AN1271" t="s">
        <v>1498</v>
      </c>
      <c r="AO1271" t="s">
        <v>1910</v>
      </c>
      <c r="AP1271" t="s">
        <v>1911</v>
      </c>
      <c r="AQ1271" t="s">
        <v>74</v>
      </c>
      <c r="AR1271" t="s">
        <v>1912</v>
      </c>
      <c r="AS1271" t="s">
        <v>1913</v>
      </c>
      <c r="AT1271" t="s">
        <v>74</v>
      </c>
      <c r="AU1271">
        <v>2016</v>
      </c>
      <c r="AV1271">
        <v>8</v>
      </c>
      <c r="AW1271">
        <v>2</v>
      </c>
      <c r="AX1271" t="s">
        <v>74</v>
      </c>
      <c r="AY1271" t="s">
        <v>74</v>
      </c>
      <c r="AZ1271" t="s">
        <v>74</v>
      </c>
      <c r="BA1271" t="s">
        <v>74</v>
      </c>
      <c r="BB1271">
        <v>212</v>
      </c>
      <c r="BC1271">
        <v>227</v>
      </c>
      <c r="BD1271" t="s">
        <v>74</v>
      </c>
      <c r="BE1271" t="s">
        <v>30155</v>
      </c>
      <c r="BF1271" t="str">
        <f>HYPERLINK("http://dx.doi.org/10.1108/JFEP-06-2015-0037","http://dx.doi.org/10.1108/JFEP-06-2015-0037")</f>
        <v>http://dx.doi.org/10.1108/JFEP-06-2015-0037</v>
      </c>
      <c r="BG1271" t="s">
        <v>74</v>
      </c>
      <c r="BH1271" t="s">
        <v>74</v>
      </c>
      <c r="BI1271">
        <v>16</v>
      </c>
      <c r="BJ1271" t="s">
        <v>291</v>
      </c>
      <c r="BK1271" t="s">
        <v>313</v>
      </c>
      <c r="BL1271" t="s">
        <v>100</v>
      </c>
      <c r="BM1271" t="s">
        <v>30154</v>
      </c>
      <c r="BN1271" t="s">
        <v>74</v>
      </c>
      <c r="BO1271" t="s">
        <v>74</v>
      </c>
      <c r="BP1271" t="s">
        <v>74</v>
      </c>
      <c r="BQ1271" t="s">
        <v>74</v>
      </c>
      <c r="BR1271" t="s">
        <v>102</v>
      </c>
      <c r="BS1271" t="s">
        <v>30153</v>
      </c>
      <c r="BT1271" t="str">
        <f>HYPERLINK("https%3A%2F%2Fwww.webofscience.com%2Fwos%2Fwoscc%2Ffull-record%2FWOS:000388988000004","View Full Record in Web of Science")</f>
        <v>View Full Record in Web of Science</v>
      </c>
    </row>
    <row r="1272" spans="1:72" x14ac:dyDescent="0.25">
      <c r="A1272" t="s">
        <v>72</v>
      </c>
      <c r="B1272" t="s">
        <v>30152</v>
      </c>
      <c r="C1272" t="s">
        <v>74</v>
      </c>
      <c r="D1272" t="s">
        <v>74</v>
      </c>
      <c r="E1272" t="s">
        <v>74</v>
      </c>
      <c r="F1272" t="s">
        <v>30151</v>
      </c>
      <c r="G1272" t="s">
        <v>74</v>
      </c>
      <c r="H1272" t="s">
        <v>74</v>
      </c>
      <c r="I1272" t="s">
        <v>30150</v>
      </c>
      <c r="J1272" t="s">
        <v>3473</v>
      </c>
      <c r="K1272" t="s">
        <v>74</v>
      </c>
      <c r="L1272" t="s">
        <v>74</v>
      </c>
      <c r="M1272" t="s">
        <v>78</v>
      </c>
      <c r="N1272" t="s">
        <v>79</v>
      </c>
      <c r="O1272" t="s">
        <v>74</v>
      </c>
      <c r="P1272" t="s">
        <v>74</v>
      </c>
      <c r="Q1272" t="s">
        <v>74</v>
      </c>
      <c r="R1272" t="s">
        <v>74</v>
      </c>
      <c r="S1272" t="s">
        <v>74</v>
      </c>
      <c r="T1272" t="s">
        <v>74</v>
      </c>
      <c r="U1272" t="s">
        <v>30149</v>
      </c>
      <c r="V1272" t="s">
        <v>30148</v>
      </c>
      <c r="W1272" t="s">
        <v>30147</v>
      </c>
      <c r="X1272" t="s">
        <v>30146</v>
      </c>
      <c r="Y1272" t="s">
        <v>30145</v>
      </c>
      <c r="Z1272" t="s">
        <v>74</v>
      </c>
      <c r="AA1272" t="s">
        <v>74</v>
      </c>
      <c r="AB1272" t="s">
        <v>26036</v>
      </c>
      <c r="AC1272" t="s">
        <v>74</v>
      </c>
      <c r="AD1272" t="s">
        <v>74</v>
      </c>
      <c r="AE1272" t="s">
        <v>74</v>
      </c>
      <c r="AF1272" t="s">
        <v>74</v>
      </c>
      <c r="AG1272">
        <v>32</v>
      </c>
      <c r="AH1272">
        <v>383</v>
      </c>
      <c r="AI1272">
        <v>537</v>
      </c>
      <c r="AJ1272">
        <v>7</v>
      </c>
      <c r="AK1272">
        <v>179</v>
      </c>
      <c r="AL1272" t="s">
        <v>479</v>
      </c>
      <c r="AM1272" t="s">
        <v>480</v>
      </c>
      <c r="AN1272" t="s">
        <v>481</v>
      </c>
      <c r="AO1272" t="s">
        <v>3483</v>
      </c>
      <c r="AP1272" t="s">
        <v>3484</v>
      </c>
      <c r="AQ1272" t="s">
        <v>74</v>
      </c>
      <c r="AR1272" t="s">
        <v>3485</v>
      </c>
      <c r="AS1272" t="s">
        <v>3486</v>
      </c>
      <c r="AT1272" t="s">
        <v>1652</v>
      </c>
      <c r="AU1272">
        <v>2014</v>
      </c>
      <c r="AV1272">
        <v>69</v>
      </c>
      <c r="AW1272">
        <v>3</v>
      </c>
      <c r="AX1272" t="s">
        <v>74</v>
      </c>
      <c r="AY1272" t="s">
        <v>74</v>
      </c>
      <c r="AZ1272" t="s">
        <v>74</v>
      </c>
      <c r="BA1272" t="s">
        <v>74</v>
      </c>
      <c r="BB1272">
        <v>1347</v>
      </c>
      <c r="BC1272">
        <v>1376</v>
      </c>
      <c r="BD1272" t="s">
        <v>74</v>
      </c>
      <c r="BE1272" t="s">
        <v>30144</v>
      </c>
      <c r="BF1272" t="str">
        <f>HYPERLINK("http://dx.doi.org/10.1111/jofi.12091","http://dx.doi.org/10.1111/jofi.12091")</f>
        <v>http://dx.doi.org/10.1111/jofi.12091</v>
      </c>
      <c r="BG1272" t="s">
        <v>74</v>
      </c>
      <c r="BH1272" t="s">
        <v>74</v>
      </c>
      <c r="BI1272">
        <v>30</v>
      </c>
      <c r="BJ1272" t="s">
        <v>210</v>
      </c>
      <c r="BK1272" t="s">
        <v>99</v>
      </c>
      <c r="BL1272" t="s">
        <v>100</v>
      </c>
      <c r="BM1272" t="s">
        <v>30143</v>
      </c>
      <c r="BN1272" t="s">
        <v>74</v>
      </c>
      <c r="BO1272" t="s">
        <v>1696</v>
      </c>
      <c r="BP1272" t="s">
        <v>74</v>
      </c>
      <c r="BQ1272" t="s">
        <v>74</v>
      </c>
      <c r="BR1272" t="s">
        <v>102</v>
      </c>
      <c r="BS1272" t="s">
        <v>30142</v>
      </c>
      <c r="BT1272" t="str">
        <f>HYPERLINK("https%3A%2F%2Fwww.webofscience.com%2Fwos%2Fwoscc%2Ffull-record%2FWOS:000336502800012","View Full Record in Web of Science")</f>
        <v>View Full Record in Web of Science</v>
      </c>
    </row>
    <row r="1273" spans="1:72" x14ac:dyDescent="0.25">
      <c r="A1273" t="s">
        <v>72</v>
      </c>
      <c r="B1273" t="s">
        <v>30141</v>
      </c>
      <c r="C1273" t="s">
        <v>74</v>
      </c>
      <c r="D1273" t="s">
        <v>74</v>
      </c>
      <c r="E1273" t="s">
        <v>74</v>
      </c>
      <c r="F1273" t="s">
        <v>30140</v>
      </c>
      <c r="G1273" t="s">
        <v>74</v>
      </c>
      <c r="H1273" t="s">
        <v>74</v>
      </c>
      <c r="I1273" t="s">
        <v>30139</v>
      </c>
      <c r="J1273" t="s">
        <v>30138</v>
      </c>
      <c r="K1273" t="s">
        <v>74</v>
      </c>
      <c r="L1273" t="s">
        <v>74</v>
      </c>
      <c r="M1273" t="s">
        <v>298</v>
      </c>
      <c r="N1273" t="s">
        <v>79</v>
      </c>
      <c r="O1273" t="s">
        <v>74</v>
      </c>
      <c r="P1273" t="s">
        <v>74</v>
      </c>
      <c r="Q1273" t="s">
        <v>74</v>
      </c>
      <c r="R1273" t="s">
        <v>74</v>
      </c>
      <c r="S1273" t="s">
        <v>74</v>
      </c>
      <c r="T1273" t="s">
        <v>30137</v>
      </c>
      <c r="U1273" t="s">
        <v>74</v>
      </c>
      <c r="V1273" t="s">
        <v>30136</v>
      </c>
      <c r="W1273" t="s">
        <v>30135</v>
      </c>
      <c r="X1273" t="s">
        <v>30134</v>
      </c>
      <c r="Y1273" t="s">
        <v>30133</v>
      </c>
      <c r="Z1273" t="s">
        <v>30132</v>
      </c>
      <c r="AA1273" t="s">
        <v>74</v>
      </c>
      <c r="AB1273" t="s">
        <v>74</v>
      </c>
      <c r="AC1273" t="s">
        <v>74</v>
      </c>
      <c r="AD1273" t="s">
        <v>74</v>
      </c>
      <c r="AE1273" t="s">
        <v>74</v>
      </c>
      <c r="AF1273" t="s">
        <v>74</v>
      </c>
      <c r="AG1273">
        <v>54</v>
      </c>
      <c r="AH1273">
        <v>0</v>
      </c>
      <c r="AI1273">
        <v>0</v>
      </c>
      <c r="AJ1273">
        <v>0</v>
      </c>
      <c r="AK1273">
        <v>5</v>
      </c>
      <c r="AL1273" t="s">
        <v>30131</v>
      </c>
      <c r="AM1273" t="s">
        <v>30130</v>
      </c>
      <c r="AN1273" t="s">
        <v>30129</v>
      </c>
      <c r="AO1273" t="s">
        <v>30128</v>
      </c>
      <c r="AP1273" t="s">
        <v>30127</v>
      </c>
      <c r="AQ1273" t="s">
        <v>74</v>
      </c>
      <c r="AR1273" t="s">
        <v>30126</v>
      </c>
      <c r="AS1273" t="s">
        <v>30125</v>
      </c>
      <c r="AT1273" t="s">
        <v>16433</v>
      </c>
      <c r="AU1273">
        <v>2020</v>
      </c>
      <c r="AV1273" t="s">
        <v>74</v>
      </c>
      <c r="AW1273">
        <v>48</v>
      </c>
      <c r="AX1273" t="s">
        <v>74</v>
      </c>
      <c r="AY1273" t="s">
        <v>74</v>
      </c>
      <c r="AZ1273" t="s">
        <v>74</v>
      </c>
      <c r="BA1273" t="s">
        <v>74</v>
      </c>
      <c r="BB1273" t="s">
        <v>74</v>
      </c>
      <c r="BC1273" t="s">
        <v>74</v>
      </c>
      <c r="BD1273" t="s">
        <v>30124</v>
      </c>
      <c r="BE1273" t="s">
        <v>30123</v>
      </c>
      <c r="BF1273" t="str">
        <f>HYPERLINK("http://dx.doi.org/10.22187/rfd2020n48a9","http://dx.doi.org/10.22187/rfd2020n48a9")</f>
        <v>http://dx.doi.org/10.22187/rfd2020n48a9</v>
      </c>
      <c r="BG1273" t="s">
        <v>74</v>
      </c>
      <c r="BH1273" t="s">
        <v>74</v>
      </c>
      <c r="BI1273">
        <v>34</v>
      </c>
      <c r="BJ1273" t="s">
        <v>182</v>
      </c>
      <c r="BK1273" t="s">
        <v>313</v>
      </c>
      <c r="BL1273" t="s">
        <v>184</v>
      </c>
      <c r="BM1273" t="s">
        <v>30122</v>
      </c>
      <c r="BN1273" t="s">
        <v>74</v>
      </c>
      <c r="BO1273" t="s">
        <v>212</v>
      </c>
      <c r="BP1273" t="s">
        <v>74</v>
      </c>
      <c r="BQ1273" t="s">
        <v>74</v>
      </c>
      <c r="BR1273" t="s">
        <v>102</v>
      </c>
      <c r="BS1273" t="s">
        <v>30121</v>
      </c>
      <c r="BT1273" t="str">
        <f>HYPERLINK("https%3A%2F%2Fwww.webofscience.com%2Fwos%2Fwoscc%2Ffull-record%2FWOS:000541815200009","View Full Record in Web of Science")</f>
        <v>View Full Record in Web of Science</v>
      </c>
    </row>
    <row r="1274" spans="1:72" x14ac:dyDescent="0.25">
      <c r="A1274" t="s">
        <v>72</v>
      </c>
      <c r="B1274" t="s">
        <v>30120</v>
      </c>
      <c r="C1274" t="s">
        <v>74</v>
      </c>
      <c r="D1274" t="s">
        <v>74</v>
      </c>
      <c r="E1274" t="s">
        <v>74</v>
      </c>
      <c r="F1274" t="s">
        <v>30119</v>
      </c>
      <c r="G1274" t="s">
        <v>74</v>
      </c>
      <c r="H1274" t="s">
        <v>74</v>
      </c>
      <c r="I1274" t="s">
        <v>30118</v>
      </c>
      <c r="J1274" t="s">
        <v>11074</v>
      </c>
      <c r="K1274" t="s">
        <v>74</v>
      </c>
      <c r="L1274" t="s">
        <v>74</v>
      </c>
      <c r="M1274" t="s">
        <v>78</v>
      </c>
      <c r="N1274" t="s">
        <v>79</v>
      </c>
      <c r="O1274" t="s">
        <v>74</v>
      </c>
      <c r="P1274" t="s">
        <v>74</v>
      </c>
      <c r="Q1274" t="s">
        <v>74</v>
      </c>
      <c r="R1274" t="s">
        <v>74</v>
      </c>
      <c r="S1274" t="s">
        <v>74</v>
      </c>
      <c r="T1274" t="s">
        <v>30117</v>
      </c>
      <c r="U1274" t="s">
        <v>30116</v>
      </c>
      <c r="V1274" t="s">
        <v>30115</v>
      </c>
      <c r="W1274" t="s">
        <v>30114</v>
      </c>
      <c r="X1274" t="s">
        <v>74</v>
      </c>
      <c r="Y1274" t="s">
        <v>30113</v>
      </c>
      <c r="Z1274" t="s">
        <v>30112</v>
      </c>
      <c r="AA1274" t="s">
        <v>30111</v>
      </c>
      <c r="AB1274" t="s">
        <v>74</v>
      </c>
      <c r="AC1274" t="s">
        <v>74</v>
      </c>
      <c r="AD1274" t="s">
        <v>74</v>
      </c>
      <c r="AE1274" t="s">
        <v>30110</v>
      </c>
      <c r="AF1274" t="s">
        <v>74</v>
      </c>
      <c r="AG1274">
        <v>55</v>
      </c>
      <c r="AH1274">
        <v>2</v>
      </c>
      <c r="AI1274">
        <v>2</v>
      </c>
      <c r="AJ1274">
        <v>0</v>
      </c>
      <c r="AK1274">
        <v>6</v>
      </c>
      <c r="AL1274" t="s">
        <v>89</v>
      </c>
      <c r="AM1274" t="s">
        <v>90</v>
      </c>
      <c r="AN1274" t="s">
        <v>91</v>
      </c>
      <c r="AO1274" t="s">
        <v>11083</v>
      </c>
      <c r="AP1274" t="s">
        <v>11084</v>
      </c>
      <c r="AQ1274" t="s">
        <v>74</v>
      </c>
      <c r="AR1274" t="s">
        <v>11085</v>
      </c>
      <c r="AS1274" t="s">
        <v>11086</v>
      </c>
      <c r="AT1274" t="s">
        <v>1427</v>
      </c>
      <c r="AU1274">
        <v>2025</v>
      </c>
      <c r="AV1274">
        <v>27</v>
      </c>
      <c r="AW1274">
        <v>1</v>
      </c>
      <c r="AX1274" t="s">
        <v>74</v>
      </c>
      <c r="AY1274" t="s">
        <v>74</v>
      </c>
      <c r="AZ1274" t="s">
        <v>74</v>
      </c>
      <c r="BA1274" t="s">
        <v>74</v>
      </c>
      <c r="BB1274">
        <v>94</v>
      </c>
      <c r="BC1274">
        <v>115</v>
      </c>
      <c r="BD1274" t="s">
        <v>74</v>
      </c>
      <c r="BE1274" t="s">
        <v>30109</v>
      </c>
      <c r="BF1274" t="str">
        <f>HYPERLINK("http://dx.doi.org/10.1108/DPRG-02-2024-0021","http://dx.doi.org/10.1108/DPRG-02-2024-0021")</f>
        <v>http://dx.doi.org/10.1108/DPRG-02-2024-0021</v>
      </c>
      <c r="BG1274" t="s">
        <v>74</v>
      </c>
      <c r="BH1274" t="s">
        <v>2524</v>
      </c>
      <c r="BI1274">
        <v>22</v>
      </c>
      <c r="BJ1274" t="s">
        <v>2351</v>
      </c>
      <c r="BK1274" t="s">
        <v>313</v>
      </c>
      <c r="BL1274" t="s">
        <v>2351</v>
      </c>
      <c r="BM1274" t="s">
        <v>30108</v>
      </c>
      <c r="BN1274" t="s">
        <v>74</v>
      </c>
      <c r="BO1274" t="s">
        <v>74</v>
      </c>
      <c r="BP1274" t="s">
        <v>74</v>
      </c>
      <c r="BQ1274" t="s">
        <v>74</v>
      </c>
      <c r="BR1274" t="s">
        <v>102</v>
      </c>
      <c r="BS1274" t="s">
        <v>30107</v>
      </c>
      <c r="BT1274" t="str">
        <f>HYPERLINK("https%3A%2F%2Fwww.webofscience.com%2Fwos%2Fwoscc%2Ffull-record%2FWOS:001271962300001","View Full Record in Web of Science")</f>
        <v>View Full Record in Web of Science</v>
      </c>
    </row>
    <row r="1275" spans="1:72" x14ac:dyDescent="0.25">
      <c r="A1275" t="s">
        <v>72</v>
      </c>
      <c r="B1275" t="s">
        <v>30106</v>
      </c>
      <c r="C1275" t="s">
        <v>74</v>
      </c>
      <c r="D1275" t="s">
        <v>74</v>
      </c>
      <c r="E1275" t="s">
        <v>74</v>
      </c>
      <c r="F1275" t="s">
        <v>30105</v>
      </c>
      <c r="G1275" t="s">
        <v>74</v>
      </c>
      <c r="H1275" t="s">
        <v>74</v>
      </c>
      <c r="I1275" t="s">
        <v>30104</v>
      </c>
      <c r="J1275" t="s">
        <v>30103</v>
      </c>
      <c r="K1275" t="s">
        <v>74</v>
      </c>
      <c r="L1275" t="s">
        <v>74</v>
      </c>
      <c r="M1275" t="s">
        <v>78</v>
      </c>
      <c r="N1275" t="s">
        <v>79</v>
      </c>
      <c r="O1275" t="s">
        <v>74</v>
      </c>
      <c r="P1275" t="s">
        <v>74</v>
      </c>
      <c r="Q1275" t="s">
        <v>74</v>
      </c>
      <c r="R1275" t="s">
        <v>74</v>
      </c>
      <c r="S1275" t="s">
        <v>74</v>
      </c>
      <c r="T1275" t="s">
        <v>30102</v>
      </c>
      <c r="U1275" t="s">
        <v>30101</v>
      </c>
      <c r="V1275" t="s">
        <v>30100</v>
      </c>
      <c r="W1275" t="s">
        <v>30099</v>
      </c>
      <c r="X1275" t="s">
        <v>26447</v>
      </c>
      <c r="Y1275" t="s">
        <v>30098</v>
      </c>
      <c r="Z1275" t="s">
        <v>24475</v>
      </c>
      <c r="AA1275" t="s">
        <v>30097</v>
      </c>
      <c r="AB1275" t="s">
        <v>30096</v>
      </c>
      <c r="AC1275" t="s">
        <v>74</v>
      </c>
      <c r="AD1275" t="s">
        <v>74</v>
      </c>
      <c r="AE1275" t="s">
        <v>74</v>
      </c>
      <c r="AF1275" t="s">
        <v>74</v>
      </c>
      <c r="AG1275">
        <v>37</v>
      </c>
      <c r="AH1275">
        <v>4</v>
      </c>
      <c r="AI1275">
        <v>5</v>
      </c>
      <c r="AJ1275">
        <v>0</v>
      </c>
      <c r="AK1275">
        <v>2</v>
      </c>
      <c r="AL1275" t="s">
        <v>8503</v>
      </c>
      <c r="AM1275" t="s">
        <v>995</v>
      </c>
      <c r="AN1275" t="s">
        <v>8504</v>
      </c>
      <c r="AO1275" t="s">
        <v>30095</v>
      </c>
      <c r="AP1275" t="s">
        <v>74</v>
      </c>
      <c r="AQ1275" t="s">
        <v>74</v>
      </c>
      <c r="AR1275" t="s">
        <v>30094</v>
      </c>
      <c r="AS1275" t="s">
        <v>30093</v>
      </c>
      <c r="AT1275" t="s">
        <v>30092</v>
      </c>
      <c r="AU1275">
        <v>2024</v>
      </c>
      <c r="AV1275">
        <v>22</v>
      </c>
      <c r="AW1275">
        <v>1</v>
      </c>
      <c r="AX1275" t="s">
        <v>74</v>
      </c>
      <c r="AY1275" t="s">
        <v>74</v>
      </c>
      <c r="AZ1275" t="s">
        <v>74</v>
      </c>
      <c r="BA1275" t="s">
        <v>74</v>
      </c>
      <c r="BB1275" t="s">
        <v>74</v>
      </c>
      <c r="BC1275" t="s">
        <v>74</v>
      </c>
      <c r="BD1275">
        <v>2</v>
      </c>
      <c r="BE1275" t="s">
        <v>30091</v>
      </c>
      <c r="BF1275" t="str">
        <f>HYPERLINK("http://dx.doi.org/10.1186/s12962-023-00506-z","http://dx.doi.org/10.1186/s12962-023-00506-z")</f>
        <v>http://dx.doi.org/10.1186/s12962-023-00506-z</v>
      </c>
      <c r="BG1275" t="s">
        <v>74</v>
      </c>
      <c r="BH1275" t="s">
        <v>74</v>
      </c>
      <c r="BI1275">
        <v>10</v>
      </c>
      <c r="BJ1275" t="s">
        <v>30090</v>
      </c>
      <c r="BK1275" t="s">
        <v>99</v>
      </c>
      <c r="BL1275" t="s">
        <v>23597</v>
      </c>
      <c r="BM1275" t="s">
        <v>30089</v>
      </c>
      <c r="BN1275">
        <v>38195603</v>
      </c>
      <c r="BO1275" t="s">
        <v>916</v>
      </c>
      <c r="BP1275" t="s">
        <v>74</v>
      </c>
      <c r="BQ1275" t="s">
        <v>74</v>
      </c>
      <c r="BR1275" t="s">
        <v>102</v>
      </c>
      <c r="BS1275" t="s">
        <v>30088</v>
      </c>
      <c r="BT1275" t="str">
        <f>HYPERLINK("https%3A%2F%2Fwww.webofscience.com%2Fwos%2Fwoscc%2Ffull-record%2FWOS:001138908100001","View Full Record in Web of Science")</f>
        <v>View Full Record in Web of Science</v>
      </c>
    </row>
    <row r="1276" spans="1:72" x14ac:dyDescent="0.25">
      <c r="A1276" t="s">
        <v>72</v>
      </c>
      <c r="B1276" t="s">
        <v>30087</v>
      </c>
      <c r="C1276" t="s">
        <v>74</v>
      </c>
      <c r="D1276" t="s">
        <v>74</v>
      </c>
      <c r="E1276" t="s">
        <v>74</v>
      </c>
      <c r="F1276" t="s">
        <v>30086</v>
      </c>
      <c r="G1276" t="s">
        <v>74</v>
      </c>
      <c r="H1276" t="s">
        <v>74</v>
      </c>
      <c r="I1276" t="s">
        <v>30085</v>
      </c>
      <c r="J1276" t="s">
        <v>449</v>
      </c>
      <c r="K1276" t="s">
        <v>74</v>
      </c>
      <c r="L1276" t="s">
        <v>74</v>
      </c>
      <c r="M1276" t="s">
        <v>78</v>
      </c>
      <c r="N1276" t="s">
        <v>79</v>
      </c>
      <c r="O1276" t="s">
        <v>74</v>
      </c>
      <c r="P1276" t="s">
        <v>74</v>
      </c>
      <c r="Q1276" t="s">
        <v>74</v>
      </c>
      <c r="R1276" t="s">
        <v>74</v>
      </c>
      <c r="S1276" t="s">
        <v>74</v>
      </c>
      <c r="T1276" t="s">
        <v>30084</v>
      </c>
      <c r="U1276" t="s">
        <v>30083</v>
      </c>
      <c r="V1276" t="s">
        <v>30082</v>
      </c>
      <c r="W1276" t="s">
        <v>30081</v>
      </c>
      <c r="X1276" t="s">
        <v>74</v>
      </c>
      <c r="Y1276" t="s">
        <v>30080</v>
      </c>
      <c r="Z1276" t="s">
        <v>30079</v>
      </c>
      <c r="AA1276" t="s">
        <v>30078</v>
      </c>
      <c r="AB1276" t="s">
        <v>30077</v>
      </c>
      <c r="AC1276" t="s">
        <v>30076</v>
      </c>
      <c r="AD1276" t="s">
        <v>30075</v>
      </c>
      <c r="AE1276" t="s">
        <v>30074</v>
      </c>
      <c r="AF1276" t="s">
        <v>74</v>
      </c>
      <c r="AG1276">
        <v>65</v>
      </c>
      <c r="AH1276">
        <v>30</v>
      </c>
      <c r="AI1276">
        <v>35</v>
      </c>
      <c r="AJ1276">
        <v>0</v>
      </c>
      <c r="AK1276">
        <v>13</v>
      </c>
      <c r="AL1276" t="s">
        <v>332</v>
      </c>
      <c r="AM1276" t="s">
        <v>333</v>
      </c>
      <c r="AN1276" t="s">
        <v>334</v>
      </c>
      <c r="AO1276" t="s">
        <v>459</v>
      </c>
      <c r="AP1276" t="s">
        <v>460</v>
      </c>
      <c r="AQ1276" t="s">
        <v>74</v>
      </c>
      <c r="AR1276" t="s">
        <v>461</v>
      </c>
      <c r="AS1276" t="s">
        <v>462</v>
      </c>
      <c r="AT1276" t="s">
        <v>74</v>
      </c>
      <c r="AU1276">
        <v>2018</v>
      </c>
      <c r="AV1276">
        <v>23</v>
      </c>
      <c r="AW1276">
        <v>3</v>
      </c>
      <c r="AX1276" t="s">
        <v>74</v>
      </c>
      <c r="AY1276" t="s">
        <v>74</v>
      </c>
      <c r="AZ1276" t="s">
        <v>74</v>
      </c>
      <c r="BA1276" t="s">
        <v>74</v>
      </c>
      <c r="BB1276">
        <v>331</v>
      </c>
      <c r="BC1276">
        <v>347</v>
      </c>
      <c r="BD1276" t="s">
        <v>74</v>
      </c>
      <c r="BE1276" t="s">
        <v>30073</v>
      </c>
      <c r="BF1276" t="str">
        <f>HYPERLINK("http://dx.doi.org/10.1080/13563467.2017.1349091","http://dx.doi.org/10.1080/13563467.2017.1349091")</f>
        <v>http://dx.doi.org/10.1080/13563467.2017.1349091</v>
      </c>
      <c r="BG1276" t="s">
        <v>74</v>
      </c>
      <c r="BH1276" t="s">
        <v>74</v>
      </c>
      <c r="BI1276">
        <v>17</v>
      </c>
      <c r="BJ1276" t="s">
        <v>342</v>
      </c>
      <c r="BK1276" t="s">
        <v>99</v>
      </c>
      <c r="BL1276" t="s">
        <v>343</v>
      </c>
      <c r="BM1276" t="s">
        <v>30072</v>
      </c>
      <c r="BN1276" t="s">
        <v>74</v>
      </c>
      <c r="BO1276" t="s">
        <v>74</v>
      </c>
      <c r="BP1276" t="s">
        <v>74</v>
      </c>
      <c r="BQ1276" t="s">
        <v>74</v>
      </c>
      <c r="BR1276" t="s">
        <v>102</v>
      </c>
      <c r="BS1276" t="s">
        <v>30071</v>
      </c>
      <c r="BT1276" t="str">
        <f>HYPERLINK("https%3A%2F%2Fwww.webofscience.com%2Fwos%2Fwoscc%2Ffull-record%2FWOS:000428276800005","View Full Record in Web of Science")</f>
        <v>View Full Record in Web of Science</v>
      </c>
    </row>
    <row r="1277" spans="1:72" x14ac:dyDescent="0.25">
      <c r="A1277" t="s">
        <v>72</v>
      </c>
      <c r="B1277" t="s">
        <v>30070</v>
      </c>
      <c r="C1277" t="s">
        <v>74</v>
      </c>
      <c r="D1277" t="s">
        <v>74</v>
      </c>
      <c r="E1277" t="s">
        <v>74</v>
      </c>
      <c r="F1277" t="s">
        <v>30069</v>
      </c>
      <c r="G1277" t="s">
        <v>74</v>
      </c>
      <c r="H1277" t="s">
        <v>74</v>
      </c>
      <c r="I1277" t="s">
        <v>30068</v>
      </c>
      <c r="J1277" t="s">
        <v>30067</v>
      </c>
      <c r="K1277" t="s">
        <v>74</v>
      </c>
      <c r="L1277" t="s">
        <v>74</v>
      </c>
      <c r="M1277" t="s">
        <v>78</v>
      </c>
      <c r="N1277" t="s">
        <v>79</v>
      </c>
      <c r="O1277" t="s">
        <v>74</v>
      </c>
      <c r="P1277" t="s">
        <v>74</v>
      </c>
      <c r="Q1277" t="s">
        <v>74</v>
      </c>
      <c r="R1277" t="s">
        <v>74</v>
      </c>
      <c r="S1277" t="s">
        <v>74</v>
      </c>
      <c r="T1277" t="s">
        <v>30066</v>
      </c>
      <c r="U1277" t="s">
        <v>74</v>
      </c>
      <c r="V1277" t="s">
        <v>30065</v>
      </c>
      <c r="W1277" t="s">
        <v>30064</v>
      </c>
      <c r="X1277" t="s">
        <v>30063</v>
      </c>
      <c r="Y1277" t="s">
        <v>30062</v>
      </c>
      <c r="Z1277" t="s">
        <v>30061</v>
      </c>
      <c r="AA1277" t="s">
        <v>30060</v>
      </c>
      <c r="AB1277" t="s">
        <v>74</v>
      </c>
      <c r="AC1277" t="s">
        <v>74</v>
      </c>
      <c r="AD1277" t="s">
        <v>74</v>
      </c>
      <c r="AE1277" t="s">
        <v>74</v>
      </c>
      <c r="AF1277" t="s">
        <v>74</v>
      </c>
      <c r="AG1277">
        <v>138</v>
      </c>
      <c r="AH1277">
        <v>25</v>
      </c>
      <c r="AI1277">
        <v>33</v>
      </c>
      <c r="AJ1277">
        <v>5</v>
      </c>
      <c r="AK1277">
        <v>72</v>
      </c>
      <c r="AL1277" t="s">
        <v>89</v>
      </c>
      <c r="AM1277" t="s">
        <v>1497</v>
      </c>
      <c r="AN1277" t="s">
        <v>1498</v>
      </c>
      <c r="AO1277" t="s">
        <v>30059</v>
      </c>
      <c r="AP1277" t="s">
        <v>30058</v>
      </c>
      <c r="AQ1277" t="s">
        <v>74</v>
      </c>
      <c r="AR1277" t="s">
        <v>30057</v>
      </c>
      <c r="AS1277" t="s">
        <v>30056</v>
      </c>
      <c r="AT1277" t="s">
        <v>6830</v>
      </c>
      <c r="AU1277">
        <v>2021</v>
      </c>
      <c r="AV1277">
        <v>15</v>
      </c>
      <c r="AW1277">
        <v>2</v>
      </c>
      <c r="AX1277" t="s">
        <v>74</v>
      </c>
      <c r="AY1277" t="s">
        <v>74</v>
      </c>
      <c r="AZ1277" t="s">
        <v>441</v>
      </c>
      <c r="BA1277" t="s">
        <v>74</v>
      </c>
      <c r="BB1277">
        <v>177</v>
      </c>
      <c r="BC1277">
        <v>203</v>
      </c>
      <c r="BD1277" t="s">
        <v>74</v>
      </c>
      <c r="BE1277" t="s">
        <v>30055</v>
      </c>
      <c r="BF1277" t="str">
        <f>HYPERLINK("http://dx.doi.org/10.1108/JEC-07-2020-0127","http://dx.doi.org/10.1108/JEC-07-2020-0127")</f>
        <v>http://dx.doi.org/10.1108/JEC-07-2020-0127</v>
      </c>
      <c r="BG1277" t="s">
        <v>74</v>
      </c>
      <c r="BH1277" t="s">
        <v>11376</v>
      </c>
      <c r="BI1277">
        <v>27</v>
      </c>
      <c r="BJ1277" t="s">
        <v>418</v>
      </c>
      <c r="BK1277" t="s">
        <v>313</v>
      </c>
      <c r="BL1277" t="s">
        <v>100</v>
      </c>
      <c r="BM1277" t="s">
        <v>30054</v>
      </c>
      <c r="BN1277" t="s">
        <v>74</v>
      </c>
      <c r="BO1277" t="s">
        <v>1696</v>
      </c>
      <c r="BP1277" t="s">
        <v>74</v>
      </c>
      <c r="BQ1277" t="s">
        <v>74</v>
      </c>
      <c r="BR1277" t="s">
        <v>102</v>
      </c>
      <c r="BS1277" t="s">
        <v>30053</v>
      </c>
      <c r="BT1277" t="str">
        <f>HYPERLINK("https%3A%2F%2Fwww.webofscience.com%2Fwos%2Fwoscc%2Ffull-record%2FWOS:000621545900001","View Full Record in Web of Science")</f>
        <v>View Full Record in Web of Science</v>
      </c>
    </row>
    <row r="1278" spans="1:72" x14ac:dyDescent="0.25">
      <c r="A1278" t="s">
        <v>72</v>
      </c>
      <c r="B1278" t="s">
        <v>30052</v>
      </c>
      <c r="C1278" t="s">
        <v>74</v>
      </c>
      <c r="D1278" t="s">
        <v>74</v>
      </c>
      <c r="E1278" t="s">
        <v>74</v>
      </c>
      <c r="F1278" t="s">
        <v>30051</v>
      </c>
      <c r="G1278" t="s">
        <v>74</v>
      </c>
      <c r="H1278" t="s">
        <v>74</v>
      </c>
      <c r="I1278" t="s">
        <v>30050</v>
      </c>
      <c r="J1278" t="s">
        <v>4012</v>
      </c>
      <c r="K1278" t="s">
        <v>74</v>
      </c>
      <c r="L1278" t="s">
        <v>74</v>
      </c>
      <c r="M1278" t="s">
        <v>78</v>
      </c>
      <c r="N1278" t="s">
        <v>1766</v>
      </c>
      <c r="O1278" t="s">
        <v>74</v>
      </c>
      <c r="P1278" t="s">
        <v>74</v>
      </c>
      <c r="Q1278" t="s">
        <v>74</v>
      </c>
      <c r="R1278" t="s">
        <v>74</v>
      </c>
      <c r="S1278" t="s">
        <v>74</v>
      </c>
      <c r="T1278" t="s">
        <v>30049</v>
      </c>
      <c r="U1278" t="s">
        <v>30048</v>
      </c>
      <c r="V1278" t="s">
        <v>30047</v>
      </c>
      <c r="W1278" t="s">
        <v>30046</v>
      </c>
      <c r="X1278" t="s">
        <v>30045</v>
      </c>
      <c r="Y1278" t="s">
        <v>30044</v>
      </c>
      <c r="Z1278" t="s">
        <v>30043</v>
      </c>
      <c r="AA1278" t="s">
        <v>30042</v>
      </c>
      <c r="AB1278" t="s">
        <v>30041</v>
      </c>
      <c r="AC1278" t="s">
        <v>74</v>
      </c>
      <c r="AD1278" t="s">
        <v>74</v>
      </c>
      <c r="AE1278" t="s">
        <v>74</v>
      </c>
      <c r="AF1278" t="s">
        <v>74</v>
      </c>
      <c r="AG1278">
        <v>65</v>
      </c>
      <c r="AH1278">
        <v>12</v>
      </c>
      <c r="AI1278">
        <v>16</v>
      </c>
      <c r="AJ1278">
        <v>1</v>
      </c>
      <c r="AK1278">
        <v>16</v>
      </c>
      <c r="AL1278" t="s">
        <v>385</v>
      </c>
      <c r="AM1278" t="s">
        <v>151</v>
      </c>
      <c r="AN1278" t="s">
        <v>386</v>
      </c>
      <c r="AO1278" t="s">
        <v>74</v>
      </c>
      <c r="AP1278" t="s">
        <v>4026</v>
      </c>
      <c r="AQ1278" t="s">
        <v>74</v>
      </c>
      <c r="AR1278" t="s">
        <v>4027</v>
      </c>
      <c r="AS1278" t="s">
        <v>4028</v>
      </c>
      <c r="AT1278" t="s">
        <v>30040</v>
      </c>
      <c r="AU1278">
        <v>2023</v>
      </c>
      <c r="AV1278">
        <v>15</v>
      </c>
      <c r="AW1278">
        <v>1</v>
      </c>
      <c r="AX1278" t="s">
        <v>74</v>
      </c>
      <c r="AY1278" t="s">
        <v>74</v>
      </c>
      <c r="AZ1278" t="s">
        <v>74</v>
      </c>
      <c r="BA1278" t="s">
        <v>74</v>
      </c>
      <c r="BB1278" t="s">
        <v>74</v>
      </c>
      <c r="BC1278" t="s">
        <v>74</v>
      </c>
      <c r="BD1278">
        <v>8</v>
      </c>
      <c r="BE1278" t="s">
        <v>30039</v>
      </c>
      <c r="BF1278" t="str">
        <f>HYPERLINK("http://dx.doi.org/10.1186/s40461-023-00147-9","http://dx.doi.org/10.1186/s40461-023-00147-9")</f>
        <v>http://dx.doi.org/10.1186/s40461-023-00147-9</v>
      </c>
      <c r="BG1278" t="s">
        <v>74</v>
      </c>
      <c r="BH1278" t="s">
        <v>74</v>
      </c>
      <c r="BI1278">
        <v>18</v>
      </c>
      <c r="BJ1278" t="s">
        <v>4031</v>
      </c>
      <c r="BK1278" t="s">
        <v>313</v>
      </c>
      <c r="BL1278" t="s">
        <v>4031</v>
      </c>
      <c r="BM1278" t="s">
        <v>30038</v>
      </c>
      <c r="BN1278" t="s">
        <v>74</v>
      </c>
      <c r="BO1278" t="s">
        <v>212</v>
      </c>
      <c r="BP1278" t="s">
        <v>74</v>
      </c>
      <c r="BQ1278" t="s">
        <v>74</v>
      </c>
      <c r="BR1278" t="s">
        <v>102</v>
      </c>
      <c r="BS1278" t="s">
        <v>30037</v>
      </c>
      <c r="BT1278" t="str">
        <f>HYPERLINK("https%3A%2F%2Fwww.webofscience.com%2Fwos%2Fwoscc%2Ffull-record%2FWOS:001029991000001","View Full Record in Web of Science")</f>
        <v>View Full Record in Web of Science</v>
      </c>
    </row>
    <row r="1279" spans="1:72" x14ac:dyDescent="0.25">
      <c r="A1279" t="s">
        <v>72</v>
      </c>
      <c r="B1279" t="s">
        <v>30036</v>
      </c>
      <c r="C1279" t="s">
        <v>74</v>
      </c>
      <c r="D1279" t="s">
        <v>74</v>
      </c>
      <c r="E1279" t="s">
        <v>74</v>
      </c>
      <c r="F1279" t="s">
        <v>30035</v>
      </c>
      <c r="G1279" t="s">
        <v>74</v>
      </c>
      <c r="H1279" t="s">
        <v>74</v>
      </c>
      <c r="I1279" t="s">
        <v>30034</v>
      </c>
      <c r="J1279" t="s">
        <v>6362</v>
      </c>
      <c r="K1279" t="s">
        <v>74</v>
      </c>
      <c r="L1279" t="s">
        <v>74</v>
      </c>
      <c r="M1279" t="s">
        <v>78</v>
      </c>
      <c r="N1279" t="s">
        <v>79</v>
      </c>
      <c r="O1279" t="s">
        <v>74</v>
      </c>
      <c r="P1279" t="s">
        <v>74</v>
      </c>
      <c r="Q1279" t="s">
        <v>74</v>
      </c>
      <c r="R1279" t="s">
        <v>74</v>
      </c>
      <c r="S1279" t="s">
        <v>74</v>
      </c>
      <c r="T1279" t="s">
        <v>30033</v>
      </c>
      <c r="U1279" t="s">
        <v>30032</v>
      </c>
      <c r="V1279" t="s">
        <v>30031</v>
      </c>
      <c r="W1279" t="s">
        <v>30030</v>
      </c>
      <c r="X1279" t="s">
        <v>30029</v>
      </c>
      <c r="Y1279" t="s">
        <v>7532</v>
      </c>
      <c r="Z1279" t="s">
        <v>30028</v>
      </c>
      <c r="AA1279" t="s">
        <v>30027</v>
      </c>
      <c r="AB1279" t="s">
        <v>30026</v>
      </c>
      <c r="AC1279" t="s">
        <v>30025</v>
      </c>
      <c r="AD1279" t="s">
        <v>30025</v>
      </c>
      <c r="AE1279" t="s">
        <v>30024</v>
      </c>
      <c r="AF1279" t="s">
        <v>74</v>
      </c>
      <c r="AG1279">
        <v>42</v>
      </c>
      <c r="AH1279">
        <v>7</v>
      </c>
      <c r="AI1279">
        <v>9</v>
      </c>
      <c r="AJ1279">
        <v>1</v>
      </c>
      <c r="AK1279">
        <v>17</v>
      </c>
      <c r="AL1279" t="s">
        <v>201</v>
      </c>
      <c r="AM1279" t="s">
        <v>202</v>
      </c>
      <c r="AN1279" t="s">
        <v>203</v>
      </c>
      <c r="AO1279" t="s">
        <v>6374</v>
      </c>
      <c r="AP1279" t="s">
        <v>6375</v>
      </c>
      <c r="AQ1279" t="s">
        <v>74</v>
      </c>
      <c r="AR1279" t="s">
        <v>6376</v>
      </c>
      <c r="AS1279" t="s">
        <v>6377</v>
      </c>
      <c r="AT1279" t="s">
        <v>289</v>
      </c>
      <c r="AU1279">
        <v>2023</v>
      </c>
      <c r="AV1279">
        <v>212</v>
      </c>
      <c r="AW1279" t="s">
        <v>74</v>
      </c>
      <c r="AX1279" t="s">
        <v>74</v>
      </c>
      <c r="AY1279" t="s">
        <v>74</v>
      </c>
      <c r="AZ1279" t="s">
        <v>74</v>
      </c>
      <c r="BA1279" t="s">
        <v>74</v>
      </c>
      <c r="BB1279">
        <v>629</v>
      </c>
      <c r="BC1279">
        <v>643</v>
      </c>
      <c r="BD1279" t="s">
        <v>74</v>
      </c>
      <c r="BE1279" t="s">
        <v>30023</v>
      </c>
      <c r="BF1279" t="str">
        <f>HYPERLINK("http://dx.doi.org/10.1016/j.jebo.2023.05.030","http://dx.doi.org/10.1016/j.jebo.2023.05.030")</f>
        <v>http://dx.doi.org/10.1016/j.jebo.2023.05.030</v>
      </c>
      <c r="BG1279" t="s">
        <v>74</v>
      </c>
      <c r="BH1279" t="s">
        <v>13995</v>
      </c>
      <c r="BI1279">
        <v>15</v>
      </c>
      <c r="BJ1279" t="s">
        <v>291</v>
      </c>
      <c r="BK1279" t="s">
        <v>99</v>
      </c>
      <c r="BL1279" t="s">
        <v>100</v>
      </c>
      <c r="BM1279" t="s">
        <v>30022</v>
      </c>
      <c r="BN1279" t="s">
        <v>74</v>
      </c>
      <c r="BO1279" t="s">
        <v>74</v>
      </c>
      <c r="BP1279" t="s">
        <v>74</v>
      </c>
      <c r="BQ1279" t="s">
        <v>74</v>
      </c>
      <c r="BR1279" t="s">
        <v>102</v>
      </c>
      <c r="BS1279" t="s">
        <v>30021</v>
      </c>
      <c r="BT1279" t="str">
        <f>HYPERLINK("https%3A%2F%2Fwww.webofscience.com%2Fwos%2Fwoscc%2Ffull-record%2FWOS:001032934000001","View Full Record in Web of Science")</f>
        <v>View Full Record in Web of Science</v>
      </c>
    </row>
    <row r="1280" spans="1:72" x14ac:dyDescent="0.25">
      <c r="A1280" t="s">
        <v>72</v>
      </c>
      <c r="B1280" t="s">
        <v>30020</v>
      </c>
      <c r="C1280" t="s">
        <v>74</v>
      </c>
      <c r="D1280" t="s">
        <v>74</v>
      </c>
      <c r="E1280" t="s">
        <v>74</v>
      </c>
      <c r="F1280" t="s">
        <v>30019</v>
      </c>
      <c r="G1280" t="s">
        <v>74</v>
      </c>
      <c r="H1280" t="s">
        <v>74</v>
      </c>
      <c r="I1280" t="s">
        <v>30018</v>
      </c>
      <c r="J1280" t="s">
        <v>30017</v>
      </c>
      <c r="K1280" t="s">
        <v>74</v>
      </c>
      <c r="L1280" t="s">
        <v>74</v>
      </c>
      <c r="M1280" t="s">
        <v>78</v>
      </c>
      <c r="N1280" t="s">
        <v>79</v>
      </c>
      <c r="O1280" t="s">
        <v>74</v>
      </c>
      <c r="P1280" t="s">
        <v>74</v>
      </c>
      <c r="Q1280" t="s">
        <v>74</v>
      </c>
      <c r="R1280" t="s">
        <v>74</v>
      </c>
      <c r="S1280" t="s">
        <v>74</v>
      </c>
      <c r="T1280" t="s">
        <v>30016</v>
      </c>
      <c r="U1280" t="s">
        <v>30015</v>
      </c>
      <c r="V1280" t="s">
        <v>30014</v>
      </c>
      <c r="W1280" t="s">
        <v>30013</v>
      </c>
      <c r="X1280" t="s">
        <v>11533</v>
      </c>
      <c r="Y1280" t="s">
        <v>30012</v>
      </c>
      <c r="Z1280" t="s">
        <v>30011</v>
      </c>
      <c r="AA1280" t="s">
        <v>30010</v>
      </c>
      <c r="AB1280" t="s">
        <v>30009</v>
      </c>
      <c r="AC1280" t="s">
        <v>30008</v>
      </c>
      <c r="AD1280" t="s">
        <v>30007</v>
      </c>
      <c r="AE1280" t="s">
        <v>30006</v>
      </c>
      <c r="AF1280" t="s">
        <v>74</v>
      </c>
      <c r="AG1280">
        <v>51</v>
      </c>
      <c r="AH1280">
        <v>7</v>
      </c>
      <c r="AI1280">
        <v>9</v>
      </c>
      <c r="AJ1280">
        <v>3</v>
      </c>
      <c r="AK1280">
        <v>19</v>
      </c>
      <c r="AL1280" t="s">
        <v>201</v>
      </c>
      <c r="AM1280" t="s">
        <v>202</v>
      </c>
      <c r="AN1280" t="s">
        <v>203</v>
      </c>
      <c r="AO1280" t="s">
        <v>30005</v>
      </c>
      <c r="AP1280" t="s">
        <v>30004</v>
      </c>
      <c r="AQ1280" t="s">
        <v>74</v>
      </c>
      <c r="AR1280" t="s">
        <v>30003</v>
      </c>
      <c r="AS1280" t="s">
        <v>30002</v>
      </c>
      <c r="AT1280" t="s">
        <v>848</v>
      </c>
      <c r="AU1280">
        <v>2021</v>
      </c>
      <c r="AV1280">
        <v>99</v>
      </c>
      <c r="AW1280" t="s">
        <v>74</v>
      </c>
      <c r="AX1280" t="s">
        <v>74</v>
      </c>
      <c r="AY1280" t="s">
        <v>74</v>
      </c>
      <c r="AZ1280" t="s">
        <v>74</v>
      </c>
      <c r="BA1280" t="s">
        <v>74</v>
      </c>
      <c r="BB1280" t="s">
        <v>74</v>
      </c>
      <c r="BC1280" t="s">
        <v>74</v>
      </c>
      <c r="BD1280">
        <v>102325</v>
      </c>
      <c r="BE1280" t="s">
        <v>30001</v>
      </c>
      <c r="BF1280" t="str">
        <f>HYPERLINK("http://dx.doi.org/10.1016/j.jag.2021.102325","http://dx.doi.org/10.1016/j.jag.2021.102325")</f>
        <v>http://dx.doi.org/10.1016/j.jag.2021.102325</v>
      </c>
      <c r="BG1280" t="s">
        <v>74</v>
      </c>
      <c r="BH1280" t="s">
        <v>74</v>
      </c>
      <c r="BI1280">
        <v>15</v>
      </c>
      <c r="BJ1280" t="s">
        <v>30000</v>
      </c>
      <c r="BK1280" t="s">
        <v>128</v>
      </c>
      <c r="BL1280" t="s">
        <v>30000</v>
      </c>
      <c r="BM1280" t="s">
        <v>29999</v>
      </c>
      <c r="BN1280" t="s">
        <v>74</v>
      </c>
      <c r="BO1280" t="s">
        <v>8021</v>
      </c>
      <c r="BP1280" t="s">
        <v>74</v>
      </c>
      <c r="BQ1280" t="s">
        <v>74</v>
      </c>
      <c r="BR1280" t="s">
        <v>102</v>
      </c>
      <c r="BS1280" t="s">
        <v>29998</v>
      </c>
      <c r="BT1280" t="str">
        <f>HYPERLINK("https%3A%2F%2Fwww.webofscience.com%2Fwos%2Fwoscc%2Ffull-record%2FWOS:000642474500002","View Full Record in Web of Science")</f>
        <v>View Full Record in Web of Science</v>
      </c>
    </row>
    <row r="1281" spans="1:72" x14ac:dyDescent="0.25">
      <c r="A1281" t="s">
        <v>72</v>
      </c>
      <c r="B1281" t="s">
        <v>29997</v>
      </c>
      <c r="C1281" t="s">
        <v>74</v>
      </c>
      <c r="D1281" t="s">
        <v>74</v>
      </c>
      <c r="E1281" t="s">
        <v>74</v>
      </c>
      <c r="F1281" t="s">
        <v>29996</v>
      </c>
      <c r="G1281" t="s">
        <v>74</v>
      </c>
      <c r="H1281" t="s">
        <v>74</v>
      </c>
      <c r="I1281" t="s">
        <v>29995</v>
      </c>
      <c r="J1281" t="s">
        <v>4618</v>
      </c>
      <c r="K1281" t="s">
        <v>74</v>
      </c>
      <c r="L1281" t="s">
        <v>74</v>
      </c>
      <c r="M1281" t="s">
        <v>78</v>
      </c>
      <c r="N1281" t="s">
        <v>79</v>
      </c>
      <c r="O1281" t="s">
        <v>74</v>
      </c>
      <c r="P1281" t="s">
        <v>74</v>
      </c>
      <c r="Q1281" t="s">
        <v>74</v>
      </c>
      <c r="R1281" t="s">
        <v>74</v>
      </c>
      <c r="S1281" t="s">
        <v>74</v>
      </c>
      <c r="T1281" t="s">
        <v>29994</v>
      </c>
      <c r="U1281" t="s">
        <v>29993</v>
      </c>
      <c r="V1281" t="s">
        <v>29992</v>
      </c>
      <c r="W1281" t="s">
        <v>29991</v>
      </c>
      <c r="X1281" t="s">
        <v>29990</v>
      </c>
      <c r="Y1281" t="s">
        <v>29989</v>
      </c>
      <c r="Z1281" t="s">
        <v>29988</v>
      </c>
      <c r="AA1281" t="s">
        <v>74</v>
      </c>
      <c r="AB1281" t="s">
        <v>29987</v>
      </c>
      <c r="AC1281" t="s">
        <v>74</v>
      </c>
      <c r="AD1281" t="s">
        <v>74</v>
      </c>
      <c r="AE1281" t="s">
        <v>74</v>
      </c>
      <c r="AF1281" t="s">
        <v>74</v>
      </c>
      <c r="AG1281">
        <v>45</v>
      </c>
      <c r="AH1281">
        <v>17</v>
      </c>
      <c r="AI1281">
        <v>22</v>
      </c>
      <c r="AJ1281">
        <v>0</v>
      </c>
      <c r="AK1281">
        <v>17</v>
      </c>
      <c r="AL1281" t="s">
        <v>89</v>
      </c>
      <c r="AM1281" t="s">
        <v>1497</v>
      </c>
      <c r="AN1281" t="s">
        <v>1498</v>
      </c>
      <c r="AO1281" t="s">
        <v>4627</v>
      </c>
      <c r="AP1281" t="s">
        <v>4628</v>
      </c>
      <c r="AQ1281" t="s">
        <v>74</v>
      </c>
      <c r="AR1281" t="s">
        <v>4629</v>
      </c>
      <c r="AS1281" t="s">
        <v>4630</v>
      </c>
      <c r="AT1281" t="s">
        <v>74</v>
      </c>
      <c r="AU1281">
        <v>2020</v>
      </c>
      <c r="AV1281">
        <v>13</v>
      </c>
      <c r="AW1281">
        <v>4</v>
      </c>
      <c r="AX1281" t="s">
        <v>74</v>
      </c>
      <c r="AY1281" t="s">
        <v>74</v>
      </c>
      <c r="AZ1281" t="s">
        <v>74</v>
      </c>
      <c r="BA1281" t="s">
        <v>74</v>
      </c>
      <c r="BB1281">
        <v>655</v>
      </c>
      <c r="BC1281">
        <v>673</v>
      </c>
      <c r="BD1281" t="s">
        <v>74</v>
      </c>
      <c r="BE1281" t="s">
        <v>29986</v>
      </c>
      <c r="BF1281" t="str">
        <f>HYPERLINK("http://dx.doi.org/10.1108/IMEFM-07-2019-0279","http://dx.doi.org/10.1108/IMEFM-07-2019-0279")</f>
        <v>http://dx.doi.org/10.1108/IMEFM-07-2019-0279</v>
      </c>
      <c r="BG1281" t="s">
        <v>74</v>
      </c>
      <c r="BH1281" t="s">
        <v>74</v>
      </c>
      <c r="BI1281">
        <v>19</v>
      </c>
      <c r="BJ1281" t="s">
        <v>4632</v>
      </c>
      <c r="BK1281" t="s">
        <v>99</v>
      </c>
      <c r="BL1281" t="s">
        <v>100</v>
      </c>
      <c r="BM1281" t="s">
        <v>29985</v>
      </c>
      <c r="BN1281" t="s">
        <v>74</v>
      </c>
      <c r="BO1281" t="s">
        <v>74</v>
      </c>
      <c r="BP1281" t="s">
        <v>74</v>
      </c>
      <c r="BQ1281" t="s">
        <v>74</v>
      </c>
      <c r="BR1281" t="s">
        <v>102</v>
      </c>
      <c r="BS1281" t="s">
        <v>29984</v>
      </c>
      <c r="BT1281" t="str">
        <f>HYPERLINK("https%3A%2F%2Fwww.webofscience.com%2Fwos%2Fwoscc%2Ffull-record%2FWOS:000567400600006","View Full Record in Web of Science")</f>
        <v>View Full Record in Web of Science</v>
      </c>
    </row>
    <row r="1282" spans="1:72" x14ac:dyDescent="0.25">
      <c r="A1282" t="s">
        <v>72</v>
      </c>
      <c r="B1282" t="s">
        <v>29983</v>
      </c>
      <c r="C1282" t="s">
        <v>74</v>
      </c>
      <c r="D1282" t="s">
        <v>74</v>
      </c>
      <c r="E1282" t="s">
        <v>74</v>
      </c>
      <c r="F1282" t="s">
        <v>29982</v>
      </c>
      <c r="G1282" t="s">
        <v>74</v>
      </c>
      <c r="H1282" t="s">
        <v>74</v>
      </c>
      <c r="I1282" t="s">
        <v>29981</v>
      </c>
      <c r="J1282" t="s">
        <v>5078</v>
      </c>
      <c r="K1282" t="s">
        <v>74</v>
      </c>
      <c r="L1282" t="s">
        <v>74</v>
      </c>
      <c r="M1282" t="s">
        <v>78</v>
      </c>
      <c r="N1282" t="s">
        <v>79</v>
      </c>
      <c r="O1282" t="s">
        <v>74</v>
      </c>
      <c r="P1282" t="s">
        <v>74</v>
      </c>
      <c r="Q1282" t="s">
        <v>74</v>
      </c>
      <c r="R1282" t="s">
        <v>74</v>
      </c>
      <c r="S1282" t="s">
        <v>74</v>
      </c>
      <c r="T1282" t="s">
        <v>29980</v>
      </c>
      <c r="U1282" t="s">
        <v>29979</v>
      </c>
      <c r="V1282" t="s">
        <v>29978</v>
      </c>
      <c r="W1282" t="s">
        <v>29977</v>
      </c>
      <c r="X1282" t="s">
        <v>29976</v>
      </c>
      <c r="Y1282" t="s">
        <v>29975</v>
      </c>
      <c r="Z1282" t="s">
        <v>29974</v>
      </c>
      <c r="AA1282" t="s">
        <v>29973</v>
      </c>
      <c r="AB1282" t="s">
        <v>74</v>
      </c>
      <c r="AC1282" t="s">
        <v>74</v>
      </c>
      <c r="AD1282" t="s">
        <v>74</v>
      </c>
      <c r="AE1282" t="s">
        <v>74</v>
      </c>
      <c r="AF1282" t="s">
        <v>74</v>
      </c>
      <c r="AG1282">
        <v>134</v>
      </c>
      <c r="AH1282">
        <v>0</v>
      </c>
      <c r="AI1282">
        <v>0</v>
      </c>
      <c r="AJ1282">
        <v>2</v>
      </c>
      <c r="AK1282">
        <v>2</v>
      </c>
      <c r="AL1282" t="s">
        <v>385</v>
      </c>
      <c r="AM1282" t="s">
        <v>151</v>
      </c>
      <c r="AN1282" t="s">
        <v>386</v>
      </c>
      <c r="AO1282" t="s">
        <v>74</v>
      </c>
      <c r="AP1282" t="s">
        <v>5087</v>
      </c>
      <c r="AQ1282" t="s">
        <v>74</v>
      </c>
      <c r="AR1282" t="s">
        <v>5088</v>
      </c>
      <c r="AS1282" t="s">
        <v>5089</v>
      </c>
      <c r="AT1282" t="s">
        <v>8779</v>
      </c>
      <c r="AU1282">
        <v>2025</v>
      </c>
      <c r="AV1282">
        <v>11</v>
      </c>
      <c r="AW1282">
        <v>1</v>
      </c>
      <c r="AX1282" t="s">
        <v>74</v>
      </c>
      <c r="AY1282" t="s">
        <v>74</v>
      </c>
      <c r="AZ1282" t="s">
        <v>74</v>
      </c>
      <c r="BA1282" t="s">
        <v>74</v>
      </c>
      <c r="BB1282" t="s">
        <v>74</v>
      </c>
      <c r="BC1282" t="s">
        <v>74</v>
      </c>
      <c r="BD1282">
        <v>126</v>
      </c>
      <c r="BE1282" t="s">
        <v>29972</v>
      </c>
      <c r="BF1282" t="str">
        <f>HYPERLINK("http://dx.doi.org/10.1186/s40854-025-00867-9","http://dx.doi.org/10.1186/s40854-025-00867-9")</f>
        <v>http://dx.doi.org/10.1186/s40854-025-00867-9</v>
      </c>
      <c r="BG1282" t="s">
        <v>74</v>
      </c>
      <c r="BH1282" t="s">
        <v>74</v>
      </c>
      <c r="BI1282">
        <v>36</v>
      </c>
      <c r="BJ1282" t="s">
        <v>5092</v>
      </c>
      <c r="BK1282" t="s">
        <v>99</v>
      </c>
      <c r="BL1282" t="s">
        <v>2024</v>
      </c>
      <c r="BM1282" t="s">
        <v>29971</v>
      </c>
      <c r="BN1282" t="s">
        <v>74</v>
      </c>
      <c r="BO1282" t="s">
        <v>212</v>
      </c>
      <c r="BP1282" t="s">
        <v>74</v>
      </c>
      <c r="BQ1282" t="s">
        <v>74</v>
      </c>
      <c r="BR1282" t="s">
        <v>102</v>
      </c>
      <c r="BS1282" t="s">
        <v>29970</v>
      </c>
      <c r="BT1282" t="str">
        <f>HYPERLINK("https%3A%2F%2Fwww.webofscience.com%2Fwos%2Fwoscc%2Ffull-record%2FWOS:001617583200001","View Full Record in Web of Science")</f>
        <v>View Full Record in Web of Science</v>
      </c>
    </row>
    <row r="1283" spans="1:72" x14ac:dyDescent="0.25">
      <c r="A1283" t="s">
        <v>72</v>
      </c>
      <c r="B1283" t="s">
        <v>29969</v>
      </c>
      <c r="C1283" t="s">
        <v>74</v>
      </c>
      <c r="D1283" t="s">
        <v>74</v>
      </c>
      <c r="E1283" t="s">
        <v>74</v>
      </c>
      <c r="F1283" t="s">
        <v>29968</v>
      </c>
      <c r="G1283" t="s">
        <v>74</v>
      </c>
      <c r="H1283" t="s">
        <v>74</v>
      </c>
      <c r="I1283" t="s">
        <v>29967</v>
      </c>
      <c r="J1283" t="s">
        <v>8447</v>
      </c>
      <c r="K1283" t="s">
        <v>74</v>
      </c>
      <c r="L1283" t="s">
        <v>74</v>
      </c>
      <c r="M1283" t="s">
        <v>78</v>
      </c>
      <c r="N1283" t="s">
        <v>79</v>
      </c>
      <c r="O1283" t="s">
        <v>74</v>
      </c>
      <c r="P1283" t="s">
        <v>74</v>
      </c>
      <c r="Q1283" t="s">
        <v>74</v>
      </c>
      <c r="R1283" t="s">
        <v>74</v>
      </c>
      <c r="S1283" t="s">
        <v>74</v>
      </c>
      <c r="T1283" t="s">
        <v>29966</v>
      </c>
      <c r="U1283" t="s">
        <v>29965</v>
      </c>
      <c r="V1283" t="s">
        <v>29964</v>
      </c>
      <c r="W1283" t="s">
        <v>29963</v>
      </c>
      <c r="X1283" t="s">
        <v>29962</v>
      </c>
      <c r="Y1283" t="s">
        <v>29961</v>
      </c>
      <c r="Z1283" t="s">
        <v>29960</v>
      </c>
      <c r="AA1283" t="s">
        <v>29959</v>
      </c>
      <c r="AB1283" t="s">
        <v>29958</v>
      </c>
      <c r="AC1283" t="s">
        <v>74</v>
      </c>
      <c r="AD1283" t="s">
        <v>74</v>
      </c>
      <c r="AE1283" t="s">
        <v>74</v>
      </c>
      <c r="AF1283" t="s">
        <v>74</v>
      </c>
      <c r="AG1283">
        <v>65</v>
      </c>
      <c r="AH1283">
        <v>53</v>
      </c>
      <c r="AI1283">
        <v>78</v>
      </c>
      <c r="AJ1283">
        <v>4</v>
      </c>
      <c r="AK1283">
        <v>94</v>
      </c>
      <c r="AL1283" t="s">
        <v>201</v>
      </c>
      <c r="AM1283" t="s">
        <v>202</v>
      </c>
      <c r="AN1283" t="s">
        <v>203</v>
      </c>
      <c r="AO1283" t="s">
        <v>8453</v>
      </c>
      <c r="AP1283" t="s">
        <v>29957</v>
      </c>
      <c r="AQ1283" t="s">
        <v>74</v>
      </c>
      <c r="AR1283" t="s">
        <v>8454</v>
      </c>
      <c r="AS1283" t="s">
        <v>8455</v>
      </c>
      <c r="AT1283" t="s">
        <v>1159</v>
      </c>
      <c r="AU1283">
        <v>2020</v>
      </c>
      <c r="AV1283">
        <v>80</v>
      </c>
      <c r="AW1283" t="s">
        <v>74</v>
      </c>
      <c r="AX1283" t="s">
        <v>74</v>
      </c>
      <c r="AY1283" t="s">
        <v>74</v>
      </c>
      <c r="AZ1283" t="s">
        <v>74</v>
      </c>
      <c r="BA1283" t="s">
        <v>74</v>
      </c>
      <c r="BB1283" t="s">
        <v>74</v>
      </c>
      <c r="BC1283" t="s">
        <v>74</v>
      </c>
      <c r="BD1283">
        <v>102306</v>
      </c>
      <c r="BE1283" t="s">
        <v>29956</v>
      </c>
      <c r="BF1283" t="str">
        <f>HYPERLINK("http://dx.doi.org/10.1016/j.joep.2020.102306","http://dx.doi.org/10.1016/j.joep.2020.102306")</f>
        <v>http://dx.doi.org/10.1016/j.joep.2020.102306</v>
      </c>
      <c r="BG1283" t="s">
        <v>74</v>
      </c>
      <c r="BH1283" t="s">
        <v>74</v>
      </c>
      <c r="BI1283">
        <v>16</v>
      </c>
      <c r="BJ1283" t="s">
        <v>6780</v>
      </c>
      <c r="BK1283" t="s">
        <v>99</v>
      </c>
      <c r="BL1283" t="s">
        <v>6781</v>
      </c>
      <c r="BM1283" t="s">
        <v>29955</v>
      </c>
      <c r="BN1283" t="s">
        <v>74</v>
      </c>
      <c r="BO1283" t="s">
        <v>74</v>
      </c>
      <c r="BP1283" t="s">
        <v>74</v>
      </c>
      <c r="BQ1283" t="s">
        <v>74</v>
      </c>
      <c r="BR1283" t="s">
        <v>102</v>
      </c>
      <c r="BS1283" t="s">
        <v>29954</v>
      </c>
      <c r="BT1283" t="str">
        <f>HYPERLINK("https%3A%2F%2Fwww.webofscience.com%2Fwos%2Fwoscc%2Ffull-record%2FWOS:000568673400009","View Full Record in Web of Science")</f>
        <v>View Full Record in Web of Science</v>
      </c>
    </row>
    <row r="1284" spans="1:72" x14ac:dyDescent="0.25">
      <c r="A1284" t="s">
        <v>72</v>
      </c>
      <c r="B1284" t="s">
        <v>29953</v>
      </c>
      <c r="C1284" t="s">
        <v>74</v>
      </c>
      <c r="D1284" t="s">
        <v>74</v>
      </c>
      <c r="E1284" t="s">
        <v>74</v>
      </c>
      <c r="F1284" t="s">
        <v>29952</v>
      </c>
      <c r="G1284" t="s">
        <v>74</v>
      </c>
      <c r="H1284" t="s">
        <v>74</v>
      </c>
      <c r="I1284" t="s">
        <v>29951</v>
      </c>
      <c r="J1284" t="s">
        <v>7004</v>
      </c>
      <c r="K1284" t="s">
        <v>74</v>
      </c>
      <c r="L1284" t="s">
        <v>74</v>
      </c>
      <c r="M1284" t="s">
        <v>298</v>
      </c>
      <c r="N1284" t="s">
        <v>79</v>
      </c>
      <c r="O1284" t="s">
        <v>74</v>
      </c>
      <c r="P1284" t="s">
        <v>74</v>
      </c>
      <c r="Q1284" t="s">
        <v>74</v>
      </c>
      <c r="R1284" t="s">
        <v>74</v>
      </c>
      <c r="S1284" t="s">
        <v>74</v>
      </c>
      <c r="T1284" t="s">
        <v>29950</v>
      </c>
      <c r="U1284" t="s">
        <v>29949</v>
      </c>
      <c r="V1284" t="s">
        <v>29948</v>
      </c>
      <c r="W1284" t="s">
        <v>29947</v>
      </c>
      <c r="X1284" t="s">
        <v>29946</v>
      </c>
      <c r="Y1284" t="s">
        <v>29945</v>
      </c>
      <c r="Z1284" t="s">
        <v>29944</v>
      </c>
      <c r="AA1284" t="s">
        <v>29943</v>
      </c>
      <c r="AB1284" t="s">
        <v>29942</v>
      </c>
      <c r="AC1284" t="s">
        <v>74</v>
      </c>
      <c r="AD1284" t="s">
        <v>74</v>
      </c>
      <c r="AE1284" t="s">
        <v>74</v>
      </c>
      <c r="AF1284" t="s">
        <v>74</v>
      </c>
      <c r="AG1284">
        <v>75</v>
      </c>
      <c r="AH1284">
        <v>4</v>
      </c>
      <c r="AI1284">
        <v>4</v>
      </c>
      <c r="AJ1284">
        <v>0</v>
      </c>
      <c r="AK1284">
        <v>1</v>
      </c>
      <c r="AL1284" t="s">
        <v>7014</v>
      </c>
      <c r="AM1284" t="s">
        <v>7015</v>
      </c>
      <c r="AN1284" t="s">
        <v>7016</v>
      </c>
      <c r="AO1284" t="s">
        <v>74</v>
      </c>
      <c r="AP1284" t="s">
        <v>7017</v>
      </c>
      <c r="AQ1284" t="s">
        <v>74</v>
      </c>
      <c r="AR1284" t="s">
        <v>7018</v>
      </c>
      <c r="AS1284" t="s">
        <v>7019</v>
      </c>
      <c r="AT1284" t="s">
        <v>363</v>
      </c>
      <c r="AU1284">
        <v>2023</v>
      </c>
      <c r="AV1284">
        <v>18</v>
      </c>
      <c r="AW1284">
        <v>2</v>
      </c>
      <c r="AX1284" t="s">
        <v>74</v>
      </c>
      <c r="AY1284" t="s">
        <v>74</v>
      </c>
      <c r="AZ1284" t="s">
        <v>74</v>
      </c>
      <c r="BA1284" t="s">
        <v>74</v>
      </c>
      <c r="BB1284" t="s">
        <v>74</v>
      </c>
      <c r="BC1284" t="s">
        <v>74</v>
      </c>
      <c r="BD1284" t="s">
        <v>29941</v>
      </c>
      <c r="BE1284" t="s">
        <v>29940</v>
      </c>
      <c r="BF1284" t="str">
        <f>HYPERLINK("http://dx.doi.org/10.21919/remef.v18i2.760","http://dx.doi.org/10.21919/remef.v18i2.760")</f>
        <v>http://dx.doi.org/10.21919/remef.v18i2.760</v>
      </c>
      <c r="BG1284" t="s">
        <v>74</v>
      </c>
      <c r="BH1284" t="s">
        <v>74</v>
      </c>
      <c r="BI1284">
        <v>25</v>
      </c>
      <c r="BJ1284" t="s">
        <v>210</v>
      </c>
      <c r="BK1284" t="s">
        <v>313</v>
      </c>
      <c r="BL1284" t="s">
        <v>100</v>
      </c>
      <c r="BM1284" t="s">
        <v>29939</v>
      </c>
      <c r="BN1284" t="s">
        <v>74</v>
      </c>
      <c r="BO1284" t="s">
        <v>916</v>
      </c>
      <c r="BP1284" t="s">
        <v>74</v>
      </c>
      <c r="BQ1284" t="s">
        <v>74</v>
      </c>
      <c r="BR1284" t="s">
        <v>102</v>
      </c>
      <c r="BS1284" t="s">
        <v>29938</v>
      </c>
      <c r="BT1284" t="str">
        <f>HYPERLINK("https%3A%2F%2Fwww.webofscience.com%2Fwos%2Fwoscc%2Ffull-record%2FWOS:001637621800003","View Full Record in Web of Science")</f>
        <v>View Full Record in Web of Science</v>
      </c>
    </row>
    <row r="1285" spans="1:72" x14ac:dyDescent="0.25">
      <c r="A1285" t="s">
        <v>132</v>
      </c>
      <c r="B1285" t="s">
        <v>29937</v>
      </c>
      <c r="C1285" t="s">
        <v>74</v>
      </c>
      <c r="D1285" t="s">
        <v>29936</v>
      </c>
      <c r="E1285" t="s">
        <v>74</v>
      </c>
      <c r="F1285" t="s">
        <v>29935</v>
      </c>
      <c r="G1285" t="s">
        <v>74</v>
      </c>
      <c r="H1285" t="s">
        <v>74</v>
      </c>
      <c r="I1285" t="s">
        <v>29934</v>
      </c>
      <c r="J1285" t="s">
        <v>29933</v>
      </c>
      <c r="K1285" t="s">
        <v>74</v>
      </c>
      <c r="L1285" t="s">
        <v>74</v>
      </c>
      <c r="M1285" t="s">
        <v>78</v>
      </c>
      <c r="N1285" t="s">
        <v>138</v>
      </c>
      <c r="O1285" t="s">
        <v>29932</v>
      </c>
      <c r="P1285" t="s">
        <v>29931</v>
      </c>
      <c r="Q1285" t="s">
        <v>29930</v>
      </c>
      <c r="R1285" t="s">
        <v>29929</v>
      </c>
      <c r="S1285" t="s">
        <v>29928</v>
      </c>
      <c r="T1285" t="s">
        <v>29927</v>
      </c>
      <c r="U1285" t="s">
        <v>74</v>
      </c>
      <c r="V1285" t="s">
        <v>29926</v>
      </c>
      <c r="W1285" t="s">
        <v>29925</v>
      </c>
      <c r="X1285" t="s">
        <v>74</v>
      </c>
      <c r="Y1285" t="s">
        <v>29924</v>
      </c>
      <c r="Z1285" t="s">
        <v>74</v>
      </c>
      <c r="AA1285" t="s">
        <v>74</v>
      </c>
      <c r="AB1285" t="s">
        <v>74</v>
      </c>
      <c r="AC1285" t="s">
        <v>74</v>
      </c>
      <c r="AD1285" t="s">
        <v>74</v>
      </c>
      <c r="AE1285" t="s">
        <v>74</v>
      </c>
      <c r="AF1285" t="s">
        <v>74</v>
      </c>
      <c r="AG1285">
        <v>22</v>
      </c>
      <c r="AH1285">
        <v>0</v>
      </c>
      <c r="AI1285">
        <v>0</v>
      </c>
      <c r="AJ1285">
        <v>0</v>
      </c>
      <c r="AK1285">
        <v>0</v>
      </c>
      <c r="AL1285" t="s">
        <v>19689</v>
      </c>
      <c r="AM1285" t="s">
        <v>333</v>
      </c>
      <c r="AN1285" t="s">
        <v>19688</v>
      </c>
      <c r="AO1285" t="s">
        <v>74</v>
      </c>
      <c r="AP1285" t="s">
        <v>74</v>
      </c>
      <c r="AQ1285" t="s">
        <v>29923</v>
      </c>
      <c r="AR1285" t="s">
        <v>74</v>
      </c>
      <c r="AS1285" t="s">
        <v>74</v>
      </c>
      <c r="AT1285" t="s">
        <v>74</v>
      </c>
      <c r="AU1285">
        <v>2024</v>
      </c>
      <c r="AV1285" t="s">
        <v>74</v>
      </c>
      <c r="AW1285" t="s">
        <v>74</v>
      </c>
      <c r="AX1285" t="s">
        <v>74</v>
      </c>
      <c r="AY1285" t="s">
        <v>74</v>
      </c>
      <c r="AZ1285" t="s">
        <v>74</v>
      </c>
      <c r="BA1285" t="s">
        <v>74</v>
      </c>
      <c r="BB1285">
        <v>198</v>
      </c>
      <c r="BC1285">
        <v>211</v>
      </c>
      <c r="BD1285" t="s">
        <v>74</v>
      </c>
      <c r="BE1285" t="s">
        <v>74</v>
      </c>
      <c r="BF1285" t="s">
        <v>74</v>
      </c>
      <c r="BG1285" t="s">
        <v>74</v>
      </c>
      <c r="BH1285" t="s">
        <v>74</v>
      </c>
      <c r="BI1285">
        <v>14</v>
      </c>
      <c r="BJ1285" t="s">
        <v>29922</v>
      </c>
      <c r="BK1285" t="s">
        <v>183</v>
      </c>
      <c r="BL1285" t="s">
        <v>19865</v>
      </c>
      <c r="BM1285" t="s">
        <v>29921</v>
      </c>
      <c r="BN1285" t="s">
        <v>74</v>
      </c>
      <c r="BO1285" t="s">
        <v>74</v>
      </c>
      <c r="BP1285" t="s">
        <v>74</v>
      </c>
      <c r="BQ1285" t="s">
        <v>74</v>
      </c>
      <c r="BR1285" t="s">
        <v>102</v>
      </c>
      <c r="BS1285" t="s">
        <v>29920</v>
      </c>
      <c r="BT1285" t="str">
        <f>HYPERLINK("https%3A%2F%2Fwww.webofscience.com%2Fwos%2Fwoscc%2Ffull-record%2FWOS:001307365500017","View Full Record in Web of Science")</f>
        <v>View Full Record in Web of Science</v>
      </c>
    </row>
    <row r="1286" spans="1:72" x14ac:dyDescent="0.25">
      <c r="A1286" t="s">
        <v>72</v>
      </c>
      <c r="B1286" t="s">
        <v>29919</v>
      </c>
      <c r="C1286" t="s">
        <v>74</v>
      </c>
      <c r="D1286" t="s">
        <v>74</v>
      </c>
      <c r="E1286" t="s">
        <v>74</v>
      </c>
      <c r="F1286" t="s">
        <v>29918</v>
      </c>
      <c r="G1286" t="s">
        <v>74</v>
      </c>
      <c r="H1286" t="s">
        <v>74</v>
      </c>
      <c r="I1286" t="s">
        <v>29917</v>
      </c>
      <c r="J1286" t="s">
        <v>11135</v>
      </c>
      <c r="K1286" t="s">
        <v>74</v>
      </c>
      <c r="L1286" t="s">
        <v>74</v>
      </c>
      <c r="M1286" t="s">
        <v>78</v>
      </c>
      <c r="N1286" t="s">
        <v>79</v>
      </c>
      <c r="O1286" t="s">
        <v>74</v>
      </c>
      <c r="P1286" t="s">
        <v>74</v>
      </c>
      <c r="Q1286" t="s">
        <v>74</v>
      </c>
      <c r="R1286" t="s">
        <v>74</v>
      </c>
      <c r="S1286" t="s">
        <v>74</v>
      </c>
      <c r="T1286" t="s">
        <v>29916</v>
      </c>
      <c r="U1286" t="s">
        <v>29915</v>
      </c>
      <c r="V1286" t="s">
        <v>29914</v>
      </c>
      <c r="W1286" t="s">
        <v>29913</v>
      </c>
      <c r="X1286" t="s">
        <v>74</v>
      </c>
      <c r="Y1286" t="s">
        <v>29912</v>
      </c>
      <c r="Z1286" t="s">
        <v>29911</v>
      </c>
      <c r="AA1286" t="s">
        <v>74</v>
      </c>
      <c r="AB1286" t="s">
        <v>29910</v>
      </c>
      <c r="AC1286" t="s">
        <v>74</v>
      </c>
      <c r="AD1286" t="s">
        <v>74</v>
      </c>
      <c r="AE1286" t="s">
        <v>74</v>
      </c>
      <c r="AF1286" t="s">
        <v>74</v>
      </c>
      <c r="AG1286">
        <v>58</v>
      </c>
      <c r="AH1286">
        <v>39</v>
      </c>
      <c r="AI1286">
        <v>58</v>
      </c>
      <c r="AJ1286">
        <v>2</v>
      </c>
      <c r="AK1286">
        <v>113</v>
      </c>
      <c r="AL1286" t="s">
        <v>332</v>
      </c>
      <c r="AM1286" t="s">
        <v>333</v>
      </c>
      <c r="AN1286" t="s">
        <v>334</v>
      </c>
      <c r="AO1286" t="s">
        <v>11145</v>
      </c>
      <c r="AP1286" t="s">
        <v>11146</v>
      </c>
      <c r="AQ1286" t="s">
        <v>74</v>
      </c>
      <c r="AR1286" t="s">
        <v>11147</v>
      </c>
      <c r="AS1286" t="s">
        <v>11148</v>
      </c>
      <c r="AT1286" t="s">
        <v>29909</v>
      </c>
      <c r="AU1286">
        <v>2021</v>
      </c>
      <c r="AV1286">
        <v>33</v>
      </c>
      <c r="AW1286">
        <v>2</v>
      </c>
      <c r="AX1286" t="s">
        <v>74</v>
      </c>
      <c r="AY1286" t="s">
        <v>74</v>
      </c>
      <c r="AZ1286" t="s">
        <v>74</v>
      </c>
      <c r="BA1286" t="s">
        <v>74</v>
      </c>
      <c r="BB1286">
        <v>123</v>
      </c>
      <c r="BC1286">
        <v>133</v>
      </c>
      <c r="BD1286" t="s">
        <v>74</v>
      </c>
      <c r="BE1286" t="s">
        <v>29908</v>
      </c>
      <c r="BF1286" t="str">
        <f>HYPERLINK("http://dx.doi.org/10.1080/09537325.2020.1795111","http://dx.doi.org/10.1080/09537325.2020.1795111")</f>
        <v>http://dx.doi.org/10.1080/09537325.2020.1795111</v>
      </c>
      <c r="BG1286" t="s">
        <v>74</v>
      </c>
      <c r="BH1286" t="s">
        <v>3351</v>
      </c>
      <c r="BI1286">
        <v>11</v>
      </c>
      <c r="BJ1286" t="s">
        <v>11152</v>
      </c>
      <c r="BK1286" t="s">
        <v>99</v>
      </c>
      <c r="BL1286" t="s">
        <v>650</v>
      </c>
      <c r="BM1286" t="s">
        <v>29907</v>
      </c>
      <c r="BN1286" t="s">
        <v>74</v>
      </c>
      <c r="BO1286" t="s">
        <v>74</v>
      </c>
      <c r="BP1286" t="s">
        <v>74</v>
      </c>
      <c r="BQ1286" t="s">
        <v>74</v>
      </c>
      <c r="BR1286" t="s">
        <v>102</v>
      </c>
      <c r="BS1286" t="s">
        <v>29906</v>
      </c>
      <c r="BT1286" t="str">
        <f>HYPERLINK("https%3A%2F%2Fwww.webofscience.com%2Fwos%2Fwoscc%2Ffull-record%2FWOS:000550094800001","View Full Record in Web of Science")</f>
        <v>View Full Record in Web of Science</v>
      </c>
    </row>
    <row r="1287" spans="1:72" x14ac:dyDescent="0.25">
      <c r="A1287" t="s">
        <v>72</v>
      </c>
      <c r="B1287" t="s">
        <v>29905</v>
      </c>
      <c r="C1287" t="s">
        <v>74</v>
      </c>
      <c r="D1287" t="s">
        <v>74</v>
      </c>
      <c r="E1287" t="s">
        <v>74</v>
      </c>
      <c r="F1287" t="s">
        <v>29904</v>
      </c>
      <c r="G1287" t="s">
        <v>74</v>
      </c>
      <c r="H1287" t="s">
        <v>74</v>
      </c>
      <c r="I1287" t="s">
        <v>29903</v>
      </c>
      <c r="J1287" t="s">
        <v>20213</v>
      </c>
      <c r="K1287" t="s">
        <v>74</v>
      </c>
      <c r="L1287" t="s">
        <v>74</v>
      </c>
      <c r="M1287" t="s">
        <v>78</v>
      </c>
      <c r="N1287" t="s">
        <v>79</v>
      </c>
      <c r="O1287" t="s">
        <v>74</v>
      </c>
      <c r="P1287" t="s">
        <v>74</v>
      </c>
      <c r="Q1287" t="s">
        <v>74</v>
      </c>
      <c r="R1287" t="s">
        <v>74</v>
      </c>
      <c r="S1287" t="s">
        <v>74</v>
      </c>
      <c r="T1287" t="s">
        <v>29902</v>
      </c>
      <c r="U1287" t="s">
        <v>29901</v>
      </c>
      <c r="V1287" t="s">
        <v>29900</v>
      </c>
      <c r="W1287" t="s">
        <v>29899</v>
      </c>
      <c r="X1287" t="s">
        <v>29898</v>
      </c>
      <c r="Y1287" t="s">
        <v>29897</v>
      </c>
      <c r="Z1287" t="s">
        <v>29896</v>
      </c>
      <c r="AA1287" t="s">
        <v>29895</v>
      </c>
      <c r="AB1287" t="s">
        <v>29894</v>
      </c>
      <c r="AC1287" t="s">
        <v>74</v>
      </c>
      <c r="AD1287" t="s">
        <v>74</v>
      </c>
      <c r="AE1287" t="s">
        <v>74</v>
      </c>
      <c r="AF1287" t="s">
        <v>74</v>
      </c>
      <c r="AG1287">
        <v>39</v>
      </c>
      <c r="AH1287">
        <v>8</v>
      </c>
      <c r="AI1287">
        <v>11</v>
      </c>
      <c r="AJ1287">
        <v>1</v>
      </c>
      <c r="AK1287">
        <v>32</v>
      </c>
      <c r="AL1287" t="s">
        <v>89</v>
      </c>
      <c r="AM1287" t="s">
        <v>90</v>
      </c>
      <c r="AN1287" t="s">
        <v>91</v>
      </c>
      <c r="AO1287" t="s">
        <v>20205</v>
      </c>
      <c r="AP1287" t="s">
        <v>20204</v>
      </c>
      <c r="AQ1287" t="s">
        <v>74</v>
      </c>
      <c r="AR1287" t="s">
        <v>20203</v>
      </c>
      <c r="AS1287" t="s">
        <v>20202</v>
      </c>
      <c r="AT1287" t="s">
        <v>12332</v>
      </c>
      <c r="AU1287">
        <v>2024</v>
      </c>
      <c r="AV1287">
        <v>15</v>
      </c>
      <c r="AW1287">
        <v>2</v>
      </c>
      <c r="AX1287" t="s">
        <v>74</v>
      </c>
      <c r="AY1287" t="s">
        <v>74</v>
      </c>
      <c r="AZ1287" t="s">
        <v>74</v>
      </c>
      <c r="BA1287" t="s">
        <v>74</v>
      </c>
      <c r="BB1287">
        <v>225</v>
      </c>
      <c r="BC1287">
        <v>243</v>
      </c>
      <c r="BD1287" t="s">
        <v>74</v>
      </c>
      <c r="BE1287" t="s">
        <v>29893</v>
      </c>
      <c r="BF1287" t="str">
        <f>HYPERLINK("http://dx.doi.org/10.1108/JIABR-01-2022-0022","http://dx.doi.org/10.1108/JIABR-01-2022-0022")</f>
        <v>http://dx.doi.org/10.1108/JIABR-01-2022-0022</v>
      </c>
      <c r="BG1287" t="s">
        <v>74</v>
      </c>
      <c r="BH1287" t="s">
        <v>1802</v>
      </c>
      <c r="BI1287">
        <v>19</v>
      </c>
      <c r="BJ1287" t="s">
        <v>268</v>
      </c>
      <c r="BK1287" t="s">
        <v>313</v>
      </c>
      <c r="BL1287" t="s">
        <v>100</v>
      </c>
      <c r="BM1287" t="s">
        <v>29892</v>
      </c>
      <c r="BN1287" t="s">
        <v>74</v>
      </c>
      <c r="BO1287" t="s">
        <v>74</v>
      </c>
      <c r="BP1287" t="s">
        <v>74</v>
      </c>
      <c r="BQ1287" t="s">
        <v>74</v>
      </c>
      <c r="BR1287" t="s">
        <v>102</v>
      </c>
      <c r="BS1287" t="s">
        <v>29891</v>
      </c>
      <c r="BT1287" t="str">
        <f>HYPERLINK("https%3A%2F%2Fwww.webofscience.com%2Fwos%2Fwoscc%2Ffull-record%2FWOS:000803139200001","View Full Record in Web of Science")</f>
        <v>View Full Record in Web of Science</v>
      </c>
    </row>
    <row r="1288" spans="1:72" x14ac:dyDescent="0.25">
      <c r="A1288" t="s">
        <v>72</v>
      </c>
      <c r="B1288" t="s">
        <v>29890</v>
      </c>
      <c r="C1288" t="s">
        <v>74</v>
      </c>
      <c r="D1288" t="s">
        <v>74</v>
      </c>
      <c r="E1288" t="s">
        <v>74</v>
      </c>
      <c r="F1288" t="s">
        <v>29889</v>
      </c>
      <c r="G1288" t="s">
        <v>74</v>
      </c>
      <c r="H1288" t="s">
        <v>74</v>
      </c>
      <c r="I1288" t="s">
        <v>29888</v>
      </c>
      <c r="J1288" t="s">
        <v>16089</v>
      </c>
      <c r="K1288" t="s">
        <v>74</v>
      </c>
      <c r="L1288" t="s">
        <v>74</v>
      </c>
      <c r="M1288" t="s">
        <v>78</v>
      </c>
      <c r="N1288" t="s">
        <v>79</v>
      </c>
      <c r="O1288" t="s">
        <v>74</v>
      </c>
      <c r="P1288" t="s">
        <v>74</v>
      </c>
      <c r="Q1288" t="s">
        <v>74</v>
      </c>
      <c r="R1288" t="s">
        <v>74</v>
      </c>
      <c r="S1288" t="s">
        <v>74</v>
      </c>
      <c r="T1288" t="s">
        <v>29887</v>
      </c>
      <c r="U1288" t="s">
        <v>29886</v>
      </c>
      <c r="V1288" t="s">
        <v>29885</v>
      </c>
      <c r="W1288" t="s">
        <v>29884</v>
      </c>
      <c r="X1288" t="s">
        <v>29577</v>
      </c>
      <c r="Y1288" t="s">
        <v>29883</v>
      </c>
      <c r="Z1288" t="s">
        <v>29575</v>
      </c>
      <c r="AA1288" t="s">
        <v>74</v>
      </c>
      <c r="AB1288" t="s">
        <v>74</v>
      </c>
      <c r="AC1288" t="s">
        <v>74</v>
      </c>
      <c r="AD1288" t="s">
        <v>74</v>
      </c>
      <c r="AE1288" t="s">
        <v>74</v>
      </c>
      <c r="AF1288" t="s">
        <v>74</v>
      </c>
      <c r="AG1288">
        <v>66</v>
      </c>
      <c r="AH1288">
        <v>12</v>
      </c>
      <c r="AI1288">
        <v>13</v>
      </c>
      <c r="AJ1288">
        <v>0</v>
      </c>
      <c r="AK1288">
        <v>6</v>
      </c>
      <c r="AL1288" t="s">
        <v>16099</v>
      </c>
      <c r="AM1288" t="s">
        <v>16100</v>
      </c>
      <c r="AN1288" t="s">
        <v>16101</v>
      </c>
      <c r="AO1288" t="s">
        <v>16102</v>
      </c>
      <c r="AP1288" t="s">
        <v>16103</v>
      </c>
      <c r="AQ1288" t="s">
        <v>74</v>
      </c>
      <c r="AR1288" t="s">
        <v>16104</v>
      </c>
      <c r="AS1288" t="s">
        <v>16105</v>
      </c>
      <c r="AT1288" t="s">
        <v>848</v>
      </c>
      <c r="AU1288">
        <v>2021</v>
      </c>
      <c r="AV1288">
        <v>30</v>
      </c>
      <c r="AW1288">
        <v>4</v>
      </c>
      <c r="AX1288" t="s">
        <v>74</v>
      </c>
      <c r="AY1288" t="s">
        <v>74</v>
      </c>
      <c r="AZ1288" t="s">
        <v>441</v>
      </c>
      <c r="BA1288" t="s">
        <v>74</v>
      </c>
      <c r="BB1288">
        <v>319</v>
      </c>
      <c r="BC1288">
        <v>330</v>
      </c>
      <c r="BD1288" t="s">
        <v>74</v>
      </c>
      <c r="BE1288" t="s">
        <v>29882</v>
      </c>
      <c r="BF1288" t="str">
        <f>HYPERLINK("http://dx.doi.org/10.1002/jsc.2426","http://dx.doi.org/10.1002/jsc.2426")</f>
        <v>http://dx.doi.org/10.1002/jsc.2426</v>
      </c>
      <c r="BG1288" t="s">
        <v>74</v>
      </c>
      <c r="BH1288" t="s">
        <v>74</v>
      </c>
      <c r="BI1288">
        <v>12</v>
      </c>
      <c r="BJ1288" t="s">
        <v>268</v>
      </c>
      <c r="BK1288" t="s">
        <v>313</v>
      </c>
      <c r="BL1288" t="s">
        <v>100</v>
      </c>
      <c r="BM1288" t="s">
        <v>29080</v>
      </c>
      <c r="BN1288" t="s">
        <v>74</v>
      </c>
      <c r="BO1288" t="s">
        <v>74</v>
      </c>
      <c r="BP1288" t="s">
        <v>74</v>
      </c>
      <c r="BQ1288" t="s">
        <v>74</v>
      </c>
      <c r="BR1288" t="s">
        <v>102</v>
      </c>
      <c r="BS1288" t="s">
        <v>29881</v>
      </c>
      <c r="BT1288" t="str">
        <f>HYPERLINK("https%3A%2F%2Fwww.webofscience.com%2Fwos%2Fwoscc%2Ffull-record%2FWOS:000670698600001","View Full Record in Web of Science")</f>
        <v>View Full Record in Web of Science</v>
      </c>
    </row>
    <row r="1289" spans="1:72" x14ac:dyDescent="0.25">
      <c r="A1289" t="s">
        <v>72</v>
      </c>
      <c r="B1289" t="s">
        <v>29533</v>
      </c>
      <c r="C1289" t="s">
        <v>74</v>
      </c>
      <c r="D1289" t="s">
        <v>74</v>
      </c>
      <c r="E1289" t="s">
        <v>74</v>
      </c>
      <c r="F1289" t="s">
        <v>29880</v>
      </c>
      <c r="G1289" t="s">
        <v>74</v>
      </c>
      <c r="H1289" t="s">
        <v>74</v>
      </c>
      <c r="I1289" t="s">
        <v>29879</v>
      </c>
      <c r="J1289" t="s">
        <v>1168</v>
      </c>
      <c r="K1289" t="s">
        <v>74</v>
      </c>
      <c r="L1289" t="s">
        <v>74</v>
      </c>
      <c r="M1289" t="s">
        <v>78</v>
      </c>
      <c r="N1289" t="s">
        <v>79</v>
      </c>
      <c r="O1289" t="s">
        <v>74</v>
      </c>
      <c r="P1289" t="s">
        <v>74</v>
      </c>
      <c r="Q1289" t="s">
        <v>74</v>
      </c>
      <c r="R1289" t="s">
        <v>74</v>
      </c>
      <c r="S1289" t="s">
        <v>74</v>
      </c>
      <c r="T1289" t="s">
        <v>29878</v>
      </c>
      <c r="U1289" t="s">
        <v>29877</v>
      </c>
      <c r="V1289" t="s">
        <v>29876</v>
      </c>
      <c r="W1289" t="s">
        <v>29875</v>
      </c>
      <c r="X1289" t="s">
        <v>13481</v>
      </c>
      <c r="Y1289" t="s">
        <v>26936</v>
      </c>
      <c r="Z1289" t="s">
        <v>12156</v>
      </c>
      <c r="AA1289" t="s">
        <v>14950</v>
      </c>
      <c r="AB1289" t="s">
        <v>12157</v>
      </c>
      <c r="AC1289" t="s">
        <v>74</v>
      </c>
      <c r="AD1289" t="s">
        <v>74</v>
      </c>
      <c r="AE1289" t="s">
        <v>74</v>
      </c>
      <c r="AF1289" t="s">
        <v>74</v>
      </c>
      <c r="AG1289">
        <v>89</v>
      </c>
      <c r="AH1289">
        <v>124</v>
      </c>
      <c r="AI1289">
        <v>172</v>
      </c>
      <c r="AJ1289">
        <v>0</v>
      </c>
      <c r="AK1289">
        <v>31</v>
      </c>
      <c r="AL1289" t="s">
        <v>332</v>
      </c>
      <c r="AM1289" t="s">
        <v>333</v>
      </c>
      <c r="AN1289" t="s">
        <v>334</v>
      </c>
      <c r="AO1289" t="s">
        <v>1179</v>
      </c>
      <c r="AP1289" t="s">
        <v>1180</v>
      </c>
      <c r="AQ1289" t="s">
        <v>74</v>
      </c>
      <c r="AR1289" t="s">
        <v>1181</v>
      </c>
      <c r="AS1289" t="s">
        <v>1182</v>
      </c>
      <c r="AT1289" t="s">
        <v>74</v>
      </c>
      <c r="AU1289">
        <v>2018</v>
      </c>
      <c r="AV1289">
        <v>19</v>
      </c>
      <c r="AW1289">
        <v>3</v>
      </c>
      <c r="AX1289" t="s">
        <v>74</v>
      </c>
      <c r="AY1289" t="s">
        <v>74</v>
      </c>
      <c r="AZ1289" t="s">
        <v>441</v>
      </c>
      <c r="BA1289" t="s">
        <v>74</v>
      </c>
      <c r="BB1289">
        <v>361</v>
      </c>
      <c r="BC1289">
        <v>384</v>
      </c>
      <c r="BD1289" t="s">
        <v>74</v>
      </c>
      <c r="BE1289" t="s">
        <v>29874</v>
      </c>
      <c r="BF1289" t="str">
        <f>HYPERLINK("http://dx.doi.org/10.1080/15228916.2017.1416214","http://dx.doi.org/10.1080/15228916.2017.1416214")</f>
        <v>http://dx.doi.org/10.1080/15228916.2017.1416214</v>
      </c>
      <c r="BG1289" t="s">
        <v>74</v>
      </c>
      <c r="BH1289" t="s">
        <v>74</v>
      </c>
      <c r="BI1289">
        <v>24</v>
      </c>
      <c r="BJ1289" t="s">
        <v>418</v>
      </c>
      <c r="BK1289" t="s">
        <v>313</v>
      </c>
      <c r="BL1289" t="s">
        <v>100</v>
      </c>
      <c r="BM1289" t="s">
        <v>29288</v>
      </c>
      <c r="BN1289" t="s">
        <v>74</v>
      </c>
      <c r="BO1289" t="s">
        <v>74</v>
      </c>
      <c r="BP1289" t="s">
        <v>74</v>
      </c>
      <c r="BQ1289" t="s">
        <v>74</v>
      </c>
      <c r="BR1289" t="s">
        <v>102</v>
      </c>
      <c r="BS1289" t="s">
        <v>29873</v>
      </c>
      <c r="BT1289" t="str">
        <f>HYPERLINK("https%3A%2F%2Fwww.webofscience.com%2Fwos%2Fwoscc%2Ffull-record%2FWOS:000435614500005","View Full Record in Web of Science")</f>
        <v>View Full Record in Web of Science</v>
      </c>
    </row>
    <row r="1290" spans="1:72" x14ac:dyDescent="0.25">
      <c r="A1290" t="s">
        <v>72</v>
      </c>
      <c r="B1290" t="s">
        <v>29872</v>
      </c>
      <c r="C1290" t="s">
        <v>74</v>
      </c>
      <c r="D1290" t="s">
        <v>74</v>
      </c>
      <c r="E1290" t="s">
        <v>74</v>
      </c>
      <c r="F1290" t="s">
        <v>29871</v>
      </c>
      <c r="G1290" t="s">
        <v>74</v>
      </c>
      <c r="H1290" t="s">
        <v>74</v>
      </c>
      <c r="I1290" t="s">
        <v>29870</v>
      </c>
      <c r="J1290" t="s">
        <v>28536</v>
      </c>
      <c r="K1290" t="s">
        <v>74</v>
      </c>
      <c r="L1290" t="s">
        <v>74</v>
      </c>
      <c r="M1290" t="s">
        <v>78</v>
      </c>
      <c r="N1290" t="s">
        <v>79</v>
      </c>
      <c r="O1290" t="s">
        <v>74</v>
      </c>
      <c r="P1290" t="s">
        <v>74</v>
      </c>
      <c r="Q1290" t="s">
        <v>74</v>
      </c>
      <c r="R1290" t="s">
        <v>74</v>
      </c>
      <c r="S1290" t="s">
        <v>74</v>
      </c>
      <c r="T1290" t="s">
        <v>29869</v>
      </c>
      <c r="U1290" t="s">
        <v>29868</v>
      </c>
      <c r="V1290" t="s">
        <v>29867</v>
      </c>
      <c r="W1290" t="s">
        <v>29866</v>
      </c>
      <c r="X1290" t="s">
        <v>10455</v>
      </c>
      <c r="Y1290" t="s">
        <v>29865</v>
      </c>
      <c r="Z1290" t="s">
        <v>29864</v>
      </c>
      <c r="AA1290" t="s">
        <v>74</v>
      </c>
      <c r="AB1290" t="s">
        <v>74</v>
      </c>
      <c r="AC1290" t="s">
        <v>29863</v>
      </c>
      <c r="AD1290" t="s">
        <v>17529</v>
      </c>
      <c r="AE1290" t="s">
        <v>29862</v>
      </c>
      <c r="AF1290" t="s">
        <v>74</v>
      </c>
      <c r="AG1290">
        <v>30</v>
      </c>
      <c r="AH1290">
        <v>16</v>
      </c>
      <c r="AI1290">
        <v>20</v>
      </c>
      <c r="AJ1290">
        <v>2</v>
      </c>
      <c r="AK1290">
        <v>25</v>
      </c>
      <c r="AL1290" t="s">
        <v>4083</v>
      </c>
      <c r="AM1290" t="s">
        <v>4084</v>
      </c>
      <c r="AN1290" t="s">
        <v>4085</v>
      </c>
      <c r="AO1290" t="s">
        <v>74</v>
      </c>
      <c r="AP1290" t="s">
        <v>28523</v>
      </c>
      <c r="AQ1290" t="s">
        <v>74</v>
      </c>
      <c r="AR1290" t="s">
        <v>28522</v>
      </c>
      <c r="AS1290" t="s">
        <v>28521</v>
      </c>
      <c r="AT1290" t="s">
        <v>124</v>
      </c>
      <c r="AU1290">
        <v>2022</v>
      </c>
      <c r="AV1290">
        <v>2</v>
      </c>
      <c r="AW1290">
        <v>4</v>
      </c>
      <c r="AX1290" t="s">
        <v>74</v>
      </c>
      <c r="AY1290" t="s">
        <v>74</v>
      </c>
      <c r="AZ1290" t="s">
        <v>74</v>
      </c>
      <c r="BA1290" t="s">
        <v>74</v>
      </c>
      <c r="BB1290">
        <v>334</v>
      </c>
      <c r="BC1290">
        <v>348</v>
      </c>
      <c r="BD1290" t="s">
        <v>74</v>
      </c>
      <c r="BE1290" t="s">
        <v>29861</v>
      </c>
      <c r="BF1290" t="str">
        <f>HYPERLINK("http://dx.doi.org/10.1016/j.ceqi.2022.11.006","http://dx.doi.org/10.1016/j.ceqi.2022.11.006")</f>
        <v>http://dx.doi.org/10.1016/j.ceqi.2022.11.006</v>
      </c>
      <c r="BG1290" t="s">
        <v>74</v>
      </c>
      <c r="BH1290" t="s">
        <v>74</v>
      </c>
      <c r="BI1290">
        <v>15</v>
      </c>
      <c r="BJ1290" t="s">
        <v>291</v>
      </c>
      <c r="BK1290" t="s">
        <v>313</v>
      </c>
      <c r="BL1290" t="s">
        <v>100</v>
      </c>
      <c r="BM1290" t="s">
        <v>29860</v>
      </c>
      <c r="BN1290" t="s">
        <v>74</v>
      </c>
      <c r="BO1290" t="s">
        <v>212</v>
      </c>
      <c r="BP1290" t="s">
        <v>74</v>
      </c>
      <c r="BQ1290" t="s">
        <v>74</v>
      </c>
      <c r="BR1290" t="s">
        <v>102</v>
      </c>
      <c r="BS1290" t="s">
        <v>29859</v>
      </c>
      <c r="BT1290" t="str">
        <f>HYPERLINK("https%3A%2F%2Fwww.webofscience.com%2Fwos%2Fwoscc%2Ffull-record%2FWOS:001089442600001","View Full Record in Web of Science")</f>
        <v>View Full Record in Web of Science</v>
      </c>
    </row>
    <row r="1291" spans="1:72" x14ac:dyDescent="0.25">
      <c r="A1291" t="s">
        <v>72</v>
      </c>
      <c r="B1291" t="s">
        <v>29858</v>
      </c>
      <c r="C1291" t="s">
        <v>74</v>
      </c>
      <c r="D1291" t="s">
        <v>74</v>
      </c>
      <c r="E1291" t="s">
        <v>74</v>
      </c>
      <c r="F1291" t="s">
        <v>29857</v>
      </c>
      <c r="G1291" t="s">
        <v>74</v>
      </c>
      <c r="H1291" t="s">
        <v>74</v>
      </c>
      <c r="I1291" t="s">
        <v>29856</v>
      </c>
      <c r="J1291" t="s">
        <v>29855</v>
      </c>
      <c r="K1291" t="s">
        <v>74</v>
      </c>
      <c r="L1291" t="s">
        <v>74</v>
      </c>
      <c r="M1291" t="s">
        <v>78</v>
      </c>
      <c r="N1291" t="s">
        <v>79</v>
      </c>
      <c r="O1291" t="s">
        <v>74</v>
      </c>
      <c r="P1291" t="s">
        <v>74</v>
      </c>
      <c r="Q1291" t="s">
        <v>74</v>
      </c>
      <c r="R1291" t="s">
        <v>74</v>
      </c>
      <c r="S1291" t="s">
        <v>74</v>
      </c>
      <c r="T1291" t="s">
        <v>29854</v>
      </c>
      <c r="U1291" t="s">
        <v>29853</v>
      </c>
      <c r="V1291" t="s">
        <v>29852</v>
      </c>
      <c r="W1291" t="s">
        <v>29851</v>
      </c>
      <c r="X1291" t="s">
        <v>29850</v>
      </c>
      <c r="Y1291" t="s">
        <v>29849</v>
      </c>
      <c r="Z1291" t="s">
        <v>29848</v>
      </c>
      <c r="AA1291" t="s">
        <v>74</v>
      </c>
      <c r="AB1291" t="s">
        <v>74</v>
      </c>
      <c r="AC1291" t="s">
        <v>74</v>
      </c>
      <c r="AD1291" t="s">
        <v>74</v>
      </c>
      <c r="AE1291" t="s">
        <v>74</v>
      </c>
      <c r="AF1291" t="s">
        <v>74</v>
      </c>
      <c r="AG1291">
        <v>59</v>
      </c>
      <c r="AH1291">
        <v>6</v>
      </c>
      <c r="AI1291">
        <v>9</v>
      </c>
      <c r="AJ1291">
        <v>3</v>
      </c>
      <c r="AK1291">
        <v>21</v>
      </c>
      <c r="AL1291" t="s">
        <v>89</v>
      </c>
      <c r="AM1291" t="s">
        <v>90</v>
      </c>
      <c r="AN1291" t="s">
        <v>91</v>
      </c>
      <c r="AO1291" t="s">
        <v>29847</v>
      </c>
      <c r="AP1291" t="s">
        <v>29846</v>
      </c>
      <c r="AQ1291" t="s">
        <v>74</v>
      </c>
      <c r="AR1291" t="s">
        <v>29845</v>
      </c>
      <c r="AS1291" t="s">
        <v>29844</v>
      </c>
      <c r="AT1291" t="s">
        <v>29843</v>
      </c>
      <c r="AU1291">
        <v>2025</v>
      </c>
      <c r="AV1291">
        <v>33</v>
      </c>
      <c r="AW1291">
        <v>2</v>
      </c>
      <c r="AX1291" t="s">
        <v>74</v>
      </c>
      <c r="AY1291" t="s">
        <v>74</v>
      </c>
      <c r="AZ1291" t="s">
        <v>441</v>
      </c>
      <c r="BA1291" t="s">
        <v>74</v>
      </c>
      <c r="BB1291">
        <v>268</v>
      </c>
      <c r="BC1291">
        <v>286</v>
      </c>
      <c r="BD1291" t="s">
        <v>74</v>
      </c>
      <c r="BE1291" t="s">
        <v>29842</v>
      </c>
      <c r="BF1291" t="str">
        <f>HYPERLINK("http://dx.doi.org/10.1108/IJAIM-07-2023-0168","http://dx.doi.org/10.1108/IJAIM-07-2023-0168")</f>
        <v>http://dx.doi.org/10.1108/IJAIM-07-2023-0168</v>
      </c>
      <c r="BG1291" t="s">
        <v>74</v>
      </c>
      <c r="BH1291" t="s">
        <v>1524</v>
      </c>
      <c r="BI1291">
        <v>19</v>
      </c>
      <c r="BJ1291" t="s">
        <v>583</v>
      </c>
      <c r="BK1291" t="s">
        <v>313</v>
      </c>
      <c r="BL1291" t="s">
        <v>100</v>
      </c>
      <c r="BM1291" t="s">
        <v>29841</v>
      </c>
      <c r="BN1291" t="s">
        <v>74</v>
      </c>
      <c r="BO1291" t="s">
        <v>74</v>
      </c>
      <c r="BP1291" t="s">
        <v>74</v>
      </c>
      <c r="BQ1291" t="s">
        <v>74</v>
      </c>
      <c r="BR1291" t="s">
        <v>102</v>
      </c>
      <c r="BS1291" t="s">
        <v>29840</v>
      </c>
      <c r="BT1291" t="str">
        <f>HYPERLINK("https%3A%2F%2Fwww.webofscience.com%2Fwos%2Fwoscc%2Ffull-record%2FWOS:001131054100001","View Full Record in Web of Science")</f>
        <v>View Full Record in Web of Science</v>
      </c>
    </row>
    <row r="1292" spans="1:72" x14ac:dyDescent="0.25">
      <c r="A1292" t="s">
        <v>72</v>
      </c>
      <c r="B1292" t="s">
        <v>29839</v>
      </c>
      <c r="C1292" t="s">
        <v>74</v>
      </c>
      <c r="D1292" t="s">
        <v>74</v>
      </c>
      <c r="E1292" t="s">
        <v>74</v>
      </c>
      <c r="F1292" t="s">
        <v>29838</v>
      </c>
      <c r="G1292" t="s">
        <v>74</v>
      </c>
      <c r="H1292" t="s">
        <v>74</v>
      </c>
      <c r="I1292" t="s">
        <v>29837</v>
      </c>
      <c r="J1292" t="s">
        <v>836</v>
      </c>
      <c r="K1292" t="s">
        <v>74</v>
      </c>
      <c r="L1292" t="s">
        <v>74</v>
      </c>
      <c r="M1292" t="s">
        <v>78</v>
      </c>
      <c r="N1292" t="s">
        <v>79</v>
      </c>
      <c r="O1292" t="s">
        <v>74</v>
      </c>
      <c r="P1292" t="s">
        <v>74</v>
      </c>
      <c r="Q1292" t="s">
        <v>74</v>
      </c>
      <c r="R1292" t="s">
        <v>74</v>
      </c>
      <c r="S1292" t="s">
        <v>74</v>
      </c>
      <c r="T1292" t="s">
        <v>29836</v>
      </c>
      <c r="U1292" t="s">
        <v>29835</v>
      </c>
      <c r="V1292" t="s">
        <v>29834</v>
      </c>
      <c r="W1292" t="s">
        <v>29833</v>
      </c>
      <c r="X1292" t="s">
        <v>29832</v>
      </c>
      <c r="Y1292" t="s">
        <v>29831</v>
      </c>
      <c r="Z1292" t="s">
        <v>29830</v>
      </c>
      <c r="AA1292" t="s">
        <v>29829</v>
      </c>
      <c r="AB1292" t="s">
        <v>26993</v>
      </c>
      <c r="AC1292" t="s">
        <v>74</v>
      </c>
      <c r="AD1292" t="s">
        <v>74</v>
      </c>
      <c r="AE1292" t="s">
        <v>74</v>
      </c>
      <c r="AF1292" t="s">
        <v>74</v>
      </c>
      <c r="AG1292">
        <v>163</v>
      </c>
      <c r="AH1292">
        <v>43</v>
      </c>
      <c r="AI1292">
        <v>50</v>
      </c>
      <c r="AJ1292">
        <v>23</v>
      </c>
      <c r="AK1292">
        <v>66</v>
      </c>
      <c r="AL1292" t="s">
        <v>503</v>
      </c>
      <c r="AM1292" t="s">
        <v>151</v>
      </c>
      <c r="AN1292" t="s">
        <v>504</v>
      </c>
      <c r="AO1292" t="s">
        <v>844</v>
      </c>
      <c r="AP1292" t="s">
        <v>845</v>
      </c>
      <c r="AQ1292" t="s">
        <v>74</v>
      </c>
      <c r="AR1292" t="s">
        <v>846</v>
      </c>
      <c r="AS1292" t="s">
        <v>847</v>
      </c>
      <c r="AT1292" t="s">
        <v>1159</v>
      </c>
      <c r="AU1292">
        <v>2024</v>
      </c>
      <c r="AV1292">
        <v>95</v>
      </c>
      <c r="AW1292" t="s">
        <v>74</v>
      </c>
      <c r="AX1292" t="s">
        <v>132</v>
      </c>
      <c r="AY1292" t="s">
        <v>74</v>
      </c>
      <c r="AZ1292" t="s">
        <v>74</v>
      </c>
      <c r="BA1292" t="s">
        <v>74</v>
      </c>
      <c r="BB1292" t="s">
        <v>74</v>
      </c>
      <c r="BC1292" t="s">
        <v>74</v>
      </c>
      <c r="BD1292">
        <v>103473</v>
      </c>
      <c r="BE1292" t="s">
        <v>29828</v>
      </c>
      <c r="BF1292" t="str">
        <f>HYPERLINK("http://dx.doi.org/10.1016/j.irfa.2024.103473","http://dx.doi.org/10.1016/j.irfa.2024.103473")</f>
        <v>http://dx.doi.org/10.1016/j.irfa.2024.103473</v>
      </c>
      <c r="BG1292" t="s">
        <v>74</v>
      </c>
      <c r="BH1292" t="s">
        <v>393</v>
      </c>
      <c r="BI1292">
        <v>20</v>
      </c>
      <c r="BJ1292" t="s">
        <v>268</v>
      </c>
      <c r="BK1292" t="s">
        <v>99</v>
      </c>
      <c r="BL1292" t="s">
        <v>100</v>
      </c>
      <c r="BM1292" t="s">
        <v>29827</v>
      </c>
      <c r="BN1292" t="s">
        <v>74</v>
      </c>
      <c r="BO1292" t="s">
        <v>270</v>
      </c>
      <c r="BP1292" t="s">
        <v>74</v>
      </c>
      <c r="BQ1292" t="s">
        <v>74</v>
      </c>
      <c r="BR1292" t="s">
        <v>102</v>
      </c>
      <c r="BS1292" t="s">
        <v>29826</v>
      </c>
      <c r="BT1292" t="str">
        <f>HYPERLINK("https%3A%2F%2Fwww.webofscience.com%2Fwos%2Fwoscc%2Ffull-record%2FWOS:001290608000001","View Full Record in Web of Science")</f>
        <v>View Full Record in Web of Science</v>
      </c>
    </row>
    <row r="1293" spans="1:72" x14ac:dyDescent="0.25">
      <c r="A1293" t="s">
        <v>72</v>
      </c>
      <c r="B1293" t="s">
        <v>29825</v>
      </c>
      <c r="C1293" t="s">
        <v>74</v>
      </c>
      <c r="D1293" t="s">
        <v>74</v>
      </c>
      <c r="E1293" t="s">
        <v>74</v>
      </c>
      <c r="F1293" t="s">
        <v>29824</v>
      </c>
      <c r="G1293" t="s">
        <v>74</v>
      </c>
      <c r="H1293" t="s">
        <v>74</v>
      </c>
      <c r="I1293" t="s">
        <v>29823</v>
      </c>
      <c r="J1293" t="s">
        <v>3231</v>
      </c>
      <c r="K1293" t="s">
        <v>74</v>
      </c>
      <c r="L1293" t="s">
        <v>74</v>
      </c>
      <c r="M1293" t="s">
        <v>78</v>
      </c>
      <c r="N1293" t="s">
        <v>79</v>
      </c>
      <c r="O1293" t="s">
        <v>74</v>
      </c>
      <c r="P1293" t="s">
        <v>74</v>
      </c>
      <c r="Q1293" t="s">
        <v>74</v>
      </c>
      <c r="R1293" t="s">
        <v>74</v>
      </c>
      <c r="S1293" t="s">
        <v>74</v>
      </c>
      <c r="T1293" t="s">
        <v>29822</v>
      </c>
      <c r="U1293" t="s">
        <v>29821</v>
      </c>
      <c r="V1293" t="s">
        <v>29820</v>
      </c>
      <c r="W1293" t="s">
        <v>29819</v>
      </c>
      <c r="X1293" t="s">
        <v>29818</v>
      </c>
      <c r="Y1293" t="s">
        <v>29817</v>
      </c>
      <c r="Z1293" t="s">
        <v>29816</v>
      </c>
      <c r="AA1293" t="s">
        <v>29815</v>
      </c>
      <c r="AB1293" t="s">
        <v>29814</v>
      </c>
      <c r="AC1293" t="s">
        <v>74</v>
      </c>
      <c r="AD1293" t="s">
        <v>74</v>
      </c>
      <c r="AE1293" t="s">
        <v>74</v>
      </c>
      <c r="AF1293" t="s">
        <v>74</v>
      </c>
      <c r="AG1293">
        <v>113</v>
      </c>
      <c r="AH1293">
        <v>101</v>
      </c>
      <c r="AI1293">
        <v>162</v>
      </c>
      <c r="AJ1293">
        <v>2</v>
      </c>
      <c r="AK1293">
        <v>59</v>
      </c>
      <c r="AL1293" t="s">
        <v>575</v>
      </c>
      <c r="AM1293" t="s">
        <v>576</v>
      </c>
      <c r="AN1293" t="s">
        <v>3242</v>
      </c>
      <c r="AO1293" t="s">
        <v>74</v>
      </c>
      <c r="AP1293" t="s">
        <v>3243</v>
      </c>
      <c r="AQ1293" t="s">
        <v>74</v>
      </c>
      <c r="AR1293" t="s">
        <v>3244</v>
      </c>
      <c r="AS1293" t="s">
        <v>3245</v>
      </c>
      <c r="AT1293" t="s">
        <v>29813</v>
      </c>
      <c r="AU1293">
        <v>2019</v>
      </c>
      <c r="AV1293">
        <v>11</v>
      </c>
      <c r="AW1293">
        <v>10</v>
      </c>
      <c r="AX1293" t="s">
        <v>74</v>
      </c>
      <c r="AY1293" t="s">
        <v>74</v>
      </c>
      <c r="AZ1293" t="s">
        <v>74</v>
      </c>
      <c r="BA1293" t="s">
        <v>74</v>
      </c>
      <c r="BB1293" t="s">
        <v>74</v>
      </c>
      <c r="BC1293" t="s">
        <v>74</v>
      </c>
      <c r="BD1293">
        <v>2990</v>
      </c>
      <c r="BE1293" t="s">
        <v>29812</v>
      </c>
      <c r="BF1293" t="str">
        <f>HYPERLINK("http://dx.doi.org/10.3390/su11102990","http://dx.doi.org/10.3390/su11102990")</f>
        <v>http://dx.doi.org/10.3390/su11102990</v>
      </c>
      <c r="BG1293" t="s">
        <v>74</v>
      </c>
      <c r="BH1293" t="s">
        <v>74</v>
      </c>
      <c r="BI1293">
        <v>21</v>
      </c>
      <c r="BJ1293" t="s">
        <v>3247</v>
      </c>
      <c r="BK1293" t="s">
        <v>2623</v>
      </c>
      <c r="BL1293" t="s">
        <v>3248</v>
      </c>
      <c r="BM1293" t="s">
        <v>29811</v>
      </c>
      <c r="BN1293" t="s">
        <v>74</v>
      </c>
      <c r="BO1293" t="s">
        <v>916</v>
      </c>
      <c r="BP1293" t="s">
        <v>74</v>
      </c>
      <c r="BQ1293" t="s">
        <v>74</v>
      </c>
      <c r="BR1293" t="s">
        <v>102</v>
      </c>
      <c r="BS1293" t="s">
        <v>29810</v>
      </c>
      <c r="BT1293" t="str">
        <f>HYPERLINK("https%3A%2F%2Fwww.webofscience.com%2Fwos%2Fwoscc%2Ffull-record%2FWOS:000471010300273","View Full Record in Web of Science")</f>
        <v>View Full Record in Web of Science</v>
      </c>
    </row>
    <row r="1294" spans="1:72" x14ac:dyDescent="0.25">
      <c r="A1294" t="s">
        <v>72</v>
      </c>
      <c r="B1294" t="s">
        <v>29809</v>
      </c>
      <c r="C1294" t="s">
        <v>74</v>
      </c>
      <c r="D1294" t="s">
        <v>74</v>
      </c>
      <c r="E1294" t="s">
        <v>74</v>
      </c>
      <c r="F1294" t="s">
        <v>29808</v>
      </c>
      <c r="G1294" t="s">
        <v>74</v>
      </c>
      <c r="H1294" t="s">
        <v>74</v>
      </c>
      <c r="I1294" t="s">
        <v>29807</v>
      </c>
      <c r="J1294" t="s">
        <v>29806</v>
      </c>
      <c r="K1294" t="s">
        <v>74</v>
      </c>
      <c r="L1294" t="s">
        <v>74</v>
      </c>
      <c r="M1294" t="s">
        <v>78</v>
      </c>
      <c r="N1294" t="s">
        <v>79</v>
      </c>
      <c r="O1294" t="s">
        <v>74</v>
      </c>
      <c r="P1294" t="s">
        <v>74</v>
      </c>
      <c r="Q1294" t="s">
        <v>74</v>
      </c>
      <c r="R1294" t="s">
        <v>74</v>
      </c>
      <c r="S1294" t="s">
        <v>74</v>
      </c>
      <c r="T1294" t="s">
        <v>29805</v>
      </c>
      <c r="U1294" t="s">
        <v>29804</v>
      </c>
      <c r="V1294" t="s">
        <v>29803</v>
      </c>
      <c r="W1294" t="s">
        <v>29802</v>
      </c>
      <c r="X1294" t="s">
        <v>26052</v>
      </c>
      <c r="Y1294" t="s">
        <v>29801</v>
      </c>
      <c r="Z1294" t="s">
        <v>29800</v>
      </c>
      <c r="AA1294" t="s">
        <v>29799</v>
      </c>
      <c r="AB1294" t="s">
        <v>74</v>
      </c>
      <c r="AC1294" t="s">
        <v>74</v>
      </c>
      <c r="AD1294" t="s">
        <v>74</v>
      </c>
      <c r="AE1294" t="s">
        <v>74</v>
      </c>
      <c r="AF1294" t="s">
        <v>74</v>
      </c>
      <c r="AG1294">
        <v>88</v>
      </c>
      <c r="AH1294">
        <v>2</v>
      </c>
      <c r="AI1294">
        <v>2</v>
      </c>
      <c r="AJ1294">
        <v>4</v>
      </c>
      <c r="AK1294">
        <v>13</v>
      </c>
      <c r="AL1294" t="s">
        <v>29798</v>
      </c>
      <c r="AM1294" t="s">
        <v>9793</v>
      </c>
      <c r="AN1294" t="s">
        <v>29797</v>
      </c>
      <c r="AO1294" t="s">
        <v>29796</v>
      </c>
      <c r="AP1294" t="s">
        <v>74</v>
      </c>
      <c r="AQ1294" t="s">
        <v>74</v>
      </c>
      <c r="AR1294" t="s">
        <v>29795</v>
      </c>
      <c r="AS1294" t="s">
        <v>29794</v>
      </c>
      <c r="AT1294" t="s">
        <v>124</v>
      </c>
      <c r="AU1294">
        <v>2023</v>
      </c>
      <c r="AV1294">
        <v>60</v>
      </c>
      <c r="AW1294">
        <v>2</v>
      </c>
      <c r="AX1294" t="s">
        <v>74</v>
      </c>
      <c r="AY1294" t="s">
        <v>74</v>
      </c>
      <c r="AZ1294" t="s">
        <v>74</v>
      </c>
      <c r="BA1294" t="s">
        <v>74</v>
      </c>
      <c r="BB1294">
        <v>189</v>
      </c>
      <c r="BC1294">
        <v>214</v>
      </c>
      <c r="BD1294" t="s">
        <v>74</v>
      </c>
      <c r="BE1294" t="s">
        <v>29793</v>
      </c>
      <c r="BF1294" t="str">
        <f>HYPERLINK("http://dx.doi.org/10.22452/MJES.vol60no2.3","http://dx.doi.org/10.22452/MJES.vol60no2.3")</f>
        <v>http://dx.doi.org/10.22452/MJES.vol60no2.3</v>
      </c>
      <c r="BG1294" t="s">
        <v>74</v>
      </c>
      <c r="BH1294" t="s">
        <v>74</v>
      </c>
      <c r="BI1294">
        <v>26</v>
      </c>
      <c r="BJ1294" t="s">
        <v>291</v>
      </c>
      <c r="BK1294" t="s">
        <v>313</v>
      </c>
      <c r="BL1294" t="s">
        <v>100</v>
      </c>
      <c r="BM1294" t="s">
        <v>29792</v>
      </c>
      <c r="BN1294" t="s">
        <v>74</v>
      </c>
      <c r="BO1294" t="s">
        <v>212</v>
      </c>
      <c r="BP1294" t="s">
        <v>74</v>
      </c>
      <c r="BQ1294" t="s">
        <v>74</v>
      </c>
      <c r="BR1294" t="s">
        <v>102</v>
      </c>
      <c r="BS1294" t="s">
        <v>29791</v>
      </c>
      <c r="BT1294" t="str">
        <f>HYPERLINK("https%3A%2F%2Fwww.webofscience.com%2Fwos%2Fwoscc%2Ffull-record%2FWOS:001134110000006","View Full Record in Web of Science")</f>
        <v>View Full Record in Web of Science</v>
      </c>
    </row>
    <row r="1295" spans="1:72" x14ac:dyDescent="0.25">
      <c r="A1295" t="s">
        <v>72</v>
      </c>
      <c r="B1295" t="s">
        <v>16374</v>
      </c>
      <c r="C1295" t="s">
        <v>74</v>
      </c>
      <c r="D1295" t="s">
        <v>74</v>
      </c>
      <c r="E1295" t="s">
        <v>74</v>
      </c>
      <c r="F1295" t="s">
        <v>16375</v>
      </c>
      <c r="G1295" t="s">
        <v>74</v>
      </c>
      <c r="H1295" t="s">
        <v>74</v>
      </c>
      <c r="I1295" t="s">
        <v>29790</v>
      </c>
      <c r="J1295" t="s">
        <v>29789</v>
      </c>
      <c r="K1295" t="s">
        <v>74</v>
      </c>
      <c r="L1295" t="s">
        <v>74</v>
      </c>
      <c r="M1295" t="s">
        <v>78</v>
      </c>
      <c r="N1295" t="s">
        <v>79</v>
      </c>
      <c r="O1295" t="s">
        <v>74</v>
      </c>
      <c r="P1295" t="s">
        <v>74</v>
      </c>
      <c r="Q1295" t="s">
        <v>74</v>
      </c>
      <c r="R1295" t="s">
        <v>74</v>
      </c>
      <c r="S1295" t="s">
        <v>74</v>
      </c>
      <c r="T1295" t="s">
        <v>29788</v>
      </c>
      <c r="U1295" t="s">
        <v>29787</v>
      </c>
      <c r="V1295" t="s">
        <v>29786</v>
      </c>
      <c r="W1295" t="s">
        <v>29785</v>
      </c>
      <c r="X1295" t="s">
        <v>16381</v>
      </c>
      <c r="Y1295" t="s">
        <v>29784</v>
      </c>
      <c r="Z1295" t="s">
        <v>29783</v>
      </c>
      <c r="AA1295" t="s">
        <v>10260</v>
      </c>
      <c r="AB1295" t="s">
        <v>29782</v>
      </c>
      <c r="AC1295" t="s">
        <v>74</v>
      </c>
      <c r="AD1295" t="s">
        <v>74</v>
      </c>
      <c r="AE1295" t="s">
        <v>74</v>
      </c>
      <c r="AF1295" t="s">
        <v>74</v>
      </c>
      <c r="AG1295">
        <v>28</v>
      </c>
      <c r="AH1295">
        <v>18</v>
      </c>
      <c r="AI1295">
        <v>22</v>
      </c>
      <c r="AJ1295">
        <v>0</v>
      </c>
      <c r="AK1295">
        <v>30</v>
      </c>
      <c r="AL1295" t="s">
        <v>2907</v>
      </c>
      <c r="AM1295" t="s">
        <v>2908</v>
      </c>
      <c r="AN1295" t="s">
        <v>2909</v>
      </c>
      <c r="AO1295" t="s">
        <v>29781</v>
      </c>
      <c r="AP1295" t="s">
        <v>29780</v>
      </c>
      <c r="AQ1295" t="s">
        <v>74</v>
      </c>
      <c r="AR1295" t="s">
        <v>29779</v>
      </c>
      <c r="AS1295" t="s">
        <v>29778</v>
      </c>
      <c r="AT1295" t="s">
        <v>208</v>
      </c>
      <c r="AU1295">
        <v>2019</v>
      </c>
      <c r="AV1295">
        <v>44</v>
      </c>
      <c r="AW1295">
        <v>1</v>
      </c>
      <c r="AX1295" t="s">
        <v>74</v>
      </c>
      <c r="AY1295" t="s">
        <v>74</v>
      </c>
      <c r="AZ1295" t="s">
        <v>74</v>
      </c>
      <c r="BA1295" t="s">
        <v>74</v>
      </c>
      <c r="BB1295">
        <v>20</v>
      </c>
      <c r="BC1295">
        <v>35</v>
      </c>
      <c r="BD1295" t="s">
        <v>74</v>
      </c>
      <c r="BE1295" t="s">
        <v>29777</v>
      </c>
      <c r="BF1295" t="str">
        <f>HYPERLINK("http://dx.doi.org/10.1057/s41288-018-0108-1","http://dx.doi.org/10.1057/s41288-018-0108-1")</f>
        <v>http://dx.doi.org/10.1057/s41288-018-0108-1</v>
      </c>
      <c r="BG1295" t="s">
        <v>74</v>
      </c>
      <c r="BH1295" t="s">
        <v>74</v>
      </c>
      <c r="BI1295">
        <v>16</v>
      </c>
      <c r="BJ1295" t="s">
        <v>268</v>
      </c>
      <c r="BK1295" t="s">
        <v>99</v>
      </c>
      <c r="BL1295" t="s">
        <v>100</v>
      </c>
      <c r="BM1295" t="s">
        <v>29776</v>
      </c>
      <c r="BN1295" t="s">
        <v>74</v>
      </c>
      <c r="BO1295" t="s">
        <v>74</v>
      </c>
      <c r="BP1295" t="s">
        <v>74</v>
      </c>
      <c r="BQ1295" t="s">
        <v>74</v>
      </c>
      <c r="BR1295" t="s">
        <v>102</v>
      </c>
      <c r="BS1295" t="s">
        <v>29775</v>
      </c>
      <c r="BT1295" t="str">
        <f>HYPERLINK("https%3A%2F%2Fwww.webofscience.com%2Fwos%2Fwoscc%2Ffull-record%2FWOS:000460597800002","View Full Record in Web of Science")</f>
        <v>View Full Record in Web of Science</v>
      </c>
    </row>
    <row r="1296" spans="1:72" x14ac:dyDescent="0.25">
      <c r="A1296" t="s">
        <v>72</v>
      </c>
      <c r="B1296" t="s">
        <v>29774</v>
      </c>
      <c r="C1296" t="s">
        <v>74</v>
      </c>
      <c r="D1296" t="s">
        <v>74</v>
      </c>
      <c r="E1296" t="s">
        <v>74</v>
      </c>
      <c r="F1296" t="s">
        <v>29773</v>
      </c>
      <c r="G1296" t="s">
        <v>74</v>
      </c>
      <c r="H1296" t="s">
        <v>74</v>
      </c>
      <c r="I1296" t="s">
        <v>29772</v>
      </c>
      <c r="J1296" t="s">
        <v>4842</v>
      </c>
      <c r="K1296" t="s">
        <v>74</v>
      </c>
      <c r="L1296" t="s">
        <v>74</v>
      </c>
      <c r="M1296" t="s">
        <v>78</v>
      </c>
      <c r="N1296" t="s">
        <v>79</v>
      </c>
      <c r="O1296" t="s">
        <v>74</v>
      </c>
      <c r="P1296" t="s">
        <v>74</v>
      </c>
      <c r="Q1296" t="s">
        <v>74</v>
      </c>
      <c r="R1296" t="s">
        <v>74</v>
      </c>
      <c r="S1296" t="s">
        <v>74</v>
      </c>
      <c r="T1296" t="s">
        <v>29771</v>
      </c>
      <c r="U1296" t="s">
        <v>29770</v>
      </c>
      <c r="V1296" t="s">
        <v>29769</v>
      </c>
      <c r="W1296" t="s">
        <v>29768</v>
      </c>
      <c r="X1296" t="s">
        <v>29767</v>
      </c>
      <c r="Y1296" t="s">
        <v>29766</v>
      </c>
      <c r="Z1296" t="s">
        <v>29765</v>
      </c>
      <c r="AA1296" t="s">
        <v>29764</v>
      </c>
      <c r="AB1296" t="s">
        <v>29763</v>
      </c>
      <c r="AC1296" t="s">
        <v>74</v>
      </c>
      <c r="AD1296" t="s">
        <v>74</v>
      </c>
      <c r="AE1296" t="s">
        <v>74</v>
      </c>
      <c r="AF1296" t="s">
        <v>74</v>
      </c>
      <c r="AG1296">
        <v>25</v>
      </c>
      <c r="AH1296">
        <v>15</v>
      </c>
      <c r="AI1296">
        <v>27</v>
      </c>
      <c r="AJ1296">
        <v>2</v>
      </c>
      <c r="AK1296">
        <v>21</v>
      </c>
      <c r="AL1296" t="s">
        <v>2481</v>
      </c>
      <c r="AM1296" t="s">
        <v>2482</v>
      </c>
      <c r="AN1296" t="s">
        <v>2483</v>
      </c>
      <c r="AO1296" t="s">
        <v>4853</v>
      </c>
      <c r="AP1296" t="s">
        <v>74</v>
      </c>
      <c r="AQ1296" t="s">
        <v>74</v>
      </c>
      <c r="AR1296" t="s">
        <v>4854</v>
      </c>
      <c r="AS1296" t="s">
        <v>4855</v>
      </c>
      <c r="AT1296" t="s">
        <v>2487</v>
      </c>
      <c r="AU1296">
        <v>2020</v>
      </c>
      <c r="AV1296">
        <v>7</v>
      </c>
      <c r="AW1296">
        <v>1</v>
      </c>
      <c r="AX1296" t="s">
        <v>74</v>
      </c>
      <c r="AY1296" t="s">
        <v>74</v>
      </c>
      <c r="AZ1296" t="s">
        <v>74</v>
      </c>
      <c r="BA1296" t="s">
        <v>74</v>
      </c>
      <c r="BB1296" t="s">
        <v>74</v>
      </c>
      <c r="BC1296" t="s">
        <v>74</v>
      </c>
      <c r="BD1296">
        <v>1743618</v>
      </c>
      <c r="BE1296" t="s">
        <v>29762</v>
      </c>
      <c r="BF1296" t="str">
        <f>HYPERLINK("http://dx.doi.org/10.1080/23311975.2020.1743618","http://dx.doi.org/10.1080/23311975.2020.1743618")</f>
        <v>http://dx.doi.org/10.1080/23311975.2020.1743618</v>
      </c>
      <c r="BG1296" t="s">
        <v>74</v>
      </c>
      <c r="BH1296" t="s">
        <v>74</v>
      </c>
      <c r="BI1296">
        <v>18</v>
      </c>
      <c r="BJ1296" t="s">
        <v>418</v>
      </c>
      <c r="BK1296" t="s">
        <v>313</v>
      </c>
      <c r="BL1296" t="s">
        <v>100</v>
      </c>
      <c r="BM1296" t="s">
        <v>29761</v>
      </c>
      <c r="BN1296" t="s">
        <v>74</v>
      </c>
      <c r="BO1296" t="s">
        <v>916</v>
      </c>
      <c r="BP1296" t="s">
        <v>74</v>
      </c>
      <c r="BQ1296" t="s">
        <v>74</v>
      </c>
      <c r="BR1296" t="s">
        <v>102</v>
      </c>
      <c r="BS1296" t="s">
        <v>29760</v>
      </c>
      <c r="BT1296" t="str">
        <f>HYPERLINK("https%3A%2F%2Fwww.webofscience.com%2Fwos%2Fwoscc%2Ffull-record%2FWOS:000521650500001","View Full Record in Web of Science")</f>
        <v>View Full Record in Web of Science</v>
      </c>
    </row>
    <row r="1297" spans="1:72" x14ac:dyDescent="0.25">
      <c r="A1297" t="s">
        <v>72</v>
      </c>
      <c r="B1297" t="s">
        <v>29759</v>
      </c>
      <c r="C1297" t="s">
        <v>74</v>
      </c>
      <c r="D1297" t="s">
        <v>74</v>
      </c>
      <c r="E1297" t="s">
        <v>74</v>
      </c>
      <c r="F1297" t="s">
        <v>29758</v>
      </c>
      <c r="G1297" t="s">
        <v>74</v>
      </c>
      <c r="H1297" t="s">
        <v>74</v>
      </c>
      <c r="I1297" t="s">
        <v>29757</v>
      </c>
      <c r="J1297" t="s">
        <v>3231</v>
      </c>
      <c r="K1297" t="s">
        <v>74</v>
      </c>
      <c r="L1297" t="s">
        <v>74</v>
      </c>
      <c r="M1297" t="s">
        <v>78</v>
      </c>
      <c r="N1297" t="s">
        <v>79</v>
      </c>
      <c r="O1297" t="s">
        <v>74</v>
      </c>
      <c r="P1297" t="s">
        <v>74</v>
      </c>
      <c r="Q1297" t="s">
        <v>74</v>
      </c>
      <c r="R1297" t="s">
        <v>74</v>
      </c>
      <c r="S1297" t="s">
        <v>74</v>
      </c>
      <c r="T1297" t="s">
        <v>29756</v>
      </c>
      <c r="U1297" t="s">
        <v>29755</v>
      </c>
      <c r="V1297" t="s">
        <v>29754</v>
      </c>
      <c r="W1297" t="s">
        <v>29753</v>
      </c>
      <c r="X1297" t="s">
        <v>29752</v>
      </c>
      <c r="Y1297" t="s">
        <v>5865</v>
      </c>
      <c r="Z1297" t="s">
        <v>5866</v>
      </c>
      <c r="AA1297" t="s">
        <v>29751</v>
      </c>
      <c r="AB1297" t="s">
        <v>29750</v>
      </c>
      <c r="AC1297" t="s">
        <v>5869</v>
      </c>
      <c r="AD1297" t="s">
        <v>5870</v>
      </c>
      <c r="AE1297" t="s">
        <v>29749</v>
      </c>
      <c r="AF1297" t="s">
        <v>74</v>
      </c>
      <c r="AG1297">
        <v>93</v>
      </c>
      <c r="AH1297">
        <v>11</v>
      </c>
      <c r="AI1297">
        <v>16</v>
      </c>
      <c r="AJ1297">
        <v>3</v>
      </c>
      <c r="AK1297">
        <v>33</v>
      </c>
      <c r="AL1297" t="s">
        <v>575</v>
      </c>
      <c r="AM1297" t="s">
        <v>576</v>
      </c>
      <c r="AN1297" t="s">
        <v>3242</v>
      </c>
      <c r="AO1297" t="s">
        <v>74</v>
      </c>
      <c r="AP1297" t="s">
        <v>3243</v>
      </c>
      <c r="AQ1297" t="s">
        <v>74</v>
      </c>
      <c r="AR1297" t="s">
        <v>3244</v>
      </c>
      <c r="AS1297" t="s">
        <v>3245</v>
      </c>
      <c r="AT1297" t="s">
        <v>29748</v>
      </c>
      <c r="AU1297">
        <v>2023</v>
      </c>
      <c r="AV1297">
        <v>15</v>
      </c>
      <c r="AW1297">
        <v>9</v>
      </c>
      <c r="AX1297" t="s">
        <v>74</v>
      </c>
      <c r="AY1297" t="s">
        <v>74</v>
      </c>
      <c r="AZ1297" t="s">
        <v>74</v>
      </c>
      <c r="BA1297" t="s">
        <v>74</v>
      </c>
      <c r="BB1297" t="s">
        <v>74</v>
      </c>
      <c r="BC1297" t="s">
        <v>74</v>
      </c>
      <c r="BD1297">
        <v>7045</v>
      </c>
      <c r="BE1297" t="s">
        <v>29747</v>
      </c>
      <c r="BF1297" t="str">
        <f>HYPERLINK("http://dx.doi.org/10.3390/su15097045","http://dx.doi.org/10.3390/su15097045")</f>
        <v>http://dx.doi.org/10.3390/su15097045</v>
      </c>
      <c r="BG1297" t="s">
        <v>74</v>
      </c>
      <c r="BH1297" t="s">
        <v>74</v>
      </c>
      <c r="BI1297">
        <v>19</v>
      </c>
      <c r="BJ1297" t="s">
        <v>3247</v>
      </c>
      <c r="BK1297" t="s">
        <v>2623</v>
      </c>
      <c r="BL1297" t="s">
        <v>3248</v>
      </c>
      <c r="BM1297" t="s">
        <v>29746</v>
      </c>
      <c r="BN1297" t="s">
        <v>74</v>
      </c>
      <c r="BO1297" t="s">
        <v>916</v>
      </c>
      <c r="BP1297" t="s">
        <v>74</v>
      </c>
      <c r="BQ1297" t="s">
        <v>74</v>
      </c>
      <c r="BR1297" t="s">
        <v>102</v>
      </c>
      <c r="BS1297" t="s">
        <v>29745</v>
      </c>
      <c r="BT1297" t="str">
        <f>HYPERLINK("https%3A%2F%2Fwww.webofscience.com%2Fwos%2Fwoscc%2Ffull-record%2FWOS:000987245400001","View Full Record in Web of Science")</f>
        <v>View Full Record in Web of Science</v>
      </c>
    </row>
    <row r="1298" spans="1:72" x14ac:dyDescent="0.25">
      <c r="A1298" t="s">
        <v>72</v>
      </c>
      <c r="B1298" t="s">
        <v>29744</v>
      </c>
      <c r="C1298" t="s">
        <v>74</v>
      </c>
      <c r="D1298" t="s">
        <v>74</v>
      </c>
      <c r="E1298" t="s">
        <v>74</v>
      </c>
      <c r="F1298" t="s">
        <v>29743</v>
      </c>
      <c r="G1298" t="s">
        <v>74</v>
      </c>
      <c r="H1298" t="s">
        <v>74</v>
      </c>
      <c r="I1298" t="s">
        <v>29742</v>
      </c>
      <c r="J1298" t="s">
        <v>29741</v>
      </c>
      <c r="K1298" t="s">
        <v>74</v>
      </c>
      <c r="L1298" t="s">
        <v>74</v>
      </c>
      <c r="M1298" t="s">
        <v>78</v>
      </c>
      <c r="N1298" t="s">
        <v>79</v>
      </c>
      <c r="O1298" t="s">
        <v>74</v>
      </c>
      <c r="P1298" t="s">
        <v>74</v>
      </c>
      <c r="Q1298" t="s">
        <v>74</v>
      </c>
      <c r="R1298" t="s">
        <v>74</v>
      </c>
      <c r="S1298" t="s">
        <v>74</v>
      </c>
      <c r="T1298" t="s">
        <v>29740</v>
      </c>
      <c r="U1298" t="s">
        <v>29739</v>
      </c>
      <c r="V1298" t="s">
        <v>29738</v>
      </c>
      <c r="W1298" t="s">
        <v>29737</v>
      </c>
      <c r="X1298" t="s">
        <v>29736</v>
      </c>
      <c r="Y1298" t="s">
        <v>29735</v>
      </c>
      <c r="Z1298" t="s">
        <v>29734</v>
      </c>
      <c r="AA1298" t="s">
        <v>29733</v>
      </c>
      <c r="AB1298" t="s">
        <v>29732</v>
      </c>
      <c r="AC1298" t="s">
        <v>74</v>
      </c>
      <c r="AD1298" t="s">
        <v>74</v>
      </c>
      <c r="AE1298" t="s">
        <v>74</v>
      </c>
      <c r="AF1298" t="s">
        <v>74</v>
      </c>
      <c r="AG1298">
        <v>104</v>
      </c>
      <c r="AH1298">
        <v>16</v>
      </c>
      <c r="AI1298">
        <v>21</v>
      </c>
      <c r="AJ1298">
        <v>0</v>
      </c>
      <c r="AK1298">
        <v>24</v>
      </c>
      <c r="AL1298" t="s">
        <v>29731</v>
      </c>
      <c r="AM1298" t="s">
        <v>305</v>
      </c>
      <c r="AN1298" t="s">
        <v>29730</v>
      </c>
      <c r="AO1298" t="s">
        <v>29729</v>
      </c>
      <c r="AP1298" t="s">
        <v>29728</v>
      </c>
      <c r="AQ1298" t="s">
        <v>74</v>
      </c>
      <c r="AR1298" t="s">
        <v>29727</v>
      </c>
      <c r="AS1298" t="s">
        <v>29726</v>
      </c>
      <c r="AT1298" t="s">
        <v>74</v>
      </c>
      <c r="AU1298">
        <v>2017</v>
      </c>
      <c r="AV1298">
        <v>13</v>
      </c>
      <c r="AW1298">
        <v>3</v>
      </c>
      <c r="AX1298" t="s">
        <v>74</v>
      </c>
      <c r="AY1298" t="s">
        <v>74</v>
      </c>
      <c r="AZ1298" t="s">
        <v>74</v>
      </c>
      <c r="BA1298" t="s">
        <v>74</v>
      </c>
      <c r="BB1298">
        <v>582</v>
      </c>
      <c r="BC1298">
        <v>614</v>
      </c>
      <c r="BD1298" t="s">
        <v>74</v>
      </c>
      <c r="BE1298" t="s">
        <v>29725</v>
      </c>
      <c r="BF1298" t="str">
        <f>HYPERLINK("http://dx.doi.org/10.3926/ic.946","http://dx.doi.org/10.3926/ic.946")</f>
        <v>http://dx.doi.org/10.3926/ic.946</v>
      </c>
      <c r="BG1298" t="s">
        <v>74</v>
      </c>
      <c r="BH1298" t="s">
        <v>74</v>
      </c>
      <c r="BI1298">
        <v>33</v>
      </c>
      <c r="BJ1298" t="s">
        <v>583</v>
      </c>
      <c r="BK1298" t="s">
        <v>313</v>
      </c>
      <c r="BL1298" t="s">
        <v>100</v>
      </c>
      <c r="BM1298" t="s">
        <v>29724</v>
      </c>
      <c r="BN1298" t="s">
        <v>74</v>
      </c>
      <c r="BO1298" t="s">
        <v>916</v>
      </c>
      <c r="BP1298" t="s">
        <v>74</v>
      </c>
      <c r="BQ1298" t="s">
        <v>74</v>
      </c>
      <c r="BR1298" t="s">
        <v>102</v>
      </c>
      <c r="BS1298" t="s">
        <v>29723</v>
      </c>
      <c r="BT1298" t="str">
        <f>HYPERLINK("https%3A%2F%2Fwww.webofscience.com%2Fwos%2Fwoscc%2Ffull-record%2FWOS:000412435400004","View Full Record in Web of Science")</f>
        <v>View Full Record in Web of Science</v>
      </c>
    </row>
    <row r="1299" spans="1:72" x14ac:dyDescent="0.25">
      <c r="A1299" t="s">
        <v>72</v>
      </c>
      <c r="B1299" t="s">
        <v>29722</v>
      </c>
      <c r="C1299" t="s">
        <v>74</v>
      </c>
      <c r="D1299" t="s">
        <v>74</v>
      </c>
      <c r="E1299" t="s">
        <v>74</v>
      </c>
      <c r="F1299" t="s">
        <v>29721</v>
      </c>
      <c r="G1299" t="s">
        <v>74</v>
      </c>
      <c r="H1299" t="s">
        <v>74</v>
      </c>
      <c r="I1299" t="s">
        <v>29720</v>
      </c>
      <c r="J1299" t="s">
        <v>29719</v>
      </c>
      <c r="K1299" t="s">
        <v>74</v>
      </c>
      <c r="L1299" t="s">
        <v>74</v>
      </c>
      <c r="M1299" t="s">
        <v>78</v>
      </c>
      <c r="N1299" t="s">
        <v>79</v>
      </c>
      <c r="O1299" t="s">
        <v>74</v>
      </c>
      <c r="P1299" t="s">
        <v>74</v>
      </c>
      <c r="Q1299" t="s">
        <v>74</v>
      </c>
      <c r="R1299" t="s">
        <v>74</v>
      </c>
      <c r="S1299" t="s">
        <v>74</v>
      </c>
      <c r="T1299" t="s">
        <v>74</v>
      </c>
      <c r="U1299" t="s">
        <v>18318</v>
      </c>
      <c r="V1299" t="s">
        <v>29718</v>
      </c>
      <c r="W1299" t="s">
        <v>74</v>
      </c>
      <c r="X1299" t="s">
        <v>74</v>
      </c>
      <c r="Y1299" t="s">
        <v>74</v>
      </c>
      <c r="Z1299" t="s">
        <v>29717</v>
      </c>
      <c r="AA1299" t="s">
        <v>74</v>
      </c>
      <c r="AB1299" t="s">
        <v>74</v>
      </c>
      <c r="AC1299" t="s">
        <v>74</v>
      </c>
      <c r="AD1299" t="s">
        <v>74</v>
      </c>
      <c r="AE1299" t="s">
        <v>74</v>
      </c>
      <c r="AF1299" t="s">
        <v>74</v>
      </c>
      <c r="AG1299">
        <v>48</v>
      </c>
      <c r="AH1299">
        <v>147</v>
      </c>
      <c r="AI1299">
        <v>209</v>
      </c>
      <c r="AJ1299">
        <v>4</v>
      </c>
      <c r="AK1299">
        <v>67</v>
      </c>
      <c r="AL1299" t="s">
        <v>2551</v>
      </c>
      <c r="AM1299" t="s">
        <v>231</v>
      </c>
      <c r="AN1299" t="s">
        <v>2552</v>
      </c>
      <c r="AO1299" t="s">
        <v>29716</v>
      </c>
      <c r="AP1299" t="s">
        <v>29715</v>
      </c>
      <c r="AQ1299" t="s">
        <v>74</v>
      </c>
      <c r="AR1299" t="s">
        <v>29714</v>
      </c>
      <c r="AS1299" t="s">
        <v>29713</v>
      </c>
      <c r="AT1299" t="s">
        <v>289</v>
      </c>
      <c r="AU1299">
        <v>2015</v>
      </c>
      <c r="AV1299">
        <v>30</v>
      </c>
      <c r="AW1299">
        <v>2</v>
      </c>
      <c r="AX1299" t="s">
        <v>74</v>
      </c>
      <c r="AY1299" t="s">
        <v>74</v>
      </c>
      <c r="AZ1299" t="s">
        <v>74</v>
      </c>
      <c r="BA1299" t="s">
        <v>74</v>
      </c>
      <c r="BB1299">
        <v>220</v>
      </c>
      <c r="BC1299">
        <v>246</v>
      </c>
      <c r="BD1299" t="s">
        <v>74</v>
      </c>
      <c r="BE1299" t="s">
        <v>29712</v>
      </c>
      <c r="BF1299" t="str">
        <f>HYPERLINK("http://dx.doi.org/10.1093/wbro/lkv009","http://dx.doi.org/10.1093/wbro/lkv009")</f>
        <v>http://dx.doi.org/10.1093/wbro/lkv009</v>
      </c>
      <c r="BG1299" t="s">
        <v>74</v>
      </c>
      <c r="BH1299" t="s">
        <v>74</v>
      </c>
      <c r="BI1299">
        <v>27</v>
      </c>
      <c r="BJ1299" t="s">
        <v>701</v>
      </c>
      <c r="BK1299" t="s">
        <v>99</v>
      </c>
      <c r="BL1299" t="s">
        <v>702</v>
      </c>
      <c r="BM1299" t="s">
        <v>29711</v>
      </c>
      <c r="BN1299" t="s">
        <v>74</v>
      </c>
      <c r="BO1299" t="s">
        <v>74</v>
      </c>
      <c r="BP1299" t="s">
        <v>74</v>
      </c>
      <c r="BQ1299" t="s">
        <v>74</v>
      </c>
      <c r="BR1299" t="s">
        <v>102</v>
      </c>
      <c r="BS1299" t="s">
        <v>29710</v>
      </c>
      <c r="BT1299" t="str">
        <f>HYPERLINK("https%3A%2F%2Fwww.webofscience.com%2Fwos%2Fwoscc%2Ffull-record%2FWOS:000359621300003","View Full Record in Web of Science")</f>
        <v>View Full Record in Web of Science</v>
      </c>
    </row>
    <row r="1300" spans="1:72" x14ac:dyDescent="0.25">
      <c r="A1300" t="s">
        <v>72</v>
      </c>
      <c r="B1300" t="s">
        <v>29709</v>
      </c>
      <c r="C1300" t="s">
        <v>74</v>
      </c>
      <c r="D1300" t="s">
        <v>74</v>
      </c>
      <c r="E1300" t="s">
        <v>74</v>
      </c>
      <c r="F1300" t="s">
        <v>29708</v>
      </c>
      <c r="G1300" t="s">
        <v>74</v>
      </c>
      <c r="H1300" t="s">
        <v>74</v>
      </c>
      <c r="I1300" t="s">
        <v>29707</v>
      </c>
      <c r="J1300" t="s">
        <v>29706</v>
      </c>
      <c r="K1300" t="s">
        <v>74</v>
      </c>
      <c r="L1300" t="s">
        <v>74</v>
      </c>
      <c r="M1300" t="s">
        <v>78</v>
      </c>
      <c r="N1300" t="s">
        <v>372</v>
      </c>
      <c r="O1300" t="s">
        <v>74</v>
      </c>
      <c r="P1300" t="s">
        <v>74</v>
      </c>
      <c r="Q1300" t="s">
        <v>74</v>
      </c>
      <c r="R1300" t="s">
        <v>74</v>
      </c>
      <c r="S1300" t="s">
        <v>74</v>
      </c>
      <c r="T1300" t="s">
        <v>29705</v>
      </c>
      <c r="U1300" t="s">
        <v>29704</v>
      </c>
      <c r="V1300" t="s">
        <v>29703</v>
      </c>
      <c r="W1300" t="s">
        <v>29702</v>
      </c>
      <c r="X1300" t="s">
        <v>29701</v>
      </c>
      <c r="Y1300" t="s">
        <v>29700</v>
      </c>
      <c r="Z1300" t="s">
        <v>29699</v>
      </c>
      <c r="AA1300" t="s">
        <v>29698</v>
      </c>
      <c r="AB1300" t="s">
        <v>29697</v>
      </c>
      <c r="AC1300" t="s">
        <v>74</v>
      </c>
      <c r="AD1300" t="s">
        <v>74</v>
      </c>
      <c r="AE1300" t="s">
        <v>74</v>
      </c>
      <c r="AF1300" t="s">
        <v>74</v>
      </c>
      <c r="AG1300">
        <v>69</v>
      </c>
      <c r="AH1300">
        <v>1</v>
      </c>
      <c r="AI1300">
        <v>2</v>
      </c>
      <c r="AJ1300">
        <v>4</v>
      </c>
      <c r="AK1300">
        <v>14</v>
      </c>
      <c r="AL1300" t="s">
        <v>479</v>
      </c>
      <c r="AM1300" t="s">
        <v>480</v>
      </c>
      <c r="AN1300" t="s">
        <v>481</v>
      </c>
      <c r="AO1300" t="s">
        <v>29696</v>
      </c>
      <c r="AP1300" t="s">
        <v>29695</v>
      </c>
      <c r="AQ1300" t="s">
        <v>74</v>
      </c>
      <c r="AR1300" t="s">
        <v>29694</v>
      </c>
      <c r="AS1300" t="s">
        <v>29693</v>
      </c>
      <c r="AT1300" t="s">
        <v>29692</v>
      </c>
      <c r="AU1300">
        <v>2024</v>
      </c>
      <c r="AV1300" t="s">
        <v>74</v>
      </c>
      <c r="AW1300" t="s">
        <v>74</v>
      </c>
      <c r="AX1300" t="s">
        <v>74</v>
      </c>
      <c r="AY1300" t="s">
        <v>74</v>
      </c>
      <c r="AZ1300" t="s">
        <v>74</v>
      </c>
      <c r="BA1300" t="s">
        <v>74</v>
      </c>
      <c r="BB1300" t="s">
        <v>74</v>
      </c>
      <c r="BC1300" t="s">
        <v>74</v>
      </c>
      <c r="BD1300" t="s">
        <v>74</v>
      </c>
      <c r="BE1300" t="s">
        <v>29691</v>
      </c>
      <c r="BF1300" t="str">
        <f>HYPERLINK("http://dx.doi.org/10.1111/jmcb.13208","http://dx.doi.org/10.1111/jmcb.13208")</f>
        <v>http://dx.doi.org/10.1111/jmcb.13208</v>
      </c>
      <c r="BG1300" t="s">
        <v>74</v>
      </c>
      <c r="BH1300" t="s">
        <v>1136</v>
      </c>
      <c r="BI1300">
        <v>33</v>
      </c>
      <c r="BJ1300" t="s">
        <v>210</v>
      </c>
      <c r="BK1300" t="s">
        <v>99</v>
      </c>
      <c r="BL1300" t="s">
        <v>100</v>
      </c>
      <c r="BM1300" t="s">
        <v>29690</v>
      </c>
      <c r="BN1300" t="s">
        <v>74</v>
      </c>
      <c r="BO1300" t="s">
        <v>466</v>
      </c>
      <c r="BP1300" t="s">
        <v>74</v>
      </c>
      <c r="BQ1300" t="s">
        <v>74</v>
      </c>
      <c r="BR1300" t="s">
        <v>102</v>
      </c>
      <c r="BS1300" t="s">
        <v>29689</v>
      </c>
      <c r="BT1300" t="str">
        <f>HYPERLINK("https%3A%2F%2Fwww.webofscience.com%2Fwos%2Fwoscc%2Ffull-record%2FWOS:001325452400001","View Full Record in Web of Science")</f>
        <v>View Full Record in Web of Science</v>
      </c>
    </row>
    <row r="1301" spans="1:72" x14ac:dyDescent="0.25">
      <c r="A1301" t="s">
        <v>72</v>
      </c>
      <c r="B1301" t="s">
        <v>29688</v>
      </c>
      <c r="C1301" t="s">
        <v>74</v>
      </c>
      <c r="D1301" t="s">
        <v>74</v>
      </c>
      <c r="E1301" t="s">
        <v>74</v>
      </c>
      <c r="F1301" t="s">
        <v>29687</v>
      </c>
      <c r="G1301" t="s">
        <v>74</v>
      </c>
      <c r="H1301" t="s">
        <v>74</v>
      </c>
      <c r="I1301" t="s">
        <v>29686</v>
      </c>
      <c r="J1301" t="s">
        <v>2309</v>
      </c>
      <c r="K1301" t="s">
        <v>74</v>
      </c>
      <c r="L1301" t="s">
        <v>74</v>
      </c>
      <c r="M1301" t="s">
        <v>78</v>
      </c>
      <c r="N1301" t="s">
        <v>372</v>
      </c>
      <c r="O1301" t="s">
        <v>74</v>
      </c>
      <c r="P1301" t="s">
        <v>74</v>
      </c>
      <c r="Q1301" t="s">
        <v>74</v>
      </c>
      <c r="R1301" t="s">
        <v>74</v>
      </c>
      <c r="S1301" t="s">
        <v>74</v>
      </c>
      <c r="T1301" t="s">
        <v>29685</v>
      </c>
      <c r="U1301" t="s">
        <v>29684</v>
      </c>
      <c r="V1301" t="s">
        <v>29683</v>
      </c>
      <c r="W1301" t="s">
        <v>29682</v>
      </c>
      <c r="X1301" t="s">
        <v>29681</v>
      </c>
      <c r="Y1301" t="s">
        <v>29680</v>
      </c>
      <c r="Z1301" t="s">
        <v>29679</v>
      </c>
      <c r="AA1301" t="s">
        <v>74</v>
      </c>
      <c r="AB1301" t="s">
        <v>74</v>
      </c>
      <c r="AC1301" t="s">
        <v>74</v>
      </c>
      <c r="AD1301" t="s">
        <v>74</v>
      </c>
      <c r="AE1301" t="s">
        <v>74</v>
      </c>
      <c r="AF1301" t="s">
        <v>74</v>
      </c>
      <c r="AG1301">
        <v>71</v>
      </c>
      <c r="AH1301">
        <v>0</v>
      </c>
      <c r="AI1301">
        <v>0</v>
      </c>
      <c r="AJ1301">
        <v>5</v>
      </c>
      <c r="AK1301">
        <v>5</v>
      </c>
      <c r="AL1301" t="s">
        <v>332</v>
      </c>
      <c r="AM1301" t="s">
        <v>333</v>
      </c>
      <c r="AN1301" t="s">
        <v>334</v>
      </c>
      <c r="AO1301" t="s">
        <v>2322</v>
      </c>
      <c r="AP1301" t="s">
        <v>2323</v>
      </c>
      <c r="AQ1301" t="s">
        <v>74</v>
      </c>
      <c r="AR1301" t="s">
        <v>2324</v>
      </c>
      <c r="AS1301" t="s">
        <v>2325</v>
      </c>
      <c r="AT1301" t="s">
        <v>29678</v>
      </c>
      <c r="AU1301">
        <v>2025</v>
      </c>
      <c r="AV1301" t="s">
        <v>74</v>
      </c>
      <c r="AW1301" t="s">
        <v>74</v>
      </c>
      <c r="AX1301" t="s">
        <v>74</v>
      </c>
      <c r="AY1301" t="s">
        <v>74</v>
      </c>
      <c r="AZ1301" t="s">
        <v>74</v>
      </c>
      <c r="BA1301" t="s">
        <v>74</v>
      </c>
      <c r="BB1301" t="s">
        <v>74</v>
      </c>
      <c r="BC1301" t="s">
        <v>74</v>
      </c>
      <c r="BD1301" t="s">
        <v>74</v>
      </c>
      <c r="BE1301" t="s">
        <v>29677</v>
      </c>
      <c r="BF1301" t="str">
        <f>HYPERLINK("http://dx.doi.org/10.1080/00220388.2025.2590457","http://dx.doi.org/10.1080/00220388.2025.2590457")</f>
        <v>http://dx.doi.org/10.1080/00220388.2025.2590457</v>
      </c>
      <c r="BG1301" t="s">
        <v>74</v>
      </c>
      <c r="BH1301" t="s">
        <v>2044</v>
      </c>
      <c r="BI1301">
        <v>25</v>
      </c>
      <c r="BJ1301" t="s">
        <v>701</v>
      </c>
      <c r="BK1301" t="s">
        <v>99</v>
      </c>
      <c r="BL1301" t="s">
        <v>702</v>
      </c>
      <c r="BM1301" t="s">
        <v>29676</v>
      </c>
      <c r="BN1301" t="s">
        <v>74</v>
      </c>
      <c r="BO1301" t="s">
        <v>74</v>
      </c>
      <c r="BP1301" t="s">
        <v>74</v>
      </c>
      <c r="BQ1301" t="s">
        <v>74</v>
      </c>
      <c r="BR1301" t="s">
        <v>102</v>
      </c>
      <c r="BS1301" t="s">
        <v>29675</v>
      </c>
      <c r="BT1301" t="str">
        <f>HYPERLINK("https%3A%2F%2Fwww.webofscience.com%2Fwos%2Fwoscc%2Ffull-record%2FWOS:001628573500001","View Full Record in Web of Science")</f>
        <v>View Full Record in Web of Science</v>
      </c>
    </row>
    <row r="1302" spans="1:72" x14ac:dyDescent="0.25">
      <c r="A1302" t="s">
        <v>72</v>
      </c>
      <c r="B1302" t="s">
        <v>29674</v>
      </c>
      <c r="C1302" t="s">
        <v>74</v>
      </c>
      <c r="D1302" t="s">
        <v>74</v>
      </c>
      <c r="E1302" t="s">
        <v>74</v>
      </c>
      <c r="F1302" t="s">
        <v>29673</v>
      </c>
      <c r="G1302" t="s">
        <v>74</v>
      </c>
      <c r="H1302" t="s">
        <v>74</v>
      </c>
      <c r="I1302" t="s">
        <v>29672</v>
      </c>
      <c r="J1302" t="s">
        <v>16127</v>
      </c>
      <c r="K1302" t="s">
        <v>74</v>
      </c>
      <c r="L1302" t="s">
        <v>74</v>
      </c>
      <c r="M1302" t="s">
        <v>78</v>
      </c>
      <c r="N1302" t="s">
        <v>79</v>
      </c>
      <c r="O1302" t="s">
        <v>74</v>
      </c>
      <c r="P1302" t="s">
        <v>74</v>
      </c>
      <c r="Q1302" t="s">
        <v>74</v>
      </c>
      <c r="R1302" t="s">
        <v>74</v>
      </c>
      <c r="S1302" t="s">
        <v>74</v>
      </c>
      <c r="T1302" t="s">
        <v>29671</v>
      </c>
      <c r="U1302" t="s">
        <v>29670</v>
      </c>
      <c r="V1302" t="s">
        <v>29669</v>
      </c>
      <c r="W1302" t="s">
        <v>29668</v>
      </c>
      <c r="X1302" t="s">
        <v>29667</v>
      </c>
      <c r="Y1302" t="s">
        <v>29666</v>
      </c>
      <c r="Z1302" t="s">
        <v>29665</v>
      </c>
      <c r="AA1302" t="s">
        <v>29664</v>
      </c>
      <c r="AB1302" t="s">
        <v>74</v>
      </c>
      <c r="AC1302" t="s">
        <v>74</v>
      </c>
      <c r="AD1302" t="s">
        <v>74</v>
      </c>
      <c r="AE1302" t="s">
        <v>74</v>
      </c>
      <c r="AF1302" t="s">
        <v>74</v>
      </c>
      <c r="AG1302">
        <v>43</v>
      </c>
      <c r="AH1302">
        <v>0</v>
      </c>
      <c r="AI1302">
        <v>0</v>
      </c>
      <c r="AJ1302">
        <v>1</v>
      </c>
      <c r="AK1302">
        <v>1</v>
      </c>
      <c r="AL1302" t="s">
        <v>16138</v>
      </c>
      <c r="AM1302" t="s">
        <v>16139</v>
      </c>
      <c r="AN1302" t="s">
        <v>16140</v>
      </c>
      <c r="AO1302" t="s">
        <v>16141</v>
      </c>
      <c r="AP1302" t="s">
        <v>16142</v>
      </c>
      <c r="AQ1302" t="s">
        <v>74</v>
      </c>
      <c r="AR1302" t="s">
        <v>16143</v>
      </c>
      <c r="AS1302" t="s">
        <v>16144</v>
      </c>
      <c r="AT1302" t="s">
        <v>891</v>
      </c>
      <c r="AU1302">
        <v>2025</v>
      </c>
      <c r="AV1302">
        <v>29</v>
      </c>
      <c r="AW1302">
        <v>11</v>
      </c>
      <c r="AX1302" t="s">
        <v>74</v>
      </c>
      <c r="AY1302" t="s">
        <v>74</v>
      </c>
      <c r="AZ1302" t="s">
        <v>74</v>
      </c>
      <c r="BA1302" t="s">
        <v>74</v>
      </c>
      <c r="BB1302">
        <v>189</v>
      </c>
      <c r="BC1302">
        <v>203</v>
      </c>
      <c r="BD1302" t="s">
        <v>74</v>
      </c>
      <c r="BE1302" t="s">
        <v>29663</v>
      </c>
      <c r="BF1302" t="str">
        <f>HYPERLINK("http://dx.doi.org/10.29063/ajrh2025/v29i11.17","http://dx.doi.org/10.29063/ajrh2025/v29i11.17")</f>
        <v>http://dx.doi.org/10.29063/ajrh2025/v29i11.17</v>
      </c>
      <c r="BG1302" t="s">
        <v>74</v>
      </c>
      <c r="BH1302" t="s">
        <v>74</v>
      </c>
      <c r="BI1302">
        <v>15</v>
      </c>
      <c r="BJ1302" t="s">
        <v>7080</v>
      </c>
      <c r="BK1302" t="s">
        <v>99</v>
      </c>
      <c r="BL1302" t="s">
        <v>7080</v>
      </c>
      <c r="BM1302" t="s">
        <v>29662</v>
      </c>
      <c r="BN1302">
        <v>41293027</v>
      </c>
      <c r="BO1302" t="s">
        <v>74</v>
      </c>
      <c r="BP1302" t="s">
        <v>74</v>
      </c>
      <c r="BQ1302" t="s">
        <v>74</v>
      </c>
      <c r="BR1302" t="s">
        <v>102</v>
      </c>
      <c r="BS1302" t="s">
        <v>29661</v>
      </c>
      <c r="BT1302" t="str">
        <f>HYPERLINK("https%3A%2F%2Fwww.webofscience.com%2Fwos%2Fwoscc%2Ffull-record%2FWOS:001631688500017","View Full Record in Web of Science")</f>
        <v>View Full Record in Web of Science</v>
      </c>
    </row>
    <row r="1303" spans="1:72" x14ac:dyDescent="0.25">
      <c r="A1303" t="s">
        <v>72</v>
      </c>
      <c r="B1303" t="s">
        <v>29660</v>
      </c>
      <c r="C1303" t="s">
        <v>74</v>
      </c>
      <c r="D1303" t="s">
        <v>74</v>
      </c>
      <c r="E1303" t="s">
        <v>74</v>
      </c>
      <c r="F1303" t="s">
        <v>29659</v>
      </c>
      <c r="G1303" t="s">
        <v>74</v>
      </c>
      <c r="H1303" t="s">
        <v>74</v>
      </c>
      <c r="I1303" t="s">
        <v>29658</v>
      </c>
      <c r="J1303" t="s">
        <v>5937</v>
      </c>
      <c r="K1303" t="s">
        <v>74</v>
      </c>
      <c r="L1303" t="s">
        <v>74</v>
      </c>
      <c r="M1303" t="s">
        <v>78</v>
      </c>
      <c r="N1303" t="s">
        <v>372</v>
      </c>
      <c r="O1303" t="s">
        <v>74</v>
      </c>
      <c r="P1303" t="s">
        <v>74</v>
      </c>
      <c r="Q1303" t="s">
        <v>74</v>
      </c>
      <c r="R1303" t="s">
        <v>74</v>
      </c>
      <c r="S1303" t="s">
        <v>74</v>
      </c>
      <c r="T1303" t="s">
        <v>29657</v>
      </c>
      <c r="U1303" t="s">
        <v>10980</v>
      </c>
      <c r="V1303" t="s">
        <v>29656</v>
      </c>
      <c r="W1303" t="s">
        <v>29655</v>
      </c>
      <c r="X1303" t="s">
        <v>74</v>
      </c>
      <c r="Y1303" t="s">
        <v>29654</v>
      </c>
      <c r="Z1303" t="s">
        <v>29653</v>
      </c>
      <c r="AA1303" t="s">
        <v>74</v>
      </c>
      <c r="AB1303" t="s">
        <v>74</v>
      </c>
      <c r="AC1303" t="s">
        <v>29652</v>
      </c>
      <c r="AD1303" t="s">
        <v>29652</v>
      </c>
      <c r="AE1303" t="s">
        <v>29651</v>
      </c>
      <c r="AF1303" t="s">
        <v>74</v>
      </c>
      <c r="AG1303">
        <v>69</v>
      </c>
      <c r="AH1303">
        <v>0</v>
      </c>
      <c r="AI1303">
        <v>0</v>
      </c>
      <c r="AJ1303">
        <v>0</v>
      </c>
      <c r="AK1303">
        <v>0</v>
      </c>
      <c r="AL1303" t="s">
        <v>89</v>
      </c>
      <c r="AM1303" t="s">
        <v>90</v>
      </c>
      <c r="AN1303" t="s">
        <v>91</v>
      </c>
      <c r="AO1303" t="s">
        <v>5946</v>
      </c>
      <c r="AP1303" t="s">
        <v>5947</v>
      </c>
      <c r="AQ1303" t="s">
        <v>74</v>
      </c>
      <c r="AR1303" t="s">
        <v>5948</v>
      </c>
      <c r="AS1303" t="s">
        <v>5949</v>
      </c>
      <c r="AT1303" t="s">
        <v>29650</v>
      </c>
      <c r="AU1303">
        <v>2025</v>
      </c>
      <c r="AV1303" t="s">
        <v>74</v>
      </c>
      <c r="AW1303" t="s">
        <v>74</v>
      </c>
      <c r="AX1303" t="s">
        <v>74</v>
      </c>
      <c r="AY1303" t="s">
        <v>74</v>
      </c>
      <c r="AZ1303" t="s">
        <v>74</v>
      </c>
      <c r="BA1303" t="s">
        <v>74</v>
      </c>
      <c r="BB1303" t="s">
        <v>74</v>
      </c>
      <c r="BC1303" t="s">
        <v>74</v>
      </c>
      <c r="BD1303" t="s">
        <v>74</v>
      </c>
      <c r="BE1303" t="s">
        <v>29649</v>
      </c>
      <c r="BF1303" t="str">
        <f>HYPERLINK("http://dx.doi.org/10.1108/JSTPM-04-2024-0135","http://dx.doi.org/10.1108/JSTPM-04-2024-0135")</f>
        <v>http://dx.doi.org/10.1108/JSTPM-04-2024-0135</v>
      </c>
      <c r="BG1303" t="s">
        <v>74</v>
      </c>
      <c r="BH1303" t="s">
        <v>488</v>
      </c>
      <c r="BI1303">
        <v>20</v>
      </c>
      <c r="BJ1303" t="s">
        <v>583</v>
      </c>
      <c r="BK1303" t="s">
        <v>313</v>
      </c>
      <c r="BL1303" t="s">
        <v>100</v>
      </c>
      <c r="BM1303" t="s">
        <v>29648</v>
      </c>
      <c r="BN1303" t="s">
        <v>74</v>
      </c>
      <c r="BO1303" t="s">
        <v>74</v>
      </c>
      <c r="BP1303" t="s">
        <v>74</v>
      </c>
      <c r="BQ1303" t="s">
        <v>74</v>
      </c>
      <c r="BR1303" t="s">
        <v>102</v>
      </c>
      <c r="BS1303" t="s">
        <v>29647</v>
      </c>
      <c r="BT1303" t="str">
        <f>HYPERLINK("https%3A%2F%2Fwww.webofscience.com%2Fwos%2Fwoscc%2Ffull-record%2FWOS:001639350300001","View Full Record in Web of Science")</f>
        <v>View Full Record in Web of Science</v>
      </c>
    </row>
    <row r="1304" spans="1:72" x14ac:dyDescent="0.25">
      <c r="A1304" t="s">
        <v>72</v>
      </c>
      <c r="B1304" t="s">
        <v>29646</v>
      </c>
      <c r="C1304" t="s">
        <v>74</v>
      </c>
      <c r="D1304" t="s">
        <v>74</v>
      </c>
      <c r="E1304" t="s">
        <v>74</v>
      </c>
      <c r="F1304" t="s">
        <v>29645</v>
      </c>
      <c r="G1304" t="s">
        <v>74</v>
      </c>
      <c r="H1304" t="s">
        <v>74</v>
      </c>
      <c r="I1304" t="s">
        <v>29644</v>
      </c>
      <c r="J1304" t="s">
        <v>107</v>
      </c>
      <c r="K1304" t="s">
        <v>74</v>
      </c>
      <c r="L1304" t="s">
        <v>74</v>
      </c>
      <c r="M1304" t="s">
        <v>78</v>
      </c>
      <c r="N1304" t="s">
        <v>79</v>
      </c>
      <c r="O1304" t="s">
        <v>74</v>
      </c>
      <c r="P1304" t="s">
        <v>74</v>
      </c>
      <c r="Q1304" t="s">
        <v>74</v>
      </c>
      <c r="R1304" t="s">
        <v>74</v>
      </c>
      <c r="S1304" t="s">
        <v>74</v>
      </c>
      <c r="T1304" t="s">
        <v>29643</v>
      </c>
      <c r="U1304" t="s">
        <v>2073</v>
      </c>
      <c r="V1304" t="s">
        <v>29642</v>
      </c>
      <c r="W1304" t="s">
        <v>29641</v>
      </c>
      <c r="X1304" t="s">
        <v>74</v>
      </c>
      <c r="Y1304" t="s">
        <v>29640</v>
      </c>
      <c r="Z1304" t="s">
        <v>29639</v>
      </c>
      <c r="AA1304" t="s">
        <v>74</v>
      </c>
      <c r="AB1304" t="s">
        <v>74</v>
      </c>
      <c r="AC1304" t="s">
        <v>74</v>
      </c>
      <c r="AD1304" t="s">
        <v>74</v>
      </c>
      <c r="AE1304" t="s">
        <v>74</v>
      </c>
      <c r="AF1304" t="s">
        <v>74</v>
      </c>
      <c r="AG1304">
        <v>30</v>
      </c>
      <c r="AH1304">
        <v>11</v>
      </c>
      <c r="AI1304">
        <v>12</v>
      </c>
      <c r="AJ1304">
        <v>8</v>
      </c>
      <c r="AK1304">
        <v>36</v>
      </c>
      <c r="AL1304" t="s">
        <v>117</v>
      </c>
      <c r="AM1304" t="s">
        <v>118</v>
      </c>
      <c r="AN1304" t="s">
        <v>119</v>
      </c>
      <c r="AO1304" t="s">
        <v>120</v>
      </c>
      <c r="AP1304" t="s">
        <v>121</v>
      </c>
      <c r="AQ1304" t="s">
        <v>74</v>
      </c>
      <c r="AR1304" t="s">
        <v>122</v>
      </c>
      <c r="AS1304" t="s">
        <v>123</v>
      </c>
      <c r="AT1304" t="s">
        <v>124</v>
      </c>
      <c r="AU1304">
        <v>2023</v>
      </c>
      <c r="AV1304">
        <v>30</v>
      </c>
      <c r="AW1304">
        <v>57</v>
      </c>
      <c r="AX1304" t="s">
        <v>74</v>
      </c>
      <c r="AY1304" t="s">
        <v>74</v>
      </c>
      <c r="AZ1304" t="s">
        <v>74</v>
      </c>
      <c r="BA1304" t="s">
        <v>74</v>
      </c>
      <c r="BB1304">
        <v>120576</v>
      </c>
      <c r="BC1304">
        <v>120589</v>
      </c>
      <c r="BD1304" t="s">
        <v>74</v>
      </c>
      <c r="BE1304" t="s">
        <v>29638</v>
      </c>
      <c r="BF1304" t="str">
        <f>HYPERLINK("http://dx.doi.org/10.1007/s11356-023-30371-5","http://dx.doi.org/10.1007/s11356-023-30371-5")</f>
        <v>http://dx.doi.org/10.1007/s11356-023-30371-5</v>
      </c>
      <c r="BG1304" t="s">
        <v>74</v>
      </c>
      <c r="BH1304" t="s">
        <v>3535</v>
      </c>
      <c r="BI1304">
        <v>14</v>
      </c>
      <c r="BJ1304" t="s">
        <v>127</v>
      </c>
      <c r="BK1304" t="s">
        <v>128</v>
      </c>
      <c r="BL1304" t="s">
        <v>129</v>
      </c>
      <c r="BM1304" t="s">
        <v>29637</v>
      </c>
      <c r="BN1304">
        <v>37945947</v>
      </c>
      <c r="BO1304" t="s">
        <v>74</v>
      </c>
      <c r="BP1304" t="s">
        <v>74</v>
      </c>
      <c r="BQ1304" t="s">
        <v>74</v>
      </c>
      <c r="BR1304" t="s">
        <v>102</v>
      </c>
      <c r="BS1304" t="s">
        <v>29636</v>
      </c>
      <c r="BT1304" t="str">
        <f>HYPERLINK("https%3A%2F%2Fwww.webofscience.com%2Fwos%2Fwoscc%2Ffull-record%2FWOS:001102610400012","View Full Record in Web of Science")</f>
        <v>View Full Record in Web of Science</v>
      </c>
    </row>
    <row r="1305" spans="1:72" x14ac:dyDescent="0.25">
      <c r="A1305" t="s">
        <v>72</v>
      </c>
      <c r="B1305" t="s">
        <v>8070</v>
      </c>
      <c r="C1305" t="s">
        <v>74</v>
      </c>
      <c r="D1305" t="s">
        <v>74</v>
      </c>
      <c r="E1305" t="s">
        <v>74</v>
      </c>
      <c r="F1305" t="s">
        <v>8071</v>
      </c>
      <c r="G1305" t="s">
        <v>74</v>
      </c>
      <c r="H1305" t="s">
        <v>74</v>
      </c>
      <c r="I1305" t="s">
        <v>29635</v>
      </c>
      <c r="J1305" t="s">
        <v>729</v>
      </c>
      <c r="K1305" t="s">
        <v>74</v>
      </c>
      <c r="L1305" t="s">
        <v>74</v>
      </c>
      <c r="M1305" t="s">
        <v>78</v>
      </c>
      <c r="N1305" t="s">
        <v>79</v>
      </c>
      <c r="O1305" t="s">
        <v>74</v>
      </c>
      <c r="P1305" t="s">
        <v>74</v>
      </c>
      <c r="Q1305" t="s">
        <v>74</v>
      </c>
      <c r="R1305" t="s">
        <v>74</v>
      </c>
      <c r="S1305" t="s">
        <v>74</v>
      </c>
      <c r="T1305" t="s">
        <v>29634</v>
      </c>
      <c r="U1305" t="s">
        <v>1369</v>
      </c>
      <c r="V1305" t="s">
        <v>29633</v>
      </c>
      <c r="W1305" t="s">
        <v>29632</v>
      </c>
      <c r="X1305" t="s">
        <v>8076</v>
      </c>
      <c r="Y1305" t="s">
        <v>29631</v>
      </c>
      <c r="Z1305" t="s">
        <v>8078</v>
      </c>
      <c r="AA1305" t="s">
        <v>8079</v>
      </c>
      <c r="AB1305" t="s">
        <v>74</v>
      </c>
      <c r="AC1305" t="s">
        <v>74</v>
      </c>
      <c r="AD1305" t="s">
        <v>74</v>
      </c>
      <c r="AE1305" t="s">
        <v>74</v>
      </c>
      <c r="AF1305" t="s">
        <v>74</v>
      </c>
      <c r="AG1305">
        <v>35</v>
      </c>
      <c r="AH1305">
        <v>9</v>
      </c>
      <c r="AI1305">
        <v>12</v>
      </c>
      <c r="AJ1305">
        <v>0</v>
      </c>
      <c r="AK1305">
        <v>21</v>
      </c>
      <c r="AL1305" t="s">
        <v>479</v>
      </c>
      <c r="AM1305" t="s">
        <v>480</v>
      </c>
      <c r="AN1305" t="s">
        <v>481</v>
      </c>
      <c r="AO1305" t="s">
        <v>739</v>
      </c>
      <c r="AP1305" t="s">
        <v>740</v>
      </c>
      <c r="AQ1305" t="s">
        <v>74</v>
      </c>
      <c r="AR1305" t="s">
        <v>741</v>
      </c>
      <c r="AS1305" t="s">
        <v>742</v>
      </c>
      <c r="AT1305" t="s">
        <v>208</v>
      </c>
      <c r="AU1305">
        <v>2022</v>
      </c>
      <c r="AV1305">
        <v>27</v>
      </c>
      <c r="AW1305">
        <v>1</v>
      </c>
      <c r="AX1305" t="s">
        <v>74</v>
      </c>
      <c r="AY1305" t="s">
        <v>74</v>
      </c>
      <c r="AZ1305" t="s">
        <v>74</v>
      </c>
      <c r="BA1305" t="s">
        <v>74</v>
      </c>
      <c r="BB1305">
        <v>1075</v>
      </c>
      <c r="BC1305">
        <v>1084</v>
      </c>
      <c r="BD1305" t="s">
        <v>74</v>
      </c>
      <c r="BE1305" t="s">
        <v>29630</v>
      </c>
      <c r="BF1305" t="str">
        <f>HYPERLINK("http://dx.doi.org/10.1002/ijfe.2201","http://dx.doi.org/10.1002/ijfe.2201")</f>
        <v>http://dx.doi.org/10.1002/ijfe.2201</v>
      </c>
      <c r="BG1305" t="s">
        <v>74</v>
      </c>
      <c r="BH1305" t="s">
        <v>22961</v>
      </c>
      <c r="BI1305">
        <v>10</v>
      </c>
      <c r="BJ1305" t="s">
        <v>268</v>
      </c>
      <c r="BK1305" t="s">
        <v>99</v>
      </c>
      <c r="BL1305" t="s">
        <v>100</v>
      </c>
      <c r="BM1305" t="s">
        <v>6165</v>
      </c>
      <c r="BN1305" t="s">
        <v>74</v>
      </c>
      <c r="BO1305" t="s">
        <v>74</v>
      </c>
      <c r="BP1305" t="s">
        <v>74</v>
      </c>
      <c r="BQ1305" t="s">
        <v>74</v>
      </c>
      <c r="BR1305" t="s">
        <v>102</v>
      </c>
      <c r="BS1305" t="s">
        <v>29629</v>
      </c>
      <c r="BT1305" t="str">
        <f>HYPERLINK("https%3A%2F%2Fwww.webofscience.com%2Fwos%2Fwoscc%2Ffull-record%2FWOS:000578958400001","View Full Record in Web of Science")</f>
        <v>View Full Record in Web of Science</v>
      </c>
    </row>
    <row r="1306" spans="1:72" x14ac:dyDescent="0.25">
      <c r="A1306" t="s">
        <v>72</v>
      </c>
      <c r="B1306" t="s">
        <v>29628</v>
      </c>
      <c r="C1306" t="s">
        <v>74</v>
      </c>
      <c r="D1306" t="s">
        <v>74</v>
      </c>
      <c r="E1306" t="s">
        <v>74</v>
      </c>
      <c r="F1306" t="s">
        <v>29627</v>
      </c>
      <c r="G1306" t="s">
        <v>74</v>
      </c>
      <c r="H1306" t="s">
        <v>74</v>
      </c>
      <c r="I1306" t="s">
        <v>29626</v>
      </c>
      <c r="J1306" t="s">
        <v>3332</v>
      </c>
      <c r="K1306" t="s">
        <v>74</v>
      </c>
      <c r="L1306" t="s">
        <v>74</v>
      </c>
      <c r="M1306" t="s">
        <v>78</v>
      </c>
      <c r="N1306" t="s">
        <v>79</v>
      </c>
      <c r="O1306" t="s">
        <v>74</v>
      </c>
      <c r="P1306" t="s">
        <v>74</v>
      </c>
      <c r="Q1306" t="s">
        <v>74</v>
      </c>
      <c r="R1306" t="s">
        <v>74</v>
      </c>
      <c r="S1306" t="s">
        <v>74</v>
      </c>
      <c r="T1306" t="s">
        <v>29625</v>
      </c>
      <c r="U1306" t="s">
        <v>29624</v>
      </c>
      <c r="V1306" t="s">
        <v>29623</v>
      </c>
      <c r="W1306" t="s">
        <v>29622</v>
      </c>
      <c r="X1306" t="s">
        <v>29621</v>
      </c>
      <c r="Y1306" t="s">
        <v>29620</v>
      </c>
      <c r="Z1306" t="s">
        <v>29619</v>
      </c>
      <c r="AA1306" t="s">
        <v>29618</v>
      </c>
      <c r="AB1306" t="s">
        <v>29617</v>
      </c>
      <c r="AC1306" t="s">
        <v>74</v>
      </c>
      <c r="AD1306" t="s">
        <v>74</v>
      </c>
      <c r="AE1306" t="s">
        <v>74</v>
      </c>
      <c r="AF1306" t="s">
        <v>74</v>
      </c>
      <c r="AG1306">
        <v>115</v>
      </c>
      <c r="AH1306">
        <v>9</v>
      </c>
      <c r="AI1306">
        <v>13</v>
      </c>
      <c r="AJ1306">
        <v>3</v>
      </c>
      <c r="AK1306">
        <v>11</v>
      </c>
      <c r="AL1306" t="s">
        <v>89</v>
      </c>
      <c r="AM1306" t="s">
        <v>90</v>
      </c>
      <c r="AN1306" t="s">
        <v>91</v>
      </c>
      <c r="AO1306" t="s">
        <v>3345</v>
      </c>
      <c r="AP1306" t="s">
        <v>3346</v>
      </c>
      <c r="AQ1306" t="s">
        <v>74</v>
      </c>
      <c r="AR1306" t="s">
        <v>3347</v>
      </c>
      <c r="AS1306" t="s">
        <v>3348</v>
      </c>
      <c r="AT1306" t="s">
        <v>1427</v>
      </c>
      <c r="AU1306">
        <v>2025</v>
      </c>
      <c r="AV1306">
        <v>16</v>
      </c>
      <c r="AW1306">
        <v>1</v>
      </c>
      <c r="AX1306" t="s">
        <v>74</v>
      </c>
      <c r="AY1306" t="s">
        <v>74</v>
      </c>
      <c r="AZ1306" t="s">
        <v>74</v>
      </c>
      <c r="BA1306" t="s">
        <v>74</v>
      </c>
      <c r="BB1306">
        <v>166</v>
      </c>
      <c r="BC1306">
        <v>192</v>
      </c>
      <c r="BD1306" t="s">
        <v>74</v>
      </c>
      <c r="BE1306" t="s">
        <v>29616</v>
      </c>
      <c r="BF1306" t="str">
        <f>HYPERLINK("http://dx.doi.org/10.1108/JIMA-07-2022-0197","http://dx.doi.org/10.1108/JIMA-07-2022-0197")</f>
        <v>http://dx.doi.org/10.1108/JIMA-07-2022-0197</v>
      </c>
      <c r="BG1306" t="s">
        <v>74</v>
      </c>
      <c r="BH1306" t="s">
        <v>9389</v>
      </c>
      <c r="BI1306">
        <v>27</v>
      </c>
      <c r="BJ1306" t="s">
        <v>418</v>
      </c>
      <c r="BK1306" t="s">
        <v>313</v>
      </c>
      <c r="BL1306" t="s">
        <v>100</v>
      </c>
      <c r="BM1306" t="s">
        <v>29615</v>
      </c>
      <c r="BN1306" t="s">
        <v>74</v>
      </c>
      <c r="BO1306" t="s">
        <v>74</v>
      </c>
      <c r="BP1306" t="s">
        <v>74</v>
      </c>
      <c r="BQ1306" t="s">
        <v>74</v>
      </c>
      <c r="BR1306" t="s">
        <v>102</v>
      </c>
      <c r="BS1306" t="s">
        <v>29614</v>
      </c>
      <c r="BT1306" t="str">
        <f>HYPERLINK("https%3A%2F%2Fwww.webofscience.com%2Fwos%2Fwoscc%2Ffull-record%2FWOS:001317815100001","View Full Record in Web of Science")</f>
        <v>View Full Record in Web of Science</v>
      </c>
    </row>
    <row r="1307" spans="1:72" x14ac:dyDescent="0.25">
      <c r="A1307" t="s">
        <v>72</v>
      </c>
      <c r="B1307" t="s">
        <v>29613</v>
      </c>
      <c r="C1307" t="s">
        <v>74</v>
      </c>
      <c r="D1307" t="s">
        <v>74</v>
      </c>
      <c r="E1307" t="s">
        <v>74</v>
      </c>
      <c r="F1307" t="s">
        <v>29612</v>
      </c>
      <c r="G1307" t="s">
        <v>74</v>
      </c>
      <c r="H1307" t="s">
        <v>74</v>
      </c>
      <c r="I1307" t="s">
        <v>29611</v>
      </c>
      <c r="J1307" t="s">
        <v>424</v>
      </c>
      <c r="K1307" t="s">
        <v>74</v>
      </c>
      <c r="L1307" t="s">
        <v>74</v>
      </c>
      <c r="M1307" t="s">
        <v>78</v>
      </c>
      <c r="N1307" t="s">
        <v>79</v>
      </c>
      <c r="O1307" t="s">
        <v>74</v>
      </c>
      <c r="P1307" t="s">
        <v>74</v>
      </c>
      <c r="Q1307" t="s">
        <v>74</v>
      </c>
      <c r="R1307" t="s">
        <v>74</v>
      </c>
      <c r="S1307" t="s">
        <v>74</v>
      </c>
      <c r="T1307" t="s">
        <v>29610</v>
      </c>
      <c r="U1307" t="s">
        <v>29609</v>
      </c>
      <c r="V1307" t="s">
        <v>29608</v>
      </c>
      <c r="W1307" t="s">
        <v>29607</v>
      </c>
      <c r="X1307" t="s">
        <v>29606</v>
      </c>
      <c r="Y1307" t="s">
        <v>29605</v>
      </c>
      <c r="Z1307" t="s">
        <v>23621</v>
      </c>
      <c r="AA1307" t="s">
        <v>23620</v>
      </c>
      <c r="AB1307" t="s">
        <v>23619</v>
      </c>
      <c r="AC1307" t="s">
        <v>74</v>
      </c>
      <c r="AD1307" t="s">
        <v>74</v>
      </c>
      <c r="AE1307" t="s">
        <v>74</v>
      </c>
      <c r="AF1307" t="s">
        <v>74</v>
      </c>
      <c r="AG1307">
        <v>39</v>
      </c>
      <c r="AH1307">
        <v>8</v>
      </c>
      <c r="AI1307">
        <v>9</v>
      </c>
      <c r="AJ1307">
        <v>2</v>
      </c>
      <c r="AK1307">
        <v>22</v>
      </c>
      <c r="AL1307" t="s">
        <v>89</v>
      </c>
      <c r="AM1307" t="s">
        <v>90</v>
      </c>
      <c r="AN1307" t="s">
        <v>91</v>
      </c>
      <c r="AO1307" t="s">
        <v>436</v>
      </c>
      <c r="AP1307" t="s">
        <v>437</v>
      </c>
      <c r="AQ1307" t="s">
        <v>74</v>
      </c>
      <c r="AR1307" t="s">
        <v>438</v>
      </c>
      <c r="AS1307" t="s">
        <v>439</v>
      </c>
      <c r="AT1307" t="s">
        <v>5974</v>
      </c>
      <c r="AU1307">
        <v>2023</v>
      </c>
      <c r="AV1307">
        <v>41</v>
      </c>
      <c r="AW1307">
        <v>5</v>
      </c>
      <c r="AX1307" t="s">
        <v>74</v>
      </c>
      <c r="AY1307" t="s">
        <v>74</v>
      </c>
      <c r="AZ1307" t="s">
        <v>441</v>
      </c>
      <c r="BA1307" t="s">
        <v>74</v>
      </c>
      <c r="BB1307">
        <v>1104</v>
      </c>
      <c r="BC1307">
        <v>1135</v>
      </c>
      <c r="BD1307" t="s">
        <v>74</v>
      </c>
      <c r="BE1307" t="s">
        <v>29604</v>
      </c>
      <c r="BF1307" t="str">
        <f>HYPERLINK("http://dx.doi.org/10.1108/IJBM-06-2022-0242","http://dx.doi.org/10.1108/IJBM-06-2022-0242")</f>
        <v>http://dx.doi.org/10.1108/IJBM-06-2022-0242</v>
      </c>
      <c r="BG1307" t="s">
        <v>74</v>
      </c>
      <c r="BH1307" t="s">
        <v>5112</v>
      </c>
      <c r="BI1307">
        <v>32</v>
      </c>
      <c r="BJ1307" t="s">
        <v>418</v>
      </c>
      <c r="BK1307" t="s">
        <v>99</v>
      </c>
      <c r="BL1307" t="s">
        <v>100</v>
      </c>
      <c r="BM1307" t="s">
        <v>29603</v>
      </c>
      <c r="BN1307" t="s">
        <v>74</v>
      </c>
      <c r="BO1307" t="s">
        <v>74</v>
      </c>
      <c r="BP1307" t="s">
        <v>74</v>
      </c>
      <c r="BQ1307" t="s">
        <v>74</v>
      </c>
      <c r="BR1307" t="s">
        <v>102</v>
      </c>
      <c r="BS1307" t="s">
        <v>29602</v>
      </c>
      <c r="BT1307" t="str">
        <f>HYPERLINK("https%3A%2F%2Fwww.webofscience.com%2Fwos%2Fwoscc%2Ffull-record%2FWOS:000886493700001","View Full Record in Web of Science")</f>
        <v>View Full Record in Web of Science</v>
      </c>
    </row>
    <row r="1308" spans="1:72" x14ac:dyDescent="0.25">
      <c r="A1308" t="s">
        <v>72</v>
      </c>
      <c r="B1308" t="s">
        <v>29601</v>
      </c>
      <c r="C1308" t="s">
        <v>74</v>
      </c>
      <c r="D1308" t="s">
        <v>74</v>
      </c>
      <c r="E1308" t="s">
        <v>74</v>
      </c>
      <c r="F1308" t="s">
        <v>29600</v>
      </c>
      <c r="G1308" t="s">
        <v>74</v>
      </c>
      <c r="H1308" t="s">
        <v>74</v>
      </c>
      <c r="I1308" t="s">
        <v>29599</v>
      </c>
      <c r="J1308" t="s">
        <v>3493</v>
      </c>
      <c r="K1308" t="s">
        <v>74</v>
      </c>
      <c r="L1308" t="s">
        <v>74</v>
      </c>
      <c r="M1308" t="s">
        <v>78</v>
      </c>
      <c r="N1308" t="s">
        <v>3795</v>
      </c>
      <c r="O1308" t="s">
        <v>29598</v>
      </c>
      <c r="P1308" t="s">
        <v>29597</v>
      </c>
      <c r="Q1308" t="s">
        <v>970</v>
      </c>
      <c r="R1308" t="s">
        <v>29596</v>
      </c>
      <c r="S1308" t="s">
        <v>74</v>
      </c>
      <c r="T1308" t="s">
        <v>29595</v>
      </c>
      <c r="U1308" t="s">
        <v>74</v>
      </c>
      <c r="V1308" t="s">
        <v>29594</v>
      </c>
      <c r="W1308" t="s">
        <v>29593</v>
      </c>
      <c r="X1308" t="s">
        <v>29592</v>
      </c>
      <c r="Y1308" t="s">
        <v>29591</v>
      </c>
      <c r="Z1308" t="s">
        <v>29590</v>
      </c>
      <c r="AA1308" t="s">
        <v>74</v>
      </c>
      <c r="AB1308" t="s">
        <v>29589</v>
      </c>
      <c r="AC1308" t="s">
        <v>74</v>
      </c>
      <c r="AD1308" t="s">
        <v>74</v>
      </c>
      <c r="AE1308" t="s">
        <v>74</v>
      </c>
      <c r="AF1308" t="s">
        <v>74</v>
      </c>
      <c r="AG1308">
        <v>17</v>
      </c>
      <c r="AH1308">
        <v>301</v>
      </c>
      <c r="AI1308">
        <v>413</v>
      </c>
      <c r="AJ1308">
        <v>1</v>
      </c>
      <c r="AK1308">
        <v>43</v>
      </c>
      <c r="AL1308" t="s">
        <v>3298</v>
      </c>
      <c r="AM1308" t="s">
        <v>202</v>
      </c>
      <c r="AN1308" t="s">
        <v>3299</v>
      </c>
      <c r="AO1308" t="s">
        <v>3500</v>
      </c>
      <c r="AP1308" t="s">
        <v>74</v>
      </c>
      <c r="AQ1308" t="s">
        <v>74</v>
      </c>
      <c r="AR1308" t="s">
        <v>3502</v>
      </c>
      <c r="AS1308" t="s">
        <v>3503</v>
      </c>
      <c r="AT1308" t="s">
        <v>891</v>
      </c>
      <c r="AU1308">
        <v>2008</v>
      </c>
      <c r="AV1308">
        <v>32</v>
      </c>
      <c r="AW1308">
        <v>11</v>
      </c>
      <c r="AX1308" t="s">
        <v>74</v>
      </c>
      <c r="AY1308" t="s">
        <v>74</v>
      </c>
      <c r="AZ1308" t="s">
        <v>74</v>
      </c>
      <c r="BA1308" t="s">
        <v>74</v>
      </c>
      <c r="BB1308">
        <v>2493</v>
      </c>
      <c r="BC1308">
        <v>2500</v>
      </c>
      <c r="BD1308" t="s">
        <v>74</v>
      </c>
      <c r="BE1308" t="s">
        <v>29588</v>
      </c>
      <c r="BF1308" t="str">
        <f>HYPERLINK("http://dx.doi.org/10.1016/j.jbankfin.2008.05.004","http://dx.doi.org/10.1016/j.jbankfin.2008.05.004")</f>
        <v>http://dx.doi.org/10.1016/j.jbankfin.2008.05.004</v>
      </c>
      <c r="BG1308" t="s">
        <v>74</v>
      </c>
      <c r="BH1308" t="s">
        <v>74</v>
      </c>
      <c r="BI1308">
        <v>8</v>
      </c>
      <c r="BJ1308" t="s">
        <v>210</v>
      </c>
      <c r="BK1308" t="s">
        <v>4493</v>
      </c>
      <c r="BL1308" t="s">
        <v>100</v>
      </c>
      <c r="BM1308" t="s">
        <v>29587</v>
      </c>
      <c r="BN1308" t="s">
        <v>74</v>
      </c>
      <c r="BO1308" t="s">
        <v>74</v>
      </c>
      <c r="BP1308" t="s">
        <v>74</v>
      </c>
      <c r="BQ1308" t="s">
        <v>74</v>
      </c>
      <c r="BR1308" t="s">
        <v>102</v>
      </c>
      <c r="BS1308" t="s">
        <v>29586</v>
      </c>
      <c r="BT1308" t="str">
        <f>HYPERLINK("https%3A%2F%2Fwww.webofscience.com%2Fwos%2Fwoscc%2Ffull-record%2FWOS:000260726700020","View Full Record in Web of Science")</f>
        <v>View Full Record in Web of Science</v>
      </c>
    </row>
    <row r="1309" spans="1:72" x14ac:dyDescent="0.25">
      <c r="A1309" t="s">
        <v>72</v>
      </c>
      <c r="B1309" t="s">
        <v>29585</v>
      </c>
      <c r="C1309" t="s">
        <v>74</v>
      </c>
      <c r="D1309" t="s">
        <v>74</v>
      </c>
      <c r="E1309" t="s">
        <v>74</v>
      </c>
      <c r="F1309" t="s">
        <v>29584</v>
      </c>
      <c r="G1309" t="s">
        <v>74</v>
      </c>
      <c r="H1309" t="s">
        <v>74</v>
      </c>
      <c r="I1309" t="s">
        <v>29583</v>
      </c>
      <c r="J1309" t="s">
        <v>29582</v>
      </c>
      <c r="K1309" t="s">
        <v>74</v>
      </c>
      <c r="L1309" t="s">
        <v>74</v>
      </c>
      <c r="M1309" t="s">
        <v>78</v>
      </c>
      <c r="N1309" t="s">
        <v>79</v>
      </c>
      <c r="O1309" t="s">
        <v>74</v>
      </c>
      <c r="P1309" t="s">
        <v>74</v>
      </c>
      <c r="Q1309" t="s">
        <v>74</v>
      </c>
      <c r="R1309" t="s">
        <v>74</v>
      </c>
      <c r="S1309" t="s">
        <v>74</v>
      </c>
      <c r="T1309" t="s">
        <v>29581</v>
      </c>
      <c r="U1309" t="s">
        <v>29580</v>
      </c>
      <c r="V1309" t="s">
        <v>29579</v>
      </c>
      <c r="W1309" t="s">
        <v>29578</v>
      </c>
      <c r="X1309" t="s">
        <v>29577</v>
      </c>
      <c r="Y1309" t="s">
        <v>29576</v>
      </c>
      <c r="Z1309" t="s">
        <v>29575</v>
      </c>
      <c r="AA1309" t="s">
        <v>74</v>
      </c>
      <c r="AB1309" t="s">
        <v>29574</v>
      </c>
      <c r="AC1309" t="s">
        <v>29573</v>
      </c>
      <c r="AD1309" t="s">
        <v>29572</v>
      </c>
      <c r="AE1309" t="s">
        <v>29571</v>
      </c>
      <c r="AF1309" t="s">
        <v>74</v>
      </c>
      <c r="AG1309">
        <v>85</v>
      </c>
      <c r="AH1309">
        <v>3</v>
      </c>
      <c r="AI1309">
        <v>3</v>
      </c>
      <c r="AJ1309">
        <v>1</v>
      </c>
      <c r="AK1309">
        <v>4</v>
      </c>
      <c r="AL1309" t="s">
        <v>117</v>
      </c>
      <c r="AM1309" t="s">
        <v>118</v>
      </c>
      <c r="AN1309" t="s">
        <v>119</v>
      </c>
      <c r="AO1309" t="s">
        <v>29570</v>
      </c>
      <c r="AP1309" t="s">
        <v>29569</v>
      </c>
      <c r="AQ1309" t="s">
        <v>74</v>
      </c>
      <c r="AR1309" t="s">
        <v>29568</v>
      </c>
      <c r="AS1309" t="s">
        <v>29567</v>
      </c>
      <c r="AT1309" t="s">
        <v>1652</v>
      </c>
      <c r="AU1309">
        <v>2023</v>
      </c>
      <c r="AV1309">
        <v>19</v>
      </c>
      <c r="AW1309">
        <v>2</v>
      </c>
      <c r="AX1309" t="s">
        <v>74</v>
      </c>
      <c r="AY1309" t="s">
        <v>74</v>
      </c>
      <c r="AZ1309" t="s">
        <v>74</v>
      </c>
      <c r="BA1309" t="s">
        <v>74</v>
      </c>
      <c r="BB1309">
        <v>201</v>
      </c>
      <c r="BC1309">
        <v>232</v>
      </c>
      <c r="BD1309" t="s">
        <v>74</v>
      </c>
      <c r="BE1309" t="s">
        <v>29566</v>
      </c>
      <c r="BF1309" t="str">
        <f>HYPERLINK("http://dx.doi.org/10.1007/s10436-022-00417-8","http://dx.doi.org/10.1007/s10436-022-00417-8")</f>
        <v>http://dx.doi.org/10.1007/s10436-022-00417-8</v>
      </c>
      <c r="BG1309" t="s">
        <v>74</v>
      </c>
      <c r="BH1309" t="s">
        <v>5112</v>
      </c>
      <c r="BI1309">
        <v>32</v>
      </c>
      <c r="BJ1309" t="s">
        <v>268</v>
      </c>
      <c r="BK1309" t="s">
        <v>313</v>
      </c>
      <c r="BL1309" t="s">
        <v>100</v>
      </c>
      <c r="BM1309" t="s">
        <v>29565</v>
      </c>
      <c r="BN1309" t="s">
        <v>74</v>
      </c>
      <c r="BO1309" t="s">
        <v>74</v>
      </c>
      <c r="BP1309" t="s">
        <v>74</v>
      </c>
      <c r="BQ1309" t="s">
        <v>74</v>
      </c>
      <c r="BR1309" t="s">
        <v>102</v>
      </c>
      <c r="BS1309" t="s">
        <v>29564</v>
      </c>
      <c r="BT1309" t="str">
        <f>HYPERLINK("https%3A%2F%2Fwww.webofscience.com%2Fwos%2Fwoscc%2Ffull-record%2FWOS:000887515600001","View Full Record in Web of Science")</f>
        <v>View Full Record in Web of Science</v>
      </c>
    </row>
    <row r="1310" spans="1:72" x14ac:dyDescent="0.25">
      <c r="A1310" t="s">
        <v>72</v>
      </c>
      <c r="B1310" t="s">
        <v>29563</v>
      </c>
      <c r="C1310" t="s">
        <v>74</v>
      </c>
      <c r="D1310" t="s">
        <v>74</v>
      </c>
      <c r="E1310" t="s">
        <v>74</v>
      </c>
      <c r="F1310" t="s">
        <v>29562</v>
      </c>
      <c r="G1310" t="s">
        <v>74</v>
      </c>
      <c r="H1310" t="s">
        <v>74</v>
      </c>
      <c r="I1310" t="s">
        <v>29561</v>
      </c>
      <c r="J1310" t="s">
        <v>10469</v>
      </c>
      <c r="K1310" t="s">
        <v>74</v>
      </c>
      <c r="L1310" t="s">
        <v>74</v>
      </c>
      <c r="M1310" t="s">
        <v>78</v>
      </c>
      <c r="N1310" t="s">
        <v>79</v>
      </c>
      <c r="O1310" t="s">
        <v>74</v>
      </c>
      <c r="P1310" t="s">
        <v>74</v>
      </c>
      <c r="Q1310" t="s">
        <v>74</v>
      </c>
      <c r="R1310" t="s">
        <v>74</v>
      </c>
      <c r="S1310" t="s">
        <v>74</v>
      </c>
      <c r="T1310" t="s">
        <v>29560</v>
      </c>
      <c r="U1310" t="s">
        <v>74</v>
      </c>
      <c r="V1310" t="s">
        <v>29559</v>
      </c>
      <c r="W1310" t="s">
        <v>29558</v>
      </c>
      <c r="X1310" t="s">
        <v>14744</v>
      </c>
      <c r="Y1310" t="s">
        <v>29557</v>
      </c>
      <c r="Z1310" t="s">
        <v>29556</v>
      </c>
      <c r="AA1310" t="s">
        <v>29555</v>
      </c>
      <c r="AB1310" t="s">
        <v>74</v>
      </c>
      <c r="AC1310" t="s">
        <v>74</v>
      </c>
      <c r="AD1310" t="s">
        <v>74</v>
      </c>
      <c r="AE1310" t="s">
        <v>74</v>
      </c>
      <c r="AF1310" t="s">
        <v>74</v>
      </c>
      <c r="AG1310">
        <v>25</v>
      </c>
      <c r="AH1310">
        <v>17</v>
      </c>
      <c r="AI1310">
        <v>20</v>
      </c>
      <c r="AJ1310">
        <v>1</v>
      </c>
      <c r="AK1310">
        <v>15</v>
      </c>
      <c r="AL1310" t="s">
        <v>332</v>
      </c>
      <c r="AM1310" t="s">
        <v>333</v>
      </c>
      <c r="AN1310" t="s">
        <v>334</v>
      </c>
      <c r="AO1310" t="s">
        <v>10477</v>
      </c>
      <c r="AP1310" t="s">
        <v>10478</v>
      </c>
      <c r="AQ1310" t="s">
        <v>74</v>
      </c>
      <c r="AR1310" t="s">
        <v>10479</v>
      </c>
      <c r="AS1310" t="s">
        <v>10480</v>
      </c>
      <c r="AT1310" t="s">
        <v>1427</v>
      </c>
      <c r="AU1310">
        <v>2022</v>
      </c>
      <c r="AV1310">
        <v>32</v>
      </c>
      <c r="AW1310">
        <v>1</v>
      </c>
      <c r="AX1310" t="s">
        <v>74</v>
      </c>
      <c r="AY1310" t="s">
        <v>74</v>
      </c>
      <c r="AZ1310" t="s">
        <v>74</v>
      </c>
      <c r="BA1310" t="s">
        <v>74</v>
      </c>
      <c r="BB1310">
        <v>16</v>
      </c>
      <c r="BC1310">
        <v>28</v>
      </c>
      <c r="BD1310" t="s">
        <v>74</v>
      </c>
      <c r="BE1310" t="s">
        <v>29554</v>
      </c>
      <c r="BF1310" t="str">
        <f>HYPERLINK("http://dx.doi.org/10.1080/09614524.2021.1911940","http://dx.doi.org/10.1080/09614524.2021.1911940")</f>
        <v>http://dx.doi.org/10.1080/09614524.2021.1911940</v>
      </c>
      <c r="BG1310" t="s">
        <v>74</v>
      </c>
      <c r="BH1310" t="s">
        <v>4575</v>
      </c>
      <c r="BI1310">
        <v>13</v>
      </c>
      <c r="BJ1310" t="s">
        <v>1137</v>
      </c>
      <c r="BK1310" t="s">
        <v>313</v>
      </c>
      <c r="BL1310" t="s">
        <v>1137</v>
      </c>
      <c r="BM1310" t="s">
        <v>29553</v>
      </c>
      <c r="BN1310" t="s">
        <v>74</v>
      </c>
      <c r="BO1310" t="s">
        <v>74</v>
      </c>
      <c r="BP1310" t="s">
        <v>74</v>
      </c>
      <c r="BQ1310" t="s">
        <v>74</v>
      </c>
      <c r="BR1310" t="s">
        <v>102</v>
      </c>
      <c r="BS1310" t="s">
        <v>29552</v>
      </c>
      <c r="BT1310" t="str">
        <f>HYPERLINK("https%3A%2F%2Fwww.webofscience.com%2Fwos%2Fwoscc%2Ffull-record%2FWOS:000648470600001","View Full Record in Web of Science")</f>
        <v>View Full Record in Web of Science</v>
      </c>
    </row>
    <row r="1311" spans="1:72" x14ac:dyDescent="0.25">
      <c r="A1311" t="s">
        <v>72</v>
      </c>
      <c r="B1311" t="s">
        <v>29551</v>
      </c>
      <c r="C1311" t="s">
        <v>74</v>
      </c>
      <c r="D1311" t="s">
        <v>74</v>
      </c>
      <c r="E1311" t="s">
        <v>74</v>
      </c>
      <c r="F1311" t="s">
        <v>29550</v>
      </c>
      <c r="G1311" t="s">
        <v>74</v>
      </c>
      <c r="H1311" t="s">
        <v>74</v>
      </c>
      <c r="I1311" t="s">
        <v>29549</v>
      </c>
      <c r="J1311" t="s">
        <v>18344</v>
      </c>
      <c r="K1311" t="s">
        <v>74</v>
      </c>
      <c r="L1311" t="s">
        <v>74</v>
      </c>
      <c r="M1311" t="s">
        <v>78</v>
      </c>
      <c r="N1311" t="s">
        <v>372</v>
      </c>
      <c r="O1311" t="s">
        <v>74</v>
      </c>
      <c r="P1311" t="s">
        <v>74</v>
      </c>
      <c r="Q1311" t="s">
        <v>74</v>
      </c>
      <c r="R1311" t="s">
        <v>74</v>
      </c>
      <c r="S1311" t="s">
        <v>74</v>
      </c>
      <c r="T1311" t="s">
        <v>29548</v>
      </c>
      <c r="U1311" t="s">
        <v>25382</v>
      </c>
      <c r="V1311" t="s">
        <v>29547</v>
      </c>
      <c r="W1311" t="s">
        <v>29546</v>
      </c>
      <c r="X1311" t="s">
        <v>29545</v>
      </c>
      <c r="Y1311" t="s">
        <v>29544</v>
      </c>
      <c r="Z1311" t="s">
        <v>29543</v>
      </c>
      <c r="AA1311" t="s">
        <v>29542</v>
      </c>
      <c r="AB1311" t="s">
        <v>29541</v>
      </c>
      <c r="AC1311" t="s">
        <v>29540</v>
      </c>
      <c r="AD1311" t="s">
        <v>29539</v>
      </c>
      <c r="AE1311" t="s">
        <v>29538</v>
      </c>
      <c r="AF1311" t="s">
        <v>74</v>
      </c>
      <c r="AG1311">
        <v>38</v>
      </c>
      <c r="AH1311">
        <v>0</v>
      </c>
      <c r="AI1311">
        <v>0</v>
      </c>
      <c r="AJ1311">
        <v>0</v>
      </c>
      <c r="AK1311">
        <v>1</v>
      </c>
      <c r="AL1311" t="s">
        <v>89</v>
      </c>
      <c r="AM1311" t="s">
        <v>90</v>
      </c>
      <c r="AN1311" t="s">
        <v>91</v>
      </c>
      <c r="AO1311" t="s">
        <v>18354</v>
      </c>
      <c r="AP1311" t="s">
        <v>18355</v>
      </c>
      <c r="AQ1311" t="s">
        <v>74</v>
      </c>
      <c r="AR1311" t="s">
        <v>18356</v>
      </c>
      <c r="AS1311" t="s">
        <v>18357</v>
      </c>
      <c r="AT1311" t="s">
        <v>29537</v>
      </c>
      <c r="AU1311">
        <v>2025</v>
      </c>
      <c r="AV1311" t="s">
        <v>74</v>
      </c>
      <c r="AW1311" t="s">
        <v>74</v>
      </c>
      <c r="AX1311" t="s">
        <v>74</v>
      </c>
      <c r="AY1311" t="s">
        <v>74</v>
      </c>
      <c r="AZ1311" t="s">
        <v>74</v>
      </c>
      <c r="BA1311" t="s">
        <v>74</v>
      </c>
      <c r="BB1311" t="s">
        <v>74</v>
      </c>
      <c r="BC1311" t="s">
        <v>74</v>
      </c>
      <c r="BD1311" t="s">
        <v>74</v>
      </c>
      <c r="BE1311" t="s">
        <v>29536</v>
      </c>
      <c r="BF1311" t="str">
        <f>HYPERLINK("http://dx.doi.org/10.1108/IJOES-08-2024-0243","http://dx.doi.org/10.1108/IJOES-08-2024-0243")</f>
        <v>http://dx.doi.org/10.1108/IJOES-08-2024-0243</v>
      </c>
      <c r="BG1311" t="s">
        <v>74</v>
      </c>
      <c r="BH1311" t="s">
        <v>1737</v>
      </c>
      <c r="BI1311">
        <v>16</v>
      </c>
      <c r="BJ1311" t="s">
        <v>291</v>
      </c>
      <c r="BK1311" t="s">
        <v>313</v>
      </c>
      <c r="BL1311" t="s">
        <v>100</v>
      </c>
      <c r="BM1311" t="s">
        <v>29535</v>
      </c>
      <c r="BN1311" t="s">
        <v>74</v>
      </c>
      <c r="BO1311" t="s">
        <v>74</v>
      </c>
      <c r="BP1311" t="s">
        <v>74</v>
      </c>
      <c r="BQ1311" t="s">
        <v>74</v>
      </c>
      <c r="BR1311" t="s">
        <v>102</v>
      </c>
      <c r="BS1311" t="s">
        <v>29534</v>
      </c>
      <c r="BT1311" t="str">
        <f>HYPERLINK("https%3A%2F%2Fwww.webofscience.com%2Fwos%2Fwoscc%2Ffull-record%2FWOS:001402168600001","View Full Record in Web of Science")</f>
        <v>View Full Record in Web of Science</v>
      </c>
    </row>
    <row r="1312" spans="1:72" x14ac:dyDescent="0.25">
      <c r="A1312" t="s">
        <v>72</v>
      </c>
      <c r="B1312" t="s">
        <v>29533</v>
      </c>
      <c r="C1312" t="s">
        <v>74</v>
      </c>
      <c r="D1312" t="s">
        <v>74</v>
      </c>
      <c r="E1312" t="s">
        <v>74</v>
      </c>
      <c r="F1312" t="s">
        <v>29532</v>
      </c>
      <c r="G1312" t="s">
        <v>74</v>
      </c>
      <c r="H1312" t="s">
        <v>74</v>
      </c>
      <c r="I1312" t="s">
        <v>29531</v>
      </c>
      <c r="J1312" t="s">
        <v>29530</v>
      </c>
      <c r="K1312" t="s">
        <v>74</v>
      </c>
      <c r="L1312" t="s">
        <v>74</v>
      </c>
      <c r="M1312" t="s">
        <v>78</v>
      </c>
      <c r="N1312" t="s">
        <v>79</v>
      </c>
      <c r="O1312" t="s">
        <v>74</v>
      </c>
      <c r="P1312" t="s">
        <v>74</v>
      </c>
      <c r="Q1312" t="s">
        <v>74</v>
      </c>
      <c r="R1312" t="s">
        <v>74</v>
      </c>
      <c r="S1312" t="s">
        <v>74</v>
      </c>
      <c r="T1312" t="s">
        <v>29529</v>
      </c>
      <c r="U1312" t="s">
        <v>29528</v>
      </c>
      <c r="V1312" t="s">
        <v>29527</v>
      </c>
      <c r="W1312" t="s">
        <v>29526</v>
      </c>
      <c r="X1312" t="s">
        <v>13481</v>
      </c>
      <c r="Y1312" t="s">
        <v>28115</v>
      </c>
      <c r="Z1312" t="s">
        <v>12156</v>
      </c>
      <c r="AA1312" t="s">
        <v>13483</v>
      </c>
      <c r="AB1312" t="s">
        <v>13484</v>
      </c>
      <c r="AC1312" t="s">
        <v>74</v>
      </c>
      <c r="AD1312" t="s">
        <v>74</v>
      </c>
      <c r="AE1312" t="s">
        <v>74</v>
      </c>
      <c r="AF1312" t="s">
        <v>74</v>
      </c>
      <c r="AG1312">
        <v>76</v>
      </c>
      <c r="AH1312">
        <v>73</v>
      </c>
      <c r="AI1312">
        <v>122</v>
      </c>
      <c r="AJ1312">
        <v>0</v>
      </c>
      <c r="AK1312">
        <v>36</v>
      </c>
      <c r="AL1312" t="s">
        <v>89</v>
      </c>
      <c r="AM1312" t="s">
        <v>1497</v>
      </c>
      <c r="AN1312" t="s">
        <v>1498</v>
      </c>
      <c r="AO1312" t="s">
        <v>29525</v>
      </c>
      <c r="AP1312" t="s">
        <v>29524</v>
      </c>
      <c r="AQ1312" t="s">
        <v>74</v>
      </c>
      <c r="AR1312" t="s">
        <v>29523</v>
      </c>
      <c r="AS1312" t="s">
        <v>29522</v>
      </c>
      <c r="AT1312" t="s">
        <v>74</v>
      </c>
      <c r="AU1312">
        <v>2017</v>
      </c>
      <c r="AV1312">
        <v>27</v>
      </c>
      <c r="AW1312">
        <v>4</v>
      </c>
      <c r="AX1312" t="s">
        <v>74</v>
      </c>
      <c r="AY1312" t="s">
        <v>74</v>
      </c>
      <c r="AZ1312" t="s">
        <v>74</v>
      </c>
      <c r="BA1312" t="s">
        <v>74</v>
      </c>
      <c r="BB1312">
        <v>520</v>
      </c>
      <c r="BC1312">
        <v>538</v>
      </c>
      <c r="BD1312" t="s">
        <v>74</v>
      </c>
      <c r="BE1312" t="s">
        <v>29521</v>
      </c>
      <c r="BF1312" t="str">
        <f>HYPERLINK("http://dx.doi.org/10.1108/RIBS-04-2017-0037","http://dx.doi.org/10.1108/RIBS-04-2017-0037")</f>
        <v>http://dx.doi.org/10.1108/RIBS-04-2017-0037</v>
      </c>
      <c r="BG1312" t="s">
        <v>74</v>
      </c>
      <c r="BH1312" t="s">
        <v>74</v>
      </c>
      <c r="BI1312">
        <v>19</v>
      </c>
      <c r="BJ1312" t="s">
        <v>418</v>
      </c>
      <c r="BK1312" t="s">
        <v>313</v>
      </c>
      <c r="BL1312" t="s">
        <v>100</v>
      </c>
      <c r="BM1312" t="s">
        <v>29520</v>
      </c>
      <c r="BN1312" t="s">
        <v>74</v>
      </c>
      <c r="BO1312" t="s">
        <v>74</v>
      </c>
      <c r="BP1312" t="s">
        <v>74</v>
      </c>
      <c r="BQ1312" t="s">
        <v>74</v>
      </c>
      <c r="BR1312" t="s">
        <v>102</v>
      </c>
      <c r="BS1312" t="s">
        <v>29519</v>
      </c>
      <c r="BT1312" t="str">
        <f>HYPERLINK("https%3A%2F%2Fwww.webofscience.com%2Fwos%2Fwoscc%2Ffull-record%2FWOS:000415624400007","View Full Record in Web of Science")</f>
        <v>View Full Record in Web of Science</v>
      </c>
    </row>
    <row r="1313" spans="1:72" x14ac:dyDescent="0.25">
      <c r="A1313" t="s">
        <v>72</v>
      </c>
      <c r="B1313" t="s">
        <v>29518</v>
      </c>
      <c r="C1313" t="s">
        <v>74</v>
      </c>
      <c r="D1313" t="s">
        <v>74</v>
      </c>
      <c r="E1313" t="s">
        <v>74</v>
      </c>
      <c r="F1313" t="s">
        <v>29517</v>
      </c>
      <c r="G1313" t="s">
        <v>74</v>
      </c>
      <c r="H1313" t="s">
        <v>74</v>
      </c>
      <c r="I1313" t="s">
        <v>29516</v>
      </c>
      <c r="J1313" t="s">
        <v>9372</v>
      </c>
      <c r="K1313" t="s">
        <v>74</v>
      </c>
      <c r="L1313" t="s">
        <v>74</v>
      </c>
      <c r="M1313" t="s">
        <v>78</v>
      </c>
      <c r="N1313" t="s">
        <v>79</v>
      </c>
      <c r="O1313" t="s">
        <v>74</v>
      </c>
      <c r="P1313" t="s">
        <v>74</v>
      </c>
      <c r="Q1313" t="s">
        <v>74</v>
      </c>
      <c r="R1313" t="s">
        <v>74</v>
      </c>
      <c r="S1313" t="s">
        <v>74</v>
      </c>
      <c r="T1313" t="s">
        <v>29515</v>
      </c>
      <c r="U1313" t="s">
        <v>29514</v>
      </c>
      <c r="V1313" t="s">
        <v>29513</v>
      </c>
      <c r="W1313" t="s">
        <v>29512</v>
      </c>
      <c r="X1313" t="s">
        <v>29511</v>
      </c>
      <c r="Y1313" t="s">
        <v>29510</v>
      </c>
      <c r="Z1313" t="s">
        <v>29509</v>
      </c>
      <c r="AA1313" t="s">
        <v>29508</v>
      </c>
      <c r="AB1313" t="s">
        <v>14128</v>
      </c>
      <c r="AC1313" t="s">
        <v>74</v>
      </c>
      <c r="AD1313" t="s">
        <v>74</v>
      </c>
      <c r="AE1313" t="s">
        <v>74</v>
      </c>
      <c r="AF1313" t="s">
        <v>74</v>
      </c>
      <c r="AG1313">
        <v>69</v>
      </c>
      <c r="AH1313">
        <v>4</v>
      </c>
      <c r="AI1313">
        <v>4</v>
      </c>
      <c r="AJ1313">
        <v>7</v>
      </c>
      <c r="AK1313">
        <v>125</v>
      </c>
      <c r="AL1313" t="s">
        <v>201</v>
      </c>
      <c r="AM1313" t="s">
        <v>202</v>
      </c>
      <c r="AN1313" t="s">
        <v>203</v>
      </c>
      <c r="AO1313" t="s">
        <v>9384</v>
      </c>
      <c r="AP1313" t="s">
        <v>9385</v>
      </c>
      <c r="AQ1313" t="s">
        <v>74</v>
      </c>
      <c r="AR1313" t="s">
        <v>9386</v>
      </c>
      <c r="AS1313" t="s">
        <v>9387</v>
      </c>
      <c r="AT1313" t="s">
        <v>124</v>
      </c>
      <c r="AU1313">
        <v>2022</v>
      </c>
      <c r="AV1313">
        <v>63</v>
      </c>
      <c r="AW1313" t="s">
        <v>74</v>
      </c>
      <c r="AX1313" t="s">
        <v>74</v>
      </c>
      <c r="AY1313" t="s">
        <v>74</v>
      </c>
      <c r="AZ1313" t="s">
        <v>74</v>
      </c>
      <c r="BA1313" t="s">
        <v>74</v>
      </c>
      <c r="BB1313" t="s">
        <v>74</v>
      </c>
      <c r="BC1313" t="s">
        <v>74</v>
      </c>
      <c r="BD1313">
        <v>101759</v>
      </c>
      <c r="BE1313" t="s">
        <v>29507</v>
      </c>
      <c r="BF1313" t="str">
        <f>HYPERLINK("http://dx.doi.org/10.1016/j.ribaf.2022.101759","http://dx.doi.org/10.1016/j.ribaf.2022.101759")</f>
        <v>http://dx.doi.org/10.1016/j.ribaf.2022.101759</v>
      </c>
      <c r="BG1313" t="s">
        <v>74</v>
      </c>
      <c r="BH1313" t="s">
        <v>6014</v>
      </c>
      <c r="BI1313">
        <v>20</v>
      </c>
      <c r="BJ1313" t="s">
        <v>268</v>
      </c>
      <c r="BK1313" t="s">
        <v>99</v>
      </c>
      <c r="BL1313" t="s">
        <v>100</v>
      </c>
      <c r="BM1313" t="s">
        <v>29506</v>
      </c>
      <c r="BN1313" t="s">
        <v>74</v>
      </c>
      <c r="BO1313" t="s">
        <v>74</v>
      </c>
      <c r="BP1313" t="s">
        <v>74</v>
      </c>
      <c r="BQ1313" t="s">
        <v>74</v>
      </c>
      <c r="BR1313" t="s">
        <v>102</v>
      </c>
      <c r="BS1313" t="s">
        <v>29505</v>
      </c>
      <c r="BT1313" t="str">
        <f>HYPERLINK("https%3A%2F%2Fwww.webofscience.com%2Fwos%2Fwoscc%2Ffull-record%2FWOS:000862208500003","View Full Record in Web of Science")</f>
        <v>View Full Record in Web of Science</v>
      </c>
    </row>
    <row r="1314" spans="1:72" x14ac:dyDescent="0.25">
      <c r="A1314" t="s">
        <v>72</v>
      </c>
      <c r="B1314" t="s">
        <v>29504</v>
      </c>
      <c r="C1314" t="s">
        <v>74</v>
      </c>
      <c r="D1314" t="s">
        <v>74</v>
      </c>
      <c r="E1314" t="s">
        <v>74</v>
      </c>
      <c r="F1314" t="s">
        <v>29503</v>
      </c>
      <c r="G1314" t="s">
        <v>74</v>
      </c>
      <c r="H1314" t="s">
        <v>74</v>
      </c>
      <c r="I1314" t="s">
        <v>29502</v>
      </c>
      <c r="J1314" t="s">
        <v>29501</v>
      </c>
      <c r="K1314" t="s">
        <v>74</v>
      </c>
      <c r="L1314" t="s">
        <v>74</v>
      </c>
      <c r="M1314" t="s">
        <v>78</v>
      </c>
      <c r="N1314" t="s">
        <v>79</v>
      </c>
      <c r="O1314" t="s">
        <v>74</v>
      </c>
      <c r="P1314" t="s">
        <v>74</v>
      </c>
      <c r="Q1314" t="s">
        <v>74</v>
      </c>
      <c r="R1314" t="s">
        <v>74</v>
      </c>
      <c r="S1314" t="s">
        <v>74</v>
      </c>
      <c r="T1314" t="s">
        <v>29500</v>
      </c>
      <c r="U1314" t="s">
        <v>29499</v>
      </c>
      <c r="V1314" t="s">
        <v>29498</v>
      </c>
      <c r="W1314" t="s">
        <v>29497</v>
      </c>
      <c r="X1314" t="s">
        <v>74</v>
      </c>
      <c r="Y1314" t="s">
        <v>29496</v>
      </c>
      <c r="Z1314" t="s">
        <v>29495</v>
      </c>
      <c r="AA1314" t="s">
        <v>74</v>
      </c>
      <c r="AB1314" t="s">
        <v>74</v>
      </c>
      <c r="AC1314" t="s">
        <v>29494</v>
      </c>
      <c r="AD1314" t="s">
        <v>29494</v>
      </c>
      <c r="AE1314" t="s">
        <v>29493</v>
      </c>
      <c r="AF1314" t="s">
        <v>74</v>
      </c>
      <c r="AG1314">
        <v>92</v>
      </c>
      <c r="AH1314">
        <v>0</v>
      </c>
      <c r="AI1314">
        <v>0</v>
      </c>
      <c r="AJ1314">
        <v>0</v>
      </c>
      <c r="AK1314">
        <v>0</v>
      </c>
      <c r="AL1314" t="s">
        <v>4666</v>
      </c>
      <c r="AM1314" t="s">
        <v>995</v>
      </c>
      <c r="AN1314" t="s">
        <v>4025</v>
      </c>
      <c r="AO1314" t="s">
        <v>74</v>
      </c>
      <c r="AP1314" t="s">
        <v>29492</v>
      </c>
      <c r="AQ1314" t="s">
        <v>74</v>
      </c>
      <c r="AR1314" t="s">
        <v>29491</v>
      </c>
      <c r="AS1314" t="s">
        <v>29490</v>
      </c>
      <c r="AT1314" t="s">
        <v>29489</v>
      </c>
      <c r="AU1314">
        <v>2025</v>
      </c>
      <c r="AV1314">
        <v>5</v>
      </c>
      <c r="AW1314">
        <v>1</v>
      </c>
      <c r="AX1314" t="s">
        <v>74</v>
      </c>
      <c r="AY1314" t="s">
        <v>74</v>
      </c>
      <c r="AZ1314" t="s">
        <v>74</v>
      </c>
      <c r="BA1314" t="s">
        <v>74</v>
      </c>
      <c r="BB1314" t="s">
        <v>74</v>
      </c>
      <c r="BC1314" t="s">
        <v>74</v>
      </c>
      <c r="BD1314">
        <v>99</v>
      </c>
      <c r="BE1314" t="s">
        <v>29488</v>
      </c>
      <c r="BF1314" t="str">
        <f>HYPERLINK("http://dx.doi.org/10.1007/s44202-025-00385-w","http://dx.doi.org/10.1007/s44202-025-00385-w")</f>
        <v>http://dx.doi.org/10.1007/s44202-025-00385-w</v>
      </c>
      <c r="BG1314" t="s">
        <v>74</v>
      </c>
      <c r="BH1314" t="s">
        <v>74</v>
      </c>
      <c r="BI1314">
        <v>28</v>
      </c>
      <c r="BJ1314" t="s">
        <v>2992</v>
      </c>
      <c r="BK1314" t="s">
        <v>313</v>
      </c>
      <c r="BL1314" t="s">
        <v>2993</v>
      </c>
      <c r="BM1314" t="s">
        <v>29487</v>
      </c>
      <c r="BN1314" t="s">
        <v>74</v>
      </c>
      <c r="BO1314" t="s">
        <v>212</v>
      </c>
      <c r="BP1314" t="s">
        <v>74</v>
      </c>
      <c r="BQ1314" t="s">
        <v>74</v>
      </c>
      <c r="BR1314" t="s">
        <v>102</v>
      </c>
      <c r="BS1314" t="s">
        <v>29486</v>
      </c>
      <c r="BT1314" t="str">
        <f>HYPERLINK("https%3A%2F%2Fwww.webofscience.com%2Fwos%2Fwoscc%2Ffull-record%2FWOS:001585885500003","View Full Record in Web of Science")</f>
        <v>View Full Record in Web of Science</v>
      </c>
    </row>
    <row r="1315" spans="1:72" x14ac:dyDescent="0.25">
      <c r="A1315" t="s">
        <v>72</v>
      </c>
      <c r="B1315" t="s">
        <v>29485</v>
      </c>
      <c r="C1315" t="s">
        <v>74</v>
      </c>
      <c r="D1315" t="s">
        <v>74</v>
      </c>
      <c r="E1315" t="s">
        <v>74</v>
      </c>
      <c r="F1315" t="s">
        <v>29484</v>
      </c>
      <c r="G1315" t="s">
        <v>74</v>
      </c>
      <c r="H1315" t="s">
        <v>74</v>
      </c>
      <c r="I1315" t="s">
        <v>29483</v>
      </c>
      <c r="J1315" t="s">
        <v>20670</v>
      </c>
      <c r="K1315" t="s">
        <v>74</v>
      </c>
      <c r="L1315" t="s">
        <v>74</v>
      </c>
      <c r="M1315" t="s">
        <v>78</v>
      </c>
      <c r="N1315" t="s">
        <v>79</v>
      </c>
      <c r="O1315" t="s">
        <v>74</v>
      </c>
      <c r="P1315" t="s">
        <v>74</v>
      </c>
      <c r="Q1315" t="s">
        <v>74</v>
      </c>
      <c r="R1315" t="s">
        <v>74</v>
      </c>
      <c r="S1315" t="s">
        <v>74</v>
      </c>
      <c r="T1315" t="s">
        <v>29482</v>
      </c>
      <c r="U1315" t="s">
        <v>29481</v>
      </c>
      <c r="V1315" t="s">
        <v>29480</v>
      </c>
      <c r="W1315" t="s">
        <v>29479</v>
      </c>
      <c r="X1315" t="s">
        <v>29478</v>
      </c>
      <c r="Y1315" t="s">
        <v>29477</v>
      </c>
      <c r="Z1315" t="s">
        <v>29476</v>
      </c>
      <c r="AA1315" t="s">
        <v>74</v>
      </c>
      <c r="AB1315" t="s">
        <v>74</v>
      </c>
      <c r="AC1315" t="s">
        <v>29475</v>
      </c>
      <c r="AD1315" t="s">
        <v>29475</v>
      </c>
      <c r="AE1315" t="s">
        <v>29474</v>
      </c>
      <c r="AF1315" t="s">
        <v>74</v>
      </c>
      <c r="AG1315">
        <v>41</v>
      </c>
      <c r="AH1315">
        <v>11</v>
      </c>
      <c r="AI1315">
        <v>12</v>
      </c>
      <c r="AJ1315">
        <v>1</v>
      </c>
      <c r="AK1315">
        <v>30</v>
      </c>
      <c r="AL1315" t="s">
        <v>201</v>
      </c>
      <c r="AM1315" t="s">
        <v>202</v>
      </c>
      <c r="AN1315" t="s">
        <v>203</v>
      </c>
      <c r="AO1315" t="s">
        <v>20660</v>
      </c>
      <c r="AP1315" t="s">
        <v>20659</v>
      </c>
      <c r="AQ1315" t="s">
        <v>74</v>
      </c>
      <c r="AR1315" t="s">
        <v>20658</v>
      </c>
      <c r="AS1315" t="s">
        <v>20657</v>
      </c>
      <c r="AT1315" t="s">
        <v>1652</v>
      </c>
      <c r="AU1315">
        <v>2022</v>
      </c>
      <c r="AV1315">
        <v>34</v>
      </c>
      <c r="AW1315" t="s">
        <v>74</v>
      </c>
      <c r="AX1315" t="s">
        <v>74</v>
      </c>
      <c r="AY1315" t="s">
        <v>74</v>
      </c>
      <c r="AZ1315" t="s">
        <v>74</v>
      </c>
      <c r="BA1315" t="s">
        <v>74</v>
      </c>
      <c r="BB1315" t="s">
        <v>74</v>
      </c>
      <c r="BC1315" t="s">
        <v>74</v>
      </c>
      <c r="BD1315">
        <v>100662</v>
      </c>
      <c r="BE1315" t="s">
        <v>29473</v>
      </c>
      <c r="BF1315" t="str">
        <f>HYPERLINK("http://dx.doi.org/10.1016/j.jbef.2022.100662","http://dx.doi.org/10.1016/j.jbef.2022.100662")</f>
        <v>http://dx.doi.org/10.1016/j.jbef.2022.100662</v>
      </c>
      <c r="BG1315" t="s">
        <v>74</v>
      </c>
      <c r="BH1315" t="s">
        <v>74</v>
      </c>
      <c r="BI1315">
        <v>12</v>
      </c>
      <c r="BJ1315" t="s">
        <v>210</v>
      </c>
      <c r="BK1315" t="s">
        <v>99</v>
      </c>
      <c r="BL1315" t="s">
        <v>100</v>
      </c>
      <c r="BM1315" t="s">
        <v>29472</v>
      </c>
      <c r="BN1315" t="s">
        <v>74</v>
      </c>
      <c r="BO1315" t="s">
        <v>74</v>
      </c>
      <c r="BP1315" t="s">
        <v>74</v>
      </c>
      <c r="BQ1315" t="s">
        <v>74</v>
      </c>
      <c r="BR1315" t="s">
        <v>102</v>
      </c>
      <c r="BS1315" t="s">
        <v>29471</v>
      </c>
      <c r="BT1315" t="str">
        <f>HYPERLINK("https%3A%2F%2Fwww.webofscience.com%2Fwos%2Fwoscc%2Ffull-record%2FWOS:000836434100001","View Full Record in Web of Science")</f>
        <v>View Full Record in Web of Science</v>
      </c>
    </row>
    <row r="1316" spans="1:72" x14ac:dyDescent="0.25">
      <c r="A1316" t="s">
        <v>72</v>
      </c>
      <c r="B1316" t="s">
        <v>3507</v>
      </c>
      <c r="C1316" t="s">
        <v>74</v>
      </c>
      <c r="D1316" t="s">
        <v>74</v>
      </c>
      <c r="E1316" t="s">
        <v>74</v>
      </c>
      <c r="F1316" t="s">
        <v>3508</v>
      </c>
      <c r="G1316" t="s">
        <v>74</v>
      </c>
      <c r="H1316" t="s">
        <v>74</v>
      </c>
      <c r="I1316" t="s">
        <v>29470</v>
      </c>
      <c r="J1316" t="s">
        <v>2365</v>
      </c>
      <c r="K1316" t="s">
        <v>74</v>
      </c>
      <c r="L1316" t="s">
        <v>74</v>
      </c>
      <c r="M1316" t="s">
        <v>78</v>
      </c>
      <c r="N1316" t="s">
        <v>79</v>
      </c>
      <c r="O1316" t="s">
        <v>74</v>
      </c>
      <c r="P1316" t="s">
        <v>74</v>
      </c>
      <c r="Q1316" t="s">
        <v>74</v>
      </c>
      <c r="R1316" t="s">
        <v>74</v>
      </c>
      <c r="S1316" t="s">
        <v>74</v>
      </c>
      <c r="T1316" t="s">
        <v>29469</v>
      </c>
      <c r="U1316" t="s">
        <v>29468</v>
      </c>
      <c r="V1316" t="s">
        <v>29467</v>
      </c>
      <c r="W1316" t="s">
        <v>29466</v>
      </c>
      <c r="X1316" t="s">
        <v>3513</v>
      </c>
      <c r="Y1316" t="s">
        <v>29465</v>
      </c>
      <c r="Z1316" t="s">
        <v>29464</v>
      </c>
      <c r="AA1316" t="s">
        <v>29463</v>
      </c>
      <c r="AB1316" t="s">
        <v>29462</v>
      </c>
      <c r="AC1316" t="s">
        <v>74</v>
      </c>
      <c r="AD1316" t="s">
        <v>74</v>
      </c>
      <c r="AE1316" t="s">
        <v>74</v>
      </c>
      <c r="AF1316" t="s">
        <v>74</v>
      </c>
      <c r="AG1316">
        <v>101</v>
      </c>
      <c r="AH1316">
        <v>2</v>
      </c>
      <c r="AI1316">
        <v>2</v>
      </c>
      <c r="AJ1316">
        <v>0</v>
      </c>
      <c r="AK1316">
        <v>6</v>
      </c>
      <c r="AL1316" t="s">
        <v>2371</v>
      </c>
      <c r="AM1316" t="s">
        <v>2372</v>
      </c>
      <c r="AN1316" t="s">
        <v>2373</v>
      </c>
      <c r="AO1316" t="s">
        <v>2374</v>
      </c>
      <c r="AP1316" t="s">
        <v>2375</v>
      </c>
      <c r="AQ1316" t="s">
        <v>74</v>
      </c>
      <c r="AR1316" t="s">
        <v>2376</v>
      </c>
      <c r="AS1316" t="s">
        <v>2377</v>
      </c>
      <c r="AT1316" t="s">
        <v>74</v>
      </c>
      <c r="AU1316">
        <v>2022</v>
      </c>
      <c r="AV1316">
        <v>26</v>
      </c>
      <c r="AW1316">
        <v>1</v>
      </c>
      <c r="AX1316" t="s">
        <v>74</v>
      </c>
      <c r="AY1316" t="s">
        <v>74</v>
      </c>
      <c r="AZ1316" t="s">
        <v>74</v>
      </c>
      <c r="BA1316" t="s">
        <v>74</v>
      </c>
      <c r="BB1316">
        <v>120</v>
      </c>
      <c r="BC1316">
        <v>144</v>
      </c>
      <c r="BD1316" t="s">
        <v>74</v>
      </c>
      <c r="BE1316" t="s">
        <v>29461</v>
      </c>
      <c r="BF1316" t="str">
        <f>HYPERLINK("http://dx.doi.org/10.1504/IJICBM.2022.122846","http://dx.doi.org/10.1504/IJICBM.2022.122846")</f>
        <v>http://dx.doi.org/10.1504/IJICBM.2022.122846</v>
      </c>
      <c r="BG1316" t="s">
        <v>74</v>
      </c>
      <c r="BH1316" t="s">
        <v>74</v>
      </c>
      <c r="BI1316">
        <v>25</v>
      </c>
      <c r="BJ1316" t="s">
        <v>418</v>
      </c>
      <c r="BK1316" t="s">
        <v>313</v>
      </c>
      <c r="BL1316" t="s">
        <v>100</v>
      </c>
      <c r="BM1316" t="s">
        <v>29460</v>
      </c>
      <c r="BN1316" t="s">
        <v>74</v>
      </c>
      <c r="BO1316" t="s">
        <v>74</v>
      </c>
      <c r="BP1316" t="s">
        <v>74</v>
      </c>
      <c r="BQ1316" t="s">
        <v>74</v>
      </c>
      <c r="BR1316" t="s">
        <v>102</v>
      </c>
      <c r="BS1316" t="s">
        <v>29459</v>
      </c>
      <c r="BT1316" t="str">
        <f>HYPERLINK("https%3A%2F%2Fwww.webofscience.com%2Fwos%2Fwoscc%2Ffull-record%2FWOS:000818916000006","View Full Record in Web of Science")</f>
        <v>View Full Record in Web of Science</v>
      </c>
    </row>
    <row r="1317" spans="1:72" x14ac:dyDescent="0.25">
      <c r="A1317" t="s">
        <v>72</v>
      </c>
      <c r="B1317" t="s">
        <v>29458</v>
      </c>
      <c r="C1317" t="s">
        <v>74</v>
      </c>
      <c r="D1317" t="s">
        <v>74</v>
      </c>
      <c r="E1317" t="s">
        <v>74</v>
      </c>
      <c r="F1317" t="s">
        <v>29457</v>
      </c>
      <c r="G1317" t="s">
        <v>74</v>
      </c>
      <c r="H1317" t="s">
        <v>74</v>
      </c>
      <c r="I1317" t="s">
        <v>29456</v>
      </c>
      <c r="J1317" t="s">
        <v>246</v>
      </c>
      <c r="K1317" t="s">
        <v>74</v>
      </c>
      <c r="L1317" t="s">
        <v>74</v>
      </c>
      <c r="M1317" t="s">
        <v>78</v>
      </c>
      <c r="N1317" t="s">
        <v>79</v>
      </c>
      <c r="O1317" t="s">
        <v>74</v>
      </c>
      <c r="P1317" t="s">
        <v>74</v>
      </c>
      <c r="Q1317" t="s">
        <v>74</v>
      </c>
      <c r="R1317" t="s">
        <v>74</v>
      </c>
      <c r="S1317" t="s">
        <v>74</v>
      </c>
      <c r="T1317" t="s">
        <v>29455</v>
      </c>
      <c r="U1317" t="s">
        <v>29454</v>
      </c>
      <c r="V1317" t="s">
        <v>29453</v>
      </c>
      <c r="W1317" t="s">
        <v>29452</v>
      </c>
      <c r="X1317" t="s">
        <v>29451</v>
      </c>
      <c r="Y1317" t="s">
        <v>29450</v>
      </c>
      <c r="Z1317" t="s">
        <v>29449</v>
      </c>
      <c r="AA1317" t="s">
        <v>29448</v>
      </c>
      <c r="AB1317" t="s">
        <v>74</v>
      </c>
      <c r="AC1317" t="s">
        <v>29447</v>
      </c>
      <c r="AD1317" t="s">
        <v>8707</v>
      </c>
      <c r="AE1317" t="s">
        <v>29446</v>
      </c>
      <c r="AF1317" t="s">
        <v>74</v>
      </c>
      <c r="AG1317">
        <v>15</v>
      </c>
      <c r="AH1317">
        <v>25</v>
      </c>
      <c r="AI1317">
        <v>27</v>
      </c>
      <c r="AJ1317">
        <v>29</v>
      </c>
      <c r="AK1317">
        <v>127</v>
      </c>
      <c r="AL1317" t="s">
        <v>259</v>
      </c>
      <c r="AM1317" t="s">
        <v>260</v>
      </c>
      <c r="AN1317" t="s">
        <v>261</v>
      </c>
      <c r="AO1317" t="s">
        <v>262</v>
      </c>
      <c r="AP1317" t="s">
        <v>263</v>
      </c>
      <c r="AQ1317" t="s">
        <v>74</v>
      </c>
      <c r="AR1317" t="s">
        <v>264</v>
      </c>
      <c r="AS1317" t="s">
        <v>265</v>
      </c>
      <c r="AT1317" t="s">
        <v>605</v>
      </c>
      <c r="AU1317">
        <v>2024</v>
      </c>
      <c r="AV1317">
        <v>61</v>
      </c>
      <c r="AW1317" t="s">
        <v>74</v>
      </c>
      <c r="AX1317" t="s">
        <v>74</v>
      </c>
      <c r="AY1317" t="s">
        <v>74</v>
      </c>
      <c r="AZ1317" t="s">
        <v>74</v>
      </c>
      <c r="BA1317" t="s">
        <v>74</v>
      </c>
      <c r="BB1317" t="s">
        <v>74</v>
      </c>
      <c r="BC1317" t="s">
        <v>74</v>
      </c>
      <c r="BD1317">
        <v>105034</v>
      </c>
      <c r="BE1317" t="s">
        <v>29445</v>
      </c>
      <c r="BF1317" t="str">
        <f>HYPERLINK("http://dx.doi.org/10.1016/j.frl.2024.105034","http://dx.doi.org/10.1016/j.frl.2024.105034")</f>
        <v>http://dx.doi.org/10.1016/j.frl.2024.105034</v>
      </c>
      <c r="BG1317" t="s">
        <v>74</v>
      </c>
      <c r="BH1317" t="s">
        <v>239</v>
      </c>
      <c r="BI1317">
        <v>6</v>
      </c>
      <c r="BJ1317" t="s">
        <v>268</v>
      </c>
      <c r="BK1317" t="s">
        <v>99</v>
      </c>
      <c r="BL1317" t="s">
        <v>100</v>
      </c>
      <c r="BM1317" t="s">
        <v>29444</v>
      </c>
      <c r="BN1317" t="s">
        <v>74</v>
      </c>
      <c r="BO1317" t="s">
        <v>74</v>
      </c>
      <c r="BP1317" t="s">
        <v>74</v>
      </c>
      <c r="BQ1317" t="s">
        <v>74</v>
      </c>
      <c r="BR1317" t="s">
        <v>102</v>
      </c>
      <c r="BS1317" t="s">
        <v>29443</v>
      </c>
      <c r="BT1317" t="str">
        <f>HYPERLINK("https%3A%2F%2Fwww.webofscience.com%2Fwos%2Fwoscc%2Ffull-record%2FWOS:001174671200001","View Full Record in Web of Science")</f>
        <v>View Full Record in Web of Science</v>
      </c>
    </row>
    <row r="1318" spans="1:72" x14ac:dyDescent="0.25">
      <c r="A1318" t="s">
        <v>72</v>
      </c>
      <c r="B1318" t="s">
        <v>29442</v>
      </c>
      <c r="C1318" t="s">
        <v>74</v>
      </c>
      <c r="D1318" t="s">
        <v>74</v>
      </c>
      <c r="E1318" t="s">
        <v>74</v>
      </c>
      <c r="F1318" t="s">
        <v>29441</v>
      </c>
      <c r="G1318" t="s">
        <v>74</v>
      </c>
      <c r="H1318" t="s">
        <v>74</v>
      </c>
      <c r="I1318" t="s">
        <v>29440</v>
      </c>
      <c r="J1318" t="s">
        <v>29439</v>
      </c>
      <c r="K1318" t="s">
        <v>74</v>
      </c>
      <c r="L1318" t="s">
        <v>74</v>
      </c>
      <c r="M1318" t="s">
        <v>78</v>
      </c>
      <c r="N1318" t="s">
        <v>79</v>
      </c>
      <c r="O1318" t="s">
        <v>74</v>
      </c>
      <c r="P1318" t="s">
        <v>74</v>
      </c>
      <c r="Q1318" t="s">
        <v>74</v>
      </c>
      <c r="R1318" t="s">
        <v>74</v>
      </c>
      <c r="S1318" t="s">
        <v>74</v>
      </c>
      <c r="T1318" t="s">
        <v>29438</v>
      </c>
      <c r="U1318" t="s">
        <v>29437</v>
      </c>
      <c r="V1318" t="s">
        <v>29436</v>
      </c>
      <c r="W1318" t="s">
        <v>29435</v>
      </c>
      <c r="X1318" t="s">
        <v>29434</v>
      </c>
      <c r="Y1318" t="s">
        <v>29433</v>
      </c>
      <c r="Z1318" t="s">
        <v>29432</v>
      </c>
      <c r="AA1318" t="s">
        <v>29431</v>
      </c>
      <c r="AB1318" t="s">
        <v>29430</v>
      </c>
      <c r="AC1318" t="s">
        <v>74</v>
      </c>
      <c r="AD1318" t="s">
        <v>74</v>
      </c>
      <c r="AE1318" t="s">
        <v>74</v>
      </c>
      <c r="AF1318" t="s">
        <v>74</v>
      </c>
      <c r="AG1318">
        <v>35</v>
      </c>
      <c r="AH1318">
        <v>1</v>
      </c>
      <c r="AI1318">
        <v>1</v>
      </c>
      <c r="AJ1318">
        <v>0</v>
      </c>
      <c r="AK1318">
        <v>4</v>
      </c>
      <c r="AL1318" t="s">
        <v>409</v>
      </c>
      <c r="AM1318" t="s">
        <v>410</v>
      </c>
      <c r="AN1318" t="s">
        <v>411</v>
      </c>
      <c r="AO1318" t="s">
        <v>29429</v>
      </c>
      <c r="AP1318" t="s">
        <v>29428</v>
      </c>
      <c r="AQ1318" t="s">
        <v>74</v>
      </c>
      <c r="AR1318" t="s">
        <v>29427</v>
      </c>
      <c r="AS1318" t="s">
        <v>29426</v>
      </c>
      <c r="AT1318" t="s">
        <v>1540</v>
      </c>
      <c r="AU1318">
        <v>2023</v>
      </c>
      <c r="AV1318">
        <v>29</v>
      </c>
      <c r="AW1318">
        <v>2</v>
      </c>
      <c r="AX1318" t="s">
        <v>74</v>
      </c>
      <c r="AY1318" t="s">
        <v>74</v>
      </c>
      <c r="AZ1318" t="s">
        <v>441</v>
      </c>
      <c r="BA1318" t="s">
        <v>74</v>
      </c>
      <c r="BB1318">
        <v>153</v>
      </c>
      <c r="BC1318">
        <v>167</v>
      </c>
      <c r="BD1318" t="s">
        <v>74</v>
      </c>
      <c r="BE1318" t="s">
        <v>29425</v>
      </c>
      <c r="BF1318" t="str">
        <f>HYPERLINK("http://dx.doi.org/10.1177/09716858231154396","http://dx.doi.org/10.1177/09716858231154396")</f>
        <v>http://dx.doi.org/10.1177/09716858231154396</v>
      </c>
      <c r="BG1318" t="s">
        <v>74</v>
      </c>
      <c r="BH1318" t="s">
        <v>3595</v>
      </c>
      <c r="BI1318">
        <v>15</v>
      </c>
      <c r="BJ1318" t="s">
        <v>364</v>
      </c>
      <c r="BK1318" t="s">
        <v>313</v>
      </c>
      <c r="BL1318" t="s">
        <v>365</v>
      </c>
      <c r="BM1318" t="s">
        <v>29424</v>
      </c>
      <c r="BN1318" t="s">
        <v>74</v>
      </c>
      <c r="BO1318" t="s">
        <v>74</v>
      </c>
      <c r="BP1318" t="s">
        <v>74</v>
      </c>
      <c r="BQ1318" t="s">
        <v>74</v>
      </c>
      <c r="BR1318" t="s">
        <v>102</v>
      </c>
      <c r="BS1318" t="s">
        <v>29423</v>
      </c>
      <c r="BT1318" t="str">
        <f>HYPERLINK("https%3A%2F%2Fwww.webofscience.com%2Fwos%2Fwoscc%2Ffull-record%2FWOS:000951056200001","View Full Record in Web of Science")</f>
        <v>View Full Record in Web of Science</v>
      </c>
    </row>
    <row r="1319" spans="1:72" x14ac:dyDescent="0.25">
      <c r="A1319" t="s">
        <v>72</v>
      </c>
      <c r="B1319" t="s">
        <v>29422</v>
      </c>
      <c r="C1319" t="s">
        <v>74</v>
      </c>
      <c r="D1319" t="s">
        <v>74</v>
      </c>
      <c r="E1319" t="s">
        <v>74</v>
      </c>
      <c r="F1319" t="s">
        <v>29421</v>
      </c>
      <c r="G1319" t="s">
        <v>74</v>
      </c>
      <c r="H1319" t="s">
        <v>74</v>
      </c>
      <c r="I1319" t="s">
        <v>29420</v>
      </c>
      <c r="J1319" t="s">
        <v>1290</v>
      </c>
      <c r="K1319" t="s">
        <v>74</v>
      </c>
      <c r="L1319" t="s">
        <v>74</v>
      </c>
      <c r="M1319" t="s">
        <v>78</v>
      </c>
      <c r="N1319" t="s">
        <v>79</v>
      </c>
      <c r="O1319" t="s">
        <v>74</v>
      </c>
      <c r="P1319" t="s">
        <v>74</v>
      </c>
      <c r="Q1319" t="s">
        <v>74</v>
      </c>
      <c r="R1319" t="s">
        <v>74</v>
      </c>
      <c r="S1319" t="s">
        <v>74</v>
      </c>
      <c r="T1319" t="s">
        <v>29419</v>
      </c>
      <c r="U1319" t="s">
        <v>29418</v>
      </c>
      <c r="V1319" t="s">
        <v>29417</v>
      </c>
      <c r="W1319" t="s">
        <v>29416</v>
      </c>
      <c r="X1319" t="s">
        <v>29415</v>
      </c>
      <c r="Y1319" t="s">
        <v>9018</v>
      </c>
      <c r="Z1319" t="s">
        <v>29414</v>
      </c>
      <c r="AA1319" t="s">
        <v>29413</v>
      </c>
      <c r="AB1319" t="s">
        <v>29412</v>
      </c>
      <c r="AC1319" t="s">
        <v>29411</v>
      </c>
      <c r="AD1319" t="s">
        <v>29411</v>
      </c>
      <c r="AE1319" t="s">
        <v>29410</v>
      </c>
      <c r="AF1319" t="s">
        <v>74</v>
      </c>
      <c r="AG1319">
        <v>93</v>
      </c>
      <c r="AH1319">
        <v>2</v>
      </c>
      <c r="AI1319">
        <v>2</v>
      </c>
      <c r="AJ1319">
        <v>2</v>
      </c>
      <c r="AK1319">
        <v>5</v>
      </c>
      <c r="AL1319" t="s">
        <v>575</v>
      </c>
      <c r="AM1319" t="s">
        <v>576</v>
      </c>
      <c r="AN1319" t="s">
        <v>577</v>
      </c>
      <c r="AO1319" t="s">
        <v>1299</v>
      </c>
      <c r="AP1319" t="s">
        <v>74</v>
      </c>
      <c r="AQ1319" t="s">
        <v>74</v>
      </c>
      <c r="AR1319" t="s">
        <v>1300</v>
      </c>
      <c r="AS1319" t="s">
        <v>1301</v>
      </c>
      <c r="AT1319" t="s">
        <v>124</v>
      </c>
      <c r="AU1319">
        <v>2024</v>
      </c>
      <c r="AV1319">
        <v>12</v>
      </c>
      <c r="AW1319">
        <v>4</v>
      </c>
      <c r="AX1319" t="s">
        <v>74</v>
      </c>
      <c r="AY1319" t="s">
        <v>74</v>
      </c>
      <c r="AZ1319" t="s">
        <v>74</v>
      </c>
      <c r="BA1319" t="s">
        <v>74</v>
      </c>
      <c r="BB1319" t="s">
        <v>74</v>
      </c>
      <c r="BC1319" t="s">
        <v>74</v>
      </c>
      <c r="BD1319">
        <v>128</v>
      </c>
      <c r="BE1319" t="s">
        <v>29409</v>
      </c>
      <c r="BF1319" t="str">
        <f>HYPERLINK("http://dx.doi.org/10.3390/ijfs12040128","http://dx.doi.org/10.3390/ijfs12040128")</f>
        <v>http://dx.doi.org/10.3390/ijfs12040128</v>
      </c>
      <c r="BG1319" t="s">
        <v>74</v>
      </c>
      <c r="BH1319" t="s">
        <v>74</v>
      </c>
      <c r="BI1319">
        <v>18</v>
      </c>
      <c r="BJ1319" t="s">
        <v>268</v>
      </c>
      <c r="BK1319" t="s">
        <v>313</v>
      </c>
      <c r="BL1319" t="s">
        <v>100</v>
      </c>
      <c r="BM1319" t="s">
        <v>29408</v>
      </c>
      <c r="BN1319" t="s">
        <v>74</v>
      </c>
      <c r="BO1319" t="s">
        <v>212</v>
      </c>
      <c r="BP1319" t="s">
        <v>74</v>
      </c>
      <c r="BQ1319" t="s">
        <v>74</v>
      </c>
      <c r="BR1319" t="s">
        <v>102</v>
      </c>
      <c r="BS1319" t="s">
        <v>29407</v>
      </c>
      <c r="BT1319" t="str">
        <f>HYPERLINK("https%3A%2F%2Fwww.webofscience.com%2Fwos%2Fwoscc%2Ffull-record%2FWOS:001384688500001","View Full Record in Web of Science")</f>
        <v>View Full Record in Web of Science</v>
      </c>
    </row>
    <row r="1320" spans="1:72" x14ac:dyDescent="0.25">
      <c r="A1320" t="s">
        <v>72</v>
      </c>
      <c r="B1320" t="s">
        <v>4071</v>
      </c>
      <c r="C1320" t="s">
        <v>74</v>
      </c>
      <c r="D1320" t="s">
        <v>74</v>
      </c>
      <c r="E1320" t="s">
        <v>74</v>
      </c>
      <c r="F1320" t="s">
        <v>4072</v>
      </c>
      <c r="G1320" t="s">
        <v>74</v>
      </c>
      <c r="H1320" t="s">
        <v>74</v>
      </c>
      <c r="I1320" t="s">
        <v>29406</v>
      </c>
      <c r="J1320" t="s">
        <v>729</v>
      </c>
      <c r="K1320" t="s">
        <v>74</v>
      </c>
      <c r="L1320" t="s">
        <v>74</v>
      </c>
      <c r="M1320" t="s">
        <v>78</v>
      </c>
      <c r="N1320" t="s">
        <v>79</v>
      </c>
      <c r="O1320" t="s">
        <v>74</v>
      </c>
      <c r="P1320" t="s">
        <v>74</v>
      </c>
      <c r="Q1320" t="s">
        <v>74</v>
      </c>
      <c r="R1320" t="s">
        <v>74</v>
      </c>
      <c r="S1320" t="s">
        <v>74</v>
      </c>
      <c r="T1320" t="s">
        <v>29405</v>
      </c>
      <c r="U1320" t="s">
        <v>29404</v>
      </c>
      <c r="V1320" t="s">
        <v>29403</v>
      </c>
      <c r="W1320" t="s">
        <v>4078</v>
      </c>
      <c r="X1320" t="s">
        <v>74</v>
      </c>
      <c r="Y1320" t="s">
        <v>4079</v>
      </c>
      <c r="Z1320" t="s">
        <v>29402</v>
      </c>
      <c r="AA1320" t="s">
        <v>4081</v>
      </c>
      <c r="AB1320" t="s">
        <v>4082</v>
      </c>
      <c r="AC1320" t="s">
        <v>74</v>
      </c>
      <c r="AD1320" t="s">
        <v>74</v>
      </c>
      <c r="AE1320" t="s">
        <v>74</v>
      </c>
      <c r="AF1320" t="s">
        <v>74</v>
      </c>
      <c r="AG1320">
        <v>55</v>
      </c>
      <c r="AH1320">
        <v>2</v>
      </c>
      <c r="AI1320">
        <v>5</v>
      </c>
      <c r="AJ1320">
        <v>0</v>
      </c>
      <c r="AK1320">
        <v>6</v>
      </c>
      <c r="AL1320" t="s">
        <v>479</v>
      </c>
      <c r="AM1320" t="s">
        <v>480</v>
      </c>
      <c r="AN1320" t="s">
        <v>481</v>
      </c>
      <c r="AO1320" t="s">
        <v>739</v>
      </c>
      <c r="AP1320" t="s">
        <v>740</v>
      </c>
      <c r="AQ1320" t="s">
        <v>74</v>
      </c>
      <c r="AR1320" t="s">
        <v>741</v>
      </c>
      <c r="AS1320" t="s">
        <v>742</v>
      </c>
      <c r="AT1320" t="s">
        <v>1159</v>
      </c>
      <c r="AU1320">
        <v>2022</v>
      </c>
      <c r="AV1320">
        <v>27</v>
      </c>
      <c r="AW1320">
        <v>4</v>
      </c>
      <c r="AX1320" t="s">
        <v>74</v>
      </c>
      <c r="AY1320" t="s">
        <v>74</v>
      </c>
      <c r="AZ1320" t="s">
        <v>441</v>
      </c>
      <c r="BA1320" t="s">
        <v>74</v>
      </c>
      <c r="BB1320">
        <v>4018</v>
      </c>
      <c r="BC1320">
        <v>4047</v>
      </c>
      <c r="BD1320" t="s">
        <v>74</v>
      </c>
      <c r="BE1320" t="s">
        <v>29401</v>
      </c>
      <c r="BF1320" t="str">
        <f>HYPERLINK("http://dx.doi.org/10.1002/ijfe.2357","http://dx.doi.org/10.1002/ijfe.2357")</f>
        <v>http://dx.doi.org/10.1002/ijfe.2357</v>
      </c>
      <c r="BG1320" t="s">
        <v>74</v>
      </c>
      <c r="BH1320" t="s">
        <v>7236</v>
      </c>
      <c r="BI1320">
        <v>30</v>
      </c>
      <c r="BJ1320" t="s">
        <v>268</v>
      </c>
      <c r="BK1320" t="s">
        <v>99</v>
      </c>
      <c r="BL1320" t="s">
        <v>100</v>
      </c>
      <c r="BM1320" t="s">
        <v>29400</v>
      </c>
      <c r="BN1320" t="s">
        <v>74</v>
      </c>
      <c r="BO1320" t="s">
        <v>74</v>
      </c>
      <c r="BP1320" t="s">
        <v>74</v>
      </c>
      <c r="BQ1320" t="s">
        <v>74</v>
      </c>
      <c r="BR1320" t="s">
        <v>102</v>
      </c>
      <c r="BS1320" t="s">
        <v>29399</v>
      </c>
      <c r="BT1320" t="str">
        <f>HYPERLINK("https%3A%2F%2Fwww.webofscience.com%2Fwos%2Fwoscc%2Ffull-record%2FWOS:000596493700001","View Full Record in Web of Science")</f>
        <v>View Full Record in Web of Science</v>
      </c>
    </row>
    <row r="1321" spans="1:72" x14ac:dyDescent="0.25">
      <c r="A1321" t="s">
        <v>72</v>
      </c>
      <c r="B1321" t="s">
        <v>29398</v>
      </c>
      <c r="C1321" t="s">
        <v>74</v>
      </c>
      <c r="D1321" t="s">
        <v>74</v>
      </c>
      <c r="E1321" t="s">
        <v>74</v>
      </c>
      <c r="F1321" t="s">
        <v>29397</v>
      </c>
      <c r="G1321" t="s">
        <v>74</v>
      </c>
      <c r="H1321" t="s">
        <v>74</v>
      </c>
      <c r="I1321" t="s">
        <v>29396</v>
      </c>
      <c r="J1321" t="s">
        <v>29395</v>
      </c>
      <c r="K1321" t="s">
        <v>74</v>
      </c>
      <c r="L1321" t="s">
        <v>74</v>
      </c>
      <c r="M1321" t="s">
        <v>78</v>
      </c>
      <c r="N1321" t="s">
        <v>79</v>
      </c>
      <c r="O1321" t="s">
        <v>74</v>
      </c>
      <c r="P1321" t="s">
        <v>74</v>
      </c>
      <c r="Q1321" t="s">
        <v>74</v>
      </c>
      <c r="R1321" t="s">
        <v>74</v>
      </c>
      <c r="S1321" t="s">
        <v>74</v>
      </c>
      <c r="T1321" t="s">
        <v>29394</v>
      </c>
      <c r="U1321" t="s">
        <v>29393</v>
      </c>
      <c r="V1321" t="s">
        <v>29392</v>
      </c>
      <c r="W1321" t="s">
        <v>29391</v>
      </c>
      <c r="X1321" t="s">
        <v>29390</v>
      </c>
      <c r="Y1321" t="s">
        <v>29389</v>
      </c>
      <c r="Z1321" t="s">
        <v>29388</v>
      </c>
      <c r="AA1321" t="s">
        <v>18068</v>
      </c>
      <c r="AB1321" t="s">
        <v>29387</v>
      </c>
      <c r="AC1321" t="s">
        <v>29386</v>
      </c>
      <c r="AD1321" t="s">
        <v>29385</v>
      </c>
      <c r="AE1321" t="s">
        <v>29384</v>
      </c>
      <c r="AF1321" t="s">
        <v>74</v>
      </c>
      <c r="AG1321">
        <v>38</v>
      </c>
      <c r="AH1321">
        <v>11</v>
      </c>
      <c r="AI1321">
        <v>15</v>
      </c>
      <c r="AJ1321">
        <v>1</v>
      </c>
      <c r="AK1321">
        <v>14</v>
      </c>
      <c r="AL1321" t="s">
        <v>29383</v>
      </c>
      <c r="AM1321" t="s">
        <v>29382</v>
      </c>
      <c r="AN1321" t="s">
        <v>29381</v>
      </c>
      <c r="AO1321" t="s">
        <v>29380</v>
      </c>
      <c r="AP1321" t="s">
        <v>74</v>
      </c>
      <c r="AQ1321" t="s">
        <v>74</v>
      </c>
      <c r="AR1321" t="s">
        <v>29379</v>
      </c>
      <c r="AS1321" t="s">
        <v>29378</v>
      </c>
      <c r="AT1321" t="s">
        <v>74</v>
      </c>
      <c r="AU1321">
        <v>2023</v>
      </c>
      <c r="AV1321">
        <v>7</v>
      </c>
      <c r="AW1321">
        <v>2</v>
      </c>
      <c r="AX1321" t="s">
        <v>74</v>
      </c>
      <c r="AY1321" t="s">
        <v>74</v>
      </c>
      <c r="AZ1321" t="s">
        <v>74</v>
      </c>
      <c r="BA1321" t="s">
        <v>74</v>
      </c>
      <c r="BB1321">
        <v>187</v>
      </c>
      <c r="BC1321">
        <v>206</v>
      </c>
      <c r="BD1321" t="s">
        <v>74</v>
      </c>
      <c r="BE1321" t="s">
        <v>29377</v>
      </c>
      <c r="BF1321" t="str">
        <f>HYPERLINK("http://dx.doi.org/10.3934/QFE.2023010","http://dx.doi.org/10.3934/QFE.2023010")</f>
        <v>http://dx.doi.org/10.3934/QFE.2023010</v>
      </c>
      <c r="BG1321" t="s">
        <v>74</v>
      </c>
      <c r="BH1321" t="s">
        <v>74</v>
      </c>
      <c r="BI1321">
        <v>20</v>
      </c>
      <c r="BJ1321" t="s">
        <v>268</v>
      </c>
      <c r="BK1321" t="s">
        <v>313</v>
      </c>
      <c r="BL1321" t="s">
        <v>100</v>
      </c>
      <c r="BM1321" t="s">
        <v>29376</v>
      </c>
      <c r="BN1321" t="s">
        <v>74</v>
      </c>
      <c r="BO1321" t="s">
        <v>916</v>
      </c>
      <c r="BP1321" t="s">
        <v>74</v>
      </c>
      <c r="BQ1321" t="s">
        <v>74</v>
      </c>
      <c r="BR1321" t="s">
        <v>102</v>
      </c>
      <c r="BS1321" t="s">
        <v>29375</v>
      </c>
      <c r="BT1321" t="str">
        <f>HYPERLINK("https%3A%2F%2Fwww.webofscience.com%2Fwos%2Fwoscc%2Ffull-record%2FWOS:000975951300001","View Full Record in Web of Science")</f>
        <v>View Full Record in Web of Science</v>
      </c>
    </row>
    <row r="1322" spans="1:72" x14ac:dyDescent="0.25">
      <c r="A1322" t="s">
        <v>72</v>
      </c>
      <c r="B1322" t="s">
        <v>29374</v>
      </c>
      <c r="C1322" t="s">
        <v>74</v>
      </c>
      <c r="D1322" t="s">
        <v>74</v>
      </c>
      <c r="E1322" t="s">
        <v>74</v>
      </c>
      <c r="F1322" t="s">
        <v>29373</v>
      </c>
      <c r="G1322" t="s">
        <v>74</v>
      </c>
      <c r="H1322" t="s">
        <v>74</v>
      </c>
      <c r="I1322" t="s">
        <v>29372</v>
      </c>
      <c r="J1322" t="s">
        <v>5812</v>
      </c>
      <c r="K1322" t="s">
        <v>74</v>
      </c>
      <c r="L1322" t="s">
        <v>74</v>
      </c>
      <c r="M1322" t="s">
        <v>78</v>
      </c>
      <c r="N1322" t="s">
        <v>79</v>
      </c>
      <c r="O1322" t="s">
        <v>74</v>
      </c>
      <c r="P1322" t="s">
        <v>74</v>
      </c>
      <c r="Q1322" t="s">
        <v>74</v>
      </c>
      <c r="R1322" t="s">
        <v>74</v>
      </c>
      <c r="S1322" t="s">
        <v>74</v>
      </c>
      <c r="T1322" t="s">
        <v>29371</v>
      </c>
      <c r="U1322" t="s">
        <v>29370</v>
      </c>
      <c r="V1322" t="s">
        <v>29369</v>
      </c>
      <c r="W1322" t="s">
        <v>29368</v>
      </c>
      <c r="X1322" t="s">
        <v>29367</v>
      </c>
      <c r="Y1322" t="s">
        <v>29366</v>
      </c>
      <c r="Z1322" t="s">
        <v>29365</v>
      </c>
      <c r="AA1322" t="s">
        <v>24897</v>
      </c>
      <c r="AB1322" t="s">
        <v>29364</v>
      </c>
      <c r="AC1322" t="s">
        <v>29363</v>
      </c>
      <c r="AD1322" t="s">
        <v>29362</v>
      </c>
      <c r="AE1322" t="s">
        <v>29361</v>
      </c>
      <c r="AF1322" t="s">
        <v>74</v>
      </c>
      <c r="AG1322">
        <v>90</v>
      </c>
      <c r="AH1322">
        <v>39</v>
      </c>
      <c r="AI1322">
        <v>54</v>
      </c>
      <c r="AJ1322">
        <v>10</v>
      </c>
      <c r="AK1322">
        <v>76</v>
      </c>
      <c r="AL1322" t="s">
        <v>332</v>
      </c>
      <c r="AM1322" t="s">
        <v>333</v>
      </c>
      <c r="AN1322" t="s">
        <v>334</v>
      </c>
      <c r="AO1322" t="s">
        <v>5820</v>
      </c>
      <c r="AP1322" t="s">
        <v>5821</v>
      </c>
      <c r="AQ1322" t="s">
        <v>74</v>
      </c>
      <c r="AR1322" t="s">
        <v>5822</v>
      </c>
      <c r="AS1322" t="s">
        <v>5823</v>
      </c>
      <c r="AT1322" t="s">
        <v>2487</v>
      </c>
      <c r="AU1322">
        <v>2021</v>
      </c>
      <c r="AV1322">
        <v>34</v>
      </c>
      <c r="AW1322">
        <v>1</v>
      </c>
      <c r="AX1322" t="s">
        <v>74</v>
      </c>
      <c r="AY1322" t="s">
        <v>74</v>
      </c>
      <c r="AZ1322" t="s">
        <v>74</v>
      </c>
      <c r="BA1322" t="s">
        <v>74</v>
      </c>
      <c r="BB1322">
        <v>1265</v>
      </c>
      <c r="BC1322">
        <v>1282</v>
      </c>
      <c r="BD1322" t="s">
        <v>74</v>
      </c>
      <c r="BE1322" t="s">
        <v>29360</v>
      </c>
      <c r="BF1322" t="str">
        <f>HYPERLINK("http://dx.doi.org/10.1080/1331677X.2020.1820362","http://dx.doi.org/10.1080/1331677X.2020.1820362")</f>
        <v>http://dx.doi.org/10.1080/1331677X.2020.1820362</v>
      </c>
      <c r="BG1322" t="s">
        <v>74</v>
      </c>
      <c r="BH1322" t="s">
        <v>745</v>
      </c>
      <c r="BI1322">
        <v>18</v>
      </c>
      <c r="BJ1322" t="s">
        <v>291</v>
      </c>
      <c r="BK1322" t="s">
        <v>99</v>
      </c>
      <c r="BL1322" t="s">
        <v>100</v>
      </c>
      <c r="BM1322" t="s">
        <v>29359</v>
      </c>
      <c r="BN1322" t="s">
        <v>74</v>
      </c>
      <c r="BO1322" t="s">
        <v>270</v>
      </c>
      <c r="BP1322" t="s">
        <v>74</v>
      </c>
      <c r="BQ1322" t="s">
        <v>74</v>
      </c>
      <c r="BR1322" t="s">
        <v>102</v>
      </c>
      <c r="BS1322" t="s">
        <v>29358</v>
      </c>
      <c r="BT1322" t="str">
        <f>HYPERLINK("https%3A%2F%2Fwww.webofscience.com%2Fwos%2Fwoscc%2Ffull-record%2FWOS:000569997900001","View Full Record in Web of Science")</f>
        <v>View Full Record in Web of Science</v>
      </c>
    </row>
    <row r="1323" spans="1:72" x14ac:dyDescent="0.25">
      <c r="A1323" t="s">
        <v>72</v>
      </c>
      <c r="B1323" t="s">
        <v>29357</v>
      </c>
      <c r="C1323" t="s">
        <v>74</v>
      </c>
      <c r="D1323" t="s">
        <v>74</v>
      </c>
      <c r="E1323" t="s">
        <v>74</v>
      </c>
      <c r="F1323" t="s">
        <v>29356</v>
      </c>
      <c r="G1323" t="s">
        <v>74</v>
      </c>
      <c r="H1323" t="s">
        <v>74</v>
      </c>
      <c r="I1323" t="s">
        <v>29355</v>
      </c>
      <c r="J1323" t="s">
        <v>29354</v>
      </c>
      <c r="K1323" t="s">
        <v>74</v>
      </c>
      <c r="L1323" t="s">
        <v>74</v>
      </c>
      <c r="M1323" t="s">
        <v>78</v>
      </c>
      <c r="N1323" t="s">
        <v>79</v>
      </c>
      <c r="O1323" t="s">
        <v>74</v>
      </c>
      <c r="P1323" t="s">
        <v>74</v>
      </c>
      <c r="Q1323" t="s">
        <v>74</v>
      </c>
      <c r="R1323" t="s">
        <v>74</v>
      </c>
      <c r="S1323" t="s">
        <v>74</v>
      </c>
      <c r="T1323" t="s">
        <v>29353</v>
      </c>
      <c r="U1323" t="s">
        <v>29352</v>
      </c>
      <c r="V1323" t="s">
        <v>29351</v>
      </c>
      <c r="W1323" t="s">
        <v>29350</v>
      </c>
      <c r="X1323" t="s">
        <v>29349</v>
      </c>
      <c r="Y1323" t="s">
        <v>29348</v>
      </c>
      <c r="Z1323" t="s">
        <v>29347</v>
      </c>
      <c r="AA1323" t="s">
        <v>74</v>
      </c>
      <c r="AB1323" t="s">
        <v>74</v>
      </c>
      <c r="AC1323" t="s">
        <v>29346</v>
      </c>
      <c r="AD1323" t="s">
        <v>29346</v>
      </c>
      <c r="AE1323" t="s">
        <v>29345</v>
      </c>
      <c r="AF1323" t="s">
        <v>74</v>
      </c>
      <c r="AG1323">
        <v>47</v>
      </c>
      <c r="AH1323">
        <v>16</v>
      </c>
      <c r="AI1323">
        <v>23</v>
      </c>
      <c r="AJ1323">
        <v>4</v>
      </c>
      <c r="AK1323">
        <v>95</v>
      </c>
      <c r="AL1323" t="s">
        <v>3861</v>
      </c>
      <c r="AM1323" t="s">
        <v>2016</v>
      </c>
      <c r="AN1323" t="s">
        <v>3862</v>
      </c>
      <c r="AO1323" t="s">
        <v>29344</v>
      </c>
      <c r="AP1323" t="s">
        <v>29343</v>
      </c>
      <c r="AQ1323" t="s">
        <v>74</v>
      </c>
      <c r="AR1323" t="s">
        <v>29342</v>
      </c>
      <c r="AS1323" t="s">
        <v>29341</v>
      </c>
      <c r="AT1323" t="s">
        <v>848</v>
      </c>
      <c r="AU1323">
        <v>2023</v>
      </c>
      <c r="AV1323">
        <v>52</v>
      </c>
      <c r="AW1323">
        <v>3</v>
      </c>
      <c r="AX1323" t="s">
        <v>74</v>
      </c>
      <c r="AY1323" t="s">
        <v>74</v>
      </c>
      <c r="AZ1323" t="s">
        <v>74</v>
      </c>
      <c r="BA1323" t="s">
        <v>74</v>
      </c>
      <c r="BB1323">
        <v>520</v>
      </c>
      <c r="BC1323">
        <v>541</v>
      </c>
      <c r="BD1323" t="s">
        <v>29340</v>
      </c>
      <c r="BE1323" t="s">
        <v>29339</v>
      </c>
      <c r="BF1323" t="str">
        <f>HYPERLINK("http://dx.doi.org/10.1017/S0047279421000738","http://dx.doi.org/10.1017/S0047279421000738")</f>
        <v>http://dx.doi.org/10.1017/S0047279421000738</v>
      </c>
      <c r="BG1323" t="s">
        <v>74</v>
      </c>
      <c r="BH1323" t="s">
        <v>2730</v>
      </c>
      <c r="BI1323">
        <v>22</v>
      </c>
      <c r="BJ1323" t="s">
        <v>29338</v>
      </c>
      <c r="BK1323" t="s">
        <v>99</v>
      </c>
      <c r="BL1323" t="s">
        <v>29338</v>
      </c>
      <c r="BM1323" t="s">
        <v>29337</v>
      </c>
      <c r="BN1323" t="s">
        <v>74</v>
      </c>
      <c r="BO1323" t="s">
        <v>74</v>
      </c>
      <c r="BP1323" t="s">
        <v>74</v>
      </c>
      <c r="BQ1323" t="s">
        <v>74</v>
      </c>
      <c r="BR1323" t="s">
        <v>102</v>
      </c>
      <c r="BS1323" t="s">
        <v>29336</v>
      </c>
      <c r="BT1323" t="str">
        <f>HYPERLINK("https%3A%2F%2Fwww.webofscience.com%2Fwos%2Fwoscc%2Ffull-record%2FWOS:000727531800001","View Full Record in Web of Science")</f>
        <v>View Full Record in Web of Science</v>
      </c>
    </row>
    <row r="1324" spans="1:72" x14ac:dyDescent="0.25">
      <c r="A1324" t="s">
        <v>72</v>
      </c>
      <c r="B1324" t="s">
        <v>29335</v>
      </c>
      <c r="C1324" t="s">
        <v>74</v>
      </c>
      <c r="D1324" t="s">
        <v>74</v>
      </c>
      <c r="E1324" t="s">
        <v>74</v>
      </c>
      <c r="F1324" t="s">
        <v>29334</v>
      </c>
      <c r="G1324" t="s">
        <v>74</v>
      </c>
      <c r="H1324" t="s">
        <v>74</v>
      </c>
      <c r="I1324" t="s">
        <v>29333</v>
      </c>
      <c r="J1324" t="s">
        <v>12932</v>
      </c>
      <c r="K1324" t="s">
        <v>74</v>
      </c>
      <c r="L1324" t="s">
        <v>74</v>
      </c>
      <c r="M1324" t="s">
        <v>78</v>
      </c>
      <c r="N1324" t="s">
        <v>79</v>
      </c>
      <c r="O1324" t="s">
        <v>74</v>
      </c>
      <c r="P1324" t="s">
        <v>74</v>
      </c>
      <c r="Q1324" t="s">
        <v>74</v>
      </c>
      <c r="R1324" t="s">
        <v>74</v>
      </c>
      <c r="S1324" t="s">
        <v>74</v>
      </c>
      <c r="T1324" t="s">
        <v>29332</v>
      </c>
      <c r="U1324" t="s">
        <v>74</v>
      </c>
      <c r="V1324" t="s">
        <v>29331</v>
      </c>
      <c r="W1324" t="s">
        <v>29330</v>
      </c>
      <c r="X1324" t="s">
        <v>74</v>
      </c>
      <c r="Y1324" t="s">
        <v>29329</v>
      </c>
      <c r="Z1324" t="s">
        <v>29328</v>
      </c>
      <c r="AA1324" t="s">
        <v>74</v>
      </c>
      <c r="AB1324" t="s">
        <v>74</v>
      </c>
      <c r="AC1324" t="s">
        <v>74</v>
      </c>
      <c r="AD1324" t="s">
        <v>74</v>
      </c>
      <c r="AE1324" t="s">
        <v>74</v>
      </c>
      <c r="AF1324" t="s">
        <v>74</v>
      </c>
      <c r="AG1324">
        <v>39</v>
      </c>
      <c r="AH1324">
        <v>61</v>
      </c>
      <c r="AI1324">
        <v>75</v>
      </c>
      <c r="AJ1324">
        <v>13</v>
      </c>
      <c r="AK1324">
        <v>113</v>
      </c>
      <c r="AL1324" t="s">
        <v>479</v>
      </c>
      <c r="AM1324" t="s">
        <v>480</v>
      </c>
      <c r="AN1324" t="s">
        <v>481</v>
      </c>
      <c r="AO1324" t="s">
        <v>12938</v>
      </c>
      <c r="AP1324" t="s">
        <v>12939</v>
      </c>
      <c r="AQ1324" t="s">
        <v>74</v>
      </c>
      <c r="AR1324" t="s">
        <v>12940</v>
      </c>
      <c r="AS1324" t="s">
        <v>12941</v>
      </c>
      <c r="AT1324" t="s">
        <v>848</v>
      </c>
      <c r="AU1324">
        <v>2022</v>
      </c>
      <c r="AV1324">
        <v>17</v>
      </c>
      <c r="AW1324">
        <v>2</v>
      </c>
      <c r="AX1324" t="s">
        <v>74</v>
      </c>
      <c r="AY1324" t="s">
        <v>74</v>
      </c>
      <c r="AZ1324" t="s">
        <v>74</v>
      </c>
      <c r="BA1324" t="s">
        <v>74</v>
      </c>
      <c r="BB1324">
        <v>183</v>
      </c>
      <c r="BC1324">
        <v>208</v>
      </c>
      <c r="BD1324" t="s">
        <v>74</v>
      </c>
      <c r="BE1324" t="s">
        <v>29327</v>
      </c>
      <c r="BF1324" t="str">
        <f>HYPERLINK("http://dx.doi.org/10.1111/aepr.12379","http://dx.doi.org/10.1111/aepr.12379")</f>
        <v>http://dx.doi.org/10.1111/aepr.12379</v>
      </c>
      <c r="BG1324" t="s">
        <v>74</v>
      </c>
      <c r="BH1324" t="s">
        <v>6548</v>
      </c>
      <c r="BI1324">
        <v>26</v>
      </c>
      <c r="BJ1324" t="s">
        <v>291</v>
      </c>
      <c r="BK1324" t="s">
        <v>99</v>
      </c>
      <c r="BL1324" t="s">
        <v>100</v>
      </c>
      <c r="BM1324" t="s">
        <v>12943</v>
      </c>
      <c r="BN1324" t="s">
        <v>74</v>
      </c>
      <c r="BO1324" t="s">
        <v>74</v>
      </c>
      <c r="BP1324" t="s">
        <v>74</v>
      </c>
      <c r="BQ1324" t="s">
        <v>74</v>
      </c>
      <c r="BR1324" t="s">
        <v>102</v>
      </c>
      <c r="BS1324" t="s">
        <v>29326</v>
      </c>
      <c r="BT1324" t="str">
        <f>HYPERLINK("https%3A%2F%2Fwww.webofscience.com%2Fwos%2Fwoscc%2Ffull-record%2FWOS:000749646900001","View Full Record in Web of Science")</f>
        <v>View Full Record in Web of Science</v>
      </c>
    </row>
    <row r="1325" spans="1:72" x14ac:dyDescent="0.25">
      <c r="A1325" t="s">
        <v>72</v>
      </c>
      <c r="B1325" t="s">
        <v>29325</v>
      </c>
      <c r="C1325" t="s">
        <v>74</v>
      </c>
      <c r="D1325" t="s">
        <v>74</v>
      </c>
      <c r="E1325" t="s">
        <v>74</v>
      </c>
      <c r="F1325" t="s">
        <v>29324</v>
      </c>
      <c r="G1325" t="s">
        <v>74</v>
      </c>
      <c r="H1325" t="s">
        <v>74</v>
      </c>
      <c r="I1325" t="s">
        <v>29323</v>
      </c>
      <c r="J1325" t="s">
        <v>1987</v>
      </c>
      <c r="K1325" t="s">
        <v>74</v>
      </c>
      <c r="L1325" t="s">
        <v>74</v>
      </c>
      <c r="M1325" t="s">
        <v>78</v>
      </c>
      <c r="N1325" t="s">
        <v>79</v>
      </c>
      <c r="O1325" t="s">
        <v>74</v>
      </c>
      <c r="P1325" t="s">
        <v>74</v>
      </c>
      <c r="Q1325" t="s">
        <v>74</v>
      </c>
      <c r="R1325" t="s">
        <v>74</v>
      </c>
      <c r="S1325" t="s">
        <v>74</v>
      </c>
      <c r="T1325" t="s">
        <v>29322</v>
      </c>
      <c r="U1325" t="s">
        <v>29321</v>
      </c>
      <c r="V1325" t="s">
        <v>29320</v>
      </c>
      <c r="W1325" t="s">
        <v>29319</v>
      </c>
      <c r="X1325" t="s">
        <v>28195</v>
      </c>
      <c r="Y1325" t="s">
        <v>29318</v>
      </c>
      <c r="Z1325" t="s">
        <v>29317</v>
      </c>
      <c r="AA1325" t="s">
        <v>74</v>
      </c>
      <c r="AB1325" t="s">
        <v>74</v>
      </c>
      <c r="AC1325" t="s">
        <v>74</v>
      </c>
      <c r="AD1325" t="s">
        <v>74</v>
      </c>
      <c r="AE1325" t="s">
        <v>74</v>
      </c>
      <c r="AF1325" t="s">
        <v>74</v>
      </c>
      <c r="AG1325">
        <v>43</v>
      </c>
      <c r="AH1325">
        <v>3</v>
      </c>
      <c r="AI1325">
        <v>4</v>
      </c>
      <c r="AJ1325">
        <v>1</v>
      </c>
      <c r="AK1325">
        <v>11</v>
      </c>
      <c r="AL1325" t="s">
        <v>479</v>
      </c>
      <c r="AM1325" t="s">
        <v>480</v>
      </c>
      <c r="AN1325" t="s">
        <v>481</v>
      </c>
      <c r="AO1325" t="s">
        <v>1997</v>
      </c>
      <c r="AP1325" t="s">
        <v>1998</v>
      </c>
      <c r="AQ1325" t="s">
        <v>74</v>
      </c>
      <c r="AR1325" t="s">
        <v>1999</v>
      </c>
      <c r="AS1325" t="s">
        <v>2000</v>
      </c>
      <c r="AT1325" t="s">
        <v>605</v>
      </c>
      <c r="AU1325">
        <v>2022</v>
      </c>
      <c r="AV1325">
        <v>34</v>
      </c>
      <c r="AW1325">
        <v>2</v>
      </c>
      <c r="AX1325" t="s">
        <v>74</v>
      </c>
      <c r="AY1325" t="s">
        <v>74</v>
      </c>
      <c r="AZ1325" t="s">
        <v>74</v>
      </c>
      <c r="BA1325" t="s">
        <v>74</v>
      </c>
      <c r="BB1325">
        <v>379</v>
      </c>
      <c r="BC1325">
        <v>414</v>
      </c>
      <c r="BD1325" t="s">
        <v>74</v>
      </c>
      <c r="BE1325" t="s">
        <v>29316</v>
      </c>
      <c r="BF1325" t="str">
        <f>HYPERLINK("http://dx.doi.org/10.1002/jid.3604","http://dx.doi.org/10.1002/jid.3604")</f>
        <v>http://dx.doi.org/10.1002/jid.3604</v>
      </c>
      <c r="BG1325" t="s">
        <v>74</v>
      </c>
      <c r="BH1325" t="s">
        <v>2730</v>
      </c>
      <c r="BI1325">
        <v>36</v>
      </c>
      <c r="BJ1325" t="s">
        <v>1137</v>
      </c>
      <c r="BK1325" t="s">
        <v>99</v>
      </c>
      <c r="BL1325" t="s">
        <v>1137</v>
      </c>
      <c r="BM1325" t="s">
        <v>29315</v>
      </c>
      <c r="BN1325" t="s">
        <v>74</v>
      </c>
      <c r="BO1325" t="s">
        <v>74</v>
      </c>
      <c r="BP1325" t="s">
        <v>74</v>
      </c>
      <c r="BQ1325" t="s">
        <v>74</v>
      </c>
      <c r="BR1325" t="s">
        <v>102</v>
      </c>
      <c r="BS1325" t="s">
        <v>29314</v>
      </c>
      <c r="BT1325" t="str">
        <f>HYPERLINK("https%3A%2F%2Fwww.webofscience.com%2Fwos%2Fwoscc%2Ffull-record%2FWOS:000730607500001","View Full Record in Web of Science")</f>
        <v>View Full Record in Web of Science</v>
      </c>
    </row>
    <row r="1326" spans="1:72" x14ac:dyDescent="0.25">
      <c r="A1326" t="s">
        <v>72</v>
      </c>
      <c r="B1326" t="s">
        <v>29313</v>
      </c>
      <c r="C1326" t="s">
        <v>74</v>
      </c>
      <c r="D1326" t="s">
        <v>74</v>
      </c>
      <c r="E1326" t="s">
        <v>74</v>
      </c>
      <c r="F1326" t="s">
        <v>29312</v>
      </c>
      <c r="G1326" t="s">
        <v>74</v>
      </c>
      <c r="H1326" t="s">
        <v>74</v>
      </c>
      <c r="I1326" t="s">
        <v>29311</v>
      </c>
      <c r="J1326" t="s">
        <v>17640</v>
      </c>
      <c r="K1326" t="s">
        <v>74</v>
      </c>
      <c r="L1326" t="s">
        <v>74</v>
      </c>
      <c r="M1326" t="s">
        <v>78</v>
      </c>
      <c r="N1326" t="s">
        <v>1766</v>
      </c>
      <c r="O1326" t="s">
        <v>74</v>
      </c>
      <c r="P1326" t="s">
        <v>74</v>
      </c>
      <c r="Q1326" t="s">
        <v>74</v>
      </c>
      <c r="R1326" t="s">
        <v>74</v>
      </c>
      <c r="S1326" t="s">
        <v>74</v>
      </c>
      <c r="T1326" t="s">
        <v>74</v>
      </c>
      <c r="U1326" t="s">
        <v>29310</v>
      </c>
      <c r="V1326" t="s">
        <v>29309</v>
      </c>
      <c r="W1326" t="s">
        <v>29308</v>
      </c>
      <c r="X1326" t="s">
        <v>74</v>
      </c>
      <c r="Y1326" t="s">
        <v>29307</v>
      </c>
      <c r="Z1326" t="s">
        <v>29306</v>
      </c>
      <c r="AA1326" t="s">
        <v>29305</v>
      </c>
      <c r="AB1326" t="s">
        <v>29304</v>
      </c>
      <c r="AC1326" t="s">
        <v>74</v>
      </c>
      <c r="AD1326" t="s">
        <v>74</v>
      </c>
      <c r="AE1326" t="s">
        <v>74</v>
      </c>
      <c r="AF1326" t="s">
        <v>74</v>
      </c>
      <c r="AG1326">
        <v>109</v>
      </c>
      <c r="AH1326">
        <v>21</v>
      </c>
      <c r="AI1326">
        <v>32</v>
      </c>
      <c r="AJ1326">
        <v>4</v>
      </c>
      <c r="AK1326">
        <v>47</v>
      </c>
      <c r="AL1326" t="s">
        <v>4666</v>
      </c>
      <c r="AM1326" t="s">
        <v>995</v>
      </c>
      <c r="AN1326" t="s">
        <v>4025</v>
      </c>
      <c r="AO1326" t="s">
        <v>74</v>
      </c>
      <c r="AP1326" t="s">
        <v>17649</v>
      </c>
      <c r="AQ1326" t="s">
        <v>74</v>
      </c>
      <c r="AR1326" t="s">
        <v>17650</v>
      </c>
      <c r="AS1326" t="s">
        <v>17651</v>
      </c>
      <c r="AT1326" t="s">
        <v>12165</v>
      </c>
      <c r="AU1326">
        <v>2023</v>
      </c>
      <c r="AV1326">
        <v>10</v>
      </c>
      <c r="AW1326">
        <v>1</v>
      </c>
      <c r="AX1326" t="s">
        <v>74</v>
      </c>
      <c r="AY1326" t="s">
        <v>74</v>
      </c>
      <c r="AZ1326" t="s">
        <v>74</v>
      </c>
      <c r="BA1326" t="s">
        <v>74</v>
      </c>
      <c r="BB1326" t="s">
        <v>74</v>
      </c>
      <c r="BC1326" t="s">
        <v>74</v>
      </c>
      <c r="BD1326">
        <v>148</v>
      </c>
      <c r="BE1326" t="s">
        <v>29303</v>
      </c>
      <c r="BF1326" t="str">
        <f>HYPERLINK("http://dx.doi.org/10.1057/s41599-023-01640-y","http://dx.doi.org/10.1057/s41599-023-01640-y")</f>
        <v>http://dx.doi.org/10.1057/s41599-023-01640-y</v>
      </c>
      <c r="BG1326" t="s">
        <v>74</v>
      </c>
      <c r="BH1326" t="s">
        <v>74</v>
      </c>
      <c r="BI1326">
        <v>14</v>
      </c>
      <c r="BJ1326" t="s">
        <v>17654</v>
      </c>
      <c r="BK1326" t="s">
        <v>871</v>
      </c>
      <c r="BL1326" t="s">
        <v>17655</v>
      </c>
      <c r="BM1326" t="s">
        <v>29302</v>
      </c>
      <c r="BN1326" t="s">
        <v>74</v>
      </c>
      <c r="BO1326" t="s">
        <v>916</v>
      </c>
      <c r="BP1326" t="s">
        <v>74</v>
      </c>
      <c r="BQ1326" t="s">
        <v>74</v>
      </c>
      <c r="BR1326" t="s">
        <v>102</v>
      </c>
      <c r="BS1326" t="s">
        <v>29301</v>
      </c>
      <c r="BT1326" t="str">
        <f>HYPERLINK("https%3A%2F%2Fwww.webofscience.com%2Fwos%2Fwoscc%2Ffull-record%2FWOS:000964194400001","View Full Record in Web of Science")</f>
        <v>View Full Record in Web of Science</v>
      </c>
    </row>
    <row r="1327" spans="1:72" x14ac:dyDescent="0.25">
      <c r="A1327" t="s">
        <v>72</v>
      </c>
      <c r="B1327" t="s">
        <v>29300</v>
      </c>
      <c r="C1327" t="s">
        <v>74</v>
      </c>
      <c r="D1327" t="s">
        <v>74</v>
      </c>
      <c r="E1327" t="s">
        <v>74</v>
      </c>
      <c r="F1327" t="s">
        <v>29299</v>
      </c>
      <c r="G1327" t="s">
        <v>74</v>
      </c>
      <c r="H1327" t="s">
        <v>74</v>
      </c>
      <c r="I1327" t="s">
        <v>29298</v>
      </c>
      <c r="J1327" t="s">
        <v>1168</v>
      </c>
      <c r="K1327" t="s">
        <v>74</v>
      </c>
      <c r="L1327" t="s">
        <v>74</v>
      </c>
      <c r="M1327" t="s">
        <v>78</v>
      </c>
      <c r="N1327" t="s">
        <v>79</v>
      </c>
      <c r="O1327" t="s">
        <v>74</v>
      </c>
      <c r="P1327" t="s">
        <v>74</v>
      </c>
      <c r="Q1327" t="s">
        <v>74</v>
      </c>
      <c r="R1327" t="s">
        <v>74</v>
      </c>
      <c r="S1327" t="s">
        <v>74</v>
      </c>
      <c r="T1327" t="s">
        <v>29297</v>
      </c>
      <c r="U1327" t="s">
        <v>29296</v>
      </c>
      <c r="V1327" t="s">
        <v>29295</v>
      </c>
      <c r="W1327" t="s">
        <v>29294</v>
      </c>
      <c r="X1327" t="s">
        <v>29293</v>
      </c>
      <c r="Y1327" t="s">
        <v>29292</v>
      </c>
      <c r="Z1327" t="s">
        <v>29291</v>
      </c>
      <c r="AA1327" t="s">
        <v>74</v>
      </c>
      <c r="AB1327" t="s">
        <v>29290</v>
      </c>
      <c r="AC1327" t="s">
        <v>74</v>
      </c>
      <c r="AD1327" t="s">
        <v>74</v>
      </c>
      <c r="AE1327" t="s">
        <v>74</v>
      </c>
      <c r="AF1327" t="s">
        <v>74</v>
      </c>
      <c r="AG1327">
        <v>41</v>
      </c>
      <c r="AH1327">
        <v>144</v>
      </c>
      <c r="AI1327">
        <v>179</v>
      </c>
      <c r="AJ1327">
        <v>0</v>
      </c>
      <c r="AK1327">
        <v>11</v>
      </c>
      <c r="AL1327" t="s">
        <v>332</v>
      </c>
      <c r="AM1327" t="s">
        <v>333</v>
      </c>
      <c r="AN1327" t="s">
        <v>334</v>
      </c>
      <c r="AO1327" t="s">
        <v>1179</v>
      </c>
      <c r="AP1327" t="s">
        <v>1180</v>
      </c>
      <c r="AQ1327" t="s">
        <v>74</v>
      </c>
      <c r="AR1327" t="s">
        <v>1181</v>
      </c>
      <c r="AS1327" t="s">
        <v>1182</v>
      </c>
      <c r="AT1327" t="s">
        <v>74</v>
      </c>
      <c r="AU1327">
        <v>2018</v>
      </c>
      <c r="AV1327">
        <v>19</v>
      </c>
      <c r="AW1327">
        <v>3</v>
      </c>
      <c r="AX1327" t="s">
        <v>74</v>
      </c>
      <c r="AY1327" t="s">
        <v>74</v>
      </c>
      <c r="AZ1327" t="s">
        <v>441</v>
      </c>
      <c r="BA1327" t="s">
        <v>74</v>
      </c>
      <c r="BB1327">
        <v>343</v>
      </c>
      <c r="BC1327">
        <v>360</v>
      </c>
      <c r="BD1327" t="s">
        <v>74</v>
      </c>
      <c r="BE1327" t="s">
        <v>29289</v>
      </c>
      <c r="BF1327" t="str">
        <f>HYPERLINK("http://dx.doi.org/10.1080/15228916.2017.1396791","http://dx.doi.org/10.1080/15228916.2017.1396791")</f>
        <v>http://dx.doi.org/10.1080/15228916.2017.1396791</v>
      </c>
      <c r="BG1327" t="s">
        <v>74</v>
      </c>
      <c r="BH1327" t="s">
        <v>74</v>
      </c>
      <c r="BI1327">
        <v>18</v>
      </c>
      <c r="BJ1327" t="s">
        <v>418</v>
      </c>
      <c r="BK1327" t="s">
        <v>313</v>
      </c>
      <c r="BL1327" t="s">
        <v>100</v>
      </c>
      <c r="BM1327" t="s">
        <v>29288</v>
      </c>
      <c r="BN1327" t="s">
        <v>74</v>
      </c>
      <c r="BO1327" t="s">
        <v>74</v>
      </c>
      <c r="BP1327" t="s">
        <v>74</v>
      </c>
      <c r="BQ1327" t="s">
        <v>74</v>
      </c>
      <c r="BR1327" t="s">
        <v>102</v>
      </c>
      <c r="BS1327" t="s">
        <v>29287</v>
      </c>
      <c r="BT1327" t="str">
        <f>HYPERLINK("https%3A%2F%2Fwww.webofscience.com%2Fwos%2Fwoscc%2Ffull-record%2FWOS:000435614500004","View Full Record in Web of Science")</f>
        <v>View Full Record in Web of Science</v>
      </c>
    </row>
    <row r="1328" spans="1:72" x14ac:dyDescent="0.25">
      <c r="A1328" t="s">
        <v>72</v>
      </c>
      <c r="B1328" t="s">
        <v>29286</v>
      </c>
      <c r="C1328" t="s">
        <v>74</v>
      </c>
      <c r="D1328" t="s">
        <v>74</v>
      </c>
      <c r="E1328" t="s">
        <v>74</v>
      </c>
      <c r="F1328" t="s">
        <v>29285</v>
      </c>
      <c r="G1328" t="s">
        <v>74</v>
      </c>
      <c r="H1328" t="s">
        <v>74</v>
      </c>
      <c r="I1328" t="s">
        <v>29284</v>
      </c>
      <c r="J1328" t="s">
        <v>1491</v>
      </c>
      <c r="K1328" t="s">
        <v>74</v>
      </c>
      <c r="L1328" t="s">
        <v>74</v>
      </c>
      <c r="M1328" t="s">
        <v>78</v>
      </c>
      <c r="N1328" t="s">
        <v>79</v>
      </c>
      <c r="O1328" t="s">
        <v>74</v>
      </c>
      <c r="P1328" t="s">
        <v>74</v>
      </c>
      <c r="Q1328" t="s">
        <v>74</v>
      </c>
      <c r="R1328" t="s">
        <v>74</v>
      </c>
      <c r="S1328" t="s">
        <v>74</v>
      </c>
      <c r="T1328" t="s">
        <v>29283</v>
      </c>
      <c r="U1328" t="s">
        <v>29282</v>
      </c>
      <c r="V1328" t="s">
        <v>29281</v>
      </c>
      <c r="W1328" t="s">
        <v>29280</v>
      </c>
      <c r="X1328" t="s">
        <v>29279</v>
      </c>
      <c r="Y1328" t="s">
        <v>29278</v>
      </c>
      <c r="Z1328" t="s">
        <v>29277</v>
      </c>
      <c r="AA1328" t="s">
        <v>29276</v>
      </c>
      <c r="AB1328" t="s">
        <v>29275</v>
      </c>
      <c r="AC1328" t="s">
        <v>74</v>
      </c>
      <c r="AD1328" t="s">
        <v>74</v>
      </c>
      <c r="AE1328" t="s">
        <v>74</v>
      </c>
      <c r="AF1328" t="s">
        <v>74</v>
      </c>
      <c r="AG1328">
        <v>92</v>
      </c>
      <c r="AH1328">
        <v>39</v>
      </c>
      <c r="AI1328">
        <v>50</v>
      </c>
      <c r="AJ1328">
        <v>1</v>
      </c>
      <c r="AK1328">
        <v>61</v>
      </c>
      <c r="AL1328" t="s">
        <v>89</v>
      </c>
      <c r="AM1328" t="s">
        <v>1497</v>
      </c>
      <c r="AN1328" t="s">
        <v>1498</v>
      </c>
      <c r="AO1328" t="s">
        <v>1499</v>
      </c>
      <c r="AP1328" t="s">
        <v>1500</v>
      </c>
      <c r="AQ1328" t="s">
        <v>74</v>
      </c>
      <c r="AR1328" t="s">
        <v>1501</v>
      </c>
      <c r="AS1328" t="s">
        <v>1502</v>
      </c>
      <c r="AT1328" t="s">
        <v>74</v>
      </c>
      <c r="AU1328">
        <v>2018</v>
      </c>
      <c r="AV1328">
        <v>26</v>
      </c>
      <c r="AW1328">
        <v>3</v>
      </c>
      <c r="AX1328" t="s">
        <v>74</v>
      </c>
      <c r="AY1328" t="s">
        <v>74</v>
      </c>
      <c r="AZ1328" t="s">
        <v>74</v>
      </c>
      <c r="BA1328" t="s">
        <v>74</v>
      </c>
      <c r="BB1328">
        <v>382</v>
      </c>
      <c r="BC1328">
        <v>405</v>
      </c>
      <c r="BD1328" t="s">
        <v>74</v>
      </c>
      <c r="BE1328" t="s">
        <v>29274</v>
      </c>
      <c r="BF1328" t="str">
        <f>HYPERLINK("http://dx.doi.org/10.1108/JFRC-06-2017-0054","http://dx.doi.org/10.1108/JFRC-06-2017-0054")</f>
        <v>http://dx.doi.org/10.1108/JFRC-06-2017-0054</v>
      </c>
      <c r="BG1328" t="s">
        <v>74</v>
      </c>
      <c r="BH1328" t="s">
        <v>74</v>
      </c>
      <c r="BI1328">
        <v>24</v>
      </c>
      <c r="BJ1328" t="s">
        <v>268</v>
      </c>
      <c r="BK1328" t="s">
        <v>313</v>
      </c>
      <c r="BL1328" t="s">
        <v>100</v>
      </c>
      <c r="BM1328" t="s">
        <v>29273</v>
      </c>
      <c r="BN1328" t="s">
        <v>74</v>
      </c>
      <c r="BO1328" t="s">
        <v>74</v>
      </c>
      <c r="BP1328" t="s">
        <v>74</v>
      </c>
      <c r="BQ1328" t="s">
        <v>74</v>
      </c>
      <c r="BR1328" t="s">
        <v>102</v>
      </c>
      <c r="BS1328" t="s">
        <v>29272</v>
      </c>
      <c r="BT1328" t="str">
        <f>HYPERLINK("https%3A%2F%2Fwww.webofscience.com%2Fwos%2Fwoscc%2Ffull-record%2FWOS:000441905200004","View Full Record in Web of Science")</f>
        <v>View Full Record in Web of Science</v>
      </c>
    </row>
    <row r="1329" spans="1:72" x14ac:dyDescent="0.25">
      <c r="A1329" t="s">
        <v>72</v>
      </c>
      <c r="B1329" t="s">
        <v>29271</v>
      </c>
      <c r="C1329" t="s">
        <v>74</v>
      </c>
      <c r="D1329" t="s">
        <v>74</v>
      </c>
      <c r="E1329" t="s">
        <v>74</v>
      </c>
      <c r="F1329" t="s">
        <v>29270</v>
      </c>
      <c r="G1329" t="s">
        <v>74</v>
      </c>
      <c r="H1329" t="s">
        <v>74</v>
      </c>
      <c r="I1329" t="s">
        <v>29269</v>
      </c>
      <c r="J1329" t="s">
        <v>29268</v>
      </c>
      <c r="K1329" t="s">
        <v>74</v>
      </c>
      <c r="L1329" t="s">
        <v>74</v>
      </c>
      <c r="M1329" t="s">
        <v>78</v>
      </c>
      <c r="N1329" t="s">
        <v>79</v>
      </c>
      <c r="O1329" t="s">
        <v>74</v>
      </c>
      <c r="P1329" t="s">
        <v>74</v>
      </c>
      <c r="Q1329" t="s">
        <v>74</v>
      </c>
      <c r="R1329" t="s">
        <v>74</v>
      </c>
      <c r="S1329" t="s">
        <v>74</v>
      </c>
      <c r="T1329" t="s">
        <v>29267</v>
      </c>
      <c r="U1329" t="s">
        <v>29266</v>
      </c>
      <c r="V1329" t="s">
        <v>29265</v>
      </c>
      <c r="W1329" t="s">
        <v>29264</v>
      </c>
      <c r="X1329" t="s">
        <v>29263</v>
      </c>
      <c r="Y1329" t="s">
        <v>29262</v>
      </c>
      <c r="Z1329" t="s">
        <v>29261</v>
      </c>
      <c r="AA1329" t="s">
        <v>74</v>
      </c>
      <c r="AB1329" t="s">
        <v>29260</v>
      </c>
      <c r="AC1329" t="s">
        <v>74</v>
      </c>
      <c r="AD1329" t="s">
        <v>74</v>
      </c>
      <c r="AE1329" t="s">
        <v>74</v>
      </c>
      <c r="AF1329" t="s">
        <v>74</v>
      </c>
      <c r="AG1329">
        <v>37</v>
      </c>
      <c r="AH1329">
        <v>32</v>
      </c>
      <c r="AI1329">
        <v>38</v>
      </c>
      <c r="AJ1329">
        <v>3</v>
      </c>
      <c r="AK1329">
        <v>71</v>
      </c>
      <c r="AL1329" t="s">
        <v>3298</v>
      </c>
      <c r="AM1329" t="s">
        <v>202</v>
      </c>
      <c r="AN1329" t="s">
        <v>3299</v>
      </c>
      <c r="AO1329" t="s">
        <v>29259</v>
      </c>
      <c r="AP1329" t="s">
        <v>29258</v>
      </c>
      <c r="AQ1329" t="s">
        <v>74</v>
      </c>
      <c r="AR1329" t="s">
        <v>29257</v>
      </c>
      <c r="AS1329" t="s">
        <v>29256</v>
      </c>
      <c r="AT1329" t="s">
        <v>237</v>
      </c>
      <c r="AU1329">
        <v>2019</v>
      </c>
      <c r="AV1329">
        <v>117</v>
      </c>
      <c r="AW1329" t="s">
        <v>74</v>
      </c>
      <c r="AX1329" t="s">
        <v>74</v>
      </c>
      <c r="AY1329" t="s">
        <v>74</v>
      </c>
      <c r="AZ1329" t="s">
        <v>74</v>
      </c>
      <c r="BA1329" t="s">
        <v>74</v>
      </c>
      <c r="BB1329">
        <v>62</v>
      </c>
      <c r="BC1329">
        <v>74</v>
      </c>
      <c r="BD1329" t="s">
        <v>74</v>
      </c>
      <c r="BE1329" t="s">
        <v>29255</v>
      </c>
      <c r="BF1329" t="str">
        <f>HYPERLINK("http://dx.doi.org/10.1016/j.dss.2018.10.015","http://dx.doi.org/10.1016/j.dss.2018.10.015")</f>
        <v>http://dx.doi.org/10.1016/j.dss.2018.10.015</v>
      </c>
      <c r="BG1329" t="s">
        <v>74</v>
      </c>
      <c r="BH1329" t="s">
        <v>74</v>
      </c>
      <c r="BI1329">
        <v>13</v>
      </c>
      <c r="BJ1329" t="s">
        <v>29254</v>
      </c>
      <c r="BK1329" t="s">
        <v>2623</v>
      </c>
      <c r="BL1329" t="s">
        <v>9777</v>
      </c>
      <c r="BM1329" t="s">
        <v>29253</v>
      </c>
      <c r="BN1329" t="s">
        <v>74</v>
      </c>
      <c r="BO1329" t="s">
        <v>74</v>
      </c>
      <c r="BP1329" t="s">
        <v>74</v>
      </c>
      <c r="BQ1329" t="s">
        <v>74</v>
      </c>
      <c r="BR1329" t="s">
        <v>102</v>
      </c>
      <c r="BS1329" t="s">
        <v>29252</v>
      </c>
      <c r="BT1329" t="str">
        <f>HYPERLINK("https%3A%2F%2Fwww.webofscience.com%2Fwos%2Fwoscc%2Ffull-record%2FWOS:000457506800006","View Full Record in Web of Science")</f>
        <v>View Full Record in Web of Science</v>
      </c>
    </row>
    <row r="1330" spans="1:72" x14ac:dyDescent="0.25">
      <c r="A1330" t="s">
        <v>72</v>
      </c>
      <c r="B1330" t="s">
        <v>29251</v>
      </c>
      <c r="C1330" t="s">
        <v>74</v>
      </c>
      <c r="D1330" t="s">
        <v>74</v>
      </c>
      <c r="E1330" t="s">
        <v>74</v>
      </c>
      <c r="F1330" t="s">
        <v>29250</v>
      </c>
      <c r="G1330" t="s">
        <v>74</v>
      </c>
      <c r="H1330" t="s">
        <v>74</v>
      </c>
      <c r="I1330" t="s">
        <v>29249</v>
      </c>
      <c r="J1330" t="s">
        <v>18344</v>
      </c>
      <c r="K1330" t="s">
        <v>74</v>
      </c>
      <c r="L1330" t="s">
        <v>74</v>
      </c>
      <c r="M1330" t="s">
        <v>78</v>
      </c>
      <c r="N1330" t="s">
        <v>79</v>
      </c>
      <c r="O1330" t="s">
        <v>74</v>
      </c>
      <c r="P1330" t="s">
        <v>74</v>
      </c>
      <c r="Q1330" t="s">
        <v>74</v>
      </c>
      <c r="R1330" t="s">
        <v>74</v>
      </c>
      <c r="S1330" t="s">
        <v>74</v>
      </c>
      <c r="T1330" t="s">
        <v>29248</v>
      </c>
      <c r="U1330" t="s">
        <v>29247</v>
      </c>
      <c r="V1330" t="s">
        <v>29246</v>
      </c>
      <c r="W1330" t="s">
        <v>29245</v>
      </c>
      <c r="X1330" t="s">
        <v>29244</v>
      </c>
      <c r="Y1330" t="s">
        <v>29243</v>
      </c>
      <c r="Z1330" t="s">
        <v>29242</v>
      </c>
      <c r="AA1330" t="s">
        <v>29241</v>
      </c>
      <c r="AB1330" t="s">
        <v>29240</v>
      </c>
      <c r="AC1330" t="s">
        <v>74</v>
      </c>
      <c r="AD1330" t="s">
        <v>74</v>
      </c>
      <c r="AE1330" t="s">
        <v>74</v>
      </c>
      <c r="AF1330" t="s">
        <v>74</v>
      </c>
      <c r="AG1330">
        <v>67</v>
      </c>
      <c r="AH1330">
        <v>24</v>
      </c>
      <c r="AI1330">
        <v>35</v>
      </c>
      <c r="AJ1330">
        <v>0</v>
      </c>
      <c r="AK1330">
        <v>15</v>
      </c>
      <c r="AL1330" t="s">
        <v>89</v>
      </c>
      <c r="AM1330" t="s">
        <v>90</v>
      </c>
      <c r="AN1330" t="s">
        <v>91</v>
      </c>
      <c r="AO1330" t="s">
        <v>18354</v>
      </c>
      <c r="AP1330" t="s">
        <v>18355</v>
      </c>
      <c r="AQ1330" t="s">
        <v>74</v>
      </c>
      <c r="AR1330" t="s">
        <v>18356</v>
      </c>
      <c r="AS1330" t="s">
        <v>18357</v>
      </c>
      <c r="AT1330" t="s">
        <v>16750</v>
      </c>
      <c r="AU1330">
        <v>2020</v>
      </c>
      <c r="AV1330">
        <v>36</v>
      </c>
      <c r="AW1330">
        <v>4</v>
      </c>
      <c r="AX1330" t="s">
        <v>74</v>
      </c>
      <c r="AY1330" t="s">
        <v>74</v>
      </c>
      <c r="AZ1330" t="s">
        <v>74</v>
      </c>
      <c r="BA1330" t="s">
        <v>74</v>
      </c>
      <c r="BB1330">
        <v>491</v>
      </c>
      <c r="BC1330">
        <v>505</v>
      </c>
      <c r="BD1330" t="s">
        <v>74</v>
      </c>
      <c r="BE1330" t="s">
        <v>29239</v>
      </c>
      <c r="BF1330" t="str">
        <f>HYPERLINK("http://dx.doi.org/10.1108/IJOES-04-2020-0054","http://dx.doi.org/10.1108/IJOES-04-2020-0054")</f>
        <v>http://dx.doi.org/10.1108/IJOES-04-2020-0054</v>
      </c>
      <c r="BG1330" t="s">
        <v>74</v>
      </c>
      <c r="BH1330" t="s">
        <v>2937</v>
      </c>
      <c r="BI1330">
        <v>15</v>
      </c>
      <c r="BJ1330" t="s">
        <v>291</v>
      </c>
      <c r="BK1330" t="s">
        <v>313</v>
      </c>
      <c r="BL1330" t="s">
        <v>100</v>
      </c>
      <c r="BM1330" t="s">
        <v>29238</v>
      </c>
      <c r="BN1330" t="s">
        <v>74</v>
      </c>
      <c r="BO1330" t="s">
        <v>74</v>
      </c>
      <c r="BP1330" t="s">
        <v>74</v>
      </c>
      <c r="BQ1330" t="s">
        <v>74</v>
      </c>
      <c r="BR1330" t="s">
        <v>102</v>
      </c>
      <c r="BS1330" t="s">
        <v>29237</v>
      </c>
      <c r="BT1330" t="str">
        <f>HYPERLINK("https%3A%2F%2Fwww.webofscience.com%2Fwos%2Fwoscc%2Ffull-record%2FWOS:000560240400001","View Full Record in Web of Science")</f>
        <v>View Full Record in Web of Science</v>
      </c>
    </row>
    <row r="1331" spans="1:72" x14ac:dyDescent="0.25">
      <c r="A1331" t="s">
        <v>72</v>
      </c>
      <c r="B1331" t="s">
        <v>29236</v>
      </c>
      <c r="C1331" t="s">
        <v>74</v>
      </c>
      <c r="D1331" t="s">
        <v>74</v>
      </c>
      <c r="E1331" t="s">
        <v>74</v>
      </c>
      <c r="F1331" t="s">
        <v>29235</v>
      </c>
      <c r="G1331" t="s">
        <v>74</v>
      </c>
      <c r="H1331" t="s">
        <v>74</v>
      </c>
      <c r="I1331" t="s">
        <v>29234</v>
      </c>
      <c r="J1331" t="s">
        <v>9896</v>
      </c>
      <c r="K1331" t="s">
        <v>74</v>
      </c>
      <c r="L1331" t="s">
        <v>74</v>
      </c>
      <c r="M1331" t="s">
        <v>78</v>
      </c>
      <c r="N1331" t="s">
        <v>79</v>
      </c>
      <c r="O1331" t="s">
        <v>74</v>
      </c>
      <c r="P1331" t="s">
        <v>74</v>
      </c>
      <c r="Q1331" t="s">
        <v>74</v>
      </c>
      <c r="R1331" t="s">
        <v>74</v>
      </c>
      <c r="S1331" t="s">
        <v>74</v>
      </c>
      <c r="T1331" t="s">
        <v>29233</v>
      </c>
      <c r="U1331" t="s">
        <v>74</v>
      </c>
      <c r="V1331" t="s">
        <v>29232</v>
      </c>
      <c r="W1331" t="s">
        <v>29231</v>
      </c>
      <c r="X1331" t="s">
        <v>29230</v>
      </c>
      <c r="Y1331" t="s">
        <v>29229</v>
      </c>
      <c r="Z1331" t="s">
        <v>29228</v>
      </c>
      <c r="AA1331" t="s">
        <v>29227</v>
      </c>
      <c r="AB1331" t="s">
        <v>29226</v>
      </c>
      <c r="AC1331" t="s">
        <v>29225</v>
      </c>
      <c r="AD1331" t="s">
        <v>29225</v>
      </c>
      <c r="AE1331" t="s">
        <v>29224</v>
      </c>
      <c r="AF1331" t="s">
        <v>74</v>
      </c>
      <c r="AG1331">
        <v>43</v>
      </c>
      <c r="AH1331">
        <v>7</v>
      </c>
      <c r="AI1331">
        <v>10</v>
      </c>
      <c r="AJ1331">
        <v>0</v>
      </c>
      <c r="AK1331">
        <v>19</v>
      </c>
      <c r="AL1331" t="s">
        <v>89</v>
      </c>
      <c r="AM1331" t="s">
        <v>1497</v>
      </c>
      <c r="AN1331" t="s">
        <v>1498</v>
      </c>
      <c r="AO1331" t="s">
        <v>9905</v>
      </c>
      <c r="AP1331" t="s">
        <v>9906</v>
      </c>
      <c r="AQ1331" t="s">
        <v>74</v>
      </c>
      <c r="AR1331" t="s">
        <v>9907</v>
      </c>
      <c r="AS1331" t="s">
        <v>9908</v>
      </c>
      <c r="AT1331" t="s">
        <v>24386</v>
      </c>
      <c r="AU1331">
        <v>2021</v>
      </c>
      <c r="AV1331">
        <v>81</v>
      </c>
      <c r="AW1331">
        <v>4</v>
      </c>
      <c r="AX1331" t="s">
        <v>74</v>
      </c>
      <c r="AY1331" t="s">
        <v>74</v>
      </c>
      <c r="AZ1331" t="s">
        <v>74</v>
      </c>
      <c r="BA1331" t="s">
        <v>74</v>
      </c>
      <c r="BB1331">
        <v>554</v>
      </c>
      <c r="BC1331">
        <v>567</v>
      </c>
      <c r="BD1331" t="s">
        <v>74</v>
      </c>
      <c r="BE1331" t="s">
        <v>29223</v>
      </c>
      <c r="BF1331" t="str">
        <f>HYPERLINK("http://dx.doi.org/10.1108/AFR-07-2020-0099","http://dx.doi.org/10.1108/AFR-07-2020-0099")</f>
        <v>http://dx.doi.org/10.1108/AFR-07-2020-0099</v>
      </c>
      <c r="BG1331" t="s">
        <v>74</v>
      </c>
      <c r="BH1331" t="s">
        <v>11556</v>
      </c>
      <c r="BI1331">
        <v>14</v>
      </c>
      <c r="BJ1331" t="s">
        <v>5151</v>
      </c>
      <c r="BK1331" t="s">
        <v>313</v>
      </c>
      <c r="BL1331" t="s">
        <v>5152</v>
      </c>
      <c r="BM1331" t="s">
        <v>24384</v>
      </c>
      <c r="BN1331" t="s">
        <v>74</v>
      </c>
      <c r="BO1331" t="s">
        <v>74</v>
      </c>
      <c r="BP1331" t="s">
        <v>74</v>
      </c>
      <c r="BQ1331" t="s">
        <v>74</v>
      </c>
      <c r="BR1331" t="s">
        <v>102</v>
      </c>
      <c r="BS1331" t="s">
        <v>29222</v>
      </c>
      <c r="BT1331" t="str">
        <f>HYPERLINK("https%3A%2F%2Fwww.webofscience.com%2Fwos%2Fwoscc%2Ffull-record%2FWOS:000607806800001","View Full Record in Web of Science")</f>
        <v>View Full Record in Web of Science</v>
      </c>
    </row>
    <row r="1332" spans="1:72" x14ac:dyDescent="0.25">
      <c r="A1332" t="s">
        <v>72</v>
      </c>
      <c r="B1332" t="s">
        <v>29221</v>
      </c>
      <c r="C1332" t="s">
        <v>74</v>
      </c>
      <c r="D1332" t="s">
        <v>74</v>
      </c>
      <c r="E1332" t="s">
        <v>74</v>
      </c>
      <c r="F1332" t="s">
        <v>29220</v>
      </c>
      <c r="G1332" t="s">
        <v>74</v>
      </c>
      <c r="H1332" t="s">
        <v>74</v>
      </c>
      <c r="I1332" t="s">
        <v>29219</v>
      </c>
      <c r="J1332" t="s">
        <v>4657</v>
      </c>
      <c r="K1332" t="s">
        <v>74</v>
      </c>
      <c r="L1332" t="s">
        <v>74</v>
      </c>
      <c r="M1332" t="s">
        <v>78</v>
      </c>
      <c r="N1332" t="s">
        <v>1766</v>
      </c>
      <c r="O1332" t="s">
        <v>74</v>
      </c>
      <c r="P1332" t="s">
        <v>74</v>
      </c>
      <c r="Q1332" t="s">
        <v>74</v>
      </c>
      <c r="R1332" t="s">
        <v>74</v>
      </c>
      <c r="S1332" t="s">
        <v>74</v>
      </c>
      <c r="T1332" t="s">
        <v>29218</v>
      </c>
      <c r="U1332" t="s">
        <v>29217</v>
      </c>
      <c r="V1332" t="s">
        <v>29216</v>
      </c>
      <c r="W1332" t="s">
        <v>29215</v>
      </c>
      <c r="X1332" t="s">
        <v>29214</v>
      </c>
      <c r="Y1332" t="s">
        <v>29213</v>
      </c>
      <c r="Z1332" t="s">
        <v>29212</v>
      </c>
      <c r="AA1332" t="s">
        <v>29211</v>
      </c>
      <c r="AB1332" t="s">
        <v>74</v>
      </c>
      <c r="AC1332" t="s">
        <v>29210</v>
      </c>
      <c r="AD1332" t="s">
        <v>29209</v>
      </c>
      <c r="AE1332" t="s">
        <v>29208</v>
      </c>
      <c r="AF1332" t="s">
        <v>74</v>
      </c>
      <c r="AG1332">
        <v>255</v>
      </c>
      <c r="AH1332">
        <v>0</v>
      </c>
      <c r="AI1332">
        <v>0</v>
      </c>
      <c r="AJ1332">
        <v>0</v>
      </c>
      <c r="AK1332">
        <v>0</v>
      </c>
      <c r="AL1332" t="s">
        <v>4666</v>
      </c>
      <c r="AM1332" t="s">
        <v>995</v>
      </c>
      <c r="AN1332" t="s">
        <v>4025</v>
      </c>
      <c r="AO1332" t="s">
        <v>74</v>
      </c>
      <c r="AP1332" t="s">
        <v>4667</v>
      </c>
      <c r="AQ1332" t="s">
        <v>74</v>
      </c>
      <c r="AR1332" t="s">
        <v>4668</v>
      </c>
      <c r="AS1332" t="s">
        <v>4669</v>
      </c>
      <c r="AT1332" t="s">
        <v>29207</v>
      </c>
      <c r="AU1332">
        <v>2025</v>
      </c>
      <c r="AV1332">
        <v>6</v>
      </c>
      <c r="AW1332">
        <v>1</v>
      </c>
      <c r="AX1332" t="s">
        <v>74</v>
      </c>
      <c r="AY1332" t="s">
        <v>74</v>
      </c>
      <c r="AZ1332" t="s">
        <v>74</v>
      </c>
      <c r="BA1332" t="s">
        <v>74</v>
      </c>
      <c r="BB1332" t="s">
        <v>74</v>
      </c>
      <c r="BC1332" t="s">
        <v>74</v>
      </c>
      <c r="BD1332">
        <v>1467</v>
      </c>
      <c r="BE1332" t="s">
        <v>29206</v>
      </c>
      <c r="BF1332" t="str">
        <f>HYPERLINK("http://dx.doi.org/10.1007/s43621-025-02368-2","http://dx.doi.org/10.1007/s43621-025-02368-2")</f>
        <v>http://dx.doi.org/10.1007/s43621-025-02368-2</v>
      </c>
      <c r="BG1332" t="s">
        <v>74</v>
      </c>
      <c r="BH1332" t="s">
        <v>74</v>
      </c>
      <c r="BI1332">
        <v>52</v>
      </c>
      <c r="BJ1332" t="s">
        <v>3247</v>
      </c>
      <c r="BK1332" t="s">
        <v>313</v>
      </c>
      <c r="BL1332" t="s">
        <v>3248</v>
      </c>
      <c r="BM1332" t="s">
        <v>29205</v>
      </c>
      <c r="BN1332" t="s">
        <v>74</v>
      </c>
      <c r="BO1332" t="s">
        <v>212</v>
      </c>
      <c r="BP1332" t="s">
        <v>74</v>
      </c>
      <c r="BQ1332" t="s">
        <v>74</v>
      </c>
      <c r="BR1332" t="s">
        <v>102</v>
      </c>
      <c r="BS1332" t="s">
        <v>29204</v>
      </c>
      <c r="BT1332" t="str">
        <f>HYPERLINK("https%3A%2F%2Fwww.webofscience.com%2Fwos%2Fwoscc%2Ffull-record%2FWOS:001651045000004","View Full Record in Web of Science")</f>
        <v>View Full Record in Web of Science</v>
      </c>
    </row>
    <row r="1333" spans="1:72" x14ac:dyDescent="0.25">
      <c r="A1333" t="s">
        <v>72</v>
      </c>
      <c r="B1333" t="s">
        <v>29203</v>
      </c>
      <c r="C1333" t="s">
        <v>74</v>
      </c>
      <c r="D1333" t="s">
        <v>74</v>
      </c>
      <c r="E1333" t="s">
        <v>74</v>
      </c>
      <c r="F1333" t="s">
        <v>29202</v>
      </c>
      <c r="G1333" t="s">
        <v>74</v>
      </c>
      <c r="H1333" t="s">
        <v>74</v>
      </c>
      <c r="I1333" t="s">
        <v>29201</v>
      </c>
      <c r="J1333" t="s">
        <v>20670</v>
      </c>
      <c r="K1333" t="s">
        <v>74</v>
      </c>
      <c r="L1333" t="s">
        <v>74</v>
      </c>
      <c r="M1333" t="s">
        <v>78</v>
      </c>
      <c r="N1333" t="s">
        <v>79</v>
      </c>
      <c r="O1333" t="s">
        <v>74</v>
      </c>
      <c r="P1333" t="s">
        <v>74</v>
      </c>
      <c r="Q1333" t="s">
        <v>74</v>
      </c>
      <c r="R1333" t="s">
        <v>74</v>
      </c>
      <c r="S1333" t="s">
        <v>74</v>
      </c>
      <c r="T1333" t="s">
        <v>29200</v>
      </c>
      <c r="U1333" t="s">
        <v>29199</v>
      </c>
      <c r="V1333" t="s">
        <v>29198</v>
      </c>
      <c r="W1333" t="s">
        <v>29197</v>
      </c>
      <c r="X1333" t="s">
        <v>12772</v>
      </c>
      <c r="Y1333" t="s">
        <v>29196</v>
      </c>
      <c r="Z1333" t="s">
        <v>29195</v>
      </c>
      <c r="AA1333" t="s">
        <v>29194</v>
      </c>
      <c r="AB1333" t="s">
        <v>74</v>
      </c>
      <c r="AC1333" t="s">
        <v>74</v>
      </c>
      <c r="AD1333" t="s">
        <v>74</v>
      </c>
      <c r="AE1333" t="s">
        <v>74</v>
      </c>
      <c r="AF1333" t="s">
        <v>74</v>
      </c>
      <c r="AG1333">
        <v>33</v>
      </c>
      <c r="AH1333">
        <v>0</v>
      </c>
      <c r="AI1333">
        <v>1</v>
      </c>
      <c r="AJ1333">
        <v>5</v>
      </c>
      <c r="AK1333">
        <v>5</v>
      </c>
      <c r="AL1333" t="s">
        <v>201</v>
      </c>
      <c r="AM1333" t="s">
        <v>202</v>
      </c>
      <c r="AN1333" t="s">
        <v>203</v>
      </c>
      <c r="AO1333" t="s">
        <v>20660</v>
      </c>
      <c r="AP1333" t="s">
        <v>20659</v>
      </c>
      <c r="AQ1333" t="s">
        <v>74</v>
      </c>
      <c r="AR1333" t="s">
        <v>20658</v>
      </c>
      <c r="AS1333" t="s">
        <v>20657</v>
      </c>
      <c r="AT1333" t="s">
        <v>698</v>
      </c>
      <c r="AU1333">
        <v>2025</v>
      </c>
      <c r="AV1333">
        <v>47</v>
      </c>
      <c r="AW1333" t="s">
        <v>74</v>
      </c>
      <c r="AX1333" t="s">
        <v>74</v>
      </c>
      <c r="AY1333" t="s">
        <v>74</v>
      </c>
      <c r="AZ1333" t="s">
        <v>74</v>
      </c>
      <c r="BA1333" t="s">
        <v>74</v>
      </c>
      <c r="BB1333" t="s">
        <v>74</v>
      </c>
      <c r="BC1333" t="s">
        <v>74</v>
      </c>
      <c r="BD1333">
        <v>101081</v>
      </c>
      <c r="BE1333" t="s">
        <v>29193</v>
      </c>
      <c r="BF1333" t="str">
        <f>HYPERLINK("http://dx.doi.org/10.1016/j.jbef.2025.101081","http://dx.doi.org/10.1016/j.jbef.2025.101081")</f>
        <v>http://dx.doi.org/10.1016/j.jbef.2025.101081</v>
      </c>
      <c r="BG1333" t="s">
        <v>74</v>
      </c>
      <c r="BH1333" t="s">
        <v>3389</v>
      </c>
      <c r="BI1333">
        <v>10</v>
      </c>
      <c r="BJ1333" t="s">
        <v>210</v>
      </c>
      <c r="BK1333" t="s">
        <v>99</v>
      </c>
      <c r="BL1333" t="s">
        <v>100</v>
      </c>
      <c r="BM1333" t="s">
        <v>29192</v>
      </c>
      <c r="BN1333" t="s">
        <v>74</v>
      </c>
      <c r="BO1333" t="s">
        <v>270</v>
      </c>
      <c r="BP1333" t="s">
        <v>74</v>
      </c>
      <c r="BQ1333" t="s">
        <v>74</v>
      </c>
      <c r="BR1333" t="s">
        <v>102</v>
      </c>
      <c r="BS1333" t="s">
        <v>29191</v>
      </c>
      <c r="BT1333" t="str">
        <f>HYPERLINK("https%3A%2F%2Fwww.webofscience.com%2Fwos%2Fwoscc%2Ffull-record%2FWOS:001537326200001","View Full Record in Web of Science")</f>
        <v>View Full Record in Web of Science</v>
      </c>
    </row>
    <row r="1334" spans="1:72" x14ac:dyDescent="0.25">
      <c r="A1334" t="s">
        <v>72</v>
      </c>
      <c r="B1334" t="s">
        <v>29190</v>
      </c>
      <c r="C1334" t="s">
        <v>74</v>
      </c>
      <c r="D1334" t="s">
        <v>74</v>
      </c>
      <c r="E1334" t="s">
        <v>74</v>
      </c>
      <c r="F1334" t="s">
        <v>29189</v>
      </c>
      <c r="G1334" t="s">
        <v>74</v>
      </c>
      <c r="H1334" t="s">
        <v>74</v>
      </c>
      <c r="I1334" t="s">
        <v>29188</v>
      </c>
      <c r="J1334" t="s">
        <v>1902</v>
      </c>
      <c r="K1334" t="s">
        <v>74</v>
      </c>
      <c r="L1334" t="s">
        <v>74</v>
      </c>
      <c r="M1334" t="s">
        <v>78</v>
      </c>
      <c r="N1334" t="s">
        <v>79</v>
      </c>
      <c r="O1334" t="s">
        <v>74</v>
      </c>
      <c r="P1334" t="s">
        <v>74</v>
      </c>
      <c r="Q1334" t="s">
        <v>74</v>
      </c>
      <c r="R1334" t="s">
        <v>74</v>
      </c>
      <c r="S1334" t="s">
        <v>74</v>
      </c>
      <c r="T1334" t="s">
        <v>29187</v>
      </c>
      <c r="U1334" t="s">
        <v>29186</v>
      </c>
      <c r="V1334" t="s">
        <v>29185</v>
      </c>
      <c r="W1334" t="s">
        <v>29184</v>
      </c>
      <c r="X1334" t="s">
        <v>5335</v>
      </c>
      <c r="Y1334" t="s">
        <v>29183</v>
      </c>
      <c r="Z1334" t="s">
        <v>29182</v>
      </c>
      <c r="AA1334" t="s">
        <v>29181</v>
      </c>
      <c r="AB1334" t="s">
        <v>29180</v>
      </c>
      <c r="AC1334" t="s">
        <v>74</v>
      </c>
      <c r="AD1334" t="s">
        <v>74</v>
      </c>
      <c r="AE1334" t="s">
        <v>74</v>
      </c>
      <c r="AF1334" t="s">
        <v>74</v>
      </c>
      <c r="AG1334">
        <v>58</v>
      </c>
      <c r="AH1334">
        <v>18</v>
      </c>
      <c r="AI1334">
        <v>32</v>
      </c>
      <c r="AJ1334">
        <v>0</v>
      </c>
      <c r="AK1334">
        <v>12</v>
      </c>
      <c r="AL1334" t="s">
        <v>89</v>
      </c>
      <c r="AM1334" t="s">
        <v>90</v>
      </c>
      <c r="AN1334" t="s">
        <v>91</v>
      </c>
      <c r="AO1334" t="s">
        <v>1910</v>
      </c>
      <c r="AP1334" t="s">
        <v>1911</v>
      </c>
      <c r="AQ1334" t="s">
        <v>74</v>
      </c>
      <c r="AR1334" t="s">
        <v>1912</v>
      </c>
      <c r="AS1334" t="s">
        <v>1913</v>
      </c>
      <c r="AT1334" t="s">
        <v>74</v>
      </c>
      <c r="AU1334">
        <v>2018</v>
      </c>
      <c r="AV1334">
        <v>10</v>
      </c>
      <c r="AW1334">
        <v>3</v>
      </c>
      <c r="AX1334" t="s">
        <v>74</v>
      </c>
      <c r="AY1334" t="s">
        <v>74</v>
      </c>
      <c r="AZ1334" t="s">
        <v>74</v>
      </c>
      <c r="BA1334" t="s">
        <v>74</v>
      </c>
      <c r="BB1334">
        <v>406</v>
      </c>
      <c r="BC1334">
        <v>425</v>
      </c>
      <c r="BD1334" t="s">
        <v>74</v>
      </c>
      <c r="BE1334" t="s">
        <v>29179</v>
      </c>
      <c r="BF1334" t="str">
        <f>HYPERLINK("http://dx.doi.org/10.1108/JFEP-11-2015-0065","http://dx.doi.org/10.1108/JFEP-11-2015-0065")</f>
        <v>http://dx.doi.org/10.1108/JFEP-11-2015-0065</v>
      </c>
      <c r="BG1334" t="s">
        <v>74</v>
      </c>
      <c r="BH1334" t="s">
        <v>74</v>
      </c>
      <c r="BI1334">
        <v>20</v>
      </c>
      <c r="BJ1334" t="s">
        <v>291</v>
      </c>
      <c r="BK1334" t="s">
        <v>313</v>
      </c>
      <c r="BL1334" t="s">
        <v>100</v>
      </c>
      <c r="BM1334" t="s">
        <v>29178</v>
      </c>
      <c r="BN1334" t="s">
        <v>74</v>
      </c>
      <c r="BO1334" t="s">
        <v>74</v>
      </c>
      <c r="BP1334" t="s">
        <v>74</v>
      </c>
      <c r="BQ1334" t="s">
        <v>74</v>
      </c>
      <c r="BR1334" t="s">
        <v>102</v>
      </c>
      <c r="BS1334" t="s">
        <v>29177</v>
      </c>
      <c r="BT1334" t="str">
        <f>HYPERLINK("https%3A%2F%2Fwww.webofscience.com%2Fwos%2Fwoscc%2Ffull-record%2FWOS:000442370500006","View Full Record in Web of Science")</f>
        <v>View Full Record in Web of Science</v>
      </c>
    </row>
    <row r="1335" spans="1:72" x14ac:dyDescent="0.25">
      <c r="A1335" t="s">
        <v>3790</v>
      </c>
      <c r="B1335" t="s">
        <v>29176</v>
      </c>
      <c r="C1335" t="s">
        <v>74</v>
      </c>
      <c r="D1335" t="s">
        <v>29175</v>
      </c>
      <c r="E1335" t="s">
        <v>74</v>
      </c>
      <c r="F1335" t="s">
        <v>29174</v>
      </c>
      <c r="G1335" t="s">
        <v>74</v>
      </c>
      <c r="H1335" t="s">
        <v>74</v>
      </c>
      <c r="I1335" t="s">
        <v>29173</v>
      </c>
      <c r="J1335" t="s">
        <v>29172</v>
      </c>
      <c r="K1335" t="s">
        <v>29171</v>
      </c>
      <c r="L1335" t="s">
        <v>74</v>
      </c>
      <c r="M1335" t="s">
        <v>78</v>
      </c>
      <c r="N1335" t="s">
        <v>6023</v>
      </c>
      <c r="O1335" t="s">
        <v>74</v>
      </c>
      <c r="P1335" t="s">
        <v>74</v>
      </c>
      <c r="Q1335" t="s">
        <v>74</v>
      </c>
      <c r="R1335" t="s">
        <v>74</v>
      </c>
      <c r="S1335" t="s">
        <v>74</v>
      </c>
      <c r="T1335" t="s">
        <v>74</v>
      </c>
      <c r="U1335" t="s">
        <v>74</v>
      </c>
      <c r="V1335" t="s">
        <v>74</v>
      </c>
      <c r="W1335" t="s">
        <v>29170</v>
      </c>
      <c r="X1335" t="s">
        <v>29169</v>
      </c>
      <c r="Y1335" t="s">
        <v>29168</v>
      </c>
      <c r="Z1335" t="s">
        <v>29167</v>
      </c>
      <c r="AA1335" t="s">
        <v>29166</v>
      </c>
      <c r="AB1335" t="s">
        <v>29165</v>
      </c>
      <c r="AC1335" t="s">
        <v>74</v>
      </c>
      <c r="AD1335" t="s">
        <v>74</v>
      </c>
      <c r="AE1335" t="s">
        <v>74</v>
      </c>
      <c r="AF1335" t="s">
        <v>74</v>
      </c>
      <c r="AG1335">
        <v>10</v>
      </c>
      <c r="AH1335">
        <v>2</v>
      </c>
      <c r="AI1335">
        <v>5</v>
      </c>
      <c r="AJ1335">
        <v>0</v>
      </c>
      <c r="AK1335">
        <v>3</v>
      </c>
      <c r="AL1335" t="s">
        <v>3588</v>
      </c>
      <c r="AM1335" t="s">
        <v>410</v>
      </c>
      <c r="AN1335" t="s">
        <v>29164</v>
      </c>
      <c r="AO1335" t="s">
        <v>29163</v>
      </c>
      <c r="AP1335" t="s">
        <v>74</v>
      </c>
      <c r="AQ1335" t="s">
        <v>29162</v>
      </c>
      <c r="AR1335" t="s">
        <v>29161</v>
      </c>
      <c r="AS1335" t="s">
        <v>74</v>
      </c>
      <c r="AT1335" t="s">
        <v>74</v>
      </c>
      <c r="AU1335">
        <v>2014</v>
      </c>
      <c r="AV1335" t="s">
        <v>74</v>
      </c>
      <c r="AW1335" t="s">
        <v>74</v>
      </c>
      <c r="AX1335" t="s">
        <v>74</v>
      </c>
      <c r="AY1335" t="s">
        <v>74</v>
      </c>
      <c r="AZ1335" t="s">
        <v>74</v>
      </c>
      <c r="BA1335" t="s">
        <v>74</v>
      </c>
      <c r="BB1335">
        <v>467</v>
      </c>
      <c r="BC1335">
        <v>478</v>
      </c>
      <c r="BD1335" t="s">
        <v>74</v>
      </c>
      <c r="BE1335" t="s">
        <v>29160</v>
      </c>
      <c r="BF1335" t="str">
        <f>HYPERLINK("http://dx.doi.org/10.1007/978-81-322-1650-6_28","http://dx.doi.org/10.1007/978-81-322-1650-6_28")</f>
        <v>http://dx.doi.org/10.1007/978-81-322-1650-6_28</v>
      </c>
      <c r="BG1335" t="s">
        <v>29159</v>
      </c>
      <c r="BH1335" t="s">
        <v>74</v>
      </c>
      <c r="BI1335">
        <v>12</v>
      </c>
      <c r="BJ1335" t="s">
        <v>29158</v>
      </c>
      <c r="BK1335" t="s">
        <v>8314</v>
      </c>
      <c r="BL1335" t="s">
        <v>1284</v>
      </c>
      <c r="BM1335" t="s">
        <v>29157</v>
      </c>
      <c r="BN1335" t="s">
        <v>74</v>
      </c>
      <c r="BO1335" t="s">
        <v>74</v>
      </c>
      <c r="BP1335" t="s">
        <v>74</v>
      </c>
      <c r="BQ1335" t="s">
        <v>74</v>
      </c>
      <c r="BR1335" t="s">
        <v>102</v>
      </c>
      <c r="BS1335" t="s">
        <v>29156</v>
      </c>
      <c r="BT1335" t="str">
        <f>HYPERLINK("https%3A%2F%2Fwww.webofscience.com%2Fwos%2Fwoscc%2Ffull-record%2FWOS:000337939000030","View Full Record in Web of Science")</f>
        <v>View Full Record in Web of Science</v>
      </c>
    </row>
    <row r="1336" spans="1:72" x14ac:dyDescent="0.25">
      <c r="A1336" t="s">
        <v>72</v>
      </c>
      <c r="B1336" t="s">
        <v>29155</v>
      </c>
      <c r="C1336" t="s">
        <v>74</v>
      </c>
      <c r="D1336" t="s">
        <v>74</v>
      </c>
      <c r="E1336" t="s">
        <v>74</v>
      </c>
      <c r="F1336" t="s">
        <v>29154</v>
      </c>
      <c r="G1336" t="s">
        <v>74</v>
      </c>
      <c r="H1336" t="s">
        <v>74</v>
      </c>
      <c r="I1336" t="s">
        <v>29153</v>
      </c>
      <c r="J1336" t="s">
        <v>29152</v>
      </c>
      <c r="K1336" t="s">
        <v>74</v>
      </c>
      <c r="L1336" t="s">
        <v>74</v>
      </c>
      <c r="M1336" t="s">
        <v>78</v>
      </c>
      <c r="N1336" t="s">
        <v>372</v>
      </c>
      <c r="O1336" t="s">
        <v>74</v>
      </c>
      <c r="P1336" t="s">
        <v>74</v>
      </c>
      <c r="Q1336" t="s">
        <v>74</v>
      </c>
      <c r="R1336" t="s">
        <v>74</v>
      </c>
      <c r="S1336" t="s">
        <v>74</v>
      </c>
      <c r="T1336" t="s">
        <v>29151</v>
      </c>
      <c r="U1336" t="s">
        <v>29150</v>
      </c>
      <c r="V1336" t="s">
        <v>29149</v>
      </c>
      <c r="W1336" t="s">
        <v>29148</v>
      </c>
      <c r="X1336" t="s">
        <v>74</v>
      </c>
      <c r="Y1336" t="s">
        <v>29147</v>
      </c>
      <c r="Z1336" t="s">
        <v>9335</v>
      </c>
      <c r="AA1336" t="s">
        <v>29146</v>
      </c>
      <c r="AB1336" t="s">
        <v>74</v>
      </c>
      <c r="AC1336" t="s">
        <v>74</v>
      </c>
      <c r="AD1336" t="s">
        <v>74</v>
      </c>
      <c r="AE1336" t="s">
        <v>74</v>
      </c>
      <c r="AF1336" t="s">
        <v>74</v>
      </c>
      <c r="AG1336">
        <v>98</v>
      </c>
      <c r="AH1336">
        <v>0</v>
      </c>
      <c r="AI1336">
        <v>0</v>
      </c>
      <c r="AJ1336">
        <v>0</v>
      </c>
      <c r="AK1336">
        <v>0</v>
      </c>
      <c r="AL1336" t="s">
        <v>332</v>
      </c>
      <c r="AM1336" t="s">
        <v>333</v>
      </c>
      <c r="AN1336" t="s">
        <v>334</v>
      </c>
      <c r="AO1336" t="s">
        <v>29145</v>
      </c>
      <c r="AP1336" t="s">
        <v>29144</v>
      </c>
      <c r="AQ1336" t="s">
        <v>74</v>
      </c>
      <c r="AR1336" t="s">
        <v>29143</v>
      </c>
      <c r="AS1336" t="s">
        <v>29142</v>
      </c>
      <c r="AT1336" t="s">
        <v>29141</v>
      </c>
      <c r="AU1336">
        <v>2025</v>
      </c>
      <c r="AV1336" t="s">
        <v>74</v>
      </c>
      <c r="AW1336" t="s">
        <v>74</v>
      </c>
      <c r="AX1336" t="s">
        <v>74</v>
      </c>
      <c r="AY1336" t="s">
        <v>74</v>
      </c>
      <c r="AZ1336" t="s">
        <v>74</v>
      </c>
      <c r="BA1336" t="s">
        <v>74</v>
      </c>
      <c r="BB1336" t="s">
        <v>74</v>
      </c>
      <c r="BC1336" t="s">
        <v>74</v>
      </c>
      <c r="BD1336" t="s">
        <v>74</v>
      </c>
      <c r="BE1336" t="s">
        <v>29140</v>
      </c>
      <c r="BF1336" t="str">
        <f>HYPERLINK("http://dx.doi.org/10.1080/19452829.2025.2584447","http://dx.doi.org/10.1080/19452829.2025.2584447")</f>
        <v>http://dx.doi.org/10.1080/19452829.2025.2584447</v>
      </c>
      <c r="BG1336" t="s">
        <v>74</v>
      </c>
      <c r="BH1336" t="s">
        <v>2044</v>
      </c>
      <c r="BI1336">
        <v>27</v>
      </c>
      <c r="BJ1336" t="s">
        <v>1137</v>
      </c>
      <c r="BK1336" t="s">
        <v>99</v>
      </c>
      <c r="BL1336" t="s">
        <v>1137</v>
      </c>
      <c r="BM1336" t="s">
        <v>29139</v>
      </c>
      <c r="BN1336" t="s">
        <v>74</v>
      </c>
      <c r="BO1336" t="s">
        <v>74</v>
      </c>
      <c r="BP1336" t="s">
        <v>74</v>
      </c>
      <c r="BQ1336" t="s">
        <v>74</v>
      </c>
      <c r="BR1336" t="s">
        <v>102</v>
      </c>
      <c r="BS1336" t="s">
        <v>29138</v>
      </c>
      <c r="BT1336" t="str">
        <f>HYPERLINK("https%3A%2F%2Fwww.webofscience.com%2Fwos%2Fwoscc%2Ffull-record%2FWOS:001616975100001","View Full Record in Web of Science")</f>
        <v>View Full Record in Web of Science</v>
      </c>
    </row>
    <row r="1337" spans="1:72" x14ac:dyDescent="0.25">
      <c r="A1337" t="s">
        <v>72</v>
      </c>
      <c r="B1337" t="s">
        <v>29137</v>
      </c>
      <c r="C1337" t="s">
        <v>74</v>
      </c>
      <c r="D1337" t="s">
        <v>74</v>
      </c>
      <c r="E1337" t="s">
        <v>74</v>
      </c>
      <c r="F1337" t="s">
        <v>29136</v>
      </c>
      <c r="G1337" t="s">
        <v>74</v>
      </c>
      <c r="H1337" t="s">
        <v>74</v>
      </c>
      <c r="I1337" t="s">
        <v>29135</v>
      </c>
      <c r="J1337" t="s">
        <v>13110</v>
      </c>
      <c r="K1337" t="s">
        <v>74</v>
      </c>
      <c r="L1337" t="s">
        <v>74</v>
      </c>
      <c r="M1337" t="s">
        <v>78</v>
      </c>
      <c r="N1337" t="s">
        <v>79</v>
      </c>
      <c r="O1337" t="s">
        <v>74</v>
      </c>
      <c r="P1337" t="s">
        <v>74</v>
      </c>
      <c r="Q1337" t="s">
        <v>74</v>
      </c>
      <c r="R1337" t="s">
        <v>74</v>
      </c>
      <c r="S1337" t="s">
        <v>74</v>
      </c>
      <c r="T1337" t="s">
        <v>29134</v>
      </c>
      <c r="U1337" t="s">
        <v>2073</v>
      </c>
      <c r="V1337" t="s">
        <v>29133</v>
      </c>
      <c r="W1337" t="s">
        <v>29132</v>
      </c>
      <c r="X1337" t="s">
        <v>29131</v>
      </c>
      <c r="Y1337" t="s">
        <v>29130</v>
      </c>
      <c r="Z1337" t="s">
        <v>29129</v>
      </c>
      <c r="AA1337" t="s">
        <v>29128</v>
      </c>
      <c r="AB1337" t="s">
        <v>29127</v>
      </c>
      <c r="AC1337" t="s">
        <v>74</v>
      </c>
      <c r="AD1337" t="s">
        <v>74</v>
      </c>
      <c r="AE1337" t="s">
        <v>74</v>
      </c>
      <c r="AF1337" t="s">
        <v>74</v>
      </c>
      <c r="AG1337">
        <v>26</v>
      </c>
      <c r="AH1337">
        <v>160</v>
      </c>
      <c r="AI1337">
        <v>231</v>
      </c>
      <c r="AJ1337">
        <v>5</v>
      </c>
      <c r="AK1337">
        <v>138</v>
      </c>
      <c r="AL1337" t="s">
        <v>2551</v>
      </c>
      <c r="AM1337" t="s">
        <v>231</v>
      </c>
      <c r="AN1337" t="s">
        <v>2552</v>
      </c>
      <c r="AO1337" t="s">
        <v>13122</v>
      </c>
      <c r="AP1337" t="s">
        <v>13123</v>
      </c>
      <c r="AQ1337" t="s">
        <v>74</v>
      </c>
      <c r="AR1337" t="s">
        <v>13124</v>
      </c>
      <c r="AS1337" t="s">
        <v>13125</v>
      </c>
      <c r="AT1337" t="s">
        <v>891</v>
      </c>
      <c r="AU1337">
        <v>2014</v>
      </c>
      <c r="AV1337">
        <v>23</v>
      </c>
      <c r="AW1337">
        <v>5</v>
      </c>
      <c r="AX1337" t="s">
        <v>74</v>
      </c>
      <c r="AY1337" t="s">
        <v>74</v>
      </c>
      <c r="AZ1337" t="s">
        <v>74</v>
      </c>
      <c r="BA1337" t="s">
        <v>74</v>
      </c>
      <c r="BB1337">
        <v>614</v>
      </c>
      <c r="BC1337">
        <v>642</v>
      </c>
      <c r="BD1337" t="s">
        <v>74</v>
      </c>
      <c r="BE1337" t="s">
        <v>29126</v>
      </c>
      <c r="BF1337" t="str">
        <f>HYPERLINK("http://dx.doi.org/10.1093/jae/eju015","http://dx.doi.org/10.1093/jae/eju015")</f>
        <v>http://dx.doi.org/10.1093/jae/eju015</v>
      </c>
      <c r="BG1337" t="s">
        <v>74</v>
      </c>
      <c r="BH1337" t="s">
        <v>74</v>
      </c>
      <c r="BI1337">
        <v>29</v>
      </c>
      <c r="BJ1337" t="s">
        <v>291</v>
      </c>
      <c r="BK1337" t="s">
        <v>99</v>
      </c>
      <c r="BL1337" t="s">
        <v>100</v>
      </c>
      <c r="BM1337" t="s">
        <v>29125</v>
      </c>
      <c r="BN1337" t="s">
        <v>74</v>
      </c>
      <c r="BO1337" t="s">
        <v>74</v>
      </c>
      <c r="BP1337" t="s">
        <v>74</v>
      </c>
      <c r="BQ1337" t="s">
        <v>74</v>
      </c>
      <c r="BR1337" t="s">
        <v>102</v>
      </c>
      <c r="BS1337" t="s">
        <v>29124</v>
      </c>
      <c r="BT1337" t="str">
        <f>HYPERLINK("https%3A%2F%2Fwww.webofscience.com%2Fwos%2Fwoscc%2Ffull-record%2FWOS:000345768900002","View Full Record in Web of Science")</f>
        <v>View Full Record in Web of Science</v>
      </c>
    </row>
    <row r="1338" spans="1:72" x14ac:dyDescent="0.25">
      <c r="A1338" t="s">
        <v>72</v>
      </c>
      <c r="B1338" t="s">
        <v>29123</v>
      </c>
      <c r="C1338" t="s">
        <v>74</v>
      </c>
      <c r="D1338" t="s">
        <v>74</v>
      </c>
      <c r="E1338" t="s">
        <v>74</v>
      </c>
      <c r="F1338" t="s">
        <v>29122</v>
      </c>
      <c r="G1338" t="s">
        <v>74</v>
      </c>
      <c r="H1338" t="s">
        <v>74</v>
      </c>
      <c r="I1338" t="s">
        <v>29121</v>
      </c>
      <c r="J1338" t="s">
        <v>12549</v>
      </c>
      <c r="K1338" t="s">
        <v>74</v>
      </c>
      <c r="L1338" t="s">
        <v>74</v>
      </c>
      <c r="M1338" t="s">
        <v>78</v>
      </c>
      <c r="N1338" t="s">
        <v>79</v>
      </c>
      <c r="O1338" t="s">
        <v>74</v>
      </c>
      <c r="P1338" t="s">
        <v>74</v>
      </c>
      <c r="Q1338" t="s">
        <v>74</v>
      </c>
      <c r="R1338" t="s">
        <v>74</v>
      </c>
      <c r="S1338" t="s">
        <v>74</v>
      </c>
      <c r="T1338" t="s">
        <v>29120</v>
      </c>
      <c r="U1338" t="s">
        <v>74</v>
      </c>
      <c r="V1338" t="s">
        <v>29119</v>
      </c>
      <c r="W1338" t="s">
        <v>29118</v>
      </c>
      <c r="X1338" t="s">
        <v>10117</v>
      </c>
      <c r="Y1338" t="s">
        <v>29117</v>
      </c>
      <c r="Z1338" t="s">
        <v>29116</v>
      </c>
      <c r="AA1338" t="s">
        <v>15403</v>
      </c>
      <c r="AB1338" t="s">
        <v>74</v>
      </c>
      <c r="AC1338" t="s">
        <v>74</v>
      </c>
      <c r="AD1338" t="s">
        <v>74</v>
      </c>
      <c r="AE1338" t="s">
        <v>74</v>
      </c>
      <c r="AF1338" t="s">
        <v>74</v>
      </c>
      <c r="AG1338">
        <v>28</v>
      </c>
      <c r="AH1338">
        <v>24</v>
      </c>
      <c r="AI1338">
        <v>33</v>
      </c>
      <c r="AJ1338">
        <v>1</v>
      </c>
      <c r="AK1338">
        <v>15</v>
      </c>
      <c r="AL1338" t="s">
        <v>575</v>
      </c>
      <c r="AM1338" t="s">
        <v>576</v>
      </c>
      <c r="AN1338" t="s">
        <v>3242</v>
      </c>
      <c r="AO1338" t="s">
        <v>12562</v>
      </c>
      <c r="AP1338" t="s">
        <v>12563</v>
      </c>
      <c r="AQ1338" t="s">
        <v>74</v>
      </c>
      <c r="AR1338" t="s">
        <v>12564</v>
      </c>
      <c r="AS1338" t="s">
        <v>12565</v>
      </c>
      <c r="AT1338" t="s">
        <v>891</v>
      </c>
      <c r="AU1338">
        <v>2021</v>
      </c>
      <c r="AV1338">
        <v>14</v>
      </c>
      <c r="AW1338">
        <v>11</v>
      </c>
      <c r="AX1338" t="s">
        <v>74</v>
      </c>
      <c r="AY1338" t="s">
        <v>74</v>
      </c>
      <c r="AZ1338" t="s">
        <v>74</v>
      </c>
      <c r="BA1338" t="s">
        <v>74</v>
      </c>
      <c r="BB1338" t="s">
        <v>74</v>
      </c>
      <c r="BC1338" t="s">
        <v>74</v>
      </c>
      <c r="BD1338">
        <v>561</v>
      </c>
      <c r="BE1338" t="s">
        <v>29115</v>
      </c>
      <c r="BF1338" t="str">
        <f>HYPERLINK("http://dx.doi.org/10.3390/jrfm14110561","http://dx.doi.org/10.3390/jrfm14110561")</f>
        <v>http://dx.doi.org/10.3390/jrfm14110561</v>
      </c>
      <c r="BG1338" t="s">
        <v>74</v>
      </c>
      <c r="BH1338" t="s">
        <v>74</v>
      </c>
      <c r="BI1338">
        <v>13</v>
      </c>
      <c r="BJ1338" t="s">
        <v>268</v>
      </c>
      <c r="BK1338" t="s">
        <v>313</v>
      </c>
      <c r="BL1338" t="s">
        <v>100</v>
      </c>
      <c r="BM1338" t="s">
        <v>29114</v>
      </c>
      <c r="BN1338" t="s">
        <v>74</v>
      </c>
      <c r="BO1338" t="s">
        <v>466</v>
      </c>
      <c r="BP1338" t="s">
        <v>74</v>
      </c>
      <c r="BQ1338" t="s">
        <v>74</v>
      </c>
      <c r="BR1338" t="s">
        <v>102</v>
      </c>
      <c r="BS1338" t="s">
        <v>29113</v>
      </c>
      <c r="BT1338" t="str">
        <f>HYPERLINK("https%3A%2F%2Fwww.webofscience.com%2Fwos%2Fwoscc%2Ffull-record%2FWOS:000920351700001","View Full Record in Web of Science")</f>
        <v>View Full Record in Web of Science</v>
      </c>
    </row>
    <row r="1339" spans="1:72" x14ac:dyDescent="0.25">
      <c r="A1339" t="s">
        <v>132</v>
      </c>
      <c r="B1339" t="s">
        <v>29112</v>
      </c>
      <c r="C1339" t="s">
        <v>74</v>
      </c>
      <c r="D1339" t="s">
        <v>74</v>
      </c>
      <c r="E1339" t="s">
        <v>29111</v>
      </c>
      <c r="F1339" t="s">
        <v>29110</v>
      </c>
      <c r="G1339" t="s">
        <v>74</v>
      </c>
      <c r="H1339" t="s">
        <v>74</v>
      </c>
      <c r="I1339" t="s">
        <v>29109</v>
      </c>
      <c r="J1339" t="s">
        <v>29108</v>
      </c>
      <c r="K1339" t="s">
        <v>74</v>
      </c>
      <c r="L1339" t="s">
        <v>74</v>
      </c>
      <c r="M1339" t="s">
        <v>78</v>
      </c>
      <c r="N1339" t="s">
        <v>138</v>
      </c>
      <c r="O1339" t="s">
        <v>29107</v>
      </c>
      <c r="P1339" t="s">
        <v>29106</v>
      </c>
      <c r="Q1339" t="s">
        <v>29105</v>
      </c>
      <c r="R1339" t="s">
        <v>74</v>
      </c>
      <c r="S1339" t="s">
        <v>74</v>
      </c>
      <c r="T1339" t="s">
        <v>29104</v>
      </c>
      <c r="U1339" t="s">
        <v>29103</v>
      </c>
      <c r="V1339" t="s">
        <v>29102</v>
      </c>
      <c r="W1339" t="s">
        <v>29101</v>
      </c>
      <c r="X1339" t="s">
        <v>29100</v>
      </c>
      <c r="Y1339" t="s">
        <v>29099</v>
      </c>
      <c r="Z1339" t="s">
        <v>29098</v>
      </c>
      <c r="AA1339" t="s">
        <v>74</v>
      </c>
      <c r="AB1339" t="s">
        <v>74</v>
      </c>
      <c r="AC1339" t="s">
        <v>74</v>
      </c>
      <c r="AD1339" t="s">
        <v>74</v>
      </c>
      <c r="AE1339" t="s">
        <v>74</v>
      </c>
      <c r="AF1339" t="s">
        <v>74</v>
      </c>
      <c r="AG1339">
        <v>38</v>
      </c>
      <c r="AH1339">
        <v>0</v>
      </c>
      <c r="AI1339">
        <v>0</v>
      </c>
      <c r="AJ1339">
        <v>0</v>
      </c>
      <c r="AK1339">
        <v>6</v>
      </c>
      <c r="AL1339" t="s">
        <v>16843</v>
      </c>
      <c r="AM1339" t="s">
        <v>16844</v>
      </c>
      <c r="AN1339" t="s">
        <v>29097</v>
      </c>
      <c r="AO1339" t="s">
        <v>74</v>
      </c>
      <c r="AP1339" t="s">
        <v>74</v>
      </c>
      <c r="AQ1339" t="s">
        <v>29096</v>
      </c>
      <c r="AR1339" t="s">
        <v>74</v>
      </c>
      <c r="AS1339" t="s">
        <v>74</v>
      </c>
      <c r="AT1339" t="s">
        <v>74</v>
      </c>
      <c r="AU1339">
        <v>2018</v>
      </c>
      <c r="AV1339" t="s">
        <v>74</v>
      </c>
      <c r="AW1339" t="s">
        <v>74</v>
      </c>
      <c r="AX1339" t="s">
        <v>74</v>
      </c>
      <c r="AY1339" t="s">
        <v>74</v>
      </c>
      <c r="AZ1339" t="s">
        <v>74</v>
      </c>
      <c r="BA1339" t="s">
        <v>74</v>
      </c>
      <c r="BB1339" t="s">
        <v>74</v>
      </c>
      <c r="BC1339" t="s">
        <v>74</v>
      </c>
      <c r="BD1339" t="s">
        <v>74</v>
      </c>
      <c r="BE1339" t="s">
        <v>74</v>
      </c>
      <c r="BF1339" t="s">
        <v>74</v>
      </c>
      <c r="BG1339" t="s">
        <v>74</v>
      </c>
      <c r="BH1339" t="s">
        <v>74</v>
      </c>
      <c r="BI1339">
        <v>10</v>
      </c>
      <c r="BJ1339" t="s">
        <v>4466</v>
      </c>
      <c r="BK1339" t="s">
        <v>156</v>
      </c>
      <c r="BL1339" t="s">
        <v>157</v>
      </c>
      <c r="BM1339" t="s">
        <v>29095</v>
      </c>
      <c r="BN1339" t="s">
        <v>74</v>
      </c>
      <c r="BO1339" t="s">
        <v>74</v>
      </c>
      <c r="BP1339" t="s">
        <v>74</v>
      </c>
      <c r="BQ1339" t="s">
        <v>74</v>
      </c>
      <c r="BR1339" t="s">
        <v>102</v>
      </c>
      <c r="BS1339" t="s">
        <v>29094</v>
      </c>
      <c r="BT1339" t="str">
        <f>HYPERLINK("https%3A%2F%2Fwww.webofscience.com%2Fwos%2Fwoscc%2Ffull-record%2FWOS:000589328103151","View Full Record in Web of Science")</f>
        <v>View Full Record in Web of Science</v>
      </c>
    </row>
    <row r="1340" spans="1:72" x14ac:dyDescent="0.25">
      <c r="A1340" t="s">
        <v>72</v>
      </c>
      <c r="B1340" t="s">
        <v>29093</v>
      </c>
      <c r="C1340" t="s">
        <v>74</v>
      </c>
      <c r="D1340" t="s">
        <v>74</v>
      </c>
      <c r="E1340" t="s">
        <v>74</v>
      </c>
      <c r="F1340" t="s">
        <v>29092</v>
      </c>
      <c r="G1340" t="s">
        <v>74</v>
      </c>
      <c r="H1340" t="s">
        <v>74</v>
      </c>
      <c r="I1340" t="s">
        <v>29091</v>
      </c>
      <c r="J1340" t="s">
        <v>16089</v>
      </c>
      <c r="K1340" t="s">
        <v>74</v>
      </c>
      <c r="L1340" t="s">
        <v>74</v>
      </c>
      <c r="M1340" t="s">
        <v>78</v>
      </c>
      <c r="N1340" t="s">
        <v>79</v>
      </c>
      <c r="O1340" t="s">
        <v>74</v>
      </c>
      <c r="P1340" t="s">
        <v>74</v>
      </c>
      <c r="Q1340" t="s">
        <v>74</v>
      </c>
      <c r="R1340" t="s">
        <v>74</v>
      </c>
      <c r="S1340" t="s">
        <v>74</v>
      </c>
      <c r="T1340" t="s">
        <v>29090</v>
      </c>
      <c r="U1340" t="s">
        <v>29089</v>
      </c>
      <c r="V1340" t="s">
        <v>29088</v>
      </c>
      <c r="W1340" t="s">
        <v>29087</v>
      </c>
      <c r="X1340" t="s">
        <v>29086</v>
      </c>
      <c r="Y1340" t="s">
        <v>29085</v>
      </c>
      <c r="Z1340" t="s">
        <v>29084</v>
      </c>
      <c r="AA1340" t="s">
        <v>29083</v>
      </c>
      <c r="AB1340" t="s">
        <v>29082</v>
      </c>
      <c r="AC1340" t="s">
        <v>74</v>
      </c>
      <c r="AD1340" t="s">
        <v>74</v>
      </c>
      <c r="AE1340" t="s">
        <v>74</v>
      </c>
      <c r="AF1340" t="s">
        <v>74</v>
      </c>
      <c r="AG1340">
        <v>60</v>
      </c>
      <c r="AH1340">
        <v>4</v>
      </c>
      <c r="AI1340">
        <v>4</v>
      </c>
      <c r="AJ1340">
        <v>0</v>
      </c>
      <c r="AK1340">
        <v>5</v>
      </c>
      <c r="AL1340" t="s">
        <v>16099</v>
      </c>
      <c r="AM1340" t="s">
        <v>16100</v>
      </c>
      <c r="AN1340" t="s">
        <v>16101</v>
      </c>
      <c r="AO1340" t="s">
        <v>16102</v>
      </c>
      <c r="AP1340" t="s">
        <v>16103</v>
      </c>
      <c r="AQ1340" t="s">
        <v>74</v>
      </c>
      <c r="AR1340" t="s">
        <v>16104</v>
      </c>
      <c r="AS1340" t="s">
        <v>16105</v>
      </c>
      <c r="AT1340" t="s">
        <v>848</v>
      </c>
      <c r="AU1340">
        <v>2021</v>
      </c>
      <c r="AV1340">
        <v>30</v>
      </c>
      <c r="AW1340">
        <v>4</v>
      </c>
      <c r="AX1340" t="s">
        <v>74</v>
      </c>
      <c r="AY1340" t="s">
        <v>74</v>
      </c>
      <c r="AZ1340" t="s">
        <v>441</v>
      </c>
      <c r="BA1340" t="s">
        <v>74</v>
      </c>
      <c r="BB1340">
        <v>389</v>
      </c>
      <c r="BC1340">
        <v>404</v>
      </c>
      <c r="BD1340" t="s">
        <v>74</v>
      </c>
      <c r="BE1340" t="s">
        <v>29081</v>
      </c>
      <c r="BF1340" t="str">
        <f>HYPERLINK("http://dx.doi.org/10.1002/jsc.2432","http://dx.doi.org/10.1002/jsc.2432")</f>
        <v>http://dx.doi.org/10.1002/jsc.2432</v>
      </c>
      <c r="BG1340" t="s">
        <v>74</v>
      </c>
      <c r="BH1340" t="s">
        <v>74</v>
      </c>
      <c r="BI1340">
        <v>16</v>
      </c>
      <c r="BJ1340" t="s">
        <v>268</v>
      </c>
      <c r="BK1340" t="s">
        <v>313</v>
      </c>
      <c r="BL1340" t="s">
        <v>100</v>
      </c>
      <c r="BM1340" t="s">
        <v>29080</v>
      </c>
      <c r="BN1340" t="s">
        <v>74</v>
      </c>
      <c r="BO1340" t="s">
        <v>74</v>
      </c>
      <c r="BP1340" t="s">
        <v>74</v>
      </c>
      <c r="BQ1340" t="s">
        <v>74</v>
      </c>
      <c r="BR1340" t="s">
        <v>102</v>
      </c>
      <c r="BS1340" t="s">
        <v>29079</v>
      </c>
      <c r="BT1340" t="str">
        <f>HYPERLINK("https%3A%2F%2Fwww.webofscience.com%2Fwos%2Fwoscc%2Ffull-record%2FWOS:000670698600007","View Full Record in Web of Science")</f>
        <v>View Full Record in Web of Science</v>
      </c>
    </row>
    <row r="1341" spans="1:72" x14ac:dyDescent="0.25">
      <c r="A1341" t="s">
        <v>72</v>
      </c>
      <c r="B1341" t="s">
        <v>29078</v>
      </c>
      <c r="C1341" t="s">
        <v>74</v>
      </c>
      <c r="D1341" t="s">
        <v>74</v>
      </c>
      <c r="E1341" t="s">
        <v>74</v>
      </c>
      <c r="F1341" t="s">
        <v>29077</v>
      </c>
      <c r="G1341" t="s">
        <v>74</v>
      </c>
      <c r="H1341" t="s">
        <v>74</v>
      </c>
      <c r="I1341" t="s">
        <v>29076</v>
      </c>
      <c r="J1341" t="s">
        <v>29075</v>
      </c>
      <c r="K1341" t="s">
        <v>74</v>
      </c>
      <c r="L1341" t="s">
        <v>74</v>
      </c>
      <c r="M1341" t="s">
        <v>78</v>
      </c>
      <c r="N1341" t="s">
        <v>79</v>
      </c>
      <c r="O1341" t="s">
        <v>74</v>
      </c>
      <c r="P1341" t="s">
        <v>74</v>
      </c>
      <c r="Q1341" t="s">
        <v>74</v>
      </c>
      <c r="R1341" t="s">
        <v>74</v>
      </c>
      <c r="S1341" t="s">
        <v>74</v>
      </c>
      <c r="T1341" t="s">
        <v>74</v>
      </c>
      <c r="U1341" t="s">
        <v>74</v>
      </c>
      <c r="V1341" t="s">
        <v>74</v>
      </c>
      <c r="W1341" t="s">
        <v>29074</v>
      </c>
      <c r="X1341" t="s">
        <v>29073</v>
      </c>
      <c r="Y1341" t="s">
        <v>29072</v>
      </c>
      <c r="Z1341" t="s">
        <v>74</v>
      </c>
      <c r="AA1341" t="s">
        <v>29071</v>
      </c>
      <c r="AB1341" t="s">
        <v>74</v>
      </c>
      <c r="AC1341" t="s">
        <v>74</v>
      </c>
      <c r="AD1341" t="s">
        <v>74</v>
      </c>
      <c r="AE1341" t="s">
        <v>74</v>
      </c>
      <c r="AF1341" t="s">
        <v>74</v>
      </c>
      <c r="AG1341">
        <v>75</v>
      </c>
      <c r="AH1341">
        <v>6</v>
      </c>
      <c r="AI1341">
        <v>7</v>
      </c>
      <c r="AJ1341">
        <v>0</v>
      </c>
      <c r="AK1341">
        <v>0</v>
      </c>
      <c r="AL1341" t="s">
        <v>29070</v>
      </c>
      <c r="AM1341" t="s">
        <v>2661</v>
      </c>
      <c r="AN1341" t="s">
        <v>29069</v>
      </c>
      <c r="AO1341" t="s">
        <v>29068</v>
      </c>
      <c r="AP1341" t="s">
        <v>74</v>
      </c>
      <c r="AQ1341" t="s">
        <v>74</v>
      </c>
      <c r="AR1341" t="s">
        <v>29067</v>
      </c>
      <c r="AS1341" t="s">
        <v>29066</v>
      </c>
      <c r="AT1341" t="s">
        <v>29065</v>
      </c>
      <c r="AU1341">
        <v>2015</v>
      </c>
      <c r="AV1341">
        <v>65</v>
      </c>
      <c r="AW1341">
        <v>2</v>
      </c>
      <c r="AX1341" t="s">
        <v>74</v>
      </c>
      <c r="AY1341" t="s">
        <v>74</v>
      </c>
      <c r="AZ1341" t="s">
        <v>74</v>
      </c>
      <c r="BA1341" t="s">
        <v>74</v>
      </c>
      <c r="BB1341">
        <v>221</v>
      </c>
      <c r="BC1341">
        <v>252</v>
      </c>
      <c r="BD1341">
        <v>6</v>
      </c>
      <c r="BE1341" t="s">
        <v>74</v>
      </c>
      <c r="BF1341" t="s">
        <v>74</v>
      </c>
      <c r="BG1341" t="s">
        <v>74</v>
      </c>
      <c r="BH1341" t="s">
        <v>74</v>
      </c>
      <c r="BI1341">
        <v>32</v>
      </c>
      <c r="BJ1341" t="s">
        <v>182</v>
      </c>
      <c r="BK1341" t="s">
        <v>99</v>
      </c>
      <c r="BL1341" t="s">
        <v>184</v>
      </c>
      <c r="BM1341" t="s">
        <v>29064</v>
      </c>
      <c r="BN1341" t="s">
        <v>74</v>
      </c>
      <c r="BO1341" t="s">
        <v>74</v>
      </c>
      <c r="BP1341" t="s">
        <v>74</v>
      </c>
      <c r="BQ1341" t="s">
        <v>74</v>
      </c>
      <c r="BR1341" t="s">
        <v>102</v>
      </c>
      <c r="BS1341" t="s">
        <v>29063</v>
      </c>
      <c r="BT1341" t="str">
        <f>HYPERLINK("https%3A%2F%2Fwww.webofscience.com%2Fwos%2Fwoscc%2Ffull-record%2FWOS:000209914900001","View Full Record in Web of Science")</f>
        <v>View Full Record in Web of Science</v>
      </c>
    </row>
    <row r="1342" spans="1:72" x14ac:dyDescent="0.25">
      <c r="A1342" t="s">
        <v>72</v>
      </c>
      <c r="B1342" t="s">
        <v>29062</v>
      </c>
      <c r="C1342" t="s">
        <v>74</v>
      </c>
      <c r="D1342" t="s">
        <v>74</v>
      </c>
      <c r="E1342" t="s">
        <v>74</v>
      </c>
      <c r="F1342" t="s">
        <v>29061</v>
      </c>
      <c r="G1342" t="s">
        <v>74</v>
      </c>
      <c r="H1342" t="s">
        <v>74</v>
      </c>
      <c r="I1342" t="s">
        <v>29060</v>
      </c>
      <c r="J1342" t="s">
        <v>7424</v>
      </c>
      <c r="K1342" t="s">
        <v>74</v>
      </c>
      <c r="L1342" t="s">
        <v>74</v>
      </c>
      <c r="M1342" t="s">
        <v>78</v>
      </c>
      <c r="N1342" t="s">
        <v>1766</v>
      </c>
      <c r="O1342" t="s">
        <v>74</v>
      </c>
      <c r="P1342" t="s">
        <v>74</v>
      </c>
      <c r="Q1342" t="s">
        <v>74</v>
      </c>
      <c r="R1342" t="s">
        <v>74</v>
      </c>
      <c r="S1342" t="s">
        <v>74</v>
      </c>
      <c r="T1342" t="s">
        <v>29059</v>
      </c>
      <c r="U1342" t="s">
        <v>29058</v>
      </c>
      <c r="V1342" t="s">
        <v>29057</v>
      </c>
      <c r="W1342" t="s">
        <v>29056</v>
      </c>
      <c r="X1342" t="s">
        <v>29055</v>
      </c>
      <c r="Y1342" t="s">
        <v>29054</v>
      </c>
      <c r="Z1342" t="s">
        <v>29053</v>
      </c>
      <c r="AA1342" t="s">
        <v>29052</v>
      </c>
      <c r="AB1342" t="s">
        <v>74</v>
      </c>
      <c r="AC1342" t="s">
        <v>29051</v>
      </c>
      <c r="AD1342" t="s">
        <v>29051</v>
      </c>
      <c r="AE1342" t="s">
        <v>29050</v>
      </c>
      <c r="AF1342" t="s">
        <v>74</v>
      </c>
      <c r="AG1342">
        <v>42</v>
      </c>
      <c r="AH1342">
        <v>8</v>
      </c>
      <c r="AI1342">
        <v>8</v>
      </c>
      <c r="AJ1342">
        <v>2</v>
      </c>
      <c r="AK1342">
        <v>12</v>
      </c>
      <c r="AL1342" t="s">
        <v>7432</v>
      </c>
      <c r="AM1342" t="s">
        <v>7433</v>
      </c>
      <c r="AN1342" t="s">
        <v>7434</v>
      </c>
      <c r="AO1342" t="s">
        <v>7435</v>
      </c>
      <c r="AP1342" t="s">
        <v>7436</v>
      </c>
      <c r="AQ1342" t="s">
        <v>74</v>
      </c>
      <c r="AR1342" t="s">
        <v>7437</v>
      </c>
      <c r="AS1342" t="s">
        <v>7438</v>
      </c>
      <c r="AT1342" t="s">
        <v>74</v>
      </c>
      <c r="AU1342">
        <v>2018</v>
      </c>
      <c r="AV1342">
        <v>14</v>
      </c>
      <c r="AW1342" t="s">
        <v>74</v>
      </c>
      <c r="AX1342" t="s">
        <v>74</v>
      </c>
      <c r="AY1342" t="s">
        <v>74</v>
      </c>
      <c r="AZ1342" t="s">
        <v>74</v>
      </c>
      <c r="BA1342" t="s">
        <v>74</v>
      </c>
      <c r="BB1342">
        <v>164</v>
      </c>
      <c r="BC1342">
        <v>181</v>
      </c>
      <c r="BD1342" t="s">
        <v>74</v>
      </c>
      <c r="BE1342" t="s">
        <v>74</v>
      </c>
      <c r="BF1342" t="s">
        <v>74</v>
      </c>
      <c r="BG1342" t="s">
        <v>74</v>
      </c>
      <c r="BH1342" t="s">
        <v>74</v>
      </c>
      <c r="BI1342">
        <v>18</v>
      </c>
      <c r="BJ1342" t="s">
        <v>2351</v>
      </c>
      <c r="BK1342" t="s">
        <v>313</v>
      </c>
      <c r="BL1342" t="s">
        <v>2351</v>
      </c>
      <c r="BM1342" t="s">
        <v>29049</v>
      </c>
      <c r="BN1342" t="s">
        <v>74</v>
      </c>
      <c r="BO1342" t="s">
        <v>74</v>
      </c>
      <c r="BP1342" t="s">
        <v>74</v>
      </c>
      <c r="BQ1342" t="s">
        <v>74</v>
      </c>
      <c r="BR1342" t="s">
        <v>102</v>
      </c>
      <c r="BS1342" t="s">
        <v>29048</v>
      </c>
      <c r="BT1342" t="str">
        <f>HYPERLINK("https%3A%2F%2Fwww.webofscience.com%2Fwos%2Fwoscc%2Ffull-record%2FWOS:000444650000012","View Full Record in Web of Science")</f>
        <v>View Full Record in Web of Science</v>
      </c>
    </row>
    <row r="1343" spans="1:72" x14ac:dyDescent="0.25">
      <c r="A1343" t="s">
        <v>72</v>
      </c>
      <c r="B1343" t="s">
        <v>29047</v>
      </c>
      <c r="C1343" t="s">
        <v>74</v>
      </c>
      <c r="D1343" t="s">
        <v>74</v>
      </c>
      <c r="E1343" t="s">
        <v>74</v>
      </c>
      <c r="F1343" t="s">
        <v>29046</v>
      </c>
      <c r="G1343" t="s">
        <v>74</v>
      </c>
      <c r="H1343" t="s">
        <v>74</v>
      </c>
      <c r="I1343" t="s">
        <v>29045</v>
      </c>
      <c r="J1343" t="s">
        <v>29044</v>
      </c>
      <c r="K1343" t="s">
        <v>74</v>
      </c>
      <c r="L1343" t="s">
        <v>74</v>
      </c>
      <c r="M1343" t="s">
        <v>78</v>
      </c>
      <c r="N1343" t="s">
        <v>79</v>
      </c>
      <c r="O1343" t="s">
        <v>74</v>
      </c>
      <c r="P1343" t="s">
        <v>74</v>
      </c>
      <c r="Q1343" t="s">
        <v>74</v>
      </c>
      <c r="R1343" t="s">
        <v>74</v>
      </c>
      <c r="S1343" t="s">
        <v>74</v>
      </c>
      <c r="T1343" t="s">
        <v>29043</v>
      </c>
      <c r="U1343" t="s">
        <v>29042</v>
      </c>
      <c r="V1343" t="s">
        <v>29041</v>
      </c>
      <c r="W1343" t="s">
        <v>29040</v>
      </c>
      <c r="X1343" t="s">
        <v>29039</v>
      </c>
      <c r="Y1343" t="s">
        <v>29038</v>
      </c>
      <c r="Z1343" t="s">
        <v>29037</v>
      </c>
      <c r="AA1343" t="s">
        <v>29036</v>
      </c>
      <c r="AB1343" t="s">
        <v>29035</v>
      </c>
      <c r="AC1343" t="s">
        <v>29034</v>
      </c>
      <c r="AD1343" t="s">
        <v>29033</v>
      </c>
      <c r="AE1343" t="s">
        <v>29032</v>
      </c>
      <c r="AF1343" t="s">
        <v>74</v>
      </c>
      <c r="AG1343">
        <v>124</v>
      </c>
      <c r="AH1343">
        <v>3</v>
      </c>
      <c r="AI1343">
        <v>3</v>
      </c>
      <c r="AJ1343">
        <v>19</v>
      </c>
      <c r="AK1343">
        <v>45</v>
      </c>
      <c r="AL1343" t="s">
        <v>503</v>
      </c>
      <c r="AM1343" t="s">
        <v>151</v>
      </c>
      <c r="AN1343" t="s">
        <v>504</v>
      </c>
      <c r="AO1343" t="s">
        <v>29031</v>
      </c>
      <c r="AP1343" t="s">
        <v>29030</v>
      </c>
      <c r="AQ1343" t="s">
        <v>74</v>
      </c>
      <c r="AR1343" t="s">
        <v>29029</v>
      </c>
      <c r="AS1343" t="s">
        <v>29028</v>
      </c>
      <c r="AT1343" t="s">
        <v>605</v>
      </c>
      <c r="AU1343">
        <v>2025</v>
      </c>
      <c r="AV1343">
        <v>112</v>
      </c>
      <c r="AW1343" t="s">
        <v>74</v>
      </c>
      <c r="AX1343" t="s">
        <v>74</v>
      </c>
      <c r="AY1343" t="s">
        <v>74</v>
      </c>
      <c r="AZ1343" t="s">
        <v>74</v>
      </c>
      <c r="BA1343" t="s">
        <v>74</v>
      </c>
      <c r="BB1343" t="s">
        <v>74</v>
      </c>
      <c r="BC1343" t="s">
        <v>74</v>
      </c>
      <c r="BD1343">
        <v>107849</v>
      </c>
      <c r="BE1343" t="s">
        <v>29027</v>
      </c>
      <c r="BF1343" t="str">
        <f>HYPERLINK("http://dx.doi.org/10.1016/j.eiar.2025.107849","http://dx.doi.org/10.1016/j.eiar.2025.107849")</f>
        <v>http://dx.doi.org/10.1016/j.eiar.2025.107849</v>
      </c>
      <c r="BG1343" t="s">
        <v>74</v>
      </c>
      <c r="BH1343" t="s">
        <v>417</v>
      </c>
      <c r="BI1343">
        <v>16</v>
      </c>
      <c r="BJ1343" t="s">
        <v>14327</v>
      </c>
      <c r="BK1343" t="s">
        <v>99</v>
      </c>
      <c r="BL1343" t="s">
        <v>129</v>
      </c>
      <c r="BM1343" t="s">
        <v>29026</v>
      </c>
      <c r="BN1343" t="s">
        <v>74</v>
      </c>
      <c r="BO1343" t="s">
        <v>74</v>
      </c>
      <c r="BP1343" t="s">
        <v>74</v>
      </c>
      <c r="BQ1343" t="s">
        <v>74</v>
      </c>
      <c r="BR1343" t="s">
        <v>102</v>
      </c>
      <c r="BS1343" t="s">
        <v>29025</v>
      </c>
      <c r="BT1343" t="str">
        <f>HYPERLINK("https%3A%2F%2Fwww.webofscience.com%2Fwos%2Fwoscc%2Ffull-record%2FWOS:001427403900001","View Full Record in Web of Science")</f>
        <v>View Full Record in Web of Science</v>
      </c>
    </row>
    <row r="1344" spans="1:72" x14ac:dyDescent="0.25">
      <c r="A1344" t="s">
        <v>72</v>
      </c>
      <c r="B1344" t="s">
        <v>29024</v>
      </c>
      <c r="C1344" t="s">
        <v>74</v>
      </c>
      <c r="D1344" t="s">
        <v>74</v>
      </c>
      <c r="E1344" t="s">
        <v>74</v>
      </c>
      <c r="F1344" t="s">
        <v>29023</v>
      </c>
      <c r="G1344" t="s">
        <v>74</v>
      </c>
      <c r="H1344" t="s">
        <v>74</v>
      </c>
      <c r="I1344" t="s">
        <v>29022</v>
      </c>
      <c r="J1344" t="s">
        <v>3439</v>
      </c>
      <c r="K1344" t="s">
        <v>74</v>
      </c>
      <c r="L1344" t="s">
        <v>74</v>
      </c>
      <c r="M1344" t="s">
        <v>78</v>
      </c>
      <c r="N1344" t="s">
        <v>79</v>
      </c>
      <c r="O1344" t="s">
        <v>74</v>
      </c>
      <c r="P1344" t="s">
        <v>74</v>
      </c>
      <c r="Q1344" t="s">
        <v>74</v>
      </c>
      <c r="R1344" t="s">
        <v>74</v>
      </c>
      <c r="S1344" t="s">
        <v>74</v>
      </c>
      <c r="T1344" t="s">
        <v>29021</v>
      </c>
      <c r="U1344" t="s">
        <v>74</v>
      </c>
      <c r="V1344" t="s">
        <v>29020</v>
      </c>
      <c r="W1344" t="s">
        <v>29019</v>
      </c>
      <c r="X1344" t="s">
        <v>29018</v>
      </c>
      <c r="Y1344" t="s">
        <v>29017</v>
      </c>
      <c r="Z1344" t="s">
        <v>29016</v>
      </c>
      <c r="AA1344" t="s">
        <v>29015</v>
      </c>
      <c r="AB1344" t="s">
        <v>74</v>
      </c>
      <c r="AC1344" t="s">
        <v>74</v>
      </c>
      <c r="AD1344" t="s">
        <v>74</v>
      </c>
      <c r="AE1344" t="s">
        <v>74</v>
      </c>
      <c r="AF1344" t="s">
        <v>74</v>
      </c>
      <c r="AG1344">
        <v>26</v>
      </c>
      <c r="AH1344">
        <v>21</v>
      </c>
      <c r="AI1344">
        <v>23</v>
      </c>
      <c r="AJ1344">
        <v>0</v>
      </c>
      <c r="AK1344">
        <v>12</v>
      </c>
      <c r="AL1344" t="s">
        <v>2481</v>
      </c>
      <c r="AM1344" t="s">
        <v>2482</v>
      </c>
      <c r="AN1344" t="s">
        <v>2483</v>
      </c>
      <c r="AO1344" t="s">
        <v>3443</v>
      </c>
      <c r="AP1344" t="s">
        <v>74</v>
      </c>
      <c r="AQ1344" t="s">
        <v>74</v>
      </c>
      <c r="AR1344" t="s">
        <v>3444</v>
      </c>
      <c r="AS1344" t="s">
        <v>3445</v>
      </c>
      <c r="AT1344" t="s">
        <v>2487</v>
      </c>
      <c r="AU1344">
        <v>2021</v>
      </c>
      <c r="AV1344">
        <v>9</v>
      </c>
      <c r="AW1344">
        <v>1</v>
      </c>
      <c r="AX1344" t="s">
        <v>74</v>
      </c>
      <c r="AY1344" t="s">
        <v>74</v>
      </c>
      <c r="AZ1344" t="s">
        <v>74</v>
      </c>
      <c r="BA1344" t="s">
        <v>74</v>
      </c>
      <c r="BB1344" t="s">
        <v>74</v>
      </c>
      <c r="BC1344" t="s">
        <v>74</v>
      </c>
      <c r="BD1344">
        <v>1920149</v>
      </c>
      <c r="BE1344" t="s">
        <v>29014</v>
      </c>
      <c r="BF1344" t="str">
        <f>HYPERLINK("http://dx.doi.org/10.1080/23322039.2021.1920149","http://dx.doi.org/10.1080/23322039.2021.1920149")</f>
        <v>http://dx.doi.org/10.1080/23322039.2021.1920149</v>
      </c>
      <c r="BG1344" t="s">
        <v>74</v>
      </c>
      <c r="BH1344" t="s">
        <v>74</v>
      </c>
      <c r="BI1344">
        <v>13</v>
      </c>
      <c r="BJ1344" t="s">
        <v>291</v>
      </c>
      <c r="BK1344" t="s">
        <v>313</v>
      </c>
      <c r="BL1344" t="s">
        <v>100</v>
      </c>
      <c r="BM1344" t="s">
        <v>29013</v>
      </c>
      <c r="BN1344" t="s">
        <v>74</v>
      </c>
      <c r="BO1344" t="s">
        <v>916</v>
      </c>
      <c r="BP1344" t="s">
        <v>74</v>
      </c>
      <c r="BQ1344" t="s">
        <v>74</v>
      </c>
      <c r="BR1344" t="s">
        <v>102</v>
      </c>
      <c r="BS1344" t="s">
        <v>29012</v>
      </c>
      <c r="BT1344" t="str">
        <f>HYPERLINK("https%3A%2F%2Fwww.webofscience.com%2Fwos%2Fwoscc%2Ffull-record%2FWOS:000647672500001","View Full Record in Web of Science")</f>
        <v>View Full Record in Web of Science</v>
      </c>
    </row>
    <row r="1345" spans="1:72" x14ac:dyDescent="0.25">
      <c r="A1345" t="s">
        <v>72</v>
      </c>
      <c r="B1345" t="s">
        <v>29011</v>
      </c>
      <c r="C1345" t="s">
        <v>74</v>
      </c>
      <c r="D1345" t="s">
        <v>74</v>
      </c>
      <c r="E1345" t="s">
        <v>74</v>
      </c>
      <c r="F1345" t="s">
        <v>29010</v>
      </c>
      <c r="G1345" t="s">
        <v>74</v>
      </c>
      <c r="H1345" t="s">
        <v>74</v>
      </c>
      <c r="I1345" t="s">
        <v>29009</v>
      </c>
      <c r="J1345" t="s">
        <v>29008</v>
      </c>
      <c r="K1345" t="s">
        <v>74</v>
      </c>
      <c r="L1345" t="s">
        <v>74</v>
      </c>
      <c r="M1345" t="s">
        <v>78</v>
      </c>
      <c r="N1345" t="s">
        <v>79</v>
      </c>
      <c r="O1345" t="s">
        <v>74</v>
      </c>
      <c r="P1345" t="s">
        <v>74</v>
      </c>
      <c r="Q1345" t="s">
        <v>74</v>
      </c>
      <c r="R1345" t="s">
        <v>74</v>
      </c>
      <c r="S1345" t="s">
        <v>74</v>
      </c>
      <c r="T1345" t="s">
        <v>29007</v>
      </c>
      <c r="U1345" t="s">
        <v>74</v>
      </c>
      <c r="V1345" t="s">
        <v>29006</v>
      </c>
      <c r="W1345" t="s">
        <v>29005</v>
      </c>
      <c r="X1345" t="s">
        <v>4407</v>
      </c>
      <c r="Y1345" t="s">
        <v>29004</v>
      </c>
      <c r="Z1345" t="s">
        <v>29003</v>
      </c>
      <c r="AA1345" t="s">
        <v>29002</v>
      </c>
      <c r="AB1345" t="s">
        <v>74</v>
      </c>
      <c r="AC1345" t="s">
        <v>29001</v>
      </c>
      <c r="AD1345" t="s">
        <v>29000</v>
      </c>
      <c r="AE1345" t="s">
        <v>28999</v>
      </c>
      <c r="AF1345" t="s">
        <v>74</v>
      </c>
      <c r="AG1345">
        <v>100</v>
      </c>
      <c r="AH1345">
        <v>2</v>
      </c>
      <c r="AI1345">
        <v>2</v>
      </c>
      <c r="AJ1345">
        <v>3</v>
      </c>
      <c r="AK1345">
        <v>31</v>
      </c>
      <c r="AL1345" t="s">
        <v>28998</v>
      </c>
      <c r="AM1345" t="s">
        <v>11717</v>
      </c>
      <c r="AN1345" t="s">
        <v>28997</v>
      </c>
      <c r="AO1345" t="s">
        <v>28996</v>
      </c>
      <c r="AP1345" t="s">
        <v>74</v>
      </c>
      <c r="AQ1345" t="s">
        <v>74</v>
      </c>
      <c r="AR1345" t="s">
        <v>28995</v>
      </c>
      <c r="AS1345" t="s">
        <v>28994</v>
      </c>
      <c r="AT1345" t="s">
        <v>1159</v>
      </c>
      <c r="AU1345">
        <v>2021</v>
      </c>
      <c r="AV1345" t="s">
        <v>74</v>
      </c>
      <c r="AW1345">
        <v>55</v>
      </c>
      <c r="AX1345" t="s">
        <v>74</v>
      </c>
      <c r="AY1345" t="s">
        <v>74</v>
      </c>
      <c r="AZ1345" t="s">
        <v>74</v>
      </c>
      <c r="BA1345" t="s">
        <v>74</v>
      </c>
      <c r="BB1345">
        <v>7</v>
      </c>
      <c r="BC1345">
        <v>46</v>
      </c>
      <c r="BD1345" t="s">
        <v>74</v>
      </c>
      <c r="BE1345" t="s">
        <v>74</v>
      </c>
      <c r="BF1345" t="s">
        <v>74</v>
      </c>
      <c r="BG1345" t="s">
        <v>74</v>
      </c>
      <c r="BH1345" t="s">
        <v>74</v>
      </c>
      <c r="BI1345">
        <v>40</v>
      </c>
      <c r="BJ1345" t="s">
        <v>182</v>
      </c>
      <c r="BK1345" t="s">
        <v>313</v>
      </c>
      <c r="BL1345" t="s">
        <v>184</v>
      </c>
      <c r="BM1345" t="s">
        <v>28993</v>
      </c>
      <c r="BN1345" t="s">
        <v>74</v>
      </c>
      <c r="BO1345" t="s">
        <v>916</v>
      </c>
      <c r="BP1345" t="s">
        <v>74</v>
      </c>
      <c r="BQ1345" t="s">
        <v>74</v>
      </c>
      <c r="BR1345" t="s">
        <v>102</v>
      </c>
      <c r="BS1345" t="s">
        <v>28992</v>
      </c>
      <c r="BT1345" t="str">
        <f>HYPERLINK("https%3A%2F%2Fwww.webofscience.com%2Fwos%2Fwoscc%2Ffull-record%2FWOS:000752918100002","View Full Record in Web of Science")</f>
        <v>View Full Record in Web of Science</v>
      </c>
    </row>
    <row r="1346" spans="1:72" x14ac:dyDescent="0.25">
      <c r="A1346" t="s">
        <v>72</v>
      </c>
      <c r="B1346" t="s">
        <v>28991</v>
      </c>
      <c r="C1346" t="s">
        <v>74</v>
      </c>
      <c r="D1346" t="s">
        <v>74</v>
      </c>
      <c r="E1346" t="s">
        <v>74</v>
      </c>
      <c r="F1346" t="s">
        <v>28990</v>
      </c>
      <c r="G1346" t="s">
        <v>74</v>
      </c>
      <c r="H1346" t="s">
        <v>74</v>
      </c>
      <c r="I1346" t="s">
        <v>28989</v>
      </c>
      <c r="J1346" t="s">
        <v>7274</v>
      </c>
      <c r="K1346" t="s">
        <v>74</v>
      </c>
      <c r="L1346" t="s">
        <v>74</v>
      </c>
      <c r="M1346" t="s">
        <v>78</v>
      </c>
      <c r="N1346" t="s">
        <v>79</v>
      </c>
      <c r="O1346" t="s">
        <v>74</v>
      </c>
      <c r="P1346" t="s">
        <v>74</v>
      </c>
      <c r="Q1346" t="s">
        <v>74</v>
      </c>
      <c r="R1346" t="s">
        <v>74</v>
      </c>
      <c r="S1346" t="s">
        <v>74</v>
      </c>
      <c r="T1346" t="s">
        <v>74</v>
      </c>
      <c r="U1346" t="s">
        <v>74</v>
      </c>
      <c r="V1346" t="s">
        <v>28988</v>
      </c>
      <c r="W1346" t="s">
        <v>28987</v>
      </c>
      <c r="X1346" t="s">
        <v>28986</v>
      </c>
      <c r="Y1346" t="s">
        <v>28985</v>
      </c>
      <c r="Z1346" t="s">
        <v>28984</v>
      </c>
      <c r="AA1346" t="s">
        <v>74</v>
      </c>
      <c r="AB1346" t="s">
        <v>74</v>
      </c>
      <c r="AC1346" t="s">
        <v>74</v>
      </c>
      <c r="AD1346" t="s">
        <v>74</v>
      </c>
      <c r="AE1346" t="s">
        <v>74</v>
      </c>
      <c r="AF1346" t="s">
        <v>74</v>
      </c>
      <c r="AG1346">
        <v>22</v>
      </c>
      <c r="AH1346">
        <v>74</v>
      </c>
      <c r="AI1346">
        <v>102</v>
      </c>
      <c r="AJ1346">
        <v>2</v>
      </c>
      <c r="AK1346">
        <v>23</v>
      </c>
      <c r="AL1346" t="s">
        <v>2551</v>
      </c>
      <c r="AM1346" t="s">
        <v>231</v>
      </c>
      <c r="AN1346" t="s">
        <v>2552</v>
      </c>
      <c r="AO1346" t="s">
        <v>7284</v>
      </c>
      <c r="AP1346" t="s">
        <v>7285</v>
      </c>
      <c r="AQ1346" t="s">
        <v>74</v>
      </c>
      <c r="AR1346" t="s">
        <v>7286</v>
      </c>
      <c r="AS1346" t="s">
        <v>7287</v>
      </c>
      <c r="AT1346" t="s">
        <v>74</v>
      </c>
      <c r="AU1346">
        <v>2008</v>
      </c>
      <c r="AV1346">
        <v>22</v>
      </c>
      <c r="AW1346">
        <v>3</v>
      </c>
      <c r="AX1346" t="s">
        <v>74</v>
      </c>
      <c r="AY1346" t="s">
        <v>74</v>
      </c>
      <c r="AZ1346" t="s">
        <v>74</v>
      </c>
      <c r="BA1346" t="s">
        <v>74</v>
      </c>
      <c r="BB1346">
        <v>517</v>
      </c>
      <c r="BC1346">
        <v>537</v>
      </c>
      <c r="BD1346" t="s">
        <v>74</v>
      </c>
      <c r="BE1346" t="s">
        <v>28983</v>
      </c>
      <c r="BF1346" t="str">
        <f>HYPERLINK("http://dx.doi.org/10.1093/wber/lhn016","http://dx.doi.org/10.1093/wber/lhn016")</f>
        <v>http://dx.doi.org/10.1093/wber/lhn016</v>
      </c>
      <c r="BG1346" t="s">
        <v>74</v>
      </c>
      <c r="BH1346" t="s">
        <v>74</v>
      </c>
      <c r="BI1346">
        <v>21</v>
      </c>
      <c r="BJ1346" t="s">
        <v>7291</v>
      </c>
      <c r="BK1346" t="s">
        <v>99</v>
      </c>
      <c r="BL1346" t="s">
        <v>7292</v>
      </c>
      <c r="BM1346" t="s">
        <v>28982</v>
      </c>
      <c r="BN1346" t="s">
        <v>74</v>
      </c>
      <c r="BO1346" t="s">
        <v>74</v>
      </c>
      <c r="BP1346" t="s">
        <v>74</v>
      </c>
      <c r="BQ1346" t="s">
        <v>74</v>
      </c>
      <c r="BR1346" t="s">
        <v>102</v>
      </c>
      <c r="BS1346" t="s">
        <v>28981</v>
      </c>
      <c r="BT1346" t="str">
        <f>HYPERLINK("https%3A%2F%2Fwww.webofscience.com%2Fwos%2Fwoscc%2Ffull-record%2FWOS:000261892200006","View Full Record in Web of Science")</f>
        <v>View Full Record in Web of Science</v>
      </c>
    </row>
    <row r="1347" spans="1:72" x14ac:dyDescent="0.25">
      <c r="A1347" t="s">
        <v>72</v>
      </c>
      <c r="B1347" t="s">
        <v>28980</v>
      </c>
      <c r="C1347" t="s">
        <v>74</v>
      </c>
      <c r="D1347" t="s">
        <v>74</v>
      </c>
      <c r="E1347" t="s">
        <v>74</v>
      </c>
      <c r="F1347" t="s">
        <v>28979</v>
      </c>
      <c r="G1347" t="s">
        <v>74</v>
      </c>
      <c r="H1347" t="s">
        <v>74</v>
      </c>
      <c r="I1347" t="s">
        <v>28978</v>
      </c>
      <c r="J1347" t="s">
        <v>4306</v>
      </c>
      <c r="K1347" t="s">
        <v>74</v>
      </c>
      <c r="L1347" t="s">
        <v>74</v>
      </c>
      <c r="M1347" t="s">
        <v>78</v>
      </c>
      <c r="N1347" t="s">
        <v>79</v>
      </c>
      <c r="O1347" t="s">
        <v>74</v>
      </c>
      <c r="P1347" t="s">
        <v>74</v>
      </c>
      <c r="Q1347" t="s">
        <v>74</v>
      </c>
      <c r="R1347" t="s">
        <v>74</v>
      </c>
      <c r="S1347" t="s">
        <v>74</v>
      </c>
      <c r="T1347" t="s">
        <v>28977</v>
      </c>
      <c r="U1347" t="s">
        <v>28976</v>
      </c>
      <c r="V1347" t="s">
        <v>28975</v>
      </c>
      <c r="W1347" t="s">
        <v>28974</v>
      </c>
      <c r="X1347" t="s">
        <v>28973</v>
      </c>
      <c r="Y1347" t="s">
        <v>28972</v>
      </c>
      <c r="Z1347" t="s">
        <v>74</v>
      </c>
      <c r="AA1347" t="s">
        <v>74</v>
      </c>
      <c r="AB1347" t="s">
        <v>74</v>
      </c>
      <c r="AC1347" t="s">
        <v>74</v>
      </c>
      <c r="AD1347" t="s">
        <v>74</v>
      </c>
      <c r="AE1347" t="s">
        <v>74</v>
      </c>
      <c r="AF1347" t="s">
        <v>74</v>
      </c>
      <c r="AG1347">
        <v>67</v>
      </c>
      <c r="AH1347">
        <v>34</v>
      </c>
      <c r="AI1347">
        <v>48</v>
      </c>
      <c r="AJ1347">
        <v>1</v>
      </c>
      <c r="AK1347">
        <v>31</v>
      </c>
      <c r="AL1347" t="s">
        <v>503</v>
      </c>
      <c r="AM1347" t="s">
        <v>151</v>
      </c>
      <c r="AN1347" t="s">
        <v>504</v>
      </c>
      <c r="AO1347" t="s">
        <v>4315</v>
      </c>
      <c r="AP1347" t="s">
        <v>4316</v>
      </c>
      <c r="AQ1347" t="s">
        <v>74</v>
      </c>
      <c r="AR1347" t="s">
        <v>4317</v>
      </c>
      <c r="AS1347" t="s">
        <v>4318</v>
      </c>
      <c r="AT1347" t="s">
        <v>1540</v>
      </c>
      <c r="AU1347">
        <v>2023</v>
      </c>
      <c r="AV1347">
        <v>190</v>
      </c>
      <c r="AW1347" t="s">
        <v>74</v>
      </c>
      <c r="AX1347" t="s">
        <v>74</v>
      </c>
      <c r="AY1347" t="s">
        <v>74</v>
      </c>
      <c r="AZ1347" t="s">
        <v>74</v>
      </c>
      <c r="BA1347" t="s">
        <v>74</v>
      </c>
      <c r="BB1347" t="s">
        <v>74</v>
      </c>
      <c r="BC1347" t="s">
        <v>74</v>
      </c>
      <c r="BD1347">
        <v>122451</v>
      </c>
      <c r="BE1347" t="s">
        <v>28971</v>
      </c>
      <c r="BF1347" t="str">
        <f>HYPERLINK("http://dx.doi.org/10.1016/j.techfore.2023.122451","http://dx.doi.org/10.1016/j.techfore.2023.122451")</f>
        <v>http://dx.doi.org/10.1016/j.techfore.2023.122451</v>
      </c>
      <c r="BG1347" t="s">
        <v>74</v>
      </c>
      <c r="BH1347" t="s">
        <v>3595</v>
      </c>
      <c r="BI1347">
        <v>13</v>
      </c>
      <c r="BJ1347" t="s">
        <v>1627</v>
      </c>
      <c r="BK1347" t="s">
        <v>99</v>
      </c>
      <c r="BL1347" t="s">
        <v>1406</v>
      </c>
      <c r="BM1347" t="s">
        <v>28970</v>
      </c>
      <c r="BN1347" t="s">
        <v>74</v>
      </c>
      <c r="BO1347" t="s">
        <v>1696</v>
      </c>
      <c r="BP1347" t="s">
        <v>74</v>
      </c>
      <c r="BQ1347" t="s">
        <v>74</v>
      </c>
      <c r="BR1347" t="s">
        <v>102</v>
      </c>
      <c r="BS1347" t="s">
        <v>28969</v>
      </c>
      <c r="BT1347" t="str">
        <f>HYPERLINK("https%3A%2F%2Fwww.webofscience.com%2Fwos%2Fwoscc%2Ffull-record%2FWOS:000961971200001","View Full Record in Web of Science")</f>
        <v>View Full Record in Web of Science</v>
      </c>
    </row>
    <row r="1348" spans="1:72" x14ac:dyDescent="0.25">
      <c r="A1348" t="s">
        <v>72</v>
      </c>
      <c r="B1348" t="s">
        <v>28968</v>
      </c>
      <c r="C1348" t="s">
        <v>74</v>
      </c>
      <c r="D1348" t="s">
        <v>74</v>
      </c>
      <c r="E1348" t="s">
        <v>74</v>
      </c>
      <c r="F1348" t="s">
        <v>28967</v>
      </c>
      <c r="G1348" t="s">
        <v>74</v>
      </c>
      <c r="H1348" t="s">
        <v>74</v>
      </c>
      <c r="I1348" t="s">
        <v>28966</v>
      </c>
      <c r="J1348" t="s">
        <v>28965</v>
      </c>
      <c r="K1348" t="s">
        <v>74</v>
      </c>
      <c r="L1348" t="s">
        <v>74</v>
      </c>
      <c r="M1348" t="s">
        <v>78</v>
      </c>
      <c r="N1348" t="s">
        <v>79</v>
      </c>
      <c r="O1348" t="s">
        <v>74</v>
      </c>
      <c r="P1348" t="s">
        <v>74</v>
      </c>
      <c r="Q1348" t="s">
        <v>74</v>
      </c>
      <c r="R1348" t="s">
        <v>74</v>
      </c>
      <c r="S1348" t="s">
        <v>74</v>
      </c>
      <c r="T1348" t="s">
        <v>74</v>
      </c>
      <c r="U1348" t="s">
        <v>28964</v>
      </c>
      <c r="V1348" t="s">
        <v>28963</v>
      </c>
      <c r="W1348" t="s">
        <v>28962</v>
      </c>
      <c r="X1348" t="s">
        <v>28961</v>
      </c>
      <c r="Y1348" t="s">
        <v>28960</v>
      </c>
      <c r="Z1348" t="s">
        <v>28959</v>
      </c>
      <c r="AA1348" t="s">
        <v>74</v>
      </c>
      <c r="AB1348" t="s">
        <v>28958</v>
      </c>
      <c r="AC1348" t="s">
        <v>28957</v>
      </c>
      <c r="AD1348" t="s">
        <v>28956</v>
      </c>
      <c r="AE1348" t="s">
        <v>28955</v>
      </c>
      <c r="AF1348" t="s">
        <v>74</v>
      </c>
      <c r="AG1348">
        <v>52</v>
      </c>
      <c r="AH1348">
        <v>3</v>
      </c>
      <c r="AI1348">
        <v>6</v>
      </c>
      <c r="AJ1348">
        <v>10</v>
      </c>
      <c r="AK1348">
        <v>52</v>
      </c>
      <c r="AL1348" t="s">
        <v>3023</v>
      </c>
      <c r="AM1348" t="s">
        <v>3024</v>
      </c>
      <c r="AN1348" t="s">
        <v>3025</v>
      </c>
      <c r="AO1348" t="s">
        <v>28954</v>
      </c>
      <c r="AP1348" t="s">
        <v>28953</v>
      </c>
      <c r="AQ1348" t="s">
        <v>74</v>
      </c>
      <c r="AR1348" t="s">
        <v>28952</v>
      </c>
      <c r="AS1348" t="s">
        <v>28951</v>
      </c>
      <c r="AT1348" t="s">
        <v>289</v>
      </c>
      <c r="AU1348">
        <v>2024</v>
      </c>
      <c r="AV1348">
        <v>114</v>
      </c>
      <c r="AW1348">
        <v>8</v>
      </c>
      <c r="AX1348" t="s">
        <v>74</v>
      </c>
      <c r="AY1348" t="s">
        <v>74</v>
      </c>
      <c r="AZ1348" t="s">
        <v>74</v>
      </c>
      <c r="BA1348" t="s">
        <v>74</v>
      </c>
      <c r="BB1348">
        <v>2308</v>
      </c>
      <c r="BC1348">
        <v>2351</v>
      </c>
      <c r="BD1348" t="s">
        <v>74</v>
      </c>
      <c r="BE1348" t="s">
        <v>28950</v>
      </c>
      <c r="BF1348" t="str">
        <f>HYPERLINK("http://dx.doi.org/10.1257/aer.20220711","http://dx.doi.org/10.1257/aer.20220711")</f>
        <v>http://dx.doi.org/10.1257/aer.20220711</v>
      </c>
      <c r="BG1348" t="s">
        <v>74</v>
      </c>
      <c r="BH1348" t="s">
        <v>74</v>
      </c>
      <c r="BI1348">
        <v>44</v>
      </c>
      <c r="BJ1348" t="s">
        <v>291</v>
      </c>
      <c r="BK1348" t="s">
        <v>99</v>
      </c>
      <c r="BL1348" t="s">
        <v>100</v>
      </c>
      <c r="BM1348" t="s">
        <v>28949</v>
      </c>
      <c r="BN1348" t="s">
        <v>74</v>
      </c>
      <c r="BO1348" t="s">
        <v>74</v>
      </c>
      <c r="BP1348" t="s">
        <v>74</v>
      </c>
      <c r="BQ1348" t="s">
        <v>74</v>
      </c>
      <c r="BR1348" t="s">
        <v>102</v>
      </c>
      <c r="BS1348" t="s">
        <v>28948</v>
      </c>
      <c r="BT1348" t="str">
        <f>HYPERLINK("https%3A%2F%2Fwww.webofscience.com%2Fwos%2Fwoscc%2Ffull-record%2FWOS:001314779700003","View Full Record in Web of Science")</f>
        <v>View Full Record in Web of Science</v>
      </c>
    </row>
    <row r="1349" spans="1:72" x14ac:dyDescent="0.25">
      <c r="A1349" t="s">
        <v>72</v>
      </c>
      <c r="B1349" t="s">
        <v>28947</v>
      </c>
      <c r="C1349" t="s">
        <v>74</v>
      </c>
      <c r="D1349" t="s">
        <v>74</v>
      </c>
      <c r="E1349" t="s">
        <v>74</v>
      </c>
      <c r="F1349" t="s">
        <v>28946</v>
      </c>
      <c r="G1349" t="s">
        <v>74</v>
      </c>
      <c r="H1349" t="s">
        <v>74</v>
      </c>
      <c r="I1349" t="s">
        <v>28945</v>
      </c>
      <c r="J1349" t="s">
        <v>28944</v>
      </c>
      <c r="K1349" t="s">
        <v>74</v>
      </c>
      <c r="L1349" t="s">
        <v>74</v>
      </c>
      <c r="M1349" t="s">
        <v>78</v>
      </c>
      <c r="N1349" t="s">
        <v>79</v>
      </c>
      <c r="O1349" t="s">
        <v>74</v>
      </c>
      <c r="P1349" t="s">
        <v>74</v>
      </c>
      <c r="Q1349" t="s">
        <v>74</v>
      </c>
      <c r="R1349" t="s">
        <v>74</v>
      </c>
      <c r="S1349" t="s">
        <v>74</v>
      </c>
      <c r="T1349" t="s">
        <v>28943</v>
      </c>
      <c r="U1349" t="s">
        <v>74</v>
      </c>
      <c r="V1349" t="s">
        <v>28942</v>
      </c>
      <c r="W1349" t="s">
        <v>28941</v>
      </c>
      <c r="X1349" t="s">
        <v>28940</v>
      </c>
      <c r="Y1349" t="s">
        <v>28939</v>
      </c>
      <c r="Z1349" t="s">
        <v>28938</v>
      </c>
      <c r="AA1349" t="s">
        <v>74</v>
      </c>
      <c r="AB1349" t="s">
        <v>74</v>
      </c>
      <c r="AC1349" t="s">
        <v>74</v>
      </c>
      <c r="AD1349" t="s">
        <v>74</v>
      </c>
      <c r="AE1349" t="s">
        <v>74</v>
      </c>
      <c r="AF1349" t="s">
        <v>74</v>
      </c>
      <c r="AG1349">
        <v>37</v>
      </c>
      <c r="AH1349">
        <v>8</v>
      </c>
      <c r="AI1349">
        <v>10</v>
      </c>
      <c r="AJ1349">
        <v>0</v>
      </c>
      <c r="AK1349">
        <v>17</v>
      </c>
      <c r="AL1349" t="s">
        <v>385</v>
      </c>
      <c r="AM1349" t="s">
        <v>151</v>
      </c>
      <c r="AN1349" t="s">
        <v>386</v>
      </c>
      <c r="AO1349" t="s">
        <v>28937</v>
      </c>
      <c r="AP1349" t="s">
        <v>28936</v>
      </c>
      <c r="AQ1349" t="s">
        <v>74</v>
      </c>
      <c r="AR1349" t="s">
        <v>28935</v>
      </c>
      <c r="AS1349" t="s">
        <v>28934</v>
      </c>
      <c r="AT1349" t="s">
        <v>1652</v>
      </c>
      <c r="AU1349">
        <v>2016</v>
      </c>
      <c r="AV1349">
        <v>51</v>
      </c>
      <c r="AW1349">
        <v>2</v>
      </c>
      <c r="AX1349" t="s">
        <v>74</v>
      </c>
      <c r="AY1349" t="s">
        <v>74</v>
      </c>
      <c r="AZ1349" t="s">
        <v>74</v>
      </c>
      <c r="BA1349" t="s">
        <v>74</v>
      </c>
      <c r="BB1349">
        <v>189</v>
      </c>
      <c r="BC1349">
        <v>208</v>
      </c>
      <c r="BD1349" t="s">
        <v>74</v>
      </c>
      <c r="BE1349" t="s">
        <v>28933</v>
      </c>
      <c r="BF1349" t="str">
        <f>HYPERLINK("http://dx.doi.org/10.1007/s12116-015-9211-5","http://dx.doi.org/10.1007/s12116-015-9211-5")</f>
        <v>http://dx.doi.org/10.1007/s12116-015-9211-5</v>
      </c>
      <c r="BG1349" t="s">
        <v>74</v>
      </c>
      <c r="BH1349" t="s">
        <v>74</v>
      </c>
      <c r="BI1349">
        <v>20</v>
      </c>
      <c r="BJ1349" t="s">
        <v>28932</v>
      </c>
      <c r="BK1349" t="s">
        <v>99</v>
      </c>
      <c r="BL1349" t="s">
        <v>28931</v>
      </c>
      <c r="BM1349" t="s">
        <v>28930</v>
      </c>
      <c r="BN1349" t="s">
        <v>74</v>
      </c>
      <c r="BO1349" t="s">
        <v>270</v>
      </c>
      <c r="BP1349" t="s">
        <v>74</v>
      </c>
      <c r="BQ1349" t="s">
        <v>74</v>
      </c>
      <c r="BR1349" t="s">
        <v>102</v>
      </c>
      <c r="BS1349" t="s">
        <v>28929</v>
      </c>
      <c r="BT1349" t="str">
        <f>HYPERLINK("https%3A%2F%2Fwww.webofscience.com%2Fwos%2Fwoscc%2Ffull-record%2FWOS:000377436100005","View Full Record in Web of Science")</f>
        <v>View Full Record in Web of Science</v>
      </c>
    </row>
    <row r="1350" spans="1:72" x14ac:dyDescent="0.25">
      <c r="A1350" t="s">
        <v>72</v>
      </c>
      <c r="B1350" t="s">
        <v>14225</v>
      </c>
      <c r="C1350" t="s">
        <v>74</v>
      </c>
      <c r="D1350" t="s">
        <v>74</v>
      </c>
      <c r="E1350" t="s">
        <v>74</v>
      </c>
      <c r="F1350" t="s">
        <v>14226</v>
      </c>
      <c r="G1350" t="s">
        <v>74</v>
      </c>
      <c r="H1350" t="s">
        <v>74</v>
      </c>
      <c r="I1350" t="s">
        <v>28928</v>
      </c>
      <c r="J1350" t="s">
        <v>14228</v>
      </c>
      <c r="K1350" t="s">
        <v>74</v>
      </c>
      <c r="L1350" t="s">
        <v>74</v>
      </c>
      <c r="M1350" t="s">
        <v>78</v>
      </c>
      <c r="N1350" t="s">
        <v>79</v>
      </c>
      <c r="O1350" t="s">
        <v>74</v>
      </c>
      <c r="P1350" t="s">
        <v>74</v>
      </c>
      <c r="Q1350" t="s">
        <v>74</v>
      </c>
      <c r="R1350" t="s">
        <v>74</v>
      </c>
      <c r="S1350" t="s">
        <v>74</v>
      </c>
      <c r="T1350" t="s">
        <v>28927</v>
      </c>
      <c r="U1350" t="s">
        <v>74</v>
      </c>
      <c r="V1350" t="s">
        <v>28926</v>
      </c>
      <c r="W1350" t="s">
        <v>28925</v>
      </c>
      <c r="X1350" t="s">
        <v>28924</v>
      </c>
      <c r="Y1350" t="s">
        <v>28923</v>
      </c>
      <c r="Z1350" t="s">
        <v>28922</v>
      </c>
      <c r="AA1350" t="s">
        <v>14235</v>
      </c>
      <c r="AB1350" t="s">
        <v>14236</v>
      </c>
      <c r="AC1350" t="s">
        <v>74</v>
      </c>
      <c r="AD1350" t="s">
        <v>74</v>
      </c>
      <c r="AE1350" t="s">
        <v>74</v>
      </c>
      <c r="AF1350" t="s">
        <v>74</v>
      </c>
      <c r="AG1350">
        <v>10</v>
      </c>
      <c r="AH1350">
        <v>57</v>
      </c>
      <c r="AI1350">
        <v>77</v>
      </c>
      <c r="AJ1350">
        <v>5</v>
      </c>
      <c r="AK1350">
        <v>180</v>
      </c>
      <c r="AL1350" t="s">
        <v>332</v>
      </c>
      <c r="AM1350" t="s">
        <v>333</v>
      </c>
      <c r="AN1350" t="s">
        <v>334</v>
      </c>
      <c r="AO1350" t="s">
        <v>14237</v>
      </c>
      <c r="AP1350" t="s">
        <v>14238</v>
      </c>
      <c r="AQ1350" t="s">
        <v>74</v>
      </c>
      <c r="AR1350" t="s">
        <v>14239</v>
      </c>
      <c r="AS1350" t="s">
        <v>14240</v>
      </c>
      <c r="AT1350" t="s">
        <v>1427</v>
      </c>
      <c r="AU1350">
        <v>2020</v>
      </c>
      <c r="AV1350">
        <v>27</v>
      </c>
      <c r="AW1350">
        <v>1</v>
      </c>
      <c r="AX1350" t="s">
        <v>74</v>
      </c>
      <c r="AY1350" t="s">
        <v>74</v>
      </c>
      <c r="AZ1350" t="s">
        <v>74</v>
      </c>
      <c r="BA1350" t="s">
        <v>74</v>
      </c>
      <c r="BB1350">
        <v>30</v>
      </c>
      <c r="BC1350">
        <v>34</v>
      </c>
      <c r="BD1350" t="s">
        <v>74</v>
      </c>
      <c r="BE1350" t="s">
        <v>28921</v>
      </c>
      <c r="BF1350" t="str">
        <f>HYPERLINK("http://dx.doi.org/10.1080/13504851.2019.1606401","http://dx.doi.org/10.1080/13504851.2019.1606401")</f>
        <v>http://dx.doi.org/10.1080/13504851.2019.1606401</v>
      </c>
      <c r="BG1350" t="s">
        <v>74</v>
      </c>
      <c r="BH1350" t="s">
        <v>12779</v>
      </c>
      <c r="BI1350">
        <v>5</v>
      </c>
      <c r="BJ1350" t="s">
        <v>291</v>
      </c>
      <c r="BK1350" t="s">
        <v>99</v>
      </c>
      <c r="BL1350" t="s">
        <v>100</v>
      </c>
      <c r="BM1350" t="s">
        <v>28920</v>
      </c>
      <c r="BN1350" t="s">
        <v>74</v>
      </c>
      <c r="BO1350" t="s">
        <v>74</v>
      </c>
      <c r="BP1350" t="s">
        <v>74</v>
      </c>
      <c r="BQ1350" t="s">
        <v>74</v>
      </c>
      <c r="BR1350" t="s">
        <v>102</v>
      </c>
      <c r="BS1350" t="s">
        <v>28919</v>
      </c>
      <c r="BT1350" t="str">
        <f>HYPERLINK("https%3A%2F%2Fwww.webofscience.com%2Fwos%2Fwoscc%2Ffull-record%2FWOS:000465909400001","View Full Record in Web of Science")</f>
        <v>View Full Record in Web of Science</v>
      </c>
    </row>
    <row r="1351" spans="1:72" x14ac:dyDescent="0.25">
      <c r="A1351" t="s">
        <v>72</v>
      </c>
      <c r="B1351" t="s">
        <v>28918</v>
      </c>
      <c r="C1351" t="s">
        <v>74</v>
      </c>
      <c r="D1351" t="s">
        <v>74</v>
      </c>
      <c r="E1351" t="s">
        <v>74</v>
      </c>
      <c r="F1351" t="s">
        <v>28917</v>
      </c>
      <c r="G1351" t="s">
        <v>74</v>
      </c>
      <c r="H1351" t="s">
        <v>74</v>
      </c>
      <c r="I1351" t="s">
        <v>28916</v>
      </c>
      <c r="J1351" t="s">
        <v>1987</v>
      </c>
      <c r="K1351" t="s">
        <v>74</v>
      </c>
      <c r="L1351" t="s">
        <v>74</v>
      </c>
      <c r="M1351" t="s">
        <v>78</v>
      </c>
      <c r="N1351" t="s">
        <v>79</v>
      </c>
      <c r="O1351" t="s">
        <v>74</v>
      </c>
      <c r="P1351" t="s">
        <v>74</v>
      </c>
      <c r="Q1351" t="s">
        <v>74</v>
      </c>
      <c r="R1351" t="s">
        <v>74</v>
      </c>
      <c r="S1351" t="s">
        <v>74</v>
      </c>
      <c r="T1351" t="s">
        <v>28915</v>
      </c>
      <c r="U1351" t="s">
        <v>28914</v>
      </c>
      <c r="V1351" t="s">
        <v>28913</v>
      </c>
      <c r="W1351" t="s">
        <v>28912</v>
      </c>
      <c r="X1351" t="s">
        <v>28911</v>
      </c>
      <c r="Y1351" t="s">
        <v>28910</v>
      </c>
      <c r="Z1351" t="s">
        <v>28909</v>
      </c>
      <c r="AA1351" t="s">
        <v>28908</v>
      </c>
      <c r="AB1351" t="s">
        <v>28907</v>
      </c>
      <c r="AC1351" t="s">
        <v>28906</v>
      </c>
      <c r="AD1351" t="s">
        <v>28906</v>
      </c>
      <c r="AE1351" t="s">
        <v>28906</v>
      </c>
      <c r="AF1351" t="s">
        <v>74</v>
      </c>
      <c r="AG1351">
        <v>122</v>
      </c>
      <c r="AH1351">
        <v>3</v>
      </c>
      <c r="AI1351">
        <v>3</v>
      </c>
      <c r="AJ1351">
        <v>5</v>
      </c>
      <c r="AK1351">
        <v>7</v>
      </c>
      <c r="AL1351" t="s">
        <v>479</v>
      </c>
      <c r="AM1351" t="s">
        <v>480</v>
      </c>
      <c r="AN1351" t="s">
        <v>481</v>
      </c>
      <c r="AO1351" t="s">
        <v>1997</v>
      </c>
      <c r="AP1351" t="s">
        <v>1998</v>
      </c>
      <c r="AQ1351" t="s">
        <v>74</v>
      </c>
      <c r="AR1351" t="s">
        <v>1999</v>
      </c>
      <c r="AS1351" t="s">
        <v>2000</v>
      </c>
      <c r="AT1351" t="s">
        <v>891</v>
      </c>
      <c r="AU1351">
        <v>2024</v>
      </c>
      <c r="AV1351">
        <v>36</v>
      </c>
      <c r="AW1351">
        <v>8</v>
      </c>
      <c r="AX1351" t="s">
        <v>74</v>
      </c>
      <c r="AY1351" t="s">
        <v>74</v>
      </c>
      <c r="AZ1351" t="s">
        <v>74</v>
      </c>
      <c r="BA1351" t="s">
        <v>74</v>
      </c>
      <c r="BB1351">
        <v>2926</v>
      </c>
      <c r="BC1351">
        <v>2958</v>
      </c>
      <c r="BD1351" t="s">
        <v>74</v>
      </c>
      <c r="BE1351" t="s">
        <v>28905</v>
      </c>
      <c r="BF1351" t="str">
        <f>HYPERLINK("http://dx.doi.org/10.1002/jid.3943","http://dx.doi.org/10.1002/jid.3943")</f>
        <v>http://dx.doi.org/10.1002/jid.3943</v>
      </c>
      <c r="BG1351" t="s">
        <v>74</v>
      </c>
      <c r="BH1351" t="s">
        <v>393</v>
      </c>
      <c r="BI1351">
        <v>33</v>
      </c>
      <c r="BJ1351" t="s">
        <v>1137</v>
      </c>
      <c r="BK1351" t="s">
        <v>99</v>
      </c>
      <c r="BL1351" t="s">
        <v>1137</v>
      </c>
      <c r="BM1351" t="s">
        <v>28904</v>
      </c>
      <c r="BN1351" t="s">
        <v>74</v>
      </c>
      <c r="BO1351" t="s">
        <v>270</v>
      </c>
      <c r="BP1351" t="s">
        <v>74</v>
      </c>
      <c r="BQ1351" t="s">
        <v>74</v>
      </c>
      <c r="BR1351" t="s">
        <v>102</v>
      </c>
      <c r="BS1351" t="s">
        <v>28903</v>
      </c>
      <c r="BT1351" t="str">
        <f>HYPERLINK("https%3A%2F%2Fwww.webofscience.com%2Fwos%2Fwoscc%2Ffull-record%2FWOS:001299031000001","View Full Record in Web of Science")</f>
        <v>View Full Record in Web of Science</v>
      </c>
    </row>
    <row r="1352" spans="1:72" x14ac:dyDescent="0.25">
      <c r="A1352" t="s">
        <v>132</v>
      </c>
      <c r="B1352" t="s">
        <v>28902</v>
      </c>
      <c r="C1352" t="s">
        <v>74</v>
      </c>
      <c r="D1352" t="s">
        <v>631</v>
      </c>
      <c r="E1352" t="s">
        <v>74</v>
      </c>
      <c r="F1352" t="s">
        <v>28901</v>
      </c>
      <c r="G1352" t="s">
        <v>74</v>
      </c>
      <c r="H1352" t="s">
        <v>74</v>
      </c>
      <c r="I1352" t="s">
        <v>28900</v>
      </c>
      <c r="J1352" t="s">
        <v>13970</v>
      </c>
      <c r="K1352" t="s">
        <v>74</v>
      </c>
      <c r="L1352" t="s">
        <v>74</v>
      </c>
      <c r="M1352" t="s">
        <v>78</v>
      </c>
      <c r="N1352" t="s">
        <v>138</v>
      </c>
      <c r="O1352" t="s">
        <v>13971</v>
      </c>
      <c r="P1352" t="s">
        <v>13972</v>
      </c>
      <c r="Q1352" t="s">
        <v>12031</v>
      </c>
      <c r="R1352" t="s">
        <v>638</v>
      </c>
      <c r="S1352" t="s">
        <v>74</v>
      </c>
      <c r="T1352" t="s">
        <v>28899</v>
      </c>
      <c r="U1352" t="s">
        <v>74</v>
      </c>
      <c r="V1352" t="s">
        <v>28898</v>
      </c>
      <c r="W1352" t="s">
        <v>28897</v>
      </c>
      <c r="X1352" t="s">
        <v>548</v>
      </c>
      <c r="Y1352" t="s">
        <v>28896</v>
      </c>
      <c r="Z1352" t="s">
        <v>28895</v>
      </c>
      <c r="AA1352" t="s">
        <v>28894</v>
      </c>
      <c r="AB1352" t="s">
        <v>74</v>
      </c>
      <c r="AC1352" t="s">
        <v>74</v>
      </c>
      <c r="AD1352" t="s">
        <v>74</v>
      </c>
      <c r="AE1352" t="s">
        <v>74</v>
      </c>
      <c r="AF1352" t="s">
        <v>74</v>
      </c>
      <c r="AG1352">
        <v>37</v>
      </c>
      <c r="AH1352">
        <v>0</v>
      </c>
      <c r="AI1352">
        <v>0</v>
      </c>
      <c r="AJ1352">
        <v>0</v>
      </c>
      <c r="AK1352">
        <v>4</v>
      </c>
      <c r="AL1352" t="s">
        <v>645</v>
      </c>
      <c r="AM1352" t="s">
        <v>646</v>
      </c>
      <c r="AN1352" t="s">
        <v>647</v>
      </c>
      <c r="AO1352" t="s">
        <v>74</v>
      </c>
      <c r="AP1352" t="s">
        <v>74</v>
      </c>
      <c r="AQ1352" t="s">
        <v>13980</v>
      </c>
      <c r="AR1352" t="s">
        <v>74</v>
      </c>
      <c r="AS1352" t="s">
        <v>74</v>
      </c>
      <c r="AT1352" t="s">
        <v>74</v>
      </c>
      <c r="AU1352">
        <v>2019</v>
      </c>
      <c r="AV1352" t="s">
        <v>74</v>
      </c>
      <c r="AW1352" t="s">
        <v>74</v>
      </c>
      <c r="AX1352" t="s">
        <v>74</v>
      </c>
      <c r="AY1352" t="s">
        <v>74</v>
      </c>
      <c r="AZ1352" t="s">
        <v>74</v>
      </c>
      <c r="BA1352" t="s">
        <v>74</v>
      </c>
      <c r="BB1352">
        <v>1448</v>
      </c>
      <c r="BC1352">
        <v>1459</v>
      </c>
      <c r="BD1352" t="s">
        <v>74</v>
      </c>
      <c r="BE1352" t="s">
        <v>74</v>
      </c>
      <c r="BF1352" t="s">
        <v>74</v>
      </c>
      <c r="BG1352" t="s">
        <v>74</v>
      </c>
      <c r="BH1352" t="s">
        <v>74</v>
      </c>
      <c r="BI1352">
        <v>12</v>
      </c>
      <c r="BJ1352" t="s">
        <v>6512</v>
      </c>
      <c r="BK1352" t="s">
        <v>183</v>
      </c>
      <c r="BL1352" t="s">
        <v>100</v>
      </c>
      <c r="BM1352" t="s">
        <v>13981</v>
      </c>
      <c r="BN1352" t="s">
        <v>74</v>
      </c>
      <c r="BO1352" t="s">
        <v>74</v>
      </c>
      <c r="BP1352" t="s">
        <v>74</v>
      </c>
      <c r="BQ1352" t="s">
        <v>74</v>
      </c>
      <c r="BR1352" t="s">
        <v>102</v>
      </c>
      <c r="BS1352" t="s">
        <v>28893</v>
      </c>
      <c r="BT1352" t="str">
        <f>HYPERLINK("https%3A%2F%2Fwww.webofscience.com%2Fwos%2Fwoscc%2Ffull-record%2FWOS:000556337402050","View Full Record in Web of Science")</f>
        <v>View Full Record in Web of Science</v>
      </c>
    </row>
    <row r="1353" spans="1:72" x14ac:dyDescent="0.25">
      <c r="A1353" t="s">
        <v>72</v>
      </c>
      <c r="B1353" t="s">
        <v>28892</v>
      </c>
      <c r="C1353" t="s">
        <v>74</v>
      </c>
      <c r="D1353" t="s">
        <v>74</v>
      </c>
      <c r="E1353" t="s">
        <v>74</v>
      </c>
      <c r="F1353" t="s">
        <v>28891</v>
      </c>
      <c r="G1353" t="s">
        <v>74</v>
      </c>
      <c r="H1353" t="s">
        <v>74</v>
      </c>
      <c r="I1353" t="s">
        <v>28890</v>
      </c>
      <c r="J1353" t="s">
        <v>25712</v>
      </c>
      <c r="K1353" t="s">
        <v>74</v>
      </c>
      <c r="L1353" t="s">
        <v>74</v>
      </c>
      <c r="M1353" t="s">
        <v>78</v>
      </c>
      <c r="N1353" t="s">
        <v>79</v>
      </c>
      <c r="O1353" t="s">
        <v>74</v>
      </c>
      <c r="P1353" t="s">
        <v>74</v>
      </c>
      <c r="Q1353" t="s">
        <v>74</v>
      </c>
      <c r="R1353" t="s">
        <v>74</v>
      </c>
      <c r="S1353" t="s">
        <v>74</v>
      </c>
      <c r="T1353" t="s">
        <v>28889</v>
      </c>
      <c r="U1353" t="s">
        <v>28888</v>
      </c>
      <c r="V1353" t="s">
        <v>28887</v>
      </c>
      <c r="W1353" t="s">
        <v>28886</v>
      </c>
      <c r="X1353" t="s">
        <v>28885</v>
      </c>
      <c r="Y1353" t="s">
        <v>28884</v>
      </c>
      <c r="Z1353" t="s">
        <v>28883</v>
      </c>
      <c r="AA1353" t="s">
        <v>28882</v>
      </c>
      <c r="AB1353" t="s">
        <v>74</v>
      </c>
      <c r="AC1353" t="s">
        <v>28881</v>
      </c>
      <c r="AD1353" t="s">
        <v>28880</v>
      </c>
      <c r="AE1353" t="s">
        <v>28879</v>
      </c>
      <c r="AF1353" t="s">
        <v>74</v>
      </c>
      <c r="AG1353">
        <v>53</v>
      </c>
      <c r="AH1353">
        <v>0</v>
      </c>
      <c r="AI1353">
        <v>0</v>
      </c>
      <c r="AJ1353">
        <v>2</v>
      </c>
      <c r="AK1353">
        <v>3</v>
      </c>
      <c r="AL1353" t="s">
        <v>25701</v>
      </c>
      <c r="AM1353" t="s">
        <v>25700</v>
      </c>
      <c r="AN1353" t="s">
        <v>25699</v>
      </c>
      <c r="AO1353" t="s">
        <v>25698</v>
      </c>
      <c r="AP1353" t="s">
        <v>74</v>
      </c>
      <c r="AQ1353" t="s">
        <v>74</v>
      </c>
      <c r="AR1353" t="s">
        <v>25697</v>
      </c>
      <c r="AS1353" t="s">
        <v>25696</v>
      </c>
      <c r="AT1353" t="s">
        <v>743</v>
      </c>
      <c r="AU1353">
        <v>2024</v>
      </c>
      <c r="AV1353">
        <v>19</v>
      </c>
      <c r="AW1353">
        <v>1</v>
      </c>
      <c r="AX1353" t="s">
        <v>74</v>
      </c>
      <c r="AY1353" t="s">
        <v>74</v>
      </c>
      <c r="AZ1353" t="s">
        <v>74</v>
      </c>
      <c r="BA1353" t="s">
        <v>74</v>
      </c>
      <c r="BB1353">
        <v>51</v>
      </c>
      <c r="BC1353">
        <v>74</v>
      </c>
      <c r="BD1353" t="s">
        <v>74</v>
      </c>
      <c r="BE1353" t="s">
        <v>74</v>
      </c>
      <c r="BF1353" t="s">
        <v>74</v>
      </c>
      <c r="BG1353" t="s">
        <v>74</v>
      </c>
      <c r="BH1353" t="s">
        <v>74</v>
      </c>
      <c r="BI1353">
        <v>24</v>
      </c>
      <c r="BJ1353" t="s">
        <v>268</v>
      </c>
      <c r="BK1353" t="s">
        <v>313</v>
      </c>
      <c r="BL1353" t="s">
        <v>100</v>
      </c>
      <c r="BM1353" t="s">
        <v>28878</v>
      </c>
      <c r="BN1353" t="s">
        <v>74</v>
      </c>
      <c r="BO1353" t="s">
        <v>74</v>
      </c>
      <c r="BP1353" t="s">
        <v>74</v>
      </c>
      <c r="BQ1353" t="s">
        <v>74</v>
      </c>
      <c r="BR1353" t="s">
        <v>102</v>
      </c>
      <c r="BS1353" t="s">
        <v>28877</v>
      </c>
      <c r="BT1353" t="str">
        <f>HYPERLINK("https%3A%2F%2Fwww.webofscience.com%2Fwos%2Fwoscc%2Ffull-record%2FWOS:001259502100003","View Full Record in Web of Science")</f>
        <v>View Full Record in Web of Science</v>
      </c>
    </row>
    <row r="1354" spans="1:72" x14ac:dyDescent="0.25">
      <c r="A1354" t="s">
        <v>72</v>
      </c>
      <c r="B1354" t="s">
        <v>28876</v>
      </c>
      <c r="C1354" t="s">
        <v>74</v>
      </c>
      <c r="D1354" t="s">
        <v>74</v>
      </c>
      <c r="E1354" t="s">
        <v>74</v>
      </c>
      <c r="F1354" t="s">
        <v>28875</v>
      </c>
      <c r="G1354" t="s">
        <v>74</v>
      </c>
      <c r="H1354" t="s">
        <v>74</v>
      </c>
      <c r="I1354" t="s">
        <v>28874</v>
      </c>
      <c r="J1354" t="s">
        <v>28873</v>
      </c>
      <c r="K1354" t="s">
        <v>74</v>
      </c>
      <c r="L1354" t="s">
        <v>74</v>
      </c>
      <c r="M1354" t="s">
        <v>78</v>
      </c>
      <c r="N1354" t="s">
        <v>79</v>
      </c>
      <c r="O1354" t="s">
        <v>74</v>
      </c>
      <c r="P1354" t="s">
        <v>74</v>
      </c>
      <c r="Q1354" t="s">
        <v>74</v>
      </c>
      <c r="R1354" t="s">
        <v>74</v>
      </c>
      <c r="S1354" t="s">
        <v>74</v>
      </c>
      <c r="T1354" t="s">
        <v>28872</v>
      </c>
      <c r="U1354" t="s">
        <v>28871</v>
      </c>
      <c r="V1354" t="s">
        <v>28870</v>
      </c>
      <c r="W1354" t="s">
        <v>28869</v>
      </c>
      <c r="X1354" t="s">
        <v>28868</v>
      </c>
      <c r="Y1354" t="s">
        <v>28867</v>
      </c>
      <c r="Z1354" t="s">
        <v>28866</v>
      </c>
      <c r="AA1354" t="s">
        <v>28865</v>
      </c>
      <c r="AB1354" t="s">
        <v>28864</v>
      </c>
      <c r="AC1354" t="s">
        <v>74</v>
      </c>
      <c r="AD1354" t="s">
        <v>74</v>
      </c>
      <c r="AE1354" t="s">
        <v>74</v>
      </c>
      <c r="AF1354" t="s">
        <v>74</v>
      </c>
      <c r="AG1354">
        <v>66</v>
      </c>
      <c r="AH1354">
        <v>3</v>
      </c>
      <c r="AI1354">
        <v>5</v>
      </c>
      <c r="AJ1354">
        <v>7</v>
      </c>
      <c r="AK1354">
        <v>16</v>
      </c>
      <c r="AL1354" t="s">
        <v>1216</v>
      </c>
      <c r="AM1354" t="s">
        <v>283</v>
      </c>
      <c r="AN1354" t="s">
        <v>1217</v>
      </c>
      <c r="AO1354" t="s">
        <v>74</v>
      </c>
      <c r="AP1354" t="s">
        <v>28863</v>
      </c>
      <c r="AQ1354" t="s">
        <v>74</v>
      </c>
      <c r="AR1354" t="s">
        <v>28862</v>
      </c>
      <c r="AS1354" t="s">
        <v>28861</v>
      </c>
      <c r="AT1354" t="s">
        <v>7098</v>
      </c>
      <c r="AU1354">
        <v>2024</v>
      </c>
      <c r="AV1354">
        <v>7</v>
      </c>
      <c r="AW1354" t="s">
        <v>74</v>
      </c>
      <c r="AX1354" t="s">
        <v>74</v>
      </c>
      <c r="AY1354" t="s">
        <v>74</v>
      </c>
      <c r="AZ1354" t="s">
        <v>74</v>
      </c>
      <c r="BA1354" t="s">
        <v>74</v>
      </c>
      <c r="BB1354" t="s">
        <v>74</v>
      </c>
      <c r="BC1354" t="s">
        <v>74</v>
      </c>
      <c r="BD1354">
        <v>1448571</v>
      </c>
      <c r="BE1354" t="s">
        <v>28860</v>
      </c>
      <c r="BF1354" t="str">
        <f>HYPERLINK("http://dx.doi.org/10.3389/fdata.2024.1448571","http://dx.doi.org/10.3389/fdata.2024.1448571")</f>
        <v>http://dx.doi.org/10.3389/fdata.2024.1448571</v>
      </c>
      <c r="BG1354" t="s">
        <v>74</v>
      </c>
      <c r="BH1354" t="s">
        <v>74</v>
      </c>
      <c r="BI1354">
        <v>23</v>
      </c>
      <c r="BJ1354" t="s">
        <v>28859</v>
      </c>
      <c r="BK1354" t="s">
        <v>313</v>
      </c>
      <c r="BL1354" t="s">
        <v>26014</v>
      </c>
      <c r="BM1354" t="s">
        <v>28858</v>
      </c>
      <c r="BN1354">
        <v>39749160</v>
      </c>
      <c r="BO1354" t="s">
        <v>916</v>
      </c>
      <c r="BP1354" t="s">
        <v>74</v>
      </c>
      <c r="BQ1354" t="s">
        <v>74</v>
      </c>
      <c r="BR1354" t="s">
        <v>102</v>
      </c>
      <c r="BS1354" t="s">
        <v>28857</v>
      </c>
      <c r="BT1354" t="str">
        <f>HYPERLINK("https%3A%2F%2Fwww.webofscience.com%2Fwos%2Fwoscc%2Ffull-record%2FWOS:001387296300001","View Full Record in Web of Science")</f>
        <v>View Full Record in Web of Science</v>
      </c>
    </row>
    <row r="1355" spans="1:72" x14ac:dyDescent="0.25">
      <c r="A1355" t="s">
        <v>72</v>
      </c>
      <c r="B1355" t="s">
        <v>23333</v>
      </c>
      <c r="C1355" t="s">
        <v>74</v>
      </c>
      <c r="D1355" t="s">
        <v>74</v>
      </c>
      <c r="E1355" t="s">
        <v>74</v>
      </c>
      <c r="F1355" t="s">
        <v>23332</v>
      </c>
      <c r="G1355" t="s">
        <v>74</v>
      </c>
      <c r="H1355" t="s">
        <v>74</v>
      </c>
      <c r="I1355" t="s">
        <v>28856</v>
      </c>
      <c r="J1355" t="s">
        <v>1143</v>
      </c>
      <c r="K1355" t="s">
        <v>74</v>
      </c>
      <c r="L1355" t="s">
        <v>74</v>
      </c>
      <c r="M1355" t="s">
        <v>78</v>
      </c>
      <c r="N1355" t="s">
        <v>79</v>
      </c>
      <c r="O1355" t="s">
        <v>74</v>
      </c>
      <c r="P1355" t="s">
        <v>74</v>
      </c>
      <c r="Q1355" t="s">
        <v>74</v>
      </c>
      <c r="R1355" t="s">
        <v>74</v>
      </c>
      <c r="S1355" t="s">
        <v>74</v>
      </c>
      <c r="T1355" t="s">
        <v>28855</v>
      </c>
      <c r="U1355" t="s">
        <v>28854</v>
      </c>
      <c r="V1355" t="s">
        <v>28853</v>
      </c>
      <c r="W1355" t="s">
        <v>23327</v>
      </c>
      <c r="X1355" t="s">
        <v>23326</v>
      </c>
      <c r="Y1355" t="s">
        <v>23325</v>
      </c>
      <c r="Z1355" t="s">
        <v>23324</v>
      </c>
      <c r="AA1355" t="s">
        <v>23323</v>
      </c>
      <c r="AB1355" t="s">
        <v>28852</v>
      </c>
      <c r="AC1355" t="s">
        <v>74</v>
      </c>
      <c r="AD1355" t="s">
        <v>74</v>
      </c>
      <c r="AE1355" t="s">
        <v>74</v>
      </c>
      <c r="AF1355" t="s">
        <v>74</v>
      </c>
      <c r="AG1355">
        <v>89</v>
      </c>
      <c r="AH1355">
        <v>39</v>
      </c>
      <c r="AI1355">
        <v>49</v>
      </c>
      <c r="AJ1355">
        <v>37</v>
      </c>
      <c r="AK1355">
        <v>182</v>
      </c>
      <c r="AL1355" t="s">
        <v>385</v>
      </c>
      <c r="AM1355" t="s">
        <v>1153</v>
      </c>
      <c r="AN1355" t="s">
        <v>1154</v>
      </c>
      <c r="AO1355" t="s">
        <v>1155</v>
      </c>
      <c r="AP1355" t="s">
        <v>1156</v>
      </c>
      <c r="AQ1355" t="s">
        <v>74</v>
      </c>
      <c r="AR1355" t="s">
        <v>1157</v>
      </c>
      <c r="AS1355" t="s">
        <v>1158</v>
      </c>
      <c r="AT1355" t="s">
        <v>237</v>
      </c>
      <c r="AU1355">
        <v>2024</v>
      </c>
      <c r="AV1355">
        <v>171</v>
      </c>
      <c r="AW1355">
        <v>3</v>
      </c>
      <c r="AX1355" t="s">
        <v>74</v>
      </c>
      <c r="AY1355" t="s">
        <v>74</v>
      </c>
      <c r="AZ1355" t="s">
        <v>74</v>
      </c>
      <c r="BA1355" t="s">
        <v>74</v>
      </c>
      <c r="BB1355">
        <v>777</v>
      </c>
      <c r="BC1355">
        <v>807</v>
      </c>
      <c r="BD1355" t="s">
        <v>74</v>
      </c>
      <c r="BE1355" t="s">
        <v>28851</v>
      </c>
      <c r="BF1355" t="str">
        <f>HYPERLINK("http://dx.doi.org/10.1007/s11205-023-03264-w","http://dx.doi.org/10.1007/s11205-023-03264-w")</f>
        <v>http://dx.doi.org/10.1007/s11205-023-03264-w</v>
      </c>
      <c r="BG1355" t="s">
        <v>74</v>
      </c>
      <c r="BH1355" t="s">
        <v>3535</v>
      </c>
      <c r="BI1355">
        <v>31</v>
      </c>
      <c r="BJ1355" t="s">
        <v>1161</v>
      </c>
      <c r="BK1355" t="s">
        <v>99</v>
      </c>
      <c r="BL1355" t="s">
        <v>1162</v>
      </c>
      <c r="BM1355" t="s">
        <v>28850</v>
      </c>
      <c r="BN1355" t="s">
        <v>74</v>
      </c>
      <c r="BO1355" t="s">
        <v>74</v>
      </c>
      <c r="BP1355" t="s">
        <v>74</v>
      </c>
      <c r="BQ1355" t="s">
        <v>74</v>
      </c>
      <c r="BR1355" t="s">
        <v>102</v>
      </c>
      <c r="BS1355" t="s">
        <v>28849</v>
      </c>
      <c r="BT1355" t="str">
        <f>HYPERLINK("https%3A%2F%2Fwww.webofscience.com%2Fwos%2Fwoscc%2Ffull-record%2FWOS:001103790200002","View Full Record in Web of Science")</f>
        <v>View Full Record in Web of Science</v>
      </c>
    </row>
    <row r="1356" spans="1:72" x14ac:dyDescent="0.25">
      <c r="A1356" t="s">
        <v>72</v>
      </c>
      <c r="B1356" t="s">
        <v>28848</v>
      </c>
      <c r="C1356" t="s">
        <v>74</v>
      </c>
      <c r="D1356" t="s">
        <v>74</v>
      </c>
      <c r="E1356" t="s">
        <v>74</v>
      </c>
      <c r="F1356" t="s">
        <v>28847</v>
      </c>
      <c r="G1356" t="s">
        <v>74</v>
      </c>
      <c r="H1356" t="s">
        <v>74</v>
      </c>
      <c r="I1356" t="s">
        <v>28846</v>
      </c>
      <c r="J1356" t="s">
        <v>6713</v>
      </c>
      <c r="K1356" t="s">
        <v>74</v>
      </c>
      <c r="L1356" t="s">
        <v>74</v>
      </c>
      <c r="M1356" t="s">
        <v>78</v>
      </c>
      <c r="N1356" t="s">
        <v>79</v>
      </c>
      <c r="O1356" t="s">
        <v>74</v>
      </c>
      <c r="P1356" t="s">
        <v>74</v>
      </c>
      <c r="Q1356" t="s">
        <v>74</v>
      </c>
      <c r="R1356" t="s">
        <v>74</v>
      </c>
      <c r="S1356" t="s">
        <v>74</v>
      </c>
      <c r="T1356" t="s">
        <v>28845</v>
      </c>
      <c r="U1356" t="s">
        <v>28844</v>
      </c>
      <c r="V1356" t="s">
        <v>28843</v>
      </c>
      <c r="W1356" t="s">
        <v>28842</v>
      </c>
      <c r="X1356" t="s">
        <v>28841</v>
      </c>
      <c r="Y1356" t="s">
        <v>28840</v>
      </c>
      <c r="Z1356" t="s">
        <v>28839</v>
      </c>
      <c r="AA1356" t="s">
        <v>28838</v>
      </c>
      <c r="AB1356" t="s">
        <v>28837</v>
      </c>
      <c r="AC1356" t="s">
        <v>74</v>
      </c>
      <c r="AD1356" t="s">
        <v>74</v>
      </c>
      <c r="AE1356" t="s">
        <v>74</v>
      </c>
      <c r="AF1356" t="s">
        <v>74</v>
      </c>
      <c r="AG1356">
        <v>49</v>
      </c>
      <c r="AH1356">
        <v>106</v>
      </c>
      <c r="AI1356">
        <v>138</v>
      </c>
      <c r="AJ1356">
        <v>12</v>
      </c>
      <c r="AK1356">
        <v>160</v>
      </c>
      <c r="AL1356" t="s">
        <v>4485</v>
      </c>
      <c r="AM1356" t="s">
        <v>6724</v>
      </c>
      <c r="AN1356" t="s">
        <v>6725</v>
      </c>
      <c r="AO1356" t="s">
        <v>6726</v>
      </c>
      <c r="AP1356" t="s">
        <v>6727</v>
      </c>
      <c r="AQ1356" t="s">
        <v>74</v>
      </c>
      <c r="AR1356" t="s">
        <v>6728</v>
      </c>
      <c r="AS1356" t="s">
        <v>6729</v>
      </c>
      <c r="AT1356" t="s">
        <v>1159</v>
      </c>
      <c r="AU1356">
        <v>2022</v>
      </c>
      <c r="AV1356">
        <v>46</v>
      </c>
      <c r="AW1356">
        <v>9</v>
      </c>
      <c r="AX1356" t="s">
        <v>74</v>
      </c>
      <c r="AY1356" t="s">
        <v>74</v>
      </c>
      <c r="AZ1356" t="s">
        <v>74</v>
      </c>
      <c r="BA1356" t="s">
        <v>74</v>
      </c>
      <c r="BB1356" t="s">
        <v>74</v>
      </c>
      <c r="BC1356" t="s">
        <v>74</v>
      </c>
      <c r="BD1356">
        <v>102387</v>
      </c>
      <c r="BE1356" t="s">
        <v>28836</v>
      </c>
      <c r="BF1356" t="str">
        <f>HYPERLINK("http://dx.doi.org/10.1016/j.telpol.2022.102387","http://dx.doi.org/10.1016/j.telpol.2022.102387")</f>
        <v>http://dx.doi.org/10.1016/j.telpol.2022.102387</v>
      </c>
      <c r="BG1356" t="s">
        <v>74</v>
      </c>
      <c r="BH1356" t="s">
        <v>6014</v>
      </c>
      <c r="BI1356">
        <v>15</v>
      </c>
      <c r="BJ1356" t="s">
        <v>6731</v>
      </c>
      <c r="BK1356" t="s">
        <v>2623</v>
      </c>
      <c r="BL1356" t="s">
        <v>6731</v>
      </c>
      <c r="BM1356" t="s">
        <v>28835</v>
      </c>
      <c r="BN1356" t="s">
        <v>74</v>
      </c>
      <c r="BO1356" t="s">
        <v>74</v>
      </c>
      <c r="BP1356" t="s">
        <v>74</v>
      </c>
      <c r="BQ1356" t="s">
        <v>74</v>
      </c>
      <c r="BR1356" t="s">
        <v>102</v>
      </c>
      <c r="BS1356" t="s">
        <v>28834</v>
      </c>
      <c r="BT1356" t="str">
        <f>HYPERLINK("https%3A%2F%2Fwww.webofscience.com%2Fwos%2Fwoscc%2Ffull-record%2FWOS:000864536100001","View Full Record in Web of Science")</f>
        <v>View Full Record in Web of Science</v>
      </c>
    </row>
    <row r="1357" spans="1:72" x14ac:dyDescent="0.25">
      <c r="A1357" t="s">
        <v>8303</v>
      </c>
      <c r="B1357" t="s">
        <v>28833</v>
      </c>
      <c r="C1357" t="s">
        <v>74</v>
      </c>
      <c r="D1357" t="s">
        <v>22821</v>
      </c>
      <c r="E1357" t="s">
        <v>74</v>
      </c>
      <c r="F1357" t="s">
        <v>28832</v>
      </c>
      <c r="G1357" t="s">
        <v>74</v>
      </c>
      <c r="H1357" t="s">
        <v>74</v>
      </c>
      <c r="I1357" t="s">
        <v>28831</v>
      </c>
      <c r="J1357" t="s">
        <v>28830</v>
      </c>
      <c r="K1357" t="s">
        <v>74</v>
      </c>
      <c r="L1357" t="s">
        <v>74</v>
      </c>
      <c r="M1357" t="s">
        <v>78</v>
      </c>
      <c r="N1357" t="s">
        <v>6023</v>
      </c>
      <c r="O1357" t="s">
        <v>74</v>
      </c>
      <c r="P1357" t="s">
        <v>74</v>
      </c>
      <c r="Q1357" t="s">
        <v>74</v>
      </c>
      <c r="R1357" t="s">
        <v>74</v>
      </c>
      <c r="S1357" t="s">
        <v>74</v>
      </c>
      <c r="T1357" t="s">
        <v>74</v>
      </c>
      <c r="U1357" t="s">
        <v>28829</v>
      </c>
      <c r="V1357" t="s">
        <v>28828</v>
      </c>
      <c r="W1357" t="s">
        <v>28827</v>
      </c>
      <c r="X1357" t="s">
        <v>74</v>
      </c>
      <c r="Y1357" t="s">
        <v>28826</v>
      </c>
      <c r="Z1357" t="s">
        <v>74</v>
      </c>
      <c r="AA1357" t="s">
        <v>74</v>
      </c>
      <c r="AB1357" t="s">
        <v>74</v>
      </c>
      <c r="AC1357" t="s">
        <v>74</v>
      </c>
      <c r="AD1357" t="s">
        <v>74</v>
      </c>
      <c r="AE1357" t="s">
        <v>74</v>
      </c>
      <c r="AF1357" t="s">
        <v>74</v>
      </c>
      <c r="AG1357">
        <v>37</v>
      </c>
      <c r="AH1357">
        <v>1</v>
      </c>
      <c r="AI1357">
        <v>2</v>
      </c>
      <c r="AJ1357">
        <v>0</v>
      </c>
      <c r="AK1357">
        <v>2</v>
      </c>
      <c r="AL1357" t="s">
        <v>7551</v>
      </c>
      <c r="AM1357" t="s">
        <v>28825</v>
      </c>
      <c r="AN1357" t="s">
        <v>28824</v>
      </c>
      <c r="AO1357" t="s">
        <v>74</v>
      </c>
      <c r="AP1357" t="s">
        <v>74</v>
      </c>
      <c r="AQ1357" t="s">
        <v>28823</v>
      </c>
      <c r="AR1357" t="s">
        <v>74</v>
      </c>
      <c r="AS1357" t="s">
        <v>74</v>
      </c>
      <c r="AT1357" t="s">
        <v>74</v>
      </c>
      <c r="AU1357">
        <v>2011</v>
      </c>
      <c r="AV1357" t="s">
        <v>74</v>
      </c>
      <c r="AW1357" t="s">
        <v>74</v>
      </c>
      <c r="AX1357" t="s">
        <v>74</v>
      </c>
      <c r="AY1357" t="s">
        <v>74</v>
      </c>
      <c r="AZ1357" t="s">
        <v>74</v>
      </c>
      <c r="BA1357" t="s">
        <v>74</v>
      </c>
      <c r="BB1357">
        <v>112</v>
      </c>
      <c r="BC1357">
        <v>131</v>
      </c>
      <c r="BD1357" t="s">
        <v>74</v>
      </c>
      <c r="BE1357" t="s">
        <v>28822</v>
      </c>
      <c r="BF1357" t="str">
        <f>HYPERLINK("http://dx.doi.org/10.4018/978-1-61520-993-4.ch007","http://dx.doi.org/10.4018/978-1-61520-993-4.ch007")</f>
        <v>http://dx.doi.org/10.4018/978-1-61520-993-4.ch007</v>
      </c>
      <c r="BG1357" t="s">
        <v>28821</v>
      </c>
      <c r="BH1357" t="s">
        <v>74</v>
      </c>
      <c r="BI1357">
        <v>20</v>
      </c>
      <c r="BJ1357" t="s">
        <v>19842</v>
      </c>
      <c r="BK1357" t="s">
        <v>8314</v>
      </c>
      <c r="BL1357" t="s">
        <v>1406</v>
      </c>
      <c r="BM1357" t="s">
        <v>28820</v>
      </c>
      <c r="BN1357" t="s">
        <v>74</v>
      </c>
      <c r="BO1357" t="s">
        <v>74</v>
      </c>
      <c r="BP1357" t="s">
        <v>74</v>
      </c>
      <c r="BQ1357" t="s">
        <v>74</v>
      </c>
      <c r="BR1357" t="s">
        <v>102</v>
      </c>
      <c r="BS1357" t="s">
        <v>28819</v>
      </c>
      <c r="BT1357" t="str">
        <f>HYPERLINK("https%3A%2F%2Fwww.webofscience.com%2Fwos%2Fwoscc%2Ffull-record%2FWOS:000416476300010","View Full Record in Web of Science")</f>
        <v>View Full Record in Web of Science</v>
      </c>
    </row>
    <row r="1358" spans="1:72" x14ac:dyDescent="0.25">
      <c r="A1358" t="s">
        <v>72</v>
      </c>
      <c r="B1358" t="s">
        <v>24190</v>
      </c>
      <c r="C1358" t="s">
        <v>74</v>
      </c>
      <c r="D1358" t="s">
        <v>74</v>
      </c>
      <c r="E1358" t="s">
        <v>74</v>
      </c>
      <c r="F1358" t="s">
        <v>24189</v>
      </c>
      <c r="G1358" t="s">
        <v>74</v>
      </c>
      <c r="H1358" t="s">
        <v>74</v>
      </c>
      <c r="I1358" t="s">
        <v>28818</v>
      </c>
      <c r="J1358" t="s">
        <v>3439</v>
      </c>
      <c r="K1358" t="s">
        <v>74</v>
      </c>
      <c r="L1358" t="s">
        <v>74</v>
      </c>
      <c r="M1358" t="s">
        <v>78</v>
      </c>
      <c r="N1358" t="s">
        <v>79</v>
      </c>
      <c r="O1358" t="s">
        <v>74</v>
      </c>
      <c r="P1358" t="s">
        <v>74</v>
      </c>
      <c r="Q1358" t="s">
        <v>74</v>
      </c>
      <c r="R1358" t="s">
        <v>74</v>
      </c>
      <c r="S1358" t="s">
        <v>74</v>
      </c>
      <c r="T1358" t="s">
        <v>28817</v>
      </c>
      <c r="U1358" t="s">
        <v>28816</v>
      </c>
      <c r="V1358" t="s">
        <v>28815</v>
      </c>
      <c r="W1358" t="s">
        <v>28814</v>
      </c>
      <c r="X1358" t="s">
        <v>24183</v>
      </c>
      <c r="Y1358" t="s">
        <v>28813</v>
      </c>
      <c r="Z1358" t="s">
        <v>5085</v>
      </c>
      <c r="AA1358" t="s">
        <v>28812</v>
      </c>
      <c r="AB1358" t="s">
        <v>28811</v>
      </c>
      <c r="AC1358" t="s">
        <v>74</v>
      </c>
      <c r="AD1358" t="s">
        <v>74</v>
      </c>
      <c r="AE1358" t="s">
        <v>74</v>
      </c>
      <c r="AF1358" t="s">
        <v>74</v>
      </c>
      <c r="AG1358">
        <v>68</v>
      </c>
      <c r="AH1358">
        <v>4</v>
      </c>
      <c r="AI1358">
        <v>5</v>
      </c>
      <c r="AJ1358">
        <v>0</v>
      </c>
      <c r="AK1358">
        <v>10</v>
      </c>
      <c r="AL1358" t="s">
        <v>2481</v>
      </c>
      <c r="AM1358" t="s">
        <v>2482</v>
      </c>
      <c r="AN1358" t="s">
        <v>2483</v>
      </c>
      <c r="AO1358" t="s">
        <v>3443</v>
      </c>
      <c r="AP1358" t="s">
        <v>74</v>
      </c>
      <c r="AQ1358" t="s">
        <v>74</v>
      </c>
      <c r="AR1358" t="s">
        <v>3444</v>
      </c>
      <c r="AS1358" t="s">
        <v>3445</v>
      </c>
      <c r="AT1358" t="s">
        <v>2970</v>
      </c>
      <c r="AU1358">
        <v>2022</v>
      </c>
      <c r="AV1358">
        <v>10</v>
      </c>
      <c r="AW1358">
        <v>1</v>
      </c>
      <c r="AX1358" t="s">
        <v>74</v>
      </c>
      <c r="AY1358" t="s">
        <v>74</v>
      </c>
      <c r="AZ1358" t="s">
        <v>74</v>
      </c>
      <c r="BA1358" t="s">
        <v>74</v>
      </c>
      <c r="BB1358" t="s">
        <v>74</v>
      </c>
      <c r="BC1358" t="s">
        <v>74</v>
      </c>
      <c r="BD1358">
        <v>2111799</v>
      </c>
      <c r="BE1358" t="s">
        <v>28810</v>
      </c>
      <c r="BF1358" t="str">
        <f>HYPERLINK("http://dx.doi.org/10.1080/23322039.2022.2111799","http://dx.doi.org/10.1080/23322039.2022.2111799")</f>
        <v>http://dx.doi.org/10.1080/23322039.2022.2111799</v>
      </c>
      <c r="BG1358" t="s">
        <v>74</v>
      </c>
      <c r="BH1358" t="s">
        <v>74</v>
      </c>
      <c r="BI1358">
        <v>13</v>
      </c>
      <c r="BJ1358" t="s">
        <v>291</v>
      </c>
      <c r="BK1358" t="s">
        <v>313</v>
      </c>
      <c r="BL1358" t="s">
        <v>100</v>
      </c>
      <c r="BM1358" t="s">
        <v>28809</v>
      </c>
      <c r="BN1358" t="s">
        <v>74</v>
      </c>
      <c r="BO1358" t="s">
        <v>916</v>
      </c>
      <c r="BP1358" t="s">
        <v>74</v>
      </c>
      <c r="BQ1358" t="s">
        <v>74</v>
      </c>
      <c r="BR1358" t="s">
        <v>102</v>
      </c>
      <c r="BS1358" t="s">
        <v>28808</v>
      </c>
      <c r="BT1358" t="str">
        <f>HYPERLINK("https%3A%2F%2Fwww.webofscience.com%2Fwos%2Fwoscc%2Ffull-record%2FWOS:000842118100001","View Full Record in Web of Science")</f>
        <v>View Full Record in Web of Science</v>
      </c>
    </row>
    <row r="1359" spans="1:72" x14ac:dyDescent="0.25">
      <c r="A1359" t="s">
        <v>72</v>
      </c>
      <c r="B1359" t="s">
        <v>28807</v>
      </c>
      <c r="C1359" t="s">
        <v>74</v>
      </c>
      <c r="D1359" t="s">
        <v>74</v>
      </c>
      <c r="E1359" t="s">
        <v>74</v>
      </c>
      <c r="F1359" t="s">
        <v>28806</v>
      </c>
      <c r="G1359" t="s">
        <v>74</v>
      </c>
      <c r="H1359" t="s">
        <v>74</v>
      </c>
      <c r="I1359" t="s">
        <v>28805</v>
      </c>
      <c r="J1359" t="s">
        <v>10469</v>
      </c>
      <c r="K1359" t="s">
        <v>74</v>
      </c>
      <c r="L1359" t="s">
        <v>74</v>
      </c>
      <c r="M1359" t="s">
        <v>78</v>
      </c>
      <c r="N1359" t="s">
        <v>79</v>
      </c>
      <c r="O1359" t="s">
        <v>74</v>
      </c>
      <c r="P1359" t="s">
        <v>74</v>
      </c>
      <c r="Q1359" t="s">
        <v>74</v>
      </c>
      <c r="R1359" t="s">
        <v>74</v>
      </c>
      <c r="S1359" t="s">
        <v>74</v>
      </c>
      <c r="T1359" t="s">
        <v>28804</v>
      </c>
      <c r="U1359" t="s">
        <v>28803</v>
      </c>
      <c r="V1359" t="s">
        <v>28802</v>
      </c>
      <c r="W1359" t="s">
        <v>28801</v>
      </c>
      <c r="X1359" t="s">
        <v>74</v>
      </c>
      <c r="Y1359" t="s">
        <v>28800</v>
      </c>
      <c r="Z1359" t="s">
        <v>28799</v>
      </c>
      <c r="AA1359" t="s">
        <v>74</v>
      </c>
      <c r="AB1359" t="s">
        <v>28798</v>
      </c>
      <c r="AC1359" t="s">
        <v>74</v>
      </c>
      <c r="AD1359" t="s">
        <v>74</v>
      </c>
      <c r="AE1359" t="s">
        <v>74</v>
      </c>
      <c r="AF1359" t="s">
        <v>74</v>
      </c>
      <c r="AG1359">
        <v>29</v>
      </c>
      <c r="AH1359">
        <v>0</v>
      </c>
      <c r="AI1359">
        <v>1</v>
      </c>
      <c r="AJ1359">
        <v>0</v>
      </c>
      <c r="AK1359">
        <v>0</v>
      </c>
      <c r="AL1359" t="s">
        <v>332</v>
      </c>
      <c r="AM1359" t="s">
        <v>333</v>
      </c>
      <c r="AN1359" t="s">
        <v>334</v>
      </c>
      <c r="AO1359" t="s">
        <v>10477</v>
      </c>
      <c r="AP1359" t="s">
        <v>10478</v>
      </c>
      <c r="AQ1359" t="s">
        <v>74</v>
      </c>
      <c r="AR1359" t="s">
        <v>10479</v>
      </c>
      <c r="AS1359" t="s">
        <v>10480</v>
      </c>
      <c r="AT1359" t="s">
        <v>11149</v>
      </c>
      <c r="AU1359">
        <v>2025</v>
      </c>
      <c r="AV1359">
        <v>35</v>
      </c>
      <c r="AW1359">
        <v>7</v>
      </c>
      <c r="AX1359" t="s">
        <v>74</v>
      </c>
      <c r="AY1359" t="s">
        <v>74</v>
      </c>
      <c r="AZ1359" t="s">
        <v>74</v>
      </c>
      <c r="BA1359" t="s">
        <v>74</v>
      </c>
      <c r="BB1359">
        <v>1177</v>
      </c>
      <c r="BC1359">
        <v>1184</v>
      </c>
      <c r="BD1359" t="s">
        <v>74</v>
      </c>
      <c r="BE1359" t="s">
        <v>28797</v>
      </c>
      <c r="BF1359" t="str">
        <f>HYPERLINK("http://dx.doi.org/10.1080/09614524.2025.2481516","http://dx.doi.org/10.1080/09614524.2025.2481516")</f>
        <v>http://dx.doi.org/10.1080/09614524.2025.2481516</v>
      </c>
      <c r="BG1359" t="s">
        <v>74</v>
      </c>
      <c r="BH1359" t="s">
        <v>2781</v>
      </c>
      <c r="BI1359">
        <v>8</v>
      </c>
      <c r="BJ1359" t="s">
        <v>1137</v>
      </c>
      <c r="BK1359" t="s">
        <v>313</v>
      </c>
      <c r="BL1359" t="s">
        <v>1137</v>
      </c>
      <c r="BM1359" t="s">
        <v>28796</v>
      </c>
      <c r="BN1359" t="s">
        <v>74</v>
      </c>
      <c r="BO1359" t="s">
        <v>74</v>
      </c>
      <c r="BP1359" t="s">
        <v>74</v>
      </c>
      <c r="BQ1359" t="s">
        <v>74</v>
      </c>
      <c r="BR1359" t="s">
        <v>102</v>
      </c>
      <c r="BS1359" t="s">
        <v>28795</v>
      </c>
      <c r="BT1359" t="str">
        <f>HYPERLINK("https%3A%2F%2Fwww.webofscience.com%2Fwos%2Fwoscc%2Ffull-record%2FWOS:001451183600001","View Full Record in Web of Science")</f>
        <v>View Full Record in Web of Science</v>
      </c>
    </row>
    <row r="1360" spans="1:72" x14ac:dyDescent="0.25">
      <c r="A1360" t="s">
        <v>72</v>
      </c>
      <c r="B1360" t="s">
        <v>28794</v>
      </c>
      <c r="C1360" t="s">
        <v>74</v>
      </c>
      <c r="D1360" t="s">
        <v>74</v>
      </c>
      <c r="E1360" t="s">
        <v>74</v>
      </c>
      <c r="F1360" t="s">
        <v>28793</v>
      </c>
      <c r="G1360" t="s">
        <v>74</v>
      </c>
      <c r="H1360" t="s">
        <v>74</v>
      </c>
      <c r="I1360" t="s">
        <v>28792</v>
      </c>
      <c r="J1360" t="s">
        <v>1290</v>
      </c>
      <c r="K1360" t="s">
        <v>74</v>
      </c>
      <c r="L1360" t="s">
        <v>74</v>
      </c>
      <c r="M1360" t="s">
        <v>78</v>
      </c>
      <c r="N1360" t="s">
        <v>79</v>
      </c>
      <c r="O1360" t="s">
        <v>74</v>
      </c>
      <c r="P1360" t="s">
        <v>74</v>
      </c>
      <c r="Q1360" t="s">
        <v>74</v>
      </c>
      <c r="R1360" t="s">
        <v>74</v>
      </c>
      <c r="S1360" t="s">
        <v>74</v>
      </c>
      <c r="T1360" t="s">
        <v>28791</v>
      </c>
      <c r="U1360" t="s">
        <v>8579</v>
      </c>
      <c r="V1360" t="s">
        <v>28790</v>
      </c>
      <c r="W1360" t="s">
        <v>28789</v>
      </c>
      <c r="X1360" t="s">
        <v>28788</v>
      </c>
      <c r="Y1360" t="s">
        <v>28787</v>
      </c>
      <c r="Z1360" t="s">
        <v>28786</v>
      </c>
      <c r="AA1360" t="s">
        <v>28785</v>
      </c>
      <c r="AB1360" t="s">
        <v>28784</v>
      </c>
      <c r="AC1360" t="s">
        <v>28783</v>
      </c>
      <c r="AD1360" t="s">
        <v>28782</v>
      </c>
      <c r="AE1360" t="s">
        <v>28781</v>
      </c>
      <c r="AF1360" t="s">
        <v>74</v>
      </c>
      <c r="AG1360">
        <v>49</v>
      </c>
      <c r="AH1360">
        <v>0</v>
      </c>
      <c r="AI1360">
        <v>1</v>
      </c>
      <c r="AJ1360">
        <v>0</v>
      </c>
      <c r="AK1360">
        <v>7</v>
      </c>
      <c r="AL1360" t="s">
        <v>575</v>
      </c>
      <c r="AM1360" t="s">
        <v>576</v>
      </c>
      <c r="AN1360" t="s">
        <v>3242</v>
      </c>
      <c r="AO1360" t="s">
        <v>1299</v>
      </c>
      <c r="AP1360" t="s">
        <v>74</v>
      </c>
      <c r="AQ1360" t="s">
        <v>74</v>
      </c>
      <c r="AR1360" t="s">
        <v>1300</v>
      </c>
      <c r="AS1360" t="s">
        <v>1301</v>
      </c>
      <c r="AT1360" t="s">
        <v>124</v>
      </c>
      <c r="AU1360">
        <v>2024</v>
      </c>
      <c r="AV1360">
        <v>12</v>
      </c>
      <c r="AW1360">
        <v>4</v>
      </c>
      <c r="AX1360" t="s">
        <v>74</v>
      </c>
      <c r="AY1360" t="s">
        <v>74</v>
      </c>
      <c r="AZ1360" t="s">
        <v>74</v>
      </c>
      <c r="BA1360" t="s">
        <v>74</v>
      </c>
      <c r="BB1360" t="s">
        <v>74</v>
      </c>
      <c r="BC1360" t="s">
        <v>74</v>
      </c>
      <c r="BD1360">
        <v>120</v>
      </c>
      <c r="BE1360" t="s">
        <v>28780</v>
      </c>
      <c r="BF1360" t="str">
        <f>HYPERLINK("http://dx.doi.org/10.3390/ijfs12040120","http://dx.doi.org/10.3390/ijfs12040120")</f>
        <v>http://dx.doi.org/10.3390/ijfs12040120</v>
      </c>
      <c r="BG1360" t="s">
        <v>74</v>
      </c>
      <c r="BH1360" t="s">
        <v>74</v>
      </c>
      <c r="BI1360">
        <v>18</v>
      </c>
      <c r="BJ1360" t="s">
        <v>268</v>
      </c>
      <c r="BK1360" t="s">
        <v>313</v>
      </c>
      <c r="BL1360" t="s">
        <v>100</v>
      </c>
      <c r="BM1360" t="s">
        <v>28779</v>
      </c>
      <c r="BN1360" t="s">
        <v>74</v>
      </c>
      <c r="BO1360" t="s">
        <v>212</v>
      </c>
      <c r="BP1360" t="s">
        <v>74</v>
      </c>
      <c r="BQ1360" t="s">
        <v>74</v>
      </c>
      <c r="BR1360" t="s">
        <v>102</v>
      </c>
      <c r="BS1360" t="s">
        <v>28778</v>
      </c>
      <c r="BT1360" t="str">
        <f>HYPERLINK("https%3A%2F%2Fwww.webofscience.com%2Fwos%2Fwoscc%2Ffull-record%2FWOS:001384584200001","View Full Record in Web of Science")</f>
        <v>View Full Record in Web of Science</v>
      </c>
    </row>
    <row r="1361" spans="1:72" x14ac:dyDescent="0.25">
      <c r="A1361" t="s">
        <v>72</v>
      </c>
      <c r="B1361" t="s">
        <v>28777</v>
      </c>
      <c r="C1361" t="s">
        <v>74</v>
      </c>
      <c r="D1361" t="s">
        <v>74</v>
      </c>
      <c r="E1361" t="s">
        <v>74</v>
      </c>
      <c r="F1361" t="s">
        <v>28776</v>
      </c>
      <c r="G1361" t="s">
        <v>74</v>
      </c>
      <c r="H1361" t="s">
        <v>74</v>
      </c>
      <c r="I1361" t="s">
        <v>28775</v>
      </c>
      <c r="J1361" t="s">
        <v>18377</v>
      </c>
      <c r="K1361" t="s">
        <v>74</v>
      </c>
      <c r="L1361" t="s">
        <v>74</v>
      </c>
      <c r="M1361" t="s">
        <v>78</v>
      </c>
      <c r="N1361" t="s">
        <v>79</v>
      </c>
      <c r="O1361" t="s">
        <v>74</v>
      </c>
      <c r="P1361" t="s">
        <v>74</v>
      </c>
      <c r="Q1361" t="s">
        <v>74</v>
      </c>
      <c r="R1361" t="s">
        <v>74</v>
      </c>
      <c r="S1361" t="s">
        <v>74</v>
      </c>
      <c r="T1361" t="s">
        <v>28774</v>
      </c>
      <c r="U1361" t="s">
        <v>74</v>
      </c>
      <c r="V1361" t="s">
        <v>28773</v>
      </c>
      <c r="W1361" t="s">
        <v>28772</v>
      </c>
      <c r="X1361" t="s">
        <v>74</v>
      </c>
      <c r="Y1361" t="s">
        <v>28771</v>
      </c>
      <c r="Z1361" t="s">
        <v>28770</v>
      </c>
      <c r="AA1361" t="s">
        <v>74</v>
      </c>
      <c r="AB1361" t="s">
        <v>74</v>
      </c>
      <c r="AC1361" t="s">
        <v>74</v>
      </c>
      <c r="AD1361" t="s">
        <v>74</v>
      </c>
      <c r="AE1361" t="s">
        <v>74</v>
      </c>
      <c r="AF1361" t="s">
        <v>74</v>
      </c>
      <c r="AG1361">
        <v>10</v>
      </c>
      <c r="AH1361">
        <v>22</v>
      </c>
      <c r="AI1361">
        <v>34</v>
      </c>
      <c r="AJ1361">
        <v>1</v>
      </c>
      <c r="AK1361">
        <v>10</v>
      </c>
      <c r="AL1361" t="s">
        <v>479</v>
      </c>
      <c r="AM1361" t="s">
        <v>480</v>
      </c>
      <c r="AN1361" t="s">
        <v>481</v>
      </c>
      <c r="AO1361" t="s">
        <v>18386</v>
      </c>
      <c r="AP1361" t="s">
        <v>18387</v>
      </c>
      <c r="AQ1361" t="s">
        <v>74</v>
      </c>
      <c r="AR1361" t="s">
        <v>18388</v>
      </c>
      <c r="AS1361" t="s">
        <v>18389</v>
      </c>
      <c r="AT1361" t="s">
        <v>698</v>
      </c>
      <c r="AU1361">
        <v>2017</v>
      </c>
      <c r="AV1361">
        <v>46</v>
      </c>
      <c r="AW1361">
        <v>1</v>
      </c>
      <c r="AX1361" t="s">
        <v>74</v>
      </c>
      <c r="AY1361" t="s">
        <v>74</v>
      </c>
      <c r="AZ1361" t="s">
        <v>74</v>
      </c>
      <c r="BA1361" t="s">
        <v>74</v>
      </c>
      <c r="BB1361">
        <v>31</v>
      </c>
      <c r="BC1361">
        <v>39</v>
      </c>
      <c r="BD1361" t="s">
        <v>74</v>
      </c>
      <c r="BE1361" t="s">
        <v>28769</v>
      </c>
      <c r="BF1361" t="str">
        <f>HYPERLINK("http://dx.doi.org/10.1111/fcsr.12227","http://dx.doi.org/10.1111/fcsr.12227")</f>
        <v>http://dx.doi.org/10.1111/fcsr.12227</v>
      </c>
      <c r="BG1361" t="s">
        <v>74</v>
      </c>
      <c r="BH1361" t="s">
        <v>74</v>
      </c>
      <c r="BI1361">
        <v>9</v>
      </c>
      <c r="BJ1361" t="s">
        <v>18391</v>
      </c>
      <c r="BK1361" t="s">
        <v>313</v>
      </c>
      <c r="BL1361" t="s">
        <v>18391</v>
      </c>
      <c r="BM1361" t="s">
        <v>28768</v>
      </c>
      <c r="BN1361" t="s">
        <v>74</v>
      </c>
      <c r="BO1361" t="s">
        <v>74</v>
      </c>
      <c r="BP1361" t="s">
        <v>74</v>
      </c>
      <c r="BQ1361" t="s">
        <v>74</v>
      </c>
      <c r="BR1361" t="s">
        <v>102</v>
      </c>
      <c r="BS1361" t="s">
        <v>28767</v>
      </c>
      <c r="BT1361" t="str">
        <f>HYPERLINK("https%3A%2F%2Fwww.webofscience.com%2Fwos%2Fwoscc%2Ffull-record%2FWOS:000411104800004","View Full Record in Web of Science")</f>
        <v>View Full Record in Web of Science</v>
      </c>
    </row>
    <row r="1362" spans="1:72" x14ac:dyDescent="0.25">
      <c r="A1362" t="s">
        <v>72</v>
      </c>
      <c r="B1362" t="s">
        <v>28766</v>
      </c>
      <c r="C1362" t="s">
        <v>74</v>
      </c>
      <c r="D1362" t="s">
        <v>74</v>
      </c>
      <c r="E1362" t="s">
        <v>74</v>
      </c>
      <c r="F1362" t="s">
        <v>28765</v>
      </c>
      <c r="G1362" t="s">
        <v>74</v>
      </c>
      <c r="H1362" t="s">
        <v>74</v>
      </c>
      <c r="I1362" t="s">
        <v>28764</v>
      </c>
      <c r="J1362" t="s">
        <v>18445</v>
      </c>
      <c r="K1362" t="s">
        <v>74</v>
      </c>
      <c r="L1362" t="s">
        <v>74</v>
      </c>
      <c r="M1362" t="s">
        <v>78</v>
      </c>
      <c r="N1362" t="s">
        <v>79</v>
      </c>
      <c r="O1362" t="s">
        <v>74</v>
      </c>
      <c r="P1362" t="s">
        <v>74</v>
      </c>
      <c r="Q1362" t="s">
        <v>74</v>
      </c>
      <c r="R1362" t="s">
        <v>74</v>
      </c>
      <c r="S1362" t="s">
        <v>74</v>
      </c>
      <c r="T1362" t="s">
        <v>28763</v>
      </c>
      <c r="U1362" t="s">
        <v>28762</v>
      </c>
      <c r="V1362" t="s">
        <v>28761</v>
      </c>
      <c r="W1362" t="s">
        <v>28760</v>
      </c>
      <c r="X1362" t="s">
        <v>28759</v>
      </c>
      <c r="Y1362" t="s">
        <v>28758</v>
      </c>
      <c r="Z1362" t="s">
        <v>28757</v>
      </c>
      <c r="AA1362" t="s">
        <v>28756</v>
      </c>
      <c r="AB1362" t="s">
        <v>74</v>
      </c>
      <c r="AC1362" t="s">
        <v>74</v>
      </c>
      <c r="AD1362" t="s">
        <v>74</v>
      </c>
      <c r="AE1362" t="s">
        <v>74</v>
      </c>
      <c r="AF1362" t="s">
        <v>74</v>
      </c>
      <c r="AG1362">
        <v>105</v>
      </c>
      <c r="AH1362">
        <v>5</v>
      </c>
      <c r="AI1362">
        <v>11</v>
      </c>
      <c r="AJ1362">
        <v>0</v>
      </c>
      <c r="AK1362">
        <v>7</v>
      </c>
      <c r="AL1362" t="s">
        <v>2371</v>
      </c>
      <c r="AM1362" t="s">
        <v>2372</v>
      </c>
      <c r="AN1362" t="s">
        <v>2373</v>
      </c>
      <c r="AO1362" t="s">
        <v>18435</v>
      </c>
      <c r="AP1362" t="s">
        <v>18434</v>
      </c>
      <c r="AQ1362" t="s">
        <v>74</v>
      </c>
      <c r="AR1362" t="s">
        <v>18433</v>
      </c>
      <c r="AS1362" t="s">
        <v>18432</v>
      </c>
      <c r="AT1362" t="s">
        <v>74</v>
      </c>
      <c r="AU1362">
        <v>2022</v>
      </c>
      <c r="AV1362">
        <v>46</v>
      </c>
      <c r="AW1362">
        <v>2</v>
      </c>
      <c r="AX1362" t="s">
        <v>74</v>
      </c>
      <c r="AY1362" t="s">
        <v>74</v>
      </c>
      <c r="AZ1362" t="s">
        <v>74</v>
      </c>
      <c r="BA1362" t="s">
        <v>74</v>
      </c>
      <c r="BB1362">
        <v>259</v>
      </c>
      <c r="BC1362">
        <v>285</v>
      </c>
      <c r="BD1362" t="s">
        <v>74</v>
      </c>
      <c r="BE1362" t="s">
        <v>28755</v>
      </c>
      <c r="BF1362" t="str">
        <f>HYPERLINK("http://dx.doi.org/10.1504/IJESB.2022.124456","http://dx.doi.org/10.1504/IJESB.2022.124456")</f>
        <v>http://dx.doi.org/10.1504/IJESB.2022.124456</v>
      </c>
      <c r="BG1362" t="s">
        <v>74</v>
      </c>
      <c r="BH1362" t="s">
        <v>74</v>
      </c>
      <c r="BI1362">
        <v>27</v>
      </c>
      <c r="BJ1362" t="s">
        <v>98</v>
      </c>
      <c r="BK1362" t="s">
        <v>313</v>
      </c>
      <c r="BL1362" t="s">
        <v>100</v>
      </c>
      <c r="BM1362" t="s">
        <v>28754</v>
      </c>
      <c r="BN1362" t="s">
        <v>74</v>
      </c>
      <c r="BO1362" t="s">
        <v>74</v>
      </c>
      <c r="BP1362" t="s">
        <v>74</v>
      </c>
      <c r="BQ1362" t="s">
        <v>74</v>
      </c>
      <c r="BR1362" t="s">
        <v>102</v>
      </c>
      <c r="BS1362" t="s">
        <v>28753</v>
      </c>
      <c r="BT1362" t="str">
        <f>HYPERLINK("https%3A%2F%2Fwww.webofscience.com%2Fwos%2Fwoscc%2Ffull-record%2FWOS:001224277300005","View Full Record in Web of Science")</f>
        <v>View Full Record in Web of Science</v>
      </c>
    </row>
    <row r="1363" spans="1:72" x14ac:dyDescent="0.25">
      <c r="A1363" t="s">
        <v>72</v>
      </c>
      <c r="B1363" t="s">
        <v>28752</v>
      </c>
      <c r="C1363" t="s">
        <v>74</v>
      </c>
      <c r="D1363" t="s">
        <v>74</v>
      </c>
      <c r="E1363" t="s">
        <v>74</v>
      </c>
      <c r="F1363" t="s">
        <v>28751</v>
      </c>
      <c r="G1363" t="s">
        <v>74</v>
      </c>
      <c r="H1363" t="s">
        <v>74</v>
      </c>
      <c r="I1363" t="s">
        <v>28750</v>
      </c>
      <c r="J1363" t="s">
        <v>28749</v>
      </c>
      <c r="K1363" t="s">
        <v>74</v>
      </c>
      <c r="L1363" t="s">
        <v>74</v>
      </c>
      <c r="M1363" t="s">
        <v>78</v>
      </c>
      <c r="N1363" t="s">
        <v>79</v>
      </c>
      <c r="O1363" t="s">
        <v>74</v>
      </c>
      <c r="P1363" t="s">
        <v>74</v>
      </c>
      <c r="Q1363" t="s">
        <v>74</v>
      </c>
      <c r="R1363" t="s">
        <v>74</v>
      </c>
      <c r="S1363" t="s">
        <v>74</v>
      </c>
      <c r="T1363" t="s">
        <v>28748</v>
      </c>
      <c r="U1363" t="s">
        <v>28747</v>
      </c>
      <c r="V1363" t="s">
        <v>28746</v>
      </c>
      <c r="W1363" t="s">
        <v>28745</v>
      </c>
      <c r="X1363" t="s">
        <v>8641</v>
      </c>
      <c r="Y1363" t="s">
        <v>28744</v>
      </c>
      <c r="Z1363" t="s">
        <v>28743</v>
      </c>
      <c r="AA1363" t="s">
        <v>28742</v>
      </c>
      <c r="AB1363" t="s">
        <v>19706</v>
      </c>
      <c r="AC1363" t="s">
        <v>74</v>
      </c>
      <c r="AD1363" t="s">
        <v>74</v>
      </c>
      <c r="AE1363" t="s">
        <v>74</v>
      </c>
      <c r="AF1363" t="s">
        <v>74</v>
      </c>
      <c r="AG1363">
        <v>54</v>
      </c>
      <c r="AH1363">
        <v>32</v>
      </c>
      <c r="AI1363">
        <v>37</v>
      </c>
      <c r="AJ1363">
        <v>2</v>
      </c>
      <c r="AK1363">
        <v>11</v>
      </c>
      <c r="AL1363" t="s">
        <v>385</v>
      </c>
      <c r="AM1363" t="s">
        <v>151</v>
      </c>
      <c r="AN1363" t="s">
        <v>386</v>
      </c>
      <c r="AO1363" t="s">
        <v>28741</v>
      </c>
      <c r="AP1363" t="s">
        <v>28740</v>
      </c>
      <c r="AQ1363" t="s">
        <v>74</v>
      </c>
      <c r="AR1363" t="s">
        <v>28739</v>
      </c>
      <c r="AS1363" t="s">
        <v>28738</v>
      </c>
      <c r="AT1363" t="s">
        <v>124</v>
      </c>
      <c r="AU1363">
        <v>2021</v>
      </c>
      <c r="AV1363">
        <v>22</v>
      </c>
      <c r="AW1363">
        <v>9</v>
      </c>
      <c r="AX1363" t="s">
        <v>74</v>
      </c>
      <c r="AY1363" t="s">
        <v>74</v>
      </c>
      <c r="AZ1363" t="s">
        <v>74</v>
      </c>
      <c r="BA1363" t="s">
        <v>74</v>
      </c>
      <c r="BB1363">
        <v>1411</v>
      </c>
      <c r="BC1363">
        <v>1425</v>
      </c>
      <c r="BD1363" t="s">
        <v>74</v>
      </c>
      <c r="BE1363" t="s">
        <v>28737</v>
      </c>
      <c r="BF1363" t="str">
        <f>HYPERLINK("http://dx.doi.org/10.1007/s10198-021-01320-1","http://dx.doi.org/10.1007/s10198-021-01320-1")</f>
        <v>http://dx.doi.org/10.1007/s10198-021-01320-1</v>
      </c>
      <c r="BG1363" t="s">
        <v>74</v>
      </c>
      <c r="BH1363" t="s">
        <v>11242</v>
      </c>
      <c r="BI1363">
        <v>15</v>
      </c>
      <c r="BJ1363" t="s">
        <v>26436</v>
      </c>
      <c r="BK1363" t="s">
        <v>99</v>
      </c>
      <c r="BL1363" t="s">
        <v>26435</v>
      </c>
      <c r="BM1363" t="s">
        <v>28736</v>
      </c>
      <c r="BN1363">
        <v>34089114</v>
      </c>
      <c r="BO1363" t="s">
        <v>74</v>
      </c>
      <c r="BP1363" t="s">
        <v>74</v>
      </c>
      <c r="BQ1363" t="s">
        <v>74</v>
      </c>
      <c r="BR1363" t="s">
        <v>102</v>
      </c>
      <c r="BS1363" t="s">
        <v>28735</v>
      </c>
      <c r="BT1363" t="str">
        <f>HYPERLINK("https%3A%2F%2Fwww.webofscience.com%2Fwos%2Fwoscc%2Ffull-record%2FWOS:000658072500001","View Full Record in Web of Science")</f>
        <v>View Full Record in Web of Science</v>
      </c>
    </row>
    <row r="1364" spans="1:72" x14ac:dyDescent="0.25">
      <c r="A1364" t="s">
        <v>132</v>
      </c>
      <c r="B1364" t="s">
        <v>28734</v>
      </c>
      <c r="C1364" t="s">
        <v>74</v>
      </c>
      <c r="D1364" t="s">
        <v>74</v>
      </c>
      <c r="E1364" t="s">
        <v>74</v>
      </c>
      <c r="F1364" t="s">
        <v>28733</v>
      </c>
      <c r="G1364" t="s">
        <v>74</v>
      </c>
      <c r="H1364" t="s">
        <v>74</v>
      </c>
      <c r="I1364" t="s">
        <v>28732</v>
      </c>
      <c r="J1364" t="s">
        <v>540</v>
      </c>
      <c r="K1364" t="s">
        <v>74</v>
      </c>
      <c r="L1364" t="s">
        <v>74</v>
      </c>
      <c r="M1364" t="s">
        <v>78</v>
      </c>
      <c r="N1364" t="s">
        <v>138</v>
      </c>
      <c r="O1364" t="s">
        <v>28731</v>
      </c>
      <c r="P1364" t="s">
        <v>28730</v>
      </c>
      <c r="Q1364" t="s">
        <v>28729</v>
      </c>
      <c r="R1364" t="s">
        <v>74</v>
      </c>
      <c r="S1364" t="s">
        <v>74</v>
      </c>
      <c r="T1364" t="s">
        <v>28728</v>
      </c>
      <c r="U1364" t="s">
        <v>74</v>
      </c>
      <c r="V1364" t="s">
        <v>28727</v>
      </c>
      <c r="W1364" t="s">
        <v>28726</v>
      </c>
      <c r="X1364" t="s">
        <v>8568</v>
      </c>
      <c r="Y1364" t="s">
        <v>28725</v>
      </c>
      <c r="Z1364" t="s">
        <v>74</v>
      </c>
      <c r="AA1364" t="s">
        <v>28724</v>
      </c>
      <c r="AB1364" t="s">
        <v>28723</v>
      </c>
      <c r="AC1364" t="s">
        <v>74</v>
      </c>
      <c r="AD1364" t="s">
        <v>74</v>
      </c>
      <c r="AE1364" t="s">
        <v>74</v>
      </c>
      <c r="AF1364" t="s">
        <v>74</v>
      </c>
      <c r="AG1364">
        <v>9</v>
      </c>
      <c r="AH1364">
        <v>5</v>
      </c>
      <c r="AI1364">
        <v>7</v>
      </c>
      <c r="AJ1364">
        <v>0</v>
      </c>
      <c r="AK1364">
        <v>19</v>
      </c>
      <c r="AL1364" t="s">
        <v>551</v>
      </c>
      <c r="AM1364" t="s">
        <v>552</v>
      </c>
      <c r="AN1364" t="s">
        <v>553</v>
      </c>
      <c r="AO1364" t="s">
        <v>554</v>
      </c>
      <c r="AP1364" t="s">
        <v>555</v>
      </c>
      <c r="AQ1364" t="s">
        <v>74</v>
      </c>
      <c r="AR1364" t="s">
        <v>556</v>
      </c>
      <c r="AS1364" t="s">
        <v>557</v>
      </c>
      <c r="AT1364" t="s">
        <v>2801</v>
      </c>
      <c r="AU1364">
        <v>2016</v>
      </c>
      <c r="AV1364">
        <v>22</v>
      </c>
      <c r="AW1364" t="s">
        <v>7213</v>
      </c>
      <c r="AX1364" t="s">
        <v>74</v>
      </c>
      <c r="AY1364" t="s">
        <v>74</v>
      </c>
      <c r="AZ1364" t="s">
        <v>441</v>
      </c>
      <c r="BA1364" t="s">
        <v>74</v>
      </c>
      <c r="BB1364">
        <v>1622</v>
      </c>
      <c r="BC1364">
        <v>1624</v>
      </c>
      <c r="BD1364" t="s">
        <v>74</v>
      </c>
      <c r="BE1364" t="s">
        <v>28722</v>
      </c>
      <c r="BF1364" t="str">
        <f>HYPERLINK("http://dx.doi.org/10.1166/asl.2016.6706","http://dx.doi.org/10.1166/asl.2016.6706")</f>
        <v>http://dx.doi.org/10.1166/asl.2016.6706</v>
      </c>
      <c r="BG1364" t="s">
        <v>74</v>
      </c>
      <c r="BH1364" t="s">
        <v>74</v>
      </c>
      <c r="BI1364">
        <v>3</v>
      </c>
      <c r="BJ1364" t="s">
        <v>559</v>
      </c>
      <c r="BK1364" t="s">
        <v>1069</v>
      </c>
      <c r="BL1364" t="s">
        <v>560</v>
      </c>
      <c r="BM1364" t="s">
        <v>28721</v>
      </c>
      <c r="BN1364" t="s">
        <v>74</v>
      </c>
      <c r="BO1364" t="s">
        <v>74</v>
      </c>
      <c r="BP1364" t="s">
        <v>74</v>
      </c>
      <c r="BQ1364" t="s">
        <v>74</v>
      </c>
      <c r="BR1364" t="s">
        <v>102</v>
      </c>
      <c r="BS1364" t="s">
        <v>28720</v>
      </c>
      <c r="BT1364" t="str">
        <f>HYPERLINK("https%3A%2F%2Fwww.webofscience.com%2Fwos%2Fwoscc%2Ffull-record%2FWOS:000383113900126","View Full Record in Web of Science")</f>
        <v>View Full Record in Web of Science</v>
      </c>
    </row>
    <row r="1365" spans="1:72" x14ac:dyDescent="0.25">
      <c r="A1365" t="s">
        <v>72</v>
      </c>
      <c r="B1365" t="s">
        <v>28719</v>
      </c>
      <c r="C1365" t="s">
        <v>74</v>
      </c>
      <c r="D1365" t="s">
        <v>74</v>
      </c>
      <c r="E1365" t="s">
        <v>74</v>
      </c>
      <c r="F1365" t="s">
        <v>28719</v>
      </c>
      <c r="G1365" t="s">
        <v>74</v>
      </c>
      <c r="H1365" t="s">
        <v>74</v>
      </c>
      <c r="I1365" t="s">
        <v>28718</v>
      </c>
      <c r="J1365" t="s">
        <v>2214</v>
      </c>
      <c r="K1365" t="s">
        <v>74</v>
      </c>
      <c r="L1365" t="s">
        <v>74</v>
      </c>
      <c r="M1365" t="s">
        <v>78</v>
      </c>
      <c r="N1365" t="s">
        <v>79</v>
      </c>
      <c r="O1365" t="s">
        <v>74</v>
      </c>
      <c r="P1365" t="s">
        <v>74</v>
      </c>
      <c r="Q1365" t="s">
        <v>74</v>
      </c>
      <c r="R1365" t="s">
        <v>74</v>
      </c>
      <c r="S1365" t="s">
        <v>74</v>
      </c>
      <c r="T1365" t="s">
        <v>28717</v>
      </c>
      <c r="U1365" t="s">
        <v>28716</v>
      </c>
      <c r="V1365" t="s">
        <v>28715</v>
      </c>
      <c r="W1365" t="s">
        <v>28714</v>
      </c>
      <c r="X1365" t="s">
        <v>74</v>
      </c>
      <c r="Y1365" t="s">
        <v>28713</v>
      </c>
      <c r="Z1365" t="s">
        <v>28712</v>
      </c>
      <c r="AA1365" t="s">
        <v>74</v>
      </c>
      <c r="AB1365" t="s">
        <v>74</v>
      </c>
      <c r="AC1365" t="s">
        <v>74</v>
      </c>
      <c r="AD1365" t="s">
        <v>74</v>
      </c>
      <c r="AE1365" t="s">
        <v>74</v>
      </c>
      <c r="AF1365" t="s">
        <v>74</v>
      </c>
      <c r="AG1365">
        <v>97</v>
      </c>
      <c r="AH1365">
        <v>1</v>
      </c>
      <c r="AI1365">
        <v>1</v>
      </c>
      <c r="AJ1365">
        <v>4</v>
      </c>
      <c r="AK1365">
        <v>14</v>
      </c>
      <c r="AL1365" t="s">
        <v>2223</v>
      </c>
      <c r="AM1365" t="s">
        <v>2224</v>
      </c>
      <c r="AN1365" t="s">
        <v>2225</v>
      </c>
      <c r="AO1365" t="s">
        <v>2226</v>
      </c>
      <c r="AP1365" t="s">
        <v>74</v>
      </c>
      <c r="AQ1365" t="s">
        <v>74</v>
      </c>
      <c r="AR1365" t="s">
        <v>2227</v>
      </c>
      <c r="AS1365" t="s">
        <v>2228</v>
      </c>
      <c r="AT1365" t="s">
        <v>74</v>
      </c>
      <c r="AU1365">
        <v>2024</v>
      </c>
      <c r="AV1365">
        <v>25</v>
      </c>
      <c r="AW1365">
        <v>3</v>
      </c>
      <c r="AX1365" t="s">
        <v>74</v>
      </c>
      <c r="AY1365" t="s">
        <v>74</v>
      </c>
      <c r="AZ1365" t="s">
        <v>74</v>
      </c>
      <c r="BA1365" t="s">
        <v>74</v>
      </c>
      <c r="BB1365">
        <v>852</v>
      </c>
      <c r="BC1365">
        <v>871</v>
      </c>
      <c r="BD1365" t="s">
        <v>74</v>
      </c>
      <c r="BE1365" t="s">
        <v>28711</v>
      </c>
      <c r="BF1365" t="str">
        <f>HYPERLINK("http://dx.doi.org/10.33736/ijbs.8356.2024","http://dx.doi.org/10.33736/ijbs.8356.2024")</f>
        <v>http://dx.doi.org/10.33736/ijbs.8356.2024</v>
      </c>
      <c r="BG1365" t="s">
        <v>74</v>
      </c>
      <c r="BH1365" t="s">
        <v>74</v>
      </c>
      <c r="BI1365">
        <v>20</v>
      </c>
      <c r="BJ1365" t="s">
        <v>418</v>
      </c>
      <c r="BK1365" t="s">
        <v>313</v>
      </c>
      <c r="BL1365" t="s">
        <v>100</v>
      </c>
      <c r="BM1365" t="s">
        <v>28710</v>
      </c>
      <c r="BN1365" t="s">
        <v>74</v>
      </c>
      <c r="BO1365" t="s">
        <v>212</v>
      </c>
      <c r="BP1365" t="s">
        <v>74</v>
      </c>
      <c r="BQ1365" t="s">
        <v>74</v>
      </c>
      <c r="BR1365" t="s">
        <v>102</v>
      </c>
      <c r="BS1365" t="s">
        <v>28709</v>
      </c>
      <c r="BT1365" t="str">
        <f>HYPERLINK("https%3A%2F%2Fwww.webofscience.com%2Fwos%2Fwoscc%2Ffull-record%2FWOS:001417292000002","View Full Record in Web of Science")</f>
        <v>View Full Record in Web of Science</v>
      </c>
    </row>
    <row r="1366" spans="1:72" x14ac:dyDescent="0.25">
      <c r="A1366" t="s">
        <v>72</v>
      </c>
      <c r="B1366" t="s">
        <v>28708</v>
      </c>
      <c r="C1366" t="s">
        <v>74</v>
      </c>
      <c r="D1366" t="s">
        <v>74</v>
      </c>
      <c r="E1366" t="s">
        <v>74</v>
      </c>
      <c r="F1366" t="s">
        <v>28707</v>
      </c>
      <c r="G1366" t="s">
        <v>74</v>
      </c>
      <c r="H1366" t="s">
        <v>74</v>
      </c>
      <c r="I1366" t="s">
        <v>28706</v>
      </c>
      <c r="J1366" t="s">
        <v>1510</v>
      </c>
      <c r="K1366" t="s">
        <v>74</v>
      </c>
      <c r="L1366" t="s">
        <v>74</v>
      </c>
      <c r="M1366" t="s">
        <v>78</v>
      </c>
      <c r="N1366" t="s">
        <v>79</v>
      </c>
      <c r="O1366" t="s">
        <v>74</v>
      </c>
      <c r="P1366" t="s">
        <v>74</v>
      </c>
      <c r="Q1366" t="s">
        <v>74</v>
      </c>
      <c r="R1366" t="s">
        <v>74</v>
      </c>
      <c r="S1366" t="s">
        <v>74</v>
      </c>
      <c r="T1366" t="s">
        <v>28705</v>
      </c>
      <c r="U1366" t="s">
        <v>28704</v>
      </c>
      <c r="V1366" t="s">
        <v>28703</v>
      </c>
      <c r="W1366" t="s">
        <v>28702</v>
      </c>
      <c r="X1366" t="s">
        <v>28701</v>
      </c>
      <c r="Y1366" t="s">
        <v>28700</v>
      </c>
      <c r="Z1366" t="s">
        <v>28699</v>
      </c>
      <c r="AA1366" t="s">
        <v>28698</v>
      </c>
      <c r="AB1366" t="s">
        <v>28697</v>
      </c>
      <c r="AC1366" t="s">
        <v>74</v>
      </c>
      <c r="AD1366" t="s">
        <v>74</v>
      </c>
      <c r="AE1366" t="s">
        <v>74</v>
      </c>
      <c r="AF1366" t="s">
        <v>74</v>
      </c>
      <c r="AG1366">
        <v>36</v>
      </c>
      <c r="AH1366">
        <v>2</v>
      </c>
      <c r="AI1366">
        <v>2</v>
      </c>
      <c r="AJ1366">
        <v>0</v>
      </c>
      <c r="AK1366">
        <v>1</v>
      </c>
      <c r="AL1366" t="s">
        <v>89</v>
      </c>
      <c r="AM1366" t="s">
        <v>90</v>
      </c>
      <c r="AN1366" t="s">
        <v>91</v>
      </c>
      <c r="AO1366" t="s">
        <v>1519</v>
      </c>
      <c r="AP1366" t="s">
        <v>1520</v>
      </c>
      <c r="AQ1366" t="s">
        <v>74</v>
      </c>
      <c r="AR1366" t="s">
        <v>1521</v>
      </c>
      <c r="AS1366" t="s">
        <v>1522</v>
      </c>
      <c r="AT1366" t="s">
        <v>2557</v>
      </c>
      <c r="AU1366">
        <v>2025</v>
      </c>
      <c r="AV1366">
        <v>52</v>
      </c>
      <c r="AW1366">
        <v>4</v>
      </c>
      <c r="AX1366" t="s">
        <v>74</v>
      </c>
      <c r="AY1366" t="s">
        <v>74</v>
      </c>
      <c r="AZ1366" t="s">
        <v>74</v>
      </c>
      <c r="BA1366" t="s">
        <v>74</v>
      </c>
      <c r="BB1366">
        <v>591</v>
      </c>
      <c r="BC1366">
        <v>607</v>
      </c>
      <c r="BD1366" t="s">
        <v>74</v>
      </c>
      <c r="BE1366" t="s">
        <v>28696</v>
      </c>
      <c r="BF1366" t="str">
        <f>HYPERLINK("http://dx.doi.org/10.1108/IJSE-01-2024-0062","http://dx.doi.org/10.1108/IJSE-01-2024-0062")</f>
        <v>http://dx.doi.org/10.1108/IJSE-01-2024-0062</v>
      </c>
      <c r="BG1366" t="s">
        <v>74</v>
      </c>
      <c r="BH1366" t="s">
        <v>2524</v>
      </c>
      <c r="BI1366">
        <v>17</v>
      </c>
      <c r="BJ1366" t="s">
        <v>291</v>
      </c>
      <c r="BK1366" t="s">
        <v>313</v>
      </c>
      <c r="BL1366" t="s">
        <v>100</v>
      </c>
      <c r="BM1366" t="s">
        <v>28695</v>
      </c>
      <c r="BN1366" t="s">
        <v>74</v>
      </c>
      <c r="BO1366" t="s">
        <v>74</v>
      </c>
      <c r="BP1366" t="s">
        <v>74</v>
      </c>
      <c r="BQ1366" t="s">
        <v>74</v>
      </c>
      <c r="BR1366" t="s">
        <v>102</v>
      </c>
      <c r="BS1366" t="s">
        <v>28694</v>
      </c>
      <c r="BT1366" t="str">
        <f>HYPERLINK("https%3A%2F%2Fwww.webofscience.com%2Fwos%2Fwoscc%2Ffull-record%2FWOS:001278215000001","View Full Record in Web of Science")</f>
        <v>View Full Record in Web of Science</v>
      </c>
    </row>
    <row r="1367" spans="1:72" x14ac:dyDescent="0.25">
      <c r="A1367" t="s">
        <v>72</v>
      </c>
      <c r="B1367" t="s">
        <v>28693</v>
      </c>
      <c r="C1367" t="s">
        <v>74</v>
      </c>
      <c r="D1367" t="s">
        <v>74</v>
      </c>
      <c r="E1367" t="s">
        <v>74</v>
      </c>
      <c r="F1367" t="s">
        <v>28692</v>
      </c>
      <c r="G1367" t="s">
        <v>74</v>
      </c>
      <c r="H1367" t="s">
        <v>74</v>
      </c>
      <c r="I1367" t="s">
        <v>28691</v>
      </c>
      <c r="J1367" t="s">
        <v>877</v>
      </c>
      <c r="K1367" t="s">
        <v>74</v>
      </c>
      <c r="L1367" t="s">
        <v>74</v>
      </c>
      <c r="M1367" t="s">
        <v>78</v>
      </c>
      <c r="N1367" t="s">
        <v>79</v>
      </c>
      <c r="O1367" t="s">
        <v>74</v>
      </c>
      <c r="P1367" t="s">
        <v>74</v>
      </c>
      <c r="Q1367" t="s">
        <v>74</v>
      </c>
      <c r="R1367" t="s">
        <v>74</v>
      </c>
      <c r="S1367" t="s">
        <v>74</v>
      </c>
      <c r="T1367" t="s">
        <v>28690</v>
      </c>
      <c r="U1367" t="s">
        <v>28689</v>
      </c>
      <c r="V1367" t="s">
        <v>28688</v>
      </c>
      <c r="W1367" t="s">
        <v>28687</v>
      </c>
      <c r="X1367" t="s">
        <v>28686</v>
      </c>
      <c r="Y1367" t="s">
        <v>28685</v>
      </c>
      <c r="Z1367" t="s">
        <v>28684</v>
      </c>
      <c r="AA1367" t="s">
        <v>74</v>
      </c>
      <c r="AB1367" t="s">
        <v>28683</v>
      </c>
      <c r="AC1367" t="s">
        <v>74</v>
      </c>
      <c r="AD1367" t="s">
        <v>74</v>
      </c>
      <c r="AE1367" t="s">
        <v>74</v>
      </c>
      <c r="AF1367" t="s">
        <v>74</v>
      </c>
      <c r="AG1367">
        <v>79</v>
      </c>
      <c r="AH1367">
        <v>3</v>
      </c>
      <c r="AI1367">
        <v>6</v>
      </c>
      <c r="AJ1367">
        <v>1</v>
      </c>
      <c r="AK1367">
        <v>12</v>
      </c>
      <c r="AL1367" t="s">
        <v>884</v>
      </c>
      <c r="AM1367" t="s">
        <v>885</v>
      </c>
      <c r="AN1367" t="s">
        <v>886</v>
      </c>
      <c r="AO1367" t="s">
        <v>887</v>
      </c>
      <c r="AP1367" t="s">
        <v>888</v>
      </c>
      <c r="AQ1367" t="s">
        <v>74</v>
      </c>
      <c r="AR1367" t="s">
        <v>889</v>
      </c>
      <c r="AS1367" t="s">
        <v>890</v>
      </c>
      <c r="AT1367" t="s">
        <v>208</v>
      </c>
      <c r="AU1367">
        <v>2021</v>
      </c>
      <c r="AV1367">
        <v>8</v>
      </c>
      <c r="AW1367">
        <v>1</v>
      </c>
      <c r="AX1367" t="s">
        <v>74</v>
      </c>
      <c r="AY1367" t="s">
        <v>74</v>
      </c>
      <c r="AZ1367" t="s">
        <v>74</v>
      </c>
      <c r="BA1367" t="s">
        <v>74</v>
      </c>
      <c r="BB1367">
        <v>637</v>
      </c>
      <c r="BC1367">
        <v>646</v>
      </c>
      <c r="BD1367" t="s">
        <v>74</v>
      </c>
      <c r="BE1367" t="s">
        <v>28682</v>
      </c>
      <c r="BF1367" t="str">
        <f>HYPERLINK("http://dx.doi.org/10.13106/jafeb.2021.vol8.no1.637","http://dx.doi.org/10.13106/jafeb.2021.vol8.no1.637")</f>
        <v>http://dx.doi.org/10.13106/jafeb.2021.vol8.no1.637</v>
      </c>
      <c r="BG1367" t="s">
        <v>74</v>
      </c>
      <c r="BH1367" t="s">
        <v>74</v>
      </c>
      <c r="BI1367">
        <v>10</v>
      </c>
      <c r="BJ1367" t="s">
        <v>418</v>
      </c>
      <c r="BK1367" t="s">
        <v>313</v>
      </c>
      <c r="BL1367" t="s">
        <v>100</v>
      </c>
      <c r="BM1367" t="s">
        <v>28681</v>
      </c>
      <c r="BN1367" t="s">
        <v>74</v>
      </c>
      <c r="BO1367" t="s">
        <v>74</v>
      </c>
      <c r="BP1367" t="s">
        <v>74</v>
      </c>
      <c r="BQ1367" t="s">
        <v>74</v>
      </c>
      <c r="BR1367" t="s">
        <v>102</v>
      </c>
      <c r="BS1367" t="s">
        <v>28680</v>
      </c>
      <c r="BT1367" t="str">
        <f>HYPERLINK("https%3A%2F%2Fwww.webofscience.com%2Fwos%2Fwoscc%2Ffull-record%2FWOS:000626929500062","View Full Record in Web of Science")</f>
        <v>View Full Record in Web of Science</v>
      </c>
    </row>
    <row r="1368" spans="1:72" x14ac:dyDescent="0.25">
      <c r="A1368" t="s">
        <v>72</v>
      </c>
      <c r="B1368" t="s">
        <v>28679</v>
      </c>
      <c r="C1368" t="s">
        <v>74</v>
      </c>
      <c r="D1368" t="s">
        <v>74</v>
      </c>
      <c r="E1368" t="s">
        <v>74</v>
      </c>
      <c r="F1368" t="s">
        <v>28678</v>
      </c>
      <c r="G1368" t="s">
        <v>74</v>
      </c>
      <c r="H1368" t="s">
        <v>74</v>
      </c>
      <c r="I1368" t="s">
        <v>28677</v>
      </c>
      <c r="J1368" t="s">
        <v>2763</v>
      </c>
      <c r="K1368" t="s">
        <v>74</v>
      </c>
      <c r="L1368" t="s">
        <v>74</v>
      </c>
      <c r="M1368" t="s">
        <v>78</v>
      </c>
      <c r="N1368" t="s">
        <v>372</v>
      </c>
      <c r="O1368" t="s">
        <v>74</v>
      </c>
      <c r="P1368" t="s">
        <v>74</v>
      </c>
      <c r="Q1368" t="s">
        <v>74</v>
      </c>
      <c r="R1368" t="s">
        <v>74</v>
      </c>
      <c r="S1368" t="s">
        <v>74</v>
      </c>
      <c r="T1368" t="s">
        <v>28676</v>
      </c>
      <c r="U1368" t="s">
        <v>74</v>
      </c>
      <c r="V1368" t="s">
        <v>28675</v>
      </c>
      <c r="W1368" t="s">
        <v>28674</v>
      </c>
      <c r="X1368" t="s">
        <v>278</v>
      </c>
      <c r="Y1368" t="s">
        <v>28673</v>
      </c>
      <c r="Z1368" t="s">
        <v>28672</v>
      </c>
      <c r="AA1368" t="s">
        <v>74</v>
      </c>
      <c r="AB1368" t="s">
        <v>74</v>
      </c>
      <c r="AC1368" t="s">
        <v>74</v>
      </c>
      <c r="AD1368" t="s">
        <v>74</v>
      </c>
      <c r="AE1368" t="s">
        <v>74</v>
      </c>
      <c r="AF1368" t="s">
        <v>74</v>
      </c>
      <c r="AG1368">
        <v>28</v>
      </c>
      <c r="AH1368">
        <v>0</v>
      </c>
      <c r="AI1368">
        <v>0</v>
      </c>
      <c r="AJ1368">
        <v>2</v>
      </c>
      <c r="AK1368">
        <v>2</v>
      </c>
      <c r="AL1368" t="s">
        <v>479</v>
      </c>
      <c r="AM1368" t="s">
        <v>480</v>
      </c>
      <c r="AN1368" t="s">
        <v>481</v>
      </c>
      <c r="AO1368" t="s">
        <v>2776</v>
      </c>
      <c r="AP1368" t="s">
        <v>2777</v>
      </c>
      <c r="AQ1368" t="s">
        <v>74</v>
      </c>
      <c r="AR1368" t="s">
        <v>2778</v>
      </c>
      <c r="AS1368" t="s">
        <v>2779</v>
      </c>
      <c r="AT1368" t="s">
        <v>28671</v>
      </c>
      <c r="AU1368">
        <v>2025</v>
      </c>
      <c r="AV1368" t="s">
        <v>74</v>
      </c>
      <c r="AW1368" t="s">
        <v>74</v>
      </c>
      <c r="AX1368" t="s">
        <v>74</v>
      </c>
      <c r="AY1368" t="s">
        <v>74</v>
      </c>
      <c r="AZ1368" t="s">
        <v>74</v>
      </c>
      <c r="BA1368" t="s">
        <v>74</v>
      </c>
      <c r="BB1368" t="s">
        <v>74</v>
      </c>
      <c r="BC1368" t="s">
        <v>74</v>
      </c>
      <c r="BD1368" t="s">
        <v>74</v>
      </c>
      <c r="BE1368" t="s">
        <v>28670</v>
      </c>
      <c r="BF1368" t="str">
        <f>HYPERLINK("http://dx.doi.org/10.1111/rode.70095","http://dx.doi.org/10.1111/rode.70095")</f>
        <v>http://dx.doi.org/10.1111/rode.70095</v>
      </c>
      <c r="BG1368" t="s">
        <v>74</v>
      </c>
      <c r="BH1368" t="s">
        <v>488</v>
      </c>
      <c r="BI1368">
        <v>15</v>
      </c>
      <c r="BJ1368" t="s">
        <v>701</v>
      </c>
      <c r="BK1368" t="s">
        <v>99</v>
      </c>
      <c r="BL1368" t="s">
        <v>702</v>
      </c>
      <c r="BM1368" t="s">
        <v>28669</v>
      </c>
      <c r="BN1368" t="s">
        <v>74</v>
      </c>
      <c r="BO1368" t="s">
        <v>74</v>
      </c>
      <c r="BP1368" t="s">
        <v>74</v>
      </c>
      <c r="BQ1368" t="s">
        <v>74</v>
      </c>
      <c r="BR1368" t="s">
        <v>102</v>
      </c>
      <c r="BS1368" t="s">
        <v>28668</v>
      </c>
      <c r="BT1368" t="str">
        <f>HYPERLINK("https%3A%2F%2Fwww.webofscience.com%2Fwos%2Fwoscc%2Ffull-record%2FWOS:001629176000001","View Full Record in Web of Science")</f>
        <v>View Full Record in Web of Science</v>
      </c>
    </row>
    <row r="1369" spans="1:72" x14ac:dyDescent="0.25">
      <c r="A1369" t="s">
        <v>132</v>
      </c>
      <c r="B1369" t="s">
        <v>28667</v>
      </c>
      <c r="C1369" t="s">
        <v>74</v>
      </c>
      <c r="D1369" t="s">
        <v>74</v>
      </c>
      <c r="E1369" t="s">
        <v>771</v>
      </c>
      <c r="F1369" t="s">
        <v>28666</v>
      </c>
      <c r="G1369" t="s">
        <v>74</v>
      </c>
      <c r="H1369" t="s">
        <v>74</v>
      </c>
      <c r="I1369" t="s">
        <v>28665</v>
      </c>
      <c r="J1369" t="s">
        <v>774</v>
      </c>
      <c r="K1369" t="s">
        <v>74</v>
      </c>
      <c r="L1369" t="s">
        <v>74</v>
      </c>
      <c r="M1369" t="s">
        <v>78</v>
      </c>
      <c r="N1369" t="s">
        <v>138</v>
      </c>
      <c r="O1369" t="s">
        <v>775</v>
      </c>
      <c r="P1369" t="s">
        <v>776</v>
      </c>
      <c r="Q1369" t="s">
        <v>777</v>
      </c>
      <c r="R1369" t="s">
        <v>74</v>
      </c>
      <c r="S1369" t="s">
        <v>74</v>
      </c>
      <c r="T1369" t="s">
        <v>28664</v>
      </c>
      <c r="U1369" t="s">
        <v>28663</v>
      </c>
      <c r="V1369" t="s">
        <v>28662</v>
      </c>
      <c r="W1369" t="s">
        <v>28661</v>
      </c>
      <c r="X1369" t="s">
        <v>15108</v>
      </c>
      <c r="Y1369" t="s">
        <v>28660</v>
      </c>
      <c r="Z1369" t="s">
        <v>28659</v>
      </c>
      <c r="AA1369" t="s">
        <v>74</v>
      </c>
      <c r="AB1369" t="s">
        <v>74</v>
      </c>
      <c r="AC1369" t="s">
        <v>74</v>
      </c>
      <c r="AD1369" t="s">
        <v>74</v>
      </c>
      <c r="AE1369" t="s">
        <v>74</v>
      </c>
      <c r="AF1369" t="s">
        <v>74</v>
      </c>
      <c r="AG1369">
        <v>13</v>
      </c>
      <c r="AH1369">
        <v>0</v>
      </c>
      <c r="AI1369">
        <v>0</v>
      </c>
      <c r="AJ1369">
        <v>0</v>
      </c>
      <c r="AK1369">
        <v>6</v>
      </c>
      <c r="AL1369" t="s">
        <v>771</v>
      </c>
      <c r="AM1369" t="s">
        <v>151</v>
      </c>
      <c r="AN1369" t="s">
        <v>785</v>
      </c>
      <c r="AO1369" t="s">
        <v>74</v>
      </c>
      <c r="AP1369" t="s">
        <v>74</v>
      </c>
      <c r="AQ1369" t="s">
        <v>786</v>
      </c>
      <c r="AR1369" t="s">
        <v>74</v>
      </c>
      <c r="AS1369" t="s">
        <v>74</v>
      </c>
      <c r="AT1369" t="s">
        <v>74</v>
      </c>
      <c r="AU1369">
        <v>2016</v>
      </c>
      <c r="AV1369" t="s">
        <v>74</v>
      </c>
      <c r="AW1369" t="s">
        <v>74</v>
      </c>
      <c r="AX1369" t="s">
        <v>74</v>
      </c>
      <c r="AY1369" t="s">
        <v>74</v>
      </c>
      <c r="AZ1369" t="s">
        <v>74</v>
      </c>
      <c r="BA1369" t="s">
        <v>74</v>
      </c>
      <c r="BB1369" t="s">
        <v>74</v>
      </c>
      <c r="BC1369" t="s">
        <v>74</v>
      </c>
      <c r="BD1369" t="s">
        <v>74</v>
      </c>
      <c r="BE1369" t="s">
        <v>74</v>
      </c>
      <c r="BF1369" t="s">
        <v>74</v>
      </c>
      <c r="BG1369" t="s">
        <v>74</v>
      </c>
      <c r="BH1369" t="s">
        <v>74</v>
      </c>
      <c r="BI1369">
        <v>11</v>
      </c>
      <c r="BJ1369" t="s">
        <v>787</v>
      </c>
      <c r="BK1369" t="s">
        <v>156</v>
      </c>
      <c r="BL1369" t="s">
        <v>157</v>
      </c>
      <c r="BM1369" t="s">
        <v>788</v>
      </c>
      <c r="BN1369" t="s">
        <v>74</v>
      </c>
      <c r="BO1369" t="s">
        <v>74</v>
      </c>
      <c r="BP1369" t="s">
        <v>74</v>
      </c>
      <c r="BQ1369" t="s">
        <v>74</v>
      </c>
      <c r="BR1369" t="s">
        <v>102</v>
      </c>
      <c r="BS1369" t="s">
        <v>28658</v>
      </c>
      <c r="BT1369" t="str">
        <f>HYPERLINK("https%3A%2F%2Fwww.webofscience.com%2Fwos%2Fwoscc%2Ffull-record%2FWOS:000392264700127","View Full Record in Web of Science")</f>
        <v>View Full Record in Web of Science</v>
      </c>
    </row>
    <row r="1370" spans="1:72" x14ac:dyDescent="0.25">
      <c r="A1370" t="s">
        <v>72</v>
      </c>
      <c r="B1370" t="s">
        <v>28657</v>
      </c>
      <c r="C1370" t="s">
        <v>74</v>
      </c>
      <c r="D1370" t="s">
        <v>74</v>
      </c>
      <c r="E1370" t="s">
        <v>74</v>
      </c>
      <c r="F1370" t="s">
        <v>28656</v>
      </c>
      <c r="G1370" t="s">
        <v>74</v>
      </c>
      <c r="H1370" t="s">
        <v>74</v>
      </c>
      <c r="I1370" t="s">
        <v>28655</v>
      </c>
      <c r="J1370" t="s">
        <v>28654</v>
      </c>
      <c r="K1370" t="s">
        <v>74</v>
      </c>
      <c r="L1370" t="s">
        <v>74</v>
      </c>
      <c r="M1370" t="s">
        <v>78</v>
      </c>
      <c r="N1370" t="s">
        <v>79</v>
      </c>
      <c r="O1370" t="s">
        <v>74</v>
      </c>
      <c r="P1370" t="s">
        <v>74</v>
      </c>
      <c r="Q1370" t="s">
        <v>74</v>
      </c>
      <c r="R1370" t="s">
        <v>74</v>
      </c>
      <c r="S1370" t="s">
        <v>74</v>
      </c>
      <c r="T1370" t="s">
        <v>28653</v>
      </c>
      <c r="U1370" t="s">
        <v>74</v>
      </c>
      <c r="V1370" t="s">
        <v>28652</v>
      </c>
      <c r="W1370" t="s">
        <v>28651</v>
      </c>
      <c r="X1370" t="s">
        <v>12112</v>
      </c>
      <c r="Y1370" t="s">
        <v>28650</v>
      </c>
      <c r="Z1370" t="s">
        <v>28649</v>
      </c>
      <c r="AA1370" t="s">
        <v>74</v>
      </c>
      <c r="AB1370" t="s">
        <v>74</v>
      </c>
      <c r="AC1370" t="s">
        <v>28648</v>
      </c>
      <c r="AD1370" t="s">
        <v>28647</v>
      </c>
      <c r="AE1370" t="s">
        <v>28646</v>
      </c>
      <c r="AF1370" t="s">
        <v>74</v>
      </c>
      <c r="AG1370">
        <v>18</v>
      </c>
      <c r="AH1370">
        <v>0</v>
      </c>
      <c r="AI1370">
        <v>0</v>
      </c>
      <c r="AJ1370">
        <v>0</v>
      </c>
      <c r="AK1370">
        <v>7</v>
      </c>
      <c r="AL1370" t="s">
        <v>862</v>
      </c>
      <c r="AM1370" t="s">
        <v>863</v>
      </c>
      <c r="AN1370" t="s">
        <v>864</v>
      </c>
      <c r="AO1370" t="s">
        <v>28645</v>
      </c>
      <c r="AP1370" t="s">
        <v>74</v>
      </c>
      <c r="AQ1370" t="s">
        <v>74</v>
      </c>
      <c r="AR1370" t="s">
        <v>28644</v>
      </c>
      <c r="AS1370" t="s">
        <v>28643</v>
      </c>
      <c r="AT1370" t="s">
        <v>17887</v>
      </c>
      <c r="AU1370">
        <v>2018</v>
      </c>
      <c r="AV1370">
        <v>33</v>
      </c>
      <c r="AW1370">
        <v>1</v>
      </c>
      <c r="AX1370" t="s">
        <v>74</v>
      </c>
      <c r="AY1370" t="s">
        <v>74</v>
      </c>
      <c r="AZ1370" t="s">
        <v>74</v>
      </c>
      <c r="BA1370" t="s">
        <v>74</v>
      </c>
      <c r="BB1370">
        <v>154</v>
      </c>
      <c r="BC1370">
        <v>167</v>
      </c>
      <c r="BD1370" t="s">
        <v>74</v>
      </c>
      <c r="BE1370" t="s">
        <v>28642</v>
      </c>
      <c r="BF1370" t="str">
        <f>HYPERLINK("http://dx.doi.org/10.3138/cjpe.36295","http://dx.doi.org/10.3138/cjpe.36295")</f>
        <v>http://dx.doi.org/10.3138/cjpe.36295</v>
      </c>
      <c r="BG1370" t="s">
        <v>74</v>
      </c>
      <c r="BH1370" t="s">
        <v>74</v>
      </c>
      <c r="BI1370">
        <v>14</v>
      </c>
      <c r="BJ1370" t="s">
        <v>364</v>
      </c>
      <c r="BK1370" t="s">
        <v>313</v>
      </c>
      <c r="BL1370" t="s">
        <v>365</v>
      </c>
      <c r="BM1370" t="s">
        <v>28641</v>
      </c>
      <c r="BN1370" t="s">
        <v>74</v>
      </c>
      <c r="BO1370" t="s">
        <v>1205</v>
      </c>
      <c r="BP1370" t="s">
        <v>74</v>
      </c>
      <c r="BQ1370" t="s">
        <v>74</v>
      </c>
      <c r="BR1370" t="s">
        <v>102</v>
      </c>
      <c r="BS1370" t="s">
        <v>28640</v>
      </c>
      <c r="BT1370" t="str">
        <f>HYPERLINK("https%3A%2F%2Fwww.webofscience.com%2Fwos%2Fwoscc%2Ffull-record%2FWOS:000544127100009","View Full Record in Web of Science")</f>
        <v>View Full Record in Web of Science</v>
      </c>
    </row>
    <row r="1371" spans="1:72" x14ac:dyDescent="0.25">
      <c r="A1371" t="s">
        <v>72</v>
      </c>
      <c r="B1371" t="s">
        <v>28639</v>
      </c>
      <c r="C1371" t="s">
        <v>74</v>
      </c>
      <c r="D1371" t="s">
        <v>74</v>
      </c>
      <c r="E1371" t="s">
        <v>74</v>
      </c>
      <c r="F1371" t="s">
        <v>28638</v>
      </c>
      <c r="G1371" t="s">
        <v>74</v>
      </c>
      <c r="H1371" t="s">
        <v>74</v>
      </c>
      <c r="I1371" t="s">
        <v>28637</v>
      </c>
      <c r="J1371" t="s">
        <v>7004</v>
      </c>
      <c r="K1371" t="s">
        <v>74</v>
      </c>
      <c r="L1371" t="s">
        <v>74</v>
      </c>
      <c r="M1371" t="s">
        <v>298</v>
      </c>
      <c r="N1371" t="s">
        <v>79</v>
      </c>
      <c r="O1371" t="s">
        <v>74</v>
      </c>
      <c r="P1371" t="s">
        <v>74</v>
      </c>
      <c r="Q1371" t="s">
        <v>74</v>
      </c>
      <c r="R1371" t="s">
        <v>74</v>
      </c>
      <c r="S1371" t="s">
        <v>74</v>
      </c>
      <c r="T1371" t="s">
        <v>28636</v>
      </c>
      <c r="U1371" t="s">
        <v>74</v>
      </c>
      <c r="V1371" t="s">
        <v>28635</v>
      </c>
      <c r="W1371" t="s">
        <v>28634</v>
      </c>
      <c r="X1371" t="s">
        <v>74</v>
      </c>
      <c r="Y1371" t="s">
        <v>28633</v>
      </c>
      <c r="Z1371" t="s">
        <v>74</v>
      </c>
      <c r="AA1371" t="s">
        <v>74</v>
      </c>
      <c r="AB1371" t="s">
        <v>28632</v>
      </c>
      <c r="AC1371" t="s">
        <v>74</v>
      </c>
      <c r="AD1371" t="s">
        <v>74</v>
      </c>
      <c r="AE1371" t="s">
        <v>74</v>
      </c>
      <c r="AF1371" t="s">
        <v>74</v>
      </c>
      <c r="AG1371">
        <v>38</v>
      </c>
      <c r="AH1371">
        <v>1</v>
      </c>
      <c r="AI1371">
        <v>1</v>
      </c>
      <c r="AJ1371">
        <v>0</v>
      </c>
      <c r="AK1371">
        <v>1</v>
      </c>
      <c r="AL1371" t="s">
        <v>7014</v>
      </c>
      <c r="AM1371" t="s">
        <v>7015</v>
      </c>
      <c r="AN1371" t="s">
        <v>7016</v>
      </c>
      <c r="AO1371" t="s">
        <v>74</v>
      </c>
      <c r="AP1371" t="s">
        <v>7017</v>
      </c>
      <c r="AQ1371" t="s">
        <v>74</v>
      </c>
      <c r="AR1371" t="s">
        <v>7018</v>
      </c>
      <c r="AS1371" t="s">
        <v>7019</v>
      </c>
      <c r="AT1371" t="s">
        <v>7020</v>
      </c>
      <c r="AU1371">
        <v>2024</v>
      </c>
      <c r="AV1371">
        <v>19</v>
      </c>
      <c r="AW1371">
        <v>1</v>
      </c>
      <c r="AX1371" t="s">
        <v>74</v>
      </c>
      <c r="AY1371" t="s">
        <v>74</v>
      </c>
      <c r="AZ1371" t="s">
        <v>74</v>
      </c>
      <c r="BA1371" t="s">
        <v>74</v>
      </c>
      <c r="BB1371" t="s">
        <v>74</v>
      </c>
      <c r="BC1371" t="s">
        <v>74</v>
      </c>
      <c r="BD1371" t="s">
        <v>28631</v>
      </c>
      <c r="BE1371" t="s">
        <v>28630</v>
      </c>
      <c r="BF1371" t="str">
        <f>HYPERLINK("http://dx.doi.org/10.21919/remef.v19i1.933","http://dx.doi.org/10.21919/remef.v19i1.933")</f>
        <v>http://dx.doi.org/10.21919/remef.v19i1.933</v>
      </c>
      <c r="BG1371" t="s">
        <v>74</v>
      </c>
      <c r="BH1371" t="s">
        <v>74</v>
      </c>
      <c r="BI1371">
        <v>19</v>
      </c>
      <c r="BJ1371" t="s">
        <v>210</v>
      </c>
      <c r="BK1371" t="s">
        <v>313</v>
      </c>
      <c r="BL1371" t="s">
        <v>100</v>
      </c>
      <c r="BM1371" t="s">
        <v>7023</v>
      </c>
      <c r="BN1371" t="s">
        <v>74</v>
      </c>
      <c r="BO1371" t="s">
        <v>916</v>
      </c>
      <c r="BP1371" t="s">
        <v>74</v>
      </c>
      <c r="BQ1371" t="s">
        <v>74</v>
      </c>
      <c r="BR1371" t="s">
        <v>102</v>
      </c>
      <c r="BS1371" t="s">
        <v>28629</v>
      </c>
      <c r="BT1371" t="str">
        <f>HYPERLINK("https%3A%2F%2Fwww.webofscience.com%2Fwos%2Fwoscc%2Ffull-record%2FWOS:001637628300006","View Full Record in Web of Science")</f>
        <v>View Full Record in Web of Science</v>
      </c>
    </row>
    <row r="1372" spans="1:72" x14ac:dyDescent="0.25">
      <c r="A1372" t="s">
        <v>72</v>
      </c>
      <c r="B1372" t="s">
        <v>28628</v>
      </c>
      <c r="C1372" t="s">
        <v>74</v>
      </c>
      <c r="D1372" t="s">
        <v>74</v>
      </c>
      <c r="E1372" t="s">
        <v>74</v>
      </c>
      <c r="F1372" t="s">
        <v>28627</v>
      </c>
      <c r="G1372" t="s">
        <v>74</v>
      </c>
      <c r="H1372" t="s">
        <v>74</v>
      </c>
      <c r="I1372" t="s">
        <v>28626</v>
      </c>
      <c r="J1372" t="s">
        <v>28625</v>
      </c>
      <c r="K1372" t="s">
        <v>74</v>
      </c>
      <c r="L1372" t="s">
        <v>74</v>
      </c>
      <c r="M1372" t="s">
        <v>78</v>
      </c>
      <c r="N1372" t="s">
        <v>79</v>
      </c>
      <c r="O1372" t="s">
        <v>74</v>
      </c>
      <c r="P1372" t="s">
        <v>74</v>
      </c>
      <c r="Q1372" t="s">
        <v>74</v>
      </c>
      <c r="R1372" t="s">
        <v>74</v>
      </c>
      <c r="S1372" t="s">
        <v>74</v>
      </c>
      <c r="T1372" t="s">
        <v>28624</v>
      </c>
      <c r="U1372" t="s">
        <v>28623</v>
      </c>
      <c r="V1372" t="s">
        <v>28622</v>
      </c>
      <c r="W1372" t="s">
        <v>28621</v>
      </c>
      <c r="X1372" t="s">
        <v>28620</v>
      </c>
      <c r="Y1372" t="s">
        <v>28619</v>
      </c>
      <c r="Z1372" t="s">
        <v>28618</v>
      </c>
      <c r="AA1372" t="s">
        <v>28617</v>
      </c>
      <c r="AB1372" t="s">
        <v>28616</v>
      </c>
      <c r="AC1372" t="s">
        <v>28615</v>
      </c>
      <c r="AD1372" t="s">
        <v>28614</v>
      </c>
      <c r="AE1372" t="s">
        <v>28613</v>
      </c>
      <c r="AF1372" t="s">
        <v>74</v>
      </c>
      <c r="AG1372">
        <v>63</v>
      </c>
      <c r="AH1372">
        <v>1</v>
      </c>
      <c r="AI1372">
        <v>2</v>
      </c>
      <c r="AJ1372">
        <v>1</v>
      </c>
      <c r="AK1372">
        <v>13</v>
      </c>
      <c r="AL1372" t="s">
        <v>201</v>
      </c>
      <c r="AM1372" t="s">
        <v>202</v>
      </c>
      <c r="AN1372" t="s">
        <v>203</v>
      </c>
      <c r="AO1372" t="s">
        <v>28612</v>
      </c>
      <c r="AP1372" t="s">
        <v>74</v>
      </c>
      <c r="AQ1372" t="s">
        <v>74</v>
      </c>
      <c r="AR1372" t="s">
        <v>28611</v>
      </c>
      <c r="AS1372" t="s">
        <v>28610</v>
      </c>
      <c r="AT1372" t="s">
        <v>124</v>
      </c>
      <c r="AU1372">
        <v>2024</v>
      </c>
      <c r="AV1372">
        <v>18</v>
      </c>
      <c r="AW1372" t="s">
        <v>74</v>
      </c>
      <c r="AX1372" t="s">
        <v>74</v>
      </c>
      <c r="AY1372" t="s">
        <v>74</v>
      </c>
      <c r="AZ1372" t="s">
        <v>74</v>
      </c>
      <c r="BA1372" t="s">
        <v>74</v>
      </c>
      <c r="BB1372" t="s">
        <v>74</v>
      </c>
      <c r="BC1372" t="s">
        <v>74</v>
      </c>
      <c r="BD1372">
        <v>101448</v>
      </c>
      <c r="BE1372" t="s">
        <v>28609</v>
      </c>
      <c r="BF1372" t="str">
        <f>HYPERLINK("http://dx.doi.org/10.1016/j.jafr.2024.101448","http://dx.doi.org/10.1016/j.jafr.2024.101448")</f>
        <v>http://dx.doi.org/10.1016/j.jafr.2024.101448</v>
      </c>
      <c r="BG1372" t="s">
        <v>74</v>
      </c>
      <c r="BH1372" t="s">
        <v>1136</v>
      </c>
      <c r="BI1372">
        <v>10</v>
      </c>
      <c r="BJ1372" t="s">
        <v>28608</v>
      </c>
      <c r="BK1372" t="s">
        <v>313</v>
      </c>
      <c r="BL1372" t="s">
        <v>28607</v>
      </c>
      <c r="BM1372" t="s">
        <v>28606</v>
      </c>
      <c r="BN1372" t="s">
        <v>74</v>
      </c>
      <c r="BO1372" t="s">
        <v>212</v>
      </c>
      <c r="BP1372" t="s">
        <v>74</v>
      </c>
      <c r="BQ1372" t="s">
        <v>74</v>
      </c>
      <c r="BR1372" t="s">
        <v>102</v>
      </c>
      <c r="BS1372" t="s">
        <v>28605</v>
      </c>
      <c r="BT1372" t="str">
        <f>HYPERLINK("https%3A%2F%2Fwww.webofscience.com%2Fwos%2Fwoscc%2Ffull-record%2FWOS:001333093600001","View Full Record in Web of Science")</f>
        <v>View Full Record in Web of Science</v>
      </c>
    </row>
    <row r="1373" spans="1:72" x14ac:dyDescent="0.25">
      <c r="A1373" t="s">
        <v>132</v>
      </c>
      <c r="B1373" t="s">
        <v>28604</v>
      </c>
      <c r="C1373" t="s">
        <v>74</v>
      </c>
      <c r="D1373" t="s">
        <v>28603</v>
      </c>
      <c r="E1373" t="s">
        <v>74</v>
      </c>
      <c r="F1373" t="s">
        <v>28602</v>
      </c>
      <c r="G1373" t="s">
        <v>74</v>
      </c>
      <c r="H1373" t="s">
        <v>74</v>
      </c>
      <c r="I1373" t="s">
        <v>28601</v>
      </c>
      <c r="J1373" t="s">
        <v>28600</v>
      </c>
      <c r="K1373" t="s">
        <v>28599</v>
      </c>
      <c r="L1373" t="s">
        <v>74</v>
      </c>
      <c r="M1373" t="s">
        <v>78</v>
      </c>
      <c r="N1373" t="s">
        <v>138</v>
      </c>
      <c r="O1373" t="s">
        <v>28598</v>
      </c>
      <c r="P1373" t="s">
        <v>28597</v>
      </c>
      <c r="Q1373" t="s">
        <v>28596</v>
      </c>
      <c r="R1373" t="s">
        <v>74</v>
      </c>
      <c r="S1373" t="s">
        <v>74</v>
      </c>
      <c r="T1373" t="s">
        <v>28595</v>
      </c>
      <c r="U1373" t="s">
        <v>28594</v>
      </c>
      <c r="V1373" t="s">
        <v>28593</v>
      </c>
      <c r="W1373" t="s">
        <v>28592</v>
      </c>
      <c r="X1373" t="s">
        <v>74</v>
      </c>
      <c r="Y1373" t="s">
        <v>28591</v>
      </c>
      <c r="Z1373" t="s">
        <v>28590</v>
      </c>
      <c r="AA1373" t="s">
        <v>74</v>
      </c>
      <c r="AB1373" t="s">
        <v>74</v>
      </c>
      <c r="AC1373" t="s">
        <v>74</v>
      </c>
      <c r="AD1373" t="s">
        <v>74</v>
      </c>
      <c r="AE1373" t="s">
        <v>74</v>
      </c>
      <c r="AF1373" t="s">
        <v>74</v>
      </c>
      <c r="AG1373">
        <v>47</v>
      </c>
      <c r="AH1373">
        <v>0</v>
      </c>
      <c r="AI1373">
        <v>0</v>
      </c>
      <c r="AJ1373">
        <v>0</v>
      </c>
      <c r="AK1373">
        <v>0</v>
      </c>
      <c r="AL1373" t="s">
        <v>28589</v>
      </c>
      <c r="AM1373" t="s">
        <v>260</v>
      </c>
      <c r="AN1373" t="s">
        <v>28588</v>
      </c>
      <c r="AO1373" t="s">
        <v>28587</v>
      </c>
      <c r="AP1373" t="s">
        <v>74</v>
      </c>
      <c r="AQ1373" t="s">
        <v>74</v>
      </c>
      <c r="AR1373" t="s">
        <v>28586</v>
      </c>
      <c r="AS1373" t="s">
        <v>74</v>
      </c>
      <c r="AT1373" t="s">
        <v>74</v>
      </c>
      <c r="AU1373">
        <v>2023</v>
      </c>
      <c r="AV1373">
        <v>211</v>
      </c>
      <c r="AW1373" t="s">
        <v>74</v>
      </c>
      <c r="AX1373" t="s">
        <v>74</v>
      </c>
      <c r="AY1373" t="s">
        <v>74</v>
      </c>
      <c r="AZ1373" t="s">
        <v>74</v>
      </c>
      <c r="BA1373" t="s">
        <v>74</v>
      </c>
      <c r="BB1373" t="s">
        <v>74</v>
      </c>
      <c r="BC1373" t="s">
        <v>74</v>
      </c>
      <c r="BD1373" t="s">
        <v>74</v>
      </c>
      <c r="BE1373" t="s">
        <v>74</v>
      </c>
      <c r="BF1373" t="s">
        <v>74</v>
      </c>
      <c r="BG1373" t="s">
        <v>74</v>
      </c>
      <c r="BH1373" t="s">
        <v>74</v>
      </c>
      <c r="BI1373">
        <v>13</v>
      </c>
      <c r="BJ1373" t="s">
        <v>28585</v>
      </c>
      <c r="BK1373" t="s">
        <v>156</v>
      </c>
      <c r="BL1373" t="s">
        <v>28584</v>
      </c>
      <c r="BM1373" t="s">
        <v>28583</v>
      </c>
      <c r="BN1373" t="s">
        <v>74</v>
      </c>
      <c r="BO1373" t="s">
        <v>74</v>
      </c>
      <c r="BP1373" t="s">
        <v>74</v>
      </c>
      <c r="BQ1373" t="s">
        <v>74</v>
      </c>
      <c r="BR1373" t="s">
        <v>102</v>
      </c>
      <c r="BS1373" t="s">
        <v>28582</v>
      </c>
      <c r="BT1373" t="str">
        <f>HYPERLINK("https%3A%2F%2Fwww.webofscience.com%2Fwos%2Fwoscc%2Ffull-record%2FWOS:001221742900070","View Full Record in Web of Science")</f>
        <v>View Full Record in Web of Science</v>
      </c>
    </row>
    <row r="1374" spans="1:72" x14ac:dyDescent="0.25">
      <c r="A1374" t="s">
        <v>72</v>
      </c>
      <c r="B1374" t="s">
        <v>28581</v>
      </c>
      <c r="C1374" t="s">
        <v>74</v>
      </c>
      <c r="D1374" t="s">
        <v>74</v>
      </c>
      <c r="E1374" t="s">
        <v>74</v>
      </c>
      <c r="F1374" t="s">
        <v>28580</v>
      </c>
      <c r="G1374" t="s">
        <v>74</v>
      </c>
      <c r="H1374" t="s">
        <v>74</v>
      </c>
      <c r="I1374" t="s">
        <v>28579</v>
      </c>
      <c r="J1374" t="s">
        <v>5878</v>
      </c>
      <c r="K1374" t="s">
        <v>74</v>
      </c>
      <c r="L1374" t="s">
        <v>74</v>
      </c>
      <c r="M1374" t="s">
        <v>78</v>
      </c>
      <c r="N1374" t="s">
        <v>79</v>
      </c>
      <c r="O1374" t="s">
        <v>74</v>
      </c>
      <c r="P1374" t="s">
        <v>74</v>
      </c>
      <c r="Q1374" t="s">
        <v>74</v>
      </c>
      <c r="R1374" t="s">
        <v>74</v>
      </c>
      <c r="S1374" t="s">
        <v>74</v>
      </c>
      <c r="T1374" t="s">
        <v>28578</v>
      </c>
      <c r="U1374" t="s">
        <v>28577</v>
      </c>
      <c r="V1374" t="s">
        <v>28576</v>
      </c>
      <c r="W1374" t="s">
        <v>28575</v>
      </c>
      <c r="X1374" t="s">
        <v>28574</v>
      </c>
      <c r="Y1374" t="s">
        <v>28573</v>
      </c>
      <c r="Z1374" t="s">
        <v>28572</v>
      </c>
      <c r="AA1374" t="s">
        <v>28571</v>
      </c>
      <c r="AB1374" t="s">
        <v>74</v>
      </c>
      <c r="AC1374" t="s">
        <v>74</v>
      </c>
      <c r="AD1374" t="s">
        <v>74</v>
      </c>
      <c r="AE1374" t="s">
        <v>74</v>
      </c>
      <c r="AF1374" t="s">
        <v>74</v>
      </c>
      <c r="AG1374">
        <v>70</v>
      </c>
      <c r="AH1374">
        <v>0</v>
      </c>
      <c r="AI1374">
        <v>2</v>
      </c>
      <c r="AJ1374">
        <v>0</v>
      </c>
      <c r="AK1374">
        <v>12</v>
      </c>
      <c r="AL1374" t="s">
        <v>5885</v>
      </c>
      <c r="AM1374" t="s">
        <v>5886</v>
      </c>
      <c r="AN1374" t="s">
        <v>5887</v>
      </c>
      <c r="AO1374" t="s">
        <v>5888</v>
      </c>
      <c r="AP1374" t="s">
        <v>5889</v>
      </c>
      <c r="AQ1374" t="s">
        <v>74</v>
      </c>
      <c r="AR1374" t="s">
        <v>5890</v>
      </c>
      <c r="AS1374" t="s">
        <v>5891</v>
      </c>
      <c r="AT1374" t="s">
        <v>7020</v>
      </c>
      <c r="AU1374">
        <v>2022</v>
      </c>
      <c r="AV1374">
        <v>22</v>
      </c>
      <c r="AW1374">
        <v>1</v>
      </c>
      <c r="AX1374" t="s">
        <v>74</v>
      </c>
      <c r="AY1374" t="s">
        <v>74</v>
      </c>
      <c r="AZ1374" t="s">
        <v>74</v>
      </c>
      <c r="BA1374" t="s">
        <v>74</v>
      </c>
      <c r="BB1374">
        <v>168</v>
      </c>
      <c r="BC1374">
        <v>192</v>
      </c>
      <c r="BD1374" t="s">
        <v>74</v>
      </c>
      <c r="BE1374" t="s">
        <v>28570</v>
      </c>
      <c r="BF1374" t="str">
        <f>HYPERLINK("http://dx.doi.org/10.20397/2177-6652/2022.v22i1.1721","http://dx.doi.org/10.20397/2177-6652/2022.v22i1.1721")</f>
        <v>http://dx.doi.org/10.20397/2177-6652/2022.v22i1.1721</v>
      </c>
      <c r="BG1374" t="s">
        <v>74</v>
      </c>
      <c r="BH1374" t="s">
        <v>74</v>
      </c>
      <c r="BI1374">
        <v>25</v>
      </c>
      <c r="BJ1374" t="s">
        <v>583</v>
      </c>
      <c r="BK1374" t="s">
        <v>313</v>
      </c>
      <c r="BL1374" t="s">
        <v>100</v>
      </c>
      <c r="BM1374" t="s">
        <v>28569</v>
      </c>
      <c r="BN1374" t="s">
        <v>74</v>
      </c>
      <c r="BO1374" t="s">
        <v>74</v>
      </c>
      <c r="BP1374" t="s">
        <v>74</v>
      </c>
      <c r="BQ1374" t="s">
        <v>74</v>
      </c>
      <c r="BR1374" t="s">
        <v>102</v>
      </c>
      <c r="BS1374" t="s">
        <v>28568</v>
      </c>
      <c r="BT1374" t="str">
        <f>HYPERLINK("https%3A%2F%2Fwww.webofscience.com%2Fwos%2Fwoscc%2Ffull-record%2FWOS:000778732900012","View Full Record in Web of Science")</f>
        <v>View Full Record in Web of Science</v>
      </c>
    </row>
    <row r="1375" spans="1:72" x14ac:dyDescent="0.25">
      <c r="A1375" t="s">
        <v>72</v>
      </c>
      <c r="B1375" t="s">
        <v>28567</v>
      </c>
      <c r="C1375" t="s">
        <v>74</v>
      </c>
      <c r="D1375" t="s">
        <v>74</v>
      </c>
      <c r="E1375" t="s">
        <v>74</v>
      </c>
      <c r="F1375" t="s">
        <v>28566</v>
      </c>
      <c r="G1375" t="s">
        <v>74</v>
      </c>
      <c r="H1375" t="s">
        <v>74</v>
      </c>
      <c r="I1375" t="s">
        <v>28565</v>
      </c>
      <c r="J1375" t="s">
        <v>2943</v>
      </c>
      <c r="K1375" t="s">
        <v>74</v>
      </c>
      <c r="L1375" t="s">
        <v>74</v>
      </c>
      <c r="M1375" t="s">
        <v>78</v>
      </c>
      <c r="N1375" t="s">
        <v>1766</v>
      </c>
      <c r="O1375" t="s">
        <v>74</v>
      </c>
      <c r="P1375" t="s">
        <v>74</v>
      </c>
      <c r="Q1375" t="s">
        <v>74</v>
      </c>
      <c r="R1375" t="s">
        <v>74</v>
      </c>
      <c r="S1375" t="s">
        <v>74</v>
      </c>
      <c r="T1375" t="s">
        <v>28564</v>
      </c>
      <c r="U1375" t="s">
        <v>28563</v>
      </c>
      <c r="V1375" t="s">
        <v>28562</v>
      </c>
      <c r="W1375" t="s">
        <v>28561</v>
      </c>
      <c r="X1375" t="s">
        <v>74</v>
      </c>
      <c r="Y1375" t="s">
        <v>28560</v>
      </c>
      <c r="Z1375" t="s">
        <v>28559</v>
      </c>
      <c r="AA1375" t="s">
        <v>28558</v>
      </c>
      <c r="AB1375" t="s">
        <v>74</v>
      </c>
      <c r="AC1375" t="s">
        <v>74</v>
      </c>
      <c r="AD1375" t="s">
        <v>74</v>
      </c>
      <c r="AE1375" t="s">
        <v>74</v>
      </c>
      <c r="AF1375" t="s">
        <v>74</v>
      </c>
      <c r="AG1375">
        <v>74</v>
      </c>
      <c r="AH1375">
        <v>2</v>
      </c>
      <c r="AI1375">
        <v>4</v>
      </c>
      <c r="AJ1375">
        <v>7</v>
      </c>
      <c r="AK1375">
        <v>11</v>
      </c>
      <c r="AL1375" t="s">
        <v>385</v>
      </c>
      <c r="AM1375" t="s">
        <v>151</v>
      </c>
      <c r="AN1375" t="s">
        <v>386</v>
      </c>
      <c r="AO1375" t="s">
        <v>2952</v>
      </c>
      <c r="AP1375" t="s">
        <v>2953</v>
      </c>
      <c r="AQ1375" t="s">
        <v>74</v>
      </c>
      <c r="AR1375" t="s">
        <v>2954</v>
      </c>
      <c r="AS1375" t="s">
        <v>2955</v>
      </c>
      <c r="AT1375" t="s">
        <v>7131</v>
      </c>
      <c r="AU1375">
        <v>2025</v>
      </c>
      <c r="AV1375">
        <v>11</v>
      </c>
      <c r="AW1375">
        <v>1</v>
      </c>
      <c r="AX1375" t="s">
        <v>74</v>
      </c>
      <c r="AY1375" t="s">
        <v>74</v>
      </c>
      <c r="AZ1375" t="s">
        <v>74</v>
      </c>
      <c r="BA1375" t="s">
        <v>74</v>
      </c>
      <c r="BB1375" t="s">
        <v>74</v>
      </c>
      <c r="BC1375" t="s">
        <v>74</v>
      </c>
      <c r="BD1375">
        <v>69</v>
      </c>
      <c r="BE1375" t="s">
        <v>28557</v>
      </c>
      <c r="BF1375" t="str">
        <f>HYPERLINK("http://dx.doi.org/10.1186/s43093-025-00495-w","http://dx.doi.org/10.1186/s43093-025-00495-w")</f>
        <v>http://dx.doi.org/10.1186/s43093-025-00495-w</v>
      </c>
      <c r="BG1375" t="s">
        <v>74</v>
      </c>
      <c r="BH1375" t="s">
        <v>74</v>
      </c>
      <c r="BI1375">
        <v>18</v>
      </c>
      <c r="BJ1375" t="s">
        <v>418</v>
      </c>
      <c r="BK1375" t="s">
        <v>313</v>
      </c>
      <c r="BL1375" t="s">
        <v>100</v>
      </c>
      <c r="BM1375" t="s">
        <v>28556</v>
      </c>
      <c r="BN1375" t="s">
        <v>74</v>
      </c>
      <c r="BO1375" t="s">
        <v>212</v>
      </c>
      <c r="BP1375" t="s">
        <v>74</v>
      </c>
      <c r="BQ1375" t="s">
        <v>74</v>
      </c>
      <c r="BR1375" t="s">
        <v>102</v>
      </c>
      <c r="BS1375" t="s">
        <v>28555</v>
      </c>
      <c r="BT1375" t="str">
        <f>HYPERLINK("https%3A%2F%2Fwww.webofscience.com%2Fwos%2Fwoscc%2Ffull-record%2FWOS:001464736400003","View Full Record in Web of Science")</f>
        <v>View Full Record in Web of Science</v>
      </c>
    </row>
    <row r="1376" spans="1:72" x14ac:dyDescent="0.25">
      <c r="A1376" t="s">
        <v>72</v>
      </c>
      <c r="B1376" t="s">
        <v>28554</v>
      </c>
      <c r="C1376" t="s">
        <v>74</v>
      </c>
      <c r="D1376" t="s">
        <v>74</v>
      </c>
      <c r="E1376" t="s">
        <v>74</v>
      </c>
      <c r="F1376" t="s">
        <v>28553</v>
      </c>
      <c r="G1376" t="s">
        <v>74</v>
      </c>
      <c r="H1376" t="s">
        <v>74</v>
      </c>
      <c r="I1376" t="s">
        <v>28552</v>
      </c>
      <c r="J1376" t="s">
        <v>3036</v>
      </c>
      <c r="K1376" t="s">
        <v>74</v>
      </c>
      <c r="L1376" t="s">
        <v>74</v>
      </c>
      <c r="M1376" t="s">
        <v>78</v>
      </c>
      <c r="N1376" t="s">
        <v>79</v>
      </c>
      <c r="O1376" t="s">
        <v>74</v>
      </c>
      <c r="P1376" t="s">
        <v>74</v>
      </c>
      <c r="Q1376" t="s">
        <v>74</v>
      </c>
      <c r="R1376" t="s">
        <v>74</v>
      </c>
      <c r="S1376" t="s">
        <v>74</v>
      </c>
      <c r="T1376" t="s">
        <v>28551</v>
      </c>
      <c r="U1376" t="s">
        <v>28550</v>
      </c>
      <c r="V1376" t="s">
        <v>28549</v>
      </c>
      <c r="W1376" t="s">
        <v>28548</v>
      </c>
      <c r="X1376" t="s">
        <v>28547</v>
      </c>
      <c r="Y1376" t="s">
        <v>28546</v>
      </c>
      <c r="Z1376" t="s">
        <v>28545</v>
      </c>
      <c r="AA1376" t="s">
        <v>28544</v>
      </c>
      <c r="AB1376" t="s">
        <v>28543</v>
      </c>
      <c r="AC1376" t="s">
        <v>74</v>
      </c>
      <c r="AD1376" t="s">
        <v>74</v>
      </c>
      <c r="AE1376" t="s">
        <v>74</v>
      </c>
      <c r="AF1376" t="s">
        <v>74</v>
      </c>
      <c r="AG1376">
        <v>69</v>
      </c>
      <c r="AH1376">
        <v>7</v>
      </c>
      <c r="AI1376">
        <v>8</v>
      </c>
      <c r="AJ1376">
        <v>0</v>
      </c>
      <c r="AK1376">
        <v>10</v>
      </c>
      <c r="AL1376" t="s">
        <v>385</v>
      </c>
      <c r="AM1376" t="s">
        <v>151</v>
      </c>
      <c r="AN1376" t="s">
        <v>386</v>
      </c>
      <c r="AO1376" t="s">
        <v>3045</v>
      </c>
      <c r="AP1376" t="s">
        <v>3046</v>
      </c>
      <c r="AQ1376" t="s">
        <v>74</v>
      </c>
      <c r="AR1376" t="s">
        <v>3047</v>
      </c>
      <c r="AS1376" t="s">
        <v>3048</v>
      </c>
      <c r="AT1376" t="s">
        <v>605</v>
      </c>
      <c r="AU1376">
        <v>2023</v>
      </c>
      <c r="AV1376">
        <v>14</v>
      </c>
      <c r="AW1376">
        <v>1</v>
      </c>
      <c r="AX1376" t="s">
        <v>74</v>
      </c>
      <c r="AY1376" t="s">
        <v>74</v>
      </c>
      <c r="AZ1376" t="s">
        <v>74</v>
      </c>
      <c r="BA1376" t="s">
        <v>74</v>
      </c>
      <c r="BB1376">
        <v>65</v>
      </c>
      <c r="BC1376">
        <v>85</v>
      </c>
      <c r="BD1376" t="s">
        <v>74</v>
      </c>
      <c r="BE1376" t="s">
        <v>28542</v>
      </c>
      <c r="BF1376" t="str">
        <f>HYPERLINK("http://dx.doi.org/10.1007/s13132-021-00863-1","http://dx.doi.org/10.1007/s13132-021-00863-1")</f>
        <v>http://dx.doi.org/10.1007/s13132-021-00863-1</v>
      </c>
      <c r="BG1376" t="s">
        <v>74</v>
      </c>
      <c r="BH1376" t="s">
        <v>6548</v>
      </c>
      <c r="BI1376">
        <v>21</v>
      </c>
      <c r="BJ1376" t="s">
        <v>291</v>
      </c>
      <c r="BK1376" t="s">
        <v>99</v>
      </c>
      <c r="BL1376" t="s">
        <v>100</v>
      </c>
      <c r="BM1376" t="s">
        <v>28541</v>
      </c>
      <c r="BN1376" t="s">
        <v>74</v>
      </c>
      <c r="BO1376" t="s">
        <v>74</v>
      </c>
      <c r="BP1376" t="s">
        <v>74</v>
      </c>
      <c r="BQ1376" t="s">
        <v>74</v>
      </c>
      <c r="BR1376" t="s">
        <v>102</v>
      </c>
      <c r="BS1376" t="s">
        <v>28540</v>
      </c>
      <c r="BT1376" t="str">
        <f>HYPERLINK("https%3A%2F%2Fwww.webofscience.com%2Fwos%2Fwoscc%2Ffull-record%2FWOS:000740428300001","View Full Record in Web of Science")</f>
        <v>View Full Record in Web of Science</v>
      </c>
    </row>
    <row r="1377" spans="1:72" x14ac:dyDescent="0.25">
      <c r="A1377" t="s">
        <v>72</v>
      </c>
      <c r="B1377" t="s">
        <v>28539</v>
      </c>
      <c r="C1377" t="s">
        <v>74</v>
      </c>
      <c r="D1377" t="s">
        <v>74</v>
      </c>
      <c r="E1377" t="s">
        <v>74</v>
      </c>
      <c r="F1377" t="s">
        <v>28538</v>
      </c>
      <c r="G1377" t="s">
        <v>74</v>
      </c>
      <c r="H1377" t="s">
        <v>74</v>
      </c>
      <c r="I1377" t="s">
        <v>28537</v>
      </c>
      <c r="J1377" t="s">
        <v>28536</v>
      </c>
      <c r="K1377" t="s">
        <v>74</v>
      </c>
      <c r="L1377" t="s">
        <v>74</v>
      </c>
      <c r="M1377" t="s">
        <v>78</v>
      </c>
      <c r="N1377" t="s">
        <v>79</v>
      </c>
      <c r="O1377" t="s">
        <v>74</v>
      </c>
      <c r="P1377" t="s">
        <v>74</v>
      </c>
      <c r="Q1377" t="s">
        <v>74</v>
      </c>
      <c r="R1377" t="s">
        <v>74</v>
      </c>
      <c r="S1377" t="s">
        <v>74</v>
      </c>
      <c r="T1377" t="s">
        <v>28535</v>
      </c>
      <c r="U1377" t="s">
        <v>28534</v>
      </c>
      <c r="V1377" t="s">
        <v>28533</v>
      </c>
      <c r="W1377" t="s">
        <v>28532</v>
      </c>
      <c r="X1377" t="s">
        <v>28531</v>
      </c>
      <c r="Y1377" t="s">
        <v>28530</v>
      </c>
      <c r="Z1377" t="s">
        <v>28529</v>
      </c>
      <c r="AA1377" t="s">
        <v>28528</v>
      </c>
      <c r="AB1377" t="s">
        <v>28527</v>
      </c>
      <c r="AC1377" t="s">
        <v>28526</v>
      </c>
      <c r="AD1377" t="s">
        <v>28525</v>
      </c>
      <c r="AE1377" t="s">
        <v>28524</v>
      </c>
      <c r="AF1377" t="s">
        <v>74</v>
      </c>
      <c r="AG1377">
        <v>62</v>
      </c>
      <c r="AH1377">
        <v>6</v>
      </c>
      <c r="AI1377">
        <v>11</v>
      </c>
      <c r="AJ1377">
        <v>4</v>
      </c>
      <c r="AK1377">
        <v>15</v>
      </c>
      <c r="AL1377" t="s">
        <v>4083</v>
      </c>
      <c r="AM1377" t="s">
        <v>4084</v>
      </c>
      <c r="AN1377" t="s">
        <v>4085</v>
      </c>
      <c r="AO1377" t="s">
        <v>74</v>
      </c>
      <c r="AP1377" t="s">
        <v>28523</v>
      </c>
      <c r="AQ1377" t="s">
        <v>74</v>
      </c>
      <c r="AR1377" t="s">
        <v>28522</v>
      </c>
      <c r="AS1377" t="s">
        <v>28521</v>
      </c>
      <c r="AT1377" t="s">
        <v>698</v>
      </c>
      <c r="AU1377">
        <v>2023</v>
      </c>
      <c r="AV1377">
        <v>3</v>
      </c>
      <c r="AW1377">
        <v>3</v>
      </c>
      <c r="AX1377" t="s">
        <v>74</v>
      </c>
      <c r="AY1377" t="s">
        <v>74</v>
      </c>
      <c r="AZ1377" t="s">
        <v>74</v>
      </c>
      <c r="BA1377" t="s">
        <v>74</v>
      </c>
      <c r="BB1377">
        <v>167</v>
      </c>
      <c r="BC1377">
        <v>178</v>
      </c>
      <c r="BD1377" t="s">
        <v>74</v>
      </c>
      <c r="BE1377" t="s">
        <v>28520</v>
      </c>
      <c r="BF1377" t="str">
        <f>HYPERLINK("http://dx.doi.org/10.1016/j.ceqi.2023.08.001","http://dx.doi.org/10.1016/j.ceqi.2023.08.001")</f>
        <v>http://dx.doi.org/10.1016/j.ceqi.2023.08.001</v>
      </c>
      <c r="BG1377" t="s">
        <v>74</v>
      </c>
      <c r="BH1377" t="s">
        <v>74</v>
      </c>
      <c r="BI1377">
        <v>12</v>
      </c>
      <c r="BJ1377" t="s">
        <v>291</v>
      </c>
      <c r="BK1377" t="s">
        <v>313</v>
      </c>
      <c r="BL1377" t="s">
        <v>100</v>
      </c>
      <c r="BM1377" t="s">
        <v>28519</v>
      </c>
      <c r="BN1377" t="s">
        <v>74</v>
      </c>
      <c r="BO1377" t="s">
        <v>916</v>
      </c>
      <c r="BP1377" t="s">
        <v>74</v>
      </c>
      <c r="BQ1377" t="s">
        <v>74</v>
      </c>
      <c r="BR1377" t="s">
        <v>102</v>
      </c>
      <c r="BS1377" t="s">
        <v>28518</v>
      </c>
      <c r="BT1377" t="str">
        <f>HYPERLINK("https%3A%2F%2Fwww.webofscience.com%2Fwos%2Fwoscc%2Ffull-record%2FWOS:001107327500001","View Full Record in Web of Science")</f>
        <v>View Full Record in Web of Science</v>
      </c>
    </row>
    <row r="1378" spans="1:72" x14ac:dyDescent="0.25">
      <c r="A1378" t="s">
        <v>72</v>
      </c>
      <c r="B1378" t="s">
        <v>28517</v>
      </c>
      <c r="C1378" t="s">
        <v>74</v>
      </c>
      <c r="D1378" t="s">
        <v>74</v>
      </c>
      <c r="E1378" t="s">
        <v>74</v>
      </c>
      <c r="F1378" t="s">
        <v>28516</v>
      </c>
      <c r="G1378" t="s">
        <v>74</v>
      </c>
      <c r="H1378" t="s">
        <v>74</v>
      </c>
      <c r="I1378" t="s">
        <v>28515</v>
      </c>
      <c r="J1378" t="s">
        <v>12172</v>
      </c>
      <c r="K1378" t="s">
        <v>74</v>
      </c>
      <c r="L1378" t="s">
        <v>74</v>
      </c>
      <c r="M1378" t="s">
        <v>78</v>
      </c>
      <c r="N1378" t="s">
        <v>79</v>
      </c>
      <c r="O1378" t="s">
        <v>74</v>
      </c>
      <c r="P1378" t="s">
        <v>74</v>
      </c>
      <c r="Q1378" t="s">
        <v>74</v>
      </c>
      <c r="R1378" t="s">
        <v>74</v>
      </c>
      <c r="S1378" t="s">
        <v>74</v>
      </c>
      <c r="T1378" t="s">
        <v>28514</v>
      </c>
      <c r="U1378" t="s">
        <v>28513</v>
      </c>
      <c r="V1378" t="s">
        <v>28512</v>
      </c>
      <c r="W1378" t="s">
        <v>28511</v>
      </c>
      <c r="X1378" t="s">
        <v>28510</v>
      </c>
      <c r="Y1378" t="s">
        <v>28509</v>
      </c>
      <c r="Z1378" t="s">
        <v>21526</v>
      </c>
      <c r="AA1378" t="s">
        <v>28508</v>
      </c>
      <c r="AB1378" t="s">
        <v>21524</v>
      </c>
      <c r="AC1378" t="s">
        <v>74</v>
      </c>
      <c r="AD1378" t="s">
        <v>74</v>
      </c>
      <c r="AE1378" t="s">
        <v>74</v>
      </c>
      <c r="AF1378" t="s">
        <v>74</v>
      </c>
      <c r="AG1378">
        <v>50</v>
      </c>
      <c r="AH1378">
        <v>8</v>
      </c>
      <c r="AI1378">
        <v>9</v>
      </c>
      <c r="AJ1378">
        <v>5</v>
      </c>
      <c r="AK1378">
        <v>7</v>
      </c>
      <c r="AL1378" t="s">
        <v>757</v>
      </c>
      <c r="AM1378" t="s">
        <v>758</v>
      </c>
      <c r="AN1378" t="s">
        <v>759</v>
      </c>
      <c r="AO1378" t="s">
        <v>12179</v>
      </c>
      <c r="AP1378" t="s">
        <v>74</v>
      </c>
      <c r="AQ1378" t="s">
        <v>74</v>
      </c>
      <c r="AR1378" t="s">
        <v>12172</v>
      </c>
      <c r="AS1378" t="s">
        <v>12180</v>
      </c>
      <c r="AT1378" t="s">
        <v>208</v>
      </c>
      <c r="AU1378">
        <v>2025</v>
      </c>
      <c r="AV1378">
        <v>15</v>
      </c>
      <c r="AW1378">
        <v>1</v>
      </c>
      <c r="AX1378" t="s">
        <v>74</v>
      </c>
      <c r="AY1378" t="s">
        <v>74</v>
      </c>
      <c r="AZ1378" t="s">
        <v>74</v>
      </c>
      <c r="BA1378" t="s">
        <v>74</v>
      </c>
      <c r="BB1378" t="s">
        <v>74</v>
      </c>
      <c r="BC1378" t="s">
        <v>74</v>
      </c>
      <c r="BD1378">
        <v>2.1582440251320484E+16</v>
      </c>
      <c r="BE1378" t="s">
        <v>28507</v>
      </c>
      <c r="BF1378" t="str">
        <f>HYPERLINK("http://dx.doi.org/10.1177/21582440251320484","http://dx.doi.org/10.1177/21582440251320484")</f>
        <v>http://dx.doi.org/10.1177/21582440251320484</v>
      </c>
      <c r="BG1378" t="s">
        <v>74</v>
      </c>
      <c r="BH1378" t="s">
        <v>74</v>
      </c>
      <c r="BI1378">
        <v>14</v>
      </c>
      <c r="BJ1378" t="s">
        <v>364</v>
      </c>
      <c r="BK1378" t="s">
        <v>99</v>
      </c>
      <c r="BL1378" t="s">
        <v>365</v>
      </c>
      <c r="BM1378" t="s">
        <v>28506</v>
      </c>
      <c r="BN1378" t="s">
        <v>74</v>
      </c>
      <c r="BO1378" t="s">
        <v>212</v>
      </c>
      <c r="BP1378" t="s">
        <v>74</v>
      </c>
      <c r="BQ1378" t="s">
        <v>74</v>
      </c>
      <c r="BR1378" t="s">
        <v>102</v>
      </c>
      <c r="BS1378" t="s">
        <v>28505</v>
      </c>
      <c r="BT1378" t="str">
        <f>HYPERLINK("https%3A%2F%2Fwww.webofscience.com%2Fwos%2Fwoscc%2Ffull-record%2FWOS:001424746400001","View Full Record in Web of Science")</f>
        <v>View Full Record in Web of Science</v>
      </c>
    </row>
    <row r="1379" spans="1:72" x14ac:dyDescent="0.25">
      <c r="A1379" t="s">
        <v>72</v>
      </c>
      <c r="B1379" t="s">
        <v>28504</v>
      </c>
      <c r="C1379" t="s">
        <v>74</v>
      </c>
      <c r="D1379" t="s">
        <v>74</v>
      </c>
      <c r="E1379" t="s">
        <v>74</v>
      </c>
      <c r="F1379" t="s">
        <v>28503</v>
      </c>
      <c r="G1379" t="s">
        <v>74</v>
      </c>
      <c r="H1379" t="s">
        <v>74</v>
      </c>
      <c r="I1379" t="s">
        <v>28502</v>
      </c>
      <c r="J1379" t="s">
        <v>8286</v>
      </c>
      <c r="K1379" t="s">
        <v>74</v>
      </c>
      <c r="L1379" t="s">
        <v>74</v>
      </c>
      <c r="M1379" t="s">
        <v>78</v>
      </c>
      <c r="N1379" t="s">
        <v>79</v>
      </c>
      <c r="O1379" t="s">
        <v>74</v>
      </c>
      <c r="P1379" t="s">
        <v>74</v>
      </c>
      <c r="Q1379" t="s">
        <v>74</v>
      </c>
      <c r="R1379" t="s">
        <v>74</v>
      </c>
      <c r="S1379" t="s">
        <v>74</v>
      </c>
      <c r="T1379" t="s">
        <v>28501</v>
      </c>
      <c r="U1379" t="s">
        <v>28500</v>
      </c>
      <c r="V1379" t="s">
        <v>28499</v>
      </c>
      <c r="W1379" t="s">
        <v>28498</v>
      </c>
      <c r="X1379" t="s">
        <v>28497</v>
      </c>
      <c r="Y1379" t="s">
        <v>28496</v>
      </c>
      <c r="Z1379" t="s">
        <v>28495</v>
      </c>
      <c r="AA1379" t="s">
        <v>28494</v>
      </c>
      <c r="AB1379" t="s">
        <v>28493</v>
      </c>
      <c r="AC1379" t="s">
        <v>28492</v>
      </c>
      <c r="AD1379" t="s">
        <v>28491</v>
      </c>
      <c r="AE1379" t="s">
        <v>28490</v>
      </c>
      <c r="AF1379" t="s">
        <v>74</v>
      </c>
      <c r="AG1379">
        <v>43</v>
      </c>
      <c r="AH1379">
        <v>3</v>
      </c>
      <c r="AI1379">
        <v>4</v>
      </c>
      <c r="AJ1379">
        <v>0</v>
      </c>
      <c r="AK1379">
        <v>0</v>
      </c>
      <c r="AL1379" t="s">
        <v>479</v>
      </c>
      <c r="AM1379" t="s">
        <v>480</v>
      </c>
      <c r="AN1379" t="s">
        <v>481</v>
      </c>
      <c r="AO1379" t="s">
        <v>8296</v>
      </c>
      <c r="AP1379" t="s">
        <v>8297</v>
      </c>
      <c r="AQ1379" t="s">
        <v>74</v>
      </c>
      <c r="AR1379" t="s">
        <v>8298</v>
      </c>
      <c r="AS1379" t="s">
        <v>8299</v>
      </c>
      <c r="AT1379" t="s">
        <v>2357</v>
      </c>
      <c r="AU1379">
        <v>2024</v>
      </c>
      <c r="AV1379">
        <v>18</v>
      </c>
      <c r="AW1379">
        <v>3</v>
      </c>
      <c r="AX1379" t="s">
        <v>74</v>
      </c>
      <c r="AY1379" t="s">
        <v>74</v>
      </c>
      <c r="AZ1379" t="s">
        <v>74</v>
      </c>
      <c r="BA1379" t="s">
        <v>74</v>
      </c>
      <c r="BB1379" t="s">
        <v>74</v>
      </c>
      <c r="BC1379" t="s">
        <v>74</v>
      </c>
      <c r="BD1379" t="s">
        <v>28489</v>
      </c>
      <c r="BE1379" t="s">
        <v>28488</v>
      </c>
      <c r="BF1379" t="str">
        <f>HYPERLINK("http://dx.doi.org/10.1111/aswp.12318","http://dx.doi.org/10.1111/aswp.12318")</f>
        <v>http://dx.doi.org/10.1111/aswp.12318</v>
      </c>
      <c r="BG1379" t="s">
        <v>74</v>
      </c>
      <c r="BH1379" t="s">
        <v>74</v>
      </c>
      <c r="BI1379">
        <v>11</v>
      </c>
      <c r="BJ1379" t="s">
        <v>2045</v>
      </c>
      <c r="BK1379" t="s">
        <v>313</v>
      </c>
      <c r="BL1379" t="s">
        <v>2045</v>
      </c>
      <c r="BM1379" t="s">
        <v>28487</v>
      </c>
      <c r="BN1379" t="s">
        <v>74</v>
      </c>
      <c r="BO1379" t="s">
        <v>270</v>
      </c>
      <c r="BP1379" t="s">
        <v>74</v>
      </c>
      <c r="BQ1379" t="s">
        <v>74</v>
      </c>
      <c r="BR1379" t="s">
        <v>102</v>
      </c>
      <c r="BS1379" t="s">
        <v>28486</v>
      </c>
      <c r="BT1379" t="str">
        <f>HYPERLINK("https%3A%2F%2Fwww.webofscience.com%2Fwos%2Fwoscc%2Ffull-record%2FWOS:001249792400001","View Full Record in Web of Science")</f>
        <v>View Full Record in Web of Science</v>
      </c>
    </row>
    <row r="1380" spans="1:72" x14ac:dyDescent="0.25">
      <c r="A1380" t="s">
        <v>72</v>
      </c>
      <c r="B1380" t="s">
        <v>28485</v>
      </c>
      <c r="C1380" t="s">
        <v>74</v>
      </c>
      <c r="D1380" t="s">
        <v>74</v>
      </c>
      <c r="E1380" t="s">
        <v>74</v>
      </c>
      <c r="F1380" t="s">
        <v>28484</v>
      </c>
      <c r="G1380" t="s">
        <v>74</v>
      </c>
      <c r="H1380" t="s">
        <v>74</v>
      </c>
      <c r="I1380" t="s">
        <v>28483</v>
      </c>
      <c r="J1380" t="s">
        <v>21727</v>
      </c>
      <c r="K1380" t="s">
        <v>74</v>
      </c>
      <c r="L1380" t="s">
        <v>74</v>
      </c>
      <c r="M1380" t="s">
        <v>78</v>
      </c>
      <c r="N1380" t="s">
        <v>1766</v>
      </c>
      <c r="O1380" t="s">
        <v>74</v>
      </c>
      <c r="P1380" t="s">
        <v>74</v>
      </c>
      <c r="Q1380" t="s">
        <v>74</v>
      </c>
      <c r="R1380" t="s">
        <v>74</v>
      </c>
      <c r="S1380" t="s">
        <v>74</v>
      </c>
      <c r="T1380" t="s">
        <v>28482</v>
      </c>
      <c r="U1380" t="s">
        <v>2964</v>
      </c>
      <c r="V1380" t="s">
        <v>28481</v>
      </c>
      <c r="W1380" t="s">
        <v>28480</v>
      </c>
      <c r="X1380" t="s">
        <v>13460</v>
      </c>
      <c r="Y1380" t="s">
        <v>28479</v>
      </c>
      <c r="Z1380" t="s">
        <v>28478</v>
      </c>
      <c r="AA1380" t="s">
        <v>28477</v>
      </c>
      <c r="AB1380" t="s">
        <v>28476</v>
      </c>
      <c r="AC1380" t="s">
        <v>74</v>
      </c>
      <c r="AD1380" t="s">
        <v>74</v>
      </c>
      <c r="AE1380" t="s">
        <v>74</v>
      </c>
      <c r="AF1380" t="s">
        <v>74</v>
      </c>
      <c r="AG1380">
        <v>138</v>
      </c>
      <c r="AH1380">
        <v>5</v>
      </c>
      <c r="AI1380">
        <v>5</v>
      </c>
      <c r="AJ1380">
        <v>12</v>
      </c>
      <c r="AK1380">
        <v>20</v>
      </c>
      <c r="AL1380" t="s">
        <v>385</v>
      </c>
      <c r="AM1380" t="s">
        <v>151</v>
      </c>
      <c r="AN1380" t="s">
        <v>386</v>
      </c>
      <c r="AO1380" t="s">
        <v>21721</v>
      </c>
      <c r="AP1380" t="s">
        <v>21720</v>
      </c>
      <c r="AQ1380" t="s">
        <v>74</v>
      </c>
      <c r="AR1380" t="s">
        <v>21719</v>
      </c>
      <c r="AS1380" t="s">
        <v>21718</v>
      </c>
      <c r="AT1380" t="s">
        <v>605</v>
      </c>
      <c r="AU1380">
        <v>2025</v>
      </c>
      <c r="AV1380">
        <v>52</v>
      </c>
      <c r="AW1380">
        <v>1</v>
      </c>
      <c r="AX1380" t="s">
        <v>74</v>
      </c>
      <c r="AY1380" t="s">
        <v>74</v>
      </c>
      <c r="AZ1380" t="s">
        <v>441</v>
      </c>
      <c r="BA1380" t="s">
        <v>74</v>
      </c>
      <c r="BB1380">
        <v>129</v>
      </c>
      <c r="BC1380">
        <v>148</v>
      </c>
      <c r="BD1380" t="s">
        <v>74</v>
      </c>
      <c r="BE1380" t="s">
        <v>28475</v>
      </c>
      <c r="BF1380" t="str">
        <f>HYPERLINK("http://dx.doi.org/10.1007/s40622-025-00426-2","http://dx.doi.org/10.1007/s40622-025-00426-2")</f>
        <v>http://dx.doi.org/10.1007/s40622-025-00426-2</v>
      </c>
      <c r="BG1380" t="s">
        <v>74</v>
      </c>
      <c r="BH1380" t="s">
        <v>2781</v>
      </c>
      <c r="BI1380">
        <v>20</v>
      </c>
      <c r="BJ1380" t="s">
        <v>583</v>
      </c>
      <c r="BK1380" t="s">
        <v>313</v>
      </c>
      <c r="BL1380" t="s">
        <v>100</v>
      </c>
      <c r="BM1380" t="s">
        <v>28474</v>
      </c>
      <c r="BN1380" t="s">
        <v>74</v>
      </c>
      <c r="BO1380" t="s">
        <v>74</v>
      </c>
      <c r="BP1380" t="s">
        <v>74</v>
      </c>
      <c r="BQ1380" t="s">
        <v>74</v>
      </c>
      <c r="BR1380" t="s">
        <v>102</v>
      </c>
      <c r="BS1380" t="s">
        <v>28473</v>
      </c>
      <c r="BT1380" t="str">
        <f>HYPERLINK("https%3A%2F%2Fwww.webofscience.com%2Fwos%2Fwoscc%2Ffull-record%2FWOS:001435511600001","View Full Record in Web of Science")</f>
        <v>View Full Record in Web of Science</v>
      </c>
    </row>
    <row r="1381" spans="1:72" x14ac:dyDescent="0.25">
      <c r="A1381" t="s">
        <v>72</v>
      </c>
      <c r="B1381" t="s">
        <v>28472</v>
      </c>
      <c r="C1381" t="s">
        <v>74</v>
      </c>
      <c r="D1381" t="s">
        <v>74</v>
      </c>
      <c r="E1381" t="s">
        <v>74</v>
      </c>
      <c r="F1381" t="s">
        <v>28471</v>
      </c>
      <c r="G1381" t="s">
        <v>74</v>
      </c>
      <c r="H1381" t="s">
        <v>74</v>
      </c>
      <c r="I1381" t="s">
        <v>28470</v>
      </c>
      <c r="J1381" t="s">
        <v>3439</v>
      </c>
      <c r="K1381" t="s">
        <v>74</v>
      </c>
      <c r="L1381" t="s">
        <v>74</v>
      </c>
      <c r="M1381" t="s">
        <v>78</v>
      </c>
      <c r="N1381" t="s">
        <v>79</v>
      </c>
      <c r="O1381" t="s">
        <v>74</v>
      </c>
      <c r="P1381" t="s">
        <v>74</v>
      </c>
      <c r="Q1381" t="s">
        <v>74</v>
      </c>
      <c r="R1381" t="s">
        <v>74</v>
      </c>
      <c r="S1381" t="s">
        <v>74</v>
      </c>
      <c r="T1381" t="s">
        <v>28469</v>
      </c>
      <c r="U1381" t="s">
        <v>28468</v>
      </c>
      <c r="V1381" t="s">
        <v>28467</v>
      </c>
      <c r="W1381" t="s">
        <v>28466</v>
      </c>
      <c r="X1381" t="s">
        <v>15613</v>
      </c>
      <c r="Y1381" t="s">
        <v>28465</v>
      </c>
      <c r="Z1381" t="s">
        <v>28464</v>
      </c>
      <c r="AA1381" t="s">
        <v>74</v>
      </c>
      <c r="AB1381" t="s">
        <v>74</v>
      </c>
      <c r="AC1381" t="s">
        <v>28463</v>
      </c>
      <c r="AD1381" t="s">
        <v>28463</v>
      </c>
      <c r="AE1381" t="s">
        <v>28462</v>
      </c>
      <c r="AF1381" t="s">
        <v>74</v>
      </c>
      <c r="AG1381">
        <v>115</v>
      </c>
      <c r="AH1381">
        <v>1</v>
      </c>
      <c r="AI1381">
        <v>1</v>
      </c>
      <c r="AJ1381">
        <v>3</v>
      </c>
      <c r="AK1381">
        <v>3</v>
      </c>
      <c r="AL1381" t="s">
        <v>823</v>
      </c>
      <c r="AM1381" t="s">
        <v>333</v>
      </c>
      <c r="AN1381" t="s">
        <v>824</v>
      </c>
      <c r="AO1381" t="s">
        <v>3443</v>
      </c>
      <c r="AP1381" t="s">
        <v>74</v>
      </c>
      <c r="AQ1381" t="s">
        <v>74</v>
      </c>
      <c r="AR1381" t="s">
        <v>3444</v>
      </c>
      <c r="AS1381" t="s">
        <v>3445</v>
      </c>
      <c r="AT1381" t="s">
        <v>2970</v>
      </c>
      <c r="AU1381">
        <v>2025</v>
      </c>
      <c r="AV1381">
        <v>13</v>
      </c>
      <c r="AW1381">
        <v>1</v>
      </c>
      <c r="AX1381" t="s">
        <v>74</v>
      </c>
      <c r="AY1381" t="s">
        <v>74</v>
      </c>
      <c r="AZ1381" t="s">
        <v>74</v>
      </c>
      <c r="BA1381" t="s">
        <v>74</v>
      </c>
      <c r="BB1381" t="s">
        <v>74</v>
      </c>
      <c r="BC1381" t="s">
        <v>74</v>
      </c>
      <c r="BD1381">
        <v>2588925</v>
      </c>
      <c r="BE1381" t="s">
        <v>28461</v>
      </c>
      <c r="BF1381" t="str">
        <f>HYPERLINK("http://dx.doi.org/10.1080/23322039.2025.2588925","http://dx.doi.org/10.1080/23322039.2025.2588925")</f>
        <v>http://dx.doi.org/10.1080/23322039.2025.2588925</v>
      </c>
      <c r="BG1381" t="s">
        <v>74</v>
      </c>
      <c r="BH1381" t="s">
        <v>74</v>
      </c>
      <c r="BI1381">
        <v>22</v>
      </c>
      <c r="BJ1381" t="s">
        <v>291</v>
      </c>
      <c r="BK1381" t="s">
        <v>313</v>
      </c>
      <c r="BL1381" t="s">
        <v>100</v>
      </c>
      <c r="BM1381" t="s">
        <v>28460</v>
      </c>
      <c r="BN1381" t="s">
        <v>74</v>
      </c>
      <c r="BO1381" t="s">
        <v>916</v>
      </c>
      <c r="BP1381" t="s">
        <v>74</v>
      </c>
      <c r="BQ1381" t="s">
        <v>74</v>
      </c>
      <c r="BR1381" t="s">
        <v>102</v>
      </c>
      <c r="BS1381" t="s">
        <v>28459</v>
      </c>
      <c r="BT1381" t="str">
        <f>HYPERLINK("https%3A%2F%2Fwww.webofscience.com%2Fwos%2Fwoscc%2Ffull-record%2FWOS:001620138800001","View Full Record in Web of Science")</f>
        <v>View Full Record in Web of Science</v>
      </c>
    </row>
    <row r="1382" spans="1:72" x14ac:dyDescent="0.25">
      <c r="A1382" t="s">
        <v>72</v>
      </c>
      <c r="B1382" t="s">
        <v>28458</v>
      </c>
      <c r="C1382" t="s">
        <v>74</v>
      </c>
      <c r="D1382" t="s">
        <v>74</v>
      </c>
      <c r="E1382" t="s">
        <v>74</v>
      </c>
      <c r="F1382" t="s">
        <v>28457</v>
      </c>
      <c r="G1382" t="s">
        <v>74</v>
      </c>
      <c r="H1382" t="s">
        <v>74</v>
      </c>
      <c r="I1382" t="s">
        <v>28456</v>
      </c>
      <c r="J1382" t="s">
        <v>2943</v>
      </c>
      <c r="K1382" t="s">
        <v>74</v>
      </c>
      <c r="L1382" t="s">
        <v>74</v>
      </c>
      <c r="M1382" t="s">
        <v>78</v>
      </c>
      <c r="N1382" t="s">
        <v>79</v>
      </c>
      <c r="O1382" t="s">
        <v>74</v>
      </c>
      <c r="P1382" t="s">
        <v>74</v>
      </c>
      <c r="Q1382" t="s">
        <v>74</v>
      </c>
      <c r="R1382" t="s">
        <v>74</v>
      </c>
      <c r="S1382" t="s">
        <v>74</v>
      </c>
      <c r="T1382" t="s">
        <v>28455</v>
      </c>
      <c r="U1382" t="s">
        <v>28454</v>
      </c>
      <c r="V1382" t="s">
        <v>28453</v>
      </c>
      <c r="W1382" t="s">
        <v>28452</v>
      </c>
      <c r="X1382" t="s">
        <v>28451</v>
      </c>
      <c r="Y1382" t="s">
        <v>28450</v>
      </c>
      <c r="Z1382" t="s">
        <v>28449</v>
      </c>
      <c r="AA1382" t="s">
        <v>28448</v>
      </c>
      <c r="AB1382" t="s">
        <v>28447</v>
      </c>
      <c r="AC1382" t="s">
        <v>74</v>
      </c>
      <c r="AD1382" t="s">
        <v>74</v>
      </c>
      <c r="AE1382" t="s">
        <v>74</v>
      </c>
      <c r="AF1382" t="s">
        <v>74</v>
      </c>
      <c r="AG1382">
        <v>66</v>
      </c>
      <c r="AH1382">
        <v>10</v>
      </c>
      <c r="AI1382">
        <v>12</v>
      </c>
      <c r="AJ1382">
        <v>0</v>
      </c>
      <c r="AK1382">
        <v>12</v>
      </c>
      <c r="AL1382" t="s">
        <v>385</v>
      </c>
      <c r="AM1382" t="s">
        <v>151</v>
      </c>
      <c r="AN1382" t="s">
        <v>386</v>
      </c>
      <c r="AO1382" t="s">
        <v>2952</v>
      </c>
      <c r="AP1382" t="s">
        <v>2953</v>
      </c>
      <c r="AQ1382" t="s">
        <v>74</v>
      </c>
      <c r="AR1382" t="s">
        <v>2954</v>
      </c>
      <c r="AS1382" t="s">
        <v>2955</v>
      </c>
      <c r="AT1382" t="s">
        <v>12419</v>
      </c>
      <c r="AU1382">
        <v>2021</v>
      </c>
      <c r="AV1382">
        <v>7</v>
      </c>
      <c r="AW1382">
        <v>1</v>
      </c>
      <c r="AX1382" t="s">
        <v>74</v>
      </c>
      <c r="AY1382" t="s">
        <v>74</v>
      </c>
      <c r="AZ1382" t="s">
        <v>74</v>
      </c>
      <c r="BA1382" t="s">
        <v>74</v>
      </c>
      <c r="BB1382" t="s">
        <v>74</v>
      </c>
      <c r="BC1382" t="s">
        <v>74</v>
      </c>
      <c r="BD1382">
        <v>41</v>
      </c>
      <c r="BE1382" t="s">
        <v>28446</v>
      </c>
      <c r="BF1382" t="str">
        <f>HYPERLINK("http://dx.doi.org/10.1186/s43093-021-00090-9","http://dx.doi.org/10.1186/s43093-021-00090-9")</f>
        <v>http://dx.doi.org/10.1186/s43093-021-00090-9</v>
      </c>
      <c r="BG1382" t="s">
        <v>74</v>
      </c>
      <c r="BH1382" t="s">
        <v>74</v>
      </c>
      <c r="BI1382">
        <v>10</v>
      </c>
      <c r="BJ1382" t="s">
        <v>418</v>
      </c>
      <c r="BK1382" t="s">
        <v>313</v>
      </c>
      <c r="BL1382" t="s">
        <v>100</v>
      </c>
      <c r="BM1382" t="s">
        <v>28445</v>
      </c>
      <c r="BN1382" t="s">
        <v>74</v>
      </c>
      <c r="BO1382" t="s">
        <v>916</v>
      </c>
      <c r="BP1382" t="s">
        <v>74</v>
      </c>
      <c r="BQ1382" t="s">
        <v>74</v>
      </c>
      <c r="BR1382" t="s">
        <v>102</v>
      </c>
      <c r="BS1382" t="s">
        <v>28444</v>
      </c>
      <c r="BT1382" t="str">
        <f>HYPERLINK("https%3A%2F%2Fwww.webofscience.com%2Fwos%2Fwoscc%2Ffull-record%2FWOS:000730544900001","View Full Record in Web of Science")</f>
        <v>View Full Record in Web of Science</v>
      </c>
    </row>
    <row r="1383" spans="1:72" x14ac:dyDescent="0.25">
      <c r="A1383" t="s">
        <v>72</v>
      </c>
      <c r="B1383" t="s">
        <v>28443</v>
      </c>
      <c r="C1383" t="s">
        <v>74</v>
      </c>
      <c r="D1383" t="s">
        <v>74</v>
      </c>
      <c r="E1383" t="s">
        <v>74</v>
      </c>
      <c r="F1383" t="s">
        <v>28442</v>
      </c>
      <c r="G1383" t="s">
        <v>74</v>
      </c>
      <c r="H1383" t="s">
        <v>74</v>
      </c>
      <c r="I1383" t="s">
        <v>28441</v>
      </c>
      <c r="J1383" t="s">
        <v>6713</v>
      </c>
      <c r="K1383" t="s">
        <v>74</v>
      </c>
      <c r="L1383" t="s">
        <v>74</v>
      </c>
      <c r="M1383" t="s">
        <v>78</v>
      </c>
      <c r="N1383" t="s">
        <v>79</v>
      </c>
      <c r="O1383" t="s">
        <v>74</v>
      </c>
      <c r="P1383" t="s">
        <v>74</v>
      </c>
      <c r="Q1383" t="s">
        <v>74</v>
      </c>
      <c r="R1383" t="s">
        <v>74</v>
      </c>
      <c r="S1383" t="s">
        <v>74</v>
      </c>
      <c r="T1383" t="s">
        <v>28440</v>
      </c>
      <c r="U1383" t="s">
        <v>28439</v>
      </c>
      <c r="V1383" t="s">
        <v>28438</v>
      </c>
      <c r="W1383" t="s">
        <v>28437</v>
      </c>
      <c r="X1383" t="s">
        <v>23639</v>
      </c>
      <c r="Y1383" t="s">
        <v>28436</v>
      </c>
      <c r="Z1383" t="s">
        <v>28435</v>
      </c>
      <c r="AA1383" t="s">
        <v>74</v>
      </c>
      <c r="AB1383" t="s">
        <v>74</v>
      </c>
      <c r="AC1383" t="s">
        <v>74</v>
      </c>
      <c r="AD1383" t="s">
        <v>74</v>
      </c>
      <c r="AE1383" t="s">
        <v>74</v>
      </c>
      <c r="AF1383" t="s">
        <v>74</v>
      </c>
      <c r="AG1383">
        <v>58</v>
      </c>
      <c r="AH1383">
        <v>0</v>
      </c>
      <c r="AI1383">
        <v>0</v>
      </c>
      <c r="AJ1383">
        <v>0</v>
      </c>
      <c r="AK1383">
        <v>0</v>
      </c>
      <c r="AL1383" t="s">
        <v>4485</v>
      </c>
      <c r="AM1383" t="s">
        <v>6724</v>
      </c>
      <c r="AN1383" t="s">
        <v>6725</v>
      </c>
      <c r="AO1383" t="s">
        <v>6726</v>
      </c>
      <c r="AP1383" t="s">
        <v>6727</v>
      </c>
      <c r="AQ1383" t="s">
        <v>74</v>
      </c>
      <c r="AR1383" t="s">
        <v>6728</v>
      </c>
      <c r="AS1383" t="s">
        <v>6729</v>
      </c>
      <c r="AT1383" t="s">
        <v>1159</v>
      </c>
      <c r="AU1383">
        <v>2025</v>
      </c>
      <c r="AV1383">
        <v>49</v>
      </c>
      <c r="AW1383">
        <v>9</v>
      </c>
      <c r="AX1383" t="s">
        <v>74</v>
      </c>
      <c r="AY1383" t="s">
        <v>74</v>
      </c>
      <c r="AZ1383" t="s">
        <v>74</v>
      </c>
      <c r="BA1383" t="s">
        <v>74</v>
      </c>
      <c r="BB1383" t="s">
        <v>74</v>
      </c>
      <c r="BC1383" t="s">
        <v>74</v>
      </c>
      <c r="BD1383">
        <v>103034</v>
      </c>
      <c r="BE1383" t="s">
        <v>28434</v>
      </c>
      <c r="BF1383" t="str">
        <f>HYPERLINK("http://dx.doi.org/10.1016/j.telpol.2025.103034","http://dx.doi.org/10.1016/j.telpol.2025.103034")</f>
        <v>http://dx.doi.org/10.1016/j.telpol.2025.103034</v>
      </c>
      <c r="BG1383" t="s">
        <v>74</v>
      </c>
      <c r="BH1383" t="s">
        <v>74</v>
      </c>
      <c r="BI1383">
        <v>10</v>
      </c>
      <c r="BJ1383" t="s">
        <v>6731</v>
      </c>
      <c r="BK1383" t="s">
        <v>2623</v>
      </c>
      <c r="BL1383" t="s">
        <v>6731</v>
      </c>
      <c r="BM1383" t="s">
        <v>28433</v>
      </c>
      <c r="BN1383" t="s">
        <v>74</v>
      </c>
      <c r="BO1383" t="s">
        <v>74</v>
      </c>
      <c r="BP1383" t="s">
        <v>74</v>
      </c>
      <c r="BQ1383" t="s">
        <v>74</v>
      </c>
      <c r="BR1383" t="s">
        <v>102</v>
      </c>
      <c r="BS1383" t="s">
        <v>28432</v>
      </c>
      <c r="BT1383" t="str">
        <f>HYPERLINK("https%3A%2F%2Fwww.webofscience.com%2Fwos%2Fwoscc%2Ffull-record%2FWOS:001622290200001","View Full Record in Web of Science")</f>
        <v>View Full Record in Web of Science</v>
      </c>
    </row>
    <row r="1384" spans="1:72" x14ac:dyDescent="0.25">
      <c r="A1384" t="s">
        <v>72</v>
      </c>
      <c r="B1384" t="s">
        <v>28431</v>
      </c>
      <c r="C1384" t="s">
        <v>74</v>
      </c>
      <c r="D1384" t="s">
        <v>74</v>
      </c>
      <c r="E1384" t="s">
        <v>74</v>
      </c>
      <c r="F1384" t="s">
        <v>28430</v>
      </c>
      <c r="G1384" t="s">
        <v>74</v>
      </c>
      <c r="H1384" t="s">
        <v>74</v>
      </c>
      <c r="I1384" t="s">
        <v>28429</v>
      </c>
      <c r="J1384" t="s">
        <v>1290</v>
      </c>
      <c r="K1384" t="s">
        <v>74</v>
      </c>
      <c r="L1384" t="s">
        <v>74</v>
      </c>
      <c r="M1384" t="s">
        <v>78</v>
      </c>
      <c r="N1384" t="s">
        <v>79</v>
      </c>
      <c r="O1384" t="s">
        <v>74</v>
      </c>
      <c r="P1384" t="s">
        <v>74</v>
      </c>
      <c r="Q1384" t="s">
        <v>74</v>
      </c>
      <c r="R1384" t="s">
        <v>74</v>
      </c>
      <c r="S1384" t="s">
        <v>74</v>
      </c>
      <c r="T1384" t="s">
        <v>28428</v>
      </c>
      <c r="U1384" t="s">
        <v>28427</v>
      </c>
      <c r="V1384" t="s">
        <v>28426</v>
      </c>
      <c r="W1384" t="s">
        <v>28425</v>
      </c>
      <c r="X1384" t="s">
        <v>28424</v>
      </c>
      <c r="Y1384" t="s">
        <v>28423</v>
      </c>
      <c r="Z1384" t="s">
        <v>28422</v>
      </c>
      <c r="AA1384" t="s">
        <v>28421</v>
      </c>
      <c r="AB1384" t="s">
        <v>28420</v>
      </c>
      <c r="AC1384" t="s">
        <v>74</v>
      </c>
      <c r="AD1384" t="s">
        <v>74</v>
      </c>
      <c r="AE1384" t="s">
        <v>74</v>
      </c>
      <c r="AF1384" t="s">
        <v>74</v>
      </c>
      <c r="AG1384">
        <v>37</v>
      </c>
      <c r="AH1384">
        <v>0</v>
      </c>
      <c r="AI1384">
        <v>0</v>
      </c>
      <c r="AJ1384">
        <v>0</v>
      </c>
      <c r="AK1384">
        <v>0</v>
      </c>
      <c r="AL1384" t="s">
        <v>575</v>
      </c>
      <c r="AM1384" t="s">
        <v>576</v>
      </c>
      <c r="AN1384" t="s">
        <v>577</v>
      </c>
      <c r="AO1384" t="s">
        <v>1299</v>
      </c>
      <c r="AP1384" t="s">
        <v>74</v>
      </c>
      <c r="AQ1384" t="s">
        <v>74</v>
      </c>
      <c r="AR1384" t="s">
        <v>1300</v>
      </c>
      <c r="AS1384" t="s">
        <v>1301</v>
      </c>
      <c r="AT1384" t="s">
        <v>16891</v>
      </c>
      <c r="AU1384">
        <v>2025</v>
      </c>
      <c r="AV1384">
        <v>13</v>
      </c>
      <c r="AW1384">
        <v>2</v>
      </c>
      <c r="AX1384" t="s">
        <v>74</v>
      </c>
      <c r="AY1384" t="s">
        <v>74</v>
      </c>
      <c r="AZ1384" t="s">
        <v>74</v>
      </c>
      <c r="BA1384" t="s">
        <v>74</v>
      </c>
      <c r="BB1384" t="s">
        <v>74</v>
      </c>
      <c r="BC1384" t="s">
        <v>74</v>
      </c>
      <c r="BD1384">
        <v>103</v>
      </c>
      <c r="BE1384" t="s">
        <v>28419</v>
      </c>
      <c r="BF1384" t="str">
        <f>HYPERLINK("http://dx.doi.org/10.3390/ijfs13020103","http://dx.doi.org/10.3390/ijfs13020103")</f>
        <v>http://dx.doi.org/10.3390/ijfs13020103</v>
      </c>
      <c r="BG1384" t="s">
        <v>74</v>
      </c>
      <c r="BH1384" t="s">
        <v>74</v>
      </c>
      <c r="BI1384">
        <v>25</v>
      </c>
      <c r="BJ1384" t="s">
        <v>268</v>
      </c>
      <c r="BK1384" t="s">
        <v>313</v>
      </c>
      <c r="BL1384" t="s">
        <v>100</v>
      </c>
      <c r="BM1384" t="s">
        <v>28418</v>
      </c>
      <c r="BN1384" t="s">
        <v>74</v>
      </c>
      <c r="BO1384" t="s">
        <v>212</v>
      </c>
      <c r="BP1384" t="s">
        <v>74</v>
      </c>
      <c r="BQ1384" t="s">
        <v>74</v>
      </c>
      <c r="BR1384" t="s">
        <v>102</v>
      </c>
      <c r="BS1384" t="s">
        <v>28417</v>
      </c>
      <c r="BT1384" t="str">
        <f>HYPERLINK("https%3A%2F%2Fwww.webofscience.com%2Fwos%2Fwoscc%2Ffull-record%2FWOS:001515962700001","View Full Record in Web of Science")</f>
        <v>View Full Record in Web of Science</v>
      </c>
    </row>
    <row r="1385" spans="1:72" x14ac:dyDescent="0.25">
      <c r="A1385" t="s">
        <v>72</v>
      </c>
      <c r="B1385" t="s">
        <v>28416</v>
      </c>
      <c r="C1385" t="s">
        <v>74</v>
      </c>
      <c r="D1385" t="s">
        <v>74</v>
      </c>
      <c r="E1385" t="s">
        <v>74</v>
      </c>
      <c r="F1385" t="s">
        <v>28415</v>
      </c>
      <c r="G1385" t="s">
        <v>74</v>
      </c>
      <c r="H1385" t="s">
        <v>74</v>
      </c>
      <c r="I1385" t="s">
        <v>28414</v>
      </c>
      <c r="J1385" t="s">
        <v>28413</v>
      </c>
      <c r="K1385" t="s">
        <v>74</v>
      </c>
      <c r="L1385" t="s">
        <v>74</v>
      </c>
      <c r="M1385" t="s">
        <v>78</v>
      </c>
      <c r="N1385" t="s">
        <v>79</v>
      </c>
      <c r="O1385" t="s">
        <v>74</v>
      </c>
      <c r="P1385" t="s">
        <v>74</v>
      </c>
      <c r="Q1385" t="s">
        <v>74</v>
      </c>
      <c r="R1385" t="s">
        <v>74</v>
      </c>
      <c r="S1385" t="s">
        <v>74</v>
      </c>
      <c r="T1385" t="s">
        <v>28412</v>
      </c>
      <c r="U1385" t="s">
        <v>28411</v>
      </c>
      <c r="V1385" t="s">
        <v>28410</v>
      </c>
      <c r="W1385" t="s">
        <v>28409</v>
      </c>
      <c r="X1385" t="s">
        <v>11237</v>
      </c>
      <c r="Y1385" t="s">
        <v>28408</v>
      </c>
      <c r="Z1385" t="s">
        <v>28407</v>
      </c>
      <c r="AA1385" t="s">
        <v>74</v>
      </c>
      <c r="AB1385" t="s">
        <v>74</v>
      </c>
      <c r="AC1385" t="s">
        <v>74</v>
      </c>
      <c r="AD1385" t="s">
        <v>74</v>
      </c>
      <c r="AE1385" t="s">
        <v>74</v>
      </c>
      <c r="AF1385" t="s">
        <v>74</v>
      </c>
      <c r="AG1385">
        <v>37</v>
      </c>
      <c r="AH1385">
        <v>8</v>
      </c>
      <c r="AI1385">
        <v>10</v>
      </c>
      <c r="AJ1385">
        <v>0</v>
      </c>
      <c r="AK1385">
        <v>16</v>
      </c>
      <c r="AL1385" t="s">
        <v>28406</v>
      </c>
      <c r="AM1385" t="s">
        <v>28405</v>
      </c>
      <c r="AN1385" t="s">
        <v>28404</v>
      </c>
      <c r="AO1385" t="s">
        <v>28403</v>
      </c>
      <c r="AP1385" t="s">
        <v>28402</v>
      </c>
      <c r="AQ1385" t="s">
        <v>74</v>
      </c>
      <c r="AR1385" t="s">
        <v>28401</v>
      </c>
      <c r="AS1385" t="s">
        <v>28400</v>
      </c>
      <c r="AT1385" t="s">
        <v>124</v>
      </c>
      <c r="AU1385">
        <v>2019</v>
      </c>
      <c r="AV1385">
        <v>22</v>
      </c>
      <c r="AW1385">
        <v>4</v>
      </c>
      <c r="AX1385" t="s">
        <v>74</v>
      </c>
      <c r="AY1385" t="s">
        <v>74</v>
      </c>
      <c r="AZ1385" t="s">
        <v>74</v>
      </c>
      <c r="BA1385" t="s">
        <v>74</v>
      </c>
      <c r="BB1385">
        <v>129</v>
      </c>
      <c r="BC1385">
        <v>142</v>
      </c>
      <c r="BD1385" t="s">
        <v>74</v>
      </c>
      <c r="BE1385" t="s">
        <v>28399</v>
      </c>
      <c r="BF1385" t="str">
        <f>HYPERLINK("http://dx.doi.org/10.2478/cer-2019-0036","http://dx.doi.org/10.2478/cer-2019-0036")</f>
        <v>http://dx.doi.org/10.2478/cer-2019-0036</v>
      </c>
      <c r="BG1385" t="s">
        <v>74</v>
      </c>
      <c r="BH1385" t="s">
        <v>74</v>
      </c>
      <c r="BI1385">
        <v>14</v>
      </c>
      <c r="BJ1385" t="s">
        <v>291</v>
      </c>
      <c r="BK1385" t="s">
        <v>313</v>
      </c>
      <c r="BL1385" t="s">
        <v>100</v>
      </c>
      <c r="BM1385" t="s">
        <v>28398</v>
      </c>
      <c r="BN1385" t="s">
        <v>74</v>
      </c>
      <c r="BO1385" t="s">
        <v>916</v>
      </c>
      <c r="BP1385" t="s">
        <v>74</v>
      </c>
      <c r="BQ1385" t="s">
        <v>74</v>
      </c>
      <c r="BR1385" t="s">
        <v>102</v>
      </c>
      <c r="BS1385" t="s">
        <v>28397</v>
      </c>
      <c r="BT1385" t="str">
        <f>HYPERLINK("https%3A%2F%2Fwww.webofscience.com%2Fwos%2Fwoscc%2Ffull-record%2FWOS:000503976900008","View Full Record in Web of Science")</f>
        <v>View Full Record in Web of Science</v>
      </c>
    </row>
    <row r="1386" spans="1:72" x14ac:dyDescent="0.25">
      <c r="A1386" t="s">
        <v>72</v>
      </c>
      <c r="B1386" t="s">
        <v>28396</v>
      </c>
      <c r="C1386" t="s">
        <v>74</v>
      </c>
      <c r="D1386" t="s">
        <v>74</v>
      </c>
      <c r="E1386" t="s">
        <v>74</v>
      </c>
      <c r="F1386" t="s">
        <v>28395</v>
      </c>
      <c r="G1386" t="s">
        <v>74</v>
      </c>
      <c r="H1386" t="s">
        <v>74</v>
      </c>
      <c r="I1386" t="s">
        <v>28394</v>
      </c>
      <c r="J1386" t="s">
        <v>24263</v>
      </c>
      <c r="K1386" t="s">
        <v>74</v>
      </c>
      <c r="L1386" t="s">
        <v>74</v>
      </c>
      <c r="M1386" t="s">
        <v>78</v>
      </c>
      <c r="N1386" t="s">
        <v>79</v>
      </c>
      <c r="O1386" t="s">
        <v>74</v>
      </c>
      <c r="P1386" t="s">
        <v>74</v>
      </c>
      <c r="Q1386" t="s">
        <v>74</v>
      </c>
      <c r="R1386" t="s">
        <v>74</v>
      </c>
      <c r="S1386" t="s">
        <v>74</v>
      </c>
      <c r="T1386" t="s">
        <v>28393</v>
      </c>
      <c r="U1386" t="s">
        <v>28392</v>
      </c>
      <c r="V1386" t="s">
        <v>28391</v>
      </c>
      <c r="W1386" t="s">
        <v>28390</v>
      </c>
      <c r="X1386" t="s">
        <v>28389</v>
      </c>
      <c r="Y1386" t="s">
        <v>28388</v>
      </c>
      <c r="Z1386" t="s">
        <v>28387</v>
      </c>
      <c r="AA1386" t="s">
        <v>74</v>
      </c>
      <c r="AB1386" t="s">
        <v>28386</v>
      </c>
      <c r="AC1386" t="s">
        <v>74</v>
      </c>
      <c r="AD1386" t="s">
        <v>74</v>
      </c>
      <c r="AE1386" t="s">
        <v>74</v>
      </c>
      <c r="AF1386" t="s">
        <v>74</v>
      </c>
      <c r="AG1386">
        <v>99</v>
      </c>
      <c r="AH1386">
        <v>40</v>
      </c>
      <c r="AI1386">
        <v>54</v>
      </c>
      <c r="AJ1386">
        <v>2</v>
      </c>
      <c r="AK1386">
        <v>29</v>
      </c>
      <c r="AL1386" t="s">
        <v>230</v>
      </c>
      <c r="AM1386" t="s">
        <v>231</v>
      </c>
      <c r="AN1386" t="s">
        <v>232</v>
      </c>
      <c r="AO1386" t="s">
        <v>24265</v>
      </c>
      <c r="AP1386" t="s">
        <v>24264</v>
      </c>
      <c r="AQ1386" t="s">
        <v>74</v>
      </c>
      <c r="AR1386" t="s">
        <v>24263</v>
      </c>
      <c r="AS1386" t="s">
        <v>24262</v>
      </c>
      <c r="AT1386" t="s">
        <v>1159</v>
      </c>
      <c r="AU1386">
        <v>2018</v>
      </c>
      <c r="AV1386">
        <v>95</v>
      </c>
      <c r="AW1386" t="s">
        <v>74</v>
      </c>
      <c r="AX1386" t="s">
        <v>74</v>
      </c>
      <c r="AY1386" t="s">
        <v>74</v>
      </c>
      <c r="AZ1386" t="s">
        <v>74</v>
      </c>
      <c r="BA1386" t="s">
        <v>74</v>
      </c>
      <c r="BB1386">
        <v>143</v>
      </c>
      <c r="BC1386">
        <v>152</v>
      </c>
      <c r="BD1386" t="s">
        <v>74</v>
      </c>
      <c r="BE1386" t="s">
        <v>28385</v>
      </c>
      <c r="BF1386" t="str">
        <f>HYPERLINK("http://dx.doi.org/10.1016/j.geoforum.2018.06.014","http://dx.doi.org/10.1016/j.geoforum.2018.06.014")</f>
        <v>http://dx.doi.org/10.1016/j.geoforum.2018.06.014</v>
      </c>
      <c r="BG1386" t="s">
        <v>74</v>
      </c>
      <c r="BH1386" t="s">
        <v>74</v>
      </c>
      <c r="BI1386">
        <v>10</v>
      </c>
      <c r="BJ1386" t="s">
        <v>20950</v>
      </c>
      <c r="BK1386" t="s">
        <v>99</v>
      </c>
      <c r="BL1386" t="s">
        <v>20950</v>
      </c>
      <c r="BM1386" t="s">
        <v>28384</v>
      </c>
      <c r="BN1386" t="s">
        <v>74</v>
      </c>
      <c r="BO1386" t="s">
        <v>74</v>
      </c>
      <c r="BP1386" t="s">
        <v>74</v>
      </c>
      <c r="BQ1386" t="s">
        <v>74</v>
      </c>
      <c r="BR1386" t="s">
        <v>102</v>
      </c>
      <c r="BS1386" t="s">
        <v>28383</v>
      </c>
      <c r="BT1386" t="str">
        <f>HYPERLINK("https%3A%2F%2Fwww.webofscience.com%2Fwos%2Fwoscc%2Ffull-record%2FWOS:000454746200015","View Full Record in Web of Science")</f>
        <v>View Full Record in Web of Science</v>
      </c>
    </row>
    <row r="1387" spans="1:72" x14ac:dyDescent="0.25">
      <c r="A1387" t="s">
        <v>72</v>
      </c>
      <c r="B1387" t="s">
        <v>28382</v>
      </c>
      <c r="C1387" t="s">
        <v>74</v>
      </c>
      <c r="D1387" t="s">
        <v>74</v>
      </c>
      <c r="E1387" t="s">
        <v>74</v>
      </c>
      <c r="F1387" t="s">
        <v>28381</v>
      </c>
      <c r="G1387" t="s">
        <v>74</v>
      </c>
      <c r="H1387" t="s">
        <v>74</v>
      </c>
      <c r="I1387" t="s">
        <v>28380</v>
      </c>
      <c r="J1387" t="s">
        <v>28379</v>
      </c>
      <c r="K1387" t="s">
        <v>74</v>
      </c>
      <c r="L1387" t="s">
        <v>74</v>
      </c>
      <c r="M1387" t="s">
        <v>78</v>
      </c>
      <c r="N1387" t="s">
        <v>79</v>
      </c>
      <c r="O1387" t="s">
        <v>74</v>
      </c>
      <c r="P1387" t="s">
        <v>74</v>
      </c>
      <c r="Q1387" t="s">
        <v>74</v>
      </c>
      <c r="R1387" t="s">
        <v>74</v>
      </c>
      <c r="S1387" t="s">
        <v>74</v>
      </c>
      <c r="T1387" t="s">
        <v>28378</v>
      </c>
      <c r="U1387" t="s">
        <v>74</v>
      </c>
      <c r="V1387" t="s">
        <v>28377</v>
      </c>
      <c r="W1387" t="s">
        <v>28376</v>
      </c>
      <c r="X1387" t="s">
        <v>28375</v>
      </c>
      <c r="Y1387" t="s">
        <v>28374</v>
      </c>
      <c r="Z1387" t="s">
        <v>74</v>
      </c>
      <c r="AA1387" t="s">
        <v>74</v>
      </c>
      <c r="AB1387" t="s">
        <v>28373</v>
      </c>
      <c r="AC1387" t="s">
        <v>74</v>
      </c>
      <c r="AD1387" t="s">
        <v>74</v>
      </c>
      <c r="AE1387" t="s">
        <v>74</v>
      </c>
      <c r="AF1387" t="s">
        <v>74</v>
      </c>
      <c r="AG1387">
        <v>37</v>
      </c>
      <c r="AH1387">
        <v>1</v>
      </c>
      <c r="AI1387">
        <v>1</v>
      </c>
      <c r="AJ1387">
        <v>0</v>
      </c>
      <c r="AK1387">
        <v>0</v>
      </c>
      <c r="AL1387" t="s">
        <v>28372</v>
      </c>
      <c r="AM1387" t="s">
        <v>11717</v>
      </c>
      <c r="AN1387" t="s">
        <v>28371</v>
      </c>
      <c r="AO1387" t="s">
        <v>28370</v>
      </c>
      <c r="AP1387" t="s">
        <v>28369</v>
      </c>
      <c r="AQ1387" t="s">
        <v>74</v>
      </c>
      <c r="AR1387" t="s">
        <v>28368</v>
      </c>
      <c r="AS1387" t="s">
        <v>28367</v>
      </c>
      <c r="AT1387" t="s">
        <v>74</v>
      </c>
      <c r="AU1387">
        <v>2025</v>
      </c>
      <c r="AV1387" t="s">
        <v>74</v>
      </c>
      <c r="AW1387">
        <v>150</v>
      </c>
      <c r="AX1387" t="s">
        <v>74</v>
      </c>
      <c r="AY1387" t="s">
        <v>74</v>
      </c>
      <c r="AZ1387" t="s">
        <v>74</v>
      </c>
      <c r="BA1387" t="s">
        <v>74</v>
      </c>
      <c r="BB1387" t="s">
        <v>74</v>
      </c>
      <c r="BC1387" t="s">
        <v>74</v>
      </c>
      <c r="BD1387" t="s">
        <v>28366</v>
      </c>
      <c r="BE1387" t="s">
        <v>28365</v>
      </c>
      <c r="BF1387" t="str">
        <f>HYPERLINK("http://dx.doi.org/10.5209/REVE.104779","http://dx.doi.org/10.5209/REVE.104779")</f>
        <v>http://dx.doi.org/10.5209/REVE.104779</v>
      </c>
      <c r="BG1387" t="s">
        <v>74</v>
      </c>
      <c r="BH1387" t="s">
        <v>74</v>
      </c>
      <c r="BI1387">
        <v>11</v>
      </c>
      <c r="BJ1387" t="s">
        <v>291</v>
      </c>
      <c r="BK1387" t="s">
        <v>313</v>
      </c>
      <c r="BL1387" t="s">
        <v>100</v>
      </c>
      <c r="BM1387" t="s">
        <v>28364</v>
      </c>
      <c r="BN1387" t="s">
        <v>74</v>
      </c>
      <c r="BO1387" t="s">
        <v>212</v>
      </c>
      <c r="BP1387" t="s">
        <v>74</v>
      </c>
      <c r="BQ1387" t="s">
        <v>74</v>
      </c>
      <c r="BR1387" t="s">
        <v>102</v>
      </c>
      <c r="BS1387" t="s">
        <v>28363</v>
      </c>
      <c r="BT1387" t="str">
        <f>HYPERLINK("https%3A%2F%2Fwww.webofscience.com%2Fwos%2Fwoscc%2Ffull-record%2FWOS:001577423700005","View Full Record in Web of Science")</f>
        <v>View Full Record in Web of Science</v>
      </c>
    </row>
    <row r="1388" spans="1:72" x14ac:dyDescent="0.25">
      <c r="A1388" t="s">
        <v>72</v>
      </c>
      <c r="B1388" t="s">
        <v>28362</v>
      </c>
      <c r="C1388" t="s">
        <v>74</v>
      </c>
      <c r="D1388" t="s">
        <v>74</v>
      </c>
      <c r="E1388" t="s">
        <v>74</v>
      </c>
      <c r="F1388" t="s">
        <v>28361</v>
      </c>
      <c r="G1388" t="s">
        <v>74</v>
      </c>
      <c r="H1388" t="s">
        <v>74</v>
      </c>
      <c r="I1388" t="s">
        <v>28360</v>
      </c>
      <c r="J1388" t="s">
        <v>28359</v>
      </c>
      <c r="K1388" t="s">
        <v>74</v>
      </c>
      <c r="L1388" t="s">
        <v>74</v>
      </c>
      <c r="M1388" t="s">
        <v>78</v>
      </c>
      <c r="N1388" t="s">
        <v>372</v>
      </c>
      <c r="O1388" t="s">
        <v>74</v>
      </c>
      <c r="P1388" t="s">
        <v>74</v>
      </c>
      <c r="Q1388" t="s">
        <v>74</v>
      </c>
      <c r="R1388" t="s">
        <v>74</v>
      </c>
      <c r="S1388" t="s">
        <v>74</v>
      </c>
      <c r="T1388" t="s">
        <v>28358</v>
      </c>
      <c r="U1388" t="s">
        <v>28357</v>
      </c>
      <c r="V1388" t="s">
        <v>28356</v>
      </c>
      <c r="W1388" t="s">
        <v>28355</v>
      </c>
      <c r="X1388" t="s">
        <v>28354</v>
      </c>
      <c r="Y1388" t="s">
        <v>28353</v>
      </c>
      <c r="Z1388" t="s">
        <v>28352</v>
      </c>
      <c r="AA1388" t="s">
        <v>28351</v>
      </c>
      <c r="AB1388" t="s">
        <v>28350</v>
      </c>
      <c r="AC1388" t="s">
        <v>74</v>
      </c>
      <c r="AD1388" t="s">
        <v>74</v>
      </c>
      <c r="AE1388" t="s">
        <v>74</v>
      </c>
      <c r="AF1388" t="s">
        <v>74</v>
      </c>
      <c r="AG1388">
        <v>70</v>
      </c>
      <c r="AH1388">
        <v>0</v>
      </c>
      <c r="AI1388">
        <v>0</v>
      </c>
      <c r="AJ1388">
        <v>0</v>
      </c>
      <c r="AK1388">
        <v>0</v>
      </c>
      <c r="AL1388" t="s">
        <v>28349</v>
      </c>
      <c r="AM1388" t="s">
        <v>28348</v>
      </c>
      <c r="AN1388" t="s">
        <v>28347</v>
      </c>
      <c r="AO1388" t="s">
        <v>28346</v>
      </c>
      <c r="AP1388" t="s">
        <v>28345</v>
      </c>
      <c r="AQ1388" t="s">
        <v>74</v>
      </c>
      <c r="AR1388" t="s">
        <v>28344</v>
      </c>
      <c r="AS1388" t="s">
        <v>28343</v>
      </c>
      <c r="AT1388" t="s">
        <v>28342</v>
      </c>
      <c r="AU1388">
        <v>2025</v>
      </c>
      <c r="AV1388" t="s">
        <v>74</v>
      </c>
      <c r="AW1388" t="s">
        <v>74</v>
      </c>
      <c r="AX1388" t="s">
        <v>74</v>
      </c>
      <c r="AY1388" t="s">
        <v>74</v>
      </c>
      <c r="AZ1388" t="s">
        <v>74</v>
      </c>
      <c r="BA1388" t="s">
        <v>74</v>
      </c>
      <c r="BB1388" t="s">
        <v>74</v>
      </c>
      <c r="BC1388" t="s">
        <v>74</v>
      </c>
      <c r="BD1388" t="s">
        <v>74</v>
      </c>
      <c r="BE1388" t="s">
        <v>28341</v>
      </c>
      <c r="BF1388" t="str">
        <f>HYPERLINK("http://dx.doi.org/10.1080/10293523.2025.2503099","http://dx.doi.org/10.1080/10293523.2025.2503099")</f>
        <v>http://dx.doi.org/10.1080/10293523.2025.2503099</v>
      </c>
      <c r="BG1388" t="s">
        <v>74</v>
      </c>
      <c r="BH1388" t="s">
        <v>3389</v>
      </c>
      <c r="BI1388">
        <v>21</v>
      </c>
      <c r="BJ1388" t="s">
        <v>268</v>
      </c>
      <c r="BK1388" t="s">
        <v>99</v>
      </c>
      <c r="BL1388" t="s">
        <v>100</v>
      </c>
      <c r="BM1388" t="s">
        <v>28340</v>
      </c>
      <c r="BN1388" t="s">
        <v>74</v>
      </c>
      <c r="BO1388" t="s">
        <v>74</v>
      </c>
      <c r="BP1388" t="s">
        <v>74</v>
      </c>
      <c r="BQ1388" t="s">
        <v>74</v>
      </c>
      <c r="BR1388" t="s">
        <v>102</v>
      </c>
      <c r="BS1388" t="s">
        <v>28339</v>
      </c>
      <c r="BT1388" t="str">
        <f>HYPERLINK("https%3A%2F%2Fwww.webofscience.com%2Fwos%2Fwoscc%2Ffull-record%2FWOS:001521017200001","View Full Record in Web of Science")</f>
        <v>View Full Record in Web of Science</v>
      </c>
    </row>
    <row r="1389" spans="1:72" x14ac:dyDescent="0.25">
      <c r="A1389" t="s">
        <v>72</v>
      </c>
      <c r="B1389" t="s">
        <v>28338</v>
      </c>
      <c r="C1389" t="s">
        <v>74</v>
      </c>
      <c r="D1389" t="s">
        <v>74</v>
      </c>
      <c r="E1389" t="s">
        <v>74</v>
      </c>
      <c r="F1389" t="s">
        <v>28337</v>
      </c>
      <c r="G1389" t="s">
        <v>74</v>
      </c>
      <c r="H1389" t="s">
        <v>74</v>
      </c>
      <c r="I1389" t="s">
        <v>28336</v>
      </c>
      <c r="J1389" t="s">
        <v>28335</v>
      </c>
      <c r="K1389" t="s">
        <v>74</v>
      </c>
      <c r="L1389" t="s">
        <v>74</v>
      </c>
      <c r="M1389" t="s">
        <v>78</v>
      </c>
      <c r="N1389" t="s">
        <v>79</v>
      </c>
      <c r="O1389" t="s">
        <v>74</v>
      </c>
      <c r="P1389" t="s">
        <v>74</v>
      </c>
      <c r="Q1389" t="s">
        <v>74</v>
      </c>
      <c r="R1389" t="s">
        <v>74</v>
      </c>
      <c r="S1389" t="s">
        <v>74</v>
      </c>
      <c r="T1389" t="s">
        <v>28334</v>
      </c>
      <c r="U1389" t="s">
        <v>18318</v>
      </c>
      <c r="V1389" t="s">
        <v>28333</v>
      </c>
      <c r="W1389" t="s">
        <v>28332</v>
      </c>
      <c r="X1389" t="s">
        <v>28331</v>
      </c>
      <c r="Y1389" t="s">
        <v>28330</v>
      </c>
      <c r="Z1389" t="s">
        <v>28329</v>
      </c>
      <c r="AA1389" t="s">
        <v>28328</v>
      </c>
      <c r="AB1389" t="s">
        <v>28327</v>
      </c>
      <c r="AC1389" t="s">
        <v>74</v>
      </c>
      <c r="AD1389" t="s">
        <v>74</v>
      </c>
      <c r="AE1389" t="s">
        <v>74</v>
      </c>
      <c r="AF1389" t="s">
        <v>74</v>
      </c>
      <c r="AG1389">
        <v>27</v>
      </c>
      <c r="AH1389">
        <v>2</v>
      </c>
      <c r="AI1389">
        <v>3</v>
      </c>
      <c r="AJ1389">
        <v>1</v>
      </c>
      <c r="AK1389">
        <v>41</v>
      </c>
      <c r="AL1389" t="s">
        <v>28326</v>
      </c>
      <c r="AM1389" t="s">
        <v>10034</v>
      </c>
      <c r="AN1389" t="s">
        <v>28325</v>
      </c>
      <c r="AO1389" t="s">
        <v>28324</v>
      </c>
      <c r="AP1389" t="s">
        <v>28323</v>
      </c>
      <c r="AQ1389" t="s">
        <v>74</v>
      </c>
      <c r="AR1389" t="s">
        <v>28322</v>
      </c>
      <c r="AS1389" t="s">
        <v>28321</v>
      </c>
      <c r="AT1389" t="s">
        <v>698</v>
      </c>
      <c r="AU1389">
        <v>2020</v>
      </c>
      <c r="AV1389">
        <v>19</v>
      </c>
      <c r="AW1389">
        <v>3</v>
      </c>
      <c r="AX1389" t="s">
        <v>74</v>
      </c>
      <c r="AY1389" t="s">
        <v>74</v>
      </c>
      <c r="AZ1389" t="s">
        <v>74</v>
      </c>
      <c r="BA1389" t="s">
        <v>74</v>
      </c>
      <c r="BB1389">
        <v>543</v>
      </c>
      <c r="BC1389">
        <v>550</v>
      </c>
      <c r="BD1389" t="s">
        <v>74</v>
      </c>
      <c r="BE1389" t="s">
        <v>28320</v>
      </c>
      <c r="BF1389" t="str">
        <f>HYPERLINK("http://dx.doi.org/10.7232/iems.2020.19.3.543","http://dx.doi.org/10.7232/iems.2020.19.3.543")</f>
        <v>http://dx.doi.org/10.7232/iems.2020.19.3.543</v>
      </c>
      <c r="BG1389" t="s">
        <v>74</v>
      </c>
      <c r="BH1389" t="s">
        <v>74</v>
      </c>
      <c r="BI1389">
        <v>8</v>
      </c>
      <c r="BJ1389" t="s">
        <v>28319</v>
      </c>
      <c r="BK1389" t="s">
        <v>313</v>
      </c>
      <c r="BL1389" t="s">
        <v>2581</v>
      </c>
      <c r="BM1389" t="s">
        <v>28318</v>
      </c>
      <c r="BN1389" t="s">
        <v>74</v>
      </c>
      <c r="BO1389" t="s">
        <v>74</v>
      </c>
      <c r="BP1389" t="s">
        <v>74</v>
      </c>
      <c r="BQ1389" t="s">
        <v>74</v>
      </c>
      <c r="BR1389" t="s">
        <v>102</v>
      </c>
      <c r="BS1389" t="s">
        <v>28317</v>
      </c>
      <c r="BT1389" t="str">
        <f>HYPERLINK("https%3A%2F%2Fwww.webofscience.com%2Fwos%2Fwoscc%2Ffull-record%2FWOS:000581787700007","View Full Record in Web of Science")</f>
        <v>View Full Record in Web of Science</v>
      </c>
    </row>
    <row r="1390" spans="1:72" x14ac:dyDescent="0.25">
      <c r="A1390" t="s">
        <v>132</v>
      </c>
      <c r="B1390" t="s">
        <v>28316</v>
      </c>
      <c r="C1390" t="s">
        <v>74</v>
      </c>
      <c r="D1390" t="s">
        <v>28315</v>
      </c>
      <c r="E1390" t="s">
        <v>74</v>
      </c>
      <c r="F1390" t="s">
        <v>28314</v>
      </c>
      <c r="G1390" t="s">
        <v>74</v>
      </c>
      <c r="H1390" t="s">
        <v>74</v>
      </c>
      <c r="I1390" t="s">
        <v>28313</v>
      </c>
      <c r="J1390" t="s">
        <v>28312</v>
      </c>
      <c r="K1390" t="s">
        <v>74</v>
      </c>
      <c r="L1390" t="s">
        <v>74</v>
      </c>
      <c r="M1390" t="s">
        <v>78</v>
      </c>
      <c r="N1390" t="s">
        <v>138</v>
      </c>
      <c r="O1390" t="s">
        <v>28311</v>
      </c>
      <c r="P1390" t="s">
        <v>28310</v>
      </c>
      <c r="Q1390" t="s">
        <v>28309</v>
      </c>
      <c r="R1390" t="s">
        <v>28308</v>
      </c>
      <c r="S1390" t="s">
        <v>74</v>
      </c>
      <c r="T1390" t="s">
        <v>28307</v>
      </c>
      <c r="U1390" t="s">
        <v>28306</v>
      </c>
      <c r="V1390" t="s">
        <v>28305</v>
      </c>
      <c r="W1390" t="s">
        <v>28304</v>
      </c>
      <c r="X1390" t="s">
        <v>28303</v>
      </c>
      <c r="Y1390" t="s">
        <v>28302</v>
      </c>
      <c r="Z1390" t="s">
        <v>28301</v>
      </c>
      <c r="AA1390" t="s">
        <v>74</v>
      </c>
      <c r="AB1390" t="s">
        <v>28300</v>
      </c>
      <c r="AC1390" t="s">
        <v>74</v>
      </c>
      <c r="AD1390" t="s">
        <v>74</v>
      </c>
      <c r="AE1390" t="s">
        <v>74</v>
      </c>
      <c r="AF1390" t="s">
        <v>74</v>
      </c>
      <c r="AG1390">
        <v>26</v>
      </c>
      <c r="AH1390">
        <v>1</v>
      </c>
      <c r="AI1390">
        <v>1</v>
      </c>
      <c r="AJ1390">
        <v>0</v>
      </c>
      <c r="AK1390">
        <v>6</v>
      </c>
      <c r="AL1390" t="s">
        <v>150</v>
      </c>
      <c r="AM1390" t="s">
        <v>151</v>
      </c>
      <c r="AN1390" t="s">
        <v>1560</v>
      </c>
      <c r="AO1390" t="s">
        <v>74</v>
      </c>
      <c r="AP1390" t="s">
        <v>74</v>
      </c>
      <c r="AQ1390" t="s">
        <v>28299</v>
      </c>
      <c r="AR1390" t="s">
        <v>74</v>
      </c>
      <c r="AS1390" t="s">
        <v>74</v>
      </c>
      <c r="AT1390" t="s">
        <v>74</v>
      </c>
      <c r="AU1390">
        <v>2022</v>
      </c>
      <c r="AV1390" t="s">
        <v>74</v>
      </c>
      <c r="AW1390" t="s">
        <v>74</v>
      </c>
      <c r="AX1390" t="s">
        <v>74</v>
      </c>
      <c r="AY1390" t="s">
        <v>74</v>
      </c>
      <c r="AZ1390" t="s">
        <v>74</v>
      </c>
      <c r="BA1390" t="s">
        <v>74</v>
      </c>
      <c r="BB1390">
        <v>161</v>
      </c>
      <c r="BC1390">
        <v>166</v>
      </c>
      <c r="BD1390" t="s">
        <v>74</v>
      </c>
      <c r="BE1390" t="s">
        <v>28298</v>
      </c>
      <c r="BF1390" t="str">
        <f>HYPERLINK("http://dx.doi.org/10.1145/3560107.3560136","http://dx.doi.org/10.1145/3560107.3560136")</f>
        <v>http://dx.doi.org/10.1145/3560107.3560136</v>
      </c>
      <c r="BG1390" t="s">
        <v>74</v>
      </c>
      <c r="BH1390" t="s">
        <v>74</v>
      </c>
      <c r="BI1390">
        <v>6</v>
      </c>
      <c r="BJ1390" t="s">
        <v>28297</v>
      </c>
      <c r="BK1390" t="s">
        <v>1069</v>
      </c>
      <c r="BL1390" t="s">
        <v>28296</v>
      </c>
      <c r="BM1390" t="s">
        <v>28295</v>
      </c>
      <c r="BN1390" t="s">
        <v>74</v>
      </c>
      <c r="BO1390" t="s">
        <v>74</v>
      </c>
      <c r="BP1390" t="s">
        <v>74</v>
      </c>
      <c r="BQ1390" t="s">
        <v>74</v>
      </c>
      <c r="BR1390" t="s">
        <v>102</v>
      </c>
      <c r="BS1390" t="s">
        <v>28294</v>
      </c>
      <c r="BT1390" t="str">
        <f>HYPERLINK("https%3A%2F%2Fwww.webofscience.com%2Fwos%2Fwoscc%2Ffull-record%2FWOS:001098408200023","View Full Record in Web of Science")</f>
        <v>View Full Record in Web of Science</v>
      </c>
    </row>
    <row r="1391" spans="1:72" x14ac:dyDescent="0.25">
      <c r="A1391" t="s">
        <v>8303</v>
      </c>
      <c r="B1391" t="s">
        <v>28293</v>
      </c>
      <c r="C1391" t="s">
        <v>28291</v>
      </c>
      <c r="D1391" t="s">
        <v>74</v>
      </c>
      <c r="E1391" t="s">
        <v>74</v>
      </c>
      <c r="F1391" t="s">
        <v>28292</v>
      </c>
      <c r="G1391" t="s">
        <v>28291</v>
      </c>
      <c r="H1391" t="s">
        <v>74</v>
      </c>
      <c r="I1391" t="s">
        <v>28290</v>
      </c>
      <c r="J1391" t="s">
        <v>28289</v>
      </c>
      <c r="K1391" t="s">
        <v>74</v>
      </c>
      <c r="L1391" t="s">
        <v>74</v>
      </c>
      <c r="M1391" t="s">
        <v>78</v>
      </c>
      <c r="N1391" t="s">
        <v>6023</v>
      </c>
      <c r="O1391" t="s">
        <v>74</v>
      </c>
      <c r="P1391" t="s">
        <v>74</v>
      </c>
      <c r="Q1391" t="s">
        <v>74</v>
      </c>
      <c r="R1391" t="s">
        <v>74</v>
      </c>
      <c r="S1391" t="s">
        <v>74</v>
      </c>
      <c r="T1391" t="s">
        <v>74</v>
      </c>
      <c r="U1391" t="s">
        <v>74</v>
      </c>
      <c r="V1391" t="s">
        <v>74</v>
      </c>
      <c r="W1391" t="s">
        <v>28288</v>
      </c>
      <c r="X1391" t="s">
        <v>734</v>
      </c>
      <c r="Y1391" t="s">
        <v>28287</v>
      </c>
      <c r="Z1391" t="s">
        <v>74</v>
      </c>
      <c r="AA1391" t="s">
        <v>74</v>
      </c>
      <c r="AB1391" t="s">
        <v>74</v>
      </c>
      <c r="AC1391" t="s">
        <v>74</v>
      </c>
      <c r="AD1391" t="s">
        <v>74</v>
      </c>
      <c r="AE1391" t="s">
        <v>74</v>
      </c>
      <c r="AF1391" t="s">
        <v>74</v>
      </c>
      <c r="AG1391">
        <v>5</v>
      </c>
      <c r="AH1391">
        <v>0</v>
      </c>
      <c r="AI1391">
        <v>0</v>
      </c>
      <c r="AJ1391">
        <v>0</v>
      </c>
      <c r="AK1391">
        <v>0</v>
      </c>
      <c r="AL1391" t="s">
        <v>16367</v>
      </c>
      <c r="AM1391" t="s">
        <v>2661</v>
      </c>
      <c r="AN1391" t="s">
        <v>16368</v>
      </c>
      <c r="AO1391" t="s">
        <v>74</v>
      </c>
      <c r="AP1391" t="s">
        <v>74</v>
      </c>
      <c r="AQ1391" t="s">
        <v>28286</v>
      </c>
      <c r="AR1391" t="s">
        <v>74</v>
      </c>
      <c r="AS1391" t="s">
        <v>74</v>
      </c>
      <c r="AT1391" t="s">
        <v>74</v>
      </c>
      <c r="AU1391">
        <v>2009</v>
      </c>
      <c r="AV1391" t="s">
        <v>74</v>
      </c>
      <c r="AW1391" t="s">
        <v>74</v>
      </c>
      <c r="AX1391" t="s">
        <v>74</v>
      </c>
      <c r="AY1391" t="s">
        <v>74</v>
      </c>
      <c r="AZ1391" t="s">
        <v>74</v>
      </c>
      <c r="BA1391" t="s">
        <v>74</v>
      </c>
      <c r="BB1391">
        <v>171</v>
      </c>
      <c r="BC1391">
        <v>178</v>
      </c>
      <c r="BD1391" t="s">
        <v>74</v>
      </c>
      <c r="BE1391" t="s">
        <v>74</v>
      </c>
      <c r="BF1391" t="s">
        <v>74</v>
      </c>
      <c r="BG1391" t="s">
        <v>28285</v>
      </c>
      <c r="BH1391" t="s">
        <v>74</v>
      </c>
      <c r="BI1391">
        <v>8</v>
      </c>
      <c r="BJ1391" t="s">
        <v>268</v>
      </c>
      <c r="BK1391" t="s">
        <v>8314</v>
      </c>
      <c r="BL1391" t="s">
        <v>100</v>
      </c>
      <c r="BM1391" t="s">
        <v>28284</v>
      </c>
      <c r="BN1391" t="s">
        <v>74</v>
      </c>
      <c r="BO1391" t="s">
        <v>74</v>
      </c>
      <c r="BP1391" t="s">
        <v>74</v>
      </c>
      <c r="BQ1391" t="s">
        <v>74</v>
      </c>
      <c r="BR1391" t="s">
        <v>102</v>
      </c>
      <c r="BS1391" t="s">
        <v>28283</v>
      </c>
      <c r="BT1391" t="str">
        <f>HYPERLINK("https%3A%2F%2Fwww.webofscience.com%2Fwos%2Fwoscc%2Ffull-record%2FWOS:000303261800010","View Full Record in Web of Science")</f>
        <v>View Full Record in Web of Science</v>
      </c>
    </row>
    <row r="1392" spans="1:72" x14ac:dyDescent="0.25">
      <c r="A1392" t="s">
        <v>72</v>
      </c>
      <c r="B1392" t="s">
        <v>28282</v>
      </c>
      <c r="C1392" t="s">
        <v>74</v>
      </c>
      <c r="D1392" t="s">
        <v>74</v>
      </c>
      <c r="E1392" t="s">
        <v>74</v>
      </c>
      <c r="F1392" t="s">
        <v>28281</v>
      </c>
      <c r="G1392" t="s">
        <v>74</v>
      </c>
      <c r="H1392" t="s">
        <v>74</v>
      </c>
      <c r="I1392" t="s">
        <v>28280</v>
      </c>
      <c r="J1392" t="s">
        <v>28279</v>
      </c>
      <c r="K1392" t="s">
        <v>74</v>
      </c>
      <c r="L1392" t="s">
        <v>74</v>
      </c>
      <c r="M1392" t="s">
        <v>78</v>
      </c>
      <c r="N1392" t="s">
        <v>79</v>
      </c>
      <c r="O1392" t="s">
        <v>74</v>
      </c>
      <c r="P1392" t="s">
        <v>74</v>
      </c>
      <c r="Q1392" t="s">
        <v>74</v>
      </c>
      <c r="R1392" t="s">
        <v>74</v>
      </c>
      <c r="S1392" t="s">
        <v>74</v>
      </c>
      <c r="T1392" t="s">
        <v>28278</v>
      </c>
      <c r="U1392" t="s">
        <v>28277</v>
      </c>
      <c r="V1392" t="s">
        <v>28276</v>
      </c>
      <c r="W1392" t="s">
        <v>28275</v>
      </c>
      <c r="X1392" t="s">
        <v>28274</v>
      </c>
      <c r="Y1392" t="s">
        <v>28273</v>
      </c>
      <c r="Z1392" t="s">
        <v>28272</v>
      </c>
      <c r="AA1392" t="s">
        <v>28271</v>
      </c>
      <c r="AB1392" t="s">
        <v>28270</v>
      </c>
      <c r="AC1392" t="s">
        <v>74</v>
      </c>
      <c r="AD1392" t="s">
        <v>74</v>
      </c>
      <c r="AE1392" t="s">
        <v>74</v>
      </c>
      <c r="AF1392" t="s">
        <v>74</v>
      </c>
      <c r="AG1392">
        <v>97</v>
      </c>
      <c r="AH1392">
        <v>102</v>
      </c>
      <c r="AI1392">
        <v>159</v>
      </c>
      <c r="AJ1392">
        <v>1</v>
      </c>
      <c r="AK1392">
        <v>54</v>
      </c>
      <c r="AL1392" t="s">
        <v>89</v>
      </c>
      <c r="AM1392" t="s">
        <v>1497</v>
      </c>
      <c r="AN1392" t="s">
        <v>1498</v>
      </c>
      <c r="AO1392" t="s">
        <v>28269</v>
      </c>
      <c r="AP1392" t="s">
        <v>28268</v>
      </c>
      <c r="AQ1392" t="s">
        <v>74</v>
      </c>
      <c r="AR1392" t="s">
        <v>28267</v>
      </c>
      <c r="AS1392" t="s">
        <v>28266</v>
      </c>
      <c r="AT1392" t="s">
        <v>74</v>
      </c>
      <c r="AU1392">
        <v>2018</v>
      </c>
      <c r="AV1392">
        <v>25</v>
      </c>
      <c r="AW1392">
        <v>6</v>
      </c>
      <c r="AX1392" t="s">
        <v>74</v>
      </c>
      <c r="AY1392" t="s">
        <v>74</v>
      </c>
      <c r="AZ1392" t="s">
        <v>74</v>
      </c>
      <c r="BA1392" t="s">
        <v>74</v>
      </c>
      <c r="BB1392">
        <v>985</v>
      </c>
      <c r="BC1392">
        <v>1003</v>
      </c>
      <c r="BD1392" t="s">
        <v>74</v>
      </c>
      <c r="BE1392" t="s">
        <v>28265</v>
      </c>
      <c r="BF1392" t="str">
        <f>HYPERLINK("http://dx.doi.org/10.1108/JSBED-01-2018-0021","http://dx.doi.org/10.1108/JSBED-01-2018-0021")</f>
        <v>http://dx.doi.org/10.1108/JSBED-01-2018-0021</v>
      </c>
      <c r="BG1392" t="s">
        <v>74</v>
      </c>
      <c r="BH1392" t="s">
        <v>74</v>
      </c>
      <c r="BI1392">
        <v>19</v>
      </c>
      <c r="BJ1392" t="s">
        <v>418</v>
      </c>
      <c r="BK1392" t="s">
        <v>313</v>
      </c>
      <c r="BL1392" t="s">
        <v>100</v>
      </c>
      <c r="BM1392" t="s">
        <v>28264</v>
      </c>
      <c r="BN1392" t="s">
        <v>74</v>
      </c>
      <c r="BO1392" t="s">
        <v>1696</v>
      </c>
      <c r="BP1392" t="s">
        <v>74</v>
      </c>
      <c r="BQ1392" t="s">
        <v>74</v>
      </c>
      <c r="BR1392" t="s">
        <v>102</v>
      </c>
      <c r="BS1392" t="s">
        <v>28263</v>
      </c>
      <c r="BT1392" t="str">
        <f>HYPERLINK("https%3A%2F%2Fwww.webofscience.com%2Fwos%2Fwoscc%2Ffull-record%2FWOS:000448326200006","View Full Record in Web of Science")</f>
        <v>View Full Record in Web of Science</v>
      </c>
    </row>
    <row r="1393" spans="1:72" x14ac:dyDescent="0.25">
      <c r="A1393" t="s">
        <v>72</v>
      </c>
      <c r="B1393" t="s">
        <v>28262</v>
      </c>
      <c r="C1393" t="s">
        <v>74</v>
      </c>
      <c r="D1393" t="s">
        <v>74</v>
      </c>
      <c r="E1393" t="s">
        <v>74</v>
      </c>
      <c r="F1393" t="s">
        <v>28261</v>
      </c>
      <c r="G1393" t="s">
        <v>74</v>
      </c>
      <c r="H1393" t="s">
        <v>74</v>
      </c>
      <c r="I1393" t="s">
        <v>28260</v>
      </c>
      <c r="J1393" t="s">
        <v>28259</v>
      </c>
      <c r="K1393" t="s">
        <v>74</v>
      </c>
      <c r="L1393" t="s">
        <v>74</v>
      </c>
      <c r="M1393" t="s">
        <v>78</v>
      </c>
      <c r="N1393" t="s">
        <v>79</v>
      </c>
      <c r="O1393" t="s">
        <v>74</v>
      </c>
      <c r="P1393" t="s">
        <v>74</v>
      </c>
      <c r="Q1393" t="s">
        <v>74</v>
      </c>
      <c r="R1393" t="s">
        <v>74</v>
      </c>
      <c r="S1393" t="s">
        <v>74</v>
      </c>
      <c r="T1393" t="s">
        <v>28258</v>
      </c>
      <c r="U1393" t="s">
        <v>28257</v>
      </c>
      <c r="V1393" t="s">
        <v>28256</v>
      </c>
      <c r="W1393" t="s">
        <v>28255</v>
      </c>
      <c r="X1393" t="s">
        <v>28254</v>
      </c>
      <c r="Y1393" t="s">
        <v>28253</v>
      </c>
      <c r="Z1393" t="s">
        <v>28252</v>
      </c>
      <c r="AA1393" t="s">
        <v>28251</v>
      </c>
      <c r="AB1393" t="s">
        <v>28250</v>
      </c>
      <c r="AC1393" t="s">
        <v>74</v>
      </c>
      <c r="AD1393" t="s">
        <v>74</v>
      </c>
      <c r="AE1393" t="s">
        <v>74</v>
      </c>
      <c r="AF1393" t="s">
        <v>74</v>
      </c>
      <c r="AG1393">
        <v>79</v>
      </c>
      <c r="AH1393">
        <v>11</v>
      </c>
      <c r="AI1393">
        <v>12</v>
      </c>
      <c r="AJ1393">
        <v>7</v>
      </c>
      <c r="AK1393">
        <v>14</v>
      </c>
      <c r="AL1393" t="s">
        <v>21430</v>
      </c>
      <c r="AM1393" t="s">
        <v>21429</v>
      </c>
      <c r="AN1393" t="s">
        <v>21428</v>
      </c>
      <c r="AO1393" t="s">
        <v>28249</v>
      </c>
      <c r="AP1393" t="s">
        <v>28248</v>
      </c>
      <c r="AQ1393" t="s">
        <v>74</v>
      </c>
      <c r="AR1393" t="s">
        <v>28247</v>
      </c>
      <c r="AS1393" t="s">
        <v>28246</v>
      </c>
      <c r="AT1393" t="s">
        <v>74</v>
      </c>
      <c r="AU1393">
        <v>2024</v>
      </c>
      <c r="AV1393">
        <v>22</v>
      </c>
      <c r="AW1393">
        <v>2</v>
      </c>
      <c r="AX1393" t="s">
        <v>74</v>
      </c>
      <c r="AY1393" t="s">
        <v>74</v>
      </c>
      <c r="AZ1393" t="s">
        <v>74</v>
      </c>
      <c r="BA1393" t="s">
        <v>74</v>
      </c>
      <c r="BB1393">
        <v>333</v>
      </c>
      <c r="BC1393">
        <v>356</v>
      </c>
      <c r="BD1393" t="s">
        <v>74</v>
      </c>
      <c r="BE1393" t="s">
        <v>28245</v>
      </c>
      <c r="BF1393" t="str">
        <f>HYPERLINK("http://dx.doi.org/10.3846/bmee.2024.21449","http://dx.doi.org/10.3846/bmee.2024.21449")</f>
        <v>http://dx.doi.org/10.3846/bmee.2024.21449</v>
      </c>
      <c r="BG1393" t="s">
        <v>74</v>
      </c>
      <c r="BH1393" t="s">
        <v>74</v>
      </c>
      <c r="BI1393">
        <v>24</v>
      </c>
      <c r="BJ1393" t="s">
        <v>6512</v>
      </c>
      <c r="BK1393" t="s">
        <v>313</v>
      </c>
      <c r="BL1393" t="s">
        <v>100</v>
      </c>
      <c r="BM1393" t="s">
        <v>28244</v>
      </c>
      <c r="BN1393" t="s">
        <v>74</v>
      </c>
      <c r="BO1393" t="s">
        <v>916</v>
      </c>
      <c r="BP1393" t="s">
        <v>74</v>
      </c>
      <c r="BQ1393" t="s">
        <v>74</v>
      </c>
      <c r="BR1393" t="s">
        <v>102</v>
      </c>
      <c r="BS1393" t="s">
        <v>28243</v>
      </c>
      <c r="BT1393" t="str">
        <f>HYPERLINK("https%3A%2F%2Fwww.webofscience.com%2Fwos%2Fwoscc%2Ffull-record%2FWOS:001333603700006","View Full Record in Web of Science")</f>
        <v>View Full Record in Web of Science</v>
      </c>
    </row>
    <row r="1394" spans="1:72" x14ac:dyDescent="0.25">
      <c r="A1394" t="s">
        <v>132</v>
      </c>
      <c r="B1394" t="s">
        <v>28242</v>
      </c>
      <c r="C1394" t="s">
        <v>74</v>
      </c>
      <c r="D1394" t="s">
        <v>631</v>
      </c>
      <c r="E1394" t="s">
        <v>74</v>
      </c>
      <c r="F1394" t="s">
        <v>28241</v>
      </c>
      <c r="G1394" t="s">
        <v>74</v>
      </c>
      <c r="H1394" t="s">
        <v>74</v>
      </c>
      <c r="I1394" t="s">
        <v>28240</v>
      </c>
      <c r="J1394" t="s">
        <v>13970</v>
      </c>
      <c r="K1394" t="s">
        <v>74</v>
      </c>
      <c r="L1394" t="s">
        <v>74</v>
      </c>
      <c r="M1394" t="s">
        <v>78</v>
      </c>
      <c r="N1394" t="s">
        <v>138</v>
      </c>
      <c r="O1394" t="s">
        <v>13971</v>
      </c>
      <c r="P1394" t="s">
        <v>13972</v>
      </c>
      <c r="Q1394" t="s">
        <v>12031</v>
      </c>
      <c r="R1394" t="s">
        <v>638</v>
      </c>
      <c r="S1394" t="s">
        <v>74</v>
      </c>
      <c r="T1394" t="s">
        <v>28239</v>
      </c>
      <c r="U1394" t="s">
        <v>26740</v>
      </c>
      <c r="V1394" t="s">
        <v>28238</v>
      </c>
      <c r="W1394" t="s">
        <v>28237</v>
      </c>
      <c r="X1394" t="s">
        <v>28236</v>
      </c>
      <c r="Y1394" t="s">
        <v>28235</v>
      </c>
      <c r="Z1394" t="s">
        <v>28234</v>
      </c>
      <c r="AA1394" t="s">
        <v>1951</v>
      </c>
      <c r="AB1394" t="s">
        <v>74</v>
      </c>
      <c r="AC1394" t="s">
        <v>1575</v>
      </c>
      <c r="AD1394" t="s">
        <v>1575</v>
      </c>
      <c r="AE1394" t="s">
        <v>28233</v>
      </c>
      <c r="AF1394" t="s">
        <v>74</v>
      </c>
      <c r="AG1394">
        <v>32</v>
      </c>
      <c r="AH1394">
        <v>0</v>
      </c>
      <c r="AI1394">
        <v>0</v>
      </c>
      <c r="AJ1394">
        <v>0</v>
      </c>
      <c r="AK1394">
        <v>5</v>
      </c>
      <c r="AL1394" t="s">
        <v>645</v>
      </c>
      <c r="AM1394" t="s">
        <v>646</v>
      </c>
      <c r="AN1394" t="s">
        <v>647</v>
      </c>
      <c r="AO1394" t="s">
        <v>74</v>
      </c>
      <c r="AP1394" t="s">
        <v>74</v>
      </c>
      <c r="AQ1394" t="s">
        <v>13980</v>
      </c>
      <c r="AR1394" t="s">
        <v>74</v>
      </c>
      <c r="AS1394" t="s">
        <v>74</v>
      </c>
      <c r="AT1394" t="s">
        <v>74</v>
      </c>
      <c r="AU1394">
        <v>2019</v>
      </c>
      <c r="AV1394" t="s">
        <v>74</v>
      </c>
      <c r="AW1394" t="s">
        <v>74</v>
      </c>
      <c r="AX1394" t="s">
        <v>74</v>
      </c>
      <c r="AY1394" t="s">
        <v>74</v>
      </c>
      <c r="AZ1394" t="s">
        <v>74</v>
      </c>
      <c r="BA1394" t="s">
        <v>74</v>
      </c>
      <c r="BB1394">
        <v>13285</v>
      </c>
      <c r="BC1394">
        <v>13294</v>
      </c>
      <c r="BD1394" t="s">
        <v>74</v>
      </c>
      <c r="BE1394" t="s">
        <v>74</v>
      </c>
      <c r="BF1394" t="s">
        <v>74</v>
      </c>
      <c r="BG1394" t="s">
        <v>74</v>
      </c>
      <c r="BH1394" t="s">
        <v>74</v>
      </c>
      <c r="BI1394">
        <v>10</v>
      </c>
      <c r="BJ1394" t="s">
        <v>6512</v>
      </c>
      <c r="BK1394" t="s">
        <v>183</v>
      </c>
      <c r="BL1394" t="s">
        <v>100</v>
      </c>
      <c r="BM1394" t="s">
        <v>28232</v>
      </c>
      <c r="BN1394" t="s">
        <v>74</v>
      </c>
      <c r="BO1394" t="s">
        <v>74</v>
      </c>
      <c r="BP1394" t="s">
        <v>74</v>
      </c>
      <c r="BQ1394" t="s">
        <v>74</v>
      </c>
      <c r="BR1394" t="s">
        <v>102</v>
      </c>
      <c r="BS1394" t="s">
        <v>28231</v>
      </c>
      <c r="BT1394" t="str">
        <f>HYPERLINK("https%3A%2F%2Fwww.webofscience.com%2Fwos%2Fwoscc%2Ffull-record%2FWOS:000561117208002","View Full Record in Web of Science")</f>
        <v>View Full Record in Web of Science</v>
      </c>
    </row>
    <row r="1395" spans="1:72" x14ac:dyDescent="0.25">
      <c r="A1395" t="s">
        <v>72</v>
      </c>
      <c r="B1395" t="s">
        <v>28230</v>
      </c>
      <c r="C1395" t="s">
        <v>74</v>
      </c>
      <c r="D1395" t="s">
        <v>74</v>
      </c>
      <c r="E1395" t="s">
        <v>74</v>
      </c>
      <c r="F1395" t="s">
        <v>28229</v>
      </c>
      <c r="G1395" t="s">
        <v>74</v>
      </c>
      <c r="H1395" t="s">
        <v>74</v>
      </c>
      <c r="I1395" t="s">
        <v>28228</v>
      </c>
      <c r="J1395" t="s">
        <v>17640</v>
      </c>
      <c r="K1395" t="s">
        <v>74</v>
      </c>
      <c r="L1395" t="s">
        <v>74</v>
      </c>
      <c r="M1395" t="s">
        <v>78</v>
      </c>
      <c r="N1395" t="s">
        <v>79</v>
      </c>
      <c r="O1395" t="s">
        <v>74</v>
      </c>
      <c r="P1395" t="s">
        <v>74</v>
      </c>
      <c r="Q1395" t="s">
        <v>74</v>
      </c>
      <c r="R1395" t="s">
        <v>74</v>
      </c>
      <c r="S1395" t="s">
        <v>74</v>
      </c>
      <c r="T1395" t="s">
        <v>74</v>
      </c>
      <c r="U1395" t="s">
        <v>28227</v>
      </c>
      <c r="V1395" t="s">
        <v>28226</v>
      </c>
      <c r="W1395" t="s">
        <v>28225</v>
      </c>
      <c r="X1395" t="s">
        <v>28224</v>
      </c>
      <c r="Y1395" t="s">
        <v>28223</v>
      </c>
      <c r="Z1395" t="s">
        <v>28222</v>
      </c>
      <c r="AA1395" t="s">
        <v>28221</v>
      </c>
      <c r="AB1395" t="s">
        <v>74</v>
      </c>
      <c r="AC1395" t="s">
        <v>18234</v>
      </c>
      <c r="AD1395" t="s">
        <v>18234</v>
      </c>
      <c r="AE1395" t="s">
        <v>18236</v>
      </c>
      <c r="AF1395" t="s">
        <v>74</v>
      </c>
      <c r="AG1395">
        <v>60</v>
      </c>
      <c r="AH1395">
        <v>1</v>
      </c>
      <c r="AI1395">
        <v>1</v>
      </c>
      <c r="AJ1395">
        <v>9</v>
      </c>
      <c r="AK1395">
        <v>9</v>
      </c>
      <c r="AL1395" t="s">
        <v>4666</v>
      </c>
      <c r="AM1395" t="s">
        <v>995</v>
      </c>
      <c r="AN1395" t="s">
        <v>4025</v>
      </c>
      <c r="AO1395" t="s">
        <v>74</v>
      </c>
      <c r="AP1395" t="s">
        <v>17649</v>
      </c>
      <c r="AQ1395" t="s">
        <v>74</v>
      </c>
      <c r="AR1395" t="s">
        <v>17650</v>
      </c>
      <c r="AS1395" t="s">
        <v>17651</v>
      </c>
      <c r="AT1395" t="s">
        <v>28220</v>
      </c>
      <c r="AU1395">
        <v>2025</v>
      </c>
      <c r="AV1395">
        <v>12</v>
      </c>
      <c r="AW1395">
        <v>1</v>
      </c>
      <c r="AX1395" t="s">
        <v>74</v>
      </c>
      <c r="AY1395" t="s">
        <v>74</v>
      </c>
      <c r="AZ1395" t="s">
        <v>74</v>
      </c>
      <c r="BA1395" t="s">
        <v>74</v>
      </c>
      <c r="BB1395" t="s">
        <v>74</v>
      </c>
      <c r="BC1395" t="s">
        <v>74</v>
      </c>
      <c r="BD1395">
        <v>1724</v>
      </c>
      <c r="BE1395" t="s">
        <v>28219</v>
      </c>
      <c r="BF1395" t="str">
        <f>HYPERLINK("http://dx.doi.org/10.1057/s41599-025-05995-2","http://dx.doi.org/10.1057/s41599-025-05995-2")</f>
        <v>http://dx.doi.org/10.1057/s41599-025-05995-2</v>
      </c>
      <c r="BG1395" t="s">
        <v>74</v>
      </c>
      <c r="BH1395" t="s">
        <v>74</v>
      </c>
      <c r="BI1395">
        <v>14</v>
      </c>
      <c r="BJ1395" t="s">
        <v>17654</v>
      </c>
      <c r="BK1395" t="s">
        <v>871</v>
      </c>
      <c r="BL1395" t="s">
        <v>17655</v>
      </c>
      <c r="BM1395" t="s">
        <v>28218</v>
      </c>
      <c r="BN1395" t="s">
        <v>74</v>
      </c>
      <c r="BO1395" t="s">
        <v>212</v>
      </c>
      <c r="BP1395" t="s">
        <v>74</v>
      </c>
      <c r="BQ1395" t="s">
        <v>74</v>
      </c>
      <c r="BR1395" t="s">
        <v>102</v>
      </c>
      <c r="BS1395" t="s">
        <v>28217</v>
      </c>
      <c r="BT1395" t="str">
        <f>HYPERLINK("https%3A%2F%2Fwww.webofscience.com%2Fwos%2Fwoscc%2Ffull-record%2FWOS:001614443800002","View Full Record in Web of Science")</f>
        <v>View Full Record in Web of Science</v>
      </c>
    </row>
    <row r="1396" spans="1:72" x14ac:dyDescent="0.25">
      <c r="A1396" t="s">
        <v>72</v>
      </c>
      <c r="B1396" t="s">
        <v>28216</v>
      </c>
      <c r="C1396" t="s">
        <v>74</v>
      </c>
      <c r="D1396" t="s">
        <v>74</v>
      </c>
      <c r="E1396" t="s">
        <v>74</v>
      </c>
      <c r="F1396" t="s">
        <v>28215</v>
      </c>
      <c r="G1396" t="s">
        <v>74</v>
      </c>
      <c r="H1396" t="s">
        <v>74</v>
      </c>
      <c r="I1396" t="s">
        <v>28214</v>
      </c>
      <c r="J1396" t="s">
        <v>9896</v>
      </c>
      <c r="K1396" t="s">
        <v>74</v>
      </c>
      <c r="L1396" t="s">
        <v>74</v>
      </c>
      <c r="M1396" t="s">
        <v>78</v>
      </c>
      <c r="N1396" t="s">
        <v>79</v>
      </c>
      <c r="O1396" t="s">
        <v>74</v>
      </c>
      <c r="P1396" t="s">
        <v>74</v>
      </c>
      <c r="Q1396" t="s">
        <v>74</v>
      </c>
      <c r="R1396" t="s">
        <v>74</v>
      </c>
      <c r="S1396" t="s">
        <v>74</v>
      </c>
      <c r="T1396" t="s">
        <v>28213</v>
      </c>
      <c r="U1396" t="s">
        <v>28212</v>
      </c>
      <c r="V1396" t="s">
        <v>28211</v>
      </c>
      <c r="W1396" t="s">
        <v>28210</v>
      </c>
      <c r="X1396" t="s">
        <v>28209</v>
      </c>
      <c r="Y1396" t="s">
        <v>28208</v>
      </c>
      <c r="Z1396" t="s">
        <v>28207</v>
      </c>
      <c r="AA1396" t="s">
        <v>28206</v>
      </c>
      <c r="AB1396" t="s">
        <v>28205</v>
      </c>
      <c r="AC1396" t="s">
        <v>74</v>
      </c>
      <c r="AD1396" t="s">
        <v>74</v>
      </c>
      <c r="AE1396" t="s">
        <v>74</v>
      </c>
      <c r="AF1396" t="s">
        <v>74</v>
      </c>
      <c r="AG1396">
        <v>60</v>
      </c>
      <c r="AH1396">
        <v>2</v>
      </c>
      <c r="AI1396">
        <v>3</v>
      </c>
      <c r="AJ1396">
        <v>2</v>
      </c>
      <c r="AK1396">
        <v>9</v>
      </c>
      <c r="AL1396" t="s">
        <v>89</v>
      </c>
      <c r="AM1396" t="s">
        <v>90</v>
      </c>
      <c r="AN1396" t="s">
        <v>91</v>
      </c>
      <c r="AO1396" t="s">
        <v>9905</v>
      </c>
      <c r="AP1396" t="s">
        <v>9906</v>
      </c>
      <c r="AQ1396" t="s">
        <v>74</v>
      </c>
      <c r="AR1396" t="s">
        <v>9907</v>
      </c>
      <c r="AS1396" t="s">
        <v>9908</v>
      </c>
      <c r="AT1396" t="s">
        <v>9096</v>
      </c>
      <c r="AU1396">
        <v>2024</v>
      </c>
      <c r="AV1396">
        <v>84</v>
      </c>
      <c r="AW1396">
        <v>1</v>
      </c>
      <c r="AX1396" t="s">
        <v>74</v>
      </c>
      <c r="AY1396" t="s">
        <v>74</v>
      </c>
      <c r="AZ1396" t="s">
        <v>74</v>
      </c>
      <c r="BA1396" t="s">
        <v>74</v>
      </c>
      <c r="BB1396">
        <v>67</v>
      </c>
      <c r="BC1396">
        <v>89</v>
      </c>
      <c r="BD1396" t="s">
        <v>74</v>
      </c>
      <c r="BE1396" t="s">
        <v>28204</v>
      </c>
      <c r="BF1396" t="str">
        <f>HYPERLINK("http://dx.doi.org/10.1108/AFR-09-2023-0121","http://dx.doi.org/10.1108/AFR-09-2023-0121")</f>
        <v>http://dx.doi.org/10.1108/AFR-09-2023-0121</v>
      </c>
      <c r="BG1396" t="s">
        <v>74</v>
      </c>
      <c r="BH1396" t="s">
        <v>938</v>
      </c>
      <c r="BI1396">
        <v>23</v>
      </c>
      <c r="BJ1396" t="s">
        <v>5151</v>
      </c>
      <c r="BK1396" t="s">
        <v>313</v>
      </c>
      <c r="BL1396" t="s">
        <v>5152</v>
      </c>
      <c r="BM1396" t="s">
        <v>28203</v>
      </c>
      <c r="BN1396" t="s">
        <v>74</v>
      </c>
      <c r="BO1396" t="s">
        <v>74</v>
      </c>
      <c r="BP1396" t="s">
        <v>74</v>
      </c>
      <c r="BQ1396" t="s">
        <v>74</v>
      </c>
      <c r="BR1396" t="s">
        <v>102</v>
      </c>
      <c r="BS1396" t="s">
        <v>28202</v>
      </c>
      <c r="BT1396" t="str">
        <f>HYPERLINK("https%3A%2F%2Fwww.webofscience.com%2Fwos%2Fwoscc%2Ffull-record%2FWOS:001200695600001","View Full Record in Web of Science")</f>
        <v>View Full Record in Web of Science</v>
      </c>
    </row>
    <row r="1397" spans="1:72" x14ac:dyDescent="0.25">
      <c r="A1397" t="s">
        <v>72</v>
      </c>
      <c r="B1397" t="s">
        <v>28201</v>
      </c>
      <c r="C1397" t="s">
        <v>74</v>
      </c>
      <c r="D1397" t="s">
        <v>74</v>
      </c>
      <c r="E1397" t="s">
        <v>74</v>
      </c>
      <c r="F1397" t="s">
        <v>28200</v>
      </c>
      <c r="G1397" t="s">
        <v>74</v>
      </c>
      <c r="H1397" t="s">
        <v>74</v>
      </c>
      <c r="I1397" t="s">
        <v>28199</v>
      </c>
      <c r="J1397" t="s">
        <v>2763</v>
      </c>
      <c r="K1397" t="s">
        <v>74</v>
      </c>
      <c r="L1397" t="s">
        <v>74</v>
      </c>
      <c r="M1397" t="s">
        <v>78</v>
      </c>
      <c r="N1397" t="s">
        <v>79</v>
      </c>
      <c r="O1397" t="s">
        <v>74</v>
      </c>
      <c r="P1397" t="s">
        <v>74</v>
      </c>
      <c r="Q1397" t="s">
        <v>74</v>
      </c>
      <c r="R1397" t="s">
        <v>74</v>
      </c>
      <c r="S1397" t="s">
        <v>74</v>
      </c>
      <c r="T1397" t="s">
        <v>74</v>
      </c>
      <c r="U1397" t="s">
        <v>28198</v>
      </c>
      <c r="V1397" t="s">
        <v>28197</v>
      </c>
      <c r="W1397" t="s">
        <v>28196</v>
      </c>
      <c r="X1397" t="s">
        <v>28195</v>
      </c>
      <c r="Y1397" t="s">
        <v>28194</v>
      </c>
      <c r="Z1397" t="s">
        <v>28193</v>
      </c>
      <c r="AA1397" t="s">
        <v>28192</v>
      </c>
      <c r="AB1397" t="s">
        <v>28191</v>
      </c>
      <c r="AC1397" t="s">
        <v>28190</v>
      </c>
      <c r="AD1397" t="s">
        <v>28189</v>
      </c>
      <c r="AE1397" t="s">
        <v>28188</v>
      </c>
      <c r="AF1397" t="s">
        <v>74</v>
      </c>
      <c r="AG1397">
        <v>36</v>
      </c>
      <c r="AH1397">
        <v>80</v>
      </c>
      <c r="AI1397">
        <v>90</v>
      </c>
      <c r="AJ1397">
        <v>0</v>
      </c>
      <c r="AK1397">
        <v>47</v>
      </c>
      <c r="AL1397" t="s">
        <v>479</v>
      </c>
      <c r="AM1397" t="s">
        <v>480</v>
      </c>
      <c r="AN1397" t="s">
        <v>481</v>
      </c>
      <c r="AO1397" t="s">
        <v>2776</v>
      </c>
      <c r="AP1397" t="s">
        <v>2777</v>
      </c>
      <c r="AQ1397" t="s">
        <v>74</v>
      </c>
      <c r="AR1397" t="s">
        <v>2778</v>
      </c>
      <c r="AS1397" t="s">
        <v>2779</v>
      </c>
      <c r="AT1397" t="s">
        <v>237</v>
      </c>
      <c r="AU1397">
        <v>2018</v>
      </c>
      <c r="AV1397">
        <v>22</v>
      </c>
      <c r="AW1397">
        <v>1</v>
      </c>
      <c r="AX1397" t="s">
        <v>74</v>
      </c>
      <c r="AY1397" t="s">
        <v>74</v>
      </c>
      <c r="AZ1397" t="s">
        <v>74</v>
      </c>
      <c r="BA1397" t="s">
        <v>74</v>
      </c>
      <c r="BB1397">
        <v>45</v>
      </c>
      <c r="BC1397">
        <v>66</v>
      </c>
      <c r="BD1397" t="s">
        <v>74</v>
      </c>
      <c r="BE1397" t="s">
        <v>28187</v>
      </c>
      <c r="BF1397" t="str">
        <f>HYPERLINK("http://dx.doi.org/10.1111/rode.12327","http://dx.doi.org/10.1111/rode.12327")</f>
        <v>http://dx.doi.org/10.1111/rode.12327</v>
      </c>
      <c r="BG1397" t="s">
        <v>74</v>
      </c>
      <c r="BH1397" t="s">
        <v>74</v>
      </c>
      <c r="BI1397">
        <v>22</v>
      </c>
      <c r="BJ1397" t="s">
        <v>701</v>
      </c>
      <c r="BK1397" t="s">
        <v>99</v>
      </c>
      <c r="BL1397" t="s">
        <v>702</v>
      </c>
      <c r="BM1397" t="s">
        <v>28186</v>
      </c>
      <c r="BN1397" t="s">
        <v>74</v>
      </c>
      <c r="BO1397" t="s">
        <v>74</v>
      </c>
      <c r="BP1397" t="s">
        <v>74</v>
      </c>
      <c r="BQ1397" t="s">
        <v>74</v>
      </c>
      <c r="BR1397" t="s">
        <v>102</v>
      </c>
      <c r="BS1397" t="s">
        <v>28185</v>
      </c>
      <c r="BT1397" t="str">
        <f>HYPERLINK("https%3A%2F%2Fwww.webofscience.com%2Fwos%2Fwoscc%2Ffull-record%2FWOS:000422994200003","View Full Record in Web of Science")</f>
        <v>View Full Record in Web of Science</v>
      </c>
    </row>
    <row r="1398" spans="1:72" x14ac:dyDescent="0.25">
      <c r="A1398" t="s">
        <v>72</v>
      </c>
      <c r="B1398" t="s">
        <v>28184</v>
      </c>
      <c r="C1398" t="s">
        <v>74</v>
      </c>
      <c r="D1398" t="s">
        <v>74</v>
      </c>
      <c r="E1398" t="s">
        <v>74</v>
      </c>
      <c r="F1398" t="s">
        <v>28183</v>
      </c>
      <c r="G1398" t="s">
        <v>74</v>
      </c>
      <c r="H1398" t="s">
        <v>74</v>
      </c>
      <c r="I1398" t="s">
        <v>28182</v>
      </c>
      <c r="J1398" t="s">
        <v>5078</v>
      </c>
      <c r="K1398" t="s">
        <v>74</v>
      </c>
      <c r="L1398" t="s">
        <v>74</v>
      </c>
      <c r="M1398" t="s">
        <v>78</v>
      </c>
      <c r="N1398" t="s">
        <v>79</v>
      </c>
      <c r="O1398" t="s">
        <v>74</v>
      </c>
      <c r="P1398" t="s">
        <v>74</v>
      </c>
      <c r="Q1398" t="s">
        <v>74</v>
      </c>
      <c r="R1398" t="s">
        <v>74</v>
      </c>
      <c r="S1398" t="s">
        <v>74</v>
      </c>
      <c r="T1398" t="s">
        <v>28181</v>
      </c>
      <c r="U1398" t="s">
        <v>74</v>
      </c>
      <c r="V1398" t="s">
        <v>28180</v>
      </c>
      <c r="W1398" t="s">
        <v>28179</v>
      </c>
      <c r="X1398" t="s">
        <v>74</v>
      </c>
      <c r="Y1398" t="s">
        <v>28178</v>
      </c>
      <c r="Z1398" t="s">
        <v>28177</v>
      </c>
      <c r="AA1398" t="s">
        <v>74</v>
      </c>
      <c r="AB1398" t="s">
        <v>28176</v>
      </c>
      <c r="AC1398" t="s">
        <v>28175</v>
      </c>
      <c r="AD1398" t="s">
        <v>28175</v>
      </c>
      <c r="AE1398" t="s">
        <v>28174</v>
      </c>
      <c r="AF1398" t="s">
        <v>74</v>
      </c>
      <c r="AG1398">
        <v>30</v>
      </c>
      <c r="AH1398">
        <v>8</v>
      </c>
      <c r="AI1398">
        <v>14</v>
      </c>
      <c r="AJ1398">
        <v>0</v>
      </c>
      <c r="AK1398">
        <v>9</v>
      </c>
      <c r="AL1398" t="s">
        <v>385</v>
      </c>
      <c r="AM1398" t="s">
        <v>151</v>
      </c>
      <c r="AN1398" t="s">
        <v>386</v>
      </c>
      <c r="AO1398" t="s">
        <v>74</v>
      </c>
      <c r="AP1398" t="s">
        <v>5087</v>
      </c>
      <c r="AQ1398" t="s">
        <v>74</v>
      </c>
      <c r="AR1398" t="s">
        <v>5088</v>
      </c>
      <c r="AS1398" t="s">
        <v>5089</v>
      </c>
      <c r="AT1398" t="s">
        <v>124</v>
      </c>
      <c r="AU1398">
        <v>2016</v>
      </c>
      <c r="AV1398">
        <v>2</v>
      </c>
      <c r="AW1398">
        <v>1</v>
      </c>
      <c r="AX1398" t="s">
        <v>74</v>
      </c>
      <c r="AY1398" t="s">
        <v>74</v>
      </c>
      <c r="AZ1398" t="s">
        <v>74</v>
      </c>
      <c r="BA1398" t="s">
        <v>74</v>
      </c>
      <c r="BB1398" t="s">
        <v>74</v>
      </c>
      <c r="BC1398" t="s">
        <v>74</v>
      </c>
      <c r="BD1398">
        <v>13</v>
      </c>
      <c r="BE1398" t="s">
        <v>28173</v>
      </c>
      <c r="BF1398" t="str">
        <f>HYPERLINK("http://dx.doi.org/10.1186/s40854-016-0033-x","http://dx.doi.org/10.1186/s40854-016-0033-x")</f>
        <v>http://dx.doi.org/10.1186/s40854-016-0033-x</v>
      </c>
      <c r="BG1398" t="s">
        <v>74</v>
      </c>
      <c r="BH1398" t="s">
        <v>74</v>
      </c>
      <c r="BI1398">
        <v>16</v>
      </c>
      <c r="BJ1398" t="s">
        <v>5092</v>
      </c>
      <c r="BK1398" t="s">
        <v>313</v>
      </c>
      <c r="BL1398" t="s">
        <v>2024</v>
      </c>
      <c r="BM1398" t="s">
        <v>28172</v>
      </c>
      <c r="BN1398" t="s">
        <v>74</v>
      </c>
      <c r="BO1398" t="s">
        <v>916</v>
      </c>
      <c r="BP1398" t="s">
        <v>74</v>
      </c>
      <c r="BQ1398" t="s">
        <v>74</v>
      </c>
      <c r="BR1398" t="s">
        <v>102</v>
      </c>
      <c r="BS1398" t="s">
        <v>28171</v>
      </c>
      <c r="BT1398" t="str">
        <f>HYPERLINK("https%3A%2F%2Fwww.webofscience.com%2Fwos%2Fwoscc%2Ffull-record%2FWOS:000413051500013","View Full Record in Web of Science")</f>
        <v>View Full Record in Web of Science</v>
      </c>
    </row>
    <row r="1399" spans="1:72" x14ac:dyDescent="0.25">
      <c r="A1399" t="s">
        <v>72</v>
      </c>
      <c r="B1399" t="s">
        <v>28170</v>
      </c>
      <c r="C1399" t="s">
        <v>74</v>
      </c>
      <c r="D1399" t="s">
        <v>74</v>
      </c>
      <c r="E1399" t="s">
        <v>74</v>
      </c>
      <c r="F1399" t="s">
        <v>28169</v>
      </c>
      <c r="G1399" t="s">
        <v>74</v>
      </c>
      <c r="H1399" t="s">
        <v>74</v>
      </c>
      <c r="I1399" t="s">
        <v>28168</v>
      </c>
      <c r="J1399" t="s">
        <v>11879</v>
      </c>
      <c r="K1399" t="s">
        <v>74</v>
      </c>
      <c r="L1399" t="s">
        <v>74</v>
      </c>
      <c r="M1399" t="s">
        <v>78</v>
      </c>
      <c r="N1399" t="s">
        <v>79</v>
      </c>
      <c r="O1399" t="s">
        <v>74</v>
      </c>
      <c r="P1399" t="s">
        <v>74</v>
      </c>
      <c r="Q1399" t="s">
        <v>74</v>
      </c>
      <c r="R1399" t="s">
        <v>74</v>
      </c>
      <c r="S1399" t="s">
        <v>74</v>
      </c>
      <c r="T1399" t="s">
        <v>28167</v>
      </c>
      <c r="U1399" t="s">
        <v>74</v>
      </c>
      <c r="V1399" t="s">
        <v>28166</v>
      </c>
      <c r="W1399" t="s">
        <v>28165</v>
      </c>
      <c r="X1399" t="s">
        <v>28164</v>
      </c>
      <c r="Y1399" t="s">
        <v>28163</v>
      </c>
      <c r="Z1399" t="s">
        <v>28162</v>
      </c>
      <c r="AA1399" t="s">
        <v>28161</v>
      </c>
      <c r="AB1399" t="s">
        <v>74</v>
      </c>
      <c r="AC1399" t="s">
        <v>74</v>
      </c>
      <c r="AD1399" t="s">
        <v>74</v>
      </c>
      <c r="AE1399" t="s">
        <v>74</v>
      </c>
      <c r="AF1399" t="s">
        <v>74</v>
      </c>
      <c r="AG1399">
        <v>40</v>
      </c>
      <c r="AH1399">
        <v>0</v>
      </c>
      <c r="AI1399">
        <v>0</v>
      </c>
      <c r="AJ1399">
        <v>0</v>
      </c>
      <c r="AK1399">
        <v>0</v>
      </c>
      <c r="AL1399" t="s">
        <v>201</v>
      </c>
      <c r="AM1399" t="s">
        <v>202</v>
      </c>
      <c r="AN1399" t="s">
        <v>203</v>
      </c>
      <c r="AO1399" t="s">
        <v>11889</v>
      </c>
      <c r="AP1399" t="s">
        <v>11890</v>
      </c>
      <c r="AQ1399" t="s">
        <v>74</v>
      </c>
      <c r="AR1399" t="s">
        <v>11891</v>
      </c>
      <c r="AS1399" t="s">
        <v>11892</v>
      </c>
      <c r="AT1399" t="s">
        <v>124</v>
      </c>
      <c r="AU1399">
        <v>2025</v>
      </c>
      <c r="AV1399">
        <v>25</v>
      </c>
      <c r="AW1399" t="s">
        <v>74</v>
      </c>
      <c r="AX1399" t="s">
        <v>74</v>
      </c>
      <c r="AY1399">
        <v>2</v>
      </c>
      <c r="AZ1399" t="s">
        <v>74</v>
      </c>
      <c r="BA1399" t="s">
        <v>74</v>
      </c>
      <c r="BB1399">
        <v>167</v>
      </c>
      <c r="BC1399">
        <v>176</v>
      </c>
      <c r="BD1399" t="s">
        <v>74</v>
      </c>
      <c r="BE1399" t="s">
        <v>28160</v>
      </c>
      <c r="BF1399" t="str">
        <f>HYPERLINK("http://dx.doi.org/10.1016/j.bir.2025.10.015","http://dx.doi.org/10.1016/j.bir.2025.10.015")</f>
        <v>http://dx.doi.org/10.1016/j.bir.2025.10.015</v>
      </c>
      <c r="BG1399" t="s">
        <v>74</v>
      </c>
      <c r="BH1399" t="s">
        <v>74</v>
      </c>
      <c r="BI1399">
        <v>10</v>
      </c>
      <c r="BJ1399" t="s">
        <v>210</v>
      </c>
      <c r="BK1399" t="s">
        <v>99</v>
      </c>
      <c r="BL1399" t="s">
        <v>100</v>
      </c>
      <c r="BM1399" t="s">
        <v>12665</v>
      </c>
      <c r="BN1399" t="s">
        <v>74</v>
      </c>
      <c r="BO1399" t="s">
        <v>916</v>
      </c>
      <c r="BP1399" t="s">
        <v>74</v>
      </c>
      <c r="BQ1399" t="s">
        <v>74</v>
      </c>
      <c r="BR1399" t="s">
        <v>102</v>
      </c>
      <c r="BS1399" t="s">
        <v>28159</v>
      </c>
      <c r="BT1399" t="str">
        <f>HYPERLINK("https%3A%2F%2Fwww.webofscience.com%2Fwos%2Fwoscc%2Ffull-record%2FWOS:001637944900008","View Full Record in Web of Science")</f>
        <v>View Full Record in Web of Science</v>
      </c>
    </row>
    <row r="1400" spans="1:72" x14ac:dyDescent="0.25">
      <c r="A1400" t="s">
        <v>72</v>
      </c>
      <c r="B1400" t="s">
        <v>28158</v>
      </c>
      <c r="C1400" t="s">
        <v>74</v>
      </c>
      <c r="D1400" t="s">
        <v>74</v>
      </c>
      <c r="E1400" t="s">
        <v>74</v>
      </c>
      <c r="F1400" t="s">
        <v>28157</v>
      </c>
      <c r="G1400" t="s">
        <v>74</v>
      </c>
      <c r="H1400" t="s">
        <v>74</v>
      </c>
      <c r="I1400" t="s">
        <v>28156</v>
      </c>
      <c r="J1400" t="s">
        <v>6362</v>
      </c>
      <c r="K1400" t="s">
        <v>74</v>
      </c>
      <c r="L1400" t="s">
        <v>74</v>
      </c>
      <c r="M1400" t="s">
        <v>78</v>
      </c>
      <c r="N1400" t="s">
        <v>79</v>
      </c>
      <c r="O1400" t="s">
        <v>74</v>
      </c>
      <c r="P1400" t="s">
        <v>74</v>
      </c>
      <c r="Q1400" t="s">
        <v>74</v>
      </c>
      <c r="R1400" t="s">
        <v>74</v>
      </c>
      <c r="S1400" t="s">
        <v>74</v>
      </c>
      <c r="T1400" t="s">
        <v>28155</v>
      </c>
      <c r="U1400" t="s">
        <v>28154</v>
      </c>
      <c r="V1400" t="s">
        <v>28153</v>
      </c>
      <c r="W1400" t="s">
        <v>28152</v>
      </c>
      <c r="X1400" t="s">
        <v>28151</v>
      </c>
      <c r="Y1400" t="s">
        <v>28150</v>
      </c>
      <c r="Z1400" t="s">
        <v>28149</v>
      </c>
      <c r="AA1400" t="s">
        <v>28148</v>
      </c>
      <c r="AB1400" t="s">
        <v>74</v>
      </c>
      <c r="AC1400" t="s">
        <v>28147</v>
      </c>
      <c r="AD1400" t="s">
        <v>28147</v>
      </c>
      <c r="AE1400" t="s">
        <v>28146</v>
      </c>
      <c r="AF1400" t="s">
        <v>74</v>
      </c>
      <c r="AG1400">
        <v>32</v>
      </c>
      <c r="AH1400">
        <v>5</v>
      </c>
      <c r="AI1400">
        <v>5</v>
      </c>
      <c r="AJ1400">
        <v>4</v>
      </c>
      <c r="AK1400">
        <v>26</v>
      </c>
      <c r="AL1400" t="s">
        <v>201</v>
      </c>
      <c r="AM1400" t="s">
        <v>202</v>
      </c>
      <c r="AN1400" t="s">
        <v>203</v>
      </c>
      <c r="AO1400" t="s">
        <v>6374</v>
      </c>
      <c r="AP1400" t="s">
        <v>6375</v>
      </c>
      <c r="AQ1400" t="s">
        <v>74</v>
      </c>
      <c r="AR1400" t="s">
        <v>6376</v>
      </c>
      <c r="AS1400" t="s">
        <v>6377</v>
      </c>
      <c r="AT1400" t="s">
        <v>1159</v>
      </c>
      <c r="AU1400">
        <v>2023</v>
      </c>
      <c r="AV1400">
        <v>214</v>
      </c>
      <c r="AW1400" t="s">
        <v>74</v>
      </c>
      <c r="AX1400" t="s">
        <v>74</v>
      </c>
      <c r="AY1400" t="s">
        <v>74</v>
      </c>
      <c r="AZ1400" t="s">
        <v>74</v>
      </c>
      <c r="BA1400" t="s">
        <v>74</v>
      </c>
      <c r="BB1400">
        <v>595</v>
      </c>
      <c r="BC1400">
        <v>614</v>
      </c>
      <c r="BD1400" t="s">
        <v>74</v>
      </c>
      <c r="BE1400" t="s">
        <v>28145</v>
      </c>
      <c r="BF1400" t="str">
        <f>HYPERLINK("http://dx.doi.org/10.1016/j.jebo.2023.08.014","http://dx.doi.org/10.1016/j.jebo.2023.08.014")</f>
        <v>http://dx.doi.org/10.1016/j.jebo.2023.08.014</v>
      </c>
      <c r="BG1400" t="s">
        <v>74</v>
      </c>
      <c r="BH1400" t="s">
        <v>7993</v>
      </c>
      <c r="BI1400">
        <v>20</v>
      </c>
      <c r="BJ1400" t="s">
        <v>291</v>
      </c>
      <c r="BK1400" t="s">
        <v>99</v>
      </c>
      <c r="BL1400" t="s">
        <v>100</v>
      </c>
      <c r="BM1400" t="s">
        <v>28144</v>
      </c>
      <c r="BN1400" t="s">
        <v>74</v>
      </c>
      <c r="BO1400" t="s">
        <v>74</v>
      </c>
      <c r="BP1400" t="s">
        <v>74</v>
      </c>
      <c r="BQ1400" t="s">
        <v>74</v>
      </c>
      <c r="BR1400" t="s">
        <v>102</v>
      </c>
      <c r="BS1400" t="s">
        <v>28143</v>
      </c>
      <c r="BT1400" t="str">
        <f>HYPERLINK("https%3A%2F%2Fwww.webofscience.com%2Fwos%2Fwoscc%2Ffull-record%2FWOS:001076557600001","View Full Record in Web of Science")</f>
        <v>View Full Record in Web of Science</v>
      </c>
    </row>
    <row r="1401" spans="1:72" x14ac:dyDescent="0.25">
      <c r="A1401" t="s">
        <v>132</v>
      </c>
      <c r="B1401" t="s">
        <v>28142</v>
      </c>
      <c r="C1401" t="s">
        <v>74</v>
      </c>
      <c r="D1401" t="s">
        <v>28141</v>
      </c>
      <c r="E1401" t="s">
        <v>74</v>
      </c>
      <c r="F1401" t="s">
        <v>28140</v>
      </c>
      <c r="G1401" t="s">
        <v>74</v>
      </c>
      <c r="H1401" t="s">
        <v>74</v>
      </c>
      <c r="I1401" t="s">
        <v>28139</v>
      </c>
      <c r="J1401" t="s">
        <v>28138</v>
      </c>
      <c r="K1401" t="s">
        <v>16814</v>
      </c>
      <c r="L1401" t="s">
        <v>74</v>
      </c>
      <c r="M1401" t="s">
        <v>78</v>
      </c>
      <c r="N1401" t="s">
        <v>138</v>
      </c>
      <c r="O1401" t="s">
        <v>28137</v>
      </c>
      <c r="P1401" t="s">
        <v>28136</v>
      </c>
      <c r="Q1401" t="s">
        <v>28135</v>
      </c>
      <c r="R1401" t="s">
        <v>28134</v>
      </c>
      <c r="S1401" t="s">
        <v>74</v>
      </c>
      <c r="T1401" t="s">
        <v>28133</v>
      </c>
      <c r="U1401" t="s">
        <v>74</v>
      </c>
      <c r="V1401" t="s">
        <v>28132</v>
      </c>
      <c r="W1401" t="s">
        <v>28131</v>
      </c>
      <c r="X1401" t="s">
        <v>28130</v>
      </c>
      <c r="Y1401" t="s">
        <v>28129</v>
      </c>
      <c r="Z1401" t="s">
        <v>74</v>
      </c>
      <c r="AA1401" t="s">
        <v>74</v>
      </c>
      <c r="AB1401" t="s">
        <v>74</v>
      </c>
      <c r="AC1401" t="s">
        <v>28128</v>
      </c>
      <c r="AD1401" t="s">
        <v>28127</v>
      </c>
      <c r="AE1401" t="s">
        <v>28126</v>
      </c>
      <c r="AF1401" t="s">
        <v>74</v>
      </c>
      <c r="AG1401">
        <v>3</v>
      </c>
      <c r="AH1401">
        <v>0</v>
      </c>
      <c r="AI1401">
        <v>0</v>
      </c>
      <c r="AJ1401">
        <v>2</v>
      </c>
      <c r="AK1401">
        <v>93</v>
      </c>
      <c r="AL1401" t="s">
        <v>7166</v>
      </c>
      <c r="AM1401" t="s">
        <v>7167</v>
      </c>
      <c r="AN1401" t="s">
        <v>7168</v>
      </c>
      <c r="AO1401" t="s">
        <v>16825</v>
      </c>
      <c r="AP1401" t="s">
        <v>74</v>
      </c>
      <c r="AQ1401" t="s">
        <v>28125</v>
      </c>
      <c r="AR1401" t="s">
        <v>16827</v>
      </c>
      <c r="AS1401" t="s">
        <v>74</v>
      </c>
      <c r="AT1401" t="s">
        <v>74</v>
      </c>
      <c r="AU1401">
        <v>2018</v>
      </c>
      <c r="AV1401">
        <v>252</v>
      </c>
      <c r="AW1401" t="s">
        <v>74</v>
      </c>
      <c r="AX1401" t="s">
        <v>74</v>
      </c>
      <c r="AY1401" t="s">
        <v>74</v>
      </c>
      <c r="AZ1401" t="s">
        <v>74</v>
      </c>
      <c r="BA1401" t="s">
        <v>74</v>
      </c>
      <c r="BB1401">
        <v>140</v>
      </c>
      <c r="BC1401">
        <v>142</v>
      </c>
      <c r="BD1401" t="s">
        <v>74</v>
      </c>
      <c r="BE1401" t="s">
        <v>74</v>
      </c>
      <c r="BF1401" t="s">
        <v>74</v>
      </c>
      <c r="BG1401" t="s">
        <v>74</v>
      </c>
      <c r="BH1401" t="s">
        <v>74</v>
      </c>
      <c r="BI1401">
        <v>3</v>
      </c>
      <c r="BJ1401" t="s">
        <v>364</v>
      </c>
      <c r="BK1401" t="s">
        <v>183</v>
      </c>
      <c r="BL1401" t="s">
        <v>365</v>
      </c>
      <c r="BM1401" t="s">
        <v>28124</v>
      </c>
      <c r="BN1401" t="s">
        <v>74</v>
      </c>
      <c r="BO1401" t="s">
        <v>74</v>
      </c>
      <c r="BP1401" t="s">
        <v>74</v>
      </c>
      <c r="BQ1401" t="s">
        <v>74</v>
      </c>
      <c r="BR1401" t="s">
        <v>102</v>
      </c>
      <c r="BS1401" t="s">
        <v>28123</v>
      </c>
      <c r="BT1401" t="str">
        <f>HYPERLINK("https%3A%2F%2Fwww.webofscience.com%2Fwos%2Fwoscc%2Ffull-record%2FWOS:000455058400029","View Full Record in Web of Science")</f>
        <v>View Full Record in Web of Science</v>
      </c>
    </row>
    <row r="1402" spans="1:72" x14ac:dyDescent="0.25">
      <c r="A1402" t="s">
        <v>72</v>
      </c>
      <c r="B1402" t="s">
        <v>28122</v>
      </c>
      <c r="C1402" t="s">
        <v>74</v>
      </c>
      <c r="D1402" t="s">
        <v>74</v>
      </c>
      <c r="E1402" t="s">
        <v>74</v>
      </c>
      <c r="F1402" t="s">
        <v>28121</v>
      </c>
      <c r="G1402" t="s">
        <v>74</v>
      </c>
      <c r="H1402" t="s">
        <v>74</v>
      </c>
      <c r="I1402" t="s">
        <v>28120</v>
      </c>
      <c r="J1402" t="s">
        <v>1510</v>
      </c>
      <c r="K1402" t="s">
        <v>74</v>
      </c>
      <c r="L1402" t="s">
        <v>74</v>
      </c>
      <c r="M1402" t="s">
        <v>78</v>
      </c>
      <c r="N1402" t="s">
        <v>79</v>
      </c>
      <c r="O1402" t="s">
        <v>74</v>
      </c>
      <c r="P1402" t="s">
        <v>74</v>
      </c>
      <c r="Q1402" t="s">
        <v>74</v>
      </c>
      <c r="R1402" t="s">
        <v>74</v>
      </c>
      <c r="S1402" t="s">
        <v>74</v>
      </c>
      <c r="T1402" t="s">
        <v>28119</v>
      </c>
      <c r="U1402" t="s">
        <v>28118</v>
      </c>
      <c r="V1402" t="s">
        <v>28117</v>
      </c>
      <c r="W1402" t="s">
        <v>28116</v>
      </c>
      <c r="X1402" t="s">
        <v>13481</v>
      </c>
      <c r="Y1402" t="s">
        <v>28115</v>
      </c>
      <c r="Z1402" t="s">
        <v>12156</v>
      </c>
      <c r="AA1402" t="s">
        <v>13483</v>
      </c>
      <c r="AB1402" t="s">
        <v>28114</v>
      </c>
      <c r="AC1402" t="s">
        <v>74</v>
      </c>
      <c r="AD1402" t="s">
        <v>74</v>
      </c>
      <c r="AE1402" t="s">
        <v>74</v>
      </c>
      <c r="AF1402" t="s">
        <v>74</v>
      </c>
      <c r="AG1402">
        <v>82</v>
      </c>
      <c r="AH1402">
        <v>6</v>
      </c>
      <c r="AI1402">
        <v>11</v>
      </c>
      <c r="AJ1402">
        <v>3</v>
      </c>
      <c r="AK1402">
        <v>17</v>
      </c>
      <c r="AL1402" t="s">
        <v>89</v>
      </c>
      <c r="AM1402" t="s">
        <v>1497</v>
      </c>
      <c r="AN1402" t="s">
        <v>1498</v>
      </c>
      <c r="AO1402" t="s">
        <v>1519</v>
      </c>
      <c r="AP1402" t="s">
        <v>1520</v>
      </c>
      <c r="AQ1402" t="s">
        <v>74</v>
      </c>
      <c r="AR1402" t="s">
        <v>1521</v>
      </c>
      <c r="AS1402" t="s">
        <v>1522</v>
      </c>
      <c r="AT1402" t="s">
        <v>28113</v>
      </c>
      <c r="AU1402">
        <v>2021</v>
      </c>
      <c r="AV1402">
        <v>48</v>
      </c>
      <c r="AW1402">
        <v>11</v>
      </c>
      <c r="AX1402" t="s">
        <v>74</v>
      </c>
      <c r="AY1402" t="s">
        <v>74</v>
      </c>
      <c r="AZ1402" t="s">
        <v>74</v>
      </c>
      <c r="BA1402" t="s">
        <v>74</v>
      </c>
      <c r="BB1402">
        <v>1608</v>
      </c>
      <c r="BC1402">
        <v>1628</v>
      </c>
      <c r="BD1402" t="s">
        <v>74</v>
      </c>
      <c r="BE1402" t="s">
        <v>28112</v>
      </c>
      <c r="BF1402" t="str">
        <f>HYPERLINK("http://dx.doi.org/10.1108/IJSE-09-2019-0555","http://dx.doi.org/10.1108/IJSE-09-2019-0555")</f>
        <v>http://dx.doi.org/10.1108/IJSE-09-2019-0555</v>
      </c>
      <c r="BG1402" t="s">
        <v>74</v>
      </c>
      <c r="BH1402" t="s">
        <v>10889</v>
      </c>
      <c r="BI1402">
        <v>21</v>
      </c>
      <c r="BJ1402" t="s">
        <v>291</v>
      </c>
      <c r="BK1402" t="s">
        <v>313</v>
      </c>
      <c r="BL1402" t="s">
        <v>100</v>
      </c>
      <c r="BM1402" t="s">
        <v>28111</v>
      </c>
      <c r="BN1402" t="s">
        <v>74</v>
      </c>
      <c r="BO1402" t="s">
        <v>74</v>
      </c>
      <c r="BP1402" t="s">
        <v>74</v>
      </c>
      <c r="BQ1402" t="s">
        <v>74</v>
      </c>
      <c r="BR1402" t="s">
        <v>102</v>
      </c>
      <c r="BS1402" t="s">
        <v>28110</v>
      </c>
      <c r="BT1402" t="str">
        <f>HYPERLINK("https%3A%2F%2Fwww.webofscience.com%2Fwos%2Fwoscc%2Ffull-record%2FWOS:000697469500001","View Full Record in Web of Science")</f>
        <v>View Full Record in Web of Science</v>
      </c>
    </row>
    <row r="1403" spans="1:72" x14ac:dyDescent="0.25">
      <c r="A1403" t="s">
        <v>132</v>
      </c>
      <c r="B1403" t="s">
        <v>28109</v>
      </c>
      <c r="C1403" t="s">
        <v>74</v>
      </c>
      <c r="D1403" t="s">
        <v>28108</v>
      </c>
      <c r="E1403" t="s">
        <v>74</v>
      </c>
      <c r="F1403" t="s">
        <v>28107</v>
      </c>
      <c r="G1403" t="s">
        <v>74</v>
      </c>
      <c r="H1403" t="s">
        <v>74</v>
      </c>
      <c r="I1403" t="s">
        <v>28106</v>
      </c>
      <c r="J1403" t="s">
        <v>28105</v>
      </c>
      <c r="K1403" t="s">
        <v>74</v>
      </c>
      <c r="L1403" t="s">
        <v>74</v>
      </c>
      <c r="M1403" t="s">
        <v>78</v>
      </c>
      <c r="N1403" t="s">
        <v>138</v>
      </c>
      <c r="O1403" t="s">
        <v>28104</v>
      </c>
      <c r="P1403" t="s">
        <v>28103</v>
      </c>
      <c r="Q1403" t="s">
        <v>28102</v>
      </c>
      <c r="R1403" t="s">
        <v>74</v>
      </c>
      <c r="S1403" t="s">
        <v>74</v>
      </c>
      <c r="T1403" t="s">
        <v>28101</v>
      </c>
      <c r="U1403" t="s">
        <v>28100</v>
      </c>
      <c r="V1403" t="s">
        <v>28099</v>
      </c>
      <c r="W1403" t="s">
        <v>28098</v>
      </c>
      <c r="X1403" t="s">
        <v>28097</v>
      </c>
      <c r="Y1403" t="s">
        <v>28096</v>
      </c>
      <c r="Z1403" t="s">
        <v>74</v>
      </c>
      <c r="AA1403" t="s">
        <v>74</v>
      </c>
      <c r="AB1403" t="s">
        <v>74</v>
      </c>
      <c r="AC1403" t="s">
        <v>74</v>
      </c>
      <c r="AD1403" t="s">
        <v>74</v>
      </c>
      <c r="AE1403" t="s">
        <v>74</v>
      </c>
      <c r="AF1403" t="s">
        <v>74</v>
      </c>
      <c r="AG1403">
        <v>33</v>
      </c>
      <c r="AH1403">
        <v>0</v>
      </c>
      <c r="AI1403">
        <v>0</v>
      </c>
      <c r="AJ1403">
        <v>0</v>
      </c>
      <c r="AK1403">
        <v>2</v>
      </c>
      <c r="AL1403" t="s">
        <v>28095</v>
      </c>
      <c r="AM1403" t="s">
        <v>28094</v>
      </c>
      <c r="AN1403" t="s">
        <v>28093</v>
      </c>
      <c r="AO1403" t="s">
        <v>74</v>
      </c>
      <c r="AP1403" t="s">
        <v>74</v>
      </c>
      <c r="AQ1403" t="s">
        <v>28092</v>
      </c>
      <c r="AR1403" t="s">
        <v>74</v>
      </c>
      <c r="AS1403" t="s">
        <v>74</v>
      </c>
      <c r="AT1403" t="s">
        <v>74</v>
      </c>
      <c r="AU1403">
        <v>2014</v>
      </c>
      <c r="AV1403" t="s">
        <v>74</v>
      </c>
      <c r="AW1403" t="s">
        <v>74</v>
      </c>
      <c r="AX1403" t="s">
        <v>74</v>
      </c>
      <c r="AY1403" t="s">
        <v>74</v>
      </c>
      <c r="AZ1403" t="s">
        <v>74</v>
      </c>
      <c r="BA1403" t="s">
        <v>74</v>
      </c>
      <c r="BB1403">
        <v>255</v>
      </c>
      <c r="BC1403">
        <v>265</v>
      </c>
      <c r="BD1403" t="s">
        <v>74</v>
      </c>
      <c r="BE1403" t="s">
        <v>74</v>
      </c>
      <c r="BF1403" t="s">
        <v>74</v>
      </c>
      <c r="BG1403" t="s">
        <v>74</v>
      </c>
      <c r="BH1403" t="s">
        <v>74</v>
      </c>
      <c r="BI1403">
        <v>11</v>
      </c>
      <c r="BJ1403" t="s">
        <v>5519</v>
      </c>
      <c r="BK1403" t="s">
        <v>183</v>
      </c>
      <c r="BL1403" t="s">
        <v>100</v>
      </c>
      <c r="BM1403" t="s">
        <v>28091</v>
      </c>
      <c r="BN1403" t="s">
        <v>74</v>
      </c>
      <c r="BO1403" t="s">
        <v>74</v>
      </c>
      <c r="BP1403" t="s">
        <v>74</v>
      </c>
      <c r="BQ1403" t="s">
        <v>74</v>
      </c>
      <c r="BR1403" t="s">
        <v>102</v>
      </c>
      <c r="BS1403" t="s">
        <v>28090</v>
      </c>
      <c r="BT1403" t="str">
        <f>HYPERLINK("https%3A%2F%2Fwww.webofscience.com%2Fwos%2Fwoscc%2Ffull-record%2FWOS:000353772100035","View Full Record in Web of Science")</f>
        <v>View Full Record in Web of Science</v>
      </c>
    </row>
    <row r="1404" spans="1:72" x14ac:dyDescent="0.25">
      <c r="A1404" t="s">
        <v>72</v>
      </c>
      <c r="B1404" t="s">
        <v>28089</v>
      </c>
      <c r="C1404" t="s">
        <v>74</v>
      </c>
      <c r="D1404" t="s">
        <v>74</v>
      </c>
      <c r="E1404" t="s">
        <v>74</v>
      </c>
      <c r="F1404" t="s">
        <v>28088</v>
      </c>
      <c r="G1404" t="s">
        <v>74</v>
      </c>
      <c r="H1404" t="s">
        <v>74</v>
      </c>
      <c r="I1404" t="s">
        <v>28087</v>
      </c>
      <c r="J1404" t="s">
        <v>2117</v>
      </c>
      <c r="K1404" t="s">
        <v>74</v>
      </c>
      <c r="L1404" t="s">
        <v>74</v>
      </c>
      <c r="M1404" t="s">
        <v>78</v>
      </c>
      <c r="N1404" t="s">
        <v>79</v>
      </c>
      <c r="O1404" t="s">
        <v>74</v>
      </c>
      <c r="P1404" t="s">
        <v>74</v>
      </c>
      <c r="Q1404" t="s">
        <v>74</v>
      </c>
      <c r="R1404" t="s">
        <v>74</v>
      </c>
      <c r="S1404" t="s">
        <v>74</v>
      </c>
      <c r="T1404" t="s">
        <v>28086</v>
      </c>
      <c r="U1404" t="s">
        <v>28085</v>
      </c>
      <c r="V1404" t="s">
        <v>28084</v>
      </c>
      <c r="W1404" t="s">
        <v>28083</v>
      </c>
      <c r="X1404" t="s">
        <v>28082</v>
      </c>
      <c r="Y1404" t="s">
        <v>28081</v>
      </c>
      <c r="Z1404" t="s">
        <v>28080</v>
      </c>
      <c r="AA1404" t="s">
        <v>12775</v>
      </c>
      <c r="AB1404" t="s">
        <v>28079</v>
      </c>
      <c r="AC1404" t="s">
        <v>74</v>
      </c>
      <c r="AD1404" t="s">
        <v>74</v>
      </c>
      <c r="AE1404" t="s">
        <v>74</v>
      </c>
      <c r="AF1404" t="s">
        <v>74</v>
      </c>
      <c r="AG1404">
        <v>89</v>
      </c>
      <c r="AH1404">
        <v>140</v>
      </c>
      <c r="AI1404">
        <v>177</v>
      </c>
      <c r="AJ1404">
        <v>27</v>
      </c>
      <c r="AK1404">
        <v>190</v>
      </c>
      <c r="AL1404" t="s">
        <v>201</v>
      </c>
      <c r="AM1404" t="s">
        <v>202</v>
      </c>
      <c r="AN1404" t="s">
        <v>203</v>
      </c>
      <c r="AO1404" t="s">
        <v>2127</v>
      </c>
      <c r="AP1404" t="s">
        <v>2128</v>
      </c>
      <c r="AQ1404" t="s">
        <v>74</v>
      </c>
      <c r="AR1404" t="s">
        <v>2129</v>
      </c>
      <c r="AS1404" t="s">
        <v>2130</v>
      </c>
      <c r="AT1404" t="s">
        <v>1652</v>
      </c>
      <c r="AU1404">
        <v>2022</v>
      </c>
      <c r="AV1404">
        <v>51</v>
      </c>
      <c r="AW1404" t="s">
        <v>74</v>
      </c>
      <c r="AX1404" t="s">
        <v>3828</v>
      </c>
      <c r="AY1404" t="s">
        <v>74</v>
      </c>
      <c r="AZ1404" t="s">
        <v>74</v>
      </c>
      <c r="BA1404" t="s">
        <v>74</v>
      </c>
      <c r="BB1404" t="s">
        <v>74</v>
      </c>
      <c r="BC1404" t="s">
        <v>74</v>
      </c>
      <c r="BD1404">
        <v>100846</v>
      </c>
      <c r="BE1404" t="s">
        <v>28078</v>
      </c>
      <c r="BF1404" t="str">
        <f>HYPERLINK("http://dx.doi.org/10.1016/j.ememar.2021.100846","http://dx.doi.org/10.1016/j.ememar.2021.100846")</f>
        <v>http://dx.doi.org/10.1016/j.ememar.2021.100846</v>
      </c>
      <c r="BG1404" t="s">
        <v>74</v>
      </c>
      <c r="BH1404" t="s">
        <v>1091</v>
      </c>
      <c r="BI1404">
        <v>28</v>
      </c>
      <c r="BJ1404" t="s">
        <v>210</v>
      </c>
      <c r="BK1404" t="s">
        <v>99</v>
      </c>
      <c r="BL1404" t="s">
        <v>100</v>
      </c>
      <c r="BM1404" t="s">
        <v>28077</v>
      </c>
      <c r="BN1404" t="s">
        <v>74</v>
      </c>
      <c r="BO1404" t="s">
        <v>74</v>
      </c>
      <c r="BP1404" t="s">
        <v>74</v>
      </c>
      <c r="BQ1404" t="s">
        <v>74</v>
      </c>
      <c r="BR1404" t="s">
        <v>102</v>
      </c>
      <c r="BS1404" t="s">
        <v>28076</v>
      </c>
      <c r="BT1404" t="str">
        <f>HYPERLINK("https%3A%2F%2Fwww.webofscience.com%2Fwos%2Fwoscc%2Ffull-record%2FWOS:000836540200004","View Full Record in Web of Science")</f>
        <v>View Full Record in Web of Science</v>
      </c>
    </row>
    <row r="1405" spans="1:72" x14ac:dyDescent="0.25">
      <c r="A1405" t="s">
        <v>132</v>
      </c>
      <c r="B1405" t="s">
        <v>28075</v>
      </c>
      <c r="C1405" t="s">
        <v>74</v>
      </c>
      <c r="D1405" t="s">
        <v>28074</v>
      </c>
      <c r="E1405" t="s">
        <v>74</v>
      </c>
      <c r="F1405" t="s">
        <v>28073</v>
      </c>
      <c r="G1405" t="s">
        <v>74</v>
      </c>
      <c r="H1405" t="s">
        <v>74</v>
      </c>
      <c r="I1405" t="s">
        <v>28072</v>
      </c>
      <c r="J1405" t="s">
        <v>28071</v>
      </c>
      <c r="K1405" t="s">
        <v>16718</v>
      </c>
      <c r="L1405" t="s">
        <v>74</v>
      </c>
      <c r="M1405" t="s">
        <v>78</v>
      </c>
      <c r="N1405" t="s">
        <v>138</v>
      </c>
      <c r="O1405" t="s">
        <v>28070</v>
      </c>
      <c r="P1405" t="s">
        <v>28069</v>
      </c>
      <c r="Q1405" t="s">
        <v>28068</v>
      </c>
      <c r="R1405" t="s">
        <v>74</v>
      </c>
      <c r="S1405" t="s">
        <v>74</v>
      </c>
      <c r="T1405" t="s">
        <v>28067</v>
      </c>
      <c r="U1405" t="s">
        <v>74</v>
      </c>
      <c r="V1405" t="s">
        <v>28066</v>
      </c>
      <c r="W1405" t="s">
        <v>28065</v>
      </c>
      <c r="X1405" t="s">
        <v>27478</v>
      </c>
      <c r="Y1405" t="s">
        <v>28064</v>
      </c>
      <c r="Z1405" t="s">
        <v>28063</v>
      </c>
      <c r="AA1405" t="s">
        <v>74</v>
      </c>
      <c r="AB1405" t="s">
        <v>28062</v>
      </c>
      <c r="AC1405" t="s">
        <v>74</v>
      </c>
      <c r="AD1405" t="s">
        <v>74</v>
      </c>
      <c r="AE1405" t="s">
        <v>74</v>
      </c>
      <c r="AF1405" t="s">
        <v>74</v>
      </c>
      <c r="AG1405">
        <v>33</v>
      </c>
      <c r="AH1405">
        <v>0</v>
      </c>
      <c r="AI1405">
        <v>0</v>
      </c>
      <c r="AJ1405">
        <v>0</v>
      </c>
      <c r="AK1405">
        <v>0</v>
      </c>
      <c r="AL1405" t="s">
        <v>2105</v>
      </c>
      <c r="AM1405" t="s">
        <v>1890</v>
      </c>
      <c r="AN1405" t="s">
        <v>4110</v>
      </c>
      <c r="AO1405" t="s">
        <v>28061</v>
      </c>
      <c r="AP1405" t="s">
        <v>2438</v>
      </c>
      <c r="AQ1405" t="s">
        <v>28060</v>
      </c>
      <c r="AR1405" t="s">
        <v>16734</v>
      </c>
      <c r="AS1405" t="s">
        <v>74</v>
      </c>
      <c r="AT1405" t="s">
        <v>74</v>
      </c>
      <c r="AU1405">
        <v>2025</v>
      </c>
      <c r="AV1405">
        <v>15692</v>
      </c>
      <c r="AW1405" t="s">
        <v>74</v>
      </c>
      <c r="AX1405" t="s">
        <v>74</v>
      </c>
      <c r="AY1405" t="s">
        <v>74</v>
      </c>
      <c r="AZ1405" t="s">
        <v>74</v>
      </c>
      <c r="BA1405" t="s">
        <v>74</v>
      </c>
      <c r="BB1405">
        <v>255</v>
      </c>
      <c r="BC1405">
        <v>269</v>
      </c>
      <c r="BD1405" t="s">
        <v>74</v>
      </c>
      <c r="BE1405" t="s">
        <v>28059</v>
      </c>
      <c r="BF1405" t="str">
        <f>HYPERLINK("http://dx.doi.org/10.1007/978-981-96-7071-0_17","http://dx.doi.org/10.1007/978-981-96-7071-0_17")</f>
        <v>http://dx.doi.org/10.1007/978-981-96-7071-0_17</v>
      </c>
      <c r="BG1405" t="s">
        <v>74</v>
      </c>
      <c r="BH1405" t="s">
        <v>74</v>
      </c>
      <c r="BI1405">
        <v>15</v>
      </c>
      <c r="BJ1405" t="s">
        <v>2442</v>
      </c>
      <c r="BK1405" t="s">
        <v>156</v>
      </c>
      <c r="BL1405" t="s">
        <v>157</v>
      </c>
      <c r="BM1405" t="s">
        <v>28058</v>
      </c>
      <c r="BN1405" t="s">
        <v>74</v>
      </c>
      <c r="BO1405" t="s">
        <v>74</v>
      </c>
      <c r="BP1405" t="s">
        <v>74</v>
      </c>
      <c r="BQ1405" t="s">
        <v>74</v>
      </c>
      <c r="BR1405" t="s">
        <v>102</v>
      </c>
      <c r="BS1405" t="s">
        <v>28057</v>
      </c>
      <c r="BT1405" t="str">
        <f>HYPERLINK("https%3A%2F%2Fwww.webofscience.com%2Fwos%2Fwoscc%2Ffull-record%2FWOS:001543951400017","View Full Record in Web of Science")</f>
        <v>View Full Record in Web of Science</v>
      </c>
    </row>
    <row r="1406" spans="1:72" x14ac:dyDescent="0.25">
      <c r="A1406" t="s">
        <v>72</v>
      </c>
      <c r="B1406" t="s">
        <v>28056</v>
      </c>
      <c r="C1406" t="s">
        <v>74</v>
      </c>
      <c r="D1406" t="s">
        <v>74</v>
      </c>
      <c r="E1406" t="s">
        <v>74</v>
      </c>
      <c r="F1406" t="s">
        <v>28055</v>
      </c>
      <c r="G1406" t="s">
        <v>74</v>
      </c>
      <c r="H1406" t="s">
        <v>74</v>
      </c>
      <c r="I1406" t="s">
        <v>28054</v>
      </c>
      <c r="J1406" t="s">
        <v>877</v>
      </c>
      <c r="K1406" t="s">
        <v>74</v>
      </c>
      <c r="L1406" t="s">
        <v>74</v>
      </c>
      <c r="M1406" t="s">
        <v>78</v>
      </c>
      <c r="N1406" t="s">
        <v>79</v>
      </c>
      <c r="O1406" t="s">
        <v>74</v>
      </c>
      <c r="P1406" t="s">
        <v>74</v>
      </c>
      <c r="Q1406" t="s">
        <v>74</v>
      </c>
      <c r="R1406" t="s">
        <v>74</v>
      </c>
      <c r="S1406" t="s">
        <v>74</v>
      </c>
      <c r="T1406" t="s">
        <v>28053</v>
      </c>
      <c r="U1406" t="s">
        <v>28052</v>
      </c>
      <c r="V1406" t="s">
        <v>28051</v>
      </c>
      <c r="W1406" t="s">
        <v>28050</v>
      </c>
      <c r="X1406" t="s">
        <v>28049</v>
      </c>
      <c r="Y1406" t="s">
        <v>28048</v>
      </c>
      <c r="Z1406" t="s">
        <v>28047</v>
      </c>
      <c r="AA1406" t="s">
        <v>28046</v>
      </c>
      <c r="AB1406" t="s">
        <v>74</v>
      </c>
      <c r="AC1406" t="s">
        <v>74</v>
      </c>
      <c r="AD1406" t="s">
        <v>74</v>
      </c>
      <c r="AE1406" t="s">
        <v>74</v>
      </c>
      <c r="AF1406" t="s">
        <v>74</v>
      </c>
      <c r="AG1406">
        <v>55</v>
      </c>
      <c r="AH1406">
        <v>12</v>
      </c>
      <c r="AI1406">
        <v>16</v>
      </c>
      <c r="AJ1406">
        <v>4</v>
      </c>
      <c r="AK1406">
        <v>22</v>
      </c>
      <c r="AL1406" t="s">
        <v>884</v>
      </c>
      <c r="AM1406" t="s">
        <v>5203</v>
      </c>
      <c r="AN1406" t="s">
        <v>5204</v>
      </c>
      <c r="AO1406" t="s">
        <v>887</v>
      </c>
      <c r="AP1406" t="s">
        <v>888</v>
      </c>
      <c r="AQ1406" t="s">
        <v>74</v>
      </c>
      <c r="AR1406" t="s">
        <v>889</v>
      </c>
      <c r="AS1406" t="s">
        <v>890</v>
      </c>
      <c r="AT1406" t="s">
        <v>1652</v>
      </c>
      <c r="AU1406">
        <v>2021</v>
      </c>
      <c r="AV1406">
        <v>8</v>
      </c>
      <c r="AW1406">
        <v>6</v>
      </c>
      <c r="AX1406" t="s">
        <v>74</v>
      </c>
      <c r="AY1406" t="s">
        <v>74</v>
      </c>
      <c r="AZ1406" t="s">
        <v>74</v>
      </c>
      <c r="BA1406" t="s">
        <v>74</v>
      </c>
      <c r="BB1406">
        <v>347</v>
      </c>
      <c r="BC1406">
        <v>355</v>
      </c>
      <c r="BD1406" t="s">
        <v>74</v>
      </c>
      <c r="BE1406" t="s">
        <v>28045</v>
      </c>
      <c r="BF1406" t="str">
        <f>HYPERLINK("http://dx.doi.org/10.13106/jafeb.2021.vol8.no6.0347","http://dx.doi.org/10.13106/jafeb.2021.vol8.no6.0347")</f>
        <v>http://dx.doi.org/10.13106/jafeb.2021.vol8.no6.0347</v>
      </c>
      <c r="BG1406" t="s">
        <v>74</v>
      </c>
      <c r="BH1406" t="s">
        <v>74</v>
      </c>
      <c r="BI1406">
        <v>9</v>
      </c>
      <c r="BJ1406" t="s">
        <v>418</v>
      </c>
      <c r="BK1406" t="s">
        <v>313</v>
      </c>
      <c r="BL1406" t="s">
        <v>100</v>
      </c>
      <c r="BM1406" t="s">
        <v>28044</v>
      </c>
      <c r="BN1406" t="s">
        <v>74</v>
      </c>
      <c r="BO1406" t="s">
        <v>74</v>
      </c>
      <c r="BP1406" t="s">
        <v>74</v>
      </c>
      <c r="BQ1406" t="s">
        <v>74</v>
      </c>
      <c r="BR1406" t="s">
        <v>102</v>
      </c>
      <c r="BS1406" t="s">
        <v>28043</v>
      </c>
      <c r="BT1406" t="str">
        <f>HYPERLINK("https%3A%2F%2Fwww.webofscience.com%2Fwos%2Fwoscc%2Ffull-record%2FWOS:000661683800033","View Full Record in Web of Science")</f>
        <v>View Full Record in Web of Science</v>
      </c>
    </row>
    <row r="1407" spans="1:72" x14ac:dyDescent="0.25">
      <c r="A1407" t="s">
        <v>72</v>
      </c>
      <c r="B1407" t="s">
        <v>28042</v>
      </c>
      <c r="C1407" t="s">
        <v>74</v>
      </c>
      <c r="D1407" t="s">
        <v>74</v>
      </c>
      <c r="E1407" t="s">
        <v>74</v>
      </c>
      <c r="F1407" t="s">
        <v>28041</v>
      </c>
      <c r="G1407" t="s">
        <v>74</v>
      </c>
      <c r="H1407" t="s">
        <v>74</v>
      </c>
      <c r="I1407" t="s">
        <v>28040</v>
      </c>
      <c r="J1407" t="s">
        <v>1987</v>
      </c>
      <c r="K1407" t="s">
        <v>74</v>
      </c>
      <c r="L1407" t="s">
        <v>74</v>
      </c>
      <c r="M1407" t="s">
        <v>78</v>
      </c>
      <c r="N1407" t="s">
        <v>79</v>
      </c>
      <c r="O1407" t="s">
        <v>74</v>
      </c>
      <c r="P1407" t="s">
        <v>74</v>
      </c>
      <c r="Q1407" t="s">
        <v>74</v>
      </c>
      <c r="R1407" t="s">
        <v>74</v>
      </c>
      <c r="S1407" t="s">
        <v>74</v>
      </c>
      <c r="T1407" t="s">
        <v>28039</v>
      </c>
      <c r="U1407" t="s">
        <v>28038</v>
      </c>
      <c r="V1407" t="s">
        <v>28037</v>
      </c>
      <c r="W1407" t="s">
        <v>28036</v>
      </c>
      <c r="X1407" t="s">
        <v>28035</v>
      </c>
      <c r="Y1407" t="s">
        <v>28034</v>
      </c>
      <c r="Z1407" t="s">
        <v>28033</v>
      </c>
      <c r="AA1407" t="s">
        <v>28032</v>
      </c>
      <c r="AB1407" t="s">
        <v>28031</v>
      </c>
      <c r="AC1407" t="s">
        <v>28030</v>
      </c>
      <c r="AD1407" t="s">
        <v>28030</v>
      </c>
      <c r="AE1407" t="s">
        <v>28029</v>
      </c>
      <c r="AF1407" t="s">
        <v>74</v>
      </c>
      <c r="AG1407">
        <v>56</v>
      </c>
      <c r="AH1407">
        <v>15</v>
      </c>
      <c r="AI1407">
        <v>17</v>
      </c>
      <c r="AJ1407">
        <v>0</v>
      </c>
      <c r="AK1407">
        <v>12</v>
      </c>
      <c r="AL1407" t="s">
        <v>479</v>
      </c>
      <c r="AM1407" t="s">
        <v>480</v>
      </c>
      <c r="AN1407" t="s">
        <v>481</v>
      </c>
      <c r="AO1407" t="s">
        <v>1997</v>
      </c>
      <c r="AP1407" t="s">
        <v>1998</v>
      </c>
      <c r="AQ1407" t="s">
        <v>74</v>
      </c>
      <c r="AR1407" t="s">
        <v>1999</v>
      </c>
      <c r="AS1407" t="s">
        <v>2000</v>
      </c>
      <c r="AT1407" t="s">
        <v>208</v>
      </c>
      <c r="AU1407">
        <v>2021</v>
      </c>
      <c r="AV1407">
        <v>33</v>
      </c>
      <c r="AW1407">
        <v>1</v>
      </c>
      <c r="AX1407" t="s">
        <v>74</v>
      </c>
      <c r="AY1407" t="s">
        <v>74</v>
      </c>
      <c r="AZ1407" t="s">
        <v>74</v>
      </c>
      <c r="BA1407" t="s">
        <v>74</v>
      </c>
      <c r="BB1407">
        <v>86</v>
      </c>
      <c r="BC1407">
        <v>108</v>
      </c>
      <c r="BD1407" t="s">
        <v>74</v>
      </c>
      <c r="BE1407" t="s">
        <v>28028</v>
      </c>
      <c r="BF1407" t="str">
        <f>HYPERLINK("http://dx.doi.org/10.1002/jid.3513","http://dx.doi.org/10.1002/jid.3513")</f>
        <v>http://dx.doi.org/10.1002/jid.3513</v>
      </c>
      <c r="BG1407" t="s">
        <v>74</v>
      </c>
      <c r="BH1407" t="s">
        <v>2937</v>
      </c>
      <c r="BI1407">
        <v>23</v>
      </c>
      <c r="BJ1407" t="s">
        <v>1137</v>
      </c>
      <c r="BK1407" t="s">
        <v>99</v>
      </c>
      <c r="BL1407" t="s">
        <v>1137</v>
      </c>
      <c r="BM1407" t="s">
        <v>28027</v>
      </c>
      <c r="BN1407" t="s">
        <v>74</v>
      </c>
      <c r="BO1407" t="s">
        <v>74</v>
      </c>
      <c r="BP1407" t="s">
        <v>74</v>
      </c>
      <c r="BQ1407" t="s">
        <v>74</v>
      </c>
      <c r="BR1407" t="s">
        <v>102</v>
      </c>
      <c r="BS1407" t="s">
        <v>28026</v>
      </c>
      <c r="BT1407" t="str">
        <f>HYPERLINK("https%3A%2F%2Fwww.webofscience.com%2Fwos%2Fwoscc%2Ffull-record%2FWOS:000562234000001","View Full Record in Web of Science")</f>
        <v>View Full Record in Web of Science</v>
      </c>
    </row>
    <row r="1408" spans="1:72" x14ac:dyDescent="0.25">
      <c r="A1408" t="s">
        <v>72</v>
      </c>
      <c r="B1408" t="s">
        <v>28025</v>
      </c>
      <c r="C1408" t="s">
        <v>74</v>
      </c>
      <c r="D1408" t="s">
        <v>74</v>
      </c>
      <c r="E1408" t="s">
        <v>74</v>
      </c>
      <c r="F1408" t="s">
        <v>28024</v>
      </c>
      <c r="G1408" t="s">
        <v>74</v>
      </c>
      <c r="H1408" t="s">
        <v>74</v>
      </c>
      <c r="I1408" t="s">
        <v>28023</v>
      </c>
      <c r="J1408" t="s">
        <v>7910</v>
      </c>
      <c r="K1408" t="s">
        <v>74</v>
      </c>
      <c r="L1408" t="s">
        <v>74</v>
      </c>
      <c r="M1408" t="s">
        <v>78</v>
      </c>
      <c r="N1408" t="s">
        <v>372</v>
      </c>
      <c r="O1408" t="s">
        <v>74</v>
      </c>
      <c r="P1408" t="s">
        <v>74</v>
      </c>
      <c r="Q1408" t="s">
        <v>74</v>
      </c>
      <c r="R1408" t="s">
        <v>74</v>
      </c>
      <c r="S1408" t="s">
        <v>74</v>
      </c>
      <c r="T1408" t="s">
        <v>28022</v>
      </c>
      <c r="U1408" t="s">
        <v>74</v>
      </c>
      <c r="V1408" t="s">
        <v>28021</v>
      </c>
      <c r="W1408" t="s">
        <v>28020</v>
      </c>
      <c r="X1408" t="s">
        <v>74</v>
      </c>
      <c r="Y1408" t="s">
        <v>28019</v>
      </c>
      <c r="Z1408" t="s">
        <v>28018</v>
      </c>
      <c r="AA1408" t="s">
        <v>74</v>
      </c>
      <c r="AB1408" t="s">
        <v>28017</v>
      </c>
      <c r="AC1408" t="s">
        <v>74</v>
      </c>
      <c r="AD1408" t="s">
        <v>74</v>
      </c>
      <c r="AE1408" t="s">
        <v>74</v>
      </c>
      <c r="AF1408" t="s">
        <v>74</v>
      </c>
      <c r="AG1408">
        <v>45</v>
      </c>
      <c r="AH1408">
        <v>0</v>
      </c>
      <c r="AI1408">
        <v>1</v>
      </c>
      <c r="AJ1408">
        <v>0</v>
      </c>
      <c r="AK1408">
        <v>0</v>
      </c>
      <c r="AL1408" t="s">
        <v>994</v>
      </c>
      <c r="AM1408" t="s">
        <v>995</v>
      </c>
      <c r="AN1408" t="s">
        <v>2061</v>
      </c>
      <c r="AO1408" t="s">
        <v>7920</v>
      </c>
      <c r="AP1408" t="s">
        <v>7921</v>
      </c>
      <c r="AQ1408" t="s">
        <v>74</v>
      </c>
      <c r="AR1408" t="s">
        <v>7922</v>
      </c>
      <c r="AS1408" t="s">
        <v>7923</v>
      </c>
      <c r="AT1408" t="s">
        <v>28016</v>
      </c>
      <c r="AU1408">
        <v>2025</v>
      </c>
      <c r="AV1408" t="s">
        <v>74</v>
      </c>
      <c r="AW1408" t="s">
        <v>74</v>
      </c>
      <c r="AX1408" t="s">
        <v>74</v>
      </c>
      <c r="AY1408" t="s">
        <v>74</v>
      </c>
      <c r="AZ1408" t="s">
        <v>74</v>
      </c>
      <c r="BA1408" t="s">
        <v>74</v>
      </c>
      <c r="BB1408" t="s">
        <v>74</v>
      </c>
      <c r="BC1408" t="s">
        <v>74</v>
      </c>
      <c r="BD1408" t="s">
        <v>74</v>
      </c>
      <c r="BE1408" t="s">
        <v>28015</v>
      </c>
      <c r="BF1408" t="str">
        <f>HYPERLINK("http://dx.doi.org/10.1177/09721509251356954","http://dx.doi.org/10.1177/09721509251356954")</f>
        <v>http://dx.doi.org/10.1177/09721509251356954</v>
      </c>
      <c r="BG1408" t="s">
        <v>74</v>
      </c>
      <c r="BH1408" t="s">
        <v>3389</v>
      </c>
      <c r="BI1408">
        <v>16</v>
      </c>
      <c r="BJ1408" t="s">
        <v>98</v>
      </c>
      <c r="BK1408" t="s">
        <v>313</v>
      </c>
      <c r="BL1408" t="s">
        <v>100</v>
      </c>
      <c r="BM1408" t="s">
        <v>28014</v>
      </c>
      <c r="BN1408" t="s">
        <v>74</v>
      </c>
      <c r="BO1408" t="s">
        <v>74</v>
      </c>
      <c r="BP1408" t="s">
        <v>74</v>
      </c>
      <c r="BQ1408" t="s">
        <v>74</v>
      </c>
      <c r="BR1408" t="s">
        <v>102</v>
      </c>
      <c r="BS1408" t="s">
        <v>28013</v>
      </c>
      <c r="BT1408" t="str">
        <f>HYPERLINK("https%3A%2F%2Fwww.webofscience.com%2Fwos%2Fwoscc%2Ffull-record%2FWOS:001536210700001","View Full Record in Web of Science")</f>
        <v>View Full Record in Web of Science</v>
      </c>
    </row>
    <row r="1409" spans="1:72" x14ac:dyDescent="0.25">
      <c r="A1409" t="s">
        <v>72</v>
      </c>
      <c r="B1409" t="s">
        <v>27949</v>
      </c>
      <c r="C1409" t="s">
        <v>74</v>
      </c>
      <c r="D1409" t="s">
        <v>74</v>
      </c>
      <c r="E1409" t="s">
        <v>74</v>
      </c>
      <c r="F1409" t="s">
        <v>27948</v>
      </c>
      <c r="G1409" t="s">
        <v>74</v>
      </c>
      <c r="H1409" t="s">
        <v>74</v>
      </c>
      <c r="I1409" t="s">
        <v>28012</v>
      </c>
      <c r="J1409" t="s">
        <v>17444</v>
      </c>
      <c r="K1409" t="s">
        <v>74</v>
      </c>
      <c r="L1409" t="s">
        <v>74</v>
      </c>
      <c r="M1409" t="s">
        <v>78</v>
      </c>
      <c r="N1409" t="s">
        <v>79</v>
      </c>
      <c r="O1409" t="s">
        <v>74</v>
      </c>
      <c r="P1409" t="s">
        <v>74</v>
      </c>
      <c r="Q1409" t="s">
        <v>74</v>
      </c>
      <c r="R1409" t="s">
        <v>74</v>
      </c>
      <c r="S1409" t="s">
        <v>74</v>
      </c>
      <c r="T1409" t="s">
        <v>28011</v>
      </c>
      <c r="U1409" t="s">
        <v>7318</v>
      </c>
      <c r="V1409" t="s">
        <v>28010</v>
      </c>
      <c r="W1409" t="s">
        <v>28009</v>
      </c>
      <c r="X1409" t="s">
        <v>13481</v>
      </c>
      <c r="Y1409" t="s">
        <v>16063</v>
      </c>
      <c r="Z1409" t="s">
        <v>12156</v>
      </c>
      <c r="AA1409" t="s">
        <v>13483</v>
      </c>
      <c r="AB1409" t="s">
        <v>13484</v>
      </c>
      <c r="AC1409" t="s">
        <v>74</v>
      </c>
      <c r="AD1409" t="s">
        <v>74</v>
      </c>
      <c r="AE1409" t="s">
        <v>74</v>
      </c>
      <c r="AF1409" t="s">
        <v>74</v>
      </c>
      <c r="AG1409">
        <v>80</v>
      </c>
      <c r="AH1409">
        <v>34</v>
      </c>
      <c r="AI1409">
        <v>43</v>
      </c>
      <c r="AJ1409">
        <v>0</v>
      </c>
      <c r="AK1409">
        <v>12</v>
      </c>
      <c r="AL1409" t="s">
        <v>89</v>
      </c>
      <c r="AM1409" t="s">
        <v>1497</v>
      </c>
      <c r="AN1409" t="s">
        <v>1498</v>
      </c>
      <c r="AO1409" t="s">
        <v>17454</v>
      </c>
      <c r="AP1409" t="s">
        <v>17455</v>
      </c>
      <c r="AQ1409" t="s">
        <v>74</v>
      </c>
      <c r="AR1409" t="s">
        <v>17456</v>
      </c>
      <c r="AS1409" t="s">
        <v>17457</v>
      </c>
      <c r="AT1409" t="s">
        <v>74</v>
      </c>
      <c r="AU1409">
        <v>2017</v>
      </c>
      <c r="AV1409">
        <v>43</v>
      </c>
      <c r="AW1409">
        <v>12</v>
      </c>
      <c r="AX1409" t="s">
        <v>74</v>
      </c>
      <c r="AY1409" t="s">
        <v>74</v>
      </c>
      <c r="AZ1409" t="s">
        <v>74</v>
      </c>
      <c r="BA1409" t="s">
        <v>74</v>
      </c>
      <c r="BB1409">
        <v>1310</v>
      </c>
      <c r="BC1409">
        <v>1331</v>
      </c>
      <c r="BD1409" t="s">
        <v>74</v>
      </c>
      <c r="BE1409" t="s">
        <v>28008</v>
      </c>
      <c r="BF1409" t="str">
        <f>HYPERLINK("http://dx.doi.org/10.1108/MF-04-2017-0117","http://dx.doi.org/10.1108/MF-04-2017-0117")</f>
        <v>http://dx.doi.org/10.1108/MF-04-2017-0117</v>
      </c>
      <c r="BG1409" t="s">
        <v>74</v>
      </c>
      <c r="BH1409" t="s">
        <v>74</v>
      </c>
      <c r="BI1409">
        <v>22</v>
      </c>
      <c r="BJ1409" t="s">
        <v>268</v>
      </c>
      <c r="BK1409" t="s">
        <v>313</v>
      </c>
      <c r="BL1409" t="s">
        <v>100</v>
      </c>
      <c r="BM1409" t="s">
        <v>28007</v>
      </c>
      <c r="BN1409" t="s">
        <v>74</v>
      </c>
      <c r="BO1409" t="s">
        <v>74</v>
      </c>
      <c r="BP1409" t="s">
        <v>74</v>
      </c>
      <c r="BQ1409" t="s">
        <v>74</v>
      </c>
      <c r="BR1409" t="s">
        <v>102</v>
      </c>
      <c r="BS1409" t="s">
        <v>28006</v>
      </c>
      <c r="BT1409" t="str">
        <f>HYPERLINK("https%3A%2F%2Fwww.webofscience.com%2Fwos%2Fwoscc%2Ffull-record%2FWOS:000415990500001","View Full Record in Web of Science")</f>
        <v>View Full Record in Web of Science</v>
      </c>
    </row>
    <row r="1410" spans="1:72" x14ac:dyDescent="0.25">
      <c r="A1410" t="s">
        <v>72</v>
      </c>
      <c r="B1410" t="s">
        <v>22712</v>
      </c>
      <c r="C1410" t="s">
        <v>74</v>
      </c>
      <c r="D1410" t="s">
        <v>74</v>
      </c>
      <c r="E1410" t="s">
        <v>74</v>
      </c>
      <c r="F1410" t="s">
        <v>27206</v>
      </c>
      <c r="G1410" t="s">
        <v>74</v>
      </c>
      <c r="H1410" t="s">
        <v>74</v>
      </c>
      <c r="I1410" t="s">
        <v>28005</v>
      </c>
      <c r="J1410" t="s">
        <v>28004</v>
      </c>
      <c r="K1410" t="s">
        <v>74</v>
      </c>
      <c r="L1410" t="s">
        <v>74</v>
      </c>
      <c r="M1410" t="s">
        <v>78</v>
      </c>
      <c r="N1410" t="s">
        <v>372</v>
      </c>
      <c r="O1410" t="s">
        <v>74</v>
      </c>
      <c r="P1410" t="s">
        <v>74</v>
      </c>
      <c r="Q1410" t="s">
        <v>74</v>
      </c>
      <c r="R1410" t="s">
        <v>74</v>
      </c>
      <c r="S1410" t="s">
        <v>74</v>
      </c>
      <c r="T1410" t="s">
        <v>28003</v>
      </c>
      <c r="U1410" t="s">
        <v>74</v>
      </c>
      <c r="V1410" t="s">
        <v>28002</v>
      </c>
      <c r="W1410" t="s">
        <v>27200</v>
      </c>
      <c r="X1410" t="s">
        <v>27199</v>
      </c>
      <c r="Y1410" t="s">
        <v>27198</v>
      </c>
      <c r="Z1410" t="s">
        <v>28001</v>
      </c>
      <c r="AA1410" t="s">
        <v>74</v>
      </c>
      <c r="AB1410" t="s">
        <v>28000</v>
      </c>
      <c r="AC1410" t="s">
        <v>74</v>
      </c>
      <c r="AD1410" t="s">
        <v>74</v>
      </c>
      <c r="AE1410" t="s">
        <v>74</v>
      </c>
      <c r="AF1410" t="s">
        <v>74</v>
      </c>
      <c r="AG1410">
        <v>17</v>
      </c>
      <c r="AH1410">
        <v>0</v>
      </c>
      <c r="AI1410">
        <v>0</v>
      </c>
      <c r="AJ1410">
        <v>0</v>
      </c>
      <c r="AK1410">
        <v>3</v>
      </c>
      <c r="AL1410" t="s">
        <v>332</v>
      </c>
      <c r="AM1410" t="s">
        <v>333</v>
      </c>
      <c r="AN1410" t="s">
        <v>334</v>
      </c>
      <c r="AO1410" t="s">
        <v>27999</v>
      </c>
      <c r="AP1410" t="s">
        <v>27998</v>
      </c>
      <c r="AQ1410" t="s">
        <v>74</v>
      </c>
      <c r="AR1410" t="s">
        <v>27997</v>
      </c>
      <c r="AS1410" t="s">
        <v>27996</v>
      </c>
      <c r="AT1410" t="s">
        <v>27995</v>
      </c>
      <c r="AU1410">
        <v>2025</v>
      </c>
      <c r="AV1410" t="s">
        <v>74</v>
      </c>
      <c r="AW1410" t="s">
        <v>74</v>
      </c>
      <c r="AX1410" t="s">
        <v>74</v>
      </c>
      <c r="AY1410" t="s">
        <v>74</v>
      </c>
      <c r="AZ1410" t="s">
        <v>74</v>
      </c>
      <c r="BA1410" t="s">
        <v>74</v>
      </c>
      <c r="BB1410" t="s">
        <v>74</v>
      </c>
      <c r="BC1410" t="s">
        <v>74</v>
      </c>
      <c r="BD1410" t="s">
        <v>74</v>
      </c>
      <c r="BE1410" t="s">
        <v>27994</v>
      </c>
      <c r="BF1410" t="str">
        <f>HYPERLINK("http://dx.doi.org/10.1080/00128775.2025.2501083","http://dx.doi.org/10.1080/00128775.2025.2501083")</f>
        <v>http://dx.doi.org/10.1080/00128775.2025.2501083</v>
      </c>
      <c r="BG1410" t="s">
        <v>74</v>
      </c>
      <c r="BH1410" t="s">
        <v>2359</v>
      </c>
      <c r="BI1410">
        <v>13</v>
      </c>
      <c r="BJ1410" t="s">
        <v>291</v>
      </c>
      <c r="BK1410" t="s">
        <v>99</v>
      </c>
      <c r="BL1410" t="s">
        <v>100</v>
      </c>
      <c r="BM1410" t="s">
        <v>27993</v>
      </c>
      <c r="BN1410" t="s">
        <v>74</v>
      </c>
      <c r="BO1410" t="s">
        <v>74</v>
      </c>
      <c r="BP1410" t="s">
        <v>74</v>
      </c>
      <c r="BQ1410" t="s">
        <v>74</v>
      </c>
      <c r="BR1410" t="s">
        <v>102</v>
      </c>
      <c r="BS1410" t="s">
        <v>27992</v>
      </c>
      <c r="BT1410" t="str">
        <f>HYPERLINK("https%3A%2F%2Fwww.webofscience.com%2Fwos%2Fwoscc%2Ffull-record%2FWOS:001485664700001","View Full Record in Web of Science")</f>
        <v>View Full Record in Web of Science</v>
      </c>
    </row>
    <row r="1411" spans="1:72" x14ac:dyDescent="0.25">
      <c r="A1411" t="s">
        <v>72</v>
      </c>
      <c r="B1411" t="s">
        <v>22483</v>
      </c>
      <c r="C1411" t="s">
        <v>74</v>
      </c>
      <c r="D1411" t="s">
        <v>74</v>
      </c>
      <c r="E1411" t="s">
        <v>74</v>
      </c>
      <c r="F1411" t="s">
        <v>27991</v>
      </c>
      <c r="G1411" t="s">
        <v>74</v>
      </c>
      <c r="H1411" t="s">
        <v>74</v>
      </c>
      <c r="I1411" t="s">
        <v>27990</v>
      </c>
      <c r="J1411" t="s">
        <v>22480</v>
      </c>
      <c r="K1411" t="s">
        <v>74</v>
      </c>
      <c r="L1411" t="s">
        <v>74</v>
      </c>
      <c r="M1411" t="s">
        <v>78</v>
      </c>
      <c r="N1411" t="s">
        <v>2355</v>
      </c>
      <c r="O1411" t="s">
        <v>74</v>
      </c>
      <c r="P1411" t="s">
        <v>74</v>
      </c>
      <c r="Q1411" t="s">
        <v>74</v>
      </c>
      <c r="R1411" t="s">
        <v>74</v>
      </c>
      <c r="S1411" t="s">
        <v>74</v>
      </c>
      <c r="T1411" t="s">
        <v>74</v>
      </c>
      <c r="U1411" t="s">
        <v>74</v>
      </c>
      <c r="V1411" t="s">
        <v>74</v>
      </c>
      <c r="W1411" t="s">
        <v>74</v>
      </c>
      <c r="X1411" t="s">
        <v>74</v>
      </c>
      <c r="Y1411" t="s">
        <v>74</v>
      </c>
      <c r="Z1411" t="s">
        <v>74</v>
      </c>
      <c r="AA1411" t="s">
        <v>74</v>
      </c>
      <c r="AB1411" t="s">
        <v>74</v>
      </c>
      <c r="AC1411" t="s">
        <v>74</v>
      </c>
      <c r="AD1411" t="s">
        <v>74</v>
      </c>
      <c r="AE1411" t="s">
        <v>74</v>
      </c>
      <c r="AF1411" t="s">
        <v>74</v>
      </c>
      <c r="AG1411">
        <v>1</v>
      </c>
      <c r="AH1411">
        <v>0</v>
      </c>
      <c r="AI1411">
        <v>0</v>
      </c>
      <c r="AJ1411">
        <v>1</v>
      </c>
      <c r="AK1411">
        <v>30</v>
      </c>
      <c r="AL1411" t="s">
        <v>332</v>
      </c>
      <c r="AM1411" t="s">
        <v>333</v>
      </c>
      <c r="AN1411" t="s">
        <v>334</v>
      </c>
      <c r="AO1411" t="s">
        <v>22472</v>
      </c>
      <c r="AP1411" t="s">
        <v>22471</v>
      </c>
      <c r="AQ1411" t="s">
        <v>74</v>
      </c>
      <c r="AR1411" t="s">
        <v>22470</v>
      </c>
      <c r="AS1411" t="s">
        <v>22469</v>
      </c>
      <c r="AT1411" t="s">
        <v>1221</v>
      </c>
      <c r="AU1411">
        <v>2021</v>
      </c>
      <c r="AV1411">
        <v>28</v>
      </c>
      <c r="AW1411">
        <v>10</v>
      </c>
      <c r="AX1411" t="s">
        <v>74</v>
      </c>
      <c r="AY1411" t="s">
        <v>74</v>
      </c>
      <c r="AZ1411" t="s">
        <v>74</v>
      </c>
      <c r="BA1411" t="s">
        <v>74</v>
      </c>
      <c r="BB1411">
        <v>1332</v>
      </c>
      <c r="BC1411">
        <v>1332</v>
      </c>
      <c r="BD1411" t="s">
        <v>74</v>
      </c>
      <c r="BE1411" t="s">
        <v>27989</v>
      </c>
      <c r="BF1411" t="str">
        <f>HYPERLINK("http://dx.doi.org/10.1080/13662716.2020.1806489","http://dx.doi.org/10.1080/13662716.2020.1806489")</f>
        <v>http://dx.doi.org/10.1080/13662716.2020.1806489</v>
      </c>
      <c r="BG1411" t="s">
        <v>74</v>
      </c>
      <c r="BH1411" t="s">
        <v>2937</v>
      </c>
      <c r="BI1411">
        <v>1</v>
      </c>
      <c r="BJ1411" t="s">
        <v>5519</v>
      </c>
      <c r="BK1411" t="s">
        <v>99</v>
      </c>
      <c r="BL1411" t="s">
        <v>100</v>
      </c>
      <c r="BM1411" t="s">
        <v>27988</v>
      </c>
      <c r="BN1411" t="s">
        <v>74</v>
      </c>
      <c r="BO1411" t="s">
        <v>1205</v>
      </c>
      <c r="BP1411" t="s">
        <v>74</v>
      </c>
      <c r="BQ1411" t="s">
        <v>74</v>
      </c>
      <c r="BR1411" t="s">
        <v>102</v>
      </c>
      <c r="BS1411" t="s">
        <v>27987</v>
      </c>
      <c r="BT1411" t="str">
        <f>HYPERLINK("https%3A%2F%2Fwww.webofscience.com%2Fwos%2Fwoscc%2Ffull-record%2FWOS:000560543500001","View Full Record in Web of Science")</f>
        <v>View Full Record in Web of Science</v>
      </c>
    </row>
    <row r="1412" spans="1:72" x14ac:dyDescent="0.25">
      <c r="A1412" t="s">
        <v>72</v>
      </c>
      <c r="B1412" t="s">
        <v>27986</v>
      </c>
      <c r="C1412" t="s">
        <v>74</v>
      </c>
      <c r="D1412" t="s">
        <v>74</v>
      </c>
      <c r="E1412" t="s">
        <v>74</v>
      </c>
      <c r="F1412" t="s">
        <v>27985</v>
      </c>
      <c r="G1412" t="s">
        <v>74</v>
      </c>
      <c r="H1412" t="s">
        <v>74</v>
      </c>
      <c r="I1412" t="s">
        <v>27984</v>
      </c>
      <c r="J1412" t="s">
        <v>1309</v>
      </c>
      <c r="K1412" t="s">
        <v>74</v>
      </c>
      <c r="L1412" t="s">
        <v>74</v>
      </c>
      <c r="M1412" t="s">
        <v>78</v>
      </c>
      <c r="N1412" t="s">
        <v>372</v>
      </c>
      <c r="O1412" t="s">
        <v>74</v>
      </c>
      <c r="P1412" t="s">
        <v>74</v>
      </c>
      <c r="Q1412" t="s">
        <v>74</v>
      </c>
      <c r="R1412" t="s">
        <v>74</v>
      </c>
      <c r="S1412" t="s">
        <v>74</v>
      </c>
      <c r="T1412" t="s">
        <v>27983</v>
      </c>
      <c r="U1412" t="s">
        <v>27982</v>
      </c>
      <c r="V1412" t="s">
        <v>27981</v>
      </c>
      <c r="W1412" t="s">
        <v>27980</v>
      </c>
      <c r="X1412" t="s">
        <v>74</v>
      </c>
      <c r="Y1412" t="s">
        <v>27979</v>
      </c>
      <c r="Z1412" t="s">
        <v>27978</v>
      </c>
      <c r="AA1412" t="s">
        <v>74</v>
      </c>
      <c r="AB1412" t="s">
        <v>74</v>
      </c>
      <c r="AC1412" t="s">
        <v>74</v>
      </c>
      <c r="AD1412" t="s">
        <v>74</v>
      </c>
      <c r="AE1412" t="s">
        <v>74</v>
      </c>
      <c r="AF1412" t="s">
        <v>74</v>
      </c>
      <c r="AG1412">
        <v>76</v>
      </c>
      <c r="AH1412">
        <v>0</v>
      </c>
      <c r="AI1412">
        <v>0</v>
      </c>
      <c r="AJ1412">
        <v>0</v>
      </c>
      <c r="AK1412">
        <v>0</v>
      </c>
      <c r="AL1412" t="s">
        <v>89</v>
      </c>
      <c r="AM1412" t="s">
        <v>90</v>
      </c>
      <c r="AN1412" t="s">
        <v>91</v>
      </c>
      <c r="AO1412" t="s">
        <v>1317</v>
      </c>
      <c r="AP1412" t="s">
        <v>74</v>
      </c>
      <c r="AQ1412" t="s">
        <v>74</v>
      </c>
      <c r="AR1412" t="s">
        <v>1319</v>
      </c>
      <c r="AS1412" t="s">
        <v>74</v>
      </c>
      <c r="AT1412" t="s">
        <v>27977</v>
      </c>
      <c r="AU1412">
        <v>2025</v>
      </c>
      <c r="AV1412" t="s">
        <v>74</v>
      </c>
      <c r="AW1412" t="s">
        <v>74</v>
      </c>
      <c r="AX1412" t="s">
        <v>74</v>
      </c>
      <c r="AY1412" t="s">
        <v>74</v>
      </c>
      <c r="AZ1412" t="s">
        <v>74</v>
      </c>
      <c r="BA1412" t="s">
        <v>74</v>
      </c>
      <c r="BB1412" t="s">
        <v>74</v>
      </c>
      <c r="BC1412" t="s">
        <v>74</v>
      </c>
      <c r="BD1412" t="s">
        <v>74</v>
      </c>
      <c r="BE1412" t="s">
        <v>27976</v>
      </c>
      <c r="BF1412" t="str">
        <f>HYPERLINK("http://dx.doi.org/10.1108/JES-05-2025-0359","http://dx.doi.org/10.1108/JES-05-2025-0359")</f>
        <v>http://dx.doi.org/10.1108/JES-05-2025-0359</v>
      </c>
      <c r="BG1412" t="s">
        <v>74</v>
      </c>
      <c r="BH1412" t="s">
        <v>12078</v>
      </c>
      <c r="BI1412">
        <v>18</v>
      </c>
      <c r="BJ1412" t="s">
        <v>291</v>
      </c>
      <c r="BK1412" t="s">
        <v>313</v>
      </c>
      <c r="BL1412" t="s">
        <v>100</v>
      </c>
      <c r="BM1412" t="s">
        <v>27975</v>
      </c>
      <c r="BN1412" t="s">
        <v>74</v>
      </c>
      <c r="BO1412" t="s">
        <v>74</v>
      </c>
      <c r="BP1412" t="s">
        <v>74</v>
      </c>
      <c r="BQ1412" t="s">
        <v>74</v>
      </c>
      <c r="BR1412" t="s">
        <v>102</v>
      </c>
      <c r="BS1412" t="s">
        <v>27974</v>
      </c>
      <c r="BT1412" t="str">
        <f>HYPERLINK("https%3A%2F%2Fwww.webofscience.com%2Fwos%2Fwoscc%2Ffull-record%2FWOS:001589087400001","View Full Record in Web of Science")</f>
        <v>View Full Record in Web of Science</v>
      </c>
    </row>
    <row r="1413" spans="1:72" x14ac:dyDescent="0.25">
      <c r="A1413" t="s">
        <v>72</v>
      </c>
      <c r="B1413" t="s">
        <v>27973</v>
      </c>
      <c r="C1413" t="s">
        <v>74</v>
      </c>
      <c r="D1413" t="s">
        <v>74</v>
      </c>
      <c r="E1413" t="s">
        <v>74</v>
      </c>
      <c r="F1413" t="s">
        <v>27972</v>
      </c>
      <c r="G1413" t="s">
        <v>74</v>
      </c>
      <c r="H1413" t="s">
        <v>74</v>
      </c>
      <c r="I1413" t="s">
        <v>27971</v>
      </c>
      <c r="J1413" t="s">
        <v>2007</v>
      </c>
      <c r="K1413" t="s">
        <v>74</v>
      </c>
      <c r="L1413" t="s">
        <v>74</v>
      </c>
      <c r="M1413" t="s">
        <v>78</v>
      </c>
      <c r="N1413" t="s">
        <v>79</v>
      </c>
      <c r="O1413" t="s">
        <v>74</v>
      </c>
      <c r="P1413" t="s">
        <v>74</v>
      </c>
      <c r="Q1413" t="s">
        <v>74</v>
      </c>
      <c r="R1413" t="s">
        <v>74</v>
      </c>
      <c r="S1413" t="s">
        <v>74</v>
      </c>
      <c r="T1413" t="s">
        <v>74</v>
      </c>
      <c r="U1413" t="s">
        <v>27970</v>
      </c>
      <c r="V1413" t="s">
        <v>27969</v>
      </c>
      <c r="W1413" t="s">
        <v>27968</v>
      </c>
      <c r="X1413" t="s">
        <v>27967</v>
      </c>
      <c r="Y1413" t="s">
        <v>27966</v>
      </c>
      <c r="Z1413" t="s">
        <v>74</v>
      </c>
      <c r="AA1413" t="s">
        <v>74</v>
      </c>
      <c r="AB1413" t="s">
        <v>27965</v>
      </c>
      <c r="AC1413" t="s">
        <v>27964</v>
      </c>
      <c r="AD1413" t="s">
        <v>27963</v>
      </c>
      <c r="AE1413" t="s">
        <v>27962</v>
      </c>
      <c r="AF1413" t="s">
        <v>74</v>
      </c>
      <c r="AG1413">
        <v>61</v>
      </c>
      <c r="AH1413">
        <v>4</v>
      </c>
      <c r="AI1413">
        <v>14</v>
      </c>
      <c r="AJ1413">
        <v>2</v>
      </c>
      <c r="AK1413">
        <v>21</v>
      </c>
      <c r="AL1413" t="s">
        <v>2015</v>
      </c>
      <c r="AM1413" t="s">
        <v>2016</v>
      </c>
      <c r="AN1413" t="s">
        <v>2017</v>
      </c>
      <c r="AO1413" t="s">
        <v>2018</v>
      </c>
      <c r="AP1413" t="s">
        <v>2019</v>
      </c>
      <c r="AQ1413" t="s">
        <v>74</v>
      </c>
      <c r="AR1413" t="s">
        <v>2020</v>
      </c>
      <c r="AS1413" t="s">
        <v>2021</v>
      </c>
      <c r="AT1413" t="s">
        <v>6430</v>
      </c>
      <c r="AU1413">
        <v>2023</v>
      </c>
      <c r="AV1413">
        <v>105</v>
      </c>
      <c r="AW1413">
        <v>4</v>
      </c>
      <c r="AX1413" t="s">
        <v>74</v>
      </c>
      <c r="AY1413" t="s">
        <v>74</v>
      </c>
      <c r="AZ1413" t="s">
        <v>74</v>
      </c>
      <c r="BA1413" t="s">
        <v>74</v>
      </c>
      <c r="BB1413">
        <v>780</v>
      </c>
      <c r="BC1413">
        <v>797</v>
      </c>
      <c r="BD1413" t="s">
        <v>74</v>
      </c>
      <c r="BE1413" t="s">
        <v>27961</v>
      </c>
      <c r="BF1413" t="str">
        <f>HYPERLINK("http://dx.doi.org/10.1162/rest_a_01117","http://dx.doi.org/10.1162/rest_a_01117")</f>
        <v>http://dx.doi.org/10.1162/rest_a_01117</v>
      </c>
      <c r="BG1413" t="s">
        <v>74</v>
      </c>
      <c r="BH1413" t="s">
        <v>74</v>
      </c>
      <c r="BI1413">
        <v>18</v>
      </c>
      <c r="BJ1413" t="s">
        <v>2023</v>
      </c>
      <c r="BK1413" t="s">
        <v>99</v>
      </c>
      <c r="BL1413" t="s">
        <v>2024</v>
      </c>
      <c r="BM1413" t="s">
        <v>27960</v>
      </c>
      <c r="BN1413" t="s">
        <v>74</v>
      </c>
      <c r="BO1413" t="s">
        <v>74</v>
      </c>
      <c r="BP1413" t="s">
        <v>74</v>
      </c>
      <c r="BQ1413" t="s">
        <v>74</v>
      </c>
      <c r="BR1413" t="s">
        <v>102</v>
      </c>
      <c r="BS1413" t="s">
        <v>27959</v>
      </c>
      <c r="BT1413" t="str">
        <f>HYPERLINK("https%3A%2F%2Fwww.webofscience.com%2Fwos%2Fwoscc%2Ffull-record%2FWOS:001026156500003","View Full Record in Web of Science")</f>
        <v>View Full Record in Web of Science</v>
      </c>
    </row>
    <row r="1414" spans="1:72" x14ac:dyDescent="0.25">
      <c r="A1414" t="s">
        <v>72</v>
      </c>
      <c r="B1414" t="s">
        <v>17957</v>
      </c>
      <c r="C1414" t="s">
        <v>74</v>
      </c>
      <c r="D1414" t="s">
        <v>74</v>
      </c>
      <c r="E1414" t="s">
        <v>74</v>
      </c>
      <c r="F1414" t="s">
        <v>17958</v>
      </c>
      <c r="G1414" t="s">
        <v>74</v>
      </c>
      <c r="H1414" t="s">
        <v>74</v>
      </c>
      <c r="I1414" t="s">
        <v>27958</v>
      </c>
      <c r="J1414" t="s">
        <v>12687</v>
      </c>
      <c r="K1414" t="s">
        <v>74</v>
      </c>
      <c r="L1414" t="s">
        <v>74</v>
      </c>
      <c r="M1414" t="s">
        <v>78</v>
      </c>
      <c r="N1414" t="s">
        <v>1766</v>
      </c>
      <c r="O1414" t="s">
        <v>74</v>
      </c>
      <c r="P1414" t="s">
        <v>74</v>
      </c>
      <c r="Q1414" t="s">
        <v>74</v>
      </c>
      <c r="R1414" t="s">
        <v>74</v>
      </c>
      <c r="S1414" t="s">
        <v>74</v>
      </c>
      <c r="T1414" t="s">
        <v>27957</v>
      </c>
      <c r="U1414" t="s">
        <v>74</v>
      </c>
      <c r="V1414" t="s">
        <v>27956</v>
      </c>
      <c r="W1414" t="s">
        <v>27955</v>
      </c>
      <c r="X1414" t="s">
        <v>17963</v>
      </c>
      <c r="Y1414" t="s">
        <v>27954</v>
      </c>
      <c r="Z1414" t="s">
        <v>27953</v>
      </c>
      <c r="AA1414" t="s">
        <v>17965</v>
      </c>
      <c r="AB1414" t="s">
        <v>74</v>
      </c>
      <c r="AC1414" t="s">
        <v>74</v>
      </c>
      <c r="AD1414" t="s">
        <v>74</v>
      </c>
      <c r="AE1414" t="s">
        <v>74</v>
      </c>
      <c r="AF1414" t="s">
        <v>74</v>
      </c>
      <c r="AG1414">
        <v>48</v>
      </c>
      <c r="AH1414">
        <v>3</v>
      </c>
      <c r="AI1414">
        <v>4</v>
      </c>
      <c r="AJ1414">
        <v>0</v>
      </c>
      <c r="AK1414">
        <v>12</v>
      </c>
      <c r="AL1414" t="s">
        <v>332</v>
      </c>
      <c r="AM1414" t="s">
        <v>333</v>
      </c>
      <c r="AN1414" t="s">
        <v>334</v>
      </c>
      <c r="AO1414" t="s">
        <v>12698</v>
      </c>
      <c r="AP1414" t="s">
        <v>12699</v>
      </c>
      <c r="AQ1414" t="s">
        <v>74</v>
      </c>
      <c r="AR1414" t="s">
        <v>12700</v>
      </c>
      <c r="AS1414" t="s">
        <v>12701</v>
      </c>
      <c r="AT1414" t="s">
        <v>10107</v>
      </c>
      <c r="AU1414">
        <v>2023</v>
      </c>
      <c r="AV1414">
        <v>37</v>
      </c>
      <c r="AW1414">
        <v>2</v>
      </c>
      <c r="AX1414" t="s">
        <v>74</v>
      </c>
      <c r="AY1414" t="s">
        <v>74</v>
      </c>
      <c r="AZ1414" t="s">
        <v>74</v>
      </c>
      <c r="BA1414" t="s">
        <v>74</v>
      </c>
      <c r="BB1414">
        <v>275</v>
      </c>
      <c r="BC1414">
        <v>285</v>
      </c>
      <c r="BD1414" t="s">
        <v>74</v>
      </c>
      <c r="BE1414" t="s">
        <v>27952</v>
      </c>
      <c r="BF1414" t="str">
        <f>HYPERLINK("http://dx.doi.org/10.1080/02692171.2023.2167952","http://dx.doi.org/10.1080/02692171.2023.2167952")</f>
        <v>http://dx.doi.org/10.1080/02692171.2023.2167952</v>
      </c>
      <c r="BG1414" t="s">
        <v>74</v>
      </c>
      <c r="BH1414" t="s">
        <v>11288</v>
      </c>
      <c r="BI1414">
        <v>11</v>
      </c>
      <c r="BJ1414" t="s">
        <v>291</v>
      </c>
      <c r="BK1414" t="s">
        <v>313</v>
      </c>
      <c r="BL1414" t="s">
        <v>100</v>
      </c>
      <c r="BM1414" t="s">
        <v>27951</v>
      </c>
      <c r="BN1414" t="s">
        <v>74</v>
      </c>
      <c r="BO1414" t="s">
        <v>74</v>
      </c>
      <c r="BP1414" t="s">
        <v>74</v>
      </c>
      <c r="BQ1414" t="s">
        <v>74</v>
      </c>
      <c r="BR1414" t="s">
        <v>102</v>
      </c>
      <c r="BS1414" t="s">
        <v>27950</v>
      </c>
      <c r="BT1414" t="str">
        <f>HYPERLINK("https%3A%2F%2Fwww.webofscience.com%2Fwos%2Fwoscc%2Ffull-record%2FWOS:000913861000001","View Full Record in Web of Science")</f>
        <v>View Full Record in Web of Science</v>
      </c>
    </row>
    <row r="1415" spans="1:72" x14ac:dyDescent="0.25">
      <c r="A1415" t="s">
        <v>72</v>
      </c>
      <c r="B1415" t="s">
        <v>27949</v>
      </c>
      <c r="C1415" t="s">
        <v>74</v>
      </c>
      <c r="D1415" t="s">
        <v>74</v>
      </c>
      <c r="E1415" t="s">
        <v>74</v>
      </c>
      <c r="F1415" t="s">
        <v>27948</v>
      </c>
      <c r="G1415" t="s">
        <v>74</v>
      </c>
      <c r="H1415" t="s">
        <v>74</v>
      </c>
      <c r="I1415" t="s">
        <v>27947</v>
      </c>
      <c r="J1415" t="s">
        <v>424</v>
      </c>
      <c r="K1415" t="s">
        <v>74</v>
      </c>
      <c r="L1415" t="s">
        <v>74</v>
      </c>
      <c r="M1415" t="s">
        <v>78</v>
      </c>
      <c r="N1415" t="s">
        <v>79</v>
      </c>
      <c r="O1415" t="s">
        <v>74</v>
      </c>
      <c r="P1415" t="s">
        <v>74</v>
      </c>
      <c r="Q1415" t="s">
        <v>74</v>
      </c>
      <c r="R1415" t="s">
        <v>74</v>
      </c>
      <c r="S1415" t="s">
        <v>74</v>
      </c>
      <c r="T1415" t="s">
        <v>27946</v>
      </c>
      <c r="U1415" t="s">
        <v>27945</v>
      </c>
      <c r="V1415" t="s">
        <v>27944</v>
      </c>
      <c r="W1415" t="s">
        <v>27943</v>
      </c>
      <c r="X1415" t="s">
        <v>27942</v>
      </c>
      <c r="Y1415" t="s">
        <v>14948</v>
      </c>
      <c r="Z1415" t="s">
        <v>12156</v>
      </c>
      <c r="AA1415" t="s">
        <v>14950</v>
      </c>
      <c r="AB1415" t="s">
        <v>12157</v>
      </c>
      <c r="AC1415" t="s">
        <v>74</v>
      </c>
      <c r="AD1415" t="s">
        <v>74</v>
      </c>
      <c r="AE1415" t="s">
        <v>74</v>
      </c>
      <c r="AF1415" t="s">
        <v>74</v>
      </c>
      <c r="AG1415">
        <v>86</v>
      </c>
      <c r="AH1415">
        <v>39</v>
      </c>
      <c r="AI1415">
        <v>53</v>
      </c>
      <c r="AJ1415">
        <v>0</v>
      </c>
      <c r="AK1415">
        <v>25</v>
      </c>
      <c r="AL1415" t="s">
        <v>89</v>
      </c>
      <c r="AM1415" t="s">
        <v>90</v>
      </c>
      <c r="AN1415" t="s">
        <v>91</v>
      </c>
      <c r="AO1415" t="s">
        <v>436</v>
      </c>
      <c r="AP1415" t="s">
        <v>437</v>
      </c>
      <c r="AQ1415" t="s">
        <v>74</v>
      </c>
      <c r="AR1415" t="s">
        <v>438</v>
      </c>
      <c r="AS1415" t="s">
        <v>439</v>
      </c>
      <c r="AT1415" t="s">
        <v>74</v>
      </c>
      <c r="AU1415">
        <v>2018</v>
      </c>
      <c r="AV1415">
        <v>36</v>
      </c>
      <c r="AW1415">
        <v>7</v>
      </c>
      <c r="AX1415" t="s">
        <v>74</v>
      </c>
      <c r="AY1415" t="s">
        <v>74</v>
      </c>
      <c r="AZ1415" t="s">
        <v>74</v>
      </c>
      <c r="BA1415" t="s">
        <v>74</v>
      </c>
      <c r="BB1415">
        <v>1190</v>
      </c>
      <c r="BC1415">
        <v>1212</v>
      </c>
      <c r="BD1415" t="s">
        <v>74</v>
      </c>
      <c r="BE1415" t="s">
        <v>27941</v>
      </c>
      <c r="BF1415" t="str">
        <f>HYPERLINK("http://dx.doi.org/10.1108/IJBM-08-2017-0175","http://dx.doi.org/10.1108/IJBM-08-2017-0175")</f>
        <v>http://dx.doi.org/10.1108/IJBM-08-2017-0175</v>
      </c>
      <c r="BG1415" t="s">
        <v>74</v>
      </c>
      <c r="BH1415" t="s">
        <v>74</v>
      </c>
      <c r="BI1415">
        <v>23</v>
      </c>
      <c r="BJ1415" t="s">
        <v>418</v>
      </c>
      <c r="BK1415" t="s">
        <v>99</v>
      </c>
      <c r="BL1415" t="s">
        <v>100</v>
      </c>
      <c r="BM1415" t="s">
        <v>27940</v>
      </c>
      <c r="BN1415" t="s">
        <v>74</v>
      </c>
      <c r="BO1415" t="s">
        <v>74</v>
      </c>
      <c r="BP1415" t="s">
        <v>74</v>
      </c>
      <c r="BQ1415" t="s">
        <v>74</v>
      </c>
      <c r="BR1415" t="s">
        <v>102</v>
      </c>
      <c r="BS1415" t="s">
        <v>27939</v>
      </c>
      <c r="BT1415" t="str">
        <f>HYPERLINK("https%3A%2F%2Fwww.webofscience.com%2Fwos%2Fwoscc%2Ffull-record%2FWOS:000456883600002","View Full Record in Web of Science")</f>
        <v>View Full Record in Web of Science</v>
      </c>
    </row>
    <row r="1416" spans="1:72" x14ac:dyDescent="0.25">
      <c r="A1416" t="s">
        <v>132</v>
      </c>
      <c r="B1416" t="s">
        <v>27938</v>
      </c>
      <c r="C1416" t="s">
        <v>74</v>
      </c>
      <c r="D1416" t="s">
        <v>27937</v>
      </c>
      <c r="E1416" t="s">
        <v>74</v>
      </c>
      <c r="F1416" t="s">
        <v>27936</v>
      </c>
      <c r="G1416" t="s">
        <v>74</v>
      </c>
      <c r="H1416" t="s">
        <v>74</v>
      </c>
      <c r="I1416" t="s">
        <v>27935</v>
      </c>
      <c r="J1416" t="s">
        <v>27934</v>
      </c>
      <c r="K1416" t="s">
        <v>2425</v>
      </c>
      <c r="L1416" t="s">
        <v>74</v>
      </c>
      <c r="M1416" t="s">
        <v>78</v>
      </c>
      <c r="N1416" t="s">
        <v>138</v>
      </c>
      <c r="O1416" t="s">
        <v>27933</v>
      </c>
      <c r="P1416" t="s">
        <v>27932</v>
      </c>
      <c r="Q1416" t="s">
        <v>27931</v>
      </c>
      <c r="R1416" t="s">
        <v>74</v>
      </c>
      <c r="S1416" t="s">
        <v>74</v>
      </c>
      <c r="T1416" t="s">
        <v>27930</v>
      </c>
      <c r="U1416" t="s">
        <v>74</v>
      </c>
      <c r="V1416" t="s">
        <v>27929</v>
      </c>
      <c r="W1416" t="s">
        <v>27928</v>
      </c>
      <c r="X1416" t="s">
        <v>27927</v>
      </c>
      <c r="Y1416" t="s">
        <v>27926</v>
      </c>
      <c r="Z1416" t="s">
        <v>27925</v>
      </c>
      <c r="AA1416" t="s">
        <v>27924</v>
      </c>
      <c r="AB1416" t="s">
        <v>27923</v>
      </c>
      <c r="AC1416" t="s">
        <v>74</v>
      </c>
      <c r="AD1416" t="s">
        <v>74</v>
      </c>
      <c r="AE1416" t="s">
        <v>74</v>
      </c>
      <c r="AF1416" t="s">
        <v>74</v>
      </c>
      <c r="AG1416">
        <v>16</v>
      </c>
      <c r="AH1416">
        <v>1</v>
      </c>
      <c r="AI1416">
        <v>1</v>
      </c>
      <c r="AJ1416">
        <v>0</v>
      </c>
      <c r="AK1416">
        <v>0</v>
      </c>
      <c r="AL1416" t="s">
        <v>3807</v>
      </c>
      <c r="AM1416" t="s">
        <v>3098</v>
      </c>
      <c r="AN1416" t="s">
        <v>3808</v>
      </c>
      <c r="AO1416" t="s">
        <v>2437</v>
      </c>
      <c r="AP1416" t="s">
        <v>74</v>
      </c>
      <c r="AQ1416" t="s">
        <v>27922</v>
      </c>
      <c r="AR1416" t="s">
        <v>2440</v>
      </c>
      <c r="AS1416" t="s">
        <v>74</v>
      </c>
      <c r="AT1416" t="s">
        <v>74</v>
      </c>
      <c r="AU1416">
        <v>2014</v>
      </c>
      <c r="AV1416">
        <v>8520</v>
      </c>
      <c r="AW1416" t="s">
        <v>74</v>
      </c>
      <c r="AX1416" t="s">
        <v>74</v>
      </c>
      <c r="AY1416" t="s">
        <v>74</v>
      </c>
      <c r="AZ1416" t="s">
        <v>74</v>
      </c>
      <c r="BA1416" t="s">
        <v>74</v>
      </c>
      <c r="BB1416">
        <v>71</v>
      </c>
      <c r="BC1416">
        <v>80</v>
      </c>
      <c r="BD1416" t="s">
        <v>74</v>
      </c>
      <c r="BE1416" t="s">
        <v>74</v>
      </c>
      <c r="BF1416" t="s">
        <v>74</v>
      </c>
      <c r="BG1416" t="s">
        <v>74</v>
      </c>
      <c r="BH1416" t="s">
        <v>74</v>
      </c>
      <c r="BI1416">
        <v>10</v>
      </c>
      <c r="BJ1416" t="s">
        <v>6213</v>
      </c>
      <c r="BK1416" t="s">
        <v>156</v>
      </c>
      <c r="BL1416" t="s">
        <v>157</v>
      </c>
      <c r="BM1416" t="s">
        <v>27921</v>
      </c>
      <c r="BN1416" t="s">
        <v>74</v>
      </c>
      <c r="BO1416" t="s">
        <v>74</v>
      </c>
      <c r="BP1416" t="s">
        <v>74</v>
      </c>
      <c r="BQ1416" t="s">
        <v>74</v>
      </c>
      <c r="BR1416" t="s">
        <v>102</v>
      </c>
      <c r="BS1416" t="s">
        <v>27920</v>
      </c>
      <c r="BT1416" t="str">
        <f>HYPERLINK("https%3A%2F%2Fwww.webofscience.com%2Fwos%2Fwoscc%2Ffull-record%2FWOS:000342849200008","View Full Record in Web of Science")</f>
        <v>View Full Record in Web of Science</v>
      </c>
    </row>
    <row r="1417" spans="1:72" x14ac:dyDescent="0.25">
      <c r="A1417" t="s">
        <v>72</v>
      </c>
      <c r="B1417" t="s">
        <v>27919</v>
      </c>
      <c r="C1417" t="s">
        <v>74</v>
      </c>
      <c r="D1417" t="s">
        <v>74</v>
      </c>
      <c r="E1417" t="s">
        <v>74</v>
      </c>
      <c r="F1417" t="s">
        <v>27918</v>
      </c>
      <c r="G1417" t="s">
        <v>74</v>
      </c>
      <c r="H1417" t="s">
        <v>74</v>
      </c>
      <c r="I1417" t="s">
        <v>27917</v>
      </c>
      <c r="J1417" t="s">
        <v>877</v>
      </c>
      <c r="K1417" t="s">
        <v>74</v>
      </c>
      <c r="L1417" t="s">
        <v>74</v>
      </c>
      <c r="M1417" t="s">
        <v>78</v>
      </c>
      <c r="N1417" t="s">
        <v>79</v>
      </c>
      <c r="O1417" t="s">
        <v>74</v>
      </c>
      <c r="P1417" t="s">
        <v>74</v>
      </c>
      <c r="Q1417" t="s">
        <v>74</v>
      </c>
      <c r="R1417" t="s">
        <v>74</v>
      </c>
      <c r="S1417" t="s">
        <v>74</v>
      </c>
      <c r="T1417" t="s">
        <v>27916</v>
      </c>
      <c r="U1417" t="s">
        <v>27915</v>
      </c>
      <c r="V1417" t="s">
        <v>27914</v>
      </c>
      <c r="W1417" t="s">
        <v>27913</v>
      </c>
      <c r="X1417" t="s">
        <v>27912</v>
      </c>
      <c r="Y1417" t="s">
        <v>27911</v>
      </c>
      <c r="Z1417" t="s">
        <v>27910</v>
      </c>
      <c r="AA1417" t="s">
        <v>74</v>
      </c>
      <c r="AB1417" t="s">
        <v>74</v>
      </c>
      <c r="AC1417" t="s">
        <v>27909</v>
      </c>
      <c r="AD1417" t="s">
        <v>27908</v>
      </c>
      <c r="AE1417" t="s">
        <v>27907</v>
      </c>
      <c r="AF1417" t="s">
        <v>74</v>
      </c>
      <c r="AG1417">
        <v>33</v>
      </c>
      <c r="AH1417">
        <v>9</v>
      </c>
      <c r="AI1417">
        <v>11</v>
      </c>
      <c r="AJ1417">
        <v>0</v>
      </c>
      <c r="AK1417">
        <v>30</v>
      </c>
      <c r="AL1417" t="s">
        <v>884</v>
      </c>
      <c r="AM1417" t="s">
        <v>885</v>
      </c>
      <c r="AN1417" t="s">
        <v>886</v>
      </c>
      <c r="AO1417" t="s">
        <v>887</v>
      </c>
      <c r="AP1417" t="s">
        <v>888</v>
      </c>
      <c r="AQ1417" t="s">
        <v>74</v>
      </c>
      <c r="AR1417" t="s">
        <v>889</v>
      </c>
      <c r="AS1417" t="s">
        <v>890</v>
      </c>
      <c r="AT1417" t="s">
        <v>124</v>
      </c>
      <c r="AU1417">
        <v>2020</v>
      </c>
      <c r="AV1417">
        <v>7</v>
      </c>
      <c r="AW1417">
        <v>12</v>
      </c>
      <c r="AX1417" t="s">
        <v>74</v>
      </c>
      <c r="AY1417" t="s">
        <v>74</v>
      </c>
      <c r="AZ1417" t="s">
        <v>74</v>
      </c>
      <c r="BA1417" t="s">
        <v>74</v>
      </c>
      <c r="BB1417">
        <v>355</v>
      </c>
      <c r="BC1417">
        <v>363</v>
      </c>
      <c r="BD1417" t="s">
        <v>74</v>
      </c>
      <c r="BE1417" t="s">
        <v>27906</v>
      </c>
      <c r="BF1417" t="str">
        <f>HYPERLINK("http://dx.doi.org/10.13106/jafeb.2020.vol7.no12.355","http://dx.doi.org/10.13106/jafeb.2020.vol7.no12.355")</f>
        <v>http://dx.doi.org/10.13106/jafeb.2020.vol7.no12.355</v>
      </c>
      <c r="BG1417" t="s">
        <v>74</v>
      </c>
      <c r="BH1417" t="s">
        <v>74</v>
      </c>
      <c r="BI1417">
        <v>9</v>
      </c>
      <c r="BJ1417" t="s">
        <v>418</v>
      </c>
      <c r="BK1417" t="s">
        <v>313</v>
      </c>
      <c r="BL1417" t="s">
        <v>100</v>
      </c>
      <c r="BM1417" t="s">
        <v>27905</v>
      </c>
      <c r="BN1417" t="s">
        <v>74</v>
      </c>
      <c r="BO1417" t="s">
        <v>212</v>
      </c>
      <c r="BP1417" t="s">
        <v>74</v>
      </c>
      <c r="BQ1417" t="s">
        <v>74</v>
      </c>
      <c r="BR1417" t="s">
        <v>102</v>
      </c>
      <c r="BS1417" t="s">
        <v>27904</v>
      </c>
      <c r="BT1417" t="str">
        <f>HYPERLINK("https%3A%2F%2Fwww.webofscience.com%2Fwos%2Fwoscc%2Ffull-record%2FWOS:000595751600056","View Full Record in Web of Science")</f>
        <v>View Full Record in Web of Science</v>
      </c>
    </row>
    <row r="1418" spans="1:72" x14ac:dyDescent="0.25">
      <c r="A1418" t="s">
        <v>72</v>
      </c>
      <c r="B1418" t="s">
        <v>27903</v>
      </c>
      <c r="C1418" t="s">
        <v>74</v>
      </c>
      <c r="D1418" t="s">
        <v>74</v>
      </c>
      <c r="E1418" t="s">
        <v>74</v>
      </c>
      <c r="F1418" t="s">
        <v>27902</v>
      </c>
      <c r="G1418" t="s">
        <v>74</v>
      </c>
      <c r="H1418" t="s">
        <v>74</v>
      </c>
      <c r="I1418" t="s">
        <v>27901</v>
      </c>
      <c r="J1418" t="s">
        <v>190</v>
      </c>
      <c r="K1418" t="s">
        <v>74</v>
      </c>
      <c r="L1418" t="s">
        <v>74</v>
      </c>
      <c r="M1418" t="s">
        <v>78</v>
      </c>
      <c r="N1418" t="s">
        <v>79</v>
      </c>
      <c r="O1418" t="s">
        <v>74</v>
      </c>
      <c r="P1418" t="s">
        <v>74</v>
      </c>
      <c r="Q1418" t="s">
        <v>74</v>
      </c>
      <c r="R1418" t="s">
        <v>74</v>
      </c>
      <c r="S1418" t="s">
        <v>74</v>
      </c>
      <c r="T1418" t="s">
        <v>27900</v>
      </c>
      <c r="U1418" t="s">
        <v>27899</v>
      </c>
      <c r="V1418" t="s">
        <v>27898</v>
      </c>
      <c r="W1418" t="s">
        <v>27897</v>
      </c>
      <c r="X1418" t="s">
        <v>27896</v>
      </c>
      <c r="Y1418" t="s">
        <v>27895</v>
      </c>
      <c r="Z1418" t="s">
        <v>27894</v>
      </c>
      <c r="AA1418" t="s">
        <v>74</v>
      </c>
      <c r="AB1418" t="s">
        <v>27893</v>
      </c>
      <c r="AC1418" t="s">
        <v>27892</v>
      </c>
      <c r="AD1418" t="s">
        <v>27891</v>
      </c>
      <c r="AE1418" t="s">
        <v>27890</v>
      </c>
      <c r="AF1418" t="s">
        <v>74</v>
      </c>
      <c r="AG1418">
        <v>57</v>
      </c>
      <c r="AH1418">
        <v>59</v>
      </c>
      <c r="AI1418">
        <v>60</v>
      </c>
      <c r="AJ1418">
        <v>2</v>
      </c>
      <c r="AK1418">
        <v>128</v>
      </c>
      <c r="AL1418" t="s">
        <v>201</v>
      </c>
      <c r="AM1418" t="s">
        <v>202</v>
      </c>
      <c r="AN1418" t="s">
        <v>203</v>
      </c>
      <c r="AO1418" t="s">
        <v>204</v>
      </c>
      <c r="AP1418" t="s">
        <v>205</v>
      </c>
      <c r="AQ1418" t="s">
        <v>74</v>
      </c>
      <c r="AR1418" t="s">
        <v>206</v>
      </c>
      <c r="AS1418" t="s">
        <v>207</v>
      </c>
      <c r="AT1418" t="s">
        <v>208</v>
      </c>
      <c r="AU1418">
        <v>2023</v>
      </c>
      <c r="AV1418">
        <v>83</v>
      </c>
      <c r="AW1418" t="s">
        <v>74</v>
      </c>
      <c r="AX1418" t="s">
        <v>74</v>
      </c>
      <c r="AY1418" t="s">
        <v>74</v>
      </c>
      <c r="AZ1418" t="s">
        <v>74</v>
      </c>
      <c r="BA1418" t="s">
        <v>74</v>
      </c>
      <c r="BB1418">
        <v>750</v>
      </c>
      <c r="BC1418">
        <v>763</v>
      </c>
      <c r="BD1418" t="s">
        <v>74</v>
      </c>
      <c r="BE1418" t="s">
        <v>27889</v>
      </c>
      <c r="BF1418" t="str">
        <f>HYPERLINK("http://dx.doi.org/10.1016/j.iref.2022.10.025","http://dx.doi.org/10.1016/j.iref.2022.10.025")</f>
        <v>http://dx.doi.org/10.1016/j.iref.2022.10.025</v>
      </c>
      <c r="BG1418" t="s">
        <v>74</v>
      </c>
      <c r="BH1418" t="s">
        <v>5112</v>
      </c>
      <c r="BI1418">
        <v>14</v>
      </c>
      <c r="BJ1418" t="s">
        <v>210</v>
      </c>
      <c r="BK1418" t="s">
        <v>99</v>
      </c>
      <c r="BL1418" t="s">
        <v>100</v>
      </c>
      <c r="BM1418" t="s">
        <v>27888</v>
      </c>
      <c r="BN1418" t="s">
        <v>74</v>
      </c>
      <c r="BO1418" t="s">
        <v>74</v>
      </c>
      <c r="BP1418" t="s">
        <v>74</v>
      </c>
      <c r="BQ1418" t="s">
        <v>74</v>
      </c>
      <c r="BR1418" t="s">
        <v>102</v>
      </c>
      <c r="BS1418" t="s">
        <v>27887</v>
      </c>
      <c r="BT1418" t="str">
        <f>HYPERLINK("https%3A%2F%2Fwww.webofscience.com%2Fwos%2Fwoscc%2Ffull-record%2FWOS:000883048700003","View Full Record in Web of Science")</f>
        <v>View Full Record in Web of Science</v>
      </c>
    </row>
    <row r="1419" spans="1:72" x14ac:dyDescent="0.25">
      <c r="A1419" t="s">
        <v>72</v>
      </c>
      <c r="B1419" t="s">
        <v>27886</v>
      </c>
      <c r="C1419" t="s">
        <v>74</v>
      </c>
      <c r="D1419" t="s">
        <v>74</v>
      </c>
      <c r="E1419" t="s">
        <v>74</v>
      </c>
      <c r="F1419" t="s">
        <v>27885</v>
      </c>
      <c r="G1419" t="s">
        <v>74</v>
      </c>
      <c r="H1419" t="s">
        <v>74</v>
      </c>
      <c r="I1419" t="s">
        <v>27884</v>
      </c>
      <c r="J1419" t="s">
        <v>9191</v>
      </c>
      <c r="K1419" t="s">
        <v>74</v>
      </c>
      <c r="L1419" t="s">
        <v>74</v>
      </c>
      <c r="M1419" t="s">
        <v>78</v>
      </c>
      <c r="N1419" t="s">
        <v>79</v>
      </c>
      <c r="O1419" t="s">
        <v>74</v>
      </c>
      <c r="P1419" t="s">
        <v>74</v>
      </c>
      <c r="Q1419" t="s">
        <v>74</v>
      </c>
      <c r="R1419" t="s">
        <v>74</v>
      </c>
      <c r="S1419" t="s">
        <v>74</v>
      </c>
      <c r="T1419" t="s">
        <v>27883</v>
      </c>
      <c r="U1419" t="s">
        <v>27882</v>
      </c>
      <c r="V1419" t="s">
        <v>27881</v>
      </c>
      <c r="W1419" t="s">
        <v>27880</v>
      </c>
      <c r="X1419" t="s">
        <v>27879</v>
      </c>
      <c r="Y1419" t="s">
        <v>27878</v>
      </c>
      <c r="Z1419" t="s">
        <v>27877</v>
      </c>
      <c r="AA1419" t="s">
        <v>27876</v>
      </c>
      <c r="AB1419" t="s">
        <v>27875</v>
      </c>
      <c r="AC1419" t="s">
        <v>27874</v>
      </c>
      <c r="AD1419" t="s">
        <v>27874</v>
      </c>
      <c r="AE1419" t="s">
        <v>27873</v>
      </c>
      <c r="AF1419" t="s">
        <v>74</v>
      </c>
      <c r="AG1419">
        <v>75</v>
      </c>
      <c r="AH1419">
        <v>15</v>
      </c>
      <c r="AI1419">
        <v>21</v>
      </c>
      <c r="AJ1419">
        <v>4</v>
      </c>
      <c r="AK1419">
        <v>19</v>
      </c>
      <c r="AL1419" t="s">
        <v>9204</v>
      </c>
      <c r="AM1419" t="s">
        <v>2016</v>
      </c>
      <c r="AN1419" t="s">
        <v>9205</v>
      </c>
      <c r="AO1419" t="s">
        <v>74</v>
      </c>
      <c r="AP1419" t="s">
        <v>9206</v>
      </c>
      <c r="AQ1419" t="s">
        <v>74</v>
      </c>
      <c r="AR1419" t="s">
        <v>9191</v>
      </c>
      <c r="AS1419" t="s">
        <v>9207</v>
      </c>
      <c r="AT1419" t="s">
        <v>1652</v>
      </c>
      <c r="AU1419">
        <v>2023</v>
      </c>
      <c r="AV1419">
        <v>9</v>
      </c>
      <c r="AW1419">
        <v>6</v>
      </c>
      <c r="AX1419" t="s">
        <v>74</v>
      </c>
      <c r="AY1419" t="s">
        <v>74</v>
      </c>
      <c r="AZ1419" t="s">
        <v>74</v>
      </c>
      <c r="BA1419" t="s">
        <v>74</v>
      </c>
      <c r="BB1419" t="s">
        <v>74</v>
      </c>
      <c r="BC1419" t="s">
        <v>74</v>
      </c>
      <c r="BD1419" t="s">
        <v>27872</v>
      </c>
      <c r="BE1419" t="s">
        <v>27871</v>
      </c>
      <c r="BF1419" t="str">
        <f>HYPERLINK("http://dx.doi.org/10.1016/j.heliyon.2023.e16330","http://dx.doi.org/10.1016/j.heliyon.2023.e16330")</f>
        <v>http://dx.doi.org/10.1016/j.heliyon.2023.e16330</v>
      </c>
      <c r="BG1419" t="s">
        <v>74</v>
      </c>
      <c r="BH1419" t="s">
        <v>6418</v>
      </c>
      <c r="BI1419">
        <v>12</v>
      </c>
      <c r="BJ1419" t="s">
        <v>559</v>
      </c>
      <c r="BK1419" t="s">
        <v>128</v>
      </c>
      <c r="BL1419" t="s">
        <v>560</v>
      </c>
      <c r="BM1419" t="s">
        <v>27870</v>
      </c>
      <c r="BN1419">
        <v>37274693</v>
      </c>
      <c r="BO1419" t="s">
        <v>916</v>
      </c>
      <c r="BP1419" t="s">
        <v>74</v>
      </c>
      <c r="BQ1419" t="s">
        <v>74</v>
      </c>
      <c r="BR1419" t="s">
        <v>102</v>
      </c>
      <c r="BS1419" t="s">
        <v>27869</v>
      </c>
      <c r="BT1419" t="str">
        <f>HYPERLINK("https%3A%2F%2Fwww.webofscience.com%2Fwos%2Fwoscc%2Ffull-record%2FWOS:001021920800001","View Full Record in Web of Science")</f>
        <v>View Full Record in Web of Science</v>
      </c>
    </row>
    <row r="1420" spans="1:72" x14ac:dyDescent="0.25">
      <c r="A1420" t="s">
        <v>72</v>
      </c>
      <c r="B1420" t="s">
        <v>27868</v>
      </c>
      <c r="C1420" t="s">
        <v>74</v>
      </c>
      <c r="D1420" t="s">
        <v>74</v>
      </c>
      <c r="E1420" t="s">
        <v>74</v>
      </c>
      <c r="F1420" t="s">
        <v>27867</v>
      </c>
      <c r="G1420" t="s">
        <v>74</v>
      </c>
      <c r="H1420" t="s">
        <v>74</v>
      </c>
      <c r="I1420" t="s">
        <v>27866</v>
      </c>
      <c r="J1420" t="s">
        <v>27865</v>
      </c>
      <c r="K1420" t="s">
        <v>74</v>
      </c>
      <c r="L1420" t="s">
        <v>74</v>
      </c>
      <c r="M1420" t="s">
        <v>78</v>
      </c>
      <c r="N1420" t="s">
        <v>372</v>
      </c>
      <c r="O1420" t="s">
        <v>74</v>
      </c>
      <c r="P1420" t="s">
        <v>74</v>
      </c>
      <c r="Q1420" t="s">
        <v>74</v>
      </c>
      <c r="R1420" t="s">
        <v>74</v>
      </c>
      <c r="S1420" t="s">
        <v>74</v>
      </c>
      <c r="T1420" t="s">
        <v>27864</v>
      </c>
      <c r="U1420" t="s">
        <v>27863</v>
      </c>
      <c r="V1420" t="s">
        <v>27862</v>
      </c>
      <c r="W1420" t="s">
        <v>27861</v>
      </c>
      <c r="X1420" t="s">
        <v>27860</v>
      </c>
      <c r="Y1420" t="s">
        <v>27859</v>
      </c>
      <c r="Z1420" t="s">
        <v>27858</v>
      </c>
      <c r="AA1420" t="s">
        <v>74</v>
      </c>
      <c r="AB1420" t="s">
        <v>74</v>
      </c>
      <c r="AC1420" t="s">
        <v>74</v>
      </c>
      <c r="AD1420" t="s">
        <v>74</v>
      </c>
      <c r="AE1420" t="s">
        <v>74</v>
      </c>
      <c r="AF1420" t="s">
        <v>74</v>
      </c>
      <c r="AG1420">
        <v>83</v>
      </c>
      <c r="AH1420">
        <v>0</v>
      </c>
      <c r="AI1420">
        <v>0</v>
      </c>
      <c r="AJ1420">
        <v>1</v>
      </c>
      <c r="AK1420">
        <v>1</v>
      </c>
      <c r="AL1420" t="s">
        <v>994</v>
      </c>
      <c r="AM1420" t="s">
        <v>995</v>
      </c>
      <c r="AN1420" t="s">
        <v>2061</v>
      </c>
      <c r="AO1420" t="s">
        <v>27857</v>
      </c>
      <c r="AP1420" t="s">
        <v>27856</v>
      </c>
      <c r="AQ1420" t="s">
        <v>74</v>
      </c>
      <c r="AR1420" t="s">
        <v>27855</v>
      </c>
      <c r="AS1420" t="s">
        <v>27854</v>
      </c>
      <c r="AT1420" t="s">
        <v>27853</v>
      </c>
      <c r="AU1420">
        <v>2025</v>
      </c>
      <c r="AV1420" t="s">
        <v>74</v>
      </c>
      <c r="AW1420" t="s">
        <v>74</v>
      </c>
      <c r="AX1420" t="s">
        <v>74</v>
      </c>
      <c r="AY1420" t="s">
        <v>74</v>
      </c>
      <c r="AZ1420" t="s">
        <v>74</v>
      </c>
      <c r="BA1420" t="s">
        <v>74</v>
      </c>
      <c r="BB1420" t="s">
        <v>74</v>
      </c>
      <c r="BC1420" t="s">
        <v>74</v>
      </c>
      <c r="BD1420" t="s">
        <v>74</v>
      </c>
      <c r="BE1420" t="s">
        <v>27852</v>
      </c>
      <c r="BF1420" t="str">
        <f>HYPERLINK("http://dx.doi.org/10.1177/0958305X251367103","http://dx.doi.org/10.1177/0958305X251367103")</f>
        <v>http://dx.doi.org/10.1177/0958305X251367103</v>
      </c>
      <c r="BG1420" t="s">
        <v>74</v>
      </c>
      <c r="BH1420" t="s">
        <v>3411</v>
      </c>
      <c r="BI1420">
        <v>29</v>
      </c>
      <c r="BJ1420" t="s">
        <v>14327</v>
      </c>
      <c r="BK1420" t="s">
        <v>99</v>
      </c>
      <c r="BL1420" t="s">
        <v>129</v>
      </c>
      <c r="BM1420" t="s">
        <v>27851</v>
      </c>
      <c r="BN1420" t="s">
        <v>74</v>
      </c>
      <c r="BO1420" t="s">
        <v>74</v>
      </c>
      <c r="BP1420" t="s">
        <v>74</v>
      </c>
      <c r="BQ1420" t="s">
        <v>74</v>
      </c>
      <c r="BR1420" t="s">
        <v>102</v>
      </c>
      <c r="BS1420" t="s">
        <v>27850</v>
      </c>
      <c r="BT1420" t="str">
        <f>HYPERLINK("https%3A%2F%2Fwww.webofscience.com%2Fwos%2Fwoscc%2Ffull-record%2FWOS:001572536500001","View Full Record in Web of Science")</f>
        <v>View Full Record in Web of Science</v>
      </c>
    </row>
    <row r="1421" spans="1:72" x14ac:dyDescent="0.25">
      <c r="A1421" t="s">
        <v>72</v>
      </c>
      <c r="B1421" t="s">
        <v>27849</v>
      </c>
      <c r="C1421" t="s">
        <v>74</v>
      </c>
      <c r="D1421" t="s">
        <v>74</v>
      </c>
      <c r="E1421" t="s">
        <v>74</v>
      </c>
      <c r="F1421" t="s">
        <v>27848</v>
      </c>
      <c r="G1421" t="s">
        <v>74</v>
      </c>
      <c r="H1421" t="s">
        <v>74</v>
      </c>
      <c r="I1421" t="s">
        <v>27847</v>
      </c>
      <c r="J1421" t="s">
        <v>2137</v>
      </c>
      <c r="K1421" t="s">
        <v>74</v>
      </c>
      <c r="L1421" t="s">
        <v>74</v>
      </c>
      <c r="M1421" t="s">
        <v>78</v>
      </c>
      <c r="N1421" t="s">
        <v>79</v>
      </c>
      <c r="O1421" t="s">
        <v>74</v>
      </c>
      <c r="P1421" t="s">
        <v>74</v>
      </c>
      <c r="Q1421" t="s">
        <v>74</v>
      </c>
      <c r="R1421" t="s">
        <v>74</v>
      </c>
      <c r="S1421" t="s">
        <v>74</v>
      </c>
      <c r="T1421" t="s">
        <v>27846</v>
      </c>
      <c r="U1421" t="s">
        <v>27845</v>
      </c>
      <c r="V1421" t="s">
        <v>27844</v>
      </c>
      <c r="W1421" t="s">
        <v>27843</v>
      </c>
      <c r="X1421" t="s">
        <v>27842</v>
      </c>
      <c r="Y1421" t="s">
        <v>27841</v>
      </c>
      <c r="Z1421" t="s">
        <v>27840</v>
      </c>
      <c r="AA1421" t="s">
        <v>74</v>
      </c>
      <c r="AB1421" t="s">
        <v>74</v>
      </c>
      <c r="AC1421" t="s">
        <v>74</v>
      </c>
      <c r="AD1421" t="s">
        <v>74</v>
      </c>
      <c r="AE1421" t="s">
        <v>74</v>
      </c>
      <c r="AF1421" t="s">
        <v>74</v>
      </c>
      <c r="AG1421">
        <v>49</v>
      </c>
      <c r="AH1421">
        <v>18</v>
      </c>
      <c r="AI1421">
        <v>20</v>
      </c>
      <c r="AJ1421">
        <v>5</v>
      </c>
      <c r="AK1421">
        <v>53</v>
      </c>
      <c r="AL1421" t="s">
        <v>2145</v>
      </c>
      <c r="AM1421" t="s">
        <v>151</v>
      </c>
      <c r="AN1421" t="s">
        <v>2146</v>
      </c>
      <c r="AO1421" t="s">
        <v>2147</v>
      </c>
      <c r="AP1421" t="s">
        <v>2148</v>
      </c>
      <c r="AQ1421" t="s">
        <v>74</v>
      </c>
      <c r="AR1421" t="s">
        <v>2149</v>
      </c>
      <c r="AS1421" t="s">
        <v>2150</v>
      </c>
      <c r="AT1421" t="s">
        <v>74</v>
      </c>
      <c r="AU1421">
        <v>2022</v>
      </c>
      <c r="AV1421">
        <v>33</v>
      </c>
      <c r="AW1421">
        <v>1</v>
      </c>
      <c r="AX1421" t="s">
        <v>74</v>
      </c>
      <c r="AY1421" t="s">
        <v>74</v>
      </c>
      <c r="AZ1421" t="s">
        <v>74</v>
      </c>
      <c r="BA1421" t="s">
        <v>74</v>
      </c>
      <c r="BB1421">
        <v>24</v>
      </c>
      <c r="BC1421">
        <v>43</v>
      </c>
      <c r="BD1421" t="s">
        <v>74</v>
      </c>
      <c r="BE1421" t="s">
        <v>27839</v>
      </c>
      <c r="BF1421" t="str">
        <f>HYPERLINK("http://dx.doi.org/10.1891/JFCP-20-00017","http://dx.doi.org/10.1891/JFCP-20-00017")</f>
        <v>http://dx.doi.org/10.1891/JFCP-20-00017</v>
      </c>
      <c r="BG1421" t="s">
        <v>74</v>
      </c>
      <c r="BH1421" t="s">
        <v>74</v>
      </c>
      <c r="BI1421">
        <v>20</v>
      </c>
      <c r="BJ1421" t="s">
        <v>1453</v>
      </c>
      <c r="BK1421" t="s">
        <v>313</v>
      </c>
      <c r="BL1421" t="s">
        <v>100</v>
      </c>
      <c r="BM1421" t="s">
        <v>20185</v>
      </c>
      <c r="BN1421" t="s">
        <v>74</v>
      </c>
      <c r="BO1421" t="s">
        <v>74</v>
      </c>
      <c r="BP1421" t="s">
        <v>74</v>
      </c>
      <c r="BQ1421" t="s">
        <v>74</v>
      </c>
      <c r="BR1421" t="s">
        <v>102</v>
      </c>
      <c r="BS1421" t="s">
        <v>27838</v>
      </c>
      <c r="BT1421" t="str">
        <f>HYPERLINK("https%3A%2F%2Fwww.webofscience.com%2Fwos%2Fwoscc%2Ffull-record%2FWOS:000792561300002","View Full Record in Web of Science")</f>
        <v>View Full Record in Web of Science</v>
      </c>
    </row>
    <row r="1422" spans="1:72" x14ac:dyDescent="0.25">
      <c r="A1422" t="s">
        <v>72</v>
      </c>
      <c r="B1422" t="s">
        <v>27837</v>
      </c>
      <c r="C1422" t="s">
        <v>74</v>
      </c>
      <c r="D1422" t="s">
        <v>74</v>
      </c>
      <c r="E1422" t="s">
        <v>74</v>
      </c>
      <c r="F1422" t="s">
        <v>27836</v>
      </c>
      <c r="G1422" t="s">
        <v>74</v>
      </c>
      <c r="H1422" t="s">
        <v>74</v>
      </c>
      <c r="I1422" t="s">
        <v>27835</v>
      </c>
      <c r="J1422" t="s">
        <v>424</v>
      </c>
      <c r="K1422" t="s">
        <v>74</v>
      </c>
      <c r="L1422" t="s">
        <v>74</v>
      </c>
      <c r="M1422" t="s">
        <v>78</v>
      </c>
      <c r="N1422" t="s">
        <v>79</v>
      </c>
      <c r="O1422" t="s">
        <v>74</v>
      </c>
      <c r="P1422" t="s">
        <v>74</v>
      </c>
      <c r="Q1422" t="s">
        <v>74</v>
      </c>
      <c r="R1422" t="s">
        <v>74</v>
      </c>
      <c r="S1422" t="s">
        <v>74</v>
      </c>
      <c r="T1422" t="s">
        <v>27834</v>
      </c>
      <c r="U1422" t="s">
        <v>27833</v>
      </c>
      <c r="V1422" t="s">
        <v>27832</v>
      </c>
      <c r="W1422" t="s">
        <v>27831</v>
      </c>
      <c r="X1422" t="s">
        <v>27830</v>
      </c>
      <c r="Y1422" t="s">
        <v>27829</v>
      </c>
      <c r="Z1422" t="s">
        <v>27828</v>
      </c>
      <c r="AA1422" t="s">
        <v>74</v>
      </c>
      <c r="AB1422" t="s">
        <v>74</v>
      </c>
      <c r="AC1422" t="s">
        <v>74</v>
      </c>
      <c r="AD1422" t="s">
        <v>74</v>
      </c>
      <c r="AE1422" t="s">
        <v>74</v>
      </c>
      <c r="AF1422" t="s">
        <v>74</v>
      </c>
      <c r="AG1422">
        <v>48</v>
      </c>
      <c r="AH1422">
        <v>17</v>
      </c>
      <c r="AI1422">
        <v>36</v>
      </c>
      <c r="AJ1422">
        <v>2</v>
      </c>
      <c r="AK1422">
        <v>44</v>
      </c>
      <c r="AL1422" t="s">
        <v>89</v>
      </c>
      <c r="AM1422" t="s">
        <v>1497</v>
      </c>
      <c r="AN1422" t="s">
        <v>1498</v>
      </c>
      <c r="AO1422" t="s">
        <v>436</v>
      </c>
      <c r="AP1422" t="s">
        <v>437</v>
      </c>
      <c r="AQ1422" t="s">
        <v>74</v>
      </c>
      <c r="AR1422" t="s">
        <v>438</v>
      </c>
      <c r="AS1422" t="s">
        <v>439</v>
      </c>
      <c r="AT1422" t="s">
        <v>74</v>
      </c>
      <c r="AU1422">
        <v>2015</v>
      </c>
      <c r="AV1422">
        <v>33</v>
      </c>
      <c r="AW1422">
        <v>5</v>
      </c>
      <c r="AX1422" t="s">
        <v>74</v>
      </c>
      <c r="AY1422" t="s">
        <v>74</v>
      </c>
      <c r="AZ1422" t="s">
        <v>441</v>
      </c>
      <c r="BA1422" t="s">
        <v>74</v>
      </c>
      <c r="BB1422">
        <v>637</v>
      </c>
      <c r="BC1422">
        <v>653</v>
      </c>
      <c r="BD1422" t="s">
        <v>74</v>
      </c>
      <c r="BE1422" t="s">
        <v>27827</v>
      </c>
      <c r="BF1422" t="str">
        <f>HYPERLINK("http://dx.doi.org/10.1108/IJBM-06-2014-0081","http://dx.doi.org/10.1108/IJBM-06-2014-0081")</f>
        <v>http://dx.doi.org/10.1108/IJBM-06-2014-0081</v>
      </c>
      <c r="BG1422" t="s">
        <v>74</v>
      </c>
      <c r="BH1422" t="s">
        <v>74</v>
      </c>
      <c r="BI1422">
        <v>17</v>
      </c>
      <c r="BJ1422" t="s">
        <v>418</v>
      </c>
      <c r="BK1422" t="s">
        <v>99</v>
      </c>
      <c r="BL1422" t="s">
        <v>100</v>
      </c>
      <c r="BM1422" t="s">
        <v>27826</v>
      </c>
      <c r="BN1422" t="s">
        <v>74</v>
      </c>
      <c r="BO1422" t="s">
        <v>74</v>
      </c>
      <c r="BP1422" t="s">
        <v>74</v>
      </c>
      <c r="BQ1422" t="s">
        <v>74</v>
      </c>
      <c r="BR1422" t="s">
        <v>102</v>
      </c>
      <c r="BS1422" t="s">
        <v>27825</v>
      </c>
      <c r="BT1422" t="str">
        <f>HYPERLINK("https%3A%2F%2Fwww.webofscience.com%2Fwos%2Fwoscc%2Ffull-record%2FWOS:000216517500005","View Full Record in Web of Science")</f>
        <v>View Full Record in Web of Science</v>
      </c>
    </row>
    <row r="1423" spans="1:72" x14ac:dyDescent="0.25">
      <c r="A1423" t="s">
        <v>72</v>
      </c>
      <c r="B1423" t="s">
        <v>27824</v>
      </c>
      <c r="C1423" t="s">
        <v>74</v>
      </c>
      <c r="D1423" t="s">
        <v>74</v>
      </c>
      <c r="E1423" t="s">
        <v>74</v>
      </c>
      <c r="F1423" t="s">
        <v>27823</v>
      </c>
      <c r="G1423" t="s">
        <v>74</v>
      </c>
      <c r="H1423" t="s">
        <v>74</v>
      </c>
      <c r="I1423" t="s">
        <v>27822</v>
      </c>
      <c r="J1423" t="s">
        <v>7004</v>
      </c>
      <c r="K1423" t="s">
        <v>74</v>
      </c>
      <c r="L1423" t="s">
        <v>74</v>
      </c>
      <c r="M1423" t="s">
        <v>78</v>
      </c>
      <c r="N1423" t="s">
        <v>79</v>
      </c>
      <c r="O1423" t="s">
        <v>74</v>
      </c>
      <c r="P1423" t="s">
        <v>74</v>
      </c>
      <c r="Q1423" t="s">
        <v>74</v>
      </c>
      <c r="R1423" t="s">
        <v>74</v>
      </c>
      <c r="S1423" t="s">
        <v>74</v>
      </c>
      <c r="T1423" t="s">
        <v>27821</v>
      </c>
      <c r="U1423" t="s">
        <v>27820</v>
      </c>
      <c r="V1423" t="s">
        <v>27819</v>
      </c>
      <c r="W1423" t="s">
        <v>27818</v>
      </c>
      <c r="X1423" t="s">
        <v>74</v>
      </c>
      <c r="Y1423" t="s">
        <v>27817</v>
      </c>
      <c r="Z1423" t="s">
        <v>27816</v>
      </c>
      <c r="AA1423" t="s">
        <v>74</v>
      </c>
      <c r="AB1423" t="s">
        <v>27815</v>
      </c>
      <c r="AC1423" t="s">
        <v>74</v>
      </c>
      <c r="AD1423" t="s">
        <v>74</v>
      </c>
      <c r="AE1423" t="s">
        <v>74</v>
      </c>
      <c r="AF1423" t="s">
        <v>74</v>
      </c>
      <c r="AG1423">
        <v>83</v>
      </c>
      <c r="AH1423">
        <v>1</v>
      </c>
      <c r="AI1423">
        <v>3</v>
      </c>
      <c r="AJ1423">
        <v>1</v>
      </c>
      <c r="AK1423">
        <v>1</v>
      </c>
      <c r="AL1423" t="s">
        <v>7014</v>
      </c>
      <c r="AM1423" t="s">
        <v>7015</v>
      </c>
      <c r="AN1423" t="s">
        <v>7016</v>
      </c>
      <c r="AO1423" t="s">
        <v>74</v>
      </c>
      <c r="AP1423" t="s">
        <v>7017</v>
      </c>
      <c r="AQ1423" t="s">
        <v>74</v>
      </c>
      <c r="AR1423" t="s">
        <v>7018</v>
      </c>
      <c r="AS1423" t="s">
        <v>7019</v>
      </c>
      <c r="AT1423" t="s">
        <v>7020</v>
      </c>
      <c r="AU1423">
        <v>2024</v>
      </c>
      <c r="AV1423">
        <v>19</v>
      </c>
      <c r="AW1423">
        <v>1</v>
      </c>
      <c r="AX1423" t="s">
        <v>74</v>
      </c>
      <c r="AY1423" t="s">
        <v>74</v>
      </c>
      <c r="AZ1423" t="s">
        <v>74</v>
      </c>
      <c r="BA1423" t="s">
        <v>74</v>
      </c>
      <c r="BB1423" t="s">
        <v>74</v>
      </c>
      <c r="BC1423" t="s">
        <v>74</v>
      </c>
      <c r="BD1423" t="s">
        <v>27814</v>
      </c>
      <c r="BE1423" t="s">
        <v>27813</v>
      </c>
      <c r="BF1423" t="str">
        <f>HYPERLINK("http://dx.doi.org/10.21919/remef.v19i1.967","http://dx.doi.org/10.21919/remef.v19i1.967")</f>
        <v>http://dx.doi.org/10.21919/remef.v19i1.967</v>
      </c>
      <c r="BG1423" t="s">
        <v>74</v>
      </c>
      <c r="BH1423" t="s">
        <v>74</v>
      </c>
      <c r="BI1423">
        <v>24</v>
      </c>
      <c r="BJ1423" t="s">
        <v>210</v>
      </c>
      <c r="BK1423" t="s">
        <v>313</v>
      </c>
      <c r="BL1423" t="s">
        <v>100</v>
      </c>
      <c r="BM1423" t="s">
        <v>7023</v>
      </c>
      <c r="BN1423" t="s">
        <v>74</v>
      </c>
      <c r="BO1423" t="s">
        <v>916</v>
      </c>
      <c r="BP1423" t="s">
        <v>74</v>
      </c>
      <c r="BQ1423" t="s">
        <v>74</v>
      </c>
      <c r="BR1423" t="s">
        <v>102</v>
      </c>
      <c r="BS1423" t="s">
        <v>27812</v>
      </c>
      <c r="BT1423" t="str">
        <f>HYPERLINK("https%3A%2F%2Fwww.webofscience.com%2Fwos%2Fwoscc%2Ffull-record%2FWOS:001637628300001","View Full Record in Web of Science")</f>
        <v>View Full Record in Web of Science</v>
      </c>
    </row>
    <row r="1424" spans="1:72" x14ac:dyDescent="0.25">
      <c r="A1424" t="s">
        <v>132</v>
      </c>
      <c r="B1424" t="s">
        <v>27811</v>
      </c>
      <c r="C1424" t="s">
        <v>74</v>
      </c>
      <c r="D1424" t="s">
        <v>27810</v>
      </c>
      <c r="E1424" t="s">
        <v>74</v>
      </c>
      <c r="F1424" t="s">
        <v>27809</v>
      </c>
      <c r="G1424" t="s">
        <v>74</v>
      </c>
      <c r="H1424" t="s">
        <v>74</v>
      </c>
      <c r="I1424" t="s">
        <v>27808</v>
      </c>
      <c r="J1424" t="s">
        <v>27807</v>
      </c>
      <c r="K1424" t="s">
        <v>5767</v>
      </c>
      <c r="L1424" t="s">
        <v>74</v>
      </c>
      <c r="M1424" t="s">
        <v>78</v>
      </c>
      <c r="N1424" t="s">
        <v>138</v>
      </c>
      <c r="O1424" t="s">
        <v>27806</v>
      </c>
      <c r="P1424" t="s">
        <v>27805</v>
      </c>
      <c r="Q1424" t="s">
        <v>27804</v>
      </c>
      <c r="R1424" t="s">
        <v>74</v>
      </c>
      <c r="S1424" t="s">
        <v>74</v>
      </c>
      <c r="T1424" t="s">
        <v>27803</v>
      </c>
      <c r="U1424" t="s">
        <v>74</v>
      </c>
      <c r="V1424" t="s">
        <v>27802</v>
      </c>
      <c r="W1424" t="s">
        <v>27801</v>
      </c>
      <c r="X1424" t="s">
        <v>27800</v>
      </c>
      <c r="Y1424" t="s">
        <v>27799</v>
      </c>
      <c r="Z1424" t="s">
        <v>74</v>
      </c>
      <c r="AA1424" t="s">
        <v>74</v>
      </c>
      <c r="AB1424" t="s">
        <v>74</v>
      </c>
      <c r="AC1424" t="s">
        <v>74</v>
      </c>
      <c r="AD1424" t="s">
        <v>74</v>
      </c>
      <c r="AE1424" t="s">
        <v>74</v>
      </c>
      <c r="AF1424" t="s">
        <v>74</v>
      </c>
      <c r="AG1424">
        <v>36</v>
      </c>
      <c r="AH1424">
        <v>0</v>
      </c>
      <c r="AI1424">
        <v>0</v>
      </c>
      <c r="AJ1424">
        <v>0</v>
      </c>
      <c r="AK1424">
        <v>0</v>
      </c>
      <c r="AL1424" t="s">
        <v>1062</v>
      </c>
      <c r="AM1424" t="s">
        <v>667</v>
      </c>
      <c r="AN1424" t="s">
        <v>668</v>
      </c>
      <c r="AO1424" t="s">
        <v>5780</v>
      </c>
      <c r="AP1424" t="s">
        <v>5781</v>
      </c>
      <c r="AQ1424" t="s">
        <v>27798</v>
      </c>
      <c r="AR1424" t="s">
        <v>5783</v>
      </c>
      <c r="AS1424" t="s">
        <v>74</v>
      </c>
      <c r="AT1424" t="s">
        <v>74</v>
      </c>
      <c r="AU1424">
        <v>2025</v>
      </c>
      <c r="AV1424" t="s">
        <v>74</v>
      </c>
      <c r="AW1424" t="s">
        <v>74</v>
      </c>
      <c r="AX1424" t="s">
        <v>74</v>
      </c>
      <c r="AY1424" t="s">
        <v>74</v>
      </c>
      <c r="AZ1424" t="s">
        <v>74</v>
      </c>
      <c r="BA1424" t="s">
        <v>74</v>
      </c>
      <c r="BB1424">
        <v>127</v>
      </c>
      <c r="BC1424">
        <v>151</v>
      </c>
      <c r="BD1424" t="s">
        <v>74</v>
      </c>
      <c r="BE1424" t="s">
        <v>27797</v>
      </c>
      <c r="BF1424" t="str">
        <f>HYPERLINK("http://dx.doi.org/10.1007/978-3-031-81532-4_7","http://dx.doi.org/10.1007/978-3-031-81532-4_7")</f>
        <v>http://dx.doi.org/10.1007/978-3-031-81532-4_7</v>
      </c>
      <c r="BG1424" t="s">
        <v>74</v>
      </c>
      <c r="BH1424" t="s">
        <v>74</v>
      </c>
      <c r="BI1424">
        <v>25</v>
      </c>
      <c r="BJ1424" t="s">
        <v>210</v>
      </c>
      <c r="BK1424" t="s">
        <v>183</v>
      </c>
      <c r="BL1424" t="s">
        <v>100</v>
      </c>
      <c r="BM1424" t="s">
        <v>27796</v>
      </c>
      <c r="BN1424" t="s">
        <v>74</v>
      </c>
      <c r="BO1424" t="s">
        <v>74</v>
      </c>
      <c r="BP1424" t="s">
        <v>74</v>
      </c>
      <c r="BQ1424" t="s">
        <v>74</v>
      </c>
      <c r="BR1424" t="s">
        <v>102</v>
      </c>
      <c r="BS1424" t="s">
        <v>27795</v>
      </c>
      <c r="BT1424" t="str">
        <f>HYPERLINK("https%3A%2F%2Fwww.webofscience.com%2Fwos%2Fwoscc%2Ffull-record%2FWOS:001482502500007","View Full Record in Web of Science")</f>
        <v>View Full Record in Web of Science</v>
      </c>
    </row>
    <row r="1425" spans="1:72" x14ac:dyDescent="0.25">
      <c r="A1425" t="s">
        <v>72</v>
      </c>
      <c r="B1425" t="s">
        <v>27794</v>
      </c>
      <c r="C1425" t="s">
        <v>74</v>
      </c>
      <c r="D1425" t="s">
        <v>74</v>
      </c>
      <c r="E1425" t="s">
        <v>74</v>
      </c>
      <c r="F1425" t="s">
        <v>27793</v>
      </c>
      <c r="G1425" t="s">
        <v>74</v>
      </c>
      <c r="H1425" t="s">
        <v>74</v>
      </c>
      <c r="I1425" t="s">
        <v>27792</v>
      </c>
      <c r="J1425" t="s">
        <v>5480</v>
      </c>
      <c r="K1425" t="s">
        <v>74</v>
      </c>
      <c r="L1425" t="s">
        <v>74</v>
      </c>
      <c r="M1425" t="s">
        <v>78</v>
      </c>
      <c r="N1425" t="s">
        <v>79</v>
      </c>
      <c r="O1425" t="s">
        <v>74</v>
      </c>
      <c r="P1425" t="s">
        <v>74</v>
      </c>
      <c r="Q1425" t="s">
        <v>74</v>
      </c>
      <c r="R1425" t="s">
        <v>74</v>
      </c>
      <c r="S1425" t="s">
        <v>74</v>
      </c>
      <c r="T1425" t="s">
        <v>27791</v>
      </c>
      <c r="U1425" t="s">
        <v>74</v>
      </c>
      <c r="V1425" t="s">
        <v>27790</v>
      </c>
      <c r="W1425" t="s">
        <v>27789</v>
      </c>
      <c r="X1425" t="s">
        <v>27788</v>
      </c>
      <c r="Y1425" t="s">
        <v>27787</v>
      </c>
      <c r="Z1425" t="s">
        <v>74</v>
      </c>
      <c r="AA1425" t="s">
        <v>27786</v>
      </c>
      <c r="AB1425" t="s">
        <v>27785</v>
      </c>
      <c r="AC1425" t="s">
        <v>74</v>
      </c>
      <c r="AD1425" t="s">
        <v>74</v>
      </c>
      <c r="AE1425" t="s">
        <v>74</v>
      </c>
      <c r="AF1425" t="s">
        <v>74</v>
      </c>
      <c r="AG1425">
        <v>39</v>
      </c>
      <c r="AH1425">
        <v>0</v>
      </c>
      <c r="AI1425">
        <v>2</v>
      </c>
      <c r="AJ1425">
        <v>0</v>
      </c>
      <c r="AK1425">
        <v>4</v>
      </c>
      <c r="AL1425" t="s">
        <v>5488</v>
      </c>
      <c r="AM1425" t="s">
        <v>1356</v>
      </c>
      <c r="AN1425" t="s">
        <v>5489</v>
      </c>
      <c r="AO1425" t="s">
        <v>5490</v>
      </c>
      <c r="AP1425" t="s">
        <v>5491</v>
      </c>
      <c r="AQ1425" t="s">
        <v>74</v>
      </c>
      <c r="AR1425" t="s">
        <v>5492</v>
      </c>
      <c r="AS1425" t="s">
        <v>5493</v>
      </c>
      <c r="AT1425" t="s">
        <v>74</v>
      </c>
      <c r="AU1425">
        <v>2022</v>
      </c>
      <c r="AV1425">
        <v>17</v>
      </c>
      <c r="AW1425">
        <v>1</v>
      </c>
      <c r="AX1425" t="s">
        <v>74</v>
      </c>
      <c r="AY1425" t="s">
        <v>74</v>
      </c>
      <c r="AZ1425" t="s">
        <v>74</v>
      </c>
      <c r="BA1425" t="s">
        <v>74</v>
      </c>
      <c r="BB1425" t="s">
        <v>74</v>
      </c>
      <c r="BC1425" t="s">
        <v>74</v>
      </c>
      <c r="BD1425" t="s">
        <v>74</v>
      </c>
      <c r="BE1425" t="s">
        <v>27784</v>
      </c>
      <c r="BF1425" t="str">
        <f>HYPERLINK("http://dx.doi.org/10.21511/bbs.17(1).2022.04","http://dx.doi.org/10.21511/bbs.17(1).2022.04")</f>
        <v>http://dx.doi.org/10.21511/bbs.17(1).2022.04</v>
      </c>
      <c r="BG1425" t="s">
        <v>74</v>
      </c>
      <c r="BH1425" t="s">
        <v>74</v>
      </c>
      <c r="BI1425">
        <v>12</v>
      </c>
      <c r="BJ1425" t="s">
        <v>210</v>
      </c>
      <c r="BK1425" t="s">
        <v>313</v>
      </c>
      <c r="BL1425" t="s">
        <v>100</v>
      </c>
      <c r="BM1425" t="s">
        <v>27783</v>
      </c>
      <c r="BN1425" t="s">
        <v>74</v>
      </c>
      <c r="BO1425" t="s">
        <v>916</v>
      </c>
      <c r="BP1425" t="s">
        <v>74</v>
      </c>
      <c r="BQ1425" t="s">
        <v>74</v>
      </c>
      <c r="BR1425" t="s">
        <v>102</v>
      </c>
      <c r="BS1425" t="s">
        <v>27782</v>
      </c>
      <c r="BT1425" t="str">
        <f>HYPERLINK("https%3A%2F%2Fwww.webofscience.com%2Fwos%2Fwoscc%2Ffull-record%2FWOS:001296700900004","View Full Record in Web of Science")</f>
        <v>View Full Record in Web of Science</v>
      </c>
    </row>
    <row r="1426" spans="1:72" x14ac:dyDescent="0.25">
      <c r="A1426" t="s">
        <v>132</v>
      </c>
      <c r="B1426" t="s">
        <v>27781</v>
      </c>
      <c r="C1426" t="s">
        <v>74</v>
      </c>
      <c r="D1426" t="s">
        <v>27780</v>
      </c>
      <c r="E1426" t="s">
        <v>74</v>
      </c>
      <c r="F1426" t="s">
        <v>27779</v>
      </c>
      <c r="G1426" t="s">
        <v>74</v>
      </c>
      <c r="H1426" t="s">
        <v>74</v>
      </c>
      <c r="I1426" t="s">
        <v>27778</v>
      </c>
      <c r="J1426" t="s">
        <v>27777</v>
      </c>
      <c r="K1426" t="s">
        <v>1049</v>
      </c>
      <c r="L1426" t="s">
        <v>74</v>
      </c>
      <c r="M1426" t="s">
        <v>78</v>
      </c>
      <c r="N1426" t="s">
        <v>138</v>
      </c>
      <c r="O1426" t="s">
        <v>27776</v>
      </c>
      <c r="P1426" t="s">
        <v>27775</v>
      </c>
      <c r="Q1426" t="s">
        <v>27774</v>
      </c>
      <c r="R1426" t="s">
        <v>74</v>
      </c>
      <c r="S1426" t="s">
        <v>27773</v>
      </c>
      <c r="T1426" t="s">
        <v>27772</v>
      </c>
      <c r="U1426" t="s">
        <v>74</v>
      </c>
      <c r="V1426" t="s">
        <v>27771</v>
      </c>
      <c r="W1426" t="s">
        <v>27770</v>
      </c>
      <c r="X1426" t="s">
        <v>27769</v>
      </c>
      <c r="Y1426" t="s">
        <v>27768</v>
      </c>
      <c r="Z1426" t="s">
        <v>27767</v>
      </c>
      <c r="AA1426" t="s">
        <v>27766</v>
      </c>
      <c r="AB1426" t="s">
        <v>27765</v>
      </c>
      <c r="AC1426" t="s">
        <v>74</v>
      </c>
      <c r="AD1426" t="s">
        <v>74</v>
      </c>
      <c r="AE1426" t="s">
        <v>74</v>
      </c>
      <c r="AF1426" t="s">
        <v>74</v>
      </c>
      <c r="AG1426">
        <v>20</v>
      </c>
      <c r="AH1426">
        <v>0</v>
      </c>
      <c r="AI1426">
        <v>2</v>
      </c>
      <c r="AJ1426">
        <v>1</v>
      </c>
      <c r="AK1426">
        <v>13</v>
      </c>
      <c r="AL1426" t="s">
        <v>1062</v>
      </c>
      <c r="AM1426" t="s">
        <v>667</v>
      </c>
      <c r="AN1426" t="s">
        <v>668</v>
      </c>
      <c r="AO1426" t="s">
        <v>1063</v>
      </c>
      <c r="AP1426" t="s">
        <v>1064</v>
      </c>
      <c r="AQ1426" t="s">
        <v>27764</v>
      </c>
      <c r="AR1426" t="s">
        <v>1066</v>
      </c>
      <c r="AS1426" t="s">
        <v>74</v>
      </c>
      <c r="AT1426" t="s">
        <v>74</v>
      </c>
      <c r="AU1426">
        <v>2021</v>
      </c>
      <c r="AV1426">
        <v>278</v>
      </c>
      <c r="AW1426" t="s">
        <v>74</v>
      </c>
      <c r="AX1426" t="s">
        <v>74</v>
      </c>
      <c r="AY1426" t="s">
        <v>74</v>
      </c>
      <c r="AZ1426" t="s">
        <v>74</v>
      </c>
      <c r="BA1426" t="s">
        <v>74</v>
      </c>
      <c r="BB1426">
        <v>446</v>
      </c>
      <c r="BC1426">
        <v>454</v>
      </c>
      <c r="BD1426" t="s">
        <v>74</v>
      </c>
      <c r="BE1426" t="s">
        <v>27763</v>
      </c>
      <c r="BF1426" t="str">
        <f>HYPERLINK("http://dx.doi.org/10.1007/978-3-030-79725-6_44","http://dx.doi.org/10.1007/978-3-030-79725-6_44")</f>
        <v>http://dx.doi.org/10.1007/978-3-030-79725-6_44</v>
      </c>
      <c r="BG1426" t="s">
        <v>74</v>
      </c>
      <c r="BH1426" t="s">
        <v>74</v>
      </c>
      <c r="BI1426">
        <v>9</v>
      </c>
      <c r="BJ1426" t="s">
        <v>27762</v>
      </c>
      <c r="BK1426" t="s">
        <v>156</v>
      </c>
      <c r="BL1426" t="s">
        <v>157</v>
      </c>
      <c r="BM1426" t="s">
        <v>27761</v>
      </c>
      <c r="BN1426" t="s">
        <v>74</v>
      </c>
      <c r="BO1426" t="s">
        <v>74</v>
      </c>
      <c r="BP1426" t="s">
        <v>74</v>
      </c>
      <c r="BQ1426" t="s">
        <v>74</v>
      </c>
      <c r="BR1426" t="s">
        <v>102</v>
      </c>
      <c r="BS1426" t="s">
        <v>27760</v>
      </c>
      <c r="BT1426" t="str">
        <f>HYPERLINK("https%3A%2F%2Fwww.webofscience.com%2Fwos%2Fwoscc%2Ffull-record%2FWOS:000709101300044","View Full Record in Web of Science")</f>
        <v>View Full Record in Web of Science</v>
      </c>
    </row>
    <row r="1427" spans="1:72" x14ac:dyDescent="0.25">
      <c r="A1427" t="s">
        <v>72</v>
      </c>
      <c r="B1427" t="s">
        <v>27759</v>
      </c>
      <c r="C1427" t="s">
        <v>74</v>
      </c>
      <c r="D1427" t="s">
        <v>74</v>
      </c>
      <c r="E1427" t="s">
        <v>74</v>
      </c>
      <c r="F1427" t="s">
        <v>27758</v>
      </c>
      <c r="G1427" t="s">
        <v>74</v>
      </c>
      <c r="H1427" t="s">
        <v>74</v>
      </c>
      <c r="I1427" t="s">
        <v>27757</v>
      </c>
      <c r="J1427" t="s">
        <v>3231</v>
      </c>
      <c r="K1427" t="s">
        <v>74</v>
      </c>
      <c r="L1427" t="s">
        <v>74</v>
      </c>
      <c r="M1427" t="s">
        <v>78</v>
      </c>
      <c r="N1427" t="s">
        <v>79</v>
      </c>
      <c r="O1427" t="s">
        <v>74</v>
      </c>
      <c r="P1427" t="s">
        <v>74</v>
      </c>
      <c r="Q1427" t="s">
        <v>74</v>
      </c>
      <c r="R1427" t="s">
        <v>74</v>
      </c>
      <c r="S1427" t="s">
        <v>74</v>
      </c>
      <c r="T1427" t="s">
        <v>27756</v>
      </c>
      <c r="U1427" t="s">
        <v>27755</v>
      </c>
      <c r="V1427" t="s">
        <v>27754</v>
      </c>
      <c r="W1427" t="s">
        <v>27753</v>
      </c>
      <c r="X1427" t="s">
        <v>27752</v>
      </c>
      <c r="Y1427" t="s">
        <v>27751</v>
      </c>
      <c r="Z1427" t="s">
        <v>27750</v>
      </c>
      <c r="AA1427" t="s">
        <v>27749</v>
      </c>
      <c r="AB1427" t="s">
        <v>27748</v>
      </c>
      <c r="AC1427" t="s">
        <v>74</v>
      </c>
      <c r="AD1427" t="s">
        <v>74</v>
      </c>
      <c r="AE1427" t="s">
        <v>74</v>
      </c>
      <c r="AF1427" t="s">
        <v>74</v>
      </c>
      <c r="AG1427">
        <v>81</v>
      </c>
      <c r="AH1427">
        <v>54</v>
      </c>
      <c r="AI1427">
        <v>67</v>
      </c>
      <c r="AJ1427">
        <v>5</v>
      </c>
      <c r="AK1427">
        <v>132</v>
      </c>
      <c r="AL1427" t="s">
        <v>575</v>
      </c>
      <c r="AM1427" t="s">
        <v>576</v>
      </c>
      <c r="AN1427" t="s">
        <v>577</v>
      </c>
      <c r="AO1427" t="s">
        <v>74</v>
      </c>
      <c r="AP1427" t="s">
        <v>3243</v>
      </c>
      <c r="AQ1427" t="s">
        <v>74</v>
      </c>
      <c r="AR1427" t="s">
        <v>3244</v>
      </c>
      <c r="AS1427" t="s">
        <v>3245</v>
      </c>
      <c r="AT1427" t="s">
        <v>605</v>
      </c>
      <c r="AU1427">
        <v>2021</v>
      </c>
      <c r="AV1427">
        <v>13</v>
      </c>
      <c r="AW1427">
        <v>6</v>
      </c>
      <c r="AX1427" t="s">
        <v>74</v>
      </c>
      <c r="AY1427" t="s">
        <v>74</v>
      </c>
      <c r="AZ1427" t="s">
        <v>74</v>
      </c>
      <c r="BA1427" t="s">
        <v>74</v>
      </c>
      <c r="BB1427" t="s">
        <v>74</v>
      </c>
      <c r="BC1427" t="s">
        <v>74</v>
      </c>
      <c r="BD1427">
        <v>3156</v>
      </c>
      <c r="BE1427" t="s">
        <v>27747</v>
      </c>
      <c r="BF1427" t="str">
        <f>HYPERLINK("http://dx.doi.org/10.3390/su13063156","http://dx.doi.org/10.3390/su13063156")</f>
        <v>http://dx.doi.org/10.3390/su13063156</v>
      </c>
      <c r="BG1427" t="s">
        <v>74</v>
      </c>
      <c r="BH1427" t="s">
        <v>74</v>
      </c>
      <c r="BI1427">
        <v>19</v>
      </c>
      <c r="BJ1427" t="s">
        <v>3247</v>
      </c>
      <c r="BK1427" t="s">
        <v>2623</v>
      </c>
      <c r="BL1427" t="s">
        <v>3248</v>
      </c>
      <c r="BM1427" t="s">
        <v>27746</v>
      </c>
      <c r="BN1427" t="s">
        <v>74</v>
      </c>
      <c r="BO1427" t="s">
        <v>916</v>
      </c>
      <c r="BP1427" t="s">
        <v>74</v>
      </c>
      <c r="BQ1427" t="s">
        <v>74</v>
      </c>
      <c r="BR1427" t="s">
        <v>102</v>
      </c>
      <c r="BS1427" t="s">
        <v>27745</v>
      </c>
      <c r="BT1427" t="str">
        <f>HYPERLINK("https%3A%2F%2Fwww.webofscience.com%2Fwos%2Fwoscc%2Ffull-record%2FWOS:000645782100001","View Full Record in Web of Science")</f>
        <v>View Full Record in Web of Science</v>
      </c>
    </row>
    <row r="1428" spans="1:72" x14ac:dyDescent="0.25">
      <c r="A1428" t="s">
        <v>72</v>
      </c>
      <c r="B1428" t="s">
        <v>27744</v>
      </c>
      <c r="C1428" t="s">
        <v>74</v>
      </c>
      <c r="D1428" t="s">
        <v>74</v>
      </c>
      <c r="E1428" t="s">
        <v>74</v>
      </c>
      <c r="F1428" t="s">
        <v>27743</v>
      </c>
      <c r="G1428" t="s">
        <v>74</v>
      </c>
      <c r="H1428" t="s">
        <v>74</v>
      </c>
      <c r="I1428" t="s">
        <v>27742</v>
      </c>
      <c r="J1428" t="s">
        <v>12549</v>
      </c>
      <c r="K1428" t="s">
        <v>74</v>
      </c>
      <c r="L1428" t="s">
        <v>74</v>
      </c>
      <c r="M1428" t="s">
        <v>78</v>
      </c>
      <c r="N1428" t="s">
        <v>79</v>
      </c>
      <c r="O1428" t="s">
        <v>74</v>
      </c>
      <c r="P1428" t="s">
        <v>74</v>
      </c>
      <c r="Q1428" t="s">
        <v>74</v>
      </c>
      <c r="R1428" t="s">
        <v>74</v>
      </c>
      <c r="S1428" t="s">
        <v>74</v>
      </c>
      <c r="T1428" t="s">
        <v>27741</v>
      </c>
      <c r="U1428" t="s">
        <v>18318</v>
      </c>
      <c r="V1428" t="s">
        <v>27740</v>
      </c>
      <c r="W1428" t="s">
        <v>27739</v>
      </c>
      <c r="X1428" t="s">
        <v>74</v>
      </c>
      <c r="Y1428" t="s">
        <v>27738</v>
      </c>
      <c r="Z1428" t="s">
        <v>27737</v>
      </c>
      <c r="AA1428" t="s">
        <v>74</v>
      </c>
      <c r="AB1428" t="s">
        <v>27736</v>
      </c>
      <c r="AC1428" t="s">
        <v>27735</v>
      </c>
      <c r="AD1428" t="s">
        <v>27735</v>
      </c>
      <c r="AE1428" t="s">
        <v>27734</v>
      </c>
      <c r="AF1428" t="s">
        <v>74</v>
      </c>
      <c r="AG1428">
        <v>27</v>
      </c>
      <c r="AH1428">
        <v>54</v>
      </c>
      <c r="AI1428">
        <v>77</v>
      </c>
      <c r="AJ1428">
        <v>0</v>
      </c>
      <c r="AK1428">
        <v>34</v>
      </c>
      <c r="AL1428" t="s">
        <v>575</v>
      </c>
      <c r="AM1428" t="s">
        <v>576</v>
      </c>
      <c r="AN1428" t="s">
        <v>3242</v>
      </c>
      <c r="AO1428" t="s">
        <v>12562</v>
      </c>
      <c r="AP1428" t="s">
        <v>12563</v>
      </c>
      <c r="AQ1428" t="s">
        <v>74</v>
      </c>
      <c r="AR1428" t="s">
        <v>12564</v>
      </c>
      <c r="AS1428" t="s">
        <v>12565</v>
      </c>
      <c r="AT1428" t="s">
        <v>10136</v>
      </c>
      <c r="AU1428">
        <v>2019</v>
      </c>
      <c r="AV1428">
        <v>12</v>
      </c>
      <c r="AW1428">
        <v>1</v>
      </c>
      <c r="AX1428" t="s">
        <v>74</v>
      </c>
      <c r="AY1428" t="s">
        <v>74</v>
      </c>
      <c r="AZ1428" t="s">
        <v>74</v>
      </c>
      <c r="BA1428" t="s">
        <v>74</v>
      </c>
      <c r="BB1428" t="s">
        <v>74</v>
      </c>
      <c r="BC1428" t="s">
        <v>74</v>
      </c>
      <c r="BD1428">
        <v>19</v>
      </c>
      <c r="BE1428" t="s">
        <v>27733</v>
      </c>
      <c r="BF1428" t="str">
        <f>HYPERLINK("http://dx.doi.org/10.3390/jrfm12010019","http://dx.doi.org/10.3390/jrfm12010019")</f>
        <v>http://dx.doi.org/10.3390/jrfm12010019</v>
      </c>
      <c r="BG1428" t="s">
        <v>74</v>
      </c>
      <c r="BH1428" t="s">
        <v>74</v>
      </c>
      <c r="BI1428">
        <v>24</v>
      </c>
      <c r="BJ1428" t="s">
        <v>268</v>
      </c>
      <c r="BK1428" t="s">
        <v>313</v>
      </c>
      <c r="BL1428" t="s">
        <v>100</v>
      </c>
      <c r="BM1428" t="s">
        <v>27732</v>
      </c>
      <c r="BN1428" t="s">
        <v>74</v>
      </c>
      <c r="BO1428" t="s">
        <v>466</v>
      </c>
      <c r="BP1428" t="s">
        <v>74</v>
      </c>
      <c r="BQ1428" t="s">
        <v>74</v>
      </c>
      <c r="BR1428" t="s">
        <v>102</v>
      </c>
      <c r="BS1428" t="s">
        <v>27731</v>
      </c>
      <c r="BT1428" t="str">
        <f>HYPERLINK("https%3A%2F%2Fwww.webofscience.com%2Fwos%2Fwoscc%2Ffull-record%2FWOS:000464334000002","View Full Record in Web of Science")</f>
        <v>View Full Record in Web of Science</v>
      </c>
    </row>
    <row r="1429" spans="1:72" x14ac:dyDescent="0.25">
      <c r="A1429" t="s">
        <v>72</v>
      </c>
      <c r="B1429" t="s">
        <v>27730</v>
      </c>
      <c r="C1429" t="s">
        <v>74</v>
      </c>
      <c r="D1429" t="s">
        <v>74</v>
      </c>
      <c r="E1429" t="s">
        <v>74</v>
      </c>
      <c r="F1429" t="s">
        <v>27729</v>
      </c>
      <c r="G1429" t="s">
        <v>74</v>
      </c>
      <c r="H1429" t="s">
        <v>74</v>
      </c>
      <c r="I1429" t="s">
        <v>27728</v>
      </c>
      <c r="J1429" t="s">
        <v>4956</v>
      </c>
      <c r="K1429" t="s">
        <v>74</v>
      </c>
      <c r="L1429" t="s">
        <v>74</v>
      </c>
      <c r="M1429" t="s">
        <v>78</v>
      </c>
      <c r="N1429" t="s">
        <v>79</v>
      </c>
      <c r="O1429" t="s">
        <v>74</v>
      </c>
      <c r="P1429" t="s">
        <v>74</v>
      </c>
      <c r="Q1429" t="s">
        <v>74</v>
      </c>
      <c r="R1429" t="s">
        <v>74</v>
      </c>
      <c r="S1429" t="s">
        <v>74</v>
      </c>
      <c r="T1429" t="s">
        <v>27727</v>
      </c>
      <c r="U1429" t="s">
        <v>27726</v>
      </c>
      <c r="V1429" t="s">
        <v>27725</v>
      </c>
      <c r="W1429" t="s">
        <v>27724</v>
      </c>
      <c r="X1429" t="s">
        <v>734</v>
      </c>
      <c r="Y1429" t="s">
        <v>27723</v>
      </c>
      <c r="Z1429" t="s">
        <v>18968</v>
      </c>
      <c r="AA1429" t="s">
        <v>74</v>
      </c>
      <c r="AB1429" t="s">
        <v>74</v>
      </c>
      <c r="AC1429" t="s">
        <v>27722</v>
      </c>
      <c r="AD1429" t="s">
        <v>27722</v>
      </c>
      <c r="AE1429" t="s">
        <v>27721</v>
      </c>
      <c r="AF1429" t="s">
        <v>74</v>
      </c>
      <c r="AG1429">
        <v>30</v>
      </c>
      <c r="AH1429">
        <v>19</v>
      </c>
      <c r="AI1429">
        <v>27</v>
      </c>
      <c r="AJ1429">
        <v>3</v>
      </c>
      <c r="AK1429">
        <v>21</v>
      </c>
      <c r="AL1429" t="s">
        <v>230</v>
      </c>
      <c r="AM1429" t="s">
        <v>231</v>
      </c>
      <c r="AN1429" t="s">
        <v>232</v>
      </c>
      <c r="AO1429" t="s">
        <v>4966</v>
      </c>
      <c r="AP1429" t="s">
        <v>74</v>
      </c>
      <c r="AQ1429" t="s">
        <v>74</v>
      </c>
      <c r="AR1429" t="s">
        <v>4968</v>
      </c>
      <c r="AS1429" t="s">
        <v>4969</v>
      </c>
      <c r="AT1429" t="s">
        <v>848</v>
      </c>
      <c r="AU1429">
        <v>2018</v>
      </c>
      <c r="AV1429">
        <v>107</v>
      </c>
      <c r="AW1429" t="s">
        <v>74</v>
      </c>
      <c r="AX1429" t="s">
        <v>74</v>
      </c>
      <c r="AY1429" t="s">
        <v>74</v>
      </c>
      <c r="AZ1429" t="s">
        <v>74</v>
      </c>
      <c r="BA1429" t="s">
        <v>74</v>
      </c>
      <c r="BB1429">
        <v>54</v>
      </c>
      <c r="BC1429">
        <v>74</v>
      </c>
      <c r="BD1429" t="s">
        <v>74</v>
      </c>
      <c r="BE1429" t="s">
        <v>27720</v>
      </c>
      <c r="BF1429" t="str">
        <f>HYPERLINK("http://dx.doi.org/10.1016/j.worlddev.2018.02.001","http://dx.doi.org/10.1016/j.worlddev.2018.02.001")</f>
        <v>http://dx.doi.org/10.1016/j.worlddev.2018.02.001</v>
      </c>
      <c r="BG1429" t="s">
        <v>74</v>
      </c>
      <c r="BH1429" t="s">
        <v>74</v>
      </c>
      <c r="BI1429">
        <v>21</v>
      </c>
      <c r="BJ1429" t="s">
        <v>701</v>
      </c>
      <c r="BK1429" t="s">
        <v>99</v>
      </c>
      <c r="BL1429" t="s">
        <v>702</v>
      </c>
      <c r="BM1429" t="s">
        <v>27719</v>
      </c>
      <c r="BN1429" t="s">
        <v>74</v>
      </c>
      <c r="BO1429" t="s">
        <v>74</v>
      </c>
      <c r="BP1429" t="s">
        <v>74</v>
      </c>
      <c r="BQ1429" t="s">
        <v>74</v>
      </c>
      <c r="BR1429" t="s">
        <v>102</v>
      </c>
      <c r="BS1429" t="s">
        <v>27718</v>
      </c>
      <c r="BT1429" t="str">
        <f>HYPERLINK("https%3A%2F%2Fwww.webofscience.com%2Fwos%2Fwoscc%2Ffull-record%2FWOS:000431158500005","View Full Record in Web of Science")</f>
        <v>View Full Record in Web of Science</v>
      </c>
    </row>
    <row r="1430" spans="1:72" x14ac:dyDescent="0.25">
      <c r="A1430" t="s">
        <v>72</v>
      </c>
      <c r="B1430" t="s">
        <v>27717</v>
      </c>
      <c r="C1430" t="s">
        <v>74</v>
      </c>
      <c r="D1430" t="s">
        <v>74</v>
      </c>
      <c r="E1430" t="s">
        <v>74</v>
      </c>
      <c r="F1430" t="s">
        <v>27716</v>
      </c>
      <c r="G1430" t="s">
        <v>74</v>
      </c>
      <c r="H1430" t="s">
        <v>74</v>
      </c>
      <c r="I1430" t="s">
        <v>27715</v>
      </c>
      <c r="J1430" t="s">
        <v>27714</v>
      </c>
      <c r="K1430" t="s">
        <v>74</v>
      </c>
      <c r="L1430" t="s">
        <v>74</v>
      </c>
      <c r="M1430" t="s">
        <v>78</v>
      </c>
      <c r="N1430" t="s">
        <v>79</v>
      </c>
      <c r="O1430" t="s">
        <v>74</v>
      </c>
      <c r="P1430" t="s">
        <v>74</v>
      </c>
      <c r="Q1430" t="s">
        <v>74</v>
      </c>
      <c r="R1430" t="s">
        <v>74</v>
      </c>
      <c r="S1430" t="s">
        <v>74</v>
      </c>
      <c r="T1430" t="s">
        <v>27713</v>
      </c>
      <c r="U1430" t="s">
        <v>74</v>
      </c>
      <c r="V1430" t="s">
        <v>27712</v>
      </c>
      <c r="W1430" t="s">
        <v>27711</v>
      </c>
      <c r="X1430" t="s">
        <v>6148</v>
      </c>
      <c r="Y1430" t="s">
        <v>27710</v>
      </c>
      <c r="Z1430" t="s">
        <v>27709</v>
      </c>
      <c r="AA1430" t="s">
        <v>74</v>
      </c>
      <c r="AB1430" t="s">
        <v>74</v>
      </c>
      <c r="AC1430" t="s">
        <v>74</v>
      </c>
      <c r="AD1430" t="s">
        <v>74</v>
      </c>
      <c r="AE1430" t="s">
        <v>74</v>
      </c>
      <c r="AF1430" t="s">
        <v>74</v>
      </c>
      <c r="AG1430">
        <v>46</v>
      </c>
      <c r="AH1430">
        <v>43</v>
      </c>
      <c r="AI1430">
        <v>57</v>
      </c>
      <c r="AJ1430">
        <v>0</v>
      </c>
      <c r="AK1430">
        <v>74</v>
      </c>
      <c r="AL1430" t="s">
        <v>89</v>
      </c>
      <c r="AM1430" t="s">
        <v>1497</v>
      </c>
      <c r="AN1430" t="s">
        <v>1498</v>
      </c>
      <c r="AO1430" t="s">
        <v>27708</v>
      </c>
      <c r="AP1430" t="s">
        <v>27707</v>
      </c>
      <c r="AQ1430" t="s">
        <v>74</v>
      </c>
      <c r="AR1430" t="s">
        <v>27706</v>
      </c>
      <c r="AS1430" t="s">
        <v>27705</v>
      </c>
      <c r="AT1430" t="s">
        <v>74</v>
      </c>
      <c r="AU1430">
        <v>2015</v>
      </c>
      <c r="AV1430">
        <v>11</v>
      </c>
      <c r="AW1430">
        <v>4</v>
      </c>
      <c r="AX1430" t="s">
        <v>74</v>
      </c>
      <c r="AY1430" t="s">
        <v>74</v>
      </c>
      <c r="AZ1430" t="s">
        <v>74</v>
      </c>
      <c r="BA1430" t="s">
        <v>74</v>
      </c>
      <c r="BB1430">
        <v>281</v>
      </c>
      <c r="BC1430">
        <v>294</v>
      </c>
      <c r="BD1430" t="s">
        <v>74</v>
      </c>
      <c r="BE1430" t="s">
        <v>27704</v>
      </c>
      <c r="BF1430" t="str">
        <f>HYPERLINK("http://dx.doi.org/10.1108/WJEMSD-04-2015-0020","http://dx.doi.org/10.1108/WJEMSD-04-2015-0020")</f>
        <v>http://dx.doi.org/10.1108/WJEMSD-04-2015-0020</v>
      </c>
      <c r="BG1430" t="s">
        <v>74</v>
      </c>
      <c r="BH1430" t="s">
        <v>74</v>
      </c>
      <c r="BI1430">
        <v>14</v>
      </c>
      <c r="BJ1430" t="s">
        <v>583</v>
      </c>
      <c r="BK1430" t="s">
        <v>313</v>
      </c>
      <c r="BL1430" t="s">
        <v>100</v>
      </c>
      <c r="BM1430" t="s">
        <v>27703</v>
      </c>
      <c r="BN1430" t="s">
        <v>74</v>
      </c>
      <c r="BO1430" t="s">
        <v>74</v>
      </c>
      <c r="BP1430" t="s">
        <v>74</v>
      </c>
      <c r="BQ1430" t="s">
        <v>74</v>
      </c>
      <c r="BR1430" t="s">
        <v>102</v>
      </c>
      <c r="BS1430" t="s">
        <v>27702</v>
      </c>
      <c r="BT1430" t="str">
        <f>HYPERLINK("https%3A%2F%2Fwww.webofscience.com%2Fwos%2Fwoscc%2Ffull-record%2FWOS:000372538800004","View Full Record in Web of Science")</f>
        <v>View Full Record in Web of Science</v>
      </c>
    </row>
    <row r="1431" spans="1:72" x14ac:dyDescent="0.25">
      <c r="A1431" t="s">
        <v>72</v>
      </c>
      <c r="B1431" t="s">
        <v>27701</v>
      </c>
      <c r="C1431" t="s">
        <v>74</v>
      </c>
      <c r="D1431" t="s">
        <v>74</v>
      </c>
      <c r="E1431" t="s">
        <v>74</v>
      </c>
      <c r="F1431" t="s">
        <v>27700</v>
      </c>
      <c r="G1431" t="s">
        <v>74</v>
      </c>
      <c r="H1431" t="s">
        <v>74</v>
      </c>
      <c r="I1431" t="s">
        <v>27699</v>
      </c>
      <c r="J1431" t="s">
        <v>18915</v>
      </c>
      <c r="K1431" t="s">
        <v>74</v>
      </c>
      <c r="L1431" t="s">
        <v>74</v>
      </c>
      <c r="M1431" t="s">
        <v>78</v>
      </c>
      <c r="N1431" t="s">
        <v>79</v>
      </c>
      <c r="O1431" t="s">
        <v>74</v>
      </c>
      <c r="P1431" t="s">
        <v>74</v>
      </c>
      <c r="Q1431" t="s">
        <v>74</v>
      </c>
      <c r="R1431" t="s">
        <v>74</v>
      </c>
      <c r="S1431" t="s">
        <v>74</v>
      </c>
      <c r="T1431" t="s">
        <v>27698</v>
      </c>
      <c r="U1431" t="s">
        <v>18318</v>
      </c>
      <c r="V1431" t="s">
        <v>27697</v>
      </c>
      <c r="W1431" t="s">
        <v>27696</v>
      </c>
      <c r="X1431" t="s">
        <v>27695</v>
      </c>
      <c r="Y1431" t="s">
        <v>27694</v>
      </c>
      <c r="Z1431" t="s">
        <v>74</v>
      </c>
      <c r="AA1431" t="s">
        <v>74</v>
      </c>
      <c r="AB1431" t="s">
        <v>27693</v>
      </c>
      <c r="AC1431" t="s">
        <v>74</v>
      </c>
      <c r="AD1431" t="s">
        <v>74</v>
      </c>
      <c r="AE1431" t="s">
        <v>74</v>
      </c>
      <c r="AF1431" t="s">
        <v>74</v>
      </c>
      <c r="AG1431">
        <v>30</v>
      </c>
      <c r="AH1431">
        <v>2</v>
      </c>
      <c r="AI1431">
        <v>5</v>
      </c>
      <c r="AJ1431">
        <v>1</v>
      </c>
      <c r="AK1431">
        <v>23</v>
      </c>
      <c r="AL1431" t="s">
        <v>4605</v>
      </c>
      <c r="AM1431" t="s">
        <v>4280</v>
      </c>
      <c r="AN1431" t="s">
        <v>4606</v>
      </c>
      <c r="AO1431" t="s">
        <v>18906</v>
      </c>
      <c r="AP1431" t="s">
        <v>18905</v>
      </c>
      <c r="AQ1431" t="s">
        <v>74</v>
      </c>
      <c r="AR1431" t="s">
        <v>18904</v>
      </c>
      <c r="AS1431" t="s">
        <v>18903</v>
      </c>
      <c r="AT1431" t="s">
        <v>9278</v>
      </c>
      <c r="AU1431">
        <v>2022</v>
      </c>
      <c r="AV1431">
        <v>17</v>
      </c>
      <c r="AW1431">
        <v>2</v>
      </c>
      <c r="AX1431" t="s">
        <v>74</v>
      </c>
      <c r="AY1431" t="s">
        <v>74</v>
      </c>
      <c r="AZ1431" t="s">
        <v>74</v>
      </c>
      <c r="BA1431" t="s">
        <v>74</v>
      </c>
      <c r="BB1431">
        <v>44</v>
      </c>
      <c r="BC1431">
        <v>61</v>
      </c>
      <c r="BD1431" t="s">
        <v>74</v>
      </c>
      <c r="BE1431" t="s">
        <v>27692</v>
      </c>
      <c r="BF1431" t="str">
        <f>HYPERLINK("http://dx.doi.org/10.2478/sbe-2022-0024","http://dx.doi.org/10.2478/sbe-2022-0024")</f>
        <v>http://dx.doi.org/10.2478/sbe-2022-0024</v>
      </c>
      <c r="BG1431" t="s">
        <v>74</v>
      </c>
      <c r="BH1431" t="s">
        <v>74</v>
      </c>
      <c r="BI1431">
        <v>18</v>
      </c>
      <c r="BJ1431" t="s">
        <v>291</v>
      </c>
      <c r="BK1431" t="s">
        <v>313</v>
      </c>
      <c r="BL1431" t="s">
        <v>100</v>
      </c>
      <c r="BM1431" t="s">
        <v>27691</v>
      </c>
      <c r="BN1431" t="s">
        <v>74</v>
      </c>
      <c r="BO1431" t="s">
        <v>916</v>
      </c>
      <c r="BP1431" t="s">
        <v>74</v>
      </c>
      <c r="BQ1431" t="s">
        <v>74</v>
      </c>
      <c r="BR1431" t="s">
        <v>102</v>
      </c>
      <c r="BS1431" t="s">
        <v>27690</v>
      </c>
      <c r="BT1431" t="str">
        <f>HYPERLINK("https%3A%2F%2Fwww.webofscience.com%2Fwos%2Fwoscc%2Ffull-record%2FWOS:000865162800003","View Full Record in Web of Science")</f>
        <v>View Full Record in Web of Science</v>
      </c>
    </row>
    <row r="1432" spans="1:72" x14ac:dyDescent="0.25">
      <c r="A1432" t="s">
        <v>72</v>
      </c>
      <c r="B1432" t="s">
        <v>27689</v>
      </c>
      <c r="C1432" t="s">
        <v>74</v>
      </c>
      <c r="D1432" t="s">
        <v>74</v>
      </c>
      <c r="E1432" t="s">
        <v>74</v>
      </c>
      <c r="F1432" t="s">
        <v>27688</v>
      </c>
      <c r="G1432" t="s">
        <v>74</v>
      </c>
      <c r="H1432" t="s">
        <v>74</v>
      </c>
      <c r="I1432" t="s">
        <v>27687</v>
      </c>
      <c r="J1432" t="s">
        <v>7119</v>
      </c>
      <c r="K1432" t="s">
        <v>74</v>
      </c>
      <c r="L1432" t="s">
        <v>74</v>
      </c>
      <c r="M1432" t="s">
        <v>78</v>
      </c>
      <c r="N1432" t="s">
        <v>79</v>
      </c>
      <c r="O1432" t="s">
        <v>74</v>
      </c>
      <c r="P1432" t="s">
        <v>74</v>
      </c>
      <c r="Q1432" t="s">
        <v>74</v>
      </c>
      <c r="R1432" t="s">
        <v>74</v>
      </c>
      <c r="S1432" t="s">
        <v>74</v>
      </c>
      <c r="T1432" t="s">
        <v>27686</v>
      </c>
      <c r="U1432" t="s">
        <v>27685</v>
      </c>
      <c r="V1432" t="s">
        <v>27684</v>
      </c>
      <c r="W1432" t="s">
        <v>27683</v>
      </c>
      <c r="X1432" t="s">
        <v>7109</v>
      </c>
      <c r="Y1432" t="s">
        <v>27682</v>
      </c>
      <c r="Z1432" t="s">
        <v>27681</v>
      </c>
      <c r="AA1432" t="s">
        <v>27680</v>
      </c>
      <c r="AB1432" t="s">
        <v>27679</v>
      </c>
      <c r="AC1432" t="s">
        <v>74</v>
      </c>
      <c r="AD1432" t="s">
        <v>74</v>
      </c>
      <c r="AE1432" t="s">
        <v>74</v>
      </c>
      <c r="AF1432" t="s">
        <v>74</v>
      </c>
      <c r="AG1432">
        <v>42</v>
      </c>
      <c r="AH1432">
        <v>53</v>
      </c>
      <c r="AI1432">
        <v>64</v>
      </c>
      <c r="AJ1432">
        <v>4</v>
      </c>
      <c r="AK1432">
        <v>60</v>
      </c>
      <c r="AL1432" t="s">
        <v>89</v>
      </c>
      <c r="AM1432" t="s">
        <v>1497</v>
      </c>
      <c r="AN1432" t="s">
        <v>1498</v>
      </c>
      <c r="AO1432" t="s">
        <v>7128</v>
      </c>
      <c r="AP1432" t="s">
        <v>74</v>
      </c>
      <c r="AQ1432" t="s">
        <v>74</v>
      </c>
      <c r="AR1432" t="s">
        <v>7129</v>
      </c>
      <c r="AS1432" t="s">
        <v>7130</v>
      </c>
      <c r="AT1432" t="s">
        <v>74</v>
      </c>
      <c r="AU1432">
        <v>2020</v>
      </c>
      <c r="AV1432">
        <v>12</v>
      </c>
      <c r="AW1432">
        <v>1</v>
      </c>
      <c r="AX1432" t="s">
        <v>74</v>
      </c>
      <c r="AY1432" t="s">
        <v>74</v>
      </c>
      <c r="AZ1432" t="s">
        <v>74</v>
      </c>
      <c r="BA1432" t="s">
        <v>74</v>
      </c>
      <c r="BB1432">
        <v>24</v>
      </c>
      <c r="BC1432">
        <v>42</v>
      </c>
      <c r="BD1432" t="s">
        <v>74</v>
      </c>
      <c r="BE1432" t="s">
        <v>27678</v>
      </c>
      <c r="BF1432" t="str">
        <f>HYPERLINK("http://dx.doi.org/10.1108/QRFM-12-2018-0131","http://dx.doi.org/10.1108/QRFM-12-2018-0131")</f>
        <v>http://dx.doi.org/10.1108/QRFM-12-2018-0131</v>
      </c>
      <c r="BG1432" t="s">
        <v>74</v>
      </c>
      <c r="BH1432" t="s">
        <v>74</v>
      </c>
      <c r="BI1432">
        <v>19</v>
      </c>
      <c r="BJ1432" t="s">
        <v>268</v>
      </c>
      <c r="BK1432" t="s">
        <v>313</v>
      </c>
      <c r="BL1432" t="s">
        <v>100</v>
      </c>
      <c r="BM1432" t="s">
        <v>27677</v>
      </c>
      <c r="BN1432" t="s">
        <v>74</v>
      </c>
      <c r="BO1432" t="s">
        <v>74</v>
      </c>
      <c r="BP1432" t="s">
        <v>74</v>
      </c>
      <c r="BQ1432" t="s">
        <v>74</v>
      </c>
      <c r="BR1432" t="s">
        <v>102</v>
      </c>
      <c r="BS1432" t="s">
        <v>27676</v>
      </c>
      <c r="BT1432" t="str">
        <f>HYPERLINK("https%3A%2F%2Fwww.webofscience.com%2Fwos%2Fwoscc%2Ffull-record%2FWOS:000531470500002","View Full Record in Web of Science")</f>
        <v>View Full Record in Web of Science</v>
      </c>
    </row>
    <row r="1433" spans="1:72" x14ac:dyDescent="0.25">
      <c r="A1433" t="s">
        <v>132</v>
      </c>
      <c r="B1433" t="s">
        <v>27675</v>
      </c>
      <c r="C1433" t="s">
        <v>74</v>
      </c>
      <c r="D1433" t="s">
        <v>1045</v>
      </c>
      <c r="E1433" t="s">
        <v>74</v>
      </c>
      <c r="F1433" t="s">
        <v>27674</v>
      </c>
      <c r="G1433" t="s">
        <v>74</v>
      </c>
      <c r="H1433" t="s">
        <v>74</v>
      </c>
      <c r="I1433" t="s">
        <v>27673</v>
      </c>
      <c r="J1433" t="s">
        <v>1048</v>
      </c>
      <c r="K1433" t="s">
        <v>1049</v>
      </c>
      <c r="L1433" t="s">
        <v>74</v>
      </c>
      <c r="M1433" t="s">
        <v>78</v>
      </c>
      <c r="N1433" t="s">
        <v>138</v>
      </c>
      <c r="O1433" t="s">
        <v>1050</v>
      </c>
      <c r="P1433" t="s">
        <v>1051</v>
      </c>
      <c r="Q1433" t="s">
        <v>1052</v>
      </c>
      <c r="R1433" t="s">
        <v>1053</v>
      </c>
      <c r="S1433" t="s">
        <v>74</v>
      </c>
      <c r="T1433" t="s">
        <v>27672</v>
      </c>
      <c r="U1433" t="s">
        <v>27671</v>
      </c>
      <c r="V1433" t="s">
        <v>27670</v>
      </c>
      <c r="W1433" t="s">
        <v>27669</v>
      </c>
      <c r="X1433" t="s">
        <v>27668</v>
      </c>
      <c r="Y1433" t="s">
        <v>27667</v>
      </c>
      <c r="Z1433" t="s">
        <v>27666</v>
      </c>
      <c r="AA1433" t="s">
        <v>27665</v>
      </c>
      <c r="AB1433" t="s">
        <v>27664</v>
      </c>
      <c r="AC1433" t="s">
        <v>74</v>
      </c>
      <c r="AD1433" t="s">
        <v>74</v>
      </c>
      <c r="AE1433" t="s">
        <v>74</v>
      </c>
      <c r="AF1433" t="s">
        <v>74</v>
      </c>
      <c r="AG1433">
        <v>62</v>
      </c>
      <c r="AH1433">
        <v>0</v>
      </c>
      <c r="AI1433">
        <v>0</v>
      </c>
      <c r="AJ1433">
        <v>0</v>
      </c>
      <c r="AK1433">
        <v>8</v>
      </c>
      <c r="AL1433" t="s">
        <v>1062</v>
      </c>
      <c r="AM1433" t="s">
        <v>667</v>
      </c>
      <c r="AN1433" t="s">
        <v>668</v>
      </c>
      <c r="AO1433" t="s">
        <v>1063</v>
      </c>
      <c r="AP1433" t="s">
        <v>1064</v>
      </c>
      <c r="AQ1433" t="s">
        <v>1065</v>
      </c>
      <c r="AR1433" t="s">
        <v>1066</v>
      </c>
      <c r="AS1433" t="s">
        <v>74</v>
      </c>
      <c r="AT1433" t="s">
        <v>74</v>
      </c>
      <c r="AU1433">
        <v>2023</v>
      </c>
      <c r="AV1433">
        <v>488</v>
      </c>
      <c r="AW1433" t="s">
        <v>74</v>
      </c>
      <c r="AX1433" t="s">
        <v>74</v>
      </c>
      <c r="AY1433" t="s">
        <v>74</v>
      </c>
      <c r="AZ1433" t="s">
        <v>74</v>
      </c>
      <c r="BA1433" t="s">
        <v>74</v>
      </c>
      <c r="BB1433">
        <v>937</v>
      </c>
      <c r="BC1433">
        <v>960</v>
      </c>
      <c r="BD1433" t="s">
        <v>74</v>
      </c>
      <c r="BE1433" t="s">
        <v>27663</v>
      </c>
      <c r="BF1433" t="str">
        <f>HYPERLINK("http://dx.doi.org/10.1007/978-3-031-08090-6_60","http://dx.doi.org/10.1007/978-3-031-08090-6_60")</f>
        <v>http://dx.doi.org/10.1007/978-3-031-08090-6_60</v>
      </c>
      <c r="BG1433" t="s">
        <v>74</v>
      </c>
      <c r="BH1433" t="s">
        <v>74</v>
      </c>
      <c r="BI1433">
        <v>24</v>
      </c>
      <c r="BJ1433" t="s">
        <v>1068</v>
      </c>
      <c r="BK1433" t="s">
        <v>1069</v>
      </c>
      <c r="BL1433" t="s">
        <v>1070</v>
      </c>
      <c r="BM1433" t="s">
        <v>1071</v>
      </c>
      <c r="BN1433" t="s">
        <v>74</v>
      </c>
      <c r="BO1433" t="s">
        <v>74</v>
      </c>
      <c r="BP1433" t="s">
        <v>74</v>
      </c>
      <c r="BQ1433" t="s">
        <v>74</v>
      </c>
      <c r="BR1433" t="s">
        <v>102</v>
      </c>
      <c r="BS1433" t="s">
        <v>27662</v>
      </c>
      <c r="BT1433" t="str">
        <f>HYPERLINK("https%3A%2F%2Fwww.webofscience.com%2Fwos%2Fwoscc%2Ffull-record%2FWOS:000892369500060","View Full Record in Web of Science")</f>
        <v>View Full Record in Web of Science</v>
      </c>
    </row>
    <row r="1434" spans="1:72" x14ac:dyDescent="0.25">
      <c r="A1434" t="s">
        <v>72</v>
      </c>
      <c r="B1434" t="s">
        <v>27661</v>
      </c>
      <c r="C1434" t="s">
        <v>74</v>
      </c>
      <c r="D1434" t="s">
        <v>74</v>
      </c>
      <c r="E1434" t="s">
        <v>74</v>
      </c>
      <c r="F1434" t="s">
        <v>27660</v>
      </c>
      <c r="G1434" t="s">
        <v>74</v>
      </c>
      <c r="H1434" t="s">
        <v>74</v>
      </c>
      <c r="I1434" t="s">
        <v>27659</v>
      </c>
      <c r="J1434" t="s">
        <v>4842</v>
      </c>
      <c r="K1434" t="s">
        <v>74</v>
      </c>
      <c r="L1434" t="s">
        <v>74</v>
      </c>
      <c r="M1434" t="s">
        <v>78</v>
      </c>
      <c r="N1434" t="s">
        <v>79</v>
      </c>
      <c r="O1434" t="s">
        <v>74</v>
      </c>
      <c r="P1434" t="s">
        <v>74</v>
      </c>
      <c r="Q1434" t="s">
        <v>74</v>
      </c>
      <c r="R1434" t="s">
        <v>74</v>
      </c>
      <c r="S1434" t="s">
        <v>74</v>
      </c>
      <c r="T1434" t="s">
        <v>27658</v>
      </c>
      <c r="U1434" t="s">
        <v>27657</v>
      </c>
      <c r="V1434" t="s">
        <v>27656</v>
      </c>
      <c r="W1434" t="s">
        <v>27655</v>
      </c>
      <c r="X1434" t="s">
        <v>74</v>
      </c>
      <c r="Y1434" t="s">
        <v>27654</v>
      </c>
      <c r="Z1434" t="s">
        <v>27653</v>
      </c>
      <c r="AA1434" t="s">
        <v>74</v>
      </c>
      <c r="AB1434" t="s">
        <v>74</v>
      </c>
      <c r="AC1434" t="s">
        <v>27652</v>
      </c>
      <c r="AD1434" t="s">
        <v>27652</v>
      </c>
      <c r="AE1434" t="s">
        <v>27651</v>
      </c>
      <c r="AF1434" t="s">
        <v>74</v>
      </c>
      <c r="AG1434">
        <v>49</v>
      </c>
      <c r="AH1434">
        <v>0</v>
      </c>
      <c r="AI1434">
        <v>0</v>
      </c>
      <c r="AJ1434">
        <v>1</v>
      </c>
      <c r="AK1434">
        <v>1</v>
      </c>
      <c r="AL1434" t="s">
        <v>823</v>
      </c>
      <c r="AM1434" t="s">
        <v>333</v>
      </c>
      <c r="AN1434" t="s">
        <v>824</v>
      </c>
      <c r="AO1434" t="s">
        <v>4853</v>
      </c>
      <c r="AP1434" t="s">
        <v>74</v>
      </c>
      <c r="AQ1434" t="s">
        <v>74</v>
      </c>
      <c r="AR1434" t="s">
        <v>4854</v>
      </c>
      <c r="AS1434" t="s">
        <v>4855</v>
      </c>
      <c r="AT1434" t="s">
        <v>4856</v>
      </c>
      <c r="AU1434">
        <v>2025</v>
      </c>
      <c r="AV1434">
        <v>12</v>
      </c>
      <c r="AW1434">
        <v>1</v>
      </c>
      <c r="AX1434" t="s">
        <v>74</v>
      </c>
      <c r="AY1434" t="s">
        <v>74</v>
      </c>
      <c r="AZ1434" t="s">
        <v>74</v>
      </c>
      <c r="BA1434" t="s">
        <v>74</v>
      </c>
      <c r="BB1434" t="s">
        <v>74</v>
      </c>
      <c r="BC1434" t="s">
        <v>74</v>
      </c>
      <c r="BD1434">
        <v>2483966</v>
      </c>
      <c r="BE1434" t="s">
        <v>27650</v>
      </c>
      <c r="BF1434" t="str">
        <f>HYPERLINK("http://dx.doi.org/10.1080/23311975.2025.2483966","http://dx.doi.org/10.1080/23311975.2025.2483966")</f>
        <v>http://dx.doi.org/10.1080/23311975.2025.2483966</v>
      </c>
      <c r="BG1434" t="s">
        <v>74</v>
      </c>
      <c r="BH1434" t="s">
        <v>74</v>
      </c>
      <c r="BI1434">
        <v>17</v>
      </c>
      <c r="BJ1434" t="s">
        <v>418</v>
      </c>
      <c r="BK1434" t="s">
        <v>313</v>
      </c>
      <c r="BL1434" t="s">
        <v>100</v>
      </c>
      <c r="BM1434" t="s">
        <v>27649</v>
      </c>
      <c r="BN1434" t="s">
        <v>74</v>
      </c>
      <c r="BO1434" t="s">
        <v>916</v>
      </c>
      <c r="BP1434" t="s">
        <v>74</v>
      </c>
      <c r="BQ1434" t="s">
        <v>74</v>
      </c>
      <c r="BR1434" t="s">
        <v>102</v>
      </c>
      <c r="BS1434" t="s">
        <v>27648</v>
      </c>
      <c r="BT1434" t="str">
        <f>HYPERLINK("https%3A%2F%2Fwww.webofscience.com%2Fwos%2Fwoscc%2Ffull-record%2FWOS:001462593700001","View Full Record in Web of Science")</f>
        <v>View Full Record in Web of Science</v>
      </c>
    </row>
    <row r="1435" spans="1:72" x14ac:dyDescent="0.25">
      <c r="A1435" t="s">
        <v>72</v>
      </c>
      <c r="B1435" t="s">
        <v>27647</v>
      </c>
      <c r="C1435" t="s">
        <v>74</v>
      </c>
      <c r="D1435" t="s">
        <v>74</v>
      </c>
      <c r="E1435" t="s">
        <v>74</v>
      </c>
      <c r="F1435" t="s">
        <v>27646</v>
      </c>
      <c r="G1435" t="s">
        <v>74</v>
      </c>
      <c r="H1435" t="s">
        <v>74</v>
      </c>
      <c r="I1435" t="s">
        <v>27645</v>
      </c>
      <c r="J1435" t="s">
        <v>6538</v>
      </c>
      <c r="K1435" t="s">
        <v>74</v>
      </c>
      <c r="L1435" t="s">
        <v>74</v>
      </c>
      <c r="M1435" t="s">
        <v>78</v>
      </c>
      <c r="N1435" t="s">
        <v>79</v>
      </c>
      <c r="O1435" t="s">
        <v>74</v>
      </c>
      <c r="P1435" t="s">
        <v>74</v>
      </c>
      <c r="Q1435" t="s">
        <v>74</v>
      </c>
      <c r="R1435" t="s">
        <v>74</v>
      </c>
      <c r="S1435" t="s">
        <v>74</v>
      </c>
      <c r="T1435" t="s">
        <v>27644</v>
      </c>
      <c r="U1435" t="s">
        <v>27643</v>
      </c>
      <c r="V1435" t="s">
        <v>27642</v>
      </c>
      <c r="W1435" t="s">
        <v>27641</v>
      </c>
      <c r="X1435" t="s">
        <v>74</v>
      </c>
      <c r="Y1435" t="s">
        <v>27640</v>
      </c>
      <c r="Z1435" t="s">
        <v>27639</v>
      </c>
      <c r="AA1435" t="s">
        <v>74</v>
      </c>
      <c r="AB1435" t="s">
        <v>74</v>
      </c>
      <c r="AC1435" t="s">
        <v>27638</v>
      </c>
      <c r="AD1435" t="s">
        <v>27638</v>
      </c>
      <c r="AE1435" t="s">
        <v>27637</v>
      </c>
      <c r="AF1435" t="s">
        <v>74</v>
      </c>
      <c r="AG1435">
        <v>88</v>
      </c>
      <c r="AH1435">
        <v>0</v>
      </c>
      <c r="AI1435">
        <v>0</v>
      </c>
      <c r="AJ1435">
        <v>5</v>
      </c>
      <c r="AK1435">
        <v>5</v>
      </c>
      <c r="AL1435" t="s">
        <v>2907</v>
      </c>
      <c r="AM1435" t="s">
        <v>2908</v>
      </c>
      <c r="AN1435" t="s">
        <v>2909</v>
      </c>
      <c r="AO1435" t="s">
        <v>6543</v>
      </c>
      <c r="AP1435" t="s">
        <v>6544</v>
      </c>
      <c r="AQ1435" t="s">
        <v>74</v>
      </c>
      <c r="AR1435" t="s">
        <v>6545</v>
      </c>
      <c r="AS1435" t="s">
        <v>6546</v>
      </c>
      <c r="AT1435" t="s">
        <v>124</v>
      </c>
      <c r="AU1435">
        <v>2025</v>
      </c>
      <c r="AV1435">
        <v>26</v>
      </c>
      <c r="AW1435">
        <v>4</v>
      </c>
      <c r="AX1435" t="s">
        <v>74</v>
      </c>
      <c r="AY1435" t="s">
        <v>74</v>
      </c>
      <c r="AZ1435" t="s">
        <v>74</v>
      </c>
      <c r="BA1435" t="s">
        <v>74</v>
      </c>
      <c r="BB1435">
        <v>891</v>
      </c>
      <c r="BC1435">
        <v>909</v>
      </c>
      <c r="BD1435" t="s">
        <v>74</v>
      </c>
      <c r="BE1435" t="s">
        <v>27636</v>
      </c>
      <c r="BF1435" t="str">
        <f>HYPERLINK("http://dx.doi.org/10.1057/s41261-025-00292-z","http://dx.doi.org/10.1057/s41261-025-00292-z")</f>
        <v>http://dx.doi.org/10.1057/s41261-025-00292-z</v>
      </c>
      <c r="BG1435" t="s">
        <v>74</v>
      </c>
      <c r="BH1435" t="s">
        <v>3411</v>
      </c>
      <c r="BI1435">
        <v>19</v>
      </c>
      <c r="BJ1435" t="s">
        <v>268</v>
      </c>
      <c r="BK1435" t="s">
        <v>313</v>
      </c>
      <c r="BL1435" t="s">
        <v>100</v>
      </c>
      <c r="BM1435" t="s">
        <v>27635</v>
      </c>
      <c r="BN1435" t="s">
        <v>74</v>
      </c>
      <c r="BO1435" t="s">
        <v>270</v>
      </c>
      <c r="BP1435" t="s">
        <v>74</v>
      </c>
      <c r="BQ1435" t="s">
        <v>74</v>
      </c>
      <c r="BR1435" t="s">
        <v>102</v>
      </c>
      <c r="BS1435" t="s">
        <v>27634</v>
      </c>
      <c r="BT1435" t="str">
        <f>HYPERLINK("https%3A%2F%2Fwww.webofscience.com%2Fwos%2Fwoscc%2Ffull-record%2FWOS:001572735700001","View Full Record in Web of Science")</f>
        <v>View Full Record in Web of Science</v>
      </c>
    </row>
    <row r="1436" spans="1:72" x14ac:dyDescent="0.25">
      <c r="A1436" t="s">
        <v>72</v>
      </c>
      <c r="B1436" t="s">
        <v>27633</v>
      </c>
      <c r="C1436" t="s">
        <v>74</v>
      </c>
      <c r="D1436" t="s">
        <v>74</v>
      </c>
      <c r="E1436" t="s">
        <v>74</v>
      </c>
      <c r="F1436" t="s">
        <v>27632</v>
      </c>
      <c r="G1436" t="s">
        <v>74</v>
      </c>
      <c r="H1436" t="s">
        <v>74</v>
      </c>
      <c r="I1436" t="s">
        <v>27631</v>
      </c>
      <c r="J1436" t="s">
        <v>3036</v>
      </c>
      <c r="K1436" t="s">
        <v>74</v>
      </c>
      <c r="L1436" t="s">
        <v>74</v>
      </c>
      <c r="M1436" t="s">
        <v>78</v>
      </c>
      <c r="N1436" t="s">
        <v>79</v>
      </c>
      <c r="O1436" t="s">
        <v>74</v>
      </c>
      <c r="P1436" t="s">
        <v>74</v>
      </c>
      <c r="Q1436" t="s">
        <v>74</v>
      </c>
      <c r="R1436" t="s">
        <v>74</v>
      </c>
      <c r="S1436" t="s">
        <v>74</v>
      </c>
      <c r="T1436" t="s">
        <v>27630</v>
      </c>
      <c r="U1436" t="s">
        <v>27629</v>
      </c>
      <c r="V1436" t="s">
        <v>27628</v>
      </c>
      <c r="W1436" t="s">
        <v>27627</v>
      </c>
      <c r="X1436" t="s">
        <v>27626</v>
      </c>
      <c r="Y1436" t="s">
        <v>27625</v>
      </c>
      <c r="Z1436" t="s">
        <v>27624</v>
      </c>
      <c r="AA1436" t="s">
        <v>27623</v>
      </c>
      <c r="AB1436" t="s">
        <v>27622</v>
      </c>
      <c r="AC1436" t="s">
        <v>27621</v>
      </c>
      <c r="AD1436" t="s">
        <v>27620</v>
      </c>
      <c r="AE1436" t="s">
        <v>27619</v>
      </c>
      <c r="AF1436" t="s">
        <v>74</v>
      </c>
      <c r="AG1436">
        <v>79</v>
      </c>
      <c r="AH1436">
        <v>7</v>
      </c>
      <c r="AI1436">
        <v>13</v>
      </c>
      <c r="AJ1436">
        <v>2</v>
      </c>
      <c r="AK1436">
        <v>46</v>
      </c>
      <c r="AL1436" t="s">
        <v>385</v>
      </c>
      <c r="AM1436" t="s">
        <v>151</v>
      </c>
      <c r="AN1436" t="s">
        <v>386</v>
      </c>
      <c r="AO1436" t="s">
        <v>3045</v>
      </c>
      <c r="AP1436" t="s">
        <v>3046</v>
      </c>
      <c r="AQ1436" t="s">
        <v>74</v>
      </c>
      <c r="AR1436" t="s">
        <v>3047</v>
      </c>
      <c r="AS1436" t="s">
        <v>3048</v>
      </c>
      <c r="AT1436" t="s">
        <v>1652</v>
      </c>
      <c r="AU1436">
        <v>2024</v>
      </c>
      <c r="AV1436">
        <v>15</v>
      </c>
      <c r="AW1436">
        <v>2</v>
      </c>
      <c r="AX1436" t="s">
        <v>74</v>
      </c>
      <c r="AY1436" t="s">
        <v>74</v>
      </c>
      <c r="AZ1436" t="s">
        <v>74</v>
      </c>
      <c r="BA1436" t="s">
        <v>74</v>
      </c>
      <c r="BB1436">
        <v>8842</v>
      </c>
      <c r="BC1436">
        <v>8873</v>
      </c>
      <c r="BD1436" t="s">
        <v>74</v>
      </c>
      <c r="BE1436" t="s">
        <v>27618</v>
      </c>
      <c r="BF1436" t="str">
        <f>HYPERLINK("http://dx.doi.org/10.1007/s13132-023-01442-2","http://dx.doi.org/10.1007/s13132-023-01442-2")</f>
        <v>http://dx.doi.org/10.1007/s13132-023-01442-2</v>
      </c>
      <c r="BG1436" t="s">
        <v>74</v>
      </c>
      <c r="BH1436" t="s">
        <v>700</v>
      </c>
      <c r="BI1436">
        <v>32</v>
      </c>
      <c r="BJ1436" t="s">
        <v>291</v>
      </c>
      <c r="BK1436" t="s">
        <v>99</v>
      </c>
      <c r="BL1436" t="s">
        <v>100</v>
      </c>
      <c r="BM1436" t="s">
        <v>14995</v>
      </c>
      <c r="BN1436" t="s">
        <v>74</v>
      </c>
      <c r="BO1436" t="s">
        <v>270</v>
      </c>
      <c r="BP1436" t="s">
        <v>74</v>
      </c>
      <c r="BQ1436" t="s">
        <v>74</v>
      </c>
      <c r="BR1436" t="s">
        <v>102</v>
      </c>
      <c r="BS1436" t="s">
        <v>27617</v>
      </c>
      <c r="BT1436" t="str">
        <f>HYPERLINK("https%3A%2F%2Fwww.webofscience.com%2Fwos%2Fwoscc%2Ffull-record%2FWOS:001025602700003","View Full Record in Web of Science")</f>
        <v>View Full Record in Web of Science</v>
      </c>
    </row>
    <row r="1437" spans="1:72" x14ac:dyDescent="0.25">
      <c r="A1437" t="s">
        <v>72</v>
      </c>
      <c r="B1437" t="s">
        <v>27616</v>
      </c>
      <c r="C1437" t="s">
        <v>74</v>
      </c>
      <c r="D1437" t="s">
        <v>74</v>
      </c>
      <c r="E1437" t="s">
        <v>74</v>
      </c>
      <c r="F1437" t="s">
        <v>27615</v>
      </c>
      <c r="G1437" t="s">
        <v>74</v>
      </c>
      <c r="H1437" t="s">
        <v>74</v>
      </c>
      <c r="I1437" t="s">
        <v>27614</v>
      </c>
      <c r="J1437" t="s">
        <v>27613</v>
      </c>
      <c r="K1437" t="s">
        <v>74</v>
      </c>
      <c r="L1437" t="s">
        <v>74</v>
      </c>
      <c r="M1437" t="s">
        <v>78</v>
      </c>
      <c r="N1437" t="s">
        <v>79</v>
      </c>
      <c r="O1437" t="s">
        <v>74</v>
      </c>
      <c r="P1437" t="s">
        <v>74</v>
      </c>
      <c r="Q1437" t="s">
        <v>74</v>
      </c>
      <c r="R1437" t="s">
        <v>74</v>
      </c>
      <c r="S1437" t="s">
        <v>74</v>
      </c>
      <c r="T1437" t="s">
        <v>27612</v>
      </c>
      <c r="U1437" t="s">
        <v>74</v>
      </c>
      <c r="V1437" t="s">
        <v>27611</v>
      </c>
      <c r="W1437" t="s">
        <v>27610</v>
      </c>
      <c r="X1437" t="s">
        <v>27609</v>
      </c>
      <c r="Y1437" t="s">
        <v>27608</v>
      </c>
      <c r="Z1437" t="s">
        <v>27607</v>
      </c>
      <c r="AA1437" t="s">
        <v>74</v>
      </c>
      <c r="AB1437" t="s">
        <v>27606</v>
      </c>
      <c r="AC1437" t="s">
        <v>74</v>
      </c>
      <c r="AD1437" t="s">
        <v>74</v>
      </c>
      <c r="AE1437" t="s">
        <v>74</v>
      </c>
      <c r="AF1437" t="s">
        <v>74</v>
      </c>
      <c r="AG1437">
        <v>71</v>
      </c>
      <c r="AH1437">
        <v>5</v>
      </c>
      <c r="AI1437">
        <v>5</v>
      </c>
      <c r="AJ1437">
        <v>0</v>
      </c>
      <c r="AK1437">
        <v>4</v>
      </c>
      <c r="AL1437" t="s">
        <v>757</v>
      </c>
      <c r="AM1437" t="s">
        <v>758</v>
      </c>
      <c r="AN1437" t="s">
        <v>759</v>
      </c>
      <c r="AO1437" t="s">
        <v>27605</v>
      </c>
      <c r="AP1437" t="s">
        <v>27604</v>
      </c>
      <c r="AQ1437" t="s">
        <v>74</v>
      </c>
      <c r="AR1437" t="s">
        <v>27603</v>
      </c>
      <c r="AS1437" t="s">
        <v>27602</v>
      </c>
      <c r="AT1437" t="s">
        <v>743</v>
      </c>
      <c r="AU1437">
        <v>2021</v>
      </c>
      <c r="AV1437">
        <v>9</v>
      </c>
      <c r="AW1437">
        <v>1</v>
      </c>
      <c r="AX1437" t="s">
        <v>74</v>
      </c>
      <c r="AY1437" t="s">
        <v>74</v>
      </c>
      <c r="AZ1437" t="s">
        <v>74</v>
      </c>
      <c r="BA1437" t="s">
        <v>74</v>
      </c>
      <c r="BB1437">
        <v>31</v>
      </c>
      <c r="BC1437">
        <v>47</v>
      </c>
      <c r="BD1437">
        <v>2050303220952861</v>
      </c>
      <c r="BE1437" t="s">
        <v>27601</v>
      </c>
      <c r="BF1437" t="str">
        <f>HYPERLINK("http://dx.doi.org/10.1177/2050303220952861","http://dx.doi.org/10.1177/2050303220952861")</f>
        <v>http://dx.doi.org/10.1177/2050303220952861</v>
      </c>
      <c r="BG1437" t="s">
        <v>74</v>
      </c>
      <c r="BH1437" t="s">
        <v>2937</v>
      </c>
      <c r="BI1437">
        <v>17</v>
      </c>
      <c r="BJ1437" t="s">
        <v>9799</v>
      </c>
      <c r="BK1437" t="s">
        <v>313</v>
      </c>
      <c r="BL1437" t="s">
        <v>9799</v>
      </c>
      <c r="BM1437" t="s">
        <v>27600</v>
      </c>
      <c r="BN1437" t="s">
        <v>74</v>
      </c>
      <c r="BO1437" t="s">
        <v>74</v>
      </c>
      <c r="BP1437" t="s">
        <v>74</v>
      </c>
      <c r="BQ1437" t="s">
        <v>74</v>
      </c>
      <c r="BR1437" t="s">
        <v>102</v>
      </c>
      <c r="BS1437" t="s">
        <v>27599</v>
      </c>
      <c r="BT1437" t="str">
        <f>HYPERLINK("https%3A%2F%2Fwww.webofscience.com%2Fwos%2Fwoscc%2Ffull-record%2FWOS:000567171800001","View Full Record in Web of Science")</f>
        <v>View Full Record in Web of Science</v>
      </c>
    </row>
    <row r="1438" spans="1:72" x14ac:dyDescent="0.25">
      <c r="A1438" t="s">
        <v>72</v>
      </c>
      <c r="B1438" t="s">
        <v>27598</v>
      </c>
      <c r="C1438" t="s">
        <v>74</v>
      </c>
      <c r="D1438" t="s">
        <v>74</v>
      </c>
      <c r="E1438" t="s">
        <v>74</v>
      </c>
      <c r="F1438" t="s">
        <v>27597</v>
      </c>
      <c r="G1438" t="s">
        <v>74</v>
      </c>
      <c r="H1438" t="s">
        <v>74</v>
      </c>
      <c r="I1438" t="s">
        <v>27596</v>
      </c>
      <c r="J1438" t="s">
        <v>1290</v>
      </c>
      <c r="K1438" t="s">
        <v>74</v>
      </c>
      <c r="L1438" t="s">
        <v>74</v>
      </c>
      <c r="M1438" t="s">
        <v>78</v>
      </c>
      <c r="N1438" t="s">
        <v>79</v>
      </c>
      <c r="O1438" t="s">
        <v>74</v>
      </c>
      <c r="P1438" t="s">
        <v>74</v>
      </c>
      <c r="Q1438" t="s">
        <v>74</v>
      </c>
      <c r="R1438" t="s">
        <v>74</v>
      </c>
      <c r="S1438" t="s">
        <v>74</v>
      </c>
      <c r="T1438" t="s">
        <v>27595</v>
      </c>
      <c r="U1438" t="s">
        <v>27594</v>
      </c>
      <c r="V1438" t="s">
        <v>27593</v>
      </c>
      <c r="W1438" t="s">
        <v>27592</v>
      </c>
      <c r="X1438" t="s">
        <v>4407</v>
      </c>
      <c r="Y1438" t="s">
        <v>27591</v>
      </c>
      <c r="Z1438" t="s">
        <v>27590</v>
      </c>
      <c r="AA1438" t="s">
        <v>27589</v>
      </c>
      <c r="AB1438" t="s">
        <v>74</v>
      </c>
      <c r="AC1438" t="s">
        <v>27588</v>
      </c>
      <c r="AD1438" t="s">
        <v>27587</v>
      </c>
      <c r="AE1438" t="s">
        <v>27586</v>
      </c>
      <c r="AF1438" t="s">
        <v>74</v>
      </c>
      <c r="AG1438">
        <v>77</v>
      </c>
      <c r="AH1438">
        <v>0</v>
      </c>
      <c r="AI1438">
        <v>0</v>
      </c>
      <c r="AJ1438">
        <v>0</v>
      </c>
      <c r="AK1438">
        <v>0</v>
      </c>
      <c r="AL1438" t="s">
        <v>575</v>
      </c>
      <c r="AM1438" t="s">
        <v>576</v>
      </c>
      <c r="AN1438" t="s">
        <v>577</v>
      </c>
      <c r="AO1438" t="s">
        <v>1299</v>
      </c>
      <c r="AP1438" t="s">
        <v>74</v>
      </c>
      <c r="AQ1438" t="s">
        <v>74</v>
      </c>
      <c r="AR1438" t="s">
        <v>1300</v>
      </c>
      <c r="AS1438" t="s">
        <v>1301</v>
      </c>
      <c r="AT1438" t="s">
        <v>15423</v>
      </c>
      <c r="AU1438">
        <v>2025</v>
      </c>
      <c r="AV1438">
        <v>13</v>
      </c>
      <c r="AW1438">
        <v>4</v>
      </c>
      <c r="AX1438" t="s">
        <v>74</v>
      </c>
      <c r="AY1438" t="s">
        <v>74</v>
      </c>
      <c r="AZ1438" t="s">
        <v>74</v>
      </c>
      <c r="BA1438" t="s">
        <v>74</v>
      </c>
      <c r="BB1438" t="s">
        <v>74</v>
      </c>
      <c r="BC1438" t="s">
        <v>74</v>
      </c>
      <c r="BD1438">
        <v>237</v>
      </c>
      <c r="BE1438" t="s">
        <v>27585</v>
      </c>
      <c r="BF1438" t="str">
        <f>HYPERLINK("http://dx.doi.org/10.3390/ijfs13040237","http://dx.doi.org/10.3390/ijfs13040237")</f>
        <v>http://dx.doi.org/10.3390/ijfs13040237</v>
      </c>
      <c r="BG1438" t="s">
        <v>74</v>
      </c>
      <c r="BH1438" t="s">
        <v>74</v>
      </c>
      <c r="BI1438">
        <v>22</v>
      </c>
      <c r="BJ1438" t="s">
        <v>268</v>
      </c>
      <c r="BK1438" t="s">
        <v>313</v>
      </c>
      <c r="BL1438" t="s">
        <v>100</v>
      </c>
      <c r="BM1438" t="s">
        <v>27584</v>
      </c>
      <c r="BN1438" t="s">
        <v>74</v>
      </c>
      <c r="BO1438" t="s">
        <v>212</v>
      </c>
      <c r="BP1438" t="s">
        <v>74</v>
      </c>
      <c r="BQ1438" t="s">
        <v>74</v>
      </c>
      <c r="BR1438" t="s">
        <v>102</v>
      </c>
      <c r="BS1438" t="s">
        <v>27583</v>
      </c>
      <c r="BT1438" t="str">
        <f>HYPERLINK("https%3A%2F%2Fwww.webofscience.com%2Fwos%2Fwoscc%2Ffull-record%2FWOS:001646685100001","View Full Record in Web of Science")</f>
        <v>View Full Record in Web of Science</v>
      </c>
    </row>
    <row r="1439" spans="1:72" x14ac:dyDescent="0.25">
      <c r="A1439" t="s">
        <v>72</v>
      </c>
      <c r="B1439" t="s">
        <v>27582</v>
      </c>
      <c r="C1439" t="s">
        <v>74</v>
      </c>
      <c r="D1439" t="s">
        <v>74</v>
      </c>
      <c r="E1439" t="s">
        <v>74</v>
      </c>
      <c r="F1439" t="s">
        <v>27581</v>
      </c>
      <c r="G1439" t="s">
        <v>74</v>
      </c>
      <c r="H1439" t="s">
        <v>74</v>
      </c>
      <c r="I1439" t="s">
        <v>27580</v>
      </c>
      <c r="J1439" t="s">
        <v>27579</v>
      </c>
      <c r="K1439" t="s">
        <v>74</v>
      </c>
      <c r="L1439" t="s">
        <v>74</v>
      </c>
      <c r="M1439" t="s">
        <v>78</v>
      </c>
      <c r="N1439" t="s">
        <v>79</v>
      </c>
      <c r="O1439" t="s">
        <v>74</v>
      </c>
      <c r="P1439" t="s">
        <v>74</v>
      </c>
      <c r="Q1439" t="s">
        <v>74</v>
      </c>
      <c r="R1439" t="s">
        <v>74</v>
      </c>
      <c r="S1439" t="s">
        <v>74</v>
      </c>
      <c r="T1439" t="s">
        <v>27578</v>
      </c>
      <c r="U1439" t="s">
        <v>74</v>
      </c>
      <c r="V1439" t="s">
        <v>27577</v>
      </c>
      <c r="W1439" t="s">
        <v>27576</v>
      </c>
      <c r="X1439" t="s">
        <v>27575</v>
      </c>
      <c r="Y1439" t="s">
        <v>27574</v>
      </c>
      <c r="Z1439" t="s">
        <v>27573</v>
      </c>
      <c r="AA1439" t="s">
        <v>27572</v>
      </c>
      <c r="AB1439" t="s">
        <v>27571</v>
      </c>
      <c r="AC1439" t="s">
        <v>74</v>
      </c>
      <c r="AD1439" t="s">
        <v>74</v>
      </c>
      <c r="AE1439" t="s">
        <v>74</v>
      </c>
      <c r="AF1439" t="s">
        <v>74</v>
      </c>
      <c r="AG1439">
        <v>39</v>
      </c>
      <c r="AH1439">
        <v>1</v>
      </c>
      <c r="AI1439">
        <v>1</v>
      </c>
      <c r="AJ1439">
        <v>6</v>
      </c>
      <c r="AK1439">
        <v>16</v>
      </c>
      <c r="AL1439" t="s">
        <v>479</v>
      </c>
      <c r="AM1439" t="s">
        <v>480</v>
      </c>
      <c r="AN1439" t="s">
        <v>481</v>
      </c>
      <c r="AO1439" t="s">
        <v>27570</v>
      </c>
      <c r="AP1439" t="s">
        <v>27569</v>
      </c>
      <c r="AQ1439" t="s">
        <v>74</v>
      </c>
      <c r="AR1439" t="s">
        <v>27568</v>
      </c>
      <c r="AS1439" t="s">
        <v>27567</v>
      </c>
      <c r="AT1439" t="s">
        <v>848</v>
      </c>
      <c r="AU1439">
        <v>2024</v>
      </c>
      <c r="AV1439">
        <v>66</v>
      </c>
      <c r="AW1439">
        <v>4</v>
      </c>
      <c r="AX1439" t="s">
        <v>74</v>
      </c>
      <c r="AY1439" t="s">
        <v>74</v>
      </c>
      <c r="AZ1439" t="s">
        <v>74</v>
      </c>
      <c r="BA1439" t="s">
        <v>74</v>
      </c>
      <c r="BB1439">
        <v>325</v>
      </c>
      <c r="BC1439">
        <v>337</v>
      </c>
      <c r="BD1439" t="s">
        <v>74</v>
      </c>
      <c r="BE1439" t="s">
        <v>27566</v>
      </c>
      <c r="BF1439" t="str">
        <f>HYPERLINK("http://dx.doi.org/10.1002/tie.22381","http://dx.doi.org/10.1002/tie.22381")</f>
        <v>http://dx.doi.org/10.1002/tie.22381</v>
      </c>
      <c r="BG1439" t="s">
        <v>74</v>
      </c>
      <c r="BH1439" t="s">
        <v>938</v>
      </c>
      <c r="BI1439">
        <v>13</v>
      </c>
      <c r="BJ1439" t="s">
        <v>418</v>
      </c>
      <c r="BK1439" t="s">
        <v>313</v>
      </c>
      <c r="BL1439" t="s">
        <v>100</v>
      </c>
      <c r="BM1439" t="s">
        <v>27565</v>
      </c>
      <c r="BN1439" t="s">
        <v>74</v>
      </c>
      <c r="BO1439" t="s">
        <v>1205</v>
      </c>
      <c r="BP1439" t="s">
        <v>74</v>
      </c>
      <c r="BQ1439" t="s">
        <v>74</v>
      </c>
      <c r="BR1439" t="s">
        <v>102</v>
      </c>
      <c r="BS1439" t="s">
        <v>27564</v>
      </c>
      <c r="BT1439" t="str">
        <f>HYPERLINK("https%3A%2F%2Fwww.webofscience.com%2Fwos%2Fwoscc%2Ffull-record%2FWOS:001206769000001","View Full Record in Web of Science")</f>
        <v>View Full Record in Web of Science</v>
      </c>
    </row>
    <row r="1440" spans="1:72" x14ac:dyDescent="0.25">
      <c r="A1440" t="s">
        <v>72</v>
      </c>
      <c r="B1440" t="s">
        <v>27563</v>
      </c>
      <c r="C1440" t="s">
        <v>74</v>
      </c>
      <c r="D1440" t="s">
        <v>74</v>
      </c>
      <c r="E1440" t="s">
        <v>74</v>
      </c>
      <c r="F1440" t="s">
        <v>27562</v>
      </c>
      <c r="G1440" t="s">
        <v>74</v>
      </c>
      <c r="H1440" t="s">
        <v>74</v>
      </c>
      <c r="I1440" t="s">
        <v>27561</v>
      </c>
      <c r="J1440" t="s">
        <v>27560</v>
      </c>
      <c r="K1440" t="s">
        <v>74</v>
      </c>
      <c r="L1440" t="s">
        <v>74</v>
      </c>
      <c r="M1440" t="s">
        <v>78</v>
      </c>
      <c r="N1440" t="s">
        <v>79</v>
      </c>
      <c r="O1440" t="s">
        <v>74</v>
      </c>
      <c r="P1440" t="s">
        <v>74</v>
      </c>
      <c r="Q1440" t="s">
        <v>74</v>
      </c>
      <c r="R1440" t="s">
        <v>74</v>
      </c>
      <c r="S1440" t="s">
        <v>74</v>
      </c>
      <c r="T1440" t="s">
        <v>27559</v>
      </c>
      <c r="U1440" t="s">
        <v>27558</v>
      </c>
      <c r="V1440" t="s">
        <v>27557</v>
      </c>
      <c r="W1440" t="s">
        <v>27556</v>
      </c>
      <c r="X1440" t="s">
        <v>27555</v>
      </c>
      <c r="Y1440" t="s">
        <v>27554</v>
      </c>
      <c r="Z1440" t="s">
        <v>27553</v>
      </c>
      <c r="AA1440" t="s">
        <v>74</v>
      </c>
      <c r="AB1440" t="s">
        <v>27552</v>
      </c>
      <c r="AC1440" t="s">
        <v>27551</v>
      </c>
      <c r="AD1440" t="s">
        <v>27551</v>
      </c>
      <c r="AE1440" t="s">
        <v>27550</v>
      </c>
      <c r="AF1440" t="s">
        <v>74</v>
      </c>
      <c r="AG1440">
        <v>72</v>
      </c>
      <c r="AH1440">
        <v>100</v>
      </c>
      <c r="AI1440">
        <v>105</v>
      </c>
      <c r="AJ1440">
        <v>1</v>
      </c>
      <c r="AK1440">
        <v>48</v>
      </c>
      <c r="AL1440" t="s">
        <v>4485</v>
      </c>
      <c r="AM1440" t="s">
        <v>6724</v>
      </c>
      <c r="AN1440" t="s">
        <v>6725</v>
      </c>
      <c r="AO1440" t="s">
        <v>27549</v>
      </c>
      <c r="AP1440" t="s">
        <v>27548</v>
      </c>
      <c r="AQ1440" t="s">
        <v>74</v>
      </c>
      <c r="AR1440" t="s">
        <v>27547</v>
      </c>
      <c r="AS1440" t="s">
        <v>27546</v>
      </c>
      <c r="AT1440" t="s">
        <v>605</v>
      </c>
      <c r="AU1440">
        <v>2023</v>
      </c>
      <c r="AV1440">
        <v>174</v>
      </c>
      <c r="AW1440" t="s">
        <v>74</v>
      </c>
      <c r="AX1440" t="s">
        <v>74</v>
      </c>
      <c r="AY1440" t="s">
        <v>74</v>
      </c>
      <c r="AZ1440" t="s">
        <v>74</v>
      </c>
      <c r="BA1440" t="s">
        <v>74</v>
      </c>
      <c r="BB1440" t="s">
        <v>74</v>
      </c>
      <c r="BC1440" t="s">
        <v>74</v>
      </c>
      <c r="BD1440">
        <v>113422</v>
      </c>
      <c r="BE1440" t="s">
        <v>27545</v>
      </c>
      <c r="BF1440" t="str">
        <f>HYPERLINK("http://dx.doi.org/10.1016/j.enpol.2023.113422","http://dx.doi.org/10.1016/j.enpol.2023.113422")</f>
        <v>http://dx.doi.org/10.1016/j.enpol.2023.113422</v>
      </c>
      <c r="BG1440" t="s">
        <v>74</v>
      </c>
      <c r="BH1440" t="s">
        <v>9145</v>
      </c>
      <c r="BI1440">
        <v>10</v>
      </c>
      <c r="BJ1440" t="s">
        <v>27544</v>
      </c>
      <c r="BK1440" t="s">
        <v>2623</v>
      </c>
      <c r="BL1440" t="s">
        <v>27543</v>
      </c>
      <c r="BM1440" t="s">
        <v>27542</v>
      </c>
      <c r="BN1440" t="s">
        <v>74</v>
      </c>
      <c r="BO1440" t="s">
        <v>74</v>
      </c>
      <c r="BP1440" t="s">
        <v>74</v>
      </c>
      <c r="BQ1440" t="s">
        <v>74</v>
      </c>
      <c r="BR1440" t="s">
        <v>102</v>
      </c>
      <c r="BS1440" t="s">
        <v>27541</v>
      </c>
      <c r="BT1440" t="str">
        <f>HYPERLINK("https%3A%2F%2Fwww.webofscience.com%2Fwos%2Fwoscc%2Ffull-record%2FWOS:000932513900001","View Full Record in Web of Science")</f>
        <v>View Full Record in Web of Science</v>
      </c>
    </row>
    <row r="1441" spans="1:72" x14ac:dyDescent="0.25">
      <c r="A1441" t="s">
        <v>72</v>
      </c>
      <c r="B1441" t="s">
        <v>27540</v>
      </c>
      <c r="C1441" t="s">
        <v>74</v>
      </c>
      <c r="D1441" t="s">
        <v>74</v>
      </c>
      <c r="E1441" t="s">
        <v>74</v>
      </c>
      <c r="F1441" t="s">
        <v>27539</v>
      </c>
      <c r="G1441" t="s">
        <v>74</v>
      </c>
      <c r="H1441" t="s">
        <v>74</v>
      </c>
      <c r="I1441" t="s">
        <v>27538</v>
      </c>
      <c r="J1441" t="s">
        <v>9896</v>
      </c>
      <c r="K1441" t="s">
        <v>74</v>
      </c>
      <c r="L1441" t="s">
        <v>74</v>
      </c>
      <c r="M1441" t="s">
        <v>78</v>
      </c>
      <c r="N1441" t="s">
        <v>1766</v>
      </c>
      <c r="O1441" t="s">
        <v>74</v>
      </c>
      <c r="P1441" t="s">
        <v>74</v>
      </c>
      <c r="Q1441" t="s">
        <v>74</v>
      </c>
      <c r="R1441" t="s">
        <v>74</v>
      </c>
      <c r="S1441" t="s">
        <v>74</v>
      </c>
      <c r="T1441" t="s">
        <v>27537</v>
      </c>
      <c r="U1441" t="s">
        <v>27536</v>
      </c>
      <c r="V1441" t="s">
        <v>27535</v>
      </c>
      <c r="W1441" t="s">
        <v>27534</v>
      </c>
      <c r="X1441" t="s">
        <v>27533</v>
      </c>
      <c r="Y1441" t="s">
        <v>27532</v>
      </c>
      <c r="Z1441" t="s">
        <v>27531</v>
      </c>
      <c r="AA1441" t="s">
        <v>27530</v>
      </c>
      <c r="AB1441" t="s">
        <v>27529</v>
      </c>
      <c r="AC1441" t="s">
        <v>74</v>
      </c>
      <c r="AD1441" t="s">
        <v>74</v>
      </c>
      <c r="AE1441" t="s">
        <v>74</v>
      </c>
      <c r="AF1441" t="s">
        <v>74</v>
      </c>
      <c r="AG1441">
        <v>32</v>
      </c>
      <c r="AH1441">
        <v>22</v>
      </c>
      <c r="AI1441">
        <v>31</v>
      </c>
      <c r="AJ1441">
        <v>0</v>
      </c>
      <c r="AK1441">
        <v>20</v>
      </c>
      <c r="AL1441" t="s">
        <v>89</v>
      </c>
      <c r="AM1441" t="s">
        <v>1497</v>
      </c>
      <c r="AN1441" t="s">
        <v>1498</v>
      </c>
      <c r="AO1441" t="s">
        <v>9905</v>
      </c>
      <c r="AP1441" t="s">
        <v>9906</v>
      </c>
      <c r="AQ1441" t="s">
        <v>74</v>
      </c>
      <c r="AR1441" t="s">
        <v>9907</v>
      </c>
      <c r="AS1441" t="s">
        <v>9908</v>
      </c>
      <c r="AT1441" t="s">
        <v>74</v>
      </c>
      <c r="AU1441">
        <v>2018</v>
      </c>
      <c r="AV1441">
        <v>78</v>
      </c>
      <c r="AW1441">
        <v>3</v>
      </c>
      <c r="AX1441" t="s">
        <v>74</v>
      </c>
      <c r="AY1441" t="s">
        <v>74</v>
      </c>
      <c r="AZ1441" t="s">
        <v>74</v>
      </c>
      <c r="BA1441" t="s">
        <v>74</v>
      </c>
      <c r="BB1441">
        <v>376</v>
      </c>
      <c r="BC1441">
        <v>392</v>
      </c>
      <c r="BD1441" t="s">
        <v>74</v>
      </c>
      <c r="BE1441" t="s">
        <v>27528</v>
      </c>
      <c r="BF1441" t="str">
        <f>HYPERLINK("http://dx.doi.org/10.1108/AFR-05-2017-0035","http://dx.doi.org/10.1108/AFR-05-2017-0035")</f>
        <v>http://dx.doi.org/10.1108/AFR-05-2017-0035</v>
      </c>
      <c r="BG1441" t="s">
        <v>74</v>
      </c>
      <c r="BH1441" t="s">
        <v>74</v>
      </c>
      <c r="BI1441">
        <v>17</v>
      </c>
      <c r="BJ1441" t="s">
        <v>5151</v>
      </c>
      <c r="BK1441" t="s">
        <v>313</v>
      </c>
      <c r="BL1441" t="s">
        <v>5152</v>
      </c>
      <c r="BM1441" t="s">
        <v>27527</v>
      </c>
      <c r="BN1441" t="s">
        <v>74</v>
      </c>
      <c r="BO1441" t="s">
        <v>74</v>
      </c>
      <c r="BP1441" t="s">
        <v>74</v>
      </c>
      <c r="BQ1441" t="s">
        <v>74</v>
      </c>
      <c r="BR1441" t="s">
        <v>102</v>
      </c>
      <c r="BS1441" t="s">
        <v>27526</v>
      </c>
      <c r="BT1441" t="str">
        <f>HYPERLINK("https%3A%2F%2Fwww.webofscience.com%2Fwos%2Fwoscc%2Ffull-record%2FWOS:000442368600006","View Full Record in Web of Science")</f>
        <v>View Full Record in Web of Science</v>
      </c>
    </row>
    <row r="1442" spans="1:72" x14ac:dyDescent="0.25">
      <c r="A1442" t="s">
        <v>72</v>
      </c>
      <c r="B1442" t="s">
        <v>27525</v>
      </c>
      <c r="C1442" t="s">
        <v>74</v>
      </c>
      <c r="D1442" t="s">
        <v>74</v>
      </c>
      <c r="E1442" t="s">
        <v>74</v>
      </c>
      <c r="F1442" t="s">
        <v>27524</v>
      </c>
      <c r="G1442" t="s">
        <v>74</v>
      </c>
      <c r="H1442" t="s">
        <v>74</v>
      </c>
      <c r="I1442" t="s">
        <v>27523</v>
      </c>
      <c r="J1442" t="s">
        <v>12129</v>
      </c>
      <c r="K1442" t="s">
        <v>74</v>
      </c>
      <c r="L1442" t="s">
        <v>74</v>
      </c>
      <c r="M1442" t="s">
        <v>78</v>
      </c>
      <c r="N1442" t="s">
        <v>79</v>
      </c>
      <c r="O1442" t="s">
        <v>74</v>
      </c>
      <c r="P1442" t="s">
        <v>74</v>
      </c>
      <c r="Q1442" t="s">
        <v>74</v>
      </c>
      <c r="R1442" t="s">
        <v>74</v>
      </c>
      <c r="S1442" t="s">
        <v>74</v>
      </c>
      <c r="T1442" t="s">
        <v>27522</v>
      </c>
      <c r="U1442" t="s">
        <v>27521</v>
      </c>
      <c r="V1442" t="s">
        <v>27520</v>
      </c>
      <c r="W1442" t="s">
        <v>27519</v>
      </c>
      <c r="X1442" t="s">
        <v>27518</v>
      </c>
      <c r="Y1442" t="s">
        <v>27517</v>
      </c>
      <c r="Z1442" t="s">
        <v>27516</v>
      </c>
      <c r="AA1442" t="s">
        <v>74</v>
      </c>
      <c r="AB1442" t="s">
        <v>74</v>
      </c>
      <c r="AC1442" t="s">
        <v>14341</v>
      </c>
      <c r="AD1442" t="s">
        <v>8707</v>
      </c>
      <c r="AE1442" t="s">
        <v>27515</v>
      </c>
      <c r="AF1442" t="s">
        <v>74</v>
      </c>
      <c r="AG1442">
        <v>44</v>
      </c>
      <c r="AH1442">
        <v>5</v>
      </c>
      <c r="AI1442">
        <v>5</v>
      </c>
      <c r="AJ1442">
        <v>6</v>
      </c>
      <c r="AK1442">
        <v>58</v>
      </c>
      <c r="AL1442" t="s">
        <v>479</v>
      </c>
      <c r="AM1442" t="s">
        <v>480</v>
      </c>
      <c r="AN1442" t="s">
        <v>481</v>
      </c>
      <c r="AO1442" t="s">
        <v>12140</v>
      </c>
      <c r="AP1442" t="s">
        <v>12141</v>
      </c>
      <c r="AQ1442" t="s">
        <v>74</v>
      </c>
      <c r="AR1442" t="s">
        <v>12142</v>
      </c>
      <c r="AS1442" t="s">
        <v>12143</v>
      </c>
      <c r="AT1442" t="s">
        <v>124</v>
      </c>
      <c r="AU1442">
        <v>2022</v>
      </c>
      <c r="AV1442">
        <v>62</v>
      </c>
      <c r="AW1442">
        <v>5</v>
      </c>
      <c r="AX1442" t="s">
        <v>74</v>
      </c>
      <c r="AY1442" t="s">
        <v>74</v>
      </c>
      <c r="AZ1442" t="s">
        <v>74</v>
      </c>
      <c r="BA1442" t="s">
        <v>74</v>
      </c>
      <c r="BB1442">
        <v>4783</v>
      </c>
      <c r="BC1442">
        <v>4806</v>
      </c>
      <c r="BD1442" t="s">
        <v>74</v>
      </c>
      <c r="BE1442" t="s">
        <v>27514</v>
      </c>
      <c r="BF1442" t="str">
        <f>HYPERLINK("http://dx.doi.org/10.1111/acfi.13000","http://dx.doi.org/10.1111/acfi.13000")</f>
        <v>http://dx.doi.org/10.1111/acfi.13000</v>
      </c>
      <c r="BG1442" t="s">
        <v>74</v>
      </c>
      <c r="BH1442" t="s">
        <v>2328</v>
      </c>
      <c r="BI1442">
        <v>24</v>
      </c>
      <c r="BJ1442" t="s">
        <v>268</v>
      </c>
      <c r="BK1442" t="s">
        <v>99</v>
      </c>
      <c r="BL1442" t="s">
        <v>100</v>
      </c>
      <c r="BM1442" t="s">
        <v>27513</v>
      </c>
      <c r="BN1442" t="s">
        <v>74</v>
      </c>
      <c r="BO1442" t="s">
        <v>74</v>
      </c>
      <c r="BP1442" t="s">
        <v>74</v>
      </c>
      <c r="BQ1442" t="s">
        <v>74</v>
      </c>
      <c r="BR1442" t="s">
        <v>102</v>
      </c>
      <c r="BS1442" t="s">
        <v>27512</v>
      </c>
      <c r="BT1442" t="str">
        <f>HYPERLINK("https%3A%2F%2Fwww.webofscience.com%2Fwos%2Fwoscc%2Ffull-record%2FWOS:000847916600001","View Full Record in Web of Science")</f>
        <v>View Full Record in Web of Science</v>
      </c>
    </row>
    <row r="1443" spans="1:72" x14ac:dyDescent="0.25">
      <c r="A1443" t="s">
        <v>72</v>
      </c>
      <c r="B1443" t="s">
        <v>27511</v>
      </c>
      <c r="C1443" t="s">
        <v>74</v>
      </c>
      <c r="D1443" t="s">
        <v>74</v>
      </c>
      <c r="E1443" t="s">
        <v>74</v>
      </c>
      <c r="F1443" t="s">
        <v>27510</v>
      </c>
      <c r="G1443" t="s">
        <v>74</v>
      </c>
      <c r="H1443" t="s">
        <v>74</v>
      </c>
      <c r="I1443" t="s">
        <v>27509</v>
      </c>
      <c r="J1443" t="s">
        <v>13601</v>
      </c>
      <c r="K1443" t="s">
        <v>74</v>
      </c>
      <c r="L1443" t="s">
        <v>74</v>
      </c>
      <c r="M1443" t="s">
        <v>78</v>
      </c>
      <c r="N1443" t="s">
        <v>79</v>
      </c>
      <c r="O1443" t="s">
        <v>74</v>
      </c>
      <c r="P1443" t="s">
        <v>74</v>
      </c>
      <c r="Q1443" t="s">
        <v>74</v>
      </c>
      <c r="R1443" t="s">
        <v>74</v>
      </c>
      <c r="S1443" t="s">
        <v>74</v>
      </c>
      <c r="T1443" t="s">
        <v>27508</v>
      </c>
      <c r="U1443" t="s">
        <v>27507</v>
      </c>
      <c r="V1443" t="s">
        <v>27506</v>
      </c>
      <c r="W1443" t="s">
        <v>27505</v>
      </c>
      <c r="X1443" t="s">
        <v>20224</v>
      </c>
      <c r="Y1443" t="s">
        <v>27504</v>
      </c>
      <c r="Z1443" t="s">
        <v>27503</v>
      </c>
      <c r="AA1443" t="s">
        <v>27502</v>
      </c>
      <c r="AB1443" t="s">
        <v>74</v>
      </c>
      <c r="AC1443" t="s">
        <v>74</v>
      </c>
      <c r="AD1443" t="s">
        <v>74</v>
      </c>
      <c r="AE1443" t="s">
        <v>74</v>
      </c>
      <c r="AF1443" t="s">
        <v>74</v>
      </c>
      <c r="AG1443">
        <v>104</v>
      </c>
      <c r="AH1443">
        <v>0</v>
      </c>
      <c r="AI1443">
        <v>1</v>
      </c>
      <c r="AJ1443">
        <v>2</v>
      </c>
      <c r="AK1443">
        <v>3</v>
      </c>
      <c r="AL1443" t="s">
        <v>21649</v>
      </c>
      <c r="AM1443" t="s">
        <v>21648</v>
      </c>
      <c r="AN1443" t="s">
        <v>21647</v>
      </c>
      <c r="AO1443" t="s">
        <v>13608</v>
      </c>
      <c r="AP1443" t="s">
        <v>74</v>
      </c>
      <c r="AQ1443" t="s">
        <v>74</v>
      </c>
      <c r="AR1443" t="s">
        <v>13609</v>
      </c>
      <c r="AS1443" t="s">
        <v>13610</v>
      </c>
      <c r="AT1443" t="s">
        <v>4611</v>
      </c>
      <c r="AU1443">
        <v>2024</v>
      </c>
      <c r="AV1443">
        <v>14</v>
      </c>
      <c r="AW1443">
        <v>2</v>
      </c>
      <c r="AX1443" t="s">
        <v>74</v>
      </c>
      <c r="AY1443" t="s">
        <v>74</v>
      </c>
      <c r="AZ1443" t="s">
        <v>74</v>
      </c>
      <c r="BA1443" t="s">
        <v>74</v>
      </c>
      <c r="BB1443">
        <v>78</v>
      </c>
      <c r="BC1443">
        <v>93</v>
      </c>
      <c r="BD1443" t="s">
        <v>74</v>
      </c>
      <c r="BE1443" t="s">
        <v>74</v>
      </c>
      <c r="BF1443" t="s">
        <v>74</v>
      </c>
      <c r="BG1443" t="s">
        <v>74</v>
      </c>
      <c r="BH1443" t="s">
        <v>74</v>
      </c>
      <c r="BI1443">
        <v>16</v>
      </c>
      <c r="BJ1443" t="s">
        <v>268</v>
      </c>
      <c r="BK1443" t="s">
        <v>313</v>
      </c>
      <c r="BL1443" t="s">
        <v>100</v>
      </c>
      <c r="BM1443" t="s">
        <v>27501</v>
      </c>
      <c r="BN1443" t="s">
        <v>74</v>
      </c>
      <c r="BO1443" t="s">
        <v>74</v>
      </c>
      <c r="BP1443" t="s">
        <v>74</v>
      </c>
      <c r="BQ1443" t="s">
        <v>74</v>
      </c>
      <c r="BR1443" t="s">
        <v>102</v>
      </c>
      <c r="BS1443" t="s">
        <v>27500</v>
      </c>
      <c r="BT1443" t="str">
        <f>HYPERLINK("https%3A%2F%2Fwww.webofscience.com%2Fwos%2Fwoscc%2Ffull-record%2FWOS:001412689600005","View Full Record in Web of Science")</f>
        <v>View Full Record in Web of Science</v>
      </c>
    </row>
    <row r="1444" spans="1:72" x14ac:dyDescent="0.25">
      <c r="A1444" t="s">
        <v>72</v>
      </c>
      <c r="B1444" t="s">
        <v>27499</v>
      </c>
      <c r="C1444" t="s">
        <v>74</v>
      </c>
      <c r="D1444" t="s">
        <v>74</v>
      </c>
      <c r="E1444" t="s">
        <v>74</v>
      </c>
      <c r="F1444" t="s">
        <v>27498</v>
      </c>
      <c r="G1444" t="s">
        <v>74</v>
      </c>
      <c r="H1444" t="s">
        <v>74</v>
      </c>
      <c r="I1444" t="s">
        <v>27497</v>
      </c>
      <c r="J1444" t="s">
        <v>20213</v>
      </c>
      <c r="K1444" t="s">
        <v>74</v>
      </c>
      <c r="L1444" t="s">
        <v>74</v>
      </c>
      <c r="M1444" t="s">
        <v>78</v>
      </c>
      <c r="N1444" t="s">
        <v>372</v>
      </c>
      <c r="O1444" t="s">
        <v>74</v>
      </c>
      <c r="P1444" t="s">
        <v>74</v>
      </c>
      <c r="Q1444" t="s">
        <v>74</v>
      </c>
      <c r="R1444" t="s">
        <v>74</v>
      </c>
      <c r="S1444" t="s">
        <v>74</v>
      </c>
      <c r="T1444" t="s">
        <v>27496</v>
      </c>
      <c r="U1444" t="s">
        <v>27495</v>
      </c>
      <c r="V1444" t="s">
        <v>27494</v>
      </c>
      <c r="W1444" t="s">
        <v>27493</v>
      </c>
      <c r="X1444" t="s">
        <v>27492</v>
      </c>
      <c r="Y1444" t="s">
        <v>27491</v>
      </c>
      <c r="Z1444" t="s">
        <v>27490</v>
      </c>
      <c r="AA1444" t="s">
        <v>27489</v>
      </c>
      <c r="AB1444" t="s">
        <v>74</v>
      </c>
      <c r="AC1444" t="s">
        <v>74</v>
      </c>
      <c r="AD1444" t="s">
        <v>74</v>
      </c>
      <c r="AE1444" t="s">
        <v>74</v>
      </c>
      <c r="AF1444" t="s">
        <v>74</v>
      </c>
      <c r="AG1444">
        <v>84</v>
      </c>
      <c r="AH1444">
        <v>0</v>
      </c>
      <c r="AI1444">
        <v>0</v>
      </c>
      <c r="AJ1444">
        <v>3</v>
      </c>
      <c r="AK1444">
        <v>7</v>
      </c>
      <c r="AL1444" t="s">
        <v>89</v>
      </c>
      <c r="AM1444" t="s">
        <v>90</v>
      </c>
      <c r="AN1444" t="s">
        <v>91</v>
      </c>
      <c r="AO1444" t="s">
        <v>20205</v>
      </c>
      <c r="AP1444" t="s">
        <v>20204</v>
      </c>
      <c r="AQ1444" t="s">
        <v>74</v>
      </c>
      <c r="AR1444" t="s">
        <v>20203</v>
      </c>
      <c r="AS1444" t="s">
        <v>20202</v>
      </c>
      <c r="AT1444" t="s">
        <v>27488</v>
      </c>
      <c r="AU1444">
        <v>2025</v>
      </c>
      <c r="AV1444" t="s">
        <v>74</v>
      </c>
      <c r="AW1444" t="s">
        <v>74</v>
      </c>
      <c r="AX1444" t="s">
        <v>74</v>
      </c>
      <c r="AY1444" t="s">
        <v>74</v>
      </c>
      <c r="AZ1444" t="s">
        <v>74</v>
      </c>
      <c r="BA1444" t="s">
        <v>74</v>
      </c>
      <c r="BB1444" t="s">
        <v>74</v>
      </c>
      <c r="BC1444" t="s">
        <v>74</v>
      </c>
      <c r="BD1444" t="s">
        <v>74</v>
      </c>
      <c r="BE1444" t="s">
        <v>27487</v>
      </c>
      <c r="BF1444" t="str">
        <f>HYPERLINK("http://dx.doi.org/10.1108/JIABR-03-2023-0111","http://dx.doi.org/10.1108/JIABR-03-2023-0111")</f>
        <v>http://dx.doi.org/10.1108/JIABR-03-2023-0111</v>
      </c>
      <c r="BG1444" t="s">
        <v>74</v>
      </c>
      <c r="BH1444" t="s">
        <v>417</v>
      </c>
      <c r="BI1444">
        <v>24</v>
      </c>
      <c r="BJ1444" t="s">
        <v>268</v>
      </c>
      <c r="BK1444" t="s">
        <v>313</v>
      </c>
      <c r="BL1444" t="s">
        <v>100</v>
      </c>
      <c r="BM1444" t="s">
        <v>27486</v>
      </c>
      <c r="BN1444" t="s">
        <v>74</v>
      </c>
      <c r="BO1444" t="s">
        <v>74</v>
      </c>
      <c r="BP1444" t="s">
        <v>74</v>
      </c>
      <c r="BQ1444" t="s">
        <v>74</v>
      </c>
      <c r="BR1444" t="s">
        <v>102</v>
      </c>
      <c r="BS1444" t="s">
        <v>27485</v>
      </c>
      <c r="BT1444" t="str">
        <f>HYPERLINK("https%3A%2F%2Fwww.webofscience.com%2Fwos%2Fwoscc%2Ffull-record%2FWOS:001423645300001","View Full Record in Web of Science")</f>
        <v>View Full Record in Web of Science</v>
      </c>
    </row>
    <row r="1445" spans="1:72" x14ac:dyDescent="0.25">
      <c r="A1445" t="s">
        <v>72</v>
      </c>
      <c r="B1445" t="s">
        <v>27484</v>
      </c>
      <c r="C1445" t="s">
        <v>74</v>
      </c>
      <c r="D1445" t="s">
        <v>74</v>
      </c>
      <c r="E1445" t="s">
        <v>74</v>
      </c>
      <c r="F1445" t="s">
        <v>27483</v>
      </c>
      <c r="G1445" t="s">
        <v>74</v>
      </c>
      <c r="H1445" t="s">
        <v>74</v>
      </c>
      <c r="I1445" t="s">
        <v>27482</v>
      </c>
      <c r="J1445" t="s">
        <v>27469</v>
      </c>
      <c r="K1445" t="s">
        <v>74</v>
      </c>
      <c r="L1445" t="s">
        <v>74</v>
      </c>
      <c r="M1445" t="s">
        <v>78</v>
      </c>
      <c r="N1445" t="s">
        <v>79</v>
      </c>
      <c r="O1445" t="s">
        <v>74</v>
      </c>
      <c r="P1445" t="s">
        <v>74</v>
      </c>
      <c r="Q1445" t="s">
        <v>74</v>
      </c>
      <c r="R1445" t="s">
        <v>74</v>
      </c>
      <c r="S1445" t="s">
        <v>74</v>
      </c>
      <c r="T1445" t="s">
        <v>27481</v>
      </c>
      <c r="U1445" t="s">
        <v>74</v>
      </c>
      <c r="V1445" t="s">
        <v>27480</v>
      </c>
      <c r="W1445" t="s">
        <v>27479</v>
      </c>
      <c r="X1445" t="s">
        <v>27478</v>
      </c>
      <c r="Y1445" t="s">
        <v>27477</v>
      </c>
      <c r="Z1445" t="s">
        <v>27476</v>
      </c>
      <c r="AA1445" t="s">
        <v>27475</v>
      </c>
      <c r="AB1445" t="s">
        <v>27474</v>
      </c>
      <c r="AC1445" t="s">
        <v>27473</v>
      </c>
      <c r="AD1445" t="s">
        <v>27472</v>
      </c>
      <c r="AE1445" t="s">
        <v>27471</v>
      </c>
      <c r="AF1445" t="s">
        <v>74</v>
      </c>
      <c r="AG1445">
        <v>46</v>
      </c>
      <c r="AH1445">
        <v>6</v>
      </c>
      <c r="AI1445">
        <v>7</v>
      </c>
      <c r="AJ1445">
        <v>0</v>
      </c>
      <c r="AK1445">
        <v>21</v>
      </c>
      <c r="AL1445" t="s">
        <v>575</v>
      </c>
      <c r="AM1445" t="s">
        <v>576</v>
      </c>
      <c r="AN1445" t="s">
        <v>577</v>
      </c>
      <c r="AO1445" t="s">
        <v>74</v>
      </c>
      <c r="AP1445" t="s">
        <v>27470</v>
      </c>
      <c r="AQ1445" t="s">
        <v>74</v>
      </c>
      <c r="AR1445" t="s">
        <v>27469</v>
      </c>
      <c r="AS1445" t="s">
        <v>27468</v>
      </c>
      <c r="AT1445" t="s">
        <v>743</v>
      </c>
      <c r="AU1445">
        <v>2021</v>
      </c>
      <c r="AV1445">
        <v>13</v>
      </c>
      <c r="AW1445">
        <v>4</v>
      </c>
      <c r="AX1445" t="s">
        <v>74</v>
      </c>
      <c r="AY1445" t="s">
        <v>74</v>
      </c>
      <c r="AZ1445" t="s">
        <v>74</v>
      </c>
      <c r="BA1445" t="s">
        <v>74</v>
      </c>
      <c r="BB1445" t="s">
        <v>74</v>
      </c>
      <c r="BC1445" t="s">
        <v>74</v>
      </c>
      <c r="BD1445">
        <v>575</v>
      </c>
      <c r="BE1445" t="s">
        <v>27467</v>
      </c>
      <c r="BF1445" t="str">
        <f>HYPERLINK("http://dx.doi.org/10.3390/sym13040575","http://dx.doi.org/10.3390/sym13040575")</f>
        <v>http://dx.doi.org/10.3390/sym13040575</v>
      </c>
      <c r="BG1445" t="s">
        <v>74</v>
      </c>
      <c r="BH1445" t="s">
        <v>74</v>
      </c>
      <c r="BI1445">
        <v>17</v>
      </c>
      <c r="BJ1445" t="s">
        <v>559</v>
      </c>
      <c r="BK1445" t="s">
        <v>128</v>
      </c>
      <c r="BL1445" t="s">
        <v>560</v>
      </c>
      <c r="BM1445" t="s">
        <v>27466</v>
      </c>
      <c r="BN1445" t="s">
        <v>74</v>
      </c>
      <c r="BO1445" t="s">
        <v>916</v>
      </c>
      <c r="BP1445" t="s">
        <v>74</v>
      </c>
      <c r="BQ1445" t="s">
        <v>74</v>
      </c>
      <c r="BR1445" t="s">
        <v>102</v>
      </c>
      <c r="BS1445" t="s">
        <v>27465</v>
      </c>
      <c r="BT1445" t="str">
        <f>HYPERLINK("https%3A%2F%2Fwww.webofscience.com%2Fwos%2Fwoscc%2Ffull-record%2FWOS:000643640300001","View Full Record in Web of Science")</f>
        <v>View Full Record in Web of Science</v>
      </c>
    </row>
    <row r="1446" spans="1:72" x14ac:dyDescent="0.25">
      <c r="A1446" t="s">
        <v>72</v>
      </c>
      <c r="B1446" t="s">
        <v>27464</v>
      </c>
      <c r="C1446" t="s">
        <v>74</v>
      </c>
      <c r="D1446" t="s">
        <v>74</v>
      </c>
      <c r="E1446" t="s">
        <v>74</v>
      </c>
      <c r="F1446" t="s">
        <v>27463</v>
      </c>
      <c r="G1446" t="s">
        <v>74</v>
      </c>
      <c r="H1446" t="s">
        <v>74</v>
      </c>
      <c r="I1446" t="s">
        <v>27462</v>
      </c>
      <c r="J1446" t="s">
        <v>27461</v>
      </c>
      <c r="K1446" t="s">
        <v>74</v>
      </c>
      <c r="L1446" t="s">
        <v>74</v>
      </c>
      <c r="M1446" t="s">
        <v>78</v>
      </c>
      <c r="N1446" t="s">
        <v>79</v>
      </c>
      <c r="O1446" t="s">
        <v>74</v>
      </c>
      <c r="P1446" t="s">
        <v>74</v>
      </c>
      <c r="Q1446" t="s">
        <v>74</v>
      </c>
      <c r="R1446" t="s">
        <v>74</v>
      </c>
      <c r="S1446" t="s">
        <v>74</v>
      </c>
      <c r="T1446" t="s">
        <v>27460</v>
      </c>
      <c r="U1446" t="s">
        <v>27459</v>
      </c>
      <c r="V1446" t="s">
        <v>27458</v>
      </c>
      <c r="W1446" t="s">
        <v>27457</v>
      </c>
      <c r="X1446" t="s">
        <v>27456</v>
      </c>
      <c r="Y1446" t="s">
        <v>27455</v>
      </c>
      <c r="Z1446" t="s">
        <v>27454</v>
      </c>
      <c r="AA1446" t="s">
        <v>27453</v>
      </c>
      <c r="AB1446" t="s">
        <v>27452</v>
      </c>
      <c r="AC1446" t="s">
        <v>27451</v>
      </c>
      <c r="AD1446" t="s">
        <v>27451</v>
      </c>
      <c r="AE1446" t="s">
        <v>27450</v>
      </c>
      <c r="AF1446" t="s">
        <v>74</v>
      </c>
      <c r="AG1446">
        <v>63</v>
      </c>
      <c r="AH1446">
        <v>12</v>
      </c>
      <c r="AI1446">
        <v>18</v>
      </c>
      <c r="AJ1446">
        <v>1</v>
      </c>
      <c r="AK1446">
        <v>23</v>
      </c>
      <c r="AL1446" t="s">
        <v>3861</v>
      </c>
      <c r="AM1446" t="s">
        <v>2016</v>
      </c>
      <c r="AN1446" t="s">
        <v>3862</v>
      </c>
      <c r="AO1446" t="s">
        <v>27449</v>
      </c>
      <c r="AP1446" t="s">
        <v>27448</v>
      </c>
      <c r="AQ1446" t="s">
        <v>74</v>
      </c>
      <c r="AR1446" t="s">
        <v>27447</v>
      </c>
      <c r="AS1446" t="s">
        <v>27446</v>
      </c>
      <c r="AT1446" t="s">
        <v>208</v>
      </c>
      <c r="AU1446">
        <v>2020</v>
      </c>
      <c r="AV1446">
        <v>19</v>
      </c>
      <c r="AW1446">
        <v>1</v>
      </c>
      <c r="AX1446" t="s">
        <v>74</v>
      </c>
      <c r="AY1446" t="s">
        <v>74</v>
      </c>
      <c r="AZ1446" t="s">
        <v>74</v>
      </c>
      <c r="BA1446" t="s">
        <v>74</v>
      </c>
      <c r="BB1446">
        <v>19</v>
      </c>
      <c r="BC1446">
        <v>35</v>
      </c>
      <c r="BD1446" t="s">
        <v>74</v>
      </c>
      <c r="BE1446" t="s">
        <v>27445</v>
      </c>
      <c r="BF1446" t="str">
        <f>HYPERLINK("http://dx.doi.org/10.1017/S1474746419000125","http://dx.doi.org/10.1017/S1474746419000125")</f>
        <v>http://dx.doi.org/10.1017/S1474746419000125</v>
      </c>
      <c r="BG1446" t="s">
        <v>74</v>
      </c>
      <c r="BH1446" t="s">
        <v>74</v>
      </c>
      <c r="BI1446">
        <v>17</v>
      </c>
      <c r="BJ1446" t="s">
        <v>27444</v>
      </c>
      <c r="BK1446" t="s">
        <v>99</v>
      </c>
      <c r="BL1446" t="s">
        <v>27444</v>
      </c>
      <c r="BM1446" t="s">
        <v>27443</v>
      </c>
      <c r="BN1446" t="s">
        <v>74</v>
      </c>
      <c r="BO1446" t="s">
        <v>74</v>
      </c>
      <c r="BP1446" t="s">
        <v>74</v>
      </c>
      <c r="BQ1446" t="s">
        <v>74</v>
      </c>
      <c r="BR1446" t="s">
        <v>102</v>
      </c>
      <c r="BS1446" t="s">
        <v>27442</v>
      </c>
      <c r="BT1446" t="str">
        <f>HYPERLINK("https%3A%2F%2Fwww.webofscience.com%2Fwos%2Fwoscc%2Ffull-record%2FWOS:000504566300002","View Full Record in Web of Science")</f>
        <v>View Full Record in Web of Science</v>
      </c>
    </row>
    <row r="1447" spans="1:72" x14ac:dyDescent="0.25">
      <c r="A1447" t="s">
        <v>72</v>
      </c>
      <c r="B1447" t="s">
        <v>27441</v>
      </c>
      <c r="C1447" t="s">
        <v>74</v>
      </c>
      <c r="D1447" t="s">
        <v>74</v>
      </c>
      <c r="E1447" t="s">
        <v>74</v>
      </c>
      <c r="F1447" t="s">
        <v>27440</v>
      </c>
      <c r="G1447" t="s">
        <v>74</v>
      </c>
      <c r="H1447" t="s">
        <v>74</v>
      </c>
      <c r="I1447" t="s">
        <v>27439</v>
      </c>
      <c r="J1447" t="s">
        <v>246</v>
      </c>
      <c r="K1447" t="s">
        <v>74</v>
      </c>
      <c r="L1447" t="s">
        <v>74</v>
      </c>
      <c r="M1447" t="s">
        <v>78</v>
      </c>
      <c r="N1447" t="s">
        <v>79</v>
      </c>
      <c r="O1447" t="s">
        <v>74</v>
      </c>
      <c r="P1447" t="s">
        <v>74</v>
      </c>
      <c r="Q1447" t="s">
        <v>74</v>
      </c>
      <c r="R1447" t="s">
        <v>74</v>
      </c>
      <c r="S1447" t="s">
        <v>74</v>
      </c>
      <c r="T1447" t="s">
        <v>27438</v>
      </c>
      <c r="U1447" t="s">
        <v>14757</v>
      </c>
      <c r="V1447" t="s">
        <v>27437</v>
      </c>
      <c r="W1447" t="s">
        <v>27436</v>
      </c>
      <c r="X1447" t="s">
        <v>27435</v>
      </c>
      <c r="Y1447" t="s">
        <v>27434</v>
      </c>
      <c r="Z1447" t="s">
        <v>27433</v>
      </c>
      <c r="AA1447" t="s">
        <v>27432</v>
      </c>
      <c r="AB1447" t="s">
        <v>27431</v>
      </c>
      <c r="AC1447" t="s">
        <v>27430</v>
      </c>
      <c r="AD1447" t="s">
        <v>27429</v>
      </c>
      <c r="AE1447" t="s">
        <v>27428</v>
      </c>
      <c r="AF1447" t="s">
        <v>74</v>
      </c>
      <c r="AG1447">
        <v>50</v>
      </c>
      <c r="AH1447">
        <v>12</v>
      </c>
      <c r="AI1447">
        <v>17</v>
      </c>
      <c r="AJ1447">
        <v>0</v>
      </c>
      <c r="AK1447">
        <v>30</v>
      </c>
      <c r="AL1447" t="s">
        <v>259</v>
      </c>
      <c r="AM1447" t="s">
        <v>260</v>
      </c>
      <c r="AN1447" t="s">
        <v>261</v>
      </c>
      <c r="AO1447" t="s">
        <v>262</v>
      </c>
      <c r="AP1447" t="s">
        <v>263</v>
      </c>
      <c r="AQ1447" t="s">
        <v>74</v>
      </c>
      <c r="AR1447" t="s">
        <v>264</v>
      </c>
      <c r="AS1447" t="s">
        <v>265</v>
      </c>
      <c r="AT1447" t="s">
        <v>208</v>
      </c>
      <c r="AU1447">
        <v>2023</v>
      </c>
      <c r="AV1447">
        <v>51</v>
      </c>
      <c r="AW1447" t="s">
        <v>74</v>
      </c>
      <c r="AX1447" t="s">
        <v>74</v>
      </c>
      <c r="AY1447" t="s">
        <v>74</v>
      </c>
      <c r="AZ1447" t="s">
        <v>74</v>
      </c>
      <c r="BA1447" t="s">
        <v>74</v>
      </c>
      <c r="BB1447" t="s">
        <v>74</v>
      </c>
      <c r="BC1447" t="s">
        <v>74</v>
      </c>
      <c r="BD1447" t="s">
        <v>74</v>
      </c>
      <c r="BE1447" t="s">
        <v>27427</v>
      </c>
      <c r="BF1447" t="str">
        <f>HYPERLINK("http://dx.doi.org/10.1016/j.frl.2022.103278","http://dx.doi.org/10.1016/j.frl.2022.103278")</f>
        <v>http://dx.doi.org/10.1016/j.frl.2022.103278</v>
      </c>
      <c r="BG1447" t="s">
        <v>74</v>
      </c>
      <c r="BH1447" t="s">
        <v>5112</v>
      </c>
      <c r="BI1447">
        <v>11</v>
      </c>
      <c r="BJ1447" t="s">
        <v>268</v>
      </c>
      <c r="BK1447" t="s">
        <v>99</v>
      </c>
      <c r="BL1447" t="s">
        <v>100</v>
      </c>
      <c r="BM1447" t="s">
        <v>27426</v>
      </c>
      <c r="BN1447" t="s">
        <v>74</v>
      </c>
      <c r="BO1447" t="s">
        <v>15142</v>
      </c>
      <c r="BP1447" t="s">
        <v>74</v>
      </c>
      <c r="BQ1447" t="s">
        <v>74</v>
      </c>
      <c r="BR1447" t="s">
        <v>102</v>
      </c>
      <c r="BS1447" t="s">
        <v>27425</v>
      </c>
      <c r="BT1447" t="str">
        <f>HYPERLINK("https%3A%2F%2Fwww.webofscience.com%2Fwos%2Fwoscc%2Ffull-record%2FWOS:000899867100013","View Full Record in Web of Science")</f>
        <v>View Full Record in Web of Science</v>
      </c>
    </row>
    <row r="1448" spans="1:72" x14ac:dyDescent="0.25">
      <c r="A1448" t="s">
        <v>72</v>
      </c>
      <c r="B1448" t="s">
        <v>27424</v>
      </c>
      <c r="C1448" t="s">
        <v>74</v>
      </c>
      <c r="D1448" t="s">
        <v>74</v>
      </c>
      <c r="E1448" t="s">
        <v>74</v>
      </c>
      <c r="F1448" t="s">
        <v>27423</v>
      </c>
      <c r="G1448" t="s">
        <v>74</v>
      </c>
      <c r="H1448" t="s">
        <v>74</v>
      </c>
      <c r="I1448" t="s">
        <v>27422</v>
      </c>
      <c r="J1448" t="s">
        <v>246</v>
      </c>
      <c r="K1448" t="s">
        <v>74</v>
      </c>
      <c r="L1448" t="s">
        <v>74</v>
      </c>
      <c r="M1448" t="s">
        <v>78</v>
      </c>
      <c r="N1448" t="s">
        <v>79</v>
      </c>
      <c r="O1448" t="s">
        <v>74</v>
      </c>
      <c r="P1448" t="s">
        <v>74</v>
      </c>
      <c r="Q1448" t="s">
        <v>74</v>
      </c>
      <c r="R1448" t="s">
        <v>74</v>
      </c>
      <c r="S1448" t="s">
        <v>74</v>
      </c>
      <c r="T1448" t="s">
        <v>27421</v>
      </c>
      <c r="U1448" t="s">
        <v>1369</v>
      </c>
      <c r="V1448" t="s">
        <v>27420</v>
      </c>
      <c r="W1448" t="s">
        <v>27419</v>
      </c>
      <c r="X1448" t="s">
        <v>17981</v>
      </c>
      <c r="Y1448" t="s">
        <v>27418</v>
      </c>
      <c r="Z1448" t="s">
        <v>27417</v>
      </c>
      <c r="AA1448" t="s">
        <v>27416</v>
      </c>
      <c r="AB1448" t="s">
        <v>27415</v>
      </c>
      <c r="AC1448" t="s">
        <v>74</v>
      </c>
      <c r="AD1448" t="s">
        <v>74</v>
      </c>
      <c r="AE1448" t="s">
        <v>74</v>
      </c>
      <c r="AF1448" t="s">
        <v>74</v>
      </c>
      <c r="AG1448">
        <v>14</v>
      </c>
      <c r="AH1448">
        <v>1</v>
      </c>
      <c r="AI1448">
        <v>1</v>
      </c>
      <c r="AJ1448">
        <v>4</v>
      </c>
      <c r="AK1448">
        <v>4</v>
      </c>
      <c r="AL1448" t="s">
        <v>259</v>
      </c>
      <c r="AM1448" t="s">
        <v>260</v>
      </c>
      <c r="AN1448" t="s">
        <v>261</v>
      </c>
      <c r="AO1448" t="s">
        <v>262</v>
      </c>
      <c r="AP1448" t="s">
        <v>263</v>
      </c>
      <c r="AQ1448" t="s">
        <v>74</v>
      </c>
      <c r="AR1448" t="s">
        <v>264</v>
      </c>
      <c r="AS1448" t="s">
        <v>265</v>
      </c>
      <c r="AT1448" t="s">
        <v>891</v>
      </c>
      <c r="AU1448">
        <v>2025</v>
      </c>
      <c r="AV1448">
        <v>84</v>
      </c>
      <c r="AW1448" t="s">
        <v>74</v>
      </c>
      <c r="AX1448" t="s">
        <v>74</v>
      </c>
      <c r="AY1448" t="s">
        <v>74</v>
      </c>
      <c r="AZ1448" t="s">
        <v>74</v>
      </c>
      <c r="BA1448" t="s">
        <v>74</v>
      </c>
      <c r="BB1448" t="s">
        <v>74</v>
      </c>
      <c r="BC1448" t="s">
        <v>74</v>
      </c>
      <c r="BD1448">
        <v>107776</v>
      </c>
      <c r="BE1448" t="s">
        <v>27414</v>
      </c>
      <c r="BF1448" t="str">
        <f>HYPERLINK("http://dx.doi.org/10.1016/j.frl.2025.107776","http://dx.doi.org/10.1016/j.frl.2025.107776")</f>
        <v>http://dx.doi.org/10.1016/j.frl.2025.107776</v>
      </c>
      <c r="BG1448" t="s">
        <v>74</v>
      </c>
      <c r="BH1448" t="s">
        <v>74</v>
      </c>
      <c r="BI1448">
        <v>7</v>
      </c>
      <c r="BJ1448" t="s">
        <v>268</v>
      </c>
      <c r="BK1448" t="s">
        <v>99</v>
      </c>
      <c r="BL1448" t="s">
        <v>100</v>
      </c>
      <c r="BM1448" t="s">
        <v>27413</v>
      </c>
      <c r="BN1448" t="s">
        <v>74</v>
      </c>
      <c r="BO1448" t="s">
        <v>270</v>
      </c>
      <c r="BP1448" t="s">
        <v>74</v>
      </c>
      <c r="BQ1448" t="s">
        <v>74</v>
      </c>
      <c r="BR1448" t="s">
        <v>102</v>
      </c>
      <c r="BS1448" t="s">
        <v>27412</v>
      </c>
      <c r="BT1448" t="str">
        <f>HYPERLINK("https%3A%2F%2Fwww.webofscience.com%2Fwos%2Fwoscc%2Ffull-record%2FWOS:001517122300003","View Full Record in Web of Science")</f>
        <v>View Full Record in Web of Science</v>
      </c>
    </row>
    <row r="1449" spans="1:72" x14ac:dyDescent="0.25">
      <c r="A1449" t="s">
        <v>72</v>
      </c>
      <c r="B1449" t="s">
        <v>27411</v>
      </c>
      <c r="C1449" t="s">
        <v>74</v>
      </c>
      <c r="D1449" t="s">
        <v>74</v>
      </c>
      <c r="E1449" t="s">
        <v>74</v>
      </c>
      <c r="F1449" t="s">
        <v>27410</v>
      </c>
      <c r="G1449" t="s">
        <v>74</v>
      </c>
      <c r="H1449" t="s">
        <v>74</v>
      </c>
      <c r="I1449" t="s">
        <v>27409</v>
      </c>
      <c r="J1449" t="s">
        <v>27396</v>
      </c>
      <c r="K1449" t="s">
        <v>74</v>
      </c>
      <c r="L1449" t="s">
        <v>74</v>
      </c>
      <c r="M1449" t="s">
        <v>78</v>
      </c>
      <c r="N1449" t="s">
        <v>1766</v>
      </c>
      <c r="O1449" t="s">
        <v>74</v>
      </c>
      <c r="P1449" t="s">
        <v>74</v>
      </c>
      <c r="Q1449" t="s">
        <v>74</v>
      </c>
      <c r="R1449" t="s">
        <v>74</v>
      </c>
      <c r="S1449" t="s">
        <v>74</v>
      </c>
      <c r="T1449" t="s">
        <v>27408</v>
      </c>
      <c r="U1449" t="s">
        <v>74</v>
      </c>
      <c r="V1449" t="s">
        <v>27407</v>
      </c>
      <c r="W1449" t="s">
        <v>27406</v>
      </c>
      <c r="X1449" t="s">
        <v>27405</v>
      </c>
      <c r="Y1449" t="s">
        <v>27404</v>
      </c>
      <c r="Z1449" t="s">
        <v>27403</v>
      </c>
      <c r="AA1449" t="s">
        <v>27402</v>
      </c>
      <c r="AB1449" t="s">
        <v>27401</v>
      </c>
      <c r="AC1449" t="s">
        <v>27400</v>
      </c>
      <c r="AD1449" t="s">
        <v>27399</v>
      </c>
      <c r="AE1449" t="s">
        <v>27398</v>
      </c>
      <c r="AF1449" t="s">
        <v>74</v>
      </c>
      <c r="AG1449">
        <v>56</v>
      </c>
      <c r="AH1449">
        <v>5</v>
      </c>
      <c r="AI1449">
        <v>6</v>
      </c>
      <c r="AJ1449">
        <v>3</v>
      </c>
      <c r="AK1449">
        <v>30</v>
      </c>
      <c r="AL1449" t="s">
        <v>823</v>
      </c>
      <c r="AM1449" t="s">
        <v>333</v>
      </c>
      <c r="AN1449" t="s">
        <v>824</v>
      </c>
      <c r="AO1449" t="s">
        <v>74</v>
      </c>
      <c r="AP1449" t="s">
        <v>27397</v>
      </c>
      <c r="AQ1449" t="s">
        <v>74</v>
      </c>
      <c r="AR1449" t="s">
        <v>27396</v>
      </c>
      <c r="AS1449" t="s">
        <v>27395</v>
      </c>
      <c r="AT1449" t="s">
        <v>2970</v>
      </c>
      <c r="AU1449">
        <v>2024</v>
      </c>
      <c r="AV1449">
        <v>17</v>
      </c>
      <c r="AW1449">
        <v>1</v>
      </c>
      <c r="AX1449" t="s">
        <v>74</v>
      </c>
      <c r="AY1449" t="s">
        <v>74</v>
      </c>
      <c r="AZ1449" t="s">
        <v>74</v>
      </c>
      <c r="BA1449" t="s">
        <v>74</v>
      </c>
      <c r="BB1449" t="s">
        <v>74</v>
      </c>
      <c r="BC1449" t="s">
        <v>74</v>
      </c>
      <c r="BD1449">
        <v>2342634</v>
      </c>
      <c r="BE1449" t="s">
        <v>27394</v>
      </c>
      <c r="BF1449" t="str">
        <f>HYPERLINK("http://dx.doi.org/10.1080/16549716.2024.2342634","http://dx.doi.org/10.1080/16549716.2024.2342634")</f>
        <v>http://dx.doi.org/10.1080/16549716.2024.2342634</v>
      </c>
      <c r="BG1449" t="s">
        <v>74</v>
      </c>
      <c r="BH1449" t="s">
        <v>74</v>
      </c>
      <c r="BI1449">
        <v>12</v>
      </c>
      <c r="BJ1449" t="s">
        <v>7080</v>
      </c>
      <c r="BK1449" t="s">
        <v>2623</v>
      </c>
      <c r="BL1449" t="s">
        <v>7080</v>
      </c>
      <c r="BM1449" t="s">
        <v>27393</v>
      </c>
      <c r="BN1449">
        <v>38726584</v>
      </c>
      <c r="BO1449" t="s">
        <v>10768</v>
      </c>
      <c r="BP1449" t="s">
        <v>74</v>
      </c>
      <c r="BQ1449" t="s">
        <v>74</v>
      </c>
      <c r="BR1449" t="s">
        <v>102</v>
      </c>
      <c r="BS1449" t="s">
        <v>27392</v>
      </c>
      <c r="BT1449" t="str">
        <f>HYPERLINK("https%3A%2F%2Fwww.webofscience.com%2Fwos%2Fwoscc%2Ffull-record%2FWOS:001217876700001","View Full Record in Web of Science")</f>
        <v>View Full Record in Web of Science</v>
      </c>
    </row>
    <row r="1450" spans="1:72" x14ac:dyDescent="0.25">
      <c r="A1450" t="s">
        <v>72</v>
      </c>
      <c r="B1450" t="s">
        <v>27391</v>
      </c>
      <c r="C1450" t="s">
        <v>74</v>
      </c>
      <c r="D1450" t="s">
        <v>74</v>
      </c>
      <c r="E1450" t="s">
        <v>74</v>
      </c>
      <c r="F1450" t="s">
        <v>27390</v>
      </c>
      <c r="G1450" t="s">
        <v>74</v>
      </c>
      <c r="H1450" t="s">
        <v>74</v>
      </c>
      <c r="I1450" t="s">
        <v>27389</v>
      </c>
      <c r="J1450" t="s">
        <v>27388</v>
      </c>
      <c r="K1450" t="s">
        <v>74</v>
      </c>
      <c r="L1450" t="s">
        <v>74</v>
      </c>
      <c r="M1450" t="s">
        <v>78</v>
      </c>
      <c r="N1450" t="s">
        <v>79</v>
      </c>
      <c r="O1450" t="s">
        <v>74</v>
      </c>
      <c r="P1450" t="s">
        <v>74</v>
      </c>
      <c r="Q1450" t="s">
        <v>74</v>
      </c>
      <c r="R1450" t="s">
        <v>74</v>
      </c>
      <c r="S1450" t="s">
        <v>74</v>
      </c>
      <c r="T1450" t="s">
        <v>27387</v>
      </c>
      <c r="U1450" t="s">
        <v>27386</v>
      </c>
      <c r="V1450" t="s">
        <v>27385</v>
      </c>
      <c r="W1450" t="s">
        <v>27384</v>
      </c>
      <c r="X1450" t="s">
        <v>74</v>
      </c>
      <c r="Y1450" t="s">
        <v>27383</v>
      </c>
      <c r="Z1450" t="s">
        <v>27382</v>
      </c>
      <c r="AA1450" t="s">
        <v>74</v>
      </c>
      <c r="AB1450" t="s">
        <v>74</v>
      </c>
      <c r="AC1450" t="s">
        <v>27381</v>
      </c>
      <c r="AD1450" t="s">
        <v>27380</v>
      </c>
      <c r="AE1450" t="s">
        <v>27379</v>
      </c>
      <c r="AF1450" t="s">
        <v>74</v>
      </c>
      <c r="AG1450">
        <v>74</v>
      </c>
      <c r="AH1450">
        <v>0</v>
      </c>
      <c r="AI1450">
        <v>0</v>
      </c>
      <c r="AJ1450">
        <v>0</v>
      </c>
      <c r="AK1450">
        <v>0</v>
      </c>
      <c r="AL1450" t="s">
        <v>27378</v>
      </c>
      <c r="AM1450" t="s">
        <v>27377</v>
      </c>
      <c r="AN1450" t="s">
        <v>27376</v>
      </c>
      <c r="AO1450" t="s">
        <v>27375</v>
      </c>
      <c r="AP1450" t="s">
        <v>27374</v>
      </c>
      <c r="AQ1450" t="s">
        <v>74</v>
      </c>
      <c r="AR1450" t="s">
        <v>27373</v>
      </c>
      <c r="AS1450" t="s">
        <v>27372</v>
      </c>
      <c r="AT1450" t="s">
        <v>1159</v>
      </c>
      <c r="AU1450">
        <v>2025</v>
      </c>
      <c r="AV1450">
        <v>26</v>
      </c>
      <c r="AW1450">
        <v>2</v>
      </c>
      <c r="AX1450" t="s">
        <v>74</v>
      </c>
      <c r="AY1450" t="s">
        <v>74</v>
      </c>
      <c r="AZ1450" t="s">
        <v>74</v>
      </c>
      <c r="BA1450" t="s">
        <v>74</v>
      </c>
      <c r="BB1450">
        <v>259</v>
      </c>
      <c r="BC1450">
        <v>292</v>
      </c>
      <c r="BD1450" t="s">
        <v>74</v>
      </c>
      <c r="BE1450" t="s">
        <v>27371</v>
      </c>
      <c r="BF1450" t="str">
        <f>HYPERLINK("http://dx.doi.org/10.5325/jafrideve.26.2.0259","http://dx.doi.org/10.5325/jafrideve.26.2.0259")</f>
        <v>http://dx.doi.org/10.5325/jafrideve.26.2.0259</v>
      </c>
      <c r="BG1450" t="s">
        <v>74</v>
      </c>
      <c r="BH1450" t="s">
        <v>74</v>
      </c>
      <c r="BI1450">
        <v>34</v>
      </c>
      <c r="BJ1450" t="s">
        <v>1137</v>
      </c>
      <c r="BK1450" t="s">
        <v>313</v>
      </c>
      <c r="BL1450" t="s">
        <v>1137</v>
      </c>
      <c r="BM1450" t="s">
        <v>27370</v>
      </c>
      <c r="BN1450" t="s">
        <v>74</v>
      </c>
      <c r="BO1450" t="s">
        <v>74</v>
      </c>
      <c r="BP1450" t="s">
        <v>74</v>
      </c>
      <c r="BQ1450" t="s">
        <v>74</v>
      </c>
      <c r="BR1450" t="s">
        <v>102</v>
      </c>
      <c r="BS1450" t="s">
        <v>27369</v>
      </c>
      <c r="BT1450" t="str">
        <f>HYPERLINK("https%3A%2F%2Fwww.webofscience.com%2Fwos%2Fwoscc%2Ffull-record%2FWOS:001615664900005","View Full Record in Web of Science")</f>
        <v>View Full Record in Web of Science</v>
      </c>
    </row>
    <row r="1451" spans="1:72" x14ac:dyDescent="0.25">
      <c r="A1451" t="s">
        <v>72</v>
      </c>
      <c r="B1451" t="s">
        <v>27368</v>
      </c>
      <c r="C1451" t="s">
        <v>74</v>
      </c>
      <c r="D1451" t="s">
        <v>74</v>
      </c>
      <c r="E1451" t="s">
        <v>74</v>
      </c>
      <c r="F1451" t="s">
        <v>27367</v>
      </c>
      <c r="G1451" t="s">
        <v>74</v>
      </c>
      <c r="H1451" t="s">
        <v>74</v>
      </c>
      <c r="I1451" t="s">
        <v>27366</v>
      </c>
      <c r="J1451" t="s">
        <v>1510</v>
      </c>
      <c r="K1451" t="s">
        <v>74</v>
      </c>
      <c r="L1451" t="s">
        <v>74</v>
      </c>
      <c r="M1451" t="s">
        <v>78</v>
      </c>
      <c r="N1451" t="s">
        <v>1766</v>
      </c>
      <c r="O1451" t="s">
        <v>74</v>
      </c>
      <c r="P1451" t="s">
        <v>74</v>
      </c>
      <c r="Q1451" t="s">
        <v>74</v>
      </c>
      <c r="R1451" t="s">
        <v>74</v>
      </c>
      <c r="S1451" t="s">
        <v>74</v>
      </c>
      <c r="T1451" t="s">
        <v>27365</v>
      </c>
      <c r="U1451" t="s">
        <v>74</v>
      </c>
      <c r="V1451" t="s">
        <v>27364</v>
      </c>
      <c r="W1451" t="s">
        <v>27363</v>
      </c>
      <c r="X1451" t="s">
        <v>27362</v>
      </c>
      <c r="Y1451" t="s">
        <v>27361</v>
      </c>
      <c r="Z1451" t="s">
        <v>27360</v>
      </c>
      <c r="AA1451" t="s">
        <v>27359</v>
      </c>
      <c r="AB1451" t="s">
        <v>27358</v>
      </c>
      <c r="AC1451" t="s">
        <v>74</v>
      </c>
      <c r="AD1451" t="s">
        <v>74</v>
      </c>
      <c r="AE1451" t="s">
        <v>74</v>
      </c>
      <c r="AF1451" t="s">
        <v>74</v>
      </c>
      <c r="AG1451">
        <v>25</v>
      </c>
      <c r="AH1451">
        <v>6</v>
      </c>
      <c r="AI1451">
        <v>9</v>
      </c>
      <c r="AJ1451">
        <v>1</v>
      </c>
      <c r="AK1451">
        <v>34</v>
      </c>
      <c r="AL1451" t="s">
        <v>89</v>
      </c>
      <c r="AM1451" t="s">
        <v>1497</v>
      </c>
      <c r="AN1451" t="s">
        <v>1498</v>
      </c>
      <c r="AO1451" t="s">
        <v>1519</v>
      </c>
      <c r="AP1451" t="s">
        <v>1520</v>
      </c>
      <c r="AQ1451" t="s">
        <v>74</v>
      </c>
      <c r="AR1451" t="s">
        <v>1521</v>
      </c>
      <c r="AS1451" t="s">
        <v>1522</v>
      </c>
      <c r="AT1451" t="s">
        <v>74</v>
      </c>
      <c r="AU1451">
        <v>2018</v>
      </c>
      <c r="AV1451">
        <v>45</v>
      </c>
      <c r="AW1451">
        <v>2</v>
      </c>
      <c r="AX1451" t="s">
        <v>74</v>
      </c>
      <c r="AY1451" t="s">
        <v>74</v>
      </c>
      <c r="AZ1451" t="s">
        <v>74</v>
      </c>
      <c r="BA1451" t="s">
        <v>74</v>
      </c>
      <c r="BB1451">
        <v>437</v>
      </c>
      <c r="BC1451">
        <v>444</v>
      </c>
      <c r="BD1451" t="s">
        <v>74</v>
      </c>
      <c r="BE1451" t="s">
        <v>27357</v>
      </c>
      <c r="BF1451" t="str">
        <f>HYPERLINK("http://dx.doi.org/10.1108/IJSE-12-2016-0371","http://dx.doi.org/10.1108/IJSE-12-2016-0371")</f>
        <v>http://dx.doi.org/10.1108/IJSE-12-2016-0371</v>
      </c>
      <c r="BG1451" t="s">
        <v>74</v>
      </c>
      <c r="BH1451" t="s">
        <v>74</v>
      </c>
      <c r="BI1451">
        <v>8</v>
      </c>
      <c r="BJ1451" t="s">
        <v>291</v>
      </c>
      <c r="BK1451" t="s">
        <v>313</v>
      </c>
      <c r="BL1451" t="s">
        <v>100</v>
      </c>
      <c r="BM1451" t="s">
        <v>27356</v>
      </c>
      <c r="BN1451" t="s">
        <v>74</v>
      </c>
      <c r="BO1451" t="s">
        <v>74</v>
      </c>
      <c r="BP1451" t="s">
        <v>74</v>
      </c>
      <c r="BQ1451" t="s">
        <v>74</v>
      </c>
      <c r="BR1451" t="s">
        <v>102</v>
      </c>
      <c r="BS1451" t="s">
        <v>27355</v>
      </c>
      <c r="BT1451" t="str">
        <f>HYPERLINK("https%3A%2F%2Fwww.webofscience.com%2Fwos%2Fwoscc%2Ffull-record%2FWOS:000423706800014","View Full Record in Web of Science")</f>
        <v>View Full Record in Web of Science</v>
      </c>
    </row>
    <row r="1452" spans="1:72" x14ac:dyDescent="0.25">
      <c r="A1452" t="s">
        <v>72</v>
      </c>
      <c r="B1452" t="s">
        <v>27354</v>
      </c>
      <c r="C1452" t="s">
        <v>74</v>
      </c>
      <c r="D1452" t="s">
        <v>74</v>
      </c>
      <c r="E1452" t="s">
        <v>74</v>
      </c>
      <c r="F1452" t="s">
        <v>27353</v>
      </c>
      <c r="G1452" t="s">
        <v>74</v>
      </c>
      <c r="H1452" t="s">
        <v>74</v>
      </c>
      <c r="I1452" t="s">
        <v>27352</v>
      </c>
      <c r="J1452" t="s">
        <v>27351</v>
      </c>
      <c r="K1452" t="s">
        <v>74</v>
      </c>
      <c r="L1452" t="s">
        <v>74</v>
      </c>
      <c r="M1452" t="s">
        <v>78</v>
      </c>
      <c r="N1452" t="s">
        <v>79</v>
      </c>
      <c r="O1452" t="s">
        <v>74</v>
      </c>
      <c r="P1452" t="s">
        <v>74</v>
      </c>
      <c r="Q1452" t="s">
        <v>74</v>
      </c>
      <c r="R1452" t="s">
        <v>74</v>
      </c>
      <c r="S1452" t="s">
        <v>74</v>
      </c>
      <c r="T1452" t="s">
        <v>27350</v>
      </c>
      <c r="U1452" t="s">
        <v>27349</v>
      </c>
      <c r="V1452" t="s">
        <v>27348</v>
      </c>
      <c r="W1452" t="s">
        <v>27347</v>
      </c>
      <c r="X1452" t="s">
        <v>27346</v>
      </c>
      <c r="Y1452" t="s">
        <v>27345</v>
      </c>
      <c r="Z1452" t="s">
        <v>27344</v>
      </c>
      <c r="AA1452" t="s">
        <v>27343</v>
      </c>
      <c r="AB1452" t="s">
        <v>27342</v>
      </c>
      <c r="AC1452" t="s">
        <v>27341</v>
      </c>
      <c r="AD1452" t="s">
        <v>27340</v>
      </c>
      <c r="AE1452" t="s">
        <v>27339</v>
      </c>
      <c r="AF1452" t="s">
        <v>74</v>
      </c>
      <c r="AG1452">
        <v>72</v>
      </c>
      <c r="AH1452">
        <v>20</v>
      </c>
      <c r="AI1452">
        <v>20</v>
      </c>
      <c r="AJ1452">
        <v>2</v>
      </c>
      <c r="AK1452">
        <v>21</v>
      </c>
      <c r="AL1452" t="s">
        <v>89</v>
      </c>
      <c r="AM1452" t="s">
        <v>90</v>
      </c>
      <c r="AN1452" t="s">
        <v>91</v>
      </c>
      <c r="AO1452" t="s">
        <v>27338</v>
      </c>
      <c r="AP1452" t="s">
        <v>74</v>
      </c>
      <c r="AQ1452" t="s">
        <v>74</v>
      </c>
      <c r="AR1452" t="s">
        <v>27337</v>
      </c>
      <c r="AS1452" t="s">
        <v>27336</v>
      </c>
      <c r="AT1452" t="s">
        <v>7417</v>
      </c>
      <c r="AU1452">
        <v>2022</v>
      </c>
      <c r="AV1452">
        <v>36</v>
      </c>
      <c r="AW1452">
        <v>7</v>
      </c>
      <c r="AX1452" t="s">
        <v>74</v>
      </c>
      <c r="AY1452" t="s">
        <v>74</v>
      </c>
      <c r="AZ1452" t="s">
        <v>441</v>
      </c>
      <c r="BA1452" t="s">
        <v>74</v>
      </c>
      <c r="BB1452">
        <v>964</v>
      </c>
      <c r="BC1452">
        <v>976</v>
      </c>
      <c r="BD1452" t="s">
        <v>74</v>
      </c>
      <c r="BE1452" t="s">
        <v>27335</v>
      </c>
      <c r="BF1452" t="str">
        <f>HYPERLINK("http://dx.doi.org/10.1108/JSM-09-2021-0362","http://dx.doi.org/10.1108/JSM-09-2021-0362")</f>
        <v>http://dx.doi.org/10.1108/JSM-09-2021-0362</v>
      </c>
      <c r="BG1452" t="s">
        <v>74</v>
      </c>
      <c r="BH1452" t="s">
        <v>1802</v>
      </c>
      <c r="BI1452">
        <v>13</v>
      </c>
      <c r="BJ1452" t="s">
        <v>418</v>
      </c>
      <c r="BK1452" t="s">
        <v>99</v>
      </c>
      <c r="BL1452" t="s">
        <v>100</v>
      </c>
      <c r="BM1452" t="s">
        <v>27334</v>
      </c>
      <c r="BN1452" t="s">
        <v>74</v>
      </c>
      <c r="BO1452" t="s">
        <v>74</v>
      </c>
      <c r="BP1452" t="s">
        <v>74</v>
      </c>
      <c r="BQ1452" t="s">
        <v>74</v>
      </c>
      <c r="BR1452" t="s">
        <v>102</v>
      </c>
      <c r="BS1452" t="s">
        <v>27333</v>
      </c>
      <c r="BT1452" t="str">
        <f>HYPERLINK("https%3A%2F%2Fwww.webofscience.com%2Fwos%2Fwoscc%2Ffull-record%2FWOS:000817223500001","View Full Record in Web of Science")</f>
        <v>View Full Record in Web of Science</v>
      </c>
    </row>
    <row r="1453" spans="1:72" x14ac:dyDescent="0.25">
      <c r="A1453" t="s">
        <v>72</v>
      </c>
      <c r="B1453" t="s">
        <v>27332</v>
      </c>
      <c r="C1453" t="s">
        <v>74</v>
      </c>
      <c r="D1453" t="s">
        <v>74</v>
      </c>
      <c r="E1453" t="s">
        <v>74</v>
      </c>
      <c r="F1453" t="s">
        <v>27331</v>
      </c>
      <c r="G1453" t="s">
        <v>74</v>
      </c>
      <c r="H1453" t="s">
        <v>74</v>
      </c>
      <c r="I1453" t="s">
        <v>27330</v>
      </c>
      <c r="J1453" t="s">
        <v>9191</v>
      </c>
      <c r="K1453" t="s">
        <v>74</v>
      </c>
      <c r="L1453" t="s">
        <v>74</v>
      </c>
      <c r="M1453" t="s">
        <v>78</v>
      </c>
      <c r="N1453" t="s">
        <v>79</v>
      </c>
      <c r="O1453" t="s">
        <v>74</v>
      </c>
      <c r="P1453" t="s">
        <v>74</v>
      </c>
      <c r="Q1453" t="s">
        <v>74</v>
      </c>
      <c r="R1453" t="s">
        <v>74</v>
      </c>
      <c r="S1453" t="s">
        <v>74</v>
      </c>
      <c r="T1453" t="s">
        <v>27329</v>
      </c>
      <c r="U1453" t="s">
        <v>27328</v>
      </c>
      <c r="V1453" t="s">
        <v>27327</v>
      </c>
      <c r="W1453" t="s">
        <v>27326</v>
      </c>
      <c r="X1453" t="s">
        <v>27325</v>
      </c>
      <c r="Y1453" t="s">
        <v>27324</v>
      </c>
      <c r="Z1453" t="s">
        <v>27323</v>
      </c>
      <c r="AA1453" t="s">
        <v>27322</v>
      </c>
      <c r="AB1453" t="s">
        <v>74</v>
      </c>
      <c r="AC1453" t="s">
        <v>27321</v>
      </c>
      <c r="AD1453" t="s">
        <v>27320</v>
      </c>
      <c r="AE1453" t="s">
        <v>27319</v>
      </c>
      <c r="AF1453" t="s">
        <v>74</v>
      </c>
      <c r="AG1453">
        <v>61</v>
      </c>
      <c r="AH1453">
        <v>15</v>
      </c>
      <c r="AI1453">
        <v>25</v>
      </c>
      <c r="AJ1453">
        <v>35</v>
      </c>
      <c r="AK1453">
        <v>70</v>
      </c>
      <c r="AL1453" t="s">
        <v>9204</v>
      </c>
      <c r="AM1453" t="s">
        <v>2016</v>
      </c>
      <c r="AN1453" t="s">
        <v>9205</v>
      </c>
      <c r="AO1453" t="s">
        <v>74</v>
      </c>
      <c r="AP1453" t="s">
        <v>9206</v>
      </c>
      <c r="AQ1453" t="s">
        <v>74</v>
      </c>
      <c r="AR1453" t="s">
        <v>9191</v>
      </c>
      <c r="AS1453" t="s">
        <v>9207</v>
      </c>
      <c r="AT1453" t="s">
        <v>14074</v>
      </c>
      <c r="AU1453">
        <v>2024</v>
      </c>
      <c r="AV1453">
        <v>10</v>
      </c>
      <c r="AW1453">
        <v>15</v>
      </c>
      <c r="AX1453" t="s">
        <v>74</v>
      </c>
      <c r="AY1453" t="s">
        <v>74</v>
      </c>
      <c r="AZ1453" t="s">
        <v>74</v>
      </c>
      <c r="BA1453" t="s">
        <v>74</v>
      </c>
      <c r="BB1453" t="s">
        <v>74</v>
      </c>
      <c r="BC1453" t="s">
        <v>74</v>
      </c>
      <c r="BD1453" t="s">
        <v>27318</v>
      </c>
      <c r="BE1453" t="s">
        <v>27317</v>
      </c>
      <c r="BF1453" t="str">
        <f>HYPERLINK("http://dx.doi.org/10.1016/j.heliyon.2024.e34902","http://dx.doi.org/10.1016/j.heliyon.2024.e34902")</f>
        <v>http://dx.doi.org/10.1016/j.heliyon.2024.e34902</v>
      </c>
      <c r="BG1453" t="s">
        <v>74</v>
      </c>
      <c r="BH1453" t="s">
        <v>2524</v>
      </c>
      <c r="BI1453">
        <v>13</v>
      </c>
      <c r="BJ1453" t="s">
        <v>559</v>
      </c>
      <c r="BK1453" t="s">
        <v>128</v>
      </c>
      <c r="BL1453" t="s">
        <v>560</v>
      </c>
      <c r="BM1453" t="s">
        <v>27316</v>
      </c>
      <c r="BN1453">
        <v>39144969</v>
      </c>
      <c r="BO1453" t="s">
        <v>916</v>
      </c>
      <c r="BP1453" t="s">
        <v>74</v>
      </c>
      <c r="BQ1453" t="s">
        <v>74</v>
      </c>
      <c r="BR1453" t="s">
        <v>102</v>
      </c>
      <c r="BS1453" t="s">
        <v>27315</v>
      </c>
      <c r="BT1453" t="str">
        <f>HYPERLINK("https%3A%2F%2Fwww.webofscience.com%2Fwos%2Fwoscc%2Ffull-record%2FWOS:001280937100001","View Full Record in Web of Science")</f>
        <v>View Full Record in Web of Science</v>
      </c>
    </row>
    <row r="1454" spans="1:72" x14ac:dyDescent="0.25">
      <c r="A1454" t="s">
        <v>72</v>
      </c>
      <c r="B1454" t="s">
        <v>27314</v>
      </c>
      <c r="C1454" t="s">
        <v>74</v>
      </c>
      <c r="D1454" t="s">
        <v>74</v>
      </c>
      <c r="E1454" t="s">
        <v>74</v>
      </c>
      <c r="F1454" t="s">
        <v>27313</v>
      </c>
      <c r="G1454" t="s">
        <v>74</v>
      </c>
      <c r="H1454" t="s">
        <v>74</v>
      </c>
      <c r="I1454" t="s">
        <v>27312</v>
      </c>
      <c r="J1454" t="s">
        <v>27311</v>
      </c>
      <c r="K1454" t="s">
        <v>74</v>
      </c>
      <c r="L1454" t="s">
        <v>74</v>
      </c>
      <c r="M1454" t="s">
        <v>78</v>
      </c>
      <c r="N1454" t="s">
        <v>79</v>
      </c>
      <c r="O1454" t="s">
        <v>74</v>
      </c>
      <c r="P1454" t="s">
        <v>74</v>
      </c>
      <c r="Q1454" t="s">
        <v>74</v>
      </c>
      <c r="R1454" t="s">
        <v>74</v>
      </c>
      <c r="S1454" t="s">
        <v>74</v>
      </c>
      <c r="T1454" t="s">
        <v>27310</v>
      </c>
      <c r="U1454" t="s">
        <v>74</v>
      </c>
      <c r="V1454" t="s">
        <v>27309</v>
      </c>
      <c r="W1454" t="s">
        <v>27308</v>
      </c>
      <c r="X1454" t="s">
        <v>27307</v>
      </c>
      <c r="Y1454" t="s">
        <v>27306</v>
      </c>
      <c r="Z1454" t="s">
        <v>74</v>
      </c>
      <c r="AA1454" t="s">
        <v>74</v>
      </c>
      <c r="AB1454" t="s">
        <v>74</v>
      </c>
      <c r="AC1454" t="s">
        <v>74</v>
      </c>
      <c r="AD1454" t="s">
        <v>74</v>
      </c>
      <c r="AE1454" t="s">
        <v>74</v>
      </c>
      <c r="AF1454" t="s">
        <v>74</v>
      </c>
      <c r="AG1454">
        <v>38</v>
      </c>
      <c r="AH1454">
        <v>6</v>
      </c>
      <c r="AI1454">
        <v>9</v>
      </c>
      <c r="AJ1454">
        <v>0</v>
      </c>
      <c r="AK1454">
        <v>21</v>
      </c>
      <c r="AL1454" t="s">
        <v>5317</v>
      </c>
      <c r="AM1454" t="s">
        <v>480</v>
      </c>
      <c r="AN1454" t="s">
        <v>481</v>
      </c>
      <c r="AO1454" t="s">
        <v>27305</v>
      </c>
      <c r="AP1454" t="s">
        <v>27304</v>
      </c>
      <c r="AQ1454" t="s">
        <v>74</v>
      </c>
      <c r="AR1454" t="s">
        <v>27303</v>
      </c>
      <c r="AS1454" t="s">
        <v>27302</v>
      </c>
      <c r="AT1454" t="s">
        <v>124</v>
      </c>
      <c r="AU1454">
        <v>2016</v>
      </c>
      <c r="AV1454">
        <v>7</v>
      </c>
      <c r="AW1454">
        <v>2</v>
      </c>
      <c r="AX1454" t="s">
        <v>74</v>
      </c>
      <c r="AY1454" t="s">
        <v>74</v>
      </c>
      <c r="AZ1454" t="s">
        <v>74</v>
      </c>
      <c r="BA1454" t="s">
        <v>74</v>
      </c>
      <c r="BB1454">
        <v>356</v>
      </c>
      <c r="BC1454">
        <v>376</v>
      </c>
      <c r="BD1454" t="s">
        <v>74</v>
      </c>
      <c r="BE1454" t="s">
        <v>27301</v>
      </c>
      <c r="BF1454" t="str">
        <f>HYPERLINK("http://dx.doi.org/10.1111/lamp.12101","http://dx.doi.org/10.1111/lamp.12101")</f>
        <v>http://dx.doi.org/10.1111/lamp.12101</v>
      </c>
      <c r="BG1454" t="s">
        <v>74</v>
      </c>
      <c r="BH1454" t="s">
        <v>74</v>
      </c>
      <c r="BI1454">
        <v>21</v>
      </c>
      <c r="BJ1454" t="s">
        <v>3326</v>
      </c>
      <c r="BK1454" t="s">
        <v>313</v>
      </c>
      <c r="BL1454" t="s">
        <v>184</v>
      </c>
      <c r="BM1454" t="s">
        <v>27300</v>
      </c>
      <c r="BN1454" t="s">
        <v>74</v>
      </c>
      <c r="BO1454" t="s">
        <v>74</v>
      </c>
      <c r="BP1454" t="s">
        <v>74</v>
      </c>
      <c r="BQ1454" t="s">
        <v>74</v>
      </c>
      <c r="BR1454" t="s">
        <v>102</v>
      </c>
      <c r="BS1454" t="s">
        <v>27299</v>
      </c>
      <c r="BT1454" t="str">
        <f>HYPERLINK("https%3A%2F%2Fwww.webofscience.com%2Fwos%2Fwoscc%2Ffull-record%2FWOS:000391088500010","View Full Record in Web of Science")</f>
        <v>View Full Record in Web of Science</v>
      </c>
    </row>
    <row r="1455" spans="1:72" x14ac:dyDescent="0.25">
      <c r="A1455" t="s">
        <v>72</v>
      </c>
      <c r="B1455" t="s">
        <v>27298</v>
      </c>
      <c r="C1455" t="s">
        <v>74</v>
      </c>
      <c r="D1455" t="s">
        <v>74</v>
      </c>
      <c r="E1455" t="s">
        <v>74</v>
      </c>
      <c r="F1455" t="s">
        <v>27297</v>
      </c>
      <c r="G1455" t="s">
        <v>74</v>
      </c>
      <c r="H1455" t="s">
        <v>74</v>
      </c>
      <c r="I1455" t="s">
        <v>27296</v>
      </c>
      <c r="J1455" t="s">
        <v>2137</v>
      </c>
      <c r="K1455" t="s">
        <v>74</v>
      </c>
      <c r="L1455" t="s">
        <v>74</v>
      </c>
      <c r="M1455" t="s">
        <v>78</v>
      </c>
      <c r="N1455" t="s">
        <v>79</v>
      </c>
      <c r="O1455" t="s">
        <v>74</v>
      </c>
      <c r="P1455" t="s">
        <v>74</v>
      </c>
      <c r="Q1455" t="s">
        <v>74</v>
      </c>
      <c r="R1455" t="s">
        <v>74</v>
      </c>
      <c r="S1455" t="s">
        <v>74</v>
      </c>
      <c r="T1455" t="s">
        <v>27295</v>
      </c>
      <c r="U1455" t="s">
        <v>7318</v>
      </c>
      <c r="V1455" t="s">
        <v>27294</v>
      </c>
      <c r="W1455" t="s">
        <v>27293</v>
      </c>
      <c r="X1455" t="s">
        <v>74</v>
      </c>
      <c r="Y1455" t="s">
        <v>27292</v>
      </c>
      <c r="Z1455" t="s">
        <v>27291</v>
      </c>
      <c r="AA1455" t="s">
        <v>74</v>
      </c>
      <c r="AB1455" t="s">
        <v>74</v>
      </c>
      <c r="AC1455" t="s">
        <v>74</v>
      </c>
      <c r="AD1455" t="s">
        <v>74</v>
      </c>
      <c r="AE1455" t="s">
        <v>74</v>
      </c>
      <c r="AF1455" t="s">
        <v>74</v>
      </c>
      <c r="AG1455">
        <v>38</v>
      </c>
      <c r="AH1455">
        <v>6</v>
      </c>
      <c r="AI1455">
        <v>8</v>
      </c>
      <c r="AJ1455">
        <v>5</v>
      </c>
      <c r="AK1455">
        <v>76</v>
      </c>
      <c r="AL1455" t="s">
        <v>2145</v>
      </c>
      <c r="AM1455" t="s">
        <v>151</v>
      </c>
      <c r="AN1455" t="s">
        <v>2146</v>
      </c>
      <c r="AO1455" t="s">
        <v>2147</v>
      </c>
      <c r="AP1455" t="s">
        <v>2148</v>
      </c>
      <c r="AQ1455" t="s">
        <v>74</v>
      </c>
      <c r="AR1455" t="s">
        <v>2149</v>
      </c>
      <c r="AS1455" t="s">
        <v>2150</v>
      </c>
      <c r="AT1455" t="s">
        <v>74</v>
      </c>
      <c r="AU1455">
        <v>2022</v>
      </c>
      <c r="AV1455">
        <v>33</v>
      </c>
      <c r="AW1455">
        <v>2</v>
      </c>
      <c r="AX1455" t="s">
        <v>74</v>
      </c>
      <c r="AY1455" t="s">
        <v>74</v>
      </c>
      <c r="AZ1455" t="s">
        <v>74</v>
      </c>
      <c r="BA1455" t="s">
        <v>74</v>
      </c>
      <c r="BB1455">
        <v>194</v>
      </c>
      <c r="BC1455">
        <v>204</v>
      </c>
      <c r="BD1455" t="s">
        <v>74</v>
      </c>
      <c r="BE1455" t="s">
        <v>27290</v>
      </c>
      <c r="BF1455" t="str">
        <f>HYPERLINK("http://dx.doi.org/10.1891/JFCP-2021-0060","http://dx.doi.org/10.1891/JFCP-2021-0060")</f>
        <v>http://dx.doi.org/10.1891/JFCP-2021-0060</v>
      </c>
      <c r="BG1455" t="s">
        <v>74</v>
      </c>
      <c r="BH1455" t="s">
        <v>74</v>
      </c>
      <c r="BI1455">
        <v>11</v>
      </c>
      <c r="BJ1455" t="s">
        <v>1453</v>
      </c>
      <c r="BK1455" t="s">
        <v>313</v>
      </c>
      <c r="BL1455" t="s">
        <v>100</v>
      </c>
      <c r="BM1455" t="s">
        <v>2152</v>
      </c>
      <c r="BN1455" t="s">
        <v>74</v>
      </c>
      <c r="BO1455" t="s">
        <v>74</v>
      </c>
      <c r="BP1455" t="s">
        <v>74</v>
      </c>
      <c r="BQ1455" t="s">
        <v>74</v>
      </c>
      <c r="BR1455" t="s">
        <v>102</v>
      </c>
      <c r="BS1455" t="s">
        <v>27289</v>
      </c>
      <c r="BT1455" t="str">
        <f>HYPERLINK("https%3A%2F%2Fwww.webofscience.com%2Fwos%2Fwoscc%2Ffull-record%2FWOS:000825261300005","View Full Record in Web of Science")</f>
        <v>View Full Record in Web of Science</v>
      </c>
    </row>
    <row r="1456" spans="1:72" x14ac:dyDescent="0.25">
      <c r="A1456" t="s">
        <v>72</v>
      </c>
      <c r="B1456" t="s">
        <v>27288</v>
      </c>
      <c r="C1456" t="s">
        <v>74</v>
      </c>
      <c r="D1456" t="s">
        <v>74</v>
      </c>
      <c r="E1456" t="s">
        <v>74</v>
      </c>
      <c r="F1456" t="s">
        <v>27287</v>
      </c>
      <c r="G1456" t="s">
        <v>74</v>
      </c>
      <c r="H1456" t="s">
        <v>74</v>
      </c>
      <c r="I1456" t="s">
        <v>27286</v>
      </c>
      <c r="J1456" t="s">
        <v>1168</v>
      </c>
      <c r="K1456" t="s">
        <v>74</v>
      </c>
      <c r="L1456" t="s">
        <v>74</v>
      </c>
      <c r="M1456" t="s">
        <v>78</v>
      </c>
      <c r="N1456" t="s">
        <v>79</v>
      </c>
      <c r="O1456" t="s">
        <v>74</v>
      </c>
      <c r="P1456" t="s">
        <v>74</v>
      </c>
      <c r="Q1456" t="s">
        <v>74</v>
      </c>
      <c r="R1456" t="s">
        <v>74</v>
      </c>
      <c r="S1456" t="s">
        <v>74</v>
      </c>
      <c r="T1456" t="s">
        <v>27285</v>
      </c>
      <c r="U1456" t="s">
        <v>27284</v>
      </c>
      <c r="V1456" t="s">
        <v>27283</v>
      </c>
      <c r="W1456" t="s">
        <v>27282</v>
      </c>
      <c r="X1456" t="s">
        <v>12367</v>
      </c>
      <c r="Y1456" t="s">
        <v>27281</v>
      </c>
      <c r="Z1456" t="s">
        <v>12156</v>
      </c>
      <c r="AA1456" t="s">
        <v>74</v>
      </c>
      <c r="AB1456" t="s">
        <v>12157</v>
      </c>
      <c r="AC1456" t="s">
        <v>74</v>
      </c>
      <c r="AD1456" t="s">
        <v>74</v>
      </c>
      <c r="AE1456" t="s">
        <v>74</v>
      </c>
      <c r="AF1456" t="s">
        <v>74</v>
      </c>
      <c r="AG1456">
        <v>59</v>
      </c>
      <c r="AH1456">
        <v>20</v>
      </c>
      <c r="AI1456">
        <v>26</v>
      </c>
      <c r="AJ1456">
        <v>0</v>
      </c>
      <c r="AK1456">
        <v>8</v>
      </c>
      <c r="AL1456" t="s">
        <v>332</v>
      </c>
      <c r="AM1456" t="s">
        <v>333</v>
      </c>
      <c r="AN1456" t="s">
        <v>334</v>
      </c>
      <c r="AO1456" t="s">
        <v>1179</v>
      </c>
      <c r="AP1456" t="s">
        <v>1180</v>
      </c>
      <c r="AQ1456" t="s">
        <v>74</v>
      </c>
      <c r="AR1456" t="s">
        <v>1181</v>
      </c>
      <c r="AS1456" t="s">
        <v>1182</v>
      </c>
      <c r="AT1456" t="s">
        <v>1427</v>
      </c>
      <c r="AU1456">
        <v>2021</v>
      </c>
      <c r="AV1456">
        <v>22</v>
      </c>
      <c r="AW1456">
        <v>1</v>
      </c>
      <c r="AX1456" t="s">
        <v>74</v>
      </c>
      <c r="AY1456" t="s">
        <v>74</v>
      </c>
      <c r="AZ1456" t="s">
        <v>74</v>
      </c>
      <c r="BA1456" t="s">
        <v>74</v>
      </c>
      <c r="BB1456">
        <v>1</v>
      </c>
      <c r="BC1456">
        <v>20</v>
      </c>
      <c r="BD1456" t="s">
        <v>74</v>
      </c>
      <c r="BE1456" t="s">
        <v>27280</v>
      </c>
      <c r="BF1456" t="str">
        <f>HYPERLINK("http://dx.doi.org/10.1080/15228916.2019.1695189","http://dx.doi.org/10.1080/15228916.2019.1695189")</f>
        <v>http://dx.doi.org/10.1080/15228916.2019.1695189</v>
      </c>
      <c r="BG1456" t="s">
        <v>74</v>
      </c>
      <c r="BH1456" t="s">
        <v>12421</v>
      </c>
      <c r="BI1456">
        <v>20</v>
      </c>
      <c r="BJ1456" t="s">
        <v>418</v>
      </c>
      <c r="BK1456" t="s">
        <v>313</v>
      </c>
      <c r="BL1456" t="s">
        <v>100</v>
      </c>
      <c r="BM1456" t="s">
        <v>27279</v>
      </c>
      <c r="BN1456" t="s">
        <v>74</v>
      </c>
      <c r="BO1456" t="s">
        <v>74</v>
      </c>
      <c r="BP1456" t="s">
        <v>74</v>
      </c>
      <c r="BQ1456" t="s">
        <v>74</v>
      </c>
      <c r="BR1456" t="s">
        <v>102</v>
      </c>
      <c r="BS1456" t="s">
        <v>27278</v>
      </c>
      <c r="BT1456" t="str">
        <f>HYPERLINK("https%3A%2F%2Fwww.webofscience.com%2Fwos%2Fwoscc%2Ffull-record%2FWOS:000504213100001","View Full Record in Web of Science")</f>
        <v>View Full Record in Web of Science</v>
      </c>
    </row>
    <row r="1457" spans="1:72" x14ac:dyDescent="0.25">
      <c r="A1457" t="s">
        <v>72</v>
      </c>
      <c r="B1457" t="s">
        <v>27277</v>
      </c>
      <c r="C1457" t="s">
        <v>74</v>
      </c>
      <c r="D1457" t="s">
        <v>74</v>
      </c>
      <c r="E1457" t="s">
        <v>74</v>
      </c>
      <c r="F1457" t="s">
        <v>27276</v>
      </c>
      <c r="G1457" t="s">
        <v>74</v>
      </c>
      <c r="H1457" t="s">
        <v>74</v>
      </c>
      <c r="I1457" t="s">
        <v>27275</v>
      </c>
      <c r="J1457" t="s">
        <v>1309</v>
      </c>
      <c r="K1457" t="s">
        <v>74</v>
      </c>
      <c r="L1457" t="s">
        <v>74</v>
      </c>
      <c r="M1457" t="s">
        <v>78</v>
      </c>
      <c r="N1457" t="s">
        <v>372</v>
      </c>
      <c r="O1457" t="s">
        <v>74</v>
      </c>
      <c r="P1457" t="s">
        <v>74</v>
      </c>
      <c r="Q1457" t="s">
        <v>74</v>
      </c>
      <c r="R1457" t="s">
        <v>74</v>
      </c>
      <c r="S1457" t="s">
        <v>74</v>
      </c>
      <c r="T1457" t="s">
        <v>27274</v>
      </c>
      <c r="U1457" t="s">
        <v>27273</v>
      </c>
      <c r="V1457" t="s">
        <v>27272</v>
      </c>
      <c r="W1457" t="s">
        <v>27271</v>
      </c>
      <c r="X1457" t="s">
        <v>27270</v>
      </c>
      <c r="Y1457" t="s">
        <v>27269</v>
      </c>
      <c r="Z1457" t="s">
        <v>27268</v>
      </c>
      <c r="AA1457" t="s">
        <v>27267</v>
      </c>
      <c r="AB1457" t="s">
        <v>27266</v>
      </c>
      <c r="AC1457" t="s">
        <v>74</v>
      </c>
      <c r="AD1457" t="s">
        <v>74</v>
      </c>
      <c r="AE1457" t="s">
        <v>74</v>
      </c>
      <c r="AF1457" t="s">
        <v>74</v>
      </c>
      <c r="AG1457">
        <v>68</v>
      </c>
      <c r="AH1457">
        <v>0</v>
      </c>
      <c r="AI1457">
        <v>0</v>
      </c>
      <c r="AJ1457">
        <v>1</v>
      </c>
      <c r="AK1457">
        <v>1</v>
      </c>
      <c r="AL1457" t="s">
        <v>89</v>
      </c>
      <c r="AM1457" t="s">
        <v>90</v>
      </c>
      <c r="AN1457" t="s">
        <v>91</v>
      </c>
      <c r="AO1457" t="s">
        <v>1317</v>
      </c>
      <c r="AP1457" t="s">
        <v>74</v>
      </c>
      <c r="AQ1457" t="s">
        <v>74</v>
      </c>
      <c r="AR1457" t="s">
        <v>1319</v>
      </c>
      <c r="AS1457" t="s">
        <v>74</v>
      </c>
      <c r="AT1457" t="s">
        <v>27265</v>
      </c>
      <c r="AU1457">
        <v>2025</v>
      </c>
      <c r="AV1457" t="s">
        <v>74</v>
      </c>
      <c r="AW1457" t="s">
        <v>74</v>
      </c>
      <c r="AX1457" t="s">
        <v>74</v>
      </c>
      <c r="AY1457" t="s">
        <v>74</v>
      </c>
      <c r="AZ1457" t="s">
        <v>74</v>
      </c>
      <c r="BA1457" t="s">
        <v>74</v>
      </c>
      <c r="BB1457" t="s">
        <v>74</v>
      </c>
      <c r="BC1457" t="s">
        <v>74</v>
      </c>
      <c r="BD1457" t="s">
        <v>74</v>
      </c>
      <c r="BE1457" t="s">
        <v>27264</v>
      </c>
      <c r="BF1457" t="str">
        <f>HYPERLINK("http://dx.doi.org/10.1108/JES-06-2025-0386","http://dx.doi.org/10.1108/JES-06-2025-0386")</f>
        <v>http://dx.doi.org/10.1108/JES-06-2025-0386</v>
      </c>
      <c r="BG1457" t="s">
        <v>74</v>
      </c>
      <c r="BH1457" t="s">
        <v>12078</v>
      </c>
      <c r="BI1457">
        <v>16</v>
      </c>
      <c r="BJ1457" t="s">
        <v>291</v>
      </c>
      <c r="BK1457" t="s">
        <v>313</v>
      </c>
      <c r="BL1457" t="s">
        <v>100</v>
      </c>
      <c r="BM1457" t="s">
        <v>27263</v>
      </c>
      <c r="BN1457" t="s">
        <v>74</v>
      </c>
      <c r="BO1457" t="s">
        <v>74</v>
      </c>
      <c r="BP1457" t="s">
        <v>74</v>
      </c>
      <c r="BQ1457" t="s">
        <v>74</v>
      </c>
      <c r="BR1457" t="s">
        <v>102</v>
      </c>
      <c r="BS1457" t="s">
        <v>27262</v>
      </c>
      <c r="BT1457" t="str">
        <f>HYPERLINK("https%3A%2F%2Fwww.webofscience.com%2Fwos%2Fwoscc%2Ffull-record%2FWOS:001586849100001","View Full Record in Web of Science")</f>
        <v>View Full Record in Web of Science</v>
      </c>
    </row>
    <row r="1458" spans="1:72" x14ac:dyDescent="0.25">
      <c r="A1458" t="s">
        <v>72</v>
      </c>
      <c r="B1458" t="s">
        <v>27261</v>
      </c>
      <c r="C1458" t="s">
        <v>74</v>
      </c>
      <c r="D1458" t="s">
        <v>74</v>
      </c>
      <c r="E1458" t="s">
        <v>74</v>
      </c>
      <c r="F1458" t="s">
        <v>27260</v>
      </c>
      <c r="G1458" t="s">
        <v>74</v>
      </c>
      <c r="H1458" t="s">
        <v>74</v>
      </c>
      <c r="I1458" t="s">
        <v>27259</v>
      </c>
      <c r="J1458" t="s">
        <v>14645</v>
      </c>
      <c r="K1458" t="s">
        <v>74</v>
      </c>
      <c r="L1458" t="s">
        <v>74</v>
      </c>
      <c r="M1458" t="s">
        <v>78</v>
      </c>
      <c r="N1458" t="s">
        <v>79</v>
      </c>
      <c r="O1458" t="s">
        <v>74</v>
      </c>
      <c r="P1458" t="s">
        <v>74</v>
      </c>
      <c r="Q1458" t="s">
        <v>74</v>
      </c>
      <c r="R1458" t="s">
        <v>74</v>
      </c>
      <c r="S1458" t="s">
        <v>74</v>
      </c>
      <c r="T1458" t="s">
        <v>27258</v>
      </c>
      <c r="U1458" t="s">
        <v>74</v>
      </c>
      <c r="V1458" t="s">
        <v>27257</v>
      </c>
      <c r="W1458" t="s">
        <v>27256</v>
      </c>
      <c r="X1458" t="s">
        <v>74</v>
      </c>
      <c r="Y1458" t="s">
        <v>27255</v>
      </c>
      <c r="Z1458" t="s">
        <v>27254</v>
      </c>
      <c r="AA1458" t="s">
        <v>74</v>
      </c>
      <c r="AB1458" t="s">
        <v>74</v>
      </c>
      <c r="AC1458" t="s">
        <v>74</v>
      </c>
      <c r="AD1458" t="s">
        <v>74</v>
      </c>
      <c r="AE1458" t="s">
        <v>74</v>
      </c>
      <c r="AF1458" t="s">
        <v>74</v>
      </c>
      <c r="AG1458">
        <v>43</v>
      </c>
      <c r="AH1458">
        <v>0</v>
      </c>
      <c r="AI1458">
        <v>0</v>
      </c>
      <c r="AJ1458">
        <v>1</v>
      </c>
      <c r="AK1458">
        <v>3</v>
      </c>
      <c r="AL1458" t="s">
        <v>2551</v>
      </c>
      <c r="AM1458" t="s">
        <v>231</v>
      </c>
      <c r="AN1458" t="s">
        <v>2552</v>
      </c>
      <c r="AO1458" t="s">
        <v>14652</v>
      </c>
      <c r="AP1458" t="s">
        <v>14653</v>
      </c>
      <c r="AQ1458" t="s">
        <v>74</v>
      </c>
      <c r="AR1458" t="s">
        <v>14654</v>
      </c>
      <c r="AS1458" t="s">
        <v>14655</v>
      </c>
      <c r="AT1458" t="s">
        <v>14656</v>
      </c>
      <c r="AU1458">
        <v>2024</v>
      </c>
      <c r="AV1458">
        <v>40</v>
      </c>
      <c r="AW1458">
        <v>1</v>
      </c>
      <c r="AX1458" t="s">
        <v>74</v>
      </c>
      <c r="AY1458" t="s">
        <v>74</v>
      </c>
      <c r="AZ1458" t="s">
        <v>441</v>
      </c>
      <c r="BA1458" t="s">
        <v>74</v>
      </c>
      <c r="BB1458">
        <v>8</v>
      </c>
      <c r="BC1458">
        <v>17</v>
      </c>
      <c r="BD1458" t="s">
        <v>74</v>
      </c>
      <c r="BE1458" t="s">
        <v>27253</v>
      </c>
      <c r="BF1458" t="str">
        <f>HYPERLINK("http://dx.doi.org/10.1093/oxrep/grad049","http://dx.doi.org/10.1093/oxrep/grad049")</f>
        <v>http://dx.doi.org/10.1093/oxrep/grad049</v>
      </c>
      <c r="BG1458" t="s">
        <v>74</v>
      </c>
      <c r="BH1458" t="s">
        <v>74</v>
      </c>
      <c r="BI1458">
        <v>10</v>
      </c>
      <c r="BJ1458" t="s">
        <v>291</v>
      </c>
      <c r="BK1458" t="s">
        <v>99</v>
      </c>
      <c r="BL1458" t="s">
        <v>100</v>
      </c>
      <c r="BM1458" t="s">
        <v>14658</v>
      </c>
      <c r="BN1458" t="s">
        <v>74</v>
      </c>
      <c r="BO1458" t="s">
        <v>74</v>
      </c>
      <c r="BP1458" t="s">
        <v>74</v>
      </c>
      <c r="BQ1458" t="s">
        <v>74</v>
      </c>
      <c r="BR1458" t="s">
        <v>102</v>
      </c>
      <c r="BS1458" t="s">
        <v>27252</v>
      </c>
      <c r="BT1458" t="str">
        <f>HYPERLINK("https%3A%2F%2Fwww.webofscience.com%2Fwos%2Fwoscc%2Ffull-record%2FWOS:001186414700006","View Full Record in Web of Science")</f>
        <v>View Full Record in Web of Science</v>
      </c>
    </row>
    <row r="1459" spans="1:72" x14ac:dyDescent="0.25">
      <c r="A1459" t="s">
        <v>72</v>
      </c>
      <c r="B1459" t="s">
        <v>27251</v>
      </c>
      <c r="C1459" t="s">
        <v>74</v>
      </c>
      <c r="D1459" t="s">
        <v>74</v>
      </c>
      <c r="E1459" t="s">
        <v>74</v>
      </c>
      <c r="F1459" t="s">
        <v>27250</v>
      </c>
      <c r="G1459" t="s">
        <v>74</v>
      </c>
      <c r="H1459" t="s">
        <v>74</v>
      </c>
      <c r="I1459" t="s">
        <v>27249</v>
      </c>
      <c r="J1459" t="s">
        <v>5937</v>
      </c>
      <c r="K1459" t="s">
        <v>74</v>
      </c>
      <c r="L1459" t="s">
        <v>74</v>
      </c>
      <c r="M1459" t="s">
        <v>78</v>
      </c>
      <c r="N1459" t="s">
        <v>79</v>
      </c>
      <c r="O1459" t="s">
        <v>74</v>
      </c>
      <c r="P1459" t="s">
        <v>74</v>
      </c>
      <c r="Q1459" t="s">
        <v>74</v>
      </c>
      <c r="R1459" t="s">
        <v>74</v>
      </c>
      <c r="S1459" t="s">
        <v>74</v>
      </c>
      <c r="T1459" t="s">
        <v>27248</v>
      </c>
      <c r="U1459" t="s">
        <v>27247</v>
      </c>
      <c r="V1459" t="s">
        <v>27246</v>
      </c>
      <c r="W1459" t="s">
        <v>27245</v>
      </c>
      <c r="X1459" t="s">
        <v>27244</v>
      </c>
      <c r="Y1459" t="s">
        <v>27243</v>
      </c>
      <c r="Z1459" t="s">
        <v>27242</v>
      </c>
      <c r="AA1459" t="s">
        <v>27241</v>
      </c>
      <c r="AB1459" t="s">
        <v>27240</v>
      </c>
      <c r="AC1459" t="s">
        <v>74</v>
      </c>
      <c r="AD1459" t="s">
        <v>74</v>
      </c>
      <c r="AE1459" t="s">
        <v>74</v>
      </c>
      <c r="AF1459" t="s">
        <v>74</v>
      </c>
      <c r="AG1459">
        <v>58</v>
      </c>
      <c r="AH1459">
        <v>2</v>
      </c>
      <c r="AI1459">
        <v>2</v>
      </c>
      <c r="AJ1459">
        <v>0</v>
      </c>
      <c r="AK1459">
        <v>6</v>
      </c>
      <c r="AL1459" t="s">
        <v>89</v>
      </c>
      <c r="AM1459" t="s">
        <v>90</v>
      </c>
      <c r="AN1459" t="s">
        <v>91</v>
      </c>
      <c r="AO1459" t="s">
        <v>5946</v>
      </c>
      <c r="AP1459" t="s">
        <v>5947</v>
      </c>
      <c r="AQ1459" t="s">
        <v>74</v>
      </c>
      <c r="AR1459" t="s">
        <v>5948</v>
      </c>
      <c r="AS1459" t="s">
        <v>5949</v>
      </c>
      <c r="AT1459" t="s">
        <v>13051</v>
      </c>
      <c r="AU1459">
        <v>2025</v>
      </c>
      <c r="AV1459">
        <v>16</v>
      </c>
      <c r="AW1459">
        <v>2</v>
      </c>
      <c r="AX1459" t="s">
        <v>74</v>
      </c>
      <c r="AY1459" t="s">
        <v>74</v>
      </c>
      <c r="AZ1459" t="s">
        <v>74</v>
      </c>
      <c r="BA1459" t="s">
        <v>74</v>
      </c>
      <c r="BB1459">
        <v>233</v>
      </c>
      <c r="BC1459">
        <v>251</v>
      </c>
      <c r="BD1459" t="s">
        <v>74</v>
      </c>
      <c r="BE1459" t="s">
        <v>27239</v>
      </c>
      <c r="BF1459" t="str">
        <f>HYPERLINK("http://dx.doi.org/10.1108/JSTPM-07-2022-0114","http://dx.doi.org/10.1108/JSTPM-07-2022-0114")</f>
        <v>http://dx.doi.org/10.1108/JSTPM-07-2022-0114</v>
      </c>
      <c r="BG1459" t="s">
        <v>74</v>
      </c>
      <c r="BH1459" t="s">
        <v>7993</v>
      </c>
      <c r="BI1459">
        <v>19</v>
      </c>
      <c r="BJ1459" t="s">
        <v>583</v>
      </c>
      <c r="BK1459" t="s">
        <v>313</v>
      </c>
      <c r="BL1459" t="s">
        <v>100</v>
      </c>
      <c r="BM1459" t="s">
        <v>27238</v>
      </c>
      <c r="BN1459" t="s">
        <v>74</v>
      </c>
      <c r="BO1459" t="s">
        <v>74</v>
      </c>
      <c r="BP1459" t="s">
        <v>74</v>
      </c>
      <c r="BQ1459" t="s">
        <v>74</v>
      </c>
      <c r="BR1459" t="s">
        <v>102</v>
      </c>
      <c r="BS1459" t="s">
        <v>27237</v>
      </c>
      <c r="BT1459" t="str">
        <f>HYPERLINK("https%3A%2F%2Fwww.webofscience.com%2Fwos%2Fwoscc%2Ffull-record%2FWOS:001049575200001","View Full Record in Web of Science")</f>
        <v>View Full Record in Web of Science</v>
      </c>
    </row>
    <row r="1460" spans="1:72" x14ac:dyDescent="0.25">
      <c r="A1460" t="s">
        <v>72</v>
      </c>
      <c r="B1460" t="s">
        <v>27236</v>
      </c>
      <c r="C1460" t="s">
        <v>74</v>
      </c>
      <c r="D1460" t="s">
        <v>74</v>
      </c>
      <c r="E1460" t="s">
        <v>74</v>
      </c>
      <c r="F1460" t="s">
        <v>27235</v>
      </c>
      <c r="G1460" t="s">
        <v>74</v>
      </c>
      <c r="H1460" t="s">
        <v>74</v>
      </c>
      <c r="I1460" t="s">
        <v>27234</v>
      </c>
      <c r="J1460" t="s">
        <v>729</v>
      </c>
      <c r="K1460" t="s">
        <v>74</v>
      </c>
      <c r="L1460" t="s">
        <v>74</v>
      </c>
      <c r="M1460" t="s">
        <v>78</v>
      </c>
      <c r="N1460" t="s">
        <v>79</v>
      </c>
      <c r="O1460" t="s">
        <v>74</v>
      </c>
      <c r="P1460" t="s">
        <v>74</v>
      </c>
      <c r="Q1460" t="s">
        <v>74</v>
      </c>
      <c r="R1460" t="s">
        <v>74</v>
      </c>
      <c r="S1460" t="s">
        <v>74</v>
      </c>
      <c r="T1460" t="s">
        <v>27233</v>
      </c>
      <c r="U1460" t="s">
        <v>27232</v>
      </c>
      <c r="V1460" t="s">
        <v>27231</v>
      </c>
      <c r="W1460" t="s">
        <v>27230</v>
      </c>
      <c r="X1460" t="s">
        <v>27229</v>
      </c>
      <c r="Y1460" t="s">
        <v>27228</v>
      </c>
      <c r="Z1460" t="s">
        <v>27227</v>
      </c>
      <c r="AA1460" t="s">
        <v>27226</v>
      </c>
      <c r="AB1460" t="s">
        <v>27225</v>
      </c>
      <c r="AC1460" t="s">
        <v>74</v>
      </c>
      <c r="AD1460" t="s">
        <v>74</v>
      </c>
      <c r="AE1460" t="s">
        <v>74</v>
      </c>
      <c r="AF1460" t="s">
        <v>74</v>
      </c>
      <c r="AG1460">
        <v>80</v>
      </c>
      <c r="AH1460">
        <v>49</v>
      </c>
      <c r="AI1460">
        <v>66</v>
      </c>
      <c r="AJ1460">
        <v>0</v>
      </c>
      <c r="AK1460">
        <v>22</v>
      </c>
      <c r="AL1460" t="s">
        <v>479</v>
      </c>
      <c r="AM1460" t="s">
        <v>480</v>
      </c>
      <c r="AN1460" t="s">
        <v>481</v>
      </c>
      <c r="AO1460" t="s">
        <v>739</v>
      </c>
      <c r="AP1460" t="s">
        <v>740</v>
      </c>
      <c r="AQ1460" t="s">
        <v>74</v>
      </c>
      <c r="AR1460" t="s">
        <v>741</v>
      </c>
      <c r="AS1460" t="s">
        <v>742</v>
      </c>
      <c r="AT1460" t="s">
        <v>1159</v>
      </c>
      <c r="AU1460">
        <v>2021</v>
      </c>
      <c r="AV1460">
        <v>26</v>
      </c>
      <c r="AW1460">
        <v>4</v>
      </c>
      <c r="AX1460" t="s">
        <v>74</v>
      </c>
      <c r="AY1460" t="s">
        <v>74</v>
      </c>
      <c r="AZ1460" t="s">
        <v>74</v>
      </c>
      <c r="BA1460" t="s">
        <v>74</v>
      </c>
      <c r="BB1460">
        <v>5235</v>
      </c>
      <c r="BC1460">
        <v>5258</v>
      </c>
      <c r="BD1460" t="s">
        <v>74</v>
      </c>
      <c r="BE1460" t="s">
        <v>27224</v>
      </c>
      <c r="BF1460" t="str">
        <f>HYPERLINK("http://dx.doi.org/10.1002/ijfe.2063","http://dx.doi.org/10.1002/ijfe.2063")</f>
        <v>http://dx.doi.org/10.1002/ijfe.2063</v>
      </c>
      <c r="BG1460" t="s">
        <v>74</v>
      </c>
      <c r="BH1460" t="s">
        <v>22961</v>
      </c>
      <c r="BI1460">
        <v>24</v>
      </c>
      <c r="BJ1460" t="s">
        <v>268</v>
      </c>
      <c r="BK1460" t="s">
        <v>99</v>
      </c>
      <c r="BL1460" t="s">
        <v>100</v>
      </c>
      <c r="BM1460" t="s">
        <v>27223</v>
      </c>
      <c r="BN1460" t="s">
        <v>74</v>
      </c>
      <c r="BO1460" t="s">
        <v>74</v>
      </c>
      <c r="BP1460" t="s">
        <v>74</v>
      </c>
      <c r="BQ1460" t="s">
        <v>74</v>
      </c>
      <c r="BR1460" t="s">
        <v>102</v>
      </c>
      <c r="BS1460" t="s">
        <v>27222</v>
      </c>
      <c r="BT1460" t="str">
        <f>HYPERLINK("https%3A%2F%2Fwww.webofscience.com%2Fwos%2Fwoscc%2Ffull-record%2FWOS:000579055100001","View Full Record in Web of Science")</f>
        <v>View Full Record in Web of Science</v>
      </c>
    </row>
    <row r="1461" spans="1:72" x14ac:dyDescent="0.25">
      <c r="A1461" t="s">
        <v>72</v>
      </c>
      <c r="B1461" t="s">
        <v>27221</v>
      </c>
      <c r="C1461" t="s">
        <v>74</v>
      </c>
      <c r="D1461" t="s">
        <v>74</v>
      </c>
      <c r="E1461" t="s">
        <v>74</v>
      </c>
      <c r="F1461" t="s">
        <v>27220</v>
      </c>
      <c r="G1461" t="s">
        <v>74</v>
      </c>
      <c r="H1461" t="s">
        <v>74</v>
      </c>
      <c r="I1461" t="s">
        <v>27219</v>
      </c>
      <c r="J1461" t="s">
        <v>5098</v>
      </c>
      <c r="K1461" t="s">
        <v>74</v>
      </c>
      <c r="L1461" t="s">
        <v>74</v>
      </c>
      <c r="M1461" t="s">
        <v>78</v>
      </c>
      <c r="N1461" t="s">
        <v>79</v>
      </c>
      <c r="O1461" t="s">
        <v>74</v>
      </c>
      <c r="P1461" t="s">
        <v>74</v>
      </c>
      <c r="Q1461" t="s">
        <v>74</v>
      </c>
      <c r="R1461" t="s">
        <v>74</v>
      </c>
      <c r="S1461" t="s">
        <v>74</v>
      </c>
      <c r="T1461" t="s">
        <v>27218</v>
      </c>
      <c r="U1461" t="s">
        <v>27217</v>
      </c>
      <c r="V1461" t="s">
        <v>27216</v>
      </c>
      <c r="W1461" t="s">
        <v>27215</v>
      </c>
      <c r="X1461" t="s">
        <v>7569</v>
      </c>
      <c r="Y1461" t="s">
        <v>27214</v>
      </c>
      <c r="Z1461" t="s">
        <v>27213</v>
      </c>
      <c r="AA1461" t="s">
        <v>27212</v>
      </c>
      <c r="AB1461" t="s">
        <v>27211</v>
      </c>
      <c r="AC1461" t="s">
        <v>74</v>
      </c>
      <c r="AD1461" t="s">
        <v>74</v>
      </c>
      <c r="AE1461" t="s">
        <v>74</v>
      </c>
      <c r="AF1461" t="s">
        <v>74</v>
      </c>
      <c r="AG1461">
        <v>39</v>
      </c>
      <c r="AH1461">
        <v>3</v>
      </c>
      <c r="AI1461">
        <v>3</v>
      </c>
      <c r="AJ1461">
        <v>0</v>
      </c>
      <c r="AK1461">
        <v>4</v>
      </c>
      <c r="AL1461" t="s">
        <v>479</v>
      </c>
      <c r="AM1461" t="s">
        <v>480</v>
      </c>
      <c r="AN1461" t="s">
        <v>481</v>
      </c>
      <c r="AO1461" t="s">
        <v>5108</v>
      </c>
      <c r="AP1461" t="s">
        <v>74</v>
      </c>
      <c r="AQ1461" t="s">
        <v>74</v>
      </c>
      <c r="AR1461" t="s">
        <v>5109</v>
      </c>
      <c r="AS1461" t="s">
        <v>5110</v>
      </c>
      <c r="AT1461" t="s">
        <v>848</v>
      </c>
      <c r="AU1461">
        <v>2020</v>
      </c>
      <c r="AV1461">
        <v>86</v>
      </c>
      <c r="AW1461">
        <v>4</v>
      </c>
      <c r="AX1461" t="s">
        <v>74</v>
      </c>
      <c r="AY1461" t="s">
        <v>74</v>
      </c>
      <c r="AZ1461" t="s">
        <v>74</v>
      </c>
      <c r="BA1461" t="s">
        <v>74</v>
      </c>
      <c r="BB1461" t="s">
        <v>74</v>
      </c>
      <c r="BC1461" t="s">
        <v>74</v>
      </c>
      <c r="BD1461" t="s">
        <v>27210</v>
      </c>
      <c r="BE1461" t="s">
        <v>27209</v>
      </c>
      <c r="BF1461" t="str">
        <f>HYPERLINK("http://dx.doi.org/10.1002/isd2.12129","http://dx.doi.org/10.1002/isd2.12129")</f>
        <v>http://dx.doi.org/10.1002/isd2.12129</v>
      </c>
      <c r="BG1461" t="s">
        <v>74</v>
      </c>
      <c r="BH1461" t="s">
        <v>9265</v>
      </c>
      <c r="BI1461">
        <v>15</v>
      </c>
      <c r="BJ1461" t="s">
        <v>364</v>
      </c>
      <c r="BK1461" t="s">
        <v>313</v>
      </c>
      <c r="BL1461" t="s">
        <v>365</v>
      </c>
      <c r="BM1461" t="s">
        <v>27208</v>
      </c>
      <c r="BN1461" t="s">
        <v>74</v>
      </c>
      <c r="BO1461" t="s">
        <v>1205</v>
      </c>
      <c r="BP1461" t="s">
        <v>74</v>
      </c>
      <c r="BQ1461" t="s">
        <v>74</v>
      </c>
      <c r="BR1461" t="s">
        <v>102</v>
      </c>
      <c r="BS1461" t="s">
        <v>27207</v>
      </c>
      <c r="BT1461" t="str">
        <f>HYPERLINK("https%3A%2F%2Fwww.webofscience.com%2Fwos%2Fwoscc%2Ffull-record%2FWOS:000506485800001","View Full Record in Web of Science")</f>
        <v>View Full Record in Web of Science</v>
      </c>
    </row>
    <row r="1462" spans="1:72" x14ac:dyDescent="0.25">
      <c r="A1462" t="s">
        <v>72</v>
      </c>
      <c r="B1462" t="s">
        <v>22712</v>
      </c>
      <c r="C1462" t="s">
        <v>74</v>
      </c>
      <c r="D1462" t="s">
        <v>74</v>
      </c>
      <c r="E1462" t="s">
        <v>74</v>
      </c>
      <c r="F1462" t="s">
        <v>27206</v>
      </c>
      <c r="G1462" t="s">
        <v>74</v>
      </c>
      <c r="H1462" t="s">
        <v>74</v>
      </c>
      <c r="I1462" t="s">
        <v>27205</v>
      </c>
      <c r="J1462" t="s">
        <v>27204</v>
      </c>
      <c r="K1462" t="s">
        <v>74</v>
      </c>
      <c r="L1462" t="s">
        <v>74</v>
      </c>
      <c r="M1462" t="s">
        <v>78</v>
      </c>
      <c r="N1462" t="s">
        <v>79</v>
      </c>
      <c r="O1462" t="s">
        <v>74</v>
      </c>
      <c r="P1462" t="s">
        <v>74</v>
      </c>
      <c r="Q1462" t="s">
        <v>74</v>
      </c>
      <c r="R1462" t="s">
        <v>74</v>
      </c>
      <c r="S1462" t="s">
        <v>74</v>
      </c>
      <c r="T1462" t="s">
        <v>27203</v>
      </c>
      <c r="U1462" t="s">
        <v>27202</v>
      </c>
      <c r="V1462" t="s">
        <v>27201</v>
      </c>
      <c r="W1462" t="s">
        <v>27200</v>
      </c>
      <c r="X1462" t="s">
        <v>27199</v>
      </c>
      <c r="Y1462" t="s">
        <v>27198</v>
      </c>
      <c r="Z1462" t="s">
        <v>74</v>
      </c>
      <c r="AA1462" t="s">
        <v>74</v>
      </c>
      <c r="AB1462" t="s">
        <v>74</v>
      </c>
      <c r="AC1462" t="s">
        <v>74</v>
      </c>
      <c r="AD1462" t="s">
        <v>74</v>
      </c>
      <c r="AE1462" t="s">
        <v>74</v>
      </c>
      <c r="AF1462" t="s">
        <v>74</v>
      </c>
      <c r="AG1462">
        <v>67</v>
      </c>
      <c r="AH1462">
        <v>0</v>
      </c>
      <c r="AI1462">
        <v>0</v>
      </c>
      <c r="AJ1462">
        <v>0</v>
      </c>
      <c r="AK1462">
        <v>0</v>
      </c>
      <c r="AL1462" t="s">
        <v>27197</v>
      </c>
      <c r="AM1462" t="s">
        <v>7673</v>
      </c>
      <c r="AN1462" t="s">
        <v>27196</v>
      </c>
      <c r="AO1462" t="s">
        <v>27195</v>
      </c>
      <c r="AP1462" t="s">
        <v>27194</v>
      </c>
      <c r="AQ1462" t="s">
        <v>74</v>
      </c>
      <c r="AR1462" t="s">
        <v>27193</v>
      </c>
      <c r="AS1462" t="s">
        <v>27192</v>
      </c>
      <c r="AT1462" t="s">
        <v>74</v>
      </c>
      <c r="AU1462">
        <v>2025</v>
      </c>
      <c r="AV1462" t="s">
        <v>74</v>
      </c>
      <c r="AW1462">
        <v>1</v>
      </c>
      <c r="AX1462" t="s">
        <v>74</v>
      </c>
      <c r="AY1462" t="s">
        <v>74</v>
      </c>
      <c r="AZ1462" t="s">
        <v>74</v>
      </c>
      <c r="BA1462" t="s">
        <v>74</v>
      </c>
      <c r="BB1462">
        <v>25</v>
      </c>
      <c r="BC1462">
        <v>80</v>
      </c>
      <c r="BD1462" t="s">
        <v>74</v>
      </c>
      <c r="BE1462" t="s">
        <v>74</v>
      </c>
      <c r="BF1462" t="s">
        <v>74</v>
      </c>
      <c r="BG1462" t="s">
        <v>74</v>
      </c>
      <c r="BH1462" t="s">
        <v>74</v>
      </c>
      <c r="BI1462">
        <v>56</v>
      </c>
      <c r="BJ1462" t="s">
        <v>4949</v>
      </c>
      <c r="BK1462" t="s">
        <v>313</v>
      </c>
      <c r="BL1462" t="s">
        <v>4950</v>
      </c>
      <c r="BM1462" t="s">
        <v>27191</v>
      </c>
      <c r="BN1462" t="s">
        <v>74</v>
      </c>
      <c r="BO1462" t="s">
        <v>74</v>
      </c>
      <c r="BP1462" t="s">
        <v>74</v>
      </c>
      <c r="BQ1462" t="s">
        <v>74</v>
      </c>
      <c r="BR1462" t="s">
        <v>102</v>
      </c>
      <c r="BS1462" t="s">
        <v>27190</v>
      </c>
      <c r="BT1462" t="str">
        <f>HYPERLINK("https%3A%2F%2Fwww.webofscience.com%2Fwos%2Fwoscc%2Ffull-record%2FWOS:001495208700002","View Full Record in Web of Science")</f>
        <v>View Full Record in Web of Science</v>
      </c>
    </row>
    <row r="1463" spans="1:72" x14ac:dyDescent="0.25">
      <c r="A1463" t="s">
        <v>72</v>
      </c>
      <c r="B1463" t="s">
        <v>27189</v>
      </c>
      <c r="C1463" t="s">
        <v>74</v>
      </c>
      <c r="D1463" t="s">
        <v>74</v>
      </c>
      <c r="E1463" t="s">
        <v>74</v>
      </c>
      <c r="F1463" t="s">
        <v>27188</v>
      </c>
      <c r="G1463" t="s">
        <v>74</v>
      </c>
      <c r="H1463" t="s">
        <v>74</v>
      </c>
      <c r="I1463" t="s">
        <v>27187</v>
      </c>
      <c r="J1463" t="s">
        <v>27186</v>
      </c>
      <c r="K1463" t="s">
        <v>74</v>
      </c>
      <c r="L1463" t="s">
        <v>74</v>
      </c>
      <c r="M1463" t="s">
        <v>298</v>
      </c>
      <c r="N1463" t="s">
        <v>79</v>
      </c>
      <c r="O1463" t="s">
        <v>74</v>
      </c>
      <c r="P1463" t="s">
        <v>74</v>
      </c>
      <c r="Q1463" t="s">
        <v>74</v>
      </c>
      <c r="R1463" t="s">
        <v>74</v>
      </c>
      <c r="S1463" t="s">
        <v>74</v>
      </c>
      <c r="T1463" t="s">
        <v>27185</v>
      </c>
      <c r="U1463" t="s">
        <v>18318</v>
      </c>
      <c r="V1463" t="s">
        <v>27184</v>
      </c>
      <c r="W1463" t="s">
        <v>27183</v>
      </c>
      <c r="X1463" t="s">
        <v>20702</v>
      </c>
      <c r="Y1463" t="s">
        <v>27182</v>
      </c>
      <c r="Z1463" t="s">
        <v>20700</v>
      </c>
      <c r="AA1463" t="s">
        <v>27181</v>
      </c>
      <c r="AB1463" t="s">
        <v>27180</v>
      </c>
      <c r="AC1463" t="s">
        <v>74</v>
      </c>
      <c r="AD1463" t="s">
        <v>74</v>
      </c>
      <c r="AE1463" t="s">
        <v>74</v>
      </c>
      <c r="AF1463" t="s">
        <v>74</v>
      </c>
      <c r="AG1463">
        <v>42</v>
      </c>
      <c r="AH1463">
        <v>8</v>
      </c>
      <c r="AI1463">
        <v>14</v>
      </c>
      <c r="AJ1463">
        <v>2</v>
      </c>
      <c r="AK1463">
        <v>22</v>
      </c>
      <c r="AL1463" t="s">
        <v>27179</v>
      </c>
      <c r="AM1463" t="s">
        <v>27178</v>
      </c>
      <c r="AN1463" t="s">
        <v>27177</v>
      </c>
      <c r="AO1463" t="s">
        <v>27176</v>
      </c>
      <c r="AP1463" t="s">
        <v>27175</v>
      </c>
      <c r="AQ1463" t="s">
        <v>74</v>
      </c>
      <c r="AR1463" t="s">
        <v>27174</v>
      </c>
      <c r="AS1463" t="s">
        <v>27173</v>
      </c>
      <c r="AT1463" t="s">
        <v>311</v>
      </c>
      <c r="AU1463">
        <v>2021</v>
      </c>
      <c r="AV1463">
        <v>21</v>
      </c>
      <c r="AW1463">
        <v>65</v>
      </c>
      <c r="AX1463" t="s">
        <v>74</v>
      </c>
      <c r="AY1463" t="s">
        <v>74</v>
      </c>
      <c r="AZ1463" t="s">
        <v>74</v>
      </c>
      <c r="BA1463" t="s">
        <v>74</v>
      </c>
      <c r="BB1463">
        <v>147</v>
      </c>
      <c r="BC1463">
        <v>177</v>
      </c>
      <c r="BD1463" t="s">
        <v>74</v>
      </c>
      <c r="BE1463" t="s">
        <v>27172</v>
      </c>
      <c r="BF1463" t="str">
        <f>HYPERLINK("http://dx.doi.org/10.22136/est20211641","http://dx.doi.org/10.22136/est20211641")</f>
        <v>http://dx.doi.org/10.22136/est20211641</v>
      </c>
      <c r="BG1463" t="s">
        <v>74</v>
      </c>
      <c r="BH1463" t="s">
        <v>74</v>
      </c>
      <c r="BI1463">
        <v>31</v>
      </c>
      <c r="BJ1463" t="s">
        <v>364</v>
      </c>
      <c r="BK1463" t="s">
        <v>313</v>
      </c>
      <c r="BL1463" t="s">
        <v>365</v>
      </c>
      <c r="BM1463" t="s">
        <v>27171</v>
      </c>
      <c r="BN1463" t="s">
        <v>74</v>
      </c>
      <c r="BO1463" t="s">
        <v>212</v>
      </c>
      <c r="BP1463" t="s">
        <v>74</v>
      </c>
      <c r="BQ1463" t="s">
        <v>74</v>
      </c>
      <c r="BR1463" t="s">
        <v>102</v>
      </c>
      <c r="BS1463" t="s">
        <v>27170</v>
      </c>
      <c r="BT1463" t="str">
        <f>HYPERLINK("https%3A%2F%2Fwww.webofscience.com%2Fwos%2Fwoscc%2Ffull-record%2FWOS:000626242400006","View Full Record in Web of Science")</f>
        <v>View Full Record in Web of Science</v>
      </c>
    </row>
    <row r="1464" spans="1:72" x14ac:dyDescent="0.25">
      <c r="A1464" t="s">
        <v>132</v>
      </c>
      <c r="B1464" t="s">
        <v>27169</v>
      </c>
      <c r="C1464" t="s">
        <v>74</v>
      </c>
      <c r="D1464" t="s">
        <v>27168</v>
      </c>
      <c r="E1464" t="s">
        <v>74</v>
      </c>
      <c r="F1464" t="s">
        <v>27167</v>
      </c>
      <c r="G1464" t="s">
        <v>74</v>
      </c>
      <c r="H1464" t="s">
        <v>74</v>
      </c>
      <c r="I1464" t="s">
        <v>27166</v>
      </c>
      <c r="J1464" t="s">
        <v>27165</v>
      </c>
      <c r="K1464" t="s">
        <v>74</v>
      </c>
      <c r="L1464" t="s">
        <v>74</v>
      </c>
      <c r="M1464" t="s">
        <v>78</v>
      </c>
      <c r="N1464" t="s">
        <v>138</v>
      </c>
      <c r="O1464" t="s">
        <v>27164</v>
      </c>
      <c r="P1464" t="s">
        <v>27163</v>
      </c>
      <c r="Q1464" t="s">
        <v>27162</v>
      </c>
      <c r="R1464" t="s">
        <v>74</v>
      </c>
      <c r="S1464" t="s">
        <v>27161</v>
      </c>
      <c r="T1464" t="s">
        <v>27160</v>
      </c>
      <c r="U1464" t="s">
        <v>27159</v>
      </c>
      <c r="V1464" t="s">
        <v>27158</v>
      </c>
      <c r="W1464" t="s">
        <v>27157</v>
      </c>
      <c r="X1464" t="s">
        <v>27156</v>
      </c>
      <c r="Y1464" t="s">
        <v>27155</v>
      </c>
      <c r="Z1464" t="s">
        <v>27154</v>
      </c>
      <c r="AA1464" t="s">
        <v>24897</v>
      </c>
      <c r="AB1464" t="s">
        <v>27153</v>
      </c>
      <c r="AC1464" t="s">
        <v>27152</v>
      </c>
      <c r="AD1464" t="s">
        <v>27151</v>
      </c>
      <c r="AE1464" t="s">
        <v>27150</v>
      </c>
      <c r="AF1464" t="s">
        <v>74</v>
      </c>
      <c r="AG1464">
        <v>48</v>
      </c>
      <c r="AH1464">
        <v>0</v>
      </c>
      <c r="AI1464">
        <v>1</v>
      </c>
      <c r="AJ1464">
        <v>0</v>
      </c>
      <c r="AK1464">
        <v>5</v>
      </c>
      <c r="AL1464" t="s">
        <v>27149</v>
      </c>
      <c r="AM1464" t="s">
        <v>27148</v>
      </c>
      <c r="AN1464" t="s">
        <v>27147</v>
      </c>
      <c r="AO1464" t="s">
        <v>74</v>
      </c>
      <c r="AP1464" t="s">
        <v>74</v>
      </c>
      <c r="AQ1464" t="s">
        <v>27146</v>
      </c>
      <c r="AR1464" t="s">
        <v>74</v>
      </c>
      <c r="AS1464" t="s">
        <v>74</v>
      </c>
      <c r="AT1464" t="s">
        <v>74</v>
      </c>
      <c r="AU1464">
        <v>2019</v>
      </c>
      <c r="AV1464" t="s">
        <v>74</v>
      </c>
      <c r="AW1464" t="s">
        <v>74</v>
      </c>
      <c r="AX1464" t="s">
        <v>74</v>
      </c>
      <c r="AY1464" t="s">
        <v>74</v>
      </c>
      <c r="AZ1464" t="s">
        <v>74</v>
      </c>
      <c r="BA1464" t="s">
        <v>74</v>
      </c>
      <c r="BB1464">
        <v>181</v>
      </c>
      <c r="BC1464">
        <v>194</v>
      </c>
      <c r="BD1464" t="s">
        <v>74</v>
      </c>
      <c r="BE1464" t="s">
        <v>27145</v>
      </c>
      <c r="BF1464" t="str">
        <f>HYPERLINK("http://dx.doi.org/10.7441/dokbat.2019.018","http://dx.doi.org/10.7441/dokbat.2019.018")</f>
        <v>http://dx.doi.org/10.7441/dokbat.2019.018</v>
      </c>
      <c r="BG1464" t="s">
        <v>74</v>
      </c>
      <c r="BH1464" t="s">
        <v>74</v>
      </c>
      <c r="BI1464">
        <v>14</v>
      </c>
      <c r="BJ1464" t="s">
        <v>27144</v>
      </c>
      <c r="BK1464" t="s">
        <v>1069</v>
      </c>
      <c r="BL1464" t="s">
        <v>27143</v>
      </c>
      <c r="BM1464" t="s">
        <v>27142</v>
      </c>
      <c r="BN1464" t="s">
        <v>74</v>
      </c>
      <c r="BO1464" t="s">
        <v>74</v>
      </c>
      <c r="BP1464" t="s">
        <v>74</v>
      </c>
      <c r="BQ1464" t="s">
        <v>74</v>
      </c>
      <c r="BR1464" t="s">
        <v>102</v>
      </c>
      <c r="BS1464" t="s">
        <v>27141</v>
      </c>
      <c r="BT1464" t="str">
        <f>HYPERLINK("https%3A%2F%2Fwww.webofscience.com%2Fwos%2Fwoscc%2Ffull-record%2FWOS:000692876300018","View Full Record in Web of Science")</f>
        <v>View Full Record in Web of Science</v>
      </c>
    </row>
    <row r="1465" spans="1:72" x14ac:dyDescent="0.25">
      <c r="A1465" t="s">
        <v>72</v>
      </c>
      <c r="B1465" t="s">
        <v>27140</v>
      </c>
      <c r="C1465" t="s">
        <v>74</v>
      </c>
      <c r="D1465" t="s">
        <v>74</v>
      </c>
      <c r="E1465" t="s">
        <v>74</v>
      </c>
      <c r="F1465" t="s">
        <v>27139</v>
      </c>
      <c r="G1465" t="s">
        <v>74</v>
      </c>
      <c r="H1465" t="s">
        <v>74</v>
      </c>
      <c r="I1465" t="s">
        <v>27138</v>
      </c>
      <c r="J1465" t="s">
        <v>2071</v>
      </c>
      <c r="K1465" t="s">
        <v>74</v>
      </c>
      <c r="L1465" t="s">
        <v>74</v>
      </c>
      <c r="M1465" t="s">
        <v>78</v>
      </c>
      <c r="N1465" t="s">
        <v>79</v>
      </c>
      <c r="O1465" t="s">
        <v>74</v>
      </c>
      <c r="P1465" t="s">
        <v>74</v>
      </c>
      <c r="Q1465" t="s">
        <v>74</v>
      </c>
      <c r="R1465" t="s">
        <v>74</v>
      </c>
      <c r="S1465" t="s">
        <v>74</v>
      </c>
      <c r="T1465" t="s">
        <v>27137</v>
      </c>
      <c r="U1465" t="s">
        <v>27136</v>
      </c>
      <c r="V1465" t="s">
        <v>27135</v>
      </c>
      <c r="W1465" t="s">
        <v>27134</v>
      </c>
      <c r="X1465" t="s">
        <v>23562</v>
      </c>
      <c r="Y1465" t="s">
        <v>27133</v>
      </c>
      <c r="Z1465" t="s">
        <v>27132</v>
      </c>
      <c r="AA1465" t="s">
        <v>74</v>
      </c>
      <c r="AB1465" t="s">
        <v>74</v>
      </c>
      <c r="AC1465" t="s">
        <v>74</v>
      </c>
      <c r="AD1465" t="s">
        <v>74</v>
      </c>
      <c r="AE1465" t="s">
        <v>74</v>
      </c>
      <c r="AF1465" t="s">
        <v>74</v>
      </c>
      <c r="AG1465">
        <v>52</v>
      </c>
      <c r="AH1465">
        <v>4</v>
      </c>
      <c r="AI1465">
        <v>8</v>
      </c>
      <c r="AJ1465">
        <v>0</v>
      </c>
      <c r="AK1465">
        <v>17</v>
      </c>
      <c r="AL1465" t="s">
        <v>332</v>
      </c>
      <c r="AM1465" t="s">
        <v>333</v>
      </c>
      <c r="AN1465" t="s">
        <v>334</v>
      </c>
      <c r="AO1465" t="s">
        <v>2078</v>
      </c>
      <c r="AP1465" t="s">
        <v>2079</v>
      </c>
      <c r="AQ1465" t="s">
        <v>74</v>
      </c>
      <c r="AR1465" t="s">
        <v>2080</v>
      </c>
      <c r="AS1465" t="s">
        <v>2081</v>
      </c>
      <c r="AT1465" t="s">
        <v>1427</v>
      </c>
      <c r="AU1465">
        <v>2023</v>
      </c>
      <c r="AV1465">
        <v>40</v>
      </c>
      <c r="AW1465">
        <v>1</v>
      </c>
      <c r="AX1465" t="s">
        <v>74</v>
      </c>
      <c r="AY1465" t="s">
        <v>74</v>
      </c>
      <c r="AZ1465" t="s">
        <v>74</v>
      </c>
      <c r="BA1465" t="s">
        <v>74</v>
      </c>
      <c r="BB1465">
        <v>109</v>
      </c>
      <c r="BC1465">
        <v>132</v>
      </c>
      <c r="BD1465" t="s">
        <v>74</v>
      </c>
      <c r="BE1465" t="s">
        <v>27131</v>
      </c>
      <c r="BF1465" t="str">
        <f>HYPERLINK("http://dx.doi.org/10.1080/0376835X.2021.1978933","http://dx.doi.org/10.1080/0376835X.2021.1978933")</f>
        <v>http://dx.doi.org/10.1080/0376835X.2021.1978933</v>
      </c>
      <c r="BG1465" t="s">
        <v>74</v>
      </c>
      <c r="BH1465" t="s">
        <v>4651</v>
      </c>
      <c r="BI1465">
        <v>24</v>
      </c>
      <c r="BJ1465" t="s">
        <v>2084</v>
      </c>
      <c r="BK1465" t="s">
        <v>99</v>
      </c>
      <c r="BL1465" t="s">
        <v>2085</v>
      </c>
      <c r="BM1465" t="s">
        <v>27130</v>
      </c>
      <c r="BN1465" t="s">
        <v>74</v>
      </c>
      <c r="BO1465" t="s">
        <v>74</v>
      </c>
      <c r="BP1465" t="s">
        <v>74</v>
      </c>
      <c r="BQ1465" t="s">
        <v>74</v>
      </c>
      <c r="BR1465" t="s">
        <v>102</v>
      </c>
      <c r="BS1465" t="s">
        <v>27129</v>
      </c>
      <c r="BT1465" t="str">
        <f>HYPERLINK("https%3A%2F%2Fwww.webofscience.com%2Fwos%2Fwoscc%2Ffull-record%2FWOS:000710911100001","View Full Record in Web of Science")</f>
        <v>View Full Record in Web of Science</v>
      </c>
    </row>
    <row r="1466" spans="1:72" x14ac:dyDescent="0.25">
      <c r="A1466" t="s">
        <v>72</v>
      </c>
      <c r="B1466" t="s">
        <v>27128</v>
      </c>
      <c r="C1466" t="s">
        <v>74</v>
      </c>
      <c r="D1466" t="s">
        <v>74</v>
      </c>
      <c r="E1466" t="s">
        <v>74</v>
      </c>
      <c r="F1466" t="s">
        <v>27127</v>
      </c>
      <c r="G1466" t="s">
        <v>74</v>
      </c>
      <c r="H1466" t="s">
        <v>74</v>
      </c>
      <c r="I1466" t="s">
        <v>27126</v>
      </c>
      <c r="J1466" t="s">
        <v>27125</v>
      </c>
      <c r="K1466" t="s">
        <v>74</v>
      </c>
      <c r="L1466" t="s">
        <v>74</v>
      </c>
      <c r="M1466" t="s">
        <v>78</v>
      </c>
      <c r="N1466" t="s">
        <v>79</v>
      </c>
      <c r="O1466" t="s">
        <v>74</v>
      </c>
      <c r="P1466" t="s">
        <v>74</v>
      </c>
      <c r="Q1466" t="s">
        <v>74</v>
      </c>
      <c r="R1466" t="s">
        <v>74</v>
      </c>
      <c r="S1466" t="s">
        <v>74</v>
      </c>
      <c r="T1466" t="s">
        <v>27124</v>
      </c>
      <c r="U1466" t="s">
        <v>27123</v>
      </c>
      <c r="V1466" t="s">
        <v>27122</v>
      </c>
      <c r="W1466" t="s">
        <v>27121</v>
      </c>
      <c r="X1466" t="s">
        <v>27120</v>
      </c>
      <c r="Y1466" t="s">
        <v>27119</v>
      </c>
      <c r="Z1466" t="s">
        <v>27118</v>
      </c>
      <c r="AA1466" t="s">
        <v>27117</v>
      </c>
      <c r="AB1466" t="s">
        <v>74</v>
      </c>
      <c r="AC1466" t="s">
        <v>27116</v>
      </c>
      <c r="AD1466" t="s">
        <v>27115</v>
      </c>
      <c r="AE1466" t="s">
        <v>27114</v>
      </c>
      <c r="AF1466" t="s">
        <v>74</v>
      </c>
      <c r="AG1466">
        <v>90</v>
      </c>
      <c r="AH1466">
        <v>4</v>
      </c>
      <c r="AI1466">
        <v>6</v>
      </c>
      <c r="AJ1466">
        <v>70</v>
      </c>
      <c r="AK1466">
        <v>165</v>
      </c>
      <c r="AL1466" t="s">
        <v>27113</v>
      </c>
      <c r="AM1466" t="s">
        <v>16865</v>
      </c>
      <c r="AN1466" t="s">
        <v>27112</v>
      </c>
      <c r="AO1466" t="s">
        <v>27111</v>
      </c>
      <c r="AP1466" t="s">
        <v>74</v>
      </c>
      <c r="AQ1466" t="s">
        <v>74</v>
      </c>
      <c r="AR1466" t="s">
        <v>27110</v>
      </c>
      <c r="AS1466" t="s">
        <v>27109</v>
      </c>
      <c r="AT1466" t="s">
        <v>124</v>
      </c>
      <c r="AU1466">
        <v>2024</v>
      </c>
      <c r="AV1466">
        <v>48</v>
      </c>
      <c r="AW1466">
        <v>4</v>
      </c>
      <c r="AX1466" t="s">
        <v>74</v>
      </c>
      <c r="AY1466" t="s">
        <v>74</v>
      </c>
      <c r="AZ1466" t="s">
        <v>74</v>
      </c>
      <c r="BA1466" t="s">
        <v>74</v>
      </c>
      <c r="BB1466">
        <v>1803</v>
      </c>
      <c r="BC1466">
        <v>1834</v>
      </c>
      <c r="BD1466" t="s">
        <v>74</v>
      </c>
      <c r="BE1466" t="s">
        <v>27108</v>
      </c>
      <c r="BF1466" t="str">
        <f>HYPERLINK("http://dx.doi.org/10.25300/MISQ/2024/18340","http://dx.doi.org/10.25300/MISQ/2024/18340")</f>
        <v>http://dx.doi.org/10.25300/MISQ/2024/18340</v>
      </c>
      <c r="BG1466" t="s">
        <v>74</v>
      </c>
      <c r="BH1466" t="s">
        <v>74</v>
      </c>
      <c r="BI1466">
        <v>32</v>
      </c>
      <c r="BJ1466" t="s">
        <v>10890</v>
      </c>
      <c r="BK1466" t="s">
        <v>2623</v>
      </c>
      <c r="BL1466" t="s">
        <v>10891</v>
      </c>
      <c r="BM1466" t="s">
        <v>27107</v>
      </c>
      <c r="BN1466" t="s">
        <v>74</v>
      </c>
      <c r="BO1466" t="s">
        <v>270</v>
      </c>
      <c r="BP1466" t="s">
        <v>74</v>
      </c>
      <c r="BQ1466" t="s">
        <v>74</v>
      </c>
      <c r="BR1466" t="s">
        <v>102</v>
      </c>
      <c r="BS1466" t="s">
        <v>27106</v>
      </c>
      <c r="BT1466" t="str">
        <f>HYPERLINK("https%3A%2F%2Fwww.webofscience.com%2Fwos%2Fwoscc%2Ffull-record%2FWOS:001411539400021","View Full Record in Web of Science")</f>
        <v>View Full Record in Web of Science</v>
      </c>
    </row>
    <row r="1467" spans="1:72" x14ac:dyDescent="0.25">
      <c r="A1467" t="s">
        <v>72</v>
      </c>
      <c r="B1467" t="s">
        <v>27105</v>
      </c>
      <c r="C1467" t="s">
        <v>74</v>
      </c>
      <c r="D1467" t="s">
        <v>74</v>
      </c>
      <c r="E1467" t="s">
        <v>74</v>
      </c>
      <c r="F1467" t="s">
        <v>27104</v>
      </c>
      <c r="G1467" t="s">
        <v>74</v>
      </c>
      <c r="H1467" t="s">
        <v>74</v>
      </c>
      <c r="I1467" t="s">
        <v>27103</v>
      </c>
      <c r="J1467" t="s">
        <v>27102</v>
      </c>
      <c r="K1467" t="s">
        <v>74</v>
      </c>
      <c r="L1467" t="s">
        <v>74</v>
      </c>
      <c r="M1467" t="s">
        <v>78</v>
      </c>
      <c r="N1467" t="s">
        <v>79</v>
      </c>
      <c r="O1467" t="s">
        <v>74</v>
      </c>
      <c r="P1467" t="s">
        <v>74</v>
      </c>
      <c r="Q1467" t="s">
        <v>74</v>
      </c>
      <c r="R1467" t="s">
        <v>74</v>
      </c>
      <c r="S1467" t="s">
        <v>74</v>
      </c>
      <c r="T1467" t="s">
        <v>27101</v>
      </c>
      <c r="U1467" t="s">
        <v>27100</v>
      </c>
      <c r="V1467" t="s">
        <v>27099</v>
      </c>
      <c r="W1467" t="s">
        <v>27098</v>
      </c>
      <c r="X1467" t="s">
        <v>27097</v>
      </c>
      <c r="Y1467" t="s">
        <v>27096</v>
      </c>
      <c r="Z1467" t="s">
        <v>74</v>
      </c>
      <c r="AA1467" t="s">
        <v>27095</v>
      </c>
      <c r="AB1467" t="s">
        <v>27094</v>
      </c>
      <c r="AC1467" t="s">
        <v>74</v>
      </c>
      <c r="AD1467" t="s">
        <v>74</v>
      </c>
      <c r="AE1467" t="s">
        <v>74</v>
      </c>
      <c r="AF1467" t="s">
        <v>74</v>
      </c>
      <c r="AG1467">
        <v>47</v>
      </c>
      <c r="AH1467">
        <v>12</v>
      </c>
      <c r="AI1467">
        <v>13</v>
      </c>
      <c r="AJ1467">
        <v>1</v>
      </c>
      <c r="AK1467">
        <v>9</v>
      </c>
      <c r="AL1467" t="s">
        <v>27093</v>
      </c>
      <c r="AM1467" t="s">
        <v>27092</v>
      </c>
      <c r="AN1467" t="s">
        <v>27091</v>
      </c>
      <c r="AO1467" t="s">
        <v>27090</v>
      </c>
      <c r="AP1467" t="s">
        <v>27089</v>
      </c>
      <c r="AQ1467" t="s">
        <v>74</v>
      </c>
      <c r="AR1467" t="s">
        <v>27088</v>
      </c>
      <c r="AS1467" t="s">
        <v>27087</v>
      </c>
      <c r="AT1467" t="s">
        <v>74</v>
      </c>
      <c r="AU1467">
        <v>2020</v>
      </c>
      <c r="AV1467">
        <v>52</v>
      </c>
      <c r="AW1467">
        <v>2</v>
      </c>
      <c r="AX1467" t="s">
        <v>74</v>
      </c>
      <c r="AY1467" t="s">
        <v>74</v>
      </c>
      <c r="AZ1467" t="s">
        <v>74</v>
      </c>
      <c r="BA1467" t="s">
        <v>74</v>
      </c>
      <c r="BB1467">
        <v>53</v>
      </c>
      <c r="BC1467">
        <v>78</v>
      </c>
      <c r="BD1467" t="s">
        <v>74</v>
      </c>
      <c r="BE1467" t="s">
        <v>74</v>
      </c>
      <c r="BF1467" t="s">
        <v>74</v>
      </c>
      <c r="BG1467" t="s">
        <v>74</v>
      </c>
      <c r="BH1467" t="s">
        <v>74</v>
      </c>
      <c r="BI1467">
        <v>26</v>
      </c>
      <c r="BJ1467" t="s">
        <v>27086</v>
      </c>
      <c r="BK1467" t="s">
        <v>313</v>
      </c>
      <c r="BL1467" t="s">
        <v>27086</v>
      </c>
      <c r="BM1467" t="s">
        <v>27085</v>
      </c>
      <c r="BN1467" t="s">
        <v>74</v>
      </c>
      <c r="BO1467" t="s">
        <v>74</v>
      </c>
      <c r="BP1467" t="s">
        <v>74</v>
      </c>
      <c r="BQ1467" t="s">
        <v>74</v>
      </c>
      <c r="BR1467" t="s">
        <v>102</v>
      </c>
      <c r="BS1467" t="s">
        <v>27084</v>
      </c>
      <c r="BT1467" t="str">
        <f>HYPERLINK("https%3A%2F%2Fwww.webofscience.com%2Fwos%2Fwoscc%2Ffull-record%2FWOS:000541821800003","View Full Record in Web of Science")</f>
        <v>View Full Record in Web of Science</v>
      </c>
    </row>
    <row r="1468" spans="1:72" x14ac:dyDescent="0.25">
      <c r="A1468" t="s">
        <v>72</v>
      </c>
      <c r="B1468" t="s">
        <v>27083</v>
      </c>
      <c r="C1468" t="s">
        <v>74</v>
      </c>
      <c r="D1468" t="s">
        <v>74</v>
      </c>
      <c r="E1468" t="s">
        <v>74</v>
      </c>
      <c r="F1468" t="s">
        <v>27082</v>
      </c>
      <c r="G1468" t="s">
        <v>74</v>
      </c>
      <c r="H1468" t="s">
        <v>74</v>
      </c>
      <c r="I1468" t="s">
        <v>27081</v>
      </c>
      <c r="J1468" t="s">
        <v>1902</v>
      </c>
      <c r="K1468" t="s">
        <v>74</v>
      </c>
      <c r="L1468" t="s">
        <v>74</v>
      </c>
      <c r="M1468" t="s">
        <v>78</v>
      </c>
      <c r="N1468" t="s">
        <v>79</v>
      </c>
      <c r="O1468" t="s">
        <v>74</v>
      </c>
      <c r="P1468" t="s">
        <v>74</v>
      </c>
      <c r="Q1468" t="s">
        <v>74</v>
      </c>
      <c r="R1468" t="s">
        <v>74</v>
      </c>
      <c r="S1468" t="s">
        <v>74</v>
      </c>
      <c r="T1468" t="s">
        <v>27080</v>
      </c>
      <c r="U1468" t="s">
        <v>27079</v>
      </c>
      <c r="V1468" t="s">
        <v>27078</v>
      </c>
      <c r="W1468" t="s">
        <v>27077</v>
      </c>
      <c r="X1468" t="s">
        <v>27076</v>
      </c>
      <c r="Y1468" t="s">
        <v>27075</v>
      </c>
      <c r="Z1468" t="s">
        <v>27074</v>
      </c>
      <c r="AA1468" t="s">
        <v>74</v>
      </c>
      <c r="AB1468" t="s">
        <v>74</v>
      </c>
      <c r="AC1468" t="s">
        <v>74</v>
      </c>
      <c r="AD1468" t="s">
        <v>74</v>
      </c>
      <c r="AE1468" t="s">
        <v>74</v>
      </c>
      <c r="AF1468" t="s">
        <v>74</v>
      </c>
      <c r="AG1468">
        <v>66</v>
      </c>
      <c r="AH1468">
        <v>9</v>
      </c>
      <c r="AI1468">
        <v>10</v>
      </c>
      <c r="AJ1468">
        <v>0</v>
      </c>
      <c r="AK1468">
        <v>8</v>
      </c>
      <c r="AL1468" t="s">
        <v>89</v>
      </c>
      <c r="AM1468" t="s">
        <v>90</v>
      </c>
      <c r="AN1468" t="s">
        <v>91</v>
      </c>
      <c r="AO1468" t="s">
        <v>1910</v>
      </c>
      <c r="AP1468" t="s">
        <v>1911</v>
      </c>
      <c r="AQ1468" t="s">
        <v>74</v>
      </c>
      <c r="AR1468" t="s">
        <v>1912</v>
      </c>
      <c r="AS1468" t="s">
        <v>1913</v>
      </c>
      <c r="AT1468" t="s">
        <v>27073</v>
      </c>
      <c r="AU1468">
        <v>2022</v>
      </c>
      <c r="AV1468">
        <v>14</v>
      </c>
      <c r="AW1468">
        <v>3</v>
      </c>
      <c r="AX1468" t="s">
        <v>74</v>
      </c>
      <c r="AY1468" t="s">
        <v>74</v>
      </c>
      <c r="AZ1468" t="s">
        <v>74</v>
      </c>
      <c r="BA1468" t="s">
        <v>74</v>
      </c>
      <c r="BB1468">
        <v>381</v>
      </c>
      <c r="BC1468">
        <v>402</v>
      </c>
      <c r="BD1468" t="s">
        <v>74</v>
      </c>
      <c r="BE1468" t="s">
        <v>27072</v>
      </c>
      <c r="BF1468" t="str">
        <f>HYPERLINK("http://dx.doi.org/10.1108/JFEP-03-2021-0071","http://dx.doi.org/10.1108/JFEP-03-2021-0071")</f>
        <v>http://dx.doi.org/10.1108/JFEP-03-2021-0071</v>
      </c>
      <c r="BG1468" t="s">
        <v>74</v>
      </c>
      <c r="BH1468" t="s">
        <v>11151</v>
      </c>
      <c r="BI1468">
        <v>22</v>
      </c>
      <c r="BJ1468" t="s">
        <v>291</v>
      </c>
      <c r="BK1468" t="s">
        <v>313</v>
      </c>
      <c r="BL1468" t="s">
        <v>100</v>
      </c>
      <c r="BM1468" t="s">
        <v>27071</v>
      </c>
      <c r="BN1468" t="s">
        <v>74</v>
      </c>
      <c r="BO1468" t="s">
        <v>74</v>
      </c>
      <c r="BP1468" t="s">
        <v>74</v>
      </c>
      <c r="BQ1468" t="s">
        <v>74</v>
      </c>
      <c r="BR1468" t="s">
        <v>102</v>
      </c>
      <c r="BS1468" t="s">
        <v>27070</v>
      </c>
      <c r="BT1468" t="str">
        <f>HYPERLINK("https%3A%2F%2Fwww.webofscience.com%2Fwos%2Fwoscc%2Ffull-record%2FWOS:000677997700001","View Full Record in Web of Science")</f>
        <v>View Full Record in Web of Science</v>
      </c>
    </row>
    <row r="1469" spans="1:72" x14ac:dyDescent="0.25">
      <c r="A1469" t="s">
        <v>72</v>
      </c>
      <c r="B1469" t="s">
        <v>27069</v>
      </c>
      <c r="C1469" t="s">
        <v>74</v>
      </c>
      <c r="D1469" t="s">
        <v>74</v>
      </c>
      <c r="E1469" t="s">
        <v>74</v>
      </c>
      <c r="F1469" t="s">
        <v>27068</v>
      </c>
      <c r="G1469" t="s">
        <v>74</v>
      </c>
      <c r="H1469" t="s">
        <v>74</v>
      </c>
      <c r="I1469" t="s">
        <v>27067</v>
      </c>
      <c r="J1469" t="s">
        <v>27066</v>
      </c>
      <c r="K1469" t="s">
        <v>74</v>
      </c>
      <c r="L1469" t="s">
        <v>74</v>
      </c>
      <c r="M1469" t="s">
        <v>78</v>
      </c>
      <c r="N1469" t="s">
        <v>79</v>
      </c>
      <c r="O1469" t="s">
        <v>74</v>
      </c>
      <c r="P1469" t="s">
        <v>74</v>
      </c>
      <c r="Q1469" t="s">
        <v>74</v>
      </c>
      <c r="R1469" t="s">
        <v>74</v>
      </c>
      <c r="S1469" t="s">
        <v>74</v>
      </c>
      <c r="T1469" t="s">
        <v>74</v>
      </c>
      <c r="U1469" t="s">
        <v>27065</v>
      </c>
      <c r="V1469" t="s">
        <v>27064</v>
      </c>
      <c r="W1469" t="s">
        <v>27063</v>
      </c>
      <c r="X1469" t="s">
        <v>27062</v>
      </c>
      <c r="Y1469" t="s">
        <v>27061</v>
      </c>
      <c r="Z1469" t="s">
        <v>27060</v>
      </c>
      <c r="AA1469" t="s">
        <v>74</v>
      </c>
      <c r="AB1469" t="s">
        <v>74</v>
      </c>
      <c r="AC1469" t="s">
        <v>27059</v>
      </c>
      <c r="AD1469" t="s">
        <v>27058</v>
      </c>
      <c r="AE1469" t="s">
        <v>27057</v>
      </c>
      <c r="AF1469" t="s">
        <v>74</v>
      </c>
      <c r="AG1469">
        <v>43</v>
      </c>
      <c r="AH1469">
        <v>18</v>
      </c>
      <c r="AI1469">
        <v>20</v>
      </c>
      <c r="AJ1469">
        <v>0</v>
      </c>
      <c r="AK1469">
        <v>7</v>
      </c>
      <c r="AL1469" t="s">
        <v>27056</v>
      </c>
      <c r="AM1469" t="s">
        <v>27055</v>
      </c>
      <c r="AN1469" t="s">
        <v>27054</v>
      </c>
      <c r="AO1469" t="s">
        <v>27053</v>
      </c>
      <c r="AP1469" t="s">
        <v>74</v>
      </c>
      <c r="AQ1469" t="s">
        <v>74</v>
      </c>
      <c r="AR1469" t="s">
        <v>27052</v>
      </c>
      <c r="AS1469" t="s">
        <v>27051</v>
      </c>
      <c r="AT1469" t="s">
        <v>74</v>
      </c>
      <c r="AU1469">
        <v>2019</v>
      </c>
      <c r="AV1469">
        <v>17</v>
      </c>
      <c r="AW1469" t="s">
        <v>6918</v>
      </c>
      <c r="AX1469" t="s">
        <v>74</v>
      </c>
      <c r="AY1469" t="s">
        <v>74</v>
      </c>
      <c r="AZ1469" t="s">
        <v>441</v>
      </c>
      <c r="BA1469" t="s">
        <v>74</v>
      </c>
      <c r="BB1469">
        <v>213</v>
      </c>
      <c r="BC1469">
        <v>222</v>
      </c>
      <c r="BD1469" t="s">
        <v>74</v>
      </c>
      <c r="BE1469" t="s">
        <v>27050</v>
      </c>
      <c r="BF1469" t="str">
        <f>HYPERLINK("http://dx.doi.org/10.24908/ss.v17i1/2.12924","http://dx.doi.org/10.24908/ss.v17i1/2.12924")</f>
        <v>http://dx.doi.org/10.24908/ss.v17i1/2.12924</v>
      </c>
      <c r="BG1469" t="s">
        <v>74</v>
      </c>
      <c r="BH1469" t="s">
        <v>74</v>
      </c>
      <c r="BI1469">
        <v>10</v>
      </c>
      <c r="BJ1469" t="s">
        <v>364</v>
      </c>
      <c r="BK1469" t="s">
        <v>313</v>
      </c>
      <c r="BL1469" t="s">
        <v>365</v>
      </c>
      <c r="BM1469" t="s">
        <v>27049</v>
      </c>
      <c r="BN1469" t="s">
        <v>74</v>
      </c>
      <c r="BO1469" t="s">
        <v>916</v>
      </c>
      <c r="BP1469" t="s">
        <v>74</v>
      </c>
      <c r="BQ1469" t="s">
        <v>74</v>
      </c>
      <c r="BR1469" t="s">
        <v>102</v>
      </c>
      <c r="BS1469" t="s">
        <v>27048</v>
      </c>
      <c r="BT1469" t="str">
        <f>HYPERLINK("https%3A%2F%2Fwww.webofscience.com%2Fwos%2Fwoscc%2Ffull-record%2FWOS:000462897800030","View Full Record in Web of Science")</f>
        <v>View Full Record in Web of Science</v>
      </c>
    </row>
    <row r="1470" spans="1:72" x14ac:dyDescent="0.25">
      <c r="A1470" t="s">
        <v>72</v>
      </c>
      <c r="B1470" t="s">
        <v>27047</v>
      </c>
      <c r="C1470" t="s">
        <v>74</v>
      </c>
      <c r="D1470" t="s">
        <v>74</v>
      </c>
      <c r="E1470" t="s">
        <v>74</v>
      </c>
      <c r="F1470" t="s">
        <v>27046</v>
      </c>
      <c r="G1470" t="s">
        <v>74</v>
      </c>
      <c r="H1470" t="s">
        <v>74</v>
      </c>
      <c r="I1470" t="s">
        <v>27045</v>
      </c>
      <c r="J1470" t="s">
        <v>11879</v>
      </c>
      <c r="K1470" t="s">
        <v>74</v>
      </c>
      <c r="L1470" t="s">
        <v>74</v>
      </c>
      <c r="M1470" t="s">
        <v>78</v>
      </c>
      <c r="N1470" t="s">
        <v>79</v>
      </c>
      <c r="O1470" t="s">
        <v>74</v>
      </c>
      <c r="P1470" t="s">
        <v>74</v>
      </c>
      <c r="Q1470" t="s">
        <v>74</v>
      </c>
      <c r="R1470" t="s">
        <v>74</v>
      </c>
      <c r="S1470" t="s">
        <v>74</v>
      </c>
      <c r="T1470" t="s">
        <v>27044</v>
      </c>
      <c r="U1470" t="s">
        <v>27043</v>
      </c>
      <c r="V1470" t="s">
        <v>27042</v>
      </c>
      <c r="W1470" t="s">
        <v>27041</v>
      </c>
      <c r="X1470" t="s">
        <v>27040</v>
      </c>
      <c r="Y1470" t="s">
        <v>27039</v>
      </c>
      <c r="Z1470" t="s">
        <v>27038</v>
      </c>
      <c r="AA1470" t="s">
        <v>74</v>
      </c>
      <c r="AB1470" t="s">
        <v>74</v>
      </c>
      <c r="AC1470" t="s">
        <v>27037</v>
      </c>
      <c r="AD1470" t="s">
        <v>17529</v>
      </c>
      <c r="AE1470" t="s">
        <v>27036</v>
      </c>
      <c r="AF1470" t="s">
        <v>74</v>
      </c>
      <c r="AG1470">
        <v>86</v>
      </c>
      <c r="AH1470">
        <v>14</v>
      </c>
      <c r="AI1470">
        <v>18</v>
      </c>
      <c r="AJ1470">
        <v>15</v>
      </c>
      <c r="AK1470">
        <v>61</v>
      </c>
      <c r="AL1470" t="s">
        <v>201</v>
      </c>
      <c r="AM1470" t="s">
        <v>202</v>
      </c>
      <c r="AN1470" t="s">
        <v>203</v>
      </c>
      <c r="AO1470" t="s">
        <v>11889</v>
      </c>
      <c r="AP1470" t="s">
        <v>11890</v>
      </c>
      <c r="AQ1470" t="s">
        <v>74</v>
      </c>
      <c r="AR1470" t="s">
        <v>11891</v>
      </c>
      <c r="AS1470" t="s">
        <v>11892</v>
      </c>
      <c r="AT1470" t="s">
        <v>605</v>
      </c>
      <c r="AU1470">
        <v>2024</v>
      </c>
      <c r="AV1470">
        <v>24</v>
      </c>
      <c r="AW1470">
        <v>2</v>
      </c>
      <c r="AX1470" t="s">
        <v>74</v>
      </c>
      <c r="AY1470" t="s">
        <v>74</v>
      </c>
      <c r="AZ1470" t="s">
        <v>74</v>
      </c>
      <c r="BA1470" t="s">
        <v>74</v>
      </c>
      <c r="BB1470">
        <v>352</v>
      </c>
      <c r="BC1470">
        <v>362</v>
      </c>
      <c r="BD1470" t="s">
        <v>74</v>
      </c>
      <c r="BE1470" t="s">
        <v>27035</v>
      </c>
      <c r="BF1470" t="str">
        <f>HYPERLINK("http://dx.doi.org/10.1016/j.bir.2024.01.006","http://dx.doi.org/10.1016/j.bir.2024.01.006")</f>
        <v>http://dx.doi.org/10.1016/j.bir.2024.01.006</v>
      </c>
      <c r="BG1470" t="s">
        <v>74</v>
      </c>
      <c r="BH1470" t="s">
        <v>1981</v>
      </c>
      <c r="BI1470">
        <v>11</v>
      </c>
      <c r="BJ1470" t="s">
        <v>210</v>
      </c>
      <c r="BK1470" t="s">
        <v>99</v>
      </c>
      <c r="BL1470" t="s">
        <v>100</v>
      </c>
      <c r="BM1470" t="s">
        <v>27034</v>
      </c>
      <c r="BN1470" t="s">
        <v>74</v>
      </c>
      <c r="BO1470" t="s">
        <v>10768</v>
      </c>
      <c r="BP1470" t="s">
        <v>74</v>
      </c>
      <c r="BQ1470" t="s">
        <v>74</v>
      </c>
      <c r="BR1470" t="s">
        <v>102</v>
      </c>
      <c r="BS1470" t="s">
        <v>27033</v>
      </c>
      <c r="BT1470" t="str">
        <f>HYPERLINK("https%3A%2F%2Fwww.webofscience.com%2Fwos%2Fwoscc%2Ffull-record%2FWOS:001237042600001","View Full Record in Web of Science")</f>
        <v>View Full Record in Web of Science</v>
      </c>
    </row>
    <row r="1471" spans="1:72" x14ac:dyDescent="0.25">
      <c r="A1471" t="s">
        <v>72</v>
      </c>
      <c r="B1471" t="s">
        <v>17071</v>
      </c>
      <c r="C1471" t="s">
        <v>74</v>
      </c>
      <c r="D1471" t="s">
        <v>74</v>
      </c>
      <c r="E1471" t="s">
        <v>74</v>
      </c>
      <c r="F1471" t="s">
        <v>17072</v>
      </c>
      <c r="G1471" t="s">
        <v>74</v>
      </c>
      <c r="H1471" t="s">
        <v>74</v>
      </c>
      <c r="I1471" t="s">
        <v>27032</v>
      </c>
      <c r="J1471" t="s">
        <v>729</v>
      </c>
      <c r="K1471" t="s">
        <v>74</v>
      </c>
      <c r="L1471" t="s">
        <v>74</v>
      </c>
      <c r="M1471" t="s">
        <v>78</v>
      </c>
      <c r="N1471" t="s">
        <v>79</v>
      </c>
      <c r="O1471" t="s">
        <v>74</v>
      </c>
      <c r="P1471" t="s">
        <v>74</v>
      </c>
      <c r="Q1471" t="s">
        <v>74</v>
      </c>
      <c r="R1471" t="s">
        <v>74</v>
      </c>
      <c r="S1471" t="s">
        <v>74</v>
      </c>
      <c r="T1471" t="s">
        <v>27031</v>
      </c>
      <c r="U1471" t="s">
        <v>27030</v>
      </c>
      <c r="V1471" t="s">
        <v>27029</v>
      </c>
      <c r="W1471" t="s">
        <v>27028</v>
      </c>
      <c r="X1471" t="s">
        <v>27027</v>
      </c>
      <c r="Y1471" t="s">
        <v>17079</v>
      </c>
      <c r="Z1471" t="s">
        <v>17080</v>
      </c>
      <c r="AA1471" t="s">
        <v>27026</v>
      </c>
      <c r="AB1471" t="s">
        <v>17082</v>
      </c>
      <c r="AC1471" t="s">
        <v>74</v>
      </c>
      <c r="AD1471" t="s">
        <v>74</v>
      </c>
      <c r="AE1471" t="s">
        <v>74</v>
      </c>
      <c r="AF1471" t="s">
        <v>74</v>
      </c>
      <c r="AG1471">
        <v>50</v>
      </c>
      <c r="AH1471">
        <v>31</v>
      </c>
      <c r="AI1471">
        <v>37</v>
      </c>
      <c r="AJ1471">
        <v>0</v>
      </c>
      <c r="AK1471">
        <v>21</v>
      </c>
      <c r="AL1471" t="s">
        <v>479</v>
      </c>
      <c r="AM1471" t="s">
        <v>480</v>
      </c>
      <c r="AN1471" t="s">
        <v>481</v>
      </c>
      <c r="AO1471" t="s">
        <v>739</v>
      </c>
      <c r="AP1471" t="s">
        <v>740</v>
      </c>
      <c r="AQ1471" t="s">
        <v>74</v>
      </c>
      <c r="AR1471" t="s">
        <v>741</v>
      </c>
      <c r="AS1471" t="s">
        <v>742</v>
      </c>
      <c r="AT1471" t="s">
        <v>208</v>
      </c>
      <c r="AU1471">
        <v>2021</v>
      </c>
      <c r="AV1471">
        <v>26</v>
      </c>
      <c r="AW1471">
        <v>1</v>
      </c>
      <c r="AX1471" t="s">
        <v>74</v>
      </c>
      <c r="AY1471" t="s">
        <v>74</v>
      </c>
      <c r="AZ1471" t="s">
        <v>74</v>
      </c>
      <c r="BA1471" t="s">
        <v>74</v>
      </c>
      <c r="BB1471">
        <v>353</v>
      </c>
      <c r="BC1471">
        <v>374</v>
      </c>
      <c r="BD1471" t="s">
        <v>74</v>
      </c>
      <c r="BE1471" t="s">
        <v>27025</v>
      </c>
      <c r="BF1471" t="str">
        <f>HYPERLINK("http://dx.doi.org/10.1002/ijfe.1793","http://dx.doi.org/10.1002/ijfe.1793")</f>
        <v>http://dx.doi.org/10.1002/ijfe.1793</v>
      </c>
      <c r="BG1471" t="s">
        <v>74</v>
      </c>
      <c r="BH1471" t="s">
        <v>7700</v>
      </c>
      <c r="BI1471">
        <v>22</v>
      </c>
      <c r="BJ1471" t="s">
        <v>268</v>
      </c>
      <c r="BK1471" t="s">
        <v>99</v>
      </c>
      <c r="BL1471" t="s">
        <v>100</v>
      </c>
      <c r="BM1471" t="s">
        <v>20904</v>
      </c>
      <c r="BN1471" t="s">
        <v>74</v>
      </c>
      <c r="BO1471" t="s">
        <v>74</v>
      </c>
      <c r="BP1471" t="s">
        <v>74</v>
      </c>
      <c r="BQ1471" t="s">
        <v>74</v>
      </c>
      <c r="BR1471" t="s">
        <v>102</v>
      </c>
      <c r="BS1471" t="s">
        <v>27024</v>
      </c>
      <c r="BT1471" t="str">
        <f>HYPERLINK("https%3A%2F%2Fwww.webofscience.com%2Fwos%2Fwoscc%2Ffull-record%2FWOS:000499083700001","View Full Record in Web of Science")</f>
        <v>View Full Record in Web of Science</v>
      </c>
    </row>
    <row r="1472" spans="1:72" x14ac:dyDescent="0.25">
      <c r="A1472" t="s">
        <v>72</v>
      </c>
      <c r="B1472" t="s">
        <v>27023</v>
      </c>
      <c r="C1472" t="s">
        <v>74</v>
      </c>
      <c r="D1472" t="s">
        <v>74</v>
      </c>
      <c r="E1472" t="s">
        <v>74</v>
      </c>
      <c r="F1472" t="s">
        <v>27022</v>
      </c>
      <c r="G1472" t="s">
        <v>74</v>
      </c>
      <c r="H1472" t="s">
        <v>74</v>
      </c>
      <c r="I1472" t="s">
        <v>27021</v>
      </c>
      <c r="J1472" t="s">
        <v>27020</v>
      </c>
      <c r="K1472" t="s">
        <v>74</v>
      </c>
      <c r="L1472" t="s">
        <v>74</v>
      </c>
      <c r="M1472" t="s">
        <v>78</v>
      </c>
      <c r="N1472" t="s">
        <v>79</v>
      </c>
      <c r="O1472" t="s">
        <v>74</v>
      </c>
      <c r="P1472" t="s">
        <v>74</v>
      </c>
      <c r="Q1472" t="s">
        <v>74</v>
      </c>
      <c r="R1472" t="s">
        <v>74</v>
      </c>
      <c r="S1472" t="s">
        <v>74</v>
      </c>
      <c r="T1472" t="s">
        <v>27019</v>
      </c>
      <c r="U1472" t="s">
        <v>27018</v>
      </c>
      <c r="V1472" t="s">
        <v>27017</v>
      </c>
      <c r="W1472" t="s">
        <v>27016</v>
      </c>
      <c r="X1472" t="s">
        <v>74</v>
      </c>
      <c r="Y1472" t="s">
        <v>27015</v>
      </c>
      <c r="Z1472" t="s">
        <v>27014</v>
      </c>
      <c r="AA1472" t="s">
        <v>74</v>
      </c>
      <c r="AB1472" t="s">
        <v>74</v>
      </c>
      <c r="AC1472" t="s">
        <v>74</v>
      </c>
      <c r="AD1472" t="s">
        <v>74</v>
      </c>
      <c r="AE1472" t="s">
        <v>74</v>
      </c>
      <c r="AF1472" t="s">
        <v>74</v>
      </c>
      <c r="AG1472">
        <v>57</v>
      </c>
      <c r="AH1472">
        <v>0</v>
      </c>
      <c r="AI1472">
        <v>0</v>
      </c>
      <c r="AJ1472">
        <v>0</v>
      </c>
      <c r="AK1472">
        <v>1</v>
      </c>
      <c r="AL1472" t="s">
        <v>2371</v>
      </c>
      <c r="AM1472" t="s">
        <v>2372</v>
      </c>
      <c r="AN1472" t="s">
        <v>2373</v>
      </c>
      <c r="AO1472" t="s">
        <v>27013</v>
      </c>
      <c r="AP1472" t="s">
        <v>27012</v>
      </c>
      <c r="AQ1472" t="s">
        <v>74</v>
      </c>
      <c r="AR1472" t="s">
        <v>27011</v>
      </c>
      <c r="AS1472" t="s">
        <v>27010</v>
      </c>
      <c r="AT1472" t="s">
        <v>74</v>
      </c>
      <c r="AU1472">
        <v>2022</v>
      </c>
      <c r="AV1472">
        <v>27</v>
      </c>
      <c r="AW1472" t="s">
        <v>27009</v>
      </c>
      <c r="AX1472" t="s">
        <v>74</v>
      </c>
      <c r="AY1472" t="s">
        <v>74</v>
      </c>
      <c r="AZ1472" t="s">
        <v>74</v>
      </c>
      <c r="BA1472" t="s">
        <v>74</v>
      </c>
      <c r="BB1472">
        <v>139</v>
      </c>
      <c r="BC1472">
        <v>170</v>
      </c>
      <c r="BD1472" t="s">
        <v>74</v>
      </c>
      <c r="BE1472" t="s">
        <v>27008</v>
      </c>
      <c r="BF1472" t="str">
        <f>HYPERLINK("http://dx.doi.org/10.1504/IJDMB.2022.130330","http://dx.doi.org/10.1504/IJDMB.2022.130330")</f>
        <v>http://dx.doi.org/10.1504/IJDMB.2022.130330</v>
      </c>
      <c r="BG1472" t="s">
        <v>74</v>
      </c>
      <c r="BH1472" t="s">
        <v>74</v>
      </c>
      <c r="BI1472">
        <v>33</v>
      </c>
      <c r="BJ1472" t="s">
        <v>27007</v>
      </c>
      <c r="BK1472" t="s">
        <v>128</v>
      </c>
      <c r="BL1472" t="s">
        <v>27007</v>
      </c>
      <c r="BM1472" t="s">
        <v>27006</v>
      </c>
      <c r="BN1472" t="s">
        <v>74</v>
      </c>
      <c r="BO1472" t="s">
        <v>74</v>
      </c>
      <c r="BP1472" t="s">
        <v>74</v>
      </c>
      <c r="BQ1472" t="s">
        <v>74</v>
      </c>
      <c r="BR1472" t="s">
        <v>102</v>
      </c>
      <c r="BS1472" t="s">
        <v>27005</v>
      </c>
      <c r="BT1472" t="str">
        <f>HYPERLINK("https%3A%2F%2Fwww.webofscience.com%2Fwos%2Fwoscc%2Ffull-record%2FWOS:000974904100010","View Full Record in Web of Science")</f>
        <v>View Full Record in Web of Science</v>
      </c>
    </row>
    <row r="1473" spans="1:72" x14ac:dyDescent="0.25">
      <c r="A1473" t="s">
        <v>72</v>
      </c>
      <c r="B1473" t="s">
        <v>27004</v>
      </c>
      <c r="C1473" t="s">
        <v>74</v>
      </c>
      <c r="D1473" t="s">
        <v>74</v>
      </c>
      <c r="E1473" t="s">
        <v>74</v>
      </c>
      <c r="F1473" t="s">
        <v>27003</v>
      </c>
      <c r="G1473" t="s">
        <v>74</v>
      </c>
      <c r="H1473" t="s">
        <v>74</v>
      </c>
      <c r="I1473" t="s">
        <v>27002</v>
      </c>
      <c r="J1473" t="s">
        <v>3036</v>
      </c>
      <c r="K1473" t="s">
        <v>74</v>
      </c>
      <c r="L1473" t="s">
        <v>74</v>
      </c>
      <c r="M1473" t="s">
        <v>78</v>
      </c>
      <c r="N1473" t="s">
        <v>79</v>
      </c>
      <c r="O1473" t="s">
        <v>74</v>
      </c>
      <c r="P1473" t="s">
        <v>74</v>
      </c>
      <c r="Q1473" t="s">
        <v>74</v>
      </c>
      <c r="R1473" t="s">
        <v>74</v>
      </c>
      <c r="S1473" t="s">
        <v>74</v>
      </c>
      <c r="T1473" t="s">
        <v>27001</v>
      </c>
      <c r="U1473" t="s">
        <v>27000</v>
      </c>
      <c r="V1473" t="s">
        <v>26999</v>
      </c>
      <c r="W1473" t="s">
        <v>26998</v>
      </c>
      <c r="X1473" t="s">
        <v>26997</v>
      </c>
      <c r="Y1473" t="s">
        <v>26996</v>
      </c>
      <c r="Z1473" t="s">
        <v>26995</v>
      </c>
      <c r="AA1473" t="s">
        <v>26994</v>
      </c>
      <c r="AB1473" t="s">
        <v>26993</v>
      </c>
      <c r="AC1473" t="s">
        <v>74</v>
      </c>
      <c r="AD1473" t="s">
        <v>74</v>
      </c>
      <c r="AE1473" t="s">
        <v>74</v>
      </c>
      <c r="AF1473" t="s">
        <v>74</v>
      </c>
      <c r="AG1473">
        <v>78</v>
      </c>
      <c r="AH1473">
        <v>54</v>
      </c>
      <c r="AI1473">
        <v>71</v>
      </c>
      <c r="AJ1473">
        <v>5</v>
      </c>
      <c r="AK1473">
        <v>43</v>
      </c>
      <c r="AL1473" t="s">
        <v>385</v>
      </c>
      <c r="AM1473" t="s">
        <v>151</v>
      </c>
      <c r="AN1473" t="s">
        <v>386</v>
      </c>
      <c r="AO1473" t="s">
        <v>3045</v>
      </c>
      <c r="AP1473" t="s">
        <v>3046</v>
      </c>
      <c r="AQ1473" t="s">
        <v>74</v>
      </c>
      <c r="AR1473" t="s">
        <v>3047</v>
      </c>
      <c r="AS1473" t="s">
        <v>3048</v>
      </c>
      <c r="AT1473" t="s">
        <v>1652</v>
      </c>
      <c r="AU1473">
        <v>2023</v>
      </c>
      <c r="AV1473">
        <v>14</v>
      </c>
      <c r="AW1473">
        <v>2</v>
      </c>
      <c r="AX1473" t="s">
        <v>74</v>
      </c>
      <c r="AY1473" t="s">
        <v>74</v>
      </c>
      <c r="AZ1473" t="s">
        <v>74</v>
      </c>
      <c r="BA1473" t="s">
        <v>74</v>
      </c>
      <c r="BB1473">
        <v>780</v>
      </c>
      <c r="BC1473">
        <v>804</v>
      </c>
      <c r="BD1473" t="s">
        <v>74</v>
      </c>
      <c r="BE1473" t="s">
        <v>26992</v>
      </c>
      <c r="BF1473" t="str">
        <f>HYPERLINK("http://dx.doi.org/10.1007/s13132-022-00936-9","http://dx.doi.org/10.1007/s13132-022-00936-9")</f>
        <v>http://dx.doi.org/10.1007/s13132-022-00936-9</v>
      </c>
      <c r="BG1473" t="s">
        <v>74</v>
      </c>
      <c r="BH1473" t="s">
        <v>6548</v>
      </c>
      <c r="BI1473">
        <v>25</v>
      </c>
      <c r="BJ1473" t="s">
        <v>291</v>
      </c>
      <c r="BK1473" t="s">
        <v>99</v>
      </c>
      <c r="BL1473" t="s">
        <v>100</v>
      </c>
      <c r="BM1473" t="s">
        <v>26991</v>
      </c>
      <c r="BN1473" t="s">
        <v>74</v>
      </c>
      <c r="BO1473" t="s">
        <v>2734</v>
      </c>
      <c r="BP1473" t="s">
        <v>74</v>
      </c>
      <c r="BQ1473" t="s">
        <v>74</v>
      </c>
      <c r="BR1473" t="s">
        <v>102</v>
      </c>
      <c r="BS1473" t="s">
        <v>26990</v>
      </c>
      <c r="BT1473" t="str">
        <f>HYPERLINK("https%3A%2F%2Fwww.webofscience.com%2Fwos%2Fwoscc%2Ffull-record%2FWOS:000750333900003","View Full Record in Web of Science")</f>
        <v>View Full Record in Web of Science</v>
      </c>
    </row>
    <row r="1474" spans="1:72" x14ac:dyDescent="0.25">
      <c r="A1474" t="s">
        <v>72</v>
      </c>
      <c r="B1474" t="s">
        <v>26989</v>
      </c>
      <c r="C1474" t="s">
        <v>74</v>
      </c>
      <c r="D1474" t="s">
        <v>74</v>
      </c>
      <c r="E1474" t="s">
        <v>74</v>
      </c>
      <c r="F1474" t="s">
        <v>26988</v>
      </c>
      <c r="G1474" t="s">
        <v>74</v>
      </c>
      <c r="H1474" t="s">
        <v>74</v>
      </c>
      <c r="I1474" t="s">
        <v>26987</v>
      </c>
      <c r="J1474" t="s">
        <v>4956</v>
      </c>
      <c r="K1474" t="s">
        <v>74</v>
      </c>
      <c r="L1474" t="s">
        <v>74</v>
      </c>
      <c r="M1474" t="s">
        <v>78</v>
      </c>
      <c r="N1474" t="s">
        <v>3795</v>
      </c>
      <c r="O1474" t="s">
        <v>26986</v>
      </c>
      <c r="P1474" t="s">
        <v>26985</v>
      </c>
      <c r="Q1474" t="s">
        <v>26984</v>
      </c>
      <c r="R1474" t="s">
        <v>74</v>
      </c>
      <c r="S1474" t="s">
        <v>26983</v>
      </c>
      <c r="T1474" t="s">
        <v>26982</v>
      </c>
      <c r="U1474" t="s">
        <v>26981</v>
      </c>
      <c r="V1474" t="s">
        <v>26980</v>
      </c>
      <c r="W1474" t="s">
        <v>26979</v>
      </c>
      <c r="X1474" t="s">
        <v>4147</v>
      </c>
      <c r="Y1474" t="s">
        <v>26978</v>
      </c>
      <c r="Z1474" t="s">
        <v>26977</v>
      </c>
      <c r="AA1474" t="s">
        <v>74</v>
      </c>
      <c r="AB1474" t="s">
        <v>26976</v>
      </c>
      <c r="AC1474" t="s">
        <v>26975</v>
      </c>
      <c r="AD1474" t="s">
        <v>26974</v>
      </c>
      <c r="AE1474" t="s">
        <v>26973</v>
      </c>
      <c r="AF1474" t="s">
        <v>74</v>
      </c>
      <c r="AG1474">
        <v>52</v>
      </c>
      <c r="AH1474">
        <v>63</v>
      </c>
      <c r="AI1474">
        <v>87</v>
      </c>
      <c r="AJ1474">
        <v>4</v>
      </c>
      <c r="AK1474">
        <v>72</v>
      </c>
      <c r="AL1474" t="s">
        <v>230</v>
      </c>
      <c r="AM1474" t="s">
        <v>231</v>
      </c>
      <c r="AN1474" t="s">
        <v>232</v>
      </c>
      <c r="AO1474" t="s">
        <v>4966</v>
      </c>
      <c r="AP1474" t="s">
        <v>4967</v>
      </c>
      <c r="AQ1474" t="s">
        <v>74</v>
      </c>
      <c r="AR1474" t="s">
        <v>4968</v>
      </c>
      <c r="AS1474" t="s">
        <v>4969</v>
      </c>
      <c r="AT1474" t="s">
        <v>743</v>
      </c>
      <c r="AU1474">
        <v>2020</v>
      </c>
      <c r="AV1474">
        <v>128</v>
      </c>
      <c r="AW1474" t="s">
        <v>74</v>
      </c>
      <c r="AX1474" t="s">
        <v>74</v>
      </c>
      <c r="AY1474" t="s">
        <v>74</v>
      </c>
      <c r="AZ1474" t="s">
        <v>74</v>
      </c>
      <c r="BA1474" t="s">
        <v>74</v>
      </c>
      <c r="BB1474" t="s">
        <v>74</v>
      </c>
      <c r="BC1474" t="s">
        <v>74</v>
      </c>
      <c r="BD1474">
        <v>104843</v>
      </c>
      <c r="BE1474" t="s">
        <v>26972</v>
      </c>
      <c r="BF1474" t="str">
        <f>HYPERLINK("http://dx.doi.org/10.1016/j.worlddev.2019.104843","http://dx.doi.org/10.1016/j.worlddev.2019.104843")</f>
        <v>http://dx.doi.org/10.1016/j.worlddev.2019.104843</v>
      </c>
      <c r="BG1474" t="s">
        <v>74</v>
      </c>
      <c r="BH1474" t="s">
        <v>74</v>
      </c>
      <c r="BI1474">
        <v>20</v>
      </c>
      <c r="BJ1474" t="s">
        <v>701</v>
      </c>
      <c r="BK1474" t="s">
        <v>4493</v>
      </c>
      <c r="BL1474" t="s">
        <v>702</v>
      </c>
      <c r="BM1474" t="s">
        <v>17605</v>
      </c>
      <c r="BN1474" t="s">
        <v>74</v>
      </c>
      <c r="BO1474" t="s">
        <v>74</v>
      </c>
      <c r="BP1474" t="s">
        <v>74</v>
      </c>
      <c r="BQ1474" t="s">
        <v>74</v>
      </c>
      <c r="BR1474" t="s">
        <v>102</v>
      </c>
      <c r="BS1474" t="s">
        <v>26971</v>
      </c>
      <c r="BT1474" t="str">
        <f>HYPERLINK("https%3A%2F%2Fwww.webofscience.com%2Fwos%2Fwoscc%2Ffull-record%2FWOS:000515427900019","View Full Record in Web of Science")</f>
        <v>View Full Record in Web of Science</v>
      </c>
    </row>
    <row r="1475" spans="1:72" x14ac:dyDescent="0.25">
      <c r="A1475" t="s">
        <v>132</v>
      </c>
      <c r="B1475" t="s">
        <v>26970</v>
      </c>
      <c r="C1475" t="s">
        <v>74</v>
      </c>
      <c r="D1475" t="s">
        <v>6120</v>
      </c>
      <c r="E1475" t="s">
        <v>74</v>
      </c>
      <c r="F1475" t="s">
        <v>26969</v>
      </c>
      <c r="G1475" t="s">
        <v>74</v>
      </c>
      <c r="H1475" t="s">
        <v>74</v>
      </c>
      <c r="I1475" t="s">
        <v>26968</v>
      </c>
      <c r="J1475" t="s">
        <v>26967</v>
      </c>
      <c r="K1475" t="s">
        <v>6124</v>
      </c>
      <c r="L1475" t="s">
        <v>74</v>
      </c>
      <c r="M1475" t="s">
        <v>78</v>
      </c>
      <c r="N1475" t="s">
        <v>138</v>
      </c>
      <c r="O1475" t="s">
        <v>26966</v>
      </c>
      <c r="P1475" t="s">
        <v>26965</v>
      </c>
      <c r="Q1475" t="s">
        <v>637</v>
      </c>
      <c r="R1475" t="s">
        <v>74</v>
      </c>
      <c r="S1475" t="s">
        <v>74</v>
      </c>
      <c r="T1475" t="s">
        <v>26964</v>
      </c>
      <c r="U1475" t="s">
        <v>74</v>
      </c>
      <c r="V1475" t="s">
        <v>74</v>
      </c>
      <c r="W1475" t="s">
        <v>26963</v>
      </c>
      <c r="X1475" t="s">
        <v>74</v>
      </c>
      <c r="Y1475" t="s">
        <v>26962</v>
      </c>
      <c r="Z1475" t="s">
        <v>74</v>
      </c>
      <c r="AA1475" t="s">
        <v>26961</v>
      </c>
      <c r="AB1475" t="s">
        <v>74</v>
      </c>
      <c r="AC1475" t="s">
        <v>74</v>
      </c>
      <c r="AD1475" t="s">
        <v>74</v>
      </c>
      <c r="AE1475" t="s">
        <v>74</v>
      </c>
      <c r="AF1475" t="s">
        <v>74</v>
      </c>
      <c r="AG1475">
        <v>0</v>
      </c>
      <c r="AH1475">
        <v>1</v>
      </c>
      <c r="AI1475">
        <v>1</v>
      </c>
      <c r="AJ1475">
        <v>0</v>
      </c>
      <c r="AK1475">
        <v>0</v>
      </c>
      <c r="AL1475" t="s">
        <v>6134</v>
      </c>
      <c r="AM1475" t="s">
        <v>6135</v>
      </c>
      <c r="AN1475" t="s">
        <v>6136</v>
      </c>
      <c r="AO1475" t="s">
        <v>6137</v>
      </c>
      <c r="AP1475" t="s">
        <v>74</v>
      </c>
      <c r="AQ1475" t="s">
        <v>26960</v>
      </c>
      <c r="AR1475" t="s">
        <v>6139</v>
      </c>
      <c r="AS1475" t="s">
        <v>74</v>
      </c>
      <c r="AT1475" t="s">
        <v>74</v>
      </c>
      <c r="AU1475">
        <v>2016</v>
      </c>
      <c r="AV1475" t="s">
        <v>74</v>
      </c>
      <c r="AW1475" t="s">
        <v>74</v>
      </c>
      <c r="AX1475" t="s">
        <v>74</v>
      </c>
      <c r="AY1475" t="s">
        <v>74</v>
      </c>
      <c r="AZ1475" t="s">
        <v>74</v>
      </c>
      <c r="BA1475" t="s">
        <v>74</v>
      </c>
      <c r="BB1475">
        <v>3254</v>
      </c>
      <c r="BC1475">
        <v>3254</v>
      </c>
      <c r="BD1475" t="s">
        <v>74</v>
      </c>
      <c r="BE1475" t="s">
        <v>74</v>
      </c>
      <c r="BF1475" t="s">
        <v>74</v>
      </c>
      <c r="BG1475" t="s">
        <v>74</v>
      </c>
      <c r="BH1475" t="s">
        <v>74</v>
      </c>
      <c r="BI1475">
        <v>1</v>
      </c>
      <c r="BJ1475" t="s">
        <v>4031</v>
      </c>
      <c r="BK1475" t="s">
        <v>183</v>
      </c>
      <c r="BL1475" t="s">
        <v>4031</v>
      </c>
      <c r="BM1475" t="s">
        <v>26959</v>
      </c>
      <c r="BN1475" t="s">
        <v>74</v>
      </c>
      <c r="BO1475" t="s">
        <v>74</v>
      </c>
      <c r="BP1475" t="s">
        <v>74</v>
      </c>
      <c r="BQ1475" t="s">
        <v>74</v>
      </c>
      <c r="BR1475" t="s">
        <v>102</v>
      </c>
      <c r="BS1475" t="s">
        <v>26958</v>
      </c>
      <c r="BT1475" t="str">
        <f>HYPERLINK("https%3A%2F%2Fwww.webofscience.com%2Fwos%2Fwoscc%2Ffull-record%2FWOS:000417330203046","View Full Record in Web of Science")</f>
        <v>View Full Record in Web of Science</v>
      </c>
    </row>
    <row r="1476" spans="1:72" x14ac:dyDescent="0.25">
      <c r="A1476" t="s">
        <v>72</v>
      </c>
      <c r="B1476" t="s">
        <v>26957</v>
      </c>
      <c r="C1476" t="s">
        <v>74</v>
      </c>
      <c r="D1476" t="s">
        <v>74</v>
      </c>
      <c r="E1476" t="s">
        <v>74</v>
      </c>
      <c r="F1476" t="s">
        <v>26956</v>
      </c>
      <c r="G1476" t="s">
        <v>74</v>
      </c>
      <c r="H1476" t="s">
        <v>74</v>
      </c>
      <c r="I1476" t="s">
        <v>26955</v>
      </c>
      <c r="J1476" t="s">
        <v>4842</v>
      </c>
      <c r="K1476" t="s">
        <v>74</v>
      </c>
      <c r="L1476" t="s">
        <v>74</v>
      </c>
      <c r="M1476" t="s">
        <v>78</v>
      </c>
      <c r="N1476" t="s">
        <v>79</v>
      </c>
      <c r="O1476" t="s">
        <v>74</v>
      </c>
      <c r="P1476" t="s">
        <v>74</v>
      </c>
      <c r="Q1476" t="s">
        <v>74</v>
      </c>
      <c r="R1476" t="s">
        <v>74</v>
      </c>
      <c r="S1476" t="s">
        <v>74</v>
      </c>
      <c r="T1476" t="s">
        <v>26954</v>
      </c>
      <c r="U1476" t="s">
        <v>26953</v>
      </c>
      <c r="V1476" t="s">
        <v>26952</v>
      </c>
      <c r="W1476" t="s">
        <v>26951</v>
      </c>
      <c r="X1476" t="s">
        <v>26950</v>
      </c>
      <c r="Y1476" t="s">
        <v>26949</v>
      </c>
      <c r="Z1476" t="s">
        <v>26948</v>
      </c>
      <c r="AA1476" t="s">
        <v>74</v>
      </c>
      <c r="AB1476" t="s">
        <v>26947</v>
      </c>
      <c r="AC1476" t="s">
        <v>74</v>
      </c>
      <c r="AD1476" t="s">
        <v>74</v>
      </c>
      <c r="AE1476" t="s">
        <v>74</v>
      </c>
      <c r="AF1476" t="s">
        <v>74</v>
      </c>
      <c r="AG1476">
        <v>93</v>
      </c>
      <c r="AH1476">
        <v>3</v>
      </c>
      <c r="AI1476">
        <v>3</v>
      </c>
      <c r="AJ1476">
        <v>14</v>
      </c>
      <c r="AK1476">
        <v>17</v>
      </c>
      <c r="AL1476" t="s">
        <v>823</v>
      </c>
      <c r="AM1476" t="s">
        <v>333</v>
      </c>
      <c r="AN1476" t="s">
        <v>824</v>
      </c>
      <c r="AO1476" t="s">
        <v>4853</v>
      </c>
      <c r="AP1476" t="s">
        <v>74</v>
      </c>
      <c r="AQ1476" t="s">
        <v>74</v>
      </c>
      <c r="AR1476" t="s">
        <v>4854</v>
      </c>
      <c r="AS1476" t="s">
        <v>4855</v>
      </c>
      <c r="AT1476" t="s">
        <v>4856</v>
      </c>
      <c r="AU1476">
        <v>2025</v>
      </c>
      <c r="AV1476">
        <v>12</v>
      </c>
      <c r="AW1476">
        <v>1</v>
      </c>
      <c r="AX1476" t="s">
        <v>74</v>
      </c>
      <c r="AY1476" t="s">
        <v>74</v>
      </c>
      <c r="AZ1476" t="s">
        <v>74</v>
      </c>
      <c r="BA1476" t="s">
        <v>74</v>
      </c>
      <c r="BB1476" t="s">
        <v>74</v>
      </c>
      <c r="BC1476" t="s">
        <v>74</v>
      </c>
      <c r="BD1476">
        <v>2518492</v>
      </c>
      <c r="BE1476" t="s">
        <v>26946</v>
      </c>
      <c r="BF1476" t="str">
        <f>HYPERLINK("http://dx.doi.org/10.1080/23311975.2025.2518492","http://dx.doi.org/10.1080/23311975.2025.2518492")</f>
        <v>http://dx.doi.org/10.1080/23311975.2025.2518492</v>
      </c>
      <c r="BG1476" t="s">
        <v>74</v>
      </c>
      <c r="BH1476" t="s">
        <v>74</v>
      </c>
      <c r="BI1476">
        <v>27</v>
      </c>
      <c r="BJ1476" t="s">
        <v>418</v>
      </c>
      <c r="BK1476" t="s">
        <v>313</v>
      </c>
      <c r="BL1476" t="s">
        <v>100</v>
      </c>
      <c r="BM1476" t="s">
        <v>26945</v>
      </c>
      <c r="BN1476" t="s">
        <v>74</v>
      </c>
      <c r="BO1476" t="s">
        <v>916</v>
      </c>
      <c r="BP1476" t="s">
        <v>74</v>
      </c>
      <c r="BQ1476" t="s">
        <v>74</v>
      </c>
      <c r="BR1476" t="s">
        <v>102</v>
      </c>
      <c r="BS1476" t="s">
        <v>26944</v>
      </c>
      <c r="BT1476" t="str">
        <f>HYPERLINK("https%3A%2F%2Fwww.webofscience.com%2Fwos%2Fwoscc%2Ffull-record%2FWOS:001511143100001","View Full Record in Web of Science")</f>
        <v>View Full Record in Web of Science</v>
      </c>
    </row>
    <row r="1477" spans="1:72" x14ac:dyDescent="0.25">
      <c r="A1477" t="s">
        <v>72</v>
      </c>
      <c r="B1477" t="s">
        <v>26943</v>
      </c>
      <c r="C1477" t="s">
        <v>74</v>
      </c>
      <c r="D1477" t="s">
        <v>74</v>
      </c>
      <c r="E1477" t="s">
        <v>74</v>
      </c>
      <c r="F1477" t="s">
        <v>26942</v>
      </c>
      <c r="G1477" t="s">
        <v>74</v>
      </c>
      <c r="H1477" t="s">
        <v>74</v>
      </c>
      <c r="I1477" t="s">
        <v>26941</v>
      </c>
      <c r="J1477" t="s">
        <v>7220</v>
      </c>
      <c r="K1477" t="s">
        <v>74</v>
      </c>
      <c r="L1477" t="s">
        <v>74</v>
      </c>
      <c r="M1477" t="s">
        <v>78</v>
      </c>
      <c r="N1477" t="s">
        <v>79</v>
      </c>
      <c r="O1477" t="s">
        <v>74</v>
      </c>
      <c r="P1477" t="s">
        <v>74</v>
      </c>
      <c r="Q1477" t="s">
        <v>74</v>
      </c>
      <c r="R1477" t="s">
        <v>74</v>
      </c>
      <c r="S1477" t="s">
        <v>74</v>
      </c>
      <c r="T1477" t="s">
        <v>26940</v>
      </c>
      <c r="U1477" t="s">
        <v>74</v>
      </c>
      <c r="V1477" t="s">
        <v>26939</v>
      </c>
      <c r="W1477" t="s">
        <v>26938</v>
      </c>
      <c r="X1477" t="s">
        <v>26937</v>
      </c>
      <c r="Y1477" t="s">
        <v>26936</v>
      </c>
      <c r="Z1477" t="s">
        <v>12156</v>
      </c>
      <c r="AA1477" t="s">
        <v>74</v>
      </c>
      <c r="AB1477" t="s">
        <v>12157</v>
      </c>
      <c r="AC1477" t="s">
        <v>74</v>
      </c>
      <c r="AD1477" t="s">
        <v>74</v>
      </c>
      <c r="AE1477" t="s">
        <v>74</v>
      </c>
      <c r="AF1477" t="s">
        <v>74</v>
      </c>
      <c r="AG1477">
        <v>62</v>
      </c>
      <c r="AH1477">
        <v>27</v>
      </c>
      <c r="AI1477">
        <v>35</v>
      </c>
      <c r="AJ1477">
        <v>1</v>
      </c>
      <c r="AK1477">
        <v>81</v>
      </c>
      <c r="AL1477" t="s">
        <v>89</v>
      </c>
      <c r="AM1477" t="s">
        <v>1497</v>
      </c>
      <c r="AN1477" t="s">
        <v>1498</v>
      </c>
      <c r="AO1477" t="s">
        <v>7230</v>
      </c>
      <c r="AP1477" t="s">
        <v>7231</v>
      </c>
      <c r="AQ1477" t="s">
        <v>74</v>
      </c>
      <c r="AR1477" t="s">
        <v>7232</v>
      </c>
      <c r="AS1477" t="s">
        <v>7233</v>
      </c>
      <c r="AT1477" t="s">
        <v>6815</v>
      </c>
      <c r="AU1477">
        <v>2020</v>
      </c>
      <c r="AV1477">
        <v>36</v>
      </c>
      <c r="AW1477">
        <v>3</v>
      </c>
      <c r="AX1477" t="s">
        <v>74</v>
      </c>
      <c r="AY1477" t="s">
        <v>74</v>
      </c>
      <c r="AZ1477" t="s">
        <v>74</v>
      </c>
      <c r="BA1477" t="s">
        <v>74</v>
      </c>
      <c r="BB1477">
        <v>185</v>
      </c>
      <c r="BC1477">
        <v>203</v>
      </c>
      <c r="BD1477" t="s">
        <v>74</v>
      </c>
      <c r="BE1477" t="s">
        <v>26935</v>
      </c>
      <c r="BF1477" t="str">
        <f>HYPERLINK("http://dx.doi.org/10.1108/JEAS-01-2019-0007","http://dx.doi.org/10.1108/JEAS-01-2019-0007")</f>
        <v>http://dx.doi.org/10.1108/JEAS-01-2019-0007</v>
      </c>
      <c r="BG1477" t="s">
        <v>74</v>
      </c>
      <c r="BH1477" t="s">
        <v>74</v>
      </c>
      <c r="BI1477">
        <v>19</v>
      </c>
      <c r="BJ1477" t="s">
        <v>291</v>
      </c>
      <c r="BK1477" t="s">
        <v>313</v>
      </c>
      <c r="BL1477" t="s">
        <v>100</v>
      </c>
      <c r="BM1477" t="s">
        <v>26934</v>
      </c>
      <c r="BN1477" t="s">
        <v>74</v>
      </c>
      <c r="BO1477" t="s">
        <v>74</v>
      </c>
      <c r="BP1477" t="s">
        <v>74</v>
      </c>
      <c r="BQ1477" t="s">
        <v>74</v>
      </c>
      <c r="BR1477" t="s">
        <v>102</v>
      </c>
      <c r="BS1477" t="s">
        <v>26933</v>
      </c>
      <c r="BT1477" t="str">
        <f>HYPERLINK("https%3A%2F%2Fwww.webofscience.com%2Fwos%2Fwoscc%2Ffull-record%2FWOS:000556877400001","View Full Record in Web of Science")</f>
        <v>View Full Record in Web of Science</v>
      </c>
    </row>
    <row r="1478" spans="1:72" x14ac:dyDescent="0.25">
      <c r="A1478" t="s">
        <v>72</v>
      </c>
      <c r="B1478" t="s">
        <v>26932</v>
      </c>
      <c r="C1478" t="s">
        <v>74</v>
      </c>
      <c r="D1478" t="s">
        <v>74</v>
      </c>
      <c r="E1478" t="s">
        <v>74</v>
      </c>
      <c r="F1478" t="s">
        <v>26931</v>
      </c>
      <c r="G1478" t="s">
        <v>74</v>
      </c>
      <c r="H1478" t="s">
        <v>74</v>
      </c>
      <c r="I1478" t="s">
        <v>26930</v>
      </c>
      <c r="J1478" t="s">
        <v>729</v>
      </c>
      <c r="K1478" t="s">
        <v>74</v>
      </c>
      <c r="L1478" t="s">
        <v>74</v>
      </c>
      <c r="M1478" t="s">
        <v>78</v>
      </c>
      <c r="N1478" t="s">
        <v>79</v>
      </c>
      <c r="O1478" t="s">
        <v>74</v>
      </c>
      <c r="P1478" t="s">
        <v>74</v>
      </c>
      <c r="Q1478" t="s">
        <v>74</v>
      </c>
      <c r="R1478" t="s">
        <v>74</v>
      </c>
      <c r="S1478" t="s">
        <v>74</v>
      </c>
      <c r="T1478" t="s">
        <v>26929</v>
      </c>
      <c r="U1478" t="s">
        <v>26928</v>
      </c>
      <c r="V1478" t="s">
        <v>26927</v>
      </c>
      <c r="W1478" t="s">
        <v>26926</v>
      </c>
      <c r="X1478" t="s">
        <v>26925</v>
      </c>
      <c r="Y1478" t="s">
        <v>26924</v>
      </c>
      <c r="Z1478" t="s">
        <v>26923</v>
      </c>
      <c r="AA1478" t="s">
        <v>26922</v>
      </c>
      <c r="AB1478" t="s">
        <v>26921</v>
      </c>
      <c r="AC1478" t="s">
        <v>74</v>
      </c>
      <c r="AD1478" t="s">
        <v>74</v>
      </c>
      <c r="AE1478" t="s">
        <v>74</v>
      </c>
      <c r="AF1478" t="s">
        <v>74</v>
      </c>
      <c r="AG1478">
        <v>41</v>
      </c>
      <c r="AH1478">
        <v>2</v>
      </c>
      <c r="AI1478">
        <v>4</v>
      </c>
      <c r="AJ1478">
        <v>3</v>
      </c>
      <c r="AK1478">
        <v>40</v>
      </c>
      <c r="AL1478" t="s">
        <v>479</v>
      </c>
      <c r="AM1478" t="s">
        <v>480</v>
      </c>
      <c r="AN1478" t="s">
        <v>481</v>
      </c>
      <c r="AO1478" t="s">
        <v>739</v>
      </c>
      <c r="AP1478" t="s">
        <v>740</v>
      </c>
      <c r="AQ1478" t="s">
        <v>74</v>
      </c>
      <c r="AR1478" t="s">
        <v>741</v>
      </c>
      <c r="AS1478" t="s">
        <v>742</v>
      </c>
      <c r="AT1478" t="s">
        <v>743</v>
      </c>
      <c r="AU1478">
        <v>2024</v>
      </c>
      <c r="AV1478">
        <v>29</v>
      </c>
      <c r="AW1478">
        <v>2</v>
      </c>
      <c r="AX1478" t="s">
        <v>74</v>
      </c>
      <c r="AY1478" t="s">
        <v>74</v>
      </c>
      <c r="AZ1478" t="s">
        <v>74</v>
      </c>
      <c r="BA1478" t="s">
        <v>74</v>
      </c>
      <c r="BB1478">
        <v>1345</v>
      </c>
      <c r="BC1478">
        <v>1377</v>
      </c>
      <c r="BD1478" t="s">
        <v>74</v>
      </c>
      <c r="BE1478" t="s">
        <v>26920</v>
      </c>
      <c r="BF1478" t="str">
        <f>HYPERLINK("http://dx.doi.org/10.1002/ijfe.2735","http://dx.doi.org/10.1002/ijfe.2735")</f>
        <v>http://dx.doi.org/10.1002/ijfe.2735</v>
      </c>
      <c r="BG1478" t="s">
        <v>74</v>
      </c>
      <c r="BH1478" t="s">
        <v>5112</v>
      </c>
      <c r="BI1478">
        <v>33</v>
      </c>
      <c r="BJ1478" t="s">
        <v>268</v>
      </c>
      <c r="BK1478" t="s">
        <v>99</v>
      </c>
      <c r="BL1478" t="s">
        <v>100</v>
      </c>
      <c r="BM1478" t="s">
        <v>26919</v>
      </c>
      <c r="BN1478" t="s">
        <v>74</v>
      </c>
      <c r="BO1478" t="s">
        <v>74</v>
      </c>
      <c r="BP1478" t="s">
        <v>74</v>
      </c>
      <c r="BQ1478" t="s">
        <v>74</v>
      </c>
      <c r="BR1478" t="s">
        <v>102</v>
      </c>
      <c r="BS1478" t="s">
        <v>26918</v>
      </c>
      <c r="BT1478" t="str">
        <f>HYPERLINK("https%3A%2F%2Fwww.webofscience.com%2Fwos%2Fwoscc%2Ffull-record%2FWOS:000890075100001","View Full Record in Web of Science")</f>
        <v>View Full Record in Web of Science</v>
      </c>
    </row>
    <row r="1479" spans="1:72" x14ac:dyDescent="0.25">
      <c r="A1479" t="s">
        <v>72</v>
      </c>
      <c r="B1479" t="s">
        <v>26917</v>
      </c>
      <c r="C1479" t="s">
        <v>74</v>
      </c>
      <c r="D1479" t="s">
        <v>74</v>
      </c>
      <c r="E1479" t="s">
        <v>74</v>
      </c>
      <c r="F1479" t="s">
        <v>26916</v>
      </c>
      <c r="G1479" t="s">
        <v>74</v>
      </c>
      <c r="H1479" t="s">
        <v>74</v>
      </c>
      <c r="I1479" t="s">
        <v>26915</v>
      </c>
      <c r="J1479" t="s">
        <v>566</v>
      </c>
      <c r="K1479" t="s">
        <v>74</v>
      </c>
      <c r="L1479" t="s">
        <v>74</v>
      </c>
      <c r="M1479" t="s">
        <v>78</v>
      </c>
      <c r="N1479" t="s">
        <v>79</v>
      </c>
      <c r="O1479" t="s">
        <v>74</v>
      </c>
      <c r="P1479" t="s">
        <v>74</v>
      </c>
      <c r="Q1479" t="s">
        <v>74</v>
      </c>
      <c r="R1479" t="s">
        <v>74</v>
      </c>
      <c r="S1479" t="s">
        <v>74</v>
      </c>
      <c r="T1479" t="s">
        <v>26914</v>
      </c>
      <c r="U1479" t="s">
        <v>26913</v>
      </c>
      <c r="V1479" t="s">
        <v>26912</v>
      </c>
      <c r="W1479" t="s">
        <v>26911</v>
      </c>
      <c r="X1479" t="s">
        <v>3960</v>
      </c>
      <c r="Y1479" t="s">
        <v>26910</v>
      </c>
      <c r="Z1479" t="s">
        <v>26909</v>
      </c>
      <c r="AA1479" t="s">
        <v>74</v>
      </c>
      <c r="AB1479" t="s">
        <v>74</v>
      </c>
      <c r="AC1479" t="s">
        <v>3960</v>
      </c>
      <c r="AD1479" t="s">
        <v>26908</v>
      </c>
      <c r="AE1479" t="s">
        <v>26907</v>
      </c>
      <c r="AF1479" t="s">
        <v>74</v>
      </c>
      <c r="AG1479">
        <v>61</v>
      </c>
      <c r="AH1479">
        <v>0</v>
      </c>
      <c r="AI1479">
        <v>0</v>
      </c>
      <c r="AJ1479">
        <v>2</v>
      </c>
      <c r="AK1479">
        <v>2</v>
      </c>
      <c r="AL1479" t="s">
        <v>575</v>
      </c>
      <c r="AM1479" t="s">
        <v>576</v>
      </c>
      <c r="AN1479" t="s">
        <v>577</v>
      </c>
      <c r="AO1479" t="s">
        <v>74</v>
      </c>
      <c r="AP1479" t="s">
        <v>578</v>
      </c>
      <c r="AQ1479" t="s">
        <v>74</v>
      </c>
      <c r="AR1479" t="s">
        <v>579</v>
      </c>
      <c r="AS1479" t="s">
        <v>580</v>
      </c>
      <c r="AT1479" t="s">
        <v>26906</v>
      </c>
      <c r="AU1479">
        <v>2025</v>
      </c>
      <c r="AV1479">
        <v>15</v>
      </c>
      <c r="AW1479">
        <v>10</v>
      </c>
      <c r="AX1479" t="s">
        <v>74</v>
      </c>
      <c r="AY1479" t="s">
        <v>74</v>
      </c>
      <c r="AZ1479" t="s">
        <v>74</v>
      </c>
      <c r="BA1479" t="s">
        <v>74</v>
      </c>
      <c r="BB1479" t="s">
        <v>74</v>
      </c>
      <c r="BC1479" t="s">
        <v>74</v>
      </c>
      <c r="BD1479">
        <v>375</v>
      </c>
      <c r="BE1479" t="s">
        <v>26905</v>
      </c>
      <c r="BF1479" t="str">
        <f>HYPERLINK("http://dx.doi.org/10.3390/admsci15100375","http://dx.doi.org/10.3390/admsci15100375")</f>
        <v>http://dx.doi.org/10.3390/admsci15100375</v>
      </c>
      <c r="BG1479" t="s">
        <v>74</v>
      </c>
      <c r="BH1479" t="s">
        <v>74</v>
      </c>
      <c r="BI1479">
        <v>15</v>
      </c>
      <c r="BJ1479" t="s">
        <v>583</v>
      </c>
      <c r="BK1479" t="s">
        <v>313</v>
      </c>
      <c r="BL1479" t="s">
        <v>100</v>
      </c>
      <c r="BM1479" t="s">
        <v>26904</v>
      </c>
      <c r="BN1479" t="s">
        <v>74</v>
      </c>
      <c r="BO1479" t="s">
        <v>212</v>
      </c>
      <c r="BP1479" t="s">
        <v>74</v>
      </c>
      <c r="BQ1479" t="s">
        <v>74</v>
      </c>
      <c r="BR1479" t="s">
        <v>102</v>
      </c>
      <c r="BS1479" t="s">
        <v>26903</v>
      </c>
      <c r="BT1479" t="str">
        <f>HYPERLINK("https%3A%2F%2Fwww.webofscience.com%2Fwos%2Fwoscc%2Ffull-record%2FWOS:001603077100001","View Full Record in Web of Science")</f>
        <v>View Full Record in Web of Science</v>
      </c>
    </row>
    <row r="1480" spans="1:72" x14ac:dyDescent="0.25">
      <c r="A1480" t="s">
        <v>72</v>
      </c>
      <c r="B1480" t="s">
        <v>26902</v>
      </c>
      <c r="C1480" t="s">
        <v>74</v>
      </c>
      <c r="D1480" t="s">
        <v>74</v>
      </c>
      <c r="E1480" t="s">
        <v>74</v>
      </c>
      <c r="F1480" t="s">
        <v>26901</v>
      </c>
      <c r="G1480" t="s">
        <v>74</v>
      </c>
      <c r="H1480" t="s">
        <v>74</v>
      </c>
      <c r="I1480" t="s">
        <v>26900</v>
      </c>
      <c r="J1480" t="s">
        <v>26899</v>
      </c>
      <c r="K1480" t="s">
        <v>74</v>
      </c>
      <c r="L1480" t="s">
        <v>74</v>
      </c>
      <c r="M1480" t="s">
        <v>78</v>
      </c>
      <c r="N1480" t="s">
        <v>79</v>
      </c>
      <c r="O1480" t="s">
        <v>74</v>
      </c>
      <c r="P1480" t="s">
        <v>74</v>
      </c>
      <c r="Q1480" t="s">
        <v>74</v>
      </c>
      <c r="R1480" t="s">
        <v>74</v>
      </c>
      <c r="S1480" t="s">
        <v>74</v>
      </c>
      <c r="T1480" t="s">
        <v>26898</v>
      </c>
      <c r="U1480" t="s">
        <v>26897</v>
      </c>
      <c r="V1480" t="s">
        <v>26896</v>
      </c>
      <c r="W1480" t="s">
        <v>26895</v>
      </c>
      <c r="X1480" t="s">
        <v>26894</v>
      </c>
      <c r="Y1480" t="s">
        <v>26893</v>
      </c>
      <c r="Z1480" t="s">
        <v>26892</v>
      </c>
      <c r="AA1480" t="s">
        <v>26891</v>
      </c>
      <c r="AB1480" t="s">
        <v>26890</v>
      </c>
      <c r="AC1480" t="s">
        <v>26889</v>
      </c>
      <c r="AD1480" t="s">
        <v>26888</v>
      </c>
      <c r="AE1480" t="s">
        <v>26887</v>
      </c>
      <c r="AF1480" t="s">
        <v>74</v>
      </c>
      <c r="AG1480">
        <v>66</v>
      </c>
      <c r="AH1480">
        <v>8</v>
      </c>
      <c r="AI1480">
        <v>8</v>
      </c>
      <c r="AJ1480">
        <v>2</v>
      </c>
      <c r="AK1480">
        <v>3</v>
      </c>
      <c r="AL1480" t="s">
        <v>26886</v>
      </c>
      <c r="AM1480" t="s">
        <v>26885</v>
      </c>
      <c r="AN1480" t="s">
        <v>26884</v>
      </c>
      <c r="AO1480" t="s">
        <v>74</v>
      </c>
      <c r="AP1480" t="s">
        <v>26883</v>
      </c>
      <c r="AQ1480" t="s">
        <v>74</v>
      </c>
      <c r="AR1480" t="s">
        <v>26882</v>
      </c>
      <c r="AS1480" t="s">
        <v>26881</v>
      </c>
      <c r="AT1480" t="s">
        <v>74</v>
      </c>
      <c r="AU1480">
        <v>2025</v>
      </c>
      <c r="AV1480">
        <v>14</v>
      </c>
      <c r="AW1480">
        <v>1</v>
      </c>
      <c r="AX1480" t="s">
        <v>74</v>
      </c>
      <c r="AY1480" t="s">
        <v>74</v>
      </c>
      <c r="AZ1480" t="s">
        <v>74</v>
      </c>
      <c r="BA1480" t="s">
        <v>74</v>
      </c>
      <c r="BB1480">
        <v>123</v>
      </c>
      <c r="BC1480">
        <v>146</v>
      </c>
      <c r="BD1480" t="s">
        <v>74</v>
      </c>
      <c r="BE1480" t="s">
        <v>26880</v>
      </c>
      <c r="BF1480" t="str">
        <f>HYPERLINK("http://dx.doi.org/10.31181/ijes1412025182","http://dx.doi.org/10.31181/ijes1412025182")</f>
        <v>http://dx.doi.org/10.31181/ijes1412025182</v>
      </c>
      <c r="BG1480" t="s">
        <v>74</v>
      </c>
      <c r="BH1480" t="s">
        <v>74</v>
      </c>
      <c r="BI1480">
        <v>24</v>
      </c>
      <c r="BJ1480" t="s">
        <v>291</v>
      </c>
      <c r="BK1480" t="s">
        <v>313</v>
      </c>
      <c r="BL1480" t="s">
        <v>100</v>
      </c>
      <c r="BM1480" t="s">
        <v>26879</v>
      </c>
      <c r="BN1480" t="s">
        <v>74</v>
      </c>
      <c r="BO1480" t="s">
        <v>212</v>
      </c>
      <c r="BP1480" t="s">
        <v>74</v>
      </c>
      <c r="BQ1480" t="s">
        <v>74</v>
      </c>
      <c r="BR1480" t="s">
        <v>102</v>
      </c>
      <c r="BS1480" t="s">
        <v>26878</v>
      </c>
      <c r="BT1480" t="str">
        <f>HYPERLINK("https%3A%2F%2Fwww.webofscience.com%2Fwos%2Fwoscc%2Ffull-record%2FWOS:001508119200002","View Full Record in Web of Science")</f>
        <v>View Full Record in Web of Science</v>
      </c>
    </row>
    <row r="1481" spans="1:72" x14ac:dyDescent="0.25">
      <c r="A1481" t="s">
        <v>72</v>
      </c>
      <c r="B1481" t="s">
        <v>26877</v>
      </c>
      <c r="C1481" t="s">
        <v>74</v>
      </c>
      <c r="D1481" t="s">
        <v>74</v>
      </c>
      <c r="E1481" t="s">
        <v>74</v>
      </c>
      <c r="F1481" t="s">
        <v>26876</v>
      </c>
      <c r="G1481" t="s">
        <v>74</v>
      </c>
      <c r="H1481" t="s">
        <v>74</v>
      </c>
      <c r="I1481" t="s">
        <v>26875</v>
      </c>
      <c r="J1481" t="s">
        <v>12172</v>
      </c>
      <c r="K1481" t="s">
        <v>74</v>
      </c>
      <c r="L1481" t="s">
        <v>74</v>
      </c>
      <c r="M1481" t="s">
        <v>78</v>
      </c>
      <c r="N1481" t="s">
        <v>79</v>
      </c>
      <c r="O1481" t="s">
        <v>74</v>
      </c>
      <c r="P1481" t="s">
        <v>74</v>
      </c>
      <c r="Q1481" t="s">
        <v>74</v>
      </c>
      <c r="R1481" t="s">
        <v>74</v>
      </c>
      <c r="S1481" t="s">
        <v>74</v>
      </c>
      <c r="T1481" t="s">
        <v>26874</v>
      </c>
      <c r="U1481" t="s">
        <v>26873</v>
      </c>
      <c r="V1481" t="s">
        <v>26872</v>
      </c>
      <c r="W1481" t="s">
        <v>26871</v>
      </c>
      <c r="X1481" t="s">
        <v>26870</v>
      </c>
      <c r="Y1481" t="s">
        <v>26869</v>
      </c>
      <c r="Z1481" t="s">
        <v>26868</v>
      </c>
      <c r="AA1481" t="s">
        <v>74</v>
      </c>
      <c r="AB1481" t="s">
        <v>26867</v>
      </c>
      <c r="AC1481" t="s">
        <v>74</v>
      </c>
      <c r="AD1481" t="s">
        <v>74</v>
      </c>
      <c r="AE1481" t="s">
        <v>74</v>
      </c>
      <c r="AF1481" t="s">
        <v>74</v>
      </c>
      <c r="AG1481">
        <v>35</v>
      </c>
      <c r="AH1481">
        <v>1</v>
      </c>
      <c r="AI1481">
        <v>2</v>
      </c>
      <c r="AJ1481">
        <v>1</v>
      </c>
      <c r="AK1481">
        <v>10</v>
      </c>
      <c r="AL1481" t="s">
        <v>757</v>
      </c>
      <c r="AM1481" t="s">
        <v>758</v>
      </c>
      <c r="AN1481" t="s">
        <v>759</v>
      </c>
      <c r="AO1481" t="s">
        <v>12179</v>
      </c>
      <c r="AP1481" t="s">
        <v>74</v>
      </c>
      <c r="AQ1481" t="s">
        <v>74</v>
      </c>
      <c r="AR1481" t="s">
        <v>12172</v>
      </c>
      <c r="AS1481" t="s">
        <v>12180</v>
      </c>
      <c r="AT1481" t="s">
        <v>1159</v>
      </c>
      <c r="AU1481">
        <v>2023</v>
      </c>
      <c r="AV1481">
        <v>13</v>
      </c>
      <c r="AW1481">
        <v>4</v>
      </c>
      <c r="AX1481" t="s">
        <v>74</v>
      </c>
      <c r="AY1481" t="s">
        <v>74</v>
      </c>
      <c r="AZ1481" t="s">
        <v>74</v>
      </c>
      <c r="BA1481" t="s">
        <v>74</v>
      </c>
      <c r="BB1481" t="s">
        <v>74</v>
      </c>
      <c r="BC1481" t="s">
        <v>74</v>
      </c>
      <c r="BD1481">
        <v>2.158244023121064E+16</v>
      </c>
      <c r="BE1481" t="s">
        <v>26866</v>
      </c>
      <c r="BF1481" t="str">
        <f>HYPERLINK("http://dx.doi.org/10.1177/21582440231210639","http://dx.doi.org/10.1177/21582440231210639")</f>
        <v>http://dx.doi.org/10.1177/21582440231210639</v>
      </c>
      <c r="BG1481" t="s">
        <v>74</v>
      </c>
      <c r="BH1481" t="s">
        <v>74</v>
      </c>
      <c r="BI1481">
        <v>12</v>
      </c>
      <c r="BJ1481" t="s">
        <v>364</v>
      </c>
      <c r="BK1481" t="s">
        <v>99</v>
      </c>
      <c r="BL1481" t="s">
        <v>365</v>
      </c>
      <c r="BM1481" t="s">
        <v>26865</v>
      </c>
      <c r="BN1481" t="s">
        <v>74</v>
      </c>
      <c r="BO1481" t="s">
        <v>916</v>
      </c>
      <c r="BP1481" t="s">
        <v>74</v>
      </c>
      <c r="BQ1481" t="s">
        <v>74</v>
      </c>
      <c r="BR1481" t="s">
        <v>102</v>
      </c>
      <c r="BS1481" t="s">
        <v>26864</v>
      </c>
      <c r="BT1481" t="str">
        <f>HYPERLINK("https%3A%2F%2Fwww.webofscience.com%2Fwos%2Fwoscc%2Ffull-record%2FWOS:001114125000001","View Full Record in Web of Science")</f>
        <v>View Full Record in Web of Science</v>
      </c>
    </row>
    <row r="1482" spans="1:72" x14ac:dyDescent="0.25">
      <c r="A1482" t="s">
        <v>72</v>
      </c>
      <c r="B1482" t="s">
        <v>26863</v>
      </c>
      <c r="C1482" t="s">
        <v>74</v>
      </c>
      <c r="D1482" t="s">
        <v>74</v>
      </c>
      <c r="E1482" t="s">
        <v>74</v>
      </c>
      <c r="F1482" t="s">
        <v>26862</v>
      </c>
      <c r="G1482" t="s">
        <v>74</v>
      </c>
      <c r="H1482" t="s">
        <v>74</v>
      </c>
      <c r="I1482" t="s">
        <v>26861</v>
      </c>
      <c r="J1482" t="s">
        <v>2288</v>
      </c>
      <c r="K1482" t="s">
        <v>74</v>
      </c>
      <c r="L1482" t="s">
        <v>74</v>
      </c>
      <c r="M1482" t="s">
        <v>78</v>
      </c>
      <c r="N1482" t="s">
        <v>79</v>
      </c>
      <c r="O1482" t="s">
        <v>74</v>
      </c>
      <c r="P1482" t="s">
        <v>74</v>
      </c>
      <c r="Q1482" t="s">
        <v>74</v>
      </c>
      <c r="R1482" t="s">
        <v>74</v>
      </c>
      <c r="S1482" t="s">
        <v>74</v>
      </c>
      <c r="T1482" t="s">
        <v>26860</v>
      </c>
      <c r="U1482" t="s">
        <v>26859</v>
      </c>
      <c r="V1482" t="s">
        <v>26858</v>
      </c>
      <c r="W1482" t="s">
        <v>26857</v>
      </c>
      <c r="X1482" t="s">
        <v>26856</v>
      </c>
      <c r="Y1482" t="s">
        <v>26855</v>
      </c>
      <c r="Z1482" t="s">
        <v>26854</v>
      </c>
      <c r="AA1482" t="s">
        <v>26853</v>
      </c>
      <c r="AB1482" t="s">
        <v>26852</v>
      </c>
      <c r="AC1482" t="s">
        <v>26851</v>
      </c>
      <c r="AD1482" t="s">
        <v>26850</v>
      </c>
      <c r="AE1482" t="s">
        <v>74</v>
      </c>
      <c r="AF1482" t="s">
        <v>74</v>
      </c>
      <c r="AG1482">
        <v>29</v>
      </c>
      <c r="AH1482">
        <v>61</v>
      </c>
      <c r="AI1482">
        <v>82</v>
      </c>
      <c r="AJ1482">
        <v>0</v>
      </c>
      <c r="AK1482">
        <v>30</v>
      </c>
      <c r="AL1482" t="s">
        <v>3298</v>
      </c>
      <c r="AM1482" t="s">
        <v>202</v>
      </c>
      <c r="AN1482" t="s">
        <v>3299</v>
      </c>
      <c r="AO1482" t="s">
        <v>2299</v>
      </c>
      <c r="AP1482" t="s">
        <v>74</v>
      </c>
      <c r="AQ1482" t="s">
        <v>74</v>
      </c>
      <c r="AR1482" t="s">
        <v>2301</v>
      </c>
      <c r="AS1482" t="s">
        <v>2302</v>
      </c>
      <c r="AT1482" t="s">
        <v>605</v>
      </c>
      <c r="AU1482">
        <v>2012</v>
      </c>
      <c r="AV1482">
        <v>97</v>
      </c>
      <c r="AW1482">
        <v>2</v>
      </c>
      <c r="AX1482" t="s">
        <v>74</v>
      </c>
      <c r="AY1482" t="s">
        <v>74</v>
      </c>
      <c r="AZ1482" t="s">
        <v>74</v>
      </c>
      <c r="BA1482" t="s">
        <v>74</v>
      </c>
      <c r="BB1482">
        <v>437</v>
      </c>
      <c r="BC1482">
        <v>449</v>
      </c>
      <c r="BD1482" t="s">
        <v>74</v>
      </c>
      <c r="BE1482" t="s">
        <v>26849</v>
      </c>
      <c r="BF1482" t="str">
        <f>HYPERLINK("http://dx.doi.org/10.1016/j.jdeveco.2011.06.001","http://dx.doi.org/10.1016/j.jdeveco.2011.06.001")</f>
        <v>http://dx.doi.org/10.1016/j.jdeveco.2011.06.001</v>
      </c>
      <c r="BG1482" t="s">
        <v>74</v>
      </c>
      <c r="BH1482" t="s">
        <v>74</v>
      </c>
      <c r="BI1482">
        <v>13</v>
      </c>
      <c r="BJ1482" t="s">
        <v>291</v>
      </c>
      <c r="BK1482" t="s">
        <v>99</v>
      </c>
      <c r="BL1482" t="s">
        <v>100</v>
      </c>
      <c r="BM1482" t="s">
        <v>26848</v>
      </c>
      <c r="BN1482" t="s">
        <v>74</v>
      </c>
      <c r="BO1482" t="s">
        <v>1696</v>
      </c>
      <c r="BP1482" t="s">
        <v>74</v>
      </c>
      <c r="BQ1482" t="s">
        <v>74</v>
      </c>
      <c r="BR1482" t="s">
        <v>102</v>
      </c>
      <c r="BS1482" t="s">
        <v>26847</v>
      </c>
      <c r="BT1482" t="str">
        <f>HYPERLINK("https%3A%2F%2Fwww.webofscience.com%2Fwos%2Fwoscc%2Ffull-record%2FWOS:000298463600021","View Full Record in Web of Science")</f>
        <v>View Full Record in Web of Science</v>
      </c>
    </row>
    <row r="1483" spans="1:72" x14ac:dyDescent="0.25">
      <c r="A1483" t="s">
        <v>72</v>
      </c>
      <c r="B1483" t="s">
        <v>26846</v>
      </c>
      <c r="C1483" t="s">
        <v>74</v>
      </c>
      <c r="D1483" t="s">
        <v>74</v>
      </c>
      <c r="E1483" t="s">
        <v>74</v>
      </c>
      <c r="F1483" t="s">
        <v>26845</v>
      </c>
      <c r="G1483" t="s">
        <v>74</v>
      </c>
      <c r="H1483" t="s">
        <v>74</v>
      </c>
      <c r="I1483" t="s">
        <v>26844</v>
      </c>
      <c r="J1483" t="s">
        <v>900</v>
      </c>
      <c r="K1483" t="s">
        <v>74</v>
      </c>
      <c r="L1483" t="s">
        <v>74</v>
      </c>
      <c r="M1483" t="s">
        <v>78</v>
      </c>
      <c r="N1483" t="s">
        <v>1766</v>
      </c>
      <c r="O1483" t="s">
        <v>74</v>
      </c>
      <c r="P1483" t="s">
        <v>74</v>
      </c>
      <c r="Q1483" t="s">
        <v>74</v>
      </c>
      <c r="R1483" t="s">
        <v>74</v>
      </c>
      <c r="S1483" t="s">
        <v>74</v>
      </c>
      <c r="T1483" t="s">
        <v>26843</v>
      </c>
      <c r="U1483" t="s">
        <v>74</v>
      </c>
      <c r="V1483" t="s">
        <v>26842</v>
      </c>
      <c r="W1483" t="s">
        <v>26841</v>
      </c>
      <c r="X1483" t="s">
        <v>26840</v>
      </c>
      <c r="Y1483" t="s">
        <v>26839</v>
      </c>
      <c r="Z1483" t="s">
        <v>26838</v>
      </c>
      <c r="AA1483" t="s">
        <v>26837</v>
      </c>
      <c r="AB1483" t="s">
        <v>26836</v>
      </c>
      <c r="AC1483" t="s">
        <v>74</v>
      </c>
      <c r="AD1483" t="s">
        <v>74</v>
      </c>
      <c r="AE1483" t="s">
        <v>74</v>
      </c>
      <c r="AF1483" t="s">
        <v>74</v>
      </c>
      <c r="AG1483">
        <v>28</v>
      </c>
      <c r="AH1483">
        <v>0</v>
      </c>
      <c r="AI1483">
        <v>0</v>
      </c>
      <c r="AJ1483">
        <v>10</v>
      </c>
      <c r="AK1483">
        <v>10</v>
      </c>
      <c r="AL1483" t="s">
        <v>575</v>
      </c>
      <c r="AM1483" t="s">
        <v>576</v>
      </c>
      <c r="AN1483" t="s">
        <v>577</v>
      </c>
      <c r="AO1483" t="s">
        <v>74</v>
      </c>
      <c r="AP1483" t="s">
        <v>4045</v>
      </c>
      <c r="AQ1483" t="s">
        <v>74</v>
      </c>
      <c r="AR1483" t="s">
        <v>4046</v>
      </c>
      <c r="AS1483" t="s">
        <v>4047</v>
      </c>
      <c r="AT1483" t="s">
        <v>5090</v>
      </c>
      <c r="AU1483">
        <v>2025</v>
      </c>
      <c r="AV1483">
        <v>4</v>
      </c>
      <c r="AW1483">
        <v>1</v>
      </c>
      <c r="AX1483" t="s">
        <v>74</v>
      </c>
      <c r="AY1483" t="s">
        <v>74</v>
      </c>
      <c r="AZ1483" t="s">
        <v>74</v>
      </c>
      <c r="BA1483" t="s">
        <v>74</v>
      </c>
      <c r="BB1483" t="s">
        <v>74</v>
      </c>
      <c r="BC1483" t="s">
        <v>74</v>
      </c>
      <c r="BD1483">
        <v>4</v>
      </c>
      <c r="BE1483" t="s">
        <v>26835</v>
      </c>
      <c r="BF1483" t="str">
        <f>HYPERLINK("http://dx.doi.org/10.3390/fintech4010004","http://dx.doi.org/10.3390/fintech4010004")</f>
        <v>http://dx.doi.org/10.3390/fintech4010004</v>
      </c>
      <c r="BG1483" t="s">
        <v>74</v>
      </c>
      <c r="BH1483" t="s">
        <v>74</v>
      </c>
      <c r="BI1483">
        <v>17</v>
      </c>
      <c r="BJ1483" t="s">
        <v>4049</v>
      </c>
      <c r="BK1483" t="s">
        <v>313</v>
      </c>
      <c r="BL1483" t="s">
        <v>1070</v>
      </c>
      <c r="BM1483" t="s">
        <v>26834</v>
      </c>
      <c r="BN1483" t="s">
        <v>74</v>
      </c>
      <c r="BO1483" t="s">
        <v>916</v>
      </c>
      <c r="BP1483" t="s">
        <v>74</v>
      </c>
      <c r="BQ1483" t="s">
        <v>74</v>
      </c>
      <c r="BR1483" t="s">
        <v>102</v>
      </c>
      <c r="BS1483" t="s">
        <v>26833</v>
      </c>
      <c r="BT1483" t="str">
        <f>HYPERLINK("https%3A%2F%2Fwww.webofscience.com%2Fwos%2Fwoscc%2Ffull-record%2FWOS:001572619500001","View Full Record in Web of Science")</f>
        <v>View Full Record in Web of Science</v>
      </c>
    </row>
    <row r="1484" spans="1:72" x14ac:dyDescent="0.25">
      <c r="A1484" t="s">
        <v>72</v>
      </c>
      <c r="B1484" t="s">
        <v>26832</v>
      </c>
      <c r="C1484" t="s">
        <v>74</v>
      </c>
      <c r="D1484" t="s">
        <v>74</v>
      </c>
      <c r="E1484" t="s">
        <v>74</v>
      </c>
      <c r="F1484" t="s">
        <v>26831</v>
      </c>
      <c r="G1484" t="s">
        <v>74</v>
      </c>
      <c r="H1484" t="s">
        <v>74</v>
      </c>
      <c r="I1484" t="s">
        <v>26830</v>
      </c>
      <c r="J1484" t="s">
        <v>3231</v>
      </c>
      <c r="K1484" t="s">
        <v>74</v>
      </c>
      <c r="L1484" t="s">
        <v>74</v>
      </c>
      <c r="M1484" t="s">
        <v>78</v>
      </c>
      <c r="N1484" t="s">
        <v>1766</v>
      </c>
      <c r="O1484" t="s">
        <v>74</v>
      </c>
      <c r="P1484" t="s">
        <v>74</v>
      </c>
      <c r="Q1484" t="s">
        <v>74</v>
      </c>
      <c r="R1484" t="s">
        <v>74</v>
      </c>
      <c r="S1484" t="s">
        <v>74</v>
      </c>
      <c r="T1484" t="s">
        <v>26829</v>
      </c>
      <c r="U1484" t="s">
        <v>26828</v>
      </c>
      <c r="V1484" t="s">
        <v>26827</v>
      </c>
      <c r="W1484" t="s">
        <v>26826</v>
      </c>
      <c r="X1484" t="s">
        <v>3960</v>
      </c>
      <c r="Y1484" t="s">
        <v>26825</v>
      </c>
      <c r="Z1484" t="s">
        <v>26824</v>
      </c>
      <c r="AA1484" t="s">
        <v>26823</v>
      </c>
      <c r="AB1484" t="s">
        <v>26822</v>
      </c>
      <c r="AC1484" t="s">
        <v>74</v>
      </c>
      <c r="AD1484" t="s">
        <v>74</v>
      </c>
      <c r="AE1484" t="s">
        <v>74</v>
      </c>
      <c r="AF1484" t="s">
        <v>74</v>
      </c>
      <c r="AG1484">
        <v>87</v>
      </c>
      <c r="AH1484">
        <v>30</v>
      </c>
      <c r="AI1484">
        <v>45</v>
      </c>
      <c r="AJ1484">
        <v>7</v>
      </c>
      <c r="AK1484">
        <v>26</v>
      </c>
      <c r="AL1484" t="s">
        <v>575</v>
      </c>
      <c r="AM1484" t="s">
        <v>576</v>
      </c>
      <c r="AN1484" t="s">
        <v>577</v>
      </c>
      <c r="AO1484" t="s">
        <v>74</v>
      </c>
      <c r="AP1484" t="s">
        <v>3243</v>
      </c>
      <c r="AQ1484" t="s">
        <v>74</v>
      </c>
      <c r="AR1484" t="s">
        <v>3244</v>
      </c>
      <c r="AS1484" t="s">
        <v>3245</v>
      </c>
      <c r="AT1484" t="s">
        <v>848</v>
      </c>
      <c r="AU1484">
        <v>2022</v>
      </c>
      <c r="AV1484">
        <v>14</v>
      </c>
      <c r="AW1484">
        <v>14</v>
      </c>
      <c r="AX1484" t="s">
        <v>74</v>
      </c>
      <c r="AY1484" t="s">
        <v>74</v>
      </c>
      <c r="AZ1484" t="s">
        <v>74</v>
      </c>
      <c r="BA1484" t="s">
        <v>74</v>
      </c>
      <c r="BB1484" t="s">
        <v>74</v>
      </c>
      <c r="BC1484" t="s">
        <v>74</v>
      </c>
      <c r="BD1484">
        <v>8667</v>
      </c>
      <c r="BE1484" t="s">
        <v>26821</v>
      </c>
      <c r="BF1484" t="str">
        <f>HYPERLINK("http://dx.doi.org/10.3390/su14148667","http://dx.doi.org/10.3390/su14148667")</f>
        <v>http://dx.doi.org/10.3390/su14148667</v>
      </c>
      <c r="BG1484" t="s">
        <v>74</v>
      </c>
      <c r="BH1484" t="s">
        <v>74</v>
      </c>
      <c r="BI1484">
        <v>24</v>
      </c>
      <c r="BJ1484" t="s">
        <v>3247</v>
      </c>
      <c r="BK1484" t="s">
        <v>2623</v>
      </c>
      <c r="BL1484" t="s">
        <v>3248</v>
      </c>
      <c r="BM1484" t="s">
        <v>26820</v>
      </c>
      <c r="BN1484" t="s">
        <v>74</v>
      </c>
      <c r="BO1484" t="s">
        <v>916</v>
      </c>
      <c r="BP1484" t="s">
        <v>74</v>
      </c>
      <c r="BQ1484" t="s">
        <v>74</v>
      </c>
      <c r="BR1484" t="s">
        <v>102</v>
      </c>
      <c r="BS1484" t="s">
        <v>26819</v>
      </c>
      <c r="BT1484" t="str">
        <f>HYPERLINK("https%3A%2F%2Fwww.webofscience.com%2Fwos%2Fwoscc%2Ffull-record%2FWOS:000831436700001","View Full Record in Web of Science")</f>
        <v>View Full Record in Web of Science</v>
      </c>
    </row>
    <row r="1485" spans="1:72" x14ac:dyDescent="0.25">
      <c r="A1485" t="s">
        <v>72</v>
      </c>
      <c r="B1485" t="s">
        <v>26818</v>
      </c>
      <c r="C1485" t="s">
        <v>74</v>
      </c>
      <c r="D1485" t="s">
        <v>74</v>
      </c>
      <c r="E1485" t="s">
        <v>74</v>
      </c>
      <c r="F1485" t="s">
        <v>26817</v>
      </c>
      <c r="G1485" t="s">
        <v>74</v>
      </c>
      <c r="H1485" t="s">
        <v>74</v>
      </c>
      <c r="I1485" t="s">
        <v>26816</v>
      </c>
      <c r="J1485" t="s">
        <v>1435</v>
      </c>
      <c r="K1485" t="s">
        <v>74</v>
      </c>
      <c r="L1485" t="s">
        <v>74</v>
      </c>
      <c r="M1485" t="s">
        <v>78</v>
      </c>
      <c r="N1485" t="s">
        <v>79</v>
      </c>
      <c r="O1485" t="s">
        <v>74</v>
      </c>
      <c r="P1485" t="s">
        <v>74</v>
      </c>
      <c r="Q1485" t="s">
        <v>74</v>
      </c>
      <c r="R1485" t="s">
        <v>74</v>
      </c>
      <c r="S1485" t="s">
        <v>74</v>
      </c>
      <c r="T1485" t="s">
        <v>26815</v>
      </c>
      <c r="U1485" t="s">
        <v>3837</v>
      </c>
      <c r="V1485" t="s">
        <v>26814</v>
      </c>
      <c r="W1485" t="s">
        <v>26813</v>
      </c>
      <c r="X1485" t="s">
        <v>26812</v>
      </c>
      <c r="Y1485" t="s">
        <v>26811</v>
      </c>
      <c r="Z1485" t="s">
        <v>26810</v>
      </c>
      <c r="AA1485" t="s">
        <v>26809</v>
      </c>
      <c r="AB1485" t="s">
        <v>26808</v>
      </c>
      <c r="AC1485" t="s">
        <v>26807</v>
      </c>
      <c r="AD1485" t="s">
        <v>26807</v>
      </c>
      <c r="AE1485" t="s">
        <v>26806</v>
      </c>
      <c r="AF1485" t="s">
        <v>74</v>
      </c>
      <c r="AG1485">
        <v>33</v>
      </c>
      <c r="AH1485">
        <v>3</v>
      </c>
      <c r="AI1485">
        <v>4</v>
      </c>
      <c r="AJ1485">
        <v>0</v>
      </c>
      <c r="AK1485">
        <v>5</v>
      </c>
      <c r="AL1485" t="s">
        <v>1445</v>
      </c>
      <c r="AM1485" t="s">
        <v>1446</v>
      </c>
      <c r="AN1485" t="s">
        <v>1447</v>
      </c>
      <c r="AO1485" t="s">
        <v>1448</v>
      </c>
      <c r="AP1485" t="s">
        <v>1449</v>
      </c>
      <c r="AQ1485" t="s">
        <v>74</v>
      </c>
      <c r="AR1485" t="s">
        <v>1450</v>
      </c>
      <c r="AS1485" t="s">
        <v>1451</v>
      </c>
      <c r="AT1485" t="s">
        <v>74</v>
      </c>
      <c r="AU1485">
        <v>2019</v>
      </c>
      <c r="AV1485">
        <v>12</v>
      </c>
      <c r="AW1485">
        <v>3</v>
      </c>
      <c r="AX1485" t="s">
        <v>74</v>
      </c>
      <c r="AY1485" t="s">
        <v>74</v>
      </c>
      <c r="AZ1485" t="s">
        <v>74</v>
      </c>
      <c r="BA1485" t="s">
        <v>74</v>
      </c>
      <c r="BB1485">
        <v>114</v>
      </c>
      <c r="BC1485">
        <v>131</v>
      </c>
      <c r="BD1485" t="s">
        <v>74</v>
      </c>
      <c r="BE1485" t="s">
        <v>26805</v>
      </c>
      <c r="BF1485" t="str">
        <f>HYPERLINK("http://dx.doi.org/10.14254/2071-789X.2019/12-3/8","http://dx.doi.org/10.14254/2071-789X.2019/12-3/8")</f>
        <v>http://dx.doi.org/10.14254/2071-789X.2019/12-3/8</v>
      </c>
      <c r="BG1485" t="s">
        <v>74</v>
      </c>
      <c r="BH1485" t="s">
        <v>74</v>
      </c>
      <c r="BI1485">
        <v>18</v>
      </c>
      <c r="BJ1485" t="s">
        <v>1453</v>
      </c>
      <c r="BK1485" t="s">
        <v>313</v>
      </c>
      <c r="BL1485" t="s">
        <v>100</v>
      </c>
      <c r="BM1485" t="s">
        <v>26804</v>
      </c>
      <c r="BN1485" t="s">
        <v>74</v>
      </c>
      <c r="BO1485" t="s">
        <v>916</v>
      </c>
      <c r="BP1485" t="s">
        <v>74</v>
      </c>
      <c r="BQ1485" t="s">
        <v>74</v>
      </c>
      <c r="BR1485" t="s">
        <v>102</v>
      </c>
      <c r="BS1485" t="s">
        <v>26803</v>
      </c>
      <c r="BT1485" t="str">
        <f>HYPERLINK("https%3A%2F%2Fwww.webofscience.com%2Fwos%2Fwoscc%2Ffull-record%2FWOS:000490330600008","View Full Record in Web of Science")</f>
        <v>View Full Record in Web of Science</v>
      </c>
    </row>
    <row r="1486" spans="1:72" x14ac:dyDescent="0.25">
      <c r="A1486" t="s">
        <v>72</v>
      </c>
      <c r="B1486" t="s">
        <v>26802</v>
      </c>
      <c r="C1486" t="s">
        <v>74</v>
      </c>
      <c r="D1486" t="s">
        <v>74</v>
      </c>
      <c r="E1486" t="s">
        <v>74</v>
      </c>
      <c r="F1486" t="s">
        <v>26801</v>
      </c>
      <c r="G1486" t="s">
        <v>74</v>
      </c>
      <c r="H1486" t="s">
        <v>74</v>
      </c>
      <c r="I1486" t="s">
        <v>26800</v>
      </c>
      <c r="J1486" t="s">
        <v>4270</v>
      </c>
      <c r="K1486" t="s">
        <v>74</v>
      </c>
      <c r="L1486" t="s">
        <v>74</v>
      </c>
      <c r="M1486" t="s">
        <v>4271</v>
      </c>
      <c r="N1486" t="s">
        <v>79</v>
      </c>
      <c r="O1486" t="s">
        <v>74</v>
      </c>
      <c r="P1486" t="s">
        <v>74</v>
      </c>
      <c r="Q1486" t="s">
        <v>74</v>
      </c>
      <c r="R1486" t="s">
        <v>74</v>
      </c>
      <c r="S1486" t="s">
        <v>74</v>
      </c>
      <c r="T1486" t="s">
        <v>74</v>
      </c>
      <c r="U1486" t="s">
        <v>74</v>
      </c>
      <c r="V1486" t="s">
        <v>26799</v>
      </c>
      <c r="W1486" t="s">
        <v>26798</v>
      </c>
      <c r="X1486" t="s">
        <v>74</v>
      </c>
      <c r="Y1486" t="s">
        <v>26797</v>
      </c>
      <c r="Z1486" t="s">
        <v>74</v>
      </c>
      <c r="AA1486" t="s">
        <v>26796</v>
      </c>
      <c r="AB1486" t="s">
        <v>26795</v>
      </c>
      <c r="AC1486" t="s">
        <v>74</v>
      </c>
      <c r="AD1486" t="s">
        <v>74</v>
      </c>
      <c r="AE1486" t="s">
        <v>74</v>
      </c>
      <c r="AF1486" t="s">
        <v>74</v>
      </c>
      <c r="AG1486">
        <v>20</v>
      </c>
      <c r="AH1486">
        <v>2</v>
      </c>
      <c r="AI1486">
        <v>3</v>
      </c>
      <c r="AJ1486">
        <v>0</v>
      </c>
      <c r="AK1486">
        <v>13</v>
      </c>
      <c r="AL1486" t="s">
        <v>4279</v>
      </c>
      <c r="AM1486" t="s">
        <v>4280</v>
      </c>
      <c r="AN1486" t="s">
        <v>4281</v>
      </c>
      <c r="AO1486" t="s">
        <v>4282</v>
      </c>
      <c r="AP1486" t="s">
        <v>4283</v>
      </c>
      <c r="AQ1486" t="s">
        <v>74</v>
      </c>
      <c r="AR1486" t="s">
        <v>4270</v>
      </c>
      <c r="AS1486" t="s">
        <v>4284</v>
      </c>
      <c r="AT1486" t="s">
        <v>1652</v>
      </c>
      <c r="AU1486">
        <v>2016</v>
      </c>
      <c r="AV1486" t="s">
        <v>74</v>
      </c>
      <c r="AW1486">
        <v>3</v>
      </c>
      <c r="AX1486" t="s">
        <v>74</v>
      </c>
      <c r="AY1486" t="s">
        <v>74</v>
      </c>
      <c r="AZ1486" t="s">
        <v>74</v>
      </c>
      <c r="BA1486" t="s">
        <v>74</v>
      </c>
      <c r="BB1486">
        <v>15</v>
      </c>
      <c r="BC1486">
        <v>23</v>
      </c>
      <c r="BD1486" t="s">
        <v>74</v>
      </c>
      <c r="BE1486" t="s">
        <v>74</v>
      </c>
      <c r="BF1486" t="s">
        <v>74</v>
      </c>
      <c r="BG1486" t="s">
        <v>74</v>
      </c>
      <c r="BH1486" t="s">
        <v>74</v>
      </c>
      <c r="BI1486">
        <v>9</v>
      </c>
      <c r="BJ1486" t="s">
        <v>4031</v>
      </c>
      <c r="BK1486" t="s">
        <v>313</v>
      </c>
      <c r="BL1486" t="s">
        <v>4031</v>
      </c>
      <c r="BM1486" t="s">
        <v>26794</v>
      </c>
      <c r="BN1486" t="s">
        <v>74</v>
      </c>
      <c r="BO1486" t="s">
        <v>74</v>
      </c>
      <c r="BP1486" t="s">
        <v>74</v>
      </c>
      <c r="BQ1486" t="s">
        <v>74</v>
      </c>
      <c r="BR1486" t="s">
        <v>102</v>
      </c>
      <c r="BS1486" t="s">
        <v>26793</v>
      </c>
      <c r="BT1486" t="str">
        <f>HYPERLINK("https%3A%2F%2Fwww.webofscience.com%2Fwos%2Fwoscc%2Ffull-record%2FWOS:000390919100003","View Full Record in Web of Science")</f>
        <v>View Full Record in Web of Science</v>
      </c>
    </row>
    <row r="1487" spans="1:72" x14ac:dyDescent="0.25">
      <c r="A1487" t="s">
        <v>72</v>
      </c>
      <c r="B1487" t="s">
        <v>26792</v>
      </c>
      <c r="C1487" t="s">
        <v>74</v>
      </c>
      <c r="D1487" t="s">
        <v>74</v>
      </c>
      <c r="E1487" t="s">
        <v>74</v>
      </c>
      <c r="F1487" t="s">
        <v>26791</v>
      </c>
      <c r="G1487" t="s">
        <v>74</v>
      </c>
      <c r="H1487" t="s">
        <v>74</v>
      </c>
      <c r="I1487" t="s">
        <v>26790</v>
      </c>
      <c r="J1487" t="s">
        <v>2471</v>
      </c>
      <c r="K1487" t="s">
        <v>74</v>
      </c>
      <c r="L1487" t="s">
        <v>74</v>
      </c>
      <c r="M1487" t="s">
        <v>78</v>
      </c>
      <c r="N1487" t="s">
        <v>79</v>
      </c>
      <c r="O1487" t="s">
        <v>74</v>
      </c>
      <c r="P1487" t="s">
        <v>74</v>
      </c>
      <c r="Q1487" t="s">
        <v>74</v>
      </c>
      <c r="R1487" t="s">
        <v>74</v>
      </c>
      <c r="S1487" t="s">
        <v>74</v>
      </c>
      <c r="T1487" t="s">
        <v>26789</v>
      </c>
      <c r="U1487" t="s">
        <v>26788</v>
      </c>
      <c r="V1487" t="s">
        <v>26787</v>
      </c>
      <c r="W1487" t="s">
        <v>26786</v>
      </c>
      <c r="X1487" t="s">
        <v>26785</v>
      </c>
      <c r="Y1487" t="s">
        <v>26784</v>
      </c>
      <c r="Z1487" t="s">
        <v>26783</v>
      </c>
      <c r="AA1487" t="s">
        <v>26782</v>
      </c>
      <c r="AB1487" t="s">
        <v>74</v>
      </c>
      <c r="AC1487" t="s">
        <v>2967</v>
      </c>
      <c r="AD1487" t="s">
        <v>2967</v>
      </c>
      <c r="AE1487" t="s">
        <v>26781</v>
      </c>
      <c r="AF1487" t="s">
        <v>74</v>
      </c>
      <c r="AG1487">
        <v>75</v>
      </c>
      <c r="AH1487">
        <v>6</v>
      </c>
      <c r="AI1487">
        <v>13</v>
      </c>
      <c r="AJ1487">
        <v>3</v>
      </c>
      <c r="AK1487">
        <v>25</v>
      </c>
      <c r="AL1487" t="s">
        <v>2481</v>
      </c>
      <c r="AM1487" t="s">
        <v>2482</v>
      </c>
      <c r="AN1487" t="s">
        <v>2483</v>
      </c>
      <c r="AO1487" t="s">
        <v>2484</v>
      </c>
      <c r="AP1487" t="s">
        <v>74</v>
      </c>
      <c r="AQ1487" t="s">
        <v>74</v>
      </c>
      <c r="AR1487" t="s">
        <v>2485</v>
      </c>
      <c r="AS1487" t="s">
        <v>2486</v>
      </c>
      <c r="AT1487" t="s">
        <v>2970</v>
      </c>
      <c r="AU1487">
        <v>2024</v>
      </c>
      <c r="AV1487">
        <v>10</v>
      </c>
      <c r="AW1487">
        <v>1</v>
      </c>
      <c r="AX1487" t="s">
        <v>74</v>
      </c>
      <c r="AY1487" t="s">
        <v>74</v>
      </c>
      <c r="AZ1487" t="s">
        <v>74</v>
      </c>
      <c r="BA1487" t="s">
        <v>74</v>
      </c>
      <c r="BB1487" t="s">
        <v>74</v>
      </c>
      <c r="BC1487" t="s">
        <v>74</v>
      </c>
      <c r="BD1487">
        <v>2309000</v>
      </c>
      <c r="BE1487" t="s">
        <v>26780</v>
      </c>
      <c r="BF1487" t="str">
        <f>HYPERLINK("http://dx.doi.org/10.1080/23311886.2024.2309000","http://dx.doi.org/10.1080/23311886.2024.2309000")</f>
        <v>http://dx.doi.org/10.1080/23311886.2024.2309000</v>
      </c>
      <c r="BG1487" t="s">
        <v>74</v>
      </c>
      <c r="BH1487" t="s">
        <v>74</v>
      </c>
      <c r="BI1487">
        <v>16</v>
      </c>
      <c r="BJ1487" t="s">
        <v>364</v>
      </c>
      <c r="BK1487" t="s">
        <v>313</v>
      </c>
      <c r="BL1487" t="s">
        <v>365</v>
      </c>
      <c r="BM1487" t="s">
        <v>26779</v>
      </c>
      <c r="BN1487" t="s">
        <v>74</v>
      </c>
      <c r="BO1487" t="s">
        <v>212</v>
      </c>
      <c r="BP1487" t="s">
        <v>74</v>
      </c>
      <c r="BQ1487" t="s">
        <v>74</v>
      </c>
      <c r="BR1487" t="s">
        <v>102</v>
      </c>
      <c r="BS1487" t="s">
        <v>26778</v>
      </c>
      <c r="BT1487" t="str">
        <f>HYPERLINK("https%3A%2F%2Fwww.webofscience.com%2Fwos%2Fwoscc%2Ffull-record%2FWOS:001159358100001","View Full Record in Web of Science")</f>
        <v>View Full Record in Web of Science</v>
      </c>
    </row>
    <row r="1488" spans="1:72" x14ac:dyDescent="0.25">
      <c r="A1488" t="s">
        <v>72</v>
      </c>
      <c r="B1488" t="s">
        <v>26777</v>
      </c>
      <c r="C1488" t="s">
        <v>74</v>
      </c>
      <c r="D1488" t="s">
        <v>74</v>
      </c>
      <c r="E1488" t="s">
        <v>74</v>
      </c>
      <c r="F1488" t="s">
        <v>26776</v>
      </c>
      <c r="G1488" t="s">
        <v>74</v>
      </c>
      <c r="H1488" t="s">
        <v>74</v>
      </c>
      <c r="I1488" t="s">
        <v>26775</v>
      </c>
      <c r="J1488" t="s">
        <v>5958</v>
      </c>
      <c r="K1488" t="s">
        <v>74</v>
      </c>
      <c r="L1488" t="s">
        <v>74</v>
      </c>
      <c r="M1488" t="s">
        <v>78</v>
      </c>
      <c r="N1488" t="s">
        <v>79</v>
      </c>
      <c r="O1488" t="s">
        <v>74</v>
      </c>
      <c r="P1488" t="s">
        <v>74</v>
      </c>
      <c r="Q1488" t="s">
        <v>74</v>
      </c>
      <c r="R1488" t="s">
        <v>74</v>
      </c>
      <c r="S1488" t="s">
        <v>74</v>
      </c>
      <c r="T1488" t="s">
        <v>26774</v>
      </c>
      <c r="U1488" t="s">
        <v>26773</v>
      </c>
      <c r="V1488" t="s">
        <v>26772</v>
      </c>
      <c r="W1488" t="s">
        <v>26771</v>
      </c>
      <c r="X1488" t="s">
        <v>26770</v>
      </c>
      <c r="Y1488" t="s">
        <v>26769</v>
      </c>
      <c r="Z1488" t="s">
        <v>26768</v>
      </c>
      <c r="AA1488" t="s">
        <v>74</v>
      </c>
      <c r="AB1488" t="s">
        <v>74</v>
      </c>
      <c r="AC1488" t="s">
        <v>26767</v>
      </c>
      <c r="AD1488" t="s">
        <v>26766</v>
      </c>
      <c r="AE1488" t="s">
        <v>26765</v>
      </c>
      <c r="AF1488" t="s">
        <v>74</v>
      </c>
      <c r="AG1488">
        <v>107</v>
      </c>
      <c r="AH1488">
        <v>2</v>
      </c>
      <c r="AI1488">
        <v>2</v>
      </c>
      <c r="AJ1488">
        <v>1</v>
      </c>
      <c r="AK1488">
        <v>60</v>
      </c>
      <c r="AL1488" t="s">
        <v>1216</v>
      </c>
      <c r="AM1488" t="s">
        <v>283</v>
      </c>
      <c r="AN1488" t="s">
        <v>1217</v>
      </c>
      <c r="AO1488" t="s">
        <v>5971</v>
      </c>
      <c r="AP1488" t="s">
        <v>74</v>
      </c>
      <c r="AQ1488" t="s">
        <v>74</v>
      </c>
      <c r="AR1488" t="s">
        <v>5972</v>
      </c>
      <c r="AS1488" t="s">
        <v>5973</v>
      </c>
      <c r="AT1488" t="s">
        <v>2956</v>
      </c>
      <c r="AU1488">
        <v>2022</v>
      </c>
      <c r="AV1488">
        <v>13</v>
      </c>
      <c r="AW1488" t="s">
        <v>74</v>
      </c>
      <c r="AX1488" t="s">
        <v>74</v>
      </c>
      <c r="AY1488" t="s">
        <v>74</v>
      </c>
      <c r="AZ1488" t="s">
        <v>74</v>
      </c>
      <c r="BA1488" t="s">
        <v>74</v>
      </c>
      <c r="BB1488" t="s">
        <v>74</v>
      </c>
      <c r="BC1488" t="s">
        <v>74</v>
      </c>
      <c r="BD1488">
        <v>979588</v>
      </c>
      <c r="BE1488" t="s">
        <v>26764</v>
      </c>
      <c r="BF1488" t="str">
        <f>HYPERLINK("http://dx.doi.org/10.3389/fpsyg.2022.979588","http://dx.doi.org/10.3389/fpsyg.2022.979588")</f>
        <v>http://dx.doi.org/10.3389/fpsyg.2022.979588</v>
      </c>
      <c r="BG1488" t="s">
        <v>74</v>
      </c>
      <c r="BH1488" t="s">
        <v>74</v>
      </c>
      <c r="BI1488">
        <v>15</v>
      </c>
      <c r="BJ1488" t="s">
        <v>2992</v>
      </c>
      <c r="BK1488" t="s">
        <v>99</v>
      </c>
      <c r="BL1488" t="s">
        <v>2993</v>
      </c>
      <c r="BM1488" t="s">
        <v>26763</v>
      </c>
      <c r="BN1488">
        <v>36092078</v>
      </c>
      <c r="BO1488" t="s">
        <v>916</v>
      </c>
      <c r="BP1488" t="s">
        <v>74</v>
      </c>
      <c r="BQ1488" t="s">
        <v>74</v>
      </c>
      <c r="BR1488" t="s">
        <v>102</v>
      </c>
      <c r="BS1488" t="s">
        <v>26762</v>
      </c>
      <c r="BT1488" t="str">
        <f>HYPERLINK("https%3A%2F%2Fwww.webofscience.com%2Fwos%2Fwoscc%2Ffull-record%2FWOS:000852155600001","View Full Record in Web of Science")</f>
        <v>View Full Record in Web of Science</v>
      </c>
    </row>
    <row r="1489" spans="1:72" x14ac:dyDescent="0.25">
      <c r="A1489" t="s">
        <v>72</v>
      </c>
      <c r="B1489" t="s">
        <v>26761</v>
      </c>
      <c r="C1489" t="s">
        <v>74</v>
      </c>
      <c r="D1489" t="s">
        <v>74</v>
      </c>
      <c r="E1489" t="s">
        <v>74</v>
      </c>
      <c r="F1489" t="s">
        <v>26760</v>
      </c>
      <c r="G1489" t="s">
        <v>74</v>
      </c>
      <c r="H1489" t="s">
        <v>74</v>
      </c>
      <c r="I1489" t="s">
        <v>26759</v>
      </c>
      <c r="J1489" t="s">
        <v>3231</v>
      </c>
      <c r="K1489" t="s">
        <v>74</v>
      </c>
      <c r="L1489" t="s">
        <v>74</v>
      </c>
      <c r="M1489" t="s">
        <v>78</v>
      </c>
      <c r="N1489" t="s">
        <v>79</v>
      </c>
      <c r="O1489" t="s">
        <v>74</v>
      </c>
      <c r="P1489" t="s">
        <v>74</v>
      </c>
      <c r="Q1489" t="s">
        <v>74</v>
      </c>
      <c r="R1489" t="s">
        <v>74</v>
      </c>
      <c r="S1489" t="s">
        <v>74</v>
      </c>
      <c r="T1489" t="s">
        <v>26758</v>
      </c>
      <c r="U1489" t="s">
        <v>26757</v>
      </c>
      <c r="V1489" t="s">
        <v>26756</v>
      </c>
      <c r="W1489" t="s">
        <v>26755</v>
      </c>
      <c r="X1489" t="s">
        <v>26754</v>
      </c>
      <c r="Y1489" t="s">
        <v>26753</v>
      </c>
      <c r="Z1489" t="s">
        <v>26752</v>
      </c>
      <c r="AA1489" t="s">
        <v>26751</v>
      </c>
      <c r="AB1489" t="s">
        <v>74</v>
      </c>
      <c r="AC1489" t="s">
        <v>26750</v>
      </c>
      <c r="AD1489" t="s">
        <v>26749</v>
      </c>
      <c r="AE1489" t="s">
        <v>26748</v>
      </c>
      <c r="AF1489" t="s">
        <v>74</v>
      </c>
      <c r="AG1489">
        <v>161</v>
      </c>
      <c r="AH1489">
        <v>16</v>
      </c>
      <c r="AI1489">
        <v>26</v>
      </c>
      <c r="AJ1489">
        <v>5</v>
      </c>
      <c r="AK1489">
        <v>36</v>
      </c>
      <c r="AL1489" t="s">
        <v>575</v>
      </c>
      <c r="AM1489" t="s">
        <v>576</v>
      </c>
      <c r="AN1489" t="s">
        <v>3242</v>
      </c>
      <c r="AO1489" t="s">
        <v>74</v>
      </c>
      <c r="AP1489" t="s">
        <v>3243</v>
      </c>
      <c r="AQ1489" t="s">
        <v>74</v>
      </c>
      <c r="AR1489" t="s">
        <v>3244</v>
      </c>
      <c r="AS1489" t="s">
        <v>3245</v>
      </c>
      <c r="AT1489" t="s">
        <v>891</v>
      </c>
      <c r="AU1489">
        <v>2022</v>
      </c>
      <c r="AV1489">
        <v>14</v>
      </c>
      <c r="AW1489">
        <v>22</v>
      </c>
      <c r="AX1489" t="s">
        <v>74</v>
      </c>
      <c r="AY1489" t="s">
        <v>74</v>
      </c>
      <c r="AZ1489" t="s">
        <v>74</v>
      </c>
      <c r="BA1489" t="s">
        <v>74</v>
      </c>
      <c r="BB1489" t="s">
        <v>74</v>
      </c>
      <c r="BC1489" t="s">
        <v>74</v>
      </c>
      <c r="BD1489">
        <v>15093</v>
      </c>
      <c r="BE1489" t="s">
        <v>26747</v>
      </c>
      <c r="BF1489" t="str">
        <f>HYPERLINK("http://dx.doi.org/10.3390/su142215093","http://dx.doi.org/10.3390/su142215093")</f>
        <v>http://dx.doi.org/10.3390/su142215093</v>
      </c>
      <c r="BG1489" t="s">
        <v>74</v>
      </c>
      <c r="BH1489" t="s">
        <v>74</v>
      </c>
      <c r="BI1489">
        <v>24</v>
      </c>
      <c r="BJ1489" t="s">
        <v>3247</v>
      </c>
      <c r="BK1489" t="s">
        <v>2623</v>
      </c>
      <c r="BL1489" t="s">
        <v>3248</v>
      </c>
      <c r="BM1489" t="s">
        <v>26746</v>
      </c>
      <c r="BN1489" t="s">
        <v>74</v>
      </c>
      <c r="BO1489" t="s">
        <v>916</v>
      </c>
      <c r="BP1489" t="s">
        <v>74</v>
      </c>
      <c r="BQ1489" t="s">
        <v>74</v>
      </c>
      <c r="BR1489" t="s">
        <v>102</v>
      </c>
      <c r="BS1489" t="s">
        <v>26745</v>
      </c>
      <c r="BT1489" t="str">
        <f>HYPERLINK("https%3A%2F%2Fwww.webofscience.com%2Fwos%2Fwoscc%2Ffull-record%2FWOS:000887606300001","View Full Record in Web of Science")</f>
        <v>View Full Record in Web of Science</v>
      </c>
    </row>
    <row r="1490" spans="1:72" x14ac:dyDescent="0.25">
      <c r="A1490" t="s">
        <v>72</v>
      </c>
      <c r="B1490" t="s">
        <v>26744</v>
      </c>
      <c r="C1490" t="s">
        <v>74</v>
      </c>
      <c r="D1490" t="s">
        <v>74</v>
      </c>
      <c r="E1490" t="s">
        <v>74</v>
      </c>
      <c r="F1490" t="s">
        <v>26743</v>
      </c>
      <c r="G1490" t="s">
        <v>74</v>
      </c>
      <c r="H1490" t="s">
        <v>74</v>
      </c>
      <c r="I1490" t="s">
        <v>26742</v>
      </c>
      <c r="J1490" t="s">
        <v>589</v>
      </c>
      <c r="K1490" t="s">
        <v>74</v>
      </c>
      <c r="L1490" t="s">
        <v>74</v>
      </c>
      <c r="M1490" t="s">
        <v>590</v>
      </c>
      <c r="N1490" t="s">
        <v>79</v>
      </c>
      <c r="O1490" t="s">
        <v>74</v>
      </c>
      <c r="P1490" t="s">
        <v>74</v>
      </c>
      <c r="Q1490" t="s">
        <v>74</v>
      </c>
      <c r="R1490" t="s">
        <v>74</v>
      </c>
      <c r="S1490" t="s">
        <v>74</v>
      </c>
      <c r="T1490" t="s">
        <v>26741</v>
      </c>
      <c r="U1490" t="s">
        <v>26740</v>
      </c>
      <c r="V1490" t="s">
        <v>26739</v>
      </c>
      <c r="W1490" t="s">
        <v>26738</v>
      </c>
      <c r="X1490" t="s">
        <v>7259</v>
      </c>
      <c r="Y1490" t="s">
        <v>26737</v>
      </c>
      <c r="Z1490" t="s">
        <v>26736</v>
      </c>
      <c r="AA1490" t="s">
        <v>26735</v>
      </c>
      <c r="AB1490" t="s">
        <v>74</v>
      </c>
      <c r="AC1490" t="s">
        <v>74</v>
      </c>
      <c r="AD1490" t="s">
        <v>74</v>
      </c>
      <c r="AE1490" t="s">
        <v>74</v>
      </c>
      <c r="AF1490" t="s">
        <v>74</v>
      </c>
      <c r="AG1490">
        <v>53</v>
      </c>
      <c r="AH1490">
        <v>8</v>
      </c>
      <c r="AI1490">
        <v>15</v>
      </c>
      <c r="AJ1490">
        <v>1</v>
      </c>
      <c r="AK1490">
        <v>13</v>
      </c>
      <c r="AL1490" t="s">
        <v>7266</v>
      </c>
      <c r="AM1490" t="s">
        <v>600</v>
      </c>
      <c r="AN1490" t="s">
        <v>7267</v>
      </c>
      <c r="AO1490" t="s">
        <v>602</v>
      </c>
      <c r="AP1490" t="s">
        <v>74</v>
      </c>
      <c r="AQ1490" t="s">
        <v>74</v>
      </c>
      <c r="AR1490" t="s">
        <v>603</v>
      </c>
      <c r="AS1490" t="s">
        <v>604</v>
      </c>
      <c r="AT1490" t="s">
        <v>74</v>
      </c>
      <c r="AU1490">
        <v>2015</v>
      </c>
      <c r="AV1490" t="s">
        <v>74</v>
      </c>
      <c r="AW1490">
        <v>8</v>
      </c>
      <c r="AX1490" t="s">
        <v>74</v>
      </c>
      <c r="AY1490" t="s">
        <v>74</v>
      </c>
      <c r="AZ1490" t="s">
        <v>74</v>
      </c>
      <c r="BA1490" t="s">
        <v>74</v>
      </c>
      <c r="BB1490">
        <v>129</v>
      </c>
      <c r="BC1490">
        <v>148</v>
      </c>
      <c r="BD1490" t="s">
        <v>74</v>
      </c>
      <c r="BE1490" t="s">
        <v>26734</v>
      </c>
      <c r="BF1490" t="str">
        <f>HYPERLINK("http://dx.doi.org/10.32609/0042-8736-2015-8-129-148","http://dx.doi.org/10.32609/0042-8736-2015-8-129-148")</f>
        <v>http://dx.doi.org/10.32609/0042-8736-2015-8-129-148</v>
      </c>
      <c r="BG1490" t="s">
        <v>74</v>
      </c>
      <c r="BH1490" t="s">
        <v>74</v>
      </c>
      <c r="BI1490">
        <v>20</v>
      </c>
      <c r="BJ1490" t="s">
        <v>291</v>
      </c>
      <c r="BK1490" t="s">
        <v>313</v>
      </c>
      <c r="BL1490" t="s">
        <v>100</v>
      </c>
      <c r="BM1490" t="s">
        <v>26733</v>
      </c>
      <c r="BN1490" t="s">
        <v>74</v>
      </c>
      <c r="BO1490" t="s">
        <v>74</v>
      </c>
      <c r="BP1490" t="s">
        <v>74</v>
      </c>
      <c r="BQ1490" t="s">
        <v>74</v>
      </c>
      <c r="BR1490" t="s">
        <v>102</v>
      </c>
      <c r="BS1490" t="s">
        <v>26732</v>
      </c>
      <c r="BT1490" t="str">
        <f>HYPERLINK("https%3A%2F%2Fwww.webofscience.com%2Fwos%2Fwoscc%2Ffull-record%2FWOS:000377594900008","View Full Record in Web of Science")</f>
        <v>View Full Record in Web of Science</v>
      </c>
    </row>
    <row r="1491" spans="1:72" x14ac:dyDescent="0.25">
      <c r="A1491" t="s">
        <v>72</v>
      </c>
      <c r="B1491" t="s">
        <v>26731</v>
      </c>
      <c r="C1491" t="s">
        <v>74</v>
      </c>
      <c r="D1491" t="s">
        <v>74</v>
      </c>
      <c r="E1491" t="s">
        <v>74</v>
      </c>
      <c r="F1491" t="s">
        <v>26730</v>
      </c>
      <c r="G1491" t="s">
        <v>74</v>
      </c>
      <c r="H1491" t="s">
        <v>74</v>
      </c>
      <c r="I1491" t="s">
        <v>26729</v>
      </c>
      <c r="J1491" t="s">
        <v>1122</v>
      </c>
      <c r="K1491" t="s">
        <v>74</v>
      </c>
      <c r="L1491" t="s">
        <v>74</v>
      </c>
      <c r="M1491" t="s">
        <v>78</v>
      </c>
      <c r="N1491" t="s">
        <v>79</v>
      </c>
      <c r="O1491" t="s">
        <v>74</v>
      </c>
      <c r="P1491" t="s">
        <v>74</v>
      </c>
      <c r="Q1491" t="s">
        <v>74</v>
      </c>
      <c r="R1491" t="s">
        <v>74</v>
      </c>
      <c r="S1491" t="s">
        <v>74</v>
      </c>
      <c r="T1491" t="s">
        <v>74</v>
      </c>
      <c r="U1491" t="s">
        <v>26728</v>
      </c>
      <c r="V1491" t="s">
        <v>26727</v>
      </c>
      <c r="W1491" t="s">
        <v>26726</v>
      </c>
      <c r="X1491" t="s">
        <v>11804</v>
      </c>
      <c r="Y1491" t="s">
        <v>26725</v>
      </c>
      <c r="Z1491" t="s">
        <v>26724</v>
      </c>
      <c r="AA1491" t="s">
        <v>26723</v>
      </c>
      <c r="AB1491" t="s">
        <v>26722</v>
      </c>
      <c r="AC1491" t="s">
        <v>74</v>
      </c>
      <c r="AD1491" t="s">
        <v>74</v>
      </c>
      <c r="AE1491" t="s">
        <v>74</v>
      </c>
      <c r="AF1491" t="s">
        <v>74</v>
      </c>
      <c r="AG1491">
        <v>45</v>
      </c>
      <c r="AH1491">
        <v>44</v>
      </c>
      <c r="AI1491">
        <v>52</v>
      </c>
      <c r="AJ1491">
        <v>0</v>
      </c>
      <c r="AK1491">
        <v>14</v>
      </c>
      <c r="AL1491" t="s">
        <v>479</v>
      </c>
      <c r="AM1491" t="s">
        <v>480</v>
      </c>
      <c r="AN1491" t="s">
        <v>481</v>
      </c>
      <c r="AO1491" t="s">
        <v>1131</v>
      </c>
      <c r="AP1491" t="s">
        <v>1132</v>
      </c>
      <c r="AQ1491" t="s">
        <v>74</v>
      </c>
      <c r="AR1491" t="s">
        <v>1133</v>
      </c>
      <c r="AS1491" t="s">
        <v>1134</v>
      </c>
      <c r="AT1491" t="s">
        <v>124</v>
      </c>
      <c r="AU1491">
        <v>2020</v>
      </c>
      <c r="AV1491">
        <v>32</v>
      </c>
      <c r="AW1491">
        <v>4</v>
      </c>
      <c r="AX1491" t="s">
        <v>74</v>
      </c>
      <c r="AY1491" t="s">
        <v>74</v>
      </c>
      <c r="AZ1491" t="s">
        <v>74</v>
      </c>
      <c r="BA1491" t="s">
        <v>74</v>
      </c>
      <c r="BB1491">
        <v>578</v>
      </c>
      <c r="BC1491">
        <v>590</v>
      </c>
      <c r="BD1491" t="s">
        <v>74</v>
      </c>
      <c r="BE1491" t="s">
        <v>26721</v>
      </c>
      <c r="BF1491" t="str">
        <f>HYPERLINK("http://dx.doi.org/10.1111/1467-8268.12462","http://dx.doi.org/10.1111/1467-8268.12462")</f>
        <v>http://dx.doi.org/10.1111/1467-8268.12462</v>
      </c>
      <c r="BG1491" t="s">
        <v>74</v>
      </c>
      <c r="BH1491" t="s">
        <v>7236</v>
      </c>
      <c r="BI1491">
        <v>13</v>
      </c>
      <c r="BJ1491" t="s">
        <v>1137</v>
      </c>
      <c r="BK1491" t="s">
        <v>99</v>
      </c>
      <c r="BL1491" t="s">
        <v>1137</v>
      </c>
      <c r="BM1491" t="s">
        <v>26720</v>
      </c>
      <c r="BN1491" t="s">
        <v>74</v>
      </c>
      <c r="BO1491" t="s">
        <v>74</v>
      </c>
      <c r="BP1491" t="s">
        <v>74</v>
      </c>
      <c r="BQ1491" t="s">
        <v>74</v>
      </c>
      <c r="BR1491" t="s">
        <v>102</v>
      </c>
      <c r="BS1491" t="s">
        <v>26719</v>
      </c>
      <c r="BT1491" t="str">
        <f>HYPERLINK("https%3A%2F%2Fwww.webofscience.com%2Fwos%2Fwoscc%2Ffull-record%2FWOS:000596579000001","View Full Record in Web of Science")</f>
        <v>View Full Record in Web of Science</v>
      </c>
    </row>
    <row r="1492" spans="1:72" x14ac:dyDescent="0.25">
      <c r="A1492" t="s">
        <v>72</v>
      </c>
      <c r="B1492" t="s">
        <v>26718</v>
      </c>
      <c r="C1492" t="s">
        <v>74</v>
      </c>
      <c r="D1492" t="s">
        <v>74</v>
      </c>
      <c r="E1492" t="s">
        <v>74</v>
      </c>
      <c r="F1492" t="s">
        <v>26717</v>
      </c>
      <c r="G1492" t="s">
        <v>74</v>
      </c>
      <c r="H1492" t="s">
        <v>74</v>
      </c>
      <c r="I1492" t="s">
        <v>26716</v>
      </c>
      <c r="J1492" t="s">
        <v>18038</v>
      </c>
      <c r="K1492" t="s">
        <v>74</v>
      </c>
      <c r="L1492" t="s">
        <v>74</v>
      </c>
      <c r="M1492" t="s">
        <v>78</v>
      </c>
      <c r="N1492" t="s">
        <v>79</v>
      </c>
      <c r="O1492" t="s">
        <v>74</v>
      </c>
      <c r="P1492" t="s">
        <v>74</v>
      </c>
      <c r="Q1492" t="s">
        <v>74</v>
      </c>
      <c r="R1492" t="s">
        <v>74</v>
      </c>
      <c r="S1492" t="s">
        <v>74</v>
      </c>
      <c r="T1492" t="s">
        <v>26715</v>
      </c>
      <c r="U1492" t="s">
        <v>26714</v>
      </c>
      <c r="V1492" t="s">
        <v>26713</v>
      </c>
      <c r="W1492" t="s">
        <v>26712</v>
      </c>
      <c r="X1492" t="s">
        <v>26711</v>
      </c>
      <c r="Y1492" t="s">
        <v>26710</v>
      </c>
      <c r="Z1492" t="s">
        <v>26709</v>
      </c>
      <c r="AA1492" t="s">
        <v>26708</v>
      </c>
      <c r="AB1492" t="s">
        <v>26707</v>
      </c>
      <c r="AC1492" t="s">
        <v>74</v>
      </c>
      <c r="AD1492" t="s">
        <v>74</v>
      </c>
      <c r="AE1492" t="s">
        <v>74</v>
      </c>
      <c r="AF1492" t="s">
        <v>74</v>
      </c>
      <c r="AG1492">
        <v>88</v>
      </c>
      <c r="AH1492">
        <v>2</v>
      </c>
      <c r="AI1492">
        <v>3</v>
      </c>
      <c r="AJ1492">
        <v>1</v>
      </c>
      <c r="AK1492">
        <v>22</v>
      </c>
      <c r="AL1492" t="s">
        <v>332</v>
      </c>
      <c r="AM1492" t="s">
        <v>333</v>
      </c>
      <c r="AN1492" t="s">
        <v>334</v>
      </c>
      <c r="AO1492" t="s">
        <v>18049</v>
      </c>
      <c r="AP1492" t="s">
        <v>18050</v>
      </c>
      <c r="AQ1492" t="s">
        <v>74</v>
      </c>
      <c r="AR1492" t="s">
        <v>18038</v>
      </c>
      <c r="AS1492" t="s">
        <v>18051</v>
      </c>
      <c r="AT1492" t="s">
        <v>26706</v>
      </c>
      <c r="AU1492">
        <v>2019</v>
      </c>
      <c r="AV1492">
        <v>16</v>
      </c>
      <c r="AW1492">
        <v>6</v>
      </c>
      <c r="AX1492" t="s">
        <v>74</v>
      </c>
      <c r="AY1492" t="s">
        <v>74</v>
      </c>
      <c r="AZ1492" t="s">
        <v>441</v>
      </c>
      <c r="BA1492" t="s">
        <v>74</v>
      </c>
      <c r="BB1492">
        <v>876</v>
      </c>
      <c r="BC1492">
        <v>893</v>
      </c>
      <c r="BD1492" t="s">
        <v>74</v>
      </c>
      <c r="BE1492" t="s">
        <v>26705</v>
      </c>
      <c r="BF1492" t="str">
        <f>HYPERLINK("http://dx.doi.org/10.1080/14747731.2018.1560188","http://dx.doi.org/10.1080/14747731.2018.1560188")</f>
        <v>http://dx.doi.org/10.1080/14747731.2018.1560188</v>
      </c>
      <c r="BG1492" t="s">
        <v>74</v>
      </c>
      <c r="BH1492" t="s">
        <v>74</v>
      </c>
      <c r="BI1492">
        <v>18</v>
      </c>
      <c r="BJ1492" t="s">
        <v>18054</v>
      </c>
      <c r="BK1492" t="s">
        <v>99</v>
      </c>
      <c r="BL1492" t="s">
        <v>18055</v>
      </c>
      <c r="BM1492" t="s">
        <v>26704</v>
      </c>
      <c r="BN1492" t="s">
        <v>74</v>
      </c>
      <c r="BO1492" t="s">
        <v>1696</v>
      </c>
      <c r="BP1492" t="s">
        <v>74</v>
      </c>
      <c r="BQ1492" t="s">
        <v>74</v>
      </c>
      <c r="BR1492" t="s">
        <v>102</v>
      </c>
      <c r="BS1492" t="s">
        <v>26703</v>
      </c>
      <c r="BT1492" t="str">
        <f>HYPERLINK("https%3A%2F%2Fwww.webofscience.com%2Fwos%2Fwoscc%2Ffull-record%2FWOS:000477727600007","View Full Record in Web of Science")</f>
        <v>View Full Record in Web of Science</v>
      </c>
    </row>
    <row r="1493" spans="1:72" x14ac:dyDescent="0.25">
      <c r="A1493" t="s">
        <v>72</v>
      </c>
      <c r="B1493" t="s">
        <v>26702</v>
      </c>
      <c r="C1493" t="s">
        <v>74</v>
      </c>
      <c r="D1493" t="s">
        <v>74</v>
      </c>
      <c r="E1493" t="s">
        <v>74</v>
      </c>
      <c r="F1493" t="s">
        <v>26701</v>
      </c>
      <c r="G1493" t="s">
        <v>74</v>
      </c>
      <c r="H1493" t="s">
        <v>74</v>
      </c>
      <c r="I1493" t="s">
        <v>26700</v>
      </c>
      <c r="J1493" t="s">
        <v>3439</v>
      </c>
      <c r="K1493" t="s">
        <v>74</v>
      </c>
      <c r="L1493" t="s">
        <v>74</v>
      </c>
      <c r="M1493" t="s">
        <v>78</v>
      </c>
      <c r="N1493" t="s">
        <v>1766</v>
      </c>
      <c r="O1493" t="s">
        <v>74</v>
      </c>
      <c r="P1493" t="s">
        <v>74</v>
      </c>
      <c r="Q1493" t="s">
        <v>74</v>
      </c>
      <c r="R1493" t="s">
        <v>74</v>
      </c>
      <c r="S1493" t="s">
        <v>74</v>
      </c>
      <c r="T1493" t="s">
        <v>26699</v>
      </c>
      <c r="U1493" t="s">
        <v>26698</v>
      </c>
      <c r="V1493" t="s">
        <v>26697</v>
      </c>
      <c r="W1493" t="s">
        <v>26696</v>
      </c>
      <c r="X1493" t="s">
        <v>1440</v>
      </c>
      <c r="Y1493" t="s">
        <v>26695</v>
      </c>
      <c r="Z1493" t="s">
        <v>26694</v>
      </c>
      <c r="AA1493" t="s">
        <v>26693</v>
      </c>
      <c r="AB1493" t="s">
        <v>26692</v>
      </c>
      <c r="AC1493" t="s">
        <v>74</v>
      </c>
      <c r="AD1493" t="s">
        <v>74</v>
      </c>
      <c r="AE1493" t="s">
        <v>74</v>
      </c>
      <c r="AF1493" t="s">
        <v>74</v>
      </c>
      <c r="AG1493">
        <v>76</v>
      </c>
      <c r="AH1493">
        <v>7</v>
      </c>
      <c r="AI1493">
        <v>9</v>
      </c>
      <c r="AJ1493">
        <v>2</v>
      </c>
      <c r="AK1493">
        <v>27</v>
      </c>
      <c r="AL1493" t="s">
        <v>2481</v>
      </c>
      <c r="AM1493" t="s">
        <v>2482</v>
      </c>
      <c r="AN1493" t="s">
        <v>2483</v>
      </c>
      <c r="AO1493" t="s">
        <v>3443</v>
      </c>
      <c r="AP1493" t="s">
        <v>74</v>
      </c>
      <c r="AQ1493" t="s">
        <v>74</v>
      </c>
      <c r="AR1493" t="s">
        <v>3444</v>
      </c>
      <c r="AS1493" t="s">
        <v>3445</v>
      </c>
      <c r="AT1493" t="s">
        <v>2970</v>
      </c>
      <c r="AU1493">
        <v>2022</v>
      </c>
      <c r="AV1493">
        <v>10</v>
      </c>
      <c r="AW1493">
        <v>1</v>
      </c>
      <c r="AX1493" t="s">
        <v>74</v>
      </c>
      <c r="AY1493" t="s">
        <v>74</v>
      </c>
      <c r="AZ1493" t="s">
        <v>74</v>
      </c>
      <c r="BA1493" t="s">
        <v>74</v>
      </c>
      <c r="BB1493" t="s">
        <v>74</v>
      </c>
      <c r="BC1493" t="s">
        <v>74</v>
      </c>
      <c r="BD1493">
        <v>2060552</v>
      </c>
      <c r="BE1493" t="s">
        <v>26691</v>
      </c>
      <c r="BF1493" t="str">
        <f>HYPERLINK("http://dx.doi.org/10.1080/23322039.2022.2060552","http://dx.doi.org/10.1080/23322039.2022.2060552")</f>
        <v>http://dx.doi.org/10.1080/23322039.2022.2060552</v>
      </c>
      <c r="BG1493" t="s">
        <v>74</v>
      </c>
      <c r="BH1493" t="s">
        <v>74</v>
      </c>
      <c r="BI1493">
        <v>17</v>
      </c>
      <c r="BJ1493" t="s">
        <v>291</v>
      </c>
      <c r="BK1493" t="s">
        <v>313</v>
      </c>
      <c r="BL1493" t="s">
        <v>100</v>
      </c>
      <c r="BM1493" t="s">
        <v>26690</v>
      </c>
      <c r="BN1493" t="s">
        <v>74</v>
      </c>
      <c r="BO1493" t="s">
        <v>916</v>
      </c>
      <c r="BP1493" t="s">
        <v>74</v>
      </c>
      <c r="BQ1493" t="s">
        <v>74</v>
      </c>
      <c r="BR1493" t="s">
        <v>102</v>
      </c>
      <c r="BS1493" t="s">
        <v>26689</v>
      </c>
      <c r="BT1493" t="str">
        <f>HYPERLINK("https%3A%2F%2Fwww.webofscience.com%2Fwos%2Fwoscc%2Ffull-record%2FWOS:000778406400001","View Full Record in Web of Science")</f>
        <v>View Full Record in Web of Science</v>
      </c>
    </row>
    <row r="1494" spans="1:72" x14ac:dyDescent="0.25">
      <c r="A1494" t="s">
        <v>72</v>
      </c>
      <c r="B1494" t="s">
        <v>26688</v>
      </c>
      <c r="C1494" t="s">
        <v>74</v>
      </c>
      <c r="D1494" t="s">
        <v>74</v>
      </c>
      <c r="E1494" t="s">
        <v>74</v>
      </c>
      <c r="F1494" t="s">
        <v>26687</v>
      </c>
      <c r="G1494" t="s">
        <v>74</v>
      </c>
      <c r="H1494" t="s">
        <v>74</v>
      </c>
      <c r="I1494" t="s">
        <v>26686</v>
      </c>
      <c r="J1494" t="s">
        <v>3231</v>
      </c>
      <c r="K1494" t="s">
        <v>74</v>
      </c>
      <c r="L1494" t="s">
        <v>74</v>
      </c>
      <c r="M1494" t="s">
        <v>78</v>
      </c>
      <c r="N1494" t="s">
        <v>79</v>
      </c>
      <c r="O1494" t="s">
        <v>74</v>
      </c>
      <c r="P1494" t="s">
        <v>74</v>
      </c>
      <c r="Q1494" t="s">
        <v>74</v>
      </c>
      <c r="R1494" t="s">
        <v>74</v>
      </c>
      <c r="S1494" t="s">
        <v>74</v>
      </c>
      <c r="T1494" t="s">
        <v>26685</v>
      </c>
      <c r="U1494" t="s">
        <v>74</v>
      </c>
      <c r="V1494" t="s">
        <v>26684</v>
      </c>
      <c r="W1494" t="s">
        <v>26683</v>
      </c>
      <c r="X1494" t="s">
        <v>26682</v>
      </c>
      <c r="Y1494" t="s">
        <v>26681</v>
      </c>
      <c r="Z1494" t="s">
        <v>26680</v>
      </c>
      <c r="AA1494" t="s">
        <v>26679</v>
      </c>
      <c r="AB1494" t="s">
        <v>74</v>
      </c>
      <c r="AC1494" t="s">
        <v>74</v>
      </c>
      <c r="AD1494" t="s">
        <v>74</v>
      </c>
      <c r="AE1494" t="s">
        <v>74</v>
      </c>
      <c r="AF1494" t="s">
        <v>74</v>
      </c>
      <c r="AG1494">
        <v>17</v>
      </c>
      <c r="AH1494">
        <v>3</v>
      </c>
      <c r="AI1494">
        <v>3</v>
      </c>
      <c r="AJ1494">
        <v>0</v>
      </c>
      <c r="AK1494">
        <v>10</v>
      </c>
      <c r="AL1494" t="s">
        <v>575</v>
      </c>
      <c r="AM1494" t="s">
        <v>576</v>
      </c>
      <c r="AN1494" t="s">
        <v>3242</v>
      </c>
      <c r="AO1494" t="s">
        <v>74</v>
      </c>
      <c r="AP1494" t="s">
        <v>3243</v>
      </c>
      <c r="AQ1494" t="s">
        <v>74</v>
      </c>
      <c r="AR1494" t="s">
        <v>3244</v>
      </c>
      <c r="AS1494" t="s">
        <v>3245</v>
      </c>
      <c r="AT1494" t="s">
        <v>1652</v>
      </c>
      <c r="AU1494">
        <v>2023</v>
      </c>
      <c r="AV1494">
        <v>15</v>
      </c>
      <c r="AW1494">
        <v>12</v>
      </c>
      <c r="AX1494" t="s">
        <v>74</v>
      </c>
      <c r="AY1494" t="s">
        <v>74</v>
      </c>
      <c r="AZ1494" t="s">
        <v>74</v>
      </c>
      <c r="BA1494" t="s">
        <v>74</v>
      </c>
      <c r="BB1494" t="s">
        <v>74</v>
      </c>
      <c r="BC1494" t="s">
        <v>74</v>
      </c>
      <c r="BD1494">
        <v>9817</v>
      </c>
      <c r="BE1494" t="s">
        <v>26678</v>
      </c>
      <c r="BF1494" t="str">
        <f>HYPERLINK("http://dx.doi.org/10.3390/su15129817","http://dx.doi.org/10.3390/su15129817")</f>
        <v>http://dx.doi.org/10.3390/su15129817</v>
      </c>
      <c r="BG1494" t="s">
        <v>74</v>
      </c>
      <c r="BH1494" t="s">
        <v>74</v>
      </c>
      <c r="BI1494">
        <v>13</v>
      </c>
      <c r="BJ1494" t="s">
        <v>3247</v>
      </c>
      <c r="BK1494" t="s">
        <v>2623</v>
      </c>
      <c r="BL1494" t="s">
        <v>3248</v>
      </c>
      <c r="BM1494" t="s">
        <v>26677</v>
      </c>
      <c r="BN1494" t="s">
        <v>74</v>
      </c>
      <c r="BO1494" t="s">
        <v>916</v>
      </c>
      <c r="BP1494" t="s">
        <v>74</v>
      </c>
      <c r="BQ1494" t="s">
        <v>74</v>
      </c>
      <c r="BR1494" t="s">
        <v>102</v>
      </c>
      <c r="BS1494" t="s">
        <v>26676</v>
      </c>
      <c r="BT1494" t="str">
        <f>HYPERLINK("https%3A%2F%2Fwww.webofscience.com%2Fwos%2Fwoscc%2Ffull-record%2FWOS:001015670500001","View Full Record in Web of Science")</f>
        <v>View Full Record in Web of Science</v>
      </c>
    </row>
    <row r="1495" spans="1:72" x14ac:dyDescent="0.25">
      <c r="A1495" t="s">
        <v>72</v>
      </c>
      <c r="B1495" t="s">
        <v>26675</v>
      </c>
      <c r="C1495" t="s">
        <v>74</v>
      </c>
      <c r="D1495" t="s">
        <v>74</v>
      </c>
      <c r="E1495" t="s">
        <v>74</v>
      </c>
      <c r="F1495" t="s">
        <v>26674</v>
      </c>
      <c r="G1495" t="s">
        <v>74</v>
      </c>
      <c r="H1495" t="s">
        <v>74</v>
      </c>
      <c r="I1495" t="s">
        <v>26673</v>
      </c>
      <c r="J1495" t="s">
        <v>1987</v>
      </c>
      <c r="K1495" t="s">
        <v>74</v>
      </c>
      <c r="L1495" t="s">
        <v>74</v>
      </c>
      <c r="M1495" t="s">
        <v>78</v>
      </c>
      <c r="N1495" t="s">
        <v>79</v>
      </c>
      <c r="O1495" t="s">
        <v>74</v>
      </c>
      <c r="P1495" t="s">
        <v>74</v>
      </c>
      <c r="Q1495" t="s">
        <v>74</v>
      </c>
      <c r="R1495" t="s">
        <v>74</v>
      </c>
      <c r="S1495" t="s">
        <v>74</v>
      </c>
      <c r="T1495" t="s">
        <v>26672</v>
      </c>
      <c r="U1495" t="s">
        <v>26671</v>
      </c>
      <c r="V1495" t="s">
        <v>26670</v>
      </c>
      <c r="W1495" t="s">
        <v>26669</v>
      </c>
      <c r="X1495" t="s">
        <v>26668</v>
      </c>
      <c r="Y1495" t="s">
        <v>26667</v>
      </c>
      <c r="Z1495" t="s">
        <v>26666</v>
      </c>
      <c r="AA1495" t="s">
        <v>74</v>
      </c>
      <c r="AB1495" t="s">
        <v>26665</v>
      </c>
      <c r="AC1495" t="s">
        <v>26664</v>
      </c>
      <c r="AD1495" t="s">
        <v>26664</v>
      </c>
      <c r="AE1495" t="s">
        <v>26663</v>
      </c>
      <c r="AF1495" t="s">
        <v>74</v>
      </c>
      <c r="AG1495">
        <v>64</v>
      </c>
      <c r="AH1495">
        <v>0</v>
      </c>
      <c r="AI1495">
        <v>1</v>
      </c>
      <c r="AJ1495">
        <v>2</v>
      </c>
      <c r="AK1495">
        <v>6</v>
      </c>
      <c r="AL1495" t="s">
        <v>479</v>
      </c>
      <c r="AM1495" t="s">
        <v>480</v>
      </c>
      <c r="AN1495" t="s">
        <v>481</v>
      </c>
      <c r="AO1495" t="s">
        <v>1997</v>
      </c>
      <c r="AP1495" t="s">
        <v>1998</v>
      </c>
      <c r="AQ1495" t="s">
        <v>74</v>
      </c>
      <c r="AR1495" t="s">
        <v>1999</v>
      </c>
      <c r="AS1495" t="s">
        <v>2000</v>
      </c>
      <c r="AT1495" t="s">
        <v>848</v>
      </c>
      <c r="AU1495">
        <v>2024</v>
      </c>
      <c r="AV1495">
        <v>36</v>
      </c>
      <c r="AW1495">
        <v>5</v>
      </c>
      <c r="AX1495" t="s">
        <v>74</v>
      </c>
      <c r="AY1495" t="s">
        <v>74</v>
      </c>
      <c r="AZ1495" t="s">
        <v>74</v>
      </c>
      <c r="BA1495" t="s">
        <v>74</v>
      </c>
      <c r="BB1495">
        <v>2318</v>
      </c>
      <c r="BC1495">
        <v>2341</v>
      </c>
      <c r="BD1495" t="s">
        <v>74</v>
      </c>
      <c r="BE1495" t="s">
        <v>26662</v>
      </c>
      <c r="BF1495" t="str">
        <f>HYPERLINK("http://dx.doi.org/10.1002/jid.3897","http://dx.doi.org/10.1002/jid.3897")</f>
        <v>http://dx.doi.org/10.1002/jid.3897</v>
      </c>
      <c r="BG1495" t="s">
        <v>74</v>
      </c>
      <c r="BH1495" t="s">
        <v>938</v>
      </c>
      <c r="BI1495">
        <v>24</v>
      </c>
      <c r="BJ1495" t="s">
        <v>1137</v>
      </c>
      <c r="BK1495" t="s">
        <v>99</v>
      </c>
      <c r="BL1495" t="s">
        <v>1137</v>
      </c>
      <c r="BM1495" t="s">
        <v>26661</v>
      </c>
      <c r="BN1495" t="s">
        <v>74</v>
      </c>
      <c r="BO1495" t="s">
        <v>1205</v>
      </c>
      <c r="BP1495" t="s">
        <v>74</v>
      </c>
      <c r="BQ1495" t="s">
        <v>74</v>
      </c>
      <c r="BR1495" t="s">
        <v>102</v>
      </c>
      <c r="BS1495" t="s">
        <v>26660</v>
      </c>
      <c r="BT1495" t="str">
        <f>HYPERLINK("https%3A%2F%2Fwww.webofscience.com%2Fwos%2Fwoscc%2Ffull-record%2FWOS:001204709400001","View Full Record in Web of Science")</f>
        <v>View Full Record in Web of Science</v>
      </c>
    </row>
    <row r="1496" spans="1:72" x14ac:dyDescent="0.25">
      <c r="A1496" t="s">
        <v>72</v>
      </c>
      <c r="B1496" t="s">
        <v>26659</v>
      </c>
      <c r="C1496" t="s">
        <v>74</v>
      </c>
      <c r="D1496" t="s">
        <v>74</v>
      </c>
      <c r="E1496" t="s">
        <v>74</v>
      </c>
      <c r="F1496" t="s">
        <v>26658</v>
      </c>
      <c r="G1496" t="s">
        <v>74</v>
      </c>
      <c r="H1496" t="s">
        <v>74</v>
      </c>
      <c r="I1496" t="s">
        <v>26657</v>
      </c>
      <c r="J1496" t="s">
        <v>10806</v>
      </c>
      <c r="K1496" t="s">
        <v>74</v>
      </c>
      <c r="L1496" t="s">
        <v>74</v>
      </c>
      <c r="M1496" t="s">
        <v>78</v>
      </c>
      <c r="N1496" t="s">
        <v>79</v>
      </c>
      <c r="O1496" t="s">
        <v>74</v>
      </c>
      <c r="P1496" t="s">
        <v>74</v>
      </c>
      <c r="Q1496" t="s">
        <v>74</v>
      </c>
      <c r="R1496" t="s">
        <v>74</v>
      </c>
      <c r="S1496" t="s">
        <v>74</v>
      </c>
      <c r="T1496" t="s">
        <v>26656</v>
      </c>
      <c r="U1496" t="s">
        <v>26655</v>
      </c>
      <c r="V1496" t="s">
        <v>26654</v>
      </c>
      <c r="W1496" t="s">
        <v>26653</v>
      </c>
      <c r="X1496" t="s">
        <v>26652</v>
      </c>
      <c r="Y1496" t="s">
        <v>26651</v>
      </c>
      <c r="Z1496" t="s">
        <v>26650</v>
      </c>
      <c r="AA1496" t="s">
        <v>74</v>
      </c>
      <c r="AB1496" t="s">
        <v>11498</v>
      </c>
      <c r="AC1496" t="s">
        <v>26649</v>
      </c>
      <c r="AD1496" t="s">
        <v>26648</v>
      </c>
      <c r="AE1496" t="s">
        <v>26647</v>
      </c>
      <c r="AF1496" t="s">
        <v>74</v>
      </c>
      <c r="AG1496">
        <v>73</v>
      </c>
      <c r="AH1496">
        <v>23</v>
      </c>
      <c r="AI1496">
        <v>31</v>
      </c>
      <c r="AJ1496">
        <v>0</v>
      </c>
      <c r="AK1496">
        <v>17</v>
      </c>
      <c r="AL1496" t="s">
        <v>201</v>
      </c>
      <c r="AM1496" t="s">
        <v>202</v>
      </c>
      <c r="AN1496" t="s">
        <v>203</v>
      </c>
      <c r="AO1496" t="s">
        <v>10818</v>
      </c>
      <c r="AP1496" t="s">
        <v>10819</v>
      </c>
      <c r="AQ1496" t="s">
        <v>74</v>
      </c>
      <c r="AR1496" t="s">
        <v>10820</v>
      </c>
      <c r="AS1496" t="s">
        <v>10821</v>
      </c>
      <c r="AT1496" t="s">
        <v>743</v>
      </c>
      <c r="AU1496">
        <v>2023</v>
      </c>
      <c r="AV1496">
        <v>121</v>
      </c>
      <c r="AW1496" t="s">
        <v>74</v>
      </c>
      <c r="AX1496" t="s">
        <v>74</v>
      </c>
      <c r="AY1496" t="s">
        <v>74</v>
      </c>
      <c r="AZ1496" t="s">
        <v>74</v>
      </c>
      <c r="BA1496" t="s">
        <v>74</v>
      </c>
      <c r="BB1496" t="s">
        <v>74</v>
      </c>
      <c r="BC1496" t="s">
        <v>74</v>
      </c>
      <c r="BD1496">
        <v>106220</v>
      </c>
      <c r="BE1496" t="s">
        <v>26646</v>
      </c>
      <c r="BF1496" t="str">
        <f>HYPERLINK("http://dx.doi.org/10.1016/j.econmod.2023.106220","http://dx.doi.org/10.1016/j.econmod.2023.106220")</f>
        <v>http://dx.doi.org/10.1016/j.econmod.2023.106220</v>
      </c>
      <c r="BG1496" t="s">
        <v>74</v>
      </c>
      <c r="BH1496" t="s">
        <v>9145</v>
      </c>
      <c r="BI1496">
        <v>18</v>
      </c>
      <c r="BJ1496" t="s">
        <v>291</v>
      </c>
      <c r="BK1496" t="s">
        <v>99</v>
      </c>
      <c r="BL1496" t="s">
        <v>100</v>
      </c>
      <c r="BM1496" t="s">
        <v>26645</v>
      </c>
      <c r="BN1496" t="s">
        <v>74</v>
      </c>
      <c r="BO1496" t="s">
        <v>74</v>
      </c>
      <c r="BP1496" t="s">
        <v>74</v>
      </c>
      <c r="BQ1496" t="s">
        <v>74</v>
      </c>
      <c r="BR1496" t="s">
        <v>102</v>
      </c>
      <c r="BS1496" t="s">
        <v>26644</v>
      </c>
      <c r="BT1496" t="str">
        <f>HYPERLINK("https%3A%2F%2Fwww.webofscience.com%2Fwos%2Fwoscc%2Ffull-record%2FWOS:000932764900001","View Full Record in Web of Science")</f>
        <v>View Full Record in Web of Science</v>
      </c>
    </row>
    <row r="1497" spans="1:72" x14ac:dyDescent="0.25">
      <c r="A1497" t="s">
        <v>72</v>
      </c>
      <c r="B1497" t="s">
        <v>26643</v>
      </c>
      <c r="C1497" t="s">
        <v>74</v>
      </c>
      <c r="D1497" t="s">
        <v>74</v>
      </c>
      <c r="E1497" t="s">
        <v>74</v>
      </c>
      <c r="F1497" t="s">
        <v>26642</v>
      </c>
      <c r="G1497" t="s">
        <v>74</v>
      </c>
      <c r="H1497" t="s">
        <v>74</v>
      </c>
      <c r="I1497" t="s">
        <v>26641</v>
      </c>
      <c r="J1497" t="s">
        <v>7220</v>
      </c>
      <c r="K1497" t="s">
        <v>74</v>
      </c>
      <c r="L1497" t="s">
        <v>74</v>
      </c>
      <c r="M1497" t="s">
        <v>78</v>
      </c>
      <c r="N1497" t="s">
        <v>79</v>
      </c>
      <c r="O1497" t="s">
        <v>74</v>
      </c>
      <c r="P1497" t="s">
        <v>74</v>
      </c>
      <c r="Q1497" t="s">
        <v>74</v>
      </c>
      <c r="R1497" t="s">
        <v>74</v>
      </c>
      <c r="S1497" t="s">
        <v>74</v>
      </c>
      <c r="T1497" t="s">
        <v>26640</v>
      </c>
      <c r="U1497" t="s">
        <v>26639</v>
      </c>
      <c r="V1497" t="s">
        <v>26638</v>
      </c>
      <c r="W1497" t="s">
        <v>26637</v>
      </c>
      <c r="X1497" t="s">
        <v>26636</v>
      </c>
      <c r="Y1497" t="s">
        <v>24067</v>
      </c>
      <c r="Z1497" t="s">
        <v>26635</v>
      </c>
      <c r="AA1497" t="s">
        <v>24065</v>
      </c>
      <c r="AB1497" t="s">
        <v>26634</v>
      </c>
      <c r="AC1497" t="s">
        <v>74</v>
      </c>
      <c r="AD1497" t="s">
        <v>74</v>
      </c>
      <c r="AE1497" t="s">
        <v>74</v>
      </c>
      <c r="AF1497" t="s">
        <v>74</v>
      </c>
      <c r="AG1497">
        <v>58</v>
      </c>
      <c r="AH1497">
        <v>5</v>
      </c>
      <c r="AI1497">
        <v>6</v>
      </c>
      <c r="AJ1497">
        <v>0</v>
      </c>
      <c r="AK1497">
        <v>14</v>
      </c>
      <c r="AL1497" t="s">
        <v>89</v>
      </c>
      <c r="AM1497" t="s">
        <v>90</v>
      </c>
      <c r="AN1497" t="s">
        <v>91</v>
      </c>
      <c r="AO1497" t="s">
        <v>7230</v>
      </c>
      <c r="AP1497" t="s">
        <v>7231</v>
      </c>
      <c r="AQ1497" t="s">
        <v>74</v>
      </c>
      <c r="AR1497" t="s">
        <v>7232</v>
      </c>
      <c r="AS1497" t="s">
        <v>7233</v>
      </c>
      <c r="AT1497" t="s">
        <v>22424</v>
      </c>
      <c r="AU1497">
        <v>2025</v>
      </c>
      <c r="AV1497">
        <v>41</v>
      </c>
      <c r="AW1497">
        <v>1</v>
      </c>
      <c r="AX1497" t="s">
        <v>74</v>
      </c>
      <c r="AY1497" t="s">
        <v>74</v>
      </c>
      <c r="AZ1497" t="s">
        <v>74</v>
      </c>
      <c r="BA1497" t="s">
        <v>74</v>
      </c>
      <c r="BB1497">
        <v>16</v>
      </c>
      <c r="BC1497">
        <v>32</v>
      </c>
      <c r="BD1497" t="s">
        <v>74</v>
      </c>
      <c r="BE1497" t="s">
        <v>26633</v>
      </c>
      <c r="BF1497" t="str">
        <f>HYPERLINK("http://dx.doi.org/10.1108/JEAS-11-2021-0232","http://dx.doi.org/10.1108/JEAS-11-2021-0232")</f>
        <v>http://dx.doi.org/10.1108/JEAS-11-2021-0232</v>
      </c>
      <c r="BG1497" t="s">
        <v>74</v>
      </c>
      <c r="BH1497" t="s">
        <v>12980</v>
      </c>
      <c r="BI1497">
        <v>17</v>
      </c>
      <c r="BJ1497" t="s">
        <v>291</v>
      </c>
      <c r="BK1497" t="s">
        <v>313</v>
      </c>
      <c r="BL1497" t="s">
        <v>100</v>
      </c>
      <c r="BM1497" t="s">
        <v>26632</v>
      </c>
      <c r="BN1497" t="s">
        <v>74</v>
      </c>
      <c r="BO1497" t="s">
        <v>74</v>
      </c>
      <c r="BP1497" t="s">
        <v>74</v>
      </c>
      <c r="BQ1497" t="s">
        <v>74</v>
      </c>
      <c r="BR1497" t="s">
        <v>102</v>
      </c>
      <c r="BS1497" t="s">
        <v>26631</v>
      </c>
      <c r="BT1497" t="str">
        <f>HYPERLINK("https%3A%2F%2Fwww.webofscience.com%2Fwos%2Fwoscc%2Ffull-record%2FWOS:000787140000001","View Full Record in Web of Science")</f>
        <v>View Full Record in Web of Science</v>
      </c>
    </row>
    <row r="1498" spans="1:72" x14ac:dyDescent="0.25">
      <c r="A1498" t="s">
        <v>132</v>
      </c>
      <c r="B1498" t="s">
        <v>26630</v>
      </c>
      <c r="C1498" t="s">
        <v>74</v>
      </c>
      <c r="D1498" t="s">
        <v>26629</v>
      </c>
      <c r="E1498" t="s">
        <v>74</v>
      </c>
      <c r="F1498" t="s">
        <v>26628</v>
      </c>
      <c r="G1498" t="s">
        <v>74</v>
      </c>
      <c r="H1498" t="s">
        <v>74</v>
      </c>
      <c r="I1498" t="s">
        <v>26627</v>
      </c>
      <c r="J1498" t="s">
        <v>26626</v>
      </c>
      <c r="K1498" t="s">
        <v>26625</v>
      </c>
      <c r="L1498" t="s">
        <v>74</v>
      </c>
      <c r="M1498" t="s">
        <v>78</v>
      </c>
      <c r="N1498" t="s">
        <v>138</v>
      </c>
      <c r="O1498" t="s">
        <v>26624</v>
      </c>
      <c r="P1498" t="s">
        <v>26623</v>
      </c>
      <c r="Q1498" t="s">
        <v>26622</v>
      </c>
      <c r="R1498" t="s">
        <v>26621</v>
      </c>
      <c r="S1498" t="s">
        <v>74</v>
      </c>
      <c r="T1498" t="s">
        <v>26620</v>
      </c>
      <c r="U1498" t="s">
        <v>74</v>
      </c>
      <c r="V1498" t="s">
        <v>26619</v>
      </c>
      <c r="W1498" t="s">
        <v>26618</v>
      </c>
      <c r="X1498" t="s">
        <v>26617</v>
      </c>
      <c r="Y1498" t="s">
        <v>26616</v>
      </c>
      <c r="Z1498" t="s">
        <v>26615</v>
      </c>
      <c r="AA1498" t="s">
        <v>26614</v>
      </c>
      <c r="AB1498" t="s">
        <v>26613</v>
      </c>
      <c r="AC1498" t="s">
        <v>74</v>
      </c>
      <c r="AD1498" t="s">
        <v>74</v>
      </c>
      <c r="AE1498" t="s">
        <v>74</v>
      </c>
      <c r="AF1498" t="s">
        <v>74</v>
      </c>
      <c r="AG1498">
        <v>21</v>
      </c>
      <c r="AH1498">
        <v>66</v>
      </c>
      <c r="AI1498">
        <v>93</v>
      </c>
      <c r="AJ1498">
        <v>1</v>
      </c>
      <c r="AK1498">
        <v>14</v>
      </c>
      <c r="AL1498" t="s">
        <v>3298</v>
      </c>
      <c r="AM1498" t="s">
        <v>202</v>
      </c>
      <c r="AN1498" t="s">
        <v>23868</v>
      </c>
      <c r="AO1498" t="s">
        <v>26612</v>
      </c>
      <c r="AP1498" t="s">
        <v>74</v>
      </c>
      <c r="AQ1498" t="s">
        <v>74</v>
      </c>
      <c r="AR1498" t="s">
        <v>26611</v>
      </c>
      <c r="AS1498" t="s">
        <v>74</v>
      </c>
      <c r="AT1498" t="s">
        <v>74</v>
      </c>
      <c r="AU1498">
        <v>2017</v>
      </c>
      <c r="AV1498">
        <v>122</v>
      </c>
      <c r="AW1498" t="s">
        <v>74</v>
      </c>
      <c r="AX1498" t="s">
        <v>74</v>
      </c>
      <c r="AY1498" t="s">
        <v>74</v>
      </c>
      <c r="AZ1498" t="s">
        <v>74</v>
      </c>
      <c r="BA1498" t="s">
        <v>74</v>
      </c>
      <c r="BB1498">
        <v>949</v>
      </c>
      <c r="BC1498">
        <v>956</v>
      </c>
      <c r="BD1498" t="s">
        <v>74</v>
      </c>
      <c r="BE1498" t="s">
        <v>26610</v>
      </c>
      <c r="BF1498" t="str">
        <f>HYPERLINK("http://dx.doi.org/10.1016/j.procs.2017.11.459","http://dx.doi.org/10.1016/j.procs.2017.11.459")</f>
        <v>http://dx.doi.org/10.1016/j.procs.2017.11.459</v>
      </c>
      <c r="BG1498" t="s">
        <v>74</v>
      </c>
      <c r="BH1498" t="s">
        <v>74</v>
      </c>
      <c r="BI1498">
        <v>8</v>
      </c>
      <c r="BJ1498" t="s">
        <v>26609</v>
      </c>
      <c r="BK1498" t="s">
        <v>183</v>
      </c>
      <c r="BL1498" t="s">
        <v>26608</v>
      </c>
      <c r="BM1498" t="s">
        <v>26607</v>
      </c>
      <c r="BN1498" t="s">
        <v>74</v>
      </c>
      <c r="BO1498" t="s">
        <v>212</v>
      </c>
      <c r="BP1498" t="s">
        <v>74</v>
      </c>
      <c r="BQ1498" t="s">
        <v>74</v>
      </c>
      <c r="BR1498" t="s">
        <v>102</v>
      </c>
      <c r="BS1498" t="s">
        <v>26606</v>
      </c>
      <c r="BT1498" t="str">
        <f>HYPERLINK("https%3A%2F%2Fwww.webofscience.com%2Fwos%2Fwoscc%2Ffull-record%2FWOS:000426698300126","View Full Record in Web of Science")</f>
        <v>View Full Record in Web of Science</v>
      </c>
    </row>
    <row r="1499" spans="1:72" x14ac:dyDescent="0.25">
      <c r="A1499" t="s">
        <v>72</v>
      </c>
      <c r="B1499" t="s">
        <v>26605</v>
      </c>
      <c r="C1499" t="s">
        <v>74</v>
      </c>
      <c r="D1499" t="s">
        <v>74</v>
      </c>
      <c r="E1499" t="s">
        <v>74</v>
      </c>
      <c r="F1499" t="s">
        <v>26604</v>
      </c>
      <c r="G1499" t="s">
        <v>74</v>
      </c>
      <c r="H1499" t="s">
        <v>74</v>
      </c>
      <c r="I1499" t="s">
        <v>26603</v>
      </c>
      <c r="J1499" t="s">
        <v>3036</v>
      </c>
      <c r="K1499" t="s">
        <v>74</v>
      </c>
      <c r="L1499" t="s">
        <v>74</v>
      </c>
      <c r="M1499" t="s">
        <v>78</v>
      </c>
      <c r="N1499" t="s">
        <v>79</v>
      </c>
      <c r="O1499" t="s">
        <v>74</v>
      </c>
      <c r="P1499" t="s">
        <v>74</v>
      </c>
      <c r="Q1499" t="s">
        <v>74</v>
      </c>
      <c r="R1499" t="s">
        <v>74</v>
      </c>
      <c r="S1499" t="s">
        <v>74</v>
      </c>
      <c r="T1499" t="s">
        <v>26602</v>
      </c>
      <c r="U1499" t="s">
        <v>26601</v>
      </c>
      <c r="V1499" t="s">
        <v>26600</v>
      </c>
      <c r="W1499" t="s">
        <v>26599</v>
      </c>
      <c r="X1499" t="s">
        <v>26598</v>
      </c>
      <c r="Y1499" t="s">
        <v>26597</v>
      </c>
      <c r="Z1499" t="s">
        <v>26596</v>
      </c>
      <c r="AA1499" t="s">
        <v>26595</v>
      </c>
      <c r="AB1499" t="s">
        <v>26594</v>
      </c>
      <c r="AC1499" t="s">
        <v>74</v>
      </c>
      <c r="AD1499" t="s">
        <v>74</v>
      </c>
      <c r="AE1499" t="s">
        <v>74</v>
      </c>
      <c r="AF1499" t="s">
        <v>74</v>
      </c>
      <c r="AG1499">
        <v>54</v>
      </c>
      <c r="AH1499">
        <v>15</v>
      </c>
      <c r="AI1499">
        <v>16</v>
      </c>
      <c r="AJ1499">
        <v>5</v>
      </c>
      <c r="AK1499">
        <v>33</v>
      </c>
      <c r="AL1499" t="s">
        <v>385</v>
      </c>
      <c r="AM1499" t="s">
        <v>151</v>
      </c>
      <c r="AN1499" t="s">
        <v>386</v>
      </c>
      <c r="AO1499" t="s">
        <v>3045</v>
      </c>
      <c r="AP1499" t="s">
        <v>3046</v>
      </c>
      <c r="AQ1499" t="s">
        <v>74</v>
      </c>
      <c r="AR1499" t="s">
        <v>3047</v>
      </c>
      <c r="AS1499" t="s">
        <v>3048</v>
      </c>
      <c r="AT1499" t="s">
        <v>605</v>
      </c>
      <c r="AU1499">
        <v>2024</v>
      </c>
      <c r="AV1499">
        <v>15</v>
      </c>
      <c r="AW1499">
        <v>1</v>
      </c>
      <c r="AX1499" t="s">
        <v>74</v>
      </c>
      <c r="AY1499" t="s">
        <v>74</v>
      </c>
      <c r="AZ1499" t="s">
        <v>74</v>
      </c>
      <c r="BA1499" t="s">
        <v>74</v>
      </c>
      <c r="BB1499">
        <v>4315</v>
      </c>
      <c r="BC1499">
        <v>4337</v>
      </c>
      <c r="BD1499" t="s">
        <v>74</v>
      </c>
      <c r="BE1499" t="s">
        <v>26593</v>
      </c>
      <c r="BF1499" t="str">
        <f>HYPERLINK("http://dx.doi.org/10.1007/s13132-023-01272-2","http://dx.doi.org/10.1007/s13132-023-01272-2")</f>
        <v>http://dx.doi.org/10.1007/s13132-023-01272-2</v>
      </c>
      <c r="BG1499" t="s">
        <v>74</v>
      </c>
      <c r="BH1499" t="s">
        <v>3595</v>
      </c>
      <c r="BI1499">
        <v>23</v>
      </c>
      <c r="BJ1499" t="s">
        <v>291</v>
      </c>
      <c r="BK1499" t="s">
        <v>99</v>
      </c>
      <c r="BL1499" t="s">
        <v>100</v>
      </c>
      <c r="BM1499" t="s">
        <v>19952</v>
      </c>
      <c r="BN1499" t="s">
        <v>74</v>
      </c>
      <c r="BO1499" t="s">
        <v>74</v>
      </c>
      <c r="BP1499" t="s">
        <v>74</v>
      </c>
      <c r="BQ1499" t="s">
        <v>74</v>
      </c>
      <c r="BR1499" t="s">
        <v>102</v>
      </c>
      <c r="BS1499" t="s">
        <v>26592</v>
      </c>
      <c r="BT1499" t="str">
        <f>HYPERLINK("https%3A%2F%2Fwww.webofscience.com%2Fwos%2Fwoscc%2Ffull-record%2FWOS:000983456900007","View Full Record in Web of Science")</f>
        <v>View Full Record in Web of Science</v>
      </c>
    </row>
    <row r="1500" spans="1:72" x14ac:dyDescent="0.25">
      <c r="A1500" t="s">
        <v>72</v>
      </c>
      <c r="B1500" t="s">
        <v>26591</v>
      </c>
      <c r="C1500" t="s">
        <v>74</v>
      </c>
      <c r="D1500" t="s">
        <v>74</v>
      </c>
      <c r="E1500" t="s">
        <v>74</v>
      </c>
      <c r="F1500" t="s">
        <v>26590</v>
      </c>
      <c r="G1500" t="s">
        <v>74</v>
      </c>
      <c r="H1500" t="s">
        <v>74</v>
      </c>
      <c r="I1500" t="s">
        <v>26589</v>
      </c>
      <c r="J1500" t="s">
        <v>26588</v>
      </c>
      <c r="K1500" t="s">
        <v>74</v>
      </c>
      <c r="L1500" t="s">
        <v>74</v>
      </c>
      <c r="M1500" t="s">
        <v>298</v>
      </c>
      <c r="N1500" t="s">
        <v>79</v>
      </c>
      <c r="O1500" t="s">
        <v>74</v>
      </c>
      <c r="P1500" t="s">
        <v>74</v>
      </c>
      <c r="Q1500" t="s">
        <v>74</v>
      </c>
      <c r="R1500" t="s">
        <v>74</v>
      </c>
      <c r="S1500" t="s">
        <v>74</v>
      </c>
      <c r="T1500" t="s">
        <v>26587</v>
      </c>
      <c r="U1500" t="s">
        <v>74</v>
      </c>
      <c r="V1500" t="s">
        <v>26586</v>
      </c>
      <c r="W1500" t="s">
        <v>26585</v>
      </c>
      <c r="X1500" t="s">
        <v>74</v>
      </c>
      <c r="Y1500" t="s">
        <v>26584</v>
      </c>
      <c r="Z1500" t="s">
        <v>26583</v>
      </c>
      <c r="AA1500" t="s">
        <v>74</v>
      </c>
      <c r="AB1500" t="s">
        <v>74</v>
      </c>
      <c r="AC1500" t="s">
        <v>74</v>
      </c>
      <c r="AD1500" t="s">
        <v>74</v>
      </c>
      <c r="AE1500" t="s">
        <v>74</v>
      </c>
      <c r="AF1500" t="s">
        <v>74</v>
      </c>
      <c r="AG1500">
        <v>57</v>
      </c>
      <c r="AH1500">
        <v>0</v>
      </c>
      <c r="AI1500">
        <v>0</v>
      </c>
      <c r="AJ1500">
        <v>0</v>
      </c>
      <c r="AK1500">
        <v>0</v>
      </c>
      <c r="AL1500" t="s">
        <v>26582</v>
      </c>
      <c r="AM1500" t="s">
        <v>16016</v>
      </c>
      <c r="AN1500" t="s">
        <v>26581</v>
      </c>
      <c r="AO1500" t="s">
        <v>26580</v>
      </c>
      <c r="AP1500" t="s">
        <v>74</v>
      </c>
      <c r="AQ1500" t="s">
        <v>74</v>
      </c>
      <c r="AR1500" t="s">
        <v>26579</v>
      </c>
      <c r="AS1500" t="s">
        <v>26578</v>
      </c>
      <c r="AT1500" t="s">
        <v>16433</v>
      </c>
      <c r="AU1500">
        <v>2021</v>
      </c>
      <c r="AV1500">
        <v>20</v>
      </c>
      <c r="AW1500">
        <v>1</v>
      </c>
      <c r="AX1500" t="s">
        <v>74</v>
      </c>
      <c r="AY1500" t="s">
        <v>74</v>
      </c>
      <c r="AZ1500" t="s">
        <v>74</v>
      </c>
      <c r="BA1500" t="s">
        <v>74</v>
      </c>
      <c r="BB1500">
        <v>53</v>
      </c>
      <c r="BC1500">
        <v>81</v>
      </c>
      <c r="BD1500" t="s">
        <v>74</v>
      </c>
      <c r="BE1500" t="s">
        <v>74</v>
      </c>
      <c r="BF1500" t="s">
        <v>74</v>
      </c>
      <c r="BG1500" t="s">
        <v>74</v>
      </c>
      <c r="BH1500" t="s">
        <v>74</v>
      </c>
      <c r="BI1500">
        <v>29</v>
      </c>
      <c r="BJ1500" t="s">
        <v>182</v>
      </c>
      <c r="BK1500" t="s">
        <v>313</v>
      </c>
      <c r="BL1500" t="s">
        <v>184</v>
      </c>
      <c r="BM1500" t="s">
        <v>26577</v>
      </c>
      <c r="BN1500" t="s">
        <v>74</v>
      </c>
      <c r="BO1500" t="s">
        <v>74</v>
      </c>
      <c r="BP1500" t="s">
        <v>74</v>
      </c>
      <c r="BQ1500" t="s">
        <v>74</v>
      </c>
      <c r="BR1500" t="s">
        <v>102</v>
      </c>
      <c r="BS1500" t="s">
        <v>26576</v>
      </c>
      <c r="BT1500" t="str">
        <f>HYPERLINK("https%3A%2F%2Fwww.webofscience.com%2Fwos%2Fwoscc%2Ffull-record%2FWOS:000984278500002","View Full Record in Web of Science")</f>
        <v>View Full Record in Web of Science</v>
      </c>
    </row>
    <row r="1501" spans="1:72" x14ac:dyDescent="0.25">
      <c r="A1501" t="s">
        <v>8303</v>
      </c>
      <c r="B1501" t="s">
        <v>26575</v>
      </c>
      <c r="C1501" t="s">
        <v>74</v>
      </c>
      <c r="D1501" t="s">
        <v>26574</v>
      </c>
      <c r="E1501" t="s">
        <v>74</v>
      </c>
      <c r="F1501" t="s">
        <v>26573</v>
      </c>
      <c r="G1501" t="s">
        <v>74</v>
      </c>
      <c r="H1501" t="s">
        <v>74</v>
      </c>
      <c r="I1501" t="s">
        <v>26572</v>
      </c>
      <c r="J1501" t="s">
        <v>26571</v>
      </c>
      <c r="K1501" t="s">
        <v>74</v>
      </c>
      <c r="L1501" t="s">
        <v>74</v>
      </c>
      <c r="M1501" t="s">
        <v>78</v>
      </c>
      <c r="N1501" t="s">
        <v>6023</v>
      </c>
      <c r="O1501" t="s">
        <v>74</v>
      </c>
      <c r="P1501" t="s">
        <v>74</v>
      </c>
      <c r="Q1501" t="s">
        <v>74</v>
      </c>
      <c r="R1501" t="s">
        <v>74</v>
      </c>
      <c r="S1501" t="s">
        <v>74</v>
      </c>
      <c r="T1501" t="s">
        <v>74</v>
      </c>
      <c r="U1501" t="s">
        <v>26570</v>
      </c>
      <c r="V1501" t="s">
        <v>74</v>
      </c>
      <c r="W1501" t="s">
        <v>26569</v>
      </c>
      <c r="X1501" t="s">
        <v>26568</v>
      </c>
      <c r="Y1501" t="s">
        <v>26567</v>
      </c>
      <c r="Z1501" t="s">
        <v>26566</v>
      </c>
      <c r="AA1501" t="s">
        <v>74</v>
      </c>
      <c r="AB1501" t="s">
        <v>74</v>
      </c>
      <c r="AC1501" t="s">
        <v>74</v>
      </c>
      <c r="AD1501" t="s">
        <v>74</v>
      </c>
      <c r="AE1501" t="s">
        <v>74</v>
      </c>
      <c r="AF1501" t="s">
        <v>74</v>
      </c>
      <c r="AG1501">
        <v>63</v>
      </c>
      <c r="AH1501">
        <v>0</v>
      </c>
      <c r="AI1501">
        <v>0</v>
      </c>
      <c r="AJ1501">
        <v>0</v>
      </c>
      <c r="AK1501">
        <v>0</v>
      </c>
      <c r="AL1501" t="s">
        <v>8310</v>
      </c>
      <c r="AM1501" t="s">
        <v>2908</v>
      </c>
      <c r="AN1501" t="s">
        <v>8311</v>
      </c>
      <c r="AO1501" t="s">
        <v>74</v>
      </c>
      <c r="AP1501" t="s">
        <v>74</v>
      </c>
      <c r="AQ1501" t="s">
        <v>26565</v>
      </c>
      <c r="AR1501" t="s">
        <v>74</v>
      </c>
      <c r="AS1501" t="s">
        <v>74</v>
      </c>
      <c r="AT1501" t="s">
        <v>74</v>
      </c>
      <c r="AU1501">
        <v>2013</v>
      </c>
      <c r="AV1501" t="s">
        <v>74</v>
      </c>
      <c r="AW1501" t="s">
        <v>74</v>
      </c>
      <c r="AX1501" t="s">
        <v>74</v>
      </c>
      <c r="AY1501" t="s">
        <v>74</v>
      </c>
      <c r="AZ1501" t="s">
        <v>74</v>
      </c>
      <c r="BA1501" t="s">
        <v>74</v>
      </c>
      <c r="BB1501">
        <v>152</v>
      </c>
      <c r="BC1501">
        <v>177</v>
      </c>
      <c r="BD1501" t="s">
        <v>74</v>
      </c>
      <c r="BE1501" t="s">
        <v>74</v>
      </c>
      <c r="BF1501" t="s">
        <v>74</v>
      </c>
      <c r="BG1501" t="s">
        <v>26564</v>
      </c>
      <c r="BH1501" t="s">
        <v>74</v>
      </c>
      <c r="BI1501">
        <v>26</v>
      </c>
      <c r="BJ1501" t="s">
        <v>291</v>
      </c>
      <c r="BK1501" t="s">
        <v>8314</v>
      </c>
      <c r="BL1501" t="s">
        <v>100</v>
      </c>
      <c r="BM1501" t="s">
        <v>26563</v>
      </c>
      <c r="BN1501" t="s">
        <v>74</v>
      </c>
      <c r="BO1501" t="s">
        <v>1205</v>
      </c>
      <c r="BP1501" t="s">
        <v>74</v>
      </c>
      <c r="BQ1501" t="s">
        <v>74</v>
      </c>
      <c r="BR1501" t="s">
        <v>102</v>
      </c>
      <c r="BS1501" t="s">
        <v>26562</v>
      </c>
      <c r="BT1501" t="str">
        <f>HYPERLINK("https%3A%2F%2Fwww.webofscience.com%2Fwos%2Fwoscc%2Ffull-record%2FWOS:000318271600008","View Full Record in Web of Science")</f>
        <v>View Full Record in Web of Science</v>
      </c>
    </row>
    <row r="1502" spans="1:72" x14ac:dyDescent="0.25">
      <c r="A1502" t="s">
        <v>72</v>
      </c>
      <c r="B1502" t="s">
        <v>26561</v>
      </c>
      <c r="C1502" t="s">
        <v>74</v>
      </c>
      <c r="D1502" t="s">
        <v>74</v>
      </c>
      <c r="E1502" t="s">
        <v>74</v>
      </c>
      <c r="F1502" t="s">
        <v>26560</v>
      </c>
      <c r="G1502" t="s">
        <v>74</v>
      </c>
      <c r="H1502" t="s">
        <v>74</v>
      </c>
      <c r="I1502" t="s">
        <v>26559</v>
      </c>
      <c r="J1502" t="s">
        <v>21417</v>
      </c>
      <c r="K1502" t="s">
        <v>74</v>
      </c>
      <c r="L1502" t="s">
        <v>74</v>
      </c>
      <c r="M1502" t="s">
        <v>78</v>
      </c>
      <c r="N1502" t="s">
        <v>79</v>
      </c>
      <c r="O1502" t="s">
        <v>74</v>
      </c>
      <c r="P1502" t="s">
        <v>74</v>
      </c>
      <c r="Q1502" t="s">
        <v>74</v>
      </c>
      <c r="R1502" t="s">
        <v>74</v>
      </c>
      <c r="S1502" t="s">
        <v>74</v>
      </c>
      <c r="T1502" t="s">
        <v>26558</v>
      </c>
      <c r="U1502" t="s">
        <v>26557</v>
      </c>
      <c r="V1502" t="s">
        <v>26556</v>
      </c>
      <c r="W1502" t="s">
        <v>26555</v>
      </c>
      <c r="X1502" t="s">
        <v>26554</v>
      </c>
      <c r="Y1502" t="s">
        <v>26553</v>
      </c>
      <c r="Z1502" t="s">
        <v>26552</v>
      </c>
      <c r="AA1502" t="s">
        <v>74</v>
      </c>
      <c r="AB1502" t="s">
        <v>25140</v>
      </c>
      <c r="AC1502" t="s">
        <v>26551</v>
      </c>
      <c r="AD1502" t="s">
        <v>26551</v>
      </c>
      <c r="AE1502" t="s">
        <v>26550</v>
      </c>
      <c r="AF1502" t="s">
        <v>74</v>
      </c>
      <c r="AG1502">
        <v>34</v>
      </c>
      <c r="AH1502">
        <v>7</v>
      </c>
      <c r="AI1502">
        <v>11</v>
      </c>
      <c r="AJ1502">
        <v>3</v>
      </c>
      <c r="AK1502">
        <v>31</v>
      </c>
      <c r="AL1502" t="s">
        <v>201</v>
      </c>
      <c r="AM1502" t="s">
        <v>202</v>
      </c>
      <c r="AN1502" t="s">
        <v>203</v>
      </c>
      <c r="AO1502" t="s">
        <v>21410</v>
      </c>
      <c r="AP1502" t="s">
        <v>21409</v>
      </c>
      <c r="AQ1502" t="s">
        <v>74</v>
      </c>
      <c r="AR1502" t="s">
        <v>21408</v>
      </c>
      <c r="AS1502" t="s">
        <v>21407</v>
      </c>
      <c r="AT1502" t="s">
        <v>237</v>
      </c>
      <c r="AU1502">
        <v>2023</v>
      </c>
      <c r="AV1502">
        <v>24</v>
      </c>
      <c r="AW1502" t="s">
        <v>74</v>
      </c>
      <c r="AX1502" t="s">
        <v>74</v>
      </c>
      <c r="AY1502" t="s">
        <v>74</v>
      </c>
      <c r="AZ1502" t="s">
        <v>74</v>
      </c>
      <c r="BA1502" t="s">
        <v>74</v>
      </c>
      <c r="BB1502" t="s">
        <v>74</v>
      </c>
      <c r="BC1502" t="s">
        <v>74</v>
      </c>
      <c r="BD1502">
        <v>100446</v>
      </c>
      <c r="BE1502" t="s">
        <v>26549</v>
      </c>
      <c r="BF1502" t="str">
        <f>HYPERLINK("http://dx.doi.org/10.1016/j.jeoa.2023.100446","http://dx.doi.org/10.1016/j.jeoa.2023.100446")</f>
        <v>http://dx.doi.org/10.1016/j.jeoa.2023.100446</v>
      </c>
      <c r="BG1502" t="s">
        <v>74</v>
      </c>
      <c r="BH1502" t="s">
        <v>9145</v>
      </c>
      <c r="BI1502">
        <v>15</v>
      </c>
      <c r="BJ1502" t="s">
        <v>21405</v>
      </c>
      <c r="BK1502" t="s">
        <v>99</v>
      </c>
      <c r="BL1502" t="s">
        <v>21404</v>
      </c>
      <c r="BM1502" t="s">
        <v>26548</v>
      </c>
      <c r="BN1502" t="s">
        <v>74</v>
      </c>
      <c r="BO1502" t="s">
        <v>74</v>
      </c>
      <c r="BP1502" t="s">
        <v>74</v>
      </c>
      <c r="BQ1502" t="s">
        <v>74</v>
      </c>
      <c r="BR1502" t="s">
        <v>102</v>
      </c>
      <c r="BS1502" t="s">
        <v>26547</v>
      </c>
      <c r="BT1502" t="str">
        <f>HYPERLINK("https%3A%2F%2Fwww.webofscience.com%2Fwos%2Fwoscc%2Ffull-record%2FWOS:000991544100001","View Full Record in Web of Science")</f>
        <v>View Full Record in Web of Science</v>
      </c>
    </row>
    <row r="1503" spans="1:72" x14ac:dyDescent="0.25">
      <c r="A1503" t="s">
        <v>72</v>
      </c>
      <c r="B1503" t="s">
        <v>26546</v>
      </c>
      <c r="C1503" t="s">
        <v>74</v>
      </c>
      <c r="D1503" t="s">
        <v>74</v>
      </c>
      <c r="E1503" t="s">
        <v>74</v>
      </c>
      <c r="F1503" t="s">
        <v>26545</v>
      </c>
      <c r="G1503" t="s">
        <v>74</v>
      </c>
      <c r="H1503" t="s">
        <v>74</v>
      </c>
      <c r="I1503" t="s">
        <v>26544</v>
      </c>
      <c r="J1503" t="s">
        <v>26543</v>
      </c>
      <c r="K1503" t="s">
        <v>74</v>
      </c>
      <c r="L1503" t="s">
        <v>74</v>
      </c>
      <c r="M1503" t="s">
        <v>78</v>
      </c>
      <c r="N1503" t="s">
        <v>79</v>
      </c>
      <c r="O1503" t="s">
        <v>74</v>
      </c>
      <c r="P1503" t="s">
        <v>74</v>
      </c>
      <c r="Q1503" t="s">
        <v>74</v>
      </c>
      <c r="R1503" t="s">
        <v>74</v>
      </c>
      <c r="S1503" t="s">
        <v>74</v>
      </c>
      <c r="T1503" t="s">
        <v>26542</v>
      </c>
      <c r="U1503" t="s">
        <v>26541</v>
      </c>
      <c r="V1503" t="s">
        <v>26540</v>
      </c>
      <c r="W1503" t="s">
        <v>26539</v>
      </c>
      <c r="X1503" t="s">
        <v>26538</v>
      </c>
      <c r="Y1503" t="s">
        <v>26537</v>
      </c>
      <c r="Z1503" t="s">
        <v>74</v>
      </c>
      <c r="AA1503" t="s">
        <v>26536</v>
      </c>
      <c r="AB1503" t="s">
        <v>26535</v>
      </c>
      <c r="AC1503" t="s">
        <v>26534</v>
      </c>
      <c r="AD1503" t="s">
        <v>26533</v>
      </c>
      <c r="AE1503" t="s">
        <v>26532</v>
      </c>
      <c r="AF1503" t="s">
        <v>74</v>
      </c>
      <c r="AG1503">
        <v>46</v>
      </c>
      <c r="AH1503">
        <v>6</v>
      </c>
      <c r="AI1503">
        <v>9</v>
      </c>
      <c r="AJ1503">
        <v>0</v>
      </c>
      <c r="AK1503">
        <v>6</v>
      </c>
      <c r="AL1503" t="s">
        <v>994</v>
      </c>
      <c r="AM1503" t="s">
        <v>995</v>
      </c>
      <c r="AN1503" t="s">
        <v>2061</v>
      </c>
      <c r="AO1503" t="s">
        <v>26531</v>
      </c>
      <c r="AP1503" t="s">
        <v>26530</v>
      </c>
      <c r="AQ1503" t="s">
        <v>74</v>
      </c>
      <c r="AR1503" t="s">
        <v>26529</v>
      </c>
      <c r="AS1503" t="s">
        <v>26528</v>
      </c>
      <c r="AT1503" t="s">
        <v>891</v>
      </c>
      <c r="AU1503">
        <v>2021</v>
      </c>
      <c r="AV1503" t="s">
        <v>74</v>
      </c>
      <c r="AW1503">
        <v>129</v>
      </c>
      <c r="AX1503" t="s">
        <v>74</v>
      </c>
      <c r="AY1503" t="s">
        <v>74</v>
      </c>
      <c r="AZ1503" t="s">
        <v>74</v>
      </c>
      <c r="BA1503" t="s">
        <v>74</v>
      </c>
      <c r="BB1503">
        <v>32</v>
      </c>
      <c r="BC1503">
        <v>47</v>
      </c>
      <c r="BD1503" t="s">
        <v>74</v>
      </c>
      <c r="BE1503" t="s">
        <v>26527</v>
      </c>
      <c r="BF1503" t="str">
        <f>HYPERLINK("http://dx.doi.org/10.1177/01417789211040506","http://dx.doi.org/10.1177/01417789211040506")</f>
        <v>http://dx.doi.org/10.1177/01417789211040506</v>
      </c>
      <c r="BG1503" t="s">
        <v>74</v>
      </c>
      <c r="BH1503" t="s">
        <v>74</v>
      </c>
      <c r="BI1503">
        <v>16</v>
      </c>
      <c r="BJ1503" t="s">
        <v>4761</v>
      </c>
      <c r="BK1503" t="s">
        <v>99</v>
      </c>
      <c r="BL1503" t="s">
        <v>4761</v>
      </c>
      <c r="BM1503" t="s">
        <v>26526</v>
      </c>
      <c r="BN1503" t="s">
        <v>74</v>
      </c>
      <c r="BO1503" t="s">
        <v>74</v>
      </c>
      <c r="BP1503" t="s">
        <v>74</v>
      </c>
      <c r="BQ1503" t="s">
        <v>74</v>
      </c>
      <c r="BR1503" t="s">
        <v>102</v>
      </c>
      <c r="BS1503" t="s">
        <v>26525</v>
      </c>
      <c r="BT1503" t="str">
        <f>HYPERLINK("https%3A%2F%2Fwww.webofscience.com%2Fwos%2Fwoscc%2Ffull-record%2FWOS:000720775200003","View Full Record in Web of Science")</f>
        <v>View Full Record in Web of Science</v>
      </c>
    </row>
    <row r="1504" spans="1:72" x14ac:dyDescent="0.25">
      <c r="A1504" t="s">
        <v>72</v>
      </c>
      <c r="B1504" t="s">
        <v>26524</v>
      </c>
      <c r="C1504" t="s">
        <v>74</v>
      </c>
      <c r="D1504" t="s">
        <v>74</v>
      </c>
      <c r="E1504" t="s">
        <v>74</v>
      </c>
      <c r="F1504" t="s">
        <v>26523</v>
      </c>
      <c r="G1504" t="s">
        <v>74</v>
      </c>
      <c r="H1504" t="s">
        <v>74</v>
      </c>
      <c r="I1504" t="s">
        <v>26522</v>
      </c>
      <c r="J1504" t="s">
        <v>18169</v>
      </c>
      <c r="K1504" t="s">
        <v>74</v>
      </c>
      <c r="L1504" t="s">
        <v>74</v>
      </c>
      <c r="M1504" t="s">
        <v>78</v>
      </c>
      <c r="N1504" t="s">
        <v>79</v>
      </c>
      <c r="O1504" t="s">
        <v>74</v>
      </c>
      <c r="P1504" t="s">
        <v>74</v>
      </c>
      <c r="Q1504" t="s">
        <v>74</v>
      </c>
      <c r="R1504" t="s">
        <v>74</v>
      </c>
      <c r="S1504" t="s">
        <v>74</v>
      </c>
      <c r="T1504" t="s">
        <v>26521</v>
      </c>
      <c r="U1504" t="s">
        <v>74</v>
      </c>
      <c r="V1504" t="s">
        <v>26520</v>
      </c>
      <c r="W1504" t="s">
        <v>26519</v>
      </c>
      <c r="X1504" t="s">
        <v>74</v>
      </c>
      <c r="Y1504" t="s">
        <v>26518</v>
      </c>
      <c r="Z1504" t="s">
        <v>26517</v>
      </c>
      <c r="AA1504" t="s">
        <v>26516</v>
      </c>
      <c r="AB1504" t="s">
        <v>26515</v>
      </c>
      <c r="AC1504" t="s">
        <v>74</v>
      </c>
      <c r="AD1504" t="s">
        <v>74</v>
      </c>
      <c r="AE1504" t="s">
        <v>74</v>
      </c>
      <c r="AF1504" t="s">
        <v>74</v>
      </c>
      <c r="AG1504">
        <v>12</v>
      </c>
      <c r="AH1504">
        <v>0</v>
      </c>
      <c r="AI1504">
        <v>1</v>
      </c>
      <c r="AJ1504">
        <v>2</v>
      </c>
      <c r="AK1504">
        <v>11</v>
      </c>
      <c r="AL1504" t="s">
        <v>18181</v>
      </c>
      <c r="AM1504" t="s">
        <v>4238</v>
      </c>
      <c r="AN1504" t="s">
        <v>18182</v>
      </c>
      <c r="AO1504" t="s">
        <v>18183</v>
      </c>
      <c r="AP1504" t="s">
        <v>18184</v>
      </c>
      <c r="AQ1504" t="s">
        <v>74</v>
      </c>
      <c r="AR1504" t="s">
        <v>18185</v>
      </c>
      <c r="AS1504" t="s">
        <v>18186</v>
      </c>
      <c r="AT1504" t="s">
        <v>25719</v>
      </c>
      <c r="AU1504">
        <v>2021</v>
      </c>
      <c r="AV1504">
        <v>194</v>
      </c>
      <c r="AW1504" t="s">
        <v>14951</v>
      </c>
      <c r="AX1504" t="s">
        <v>74</v>
      </c>
      <c r="AY1504" t="s">
        <v>74</v>
      </c>
      <c r="AZ1504" t="s">
        <v>74</v>
      </c>
      <c r="BA1504" t="s">
        <v>74</v>
      </c>
      <c r="BB1504">
        <v>21</v>
      </c>
      <c r="BC1504">
        <v>28</v>
      </c>
      <c r="BD1504" t="s">
        <v>74</v>
      </c>
      <c r="BE1504" t="s">
        <v>26514</v>
      </c>
      <c r="BF1504" t="str">
        <f>HYPERLINK("http://dx.doi.org/10.21003/ea.V194-03","http://dx.doi.org/10.21003/ea.V194-03")</f>
        <v>http://dx.doi.org/10.21003/ea.V194-03</v>
      </c>
      <c r="BG1504" t="s">
        <v>74</v>
      </c>
      <c r="BH1504" t="s">
        <v>74</v>
      </c>
      <c r="BI1504">
        <v>8</v>
      </c>
      <c r="BJ1504" t="s">
        <v>291</v>
      </c>
      <c r="BK1504" t="s">
        <v>313</v>
      </c>
      <c r="BL1504" t="s">
        <v>100</v>
      </c>
      <c r="BM1504" t="s">
        <v>26513</v>
      </c>
      <c r="BN1504" t="s">
        <v>74</v>
      </c>
      <c r="BO1504" t="s">
        <v>10768</v>
      </c>
      <c r="BP1504" t="s">
        <v>74</v>
      </c>
      <c r="BQ1504" t="s">
        <v>74</v>
      </c>
      <c r="BR1504" t="s">
        <v>102</v>
      </c>
      <c r="BS1504" t="s">
        <v>26512</v>
      </c>
      <c r="BT1504" t="str">
        <f>HYPERLINK("https%3A%2F%2Fwww.webofscience.com%2Fwos%2Fwoscc%2Ffull-record%2FWOS:000862763500005","View Full Record in Web of Science")</f>
        <v>View Full Record in Web of Science</v>
      </c>
    </row>
    <row r="1505" spans="1:72" x14ac:dyDescent="0.25">
      <c r="A1505" t="s">
        <v>72</v>
      </c>
      <c r="B1505" t="s">
        <v>26511</v>
      </c>
      <c r="C1505" t="s">
        <v>74</v>
      </c>
      <c r="D1505" t="s">
        <v>74</v>
      </c>
      <c r="E1505" t="s">
        <v>74</v>
      </c>
      <c r="F1505" t="s">
        <v>26510</v>
      </c>
      <c r="G1505" t="s">
        <v>74</v>
      </c>
      <c r="H1505" t="s">
        <v>74</v>
      </c>
      <c r="I1505" t="s">
        <v>26509</v>
      </c>
      <c r="J1505" t="s">
        <v>3036</v>
      </c>
      <c r="K1505" t="s">
        <v>74</v>
      </c>
      <c r="L1505" t="s">
        <v>74</v>
      </c>
      <c r="M1505" t="s">
        <v>78</v>
      </c>
      <c r="N1505" t="s">
        <v>372</v>
      </c>
      <c r="O1505" t="s">
        <v>74</v>
      </c>
      <c r="P1505" t="s">
        <v>74</v>
      </c>
      <c r="Q1505" t="s">
        <v>74</v>
      </c>
      <c r="R1505" t="s">
        <v>74</v>
      </c>
      <c r="S1505" t="s">
        <v>74</v>
      </c>
      <c r="T1505" t="s">
        <v>26508</v>
      </c>
      <c r="U1505" t="s">
        <v>26507</v>
      </c>
      <c r="V1505" t="s">
        <v>26506</v>
      </c>
      <c r="W1505" t="s">
        <v>26505</v>
      </c>
      <c r="X1505" t="s">
        <v>17285</v>
      </c>
      <c r="Y1505" t="s">
        <v>26504</v>
      </c>
      <c r="Z1505" t="s">
        <v>26503</v>
      </c>
      <c r="AA1505" t="s">
        <v>74</v>
      </c>
      <c r="AB1505" t="s">
        <v>26502</v>
      </c>
      <c r="AC1505" t="s">
        <v>74</v>
      </c>
      <c r="AD1505" t="s">
        <v>74</v>
      </c>
      <c r="AE1505" t="s">
        <v>74</v>
      </c>
      <c r="AF1505" t="s">
        <v>74</v>
      </c>
      <c r="AG1505">
        <v>80</v>
      </c>
      <c r="AH1505">
        <v>0</v>
      </c>
      <c r="AI1505">
        <v>0</v>
      </c>
      <c r="AJ1505">
        <v>3</v>
      </c>
      <c r="AK1505">
        <v>12</v>
      </c>
      <c r="AL1505" t="s">
        <v>385</v>
      </c>
      <c r="AM1505" t="s">
        <v>151</v>
      </c>
      <c r="AN1505" t="s">
        <v>386</v>
      </c>
      <c r="AO1505" t="s">
        <v>3045</v>
      </c>
      <c r="AP1505" t="s">
        <v>3046</v>
      </c>
      <c r="AQ1505" t="s">
        <v>74</v>
      </c>
      <c r="AR1505" t="s">
        <v>3047</v>
      </c>
      <c r="AS1505" t="s">
        <v>3048</v>
      </c>
      <c r="AT1505" t="s">
        <v>26501</v>
      </c>
      <c r="AU1505">
        <v>2024</v>
      </c>
      <c r="AV1505" t="s">
        <v>74</v>
      </c>
      <c r="AW1505" t="s">
        <v>74</v>
      </c>
      <c r="AX1505" t="s">
        <v>74</v>
      </c>
      <c r="AY1505" t="s">
        <v>74</v>
      </c>
      <c r="AZ1505" t="s">
        <v>74</v>
      </c>
      <c r="BA1505" t="s">
        <v>74</v>
      </c>
      <c r="BB1505" t="s">
        <v>74</v>
      </c>
      <c r="BC1505" t="s">
        <v>74</v>
      </c>
      <c r="BD1505" t="s">
        <v>74</v>
      </c>
      <c r="BE1505" t="s">
        <v>26500</v>
      </c>
      <c r="BF1505" t="str">
        <f>HYPERLINK("http://dx.doi.org/10.1007/s13132-024-02305-0","http://dx.doi.org/10.1007/s13132-024-02305-0")</f>
        <v>http://dx.doi.org/10.1007/s13132-024-02305-0</v>
      </c>
      <c r="BG1505" t="s">
        <v>74</v>
      </c>
      <c r="BH1505" t="s">
        <v>9389</v>
      </c>
      <c r="BI1505">
        <v>31</v>
      </c>
      <c r="BJ1505" t="s">
        <v>291</v>
      </c>
      <c r="BK1505" t="s">
        <v>99</v>
      </c>
      <c r="BL1505" t="s">
        <v>100</v>
      </c>
      <c r="BM1505" t="s">
        <v>26499</v>
      </c>
      <c r="BN1505" t="s">
        <v>74</v>
      </c>
      <c r="BO1505" t="s">
        <v>270</v>
      </c>
      <c r="BP1505" t="s">
        <v>74</v>
      </c>
      <c r="BQ1505" t="s">
        <v>74</v>
      </c>
      <c r="BR1505" t="s">
        <v>102</v>
      </c>
      <c r="BS1505" t="s">
        <v>26498</v>
      </c>
      <c r="BT1505" t="str">
        <f>HYPERLINK("https%3A%2F%2Fwww.webofscience.com%2Fwos%2Fwoscc%2Ffull-record%2FWOS:001311960600001","View Full Record in Web of Science")</f>
        <v>View Full Record in Web of Science</v>
      </c>
    </row>
    <row r="1506" spans="1:72" x14ac:dyDescent="0.25">
      <c r="A1506" t="s">
        <v>72</v>
      </c>
      <c r="B1506" t="s">
        <v>26497</v>
      </c>
      <c r="C1506" t="s">
        <v>74</v>
      </c>
      <c r="D1506" t="s">
        <v>74</v>
      </c>
      <c r="E1506" t="s">
        <v>74</v>
      </c>
      <c r="F1506" t="s">
        <v>26496</v>
      </c>
      <c r="G1506" t="s">
        <v>74</v>
      </c>
      <c r="H1506" t="s">
        <v>74</v>
      </c>
      <c r="I1506" t="s">
        <v>26495</v>
      </c>
      <c r="J1506" t="s">
        <v>26494</v>
      </c>
      <c r="K1506" t="s">
        <v>74</v>
      </c>
      <c r="L1506" t="s">
        <v>74</v>
      </c>
      <c r="M1506" t="s">
        <v>78</v>
      </c>
      <c r="N1506" t="s">
        <v>79</v>
      </c>
      <c r="O1506" t="s">
        <v>74</v>
      </c>
      <c r="P1506" t="s">
        <v>74</v>
      </c>
      <c r="Q1506" t="s">
        <v>74</v>
      </c>
      <c r="R1506" t="s">
        <v>74</v>
      </c>
      <c r="S1506" t="s">
        <v>74</v>
      </c>
      <c r="T1506" t="s">
        <v>74</v>
      </c>
      <c r="U1506" t="s">
        <v>74</v>
      </c>
      <c r="V1506" t="s">
        <v>26493</v>
      </c>
      <c r="W1506" t="s">
        <v>26492</v>
      </c>
      <c r="X1506" t="s">
        <v>26491</v>
      </c>
      <c r="Y1506" t="s">
        <v>26490</v>
      </c>
      <c r="Z1506" t="s">
        <v>74</v>
      </c>
      <c r="AA1506" t="s">
        <v>26489</v>
      </c>
      <c r="AB1506" t="s">
        <v>26488</v>
      </c>
      <c r="AC1506" t="s">
        <v>74</v>
      </c>
      <c r="AD1506" t="s">
        <v>74</v>
      </c>
      <c r="AE1506" t="s">
        <v>74</v>
      </c>
      <c r="AF1506" t="s">
        <v>74</v>
      </c>
      <c r="AG1506">
        <v>18</v>
      </c>
      <c r="AH1506">
        <v>124</v>
      </c>
      <c r="AI1506">
        <v>177</v>
      </c>
      <c r="AJ1506">
        <v>1</v>
      </c>
      <c r="AK1506">
        <v>33</v>
      </c>
      <c r="AL1506" t="s">
        <v>332</v>
      </c>
      <c r="AM1506" t="s">
        <v>333</v>
      </c>
      <c r="AN1506" t="s">
        <v>334</v>
      </c>
      <c r="AO1506" t="s">
        <v>26487</v>
      </c>
      <c r="AP1506" t="s">
        <v>26486</v>
      </c>
      <c r="AQ1506" t="s">
        <v>74</v>
      </c>
      <c r="AR1506" t="s">
        <v>26485</v>
      </c>
      <c r="AS1506" t="s">
        <v>26484</v>
      </c>
      <c r="AT1506" t="s">
        <v>237</v>
      </c>
      <c r="AU1506">
        <v>2007</v>
      </c>
      <c r="AV1506">
        <v>27</v>
      </c>
      <c r="AW1506">
        <v>1</v>
      </c>
      <c r="AX1506" t="s">
        <v>74</v>
      </c>
      <c r="AY1506" t="s">
        <v>74</v>
      </c>
      <c r="AZ1506" t="s">
        <v>74</v>
      </c>
      <c r="BA1506" t="s">
        <v>74</v>
      </c>
      <c r="BB1506">
        <v>29</v>
      </c>
      <c r="BC1506">
        <v>36</v>
      </c>
      <c r="BD1506" t="s">
        <v>74</v>
      </c>
      <c r="BE1506" t="s">
        <v>26483</v>
      </c>
      <c r="BF1506" t="str">
        <f>HYPERLINK("http://dx.doi.org/10.1111/j.1467-9302.2007.00552.x","http://dx.doi.org/10.1111/j.1467-9302.2007.00552.x")</f>
        <v>http://dx.doi.org/10.1111/j.1467-9302.2007.00552.x</v>
      </c>
      <c r="BG1506" t="s">
        <v>74</v>
      </c>
      <c r="BH1506" t="s">
        <v>74</v>
      </c>
      <c r="BI1506">
        <v>8</v>
      </c>
      <c r="BJ1506" t="s">
        <v>2803</v>
      </c>
      <c r="BK1506" t="s">
        <v>99</v>
      </c>
      <c r="BL1506" t="s">
        <v>1406</v>
      </c>
      <c r="BM1506" t="s">
        <v>26482</v>
      </c>
      <c r="BN1506" t="s">
        <v>74</v>
      </c>
      <c r="BO1506" t="s">
        <v>74</v>
      </c>
      <c r="BP1506" t="s">
        <v>74</v>
      </c>
      <c r="BQ1506" t="s">
        <v>74</v>
      </c>
      <c r="BR1506" t="s">
        <v>102</v>
      </c>
      <c r="BS1506" t="s">
        <v>26481</v>
      </c>
      <c r="BT1506" t="str">
        <f>HYPERLINK("https%3A%2F%2Fwww.webofscience.com%2Fwos%2Fwoscc%2Ffull-record%2FWOS:000243756000006","View Full Record in Web of Science")</f>
        <v>View Full Record in Web of Science</v>
      </c>
    </row>
    <row r="1507" spans="1:72" x14ac:dyDescent="0.25">
      <c r="A1507" t="s">
        <v>72</v>
      </c>
      <c r="B1507" t="s">
        <v>13453</v>
      </c>
      <c r="C1507" t="s">
        <v>74</v>
      </c>
      <c r="D1507" t="s">
        <v>74</v>
      </c>
      <c r="E1507" t="s">
        <v>74</v>
      </c>
      <c r="F1507" t="s">
        <v>13454</v>
      </c>
      <c r="G1507" t="s">
        <v>74</v>
      </c>
      <c r="H1507" t="s">
        <v>74</v>
      </c>
      <c r="I1507" t="s">
        <v>26480</v>
      </c>
      <c r="J1507" t="s">
        <v>17444</v>
      </c>
      <c r="K1507" t="s">
        <v>74</v>
      </c>
      <c r="L1507" t="s">
        <v>74</v>
      </c>
      <c r="M1507" t="s">
        <v>78</v>
      </c>
      <c r="N1507" t="s">
        <v>79</v>
      </c>
      <c r="O1507" t="s">
        <v>74</v>
      </c>
      <c r="P1507" t="s">
        <v>74</v>
      </c>
      <c r="Q1507" t="s">
        <v>74</v>
      </c>
      <c r="R1507" t="s">
        <v>74</v>
      </c>
      <c r="S1507" t="s">
        <v>74</v>
      </c>
      <c r="T1507" t="s">
        <v>26479</v>
      </c>
      <c r="U1507" t="s">
        <v>26478</v>
      </c>
      <c r="V1507" t="s">
        <v>26477</v>
      </c>
      <c r="W1507" t="s">
        <v>26476</v>
      </c>
      <c r="X1507" t="s">
        <v>13460</v>
      </c>
      <c r="Y1507" t="s">
        <v>26475</v>
      </c>
      <c r="Z1507" t="s">
        <v>26474</v>
      </c>
      <c r="AA1507" t="s">
        <v>74</v>
      </c>
      <c r="AB1507" t="s">
        <v>13462</v>
      </c>
      <c r="AC1507" t="s">
        <v>74</v>
      </c>
      <c r="AD1507" t="s">
        <v>74</v>
      </c>
      <c r="AE1507" t="s">
        <v>74</v>
      </c>
      <c r="AF1507" t="s">
        <v>74</v>
      </c>
      <c r="AG1507">
        <v>71</v>
      </c>
      <c r="AH1507">
        <v>9</v>
      </c>
      <c r="AI1507">
        <v>13</v>
      </c>
      <c r="AJ1507">
        <v>1</v>
      </c>
      <c r="AK1507">
        <v>26</v>
      </c>
      <c r="AL1507" t="s">
        <v>89</v>
      </c>
      <c r="AM1507" t="s">
        <v>1497</v>
      </c>
      <c r="AN1507" t="s">
        <v>1498</v>
      </c>
      <c r="AO1507" t="s">
        <v>17454</v>
      </c>
      <c r="AP1507" t="s">
        <v>17455</v>
      </c>
      <c r="AQ1507" t="s">
        <v>74</v>
      </c>
      <c r="AR1507" t="s">
        <v>17456</v>
      </c>
      <c r="AS1507" t="s">
        <v>17457</v>
      </c>
      <c r="AT1507" t="s">
        <v>11361</v>
      </c>
      <c r="AU1507">
        <v>2022</v>
      </c>
      <c r="AV1507">
        <v>48</v>
      </c>
      <c r="AW1507" t="s">
        <v>23850</v>
      </c>
      <c r="AX1507" t="s">
        <v>74</v>
      </c>
      <c r="AY1507" t="s">
        <v>74</v>
      </c>
      <c r="AZ1507" t="s">
        <v>441</v>
      </c>
      <c r="BA1507" t="s">
        <v>74</v>
      </c>
      <c r="BB1507">
        <v>1513</v>
      </c>
      <c r="BC1507">
        <v>1529</v>
      </c>
      <c r="BD1507" t="s">
        <v>74</v>
      </c>
      <c r="BE1507" t="s">
        <v>26473</v>
      </c>
      <c r="BF1507" t="str">
        <f>HYPERLINK("http://dx.doi.org/10.1108/MF-05-2021-0234","http://dx.doi.org/10.1108/MF-05-2021-0234")</f>
        <v>http://dx.doi.org/10.1108/MF-05-2021-0234</v>
      </c>
      <c r="BG1507" t="s">
        <v>74</v>
      </c>
      <c r="BH1507" t="s">
        <v>1802</v>
      </c>
      <c r="BI1507">
        <v>17</v>
      </c>
      <c r="BJ1507" t="s">
        <v>268</v>
      </c>
      <c r="BK1507" t="s">
        <v>313</v>
      </c>
      <c r="BL1507" t="s">
        <v>100</v>
      </c>
      <c r="BM1507" t="s">
        <v>23848</v>
      </c>
      <c r="BN1507" t="s">
        <v>74</v>
      </c>
      <c r="BO1507" t="s">
        <v>74</v>
      </c>
      <c r="BP1507" t="s">
        <v>74</v>
      </c>
      <c r="BQ1507" t="s">
        <v>74</v>
      </c>
      <c r="BR1507" t="s">
        <v>102</v>
      </c>
      <c r="BS1507" t="s">
        <v>26472</v>
      </c>
      <c r="BT1507" t="str">
        <f>HYPERLINK("https%3A%2F%2Fwww.webofscience.com%2Fwos%2Fwoscc%2Ffull-record%2FWOS:000814603000001","View Full Record in Web of Science")</f>
        <v>View Full Record in Web of Science</v>
      </c>
    </row>
    <row r="1508" spans="1:72" x14ac:dyDescent="0.25">
      <c r="A1508" t="s">
        <v>72</v>
      </c>
      <c r="B1508" t="s">
        <v>26471</v>
      </c>
      <c r="C1508" t="s">
        <v>74</v>
      </c>
      <c r="D1508" t="s">
        <v>74</v>
      </c>
      <c r="E1508" t="s">
        <v>74</v>
      </c>
      <c r="F1508" t="s">
        <v>26470</v>
      </c>
      <c r="G1508" t="s">
        <v>74</v>
      </c>
      <c r="H1508" t="s">
        <v>74</v>
      </c>
      <c r="I1508" t="s">
        <v>26469</v>
      </c>
      <c r="J1508" t="s">
        <v>26468</v>
      </c>
      <c r="K1508" t="s">
        <v>74</v>
      </c>
      <c r="L1508" t="s">
        <v>74</v>
      </c>
      <c r="M1508" t="s">
        <v>78</v>
      </c>
      <c r="N1508" t="s">
        <v>79</v>
      </c>
      <c r="O1508" t="s">
        <v>74</v>
      </c>
      <c r="P1508" t="s">
        <v>74</v>
      </c>
      <c r="Q1508" t="s">
        <v>74</v>
      </c>
      <c r="R1508" t="s">
        <v>74</v>
      </c>
      <c r="S1508" t="s">
        <v>74</v>
      </c>
      <c r="T1508" t="s">
        <v>74</v>
      </c>
      <c r="U1508" t="s">
        <v>26467</v>
      </c>
      <c r="V1508" t="s">
        <v>26466</v>
      </c>
      <c r="W1508" t="s">
        <v>26465</v>
      </c>
      <c r="X1508" t="s">
        <v>74</v>
      </c>
      <c r="Y1508" t="s">
        <v>26464</v>
      </c>
      <c r="Z1508" t="s">
        <v>74</v>
      </c>
      <c r="AA1508" t="s">
        <v>74</v>
      </c>
      <c r="AB1508" t="s">
        <v>74</v>
      </c>
      <c r="AC1508" t="s">
        <v>74</v>
      </c>
      <c r="AD1508" t="s">
        <v>74</v>
      </c>
      <c r="AE1508" t="s">
        <v>74</v>
      </c>
      <c r="AF1508" t="s">
        <v>74</v>
      </c>
      <c r="AG1508">
        <v>88</v>
      </c>
      <c r="AH1508">
        <v>0</v>
      </c>
      <c r="AI1508">
        <v>0</v>
      </c>
      <c r="AJ1508">
        <v>0</v>
      </c>
      <c r="AK1508">
        <v>4</v>
      </c>
      <c r="AL1508" t="s">
        <v>26463</v>
      </c>
      <c r="AM1508" t="s">
        <v>26462</v>
      </c>
      <c r="AN1508" t="s">
        <v>26461</v>
      </c>
      <c r="AO1508" t="s">
        <v>26460</v>
      </c>
      <c r="AP1508" t="s">
        <v>74</v>
      </c>
      <c r="AQ1508" t="s">
        <v>74</v>
      </c>
      <c r="AR1508" t="s">
        <v>26459</v>
      </c>
      <c r="AS1508" t="s">
        <v>26458</v>
      </c>
      <c r="AT1508" t="s">
        <v>698</v>
      </c>
      <c r="AU1508">
        <v>2017</v>
      </c>
      <c r="AV1508">
        <v>28</v>
      </c>
      <c r="AW1508">
        <v>3</v>
      </c>
      <c r="AX1508" t="s">
        <v>74</v>
      </c>
      <c r="AY1508" t="s">
        <v>74</v>
      </c>
      <c r="AZ1508" t="s">
        <v>74</v>
      </c>
      <c r="BA1508" t="s">
        <v>74</v>
      </c>
      <c r="BB1508">
        <v>195</v>
      </c>
      <c r="BC1508">
        <v>220</v>
      </c>
      <c r="BD1508" t="s">
        <v>74</v>
      </c>
      <c r="BE1508" t="s">
        <v>74</v>
      </c>
      <c r="BF1508" t="s">
        <v>74</v>
      </c>
      <c r="BG1508" t="s">
        <v>74</v>
      </c>
      <c r="BH1508" t="s">
        <v>74</v>
      </c>
      <c r="BI1508">
        <v>26</v>
      </c>
      <c r="BJ1508" t="s">
        <v>182</v>
      </c>
      <c r="BK1508" t="s">
        <v>313</v>
      </c>
      <c r="BL1508" t="s">
        <v>184</v>
      </c>
      <c r="BM1508" t="s">
        <v>26457</v>
      </c>
      <c r="BN1508" t="s">
        <v>74</v>
      </c>
      <c r="BO1508" t="s">
        <v>74</v>
      </c>
      <c r="BP1508" t="s">
        <v>74</v>
      </c>
      <c r="BQ1508" t="s">
        <v>74</v>
      </c>
      <c r="BR1508" t="s">
        <v>102</v>
      </c>
      <c r="BS1508" t="s">
        <v>26456</v>
      </c>
      <c r="BT1508" t="str">
        <f>HYPERLINK("https%3A%2F%2Fwww.webofscience.com%2Fwos%2Fwoscc%2Ffull-record%2FWOS:000411492100002","View Full Record in Web of Science")</f>
        <v>View Full Record in Web of Science</v>
      </c>
    </row>
    <row r="1509" spans="1:72" x14ac:dyDescent="0.25">
      <c r="A1509" t="s">
        <v>72</v>
      </c>
      <c r="B1509" t="s">
        <v>26455</v>
      </c>
      <c r="C1509" t="s">
        <v>74</v>
      </c>
      <c r="D1509" t="s">
        <v>74</v>
      </c>
      <c r="E1509" t="s">
        <v>74</v>
      </c>
      <c r="F1509" t="s">
        <v>26454</v>
      </c>
      <c r="G1509" t="s">
        <v>74</v>
      </c>
      <c r="H1509" t="s">
        <v>74</v>
      </c>
      <c r="I1509" t="s">
        <v>26453</v>
      </c>
      <c r="J1509" t="s">
        <v>26452</v>
      </c>
      <c r="K1509" t="s">
        <v>74</v>
      </c>
      <c r="L1509" t="s">
        <v>74</v>
      </c>
      <c r="M1509" t="s">
        <v>78</v>
      </c>
      <c r="N1509" t="s">
        <v>79</v>
      </c>
      <c r="O1509" t="s">
        <v>74</v>
      </c>
      <c r="P1509" t="s">
        <v>74</v>
      </c>
      <c r="Q1509" t="s">
        <v>74</v>
      </c>
      <c r="R1509" t="s">
        <v>74</v>
      </c>
      <c r="S1509" t="s">
        <v>74</v>
      </c>
      <c r="T1509" t="s">
        <v>26451</v>
      </c>
      <c r="U1509" t="s">
        <v>26450</v>
      </c>
      <c r="V1509" t="s">
        <v>26449</v>
      </c>
      <c r="W1509" t="s">
        <v>26448</v>
      </c>
      <c r="X1509" t="s">
        <v>26447</v>
      </c>
      <c r="Y1509" t="s">
        <v>26446</v>
      </c>
      <c r="Z1509" t="s">
        <v>24475</v>
      </c>
      <c r="AA1509" t="s">
        <v>26445</v>
      </c>
      <c r="AB1509" t="s">
        <v>74</v>
      </c>
      <c r="AC1509" t="s">
        <v>26444</v>
      </c>
      <c r="AD1509" t="s">
        <v>26443</v>
      </c>
      <c r="AE1509" t="s">
        <v>26442</v>
      </c>
      <c r="AF1509" t="s">
        <v>74</v>
      </c>
      <c r="AG1509">
        <v>57</v>
      </c>
      <c r="AH1509">
        <v>0</v>
      </c>
      <c r="AI1509">
        <v>0</v>
      </c>
      <c r="AJ1509">
        <v>2</v>
      </c>
      <c r="AK1509">
        <v>2</v>
      </c>
      <c r="AL1509" t="s">
        <v>8503</v>
      </c>
      <c r="AM1509" t="s">
        <v>995</v>
      </c>
      <c r="AN1509" t="s">
        <v>8504</v>
      </c>
      <c r="AO1509" t="s">
        <v>26441</v>
      </c>
      <c r="AP1509" t="s">
        <v>74</v>
      </c>
      <c r="AQ1509" t="s">
        <v>74</v>
      </c>
      <c r="AR1509" t="s">
        <v>26440</v>
      </c>
      <c r="AS1509" t="s">
        <v>26439</v>
      </c>
      <c r="AT1509" t="s">
        <v>26438</v>
      </c>
      <c r="AU1509">
        <v>2025</v>
      </c>
      <c r="AV1509">
        <v>15</v>
      </c>
      <c r="AW1509">
        <v>1</v>
      </c>
      <c r="AX1509" t="s">
        <v>74</v>
      </c>
      <c r="AY1509" t="s">
        <v>74</v>
      </c>
      <c r="AZ1509" t="s">
        <v>74</v>
      </c>
      <c r="BA1509" t="s">
        <v>74</v>
      </c>
      <c r="BB1509" t="s">
        <v>74</v>
      </c>
      <c r="BC1509" t="s">
        <v>74</v>
      </c>
      <c r="BD1509">
        <v>98</v>
      </c>
      <c r="BE1509" t="s">
        <v>26437</v>
      </c>
      <c r="BF1509" t="str">
        <f>HYPERLINK("http://dx.doi.org/10.1186/s13561-025-00693-w","http://dx.doi.org/10.1186/s13561-025-00693-w")</f>
        <v>http://dx.doi.org/10.1186/s13561-025-00693-w</v>
      </c>
      <c r="BG1509" t="s">
        <v>74</v>
      </c>
      <c r="BH1509" t="s">
        <v>74</v>
      </c>
      <c r="BI1509">
        <v>11</v>
      </c>
      <c r="BJ1509" t="s">
        <v>26436</v>
      </c>
      <c r="BK1509" t="s">
        <v>99</v>
      </c>
      <c r="BL1509" t="s">
        <v>26435</v>
      </c>
      <c r="BM1509" t="s">
        <v>26434</v>
      </c>
      <c r="BN1509">
        <v>41252078</v>
      </c>
      <c r="BO1509" t="s">
        <v>916</v>
      </c>
      <c r="BP1509" t="s">
        <v>74</v>
      </c>
      <c r="BQ1509" t="s">
        <v>74</v>
      </c>
      <c r="BR1509" t="s">
        <v>102</v>
      </c>
      <c r="BS1509" t="s">
        <v>26433</v>
      </c>
      <c r="BT1509" t="str">
        <f>HYPERLINK("https%3A%2F%2Fwww.webofscience.com%2Fwos%2Fwoscc%2Ffull-record%2FWOS:001618431600001","View Full Record in Web of Science")</f>
        <v>View Full Record in Web of Science</v>
      </c>
    </row>
    <row r="1510" spans="1:72" x14ac:dyDescent="0.25">
      <c r="A1510" t="s">
        <v>72</v>
      </c>
      <c r="B1510" t="s">
        <v>26432</v>
      </c>
      <c r="C1510" t="s">
        <v>74</v>
      </c>
      <c r="D1510" t="s">
        <v>74</v>
      </c>
      <c r="E1510" t="s">
        <v>74</v>
      </c>
      <c r="F1510" t="s">
        <v>26431</v>
      </c>
      <c r="G1510" t="s">
        <v>74</v>
      </c>
      <c r="H1510" t="s">
        <v>74</v>
      </c>
      <c r="I1510" t="s">
        <v>26430</v>
      </c>
      <c r="J1510" t="s">
        <v>26429</v>
      </c>
      <c r="K1510" t="s">
        <v>74</v>
      </c>
      <c r="L1510" t="s">
        <v>74</v>
      </c>
      <c r="M1510" t="s">
        <v>78</v>
      </c>
      <c r="N1510" t="s">
        <v>26428</v>
      </c>
      <c r="O1510" t="s">
        <v>74</v>
      </c>
      <c r="P1510" t="s">
        <v>74</v>
      </c>
      <c r="Q1510" t="s">
        <v>74</v>
      </c>
      <c r="R1510" t="s">
        <v>74</v>
      </c>
      <c r="S1510" t="s">
        <v>74</v>
      </c>
      <c r="T1510" t="s">
        <v>26427</v>
      </c>
      <c r="U1510" t="s">
        <v>74</v>
      </c>
      <c r="V1510" t="s">
        <v>26426</v>
      </c>
      <c r="W1510" t="s">
        <v>26425</v>
      </c>
      <c r="X1510" t="s">
        <v>26424</v>
      </c>
      <c r="Y1510" t="s">
        <v>26423</v>
      </c>
      <c r="Z1510" t="s">
        <v>26422</v>
      </c>
      <c r="AA1510" t="s">
        <v>26421</v>
      </c>
      <c r="AB1510" t="s">
        <v>26420</v>
      </c>
      <c r="AC1510" t="s">
        <v>74</v>
      </c>
      <c r="AD1510" t="s">
        <v>74</v>
      </c>
      <c r="AE1510" t="s">
        <v>74</v>
      </c>
      <c r="AF1510" t="s">
        <v>74</v>
      </c>
      <c r="AG1510">
        <v>9</v>
      </c>
      <c r="AH1510">
        <v>3</v>
      </c>
      <c r="AI1510">
        <v>3</v>
      </c>
      <c r="AJ1510">
        <v>7</v>
      </c>
      <c r="AK1510">
        <v>10</v>
      </c>
      <c r="AL1510" t="s">
        <v>26419</v>
      </c>
      <c r="AM1510" t="s">
        <v>15157</v>
      </c>
      <c r="AN1510" t="s">
        <v>26418</v>
      </c>
      <c r="AO1510" t="s">
        <v>26417</v>
      </c>
      <c r="AP1510" t="s">
        <v>26416</v>
      </c>
      <c r="AQ1510" t="s">
        <v>74</v>
      </c>
      <c r="AR1510" t="s">
        <v>26415</v>
      </c>
      <c r="AS1510" t="s">
        <v>26414</v>
      </c>
      <c r="AT1510" t="s">
        <v>26413</v>
      </c>
      <c r="AU1510">
        <v>2024</v>
      </c>
      <c r="AV1510" t="s">
        <v>74</v>
      </c>
      <c r="AW1510" t="s">
        <v>74</v>
      </c>
      <c r="AX1510" t="s">
        <v>74</v>
      </c>
      <c r="AY1510" t="s">
        <v>74</v>
      </c>
      <c r="AZ1510" t="s">
        <v>74</v>
      </c>
      <c r="BA1510" t="s">
        <v>74</v>
      </c>
      <c r="BB1510" t="s">
        <v>74</v>
      </c>
      <c r="BC1510" t="s">
        <v>74</v>
      </c>
      <c r="BD1510" t="s">
        <v>74</v>
      </c>
      <c r="BE1510" t="s">
        <v>26412</v>
      </c>
      <c r="BF1510" t="str">
        <f>HYPERLINK("http://dx.doi.org/10.5582/bst.2024.01220","http://dx.doi.org/10.5582/bst.2024.01220")</f>
        <v>http://dx.doi.org/10.5582/bst.2024.01220</v>
      </c>
      <c r="BG1510" t="s">
        <v>74</v>
      </c>
      <c r="BH1510" t="s">
        <v>9389</v>
      </c>
      <c r="BI1510">
        <v>3</v>
      </c>
      <c r="BJ1510" t="s">
        <v>5405</v>
      </c>
      <c r="BK1510" t="s">
        <v>128</v>
      </c>
      <c r="BL1510" t="s">
        <v>5406</v>
      </c>
      <c r="BM1510" t="s">
        <v>26411</v>
      </c>
      <c r="BN1510">
        <v>39358212</v>
      </c>
      <c r="BO1510" t="s">
        <v>212</v>
      </c>
      <c r="BP1510" t="s">
        <v>74</v>
      </c>
      <c r="BQ1510" t="s">
        <v>74</v>
      </c>
      <c r="BR1510" t="s">
        <v>102</v>
      </c>
      <c r="BS1510" t="s">
        <v>26410</v>
      </c>
      <c r="BT1510" t="str">
        <f>HYPERLINK("https%3A%2F%2Fwww.webofscience.com%2Fwos%2Fwoscc%2Ffull-record%2FWOS:001328894600001","View Full Record in Web of Science")</f>
        <v>View Full Record in Web of Science</v>
      </c>
    </row>
    <row r="1511" spans="1:72" x14ac:dyDescent="0.25">
      <c r="A1511" t="s">
        <v>72</v>
      </c>
      <c r="B1511" t="s">
        <v>21167</v>
      </c>
      <c r="C1511" t="s">
        <v>74</v>
      </c>
      <c r="D1511" t="s">
        <v>74</v>
      </c>
      <c r="E1511" t="s">
        <v>74</v>
      </c>
      <c r="F1511" t="s">
        <v>26409</v>
      </c>
      <c r="G1511" t="s">
        <v>74</v>
      </c>
      <c r="H1511" t="s">
        <v>74</v>
      </c>
      <c r="I1511" t="s">
        <v>26408</v>
      </c>
      <c r="J1511" t="s">
        <v>1143</v>
      </c>
      <c r="K1511" t="s">
        <v>74</v>
      </c>
      <c r="L1511" t="s">
        <v>74</v>
      </c>
      <c r="M1511" t="s">
        <v>78</v>
      </c>
      <c r="N1511" t="s">
        <v>79</v>
      </c>
      <c r="O1511" t="s">
        <v>74</v>
      </c>
      <c r="P1511" t="s">
        <v>74</v>
      </c>
      <c r="Q1511" t="s">
        <v>74</v>
      </c>
      <c r="R1511" t="s">
        <v>74</v>
      </c>
      <c r="S1511" t="s">
        <v>74</v>
      </c>
      <c r="T1511" t="s">
        <v>26407</v>
      </c>
      <c r="U1511" t="s">
        <v>26406</v>
      </c>
      <c r="V1511" t="s">
        <v>26405</v>
      </c>
      <c r="W1511" t="s">
        <v>26404</v>
      </c>
      <c r="X1511" t="s">
        <v>26403</v>
      </c>
      <c r="Y1511" t="s">
        <v>26402</v>
      </c>
      <c r="Z1511" t="s">
        <v>26401</v>
      </c>
      <c r="AA1511" t="s">
        <v>26400</v>
      </c>
      <c r="AB1511" t="s">
        <v>26399</v>
      </c>
      <c r="AC1511" t="s">
        <v>26398</v>
      </c>
      <c r="AD1511" t="s">
        <v>26397</v>
      </c>
      <c r="AE1511" t="s">
        <v>26396</v>
      </c>
      <c r="AF1511" t="s">
        <v>74</v>
      </c>
      <c r="AG1511">
        <v>64</v>
      </c>
      <c r="AH1511">
        <v>18</v>
      </c>
      <c r="AI1511">
        <v>25</v>
      </c>
      <c r="AJ1511">
        <v>1</v>
      </c>
      <c r="AK1511">
        <v>57</v>
      </c>
      <c r="AL1511" t="s">
        <v>385</v>
      </c>
      <c r="AM1511" t="s">
        <v>1153</v>
      </c>
      <c r="AN1511" t="s">
        <v>1154</v>
      </c>
      <c r="AO1511" t="s">
        <v>1155</v>
      </c>
      <c r="AP1511" t="s">
        <v>1156</v>
      </c>
      <c r="AQ1511" t="s">
        <v>74</v>
      </c>
      <c r="AR1511" t="s">
        <v>1157</v>
      </c>
      <c r="AS1511" t="s">
        <v>1158</v>
      </c>
      <c r="AT1511" t="s">
        <v>848</v>
      </c>
      <c r="AU1511">
        <v>2022</v>
      </c>
      <c r="AV1511">
        <v>162</v>
      </c>
      <c r="AW1511">
        <v>2</v>
      </c>
      <c r="AX1511" t="s">
        <v>74</v>
      </c>
      <c r="AY1511" t="s">
        <v>74</v>
      </c>
      <c r="AZ1511" t="s">
        <v>74</v>
      </c>
      <c r="BA1511" t="s">
        <v>74</v>
      </c>
      <c r="BB1511">
        <v>599</v>
      </c>
      <c r="BC1511">
        <v>617</v>
      </c>
      <c r="BD1511" t="s">
        <v>74</v>
      </c>
      <c r="BE1511" t="s">
        <v>26395</v>
      </c>
      <c r="BF1511" t="str">
        <f>HYPERLINK("http://dx.doi.org/10.1007/s11205-021-02850-0","http://dx.doi.org/10.1007/s11205-021-02850-0")</f>
        <v>http://dx.doi.org/10.1007/s11205-021-02850-0</v>
      </c>
      <c r="BG1511" t="s">
        <v>74</v>
      </c>
      <c r="BH1511" t="s">
        <v>6548</v>
      </c>
      <c r="BI1511">
        <v>19</v>
      </c>
      <c r="BJ1511" t="s">
        <v>1161</v>
      </c>
      <c r="BK1511" t="s">
        <v>99</v>
      </c>
      <c r="BL1511" t="s">
        <v>1162</v>
      </c>
      <c r="BM1511" t="s">
        <v>26394</v>
      </c>
      <c r="BN1511" t="s">
        <v>74</v>
      </c>
      <c r="BO1511" t="s">
        <v>1696</v>
      </c>
      <c r="BP1511" t="s">
        <v>74</v>
      </c>
      <c r="BQ1511" t="s">
        <v>74</v>
      </c>
      <c r="BR1511" t="s">
        <v>102</v>
      </c>
      <c r="BS1511" t="s">
        <v>26393</v>
      </c>
      <c r="BT1511" t="str">
        <f>HYPERLINK("https%3A%2F%2Fwww.webofscience.com%2Fwos%2Fwoscc%2Ffull-record%2FWOS:000739263900001","View Full Record in Web of Science")</f>
        <v>View Full Record in Web of Science</v>
      </c>
    </row>
    <row r="1512" spans="1:72" x14ac:dyDescent="0.25">
      <c r="A1512" t="s">
        <v>72</v>
      </c>
      <c r="B1512" t="s">
        <v>26392</v>
      </c>
      <c r="C1512" t="s">
        <v>74</v>
      </c>
      <c r="D1512" t="s">
        <v>74</v>
      </c>
      <c r="E1512" t="s">
        <v>74</v>
      </c>
      <c r="F1512" t="s">
        <v>26391</v>
      </c>
      <c r="G1512" t="s">
        <v>74</v>
      </c>
      <c r="H1512" t="s">
        <v>74</v>
      </c>
      <c r="I1512" t="s">
        <v>26390</v>
      </c>
      <c r="J1512" t="s">
        <v>26389</v>
      </c>
      <c r="K1512" t="s">
        <v>74</v>
      </c>
      <c r="L1512" t="s">
        <v>74</v>
      </c>
      <c r="M1512" t="s">
        <v>78</v>
      </c>
      <c r="N1512" t="s">
        <v>79</v>
      </c>
      <c r="O1512" t="s">
        <v>74</v>
      </c>
      <c r="P1512" t="s">
        <v>74</v>
      </c>
      <c r="Q1512" t="s">
        <v>74</v>
      </c>
      <c r="R1512" t="s">
        <v>74</v>
      </c>
      <c r="S1512" t="s">
        <v>74</v>
      </c>
      <c r="T1512" t="s">
        <v>26388</v>
      </c>
      <c r="U1512" t="s">
        <v>26387</v>
      </c>
      <c r="V1512" t="s">
        <v>26386</v>
      </c>
      <c r="W1512" t="s">
        <v>26385</v>
      </c>
      <c r="X1512" t="s">
        <v>26384</v>
      </c>
      <c r="Y1512" t="s">
        <v>26383</v>
      </c>
      <c r="Z1512" t="s">
        <v>26382</v>
      </c>
      <c r="AA1512" t="s">
        <v>26381</v>
      </c>
      <c r="AB1512" t="s">
        <v>26380</v>
      </c>
      <c r="AC1512" t="s">
        <v>26379</v>
      </c>
      <c r="AD1512" t="s">
        <v>26378</v>
      </c>
      <c r="AE1512" t="s">
        <v>26377</v>
      </c>
      <c r="AF1512" t="s">
        <v>74</v>
      </c>
      <c r="AG1512">
        <v>30</v>
      </c>
      <c r="AH1512">
        <v>194</v>
      </c>
      <c r="AI1512">
        <v>234</v>
      </c>
      <c r="AJ1512">
        <v>10</v>
      </c>
      <c r="AK1512">
        <v>344</v>
      </c>
      <c r="AL1512" t="s">
        <v>385</v>
      </c>
      <c r="AM1512" t="s">
        <v>1153</v>
      </c>
      <c r="AN1512" t="s">
        <v>1154</v>
      </c>
      <c r="AO1512" t="s">
        <v>26376</v>
      </c>
      <c r="AP1512" t="s">
        <v>26375</v>
      </c>
      <c r="AQ1512" t="s">
        <v>74</v>
      </c>
      <c r="AR1512" t="s">
        <v>26374</v>
      </c>
      <c r="AS1512" t="s">
        <v>26373</v>
      </c>
      <c r="AT1512" t="s">
        <v>848</v>
      </c>
      <c r="AU1512">
        <v>2023</v>
      </c>
      <c r="AV1512">
        <v>326</v>
      </c>
      <c r="AW1512" t="s">
        <v>26372</v>
      </c>
      <c r="AX1512" t="s">
        <v>74</v>
      </c>
      <c r="AY1512">
        <v>1</v>
      </c>
      <c r="AZ1512" t="s">
        <v>74</v>
      </c>
      <c r="BA1512" t="s">
        <v>74</v>
      </c>
      <c r="BB1512">
        <v>15</v>
      </c>
      <c r="BC1512">
        <v>15</v>
      </c>
      <c r="BD1512" t="s">
        <v>74</v>
      </c>
      <c r="BE1512" t="s">
        <v>26371</v>
      </c>
      <c r="BF1512" t="str">
        <f>HYPERLINK("http://dx.doi.org/10.1007/s10479-021-04287-7","http://dx.doi.org/10.1007/s10479-021-04287-7")</f>
        <v>http://dx.doi.org/10.1007/s10479-021-04287-7</v>
      </c>
      <c r="BG1512" t="s">
        <v>74</v>
      </c>
      <c r="BH1512" t="s">
        <v>4651</v>
      </c>
      <c r="BI1512">
        <v>1</v>
      </c>
      <c r="BJ1512" t="s">
        <v>3174</v>
      </c>
      <c r="BK1512" t="s">
        <v>128</v>
      </c>
      <c r="BL1512" t="s">
        <v>3174</v>
      </c>
      <c r="BM1512" t="s">
        <v>26370</v>
      </c>
      <c r="BN1512" t="s">
        <v>74</v>
      </c>
      <c r="BO1512" t="s">
        <v>74</v>
      </c>
      <c r="BP1512" t="s">
        <v>74</v>
      </c>
      <c r="BQ1512" t="s">
        <v>74</v>
      </c>
      <c r="BR1512" t="s">
        <v>102</v>
      </c>
      <c r="BS1512" t="s">
        <v>26369</v>
      </c>
      <c r="BT1512" t="str">
        <f>HYPERLINK("https%3A%2F%2Fwww.webofscience.com%2Fwos%2Fwoscc%2Ffull-record%2FWOS:000712775800003","View Full Record in Web of Science")</f>
        <v>View Full Record in Web of Science</v>
      </c>
    </row>
    <row r="1513" spans="1:72" x14ac:dyDescent="0.25">
      <c r="A1513" t="s">
        <v>72</v>
      </c>
      <c r="B1513" t="s">
        <v>26368</v>
      </c>
      <c r="C1513" t="s">
        <v>74</v>
      </c>
      <c r="D1513" t="s">
        <v>74</v>
      </c>
      <c r="E1513" t="s">
        <v>74</v>
      </c>
      <c r="F1513" t="s">
        <v>26367</v>
      </c>
      <c r="G1513" t="s">
        <v>74</v>
      </c>
      <c r="H1513" t="s">
        <v>74</v>
      </c>
      <c r="I1513" t="s">
        <v>26366</v>
      </c>
      <c r="J1513" t="s">
        <v>10871</v>
      </c>
      <c r="K1513" t="s">
        <v>74</v>
      </c>
      <c r="L1513" t="s">
        <v>74</v>
      </c>
      <c r="M1513" t="s">
        <v>78</v>
      </c>
      <c r="N1513" t="s">
        <v>79</v>
      </c>
      <c r="O1513" t="s">
        <v>74</v>
      </c>
      <c r="P1513" t="s">
        <v>74</v>
      </c>
      <c r="Q1513" t="s">
        <v>74</v>
      </c>
      <c r="R1513" t="s">
        <v>74</v>
      </c>
      <c r="S1513" t="s">
        <v>74</v>
      </c>
      <c r="T1513" t="s">
        <v>26365</v>
      </c>
      <c r="U1513" t="s">
        <v>26364</v>
      </c>
      <c r="V1513" t="s">
        <v>26363</v>
      </c>
      <c r="W1513" t="s">
        <v>26362</v>
      </c>
      <c r="X1513" t="s">
        <v>26361</v>
      </c>
      <c r="Y1513" t="s">
        <v>26360</v>
      </c>
      <c r="Z1513" t="s">
        <v>26359</v>
      </c>
      <c r="AA1513" t="s">
        <v>74</v>
      </c>
      <c r="AB1513" t="s">
        <v>26358</v>
      </c>
      <c r="AC1513" t="s">
        <v>74</v>
      </c>
      <c r="AD1513" t="s">
        <v>74</v>
      </c>
      <c r="AE1513" t="s">
        <v>74</v>
      </c>
      <c r="AF1513" t="s">
        <v>74</v>
      </c>
      <c r="AG1513">
        <v>119</v>
      </c>
      <c r="AH1513">
        <v>14</v>
      </c>
      <c r="AI1513">
        <v>16</v>
      </c>
      <c r="AJ1513">
        <v>1</v>
      </c>
      <c r="AK1513">
        <v>42</v>
      </c>
      <c r="AL1513" t="s">
        <v>823</v>
      </c>
      <c r="AM1513" t="s">
        <v>333</v>
      </c>
      <c r="AN1513" t="s">
        <v>824</v>
      </c>
      <c r="AO1513" t="s">
        <v>10884</v>
      </c>
      <c r="AP1513" t="s">
        <v>10885</v>
      </c>
      <c r="AQ1513" t="s">
        <v>74</v>
      </c>
      <c r="AR1513" t="s">
        <v>10886</v>
      </c>
      <c r="AS1513" t="s">
        <v>10887</v>
      </c>
      <c r="AT1513" t="s">
        <v>10107</v>
      </c>
      <c r="AU1513">
        <v>2023</v>
      </c>
      <c r="AV1513">
        <v>32</v>
      </c>
      <c r="AW1513">
        <v>2</v>
      </c>
      <c r="AX1513" t="s">
        <v>74</v>
      </c>
      <c r="AY1513" t="s">
        <v>74</v>
      </c>
      <c r="AZ1513" t="s">
        <v>74</v>
      </c>
      <c r="BA1513" t="s">
        <v>74</v>
      </c>
      <c r="BB1513">
        <v>173</v>
      </c>
      <c r="BC1513">
        <v>194</v>
      </c>
      <c r="BD1513" t="s">
        <v>74</v>
      </c>
      <c r="BE1513" t="s">
        <v>26357</v>
      </c>
      <c r="BF1513" t="str">
        <f>HYPERLINK("http://dx.doi.org/10.1080/0960085X.2021.1924088","http://dx.doi.org/10.1080/0960085X.2021.1924088")</f>
        <v>http://dx.doi.org/10.1080/0960085X.2021.1924088</v>
      </c>
      <c r="BG1513" t="s">
        <v>74</v>
      </c>
      <c r="BH1513" t="s">
        <v>11242</v>
      </c>
      <c r="BI1513">
        <v>22</v>
      </c>
      <c r="BJ1513" t="s">
        <v>10890</v>
      </c>
      <c r="BK1513" t="s">
        <v>2623</v>
      </c>
      <c r="BL1513" t="s">
        <v>10891</v>
      </c>
      <c r="BM1513" t="s">
        <v>26356</v>
      </c>
      <c r="BN1513" t="s">
        <v>74</v>
      </c>
      <c r="BO1513" t="s">
        <v>74</v>
      </c>
      <c r="BP1513" t="s">
        <v>74</v>
      </c>
      <c r="BQ1513" t="s">
        <v>74</v>
      </c>
      <c r="BR1513" t="s">
        <v>102</v>
      </c>
      <c r="BS1513" t="s">
        <v>26355</v>
      </c>
      <c r="BT1513" t="str">
        <f>HYPERLINK("https%3A%2F%2Fwww.webofscience.com%2Fwos%2Fwoscc%2Ffull-record%2FWOS:000661458400001","View Full Record in Web of Science")</f>
        <v>View Full Record in Web of Science</v>
      </c>
    </row>
    <row r="1514" spans="1:72" x14ac:dyDescent="0.25">
      <c r="A1514" t="s">
        <v>72</v>
      </c>
      <c r="B1514" t="s">
        <v>26354</v>
      </c>
      <c r="C1514" t="s">
        <v>74</v>
      </c>
      <c r="D1514" t="s">
        <v>74</v>
      </c>
      <c r="E1514" t="s">
        <v>74</v>
      </c>
      <c r="F1514" t="s">
        <v>26353</v>
      </c>
      <c r="G1514" t="s">
        <v>74</v>
      </c>
      <c r="H1514" t="s">
        <v>74</v>
      </c>
      <c r="I1514" t="s">
        <v>26352</v>
      </c>
      <c r="J1514" t="s">
        <v>7368</v>
      </c>
      <c r="K1514" t="s">
        <v>74</v>
      </c>
      <c r="L1514" t="s">
        <v>74</v>
      </c>
      <c r="M1514" t="s">
        <v>78</v>
      </c>
      <c r="N1514" t="s">
        <v>372</v>
      </c>
      <c r="O1514" t="s">
        <v>74</v>
      </c>
      <c r="P1514" t="s">
        <v>74</v>
      </c>
      <c r="Q1514" t="s">
        <v>74</v>
      </c>
      <c r="R1514" t="s">
        <v>74</v>
      </c>
      <c r="S1514" t="s">
        <v>74</v>
      </c>
      <c r="T1514" t="s">
        <v>26351</v>
      </c>
      <c r="U1514" t="s">
        <v>26350</v>
      </c>
      <c r="V1514" t="s">
        <v>26349</v>
      </c>
      <c r="W1514" t="s">
        <v>26348</v>
      </c>
      <c r="X1514" t="s">
        <v>26347</v>
      </c>
      <c r="Y1514" t="s">
        <v>26346</v>
      </c>
      <c r="Z1514" t="s">
        <v>26345</v>
      </c>
      <c r="AA1514" t="s">
        <v>74</v>
      </c>
      <c r="AB1514" t="s">
        <v>74</v>
      </c>
      <c r="AC1514" t="s">
        <v>26344</v>
      </c>
      <c r="AD1514" t="s">
        <v>26343</v>
      </c>
      <c r="AE1514" t="s">
        <v>26342</v>
      </c>
      <c r="AF1514" t="s">
        <v>74</v>
      </c>
      <c r="AG1514">
        <v>63</v>
      </c>
      <c r="AH1514">
        <v>0</v>
      </c>
      <c r="AI1514">
        <v>0</v>
      </c>
      <c r="AJ1514">
        <v>2</v>
      </c>
      <c r="AK1514">
        <v>2</v>
      </c>
      <c r="AL1514" t="s">
        <v>385</v>
      </c>
      <c r="AM1514" t="s">
        <v>151</v>
      </c>
      <c r="AN1514" t="s">
        <v>386</v>
      </c>
      <c r="AO1514" t="s">
        <v>7378</v>
      </c>
      <c r="AP1514" t="s">
        <v>7379</v>
      </c>
      <c r="AQ1514" t="s">
        <v>74</v>
      </c>
      <c r="AR1514" t="s">
        <v>7380</v>
      </c>
      <c r="AS1514" t="s">
        <v>7381</v>
      </c>
      <c r="AT1514" t="s">
        <v>26341</v>
      </c>
      <c r="AU1514">
        <v>2025</v>
      </c>
      <c r="AV1514" t="s">
        <v>74</v>
      </c>
      <c r="AW1514" t="s">
        <v>74</v>
      </c>
      <c r="AX1514" t="s">
        <v>74</v>
      </c>
      <c r="AY1514" t="s">
        <v>74</v>
      </c>
      <c r="AZ1514" t="s">
        <v>74</v>
      </c>
      <c r="BA1514" t="s">
        <v>74</v>
      </c>
      <c r="BB1514" t="s">
        <v>74</v>
      </c>
      <c r="BC1514" t="s">
        <v>74</v>
      </c>
      <c r="BD1514" t="s">
        <v>74</v>
      </c>
      <c r="BE1514" t="s">
        <v>26340</v>
      </c>
      <c r="BF1514" t="str">
        <f>HYPERLINK("http://dx.doi.org/10.1007/s10693-025-00456-y","http://dx.doi.org/10.1007/s10693-025-00456-y")</f>
        <v>http://dx.doi.org/10.1007/s10693-025-00456-y</v>
      </c>
      <c r="BG1514" t="s">
        <v>74</v>
      </c>
      <c r="BH1514" t="s">
        <v>2044</v>
      </c>
      <c r="BI1514">
        <v>22</v>
      </c>
      <c r="BJ1514" t="s">
        <v>268</v>
      </c>
      <c r="BK1514" t="s">
        <v>99</v>
      </c>
      <c r="BL1514" t="s">
        <v>100</v>
      </c>
      <c r="BM1514" t="s">
        <v>26339</v>
      </c>
      <c r="BN1514" t="s">
        <v>74</v>
      </c>
      <c r="BO1514" t="s">
        <v>270</v>
      </c>
      <c r="BP1514" t="s">
        <v>74</v>
      </c>
      <c r="BQ1514" t="s">
        <v>74</v>
      </c>
      <c r="BR1514" t="s">
        <v>102</v>
      </c>
      <c r="BS1514" t="s">
        <v>26338</v>
      </c>
      <c r="BT1514" t="str">
        <f>HYPERLINK("https%3A%2F%2Fwww.webofscience.com%2Fwos%2Fwoscc%2Ffull-record%2FWOS:001622468400001","View Full Record in Web of Science")</f>
        <v>View Full Record in Web of Science</v>
      </c>
    </row>
    <row r="1515" spans="1:72" x14ac:dyDescent="0.25">
      <c r="A1515" t="s">
        <v>72</v>
      </c>
      <c r="B1515" t="s">
        <v>26337</v>
      </c>
      <c r="C1515" t="s">
        <v>74</v>
      </c>
      <c r="D1515" t="s">
        <v>74</v>
      </c>
      <c r="E1515" t="s">
        <v>74</v>
      </c>
      <c r="F1515" t="s">
        <v>26336</v>
      </c>
      <c r="G1515" t="s">
        <v>74</v>
      </c>
      <c r="H1515" t="s">
        <v>74</v>
      </c>
      <c r="I1515" t="s">
        <v>26335</v>
      </c>
      <c r="J1515" t="s">
        <v>26334</v>
      </c>
      <c r="K1515" t="s">
        <v>74</v>
      </c>
      <c r="L1515" t="s">
        <v>74</v>
      </c>
      <c r="M1515" t="s">
        <v>78</v>
      </c>
      <c r="N1515" t="s">
        <v>79</v>
      </c>
      <c r="O1515" t="s">
        <v>74</v>
      </c>
      <c r="P1515" t="s">
        <v>74</v>
      </c>
      <c r="Q1515" t="s">
        <v>74</v>
      </c>
      <c r="R1515" t="s">
        <v>74</v>
      </c>
      <c r="S1515" t="s">
        <v>74</v>
      </c>
      <c r="T1515" t="s">
        <v>26333</v>
      </c>
      <c r="U1515" t="s">
        <v>26332</v>
      </c>
      <c r="V1515" t="s">
        <v>26331</v>
      </c>
      <c r="W1515" t="s">
        <v>26330</v>
      </c>
      <c r="X1515" t="s">
        <v>17368</v>
      </c>
      <c r="Y1515" t="s">
        <v>26329</v>
      </c>
      <c r="Z1515" t="s">
        <v>26328</v>
      </c>
      <c r="AA1515" t="s">
        <v>74</v>
      </c>
      <c r="AB1515" t="s">
        <v>74</v>
      </c>
      <c r="AC1515" t="s">
        <v>74</v>
      </c>
      <c r="AD1515" t="s">
        <v>74</v>
      </c>
      <c r="AE1515" t="s">
        <v>74</v>
      </c>
      <c r="AF1515" t="s">
        <v>74</v>
      </c>
      <c r="AG1515">
        <v>14</v>
      </c>
      <c r="AH1515">
        <v>9</v>
      </c>
      <c r="AI1515">
        <v>25</v>
      </c>
      <c r="AJ1515">
        <v>3</v>
      </c>
      <c r="AK1515">
        <v>52</v>
      </c>
      <c r="AL1515" t="s">
        <v>26327</v>
      </c>
      <c r="AM1515" t="s">
        <v>26326</v>
      </c>
      <c r="AN1515" t="s">
        <v>26325</v>
      </c>
      <c r="AO1515" t="s">
        <v>26324</v>
      </c>
      <c r="AP1515" t="s">
        <v>74</v>
      </c>
      <c r="AQ1515" t="s">
        <v>74</v>
      </c>
      <c r="AR1515" t="s">
        <v>26323</v>
      </c>
      <c r="AS1515" t="s">
        <v>26322</v>
      </c>
      <c r="AT1515" t="s">
        <v>24041</v>
      </c>
      <c r="AU1515">
        <v>2011</v>
      </c>
      <c r="AV1515">
        <v>5</v>
      </c>
      <c r="AW1515">
        <v>26</v>
      </c>
      <c r="AX1515" t="s">
        <v>74</v>
      </c>
      <c r="AY1515" t="s">
        <v>74</v>
      </c>
      <c r="AZ1515" t="s">
        <v>74</v>
      </c>
      <c r="BA1515" t="s">
        <v>74</v>
      </c>
      <c r="BB1515">
        <v>10483</v>
      </c>
      <c r="BC1515">
        <v>10491</v>
      </c>
      <c r="BD1515" t="s">
        <v>74</v>
      </c>
      <c r="BE1515" t="s">
        <v>26321</v>
      </c>
      <c r="BF1515" t="str">
        <f>HYPERLINK("http://dx.doi.org/10.5897/AJBM11.401","http://dx.doi.org/10.5897/AJBM11.401")</f>
        <v>http://dx.doi.org/10.5897/AJBM11.401</v>
      </c>
      <c r="BG1515" t="s">
        <v>74</v>
      </c>
      <c r="BH1515" t="s">
        <v>74</v>
      </c>
      <c r="BI1515">
        <v>9</v>
      </c>
      <c r="BJ1515" t="s">
        <v>98</v>
      </c>
      <c r="BK1515" t="s">
        <v>99</v>
      </c>
      <c r="BL1515" t="s">
        <v>100</v>
      </c>
      <c r="BM1515" t="s">
        <v>26320</v>
      </c>
      <c r="BN1515" t="s">
        <v>74</v>
      </c>
      <c r="BO1515" t="s">
        <v>212</v>
      </c>
      <c r="BP1515" t="s">
        <v>74</v>
      </c>
      <c r="BQ1515" t="s">
        <v>74</v>
      </c>
      <c r="BR1515" t="s">
        <v>102</v>
      </c>
      <c r="BS1515" t="s">
        <v>26319</v>
      </c>
      <c r="BT1515" t="str">
        <f>HYPERLINK("https%3A%2F%2Fwww.webofscience.com%2Fwos%2Fwoscc%2Ffull-record%2FWOS:000297629700021","View Full Record in Web of Science")</f>
        <v>View Full Record in Web of Science</v>
      </c>
    </row>
    <row r="1516" spans="1:72" x14ac:dyDescent="0.25">
      <c r="A1516" t="s">
        <v>72</v>
      </c>
      <c r="B1516" t="s">
        <v>26318</v>
      </c>
      <c r="C1516" t="s">
        <v>74</v>
      </c>
      <c r="D1516" t="s">
        <v>74</v>
      </c>
      <c r="E1516" t="s">
        <v>74</v>
      </c>
      <c r="F1516" t="s">
        <v>26317</v>
      </c>
      <c r="G1516" t="s">
        <v>74</v>
      </c>
      <c r="H1516" t="s">
        <v>74</v>
      </c>
      <c r="I1516" t="s">
        <v>26316</v>
      </c>
      <c r="J1516" t="s">
        <v>2030</v>
      </c>
      <c r="K1516" t="s">
        <v>74</v>
      </c>
      <c r="L1516" t="s">
        <v>74</v>
      </c>
      <c r="M1516" t="s">
        <v>78</v>
      </c>
      <c r="N1516" t="s">
        <v>79</v>
      </c>
      <c r="O1516" t="s">
        <v>74</v>
      </c>
      <c r="P1516" t="s">
        <v>74</v>
      </c>
      <c r="Q1516" t="s">
        <v>74</v>
      </c>
      <c r="R1516" t="s">
        <v>74</v>
      </c>
      <c r="S1516" t="s">
        <v>74</v>
      </c>
      <c r="T1516" t="s">
        <v>26315</v>
      </c>
      <c r="U1516" t="s">
        <v>74</v>
      </c>
      <c r="V1516" t="s">
        <v>26314</v>
      </c>
      <c r="W1516" t="s">
        <v>26313</v>
      </c>
      <c r="X1516" t="s">
        <v>8519</v>
      </c>
      <c r="Y1516" t="s">
        <v>26312</v>
      </c>
      <c r="Z1516" t="s">
        <v>26311</v>
      </c>
      <c r="AA1516" t="s">
        <v>26310</v>
      </c>
      <c r="AB1516" t="s">
        <v>26309</v>
      </c>
      <c r="AC1516" t="s">
        <v>74</v>
      </c>
      <c r="AD1516" t="s">
        <v>74</v>
      </c>
      <c r="AE1516" t="s">
        <v>74</v>
      </c>
      <c r="AF1516" t="s">
        <v>74</v>
      </c>
      <c r="AG1516">
        <v>36</v>
      </c>
      <c r="AH1516">
        <v>7</v>
      </c>
      <c r="AI1516">
        <v>8</v>
      </c>
      <c r="AJ1516">
        <v>2</v>
      </c>
      <c r="AK1516">
        <v>16</v>
      </c>
      <c r="AL1516" t="s">
        <v>666</v>
      </c>
      <c r="AM1516" t="s">
        <v>667</v>
      </c>
      <c r="AN1516" t="s">
        <v>668</v>
      </c>
      <c r="AO1516" t="s">
        <v>2039</v>
      </c>
      <c r="AP1516" t="s">
        <v>74</v>
      </c>
      <c r="AQ1516" t="s">
        <v>74</v>
      </c>
      <c r="AR1516" t="s">
        <v>2040</v>
      </c>
      <c r="AS1516" t="s">
        <v>2041</v>
      </c>
      <c r="AT1516" t="s">
        <v>605</v>
      </c>
      <c r="AU1516">
        <v>2023</v>
      </c>
      <c r="AV1516">
        <v>10</v>
      </c>
      <c r="AW1516">
        <v>1</v>
      </c>
      <c r="AX1516" t="s">
        <v>74</v>
      </c>
      <c r="AY1516" t="s">
        <v>74</v>
      </c>
      <c r="AZ1516" t="s">
        <v>441</v>
      </c>
      <c r="BA1516" t="s">
        <v>74</v>
      </c>
      <c r="BB1516">
        <v>83</v>
      </c>
      <c r="BC1516">
        <v>92</v>
      </c>
      <c r="BD1516" t="s">
        <v>74</v>
      </c>
      <c r="BE1516" t="s">
        <v>26308</v>
      </c>
      <c r="BF1516" t="str">
        <f>HYPERLINK("http://dx.doi.org/10.1007/s40609-022-00234-x","http://dx.doi.org/10.1007/s40609-022-00234-x")</f>
        <v>http://dx.doi.org/10.1007/s40609-022-00234-x</v>
      </c>
      <c r="BG1516" t="s">
        <v>74</v>
      </c>
      <c r="BH1516" t="s">
        <v>2328</v>
      </c>
      <c r="BI1516">
        <v>10</v>
      </c>
      <c r="BJ1516" t="s">
        <v>2045</v>
      </c>
      <c r="BK1516" t="s">
        <v>313</v>
      </c>
      <c r="BL1516" t="s">
        <v>2045</v>
      </c>
      <c r="BM1516" t="s">
        <v>25286</v>
      </c>
      <c r="BN1516" t="s">
        <v>74</v>
      </c>
      <c r="BO1516" t="s">
        <v>74</v>
      </c>
      <c r="BP1516" t="s">
        <v>74</v>
      </c>
      <c r="BQ1516" t="s">
        <v>74</v>
      </c>
      <c r="BR1516" t="s">
        <v>102</v>
      </c>
      <c r="BS1516" t="s">
        <v>26307</v>
      </c>
      <c r="BT1516" t="str">
        <f>HYPERLINK("https%3A%2F%2Fwww.webofscience.com%2Fwos%2Fwoscc%2Ffull-record%2FWOS:000836757200001","View Full Record in Web of Science")</f>
        <v>View Full Record in Web of Science</v>
      </c>
    </row>
    <row r="1517" spans="1:72" x14ac:dyDescent="0.25">
      <c r="A1517" t="s">
        <v>72</v>
      </c>
      <c r="B1517" t="s">
        <v>26306</v>
      </c>
      <c r="C1517" t="s">
        <v>74</v>
      </c>
      <c r="D1517" t="s">
        <v>74</v>
      </c>
      <c r="E1517" t="s">
        <v>74</v>
      </c>
      <c r="F1517" t="s">
        <v>26305</v>
      </c>
      <c r="G1517" t="s">
        <v>74</v>
      </c>
      <c r="H1517" t="s">
        <v>74</v>
      </c>
      <c r="I1517" t="s">
        <v>26304</v>
      </c>
      <c r="J1517" t="s">
        <v>4822</v>
      </c>
      <c r="K1517" t="s">
        <v>74</v>
      </c>
      <c r="L1517" t="s">
        <v>74</v>
      </c>
      <c r="M1517" t="s">
        <v>78</v>
      </c>
      <c r="N1517" t="s">
        <v>79</v>
      </c>
      <c r="O1517" t="s">
        <v>74</v>
      </c>
      <c r="P1517" t="s">
        <v>74</v>
      </c>
      <c r="Q1517" t="s">
        <v>74</v>
      </c>
      <c r="R1517" t="s">
        <v>74</v>
      </c>
      <c r="S1517" t="s">
        <v>74</v>
      </c>
      <c r="T1517" t="s">
        <v>26303</v>
      </c>
      <c r="U1517" t="s">
        <v>26302</v>
      </c>
      <c r="V1517" t="s">
        <v>26301</v>
      </c>
      <c r="W1517" t="s">
        <v>26300</v>
      </c>
      <c r="X1517" t="s">
        <v>26299</v>
      </c>
      <c r="Y1517" t="s">
        <v>26298</v>
      </c>
      <c r="Z1517" t="s">
        <v>26297</v>
      </c>
      <c r="AA1517" t="s">
        <v>26296</v>
      </c>
      <c r="AB1517" t="s">
        <v>26295</v>
      </c>
      <c r="AC1517" t="s">
        <v>17529</v>
      </c>
      <c r="AD1517" t="s">
        <v>17529</v>
      </c>
      <c r="AE1517" t="s">
        <v>26294</v>
      </c>
      <c r="AF1517" t="s">
        <v>74</v>
      </c>
      <c r="AG1517">
        <v>47</v>
      </c>
      <c r="AH1517">
        <v>1</v>
      </c>
      <c r="AI1517">
        <v>1</v>
      </c>
      <c r="AJ1517">
        <v>25</v>
      </c>
      <c r="AK1517">
        <v>49</v>
      </c>
      <c r="AL1517" t="s">
        <v>201</v>
      </c>
      <c r="AM1517" t="s">
        <v>202</v>
      </c>
      <c r="AN1517" t="s">
        <v>203</v>
      </c>
      <c r="AO1517" t="s">
        <v>4833</v>
      </c>
      <c r="AP1517" t="s">
        <v>74</v>
      </c>
      <c r="AQ1517" t="s">
        <v>74</v>
      </c>
      <c r="AR1517" t="s">
        <v>4834</v>
      </c>
      <c r="AS1517" t="s">
        <v>4835</v>
      </c>
      <c r="AT1517" t="s">
        <v>605</v>
      </c>
      <c r="AU1517">
        <v>2025</v>
      </c>
      <c r="AV1517">
        <v>85</v>
      </c>
      <c r="AW1517" t="s">
        <v>74</v>
      </c>
      <c r="AX1517" t="s">
        <v>74</v>
      </c>
      <c r="AY1517" t="s">
        <v>74</v>
      </c>
      <c r="AZ1517" t="s">
        <v>74</v>
      </c>
      <c r="BA1517" t="s">
        <v>74</v>
      </c>
      <c r="BB1517">
        <v>392</v>
      </c>
      <c r="BC1517">
        <v>406</v>
      </c>
      <c r="BD1517" t="s">
        <v>74</v>
      </c>
      <c r="BE1517" t="s">
        <v>26293</v>
      </c>
      <c r="BF1517" t="str">
        <f>HYPERLINK("http://dx.doi.org/10.1016/j.eap.2024.12.012","http://dx.doi.org/10.1016/j.eap.2024.12.012")</f>
        <v>http://dx.doi.org/10.1016/j.eap.2024.12.012</v>
      </c>
      <c r="BG1517" t="s">
        <v>74</v>
      </c>
      <c r="BH1517" t="s">
        <v>809</v>
      </c>
      <c r="BI1517">
        <v>15</v>
      </c>
      <c r="BJ1517" t="s">
        <v>291</v>
      </c>
      <c r="BK1517" t="s">
        <v>99</v>
      </c>
      <c r="BL1517" t="s">
        <v>100</v>
      </c>
      <c r="BM1517" t="s">
        <v>26292</v>
      </c>
      <c r="BN1517" t="s">
        <v>74</v>
      </c>
      <c r="BO1517" t="s">
        <v>74</v>
      </c>
      <c r="BP1517" t="s">
        <v>74</v>
      </c>
      <c r="BQ1517" t="s">
        <v>74</v>
      </c>
      <c r="BR1517" t="s">
        <v>102</v>
      </c>
      <c r="BS1517" t="s">
        <v>26291</v>
      </c>
      <c r="BT1517" t="str">
        <f>HYPERLINK("https%3A%2F%2Fwww.webofscience.com%2Fwos%2Fwoscc%2Ffull-record%2FWOS:001391950900001","View Full Record in Web of Science")</f>
        <v>View Full Record in Web of Science</v>
      </c>
    </row>
    <row r="1518" spans="1:72" x14ac:dyDescent="0.25">
      <c r="A1518" t="s">
        <v>72</v>
      </c>
      <c r="B1518" t="s">
        <v>26290</v>
      </c>
      <c r="C1518" t="s">
        <v>74</v>
      </c>
      <c r="D1518" t="s">
        <v>74</v>
      </c>
      <c r="E1518" t="s">
        <v>74</v>
      </c>
      <c r="F1518" t="s">
        <v>26289</v>
      </c>
      <c r="G1518" t="s">
        <v>74</v>
      </c>
      <c r="H1518" t="s">
        <v>74</v>
      </c>
      <c r="I1518" t="s">
        <v>26288</v>
      </c>
      <c r="J1518" t="s">
        <v>26287</v>
      </c>
      <c r="K1518" t="s">
        <v>74</v>
      </c>
      <c r="L1518" t="s">
        <v>74</v>
      </c>
      <c r="M1518" t="s">
        <v>78</v>
      </c>
      <c r="N1518" t="s">
        <v>79</v>
      </c>
      <c r="O1518" t="s">
        <v>74</v>
      </c>
      <c r="P1518" t="s">
        <v>74</v>
      </c>
      <c r="Q1518" t="s">
        <v>74</v>
      </c>
      <c r="R1518" t="s">
        <v>74</v>
      </c>
      <c r="S1518" t="s">
        <v>74</v>
      </c>
      <c r="T1518" t="s">
        <v>26286</v>
      </c>
      <c r="U1518" t="s">
        <v>26285</v>
      </c>
      <c r="V1518" t="s">
        <v>26284</v>
      </c>
      <c r="W1518" t="s">
        <v>26283</v>
      </c>
      <c r="X1518" t="s">
        <v>26282</v>
      </c>
      <c r="Y1518" t="s">
        <v>26281</v>
      </c>
      <c r="Z1518" t="s">
        <v>26280</v>
      </c>
      <c r="AA1518" t="s">
        <v>26279</v>
      </c>
      <c r="AB1518" t="s">
        <v>74</v>
      </c>
      <c r="AC1518" t="s">
        <v>74</v>
      </c>
      <c r="AD1518" t="s">
        <v>74</v>
      </c>
      <c r="AE1518" t="s">
        <v>74</v>
      </c>
      <c r="AF1518" t="s">
        <v>74</v>
      </c>
      <c r="AG1518">
        <v>38</v>
      </c>
      <c r="AH1518">
        <v>4</v>
      </c>
      <c r="AI1518">
        <v>4</v>
      </c>
      <c r="AJ1518">
        <v>0</v>
      </c>
      <c r="AK1518">
        <v>7</v>
      </c>
      <c r="AL1518" t="s">
        <v>2371</v>
      </c>
      <c r="AM1518" t="s">
        <v>2372</v>
      </c>
      <c r="AN1518" t="s">
        <v>2373</v>
      </c>
      <c r="AO1518" t="s">
        <v>26278</v>
      </c>
      <c r="AP1518" t="s">
        <v>26277</v>
      </c>
      <c r="AQ1518" t="s">
        <v>74</v>
      </c>
      <c r="AR1518" t="s">
        <v>26276</v>
      </c>
      <c r="AS1518" t="s">
        <v>26275</v>
      </c>
      <c r="AT1518" t="s">
        <v>74</v>
      </c>
      <c r="AU1518">
        <v>2023</v>
      </c>
      <c r="AV1518">
        <v>22</v>
      </c>
      <c r="AW1518">
        <v>3</v>
      </c>
      <c r="AX1518" t="s">
        <v>74</v>
      </c>
      <c r="AY1518" t="s">
        <v>74</v>
      </c>
      <c r="AZ1518" t="s">
        <v>74</v>
      </c>
      <c r="BA1518" t="s">
        <v>74</v>
      </c>
      <c r="BB1518" t="s">
        <v>74</v>
      </c>
      <c r="BC1518" t="s">
        <v>74</v>
      </c>
      <c r="BD1518" t="s">
        <v>74</v>
      </c>
      <c r="BE1518" t="s">
        <v>26274</v>
      </c>
      <c r="BF1518" t="str">
        <f>HYPERLINK("http://dx.doi.org/10.1504/IJESD.2023.132092","http://dx.doi.org/10.1504/IJESD.2023.132092")</f>
        <v>http://dx.doi.org/10.1504/IJESD.2023.132092</v>
      </c>
      <c r="BG1518" t="s">
        <v>74</v>
      </c>
      <c r="BH1518" t="s">
        <v>74</v>
      </c>
      <c r="BI1518">
        <v>7</v>
      </c>
      <c r="BJ1518" t="s">
        <v>14327</v>
      </c>
      <c r="BK1518" t="s">
        <v>313</v>
      </c>
      <c r="BL1518" t="s">
        <v>129</v>
      </c>
      <c r="BM1518" t="s">
        <v>26273</v>
      </c>
      <c r="BN1518" t="s">
        <v>74</v>
      </c>
      <c r="BO1518" t="s">
        <v>74</v>
      </c>
      <c r="BP1518" t="s">
        <v>74</v>
      </c>
      <c r="BQ1518" t="s">
        <v>74</v>
      </c>
      <c r="BR1518" t="s">
        <v>102</v>
      </c>
      <c r="BS1518" t="s">
        <v>26272</v>
      </c>
      <c r="BT1518" t="str">
        <f>HYPERLINK("https%3A%2F%2Fwww.webofscience.com%2Fwos%2Fwoscc%2Ffull-record%2FWOS:001027901700007","View Full Record in Web of Science")</f>
        <v>View Full Record in Web of Science</v>
      </c>
    </row>
    <row r="1519" spans="1:72" x14ac:dyDescent="0.25">
      <c r="A1519" t="s">
        <v>72</v>
      </c>
      <c r="B1519" t="s">
        <v>11608</v>
      </c>
      <c r="C1519" t="s">
        <v>74</v>
      </c>
      <c r="D1519" t="s">
        <v>74</v>
      </c>
      <c r="E1519" t="s">
        <v>74</v>
      </c>
      <c r="F1519" t="s">
        <v>26271</v>
      </c>
      <c r="G1519" t="s">
        <v>74</v>
      </c>
      <c r="H1519" t="s">
        <v>74</v>
      </c>
      <c r="I1519" t="s">
        <v>26270</v>
      </c>
      <c r="J1519" t="s">
        <v>4306</v>
      </c>
      <c r="K1519" t="s">
        <v>74</v>
      </c>
      <c r="L1519" t="s">
        <v>74</v>
      </c>
      <c r="M1519" t="s">
        <v>78</v>
      </c>
      <c r="N1519" t="s">
        <v>79</v>
      </c>
      <c r="O1519" t="s">
        <v>74</v>
      </c>
      <c r="P1519" t="s">
        <v>74</v>
      </c>
      <c r="Q1519" t="s">
        <v>74</v>
      </c>
      <c r="R1519" t="s">
        <v>74</v>
      </c>
      <c r="S1519" t="s">
        <v>74</v>
      </c>
      <c r="T1519" t="s">
        <v>26269</v>
      </c>
      <c r="U1519" t="s">
        <v>26268</v>
      </c>
      <c r="V1519" t="s">
        <v>26267</v>
      </c>
      <c r="W1519" t="s">
        <v>26266</v>
      </c>
      <c r="X1519" t="s">
        <v>11615</v>
      </c>
      <c r="Y1519" t="s">
        <v>26265</v>
      </c>
      <c r="Z1519" t="s">
        <v>26264</v>
      </c>
      <c r="AA1519" t="s">
        <v>26263</v>
      </c>
      <c r="AB1519" t="s">
        <v>74</v>
      </c>
      <c r="AC1519" t="s">
        <v>74</v>
      </c>
      <c r="AD1519" t="s">
        <v>74</v>
      </c>
      <c r="AE1519" t="s">
        <v>74</v>
      </c>
      <c r="AF1519" t="s">
        <v>74</v>
      </c>
      <c r="AG1519">
        <v>63</v>
      </c>
      <c r="AH1519">
        <v>40</v>
      </c>
      <c r="AI1519">
        <v>45</v>
      </c>
      <c r="AJ1519">
        <v>13</v>
      </c>
      <c r="AK1519">
        <v>41</v>
      </c>
      <c r="AL1519" t="s">
        <v>503</v>
      </c>
      <c r="AM1519" t="s">
        <v>151</v>
      </c>
      <c r="AN1519" t="s">
        <v>504</v>
      </c>
      <c r="AO1519" t="s">
        <v>4315</v>
      </c>
      <c r="AP1519" t="s">
        <v>4316</v>
      </c>
      <c r="AQ1519" t="s">
        <v>74</v>
      </c>
      <c r="AR1519" t="s">
        <v>4317</v>
      </c>
      <c r="AS1519" t="s">
        <v>4318</v>
      </c>
      <c r="AT1519" t="s">
        <v>208</v>
      </c>
      <c r="AU1519">
        <v>2023</v>
      </c>
      <c r="AV1519">
        <v>186</v>
      </c>
      <c r="AW1519" t="s">
        <v>74</v>
      </c>
      <c r="AX1519" t="s">
        <v>3828</v>
      </c>
      <c r="AY1519" t="s">
        <v>74</v>
      </c>
      <c r="AZ1519" t="s">
        <v>74</v>
      </c>
      <c r="BA1519" t="s">
        <v>74</v>
      </c>
      <c r="BB1519" t="s">
        <v>74</v>
      </c>
      <c r="BC1519" t="s">
        <v>74</v>
      </c>
      <c r="BD1519">
        <v>122127</v>
      </c>
      <c r="BE1519" t="s">
        <v>26262</v>
      </c>
      <c r="BF1519" t="str">
        <f>HYPERLINK("http://dx.doi.org/10.1016/j.techfore.2022.122127","http://dx.doi.org/10.1016/j.techfore.2022.122127")</f>
        <v>http://dx.doi.org/10.1016/j.techfore.2022.122127</v>
      </c>
      <c r="BG1519" t="s">
        <v>74</v>
      </c>
      <c r="BH1519" t="s">
        <v>74</v>
      </c>
      <c r="BI1519">
        <v>9</v>
      </c>
      <c r="BJ1519" t="s">
        <v>1627</v>
      </c>
      <c r="BK1519" t="s">
        <v>99</v>
      </c>
      <c r="BL1519" t="s">
        <v>1406</v>
      </c>
      <c r="BM1519" t="s">
        <v>26261</v>
      </c>
      <c r="BN1519" t="s">
        <v>74</v>
      </c>
      <c r="BO1519" t="s">
        <v>74</v>
      </c>
      <c r="BP1519" t="s">
        <v>74</v>
      </c>
      <c r="BQ1519" t="s">
        <v>74</v>
      </c>
      <c r="BR1519" t="s">
        <v>102</v>
      </c>
      <c r="BS1519" t="s">
        <v>26260</v>
      </c>
      <c r="BT1519" t="str">
        <f>HYPERLINK("https%3A%2F%2Fwww.webofscience.com%2Fwos%2Fwoscc%2Ffull-record%2FWOS:001128280200005","View Full Record in Web of Science")</f>
        <v>View Full Record in Web of Science</v>
      </c>
    </row>
    <row r="1520" spans="1:72" x14ac:dyDescent="0.25">
      <c r="A1520" t="s">
        <v>72</v>
      </c>
      <c r="B1520" t="s">
        <v>26259</v>
      </c>
      <c r="C1520" t="s">
        <v>74</v>
      </c>
      <c r="D1520" t="s">
        <v>74</v>
      </c>
      <c r="E1520" t="s">
        <v>74</v>
      </c>
      <c r="F1520" t="s">
        <v>26258</v>
      </c>
      <c r="G1520" t="s">
        <v>74</v>
      </c>
      <c r="H1520" t="s">
        <v>74</v>
      </c>
      <c r="I1520" t="s">
        <v>26257</v>
      </c>
      <c r="J1520" t="s">
        <v>14228</v>
      </c>
      <c r="K1520" t="s">
        <v>74</v>
      </c>
      <c r="L1520" t="s">
        <v>74</v>
      </c>
      <c r="M1520" t="s">
        <v>78</v>
      </c>
      <c r="N1520" t="s">
        <v>79</v>
      </c>
      <c r="O1520" t="s">
        <v>74</v>
      </c>
      <c r="P1520" t="s">
        <v>74</v>
      </c>
      <c r="Q1520" t="s">
        <v>74</v>
      </c>
      <c r="R1520" t="s">
        <v>74</v>
      </c>
      <c r="S1520" t="s">
        <v>74</v>
      </c>
      <c r="T1520" t="s">
        <v>26256</v>
      </c>
      <c r="U1520" t="s">
        <v>74</v>
      </c>
      <c r="V1520" t="s">
        <v>26255</v>
      </c>
      <c r="W1520" t="s">
        <v>26254</v>
      </c>
      <c r="X1520" t="s">
        <v>26253</v>
      </c>
      <c r="Y1520" t="s">
        <v>26252</v>
      </c>
      <c r="Z1520" t="s">
        <v>26251</v>
      </c>
      <c r="AA1520" t="s">
        <v>74</v>
      </c>
      <c r="AB1520" t="s">
        <v>74</v>
      </c>
      <c r="AC1520" t="s">
        <v>74</v>
      </c>
      <c r="AD1520" t="s">
        <v>74</v>
      </c>
      <c r="AE1520" t="s">
        <v>74</v>
      </c>
      <c r="AF1520" t="s">
        <v>74</v>
      </c>
      <c r="AG1520">
        <v>9</v>
      </c>
      <c r="AH1520">
        <v>21</v>
      </c>
      <c r="AI1520">
        <v>30</v>
      </c>
      <c r="AJ1520">
        <v>2</v>
      </c>
      <c r="AK1520">
        <v>24</v>
      </c>
      <c r="AL1520" t="s">
        <v>332</v>
      </c>
      <c r="AM1520" t="s">
        <v>333</v>
      </c>
      <c r="AN1520" t="s">
        <v>334</v>
      </c>
      <c r="AO1520" t="s">
        <v>14237</v>
      </c>
      <c r="AP1520" t="s">
        <v>14238</v>
      </c>
      <c r="AQ1520" t="s">
        <v>74</v>
      </c>
      <c r="AR1520" t="s">
        <v>14239</v>
      </c>
      <c r="AS1520" t="s">
        <v>14240</v>
      </c>
      <c r="AT1520" t="s">
        <v>74</v>
      </c>
      <c r="AU1520">
        <v>2018</v>
      </c>
      <c r="AV1520">
        <v>25</v>
      </c>
      <c r="AW1520">
        <v>11</v>
      </c>
      <c r="AX1520" t="s">
        <v>74</v>
      </c>
      <c r="AY1520" t="s">
        <v>74</v>
      </c>
      <c r="AZ1520" t="s">
        <v>74</v>
      </c>
      <c r="BA1520" t="s">
        <v>74</v>
      </c>
      <c r="BB1520">
        <v>781</v>
      </c>
      <c r="BC1520">
        <v>784</v>
      </c>
      <c r="BD1520" t="s">
        <v>74</v>
      </c>
      <c r="BE1520" t="s">
        <v>26250</v>
      </c>
      <c r="BF1520" t="str">
        <f>HYPERLINK("http://dx.doi.org/10.1080/13504851.2017.1366635","http://dx.doi.org/10.1080/13504851.2017.1366635")</f>
        <v>http://dx.doi.org/10.1080/13504851.2017.1366635</v>
      </c>
      <c r="BG1520" t="s">
        <v>74</v>
      </c>
      <c r="BH1520" t="s">
        <v>74</v>
      </c>
      <c r="BI1520">
        <v>4</v>
      </c>
      <c r="BJ1520" t="s">
        <v>291</v>
      </c>
      <c r="BK1520" t="s">
        <v>99</v>
      </c>
      <c r="BL1520" t="s">
        <v>100</v>
      </c>
      <c r="BM1520" t="s">
        <v>26249</v>
      </c>
      <c r="BN1520" t="s">
        <v>74</v>
      </c>
      <c r="BO1520" t="s">
        <v>74</v>
      </c>
      <c r="BP1520" t="s">
        <v>74</v>
      </c>
      <c r="BQ1520" t="s">
        <v>74</v>
      </c>
      <c r="BR1520" t="s">
        <v>102</v>
      </c>
      <c r="BS1520" t="s">
        <v>26248</v>
      </c>
      <c r="BT1520" t="str">
        <f>HYPERLINK("https%3A%2F%2Fwww.webofscience.com%2Fwos%2Fwoscc%2Ffull-record%2FWOS:000428240000011","View Full Record in Web of Science")</f>
        <v>View Full Record in Web of Science</v>
      </c>
    </row>
    <row r="1521" spans="1:72" x14ac:dyDescent="0.25">
      <c r="A1521" t="s">
        <v>72</v>
      </c>
      <c r="B1521" t="s">
        <v>26247</v>
      </c>
      <c r="C1521" t="s">
        <v>74</v>
      </c>
      <c r="D1521" t="s">
        <v>74</v>
      </c>
      <c r="E1521" t="s">
        <v>74</v>
      </c>
      <c r="F1521" t="s">
        <v>26246</v>
      </c>
      <c r="G1521" t="s">
        <v>74</v>
      </c>
      <c r="H1521" t="s">
        <v>74</v>
      </c>
      <c r="I1521" t="s">
        <v>26245</v>
      </c>
      <c r="J1521" t="s">
        <v>14228</v>
      </c>
      <c r="K1521" t="s">
        <v>74</v>
      </c>
      <c r="L1521" t="s">
        <v>74</v>
      </c>
      <c r="M1521" t="s">
        <v>78</v>
      </c>
      <c r="N1521" t="s">
        <v>79</v>
      </c>
      <c r="O1521" t="s">
        <v>74</v>
      </c>
      <c r="P1521" t="s">
        <v>74</v>
      </c>
      <c r="Q1521" t="s">
        <v>74</v>
      </c>
      <c r="R1521" t="s">
        <v>74</v>
      </c>
      <c r="S1521" t="s">
        <v>74</v>
      </c>
      <c r="T1521" t="s">
        <v>26244</v>
      </c>
      <c r="U1521" t="s">
        <v>74</v>
      </c>
      <c r="V1521" t="s">
        <v>26243</v>
      </c>
      <c r="W1521" t="s">
        <v>26242</v>
      </c>
      <c r="X1521" t="s">
        <v>26241</v>
      </c>
      <c r="Y1521" t="s">
        <v>26240</v>
      </c>
      <c r="Z1521" t="s">
        <v>26239</v>
      </c>
      <c r="AA1521" t="s">
        <v>74</v>
      </c>
      <c r="AB1521" t="s">
        <v>26238</v>
      </c>
      <c r="AC1521" t="s">
        <v>26237</v>
      </c>
      <c r="AD1521" t="s">
        <v>26236</v>
      </c>
      <c r="AE1521" t="s">
        <v>26235</v>
      </c>
      <c r="AF1521" t="s">
        <v>74</v>
      </c>
      <c r="AG1521">
        <v>10</v>
      </c>
      <c r="AH1521">
        <v>6</v>
      </c>
      <c r="AI1521">
        <v>7</v>
      </c>
      <c r="AJ1521">
        <v>2</v>
      </c>
      <c r="AK1521">
        <v>38</v>
      </c>
      <c r="AL1521" t="s">
        <v>332</v>
      </c>
      <c r="AM1521" t="s">
        <v>333</v>
      </c>
      <c r="AN1521" t="s">
        <v>334</v>
      </c>
      <c r="AO1521" t="s">
        <v>14237</v>
      </c>
      <c r="AP1521" t="s">
        <v>14238</v>
      </c>
      <c r="AQ1521" t="s">
        <v>74</v>
      </c>
      <c r="AR1521" t="s">
        <v>14239</v>
      </c>
      <c r="AS1521" t="s">
        <v>14240</v>
      </c>
      <c r="AT1521" t="s">
        <v>26234</v>
      </c>
      <c r="AU1521">
        <v>2023</v>
      </c>
      <c r="AV1521">
        <v>30</v>
      </c>
      <c r="AW1521">
        <v>6</v>
      </c>
      <c r="AX1521" t="s">
        <v>74</v>
      </c>
      <c r="AY1521" t="s">
        <v>74</v>
      </c>
      <c r="AZ1521" t="s">
        <v>74</v>
      </c>
      <c r="BA1521" t="s">
        <v>74</v>
      </c>
      <c r="BB1521">
        <v>827</v>
      </c>
      <c r="BC1521">
        <v>833</v>
      </c>
      <c r="BD1521" t="s">
        <v>74</v>
      </c>
      <c r="BE1521" t="s">
        <v>26233</v>
      </c>
      <c r="BF1521" t="str">
        <f>HYPERLINK("http://dx.doi.org/10.1080/13504851.2021.2025200","http://dx.doi.org/10.1080/13504851.2021.2025200")</f>
        <v>http://dx.doi.org/10.1080/13504851.2021.2025200</v>
      </c>
      <c r="BG1521" t="s">
        <v>74</v>
      </c>
      <c r="BH1521" t="s">
        <v>6548</v>
      </c>
      <c r="BI1521">
        <v>7</v>
      </c>
      <c r="BJ1521" t="s">
        <v>291</v>
      </c>
      <c r="BK1521" t="s">
        <v>99</v>
      </c>
      <c r="BL1521" t="s">
        <v>100</v>
      </c>
      <c r="BM1521" t="s">
        <v>26232</v>
      </c>
      <c r="BN1521" t="s">
        <v>74</v>
      </c>
      <c r="BO1521" t="s">
        <v>74</v>
      </c>
      <c r="BP1521" t="s">
        <v>74</v>
      </c>
      <c r="BQ1521" t="s">
        <v>74</v>
      </c>
      <c r="BR1521" t="s">
        <v>102</v>
      </c>
      <c r="BS1521" t="s">
        <v>26231</v>
      </c>
      <c r="BT1521" t="str">
        <f>HYPERLINK("https%3A%2F%2Fwww.webofscience.com%2Fwos%2Fwoscc%2Ffull-record%2FWOS:000742234500001","View Full Record in Web of Science")</f>
        <v>View Full Record in Web of Science</v>
      </c>
    </row>
    <row r="1522" spans="1:72" x14ac:dyDescent="0.25">
      <c r="A1522" t="s">
        <v>72</v>
      </c>
      <c r="B1522" t="s">
        <v>26230</v>
      </c>
      <c r="C1522" t="s">
        <v>74</v>
      </c>
      <c r="D1522" t="s">
        <v>74</v>
      </c>
      <c r="E1522" t="s">
        <v>74</v>
      </c>
      <c r="F1522" t="s">
        <v>26229</v>
      </c>
      <c r="G1522" t="s">
        <v>74</v>
      </c>
      <c r="H1522" t="s">
        <v>74</v>
      </c>
      <c r="I1522" t="s">
        <v>26228</v>
      </c>
      <c r="J1522" t="s">
        <v>1510</v>
      </c>
      <c r="K1522" t="s">
        <v>74</v>
      </c>
      <c r="L1522" t="s">
        <v>74</v>
      </c>
      <c r="M1522" t="s">
        <v>78</v>
      </c>
      <c r="N1522" t="s">
        <v>372</v>
      </c>
      <c r="O1522" t="s">
        <v>74</v>
      </c>
      <c r="P1522" t="s">
        <v>74</v>
      </c>
      <c r="Q1522" t="s">
        <v>74</v>
      </c>
      <c r="R1522" t="s">
        <v>74</v>
      </c>
      <c r="S1522" t="s">
        <v>74</v>
      </c>
      <c r="T1522" t="s">
        <v>26227</v>
      </c>
      <c r="U1522" t="s">
        <v>26226</v>
      </c>
      <c r="V1522" t="s">
        <v>26225</v>
      </c>
      <c r="W1522" t="s">
        <v>26224</v>
      </c>
      <c r="X1522" t="s">
        <v>26223</v>
      </c>
      <c r="Y1522" t="s">
        <v>26222</v>
      </c>
      <c r="Z1522" t="s">
        <v>26221</v>
      </c>
      <c r="AA1522" t="s">
        <v>26220</v>
      </c>
      <c r="AB1522" t="s">
        <v>26219</v>
      </c>
      <c r="AC1522" t="s">
        <v>74</v>
      </c>
      <c r="AD1522" t="s">
        <v>74</v>
      </c>
      <c r="AE1522" t="s">
        <v>74</v>
      </c>
      <c r="AF1522" t="s">
        <v>74</v>
      </c>
      <c r="AG1522">
        <v>75</v>
      </c>
      <c r="AH1522">
        <v>1</v>
      </c>
      <c r="AI1522">
        <v>1</v>
      </c>
      <c r="AJ1522">
        <v>0</v>
      </c>
      <c r="AK1522">
        <v>0</v>
      </c>
      <c r="AL1522" t="s">
        <v>89</v>
      </c>
      <c r="AM1522" t="s">
        <v>90</v>
      </c>
      <c r="AN1522" t="s">
        <v>91</v>
      </c>
      <c r="AO1522" t="s">
        <v>1519</v>
      </c>
      <c r="AP1522" t="s">
        <v>1520</v>
      </c>
      <c r="AQ1522" t="s">
        <v>74</v>
      </c>
      <c r="AR1522" t="s">
        <v>1521</v>
      </c>
      <c r="AS1522" t="s">
        <v>1522</v>
      </c>
      <c r="AT1522" t="s">
        <v>26218</v>
      </c>
      <c r="AU1522">
        <v>2025</v>
      </c>
      <c r="AV1522" t="s">
        <v>74</v>
      </c>
      <c r="AW1522" t="s">
        <v>74</v>
      </c>
      <c r="AX1522" t="s">
        <v>74</v>
      </c>
      <c r="AY1522" t="s">
        <v>74</v>
      </c>
      <c r="AZ1522" t="s">
        <v>74</v>
      </c>
      <c r="BA1522" t="s">
        <v>74</v>
      </c>
      <c r="BB1522" t="s">
        <v>74</v>
      </c>
      <c r="BC1522" t="s">
        <v>74</v>
      </c>
      <c r="BD1522" t="s">
        <v>74</v>
      </c>
      <c r="BE1522" t="s">
        <v>26217</v>
      </c>
      <c r="BF1522" t="str">
        <f>HYPERLINK("http://dx.doi.org/10.1108/IJSE-10-2024-0834","http://dx.doi.org/10.1108/IJSE-10-2024-0834")</f>
        <v>http://dx.doi.org/10.1108/IJSE-10-2024-0834</v>
      </c>
      <c r="BG1522" t="s">
        <v>74</v>
      </c>
      <c r="BH1522" t="s">
        <v>5030</v>
      </c>
      <c r="BI1522">
        <v>17</v>
      </c>
      <c r="BJ1522" t="s">
        <v>291</v>
      </c>
      <c r="BK1522" t="s">
        <v>313</v>
      </c>
      <c r="BL1522" t="s">
        <v>100</v>
      </c>
      <c r="BM1522" t="s">
        <v>26216</v>
      </c>
      <c r="BN1522" t="s">
        <v>74</v>
      </c>
      <c r="BO1522" t="s">
        <v>74</v>
      </c>
      <c r="BP1522" t="s">
        <v>74</v>
      </c>
      <c r="BQ1522" t="s">
        <v>74</v>
      </c>
      <c r="BR1522" t="s">
        <v>102</v>
      </c>
      <c r="BS1522" t="s">
        <v>26215</v>
      </c>
      <c r="BT1522" t="str">
        <f>HYPERLINK("https%3A%2F%2Fwww.webofscience.com%2Fwos%2Fwoscc%2Ffull-record%2FWOS:001570423200001","View Full Record in Web of Science")</f>
        <v>View Full Record in Web of Science</v>
      </c>
    </row>
    <row r="1523" spans="1:72" x14ac:dyDescent="0.25">
      <c r="A1523" t="s">
        <v>72</v>
      </c>
      <c r="B1523" t="s">
        <v>26214</v>
      </c>
      <c r="C1523" t="s">
        <v>74</v>
      </c>
      <c r="D1523" t="s">
        <v>74</v>
      </c>
      <c r="E1523" t="s">
        <v>74</v>
      </c>
      <c r="F1523" t="s">
        <v>26213</v>
      </c>
      <c r="G1523" t="s">
        <v>74</v>
      </c>
      <c r="H1523" t="s">
        <v>74</v>
      </c>
      <c r="I1523" t="s">
        <v>26212</v>
      </c>
      <c r="J1523" t="s">
        <v>5958</v>
      </c>
      <c r="K1523" t="s">
        <v>74</v>
      </c>
      <c r="L1523" t="s">
        <v>74</v>
      </c>
      <c r="M1523" t="s">
        <v>78</v>
      </c>
      <c r="N1523" t="s">
        <v>79</v>
      </c>
      <c r="O1523" t="s">
        <v>74</v>
      </c>
      <c r="P1523" t="s">
        <v>74</v>
      </c>
      <c r="Q1523" t="s">
        <v>74</v>
      </c>
      <c r="R1523" t="s">
        <v>74</v>
      </c>
      <c r="S1523" t="s">
        <v>74</v>
      </c>
      <c r="T1523" t="s">
        <v>26211</v>
      </c>
      <c r="U1523" t="s">
        <v>26210</v>
      </c>
      <c r="V1523" t="s">
        <v>26209</v>
      </c>
      <c r="W1523" t="s">
        <v>26208</v>
      </c>
      <c r="X1523" t="s">
        <v>26207</v>
      </c>
      <c r="Y1523" t="s">
        <v>26206</v>
      </c>
      <c r="Z1523" t="s">
        <v>26205</v>
      </c>
      <c r="AA1523" t="s">
        <v>26204</v>
      </c>
      <c r="AB1523" t="s">
        <v>26203</v>
      </c>
      <c r="AC1523" t="s">
        <v>74</v>
      </c>
      <c r="AD1523" t="s">
        <v>74</v>
      </c>
      <c r="AE1523" t="s">
        <v>74</v>
      </c>
      <c r="AF1523" t="s">
        <v>74</v>
      </c>
      <c r="AG1523">
        <v>55</v>
      </c>
      <c r="AH1523">
        <v>18</v>
      </c>
      <c r="AI1523">
        <v>25</v>
      </c>
      <c r="AJ1523">
        <v>5</v>
      </c>
      <c r="AK1523">
        <v>71</v>
      </c>
      <c r="AL1523" t="s">
        <v>1216</v>
      </c>
      <c r="AM1523" t="s">
        <v>283</v>
      </c>
      <c r="AN1523" t="s">
        <v>1217</v>
      </c>
      <c r="AO1523" t="s">
        <v>5971</v>
      </c>
      <c r="AP1523" t="s">
        <v>74</v>
      </c>
      <c r="AQ1523" t="s">
        <v>74</v>
      </c>
      <c r="AR1523" t="s">
        <v>5972</v>
      </c>
      <c r="AS1523" t="s">
        <v>5973</v>
      </c>
      <c r="AT1523" t="s">
        <v>1503</v>
      </c>
      <c r="AU1523">
        <v>2021</v>
      </c>
      <c r="AV1523">
        <v>12</v>
      </c>
      <c r="AW1523" t="s">
        <v>74</v>
      </c>
      <c r="AX1523" t="s">
        <v>74</v>
      </c>
      <c r="AY1523" t="s">
        <v>74</v>
      </c>
      <c r="AZ1523" t="s">
        <v>74</v>
      </c>
      <c r="BA1523" t="s">
        <v>74</v>
      </c>
      <c r="BB1523" t="s">
        <v>74</v>
      </c>
      <c r="BC1523" t="s">
        <v>74</v>
      </c>
      <c r="BD1523">
        <v>742118</v>
      </c>
      <c r="BE1523" t="s">
        <v>26202</v>
      </c>
      <c r="BF1523" t="str">
        <f>HYPERLINK("http://dx.doi.org/10.3389/fpsyg.2021.742118","http://dx.doi.org/10.3389/fpsyg.2021.742118")</f>
        <v>http://dx.doi.org/10.3389/fpsyg.2021.742118</v>
      </c>
      <c r="BG1523" t="s">
        <v>74</v>
      </c>
      <c r="BH1523" t="s">
        <v>74</v>
      </c>
      <c r="BI1523">
        <v>11</v>
      </c>
      <c r="BJ1523" t="s">
        <v>2992</v>
      </c>
      <c r="BK1523" t="s">
        <v>99</v>
      </c>
      <c r="BL1523" t="s">
        <v>2993</v>
      </c>
      <c r="BM1523" t="s">
        <v>26201</v>
      </c>
      <c r="BN1523">
        <v>34858274</v>
      </c>
      <c r="BO1523" t="s">
        <v>916</v>
      </c>
      <c r="BP1523" t="s">
        <v>74</v>
      </c>
      <c r="BQ1523" t="s">
        <v>74</v>
      </c>
      <c r="BR1523" t="s">
        <v>102</v>
      </c>
      <c r="BS1523" t="s">
        <v>26200</v>
      </c>
      <c r="BT1523" t="str">
        <f>HYPERLINK("https%3A%2F%2Fwww.webofscience.com%2Fwos%2Fwoscc%2Ffull-record%2FWOS:000726031000001","View Full Record in Web of Science")</f>
        <v>View Full Record in Web of Science</v>
      </c>
    </row>
    <row r="1524" spans="1:72" x14ac:dyDescent="0.25">
      <c r="A1524" t="s">
        <v>72</v>
      </c>
      <c r="B1524" t="s">
        <v>26199</v>
      </c>
      <c r="C1524" t="s">
        <v>74</v>
      </c>
      <c r="D1524" t="s">
        <v>74</v>
      </c>
      <c r="E1524" t="s">
        <v>74</v>
      </c>
      <c r="F1524" t="s">
        <v>26198</v>
      </c>
      <c r="G1524" t="s">
        <v>74</v>
      </c>
      <c r="H1524" t="s">
        <v>74</v>
      </c>
      <c r="I1524" t="s">
        <v>26197</v>
      </c>
      <c r="J1524" t="s">
        <v>20307</v>
      </c>
      <c r="K1524" t="s">
        <v>74</v>
      </c>
      <c r="L1524" t="s">
        <v>74</v>
      </c>
      <c r="M1524" t="s">
        <v>78</v>
      </c>
      <c r="N1524" t="s">
        <v>79</v>
      </c>
      <c r="O1524" t="s">
        <v>74</v>
      </c>
      <c r="P1524" t="s">
        <v>74</v>
      </c>
      <c r="Q1524" t="s">
        <v>74</v>
      </c>
      <c r="R1524" t="s">
        <v>74</v>
      </c>
      <c r="S1524" t="s">
        <v>74</v>
      </c>
      <c r="T1524" t="s">
        <v>26196</v>
      </c>
      <c r="U1524" t="s">
        <v>26195</v>
      </c>
      <c r="V1524" t="s">
        <v>26194</v>
      </c>
      <c r="W1524" t="s">
        <v>26193</v>
      </c>
      <c r="X1524" t="s">
        <v>13676</v>
      </c>
      <c r="Y1524" t="s">
        <v>26192</v>
      </c>
      <c r="Z1524" t="s">
        <v>26191</v>
      </c>
      <c r="AA1524" t="s">
        <v>13679</v>
      </c>
      <c r="AB1524" t="s">
        <v>74</v>
      </c>
      <c r="AC1524" t="s">
        <v>26190</v>
      </c>
      <c r="AD1524" t="s">
        <v>26189</v>
      </c>
      <c r="AE1524" t="s">
        <v>26188</v>
      </c>
      <c r="AF1524" t="s">
        <v>74</v>
      </c>
      <c r="AG1524">
        <v>33</v>
      </c>
      <c r="AH1524">
        <v>2</v>
      </c>
      <c r="AI1524">
        <v>4</v>
      </c>
      <c r="AJ1524">
        <v>6</v>
      </c>
      <c r="AK1524">
        <v>24</v>
      </c>
      <c r="AL1524" t="s">
        <v>20297</v>
      </c>
      <c r="AM1524" t="s">
        <v>20296</v>
      </c>
      <c r="AN1524" t="s">
        <v>20295</v>
      </c>
      <c r="AO1524" t="s">
        <v>20294</v>
      </c>
      <c r="AP1524" t="s">
        <v>20293</v>
      </c>
      <c r="AQ1524" t="s">
        <v>74</v>
      </c>
      <c r="AR1524" t="s">
        <v>20292</v>
      </c>
      <c r="AS1524" t="s">
        <v>20291</v>
      </c>
      <c r="AT1524" t="s">
        <v>74</v>
      </c>
      <c r="AU1524">
        <v>2024</v>
      </c>
      <c r="AV1524">
        <v>27</v>
      </c>
      <c r="AW1524">
        <v>2</v>
      </c>
      <c r="AX1524" t="s">
        <v>74</v>
      </c>
      <c r="AY1524" t="s">
        <v>74</v>
      </c>
      <c r="AZ1524" t="s">
        <v>74</v>
      </c>
      <c r="BA1524" t="s">
        <v>74</v>
      </c>
      <c r="BB1524">
        <v>162</v>
      </c>
      <c r="BC1524">
        <v>182</v>
      </c>
      <c r="BD1524" t="s">
        <v>74</v>
      </c>
      <c r="BE1524" t="s">
        <v>26187</v>
      </c>
      <c r="BF1524" t="str">
        <f>HYPERLINK("http://dx.doi.org/10.15240/tul/001/2024-5-004","http://dx.doi.org/10.15240/tul/001/2024-5-004")</f>
        <v>http://dx.doi.org/10.15240/tul/001/2024-5-004</v>
      </c>
      <c r="BG1524" t="s">
        <v>74</v>
      </c>
      <c r="BH1524" t="s">
        <v>74</v>
      </c>
      <c r="BI1524">
        <v>21</v>
      </c>
      <c r="BJ1524" t="s">
        <v>5519</v>
      </c>
      <c r="BK1524" t="s">
        <v>99</v>
      </c>
      <c r="BL1524" t="s">
        <v>100</v>
      </c>
      <c r="BM1524" t="s">
        <v>26186</v>
      </c>
      <c r="BN1524" t="s">
        <v>74</v>
      </c>
      <c r="BO1524" t="s">
        <v>212</v>
      </c>
      <c r="BP1524" t="s">
        <v>74</v>
      </c>
      <c r="BQ1524" t="s">
        <v>74</v>
      </c>
      <c r="BR1524" t="s">
        <v>102</v>
      </c>
      <c r="BS1524" t="s">
        <v>26185</v>
      </c>
      <c r="BT1524" t="str">
        <f>HYPERLINK("https%3A%2F%2Fwww.webofscience.com%2Fwos%2Fwoscc%2Ffull-record%2FWOS:001245554600009","View Full Record in Web of Science")</f>
        <v>View Full Record in Web of Science</v>
      </c>
    </row>
    <row r="1525" spans="1:72" x14ac:dyDescent="0.25">
      <c r="A1525" t="s">
        <v>72</v>
      </c>
      <c r="B1525" t="s">
        <v>26184</v>
      </c>
      <c r="C1525" t="s">
        <v>74</v>
      </c>
      <c r="D1525" t="s">
        <v>74</v>
      </c>
      <c r="E1525" t="s">
        <v>74</v>
      </c>
      <c r="F1525" t="s">
        <v>26183</v>
      </c>
      <c r="G1525" t="s">
        <v>74</v>
      </c>
      <c r="H1525" t="s">
        <v>74</v>
      </c>
      <c r="I1525" t="s">
        <v>26182</v>
      </c>
      <c r="J1525" t="s">
        <v>18075</v>
      </c>
      <c r="K1525" t="s">
        <v>74</v>
      </c>
      <c r="L1525" t="s">
        <v>74</v>
      </c>
      <c r="M1525" t="s">
        <v>78</v>
      </c>
      <c r="N1525" t="s">
        <v>79</v>
      </c>
      <c r="O1525" t="s">
        <v>74</v>
      </c>
      <c r="P1525" t="s">
        <v>74</v>
      </c>
      <c r="Q1525" t="s">
        <v>74</v>
      </c>
      <c r="R1525" t="s">
        <v>74</v>
      </c>
      <c r="S1525" t="s">
        <v>74</v>
      </c>
      <c r="T1525" t="s">
        <v>26181</v>
      </c>
      <c r="U1525" t="s">
        <v>26180</v>
      </c>
      <c r="V1525" t="s">
        <v>26179</v>
      </c>
      <c r="W1525" t="s">
        <v>26178</v>
      </c>
      <c r="X1525" t="s">
        <v>26177</v>
      </c>
      <c r="Y1525" t="s">
        <v>26176</v>
      </c>
      <c r="Z1525" t="s">
        <v>26175</v>
      </c>
      <c r="AA1525" t="s">
        <v>26174</v>
      </c>
      <c r="AB1525" t="s">
        <v>26173</v>
      </c>
      <c r="AC1525" t="s">
        <v>26172</v>
      </c>
      <c r="AD1525" t="s">
        <v>26171</v>
      </c>
      <c r="AE1525" t="s">
        <v>26170</v>
      </c>
      <c r="AF1525" t="s">
        <v>74</v>
      </c>
      <c r="AG1525">
        <v>75</v>
      </c>
      <c r="AH1525">
        <v>5</v>
      </c>
      <c r="AI1525">
        <v>9</v>
      </c>
      <c r="AJ1525">
        <v>1</v>
      </c>
      <c r="AK1525">
        <v>76</v>
      </c>
      <c r="AL1525" t="s">
        <v>89</v>
      </c>
      <c r="AM1525" t="s">
        <v>90</v>
      </c>
      <c r="AN1525" t="s">
        <v>91</v>
      </c>
      <c r="AO1525" t="s">
        <v>18085</v>
      </c>
      <c r="AP1525" t="s">
        <v>18086</v>
      </c>
      <c r="AQ1525" t="s">
        <v>74</v>
      </c>
      <c r="AR1525" t="s">
        <v>18075</v>
      </c>
      <c r="AS1525" t="s">
        <v>18087</v>
      </c>
      <c r="AT1525" t="s">
        <v>26169</v>
      </c>
      <c r="AU1525">
        <v>2023</v>
      </c>
      <c r="AV1525">
        <v>52</v>
      </c>
      <c r="AW1525">
        <v>10</v>
      </c>
      <c r="AX1525" t="s">
        <v>74</v>
      </c>
      <c r="AY1525" t="s">
        <v>74</v>
      </c>
      <c r="AZ1525" t="s">
        <v>74</v>
      </c>
      <c r="BA1525" t="s">
        <v>74</v>
      </c>
      <c r="BB1525">
        <v>4611</v>
      </c>
      <c r="BC1525">
        <v>4644</v>
      </c>
      <c r="BD1525" t="s">
        <v>74</v>
      </c>
      <c r="BE1525" t="s">
        <v>26168</v>
      </c>
      <c r="BF1525" t="str">
        <f>HYPERLINK("http://dx.doi.org/10.1108/K-03-2022-0321","http://dx.doi.org/10.1108/K-03-2022-0321")</f>
        <v>http://dx.doi.org/10.1108/K-03-2022-0321</v>
      </c>
      <c r="BG1525" t="s">
        <v>74</v>
      </c>
      <c r="BH1525" t="s">
        <v>1802</v>
      </c>
      <c r="BI1525">
        <v>34</v>
      </c>
      <c r="BJ1525" t="s">
        <v>6568</v>
      </c>
      <c r="BK1525" t="s">
        <v>128</v>
      </c>
      <c r="BL1525" t="s">
        <v>157</v>
      </c>
      <c r="BM1525" t="s">
        <v>26167</v>
      </c>
      <c r="BN1525" t="s">
        <v>74</v>
      </c>
      <c r="BO1525" t="s">
        <v>74</v>
      </c>
      <c r="BP1525" t="s">
        <v>74</v>
      </c>
      <c r="BQ1525" t="s">
        <v>74</v>
      </c>
      <c r="BR1525" t="s">
        <v>102</v>
      </c>
      <c r="BS1525" t="s">
        <v>26166</v>
      </c>
      <c r="BT1525" t="str">
        <f>HYPERLINK("https%3A%2F%2Fwww.webofscience.com%2Fwos%2Fwoscc%2Ffull-record%2FWOS:000805444900001","View Full Record in Web of Science")</f>
        <v>View Full Record in Web of Science</v>
      </c>
    </row>
    <row r="1526" spans="1:72" x14ac:dyDescent="0.25">
      <c r="A1526" t="s">
        <v>72</v>
      </c>
      <c r="B1526" t="s">
        <v>26165</v>
      </c>
      <c r="C1526" t="s">
        <v>74</v>
      </c>
      <c r="D1526" t="s">
        <v>74</v>
      </c>
      <c r="E1526" t="s">
        <v>74</v>
      </c>
      <c r="F1526" t="s">
        <v>26164</v>
      </c>
      <c r="G1526" t="s">
        <v>74</v>
      </c>
      <c r="H1526" t="s">
        <v>74</v>
      </c>
      <c r="I1526" t="s">
        <v>26163</v>
      </c>
      <c r="J1526" t="s">
        <v>3561</v>
      </c>
      <c r="K1526" t="s">
        <v>74</v>
      </c>
      <c r="L1526" t="s">
        <v>74</v>
      </c>
      <c r="M1526" t="s">
        <v>78</v>
      </c>
      <c r="N1526" t="s">
        <v>79</v>
      </c>
      <c r="O1526" t="s">
        <v>74</v>
      </c>
      <c r="P1526" t="s">
        <v>74</v>
      </c>
      <c r="Q1526" t="s">
        <v>74</v>
      </c>
      <c r="R1526" t="s">
        <v>74</v>
      </c>
      <c r="S1526" t="s">
        <v>74</v>
      </c>
      <c r="T1526" t="s">
        <v>26162</v>
      </c>
      <c r="U1526" t="s">
        <v>74</v>
      </c>
      <c r="V1526" t="s">
        <v>26161</v>
      </c>
      <c r="W1526" t="s">
        <v>26160</v>
      </c>
      <c r="X1526" t="s">
        <v>26159</v>
      </c>
      <c r="Y1526" t="s">
        <v>26158</v>
      </c>
      <c r="Z1526" t="s">
        <v>26157</v>
      </c>
      <c r="AA1526" t="s">
        <v>74</v>
      </c>
      <c r="AB1526" t="s">
        <v>74</v>
      </c>
      <c r="AC1526" t="s">
        <v>26156</v>
      </c>
      <c r="AD1526" t="s">
        <v>26156</v>
      </c>
      <c r="AE1526" t="s">
        <v>26155</v>
      </c>
      <c r="AF1526" t="s">
        <v>74</v>
      </c>
      <c r="AG1526">
        <v>51</v>
      </c>
      <c r="AH1526">
        <v>0</v>
      </c>
      <c r="AI1526">
        <v>0</v>
      </c>
      <c r="AJ1526">
        <v>0</v>
      </c>
      <c r="AK1526">
        <v>0</v>
      </c>
      <c r="AL1526" t="s">
        <v>89</v>
      </c>
      <c r="AM1526" t="s">
        <v>90</v>
      </c>
      <c r="AN1526" t="s">
        <v>91</v>
      </c>
      <c r="AO1526" t="s">
        <v>3568</v>
      </c>
      <c r="AP1526" t="s">
        <v>3569</v>
      </c>
      <c r="AQ1526" t="s">
        <v>74</v>
      </c>
      <c r="AR1526" t="s">
        <v>3570</v>
      </c>
      <c r="AS1526" t="s">
        <v>3571</v>
      </c>
      <c r="AT1526" t="s">
        <v>26154</v>
      </c>
      <c r="AU1526">
        <v>2025</v>
      </c>
      <c r="AV1526">
        <v>28</v>
      </c>
      <c r="AW1526">
        <v>7</v>
      </c>
      <c r="AX1526" t="s">
        <v>74</v>
      </c>
      <c r="AY1526" t="s">
        <v>74</v>
      </c>
      <c r="AZ1526" t="s">
        <v>74</v>
      </c>
      <c r="BA1526" t="s">
        <v>74</v>
      </c>
      <c r="BB1526">
        <v>65</v>
      </c>
      <c r="BC1526">
        <v>80</v>
      </c>
      <c r="BD1526" t="s">
        <v>74</v>
      </c>
      <c r="BE1526" t="s">
        <v>26153</v>
      </c>
      <c r="BF1526" t="str">
        <f>HYPERLINK("http://dx.doi.org/10.1108/JMLC-04-2025-0049","http://dx.doi.org/10.1108/JMLC-04-2025-0049")</f>
        <v>http://dx.doi.org/10.1108/JMLC-04-2025-0049</v>
      </c>
      <c r="BG1526" t="s">
        <v>74</v>
      </c>
      <c r="BH1526" t="s">
        <v>74</v>
      </c>
      <c r="BI1526">
        <v>16</v>
      </c>
      <c r="BJ1526" t="s">
        <v>3573</v>
      </c>
      <c r="BK1526" t="s">
        <v>313</v>
      </c>
      <c r="BL1526" t="s">
        <v>3573</v>
      </c>
      <c r="BM1526" t="s">
        <v>26152</v>
      </c>
      <c r="BN1526" t="s">
        <v>74</v>
      </c>
      <c r="BO1526" t="s">
        <v>270</v>
      </c>
      <c r="BP1526" t="s">
        <v>74</v>
      </c>
      <c r="BQ1526" t="s">
        <v>74</v>
      </c>
      <c r="BR1526" t="s">
        <v>102</v>
      </c>
      <c r="BS1526" t="s">
        <v>26151</v>
      </c>
      <c r="BT1526" t="str">
        <f>HYPERLINK("https%3A%2F%2Fwww.webofscience.com%2Fwos%2Fwoscc%2Ffull-record%2FWOS:001608859800002","View Full Record in Web of Science")</f>
        <v>View Full Record in Web of Science</v>
      </c>
    </row>
    <row r="1527" spans="1:72" x14ac:dyDescent="0.25">
      <c r="A1527" t="s">
        <v>72</v>
      </c>
      <c r="B1527" t="s">
        <v>26150</v>
      </c>
      <c r="C1527" t="s">
        <v>74</v>
      </c>
      <c r="D1527" t="s">
        <v>74</v>
      </c>
      <c r="E1527" t="s">
        <v>74</v>
      </c>
      <c r="F1527" t="s">
        <v>26149</v>
      </c>
      <c r="G1527" t="s">
        <v>74</v>
      </c>
      <c r="H1527" t="s">
        <v>74</v>
      </c>
      <c r="I1527" t="s">
        <v>26148</v>
      </c>
      <c r="J1527" t="s">
        <v>26147</v>
      </c>
      <c r="K1527" t="s">
        <v>74</v>
      </c>
      <c r="L1527" t="s">
        <v>74</v>
      </c>
      <c r="M1527" t="s">
        <v>78</v>
      </c>
      <c r="N1527" t="s">
        <v>79</v>
      </c>
      <c r="O1527" t="s">
        <v>74</v>
      </c>
      <c r="P1527" t="s">
        <v>74</v>
      </c>
      <c r="Q1527" t="s">
        <v>74</v>
      </c>
      <c r="R1527" t="s">
        <v>74</v>
      </c>
      <c r="S1527" t="s">
        <v>74</v>
      </c>
      <c r="T1527" t="s">
        <v>26146</v>
      </c>
      <c r="U1527" t="s">
        <v>26145</v>
      </c>
      <c r="V1527" t="s">
        <v>26144</v>
      </c>
      <c r="W1527" t="s">
        <v>26143</v>
      </c>
      <c r="X1527" t="s">
        <v>26142</v>
      </c>
      <c r="Y1527" t="s">
        <v>26141</v>
      </c>
      <c r="Z1527" t="s">
        <v>26140</v>
      </c>
      <c r="AA1527" t="s">
        <v>26139</v>
      </c>
      <c r="AB1527" t="s">
        <v>26138</v>
      </c>
      <c r="AC1527" t="s">
        <v>74</v>
      </c>
      <c r="AD1527" t="s">
        <v>74</v>
      </c>
      <c r="AE1527" t="s">
        <v>26137</v>
      </c>
      <c r="AF1527" t="s">
        <v>74</v>
      </c>
      <c r="AG1527">
        <v>26</v>
      </c>
      <c r="AH1527">
        <v>1</v>
      </c>
      <c r="AI1527">
        <v>1</v>
      </c>
      <c r="AJ1527">
        <v>0</v>
      </c>
      <c r="AK1527">
        <v>2</v>
      </c>
      <c r="AL1527" t="s">
        <v>994</v>
      </c>
      <c r="AM1527" t="s">
        <v>995</v>
      </c>
      <c r="AN1527" t="s">
        <v>2061</v>
      </c>
      <c r="AO1527" t="s">
        <v>26136</v>
      </c>
      <c r="AP1527" t="s">
        <v>26135</v>
      </c>
      <c r="AQ1527" t="s">
        <v>74</v>
      </c>
      <c r="AR1527" t="s">
        <v>26134</v>
      </c>
      <c r="AS1527" t="s">
        <v>26133</v>
      </c>
      <c r="AT1527" t="s">
        <v>74</v>
      </c>
      <c r="AU1527">
        <v>2024</v>
      </c>
      <c r="AV1527">
        <v>18</v>
      </c>
      <c r="AW1527" t="s">
        <v>74</v>
      </c>
      <c r="AX1527" t="s">
        <v>74</v>
      </c>
      <c r="AY1527" t="s">
        <v>74</v>
      </c>
      <c r="AZ1527" t="s">
        <v>74</v>
      </c>
      <c r="BA1527" t="s">
        <v>74</v>
      </c>
      <c r="BB1527" t="s">
        <v>74</v>
      </c>
      <c r="BC1527" t="s">
        <v>74</v>
      </c>
      <c r="BD1527">
        <v>1.7483026241270624E+16</v>
      </c>
      <c r="BE1527" t="s">
        <v>26132</v>
      </c>
      <c r="BF1527" t="str">
        <f>HYPERLINK("http://dx.doi.org/10.1177/17483026241270624","http://dx.doi.org/10.1177/17483026241270624")</f>
        <v>http://dx.doi.org/10.1177/17483026241270624</v>
      </c>
      <c r="BG1527" t="s">
        <v>74</v>
      </c>
      <c r="BH1527" t="s">
        <v>74</v>
      </c>
      <c r="BI1527">
        <v>11</v>
      </c>
      <c r="BJ1527" t="s">
        <v>2622</v>
      </c>
      <c r="BK1527" t="s">
        <v>313</v>
      </c>
      <c r="BL1527" t="s">
        <v>157</v>
      </c>
      <c r="BM1527" t="s">
        <v>26131</v>
      </c>
      <c r="BN1527" t="s">
        <v>74</v>
      </c>
      <c r="BO1527" t="s">
        <v>212</v>
      </c>
      <c r="BP1527" t="s">
        <v>74</v>
      </c>
      <c r="BQ1527" t="s">
        <v>74</v>
      </c>
      <c r="BR1527" t="s">
        <v>102</v>
      </c>
      <c r="BS1527" t="s">
        <v>26130</v>
      </c>
      <c r="BT1527" t="str">
        <f>HYPERLINK("https%3A%2F%2Fwww.webofscience.com%2Fwos%2Fwoscc%2Ffull-record%2FWOS:001302181700001","View Full Record in Web of Science")</f>
        <v>View Full Record in Web of Science</v>
      </c>
    </row>
    <row r="1528" spans="1:72" x14ac:dyDescent="0.25">
      <c r="A1528" t="s">
        <v>72</v>
      </c>
      <c r="B1528" t="s">
        <v>26129</v>
      </c>
      <c r="C1528" t="s">
        <v>74</v>
      </c>
      <c r="D1528" t="s">
        <v>74</v>
      </c>
      <c r="E1528" t="s">
        <v>74</v>
      </c>
      <c r="F1528" t="s">
        <v>26128</v>
      </c>
      <c r="G1528" t="s">
        <v>74</v>
      </c>
      <c r="H1528" t="s">
        <v>74</v>
      </c>
      <c r="I1528" t="s">
        <v>26127</v>
      </c>
      <c r="J1528" t="s">
        <v>4956</v>
      </c>
      <c r="K1528" t="s">
        <v>74</v>
      </c>
      <c r="L1528" t="s">
        <v>74</v>
      </c>
      <c r="M1528" t="s">
        <v>78</v>
      </c>
      <c r="N1528" t="s">
        <v>1766</v>
      </c>
      <c r="O1528" t="s">
        <v>74</v>
      </c>
      <c r="P1528" t="s">
        <v>74</v>
      </c>
      <c r="Q1528" t="s">
        <v>74</v>
      </c>
      <c r="R1528" t="s">
        <v>74</v>
      </c>
      <c r="S1528" t="s">
        <v>74</v>
      </c>
      <c r="T1528" t="s">
        <v>26126</v>
      </c>
      <c r="U1528" t="s">
        <v>26125</v>
      </c>
      <c r="V1528" t="s">
        <v>26124</v>
      </c>
      <c r="W1528" t="s">
        <v>26123</v>
      </c>
      <c r="X1528" t="s">
        <v>3294</v>
      </c>
      <c r="Y1528" t="s">
        <v>26122</v>
      </c>
      <c r="Z1528" t="s">
        <v>74</v>
      </c>
      <c r="AA1528" t="s">
        <v>74</v>
      </c>
      <c r="AB1528" t="s">
        <v>74</v>
      </c>
      <c r="AC1528" t="s">
        <v>74</v>
      </c>
      <c r="AD1528" t="s">
        <v>74</v>
      </c>
      <c r="AE1528" t="s">
        <v>74</v>
      </c>
      <c r="AF1528" t="s">
        <v>74</v>
      </c>
      <c r="AG1528">
        <v>73</v>
      </c>
      <c r="AH1528">
        <v>126</v>
      </c>
      <c r="AI1528">
        <v>178</v>
      </c>
      <c r="AJ1528">
        <v>11</v>
      </c>
      <c r="AK1528">
        <v>256</v>
      </c>
      <c r="AL1528" t="s">
        <v>230</v>
      </c>
      <c r="AM1528" t="s">
        <v>231</v>
      </c>
      <c r="AN1528" t="s">
        <v>232</v>
      </c>
      <c r="AO1528" t="s">
        <v>4966</v>
      </c>
      <c r="AP1528" t="s">
        <v>4967</v>
      </c>
      <c r="AQ1528" t="s">
        <v>74</v>
      </c>
      <c r="AR1528" t="s">
        <v>4968</v>
      </c>
      <c r="AS1528" t="s">
        <v>4969</v>
      </c>
      <c r="AT1528" t="s">
        <v>698</v>
      </c>
      <c r="AU1528">
        <v>2017</v>
      </c>
      <c r="AV1528">
        <v>97</v>
      </c>
      <c r="AW1528" t="s">
        <v>74</v>
      </c>
      <c r="AX1528" t="s">
        <v>74</v>
      </c>
      <c r="AY1528" t="s">
        <v>74</v>
      </c>
      <c r="AZ1528" t="s">
        <v>74</v>
      </c>
      <c r="BA1528" t="s">
        <v>74</v>
      </c>
      <c r="BB1528">
        <v>330</v>
      </c>
      <c r="BC1528">
        <v>348</v>
      </c>
      <c r="BD1528" t="s">
        <v>74</v>
      </c>
      <c r="BE1528" t="s">
        <v>26121</v>
      </c>
      <c r="BF1528" t="str">
        <f>HYPERLINK("http://dx.doi.org/10.1016/j.worlddev.2017.04.012","http://dx.doi.org/10.1016/j.worlddev.2017.04.012")</f>
        <v>http://dx.doi.org/10.1016/j.worlddev.2017.04.012</v>
      </c>
      <c r="BG1528" t="s">
        <v>74</v>
      </c>
      <c r="BH1528" t="s">
        <v>74</v>
      </c>
      <c r="BI1528">
        <v>19</v>
      </c>
      <c r="BJ1528" t="s">
        <v>701</v>
      </c>
      <c r="BK1528" t="s">
        <v>99</v>
      </c>
      <c r="BL1528" t="s">
        <v>702</v>
      </c>
      <c r="BM1528" t="s">
        <v>26120</v>
      </c>
      <c r="BN1528" t="s">
        <v>74</v>
      </c>
      <c r="BO1528" t="s">
        <v>74</v>
      </c>
      <c r="BP1528" t="s">
        <v>74</v>
      </c>
      <c r="BQ1528" t="s">
        <v>74</v>
      </c>
      <c r="BR1528" t="s">
        <v>102</v>
      </c>
      <c r="BS1528" t="s">
        <v>26119</v>
      </c>
      <c r="BT1528" t="str">
        <f>HYPERLINK("https%3A%2F%2Fwww.webofscience.com%2Fwos%2Fwoscc%2Ffull-record%2FWOS:000403984800021","View Full Record in Web of Science")</f>
        <v>View Full Record in Web of Science</v>
      </c>
    </row>
    <row r="1529" spans="1:72" x14ac:dyDescent="0.25">
      <c r="A1529" t="s">
        <v>72</v>
      </c>
      <c r="B1529" t="s">
        <v>26118</v>
      </c>
      <c r="C1529" t="s">
        <v>74</v>
      </c>
      <c r="D1529" t="s">
        <v>74</v>
      </c>
      <c r="E1529" t="s">
        <v>74</v>
      </c>
      <c r="F1529" t="s">
        <v>26117</v>
      </c>
      <c r="G1529" t="s">
        <v>74</v>
      </c>
      <c r="H1529" t="s">
        <v>74</v>
      </c>
      <c r="I1529" t="s">
        <v>26116</v>
      </c>
      <c r="J1529" t="s">
        <v>26105</v>
      </c>
      <c r="K1529" t="s">
        <v>74</v>
      </c>
      <c r="L1529" t="s">
        <v>74</v>
      </c>
      <c r="M1529" t="s">
        <v>78</v>
      </c>
      <c r="N1529" t="s">
        <v>79</v>
      </c>
      <c r="O1529" t="s">
        <v>74</v>
      </c>
      <c r="P1529" t="s">
        <v>74</v>
      </c>
      <c r="Q1529" t="s">
        <v>74</v>
      </c>
      <c r="R1529" t="s">
        <v>74</v>
      </c>
      <c r="S1529" t="s">
        <v>74</v>
      </c>
      <c r="T1529" t="s">
        <v>26115</v>
      </c>
      <c r="U1529" t="s">
        <v>2945</v>
      </c>
      <c r="V1529" t="s">
        <v>26114</v>
      </c>
      <c r="W1529" t="s">
        <v>26113</v>
      </c>
      <c r="X1529" t="s">
        <v>26112</v>
      </c>
      <c r="Y1529" t="s">
        <v>26111</v>
      </c>
      <c r="Z1529" t="s">
        <v>26110</v>
      </c>
      <c r="AA1529" t="s">
        <v>26109</v>
      </c>
      <c r="AB1529" t="s">
        <v>26108</v>
      </c>
      <c r="AC1529" t="s">
        <v>18234</v>
      </c>
      <c r="AD1529" t="s">
        <v>18235</v>
      </c>
      <c r="AE1529" t="s">
        <v>18236</v>
      </c>
      <c r="AF1529" t="s">
        <v>74</v>
      </c>
      <c r="AG1529">
        <v>42</v>
      </c>
      <c r="AH1529">
        <v>47</v>
      </c>
      <c r="AI1529">
        <v>53</v>
      </c>
      <c r="AJ1529">
        <v>0</v>
      </c>
      <c r="AK1529">
        <v>38</v>
      </c>
      <c r="AL1529" t="s">
        <v>479</v>
      </c>
      <c r="AM1529" t="s">
        <v>480</v>
      </c>
      <c r="AN1529" t="s">
        <v>481</v>
      </c>
      <c r="AO1529" t="s">
        <v>26107</v>
      </c>
      <c r="AP1529" t="s">
        <v>26106</v>
      </c>
      <c r="AQ1529" t="s">
        <v>74</v>
      </c>
      <c r="AR1529" t="s">
        <v>26105</v>
      </c>
      <c r="AS1529" t="s">
        <v>26104</v>
      </c>
      <c r="AT1529" t="s">
        <v>208</v>
      </c>
      <c r="AU1529">
        <v>2022</v>
      </c>
      <c r="AV1529">
        <v>38</v>
      </c>
      <c r="AW1529">
        <v>1</v>
      </c>
      <c r="AX1529" t="s">
        <v>74</v>
      </c>
      <c r="AY1529" t="s">
        <v>74</v>
      </c>
      <c r="AZ1529" t="s">
        <v>74</v>
      </c>
      <c r="BA1529" t="s">
        <v>74</v>
      </c>
      <c r="BB1529">
        <v>236</v>
      </c>
      <c r="BC1529">
        <v>255</v>
      </c>
      <c r="BD1529" t="s">
        <v>74</v>
      </c>
      <c r="BE1529" t="s">
        <v>26103</v>
      </c>
      <c r="BF1529" t="str">
        <f>HYPERLINK("http://dx.doi.org/10.1002/agr.21721","http://dx.doi.org/10.1002/agr.21721")</f>
        <v>http://dx.doi.org/10.1002/agr.21721</v>
      </c>
      <c r="BG1529" t="s">
        <v>74</v>
      </c>
      <c r="BH1529" t="s">
        <v>11151</v>
      </c>
      <c r="BI1529">
        <v>20</v>
      </c>
      <c r="BJ1529" t="s">
        <v>26102</v>
      </c>
      <c r="BK1529" t="s">
        <v>2623</v>
      </c>
      <c r="BL1529" t="s">
        <v>26101</v>
      </c>
      <c r="BM1529" t="s">
        <v>26100</v>
      </c>
      <c r="BN1529" t="s">
        <v>74</v>
      </c>
      <c r="BO1529" t="s">
        <v>466</v>
      </c>
      <c r="BP1529" t="s">
        <v>74</v>
      </c>
      <c r="BQ1529" t="s">
        <v>74</v>
      </c>
      <c r="BR1529" t="s">
        <v>102</v>
      </c>
      <c r="BS1529" t="s">
        <v>26099</v>
      </c>
      <c r="BT1529" t="str">
        <f>HYPERLINK("https%3A%2F%2Fwww.webofscience.com%2Fwos%2Fwoscc%2Ffull-record%2FWOS:000678247300001","View Full Record in Web of Science")</f>
        <v>View Full Record in Web of Science</v>
      </c>
    </row>
    <row r="1530" spans="1:72" x14ac:dyDescent="0.25">
      <c r="A1530" t="s">
        <v>72</v>
      </c>
      <c r="B1530" t="s">
        <v>26098</v>
      </c>
      <c r="C1530" t="s">
        <v>74</v>
      </c>
      <c r="D1530" t="s">
        <v>74</v>
      </c>
      <c r="E1530" t="s">
        <v>74</v>
      </c>
      <c r="F1530" t="s">
        <v>26097</v>
      </c>
      <c r="G1530" t="s">
        <v>74</v>
      </c>
      <c r="H1530" t="s">
        <v>74</v>
      </c>
      <c r="I1530" t="s">
        <v>26096</v>
      </c>
      <c r="J1530" t="s">
        <v>1963</v>
      </c>
      <c r="K1530" t="s">
        <v>74</v>
      </c>
      <c r="L1530" t="s">
        <v>74</v>
      </c>
      <c r="M1530" t="s">
        <v>78</v>
      </c>
      <c r="N1530" t="s">
        <v>372</v>
      </c>
      <c r="O1530" t="s">
        <v>74</v>
      </c>
      <c r="P1530" t="s">
        <v>74</v>
      </c>
      <c r="Q1530" t="s">
        <v>74</v>
      </c>
      <c r="R1530" t="s">
        <v>74</v>
      </c>
      <c r="S1530" t="s">
        <v>74</v>
      </c>
      <c r="T1530" t="s">
        <v>26095</v>
      </c>
      <c r="U1530" t="s">
        <v>23954</v>
      </c>
      <c r="V1530" t="s">
        <v>26094</v>
      </c>
      <c r="W1530" t="s">
        <v>26093</v>
      </c>
      <c r="X1530" t="s">
        <v>26092</v>
      </c>
      <c r="Y1530" t="s">
        <v>26091</v>
      </c>
      <c r="Z1530" t="s">
        <v>26090</v>
      </c>
      <c r="AA1530" t="s">
        <v>26089</v>
      </c>
      <c r="AB1530" t="s">
        <v>74</v>
      </c>
      <c r="AC1530" t="s">
        <v>74</v>
      </c>
      <c r="AD1530" t="s">
        <v>74</v>
      </c>
      <c r="AE1530" t="s">
        <v>74</v>
      </c>
      <c r="AF1530" t="s">
        <v>74</v>
      </c>
      <c r="AG1530">
        <v>57</v>
      </c>
      <c r="AH1530">
        <v>1</v>
      </c>
      <c r="AI1530">
        <v>1</v>
      </c>
      <c r="AJ1530">
        <v>3</v>
      </c>
      <c r="AK1530">
        <v>5</v>
      </c>
      <c r="AL1530" t="s">
        <v>332</v>
      </c>
      <c r="AM1530" t="s">
        <v>333</v>
      </c>
      <c r="AN1530" t="s">
        <v>334</v>
      </c>
      <c r="AO1530" t="s">
        <v>1975</v>
      </c>
      <c r="AP1530" t="s">
        <v>1976</v>
      </c>
      <c r="AQ1530" t="s">
        <v>74</v>
      </c>
      <c r="AR1530" t="s">
        <v>1977</v>
      </c>
      <c r="AS1530" t="s">
        <v>1978</v>
      </c>
      <c r="AT1530" t="s">
        <v>26088</v>
      </c>
      <c r="AU1530">
        <v>2025</v>
      </c>
      <c r="AV1530" t="s">
        <v>74</v>
      </c>
      <c r="AW1530" t="s">
        <v>74</v>
      </c>
      <c r="AX1530" t="s">
        <v>74</v>
      </c>
      <c r="AY1530" t="s">
        <v>74</v>
      </c>
      <c r="AZ1530" t="s">
        <v>74</v>
      </c>
      <c r="BA1530" t="s">
        <v>74</v>
      </c>
      <c r="BB1530" t="s">
        <v>74</v>
      </c>
      <c r="BC1530" t="s">
        <v>74</v>
      </c>
      <c r="BD1530" t="s">
        <v>74</v>
      </c>
      <c r="BE1530" t="s">
        <v>26087</v>
      </c>
      <c r="BF1530" t="str">
        <f>HYPERLINK("http://dx.doi.org/10.1080/00036846.2025.2453756","http://dx.doi.org/10.1080/00036846.2025.2453756")</f>
        <v>http://dx.doi.org/10.1080/00036846.2025.2453756</v>
      </c>
      <c r="BG1530" t="s">
        <v>74</v>
      </c>
      <c r="BH1530" t="s">
        <v>417</v>
      </c>
      <c r="BI1530">
        <v>21</v>
      </c>
      <c r="BJ1530" t="s">
        <v>291</v>
      </c>
      <c r="BK1530" t="s">
        <v>99</v>
      </c>
      <c r="BL1530" t="s">
        <v>100</v>
      </c>
      <c r="BM1530" t="s">
        <v>26086</v>
      </c>
      <c r="BN1530" t="s">
        <v>74</v>
      </c>
      <c r="BO1530" t="s">
        <v>74</v>
      </c>
      <c r="BP1530" t="s">
        <v>74</v>
      </c>
      <c r="BQ1530" t="s">
        <v>74</v>
      </c>
      <c r="BR1530" t="s">
        <v>102</v>
      </c>
      <c r="BS1530" t="s">
        <v>26085</v>
      </c>
      <c r="BT1530" t="str">
        <f>HYPERLINK("https%3A%2F%2Fwww.webofscience.com%2Fwos%2Fwoscc%2Ffull-record%2FWOS:001467264600001","View Full Record in Web of Science")</f>
        <v>View Full Record in Web of Science</v>
      </c>
    </row>
    <row r="1531" spans="1:72" x14ac:dyDescent="0.25">
      <c r="A1531" t="s">
        <v>72</v>
      </c>
      <c r="B1531" t="s">
        <v>26084</v>
      </c>
      <c r="C1531" t="s">
        <v>74</v>
      </c>
      <c r="D1531" t="s">
        <v>74</v>
      </c>
      <c r="E1531" t="s">
        <v>74</v>
      </c>
      <c r="F1531" t="s">
        <v>26083</v>
      </c>
      <c r="G1531" t="s">
        <v>74</v>
      </c>
      <c r="H1531" t="s">
        <v>74</v>
      </c>
      <c r="I1531" t="s">
        <v>26082</v>
      </c>
      <c r="J1531" t="s">
        <v>13226</v>
      </c>
      <c r="K1531" t="s">
        <v>74</v>
      </c>
      <c r="L1531" t="s">
        <v>74</v>
      </c>
      <c r="M1531" t="s">
        <v>78</v>
      </c>
      <c r="N1531" t="s">
        <v>79</v>
      </c>
      <c r="O1531" t="s">
        <v>74</v>
      </c>
      <c r="P1531" t="s">
        <v>74</v>
      </c>
      <c r="Q1531" t="s">
        <v>74</v>
      </c>
      <c r="R1531" t="s">
        <v>74</v>
      </c>
      <c r="S1531" t="s">
        <v>74</v>
      </c>
      <c r="T1531" t="s">
        <v>26081</v>
      </c>
      <c r="U1531" t="s">
        <v>26080</v>
      </c>
      <c r="V1531" t="s">
        <v>26079</v>
      </c>
      <c r="W1531" t="s">
        <v>26078</v>
      </c>
      <c r="X1531" t="s">
        <v>4505</v>
      </c>
      <c r="Y1531" t="s">
        <v>26077</v>
      </c>
      <c r="Z1531" t="s">
        <v>26076</v>
      </c>
      <c r="AA1531" t="s">
        <v>26075</v>
      </c>
      <c r="AB1531" t="s">
        <v>74</v>
      </c>
      <c r="AC1531" t="s">
        <v>74</v>
      </c>
      <c r="AD1531" t="s">
        <v>74</v>
      </c>
      <c r="AE1531" t="s">
        <v>74</v>
      </c>
      <c r="AF1531" t="s">
        <v>74</v>
      </c>
      <c r="AG1531">
        <v>34</v>
      </c>
      <c r="AH1531">
        <v>53</v>
      </c>
      <c r="AI1531">
        <v>77</v>
      </c>
      <c r="AJ1531">
        <v>0</v>
      </c>
      <c r="AK1531">
        <v>23</v>
      </c>
      <c r="AL1531" t="s">
        <v>409</v>
      </c>
      <c r="AM1531" t="s">
        <v>410</v>
      </c>
      <c r="AN1531" t="s">
        <v>411</v>
      </c>
      <c r="AO1531" t="s">
        <v>13235</v>
      </c>
      <c r="AP1531" t="s">
        <v>13236</v>
      </c>
      <c r="AQ1531" t="s">
        <v>74</v>
      </c>
      <c r="AR1531" t="s">
        <v>13237</v>
      </c>
      <c r="AS1531" t="s">
        <v>13238</v>
      </c>
      <c r="AT1531" t="s">
        <v>1652</v>
      </c>
      <c r="AU1531">
        <v>2020</v>
      </c>
      <c r="AV1531">
        <v>24</v>
      </c>
      <c r="AW1531">
        <v>2</v>
      </c>
      <c r="AX1531" t="s">
        <v>74</v>
      </c>
      <c r="AY1531" t="s">
        <v>74</v>
      </c>
      <c r="AZ1531" t="s">
        <v>441</v>
      </c>
      <c r="BA1531" t="s">
        <v>74</v>
      </c>
      <c r="BB1531">
        <v>184</v>
      </c>
      <c r="BC1531">
        <v>193</v>
      </c>
      <c r="BD1531" t="s">
        <v>74</v>
      </c>
      <c r="BE1531" t="s">
        <v>26074</v>
      </c>
      <c r="BF1531" t="str">
        <f>HYPERLINK("http://dx.doi.org/10.1177/0972262920923891","http://dx.doi.org/10.1177/0972262920923891")</f>
        <v>http://dx.doi.org/10.1177/0972262920923891</v>
      </c>
      <c r="BG1531" t="s">
        <v>74</v>
      </c>
      <c r="BH1531" t="s">
        <v>74</v>
      </c>
      <c r="BI1531">
        <v>10</v>
      </c>
      <c r="BJ1531" t="s">
        <v>98</v>
      </c>
      <c r="BK1531" t="s">
        <v>313</v>
      </c>
      <c r="BL1531" t="s">
        <v>100</v>
      </c>
      <c r="BM1531" t="s">
        <v>26073</v>
      </c>
      <c r="BN1531" t="s">
        <v>74</v>
      </c>
      <c r="BO1531" t="s">
        <v>1205</v>
      </c>
      <c r="BP1531" t="s">
        <v>74</v>
      </c>
      <c r="BQ1531" t="s">
        <v>74</v>
      </c>
      <c r="BR1531" t="s">
        <v>102</v>
      </c>
      <c r="BS1531" t="s">
        <v>26072</v>
      </c>
      <c r="BT1531" t="str">
        <f>HYPERLINK("https%3A%2F%2Fwww.webofscience.com%2Fwos%2Fwoscc%2Ffull-record%2FWOS:000538152600006","View Full Record in Web of Science")</f>
        <v>View Full Record in Web of Science</v>
      </c>
    </row>
    <row r="1532" spans="1:72" x14ac:dyDescent="0.25">
      <c r="A1532" t="s">
        <v>132</v>
      </c>
      <c r="B1532" t="s">
        <v>26071</v>
      </c>
      <c r="C1532" t="s">
        <v>74</v>
      </c>
      <c r="D1532" t="s">
        <v>74</v>
      </c>
      <c r="E1532" t="s">
        <v>771</v>
      </c>
      <c r="F1532" t="s">
        <v>26070</v>
      </c>
      <c r="G1532" t="s">
        <v>74</v>
      </c>
      <c r="H1532" t="s">
        <v>74</v>
      </c>
      <c r="I1532" t="s">
        <v>26069</v>
      </c>
      <c r="J1532" t="s">
        <v>10634</v>
      </c>
      <c r="K1532" t="s">
        <v>74</v>
      </c>
      <c r="L1532" t="s">
        <v>74</v>
      </c>
      <c r="M1532" t="s">
        <v>78</v>
      </c>
      <c r="N1532" t="s">
        <v>138</v>
      </c>
      <c r="O1532" t="s">
        <v>10635</v>
      </c>
      <c r="P1532" t="s">
        <v>10636</v>
      </c>
      <c r="Q1532" t="s">
        <v>10637</v>
      </c>
      <c r="R1532" t="s">
        <v>74</v>
      </c>
      <c r="S1532" t="s">
        <v>74</v>
      </c>
      <c r="T1532" t="s">
        <v>26068</v>
      </c>
      <c r="U1532" t="s">
        <v>26067</v>
      </c>
      <c r="V1532" t="s">
        <v>26066</v>
      </c>
      <c r="W1532" t="s">
        <v>26065</v>
      </c>
      <c r="X1532" t="s">
        <v>12367</v>
      </c>
      <c r="Y1532" t="s">
        <v>26064</v>
      </c>
      <c r="Z1532" t="s">
        <v>26063</v>
      </c>
      <c r="AA1532" t="s">
        <v>26062</v>
      </c>
      <c r="AB1532" t="s">
        <v>26061</v>
      </c>
      <c r="AC1532" t="s">
        <v>74</v>
      </c>
      <c r="AD1532" t="s">
        <v>74</v>
      </c>
      <c r="AE1532" t="s">
        <v>74</v>
      </c>
      <c r="AF1532" t="s">
        <v>74</v>
      </c>
      <c r="AG1532">
        <v>27</v>
      </c>
      <c r="AH1532">
        <v>1</v>
      </c>
      <c r="AI1532">
        <v>1</v>
      </c>
      <c r="AJ1532">
        <v>0</v>
      </c>
      <c r="AK1532">
        <v>0</v>
      </c>
      <c r="AL1532" t="s">
        <v>771</v>
      </c>
      <c r="AM1532" t="s">
        <v>151</v>
      </c>
      <c r="AN1532" t="s">
        <v>785</v>
      </c>
      <c r="AO1532" t="s">
        <v>74</v>
      </c>
      <c r="AP1532" t="s">
        <v>74</v>
      </c>
      <c r="AQ1532" t="s">
        <v>74</v>
      </c>
      <c r="AR1532" t="s">
        <v>74</v>
      </c>
      <c r="AS1532" t="s">
        <v>74</v>
      </c>
      <c r="AT1532" t="s">
        <v>74</v>
      </c>
      <c r="AU1532">
        <v>2017</v>
      </c>
      <c r="AV1532" t="s">
        <v>74</v>
      </c>
      <c r="AW1532" t="s">
        <v>74</v>
      </c>
      <c r="AX1532" t="s">
        <v>74</v>
      </c>
      <c r="AY1532" t="s">
        <v>74</v>
      </c>
      <c r="AZ1532" t="s">
        <v>74</v>
      </c>
      <c r="BA1532" t="s">
        <v>74</v>
      </c>
      <c r="BB1532" t="s">
        <v>74</v>
      </c>
      <c r="BC1532" t="s">
        <v>74</v>
      </c>
      <c r="BD1532" t="s">
        <v>74</v>
      </c>
      <c r="BE1532" t="s">
        <v>74</v>
      </c>
      <c r="BF1532" t="s">
        <v>74</v>
      </c>
      <c r="BG1532" t="s">
        <v>74</v>
      </c>
      <c r="BH1532" t="s">
        <v>74</v>
      </c>
      <c r="BI1532">
        <v>11</v>
      </c>
      <c r="BJ1532" t="s">
        <v>4694</v>
      </c>
      <c r="BK1532" t="s">
        <v>156</v>
      </c>
      <c r="BL1532" t="s">
        <v>157</v>
      </c>
      <c r="BM1532" t="s">
        <v>10643</v>
      </c>
      <c r="BN1532" t="s">
        <v>74</v>
      </c>
      <c r="BO1532" t="s">
        <v>74</v>
      </c>
      <c r="BP1532" t="s">
        <v>74</v>
      </c>
      <c r="BQ1532" t="s">
        <v>74</v>
      </c>
      <c r="BR1532" t="s">
        <v>102</v>
      </c>
      <c r="BS1532" t="s">
        <v>26060</v>
      </c>
      <c r="BT1532" t="str">
        <f>HYPERLINK("https%3A%2F%2Fwww.webofscience.com%2Fwos%2Fwoscc%2Ffull-record%2FWOS:000426893600035","View Full Record in Web of Science")</f>
        <v>View Full Record in Web of Science</v>
      </c>
    </row>
    <row r="1533" spans="1:72" x14ac:dyDescent="0.25">
      <c r="A1533" t="s">
        <v>72</v>
      </c>
      <c r="B1533" t="s">
        <v>26059</v>
      </c>
      <c r="C1533" t="s">
        <v>74</v>
      </c>
      <c r="D1533" t="s">
        <v>74</v>
      </c>
      <c r="E1533" t="s">
        <v>74</v>
      </c>
      <c r="F1533" t="s">
        <v>26058</v>
      </c>
      <c r="G1533" t="s">
        <v>74</v>
      </c>
      <c r="H1533" t="s">
        <v>74</v>
      </c>
      <c r="I1533" t="s">
        <v>26057</v>
      </c>
      <c r="J1533" t="s">
        <v>13317</v>
      </c>
      <c r="K1533" t="s">
        <v>74</v>
      </c>
      <c r="L1533" t="s">
        <v>74</v>
      </c>
      <c r="M1533" t="s">
        <v>78</v>
      </c>
      <c r="N1533" t="s">
        <v>79</v>
      </c>
      <c r="O1533" t="s">
        <v>74</v>
      </c>
      <c r="P1533" t="s">
        <v>74</v>
      </c>
      <c r="Q1533" t="s">
        <v>74</v>
      </c>
      <c r="R1533" t="s">
        <v>74</v>
      </c>
      <c r="S1533" t="s">
        <v>74</v>
      </c>
      <c r="T1533" t="s">
        <v>26056</v>
      </c>
      <c r="U1533" t="s">
        <v>26055</v>
      </c>
      <c r="V1533" t="s">
        <v>26054</v>
      </c>
      <c r="W1533" t="s">
        <v>26053</v>
      </c>
      <c r="X1533" t="s">
        <v>26052</v>
      </c>
      <c r="Y1533" t="s">
        <v>26051</v>
      </c>
      <c r="Z1533" t="s">
        <v>26050</v>
      </c>
      <c r="AA1533" t="s">
        <v>26049</v>
      </c>
      <c r="AB1533" t="s">
        <v>26048</v>
      </c>
      <c r="AC1533" t="s">
        <v>74</v>
      </c>
      <c r="AD1533" t="s">
        <v>74</v>
      </c>
      <c r="AE1533" t="s">
        <v>74</v>
      </c>
      <c r="AF1533" t="s">
        <v>74</v>
      </c>
      <c r="AG1533">
        <v>36</v>
      </c>
      <c r="AH1533">
        <v>28</v>
      </c>
      <c r="AI1533">
        <v>36</v>
      </c>
      <c r="AJ1533">
        <v>0</v>
      </c>
      <c r="AK1533">
        <v>15</v>
      </c>
      <c r="AL1533" t="s">
        <v>26047</v>
      </c>
      <c r="AM1533" t="s">
        <v>13330</v>
      </c>
      <c r="AN1533" t="s">
        <v>13331</v>
      </c>
      <c r="AO1533" t="s">
        <v>13332</v>
      </c>
      <c r="AP1533" t="s">
        <v>13333</v>
      </c>
      <c r="AQ1533" t="s">
        <v>74</v>
      </c>
      <c r="AR1533" t="s">
        <v>13334</v>
      </c>
      <c r="AS1533" t="s">
        <v>13335</v>
      </c>
      <c r="AT1533" t="s">
        <v>124</v>
      </c>
      <c r="AU1533">
        <v>2015</v>
      </c>
      <c r="AV1533">
        <v>23</v>
      </c>
      <c r="AW1533">
        <v>4</v>
      </c>
      <c r="AX1533" t="s">
        <v>74</v>
      </c>
      <c r="AY1533" t="s">
        <v>74</v>
      </c>
      <c r="AZ1533" t="s">
        <v>74</v>
      </c>
      <c r="BA1533" t="s">
        <v>74</v>
      </c>
      <c r="BB1533">
        <v>827</v>
      </c>
      <c r="BC1533">
        <v>848</v>
      </c>
      <c r="BD1533" t="s">
        <v>74</v>
      </c>
      <c r="BE1533" t="s">
        <v>74</v>
      </c>
      <c r="BF1533" t="s">
        <v>74</v>
      </c>
      <c r="BG1533" t="s">
        <v>74</v>
      </c>
      <c r="BH1533" t="s">
        <v>74</v>
      </c>
      <c r="BI1533">
        <v>22</v>
      </c>
      <c r="BJ1533" t="s">
        <v>364</v>
      </c>
      <c r="BK1533" t="s">
        <v>313</v>
      </c>
      <c r="BL1533" t="s">
        <v>365</v>
      </c>
      <c r="BM1533" t="s">
        <v>26046</v>
      </c>
      <c r="BN1533" t="s">
        <v>74</v>
      </c>
      <c r="BO1533" t="s">
        <v>74</v>
      </c>
      <c r="BP1533" t="s">
        <v>74</v>
      </c>
      <c r="BQ1533" t="s">
        <v>74</v>
      </c>
      <c r="BR1533" t="s">
        <v>102</v>
      </c>
      <c r="BS1533" t="s">
        <v>26045</v>
      </c>
      <c r="BT1533" t="str">
        <f>HYPERLINK("https%3A%2F%2Fwww.webofscience.com%2Fwos%2Fwoscc%2Ffull-record%2FWOS:000373773000006","View Full Record in Web of Science")</f>
        <v>View Full Record in Web of Science</v>
      </c>
    </row>
    <row r="1534" spans="1:72" x14ac:dyDescent="0.25">
      <c r="A1534" t="s">
        <v>72</v>
      </c>
      <c r="B1534" t="s">
        <v>26044</v>
      </c>
      <c r="C1534" t="s">
        <v>74</v>
      </c>
      <c r="D1534" t="s">
        <v>74</v>
      </c>
      <c r="E1534" t="s">
        <v>74</v>
      </c>
      <c r="F1534" t="s">
        <v>26043</v>
      </c>
      <c r="G1534" t="s">
        <v>74</v>
      </c>
      <c r="H1534" t="s">
        <v>74</v>
      </c>
      <c r="I1534" t="s">
        <v>26042</v>
      </c>
      <c r="J1534" t="s">
        <v>2288</v>
      </c>
      <c r="K1534" t="s">
        <v>74</v>
      </c>
      <c r="L1534" t="s">
        <v>74</v>
      </c>
      <c r="M1534" t="s">
        <v>78</v>
      </c>
      <c r="N1534" t="s">
        <v>79</v>
      </c>
      <c r="O1534" t="s">
        <v>74</v>
      </c>
      <c r="P1534" t="s">
        <v>74</v>
      </c>
      <c r="Q1534" t="s">
        <v>74</v>
      </c>
      <c r="R1534" t="s">
        <v>74</v>
      </c>
      <c r="S1534" t="s">
        <v>74</v>
      </c>
      <c r="T1534" t="s">
        <v>26041</v>
      </c>
      <c r="U1534" t="s">
        <v>74</v>
      </c>
      <c r="V1534" t="s">
        <v>26040</v>
      </c>
      <c r="W1534" t="s">
        <v>26039</v>
      </c>
      <c r="X1534" t="s">
        <v>734</v>
      </c>
      <c r="Y1534" t="s">
        <v>26038</v>
      </c>
      <c r="Z1534" t="s">
        <v>26037</v>
      </c>
      <c r="AA1534" t="s">
        <v>74</v>
      </c>
      <c r="AB1534" t="s">
        <v>26036</v>
      </c>
      <c r="AC1534" t="s">
        <v>74</v>
      </c>
      <c r="AD1534" t="s">
        <v>74</v>
      </c>
      <c r="AE1534" t="s">
        <v>74</v>
      </c>
      <c r="AF1534" t="s">
        <v>74</v>
      </c>
      <c r="AG1534">
        <v>11</v>
      </c>
      <c r="AH1534">
        <v>39</v>
      </c>
      <c r="AI1534">
        <v>70</v>
      </c>
      <c r="AJ1534">
        <v>2</v>
      </c>
      <c r="AK1534">
        <v>33</v>
      </c>
      <c r="AL1534" t="s">
        <v>201</v>
      </c>
      <c r="AM1534" t="s">
        <v>202</v>
      </c>
      <c r="AN1534" t="s">
        <v>203</v>
      </c>
      <c r="AO1534" t="s">
        <v>2299</v>
      </c>
      <c r="AP1534" t="s">
        <v>2300</v>
      </c>
      <c r="AQ1534" t="s">
        <v>74</v>
      </c>
      <c r="AR1534" t="s">
        <v>2301</v>
      </c>
      <c r="AS1534" t="s">
        <v>2302</v>
      </c>
      <c r="AT1534" t="s">
        <v>1540</v>
      </c>
      <c r="AU1534">
        <v>2014</v>
      </c>
      <c r="AV1534">
        <v>108</v>
      </c>
      <c r="AW1534" t="s">
        <v>74</v>
      </c>
      <c r="AX1534" t="s">
        <v>74</v>
      </c>
      <c r="AY1534" t="s">
        <v>74</v>
      </c>
      <c r="AZ1534" t="s">
        <v>74</v>
      </c>
      <c r="BA1534" t="s">
        <v>74</v>
      </c>
      <c r="BB1534">
        <v>184</v>
      </c>
      <c r="BC1534">
        <v>189</v>
      </c>
      <c r="BD1534" t="s">
        <v>74</v>
      </c>
      <c r="BE1534" t="s">
        <v>26035</v>
      </c>
      <c r="BF1534" t="str">
        <f>HYPERLINK("http://dx.doi.org/10.1016/j.jdeveco.2014.02.009","http://dx.doi.org/10.1016/j.jdeveco.2014.02.009")</f>
        <v>http://dx.doi.org/10.1016/j.jdeveco.2014.02.009</v>
      </c>
      <c r="BG1534" t="s">
        <v>74</v>
      </c>
      <c r="BH1534" t="s">
        <v>74</v>
      </c>
      <c r="BI1534">
        <v>6</v>
      </c>
      <c r="BJ1534" t="s">
        <v>291</v>
      </c>
      <c r="BK1534" t="s">
        <v>99</v>
      </c>
      <c r="BL1534" t="s">
        <v>100</v>
      </c>
      <c r="BM1534" t="s">
        <v>26034</v>
      </c>
      <c r="BN1534" t="s">
        <v>74</v>
      </c>
      <c r="BO1534" t="s">
        <v>1696</v>
      </c>
      <c r="BP1534" t="s">
        <v>74</v>
      </c>
      <c r="BQ1534" t="s">
        <v>74</v>
      </c>
      <c r="BR1534" t="s">
        <v>102</v>
      </c>
      <c r="BS1534" t="s">
        <v>26033</v>
      </c>
      <c r="BT1534" t="str">
        <f>HYPERLINK("https%3A%2F%2Fwww.webofscience.com%2Fwos%2Fwoscc%2Ffull-record%2FWOS:000338001900013","View Full Record in Web of Science")</f>
        <v>View Full Record in Web of Science</v>
      </c>
    </row>
    <row r="1535" spans="1:72" x14ac:dyDescent="0.25">
      <c r="A1535" t="s">
        <v>132</v>
      </c>
      <c r="B1535" t="s">
        <v>26032</v>
      </c>
      <c r="C1535" t="s">
        <v>74</v>
      </c>
      <c r="D1535" t="s">
        <v>74</v>
      </c>
      <c r="E1535" t="s">
        <v>1551</v>
      </c>
      <c r="F1535" t="s">
        <v>26031</v>
      </c>
      <c r="G1535" t="s">
        <v>74</v>
      </c>
      <c r="H1535" t="s">
        <v>74</v>
      </c>
      <c r="I1535" t="s">
        <v>26030</v>
      </c>
      <c r="J1535" t="s">
        <v>26029</v>
      </c>
      <c r="K1535" t="s">
        <v>74</v>
      </c>
      <c r="L1535" t="s">
        <v>74</v>
      </c>
      <c r="M1535" t="s">
        <v>78</v>
      </c>
      <c r="N1535" t="s">
        <v>138</v>
      </c>
      <c r="O1535" t="s">
        <v>26028</v>
      </c>
      <c r="P1535" t="s">
        <v>26027</v>
      </c>
      <c r="Q1535" t="s">
        <v>26026</v>
      </c>
      <c r="R1535" t="s">
        <v>26025</v>
      </c>
      <c r="S1535" t="s">
        <v>74</v>
      </c>
      <c r="T1535" t="s">
        <v>26024</v>
      </c>
      <c r="U1535" t="s">
        <v>74</v>
      </c>
      <c r="V1535" t="s">
        <v>26023</v>
      </c>
      <c r="W1535" t="s">
        <v>26022</v>
      </c>
      <c r="X1535" t="s">
        <v>19037</v>
      </c>
      <c r="Y1535" t="s">
        <v>26021</v>
      </c>
      <c r="Z1535" t="s">
        <v>26020</v>
      </c>
      <c r="AA1535" t="s">
        <v>74</v>
      </c>
      <c r="AB1535" t="s">
        <v>74</v>
      </c>
      <c r="AC1535" t="s">
        <v>26019</v>
      </c>
      <c r="AD1535" t="s">
        <v>26019</v>
      </c>
      <c r="AE1535" t="s">
        <v>26018</v>
      </c>
      <c r="AF1535" t="s">
        <v>74</v>
      </c>
      <c r="AG1535">
        <v>34</v>
      </c>
      <c r="AH1535">
        <v>18</v>
      </c>
      <c r="AI1535">
        <v>29</v>
      </c>
      <c r="AJ1535">
        <v>0</v>
      </c>
      <c r="AK1535">
        <v>5</v>
      </c>
      <c r="AL1535" t="s">
        <v>150</v>
      </c>
      <c r="AM1535" t="s">
        <v>151</v>
      </c>
      <c r="AN1535" t="s">
        <v>152</v>
      </c>
      <c r="AO1535" t="s">
        <v>74</v>
      </c>
      <c r="AP1535" t="s">
        <v>74</v>
      </c>
      <c r="AQ1535" t="s">
        <v>26017</v>
      </c>
      <c r="AR1535" t="s">
        <v>74</v>
      </c>
      <c r="AS1535" t="s">
        <v>74</v>
      </c>
      <c r="AT1535" t="s">
        <v>74</v>
      </c>
      <c r="AU1535">
        <v>2018</v>
      </c>
      <c r="AV1535" t="s">
        <v>74</v>
      </c>
      <c r="AW1535" t="s">
        <v>74</v>
      </c>
      <c r="AX1535" t="s">
        <v>74</v>
      </c>
      <c r="AY1535" t="s">
        <v>74</v>
      </c>
      <c r="AZ1535" t="s">
        <v>74</v>
      </c>
      <c r="BA1535" t="s">
        <v>74</v>
      </c>
      <c r="BB1535" t="s">
        <v>74</v>
      </c>
      <c r="BC1535" t="s">
        <v>74</v>
      </c>
      <c r="BD1535" t="s">
        <v>74</v>
      </c>
      <c r="BE1535" t="s">
        <v>26016</v>
      </c>
      <c r="BF1535" t="str">
        <f>HYPERLINK("http://dx.doi.org/10.1145/3209811.3209863","http://dx.doi.org/10.1145/3209811.3209863")</f>
        <v>http://dx.doi.org/10.1145/3209811.3209863</v>
      </c>
      <c r="BG1535" t="s">
        <v>74</v>
      </c>
      <c r="BH1535" t="s">
        <v>74</v>
      </c>
      <c r="BI1535">
        <v>10</v>
      </c>
      <c r="BJ1535" t="s">
        <v>26015</v>
      </c>
      <c r="BK1535" t="s">
        <v>156</v>
      </c>
      <c r="BL1535" t="s">
        <v>26014</v>
      </c>
      <c r="BM1535" t="s">
        <v>26013</v>
      </c>
      <c r="BN1535" t="s">
        <v>74</v>
      </c>
      <c r="BO1535" t="s">
        <v>74</v>
      </c>
      <c r="BP1535" t="s">
        <v>74</v>
      </c>
      <c r="BQ1535" t="s">
        <v>74</v>
      </c>
      <c r="BR1535" t="s">
        <v>102</v>
      </c>
      <c r="BS1535" t="s">
        <v>26012</v>
      </c>
      <c r="BT1535" t="str">
        <f>HYPERLINK("https%3A%2F%2Fwww.webofscience.com%2Fwos%2Fwoscc%2Ffull-record%2FWOS:000455345900021","View Full Record in Web of Science")</f>
        <v>View Full Record in Web of Science</v>
      </c>
    </row>
    <row r="1536" spans="1:72" x14ac:dyDescent="0.25">
      <c r="A1536" t="s">
        <v>72</v>
      </c>
      <c r="B1536" t="s">
        <v>26011</v>
      </c>
      <c r="C1536" t="s">
        <v>74</v>
      </c>
      <c r="D1536" t="s">
        <v>74</v>
      </c>
      <c r="E1536" t="s">
        <v>74</v>
      </c>
      <c r="F1536" t="s">
        <v>26010</v>
      </c>
      <c r="G1536" t="s">
        <v>74</v>
      </c>
      <c r="H1536" t="s">
        <v>74</v>
      </c>
      <c r="I1536" t="s">
        <v>26009</v>
      </c>
      <c r="J1536" t="s">
        <v>4842</v>
      </c>
      <c r="K1536" t="s">
        <v>74</v>
      </c>
      <c r="L1536" t="s">
        <v>74</v>
      </c>
      <c r="M1536" t="s">
        <v>78</v>
      </c>
      <c r="N1536" t="s">
        <v>79</v>
      </c>
      <c r="O1536" t="s">
        <v>74</v>
      </c>
      <c r="P1536" t="s">
        <v>74</v>
      </c>
      <c r="Q1536" t="s">
        <v>74</v>
      </c>
      <c r="R1536" t="s">
        <v>74</v>
      </c>
      <c r="S1536" t="s">
        <v>74</v>
      </c>
      <c r="T1536" t="s">
        <v>26008</v>
      </c>
      <c r="U1536" t="s">
        <v>26007</v>
      </c>
      <c r="V1536" t="s">
        <v>26006</v>
      </c>
      <c r="W1536" t="s">
        <v>26005</v>
      </c>
      <c r="X1536" t="s">
        <v>14744</v>
      </c>
      <c r="Y1536" t="s">
        <v>26004</v>
      </c>
      <c r="Z1536" t="s">
        <v>26003</v>
      </c>
      <c r="AA1536" t="s">
        <v>26002</v>
      </c>
      <c r="AB1536" t="s">
        <v>26001</v>
      </c>
      <c r="AC1536" t="s">
        <v>74</v>
      </c>
      <c r="AD1536" t="s">
        <v>74</v>
      </c>
      <c r="AE1536" t="s">
        <v>74</v>
      </c>
      <c r="AF1536" t="s">
        <v>74</v>
      </c>
      <c r="AG1536">
        <v>42</v>
      </c>
      <c r="AH1536">
        <v>18</v>
      </c>
      <c r="AI1536">
        <v>24</v>
      </c>
      <c r="AJ1536">
        <v>1</v>
      </c>
      <c r="AK1536">
        <v>9</v>
      </c>
      <c r="AL1536" t="s">
        <v>2481</v>
      </c>
      <c r="AM1536" t="s">
        <v>2482</v>
      </c>
      <c r="AN1536" t="s">
        <v>2483</v>
      </c>
      <c r="AO1536" t="s">
        <v>4853</v>
      </c>
      <c r="AP1536" t="s">
        <v>74</v>
      </c>
      <c r="AQ1536" t="s">
        <v>74</v>
      </c>
      <c r="AR1536" t="s">
        <v>4854</v>
      </c>
      <c r="AS1536" t="s">
        <v>4855</v>
      </c>
      <c r="AT1536" t="s">
        <v>2487</v>
      </c>
      <c r="AU1536">
        <v>2020</v>
      </c>
      <c r="AV1536">
        <v>7</v>
      </c>
      <c r="AW1536">
        <v>1</v>
      </c>
      <c r="AX1536" t="s">
        <v>74</v>
      </c>
      <c r="AY1536" t="s">
        <v>74</v>
      </c>
      <c r="AZ1536" t="s">
        <v>74</v>
      </c>
      <c r="BA1536" t="s">
        <v>74</v>
      </c>
      <c r="BB1536" t="s">
        <v>74</v>
      </c>
      <c r="BC1536" t="s">
        <v>74</v>
      </c>
      <c r="BD1536">
        <v>1839164</v>
      </c>
      <c r="BE1536" t="s">
        <v>26000</v>
      </c>
      <c r="BF1536" t="str">
        <f>HYPERLINK("http://dx.doi.org/10.1080/23311975.2020.1839164","http://dx.doi.org/10.1080/23311975.2020.1839164")</f>
        <v>http://dx.doi.org/10.1080/23311975.2020.1839164</v>
      </c>
      <c r="BG1536" t="s">
        <v>74</v>
      </c>
      <c r="BH1536" t="s">
        <v>74</v>
      </c>
      <c r="BI1536">
        <v>15</v>
      </c>
      <c r="BJ1536" t="s">
        <v>418</v>
      </c>
      <c r="BK1536" t="s">
        <v>313</v>
      </c>
      <c r="BL1536" t="s">
        <v>100</v>
      </c>
      <c r="BM1536" t="s">
        <v>25999</v>
      </c>
      <c r="BN1536" t="s">
        <v>74</v>
      </c>
      <c r="BO1536" t="s">
        <v>916</v>
      </c>
      <c r="BP1536" t="s">
        <v>74</v>
      </c>
      <c r="BQ1536" t="s">
        <v>74</v>
      </c>
      <c r="BR1536" t="s">
        <v>102</v>
      </c>
      <c r="BS1536" t="s">
        <v>25998</v>
      </c>
      <c r="BT1536" t="str">
        <f>HYPERLINK("https%3A%2F%2Fwww.webofscience.com%2Fwos%2Fwoscc%2Ffull-record%2FWOS:000583582000001","View Full Record in Web of Science")</f>
        <v>View Full Record in Web of Science</v>
      </c>
    </row>
    <row r="1537" spans="1:72" x14ac:dyDescent="0.25">
      <c r="A1537" t="s">
        <v>132</v>
      </c>
      <c r="B1537" t="s">
        <v>25997</v>
      </c>
      <c r="C1537" t="s">
        <v>74</v>
      </c>
      <c r="D1537" t="s">
        <v>74</v>
      </c>
      <c r="E1537" t="s">
        <v>134</v>
      </c>
      <c r="F1537" t="s">
        <v>25996</v>
      </c>
      <c r="G1537" t="s">
        <v>74</v>
      </c>
      <c r="H1537" t="s">
        <v>74</v>
      </c>
      <c r="I1537" t="s">
        <v>25995</v>
      </c>
      <c r="J1537" t="s">
        <v>25994</v>
      </c>
      <c r="K1537" t="s">
        <v>74</v>
      </c>
      <c r="L1537" t="s">
        <v>74</v>
      </c>
      <c r="M1537" t="s">
        <v>78</v>
      </c>
      <c r="N1537" t="s">
        <v>138</v>
      </c>
      <c r="O1537" t="s">
        <v>1548</v>
      </c>
      <c r="P1537" t="s">
        <v>25993</v>
      </c>
      <c r="Q1537" t="s">
        <v>1550</v>
      </c>
      <c r="R1537" t="s">
        <v>1551</v>
      </c>
      <c r="S1537" t="s">
        <v>74</v>
      </c>
      <c r="T1537" t="s">
        <v>25992</v>
      </c>
      <c r="U1537" t="s">
        <v>25991</v>
      </c>
      <c r="V1537" t="s">
        <v>25990</v>
      </c>
      <c r="W1537" t="s">
        <v>25989</v>
      </c>
      <c r="X1537" t="s">
        <v>19037</v>
      </c>
      <c r="Y1537" t="s">
        <v>25988</v>
      </c>
      <c r="Z1537" t="s">
        <v>25987</v>
      </c>
      <c r="AA1537" t="s">
        <v>74</v>
      </c>
      <c r="AB1537" t="s">
        <v>25986</v>
      </c>
      <c r="AC1537" t="s">
        <v>74</v>
      </c>
      <c r="AD1537" t="s">
        <v>74</v>
      </c>
      <c r="AE1537" t="s">
        <v>74</v>
      </c>
      <c r="AF1537" t="s">
        <v>74</v>
      </c>
      <c r="AG1537">
        <v>89</v>
      </c>
      <c r="AH1537">
        <v>12</v>
      </c>
      <c r="AI1537">
        <v>13</v>
      </c>
      <c r="AJ1537">
        <v>0</v>
      </c>
      <c r="AK1537">
        <v>1</v>
      </c>
      <c r="AL1537" t="s">
        <v>150</v>
      </c>
      <c r="AM1537" t="s">
        <v>151</v>
      </c>
      <c r="AN1537" t="s">
        <v>1560</v>
      </c>
      <c r="AO1537" t="s">
        <v>74</v>
      </c>
      <c r="AP1537" t="s">
        <v>74</v>
      </c>
      <c r="AQ1537" t="s">
        <v>25985</v>
      </c>
      <c r="AR1537" t="s">
        <v>74</v>
      </c>
      <c r="AS1537" t="s">
        <v>74</v>
      </c>
      <c r="AT1537" t="s">
        <v>74</v>
      </c>
      <c r="AU1537">
        <v>2022</v>
      </c>
      <c r="AV1537" t="s">
        <v>74</v>
      </c>
      <c r="AW1537" t="s">
        <v>74</v>
      </c>
      <c r="AX1537" t="s">
        <v>74</v>
      </c>
      <c r="AY1537" t="s">
        <v>74</v>
      </c>
      <c r="AZ1537" t="s">
        <v>74</v>
      </c>
      <c r="BA1537" t="s">
        <v>74</v>
      </c>
      <c r="BB1537">
        <v>612</v>
      </c>
      <c r="BC1537">
        <v>628</v>
      </c>
      <c r="BD1537" t="s">
        <v>74</v>
      </c>
      <c r="BE1537" t="s">
        <v>25984</v>
      </c>
      <c r="BF1537" t="str">
        <f>HYPERLINK("http://dx.doi.org/10.1145/3532106.3533569","http://dx.doi.org/10.1145/3532106.3533569")</f>
        <v>http://dx.doi.org/10.1145/3532106.3533569</v>
      </c>
      <c r="BG1537" t="s">
        <v>74</v>
      </c>
      <c r="BH1537" t="s">
        <v>74</v>
      </c>
      <c r="BI1537">
        <v>17</v>
      </c>
      <c r="BJ1537" t="s">
        <v>25983</v>
      </c>
      <c r="BK1537" t="s">
        <v>1069</v>
      </c>
      <c r="BL1537" t="s">
        <v>981</v>
      </c>
      <c r="BM1537" t="s">
        <v>25982</v>
      </c>
      <c r="BN1537" t="s">
        <v>74</v>
      </c>
      <c r="BO1537" t="s">
        <v>270</v>
      </c>
      <c r="BP1537" t="s">
        <v>74</v>
      </c>
      <c r="BQ1537" t="s">
        <v>74</v>
      </c>
      <c r="BR1537" t="s">
        <v>102</v>
      </c>
      <c r="BS1537" t="s">
        <v>25981</v>
      </c>
      <c r="BT1537" t="str">
        <f>HYPERLINK("https%3A%2F%2Fwww.webofscience.com%2Fwos%2Fwoscc%2Ffull-record%2FWOS:001036715000043","View Full Record in Web of Science")</f>
        <v>View Full Record in Web of Science</v>
      </c>
    </row>
    <row r="1538" spans="1:72" x14ac:dyDescent="0.25">
      <c r="A1538" t="s">
        <v>132</v>
      </c>
      <c r="B1538" t="s">
        <v>25980</v>
      </c>
      <c r="C1538" t="s">
        <v>74</v>
      </c>
      <c r="D1538" t="s">
        <v>4422</v>
      </c>
      <c r="E1538" t="s">
        <v>74</v>
      </c>
      <c r="F1538" t="s">
        <v>25979</v>
      </c>
      <c r="G1538" t="s">
        <v>74</v>
      </c>
      <c r="H1538" t="s">
        <v>74</v>
      </c>
      <c r="I1538" t="s">
        <v>25978</v>
      </c>
      <c r="J1538" t="s">
        <v>25977</v>
      </c>
      <c r="K1538" t="s">
        <v>25976</v>
      </c>
      <c r="L1538" t="s">
        <v>74</v>
      </c>
      <c r="M1538" t="s">
        <v>78</v>
      </c>
      <c r="N1538" t="s">
        <v>138</v>
      </c>
      <c r="O1538" t="s">
        <v>25975</v>
      </c>
      <c r="P1538" t="s">
        <v>25974</v>
      </c>
      <c r="Q1538" t="s">
        <v>25973</v>
      </c>
      <c r="R1538" t="s">
        <v>74</v>
      </c>
      <c r="S1538" t="s">
        <v>74</v>
      </c>
      <c r="T1538" t="s">
        <v>25972</v>
      </c>
      <c r="U1538" t="s">
        <v>25971</v>
      </c>
      <c r="V1538" t="s">
        <v>25970</v>
      </c>
      <c r="W1538" t="s">
        <v>25969</v>
      </c>
      <c r="X1538" t="s">
        <v>25968</v>
      </c>
      <c r="Y1538" t="s">
        <v>25967</v>
      </c>
      <c r="Z1538" t="s">
        <v>25966</v>
      </c>
      <c r="AA1538" t="s">
        <v>74</v>
      </c>
      <c r="AB1538" t="s">
        <v>74</v>
      </c>
      <c r="AC1538" t="s">
        <v>74</v>
      </c>
      <c r="AD1538" t="s">
        <v>74</v>
      </c>
      <c r="AE1538" t="s">
        <v>74</v>
      </c>
      <c r="AF1538" t="s">
        <v>74</v>
      </c>
      <c r="AG1538">
        <v>64</v>
      </c>
      <c r="AH1538">
        <v>0</v>
      </c>
      <c r="AI1538">
        <v>0</v>
      </c>
      <c r="AJ1538">
        <v>2</v>
      </c>
      <c r="AK1538">
        <v>2</v>
      </c>
      <c r="AL1538" t="s">
        <v>4439</v>
      </c>
      <c r="AM1538" t="s">
        <v>4440</v>
      </c>
      <c r="AN1538" t="s">
        <v>4441</v>
      </c>
      <c r="AO1538" t="s">
        <v>74</v>
      </c>
      <c r="AP1538" t="s">
        <v>74</v>
      </c>
      <c r="AQ1538" t="s">
        <v>25965</v>
      </c>
      <c r="AR1538" t="s">
        <v>25964</v>
      </c>
      <c r="AS1538" t="s">
        <v>74</v>
      </c>
      <c r="AT1538" t="s">
        <v>74</v>
      </c>
      <c r="AU1538">
        <v>2024</v>
      </c>
      <c r="AV1538" t="s">
        <v>74</v>
      </c>
      <c r="AW1538" t="s">
        <v>74</v>
      </c>
      <c r="AX1538" t="s">
        <v>74</v>
      </c>
      <c r="AY1538" t="s">
        <v>74</v>
      </c>
      <c r="AZ1538" t="s">
        <v>74</v>
      </c>
      <c r="BA1538" t="s">
        <v>74</v>
      </c>
      <c r="BB1538">
        <v>7049</v>
      </c>
      <c r="BC1538">
        <v>7057</v>
      </c>
      <c r="BD1538" t="s">
        <v>74</v>
      </c>
      <c r="BE1538" t="s">
        <v>74</v>
      </c>
      <c r="BF1538" t="s">
        <v>74</v>
      </c>
      <c r="BG1538" t="s">
        <v>74</v>
      </c>
      <c r="BH1538" t="s">
        <v>74</v>
      </c>
      <c r="BI1538">
        <v>9</v>
      </c>
      <c r="BJ1538" t="s">
        <v>25963</v>
      </c>
      <c r="BK1538" t="s">
        <v>156</v>
      </c>
      <c r="BL1538" t="s">
        <v>157</v>
      </c>
      <c r="BM1538" t="s">
        <v>25962</v>
      </c>
      <c r="BN1538" t="s">
        <v>74</v>
      </c>
      <c r="BO1538" t="s">
        <v>74</v>
      </c>
      <c r="BP1538" t="s">
        <v>74</v>
      </c>
      <c r="BQ1538" t="s">
        <v>74</v>
      </c>
      <c r="BR1538" t="s">
        <v>102</v>
      </c>
      <c r="BS1538" t="s">
        <v>25961</v>
      </c>
      <c r="BT1538" t="str">
        <f>HYPERLINK("https%3A%2F%2Fwww.webofscience.com%2Fwos%2Fwoscc%2Ffull-record%2FWOS:001301787507001","View Full Record in Web of Science")</f>
        <v>View Full Record in Web of Science</v>
      </c>
    </row>
    <row r="1539" spans="1:72" x14ac:dyDescent="0.25">
      <c r="A1539" t="s">
        <v>72</v>
      </c>
      <c r="B1539" t="s">
        <v>25960</v>
      </c>
      <c r="C1539" t="s">
        <v>74</v>
      </c>
      <c r="D1539" t="s">
        <v>74</v>
      </c>
      <c r="E1539" t="s">
        <v>74</v>
      </c>
      <c r="F1539" t="s">
        <v>25959</v>
      </c>
      <c r="G1539" t="s">
        <v>74</v>
      </c>
      <c r="H1539" t="s">
        <v>74</v>
      </c>
      <c r="I1539" t="s">
        <v>25958</v>
      </c>
      <c r="J1539" t="s">
        <v>2809</v>
      </c>
      <c r="K1539" t="s">
        <v>74</v>
      </c>
      <c r="L1539" t="s">
        <v>74</v>
      </c>
      <c r="M1539" t="s">
        <v>78</v>
      </c>
      <c r="N1539" t="s">
        <v>79</v>
      </c>
      <c r="O1539" t="s">
        <v>74</v>
      </c>
      <c r="P1539" t="s">
        <v>74</v>
      </c>
      <c r="Q1539" t="s">
        <v>74</v>
      </c>
      <c r="R1539" t="s">
        <v>74</v>
      </c>
      <c r="S1539" t="s">
        <v>74</v>
      </c>
      <c r="T1539" t="s">
        <v>25957</v>
      </c>
      <c r="U1539" t="s">
        <v>25956</v>
      </c>
      <c r="V1539" t="s">
        <v>25955</v>
      </c>
      <c r="W1539" t="s">
        <v>25954</v>
      </c>
      <c r="X1539" t="s">
        <v>25953</v>
      </c>
      <c r="Y1539" t="s">
        <v>25952</v>
      </c>
      <c r="Z1539" t="s">
        <v>25951</v>
      </c>
      <c r="AA1539" t="s">
        <v>25950</v>
      </c>
      <c r="AB1539" t="s">
        <v>25949</v>
      </c>
      <c r="AC1539" t="s">
        <v>25948</v>
      </c>
      <c r="AD1539" t="s">
        <v>25947</v>
      </c>
      <c r="AE1539" t="s">
        <v>25946</v>
      </c>
      <c r="AF1539" t="s">
        <v>74</v>
      </c>
      <c r="AG1539">
        <v>85</v>
      </c>
      <c r="AH1539">
        <v>88</v>
      </c>
      <c r="AI1539">
        <v>132</v>
      </c>
      <c r="AJ1539">
        <v>21</v>
      </c>
      <c r="AK1539">
        <v>153</v>
      </c>
      <c r="AL1539" t="s">
        <v>479</v>
      </c>
      <c r="AM1539" t="s">
        <v>480</v>
      </c>
      <c r="AN1539" t="s">
        <v>481</v>
      </c>
      <c r="AO1539" t="s">
        <v>2816</v>
      </c>
      <c r="AP1539" t="s">
        <v>2817</v>
      </c>
      <c r="AQ1539" t="s">
        <v>74</v>
      </c>
      <c r="AR1539" t="s">
        <v>2818</v>
      </c>
      <c r="AS1539" t="s">
        <v>2819</v>
      </c>
      <c r="AT1539" t="s">
        <v>208</v>
      </c>
      <c r="AU1539">
        <v>2023</v>
      </c>
      <c r="AV1539">
        <v>57</v>
      </c>
      <c r="AW1539">
        <v>1</v>
      </c>
      <c r="AX1539" t="s">
        <v>74</v>
      </c>
      <c r="AY1539" t="s">
        <v>74</v>
      </c>
      <c r="AZ1539" t="s">
        <v>74</v>
      </c>
      <c r="BA1539" t="s">
        <v>74</v>
      </c>
      <c r="BB1539">
        <v>507</v>
      </c>
      <c r="BC1539">
        <v>528</v>
      </c>
      <c r="BD1539" t="s">
        <v>74</v>
      </c>
      <c r="BE1539" t="s">
        <v>25945</v>
      </c>
      <c r="BF1539" t="str">
        <f>HYPERLINK("http://dx.doi.org/10.1111/joca.12510","http://dx.doi.org/10.1111/joca.12510")</f>
        <v>http://dx.doi.org/10.1111/joca.12510</v>
      </c>
      <c r="BG1539" t="s">
        <v>74</v>
      </c>
      <c r="BH1539" t="s">
        <v>9145</v>
      </c>
      <c r="BI1539">
        <v>22</v>
      </c>
      <c r="BJ1539" t="s">
        <v>1453</v>
      </c>
      <c r="BK1539" t="s">
        <v>99</v>
      </c>
      <c r="BL1539" t="s">
        <v>100</v>
      </c>
      <c r="BM1539" t="s">
        <v>25944</v>
      </c>
      <c r="BN1539" t="s">
        <v>74</v>
      </c>
      <c r="BO1539" t="s">
        <v>466</v>
      </c>
      <c r="BP1539" t="s">
        <v>74</v>
      </c>
      <c r="BQ1539" t="s">
        <v>74</v>
      </c>
      <c r="BR1539" t="s">
        <v>102</v>
      </c>
      <c r="BS1539" t="s">
        <v>25943</v>
      </c>
      <c r="BT1539" t="str">
        <f>HYPERLINK("https%3A%2F%2Fwww.webofscience.com%2Fwos%2Fwoscc%2Ffull-record%2FWOS:000934987100001","View Full Record in Web of Science")</f>
        <v>View Full Record in Web of Science</v>
      </c>
    </row>
    <row r="1540" spans="1:72" x14ac:dyDescent="0.25">
      <c r="A1540" t="s">
        <v>72</v>
      </c>
      <c r="B1540" t="s">
        <v>25942</v>
      </c>
      <c r="C1540" t="s">
        <v>74</v>
      </c>
      <c r="D1540" t="s">
        <v>74</v>
      </c>
      <c r="E1540" t="s">
        <v>74</v>
      </c>
      <c r="F1540" t="s">
        <v>25941</v>
      </c>
      <c r="G1540" t="s">
        <v>74</v>
      </c>
      <c r="H1540" t="s">
        <v>74</v>
      </c>
      <c r="I1540" t="s">
        <v>25940</v>
      </c>
      <c r="J1540" t="s">
        <v>3397</v>
      </c>
      <c r="K1540" t="s">
        <v>74</v>
      </c>
      <c r="L1540" t="s">
        <v>74</v>
      </c>
      <c r="M1540" t="s">
        <v>78</v>
      </c>
      <c r="N1540" t="s">
        <v>79</v>
      </c>
      <c r="O1540" t="s">
        <v>74</v>
      </c>
      <c r="P1540" t="s">
        <v>74</v>
      </c>
      <c r="Q1540" t="s">
        <v>74</v>
      </c>
      <c r="R1540" t="s">
        <v>74</v>
      </c>
      <c r="S1540" t="s">
        <v>74</v>
      </c>
      <c r="T1540" t="s">
        <v>25939</v>
      </c>
      <c r="U1540" t="s">
        <v>25938</v>
      </c>
      <c r="V1540" t="s">
        <v>25937</v>
      </c>
      <c r="W1540" t="s">
        <v>25936</v>
      </c>
      <c r="X1540" t="s">
        <v>926</v>
      </c>
      <c r="Y1540" t="s">
        <v>25935</v>
      </c>
      <c r="Z1540" t="s">
        <v>25934</v>
      </c>
      <c r="AA1540" t="s">
        <v>74</v>
      </c>
      <c r="AB1540" t="s">
        <v>74</v>
      </c>
      <c r="AC1540" t="s">
        <v>25933</v>
      </c>
      <c r="AD1540" t="s">
        <v>25932</v>
      </c>
      <c r="AE1540" t="s">
        <v>25931</v>
      </c>
      <c r="AF1540" t="s">
        <v>74</v>
      </c>
      <c r="AG1540">
        <v>77</v>
      </c>
      <c r="AH1540">
        <v>31</v>
      </c>
      <c r="AI1540">
        <v>35</v>
      </c>
      <c r="AJ1540">
        <v>46</v>
      </c>
      <c r="AK1540">
        <v>122</v>
      </c>
      <c r="AL1540" t="s">
        <v>201</v>
      </c>
      <c r="AM1540" t="s">
        <v>202</v>
      </c>
      <c r="AN1540" t="s">
        <v>203</v>
      </c>
      <c r="AO1540" t="s">
        <v>3406</v>
      </c>
      <c r="AP1540" t="s">
        <v>3407</v>
      </c>
      <c r="AQ1540" t="s">
        <v>74</v>
      </c>
      <c r="AR1540" t="s">
        <v>3408</v>
      </c>
      <c r="AS1540" t="s">
        <v>3409</v>
      </c>
      <c r="AT1540" t="s">
        <v>1652</v>
      </c>
      <c r="AU1540">
        <v>2024</v>
      </c>
      <c r="AV1540">
        <v>85</v>
      </c>
      <c r="AW1540" t="s">
        <v>74</v>
      </c>
      <c r="AX1540" t="s">
        <v>74</v>
      </c>
      <c r="AY1540" t="s">
        <v>74</v>
      </c>
      <c r="AZ1540" t="s">
        <v>74</v>
      </c>
      <c r="BA1540" t="s">
        <v>74</v>
      </c>
      <c r="BB1540" t="s">
        <v>74</v>
      </c>
      <c r="BC1540" t="s">
        <v>74</v>
      </c>
      <c r="BD1540">
        <v>102316</v>
      </c>
      <c r="BE1540" t="s">
        <v>25930</v>
      </c>
      <c r="BF1540" t="str">
        <f>HYPERLINK("http://dx.doi.org/10.1016/j.pacfin.2024.102316","http://dx.doi.org/10.1016/j.pacfin.2024.102316")</f>
        <v>http://dx.doi.org/10.1016/j.pacfin.2024.102316</v>
      </c>
      <c r="BG1540" t="s">
        <v>74</v>
      </c>
      <c r="BH1540" t="s">
        <v>1981</v>
      </c>
      <c r="BI1540">
        <v>13</v>
      </c>
      <c r="BJ1540" t="s">
        <v>268</v>
      </c>
      <c r="BK1540" t="s">
        <v>99</v>
      </c>
      <c r="BL1540" t="s">
        <v>100</v>
      </c>
      <c r="BM1540" t="s">
        <v>25929</v>
      </c>
      <c r="BN1540" t="s">
        <v>74</v>
      </c>
      <c r="BO1540" t="s">
        <v>74</v>
      </c>
      <c r="BP1540" t="s">
        <v>74</v>
      </c>
      <c r="BQ1540" t="s">
        <v>74</v>
      </c>
      <c r="BR1540" t="s">
        <v>102</v>
      </c>
      <c r="BS1540" t="s">
        <v>25928</v>
      </c>
      <c r="BT1540" t="str">
        <f>HYPERLINK("https%3A%2F%2Fwww.webofscience.com%2Fwos%2Fwoscc%2Ffull-record%2FWOS:001210289400001","View Full Record in Web of Science")</f>
        <v>View Full Record in Web of Science</v>
      </c>
    </row>
    <row r="1541" spans="1:72" x14ac:dyDescent="0.25">
      <c r="A1541" t="s">
        <v>72</v>
      </c>
      <c r="B1541" t="s">
        <v>25927</v>
      </c>
      <c r="C1541" t="s">
        <v>74</v>
      </c>
      <c r="D1541" t="s">
        <v>74</v>
      </c>
      <c r="E1541" t="s">
        <v>74</v>
      </c>
      <c r="F1541" t="s">
        <v>25926</v>
      </c>
      <c r="G1541" t="s">
        <v>74</v>
      </c>
      <c r="H1541" t="s">
        <v>74</v>
      </c>
      <c r="I1541" t="s">
        <v>25925</v>
      </c>
      <c r="J1541" t="s">
        <v>12172</v>
      </c>
      <c r="K1541" t="s">
        <v>74</v>
      </c>
      <c r="L1541" t="s">
        <v>74</v>
      </c>
      <c r="M1541" t="s">
        <v>78</v>
      </c>
      <c r="N1541" t="s">
        <v>79</v>
      </c>
      <c r="O1541" t="s">
        <v>74</v>
      </c>
      <c r="P1541" t="s">
        <v>74</v>
      </c>
      <c r="Q1541" t="s">
        <v>74</v>
      </c>
      <c r="R1541" t="s">
        <v>74</v>
      </c>
      <c r="S1541" t="s">
        <v>74</v>
      </c>
      <c r="T1541" t="s">
        <v>25924</v>
      </c>
      <c r="U1541" t="s">
        <v>25923</v>
      </c>
      <c r="V1541" t="s">
        <v>25922</v>
      </c>
      <c r="W1541" t="s">
        <v>25921</v>
      </c>
      <c r="X1541" t="s">
        <v>25920</v>
      </c>
      <c r="Y1541" t="s">
        <v>25919</v>
      </c>
      <c r="Z1541" t="s">
        <v>25918</v>
      </c>
      <c r="AA1541" t="s">
        <v>25917</v>
      </c>
      <c r="AB1541" t="s">
        <v>74</v>
      </c>
      <c r="AC1541" t="s">
        <v>74</v>
      </c>
      <c r="AD1541" t="s">
        <v>74</v>
      </c>
      <c r="AE1541" t="s">
        <v>74</v>
      </c>
      <c r="AF1541" t="s">
        <v>74</v>
      </c>
      <c r="AG1541">
        <v>79</v>
      </c>
      <c r="AH1541">
        <v>2</v>
      </c>
      <c r="AI1541">
        <v>2</v>
      </c>
      <c r="AJ1541">
        <v>1</v>
      </c>
      <c r="AK1541">
        <v>1</v>
      </c>
      <c r="AL1541" t="s">
        <v>757</v>
      </c>
      <c r="AM1541" t="s">
        <v>758</v>
      </c>
      <c r="AN1541" t="s">
        <v>759</v>
      </c>
      <c r="AO1541" t="s">
        <v>12179</v>
      </c>
      <c r="AP1541" t="s">
        <v>74</v>
      </c>
      <c r="AQ1541" t="s">
        <v>74</v>
      </c>
      <c r="AR1541" t="s">
        <v>12172</v>
      </c>
      <c r="AS1541" t="s">
        <v>12180</v>
      </c>
      <c r="AT1541" t="s">
        <v>1159</v>
      </c>
      <c r="AU1541">
        <v>2025</v>
      </c>
      <c r="AV1541">
        <v>15</v>
      </c>
      <c r="AW1541">
        <v>4</v>
      </c>
      <c r="AX1541" t="s">
        <v>74</v>
      </c>
      <c r="AY1541" t="s">
        <v>74</v>
      </c>
      <c r="AZ1541" t="s">
        <v>74</v>
      </c>
      <c r="BA1541" t="s">
        <v>74</v>
      </c>
      <c r="BB1541" t="s">
        <v>74</v>
      </c>
      <c r="BC1541" t="s">
        <v>74</v>
      </c>
      <c r="BD1541">
        <v>2.1582440251378112E+16</v>
      </c>
      <c r="BE1541" t="s">
        <v>25916</v>
      </c>
      <c r="BF1541" t="str">
        <f>HYPERLINK("http://dx.doi.org/10.1177/21582440251378112","http://dx.doi.org/10.1177/21582440251378112")</f>
        <v>http://dx.doi.org/10.1177/21582440251378112</v>
      </c>
      <c r="BG1541" t="s">
        <v>74</v>
      </c>
      <c r="BH1541" t="s">
        <v>74</v>
      </c>
      <c r="BI1541">
        <v>19</v>
      </c>
      <c r="BJ1541" t="s">
        <v>364</v>
      </c>
      <c r="BK1541" t="s">
        <v>99</v>
      </c>
      <c r="BL1541" t="s">
        <v>365</v>
      </c>
      <c r="BM1541" t="s">
        <v>25915</v>
      </c>
      <c r="BN1541" t="s">
        <v>74</v>
      </c>
      <c r="BO1541" t="s">
        <v>212</v>
      </c>
      <c r="BP1541" t="s">
        <v>74</v>
      </c>
      <c r="BQ1541" t="s">
        <v>74</v>
      </c>
      <c r="BR1541" t="s">
        <v>102</v>
      </c>
      <c r="BS1541" t="s">
        <v>25914</v>
      </c>
      <c r="BT1541" t="str">
        <f>HYPERLINK("https%3A%2F%2Fwww.webofscience.com%2Fwos%2Fwoscc%2Ffull-record%2FWOS:001589368600001","View Full Record in Web of Science")</f>
        <v>View Full Record in Web of Science</v>
      </c>
    </row>
    <row r="1542" spans="1:72" x14ac:dyDescent="0.25">
      <c r="A1542" t="s">
        <v>72</v>
      </c>
      <c r="B1542" t="s">
        <v>25913</v>
      </c>
      <c r="C1542" t="s">
        <v>74</v>
      </c>
      <c r="D1542" t="s">
        <v>74</v>
      </c>
      <c r="E1542" t="s">
        <v>74</v>
      </c>
      <c r="F1542" t="s">
        <v>25912</v>
      </c>
      <c r="G1542" t="s">
        <v>74</v>
      </c>
      <c r="H1542" t="s">
        <v>74</v>
      </c>
      <c r="I1542" t="s">
        <v>25911</v>
      </c>
      <c r="J1542" t="s">
        <v>836</v>
      </c>
      <c r="K1542" t="s">
        <v>74</v>
      </c>
      <c r="L1542" t="s">
        <v>74</v>
      </c>
      <c r="M1542" t="s">
        <v>78</v>
      </c>
      <c r="N1542" t="s">
        <v>79</v>
      </c>
      <c r="O1542" t="s">
        <v>74</v>
      </c>
      <c r="P1542" t="s">
        <v>74</v>
      </c>
      <c r="Q1542" t="s">
        <v>74</v>
      </c>
      <c r="R1542" t="s">
        <v>74</v>
      </c>
      <c r="S1542" t="s">
        <v>74</v>
      </c>
      <c r="T1542" t="s">
        <v>25910</v>
      </c>
      <c r="U1542" t="s">
        <v>74</v>
      </c>
      <c r="V1542" t="s">
        <v>25909</v>
      </c>
      <c r="W1542" t="s">
        <v>25908</v>
      </c>
      <c r="X1542" t="s">
        <v>25907</v>
      </c>
      <c r="Y1542" t="s">
        <v>25906</v>
      </c>
      <c r="Z1542" t="s">
        <v>25905</v>
      </c>
      <c r="AA1542" t="s">
        <v>74</v>
      </c>
      <c r="AB1542" t="s">
        <v>74</v>
      </c>
      <c r="AC1542" t="s">
        <v>25904</v>
      </c>
      <c r="AD1542" t="s">
        <v>25903</v>
      </c>
      <c r="AE1542" t="s">
        <v>25902</v>
      </c>
      <c r="AF1542" t="s">
        <v>74</v>
      </c>
      <c r="AG1542">
        <v>10</v>
      </c>
      <c r="AH1542">
        <v>4</v>
      </c>
      <c r="AI1542">
        <v>4</v>
      </c>
      <c r="AJ1542">
        <v>32</v>
      </c>
      <c r="AK1542">
        <v>45</v>
      </c>
      <c r="AL1542" t="s">
        <v>503</v>
      </c>
      <c r="AM1542" t="s">
        <v>151</v>
      </c>
      <c r="AN1542" t="s">
        <v>504</v>
      </c>
      <c r="AO1542" t="s">
        <v>844</v>
      </c>
      <c r="AP1542" t="s">
        <v>845</v>
      </c>
      <c r="AQ1542" t="s">
        <v>74</v>
      </c>
      <c r="AR1542" t="s">
        <v>846</v>
      </c>
      <c r="AS1542" t="s">
        <v>847</v>
      </c>
      <c r="AT1542" t="s">
        <v>289</v>
      </c>
      <c r="AU1542">
        <v>2025</v>
      </c>
      <c r="AV1542">
        <v>104</v>
      </c>
      <c r="AW1542" t="s">
        <v>74</v>
      </c>
      <c r="AX1542" t="s">
        <v>8303</v>
      </c>
      <c r="AY1542" t="s">
        <v>74</v>
      </c>
      <c r="AZ1542" t="s">
        <v>74</v>
      </c>
      <c r="BA1542" t="s">
        <v>74</v>
      </c>
      <c r="BB1542" t="s">
        <v>74</v>
      </c>
      <c r="BC1542" t="s">
        <v>74</v>
      </c>
      <c r="BD1542">
        <v>104351</v>
      </c>
      <c r="BE1542" t="s">
        <v>25901</v>
      </c>
      <c r="BF1542" t="str">
        <f>HYPERLINK("http://dx.doi.org/10.1016/j.irfa.2025.104351","http://dx.doi.org/10.1016/j.irfa.2025.104351")</f>
        <v>http://dx.doi.org/10.1016/j.irfa.2025.104351</v>
      </c>
      <c r="BG1542" t="s">
        <v>74</v>
      </c>
      <c r="BH1542" t="s">
        <v>2359</v>
      </c>
      <c r="BI1542">
        <v>6</v>
      </c>
      <c r="BJ1542" t="s">
        <v>268</v>
      </c>
      <c r="BK1542" t="s">
        <v>99</v>
      </c>
      <c r="BL1542" t="s">
        <v>100</v>
      </c>
      <c r="BM1542" t="s">
        <v>25900</v>
      </c>
      <c r="BN1542" t="s">
        <v>74</v>
      </c>
      <c r="BO1542" t="s">
        <v>74</v>
      </c>
      <c r="BP1542" t="s">
        <v>74</v>
      </c>
      <c r="BQ1542" t="s">
        <v>74</v>
      </c>
      <c r="BR1542" t="s">
        <v>102</v>
      </c>
      <c r="BS1542" t="s">
        <v>25899</v>
      </c>
      <c r="BT1542" t="str">
        <f>HYPERLINK("https%3A%2F%2Fwww.webofscience.com%2Fwos%2Fwoscc%2Ffull-record%2FWOS:001498966300001","View Full Record in Web of Science")</f>
        <v>View Full Record in Web of Science</v>
      </c>
    </row>
    <row r="1543" spans="1:72" x14ac:dyDescent="0.25">
      <c r="A1543" t="s">
        <v>72</v>
      </c>
      <c r="B1543" t="s">
        <v>25898</v>
      </c>
      <c r="C1543" t="s">
        <v>74</v>
      </c>
      <c r="D1543" t="s">
        <v>74</v>
      </c>
      <c r="E1543" t="s">
        <v>74</v>
      </c>
      <c r="F1543" t="s">
        <v>25897</v>
      </c>
      <c r="G1543" t="s">
        <v>74</v>
      </c>
      <c r="H1543" t="s">
        <v>74</v>
      </c>
      <c r="I1543" t="s">
        <v>25896</v>
      </c>
      <c r="J1543" t="s">
        <v>22709</v>
      </c>
      <c r="K1543" t="s">
        <v>74</v>
      </c>
      <c r="L1543" t="s">
        <v>74</v>
      </c>
      <c r="M1543" t="s">
        <v>78</v>
      </c>
      <c r="N1543" t="s">
        <v>79</v>
      </c>
      <c r="O1543" t="s">
        <v>74</v>
      </c>
      <c r="P1543" t="s">
        <v>74</v>
      </c>
      <c r="Q1543" t="s">
        <v>74</v>
      </c>
      <c r="R1543" t="s">
        <v>74</v>
      </c>
      <c r="S1543" t="s">
        <v>74</v>
      </c>
      <c r="T1543" t="s">
        <v>25895</v>
      </c>
      <c r="U1543" t="s">
        <v>25894</v>
      </c>
      <c r="V1543" t="s">
        <v>25893</v>
      </c>
      <c r="W1543" t="s">
        <v>25892</v>
      </c>
      <c r="X1543" t="s">
        <v>74</v>
      </c>
      <c r="Y1543" t="s">
        <v>25891</v>
      </c>
      <c r="Z1543" t="s">
        <v>13570</v>
      </c>
      <c r="AA1543" t="s">
        <v>74</v>
      </c>
      <c r="AB1543" t="s">
        <v>74</v>
      </c>
      <c r="AC1543" t="s">
        <v>25890</v>
      </c>
      <c r="AD1543" t="s">
        <v>25889</v>
      </c>
      <c r="AE1543" t="s">
        <v>25888</v>
      </c>
      <c r="AF1543" t="s">
        <v>74</v>
      </c>
      <c r="AG1543">
        <v>44</v>
      </c>
      <c r="AH1543">
        <v>0</v>
      </c>
      <c r="AI1543">
        <v>1</v>
      </c>
      <c r="AJ1543">
        <v>2</v>
      </c>
      <c r="AK1543">
        <v>6</v>
      </c>
      <c r="AL1543" t="s">
        <v>332</v>
      </c>
      <c r="AM1543" t="s">
        <v>333</v>
      </c>
      <c r="AN1543" t="s">
        <v>334</v>
      </c>
      <c r="AO1543" t="s">
        <v>22708</v>
      </c>
      <c r="AP1543" t="s">
        <v>22707</v>
      </c>
      <c r="AQ1543" t="s">
        <v>74</v>
      </c>
      <c r="AR1543" t="s">
        <v>22706</v>
      </c>
      <c r="AS1543" t="s">
        <v>22705</v>
      </c>
      <c r="AT1543" t="s">
        <v>1427</v>
      </c>
      <c r="AU1543">
        <v>2025</v>
      </c>
      <c r="AV1543">
        <v>46</v>
      </c>
      <c r="AW1543">
        <v>1</v>
      </c>
      <c r="AX1543" t="s">
        <v>74</v>
      </c>
      <c r="AY1543" t="s">
        <v>74</v>
      </c>
      <c r="AZ1543" t="s">
        <v>74</v>
      </c>
      <c r="BA1543" t="s">
        <v>74</v>
      </c>
      <c r="BB1543">
        <v>48</v>
      </c>
      <c r="BC1543">
        <v>71</v>
      </c>
      <c r="BD1543" t="s">
        <v>74</v>
      </c>
      <c r="BE1543" t="s">
        <v>25887</v>
      </c>
      <c r="BF1543" t="str">
        <f>HYPERLINK("http://dx.doi.org/10.1080/02255189.2024.2415583","http://dx.doi.org/10.1080/02255189.2024.2415583")</f>
        <v>http://dx.doi.org/10.1080/02255189.2024.2415583</v>
      </c>
      <c r="BG1543" t="s">
        <v>74</v>
      </c>
      <c r="BH1543" t="s">
        <v>267</v>
      </c>
      <c r="BI1543">
        <v>24</v>
      </c>
      <c r="BJ1543" t="s">
        <v>1137</v>
      </c>
      <c r="BK1543" t="s">
        <v>99</v>
      </c>
      <c r="BL1543" t="s">
        <v>1137</v>
      </c>
      <c r="BM1543" t="s">
        <v>25886</v>
      </c>
      <c r="BN1543" t="s">
        <v>74</v>
      </c>
      <c r="BO1543" t="s">
        <v>74</v>
      </c>
      <c r="BP1543" t="s">
        <v>74</v>
      </c>
      <c r="BQ1543" t="s">
        <v>74</v>
      </c>
      <c r="BR1543" t="s">
        <v>102</v>
      </c>
      <c r="BS1543" t="s">
        <v>25885</v>
      </c>
      <c r="BT1543" t="str">
        <f>HYPERLINK("https%3A%2F%2Fwww.webofscience.com%2Fwos%2Fwoscc%2Ffull-record%2FWOS:001358392800001","View Full Record in Web of Science")</f>
        <v>View Full Record in Web of Science</v>
      </c>
    </row>
    <row r="1544" spans="1:72" x14ac:dyDescent="0.25">
      <c r="A1544" t="s">
        <v>72</v>
      </c>
      <c r="B1544" t="s">
        <v>25884</v>
      </c>
      <c r="C1544" t="s">
        <v>74</v>
      </c>
      <c r="D1544" t="s">
        <v>74</v>
      </c>
      <c r="E1544" t="s">
        <v>74</v>
      </c>
      <c r="F1544" t="s">
        <v>25883</v>
      </c>
      <c r="G1544" t="s">
        <v>74</v>
      </c>
      <c r="H1544" t="s">
        <v>74</v>
      </c>
      <c r="I1544" t="s">
        <v>25882</v>
      </c>
      <c r="J1544" t="s">
        <v>424</v>
      </c>
      <c r="K1544" t="s">
        <v>74</v>
      </c>
      <c r="L1544" t="s">
        <v>74</v>
      </c>
      <c r="M1544" t="s">
        <v>78</v>
      </c>
      <c r="N1544" t="s">
        <v>79</v>
      </c>
      <c r="O1544" t="s">
        <v>74</v>
      </c>
      <c r="P1544" t="s">
        <v>74</v>
      </c>
      <c r="Q1544" t="s">
        <v>74</v>
      </c>
      <c r="R1544" t="s">
        <v>74</v>
      </c>
      <c r="S1544" t="s">
        <v>74</v>
      </c>
      <c r="T1544" t="s">
        <v>25881</v>
      </c>
      <c r="U1544" t="s">
        <v>25880</v>
      </c>
      <c r="V1544" t="s">
        <v>25879</v>
      </c>
      <c r="W1544" t="s">
        <v>25878</v>
      </c>
      <c r="X1544" t="s">
        <v>25877</v>
      </c>
      <c r="Y1544" t="s">
        <v>25876</v>
      </c>
      <c r="Z1544" t="s">
        <v>25875</v>
      </c>
      <c r="AA1544" t="s">
        <v>25874</v>
      </c>
      <c r="AB1544" t="s">
        <v>25873</v>
      </c>
      <c r="AC1544" t="s">
        <v>25872</v>
      </c>
      <c r="AD1544" t="s">
        <v>25871</v>
      </c>
      <c r="AE1544" t="s">
        <v>25870</v>
      </c>
      <c r="AF1544" t="s">
        <v>74</v>
      </c>
      <c r="AG1544">
        <v>82</v>
      </c>
      <c r="AH1544">
        <v>0</v>
      </c>
      <c r="AI1544">
        <v>1</v>
      </c>
      <c r="AJ1544">
        <v>3</v>
      </c>
      <c r="AK1544">
        <v>4</v>
      </c>
      <c r="AL1544" t="s">
        <v>89</v>
      </c>
      <c r="AM1544" t="s">
        <v>90</v>
      </c>
      <c r="AN1544" t="s">
        <v>91</v>
      </c>
      <c r="AO1544" t="s">
        <v>436</v>
      </c>
      <c r="AP1544" t="s">
        <v>437</v>
      </c>
      <c r="AQ1544" t="s">
        <v>74</v>
      </c>
      <c r="AR1544" t="s">
        <v>438</v>
      </c>
      <c r="AS1544" t="s">
        <v>439</v>
      </c>
      <c r="AT1544" t="s">
        <v>9129</v>
      </c>
      <c r="AU1544">
        <v>2025</v>
      </c>
      <c r="AV1544">
        <v>43</v>
      </c>
      <c r="AW1544">
        <v>10</v>
      </c>
      <c r="AX1544" t="s">
        <v>74</v>
      </c>
      <c r="AY1544" t="s">
        <v>74</v>
      </c>
      <c r="AZ1544" t="s">
        <v>74</v>
      </c>
      <c r="BA1544" t="s">
        <v>74</v>
      </c>
      <c r="BB1544">
        <v>2112</v>
      </c>
      <c r="BC1544">
        <v>2135</v>
      </c>
      <c r="BD1544" t="s">
        <v>74</v>
      </c>
      <c r="BE1544" t="s">
        <v>25869</v>
      </c>
      <c r="BF1544" t="str">
        <f>HYPERLINK("http://dx.doi.org/10.1108/IJBM-08-2024-0458","http://dx.doi.org/10.1108/IJBM-08-2024-0458")</f>
        <v>http://dx.doi.org/10.1108/IJBM-08-2024-0458</v>
      </c>
      <c r="BG1544" t="s">
        <v>74</v>
      </c>
      <c r="BH1544" t="s">
        <v>2359</v>
      </c>
      <c r="BI1544">
        <v>24</v>
      </c>
      <c r="BJ1544" t="s">
        <v>418</v>
      </c>
      <c r="BK1544" t="s">
        <v>99</v>
      </c>
      <c r="BL1544" t="s">
        <v>100</v>
      </c>
      <c r="BM1544" t="s">
        <v>25868</v>
      </c>
      <c r="BN1544" t="s">
        <v>74</v>
      </c>
      <c r="BO1544" t="s">
        <v>74</v>
      </c>
      <c r="BP1544" t="s">
        <v>74</v>
      </c>
      <c r="BQ1544" t="s">
        <v>74</v>
      </c>
      <c r="BR1544" t="s">
        <v>102</v>
      </c>
      <c r="BS1544" t="s">
        <v>25867</v>
      </c>
      <c r="BT1544" t="str">
        <f>HYPERLINK("https%3A%2F%2Fwww.webofscience.com%2Fwos%2Fwoscc%2Ffull-record%2FWOS:001495070900001","View Full Record in Web of Science")</f>
        <v>View Full Record in Web of Science</v>
      </c>
    </row>
    <row r="1545" spans="1:72" x14ac:dyDescent="0.25">
      <c r="A1545" t="s">
        <v>72</v>
      </c>
      <c r="B1545" t="s">
        <v>25866</v>
      </c>
      <c r="C1545" t="s">
        <v>74</v>
      </c>
      <c r="D1545" t="s">
        <v>74</v>
      </c>
      <c r="E1545" t="s">
        <v>74</v>
      </c>
      <c r="F1545" t="s">
        <v>25865</v>
      </c>
      <c r="G1545" t="s">
        <v>74</v>
      </c>
      <c r="H1545" t="s">
        <v>74</v>
      </c>
      <c r="I1545" t="s">
        <v>25864</v>
      </c>
      <c r="J1545" t="s">
        <v>1412</v>
      </c>
      <c r="K1545" t="s">
        <v>74</v>
      </c>
      <c r="L1545" t="s">
        <v>74</v>
      </c>
      <c r="M1545" t="s">
        <v>78</v>
      </c>
      <c r="N1545" t="s">
        <v>79</v>
      </c>
      <c r="O1545" t="s">
        <v>74</v>
      </c>
      <c r="P1545" t="s">
        <v>74</v>
      </c>
      <c r="Q1545" t="s">
        <v>74</v>
      </c>
      <c r="R1545" t="s">
        <v>74</v>
      </c>
      <c r="S1545" t="s">
        <v>74</v>
      </c>
      <c r="T1545" t="s">
        <v>25863</v>
      </c>
      <c r="U1545" t="s">
        <v>25862</v>
      </c>
      <c r="V1545" t="s">
        <v>25861</v>
      </c>
      <c r="W1545" t="s">
        <v>25860</v>
      </c>
      <c r="X1545" t="s">
        <v>25859</v>
      </c>
      <c r="Y1545" t="s">
        <v>25858</v>
      </c>
      <c r="Z1545" t="s">
        <v>25857</v>
      </c>
      <c r="AA1545" t="s">
        <v>74</v>
      </c>
      <c r="AB1545" t="s">
        <v>74</v>
      </c>
      <c r="AC1545" t="s">
        <v>74</v>
      </c>
      <c r="AD1545" t="s">
        <v>74</v>
      </c>
      <c r="AE1545" t="s">
        <v>74</v>
      </c>
      <c r="AF1545" t="s">
        <v>74</v>
      </c>
      <c r="AG1545">
        <v>75</v>
      </c>
      <c r="AH1545">
        <v>44</v>
      </c>
      <c r="AI1545">
        <v>58</v>
      </c>
      <c r="AJ1545">
        <v>4</v>
      </c>
      <c r="AK1545">
        <v>46</v>
      </c>
      <c r="AL1545" t="s">
        <v>332</v>
      </c>
      <c r="AM1545" t="s">
        <v>333</v>
      </c>
      <c r="AN1545" t="s">
        <v>334</v>
      </c>
      <c r="AO1545" t="s">
        <v>1423</v>
      </c>
      <c r="AP1545" t="s">
        <v>1424</v>
      </c>
      <c r="AQ1545" t="s">
        <v>74</v>
      </c>
      <c r="AR1545" t="s">
        <v>1425</v>
      </c>
      <c r="AS1545" t="s">
        <v>1426</v>
      </c>
      <c r="AT1545" t="s">
        <v>5472</v>
      </c>
      <c r="AU1545">
        <v>2019</v>
      </c>
      <c r="AV1545">
        <v>25</v>
      </c>
      <c r="AW1545">
        <v>3</v>
      </c>
      <c r="AX1545" t="s">
        <v>74</v>
      </c>
      <c r="AY1545" t="s">
        <v>74</v>
      </c>
      <c r="AZ1545" t="s">
        <v>441</v>
      </c>
      <c r="BA1545" t="s">
        <v>74</v>
      </c>
      <c r="BB1545">
        <v>475</v>
      </c>
      <c r="BC1545">
        <v>502</v>
      </c>
      <c r="BD1545" t="s">
        <v>74</v>
      </c>
      <c r="BE1545" t="s">
        <v>25856</v>
      </c>
      <c r="BF1545" t="str">
        <f>HYPERLINK("http://dx.doi.org/10.1080/02681102.2017.1422105","http://dx.doi.org/10.1080/02681102.2017.1422105")</f>
        <v>http://dx.doi.org/10.1080/02681102.2017.1422105</v>
      </c>
      <c r="BG1545" t="s">
        <v>74</v>
      </c>
      <c r="BH1545" t="s">
        <v>74</v>
      </c>
      <c r="BI1545">
        <v>28</v>
      </c>
      <c r="BJ1545" t="s">
        <v>1429</v>
      </c>
      <c r="BK1545" t="s">
        <v>99</v>
      </c>
      <c r="BL1545" t="s">
        <v>1429</v>
      </c>
      <c r="BM1545" t="s">
        <v>25855</v>
      </c>
      <c r="BN1545" t="s">
        <v>74</v>
      </c>
      <c r="BO1545" t="s">
        <v>74</v>
      </c>
      <c r="BP1545" t="s">
        <v>74</v>
      </c>
      <c r="BQ1545" t="s">
        <v>74</v>
      </c>
      <c r="BR1545" t="s">
        <v>102</v>
      </c>
      <c r="BS1545" t="s">
        <v>25854</v>
      </c>
      <c r="BT1545" t="str">
        <f>HYPERLINK("https%3A%2F%2Fwww.webofscience.com%2Fwos%2Fwoscc%2Ffull-record%2FWOS:000490399200006","View Full Record in Web of Science")</f>
        <v>View Full Record in Web of Science</v>
      </c>
    </row>
    <row r="1546" spans="1:72" x14ac:dyDescent="0.25">
      <c r="A1546" t="s">
        <v>72</v>
      </c>
      <c r="B1546" t="s">
        <v>25853</v>
      </c>
      <c r="C1546" t="s">
        <v>74</v>
      </c>
      <c r="D1546" t="s">
        <v>74</v>
      </c>
      <c r="E1546" t="s">
        <v>74</v>
      </c>
      <c r="F1546" t="s">
        <v>25852</v>
      </c>
      <c r="G1546" t="s">
        <v>74</v>
      </c>
      <c r="H1546" t="s">
        <v>74</v>
      </c>
      <c r="I1546" t="s">
        <v>25851</v>
      </c>
      <c r="J1546" t="s">
        <v>10806</v>
      </c>
      <c r="K1546" t="s">
        <v>74</v>
      </c>
      <c r="L1546" t="s">
        <v>74</v>
      </c>
      <c r="M1546" t="s">
        <v>78</v>
      </c>
      <c r="N1546" t="s">
        <v>79</v>
      </c>
      <c r="O1546" t="s">
        <v>74</v>
      </c>
      <c r="P1546" t="s">
        <v>74</v>
      </c>
      <c r="Q1546" t="s">
        <v>74</v>
      </c>
      <c r="R1546" t="s">
        <v>74</v>
      </c>
      <c r="S1546" t="s">
        <v>74</v>
      </c>
      <c r="T1546" t="s">
        <v>25850</v>
      </c>
      <c r="U1546" t="s">
        <v>74</v>
      </c>
      <c r="V1546" t="s">
        <v>25849</v>
      </c>
      <c r="W1546" t="s">
        <v>25848</v>
      </c>
      <c r="X1546" t="s">
        <v>25847</v>
      </c>
      <c r="Y1546" t="s">
        <v>25846</v>
      </c>
      <c r="Z1546" t="s">
        <v>25845</v>
      </c>
      <c r="AA1546" t="s">
        <v>25844</v>
      </c>
      <c r="AB1546" t="s">
        <v>74</v>
      </c>
      <c r="AC1546" t="s">
        <v>25843</v>
      </c>
      <c r="AD1546" t="s">
        <v>25842</v>
      </c>
      <c r="AE1546" t="s">
        <v>25841</v>
      </c>
      <c r="AF1546" t="s">
        <v>74</v>
      </c>
      <c r="AG1546">
        <v>37</v>
      </c>
      <c r="AH1546">
        <v>96</v>
      </c>
      <c r="AI1546">
        <v>101</v>
      </c>
      <c r="AJ1546">
        <v>60</v>
      </c>
      <c r="AK1546">
        <v>343</v>
      </c>
      <c r="AL1546" t="s">
        <v>201</v>
      </c>
      <c r="AM1546" t="s">
        <v>202</v>
      </c>
      <c r="AN1546" t="s">
        <v>203</v>
      </c>
      <c r="AO1546" t="s">
        <v>10818</v>
      </c>
      <c r="AP1546" t="s">
        <v>10819</v>
      </c>
      <c r="AQ1546" t="s">
        <v>74</v>
      </c>
      <c r="AR1546" t="s">
        <v>10820</v>
      </c>
      <c r="AS1546" t="s">
        <v>10821</v>
      </c>
      <c r="AT1546" t="s">
        <v>289</v>
      </c>
      <c r="AU1546">
        <v>2023</v>
      </c>
      <c r="AV1546">
        <v>125</v>
      </c>
      <c r="AW1546" t="s">
        <v>74</v>
      </c>
      <c r="AX1546" t="s">
        <v>74</v>
      </c>
      <c r="AY1546" t="s">
        <v>74</v>
      </c>
      <c r="AZ1546" t="s">
        <v>74</v>
      </c>
      <c r="BA1546" t="s">
        <v>74</v>
      </c>
      <c r="BB1546" t="s">
        <v>74</v>
      </c>
      <c r="BC1546" t="s">
        <v>74</v>
      </c>
      <c r="BD1546">
        <v>106377</v>
      </c>
      <c r="BE1546" t="s">
        <v>25840</v>
      </c>
      <c r="BF1546" t="str">
        <f>HYPERLINK("http://dx.doi.org/10.1016/j.econmod.2023.106377","http://dx.doi.org/10.1016/j.econmod.2023.106377")</f>
        <v>http://dx.doi.org/10.1016/j.econmod.2023.106377</v>
      </c>
      <c r="BG1546" t="s">
        <v>74</v>
      </c>
      <c r="BH1546" t="s">
        <v>6418</v>
      </c>
      <c r="BI1546">
        <v>13</v>
      </c>
      <c r="BJ1546" t="s">
        <v>291</v>
      </c>
      <c r="BK1546" t="s">
        <v>99</v>
      </c>
      <c r="BL1546" t="s">
        <v>100</v>
      </c>
      <c r="BM1546" t="s">
        <v>25839</v>
      </c>
      <c r="BN1546" t="s">
        <v>74</v>
      </c>
      <c r="BO1546" t="s">
        <v>74</v>
      </c>
      <c r="BP1546" t="s">
        <v>74</v>
      </c>
      <c r="BQ1546" t="s">
        <v>74</v>
      </c>
      <c r="BR1546" t="s">
        <v>102</v>
      </c>
      <c r="BS1546" t="s">
        <v>25838</v>
      </c>
      <c r="BT1546" t="str">
        <f>HYPERLINK("https%3A%2F%2Fwww.webofscience.com%2Fwos%2Fwoscc%2Ffull-record%2FWOS:001006932600001","View Full Record in Web of Science")</f>
        <v>View Full Record in Web of Science</v>
      </c>
    </row>
    <row r="1547" spans="1:72" x14ac:dyDescent="0.25">
      <c r="A1547" t="s">
        <v>72</v>
      </c>
      <c r="B1547" t="s">
        <v>24411</v>
      </c>
      <c r="C1547" t="s">
        <v>74</v>
      </c>
      <c r="D1547" t="s">
        <v>74</v>
      </c>
      <c r="E1547" t="s">
        <v>74</v>
      </c>
      <c r="F1547" t="s">
        <v>24410</v>
      </c>
      <c r="G1547" t="s">
        <v>74</v>
      </c>
      <c r="H1547" t="s">
        <v>74</v>
      </c>
      <c r="I1547" t="s">
        <v>25837</v>
      </c>
      <c r="J1547" t="s">
        <v>9191</v>
      </c>
      <c r="K1547" t="s">
        <v>74</v>
      </c>
      <c r="L1547" t="s">
        <v>74</v>
      </c>
      <c r="M1547" t="s">
        <v>78</v>
      </c>
      <c r="N1547" t="s">
        <v>79</v>
      </c>
      <c r="O1547" t="s">
        <v>74</v>
      </c>
      <c r="P1547" t="s">
        <v>74</v>
      </c>
      <c r="Q1547" t="s">
        <v>74</v>
      </c>
      <c r="R1547" t="s">
        <v>74</v>
      </c>
      <c r="S1547" t="s">
        <v>74</v>
      </c>
      <c r="T1547" t="s">
        <v>25836</v>
      </c>
      <c r="U1547" t="s">
        <v>25835</v>
      </c>
      <c r="V1547" t="s">
        <v>25834</v>
      </c>
      <c r="W1547" t="s">
        <v>24406</v>
      </c>
      <c r="X1547" t="s">
        <v>19367</v>
      </c>
      <c r="Y1547" t="s">
        <v>24405</v>
      </c>
      <c r="Z1547" t="s">
        <v>24404</v>
      </c>
      <c r="AA1547" t="s">
        <v>74</v>
      </c>
      <c r="AB1547" t="s">
        <v>24403</v>
      </c>
      <c r="AC1547" t="s">
        <v>74</v>
      </c>
      <c r="AD1547" t="s">
        <v>74</v>
      </c>
      <c r="AE1547" t="s">
        <v>74</v>
      </c>
      <c r="AF1547" t="s">
        <v>74</v>
      </c>
      <c r="AG1547">
        <v>36</v>
      </c>
      <c r="AH1547">
        <v>5</v>
      </c>
      <c r="AI1547">
        <v>9</v>
      </c>
      <c r="AJ1547">
        <v>5</v>
      </c>
      <c r="AK1547">
        <v>26</v>
      </c>
      <c r="AL1547" t="s">
        <v>9204</v>
      </c>
      <c r="AM1547" t="s">
        <v>2016</v>
      </c>
      <c r="AN1547" t="s">
        <v>9205</v>
      </c>
      <c r="AO1547" t="s">
        <v>74</v>
      </c>
      <c r="AP1547" t="s">
        <v>9206</v>
      </c>
      <c r="AQ1547" t="s">
        <v>74</v>
      </c>
      <c r="AR1547" t="s">
        <v>9191</v>
      </c>
      <c r="AS1547" t="s">
        <v>9207</v>
      </c>
      <c r="AT1547" t="s">
        <v>1652</v>
      </c>
      <c r="AU1547">
        <v>2023</v>
      </c>
      <c r="AV1547">
        <v>9</v>
      </c>
      <c r="AW1547">
        <v>6</v>
      </c>
      <c r="AX1547" t="s">
        <v>74</v>
      </c>
      <c r="AY1547" t="s">
        <v>74</v>
      </c>
      <c r="AZ1547" t="s">
        <v>74</v>
      </c>
      <c r="BA1547" t="s">
        <v>74</v>
      </c>
      <c r="BB1547" t="s">
        <v>74</v>
      </c>
      <c r="BC1547" t="s">
        <v>74</v>
      </c>
      <c r="BD1547" t="s">
        <v>25833</v>
      </c>
      <c r="BE1547" t="s">
        <v>25832</v>
      </c>
      <c r="BF1547" t="str">
        <f>HYPERLINK("http://dx.doi.org/10.1016/j.heliyon.2023.e16477","http://dx.doi.org/10.1016/j.heliyon.2023.e16477")</f>
        <v>http://dx.doi.org/10.1016/j.heliyon.2023.e16477</v>
      </c>
      <c r="BG1547" t="s">
        <v>74</v>
      </c>
      <c r="BH1547" t="s">
        <v>6418</v>
      </c>
      <c r="BI1547">
        <v>12</v>
      </c>
      <c r="BJ1547" t="s">
        <v>559</v>
      </c>
      <c r="BK1547" t="s">
        <v>128</v>
      </c>
      <c r="BL1547" t="s">
        <v>560</v>
      </c>
      <c r="BM1547" t="s">
        <v>25831</v>
      </c>
      <c r="BN1547">
        <v>37274720</v>
      </c>
      <c r="BO1547" t="s">
        <v>916</v>
      </c>
      <c r="BP1547" t="s">
        <v>74</v>
      </c>
      <c r="BQ1547" t="s">
        <v>74</v>
      </c>
      <c r="BR1547" t="s">
        <v>102</v>
      </c>
      <c r="BS1547" t="s">
        <v>25830</v>
      </c>
      <c r="BT1547" t="str">
        <f>HYPERLINK("https%3A%2F%2Fwww.webofscience.com%2Fwos%2Fwoscc%2Ffull-record%2FWOS:001015586800001","View Full Record in Web of Science")</f>
        <v>View Full Record in Web of Science</v>
      </c>
    </row>
    <row r="1548" spans="1:72" x14ac:dyDescent="0.25">
      <c r="A1548" t="s">
        <v>72</v>
      </c>
      <c r="B1548" t="s">
        <v>25829</v>
      </c>
      <c r="C1548" t="s">
        <v>74</v>
      </c>
      <c r="D1548" t="s">
        <v>74</v>
      </c>
      <c r="E1548" t="s">
        <v>74</v>
      </c>
      <c r="F1548" t="s">
        <v>25828</v>
      </c>
      <c r="G1548" t="s">
        <v>74</v>
      </c>
      <c r="H1548" t="s">
        <v>74</v>
      </c>
      <c r="I1548" t="s">
        <v>25827</v>
      </c>
      <c r="J1548" t="s">
        <v>25826</v>
      </c>
      <c r="K1548" t="s">
        <v>74</v>
      </c>
      <c r="L1548" t="s">
        <v>74</v>
      </c>
      <c r="M1548" t="s">
        <v>78</v>
      </c>
      <c r="N1548" t="s">
        <v>79</v>
      </c>
      <c r="O1548" t="s">
        <v>74</v>
      </c>
      <c r="P1548" t="s">
        <v>74</v>
      </c>
      <c r="Q1548" t="s">
        <v>74</v>
      </c>
      <c r="R1548" t="s">
        <v>74</v>
      </c>
      <c r="S1548" t="s">
        <v>74</v>
      </c>
      <c r="T1548" t="s">
        <v>25825</v>
      </c>
      <c r="U1548" t="s">
        <v>25824</v>
      </c>
      <c r="V1548" t="s">
        <v>25823</v>
      </c>
      <c r="W1548" t="s">
        <v>25822</v>
      </c>
      <c r="X1548" t="s">
        <v>25821</v>
      </c>
      <c r="Y1548" t="s">
        <v>25820</v>
      </c>
      <c r="Z1548" t="s">
        <v>25819</v>
      </c>
      <c r="AA1548" t="s">
        <v>74</v>
      </c>
      <c r="AB1548" t="s">
        <v>74</v>
      </c>
      <c r="AC1548" t="s">
        <v>74</v>
      </c>
      <c r="AD1548" t="s">
        <v>74</v>
      </c>
      <c r="AE1548" t="s">
        <v>74</v>
      </c>
      <c r="AF1548" t="s">
        <v>74</v>
      </c>
      <c r="AG1548">
        <v>23</v>
      </c>
      <c r="AH1548">
        <v>4</v>
      </c>
      <c r="AI1548">
        <v>4</v>
      </c>
      <c r="AJ1548">
        <v>1</v>
      </c>
      <c r="AK1548">
        <v>12</v>
      </c>
      <c r="AL1548" t="s">
        <v>25818</v>
      </c>
      <c r="AM1548" t="s">
        <v>25817</v>
      </c>
      <c r="AN1548" t="s">
        <v>25816</v>
      </c>
      <c r="AO1548" t="s">
        <v>25815</v>
      </c>
      <c r="AP1548" t="s">
        <v>74</v>
      </c>
      <c r="AQ1548" t="s">
        <v>74</v>
      </c>
      <c r="AR1548" t="s">
        <v>25814</v>
      </c>
      <c r="AS1548" t="s">
        <v>25813</v>
      </c>
      <c r="AT1548" t="s">
        <v>1540</v>
      </c>
      <c r="AU1548">
        <v>2015</v>
      </c>
      <c r="AV1548">
        <v>5</v>
      </c>
      <c r="AW1548">
        <v>1</v>
      </c>
      <c r="AX1548" t="s">
        <v>74</v>
      </c>
      <c r="AY1548" t="s">
        <v>74</v>
      </c>
      <c r="AZ1548" t="s">
        <v>74</v>
      </c>
      <c r="BA1548" t="s">
        <v>74</v>
      </c>
      <c r="BB1548">
        <v>63</v>
      </c>
      <c r="BC1548">
        <v>71</v>
      </c>
      <c r="BD1548" t="s">
        <v>74</v>
      </c>
      <c r="BE1548" t="s">
        <v>74</v>
      </c>
      <c r="BF1548" t="s">
        <v>74</v>
      </c>
      <c r="BG1548" t="s">
        <v>74</v>
      </c>
      <c r="BH1548" t="s">
        <v>74</v>
      </c>
      <c r="BI1548">
        <v>9</v>
      </c>
      <c r="BJ1548" t="s">
        <v>3890</v>
      </c>
      <c r="BK1548" t="s">
        <v>313</v>
      </c>
      <c r="BL1548" t="s">
        <v>3890</v>
      </c>
      <c r="BM1548" t="s">
        <v>25812</v>
      </c>
      <c r="BN1548" t="s">
        <v>74</v>
      </c>
      <c r="BO1548" t="s">
        <v>74</v>
      </c>
      <c r="BP1548" t="s">
        <v>74</v>
      </c>
      <c r="BQ1548" t="s">
        <v>74</v>
      </c>
      <c r="BR1548" t="s">
        <v>102</v>
      </c>
      <c r="BS1548" t="s">
        <v>25811</v>
      </c>
      <c r="BT1548" t="str">
        <f>HYPERLINK("https%3A%2F%2Fwww.webofscience.com%2Fwos%2Fwoscc%2Ffull-record%2FWOS:000359057800005","View Full Record in Web of Science")</f>
        <v>View Full Record in Web of Science</v>
      </c>
    </row>
    <row r="1549" spans="1:72" x14ac:dyDescent="0.25">
      <c r="A1549" t="s">
        <v>72</v>
      </c>
      <c r="B1549" t="s">
        <v>25810</v>
      </c>
      <c r="C1549" t="s">
        <v>74</v>
      </c>
      <c r="D1549" t="s">
        <v>74</v>
      </c>
      <c r="E1549" t="s">
        <v>74</v>
      </c>
      <c r="F1549" t="s">
        <v>25809</v>
      </c>
      <c r="G1549" t="s">
        <v>74</v>
      </c>
      <c r="H1549" t="s">
        <v>74</v>
      </c>
      <c r="I1549" t="s">
        <v>25808</v>
      </c>
      <c r="J1549" t="s">
        <v>25807</v>
      </c>
      <c r="K1549" t="s">
        <v>74</v>
      </c>
      <c r="L1549" t="s">
        <v>74</v>
      </c>
      <c r="M1549" t="s">
        <v>78</v>
      </c>
      <c r="N1549" t="s">
        <v>79</v>
      </c>
      <c r="O1549" t="s">
        <v>74</v>
      </c>
      <c r="P1549" t="s">
        <v>74</v>
      </c>
      <c r="Q1549" t="s">
        <v>74</v>
      </c>
      <c r="R1549" t="s">
        <v>74</v>
      </c>
      <c r="S1549" t="s">
        <v>74</v>
      </c>
      <c r="T1549" t="s">
        <v>25806</v>
      </c>
      <c r="U1549" t="s">
        <v>25805</v>
      </c>
      <c r="V1549" t="s">
        <v>25804</v>
      </c>
      <c r="W1549" t="s">
        <v>25803</v>
      </c>
      <c r="X1549" t="s">
        <v>25802</v>
      </c>
      <c r="Y1549" t="s">
        <v>25801</v>
      </c>
      <c r="Z1549" t="s">
        <v>25800</v>
      </c>
      <c r="AA1549" t="s">
        <v>25799</v>
      </c>
      <c r="AB1549" t="s">
        <v>74</v>
      </c>
      <c r="AC1549" t="s">
        <v>25798</v>
      </c>
      <c r="AD1549" t="s">
        <v>25797</v>
      </c>
      <c r="AE1549" t="s">
        <v>25796</v>
      </c>
      <c r="AF1549" t="s">
        <v>74</v>
      </c>
      <c r="AG1549">
        <v>52</v>
      </c>
      <c r="AH1549">
        <v>4</v>
      </c>
      <c r="AI1549">
        <v>6</v>
      </c>
      <c r="AJ1549">
        <v>2</v>
      </c>
      <c r="AK1549">
        <v>13</v>
      </c>
      <c r="AL1549" t="s">
        <v>332</v>
      </c>
      <c r="AM1549" t="s">
        <v>333</v>
      </c>
      <c r="AN1549" t="s">
        <v>334</v>
      </c>
      <c r="AO1549" t="s">
        <v>25795</v>
      </c>
      <c r="AP1549" t="s">
        <v>25794</v>
      </c>
      <c r="AQ1549" t="s">
        <v>74</v>
      </c>
      <c r="AR1549" t="s">
        <v>25793</v>
      </c>
      <c r="AS1549" t="s">
        <v>25792</v>
      </c>
      <c r="AT1549" t="s">
        <v>1427</v>
      </c>
      <c r="AU1549">
        <v>2023</v>
      </c>
      <c r="AV1549">
        <v>38</v>
      </c>
      <c r="AW1549">
        <v>1</v>
      </c>
      <c r="AX1549" t="s">
        <v>74</v>
      </c>
      <c r="AY1549" t="s">
        <v>74</v>
      </c>
      <c r="AZ1549" t="s">
        <v>74</v>
      </c>
      <c r="BA1549" t="s">
        <v>74</v>
      </c>
      <c r="BB1549">
        <v>36</v>
      </c>
      <c r="BC1549">
        <v>51</v>
      </c>
      <c r="BD1549" t="s">
        <v>74</v>
      </c>
      <c r="BE1549" t="s">
        <v>25791</v>
      </c>
      <c r="BF1549" t="str">
        <f>HYPERLINK("http://dx.doi.org/10.1080/15555240.2022.2147940","http://dx.doi.org/10.1080/15555240.2022.2147940")</f>
        <v>http://dx.doi.org/10.1080/15555240.2022.2147940</v>
      </c>
      <c r="BG1549" t="s">
        <v>74</v>
      </c>
      <c r="BH1549" t="s">
        <v>5112</v>
      </c>
      <c r="BI1549">
        <v>16</v>
      </c>
      <c r="BJ1549" t="s">
        <v>7080</v>
      </c>
      <c r="BK1549" t="s">
        <v>313</v>
      </c>
      <c r="BL1549" t="s">
        <v>7080</v>
      </c>
      <c r="BM1549" t="s">
        <v>25790</v>
      </c>
      <c r="BN1549" t="s">
        <v>74</v>
      </c>
      <c r="BO1549" t="s">
        <v>74</v>
      </c>
      <c r="BP1549" t="s">
        <v>74</v>
      </c>
      <c r="BQ1549" t="s">
        <v>74</v>
      </c>
      <c r="BR1549" t="s">
        <v>102</v>
      </c>
      <c r="BS1549" t="s">
        <v>25789</v>
      </c>
      <c r="BT1549" t="str">
        <f>HYPERLINK("https%3A%2F%2Fwww.webofscience.com%2Fwos%2Fwoscc%2Ffull-record%2FWOS:000888945000001","View Full Record in Web of Science")</f>
        <v>View Full Record in Web of Science</v>
      </c>
    </row>
    <row r="1550" spans="1:72" x14ac:dyDescent="0.25">
      <c r="A1550" t="s">
        <v>72</v>
      </c>
      <c r="B1550" t="s">
        <v>25788</v>
      </c>
      <c r="C1550" t="s">
        <v>74</v>
      </c>
      <c r="D1550" t="s">
        <v>74</v>
      </c>
      <c r="E1550" t="s">
        <v>74</v>
      </c>
      <c r="F1550" t="s">
        <v>25787</v>
      </c>
      <c r="G1550" t="s">
        <v>74</v>
      </c>
      <c r="H1550" t="s">
        <v>74</v>
      </c>
      <c r="I1550" t="s">
        <v>25786</v>
      </c>
      <c r="J1550" t="s">
        <v>21029</v>
      </c>
      <c r="K1550" t="s">
        <v>74</v>
      </c>
      <c r="L1550" t="s">
        <v>74</v>
      </c>
      <c r="M1550" t="s">
        <v>298</v>
      </c>
      <c r="N1550" t="s">
        <v>79</v>
      </c>
      <c r="O1550" t="s">
        <v>74</v>
      </c>
      <c r="P1550" t="s">
        <v>74</v>
      </c>
      <c r="Q1550" t="s">
        <v>74</v>
      </c>
      <c r="R1550" t="s">
        <v>74</v>
      </c>
      <c r="S1550" t="s">
        <v>74</v>
      </c>
      <c r="T1550" t="s">
        <v>25785</v>
      </c>
      <c r="U1550" t="s">
        <v>74</v>
      </c>
      <c r="V1550" t="s">
        <v>25784</v>
      </c>
      <c r="W1550" t="s">
        <v>25783</v>
      </c>
      <c r="X1550" t="s">
        <v>25782</v>
      </c>
      <c r="Y1550" t="s">
        <v>25781</v>
      </c>
      <c r="Z1550" t="s">
        <v>25780</v>
      </c>
      <c r="AA1550" t="s">
        <v>25779</v>
      </c>
      <c r="AB1550" t="s">
        <v>25778</v>
      </c>
      <c r="AC1550" t="s">
        <v>74</v>
      </c>
      <c r="AD1550" t="s">
        <v>74</v>
      </c>
      <c r="AE1550" t="s">
        <v>74</v>
      </c>
      <c r="AF1550" t="s">
        <v>74</v>
      </c>
      <c r="AG1550">
        <v>49</v>
      </c>
      <c r="AH1550">
        <v>4</v>
      </c>
      <c r="AI1550">
        <v>7</v>
      </c>
      <c r="AJ1550">
        <v>2</v>
      </c>
      <c r="AK1550">
        <v>22</v>
      </c>
      <c r="AL1550" t="s">
        <v>9604</v>
      </c>
      <c r="AM1550" t="s">
        <v>9605</v>
      </c>
      <c r="AN1550" t="s">
        <v>9606</v>
      </c>
      <c r="AO1550" t="s">
        <v>21022</v>
      </c>
      <c r="AP1550" t="s">
        <v>74</v>
      </c>
      <c r="AQ1550" t="s">
        <v>74</v>
      </c>
      <c r="AR1550" t="s">
        <v>21021</v>
      </c>
      <c r="AS1550" t="s">
        <v>21020</v>
      </c>
      <c r="AT1550" t="s">
        <v>363</v>
      </c>
      <c r="AU1550">
        <v>2022</v>
      </c>
      <c r="AV1550">
        <v>38</v>
      </c>
      <c r="AW1550">
        <v>163</v>
      </c>
      <c r="AX1550" t="s">
        <v>74</v>
      </c>
      <c r="AY1550" t="s">
        <v>74</v>
      </c>
      <c r="AZ1550" t="s">
        <v>74</v>
      </c>
      <c r="BA1550" t="s">
        <v>74</v>
      </c>
      <c r="BB1550">
        <v>211</v>
      </c>
      <c r="BC1550">
        <v>221</v>
      </c>
      <c r="BD1550" t="s">
        <v>74</v>
      </c>
      <c r="BE1550" t="s">
        <v>25777</v>
      </c>
      <c r="BF1550" t="str">
        <f>HYPERLINK("http://dx.doi.org/10.18046/j.estger.2022.163.4949","http://dx.doi.org/10.18046/j.estger.2022.163.4949")</f>
        <v>http://dx.doi.org/10.18046/j.estger.2022.163.4949</v>
      </c>
      <c r="BG1550" t="s">
        <v>74</v>
      </c>
      <c r="BH1550" t="s">
        <v>74</v>
      </c>
      <c r="BI1550">
        <v>11</v>
      </c>
      <c r="BJ1550" t="s">
        <v>291</v>
      </c>
      <c r="BK1550" t="s">
        <v>313</v>
      </c>
      <c r="BL1550" t="s">
        <v>100</v>
      </c>
      <c r="BM1550" t="s">
        <v>25776</v>
      </c>
      <c r="BN1550" t="s">
        <v>74</v>
      </c>
      <c r="BO1550" t="s">
        <v>916</v>
      </c>
      <c r="BP1550" t="s">
        <v>74</v>
      </c>
      <c r="BQ1550" t="s">
        <v>74</v>
      </c>
      <c r="BR1550" t="s">
        <v>102</v>
      </c>
      <c r="BS1550" t="s">
        <v>25775</v>
      </c>
      <c r="BT1550" t="str">
        <f>HYPERLINK("https%3A%2F%2Fwww.webofscience.com%2Fwos%2Fwoscc%2Ffull-record%2FWOS:000835171400007","View Full Record in Web of Science")</f>
        <v>View Full Record in Web of Science</v>
      </c>
    </row>
    <row r="1551" spans="1:72" x14ac:dyDescent="0.25">
      <c r="A1551" t="s">
        <v>72</v>
      </c>
      <c r="B1551" t="s">
        <v>25774</v>
      </c>
      <c r="C1551" t="s">
        <v>74</v>
      </c>
      <c r="D1551" t="s">
        <v>74</v>
      </c>
      <c r="E1551" t="s">
        <v>74</v>
      </c>
      <c r="F1551" t="s">
        <v>25773</v>
      </c>
      <c r="G1551" t="s">
        <v>74</v>
      </c>
      <c r="H1551" t="s">
        <v>74</v>
      </c>
      <c r="I1551" t="s">
        <v>25772</v>
      </c>
      <c r="J1551" t="s">
        <v>1510</v>
      </c>
      <c r="K1551" t="s">
        <v>74</v>
      </c>
      <c r="L1551" t="s">
        <v>74</v>
      </c>
      <c r="M1551" t="s">
        <v>78</v>
      </c>
      <c r="N1551" t="s">
        <v>79</v>
      </c>
      <c r="O1551" t="s">
        <v>74</v>
      </c>
      <c r="P1551" t="s">
        <v>74</v>
      </c>
      <c r="Q1551" t="s">
        <v>74</v>
      </c>
      <c r="R1551" t="s">
        <v>74</v>
      </c>
      <c r="S1551" t="s">
        <v>74</v>
      </c>
      <c r="T1551" t="s">
        <v>25771</v>
      </c>
      <c r="U1551" t="s">
        <v>25770</v>
      </c>
      <c r="V1551" t="s">
        <v>25769</v>
      </c>
      <c r="W1551" t="s">
        <v>25768</v>
      </c>
      <c r="X1551" t="s">
        <v>25767</v>
      </c>
      <c r="Y1551" t="s">
        <v>25766</v>
      </c>
      <c r="Z1551" t="s">
        <v>25765</v>
      </c>
      <c r="AA1551" t="s">
        <v>25764</v>
      </c>
      <c r="AB1551" t="s">
        <v>25763</v>
      </c>
      <c r="AC1551" t="s">
        <v>74</v>
      </c>
      <c r="AD1551" t="s">
        <v>74</v>
      </c>
      <c r="AE1551" t="s">
        <v>74</v>
      </c>
      <c r="AF1551" t="s">
        <v>74</v>
      </c>
      <c r="AG1551">
        <v>61</v>
      </c>
      <c r="AH1551">
        <v>30</v>
      </c>
      <c r="AI1551">
        <v>39</v>
      </c>
      <c r="AJ1551">
        <v>8</v>
      </c>
      <c r="AK1551">
        <v>45</v>
      </c>
      <c r="AL1551" t="s">
        <v>89</v>
      </c>
      <c r="AM1551" t="s">
        <v>1497</v>
      </c>
      <c r="AN1551" t="s">
        <v>1498</v>
      </c>
      <c r="AO1551" t="s">
        <v>1519</v>
      </c>
      <c r="AP1551" t="s">
        <v>1520</v>
      </c>
      <c r="AQ1551" t="s">
        <v>74</v>
      </c>
      <c r="AR1551" t="s">
        <v>1521</v>
      </c>
      <c r="AS1551" t="s">
        <v>1522</v>
      </c>
      <c r="AT1551" t="s">
        <v>25762</v>
      </c>
      <c r="AU1551">
        <v>2022</v>
      </c>
      <c r="AV1551">
        <v>49</v>
      </c>
      <c r="AW1551">
        <v>12</v>
      </c>
      <c r="AX1551" t="s">
        <v>74</v>
      </c>
      <c r="AY1551" t="s">
        <v>74</v>
      </c>
      <c r="AZ1551" t="s">
        <v>74</v>
      </c>
      <c r="BA1551" t="s">
        <v>74</v>
      </c>
      <c r="BB1551">
        <v>1713</v>
      </c>
      <c r="BC1551">
        <v>1726</v>
      </c>
      <c r="BD1551" t="s">
        <v>74</v>
      </c>
      <c r="BE1551" t="s">
        <v>25761</v>
      </c>
      <c r="BF1551" t="str">
        <f>HYPERLINK("http://dx.doi.org/10.1108/IJSE-10-2021-0633","http://dx.doi.org/10.1108/IJSE-10-2021-0633")</f>
        <v>http://dx.doi.org/10.1108/IJSE-10-2021-0633</v>
      </c>
      <c r="BG1551" t="s">
        <v>74</v>
      </c>
      <c r="BH1551" t="s">
        <v>1802</v>
      </c>
      <c r="BI1551">
        <v>14</v>
      </c>
      <c r="BJ1551" t="s">
        <v>291</v>
      </c>
      <c r="BK1551" t="s">
        <v>313</v>
      </c>
      <c r="BL1551" t="s">
        <v>100</v>
      </c>
      <c r="BM1551" t="s">
        <v>25760</v>
      </c>
      <c r="BN1551" t="s">
        <v>74</v>
      </c>
      <c r="BO1551" t="s">
        <v>74</v>
      </c>
      <c r="BP1551" t="s">
        <v>74</v>
      </c>
      <c r="BQ1551" t="s">
        <v>74</v>
      </c>
      <c r="BR1551" t="s">
        <v>102</v>
      </c>
      <c r="BS1551" t="s">
        <v>25759</v>
      </c>
      <c r="BT1551" t="str">
        <f>HYPERLINK("https%3A%2F%2Fwww.webofscience.com%2Fwos%2Fwoscc%2Ffull-record%2FWOS:000815166200001","View Full Record in Web of Science")</f>
        <v>View Full Record in Web of Science</v>
      </c>
    </row>
    <row r="1552" spans="1:72" x14ac:dyDescent="0.25">
      <c r="A1552" t="s">
        <v>72</v>
      </c>
      <c r="B1552" t="s">
        <v>25758</v>
      </c>
      <c r="C1552" t="s">
        <v>74</v>
      </c>
      <c r="D1552" t="s">
        <v>74</v>
      </c>
      <c r="E1552" t="s">
        <v>74</v>
      </c>
      <c r="F1552" t="s">
        <v>25757</v>
      </c>
      <c r="G1552" t="s">
        <v>74</v>
      </c>
      <c r="H1552" t="s">
        <v>74</v>
      </c>
      <c r="I1552" t="s">
        <v>25756</v>
      </c>
      <c r="J1552" t="s">
        <v>2365</v>
      </c>
      <c r="K1552" t="s">
        <v>74</v>
      </c>
      <c r="L1552" t="s">
        <v>74</v>
      </c>
      <c r="M1552" t="s">
        <v>78</v>
      </c>
      <c r="N1552" t="s">
        <v>79</v>
      </c>
      <c r="O1552" t="s">
        <v>74</v>
      </c>
      <c r="P1552" t="s">
        <v>74</v>
      </c>
      <c r="Q1552" t="s">
        <v>74</v>
      </c>
      <c r="R1552" t="s">
        <v>74</v>
      </c>
      <c r="S1552" t="s">
        <v>74</v>
      </c>
      <c r="T1552" t="s">
        <v>25755</v>
      </c>
      <c r="U1552" t="s">
        <v>25754</v>
      </c>
      <c r="V1552" t="s">
        <v>25753</v>
      </c>
      <c r="W1552" t="s">
        <v>25752</v>
      </c>
      <c r="X1552" t="s">
        <v>74</v>
      </c>
      <c r="Y1552" t="s">
        <v>25751</v>
      </c>
      <c r="Z1552" t="s">
        <v>25750</v>
      </c>
      <c r="AA1552" t="s">
        <v>25749</v>
      </c>
      <c r="AB1552" t="s">
        <v>74</v>
      </c>
      <c r="AC1552" t="s">
        <v>74</v>
      </c>
      <c r="AD1552" t="s">
        <v>74</v>
      </c>
      <c r="AE1552" t="s">
        <v>74</v>
      </c>
      <c r="AF1552" t="s">
        <v>74</v>
      </c>
      <c r="AG1552">
        <v>51</v>
      </c>
      <c r="AH1552">
        <v>0</v>
      </c>
      <c r="AI1552">
        <v>2</v>
      </c>
      <c r="AJ1552">
        <v>1</v>
      </c>
      <c r="AK1552">
        <v>7</v>
      </c>
      <c r="AL1552" t="s">
        <v>2371</v>
      </c>
      <c r="AM1552" t="s">
        <v>2372</v>
      </c>
      <c r="AN1552" t="s">
        <v>2373</v>
      </c>
      <c r="AO1552" t="s">
        <v>2374</v>
      </c>
      <c r="AP1552" t="s">
        <v>2375</v>
      </c>
      <c r="AQ1552" t="s">
        <v>74</v>
      </c>
      <c r="AR1552" t="s">
        <v>2376</v>
      </c>
      <c r="AS1552" t="s">
        <v>2377</v>
      </c>
      <c r="AT1552" t="s">
        <v>74</v>
      </c>
      <c r="AU1552">
        <v>2023</v>
      </c>
      <c r="AV1552">
        <v>29</v>
      </c>
      <c r="AW1552">
        <v>4</v>
      </c>
      <c r="AX1552" t="s">
        <v>74</v>
      </c>
      <c r="AY1552" t="s">
        <v>74</v>
      </c>
      <c r="AZ1552" t="s">
        <v>74</v>
      </c>
      <c r="BA1552" t="s">
        <v>74</v>
      </c>
      <c r="BB1552">
        <v>417</v>
      </c>
      <c r="BC1552">
        <v>435</v>
      </c>
      <c r="BD1552" t="s">
        <v>74</v>
      </c>
      <c r="BE1552" t="s">
        <v>25748</v>
      </c>
      <c r="BF1552" t="str">
        <f>HYPERLINK("http://dx.doi.org/10.1504/IJICBM.2023.132734","http://dx.doi.org/10.1504/IJICBM.2023.132734")</f>
        <v>http://dx.doi.org/10.1504/IJICBM.2023.132734</v>
      </c>
      <c r="BG1552" t="s">
        <v>74</v>
      </c>
      <c r="BH1552" t="s">
        <v>74</v>
      </c>
      <c r="BI1552">
        <v>20</v>
      </c>
      <c r="BJ1552" t="s">
        <v>418</v>
      </c>
      <c r="BK1552" t="s">
        <v>313</v>
      </c>
      <c r="BL1552" t="s">
        <v>100</v>
      </c>
      <c r="BM1552" t="s">
        <v>25747</v>
      </c>
      <c r="BN1552" t="s">
        <v>74</v>
      </c>
      <c r="BO1552" t="s">
        <v>74</v>
      </c>
      <c r="BP1552" t="s">
        <v>74</v>
      </c>
      <c r="BQ1552" t="s">
        <v>74</v>
      </c>
      <c r="BR1552" t="s">
        <v>102</v>
      </c>
      <c r="BS1552" t="s">
        <v>25746</v>
      </c>
      <c r="BT1552" t="str">
        <f>HYPERLINK("https%3A%2F%2Fwww.webofscience.com%2Fwos%2Fwoscc%2Ffull-record%2FWOS:001045436400001","View Full Record in Web of Science")</f>
        <v>View Full Record in Web of Science</v>
      </c>
    </row>
    <row r="1553" spans="1:72" x14ac:dyDescent="0.25">
      <c r="A1553" t="s">
        <v>72</v>
      </c>
      <c r="B1553" t="s">
        <v>25745</v>
      </c>
      <c r="C1553" t="s">
        <v>74</v>
      </c>
      <c r="D1553" t="s">
        <v>74</v>
      </c>
      <c r="E1553" t="s">
        <v>74</v>
      </c>
      <c r="F1553" t="s">
        <v>25744</v>
      </c>
      <c r="G1553" t="s">
        <v>74</v>
      </c>
      <c r="H1553" t="s">
        <v>74</v>
      </c>
      <c r="I1553" t="s">
        <v>25743</v>
      </c>
      <c r="J1553" t="s">
        <v>656</v>
      </c>
      <c r="K1553" t="s">
        <v>74</v>
      </c>
      <c r="L1553" t="s">
        <v>74</v>
      </c>
      <c r="M1553" t="s">
        <v>78</v>
      </c>
      <c r="N1553" t="s">
        <v>79</v>
      </c>
      <c r="O1553" t="s">
        <v>74</v>
      </c>
      <c r="P1553" t="s">
        <v>74</v>
      </c>
      <c r="Q1553" t="s">
        <v>74</v>
      </c>
      <c r="R1553" t="s">
        <v>74</v>
      </c>
      <c r="S1553" t="s">
        <v>74</v>
      </c>
      <c r="T1553" t="s">
        <v>25742</v>
      </c>
      <c r="U1553" t="s">
        <v>25741</v>
      </c>
      <c r="V1553" t="s">
        <v>25740</v>
      </c>
      <c r="W1553" t="s">
        <v>25739</v>
      </c>
      <c r="X1553" t="s">
        <v>25738</v>
      </c>
      <c r="Y1553" t="s">
        <v>25737</v>
      </c>
      <c r="Z1553" t="s">
        <v>25736</v>
      </c>
      <c r="AA1553" t="s">
        <v>25735</v>
      </c>
      <c r="AB1553" t="s">
        <v>25734</v>
      </c>
      <c r="AC1553" t="s">
        <v>25733</v>
      </c>
      <c r="AD1553" t="s">
        <v>25732</v>
      </c>
      <c r="AE1553" t="s">
        <v>25731</v>
      </c>
      <c r="AF1553" t="s">
        <v>74</v>
      </c>
      <c r="AG1553">
        <v>75</v>
      </c>
      <c r="AH1553">
        <v>4</v>
      </c>
      <c r="AI1553">
        <v>6</v>
      </c>
      <c r="AJ1553">
        <v>1</v>
      </c>
      <c r="AK1553">
        <v>20</v>
      </c>
      <c r="AL1553" t="s">
        <v>666</v>
      </c>
      <c r="AM1553" t="s">
        <v>667</v>
      </c>
      <c r="AN1553" t="s">
        <v>668</v>
      </c>
      <c r="AO1553" t="s">
        <v>669</v>
      </c>
      <c r="AP1553" t="s">
        <v>670</v>
      </c>
      <c r="AQ1553" t="s">
        <v>74</v>
      </c>
      <c r="AR1553" t="s">
        <v>671</v>
      </c>
      <c r="AS1553" t="s">
        <v>672</v>
      </c>
      <c r="AT1553" t="s">
        <v>124</v>
      </c>
      <c r="AU1553">
        <v>2022</v>
      </c>
      <c r="AV1553">
        <v>43</v>
      </c>
      <c r="AW1553">
        <v>4</v>
      </c>
      <c r="AX1553" t="s">
        <v>74</v>
      </c>
      <c r="AY1553" t="s">
        <v>74</v>
      </c>
      <c r="AZ1553" t="s">
        <v>441</v>
      </c>
      <c r="BA1553" t="s">
        <v>74</v>
      </c>
      <c r="BB1553">
        <v>690</v>
      </c>
      <c r="BC1553">
        <v>702</v>
      </c>
      <c r="BD1553" t="s">
        <v>74</v>
      </c>
      <c r="BE1553" t="s">
        <v>25730</v>
      </c>
      <c r="BF1553" t="str">
        <f>HYPERLINK("http://dx.doi.org/10.1007/s10834-022-09865-w","http://dx.doi.org/10.1007/s10834-022-09865-w")</f>
        <v>http://dx.doi.org/10.1007/s10834-022-09865-w</v>
      </c>
      <c r="BG1553" t="s">
        <v>74</v>
      </c>
      <c r="BH1553" t="s">
        <v>6014</v>
      </c>
      <c r="BI1553">
        <v>13</v>
      </c>
      <c r="BJ1553" t="s">
        <v>675</v>
      </c>
      <c r="BK1553" t="s">
        <v>99</v>
      </c>
      <c r="BL1553" t="s">
        <v>676</v>
      </c>
      <c r="BM1553" t="s">
        <v>677</v>
      </c>
      <c r="BN1553" t="s">
        <v>74</v>
      </c>
      <c r="BO1553" t="s">
        <v>74</v>
      </c>
      <c r="BP1553" t="s">
        <v>74</v>
      </c>
      <c r="BQ1553" t="s">
        <v>74</v>
      </c>
      <c r="BR1553" t="s">
        <v>102</v>
      </c>
      <c r="BS1553" t="s">
        <v>25729</v>
      </c>
      <c r="BT1553" t="str">
        <f>HYPERLINK("https%3A%2F%2Fwww.webofscience.com%2Fwos%2Fwoscc%2Ffull-record%2FWOS:000859594400001","View Full Record in Web of Science")</f>
        <v>View Full Record in Web of Science</v>
      </c>
    </row>
    <row r="1554" spans="1:72" x14ac:dyDescent="0.25">
      <c r="A1554" t="s">
        <v>72</v>
      </c>
      <c r="B1554" t="s">
        <v>25728</v>
      </c>
      <c r="C1554" t="s">
        <v>74</v>
      </c>
      <c r="D1554" t="s">
        <v>74</v>
      </c>
      <c r="E1554" t="s">
        <v>74</v>
      </c>
      <c r="F1554" t="s">
        <v>25727</v>
      </c>
      <c r="G1554" t="s">
        <v>74</v>
      </c>
      <c r="H1554" t="s">
        <v>74</v>
      </c>
      <c r="I1554" t="s">
        <v>25726</v>
      </c>
      <c r="J1554" t="s">
        <v>4657</v>
      </c>
      <c r="K1554" t="s">
        <v>74</v>
      </c>
      <c r="L1554" t="s">
        <v>74</v>
      </c>
      <c r="M1554" t="s">
        <v>78</v>
      </c>
      <c r="N1554" t="s">
        <v>79</v>
      </c>
      <c r="O1554" t="s">
        <v>74</v>
      </c>
      <c r="P1554" t="s">
        <v>74</v>
      </c>
      <c r="Q1554" t="s">
        <v>74</v>
      </c>
      <c r="R1554" t="s">
        <v>74</v>
      </c>
      <c r="S1554" t="s">
        <v>74</v>
      </c>
      <c r="T1554" t="s">
        <v>25725</v>
      </c>
      <c r="U1554" t="s">
        <v>25724</v>
      </c>
      <c r="V1554" t="s">
        <v>25723</v>
      </c>
      <c r="W1554" t="s">
        <v>25722</v>
      </c>
      <c r="X1554" t="s">
        <v>74</v>
      </c>
      <c r="Y1554" t="s">
        <v>25721</v>
      </c>
      <c r="Z1554" t="s">
        <v>25720</v>
      </c>
      <c r="AA1554" t="s">
        <v>74</v>
      </c>
      <c r="AB1554" t="s">
        <v>74</v>
      </c>
      <c r="AC1554" t="s">
        <v>74</v>
      </c>
      <c r="AD1554" t="s">
        <v>74</v>
      </c>
      <c r="AE1554" t="s">
        <v>74</v>
      </c>
      <c r="AF1554" t="s">
        <v>74</v>
      </c>
      <c r="AG1554">
        <v>78</v>
      </c>
      <c r="AH1554">
        <v>6</v>
      </c>
      <c r="AI1554">
        <v>8</v>
      </c>
      <c r="AJ1554">
        <v>3</v>
      </c>
      <c r="AK1554">
        <v>13</v>
      </c>
      <c r="AL1554" t="s">
        <v>4666</v>
      </c>
      <c r="AM1554" t="s">
        <v>995</v>
      </c>
      <c r="AN1554" t="s">
        <v>4025</v>
      </c>
      <c r="AO1554" t="s">
        <v>74</v>
      </c>
      <c r="AP1554" t="s">
        <v>4667</v>
      </c>
      <c r="AQ1554" t="s">
        <v>74</v>
      </c>
      <c r="AR1554" t="s">
        <v>4668</v>
      </c>
      <c r="AS1554" t="s">
        <v>4669</v>
      </c>
      <c r="AT1554" t="s">
        <v>25719</v>
      </c>
      <c r="AU1554">
        <v>2024</v>
      </c>
      <c r="AV1554">
        <v>5</v>
      </c>
      <c r="AW1554">
        <v>1</v>
      </c>
      <c r="AX1554" t="s">
        <v>74</v>
      </c>
      <c r="AY1554" t="s">
        <v>74</v>
      </c>
      <c r="AZ1554" t="s">
        <v>74</v>
      </c>
      <c r="BA1554" t="s">
        <v>74</v>
      </c>
      <c r="BB1554" t="s">
        <v>74</v>
      </c>
      <c r="BC1554" t="s">
        <v>74</v>
      </c>
      <c r="BD1554">
        <v>528</v>
      </c>
      <c r="BE1554" t="s">
        <v>25718</v>
      </c>
      <c r="BF1554" t="str">
        <f>HYPERLINK("http://dx.doi.org/10.1007/s43621-024-00704-6","http://dx.doi.org/10.1007/s43621-024-00704-6")</f>
        <v>http://dx.doi.org/10.1007/s43621-024-00704-6</v>
      </c>
      <c r="BG1554" t="s">
        <v>74</v>
      </c>
      <c r="BH1554" t="s">
        <v>74</v>
      </c>
      <c r="BI1554">
        <v>21</v>
      </c>
      <c r="BJ1554" t="s">
        <v>3247</v>
      </c>
      <c r="BK1554" t="s">
        <v>313</v>
      </c>
      <c r="BL1554" t="s">
        <v>3248</v>
      </c>
      <c r="BM1554" t="s">
        <v>25717</v>
      </c>
      <c r="BN1554" t="s">
        <v>74</v>
      </c>
      <c r="BO1554" t="s">
        <v>212</v>
      </c>
      <c r="BP1554" t="s">
        <v>74</v>
      </c>
      <c r="BQ1554" t="s">
        <v>74</v>
      </c>
      <c r="BR1554" t="s">
        <v>102</v>
      </c>
      <c r="BS1554" t="s">
        <v>25716</v>
      </c>
      <c r="BT1554" t="str">
        <f>HYPERLINK("https%3A%2F%2Fwww.webofscience.com%2Fwos%2Fwoscc%2Ffull-record%2FWOS:001385150900008","View Full Record in Web of Science")</f>
        <v>View Full Record in Web of Science</v>
      </c>
    </row>
    <row r="1555" spans="1:72" x14ac:dyDescent="0.25">
      <c r="A1555" t="s">
        <v>72</v>
      </c>
      <c r="B1555" t="s">
        <v>25715</v>
      </c>
      <c r="C1555" t="s">
        <v>74</v>
      </c>
      <c r="D1555" t="s">
        <v>74</v>
      </c>
      <c r="E1555" t="s">
        <v>74</v>
      </c>
      <c r="F1555" t="s">
        <v>25714</v>
      </c>
      <c r="G1555" t="s">
        <v>74</v>
      </c>
      <c r="H1555" t="s">
        <v>74</v>
      </c>
      <c r="I1555" t="s">
        <v>25713</v>
      </c>
      <c r="J1555" t="s">
        <v>25712</v>
      </c>
      <c r="K1555" t="s">
        <v>74</v>
      </c>
      <c r="L1555" t="s">
        <v>74</v>
      </c>
      <c r="M1555" t="s">
        <v>78</v>
      </c>
      <c r="N1555" t="s">
        <v>79</v>
      </c>
      <c r="O1555" t="s">
        <v>74</v>
      </c>
      <c r="P1555" t="s">
        <v>74</v>
      </c>
      <c r="Q1555" t="s">
        <v>74</v>
      </c>
      <c r="R1555" t="s">
        <v>74</v>
      </c>
      <c r="S1555" t="s">
        <v>74</v>
      </c>
      <c r="T1555" t="s">
        <v>25711</v>
      </c>
      <c r="U1555" t="s">
        <v>74</v>
      </c>
      <c r="V1555" t="s">
        <v>25710</v>
      </c>
      <c r="W1555" t="s">
        <v>25709</v>
      </c>
      <c r="X1555" t="s">
        <v>25708</v>
      </c>
      <c r="Y1555" t="s">
        <v>25707</v>
      </c>
      <c r="Z1555" t="s">
        <v>25706</v>
      </c>
      <c r="AA1555" t="s">
        <v>25705</v>
      </c>
      <c r="AB1555" t="s">
        <v>74</v>
      </c>
      <c r="AC1555" t="s">
        <v>25704</v>
      </c>
      <c r="AD1555" t="s">
        <v>25703</v>
      </c>
      <c r="AE1555" t="s">
        <v>25702</v>
      </c>
      <c r="AF1555" t="s">
        <v>74</v>
      </c>
      <c r="AG1555">
        <v>50</v>
      </c>
      <c r="AH1555">
        <v>0</v>
      </c>
      <c r="AI1555">
        <v>0</v>
      </c>
      <c r="AJ1555">
        <v>2</v>
      </c>
      <c r="AK1555">
        <v>11</v>
      </c>
      <c r="AL1555" t="s">
        <v>25701</v>
      </c>
      <c r="AM1555" t="s">
        <v>25700</v>
      </c>
      <c r="AN1555" t="s">
        <v>25699</v>
      </c>
      <c r="AO1555" t="s">
        <v>25698</v>
      </c>
      <c r="AP1555" t="s">
        <v>74</v>
      </c>
      <c r="AQ1555" t="s">
        <v>74</v>
      </c>
      <c r="AR1555" t="s">
        <v>25697</v>
      </c>
      <c r="AS1555" t="s">
        <v>25696</v>
      </c>
      <c r="AT1555" t="s">
        <v>124</v>
      </c>
      <c r="AU1555">
        <v>2021</v>
      </c>
      <c r="AV1555">
        <v>16</v>
      </c>
      <c r="AW1555">
        <v>3</v>
      </c>
      <c r="AX1555" t="s">
        <v>74</v>
      </c>
      <c r="AY1555" t="s">
        <v>74</v>
      </c>
      <c r="AZ1555" t="s">
        <v>74</v>
      </c>
      <c r="BA1555" t="s">
        <v>74</v>
      </c>
      <c r="BB1555">
        <v>237</v>
      </c>
      <c r="BC1555">
        <v>262</v>
      </c>
      <c r="BD1555" t="s">
        <v>74</v>
      </c>
      <c r="BE1555" t="s">
        <v>74</v>
      </c>
      <c r="BF1555" t="s">
        <v>74</v>
      </c>
      <c r="BG1555" t="s">
        <v>74</v>
      </c>
      <c r="BH1555" t="s">
        <v>74</v>
      </c>
      <c r="BI1555">
        <v>26</v>
      </c>
      <c r="BJ1555" t="s">
        <v>268</v>
      </c>
      <c r="BK1555" t="s">
        <v>313</v>
      </c>
      <c r="BL1555" t="s">
        <v>100</v>
      </c>
      <c r="BM1555" t="s">
        <v>25695</v>
      </c>
      <c r="BN1555" t="s">
        <v>74</v>
      </c>
      <c r="BO1555" t="s">
        <v>74</v>
      </c>
      <c r="BP1555" t="s">
        <v>74</v>
      </c>
      <c r="BQ1555" t="s">
        <v>74</v>
      </c>
      <c r="BR1555" t="s">
        <v>102</v>
      </c>
      <c r="BS1555" t="s">
        <v>25694</v>
      </c>
      <c r="BT1555" t="str">
        <f>HYPERLINK("https%3A%2F%2Fwww.webofscience.com%2Fwos%2Fwoscc%2Ffull-record%2FWOS:000977075300010","View Full Record in Web of Science")</f>
        <v>View Full Record in Web of Science</v>
      </c>
    </row>
    <row r="1556" spans="1:72" x14ac:dyDescent="0.25">
      <c r="A1556" t="s">
        <v>72</v>
      </c>
      <c r="B1556" t="s">
        <v>25693</v>
      </c>
      <c r="C1556" t="s">
        <v>74</v>
      </c>
      <c r="D1556" t="s">
        <v>74</v>
      </c>
      <c r="E1556" t="s">
        <v>74</v>
      </c>
      <c r="F1556" t="s">
        <v>25692</v>
      </c>
      <c r="G1556" t="s">
        <v>74</v>
      </c>
      <c r="H1556" t="s">
        <v>74</v>
      </c>
      <c r="I1556" t="s">
        <v>25691</v>
      </c>
      <c r="J1556" t="s">
        <v>3056</v>
      </c>
      <c r="K1556" t="s">
        <v>74</v>
      </c>
      <c r="L1556" t="s">
        <v>74</v>
      </c>
      <c r="M1556" t="s">
        <v>78</v>
      </c>
      <c r="N1556" t="s">
        <v>79</v>
      </c>
      <c r="O1556" t="s">
        <v>74</v>
      </c>
      <c r="P1556" t="s">
        <v>74</v>
      </c>
      <c r="Q1556" t="s">
        <v>74</v>
      </c>
      <c r="R1556" t="s">
        <v>74</v>
      </c>
      <c r="S1556" t="s">
        <v>74</v>
      </c>
      <c r="T1556" t="s">
        <v>25690</v>
      </c>
      <c r="U1556" t="s">
        <v>1369</v>
      </c>
      <c r="V1556" t="s">
        <v>25689</v>
      </c>
      <c r="W1556" t="s">
        <v>25688</v>
      </c>
      <c r="X1556" t="s">
        <v>3605</v>
      </c>
      <c r="Y1556" t="s">
        <v>25687</v>
      </c>
      <c r="Z1556" t="s">
        <v>9335</v>
      </c>
      <c r="AA1556" t="s">
        <v>25686</v>
      </c>
      <c r="AB1556" t="s">
        <v>74</v>
      </c>
      <c r="AC1556" t="s">
        <v>74</v>
      </c>
      <c r="AD1556" t="s">
        <v>74</v>
      </c>
      <c r="AE1556" t="s">
        <v>74</v>
      </c>
      <c r="AF1556" t="s">
        <v>74</v>
      </c>
      <c r="AG1556">
        <v>18</v>
      </c>
      <c r="AH1556">
        <v>16</v>
      </c>
      <c r="AI1556">
        <v>23</v>
      </c>
      <c r="AJ1556">
        <v>1</v>
      </c>
      <c r="AK1556">
        <v>13</v>
      </c>
      <c r="AL1556" t="s">
        <v>3064</v>
      </c>
      <c r="AM1556" t="s">
        <v>3065</v>
      </c>
      <c r="AN1556" t="s">
        <v>3066</v>
      </c>
      <c r="AO1556" t="s">
        <v>3067</v>
      </c>
      <c r="AP1556" t="s">
        <v>3068</v>
      </c>
      <c r="AQ1556" t="s">
        <v>74</v>
      </c>
      <c r="AR1556" t="s">
        <v>3069</v>
      </c>
      <c r="AS1556" t="s">
        <v>3070</v>
      </c>
      <c r="AT1556" t="s">
        <v>7020</v>
      </c>
      <c r="AU1556">
        <v>2018</v>
      </c>
      <c r="AV1556">
        <v>14</v>
      </c>
      <c r="AW1556">
        <v>1</v>
      </c>
      <c r="AX1556" t="s">
        <v>74</v>
      </c>
      <c r="AY1556" t="s">
        <v>74</v>
      </c>
      <c r="AZ1556" t="s">
        <v>74</v>
      </c>
      <c r="BA1556" t="s">
        <v>74</v>
      </c>
      <c r="BB1556">
        <v>111</v>
      </c>
      <c r="BC1556">
        <v>118</v>
      </c>
      <c r="BD1556" t="s">
        <v>74</v>
      </c>
      <c r="BE1556" t="s">
        <v>25685</v>
      </c>
      <c r="BF1556" t="str">
        <f>HYPERLINK("http://dx.doi.org/10.5958/2322-0430.2018.00012.4","http://dx.doi.org/10.5958/2322-0430.2018.00012.4")</f>
        <v>http://dx.doi.org/10.5958/2322-0430.2018.00012.4</v>
      </c>
      <c r="BG1556" t="s">
        <v>74</v>
      </c>
      <c r="BH1556" t="s">
        <v>74</v>
      </c>
      <c r="BI1556">
        <v>8</v>
      </c>
      <c r="BJ1556" t="s">
        <v>291</v>
      </c>
      <c r="BK1556" t="s">
        <v>313</v>
      </c>
      <c r="BL1556" t="s">
        <v>100</v>
      </c>
      <c r="BM1556" t="s">
        <v>25684</v>
      </c>
      <c r="BN1556" t="s">
        <v>74</v>
      </c>
      <c r="BO1556" t="s">
        <v>270</v>
      </c>
      <c r="BP1556" t="s">
        <v>74</v>
      </c>
      <c r="BQ1556" t="s">
        <v>74</v>
      </c>
      <c r="BR1556" t="s">
        <v>102</v>
      </c>
      <c r="BS1556" t="s">
        <v>25683</v>
      </c>
      <c r="BT1556" t="str">
        <f>HYPERLINK("https%3A%2F%2Fwww.webofscience.com%2Fwos%2Fwoscc%2Ffull-record%2FWOS:000452792700012","View Full Record in Web of Science")</f>
        <v>View Full Record in Web of Science</v>
      </c>
    </row>
    <row r="1557" spans="1:72" x14ac:dyDescent="0.25">
      <c r="A1557" t="s">
        <v>72</v>
      </c>
      <c r="B1557" t="s">
        <v>25682</v>
      </c>
      <c r="C1557" t="s">
        <v>74</v>
      </c>
      <c r="D1557" t="s">
        <v>74</v>
      </c>
      <c r="E1557" t="s">
        <v>74</v>
      </c>
      <c r="F1557" t="s">
        <v>25681</v>
      </c>
      <c r="G1557" t="s">
        <v>74</v>
      </c>
      <c r="H1557" t="s">
        <v>74</v>
      </c>
      <c r="I1557" t="s">
        <v>25680</v>
      </c>
      <c r="J1557" t="s">
        <v>13110</v>
      </c>
      <c r="K1557" t="s">
        <v>74</v>
      </c>
      <c r="L1557" t="s">
        <v>74</v>
      </c>
      <c r="M1557" t="s">
        <v>78</v>
      </c>
      <c r="N1557" t="s">
        <v>79</v>
      </c>
      <c r="O1557" t="s">
        <v>74</v>
      </c>
      <c r="P1557" t="s">
        <v>74</v>
      </c>
      <c r="Q1557" t="s">
        <v>74</v>
      </c>
      <c r="R1557" t="s">
        <v>74</v>
      </c>
      <c r="S1557" t="s">
        <v>74</v>
      </c>
      <c r="T1557" t="s">
        <v>25679</v>
      </c>
      <c r="U1557" t="s">
        <v>25678</v>
      </c>
      <c r="V1557" t="s">
        <v>25677</v>
      </c>
      <c r="W1557" t="s">
        <v>25676</v>
      </c>
      <c r="X1557" t="s">
        <v>6993</v>
      </c>
      <c r="Y1557" t="s">
        <v>25675</v>
      </c>
      <c r="Z1557" t="s">
        <v>25674</v>
      </c>
      <c r="AA1557" t="s">
        <v>6996</v>
      </c>
      <c r="AB1557" t="s">
        <v>6997</v>
      </c>
      <c r="AC1557" t="s">
        <v>74</v>
      </c>
      <c r="AD1557" t="s">
        <v>74</v>
      </c>
      <c r="AE1557" t="s">
        <v>74</v>
      </c>
      <c r="AF1557" t="s">
        <v>74</v>
      </c>
      <c r="AG1557">
        <v>53</v>
      </c>
      <c r="AH1557">
        <v>65</v>
      </c>
      <c r="AI1557">
        <v>80</v>
      </c>
      <c r="AJ1557">
        <v>1</v>
      </c>
      <c r="AK1557">
        <v>36</v>
      </c>
      <c r="AL1557" t="s">
        <v>2551</v>
      </c>
      <c r="AM1557" t="s">
        <v>231</v>
      </c>
      <c r="AN1557" t="s">
        <v>2552</v>
      </c>
      <c r="AO1557" t="s">
        <v>13122</v>
      </c>
      <c r="AP1557" t="s">
        <v>13123</v>
      </c>
      <c r="AQ1557" t="s">
        <v>74</v>
      </c>
      <c r="AR1557" t="s">
        <v>13124</v>
      </c>
      <c r="AS1557" t="s">
        <v>13125</v>
      </c>
      <c r="AT1557" t="s">
        <v>1652</v>
      </c>
      <c r="AU1557">
        <v>2018</v>
      </c>
      <c r="AV1557">
        <v>27</v>
      </c>
      <c r="AW1557">
        <v>3</v>
      </c>
      <c r="AX1557" t="s">
        <v>74</v>
      </c>
      <c r="AY1557" t="s">
        <v>74</v>
      </c>
      <c r="AZ1557" t="s">
        <v>74</v>
      </c>
      <c r="BA1557" t="s">
        <v>74</v>
      </c>
      <c r="BB1557">
        <v>285</v>
      </c>
      <c r="BC1557">
        <v>320</v>
      </c>
      <c r="BD1557" t="s">
        <v>74</v>
      </c>
      <c r="BE1557" t="s">
        <v>25673</v>
      </c>
      <c r="BF1557" t="str">
        <f>HYPERLINK("http://dx.doi.org/10.1093/jafeco/ejx028","http://dx.doi.org/10.1093/jafeco/ejx028")</f>
        <v>http://dx.doi.org/10.1093/jafeco/ejx028</v>
      </c>
      <c r="BG1557" t="s">
        <v>74</v>
      </c>
      <c r="BH1557" t="s">
        <v>74</v>
      </c>
      <c r="BI1557">
        <v>36</v>
      </c>
      <c r="BJ1557" t="s">
        <v>291</v>
      </c>
      <c r="BK1557" t="s">
        <v>99</v>
      </c>
      <c r="BL1557" t="s">
        <v>100</v>
      </c>
      <c r="BM1557" t="s">
        <v>25672</v>
      </c>
      <c r="BN1557" t="s">
        <v>74</v>
      </c>
      <c r="BO1557" t="s">
        <v>74</v>
      </c>
      <c r="BP1557" t="s">
        <v>74</v>
      </c>
      <c r="BQ1557" t="s">
        <v>74</v>
      </c>
      <c r="BR1557" t="s">
        <v>102</v>
      </c>
      <c r="BS1557" t="s">
        <v>25671</v>
      </c>
      <c r="BT1557" t="str">
        <f>HYPERLINK("https%3A%2F%2Fwww.webofscience.com%2Fwos%2Fwoscc%2Ffull-record%2FWOS:000434082900003","View Full Record in Web of Science")</f>
        <v>View Full Record in Web of Science</v>
      </c>
    </row>
    <row r="1558" spans="1:72" x14ac:dyDescent="0.25">
      <c r="A1558" t="s">
        <v>72</v>
      </c>
      <c r="B1558" t="s">
        <v>25670</v>
      </c>
      <c r="C1558" t="s">
        <v>74</v>
      </c>
      <c r="D1558" t="s">
        <v>74</v>
      </c>
      <c r="E1558" t="s">
        <v>74</v>
      </c>
      <c r="F1558" t="s">
        <v>25669</v>
      </c>
      <c r="G1558" t="s">
        <v>74</v>
      </c>
      <c r="H1558" t="s">
        <v>74</v>
      </c>
      <c r="I1558" t="s">
        <v>25668</v>
      </c>
      <c r="J1558" t="s">
        <v>3397</v>
      </c>
      <c r="K1558" t="s">
        <v>74</v>
      </c>
      <c r="L1558" t="s">
        <v>74</v>
      </c>
      <c r="M1558" t="s">
        <v>78</v>
      </c>
      <c r="N1558" t="s">
        <v>79</v>
      </c>
      <c r="O1558" t="s">
        <v>74</v>
      </c>
      <c r="P1558" t="s">
        <v>74</v>
      </c>
      <c r="Q1558" t="s">
        <v>74</v>
      </c>
      <c r="R1558" t="s">
        <v>74</v>
      </c>
      <c r="S1558" t="s">
        <v>74</v>
      </c>
      <c r="T1558" t="s">
        <v>25667</v>
      </c>
      <c r="U1558" t="s">
        <v>74</v>
      </c>
      <c r="V1558" t="s">
        <v>25666</v>
      </c>
      <c r="W1558" t="s">
        <v>25665</v>
      </c>
      <c r="X1558" t="s">
        <v>25664</v>
      </c>
      <c r="Y1558" t="s">
        <v>25663</v>
      </c>
      <c r="Z1558" t="s">
        <v>23412</v>
      </c>
      <c r="AA1558" t="s">
        <v>74</v>
      </c>
      <c r="AB1558" t="s">
        <v>74</v>
      </c>
      <c r="AC1558" t="s">
        <v>25662</v>
      </c>
      <c r="AD1558" t="s">
        <v>25661</v>
      </c>
      <c r="AE1558" t="s">
        <v>25660</v>
      </c>
      <c r="AF1558" t="s">
        <v>74</v>
      </c>
      <c r="AG1558">
        <v>59</v>
      </c>
      <c r="AH1558">
        <v>19</v>
      </c>
      <c r="AI1558">
        <v>23</v>
      </c>
      <c r="AJ1558">
        <v>16</v>
      </c>
      <c r="AK1558">
        <v>46</v>
      </c>
      <c r="AL1558" t="s">
        <v>201</v>
      </c>
      <c r="AM1558" t="s">
        <v>202</v>
      </c>
      <c r="AN1558" t="s">
        <v>203</v>
      </c>
      <c r="AO1558" t="s">
        <v>3406</v>
      </c>
      <c r="AP1558" t="s">
        <v>3407</v>
      </c>
      <c r="AQ1558" t="s">
        <v>74</v>
      </c>
      <c r="AR1558" t="s">
        <v>3408</v>
      </c>
      <c r="AS1558" t="s">
        <v>3409</v>
      </c>
      <c r="AT1558" t="s">
        <v>1652</v>
      </c>
      <c r="AU1558">
        <v>2024</v>
      </c>
      <c r="AV1558">
        <v>85</v>
      </c>
      <c r="AW1558" t="s">
        <v>74</v>
      </c>
      <c r="AX1558" t="s">
        <v>74</v>
      </c>
      <c r="AY1558" t="s">
        <v>74</v>
      </c>
      <c r="AZ1558" t="s">
        <v>74</v>
      </c>
      <c r="BA1558" t="s">
        <v>74</v>
      </c>
      <c r="BB1558" t="s">
        <v>74</v>
      </c>
      <c r="BC1558" t="s">
        <v>74</v>
      </c>
      <c r="BD1558">
        <v>102324</v>
      </c>
      <c r="BE1558" t="s">
        <v>25659</v>
      </c>
      <c r="BF1558" t="str">
        <f>HYPERLINK("http://dx.doi.org/10.1016/j.pacfin.2024.102324","http://dx.doi.org/10.1016/j.pacfin.2024.102324")</f>
        <v>http://dx.doi.org/10.1016/j.pacfin.2024.102324</v>
      </c>
      <c r="BG1558" t="s">
        <v>74</v>
      </c>
      <c r="BH1558" t="s">
        <v>1981</v>
      </c>
      <c r="BI1558">
        <v>19</v>
      </c>
      <c r="BJ1558" t="s">
        <v>268</v>
      </c>
      <c r="BK1558" t="s">
        <v>99</v>
      </c>
      <c r="BL1558" t="s">
        <v>100</v>
      </c>
      <c r="BM1558" t="s">
        <v>25658</v>
      </c>
      <c r="BN1558" t="s">
        <v>74</v>
      </c>
      <c r="BO1558" t="s">
        <v>74</v>
      </c>
      <c r="BP1558" t="s">
        <v>74</v>
      </c>
      <c r="BQ1558" t="s">
        <v>74</v>
      </c>
      <c r="BR1558" t="s">
        <v>102</v>
      </c>
      <c r="BS1558" t="s">
        <v>25657</v>
      </c>
      <c r="BT1558" t="str">
        <f>HYPERLINK("https%3A%2F%2Fwww.webofscience.com%2Fwos%2Fwoscc%2Ffull-record%2FWOS:001211115900001","View Full Record in Web of Science")</f>
        <v>View Full Record in Web of Science</v>
      </c>
    </row>
    <row r="1559" spans="1:72" x14ac:dyDescent="0.25">
      <c r="A1559" t="s">
        <v>72</v>
      </c>
      <c r="B1559" t="s">
        <v>25656</v>
      </c>
      <c r="C1559" t="s">
        <v>74</v>
      </c>
      <c r="D1559" t="s">
        <v>74</v>
      </c>
      <c r="E1559" t="s">
        <v>74</v>
      </c>
      <c r="F1559" t="s">
        <v>25655</v>
      </c>
      <c r="G1559" t="s">
        <v>74</v>
      </c>
      <c r="H1559" t="s">
        <v>74</v>
      </c>
      <c r="I1559" t="s">
        <v>25654</v>
      </c>
      <c r="J1559" t="s">
        <v>25641</v>
      </c>
      <c r="K1559" t="s">
        <v>74</v>
      </c>
      <c r="L1559" t="s">
        <v>74</v>
      </c>
      <c r="M1559" t="s">
        <v>78</v>
      </c>
      <c r="N1559" t="s">
        <v>79</v>
      </c>
      <c r="O1559" t="s">
        <v>74</v>
      </c>
      <c r="P1559" t="s">
        <v>74</v>
      </c>
      <c r="Q1559" t="s">
        <v>74</v>
      </c>
      <c r="R1559" t="s">
        <v>74</v>
      </c>
      <c r="S1559" t="s">
        <v>74</v>
      </c>
      <c r="T1559" t="s">
        <v>74</v>
      </c>
      <c r="U1559" t="s">
        <v>25653</v>
      </c>
      <c r="V1559" t="s">
        <v>25652</v>
      </c>
      <c r="W1559" t="s">
        <v>25651</v>
      </c>
      <c r="X1559" t="s">
        <v>25650</v>
      </c>
      <c r="Y1559" t="s">
        <v>25649</v>
      </c>
      <c r="Z1559" t="s">
        <v>74</v>
      </c>
      <c r="AA1559" t="s">
        <v>25648</v>
      </c>
      <c r="AB1559" t="s">
        <v>25647</v>
      </c>
      <c r="AC1559" t="s">
        <v>25646</v>
      </c>
      <c r="AD1559" t="s">
        <v>25645</v>
      </c>
      <c r="AE1559" t="s">
        <v>25644</v>
      </c>
      <c r="AF1559" t="s">
        <v>74</v>
      </c>
      <c r="AG1559">
        <v>72</v>
      </c>
      <c r="AH1559">
        <v>6</v>
      </c>
      <c r="AI1559">
        <v>6</v>
      </c>
      <c r="AJ1559">
        <v>1</v>
      </c>
      <c r="AK1559">
        <v>18</v>
      </c>
      <c r="AL1559" t="s">
        <v>479</v>
      </c>
      <c r="AM1559" t="s">
        <v>480</v>
      </c>
      <c r="AN1559" t="s">
        <v>481</v>
      </c>
      <c r="AO1559" t="s">
        <v>25643</v>
      </c>
      <c r="AP1559" t="s">
        <v>25642</v>
      </c>
      <c r="AQ1559" t="s">
        <v>74</v>
      </c>
      <c r="AR1559" t="s">
        <v>25641</v>
      </c>
      <c r="AS1559" t="s">
        <v>25640</v>
      </c>
      <c r="AT1559" t="s">
        <v>1652</v>
      </c>
      <c r="AU1559">
        <v>2022</v>
      </c>
      <c r="AV1559">
        <v>89</v>
      </c>
      <c r="AW1559" t="s">
        <v>74</v>
      </c>
      <c r="AX1559" t="s">
        <v>74</v>
      </c>
      <c r="AY1559">
        <v>1</v>
      </c>
      <c r="AZ1559" t="s">
        <v>441</v>
      </c>
      <c r="BA1559" t="s">
        <v>74</v>
      </c>
      <c r="BB1559" t="s">
        <v>25639</v>
      </c>
      <c r="BC1559" t="s">
        <v>25638</v>
      </c>
      <c r="BD1559" t="s">
        <v>74</v>
      </c>
      <c r="BE1559" t="s">
        <v>25637</v>
      </c>
      <c r="BF1559" t="str">
        <f>HYPERLINK("http://dx.doi.org/10.1111/ecca.12424","http://dx.doi.org/10.1111/ecca.12424")</f>
        <v>http://dx.doi.org/10.1111/ecca.12424</v>
      </c>
      <c r="BG1559" t="s">
        <v>74</v>
      </c>
      <c r="BH1559" t="s">
        <v>12980</v>
      </c>
      <c r="BI1559">
        <v>37</v>
      </c>
      <c r="BJ1559" t="s">
        <v>291</v>
      </c>
      <c r="BK1559" t="s">
        <v>99</v>
      </c>
      <c r="BL1559" t="s">
        <v>100</v>
      </c>
      <c r="BM1559" t="s">
        <v>25636</v>
      </c>
      <c r="BN1559" t="s">
        <v>74</v>
      </c>
      <c r="BO1559" t="s">
        <v>1205</v>
      </c>
      <c r="BP1559" t="s">
        <v>74</v>
      </c>
      <c r="BQ1559" t="s">
        <v>74</v>
      </c>
      <c r="BR1559" t="s">
        <v>102</v>
      </c>
      <c r="BS1559" t="s">
        <v>25635</v>
      </c>
      <c r="BT1559" t="str">
        <f>HYPERLINK("https%3A%2F%2Fwww.webofscience.com%2Fwos%2Fwoscc%2Ffull-record%2FWOS:000783237300001","View Full Record in Web of Science")</f>
        <v>View Full Record in Web of Science</v>
      </c>
    </row>
    <row r="1560" spans="1:72" x14ac:dyDescent="0.25">
      <c r="A1560" t="s">
        <v>72</v>
      </c>
      <c r="B1560" t="s">
        <v>25634</v>
      </c>
      <c r="C1560" t="s">
        <v>74</v>
      </c>
      <c r="D1560" t="s">
        <v>74</v>
      </c>
      <c r="E1560" t="s">
        <v>74</v>
      </c>
      <c r="F1560" t="s">
        <v>25633</v>
      </c>
      <c r="G1560" t="s">
        <v>74</v>
      </c>
      <c r="H1560" t="s">
        <v>74</v>
      </c>
      <c r="I1560" t="s">
        <v>25632</v>
      </c>
      <c r="J1560" t="s">
        <v>17518</v>
      </c>
      <c r="K1560" t="s">
        <v>74</v>
      </c>
      <c r="L1560" t="s">
        <v>74</v>
      </c>
      <c r="M1560" t="s">
        <v>78</v>
      </c>
      <c r="N1560" t="s">
        <v>79</v>
      </c>
      <c r="O1560" t="s">
        <v>74</v>
      </c>
      <c r="P1560" t="s">
        <v>74</v>
      </c>
      <c r="Q1560" t="s">
        <v>74</v>
      </c>
      <c r="R1560" t="s">
        <v>74</v>
      </c>
      <c r="S1560" t="s">
        <v>74</v>
      </c>
      <c r="T1560" t="s">
        <v>25631</v>
      </c>
      <c r="U1560" t="s">
        <v>25630</v>
      </c>
      <c r="V1560" t="s">
        <v>25629</v>
      </c>
      <c r="W1560" t="s">
        <v>25628</v>
      </c>
      <c r="X1560" t="s">
        <v>25627</v>
      </c>
      <c r="Y1560" t="s">
        <v>25626</v>
      </c>
      <c r="Z1560" t="s">
        <v>25625</v>
      </c>
      <c r="AA1560" t="s">
        <v>25624</v>
      </c>
      <c r="AB1560" t="s">
        <v>25623</v>
      </c>
      <c r="AC1560" t="s">
        <v>25622</v>
      </c>
      <c r="AD1560" t="s">
        <v>17529</v>
      </c>
      <c r="AE1560" t="s">
        <v>25621</v>
      </c>
      <c r="AF1560" t="s">
        <v>74</v>
      </c>
      <c r="AG1560">
        <v>50</v>
      </c>
      <c r="AH1560">
        <v>49</v>
      </c>
      <c r="AI1560">
        <v>50</v>
      </c>
      <c r="AJ1560">
        <v>3</v>
      </c>
      <c r="AK1560">
        <v>88</v>
      </c>
      <c r="AL1560" t="s">
        <v>575</v>
      </c>
      <c r="AM1560" t="s">
        <v>576</v>
      </c>
      <c r="AN1560" t="s">
        <v>577</v>
      </c>
      <c r="AO1560" t="s">
        <v>74</v>
      </c>
      <c r="AP1560" t="s">
        <v>17531</v>
      </c>
      <c r="AQ1560" t="s">
        <v>74</v>
      </c>
      <c r="AR1560" t="s">
        <v>17518</v>
      </c>
      <c r="AS1560" t="s">
        <v>17532</v>
      </c>
      <c r="AT1560" t="s">
        <v>124</v>
      </c>
      <c r="AU1560">
        <v>2021</v>
      </c>
      <c r="AV1560">
        <v>11</v>
      </c>
      <c r="AW1560">
        <v>12</v>
      </c>
      <c r="AX1560" t="s">
        <v>74</v>
      </c>
      <c r="AY1560" t="s">
        <v>74</v>
      </c>
      <c r="AZ1560" t="s">
        <v>74</v>
      </c>
      <c r="BA1560" t="s">
        <v>74</v>
      </c>
      <c r="BB1560" t="s">
        <v>74</v>
      </c>
      <c r="BC1560" t="s">
        <v>74</v>
      </c>
      <c r="BD1560">
        <v>2542</v>
      </c>
      <c r="BE1560" t="s">
        <v>25620</v>
      </c>
      <c r="BF1560" t="str">
        <f>HYPERLINK("http://dx.doi.org/10.3390/agronomy11122542","http://dx.doi.org/10.3390/agronomy11122542")</f>
        <v>http://dx.doi.org/10.3390/agronomy11122542</v>
      </c>
      <c r="BG1560" t="s">
        <v>74</v>
      </c>
      <c r="BH1560" t="s">
        <v>74</v>
      </c>
      <c r="BI1560">
        <v>23</v>
      </c>
      <c r="BJ1560" t="s">
        <v>17534</v>
      </c>
      <c r="BK1560" t="s">
        <v>2623</v>
      </c>
      <c r="BL1560" t="s">
        <v>17535</v>
      </c>
      <c r="BM1560" t="s">
        <v>25619</v>
      </c>
      <c r="BN1560" t="s">
        <v>74</v>
      </c>
      <c r="BO1560" t="s">
        <v>916</v>
      </c>
      <c r="BP1560" t="s">
        <v>74</v>
      </c>
      <c r="BQ1560" t="s">
        <v>74</v>
      </c>
      <c r="BR1560" t="s">
        <v>102</v>
      </c>
      <c r="BS1560" t="s">
        <v>25618</v>
      </c>
      <c r="BT1560" t="str">
        <f>HYPERLINK("https%3A%2F%2Fwww.webofscience.com%2Fwos%2Fwoscc%2Ffull-record%2FWOS:000735267500001","View Full Record in Web of Science")</f>
        <v>View Full Record in Web of Science</v>
      </c>
    </row>
    <row r="1561" spans="1:72" x14ac:dyDescent="0.25">
      <c r="A1561" t="s">
        <v>72</v>
      </c>
      <c r="B1561" t="s">
        <v>25617</v>
      </c>
      <c r="C1561" t="s">
        <v>74</v>
      </c>
      <c r="D1561" t="s">
        <v>74</v>
      </c>
      <c r="E1561" t="s">
        <v>74</v>
      </c>
      <c r="F1561" t="s">
        <v>25616</v>
      </c>
      <c r="G1561" t="s">
        <v>74</v>
      </c>
      <c r="H1561" t="s">
        <v>74</v>
      </c>
      <c r="I1561" t="s">
        <v>25615</v>
      </c>
      <c r="J1561" t="s">
        <v>6437</v>
      </c>
      <c r="K1561" t="s">
        <v>74</v>
      </c>
      <c r="L1561" t="s">
        <v>74</v>
      </c>
      <c r="M1561" t="s">
        <v>78</v>
      </c>
      <c r="N1561" t="s">
        <v>79</v>
      </c>
      <c r="O1561" t="s">
        <v>74</v>
      </c>
      <c r="P1561" t="s">
        <v>74</v>
      </c>
      <c r="Q1561" t="s">
        <v>74</v>
      </c>
      <c r="R1561" t="s">
        <v>74</v>
      </c>
      <c r="S1561" t="s">
        <v>74</v>
      </c>
      <c r="T1561" t="s">
        <v>25614</v>
      </c>
      <c r="U1561" t="s">
        <v>25613</v>
      </c>
      <c r="V1561" t="s">
        <v>25612</v>
      </c>
      <c r="W1561" t="s">
        <v>25611</v>
      </c>
      <c r="X1561" t="s">
        <v>25610</v>
      </c>
      <c r="Y1561" t="s">
        <v>25609</v>
      </c>
      <c r="Z1561" t="s">
        <v>25608</v>
      </c>
      <c r="AA1561" t="s">
        <v>25607</v>
      </c>
      <c r="AB1561" t="s">
        <v>25606</v>
      </c>
      <c r="AC1561" t="s">
        <v>74</v>
      </c>
      <c r="AD1561" t="s">
        <v>74</v>
      </c>
      <c r="AE1561" t="s">
        <v>74</v>
      </c>
      <c r="AF1561" t="s">
        <v>74</v>
      </c>
      <c r="AG1561">
        <v>86</v>
      </c>
      <c r="AH1561">
        <v>0</v>
      </c>
      <c r="AI1561">
        <v>0</v>
      </c>
      <c r="AJ1561">
        <v>1</v>
      </c>
      <c r="AK1561">
        <v>1</v>
      </c>
      <c r="AL1561" t="s">
        <v>479</v>
      </c>
      <c r="AM1561" t="s">
        <v>480</v>
      </c>
      <c r="AN1561" t="s">
        <v>481</v>
      </c>
      <c r="AO1561" t="s">
        <v>6446</v>
      </c>
      <c r="AP1561" t="s">
        <v>6447</v>
      </c>
      <c r="AQ1561" t="s">
        <v>74</v>
      </c>
      <c r="AR1561" t="s">
        <v>6448</v>
      </c>
      <c r="AS1561" t="s">
        <v>6449</v>
      </c>
      <c r="AT1561" t="s">
        <v>1914</v>
      </c>
      <c r="AU1561">
        <v>2024</v>
      </c>
      <c r="AV1561">
        <v>53</v>
      </c>
      <c r="AW1561">
        <v>1</v>
      </c>
      <c r="AX1561" t="s">
        <v>74</v>
      </c>
      <c r="AY1561" t="s">
        <v>74</v>
      </c>
      <c r="AZ1561" t="s">
        <v>74</v>
      </c>
      <c r="BA1561" t="s">
        <v>74</v>
      </c>
      <c r="BB1561" t="s">
        <v>74</v>
      </c>
      <c r="BC1561" t="s">
        <v>74</v>
      </c>
      <c r="BD1561" t="s">
        <v>25605</v>
      </c>
      <c r="BE1561" t="s">
        <v>25604</v>
      </c>
      <c r="BF1561" t="str">
        <f>HYPERLINK("http://dx.doi.org/10.1111/ecno.12232","http://dx.doi.org/10.1111/ecno.12232")</f>
        <v>http://dx.doi.org/10.1111/ecno.12232</v>
      </c>
      <c r="BG1561" t="s">
        <v>74</v>
      </c>
      <c r="BH1561" t="s">
        <v>74</v>
      </c>
      <c r="BI1561">
        <v>18</v>
      </c>
      <c r="BJ1561" t="s">
        <v>291</v>
      </c>
      <c r="BK1561" t="s">
        <v>313</v>
      </c>
      <c r="BL1561" t="s">
        <v>100</v>
      </c>
      <c r="BM1561" t="s">
        <v>25603</v>
      </c>
      <c r="BN1561" t="s">
        <v>74</v>
      </c>
      <c r="BO1561" t="s">
        <v>74</v>
      </c>
      <c r="BP1561" t="s">
        <v>74</v>
      </c>
      <c r="BQ1561" t="s">
        <v>74</v>
      </c>
      <c r="BR1561" t="s">
        <v>102</v>
      </c>
      <c r="BS1561" t="s">
        <v>25602</v>
      </c>
      <c r="BT1561" t="str">
        <f>HYPERLINK("https%3A%2F%2Fwww.webofscience.com%2Fwos%2Fwoscc%2Ffull-record%2FWOS:001140121500001","View Full Record in Web of Science")</f>
        <v>View Full Record in Web of Science</v>
      </c>
    </row>
    <row r="1562" spans="1:72" x14ac:dyDescent="0.25">
      <c r="A1562" t="s">
        <v>132</v>
      </c>
      <c r="B1562" t="s">
        <v>25601</v>
      </c>
      <c r="C1562" t="s">
        <v>74</v>
      </c>
      <c r="D1562" t="s">
        <v>25600</v>
      </c>
      <c r="E1562" t="s">
        <v>74</v>
      </c>
      <c r="F1562" t="s">
        <v>25599</v>
      </c>
      <c r="G1562" t="s">
        <v>74</v>
      </c>
      <c r="H1562" t="s">
        <v>74</v>
      </c>
      <c r="I1562" t="s">
        <v>25598</v>
      </c>
      <c r="J1562" t="s">
        <v>25597</v>
      </c>
      <c r="K1562" t="s">
        <v>25596</v>
      </c>
      <c r="L1562" t="s">
        <v>74</v>
      </c>
      <c r="M1562" t="s">
        <v>78</v>
      </c>
      <c r="N1562" t="s">
        <v>138</v>
      </c>
      <c r="O1562" t="s">
        <v>25595</v>
      </c>
      <c r="P1562" t="s">
        <v>25594</v>
      </c>
      <c r="Q1562" t="s">
        <v>25593</v>
      </c>
      <c r="R1562" t="s">
        <v>74</v>
      </c>
      <c r="S1562" t="s">
        <v>25592</v>
      </c>
      <c r="T1562" t="s">
        <v>25591</v>
      </c>
      <c r="U1562" t="s">
        <v>25590</v>
      </c>
      <c r="V1562" t="s">
        <v>25589</v>
      </c>
      <c r="W1562" t="s">
        <v>25588</v>
      </c>
      <c r="X1562" t="s">
        <v>11237</v>
      </c>
      <c r="Y1562" t="s">
        <v>25587</v>
      </c>
      <c r="Z1562" t="s">
        <v>25586</v>
      </c>
      <c r="AA1562" t="s">
        <v>15792</v>
      </c>
      <c r="AB1562" t="s">
        <v>74</v>
      </c>
      <c r="AC1562" t="s">
        <v>74</v>
      </c>
      <c r="AD1562" t="s">
        <v>74</v>
      </c>
      <c r="AE1562" t="s">
        <v>74</v>
      </c>
      <c r="AF1562" t="s">
        <v>74</v>
      </c>
      <c r="AG1562">
        <v>38</v>
      </c>
      <c r="AH1562">
        <v>2</v>
      </c>
      <c r="AI1562">
        <v>2</v>
      </c>
      <c r="AJ1562">
        <v>0</v>
      </c>
      <c r="AK1562">
        <v>1</v>
      </c>
      <c r="AL1562" t="s">
        <v>3651</v>
      </c>
      <c r="AM1562" t="s">
        <v>3652</v>
      </c>
      <c r="AN1562" t="s">
        <v>3653</v>
      </c>
      <c r="AO1562" t="s">
        <v>25585</v>
      </c>
      <c r="AP1562" t="s">
        <v>74</v>
      </c>
      <c r="AQ1562" t="s">
        <v>25584</v>
      </c>
      <c r="AR1562" t="s">
        <v>25583</v>
      </c>
      <c r="AS1562" t="s">
        <v>74</v>
      </c>
      <c r="AT1562" t="s">
        <v>74</v>
      </c>
      <c r="AU1562">
        <v>2019</v>
      </c>
      <c r="AV1562" t="s">
        <v>74</v>
      </c>
      <c r="AW1562" t="s">
        <v>74</v>
      </c>
      <c r="AX1562" t="s">
        <v>74</v>
      </c>
      <c r="AY1562" t="s">
        <v>74</v>
      </c>
      <c r="AZ1562" t="s">
        <v>74</v>
      </c>
      <c r="BA1562" t="s">
        <v>74</v>
      </c>
      <c r="BB1562">
        <v>215</v>
      </c>
      <c r="BC1562">
        <v>222</v>
      </c>
      <c r="BD1562" t="s">
        <v>74</v>
      </c>
      <c r="BE1562" t="s">
        <v>74</v>
      </c>
      <c r="BF1562" t="s">
        <v>74</v>
      </c>
      <c r="BG1562" t="s">
        <v>74</v>
      </c>
      <c r="BH1562" t="s">
        <v>74</v>
      </c>
      <c r="BI1562">
        <v>8</v>
      </c>
      <c r="BJ1562" t="s">
        <v>25582</v>
      </c>
      <c r="BK1562" t="s">
        <v>183</v>
      </c>
      <c r="BL1562" t="s">
        <v>25581</v>
      </c>
      <c r="BM1562" t="s">
        <v>25580</v>
      </c>
      <c r="BN1562" t="s">
        <v>74</v>
      </c>
      <c r="BO1562" t="s">
        <v>74</v>
      </c>
      <c r="BP1562" t="s">
        <v>74</v>
      </c>
      <c r="BQ1562" t="s">
        <v>74</v>
      </c>
      <c r="BR1562" t="s">
        <v>102</v>
      </c>
      <c r="BS1562" t="s">
        <v>25579</v>
      </c>
      <c r="BT1562" t="str">
        <f>HYPERLINK("https%3A%2F%2Fwww.webofscience.com%2Fwos%2Fwoscc%2Ffull-record%2FWOS:000555914800028","View Full Record in Web of Science")</f>
        <v>View Full Record in Web of Science</v>
      </c>
    </row>
    <row r="1563" spans="1:72" x14ac:dyDescent="0.25">
      <c r="A1563" t="s">
        <v>72</v>
      </c>
      <c r="B1563" t="s">
        <v>25578</v>
      </c>
      <c r="C1563" t="s">
        <v>74</v>
      </c>
      <c r="D1563" t="s">
        <v>74</v>
      </c>
      <c r="E1563" t="s">
        <v>74</v>
      </c>
      <c r="F1563" t="s">
        <v>25577</v>
      </c>
      <c r="G1563" t="s">
        <v>74</v>
      </c>
      <c r="H1563" t="s">
        <v>74</v>
      </c>
      <c r="I1563" t="s">
        <v>25576</v>
      </c>
      <c r="J1563" t="s">
        <v>12427</v>
      </c>
      <c r="K1563" t="s">
        <v>74</v>
      </c>
      <c r="L1563" t="s">
        <v>74</v>
      </c>
      <c r="M1563" t="s">
        <v>78</v>
      </c>
      <c r="N1563" t="s">
        <v>79</v>
      </c>
      <c r="O1563" t="s">
        <v>74</v>
      </c>
      <c r="P1563" t="s">
        <v>74</v>
      </c>
      <c r="Q1563" t="s">
        <v>74</v>
      </c>
      <c r="R1563" t="s">
        <v>74</v>
      </c>
      <c r="S1563" t="s">
        <v>74</v>
      </c>
      <c r="T1563" t="s">
        <v>25575</v>
      </c>
      <c r="U1563" t="s">
        <v>25574</v>
      </c>
      <c r="V1563" t="s">
        <v>25573</v>
      </c>
      <c r="W1563" t="s">
        <v>25572</v>
      </c>
      <c r="X1563" t="s">
        <v>20257</v>
      </c>
      <c r="Y1563" t="s">
        <v>25571</v>
      </c>
      <c r="Z1563" t="s">
        <v>25570</v>
      </c>
      <c r="AA1563" t="s">
        <v>25569</v>
      </c>
      <c r="AB1563" t="s">
        <v>25568</v>
      </c>
      <c r="AC1563" t="s">
        <v>74</v>
      </c>
      <c r="AD1563" t="s">
        <v>74</v>
      </c>
      <c r="AE1563" t="s">
        <v>74</v>
      </c>
      <c r="AF1563" t="s">
        <v>74</v>
      </c>
      <c r="AG1563">
        <v>72</v>
      </c>
      <c r="AH1563">
        <v>7</v>
      </c>
      <c r="AI1563">
        <v>11</v>
      </c>
      <c r="AJ1563">
        <v>1</v>
      </c>
      <c r="AK1563">
        <v>7</v>
      </c>
      <c r="AL1563" t="s">
        <v>201</v>
      </c>
      <c r="AM1563" t="s">
        <v>202</v>
      </c>
      <c r="AN1563" t="s">
        <v>203</v>
      </c>
      <c r="AO1563" t="s">
        <v>74</v>
      </c>
      <c r="AP1563" t="s">
        <v>12435</v>
      </c>
      <c r="AQ1563" t="s">
        <v>74</v>
      </c>
      <c r="AR1563" t="s">
        <v>12436</v>
      </c>
      <c r="AS1563" t="s">
        <v>12437</v>
      </c>
      <c r="AT1563" t="s">
        <v>124</v>
      </c>
      <c r="AU1563">
        <v>2023</v>
      </c>
      <c r="AV1563">
        <v>3</v>
      </c>
      <c r="AW1563">
        <v>2</v>
      </c>
      <c r="AX1563" t="s">
        <v>74</v>
      </c>
      <c r="AY1563" t="s">
        <v>74</v>
      </c>
      <c r="AZ1563" t="s">
        <v>74</v>
      </c>
      <c r="BA1563" t="s">
        <v>74</v>
      </c>
      <c r="BB1563" t="s">
        <v>74</v>
      </c>
      <c r="BC1563" t="s">
        <v>74</v>
      </c>
      <c r="BD1563">
        <v>100066</v>
      </c>
      <c r="BE1563" t="s">
        <v>25567</v>
      </c>
      <c r="BF1563" t="str">
        <f>HYPERLINK("http://dx.doi.org/10.1016/j.digbus.2023.100066","http://dx.doi.org/10.1016/j.digbus.2023.100066")</f>
        <v>http://dx.doi.org/10.1016/j.digbus.2023.100066</v>
      </c>
      <c r="BG1563" t="s">
        <v>74</v>
      </c>
      <c r="BH1563" t="s">
        <v>74</v>
      </c>
      <c r="BI1563">
        <v>9</v>
      </c>
      <c r="BJ1563" t="s">
        <v>98</v>
      </c>
      <c r="BK1563" t="s">
        <v>313</v>
      </c>
      <c r="BL1563" t="s">
        <v>100</v>
      </c>
      <c r="BM1563" t="s">
        <v>25566</v>
      </c>
      <c r="BN1563" t="s">
        <v>74</v>
      </c>
      <c r="BO1563" t="s">
        <v>212</v>
      </c>
      <c r="BP1563" t="s">
        <v>74</v>
      </c>
      <c r="BQ1563" t="s">
        <v>74</v>
      </c>
      <c r="BR1563" t="s">
        <v>102</v>
      </c>
      <c r="BS1563" t="s">
        <v>25565</v>
      </c>
      <c r="BT1563" t="str">
        <f>HYPERLINK("https%3A%2F%2Fwww.webofscience.com%2Fwos%2Fwoscc%2Ffull-record%2FWOS:001302758500012","View Full Record in Web of Science")</f>
        <v>View Full Record in Web of Science</v>
      </c>
    </row>
    <row r="1564" spans="1:72" x14ac:dyDescent="0.25">
      <c r="A1564" t="s">
        <v>72</v>
      </c>
      <c r="B1564" t="s">
        <v>25564</v>
      </c>
      <c r="C1564" t="s">
        <v>74</v>
      </c>
      <c r="D1564" t="s">
        <v>74</v>
      </c>
      <c r="E1564" t="s">
        <v>74</v>
      </c>
      <c r="F1564" t="s">
        <v>25563</v>
      </c>
      <c r="G1564" t="s">
        <v>74</v>
      </c>
      <c r="H1564" t="s">
        <v>74</v>
      </c>
      <c r="I1564" t="s">
        <v>25562</v>
      </c>
      <c r="J1564" t="s">
        <v>4055</v>
      </c>
      <c r="K1564" t="s">
        <v>74</v>
      </c>
      <c r="L1564" t="s">
        <v>74</v>
      </c>
      <c r="M1564" t="s">
        <v>78</v>
      </c>
      <c r="N1564" t="s">
        <v>79</v>
      </c>
      <c r="O1564" t="s">
        <v>74</v>
      </c>
      <c r="P1564" t="s">
        <v>74</v>
      </c>
      <c r="Q1564" t="s">
        <v>74</v>
      </c>
      <c r="R1564" t="s">
        <v>74</v>
      </c>
      <c r="S1564" t="s">
        <v>74</v>
      </c>
      <c r="T1564" t="s">
        <v>25561</v>
      </c>
      <c r="U1564" t="s">
        <v>25560</v>
      </c>
      <c r="V1564" t="s">
        <v>25559</v>
      </c>
      <c r="W1564" t="s">
        <v>25558</v>
      </c>
      <c r="X1564" t="s">
        <v>25557</v>
      </c>
      <c r="Y1564" t="s">
        <v>25556</v>
      </c>
      <c r="Z1564" t="s">
        <v>25555</v>
      </c>
      <c r="AA1564" t="s">
        <v>25554</v>
      </c>
      <c r="AB1564" t="s">
        <v>25553</v>
      </c>
      <c r="AC1564" t="s">
        <v>23359</v>
      </c>
      <c r="AD1564" t="s">
        <v>23359</v>
      </c>
      <c r="AE1564" t="s">
        <v>25552</v>
      </c>
      <c r="AF1564" t="s">
        <v>74</v>
      </c>
      <c r="AG1564">
        <v>108</v>
      </c>
      <c r="AH1564">
        <v>27</v>
      </c>
      <c r="AI1564">
        <v>40</v>
      </c>
      <c r="AJ1564">
        <v>5</v>
      </c>
      <c r="AK1564">
        <v>46</v>
      </c>
      <c r="AL1564" t="s">
        <v>2907</v>
      </c>
      <c r="AM1564" t="s">
        <v>2908</v>
      </c>
      <c r="AN1564" t="s">
        <v>2909</v>
      </c>
      <c r="AO1564" t="s">
        <v>4064</v>
      </c>
      <c r="AP1564" t="s">
        <v>4065</v>
      </c>
      <c r="AQ1564" t="s">
        <v>74</v>
      </c>
      <c r="AR1564" t="s">
        <v>4066</v>
      </c>
      <c r="AS1564" t="s">
        <v>4067</v>
      </c>
      <c r="AT1564" t="s">
        <v>1652</v>
      </c>
      <c r="AU1564">
        <v>2024</v>
      </c>
      <c r="AV1564">
        <v>29</v>
      </c>
      <c r="AW1564">
        <v>2</v>
      </c>
      <c r="AX1564" t="s">
        <v>74</v>
      </c>
      <c r="AY1564" t="s">
        <v>74</v>
      </c>
      <c r="AZ1564" t="s">
        <v>74</v>
      </c>
      <c r="BA1564" t="s">
        <v>74</v>
      </c>
      <c r="BB1564">
        <v>459</v>
      </c>
      <c r="BC1564">
        <v>473</v>
      </c>
      <c r="BD1564" t="s">
        <v>74</v>
      </c>
      <c r="BE1564" t="s">
        <v>25551</v>
      </c>
      <c r="BF1564" t="str">
        <f>HYPERLINK("http://dx.doi.org/10.1057/s41264-023-00217-9","http://dx.doi.org/10.1057/s41264-023-00217-9")</f>
        <v>http://dx.doi.org/10.1057/s41264-023-00217-9</v>
      </c>
      <c r="BG1564" t="s">
        <v>74</v>
      </c>
      <c r="BH1564" t="s">
        <v>3595</v>
      </c>
      <c r="BI1564">
        <v>15</v>
      </c>
      <c r="BJ1564" t="s">
        <v>418</v>
      </c>
      <c r="BK1564" t="s">
        <v>313</v>
      </c>
      <c r="BL1564" t="s">
        <v>100</v>
      </c>
      <c r="BM1564" t="s">
        <v>25550</v>
      </c>
      <c r="BN1564" t="s">
        <v>74</v>
      </c>
      <c r="BO1564" t="s">
        <v>466</v>
      </c>
      <c r="BP1564" t="s">
        <v>74</v>
      </c>
      <c r="BQ1564" t="s">
        <v>74</v>
      </c>
      <c r="BR1564" t="s">
        <v>102</v>
      </c>
      <c r="BS1564" t="s">
        <v>25549</v>
      </c>
      <c r="BT1564" t="str">
        <f>HYPERLINK("https%3A%2F%2Fwww.webofscience.com%2Fwos%2Fwoscc%2Ffull-record%2FWOS:000948760300001","View Full Record in Web of Science")</f>
        <v>View Full Record in Web of Science</v>
      </c>
    </row>
    <row r="1565" spans="1:72" x14ac:dyDescent="0.25">
      <c r="A1565" t="s">
        <v>72</v>
      </c>
      <c r="B1565" t="s">
        <v>25548</v>
      </c>
      <c r="C1565" t="s">
        <v>74</v>
      </c>
      <c r="D1565" t="s">
        <v>74</v>
      </c>
      <c r="E1565" t="s">
        <v>74</v>
      </c>
      <c r="F1565" t="s">
        <v>25547</v>
      </c>
      <c r="G1565" t="s">
        <v>74</v>
      </c>
      <c r="H1565" t="s">
        <v>74</v>
      </c>
      <c r="I1565" t="s">
        <v>25546</v>
      </c>
      <c r="J1565" t="s">
        <v>2309</v>
      </c>
      <c r="K1565" t="s">
        <v>74</v>
      </c>
      <c r="L1565" t="s">
        <v>74</v>
      </c>
      <c r="M1565" t="s">
        <v>78</v>
      </c>
      <c r="N1565" t="s">
        <v>372</v>
      </c>
      <c r="O1565" t="s">
        <v>74</v>
      </c>
      <c r="P1565" t="s">
        <v>74</v>
      </c>
      <c r="Q1565" t="s">
        <v>74</v>
      </c>
      <c r="R1565" t="s">
        <v>74</v>
      </c>
      <c r="S1565" t="s">
        <v>74</v>
      </c>
      <c r="T1565" t="s">
        <v>25545</v>
      </c>
      <c r="U1565" t="s">
        <v>25544</v>
      </c>
      <c r="V1565" t="s">
        <v>25543</v>
      </c>
      <c r="W1565" t="s">
        <v>25542</v>
      </c>
      <c r="X1565" t="s">
        <v>25541</v>
      </c>
      <c r="Y1565" t="s">
        <v>25540</v>
      </c>
      <c r="Z1565" t="s">
        <v>25539</v>
      </c>
      <c r="AA1565" t="s">
        <v>74</v>
      </c>
      <c r="AB1565" t="s">
        <v>74</v>
      </c>
      <c r="AC1565" t="s">
        <v>74</v>
      </c>
      <c r="AD1565" t="s">
        <v>74</v>
      </c>
      <c r="AE1565" t="s">
        <v>74</v>
      </c>
      <c r="AF1565" t="s">
        <v>74</v>
      </c>
      <c r="AG1565">
        <v>99</v>
      </c>
      <c r="AH1565">
        <v>0</v>
      </c>
      <c r="AI1565">
        <v>0</v>
      </c>
      <c r="AJ1565">
        <v>3</v>
      </c>
      <c r="AK1565">
        <v>3</v>
      </c>
      <c r="AL1565" t="s">
        <v>332</v>
      </c>
      <c r="AM1565" t="s">
        <v>333</v>
      </c>
      <c r="AN1565" t="s">
        <v>334</v>
      </c>
      <c r="AO1565" t="s">
        <v>2322</v>
      </c>
      <c r="AP1565" t="s">
        <v>2323</v>
      </c>
      <c r="AQ1565" t="s">
        <v>74</v>
      </c>
      <c r="AR1565" t="s">
        <v>2324</v>
      </c>
      <c r="AS1565" t="s">
        <v>2325</v>
      </c>
      <c r="AT1565" t="s">
        <v>25538</v>
      </c>
      <c r="AU1565">
        <v>2025</v>
      </c>
      <c r="AV1565" t="s">
        <v>74</v>
      </c>
      <c r="AW1565" t="s">
        <v>74</v>
      </c>
      <c r="AX1565" t="s">
        <v>74</v>
      </c>
      <c r="AY1565" t="s">
        <v>74</v>
      </c>
      <c r="AZ1565" t="s">
        <v>74</v>
      </c>
      <c r="BA1565" t="s">
        <v>74</v>
      </c>
      <c r="BB1565" t="s">
        <v>74</v>
      </c>
      <c r="BC1565" t="s">
        <v>74</v>
      </c>
      <c r="BD1565" t="s">
        <v>74</v>
      </c>
      <c r="BE1565" t="s">
        <v>25537</v>
      </c>
      <c r="BF1565" t="str">
        <f>HYPERLINK("http://dx.doi.org/10.1080/00220388.2025.2577319","http://dx.doi.org/10.1080/00220388.2025.2577319")</f>
        <v>http://dx.doi.org/10.1080/00220388.2025.2577319</v>
      </c>
      <c r="BG1565" t="s">
        <v>74</v>
      </c>
      <c r="BH1565" t="s">
        <v>12078</v>
      </c>
      <c r="BI1565">
        <v>21</v>
      </c>
      <c r="BJ1565" t="s">
        <v>701</v>
      </c>
      <c r="BK1565" t="s">
        <v>99</v>
      </c>
      <c r="BL1565" t="s">
        <v>702</v>
      </c>
      <c r="BM1565" t="s">
        <v>25536</v>
      </c>
      <c r="BN1565" t="s">
        <v>74</v>
      </c>
      <c r="BO1565" t="s">
        <v>74</v>
      </c>
      <c r="BP1565" t="s">
        <v>74</v>
      </c>
      <c r="BQ1565" t="s">
        <v>74</v>
      </c>
      <c r="BR1565" t="s">
        <v>102</v>
      </c>
      <c r="BS1565" t="s">
        <v>25535</v>
      </c>
      <c r="BT1565" t="str">
        <f>HYPERLINK("https%3A%2F%2Fwww.webofscience.com%2Fwos%2Fwoscc%2Ffull-record%2FWOS:001606534600001","View Full Record in Web of Science")</f>
        <v>View Full Record in Web of Science</v>
      </c>
    </row>
    <row r="1566" spans="1:72" x14ac:dyDescent="0.25">
      <c r="A1566" t="s">
        <v>72</v>
      </c>
      <c r="B1566" t="s">
        <v>25534</v>
      </c>
      <c r="C1566" t="s">
        <v>74</v>
      </c>
      <c r="D1566" t="s">
        <v>74</v>
      </c>
      <c r="E1566" t="s">
        <v>74</v>
      </c>
      <c r="F1566" t="s">
        <v>25533</v>
      </c>
      <c r="G1566" t="s">
        <v>74</v>
      </c>
      <c r="H1566" t="s">
        <v>74</v>
      </c>
      <c r="I1566" t="s">
        <v>25532</v>
      </c>
      <c r="J1566" t="s">
        <v>25531</v>
      </c>
      <c r="K1566" t="s">
        <v>74</v>
      </c>
      <c r="L1566" t="s">
        <v>74</v>
      </c>
      <c r="M1566" t="s">
        <v>78</v>
      </c>
      <c r="N1566" t="s">
        <v>79</v>
      </c>
      <c r="O1566" t="s">
        <v>74</v>
      </c>
      <c r="P1566" t="s">
        <v>74</v>
      </c>
      <c r="Q1566" t="s">
        <v>74</v>
      </c>
      <c r="R1566" t="s">
        <v>74</v>
      </c>
      <c r="S1566" t="s">
        <v>74</v>
      </c>
      <c r="T1566" t="s">
        <v>25530</v>
      </c>
      <c r="U1566" t="s">
        <v>25529</v>
      </c>
      <c r="V1566" t="s">
        <v>25528</v>
      </c>
      <c r="W1566" t="s">
        <v>25527</v>
      </c>
      <c r="X1566" t="s">
        <v>25526</v>
      </c>
      <c r="Y1566" t="s">
        <v>25525</v>
      </c>
      <c r="Z1566" t="s">
        <v>25524</v>
      </c>
      <c r="AA1566" t="s">
        <v>25523</v>
      </c>
      <c r="AB1566" t="s">
        <v>25522</v>
      </c>
      <c r="AC1566" t="s">
        <v>25521</v>
      </c>
      <c r="AD1566" t="s">
        <v>25520</v>
      </c>
      <c r="AE1566" t="s">
        <v>25519</v>
      </c>
      <c r="AF1566" t="s">
        <v>74</v>
      </c>
      <c r="AG1566">
        <v>90</v>
      </c>
      <c r="AH1566">
        <v>3</v>
      </c>
      <c r="AI1566">
        <v>3</v>
      </c>
      <c r="AJ1566">
        <v>1</v>
      </c>
      <c r="AK1566">
        <v>10</v>
      </c>
      <c r="AL1566" t="s">
        <v>89</v>
      </c>
      <c r="AM1566" t="s">
        <v>90</v>
      </c>
      <c r="AN1566" t="s">
        <v>91</v>
      </c>
      <c r="AO1566" t="s">
        <v>25518</v>
      </c>
      <c r="AP1566" t="s">
        <v>74</v>
      </c>
      <c r="AQ1566" t="s">
        <v>74</v>
      </c>
      <c r="AR1566" t="s">
        <v>25517</v>
      </c>
      <c r="AS1566" t="s">
        <v>25516</v>
      </c>
      <c r="AT1566" t="s">
        <v>12332</v>
      </c>
      <c r="AU1566">
        <v>2025</v>
      </c>
      <c r="AV1566">
        <v>18</v>
      </c>
      <c r="AW1566">
        <v>1</v>
      </c>
      <c r="AX1566" t="s">
        <v>74</v>
      </c>
      <c r="AY1566" t="s">
        <v>74</v>
      </c>
      <c r="AZ1566" t="s">
        <v>441</v>
      </c>
      <c r="BA1566" t="s">
        <v>74</v>
      </c>
      <c r="BB1566">
        <v>224</v>
      </c>
      <c r="BC1566">
        <v>239</v>
      </c>
      <c r="BD1566" t="s">
        <v>74</v>
      </c>
      <c r="BE1566" t="s">
        <v>25515</v>
      </c>
      <c r="BF1566" t="str">
        <f>HYPERLINK("http://dx.doi.org/10.1108/JSMA-07-2023-0199","http://dx.doi.org/10.1108/JSMA-07-2023-0199")</f>
        <v>http://dx.doi.org/10.1108/JSMA-07-2023-0199</v>
      </c>
      <c r="BG1566" t="s">
        <v>74</v>
      </c>
      <c r="BH1566" t="s">
        <v>1981</v>
      </c>
      <c r="BI1566">
        <v>16</v>
      </c>
      <c r="BJ1566" t="s">
        <v>583</v>
      </c>
      <c r="BK1566" t="s">
        <v>313</v>
      </c>
      <c r="BL1566" t="s">
        <v>100</v>
      </c>
      <c r="BM1566" t="s">
        <v>25514</v>
      </c>
      <c r="BN1566" t="s">
        <v>74</v>
      </c>
      <c r="BO1566" t="s">
        <v>270</v>
      </c>
      <c r="BP1566" t="s">
        <v>74</v>
      </c>
      <c r="BQ1566" t="s">
        <v>74</v>
      </c>
      <c r="BR1566" t="s">
        <v>102</v>
      </c>
      <c r="BS1566" t="s">
        <v>25513</v>
      </c>
      <c r="BT1566" t="str">
        <f>HYPERLINK("https%3A%2F%2Fwww.webofscience.com%2Fwos%2Fwoscc%2Ffull-record%2FWOS:001187001000001","View Full Record in Web of Science")</f>
        <v>View Full Record in Web of Science</v>
      </c>
    </row>
    <row r="1567" spans="1:72" x14ac:dyDescent="0.25">
      <c r="A1567" t="s">
        <v>72</v>
      </c>
      <c r="B1567" t="s">
        <v>25512</v>
      </c>
      <c r="C1567" t="s">
        <v>74</v>
      </c>
      <c r="D1567" t="s">
        <v>74</v>
      </c>
      <c r="E1567" t="s">
        <v>74</v>
      </c>
      <c r="F1567" t="s">
        <v>25511</v>
      </c>
      <c r="G1567" t="s">
        <v>74</v>
      </c>
      <c r="H1567" t="s">
        <v>74</v>
      </c>
      <c r="I1567" t="s">
        <v>25510</v>
      </c>
      <c r="J1567" t="s">
        <v>3896</v>
      </c>
      <c r="K1567" t="s">
        <v>74</v>
      </c>
      <c r="L1567" t="s">
        <v>74</v>
      </c>
      <c r="M1567" t="s">
        <v>78</v>
      </c>
      <c r="N1567" t="s">
        <v>79</v>
      </c>
      <c r="O1567" t="s">
        <v>74</v>
      </c>
      <c r="P1567" t="s">
        <v>74</v>
      </c>
      <c r="Q1567" t="s">
        <v>74</v>
      </c>
      <c r="R1567" t="s">
        <v>74</v>
      </c>
      <c r="S1567" t="s">
        <v>74</v>
      </c>
      <c r="T1567" t="s">
        <v>25509</v>
      </c>
      <c r="U1567" t="s">
        <v>74</v>
      </c>
      <c r="V1567" t="s">
        <v>25508</v>
      </c>
      <c r="W1567" t="s">
        <v>25507</v>
      </c>
      <c r="X1567" t="s">
        <v>25506</v>
      </c>
      <c r="Y1567" t="s">
        <v>25505</v>
      </c>
      <c r="Z1567" t="s">
        <v>25504</v>
      </c>
      <c r="AA1567" t="s">
        <v>23175</v>
      </c>
      <c r="AB1567" t="s">
        <v>74</v>
      </c>
      <c r="AC1567" t="s">
        <v>74</v>
      </c>
      <c r="AD1567" t="s">
        <v>74</v>
      </c>
      <c r="AE1567" t="s">
        <v>74</v>
      </c>
      <c r="AF1567" t="s">
        <v>74</v>
      </c>
      <c r="AG1567">
        <v>39</v>
      </c>
      <c r="AH1567">
        <v>444</v>
      </c>
      <c r="AI1567">
        <v>634</v>
      </c>
      <c r="AJ1567">
        <v>6</v>
      </c>
      <c r="AK1567">
        <v>177</v>
      </c>
      <c r="AL1567" t="s">
        <v>3861</v>
      </c>
      <c r="AM1567" t="s">
        <v>2016</v>
      </c>
      <c r="AN1567" t="s">
        <v>3862</v>
      </c>
      <c r="AO1567" t="s">
        <v>3907</v>
      </c>
      <c r="AP1567" t="s">
        <v>3908</v>
      </c>
      <c r="AQ1567" t="s">
        <v>74</v>
      </c>
      <c r="AR1567" t="s">
        <v>3909</v>
      </c>
      <c r="AS1567" t="s">
        <v>3910</v>
      </c>
      <c r="AT1567" t="s">
        <v>1159</v>
      </c>
      <c r="AU1567">
        <v>2011</v>
      </c>
      <c r="AV1567">
        <v>10</v>
      </c>
      <c r="AW1567">
        <v>4</v>
      </c>
      <c r="AX1567" t="s">
        <v>74</v>
      </c>
      <c r="AY1567" t="s">
        <v>74</v>
      </c>
      <c r="AZ1567" t="s">
        <v>74</v>
      </c>
      <c r="BA1567" t="s">
        <v>74</v>
      </c>
      <c r="BB1567">
        <v>509</v>
      </c>
      <c r="BC1567">
        <v>525</v>
      </c>
      <c r="BD1567" t="s">
        <v>74</v>
      </c>
      <c r="BE1567" t="s">
        <v>25503</v>
      </c>
      <c r="BF1567" t="str">
        <f>HYPERLINK("http://dx.doi.org/10.1017/S147474721100045X","http://dx.doi.org/10.1017/S147474721100045X")</f>
        <v>http://dx.doi.org/10.1017/S147474721100045X</v>
      </c>
      <c r="BG1567" t="s">
        <v>74</v>
      </c>
      <c r="BH1567" t="s">
        <v>74</v>
      </c>
      <c r="BI1567">
        <v>17</v>
      </c>
      <c r="BJ1567" t="s">
        <v>210</v>
      </c>
      <c r="BK1567" t="s">
        <v>99</v>
      </c>
      <c r="BL1567" t="s">
        <v>100</v>
      </c>
      <c r="BM1567" t="s">
        <v>25502</v>
      </c>
      <c r="BN1567" t="s">
        <v>74</v>
      </c>
      <c r="BO1567" t="s">
        <v>74</v>
      </c>
      <c r="BP1567" t="s">
        <v>74</v>
      </c>
      <c r="BQ1567" t="s">
        <v>74</v>
      </c>
      <c r="BR1567" t="s">
        <v>102</v>
      </c>
      <c r="BS1567" t="s">
        <v>25501</v>
      </c>
      <c r="BT1567" t="str">
        <f>HYPERLINK("https%3A%2F%2Fwww.webofscience.com%2Fwos%2Fwoscc%2Ffull-record%2FWOS:000296906000002","View Full Record in Web of Science")</f>
        <v>View Full Record in Web of Science</v>
      </c>
    </row>
    <row r="1568" spans="1:72" x14ac:dyDescent="0.25">
      <c r="A1568" t="s">
        <v>72</v>
      </c>
      <c r="B1568" t="s">
        <v>25500</v>
      </c>
      <c r="C1568" t="s">
        <v>74</v>
      </c>
      <c r="D1568" t="s">
        <v>74</v>
      </c>
      <c r="E1568" t="s">
        <v>74</v>
      </c>
      <c r="F1568" t="s">
        <v>25499</v>
      </c>
      <c r="G1568" t="s">
        <v>74</v>
      </c>
      <c r="H1568" t="s">
        <v>74</v>
      </c>
      <c r="I1568" t="s">
        <v>25498</v>
      </c>
      <c r="J1568" t="s">
        <v>656</v>
      </c>
      <c r="K1568" t="s">
        <v>74</v>
      </c>
      <c r="L1568" t="s">
        <v>74</v>
      </c>
      <c r="M1568" t="s">
        <v>78</v>
      </c>
      <c r="N1568" t="s">
        <v>79</v>
      </c>
      <c r="O1568" t="s">
        <v>74</v>
      </c>
      <c r="P1568" t="s">
        <v>74</v>
      </c>
      <c r="Q1568" t="s">
        <v>74</v>
      </c>
      <c r="R1568" t="s">
        <v>74</v>
      </c>
      <c r="S1568" t="s">
        <v>74</v>
      </c>
      <c r="T1568" t="s">
        <v>25497</v>
      </c>
      <c r="U1568" t="s">
        <v>25496</v>
      </c>
      <c r="V1568" t="s">
        <v>25495</v>
      </c>
      <c r="W1568" t="s">
        <v>25494</v>
      </c>
      <c r="X1568" t="s">
        <v>25493</v>
      </c>
      <c r="Y1568" t="s">
        <v>25492</v>
      </c>
      <c r="Z1568" t="s">
        <v>25491</v>
      </c>
      <c r="AA1568" t="s">
        <v>74</v>
      </c>
      <c r="AB1568" t="s">
        <v>74</v>
      </c>
      <c r="AC1568" t="s">
        <v>25490</v>
      </c>
      <c r="AD1568" t="s">
        <v>25490</v>
      </c>
      <c r="AE1568" t="s">
        <v>25489</v>
      </c>
      <c r="AF1568" t="s">
        <v>74</v>
      </c>
      <c r="AG1568">
        <v>51</v>
      </c>
      <c r="AH1568">
        <v>9</v>
      </c>
      <c r="AI1568">
        <v>10</v>
      </c>
      <c r="AJ1568">
        <v>0</v>
      </c>
      <c r="AK1568">
        <v>25</v>
      </c>
      <c r="AL1568" t="s">
        <v>666</v>
      </c>
      <c r="AM1568" t="s">
        <v>667</v>
      </c>
      <c r="AN1568" t="s">
        <v>668</v>
      </c>
      <c r="AO1568" t="s">
        <v>669</v>
      </c>
      <c r="AP1568" t="s">
        <v>670</v>
      </c>
      <c r="AQ1568" t="s">
        <v>74</v>
      </c>
      <c r="AR1568" t="s">
        <v>671</v>
      </c>
      <c r="AS1568" t="s">
        <v>672</v>
      </c>
      <c r="AT1568" t="s">
        <v>605</v>
      </c>
      <c r="AU1568">
        <v>2022</v>
      </c>
      <c r="AV1568">
        <v>43</v>
      </c>
      <c r="AW1568">
        <v>1</v>
      </c>
      <c r="AX1568" t="s">
        <v>74</v>
      </c>
      <c r="AY1568" t="s">
        <v>74</v>
      </c>
      <c r="AZ1568" t="s">
        <v>74</v>
      </c>
      <c r="BA1568" t="s">
        <v>74</v>
      </c>
      <c r="BB1568">
        <v>36</v>
      </c>
      <c r="BC1568">
        <v>50</v>
      </c>
      <c r="BD1568" t="s">
        <v>74</v>
      </c>
      <c r="BE1568" t="s">
        <v>25488</v>
      </c>
      <c r="BF1568" t="str">
        <f>HYPERLINK("http://dx.doi.org/10.1007/s10834-021-09774-4","http://dx.doi.org/10.1007/s10834-021-09774-4")</f>
        <v>http://dx.doi.org/10.1007/s10834-021-09774-4</v>
      </c>
      <c r="BG1568" t="s">
        <v>74</v>
      </c>
      <c r="BH1568" t="s">
        <v>11242</v>
      </c>
      <c r="BI1568">
        <v>15</v>
      </c>
      <c r="BJ1568" t="s">
        <v>675</v>
      </c>
      <c r="BK1568" t="s">
        <v>99</v>
      </c>
      <c r="BL1568" t="s">
        <v>676</v>
      </c>
      <c r="BM1568" t="s">
        <v>25487</v>
      </c>
      <c r="BN1568" t="s">
        <v>74</v>
      </c>
      <c r="BO1568" t="s">
        <v>74</v>
      </c>
      <c r="BP1568" t="s">
        <v>74</v>
      </c>
      <c r="BQ1568" t="s">
        <v>74</v>
      </c>
      <c r="BR1568" t="s">
        <v>102</v>
      </c>
      <c r="BS1568" t="s">
        <v>25486</v>
      </c>
      <c r="BT1568" t="str">
        <f>HYPERLINK("https%3A%2F%2Fwww.webofscience.com%2Fwos%2Fwoscc%2Ffull-record%2FWOS:000663477600001","View Full Record in Web of Science")</f>
        <v>View Full Record in Web of Science</v>
      </c>
    </row>
    <row r="1569" spans="1:72" x14ac:dyDescent="0.25">
      <c r="A1569" t="s">
        <v>8303</v>
      </c>
      <c r="B1569" t="s">
        <v>25485</v>
      </c>
      <c r="C1569" t="s">
        <v>74</v>
      </c>
      <c r="D1569" t="s">
        <v>74</v>
      </c>
      <c r="E1569" t="s">
        <v>25484</v>
      </c>
      <c r="F1569" t="s">
        <v>25483</v>
      </c>
      <c r="G1569" t="s">
        <v>74</v>
      </c>
      <c r="H1569" t="s">
        <v>74</v>
      </c>
      <c r="I1569" t="s">
        <v>25482</v>
      </c>
      <c r="J1569" t="s">
        <v>25481</v>
      </c>
      <c r="K1569" t="s">
        <v>74</v>
      </c>
      <c r="L1569" t="s">
        <v>74</v>
      </c>
      <c r="M1569" t="s">
        <v>78</v>
      </c>
      <c r="N1569" t="s">
        <v>6023</v>
      </c>
      <c r="O1569" t="s">
        <v>74</v>
      </c>
      <c r="P1569" t="s">
        <v>74</v>
      </c>
      <c r="Q1569" t="s">
        <v>74</v>
      </c>
      <c r="R1569" t="s">
        <v>74</v>
      </c>
      <c r="S1569" t="s">
        <v>74</v>
      </c>
      <c r="T1569" t="s">
        <v>74</v>
      </c>
      <c r="U1569" t="s">
        <v>74</v>
      </c>
      <c r="V1569" t="s">
        <v>74</v>
      </c>
      <c r="W1569" t="s">
        <v>25480</v>
      </c>
      <c r="X1569" t="s">
        <v>734</v>
      </c>
      <c r="Y1569" t="s">
        <v>25479</v>
      </c>
      <c r="Z1569" t="s">
        <v>74</v>
      </c>
      <c r="AA1569" t="s">
        <v>74</v>
      </c>
      <c r="AB1569" t="s">
        <v>74</v>
      </c>
      <c r="AC1569" t="s">
        <v>74</v>
      </c>
      <c r="AD1569" t="s">
        <v>74</v>
      </c>
      <c r="AE1569" t="s">
        <v>74</v>
      </c>
      <c r="AF1569" t="s">
        <v>74</v>
      </c>
      <c r="AG1569">
        <v>28</v>
      </c>
      <c r="AH1569">
        <v>176</v>
      </c>
      <c r="AI1569">
        <v>237</v>
      </c>
      <c r="AJ1569">
        <v>2</v>
      </c>
      <c r="AK1569">
        <v>11</v>
      </c>
      <c r="AL1569" t="s">
        <v>16367</v>
      </c>
      <c r="AM1569" t="s">
        <v>2661</v>
      </c>
      <c r="AN1569" t="s">
        <v>16368</v>
      </c>
      <c r="AO1569" t="s">
        <v>74</v>
      </c>
      <c r="AP1569" t="s">
        <v>74</v>
      </c>
      <c r="AQ1569" t="s">
        <v>25478</v>
      </c>
      <c r="AR1569" t="s">
        <v>74</v>
      </c>
      <c r="AS1569" t="s">
        <v>74</v>
      </c>
      <c r="AT1569" t="s">
        <v>74</v>
      </c>
      <c r="AU1569">
        <v>2012</v>
      </c>
      <c r="AV1569" t="s">
        <v>74</v>
      </c>
      <c r="AW1569" t="s">
        <v>74</v>
      </c>
      <c r="AX1569" t="s">
        <v>74</v>
      </c>
      <c r="AY1569" t="s">
        <v>74</v>
      </c>
      <c r="AZ1569" t="s">
        <v>74</v>
      </c>
      <c r="BA1569" t="s">
        <v>74</v>
      </c>
      <c r="BB1569">
        <v>61</v>
      </c>
      <c r="BC1569">
        <v>73</v>
      </c>
      <c r="BD1569" t="s">
        <v>74</v>
      </c>
      <c r="BE1569" t="s">
        <v>74</v>
      </c>
      <c r="BF1569" t="s">
        <v>74</v>
      </c>
      <c r="BG1569" t="s">
        <v>25477</v>
      </c>
      <c r="BH1569" t="s">
        <v>74</v>
      </c>
      <c r="BI1569">
        <v>13</v>
      </c>
      <c r="BJ1569" t="s">
        <v>25476</v>
      </c>
      <c r="BK1569" t="s">
        <v>8314</v>
      </c>
      <c r="BL1569" t="s">
        <v>25475</v>
      </c>
      <c r="BM1569" t="s">
        <v>25474</v>
      </c>
      <c r="BN1569" t="s">
        <v>74</v>
      </c>
      <c r="BO1569" t="s">
        <v>270</v>
      </c>
      <c r="BP1569" t="s">
        <v>74</v>
      </c>
      <c r="BQ1569" t="s">
        <v>74</v>
      </c>
      <c r="BR1569" t="s">
        <v>102</v>
      </c>
      <c r="BS1569" t="s">
        <v>25473</v>
      </c>
      <c r="BT1569" t="str">
        <f>HYPERLINK("https%3A%2F%2Fwww.webofscience.com%2Fwos%2Fwoscc%2Ffull-record%2FWOS:000328454700007","View Full Record in Web of Science")</f>
        <v>View Full Record in Web of Science</v>
      </c>
    </row>
    <row r="1570" spans="1:72" x14ac:dyDescent="0.25">
      <c r="A1570" t="s">
        <v>72</v>
      </c>
      <c r="B1570" t="s">
        <v>25472</v>
      </c>
      <c r="C1570" t="s">
        <v>74</v>
      </c>
      <c r="D1570" t="s">
        <v>74</v>
      </c>
      <c r="E1570" t="s">
        <v>74</v>
      </c>
      <c r="F1570" t="s">
        <v>25471</v>
      </c>
      <c r="G1570" t="s">
        <v>74</v>
      </c>
      <c r="H1570" t="s">
        <v>74</v>
      </c>
      <c r="I1570" t="s">
        <v>25470</v>
      </c>
      <c r="J1570" t="s">
        <v>2809</v>
      </c>
      <c r="K1570" t="s">
        <v>74</v>
      </c>
      <c r="L1570" t="s">
        <v>74</v>
      </c>
      <c r="M1570" t="s">
        <v>78</v>
      </c>
      <c r="N1570" t="s">
        <v>79</v>
      </c>
      <c r="O1570" t="s">
        <v>74</v>
      </c>
      <c r="P1570" t="s">
        <v>74</v>
      </c>
      <c r="Q1570" t="s">
        <v>74</v>
      </c>
      <c r="R1570" t="s">
        <v>74</v>
      </c>
      <c r="S1570" t="s">
        <v>74</v>
      </c>
      <c r="T1570" t="s">
        <v>74</v>
      </c>
      <c r="U1570" t="s">
        <v>25469</v>
      </c>
      <c r="V1570" t="s">
        <v>25468</v>
      </c>
      <c r="W1570" t="s">
        <v>25467</v>
      </c>
      <c r="X1570" t="s">
        <v>6108</v>
      </c>
      <c r="Y1570" t="s">
        <v>25466</v>
      </c>
      <c r="Z1570" t="s">
        <v>25465</v>
      </c>
      <c r="AA1570" t="s">
        <v>74</v>
      </c>
      <c r="AB1570" t="s">
        <v>74</v>
      </c>
      <c r="AC1570" t="s">
        <v>74</v>
      </c>
      <c r="AD1570" t="s">
        <v>74</v>
      </c>
      <c r="AE1570" t="s">
        <v>74</v>
      </c>
      <c r="AF1570" t="s">
        <v>74</v>
      </c>
      <c r="AG1570">
        <v>24</v>
      </c>
      <c r="AH1570">
        <v>39</v>
      </c>
      <c r="AI1570">
        <v>63</v>
      </c>
      <c r="AJ1570">
        <v>1</v>
      </c>
      <c r="AK1570">
        <v>38</v>
      </c>
      <c r="AL1570" t="s">
        <v>5317</v>
      </c>
      <c r="AM1570" t="s">
        <v>480</v>
      </c>
      <c r="AN1570" t="s">
        <v>481</v>
      </c>
      <c r="AO1570" t="s">
        <v>2816</v>
      </c>
      <c r="AP1570" t="s">
        <v>2817</v>
      </c>
      <c r="AQ1570" t="s">
        <v>74</v>
      </c>
      <c r="AR1570" t="s">
        <v>2818</v>
      </c>
      <c r="AS1570" t="s">
        <v>2819</v>
      </c>
      <c r="AT1570" t="s">
        <v>2462</v>
      </c>
      <c r="AU1570">
        <v>2014</v>
      </c>
      <c r="AV1570">
        <v>48</v>
      </c>
      <c r="AW1570">
        <v>2</v>
      </c>
      <c r="AX1570" t="s">
        <v>74</v>
      </c>
      <c r="AY1570" t="s">
        <v>74</v>
      </c>
      <c r="AZ1570" t="s">
        <v>74</v>
      </c>
      <c r="BA1570" t="s">
        <v>74</v>
      </c>
      <c r="BB1570">
        <v>251</v>
      </c>
      <c r="BC1570">
        <v>273</v>
      </c>
      <c r="BD1570" t="s">
        <v>74</v>
      </c>
      <c r="BE1570" t="s">
        <v>25464</v>
      </c>
      <c r="BF1570" t="str">
        <f>HYPERLINK("http://dx.doi.org/10.1111/joca.12024","http://dx.doi.org/10.1111/joca.12024")</f>
        <v>http://dx.doi.org/10.1111/joca.12024</v>
      </c>
      <c r="BG1570" t="s">
        <v>74</v>
      </c>
      <c r="BH1570" t="s">
        <v>74</v>
      </c>
      <c r="BI1570">
        <v>23</v>
      </c>
      <c r="BJ1570" t="s">
        <v>1453</v>
      </c>
      <c r="BK1570" t="s">
        <v>99</v>
      </c>
      <c r="BL1570" t="s">
        <v>100</v>
      </c>
      <c r="BM1570" t="s">
        <v>25463</v>
      </c>
      <c r="BN1570" t="s">
        <v>74</v>
      </c>
      <c r="BO1570" t="s">
        <v>74</v>
      </c>
      <c r="BP1570" t="s">
        <v>74</v>
      </c>
      <c r="BQ1570" t="s">
        <v>74</v>
      </c>
      <c r="BR1570" t="s">
        <v>102</v>
      </c>
      <c r="BS1570" t="s">
        <v>25462</v>
      </c>
      <c r="BT1570" t="str">
        <f>HYPERLINK("https%3A%2F%2Fwww.webofscience.com%2Fwos%2Fwoscc%2Ffull-record%2FWOS:000339490100002","View Full Record in Web of Science")</f>
        <v>View Full Record in Web of Science</v>
      </c>
    </row>
    <row r="1571" spans="1:72" x14ac:dyDescent="0.25">
      <c r="A1571" t="s">
        <v>72</v>
      </c>
      <c r="B1571" t="s">
        <v>25461</v>
      </c>
      <c r="C1571" t="s">
        <v>74</v>
      </c>
      <c r="D1571" t="s">
        <v>74</v>
      </c>
      <c r="E1571" t="s">
        <v>74</v>
      </c>
      <c r="F1571" t="s">
        <v>25460</v>
      </c>
      <c r="G1571" t="s">
        <v>74</v>
      </c>
      <c r="H1571" t="s">
        <v>74</v>
      </c>
      <c r="I1571" t="s">
        <v>25459</v>
      </c>
      <c r="J1571" t="s">
        <v>25458</v>
      </c>
      <c r="K1571" t="s">
        <v>74</v>
      </c>
      <c r="L1571" t="s">
        <v>74</v>
      </c>
      <c r="M1571" t="s">
        <v>78</v>
      </c>
      <c r="N1571" t="s">
        <v>79</v>
      </c>
      <c r="O1571" t="s">
        <v>74</v>
      </c>
      <c r="P1571" t="s">
        <v>74</v>
      </c>
      <c r="Q1571" t="s">
        <v>74</v>
      </c>
      <c r="R1571" t="s">
        <v>74</v>
      </c>
      <c r="S1571" t="s">
        <v>74</v>
      </c>
      <c r="T1571" t="s">
        <v>25457</v>
      </c>
      <c r="U1571" t="s">
        <v>25456</v>
      </c>
      <c r="V1571" t="s">
        <v>25455</v>
      </c>
      <c r="W1571" t="s">
        <v>25454</v>
      </c>
      <c r="X1571" t="s">
        <v>74</v>
      </c>
      <c r="Y1571" t="s">
        <v>25453</v>
      </c>
      <c r="Z1571" t="s">
        <v>25452</v>
      </c>
      <c r="AA1571" t="s">
        <v>74</v>
      </c>
      <c r="AB1571" t="s">
        <v>74</v>
      </c>
      <c r="AC1571" t="s">
        <v>25451</v>
      </c>
      <c r="AD1571" t="s">
        <v>25450</v>
      </c>
      <c r="AE1571" t="s">
        <v>25449</v>
      </c>
      <c r="AF1571" t="s">
        <v>74</v>
      </c>
      <c r="AG1571">
        <v>77</v>
      </c>
      <c r="AH1571">
        <v>18</v>
      </c>
      <c r="AI1571">
        <v>20</v>
      </c>
      <c r="AJ1571">
        <v>1</v>
      </c>
      <c r="AK1571">
        <v>14</v>
      </c>
      <c r="AL1571" t="s">
        <v>479</v>
      </c>
      <c r="AM1571" t="s">
        <v>480</v>
      </c>
      <c r="AN1571" t="s">
        <v>481</v>
      </c>
      <c r="AO1571" t="s">
        <v>25448</v>
      </c>
      <c r="AP1571" t="s">
        <v>25447</v>
      </c>
      <c r="AQ1571" t="s">
        <v>74</v>
      </c>
      <c r="AR1571" t="s">
        <v>25446</v>
      </c>
      <c r="AS1571" t="s">
        <v>25445</v>
      </c>
      <c r="AT1571" t="s">
        <v>891</v>
      </c>
      <c r="AU1571">
        <v>2020</v>
      </c>
      <c r="AV1571">
        <v>44</v>
      </c>
      <c r="AW1571">
        <v>6</v>
      </c>
      <c r="AX1571" t="s">
        <v>74</v>
      </c>
      <c r="AY1571" t="s">
        <v>74</v>
      </c>
      <c r="AZ1571" t="s">
        <v>74</v>
      </c>
      <c r="BA1571" t="s">
        <v>74</v>
      </c>
      <c r="BB1571">
        <v>947</v>
      </c>
      <c r="BC1571">
        <v>966</v>
      </c>
      <c r="BD1571" t="s">
        <v>74</v>
      </c>
      <c r="BE1571" t="s">
        <v>25444</v>
      </c>
      <c r="BF1571" t="str">
        <f>HYPERLINK("http://dx.doi.org/10.1111/1468-2427.12916","http://dx.doi.org/10.1111/1468-2427.12916")</f>
        <v>http://dx.doi.org/10.1111/1468-2427.12916</v>
      </c>
      <c r="BG1571" t="s">
        <v>74</v>
      </c>
      <c r="BH1571" t="s">
        <v>3351</v>
      </c>
      <c r="BI1571">
        <v>20</v>
      </c>
      <c r="BJ1571" t="s">
        <v>25443</v>
      </c>
      <c r="BK1571" t="s">
        <v>99</v>
      </c>
      <c r="BL1571" t="s">
        <v>25442</v>
      </c>
      <c r="BM1571" t="s">
        <v>25441</v>
      </c>
      <c r="BN1571" t="s">
        <v>74</v>
      </c>
      <c r="BO1571" t="s">
        <v>466</v>
      </c>
      <c r="BP1571" t="s">
        <v>74</v>
      </c>
      <c r="BQ1571" t="s">
        <v>74</v>
      </c>
      <c r="BR1571" t="s">
        <v>102</v>
      </c>
      <c r="BS1571" t="s">
        <v>25440</v>
      </c>
      <c r="BT1571" t="str">
        <f>HYPERLINK("https%3A%2F%2Fwww.webofscience.com%2Fwos%2Fwoscc%2Ffull-record%2FWOS:000545483000001","View Full Record in Web of Science")</f>
        <v>View Full Record in Web of Science</v>
      </c>
    </row>
    <row r="1572" spans="1:72" x14ac:dyDescent="0.25">
      <c r="A1572" t="s">
        <v>72</v>
      </c>
      <c r="B1572" t="s">
        <v>25439</v>
      </c>
      <c r="C1572" t="s">
        <v>74</v>
      </c>
      <c r="D1572" t="s">
        <v>74</v>
      </c>
      <c r="E1572" t="s">
        <v>74</v>
      </c>
      <c r="F1572" t="s">
        <v>25438</v>
      </c>
      <c r="G1572" t="s">
        <v>74</v>
      </c>
      <c r="H1572" t="s">
        <v>74</v>
      </c>
      <c r="I1572" t="s">
        <v>25437</v>
      </c>
      <c r="J1572" t="s">
        <v>2809</v>
      </c>
      <c r="K1572" t="s">
        <v>74</v>
      </c>
      <c r="L1572" t="s">
        <v>74</v>
      </c>
      <c r="M1572" t="s">
        <v>78</v>
      </c>
      <c r="N1572" t="s">
        <v>79</v>
      </c>
      <c r="O1572" t="s">
        <v>74</v>
      </c>
      <c r="P1572" t="s">
        <v>74</v>
      </c>
      <c r="Q1572" t="s">
        <v>74</v>
      </c>
      <c r="R1572" t="s">
        <v>74</v>
      </c>
      <c r="S1572" t="s">
        <v>74</v>
      </c>
      <c r="T1572" t="s">
        <v>74</v>
      </c>
      <c r="U1572" t="s">
        <v>22984</v>
      </c>
      <c r="V1572" t="s">
        <v>25436</v>
      </c>
      <c r="W1572" t="s">
        <v>25435</v>
      </c>
      <c r="X1572" t="s">
        <v>25434</v>
      </c>
      <c r="Y1572" t="s">
        <v>25433</v>
      </c>
      <c r="Z1572" t="s">
        <v>25432</v>
      </c>
      <c r="AA1572" t="s">
        <v>25431</v>
      </c>
      <c r="AB1572" t="s">
        <v>25430</v>
      </c>
      <c r="AC1572" t="s">
        <v>74</v>
      </c>
      <c r="AD1572" t="s">
        <v>74</v>
      </c>
      <c r="AE1572" t="s">
        <v>74</v>
      </c>
      <c r="AF1572" t="s">
        <v>74</v>
      </c>
      <c r="AG1572">
        <v>41</v>
      </c>
      <c r="AH1572">
        <v>44</v>
      </c>
      <c r="AI1572">
        <v>52</v>
      </c>
      <c r="AJ1572">
        <v>2</v>
      </c>
      <c r="AK1572">
        <v>28</v>
      </c>
      <c r="AL1572" t="s">
        <v>479</v>
      </c>
      <c r="AM1572" t="s">
        <v>480</v>
      </c>
      <c r="AN1572" t="s">
        <v>481</v>
      </c>
      <c r="AO1572" t="s">
        <v>2816</v>
      </c>
      <c r="AP1572" t="s">
        <v>2817</v>
      </c>
      <c r="AQ1572" t="s">
        <v>74</v>
      </c>
      <c r="AR1572" t="s">
        <v>2818</v>
      </c>
      <c r="AS1572" t="s">
        <v>2819</v>
      </c>
      <c r="AT1572" t="s">
        <v>1652</v>
      </c>
      <c r="AU1572">
        <v>2020</v>
      </c>
      <c r="AV1572">
        <v>54</v>
      </c>
      <c r="AW1572">
        <v>2</v>
      </c>
      <c r="AX1572" t="s">
        <v>74</v>
      </c>
      <c r="AY1572" t="s">
        <v>74</v>
      </c>
      <c r="AZ1572" t="s">
        <v>74</v>
      </c>
      <c r="BA1572" t="s">
        <v>74</v>
      </c>
      <c r="BB1572">
        <v>517</v>
      </c>
      <c r="BC1572">
        <v>540</v>
      </c>
      <c r="BD1572" t="s">
        <v>74</v>
      </c>
      <c r="BE1572" t="s">
        <v>25429</v>
      </c>
      <c r="BF1572" t="str">
        <f>HYPERLINK("http://dx.doi.org/10.1111/joca.12287","http://dx.doi.org/10.1111/joca.12287")</f>
        <v>http://dx.doi.org/10.1111/joca.12287</v>
      </c>
      <c r="BG1572" t="s">
        <v>74</v>
      </c>
      <c r="BH1572" t="s">
        <v>7700</v>
      </c>
      <c r="BI1572">
        <v>24</v>
      </c>
      <c r="BJ1572" t="s">
        <v>1453</v>
      </c>
      <c r="BK1572" t="s">
        <v>99</v>
      </c>
      <c r="BL1572" t="s">
        <v>100</v>
      </c>
      <c r="BM1572" t="s">
        <v>25428</v>
      </c>
      <c r="BN1572" t="s">
        <v>74</v>
      </c>
      <c r="BO1572" t="s">
        <v>74</v>
      </c>
      <c r="BP1572" t="s">
        <v>74</v>
      </c>
      <c r="BQ1572" t="s">
        <v>74</v>
      </c>
      <c r="BR1572" t="s">
        <v>102</v>
      </c>
      <c r="BS1572" t="s">
        <v>25427</v>
      </c>
      <c r="BT1572" t="str">
        <f>HYPERLINK("https%3A%2F%2Fwww.webofscience.com%2Fwos%2Fwoscc%2Ffull-record%2FWOS:000495123000001","View Full Record in Web of Science")</f>
        <v>View Full Record in Web of Science</v>
      </c>
    </row>
    <row r="1573" spans="1:72" x14ac:dyDescent="0.25">
      <c r="A1573" t="s">
        <v>72</v>
      </c>
      <c r="B1573" t="s">
        <v>25426</v>
      </c>
      <c r="C1573" t="s">
        <v>74</v>
      </c>
      <c r="D1573" t="s">
        <v>74</v>
      </c>
      <c r="E1573" t="s">
        <v>74</v>
      </c>
      <c r="F1573" t="s">
        <v>25425</v>
      </c>
      <c r="G1573" t="s">
        <v>74</v>
      </c>
      <c r="H1573" t="s">
        <v>74</v>
      </c>
      <c r="I1573" t="s">
        <v>25424</v>
      </c>
      <c r="J1573" t="s">
        <v>4822</v>
      </c>
      <c r="K1573" t="s">
        <v>74</v>
      </c>
      <c r="L1573" t="s">
        <v>74</v>
      </c>
      <c r="M1573" t="s">
        <v>78</v>
      </c>
      <c r="N1573" t="s">
        <v>79</v>
      </c>
      <c r="O1573" t="s">
        <v>74</v>
      </c>
      <c r="P1573" t="s">
        <v>74</v>
      </c>
      <c r="Q1573" t="s">
        <v>74</v>
      </c>
      <c r="R1573" t="s">
        <v>74</v>
      </c>
      <c r="S1573" t="s">
        <v>74</v>
      </c>
      <c r="T1573" t="s">
        <v>25423</v>
      </c>
      <c r="U1573" t="s">
        <v>74</v>
      </c>
      <c r="V1573" t="s">
        <v>25422</v>
      </c>
      <c r="W1573" t="s">
        <v>25421</v>
      </c>
      <c r="X1573" t="s">
        <v>25420</v>
      </c>
      <c r="Y1573" t="s">
        <v>25419</v>
      </c>
      <c r="Z1573" t="s">
        <v>25418</v>
      </c>
      <c r="AA1573" t="s">
        <v>25417</v>
      </c>
      <c r="AB1573" t="s">
        <v>74</v>
      </c>
      <c r="AC1573" t="s">
        <v>25416</v>
      </c>
      <c r="AD1573" t="s">
        <v>25415</v>
      </c>
      <c r="AE1573" t="s">
        <v>25414</v>
      </c>
      <c r="AF1573" t="s">
        <v>74</v>
      </c>
      <c r="AG1573">
        <v>28</v>
      </c>
      <c r="AH1573">
        <v>1</v>
      </c>
      <c r="AI1573">
        <v>2</v>
      </c>
      <c r="AJ1573">
        <v>7</v>
      </c>
      <c r="AK1573">
        <v>19</v>
      </c>
      <c r="AL1573" t="s">
        <v>201</v>
      </c>
      <c r="AM1573" t="s">
        <v>202</v>
      </c>
      <c r="AN1573" t="s">
        <v>203</v>
      </c>
      <c r="AO1573" t="s">
        <v>4833</v>
      </c>
      <c r="AP1573" t="s">
        <v>74</v>
      </c>
      <c r="AQ1573" t="s">
        <v>74</v>
      </c>
      <c r="AR1573" t="s">
        <v>4834</v>
      </c>
      <c r="AS1573" t="s">
        <v>4835</v>
      </c>
      <c r="AT1573" t="s">
        <v>605</v>
      </c>
      <c r="AU1573">
        <v>2025</v>
      </c>
      <c r="AV1573">
        <v>85</v>
      </c>
      <c r="AW1573" t="s">
        <v>74</v>
      </c>
      <c r="AX1573" t="s">
        <v>74</v>
      </c>
      <c r="AY1573" t="s">
        <v>74</v>
      </c>
      <c r="AZ1573" t="s">
        <v>74</v>
      </c>
      <c r="BA1573" t="s">
        <v>74</v>
      </c>
      <c r="BB1573">
        <v>1550</v>
      </c>
      <c r="BC1573">
        <v>1562</v>
      </c>
      <c r="BD1573" t="s">
        <v>74</v>
      </c>
      <c r="BE1573" t="s">
        <v>25413</v>
      </c>
      <c r="BF1573" t="str">
        <f>HYPERLINK("http://dx.doi.org/10.1016/j.eap.2025.02.013","http://dx.doi.org/10.1016/j.eap.2025.02.013")</f>
        <v>http://dx.doi.org/10.1016/j.eap.2025.02.013</v>
      </c>
      <c r="BG1573" t="s">
        <v>74</v>
      </c>
      <c r="BH1573" t="s">
        <v>417</v>
      </c>
      <c r="BI1573">
        <v>13</v>
      </c>
      <c r="BJ1573" t="s">
        <v>291</v>
      </c>
      <c r="BK1573" t="s">
        <v>99</v>
      </c>
      <c r="BL1573" t="s">
        <v>100</v>
      </c>
      <c r="BM1573" t="s">
        <v>25412</v>
      </c>
      <c r="BN1573" t="s">
        <v>74</v>
      </c>
      <c r="BO1573" t="s">
        <v>74</v>
      </c>
      <c r="BP1573" t="s">
        <v>74</v>
      </c>
      <c r="BQ1573" t="s">
        <v>74</v>
      </c>
      <c r="BR1573" t="s">
        <v>102</v>
      </c>
      <c r="BS1573" t="s">
        <v>25411</v>
      </c>
      <c r="BT1573" t="str">
        <f>HYPERLINK("https%3A%2F%2Fwww.webofscience.com%2Fwos%2Fwoscc%2Ffull-record%2FWOS:001428694200001","View Full Record in Web of Science")</f>
        <v>View Full Record in Web of Science</v>
      </c>
    </row>
    <row r="1574" spans="1:72" x14ac:dyDescent="0.25">
      <c r="A1574" t="s">
        <v>72</v>
      </c>
      <c r="B1574" t="s">
        <v>25410</v>
      </c>
      <c r="C1574" t="s">
        <v>74</v>
      </c>
      <c r="D1574" t="s">
        <v>74</v>
      </c>
      <c r="E1574" t="s">
        <v>74</v>
      </c>
      <c r="F1574" t="s">
        <v>25409</v>
      </c>
      <c r="G1574" t="s">
        <v>74</v>
      </c>
      <c r="H1574" t="s">
        <v>74</v>
      </c>
      <c r="I1574" t="s">
        <v>25408</v>
      </c>
      <c r="J1574" t="s">
        <v>25407</v>
      </c>
      <c r="K1574" t="s">
        <v>74</v>
      </c>
      <c r="L1574" t="s">
        <v>74</v>
      </c>
      <c r="M1574" t="s">
        <v>78</v>
      </c>
      <c r="N1574" t="s">
        <v>79</v>
      </c>
      <c r="O1574" t="s">
        <v>74</v>
      </c>
      <c r="P1574" t="s">
        <v>74</v>
      </c>
      <c r="Q1574" t="s">
        <v>74</v>
      </c>
      <c r="R1574" t="s">
        <v>74</v>
      </c>
      <c r="S1574" t="s">
        <v>74</v>
      </c>
      <c r="T1574" t="s">
        <v>25406</v>
      </c>
      <c r="U1574" t="s">
        <v>25405</v>
      </c>
      <c r="V1574" t="s">
        <v>25404</v>
      </c>
      <c r="W1574" t="s">
        <v>25403</v>
      </c>
      <c r="X1574" t="s">
        <v>25402</v>
      </c>
      <c r="Y1574" t="s">
        <v>25401</v>
      </c>
      <c r="Z1574" t="s">
        <v>25400</v>
      </c>
      <c r="AA1574" t="s">
        <v>25399</v>
      </c>
      <c r="AB1574" t="s">
        <v>25398</v>
      </c>
      <c r="AC1574" t="s">
        <v>25397</v>
      </c>
      <c r="AD1574" t="s">
        <v>25396</v>
      </c>
      <c r="AE1574" t="s">
        <v>25395</v>
      </c>
      <c r="AF1574" t="s">
        <v>74</v>
      </c>
      <c r="AG1574">
        <v>78</v>
      </c>
      <c r="AH1574">
        <v>15</v>
      </c>
      <c r="AI1574">
        <v>15</v>
      </c>
      <c r="AJ1574">
        <v>5</v>
      </c>
      <c r="AK1574">
        <v>43</v>
      </c>
      <c r="AL1574" t="s">
        <v>89</v>
      </c>
      <c r="AM1574" t="s">
        <v>90</v>
      </c>
      <c r="AN1574" t="s">
        <v>91</v>
      </c>
      <c r="AO1574" t="s">
        <v>25394</v>
      </c>
      <c r="AP1574" t="s">
        <v>25393</v>
      </c>
      <c r="AQ1574" t="s">
        <v>74</v>
      </c>
      <c r="AR1574" t="s">
        <v>25392</v>
      </c>
      <c r="AS1574" t="s">
        <v>25391</v>
      </c>
      <c r="AT1574" t="s">
        <v>25390</v>
      </c>
      <c r="AU1574">
        <v>2025</v>
      </c>
      <c r="AV1574">
        <v>15</v>
      </c>
      <c r="AW1574">
        <v>2</v>
      </c>
      <c r="AX1574" t="s">
        <v>74</v>
      </c>
      <c r="AY1574" t="s">
        <v>74</v>
      </c>
      <c r="AZ1574" t="s">
        <v>441</v>
      </c>
      <c r="BA1574" t="s">
        <v>74</v>
      </c>
      <c r="BB1574">
        <v>363</v>
      </c>
      <c r="BC1574">
        <v>388</v>
      </c>
      <c r="BD1574" t="s">
        <v>74</v>
      </c>
      <c r="BE1574" t="s">
        <v>25389</v>
      </c>
      <c r="BF1574" t="str">
        <f>HYPERLINK("http://dx.doi.org/10.1108/CFRI-03-2024-0083","http://dx.doi.org/10.1108/CFRI-03-2024-0083")</f>
        <v>http://dx.doi.org/10.1108/CFRI-03-2024-0083</v>
      </c>
      <c r="BG1574" t="s">
        <v>74</v>
      </c>
      <c r="BH1574" t="s">
        <v>2524</v>
      </c>
      <c r="BI1574">
        <v>26</v>
      </c>
      <c r="BJ1574" t="s">
        <v>268</v>
      </c>
      <c r="BK1574" t="s">
        <v>313</v>
      </c>
      <c r="BL1574" t="s">
        <v>100</v>
      </c>
      <c r="BM1574" t="s">
        <v>25388</v>
      </c>
      <c r="BN1574" t="s">
        <v>74</v>
      </c>
      <c r="BO1574" t="s">
        <v>74</v>
      </c>
      <c r="BP1574" t="s">
        <v>74</v>
      </c>
      <c r="BQ1574" t="s">
        <v>74</v>
      </c>
      <c r="BR1574" t="s">
        <v>102</v>
      </c>
      <c r="BS1574" t="s">
        <v>25387</v>
      </c>
      <c r="BT1574" t="str">
        <f>HYPERLINK("https%3A%2F%2Fwww.webofscience.com%2Fwos%2Fwoscc%2Ffull-record%2FWOS:001278357800001","View Full Record in Web of Science")</f>
        <v>View Full Record in Web of Science</v>
      </c>
    </row>
    <row r="1575" spans="1:72" x14ac:dyDescent="0.25">
      <c r="A1575" t="s">
        <v>72</v>
      </c>
      <c r="B1575" t="s">
        <v>25386</v>
      </c>
      <c r="C1575" t="s">
        <v>74</v>
      </c>
      <c r="D1575" t="s">
        <v>74</v>
      </c>
      <c r="E1575" t="s">
        <v>74</v>
      </c>
      <c r="F1575" t="s">
        <v>25385</v>
      </c>
      <c r="G1575" t="s">
        <v>74</v>
      </c>
      <c r="H1575" t="s">
        <v>74</v>
      </c>
      <c r="I1575" t="s">
        <v>25384</v>
      </c>
      <c r="J1575" t="s">
        <v>14790</v>
      </c>
      <c r="K1575" t="s">
        <v>74</v>
      </c>
      <c r="L1575" t="s">
        <v>74</v>
      </c>
      <c r="M1575" t="s">
        <v>78</v>
      </c>
      <c r="N1575" t="s">
        <v>79</v>
      </c>
      <c r="O1575" t="s">
        <v>74</v>
      </c>
      <c r="P1575" t="s">
        <v>74</v>
      </c>
      <c r="Q1575" t="s">
        <v>74</v>
      </c>
      <c r="R1575" t="s">
        <v>74</v>
      </c>
      <c r="S1575" t="s">
        <v>74</v>
      </c>
      <c r="T1575" t="s">
        <v>25383</v>
      </c>
      <c r="U1575" t="s">
        <v>25382</v>
      </c>
      <c r="V1575" t="s">
        <v>25381</v>
      </c>
      <c r="W1575" t="s">
        <v>25380</v>
      </c>
      <c r="X1575" t="s">
        <v>25379</v>
      </c>
      <c r="Y1575" t="s">
        <v>25378</v>
      </c>
      <c r="Z1575" t="s">
        <v>25377</v>
      </c>
      <c r="AA1575" t="s">
        <v>74</v>
      </c>
      <c r="AB1575" t="s">
        <v>25376</v>
      </c>
      <c r="AC1575" t="s">
        <v>74</v>
      </c>
      <c r="AD1575" t="s">
        <v>74</v>
      </c>
      <c r="AE1575" t="s">
        <v>74</v>
      </c>
      <c r="AF1575" t="s">
        <v>74</v>
      </c>
      <c r="AG1575">
        <v>54</v>
      </c>
      <c r="AH1575">
        <v>18</v>
      </c>
      <c r="AI1575">
        <v>18</v>
      </c>
      <c r="AJ1575">
        <v>12</v>
      </c>
      <c r="AK1575">
        <v>58</v>
      </c>
      <c r="AL1575" t="s">
        <v>89</v>
      </c>
      <c r="AM1575" t="s">
        <v>90</v>
      </c>
      <c r="AN1575" t="s">
        <v>91</v>
      </c>
      <c r="AO1575" t="s">
        <v>14801</v>
      </c>
      <c r="AP1575" t="s">
        <v>14802</v>
      </c>
      <c r="AQ1575" t="s">
        <v>74</v>
      </c>
      <c r="AR1575" t="s">
        <v>14803</v>
      </c>
      <c r="AS1575" t="s">
        <v>14804</v>
      </c>
      <c r="AT1575" t="s">
        <v>8956</v>
      </c>
      <c r="AU1575">
        <v>2024</v>
      </c>
      <c r="AV1575">
        <v>36</v>
      </c>
      <c r="AW1575">
        <v>8</v>
      </c>
      <c r="AX1575" t="s">
        <v>74</v>
      </c>
      <c r="AY1575" t="s">
        <v>74</v>
      </c>
      <c r="AZ1575" t="s">
        <v>74</v>
      </c>
      <c r="BA1575" t="s">
        <v>74</v>
      </c>
      <c r="BB1575">
        <v>2008</v>
      </c>
      <c r="BC1575">
        <v>2027</v>
      </c>
      <c r="BD1575" t="s">
        <v>74</v>
      </c>
      <c r="BE1575" t="s">
        <v>25375</v>
      </c>
      <c r="BF1575" t="str">
        <f>HYPERLINK("http://dx.doi.org/10.1108/APJML-08-2023-0793","http://dx.doi.org/10.1108/APJML-08-2023-0793")</f>
        <v>http://dx.doi.org/10.1108/APJML-08-2023-0793</v>
      </c>
      <c r="BG1575" t="s">
        <v>74</v>
      </c>
      <c r="BH1575" t="s">
        <v>1239</v>
      </c>
      <c r="BI1575">
        <v>20</v>
      </c>
      <c r="BJ1575" t="s">
        <v>418</v>
      </c>
      <c r="BK1575" t="s">
        <v>99</v>
      </c>
      <c r="BL1575" t="s">
        <v>100</v>
      </c>
      <c r="BM1575" t="s">
        <v>25374</v>
      </c>
      <c r="BN1575" t="s">
        <v>74</v>
      </c>
      <c r="BO1575" t="s">
        <v>74</v>
      </c>
      <c r="BP1575" t="s">
        <v>74</v>
      </c>
      <c r="BQ1575" t="s">
        <v>74</v>
      </c>
      <c r="BR1575" t="s">
        <v>102</v>
      </c>
      <c r="BS1575" t="s">
        <v>25373</v>
      </c>
      <c r="BT1575" t="str">
        <f>HYPERLINK("https%3A%2F%2Fwww.webofscience.com%2Fwos%2Fwoscc%2Ffull-record%2FWOS:001155154700001","View Full Record in Web of Science")</f>
        <v>View Full Record in Web of Science</v>
      </c>
    </row>
    <row r="1576" spans="1:72" x14ac:dyDescent="0.25">
      <c r="A1576" t="s">
        <v>72</v>
      </c>
      <c r="B1576" t="s">
        <v>25372</v>
      </c>
      <c r="C1576" t="s">
        <v>74</v>
      </c>
      <c r="D1576" t="s">
        <v>74</v>
      </c>
      <c r="E1576" t="s">
        <v>74</v>
      </c>
      <c r="F1576" t="s">
        <v>25371</v>
      </c>
      <c r="G1576" t="s">
        <v>74</v>
      </c>
      <c r="H1576" t="s">
        <v>74</v>
      </c>
      <c r="I1576" t="s">
        <v>25370</v>
      </c>
      <c r="J1576" t="s">
        <v>3231</v>
      </c>
      <c r="K1576" t="s">
        <v>74</v>
      </c>
      <c r="L1576" t="s">
        <v>74</v>
      </c>
      <c r="M1576" t="s">
        <v>78</v>
      </c>
      <c r="N1576" t="s">
        <v>79</v>
      </c>
      <c r="O1576" t="s">
        <v>74</v>
      </c>
      <c r="P1576" t="s">
        <v>74</v>
      </c>
      <c r="Q1576" t="s">
        <v>74</v>
      </c>
      <c r="R1576" t="s">
        <v>74</v>
      </c>
      <c r="S1576" t="s">
        <v>74</v>
      </c>
      <c r="T1576" t="s">
        <v>25369</v>
      </c>
      <c r="U1576" t="s">
        <v>25368</v>
      </c>
      <c r="V1576" t="s">
        <v>25367</v>
      </c>
      <c r="W1576" t="s">
        <v>25366</v>
      </c>
      <c r="X1576" t="s">
        <v>25365</v>
      </c>
      <c r="Y1576" t="s">
        <v>25364</v>
      </c>
      <c r="Z1576" t="s">
        <v>25363</v>
      </c>
      <c r="AA1576" t="s">
        <v>25362</v>
      </c>
      <c r="AB1576" t="s">
        <v>25361</v>
      </c>
      <c r="AC1576" t="s">
        <v>74</v>
      </c>
      <c r="AD1576" t="s">
        <v>74</v>
      </c>
      <c r="AE1576" t="s">
        <v>74</v>
      </c>
      <c r="AF1576" t="s">
        <v>74</v>
      </c>
      <c r="AG1576">
        <v>117</v>
      </c>
      <c r="AH1576">
        <v>34</v>
      </c>
      <c r="AI1576">
        <v>47</v>
      </c>
      <c r="AJ1576">
        <v>2</v>
      </c>
      <c r="AK1576">
        <v>42</v>
      </c>
      <c r="AL1576" t="s">
        <v>575</v>
      </c>
      <c r="AM1576" t="s">
        <v>576</v>
      </c>
      <c r="AN1576" t="s">
        <v>577</v>
      </c>
      <c r="AO1576" t="s">
        <v>74</v>
      </c>
      <c r="AP1576" t="s">
        <v>3243</v>
      </c>
      <c r="AQ1576" t="s">
        <v>74</v>
      </c>
      <c r="AR1576" t="s">
        <v>3244</v>
      </c>
      <c r="AS1576" t="s">
        <v>3245</v>
      </c>
      <c r="AT1576" t="s">
        <v>124</v>
      </c>
      <c r="AU1576">
        <v>2020</v>
      </c>
      <c r="AV1576">
        <v>12</v>
      </c>
      <c r="AW1576">
        <v>23</v>
      </c>
      <c r="AX1576" t="s">
        <v>74</v>
      </c>
      <c r="AY1576" t="s">
        <v>74</v>
      </c>
      <c r="AZ1576" t="s">
        <v>74</v>
      </c>
      <c r="BA1576" t="s">
        <v>74</v>
      </c>
      <c r="BB1576" t="s">
        <v>74</v>
      </c>
      <c r="BC1576" t="s">
        <v>74</v>
      </c>
      <c r="BD1576">
        <v>10130</v>
      </c>
      <c r="BE1576" t="s">
        <v>25360</v>
      </c>
      <c r="BF1576" t="str">
        <f>HYPERLINK("http://dx.doi.org/10.3390/su122310130","http://dx.doi.org/10.3390/su122310130")</f>
        <v>http://dx.doi.org/10.3390/su122310130</v>
      </c>
      <c r="BG1576" t="s">
        <v>74</v>
      </c>
      <c r="BH1576" t="s">
        <v>74</v>
      </c>
      <c r="BI1576">
        <v>24</v>
      </c>
      <c r="BJ1576" t="s">
        <v>3247</v>
      </c>
      <c r="BK1576" t="s">
        <v>2623</v>
      </c>
      <c r="BL1576" t="s">
        <v>3248</v>
      </c>
      <c r="BM1576" t="s">
        <v>25359</v>
      </c>
      <c r="BN1576" t="s">
        <v>74</v>
      </c>
      <c r="BO1576" t="s">
        <v>916</v>
      </c>
      <c r="BP1576" t="s">
        <v>74</v>
      </c>
      <c r="BQ1576" t="s">
        <v>74</v>
      </c>
      <c r="BR1576" t="s">
        <v>102</v>
      </c>
      <c r="BS1576" t="s">
        <v>25358</v>
      </c>
      <c r="BT1576" t="str">
        <f>HYPERLINK("https%3A%2F%2Fwww.webofscience.com%2Fwos%2Fwoscc%2Ffull-record%2FWOS:000597899900001","View Full Record in Web of Science")</f>
        <v>View Full Record in Web of Science</v>
      </c>
    </row>
    <row r="1577" spans="1:72" x14ac:dyDescent="0.25">
      <c r="A1577" t="s">
        <v>72</v>
      </c>
      <c r="B1577" t="s">
        <v>25357</v>
      </c>
      <c r="C1577" t="s">
        <v>74</v>
      </c>
      <c r="D1577" t="s">
        <v>74</v>
      </c>
      <c r="E1577" t="s">
        <v>74</v>
      </c>
      <c r="F1577" t="s">
        <v>25356</v>
      </c>
      <c r="G1577" t="s">
        <v>74</v>
      </c>
      <c r="H1577" t="s">
        <v>74</v>
      </c>
      <c r="I1577" t="s">
        <v>25355</v>
      </c>
      <c r="J1577" t="s">
        <v>656</v>
      </c>
      <c r="K1577" t="s">
        <v>74</v>
      </c>
      <c r="L1577" t="s">
        <v>74</v>
      </c>
      <c r="M1577" t="s">
        <v>78</v>
      </c>
      <c r="N1577" t="s">
        <v>79</v>
      </c>
      <c r="O1577" t="s">
        <v>74</v>
      </c>
      <c r="P1577" t="s">
        <v>74</v>
      </c>
      <c r="Q1577" t="s">
        <v>74</v>
      </c>
      <c r="R1577" t="s">
        <v>74</v>
      </c>
      <c r="S1577" t="s">
        <v>74</v>
      </c>
      <c r="T1577" t="s">
        <v>25354</v>
      </c>
      <c r="U1577" t="s">
        <v>25353</v>
      </c>
      <c r="V1577" t="s">
        <v>25352</v>
      </c>
      <c r="W1577" t="s">
        <v>25351</v>
      </c>
      <c r="X1577" t="s">
        <v>25350</v>
      </c>
      <c r="Y1577" t="s">
        <v>25349</v>
      </c>
      <c r="Z1577" t="s">
        <v>25348</v>
      </c>
      <c r="AA1577" t="s">
        <v>25347</v>
      </c>
      <c r="AB1577" t="s">
        <v>25346</v>
      </c>
      <c r="AC1577" t="s">
        <v>74</v>
      </c>
      <c r="AD1577" t="s">
        <v>74</v>
      </c>
      <c r="AE1577" t="s">
        <v>74</v>
      </c>
      <c r="AF1577" t="s">
        <v>74</v>
      </c>
      <c r="AG1577">
        <v>32</v>
      </c>
      <c r="AH1577">
        <v>30</v>
      </c>
      <c r="AI1577">
        <v>40</v>
      </c>
      <c r="AJ1577">
        <v>1</v>
      </c>
      <c r="AK1577">
        <v>25</v>
      </c>
      <c r="AL1577" t="s">
        <v>666</v>
      </c>
      <c r="AM1577" t="s">
        <v>667</v>
      </c>
      <c r="AN1577" t="s">
        <v>668</v>
      </c>
      <c r="AO1577" t="s">
        <v>669</v>
      </c>
      <c r="AP1577" t="s">
        <v>670</v>
      </c>
      <c r="AQ1577" t="s">
        <v>74</v>
      </c>
      <c r="AR1577" t="s">
        <v>671</v>
      </c>
      <c r="AS1577" t="s">
        <v>672</v>
      </c>
      <c r="AT1577" t="s">
        <v>1652</v>
      </c>
      <c r="AU1577">
        <v>2018</v>
      </c>
      <c r="AV1577">
        <v>39</v>
      </c>
      <c r="AW1577">
        <v>2</v>
      </c>
      <c r="AX1577" t="s">
        <v>74</v>
      </c>
      <c r="AY1577" t="s">
        <v>74</v>
      </c>
      <c r="AZ1577" t="s">
        <v>74</v>
      </c>
      <c r="BA1577" t="s">
        <v>74</v>
      </c>
      <c r="BB1577">
        <v>220</v>
      </c>
      <c r="BC1577">
        <v>232</v>
      </c>
      <c r="BD1577" t="s">
        <v>74</v>
      </c>
      <c r="BE1577" t="s">
        <v>25345</v>
      </c>
      <c r="BF1577" t="str">
        <f>HYPERLINK("http://dx.doi.org/10.1007/s10834-017-9556-1","http://dx.doi.org/10.1007/s10834-017-9556-1")</f>
        <v>http://dx.doi.org/10.1007/s10834-017-9556-1</v>
      </c>
      <c r="BG1577" t="s">
        <v>74</v>
      </c>
      <c r="BH1577" t="s">
        <v>74</v>
      </c>
      <c r="BI1577">
        <v>13</v>
      </c>
      <c r="BJ1577" t="s">
        <v>675</v>
      </c>
      <c r="BK1577" t="s">
        <v>99</v>
      </c>
      <c r="BL1577" t="s">
        <v>676</v>
      </c>
      <c r="BM1577" t="s">
        <v>25344</v>
      </c>
      <c r="BN1577" t="s">
        <v>74</v>
      </c>
      <c r="BO1577" t="s">
        <v>74</v>
      </c>
      <c r="BP1577" t="s">
        <v>74</v>
      </c>
      <c r="BQ1577" t="s">
        <v>74</v>
      </c>
      <c r="BR1577" t="s">
        <v>102</v>
      </c>
      <c r="BS1577" t="s">
        <v>25343</v>
      </c>
      <c r="BT1577" t="str">
        <f>HYPERLINK("https%3A%2F%2Fwww.webofscience.com%2Fwos%2Fwoscc%2Ffull-record%2FWOS:000431312200004","View Full Record in Web of Science")</f>
        <v>View Full Record in Web of Science</v>
      </c>
    </row>
    <row r="1578" spans="1:72" x14ac:dyDescent="0.25">
      <c r="A1578" t="s">
        <v>72</v>
      </c>
      <c r="B1578" t="s">
        <v>25342</v>
      </c>
      <c r="C1578" t="s">
        <v>74</v>
      </c>
      <c r="D1578" t="s">
        <v>74</v>
      </c>
      <c r="E1578" t="s">
        <v>74</v>
      </c>
      <c r="F1578" t="s">
        <v>25341</v>
      </c>
      <c r="G1578" t="s">
        <v>74</v>
      </c>
      <c r="H1578" t="s">
        <v>74</v>
      </c>
      <c r="I1578" t="s">
        <v>25340</v>
      </c>
      <c r="J1578" t="s">
        <v>18377</v>
      </c>
      <c r="K1578" t="s">
        <v>74</v>
      </c>
      <c r="L1578" t="s">
        <v>74</v>
      </c>
      <c r="M1578" t="s">
        <v>78</v>
      </c>
      <c r="N1578" t="s">
        <v>79</v>
      </c>
      <c r="O1578" t="s">
        <v>74</v>
      </c>
      <c r="P1578" t="s">
        <v>74</v>
      </c>
      <c r="Q1578" t="s">
        <v>74</v>
      </c>
      <c r="R1578" t="s">
        <v>74</v>
      </c>
      <c r="S1578" t="s">
        <v>74</v>
      </c>
      <c r="T1578" t="s">
        <v>25339</v>
      </c>
      <c r="U1578" t="s">
        <v>25338</v>
      </c>
      <c r="V1578" t="s">
        <v>25337</v>
      </c>
      <c r="W1578" t="s">
        <v>25336</v>
      </c>
      <c r="X1578" t="s">
        <v>25335</v>
      </c>
      <c r="Y1578" t="s">
        <v>25334</v>
      </c>
      <c r="Z1578" t="s">
        <v>25333</v>
      </c>
      <c r="AA1578" t="s">
        <v>74</v>
      </c>
      <c r="AB1578" t="s">
        <v>74</v>
      </c>
      <c r="AC1578" t="s">
        <v>25332</v>
      </c>
      <c r="AD1578" t="s">
        <v>25331</v>
      </c>
      <c r="AE1578" t="s">
        <v>25330</v>
      </c>
      <c r="AF1578" t="s">
        <v>74</v>
      </c>
      <c r="AG1578">
        <v>54</v>
      </c>
      <c r="AH1578">
        <v>0</v>
      </c>
      <c r="AI1578">
        <v>0</v>
      </c>
      <c r="AJ1578">
        <v>0</v>
      </c>
      <c r="AK1578">
        <v>0</v>
      </c>
      <c r="AL1578" t="s">
        <v>479</v>
      </c>
      <c r="AM1578" t="s">
        <v>480</v>
      </c>
      <c r="AN1578" t="s">
        <v>481</v>
      </c>
      <c r="AO1578" t="s">
        <v>18386</v>
      </c>
      <c r="AP1578" t="s">
        <v>18387</v>
      </c>
      <c r="AQ1578" t="s">
        <v>74</v>
      </c>
      <c r="AR1578" t="s">
        <v>18388</v>
      </c>
      <c r="AS1578" t="s">
        <v>18389</v>
      </c>
      <c r="AT1578" t="s">
        <v>25329</v>
      </c>
      <c r="AU1578">
        <v>2025</v>
      </c>
      <c r="AV1578">
        <v>54</v>
      </c>
      <c r="AW1578">
        <v>2</v>
      </c>
      <c r="AX1578" t="s">
        <v>74</v>
      </c>
      <c r="AY1578" t="s">
        <v>74</v>
      </c>
      <c r="AZ1578" t="s">
        <v>74</v>
      </c>
      <c r="BA1578" t="s">
        <v>74</v>
      </c>
      <c r="BB1578" t="s">
        <v>74</v>
      </c>
      <c r="BC1578" t="s">
        <v>74</v>
      </c>
      <c r="BD1578" t="s">
        <v>15698</v>
      </c>
      <c r="BE1578" t="s">
        <v>25328</v>
      </c>
      <c r="BF1578" t="str">
        <f>HYPERLINK("http://dx.doi.org/10.1002/fcsr.70035","http://dx.doi.org/10.1002/fcsr.70035")</f>
        <v>http://dx.doi.org/10.1002/fcsr.70035</v>
      </c>
      <c r="BG1578" t="s">
        <v>74</v>
      </c>
      <c r="BH1578" t="s">
        <v>74</v>
      </c>
      <c r="BI1578">
        <v>21</v>
      </c>
      <c r="BJ1578" t="s">
        <v>18391</v>
      </c>
      <c r="BK1578" t="s">
        <v>313</v>
      </c>
      <c r="BL1578" t="s">
        <v>18391</v>
      </c>
      <c r="BM1578" t="s">
        <v>25327</v>
      </c>
      <c r="BN1578" t="s">
        <v>74</v>
      </c>
      <c r="BO1578" t="s">
        <v>1205</v>
      </c>
      <c r="BP1578" t="s">
        <v>74</v>
      </c>
      <c r="BQ1578" t="s">
        <v>74</v>
      </c>
      <c r="BR1578" t="s">
        <v>102</v>
      </c>
      <c r="BS1578" t="s">
        <v>25326</v>
      </c>
      <c r="BT1578" t="str">
        <f>HYPERLINK("https%3A%2F%2Fwww.webofscience.com%2Fwos%2Fwoscc%2Ffull-record%2FWOS:001621209100001","View Full Record in Web of Science")</f>
        <v>View Full Record in Web of Science</v>
      </c>
    </row>
    <row r="1579" spans="1:72" x14ac:dyDescent="0.25">
      <c r="A1579" t="s">
        <v>72</v>
      </c>
      <c r="B1579" t="s">
        <v>15796</v>
      </c>
      <c r="C1579" t="s">
        <v>74</v>
      </c>
      <c r="D1579" t="s">
        <v>74</v>
      </c>
      <c r="E1579" t="s">
        <v>74</v>
      </c>
      <c r="F1579" t="s">
        <v>15797</v>
      </c>
      <c r="G1579" t="s">
        <v>74</v>
      </c>
      <c r="H1579" t="s">
        <v>74</v>
      </c>
      <c r="I1579" t="s">
        <v>25325</v>
      </c>
      <c r="J1579" t="s">
        <v>25324</v>
      </c>
      <c r="K1579" t="s">
        <v>74</v>
      </c>
      <c r="L1579" t="s">
        <v>74</v>
      </c>
      <c r="M1579" t="s">
        <v>78</v>
      </c>
      <c r="N1579" t="s">
        <v>79</v>
      </c>
      <c r="O1579" t="s">
        <v>74</v>
      </c>
      <c r="P1579" t="s">
        <v>74</v>
      </c>
      <c r="Q1579" t="s">
        <v>74</v>
      </c>
      <c r="R1579" t="s">
        <v>74</v>
      </c>
      <c r="S1579" t="s">
        <v>74</v>
      </c>
      <c r="T1579" t="s">
        <v>25323</v>
      </c>
      <c r="U1579" t="s">
        <v>25322</v>
      </c>
      <c r="V1579" t="s">
        <v>25321</v>
      </c>
      <c r="W1579" t="s">
        <v>25320</v>
      </c>
      <c r="X1579" t="s">
        <v>15804</v>
      </c>
      <c r="Y1579" t="s">
        <v>25319</v>
      </c>
      <c r="Z1579" t="s">
        <v>15806</v>
      </c>
      <c r="AA1579" t="s">
        <v>74</v>
      </c>
      <c r="AB1579" t="s">
        <v>74</v>
      </c>
      <c r="AC1579" t="s">
        <v>25318</v>
      </c>
      <c r="AD1579" t="s">
        <v>25318</v>
      </c>
      <c r="AE1579" t="s">
        <v>25317</v>
      </c>
      <c r="AF1579" t="s">
        <v>74</v>
      </c>
      <c r="AG1579">
        <v>53</v>
      </c>
      <c r="AH1579">
        <v>30</v>
      </c>
      <c r="AI1579">
        <v>35</v>
      </c>
      <c r="AJ1579">
        <v>0</v>
      </c>
      <c r="AK1579">
        <v>25</v>
      </c>
      <c r="AL1579" t="s">
        <v>332</v>
      </c>
      <c r="AM1579" t="s">
        <v>333</v>
      </c>
      <c r="AN1579" t="s">
        <v>334</v>
      </c>
      <c r="AO1579" t="s">
        <v>25316</v>
      </c>
      <c r="AP1579" t="s">
        <v>25315</v>
      </c>
      <c r="AQ1579" t="s">
        <v>74</v>
      </c>
      <c r="AR1579" t="s">
        <v>25314</v>
      </c>
      <c r="AS1579" t="s">
        <v>25313</v>
      </c>
      <c r="AT1579" t="s">
        <v>208</v>
      </c>
      <c r="AU1579">
        <v>2017</v>
      </c>
      <c r="AV1579">
        <v>23</v>
      </c>
      <c r="AW1579">
        <v>1</v>
      </c>
      <c r="AX1579" t="s">
        <v>74</v>
      </c>
      <c r="AY1579" t="s">
        <v>74</v>
      </c>
      <c r="AZ1579" t="s">
        <v>74</v>
      </c>
      <c r="BA1579" t="s">
        <v>74</v>
      </c>
      <c r="BB1579">
        <v>160</v>
      </c>
      <c r="BC1579">
        <v>185</v>
      </c>
      <c r="BD1579" t="s">
        <v>74</v>
      </c>
      <c r="BE1579" t="s">
        <v>25312</v>
      </c>
      <c r="BF1579" t="str">
        <f>HYPERLINK("http://dx.doi.org/10.1080/13545701.2016.1193213","http://dx.doi.org/10.1080/13545701.2016.1193213")</f>
        <v>http://dx.doi.org/10.1080/13545701.2016.1193213</v>
      </c>
      <c r="BG1579" t="s">
        <v>74</v>
      </c>
      <c r="BH1579" t="s">
        <v>74</v>
      </c>
      <c r="BI1579">
        <v>26</v>
      </c>
      <c r="BJ1579" t="s">
        <v>25311</v>
      </c>
      <c r="BK1579" t="s">
        <v>99</v>
      </c>
      <c r="BL1579" t="s">
        <v>13814</v>
      </c>
      <c r="BM1579" t="s">
        <v>25310</v>
      </c>
      <c r="BN1579" t="s">
        <v>74</v>
      </c>
      <c r="BO1579" t="s">
        <v>74</v>
      </c>
      <c r="BP1579" t="s">
        <v>74</v>
      </c>
      <c r="BQ1579" t="s">
        <v>74</v>
      </c>
      <c r="BR1579" t="s">
        <v>102</v>
      </c>
      <c r="BS1579" t="s">
        <v>25309</v>
      </c>
      <c r="BT1579" t="str">
        <f>HYPERLINK("https%3A%2F%2Fwww.webofscience.com%2Fwos%2Fwoscc%2Ffull-record%2FWOS:000389502000001","View Full Record in Web of Science")</f>
        <v>View Full Record in Web of Science</v>
      </c>
    </row>
    <row r="1580" spans="1:72" x14ac:dyDescent="0.25">
      <c r="A1580" t="s">
        <v>72</v>
      </c>
      <c r="B1580" t="s">
        <v>25308</v>
      </c>
      <c r="C1580" t="s">
        <v>74</v>
      </c>
      <c r="D1580" t="s">
        <v>74</v>
      </c>
      <c r="E1580" t="s">
        <v>74</v>
      </c>
      <c r="F1580" t="s">
        <v>25307</v>
      </c>
      <c r="G1580" t="s">
        <v>74</v>
      </c>
      <c r="H1580" t="s">
        <v>74</v>
      </c>
      <c r="I1580" t="s">
        <v>25306</v>
      </c>
      <c r="J1580" t="s">
        <v>23912</v>
      </c>
      <c r="K1580" t="s">
        <v>74</v>
      </c>
      <c r="L1580" t="s">
        <v>74</v>
      </c>
      <c r="M1580" t="s">
        <v>78</v>
      </c>
      <c r="N1580" t="s">
        <v>79</v>
      </c>
      <c r="O1580" t="s">
        <v>74</v>
      </c>
      <c r="P1580" t="s">
        <v>74</v>
      </c>
      <c r="Q1580" t="s">
        <v>74</v>
      </c>
      <c r="R1580" t="s">
        <v>74</v>
      </c>
      <c r="S1580" t="s">
        <v>74</v>
      </c>
      <c r="T1580" t="s">
        <v>74</v>
      </c>
      <c r="U1580" t="s">
        <v>74</v>
      </c>
      <c r="V1580" t="s">
        <v>25305</v>
      </c>
      <c r="W1580" t="s">
        <v>25304</v>
      </c>
      <c r="X1580" t="s">
        <v>21218</v>
      </c>
      <c r="Y1580" t="s">
        <v>25303</v>
      </c>
      <c r="Z1580" t="s">
        <v>25302</v>
      </c>
      <c r="AA1580" t="s">
        <v>25301</v>
      </c>
      <c r="AB1580" t="s">
        <v>25300</v>
      </c>
      <c r="AC1580" t="s">
        <v>74</v>
      </c>
      <c r="AD1580" t="s">
        <v>74</v>
      </c>
      <c r="AE1580" t="s">
        <v>74</v>
      </c>
      <c r="AF1580" t="s">
        <v>74</v>
      </c>
      <c r="AG1580">
        <v>6</v>
      </c>
      <c r="AH1580">
        <v>73</v>
      </c>
      <c r="AI1580">
        <v>107</v>
      </c>
      <c r="AJ1580">
        <v>1</v>
      </c>
      <c r="AK1580">
        <v>19</v>
      </c>
      <c r="AL1580" t="s">
        <v>23912</v>
      </c>
      <c r="AM1580" t="s">
        <v>3024</v>
      </c>
      <c r="AN1580" t="s">
        <v>23911</v>
      </c>
      <c r="AO1580" t="s">
        <v>23910</v>
      </c>
      <c r="AP1580" t="s">
        <v>74</v>
      </c>
      <c r="AQ1580" t="s">
        <v>74</v>
      </c>
      <c r="AR1580" t="s">
        <v>23909</v>
      </c>
      <c r="AS1580" t="s">
        <v>23908</v>
      </c>
      <c r="AT1580" t="s">
        <v>74</v>
      </c>
      <c r="AU1580">
        <v>2015</v>
      </c>
      <c r="AV1580">
        <v>35</v>
      </c>
      <c r="AW1580">
        <v>1</v>
      </c>
      <c r="AX1580" t="s">
        <v>74</v>
      </c>
      <c r="AY1580" t="s">
        <v>74</v>
      </c>
      <c r="AZ1580" t="s">
        <v>74</v>
      </c>
      <c r="BA1580" t="s">
        <v>74</v>
      </c>
      <c r="BB1580">
        <v>604</v>
      </c>
      <c r="BC1580" t="s">
        <v>2190</v>
      </c>
      <c r="BD1580" t="s">
        <v>74</v>
      </c>
      <c r="BE1580" t="s">
        <v>74</v>
      </c>
      <c r="BF1580" t="s">
        <v>74</v>
      </c>
      <c r="BG1580" t="s">
        <v>74</v>
      </c>
      <c r="BH1580" t="s">
        <v>74</v>
      </c>
      <c r="BI1580">
        <v>9</v>
      </c>
      <c r="BJ1580" t="s">
        <v>291</v>
      </c>
      <c r="BK1580" t="s">
        <v>313</v>
      </c>
      <c r="BL1580" t="s">
        <v>100</v>
      </c>
      <c r="BM1580" t="s">
        <v>25299</v>
      </c>
      <c r="BN1580" t="s">
        <v>74</v>
      </c>
      <c r="BO1580" t="s">
        <v>74</v>
      </c>
      <c r="BP1580" t="s">
        <v>74</v>
      </c>
      <c r="BQ1580" t="s">
        <v>74</v>
      </c>
      <c r="BR1580" t="s">
        <v>102</v>
      </c>
      <c r="BS1580" t="s">
        <v>25298</v>
      </c>
      <c r="BT1580" t="str">
        <f>HYPERLINK("https%3A%2F%2Fwww.webofscience.com%2Fwos%2Fwoscc%2Ffull-record%2FWOS:000360196300064","View Full Record in Web of Science")</f>
        <v>View Full Record in Web of Science</v>
      </c>
    </row>
    <row r="1581" spans="1:72" x14ac:dyDescent="0.25">
      <c r="A1581" t="s">
        <v>72</v>
      </c>
      <c r="B1581" t="s">
        <v>25297</v>
      </c>
      <c r="C1581" t="s">
        <v>74</v>
      </c>
      <c r="D1581" t="s">
        <v>74</v>
      </c>
      <c r="E1581" t="s">
        <v>74</v>
      </c>
      <c r="F1581" t="s">
        <v>25296</v>
      </c>
      <c r="G1581" t="s">
        <v>74</v>
      </c>
      <c r="H1581" t="s">
        <v>74</v>
      </c>
      <c r="I1581" t="s">
        <v>25295</v>
      </c>
      <c r="J1581" t="s">
        <v>2030</v>
      </c>
      <c r="K1581" t="s">
        <v>74</v>
      </c>
      <c r="L1581" t="s">
        <v>74</v>
      </c>
      <c r="M1581" t="s">
        <v>78</v>
      </c>
      <c r="N1581" t="s">
        <v>79</v>
      </c>
      <c r="O1581" t="s">
        <v>74</v>
      </c>
      <c r="P1581" t="s">
        <v>74</v>
      </c>
      <c r="Q1581" t="s">
        <v>74</v>
      </c>
      <c r="R1581" t="s">
        <v>74</v>
      </c>
      <c r="S1581" t="s">
        <v>74</v>
      </c>
      <c r="T1581" t="s">
        <v>25294</v>
      </c>
      <c r="U1581" t="s">
        <v>74</v>
      </c>
      <c r="V1581" t="s">
        <v>25293</v>
      </c>
      <c r="W1581" t="s">
        <v>25292</v>
      </c>
      <c r="X1581" t="s">
        <v>25291</v>
      </c>
      <c r="Y1581" t="s">
        <v>25290</v>
      </c>
      <c r="Z1581" t="s">
        <v>25289</v>
      </c>
      <c r="AA1581" t="s">
        <v>25288</v>
      </c>
      <c r="AB1581" t="s">
        <v>74</v>
      </c>
      <c r="AC1581" t="s">
        <v>74</v>
      </c>
      <c r="AD1581" t="s">
        <v>74</v>
      </c>
      <c r="AE1581" t="s">
        <v>74</v>
      </c>
      <c r="AF1581" t="s">
        <v>74</v>
      </c>
      <c r="AG1581">
        <v>44</v>
      </c>
      <c r="AH1581">
        <v>4</v>
      </c>
      <c r="AI1581">
        <v>6</v>
      </c>
      <c r="AJ1581">
        <v>1</v>
      </c>
      <c r="AK1581">
        <v>11</v>
      </c>
      <c r="AL1581" t="s">
        <v>666</v>
      </c>
      <c r="AM1581" t="s">
        <v>667</v>
      </c>
      <c r="AN1581" t="s">
        <v>668</v>
      </c>
      <c r="AO1581" t="s">
        <v>2039</v>
      </c>
      <c r="AP1581" t="s">
        <v>74</v>
      </c>
      <c r="AQ1581" t="s">
        <v>74</v>
      </c>
      <c r="AR1581" t="s">
        <v>2040</v>
      </c>
      <c r="AS1581" t="s">
        <v>2041</v>
      </c>
      <c r="AT1581" t="s">
        <v>605</v>
      </c>
      <c r="AU1581">
        <v>2023</v>
      </c>
      <c r="AV1581">
        <v>10</v>
      </c>
      <c r="AW1581">
        <v>1</v>
      </c>
      <c r="AX1581" t="s">
        <v>74</v>
      </c>
      <c r="AY1581" t="s">
        <v>74</v>
      </c>
      <c r="AZ1581" t="s">
        <v>441</v>
      </c>
      <c r="BA1581" t="s">
        <v>74</v>
      </c>
      <c r="BB1581">
        <v>19</v>
      </c>
      <c r="BC1581">
        <v>27</v>
      </c>
      <c r="BD1581" t="s">
        <v>74</v>
      </c>
      <c r="BE1581" t="s">
        <v>25287</v>
      </c>
      <c r="BF1581" t="str">
        <f>HYPERLINK("http://dx.doi.org/10.1007/s40609-022-00255-6","http://dx.doi.org/10.1007/s40609-022-00255-6")</f>
        <v>http://dx.doi.org/10.1007/s40609-022-00255-6</v>
      </c>
      <c r="BG1581" t="s">
        <v>74</v>
      </c>
      <c r="BH1581" t="s">
        <v>5112</v>
      </c>
      <c r="BI1581">
        <v>9</v>
      </c>
      <c r="BJ1581" t="s">
        <v>2045</v>
      </c>
      <c r="BK1581" t="s">
        <v>313</v>
      </c>
      <c r="BL1581" t="s">
        <v>2045</v>
      </c>
      <c r="BM1581" t="s">
        <v>25286</v>
      </c>
      <c r="BN1581" t="s">
        <v>74</v>
      </c>
      <c r="BO1581" t="s">
        <v>74</v>
      </c>
      <c r="BP1581" t="s">
        <v>74</v>
      </c>
      <c r="BQ1581" t="s">
        <v>74</v>
      </c>
      <c r="BR1581" t="s">
        <v>102</v>
      </c>
      <c r="BS1581" t="s">
        <v>25285</v>
      </c>
      <c r="BT1581" t="str">
        <f>HYPERLINK("https%3A%2F%2Fwww.webofscience.com%2Fwos%2Fwoscc%2Ffull-record%2FWOS:000884605000001","View Full Record in Web of Science")</f>
        <v>View Full Record in Web of Science</v>
      </c>
    </row>
    <row r="1582" spans="1:72" x14ac:dyDescent="0.25">
      <c r="A1582" t="s">
        <v>72</v>
      </c>
      <c r="B1582" t="s">
        <v>25284</v>
      </c>
      <c r="C1582" t="s">
        <v>74</v>
      </c>
      <c r="D1582" t="s">
        <v>74</v>
      </c>
      <c r="E1582" t="s">
        <v>74</v>
      </c>
      <c r="F1582" t="s">
        <v>25283</v>
      </c>
      <c r="G1582" t="s">
        <v>74</v>
      </c>
      <c r="H1582" t="s">
        <v>74</v>
      </c>
      <c r="I1582" t="s">
        <v>25282</v>
      </c>
      <c r="J1582" t="s">
        <v>3561</v>
      </c>
      <c r="K1582" t="s">
        <v>74</v>
      </c>
      <c r="L1582" t="s">
        <v>74</v>
      </c>
      <c r="M1582" t="s">
        <v>78</v>
      </c>
      <c r="N1582" t="s">
        <v>79</v>
      </c>
      <c r="O1582" t="s">
        <v>74</v>
      </c>
      <c r="P1582" t="s">
        <v>74</v>
      </c>
      <c r="Q1582" t="s">
        <v>74</v>
      </c>
      <c r="R1582" t="s">
        <v>74</v>
      </c>
      <c r="S1582" t="s">
        <v>74</v>
      </c>
      <c r="T1582" t="s">
        <v>25281</v>
      </c>
      <c r="U1582" t="s">
        <v>74</v>
      </c>
      <c r="V1582" t="s">
        <v>25280</v>
      </c>
      <c r="W1582" t="s">
        <v>25279</v>
      </c>
      <c r="X1582" t="s">
        <v>13042</v>
      </c>
      <c r="Y1582" t="s">
        <v>25278</v>
      </c>
      <c r="Z1582" t="s">
        <v>25277</v>
      </c>
      <c r="AA1582" t="s">
        <v>74</v>
      </c>
      <c r="AB1582" t="s">
        <v>74</v>
      </c>
      <c r="AC1582" t="s">
        <v>74</v>
      </c>
      <c r="AD1582" t="s">
        <v>74</v>
      </c>
      <c r="AE1582" t="s">
        <v>74</v>
      </c>
      <c r="AF1582" t="s">
        <v>74</v>
      </c>
      <c r="AG1582">
        <v>46</v>
      </c>
      <c r="AH1582">
        <v>0</v>
      </c>
      <c r="AI1582">
        <v>0</v>
      </c>
      <c r="AJ1582">
        <v>0</v>
      </c>
      <c r="AK1582">
        <v>0</v>
      </c>
      <c r="AL1582" t="s">
        <v>89</v>
      </c>
      <c r="AM1582" t="s">
        <v>1497</v>
      </c>
      <c r="AN1582" t="s">
        <v>1498</v>
      </c>
      <c r="AO1582" t="s">
        <v>3568</v>
      </c>
      <c r="AP1582" t="s">
        <v>3569</v>
      </c>
      <c r="AQ1582" t="s">
        <v>74</v>
      </c>
      <c r="AR1582" t="s">
        <v>3570</v>
      </c>
      <c r="AS1582" t="s">
        <v>3571</v>
      </c>
      <c r="AT1582" t="s">
        <v>25276</v>
      </c>
      <c r="AU1582">
        <v>2021</v>
      </c>
      <c r="AV1582">
        <v>24</v>
      </c>
      <c r="AW1582">
        <v>3</v>
      </c>
      <c r="AX1582" t="s">
        <v>74</v>
      </c>
      <c r="AY1582" t="s">
        <v>74</v>
      </c>
      <c r="AZ1582" t="s">
        <v>74</v>
      </c>
      <c r="BA1582" t="s">
        <v>74</v>
      </c>
      <c r="BB1582">
        <v>502</v>
      </c>
      <c r="BC1582">
        <v>513</v>
      </c>
      <c r="BD1582" t="s">
        <v>74</v>
      </c>
      <c r="BE1582" t="s">
        <v>25275</v>
      </c>
      <c r="BF1582" t="str">
        <f>HYPERLINK("http://dx.doi.org/10.1108/JMLC-08-2020-0096","http://dx.doi.org/10.1108/JMLC-08-2020-0096")</f>
        <v>http://dx.doi.org/10.1108/JMLC-08-2020-0096</v>
      </c>
      <c r="BG1582" t="s">
        <v>74</v>
      </c>
      <c r="BH1582" t="s">
        <v>11242</v>
      </c>
      <c r="BI1582">
        <v>12</v>
      </c>
      <c r="BJ1582" t="s">
        <v>3573</v>
      </c>
      <c r="BK1582" t="s">
        <v>313</v>
      </c>
      <c r="BL1582" t="s">
        <v>3573</v>
      </c>
      <c r="BM1582" t="s">
        <v>25274</v>
      </c>
      <c r="BN1582" t="s">
        <v>74</v>
      </c>
      <c r="BO1582" t="s">
        <v>74</v>
      </c>
      <c r="BP1582" t="s">
        <v>74</v>
      </c>
      <c r="BQ1582" t="s">
        <v>74</v>
      </c>
      <c r="BR1582" t="s">
        <v>102</v>
      </c>
      <c r="BS1582" t="s">
        <v>25273</v>
      </c>
      <c r="BT1582" t="str">
        <f>HYPERLINK("https%3A%2F%2Fwww.webofscience.com%2Fwos%2Fwoscc%2Ffull-record%2FWOS:000669445600001","View Full Record in Web of Science")</f>
        <v>View Full Record in Web of Science</v>
      </c>
    </row>
    <row r="1583" spans="1:72" x14ac:dyDescent="0.25">
      <c r="A1583" t="s">
        <v>132</v>
      </c>
      <c r="B1583" t="s">
        <v>25272</v>
      </c>
      <c r="C1583" t="s">
        <v>74</v>
      </c>
      <c r="D1583" t="s">
        <v>25271</v>
      </c>
      <c r="E1583" t="s">
        <v>74</v>
      </c>
      <c r="F1583" t="s">
        <v>25270</v>
      </c>
      <c r="G1583" t="s">
        <v>74</v>
      </c>
      <c r="H1583" t="s">
        <v>74</v>
      </c>
      <c r="I1583" t="s">
        <v>25269</v>
      </c>
      <c r="J1583" t="s">
        <v>25268</v>
      </c>
      <c r="K1583" t="s">
        <v>74</v>
      </c>
      <c r="L1583" t="s">
        <v>74</v>
      </c>
      <c r="M1583" t="s">
        <v>78</v>
      </c>
      <c r="N1583" t="s">
        <v>138</v>
      </c>
      <c r="O1583" t="s">
        <v>25267</v>
      </c>
      <c r="P1583" t="s">
        <v>25266</v>
      </c>
      <c r="Q1583" t="s">
        <v>25265</v>
      </c>
      <c r="R1583" t="s">
        <v>25264</v>
      </c>
      <c r="S1583" t="s">
        <v>74</v>
      </c>
      <c r="T1583" t="s">
        <v>25263</v>
      </c>
      <c r="U1583" t="s">
        <v>25262</v>
      </c>
      <c r="V1583" t="s">
        <v>25261</v>
      </c>
      <c r="W1583" t="s">
        <v>25260</v>
      </c>
      <c r="X1583" t="s">
        <v>25259</v>
      </c>
      <c r="Y1583" t="s">
        <v>25258</v>
      </c>
      <c r="Z1583" t="s">
        <v>74</v>
      </c>
      <c r="AA1583" t="s">
        <v>74</v>
      </c>
      <c r="AB1583" t="s">
        <v>74</v>
      </c>
      <c r="AC1583" t="s">
        <v>74</v>
      </c>
      <c r="AD1583" t="s">
        <v>74</v>
      </c>
      <c r="AE1583" t="s">
        <v>74</v>
      </c>
      <c r="AF1583" t="s">
        <v>74</v>
      </c>
      <c r="AG1583">
        <v>31</v>
      </c>
      <c r="AH1583">
        <v>0</v>
      </c>
      <c r="AI1583">
        <v>0</v>
      </c>
      <c r="AJ1583">
        <v>0</v>
      </c>
      <c r="AK1583">
        <v>27</v>
      </c>
      <c r="AL1583" t="s">
        <v>25257</v>
      </c>
      <c r="AM1583" t="s">
        <v>25256</v>
      </c>
      <c r="AN1583" t="s">
        <v>25255</v>
      </c>
      <c r="AO1583" t="s">
        <v>74</v>
      </c>
      <c r="AP1583" t="s">
        <v>74</v>
      </c>
      <c r="AQ1583" t="s">
        <v>25254</v>
      </c>
      <c r="AR1583" t="s">
        <v>74</v>
      </c>
      <c r="AS1583" t="s">
        <v>74</v>
      </c>
      <c r="AT1583" t="s">
        <v>74</v>
      </c>
      <c r="AU1583">
        <v>2015</v>
      </c>
      <c r="AV1583" t="s">
        <v>74</v>
      </c>
      <c r="AW1583" t="s">
        <v>74</v>
      </c>
      <c r="AX1583" t="s">
        <v>74</v>
      </c>
      <c r="AY1583" t="s">
        <v>74</v>
      </c>
      <c r="AZ1583" t="s">
        <v>74</v>
      </c>
      <c r="BA1583" t="s">
        <v>74</v>
      </c>
      <c r="BB1583">
        <v>161</v>
      </c>
      <c r="BC1583">
        <v>166</v>
      </c>
      <c r="BD1583" t="s">
        <v>74</v>
      </c>
      <c r="BE1583" t="s">
        <v>74</v>
      </c>
      <c r="BF1583" t="s">
        <v>74</v>
      </c>
      <c r="BG1583" t="s">
        <v>74</v>
      </c>
      <c r="BH1583" t="s">
        <v>74</v>
      </c>
      <c r="BI1583">
        <v>6</v>
      </c>
      <c r="BJ1583" t="s">
        <v>210</v>
      </c>
      <c r="BK1583" t="s">
        <v>183</v>
      </c>
      <c r="BL1583" t="s">
        <v>100</v>
      </c>
      <c r="BM1583" t="s">
        <v>25253</v>
      </c>
      <c r="BN1583" t="s">
        <v>74</v>
      </c>
      <c r="BO1583" t="s">
        <v>74</v>
      </c>
      <c r="BP1583" t="s">
        <v>74</v>
      </c>
      <c r="BQ1583" t="s">
        <v>74</v>
      </c>
      <c r="BR1583" t="s">
        <v>102</v>
      </c>
      <c r="BS1583" t="s">
        <v>25252</v>
      </c>
      <c r="BT1583" t="str">
        <f>HYPERLINK("https%3A%2F%2Fwww.webofscience.com%2Fwos%2Fwoscc%2Ffull-record%2FWOS:000364787100028","View Full Record in Web of Science")</f>
        <v>View Full Record in Web of Science</v>
      </c>
    </row>
    <row r="1584" spans="1:72" x14ac:dyDescent="0.25">
      <c r="A1584" t="s">
        <v>72</v>
      </c>
      <c r="B1584" t="s">
        <v>25251</v>
      </c>
      <c r="C1584" t="s">
        <v>74</v>
      </c>
      <c r="D1584" t="s">
        <v>74</v>
      </c>
      <c r="E1584" t="s">
        <v>74</v>
      </c>
      <c r="F1584" t="s">
        <v>25250</v>
      </c>
      <c r="G1584" t="s">
        <v>74</v>
      </c>
      <c r="H1584" t="s">
        <v>74</v>
      </c>
      <c r="I1584" t="s">
        <v>25249</v>
      </c>
      <c r="J1584" t="s">
        <v>25248</v>
      </c>
      <c r="K1584" t="s">
        <v>74</v>
      </c>
      <c r="L1584" t="s">
        <v>74</v>
      </c>
      <c r="M1584" t="s">
        <v>78</v>
      </c>
      <c r="N1584" t="s">
        <v>79</v>
      </c>
      <c r="O1584" t="s">
        <v>74</v>
      </c>
      <c r="P1584" t="s">
        <v>74</v>
      </c>
      <c r="Q1584" t="s">
        <v>74</v>
      </c>
      <c r="R1584" t="s">
        <v>74</v>
      </c>
      <c r="S1584" t="s">
        <v>74</v>
      </c>
      <c r="T1584" t="s">
        <v>25247</v>
      </c>
      <c r="U1584" t="s">
        <v>25246</v>
      </c>
      <c r="V1584" t="s">
        <v>25245</v>
      </c>
      <c r="W1584" t="s">
        <v>25244</v>
      </c>
      <c r="X1584" t="s">
        <v>25243</v>
      </c>
      <c r="Y1584" t="s">
        <v>25242</v>
      </c>
      <c r="Z1584" t="s">
        <v>25241</v>
      </c>
      <c r="AA1584" t="s">
        <v>25240</v>
      </c>
      <c r="AB1584" t="s">
        <v>25239</v>
      </c>
      <c r="AC1584" t="s">
        <v>74</v>
      </c>
      <c r="AD1584" t="s">
        <v>74</v>
      </c>
      <c r="AE1584" t="s">
        <v>74</v>
      </c>
      <c r="AF1584" t="s">
        <v>74</v>
      </c>
      <c r="AG1584">
        <v>50</v>
      </c>
      <c r="AH1584">
        <v>116</v>
      </c>
      <c r="AI1584">
        <v>147</v>
      </c>
      <c r="AJ1584">
        <v>8</v>
      </c>
      <c r="AK1584">
        <v>117</v>
      </c>
      <c r="AL1584" t="s">
        <v>201</v>
      </c>
      <c r="AM1584" t="s">
        <v>202</v>
      </c>
      <c r="AN1584" t="s">
        <v>203</v>
      </c>
      <c r="AO1584" t="s">
        <v>25238</v>
      </c>
      <c r="AP1584" t="s">
        <v>25237</v>
      </c>
      <c r="AQ1584" t="s">
        <v>74</v>
      </c>
      <c r="AR1584" t="s">
        <v>25236</v>
      </c>
      <c r="AS1584" t="s">
        <v>25235</v>
      </c>
      <c r="AT1584" t="s">
        <v>208</v>
      </c>
      <c r="AU1584">
        <v>2019</v>
      </c>
      <c r="AV1584">
        <v>74</v>
      </c>
      <c r="AW1584" t="s">
        <v>74</v>
      </c>
      <c r="AX1584" t="s">
        <v>74</v>
      </c>
      <c r="AY1584" t="s">
        <v>74</v>
      </c>
      <c r="AZ1584" t="s">
        <v>74</v>
      </c>
      <c r="BA1584" t="s">
        <v>74</v>
      </c>
      <c r="BB1584">
        <v>26</v>
      </c>
      <c r="BC1584">
        <v>39</v>
      </c>
      <c r="BD1584" t="s">
        <v>74</v>
      </c>
      <c r="BE1584" t="s">
        <v>25234</v>
      </c>
      <c r="BF1584" t="str">
        <f>HYPERLINK("http://dx.doi.org/10.1016/j.asoc.2018.10.004","http://dx.doi.org/10.1016/j.asoc.2018.10.004")</f>
        <v>http://dx.doi.org/10.1016/j.asoc.2018.10.004</v>
      </c>
      <c r="BG1584" t="s">
        <v>74</v>
      </c>
      <c r="BH1584" t="s">
        <v>74</v>
      </c>
      <c r="BI1584">
        <v>14</v>
      </c>
      <c r="BJ1584" t="s">
        <v>2111</v>
      </c>
      <c r="BK1584" t="s">
        <v>2623</v>
      </c>
      <c r="BL1584" t="s">
        <v>157</v>
      </c>
      <c r="BM1584" t="s">
        <v>25233</v>
      </c>
      <c r="BN1584" t="s">
        <v>74</v>
      </c>
      <c r="BO1584" t="s">
        <v>25232</v>
      </c>
      <c r="BP1584" t="s">
        <v>74</v>
      </c>
      <c r="BQ1584" t="s">
        <v>74</v>
      </c>
      <c r="BR1584" t="s">
        <v>102</v>
      </c>
      <c r="BS1584" t="s">
        <v>25231</v>
      </c>
      <c r="BT1584" t="str">
        <f>HYPERLINK("https%3A%2F%2Fwww.webofscience.com%2Fwos%2Fwoscc%2Ffull-record%2FWOS:000454251200003","View Full Record in Web of Science")</f>
        <v>View Full Record in Web of Science</v>
      </c>
    </row>
    <row r="1585" spans="1:72" x14ac:dyDescent="0.25">
      <c r="A1585" t="s">
        <v>72</v>
      </c>
      <c r="B1585" t="s">
        <v>25230</v>
      </c>
      <c r="C1585" t="s">
        <v>74</v>
      </c>
      <c r="D1585" t="s">
        <v>74</v>
      </c>
      <c r="E1585" t="s">
        <v>74</v>
      </c>
      <c r="F1585" t="s">
        <v>25229</v>
      </c>
      <c r="G1585" t="s">
        <v>74</v>
      </c>
      <c r="H1585" t="s">
        <v>74</v>
      </c>
      <c r="I1585" t="s">
        <v>25228</v>
      </c>
      <c r="J1585" t="s">
        <v>7298</v>
      </c>
      <c r="K1585" t="s">
        <v>74</v>
      </c>
      <c r="L1585" t="s">
        <v>74</v>
      </c>
      <c r="M1585" t="s">
        <v>78</v>
      </c>
      <c r="N1585" t="s">
        <v>79</v>
      </c>
      <c r="O1585" t="s">
        <v>74</v>
      </c>
      <c r="P1585" t="s">
        <v>74</v>
      </c>
      <c r="Q1585" t="s">
        <v>74</v>
      </c>
      <c r="R1585" t="s">
        <v>74</v>
      </c>
      <c r="S1585" t="s">
        <v>74</v>
      </c>
      <c r="T1585" t="s">
        <v>25227</v>
      </c>
      <c r="U1585" t="s">
        <v>25226</v>
      </c>
      <c r="V1585" t="s">
        <v>25225</v>
      </c>
      <c r="W1585" t="s">
        <v>25224</v>
      </c>
      <c r="X1585" t="s">
        <v>25223</v>
      </c>
      <c r="Y1585" t="s">
        <v>25222</v>
      </c>
      <c r="Z1585" t="s">
        <v>25221</v>
      </c>
      <c r="AA1585" t="s">
        <v>74</v>
      </c>
      <c r="AB1585" t="s">
        <v>25220</v>
      </c>
      <c r="AC1585" t="s">
        <v>74</v>
      </c>
      <c r="AD1585" t="s">
        <v>74</v>
      </c>
      <c r="AE1585" t="s">
        <v>74</v>
      </c>
      <c r="AF1585" t="s">
        <v>74</v>
      </c>
      <c r="AG1585">
        <v>58</v>
      </c>
      <c r="AH1585">
        <v>5</v>
      </c>
      <c r="AI1585">
        <v>5</v>
      </c>
      <c r="AJ1585">
        <v>0</v>
      </c>
      <c r="AK1585">
        <v>10</v>
      </c>
      <c r="AL1585" t="s">
        <v>479</v>
      </c>
      <c r="AM1585" t="s">
        <v>480</v>
      </c>
      <c r="AN1585" t="s">
        <v>481</v>
      </c>
      <c r="AO1585" t="s">
        <v>7308</v>
      </c>
      <c r="AP1585" t="s">
        <v>7309</v>
      </c>
      <c r="AQ1585" t="s">
        <v>74</v>
      </c>
      <c r="AR1585" t="s">
        <v>7310</v>
      </c>
      <c r="AS1585" t="s">
        <v>7311</v>
      </c>
      <c r="AT1585" t="s">
        <v>124</v>
      </c>
      <c r="AU1585">
        <v>2022</v>
      </c>
      <c r="AV1585">
        <v>93</v>
      </c>
      <c r="AW1585">
        <v>4</v>
      </c>
      <c r="AX1585" t="s">
        <v>74</v>
      </c>
      <c r="AY1585" t="s">
        <v>74</v>
      </c>
      <c r="AZ1585" t="s">
        <v>74</v>
      </c>
      <c r="BA1585" t="s">
        <v>74</v>
      </c>
      <c r="BB1585">
        <v>977</v>
      </c>
      <c r="BC1585">
        <v>999</v>
      </c>
      <c r="BD1585" t="s">
        <v>74</v>
      </c>
      <c r="BE1585" t="s">
        <v>25219</v>
      </c>
      <c r="BF1585" t="str">
        <f>HYPERLINK("http://dx.doi.org/10.1111/apce.12360","http://dx.doi.org/10.1111/apce.12360")</f>
        <v>http://dx.doi.org/10.1111/apce.12360</v>
      </c>
      <c r="BG1585" t="s">
        <v>74</v>
      </c>
      <c r="BH1585" t="s">
        <v>6817</v>
      </c>
      <c r="BI1585">
        <v>23</v>
      </c>
      <c r="BJ1585" t="s">
        <v>291</v>
      </c>
      <c r="BK1585" t="s">
        <v>99</v>
      </c>
      <c r="BL1585" t="s">
        <v>100</v>
      </c>
      <c r="BM1585" t="s">
        <v>25218</v>
      </c>
      <c r="BN1585" t="s">
        <v>74</v>
      </c>
      <c r="BO1585" t="s">
        <v>25217</v>
      </c>
      <c r="BP1585" t="s">
        <v>74</v>
      </c>
      <c r="BQ1585" t="s">
        <v>74</v>
      </c>
      <c r="BR1585" t="s">
        <v>102</v>
      </c>
      <c r="BS1585" t="s">
        <v>25216</v>
      </c>
      <c r="BT1585" t="str">
        <f>HYPERLINK("https%3A%2F%2Fwww.webofscience.com%2Fwos%2Fwoscc%2Ffull-record%2FWOS:000720659400001","View Full Record in Web of Science")</f>
        <v>View Full Record in Web of Science</v>
      </c>
    </row>
    <row r="1586" spans="1:72" x14ac:dyDescent="0.25">
      <c r="A1586" t="s">
        <v>72</v>
      </c>
      <c r="B1586" t="s">
        <v>25215</v>
      </c>
      <c r="C1586" t="s">
        <v>74</v>
      </c>
      <c r="D1586" t="s">
        <v>74</v>
      </c>
      <c r="E1586" t="s">
        <v>74</v>
      </c>
      <c r="F1586" t="s">
        <v>25214</v>
      </c>
      <c r="G1586" t="s">
        <v>74</v>
      </c>
      <c r="H1586" t="s">
        <v>74</v>
      </c>
      <c r="I1586" t="s">
        <v>25213</v>
      </c>
      <c r="J1586" t="s">
        <v>7119</v>
      </c>
      <c r="K1586" t="s">
        <v>74</v>
      </c>
      <c r="L1586" t="s">
        <v>74</v>
      </c>
      <c r="M1586" t="s">
        <v>78</v>
      </c>
      <c r="N1586" t="s">
        <v>79</v>
      </c>
      <c r="O1586" t="s">
        <v>74</v>
      </c>
      <c r="P1586" t="s">
        <v>74</v>
      </c>
      <c r="Q1586" t="s">
        <v>74</v>
      </c>
      <c r="R1586" t="s">
        <v>74</v>
      </c>
      <c r="S1586" t="s">
        <v>74</v>
      </c>
      <c r="T1586" t="s">
        <v>25212</v>
      </c>
      <c r="U1586" t="s">
        <v>25211</v>
      </c>
      <c r="V1586" t="s">
        <v>25210</v>
      </c>
      <c r="W1586" t="s">
        <v>25209</v>
      </c>
      <c r="X1586" t="s">
        <v>25208</v>
      </c>
      <c r="Y1586" t="s">
        <v>25207</v>
      </c>
      <c r="Z1586" t="s">
        <v>25206</v>
      </c>
      <c r="AA1586" t="s">
        <v>25205</v>
      </c>
      <c r="AB1586" t="s">
        <v>25204</v>
      </c>
      <c r="AC1586" t="s">
        <v>74</v>
      </c>
      <c r="AD1586" t="s">
        <v>74</v>
      </c>
      <c r="AE1586" t="s">
        <v>74</v>
      </c>
      <c r="AF1586" t="s">
        <v>74</v>
      </c>
      <c r="AG1586">
        <v>64</v>
      </c>
      <c r="AH1586">
        <v>5</v>
      </c>
      <c r="AI1586">
        <v>7</v>
      </c>
      <c r="AJ1586">
        <v>0</v>
      </c>
      <c r="AK1586">
        <v>18</v>
      </c>
      <c r="AL1586" t="s">
        <v>89</v>
      </c>
      <c r="AM1586" t="s">
        <v>1497</v>
      </c>
      <c r="AN1586" t="s">
        <v>1498</v>
      </c>
      <c r="AO1586" t="s">
        <v>7128</v>
      </c>
      <c r="AP1586" t="s">
        <v>74</v>
      </c>
      <c r="AQ1586" t="s">
        <v>74</v>
      </c>
      <c r="AR1586" t="s">
        <v>7129</v>
      </c>
      <c r="AS1586" t="s">
        <v>7130</v>
      </c>
      <c r="AT1586" t="s">
        <v>3349</v>
      </c>
      <c r="AU1586">
        <v>2021</v>
      </c>
      <c r="AV1586">
        <v>13</v>
      </c>
      <c r="AW1586">
        <v>5</v>
      </c>
      <c r="AX1586" t="s">
        <v>74</v>
      </c>
      <c r="AY1586" t="s">
        <v>74</v>
      </c>
      <c r="AZ1586" t="s">
        <v>74</v>
      </c>
      <c r="BA1586" t="s">
        <v>74</v>
      </c>
      <c r="BB1586">
        <v>655</v>
      </c>
      <c r="BC1586">
        <v>671</v>
      </c>
      <c r="BD1586" t="s">
        <v>74</v>
      </c>
      <c r="BE1586" t="s">
        <v>25203</v>
      </c>
      <c r="BF1586" t="str">
        <f>HYPERLINK("http://dx.doi.org/10.1108/QRFM-04-2020-0050","http://dx.doi.org/10.1108/QRFM-04-2020-0050")</f>
        <v>http://dx.doi.org/10.1108/QRFM-04-2020-0050</v>
      </c>
      <c r="BG1586" t="s">
        <v>74</v>
      </c>
      <c r="BH1586" t="s">
        <v>11151</v>
      </c>
      <c r="BI1586">
        <v>17</v>
      </c>
      <c r="BJ1586" t="s">
        <v>268</v>
      </c>
      <c r="BK1586" t="s">
        <v>313</v>
      </c>
      <c r="BL1586" t="s">
        <v>100</v>
      </c>
      <c r="BM1586" t="s">
        <v>25202</v>
      </c>
      <c r="BN1586" t="s">
        <v>74</v>
      </c>
      <c r="BO1586" t="s">
        <v>74</v>
      </c>
      <c r="BP1586" t="s">
        <v>74</v>
      </c>
      <c r="BQ1586" t="s">
        <v>74</v>
      </c>
      <c r="BR1586" t="s">
        <v>102</v>
      </c>
      <c r="BS1586" t="s">
        <v>25201</v>
      </c>
      <c r="BT1586" t="str">
        <f>HYPERLINK("https%3A%2F%2Fwww.webofscience.com%2Fwos%2Fwoscc%2Ffull-record%2FWOS:000678558500001","View Full Record in Web of Science")</f>
        <v>View Full Record in Web of Science</v>
      </c>
    </row>
    <row r="1587" spans="1:72" x14ac:dyDescent="0.25">
      <c r="A1587" t="s">
        <v>72</v>
      </c>
      <c r="B1587" t="s">
        <v>25200</v>
      </c>
      <c r="C1587" t="s">
        <v>74</v>
      </c>
      <c r="D1587" t="s">
        <v>74</v>
      </c>
      <c r="E1587" t="s">
        <v>74</v>
      </c>
      <c r="F1587" t="s">
        <v>25199</v>
      </c>
      <c r="G1587" t="s">
        <v>74</v>
      </c>
      <c r="H1587" t="s">
        <v>74</v>
      </c>
      <c r="I1587" t="s">
        <v>25198</v>
      </c>
      <c r="J1587" t="s">
        <v>25197</v>
      </c>
      <c r="K1587" t="s">
        <v>74</v>
      </c>
      <c r="L1587" t="s">
        <v>74</v>
      </c>
      <c r="M1587" t="s">
        <v>78</v>
      </c>
      <c r="N1587" t="s">
        <v>79</v>
      </c>
      <c r="O1587" t="s">
        <v>74</v>
      </c>
      <c r="P1587" t="s">
        <v>74</v>
      </c>
      <c r="Q1587" t="s">
        <v>74</v>
      </c>
      <c r="R1587" t="s">
        <v>74</v>
      </c>
      <c r="S1587" t="s">
        <v>74</v>
      </c>
      <c r="T1587" t="s">
        <v>25196</v>
      </c>
      <c r="U1587" t="s">
        <v>25195</v>
      </c>
      <c r="V1587" t="s">
        <v>25194</v>
      </c>
      <c r="W1587" t="s">
        <v>25193</v>
      </c>
      <c r="X1587" t="s">
        <v>25192</v>
      </c>
      <c r="Y1587" t="s">
        <v>25191</v>
      </c>
      <c r="Z1587" t="s">
        <v>25190</v>
      </c>
      <c r="AA1587" t="s">
        <v>74</v>
      </c>
      <c r="AB1587" t="s">
        <v>25189</v>
      </c>
      <c r="AC1587" t="s">
        <v>74</v>
      </c>
      <c r="AD1587" t="s">
        <v>74</v>
      </c>
      <c r="AE1587" t="s">
        <v>74</v>
      </c>
      <c r="AF1587" t="s">
        <v>74</v>
      </c>
      <c r="AG1587">
        <v>66</v>
      </c>
      <c r="AH1587">
        <v>1</v>
      </c>
      <c r="AI1587">
        <v>2</v>
      </c>
      <c r="AJ1587">
        <v>0</v>
      </c>
      <c r="AK1587">
        <v>19</v>
      </c>
      <c r="AL1587" t="s">
        <v>757</v>
      </c>
      <c r="AM1587" t="s">
        <v>758</v>
      </c>
      <c r="AN1587" t="s">
        <v>759</v>
      </c>
      <c r="AO1587" t="s">
        <v>25188</v>
      </c>
      <c r="AP1587" t="s">
        <v>25187</v>
      </c>
      <c r="AQ1587" t="s">
        <v>74</v>
      </c>
      <c r="AR1587" t="s">
        <v>25186</v>
      </c>
      <c r="AS1587" t="s">
        <v>25185</v>
      </c>
      <c r="AT1587" t="s">
        <v>1540</v>
      </c>
      <c r="AU1587">
        <v>2022</v>
      </c>
      <c r="AV1587">
        <v>37</v>
      </c>
      <c r="AW1587">
        <v>2</v>
      </c>
      <c r="AX1587" t="s">
        <v>74</v>
      </c>
      <c r="AY1587" t="s">
        <v>74</v>
      </c>
      <c r="AZ1587" t="s">
        <v>74</v>
      </c>
      <c r="BA1587" t="s">
        <v>74</v>
      </c>
      <c r="BB1587">
        <v>232</v>
      </c>
      <c r="BC1587">
        <v>249</v>
      </c>
      <c r="BD1587">
        <v>8861099211054024</v>
      </c>
      <c r="BE1587" t="s">
        <v>25184</v>
      </c>
      <c r="BF1587" t="str">
        <f>HYPERLINK("http://dx.doi.org/10.1177/08861099211054024","http://dx.doi.org/10.1177/08861099211054024")</f>
        <v>http://dx.doi.org/10.1177/08861099211054024</v>
      </c>
      <c r="BG1587" t="s">
        <v>74</v>
      </c>
      <c r="BH1587" t="s">
        <v>6817</v>
      </c>
      <c r="BI1587">
        <v>18</v>
      </c>
      <c r="BJ1587" t="s">
        <v>25183</v>
      </c>
      <c r="BK1587" t="s">
        <v>99</v>
      </c>
      <c r="BL1587" t="s">
        <v>25183</v>
      </c>
      <c r="BM1587" t="s">
        <v>25182</v>
      </c>
      <c r="BN1587">
        <v>35514794</v>
      </c>
      <c r="BO1587" t="s">
        <v>1696</v>
      </c>
      <c r="BP1587" t="s">
        <v>74</v>
      </c>
      <c r="BQ1587" t="s">
        <v>74</v>
      </c>
      <c r="BR1587" t="s">
        <v>102</v>
      </c>
      <c r="BS1587" t="s">
        <v>25181</v>
      </c>
      <c r="BT1587" t="str">
        <f>HYPERLINK("https%3A%2F%2Fwww.webofscience.com%2Fwos%2Fwoscc%2Ffull-record%2FWOS:000720365600001","View Full Record in Web of Science")</f>
        <v>View Full Record in Web of Science</v>
      </c>
    </row>
    <row r="1588" spans="1:72" x14ac:dyDescent="0.25">
      <c r="A1588" t="s">
        <v>72</v>
      </c>
      <c r="B1588" t="s">
        <v>25180</v>
      </c>
      <c r="C1588" t="s">
        <v>74</v>
      </c>
      <c r="D1588" t="s">
        <v>74</v>
      </c>
      <c r="E1588" t="s">
        <v>74</v>
      </c>
      <c r="F1588" t="s">
        <v>25179</v>
      </c>
      <c r="G1588" t="s">
        <v>74</v>
      </c>
      <c r="H1588" t="s">
        <v>74</v>
      </c>
      <c r="I1588" t="s">
        <v>25178</v>
      </c>
      <c r="J1588" t="s">
        <v>25177</v>
      </c>
      <c r="K1588" t="s">
        <v>74</v>
      </c>
      <c r="L1588" t="s">
        <v>74</v>
      </c>
      <c r="M1588" t="s">
        <v>5879</v>
      </c>
      <c r="N1588" t="s">
        <v>79</v>
      </c>
      <c r="O1588" t="s">
        <v>74</v>
      </c>
      <c r="P1588" t="s">
        <v>74</v>
      </c>
      <c r="Q1588" t="s">
        <v>74</v>
      </c>
      <c r="R1588" t="s">
        <v>74</v>
      </c>
      <c r="S1588" t="s">
        <v>74</v>
      </c>
      <c r="T1588" t="s">
        <v>25176</v>
      </c>
      <c r="U1588" t="s">
        <v>74</v>
      </c>
      <c r="V1588" t="s">
        <v>25175</v>
      </c>
      <c r="W1588" t="s">
        <v>25174</v>
      </c>
      <c r="X1588" t="s">
        <v>25173</v>
      </c>
      <c r="Y1588" t="s">
        <v>25172</v>
      </c>
      <c r="Z1588" t="s">
        <v>25171</v>
      </c>
      <c r="AA1588" t="s">
        <v>25170</v>
      </c>
      <c r="AB1588" t="s">
        <v>74</v>
      </c>
      <c r="AC1588" t="s">
        <v>74</v>
      </c>
      <c r="AD1588" t="s">
        <v>74</v>
      </c>
      <c r="AE1588" t="s">
        <v>74</v>
      </c>
      <c r="AF1588" t="s">
        <v>74</v>
      </c>
      <c r="AG1588">
        <v>9</v>
      </c>
      <c r="AH1588">
        <v>0</v>
      </c>
      <c r="AI1588">
        <v>0</v>
      </c>
      <c r="AJ1588">
        <v>0</v>
      </c>
      <c r="AK1588">
        <v>5</v>
      </c>
      <c r="AL1588" t="s">
        <v>25169</v>
      </c>
      <c r="AM1588" t="s">
        <v>25168</v>
      </c>
      <c r="AN1588" t="s">
        <v>25167</v>
      </c>
      <c r="AO1588" t="s">
        <v>25166</v>
      </c>
      <c r="AP1588" t="s">
        <v>25165</v>
      </c>
      <c r="AQ1588" t="s">
        <v>74</v>
      </c>
      <c r="AR1588" t="s">
        <v>25164</v>
      </c>
      <c r="AS1588" t="s">
        <v>25163</v>
      </c>
      <c r="AT1588" t="s">
        <v>74</v>
      </c>
      <c r="AU1588">
        <v>2017</v>
      </c>
      <c r="AV1588" t="s">
        <v>74</v>
      </c>
      <c r="AW1588">
        <v>5</v>
      </c>
      <c r="AX1588" t="s">
        <v>74</v>
      </c>
      <c r="AY1588" t="s">
        <v>74</v>
      </c>
      <c r="AZ1588" t="s">
        <v>74</v>
      </c>
      <c r="BA1588" t="s">
        <v>74</v>
      </c>
      <c r="BB1588">
        <v>293</v>
      </c>
      <c r="BC1588">
        <v>302</v>
      </c>
      <c r="BD1588" t="s">
        <v>74</v>
      </c>
      <c r="BE1588" t="s">
        <v>74</v>
      </c>
      <c r="BF1588" t="s">
        <v>74</v>
      </c>
      <c r="BG1588" t="s">
        <v>74</v>
      </c>
      <c r="BH1588" t="s">
        <v>74</v>
      </c>
      <c r="BI1588">
        <v>10</v>
      </c>
      <c r="BJ1588" t="s">
        <v>182</v>
      </c>
      <c r="BK1588" t="s">
        <v>313</v>
      </c>
      <c r="BL1588" t="s">
        <v>184</v>
      </c>
      <c r="BM1588" t="s">
        <v>25162</v>
      </c>
      <c r="BN1588" t="s">
        <v>74</v>
      </c>
      <c r="BO1588" t="s">
        <v>74</v>
      </c>
      <c r="BP1588" t="s">
        <v>74</v>
      </c>
      <c r="BQ1588" t="s">
        <v>74</v>
      </c>
      <c r="BR1588" t="s">
        <v>102</v>
      </c>
      <c r="BS1588" t="s">
        <v>25161</v>
      </c>
      <c r="BT1588" t="str">
        <f>HYPERLINK("https%3A%2F%2Fwww.webofscience.com%2Fwos%2Fwoscc%2Ffull-record%2FWOS:000409484200023","View Full Record in Web of Science")</f>
        <v>View Full Record in Web of Science</v>
      </c>
    </row>
    <row r="1589" spans="1:72" x14ac:dyDescent="0.25">
      <c r="A1589" t="s">
        <v>72</v>
      </c>
      <c r="B1589" t="s">
        <v>25160</v>
      </c>
      <c r="C1589" t="s">
        <v>74</v>
      </c>
      <c r="D1589" t="s">
        <v>74</v>
      </c>
      <c r="E1589" t="s">
        <v>74</v>
      </c>
      <c r="F1589" t="s">
        <v>25159</v>
      </c>
      <c r="G1589" t="s">
        <v>74</v>
      </c>
      <c r="H1589" t="s">
        <v>74</v>
      </c>
      <c r="I1589" t="s">
        <v>25158</v>
      </c>
      <c r="J1589" t="s">
        <v>12226</v>
      </c>
      <c r="K1589" t="s">
        <v>74</v>
      </c>
      <c r="L1589" t="s">
        <v>74</v>
      </c>
      <c r="M1589" t="s">
        <v>78</v>
      </c>
      <c r="N1589" t="s">
        <v>2335</v>
      </c>
      <c r="O1589" t="s">
        <v>74</v>
      </c>
      <c r="P1589" t="s">
        <v>74</v>
      </c>
      <c r="Q1589" t="s">
        <v>74</v>
      </c>
      <c r="R1589" t="s">
        <v>74</v>
      </c>
      <c r="S1589" t="s">
        <v>74</v>
      </c>
      <c r="T1589" t="s">
        <v>74</v>
      </c>
      <c r="U1589" t="s">
        <v>74</v>
      </c>
      <c r="V1589" t="s">
        <v>74</v>
      </c>
      <c r="W1589" t="s">
        <v>25157</v>
      </c>
      <c r="X1589" t="s">
        <v>25156</v>
      </c>
      <c r="Y1589" t="s">
        <v>25155</v>
      </c>
      <c r="Z1589" t="s">
        <v>25154</v>
      </c>
      <c r="AA1589" t="s">
        <v>25153</v>
      </c>
      <c r="AB1589" t="s">
        <v>25152</v>
      </c>
      <c r="AC1589" t="s">
        <v>74</v>
      </c>
      <c r="AD1589" t="s">
        <v>74</v>
      </c>
      <c r="AE1589" t="s">
        <v>74</v>
      </c>
      <c r="AF1589" t="s">
        <v>74</v>
      </c>
      <c r="AG1589">
        <v>16</v>
      </c>
      <c r="AH1589">
        <v>4</v>
      </c>
      <c r="AI1589">
        <v>6</v>
      </c>
      <c r="AJ1589">
        <v>3</v>
      </c>
      <c r="AK1589">
        <v>4</v>
      </c>
      <c r="AL1589" t="s">
        <v>4083</v>
      </c>
      <c r="AM1589" t="s">
        <v>4084</v>
      </c>
      <c r="AN1589" t="s">
        <v>4085</v>
      </c>
      <c r="AO1589" t="s">
        <v>74</v>
      </c>
      <c r="AP1589" t="s">
        <v>12237</v>
      </c>
      <c r="AQ1589" t="s">
        <v>74</v>
      </c>
      <c r="AR1589" t="s">
        <v>25151</v>
      </c>
      <c r="AS1589" t="s">
        <v>12239</v>
      </c>
      <c r="AT1589" t="s">
        <v>891</v>
      </c>
      <c r="AU1589">
        <v>2023</v>
      </c>
      <c r="AV1589">
        <v>9</v>
      </c>
      <c r="AW1589" t="s">
        <v>74</v>
      </c>
      <c r="AX1589" t="s">
        <v>74</v>
      </c>
      <c r="AY1589" t="s">
        <v>74</v>
      </c>
      <c r="AZ1589" t="s">
        <v>74</v>
      </c>
      <c r="BA1589" t="s">
        <v>74</v>
      </c>
      <c r="BB1589" t="s">
        <v>74</v>
      </c>
      <c r="BC1589" t="s">
        <v>74</v>
      </c>
      <c r="BD1589" t="s">
        <v>74</v>
      </c>
      <c r="BE1589" t="s">
        <v>25150</v>
      </c>
      <c r="BF1589" t="str">
        <f>HYPERLINK("http://dx.doi.org/10.1016/j.jfds.2024.100115","http://dx.doi.org/10.1016/j.jfds.2024.100115")</f>
        <v>http://dx.doi.org/10.1016/j.jfds.2024.100115</v>
      </c>
      <c r="BG1589" t="s">
        <v>74</v>
      </c>
      <c r="BH1589" t="s">
        <v>74</v>
      </c>
      <c r="BI1589">
        <v>8</v>
      </c>
      <c r="BJ1589" t="s">
        <v>210</v>
      </c>
      <c r="BK1589" t="s">
        <v>313</v>
      </c>
      <c r="BL1589" t="s">
        <v>100</v>
      </c>
      <c r="BM1589" t="s">
        <v>25149</v>
      </c>
      <c r="BN1589" t="s">
        <v>74</v>
      </c>
      <c r="BO1589" t="s">
        <v>212</v>
      </c>
      <c r="BP1589" t="s">
        <v>74</v>
      </c>
      <c r="BQ1589" t="s">
        <v>74</v>
      </c>
      <c r="BR1589" t="s">
        <v>102</v>
      </c>
      <c r="BS1589" t="s">
        <v>25148</v>
      </c>
      <c r="BT1589" t="str">
        <f>HYPERLINK("https%3A%2F%2Fwww.webofscience.com%2Fwos%2Fwoscc%2Ffull-record%2FWOS:001302223100001","View Full Record in Web of Science")</f>
        <v>View Full Record in Web of Science</v>
      </c>
    </row>
    <row r="1590" spans="1:72" x14ac:dyDescent="0.25">
      <c r="A1590" t="s">
        <v>72</v>
      </c>
      <c r="B1590" t="s">
        <v>25147</v>
      </c>
      <c r="C1590" t="s">
        <v>74</v>
      </c>
      <c r="D1590" t="s">
        <v>74</v>
      </c>
      <c r="E1590" t="s">
        <v>74</v>
      </c>
      <c r="F1590" t="s">
        <v>25146</v>
      </c>
      <c r="G1590" t="s">
        <v>74</v>
      </c>
      <c r="H1590" t="s">
        <v>74</v>
      </c>
      <c r="I1590" t="s">
        <v>25145</v>
      </c>
      <c r="J1590" t="s">
        <v>2809</v>
      </c>
      <c r="K1590" t="s">
        <v>74</v>
      </c>
      <c r="L1590" t="s">
        <v>74</v>
      </c>
      <c r="M1590" t="s">
        <v>78</v>
      </c>
      <c r="N1590" t="s">
        <v>79</v>
      </c>
      <c r="O1590" t="s">
        <v>74</v>
      </c>
      <c r="P1590" t="s">
        <v>74</v>
      </c>
      <c r="Q1590" t="s">
        <v>74</v>
      </c>
      <c r="R1590" t="s">
        <v>74</v>
      </c>
      <c r="S1590" t="s">
        <v>74</v>
      </c>
      <c r="T1590" t="s">
        <v>74</v>
      </c>
      <c r="U1590" t="s">
        <v>1369</v>
      </c>
      <c r="V1590" t="s">
        <v>25144</v>
      </c>
      <c r="W1590" t="s">
        <v>25143</v>
      </c>
      <c r="X1590" t="s">
        <v>222</v>
      </c>
      <c r="Y1590" t="s">
        <v>25142</v>
      </c>
      <c r="Z1590" t="s">
        <v>25141</v>
      </c>
      <c r="AA1590" t="s">
        <v>74</v>
      </c>
      <c r="AB1590" t="s">
        <v>25140</v>
      </c>
      <c r="AC1590" t="s">
        <v>74</v>
      </c>
      <c r="AD1590" t="s">
        <v>74</v>
      </c>
      <c r="AE1590" t="s">
        <v>74</v>
      </c>
      <c r="AF1590" t="s">
        <v>74</v>
      </c>
      <c r="AG1590">
        <v>48</v>
      </c>
      <c r="AH1590">
        <v>37</v>
      </c>
      <c r="AI1590">
        <v>57</v>
      </c>
      <c r="AJ1590">
        <v>1</v>
      </c>
      <c r="AK1590">
        <v>18</v>
      </c>
      <c r="AL1590" t="s">
        <v>479</v>
      </c>
      <c r="AM1590" t="s">
        <v>480</v>
      </c>
      <c r="AN1590" t="s">
        <v>481</v>
      </c>
      <c r="AO1590" t="s">
        <v>2816</v>
      </c>
      <c r="AP1590" t="s">
        <v>2817</v>
      </c>
      <c r="AQ1590" t="s">
        <v>74</v>
      </c>
      <c r="AR1590" t="s">
        <v>2818</v>
      </c>
      <c r="AS1590" t="s">
        <v>2819</v>
      </c>
      <c r="AT1590" t="s">
        <v>698</v>
      </c>
      <c r="AU1590">
        <v>2019</v>
      </c>
      <c r="AV1590">
        <v>53</v>
      </c>
      <c r="AW1590">
        <v>3</v>
      </c>
      <c r="AX1590" t="s">
        <v>74</v>
      </c>
      <c r="AY1590" t="s">
        <v>74</v>
      </c>
      <c r="AZ1590" t="s">
        <v>441</v>
      </c>
      <c r="BA1590" t="s">
        <v>74</v>
      </c>
      <c r="BB1590">
        <v>731</v>
      </c>
      <c r="BC1590">
        <v>769</v>
      </c>
      <c r="BD1590" t="s">
        <v>74</v>
      </c>
      <c r="BE1590" t="s">
        <v>25139</v>
      </c>
      <c r="BF1590" t="str">
        <f>HYPERLINK("http://dx.doi.org/10.1111/joca.12242","http://dx.doi.org/10.1111/joca.12242")</f>
        <v>http://dx.doi.org/10.1111/joca.12242</v>
      </c>
      <c r="BG1590" t="s">
        <v>74</v>
      </c>
      <c r="BH1590" t="s">
        <v>74</v>
      </c>
      <c r="BI1590">
        <v>39</v>
      </c>
      <c r="BJ1590" t="s">
        <v>1453</v>
      </c>
      <c r="BK1590" t="s">
        <v>99</v>
      </c>
      <c r="BL1590" t="s">
        <v>100</v>
      </c>
      <c r="BM1590" t="s">
        <v>25138</v>
      </c>
      <c r="BN1590" t="s">
        <v>74</v>
      </c>
      <c r="BO1590" t="s">
        <v>74</v>
      </c>
      <c r="BP1590" t="s">
        <v>74</v>
      </c>
      <c r="BQ1590" t="s">
        <v>74</v>
      </c>
      <c r="BR1590" t="s">
        <v>102</v>
      </c>
      <c r="BS1590" t="s">
        <v>25137</v>
      </c>
      <c r="BT1590" t="str">
        <f>HYPERLINK("https%3A%2F%2Fwww.webofscience.com%2Fwos%2Fwoscc%2Ffull-record%2FWOS:000486210700004","View Full Record in Web of Science")</f>
        <v>View Full Record in Web of Science</v>
      </c>
    </row>
    <row r="1591" spans="1:72" x14ac:dyDescent="0.25">
      <c r="A1591" t="s">
        <v>72</v>
      </c>
      <c r="B1591" t="s">
        <v>25136</v>
      </c>
      <c r="C1591" t="s">
        <v>74</v>
      </c>
      <c r="D1591" t="s">
        <v>74</v>
      </c>
      <c r="E1591" t="s">
        <v>74</v>
      </c>
      <c r="F1591" t="s">
        <v>25135</v>
      </c>
      <c r="G1591" t="s">
        <v>74</v>
      </c>
      <c r="H1591" t="s">
        <v>74</v>
      </c>
      <c r="I1591" t="s">
        <v>25134</v>
      </c>
      <c r="J1591" t="s">
        <v>836</v>
      </c>
      <c r="K1591" t="s">
        <v>74</v>
      </c>
      <c r="L1591" t="s">
        <v>74</v>
      </c>
      <c r="M1591" t="s">
        <v>78</v>
      </c>
      <c r="N1591" t="s">
        <v>1766</v>
      </c>
      <c r="O1591" t="s">
        <v>74</v>
      </c>
      <c r="P1591" t="s">
        <v>74</v>
      </c>
      <c r="Q1591" t="s">
        <v>74</v>
      </c>
      <c r="R1591" t="s">
        <v>74</v>
      </c>
      <c r="S1591" t="s">
        <v>74</v>
      </c>
      <c r="T1591" t="s">
        <v>25133</v>
      </c>
      <c r="U1591" t="s">
        <v>22984</v>
      </c>
      <c r="V1591" t="s">
        <v>25132</v>
      </c>
      <c r="W1591" t="s">
        <v>25131</v>
      </c>
      <c r="X1591" t="s">
        <v>25130</v>
      </c>
      <c r="Y1591" t="s">
        <v>25129</v>
      </c>
      <c r="Z1591" t="s">
        <v>25128</v>
      </c>
      <c r="AA1591" t="s">
        <v>74</v>
      </c>
      <c r="AB1591" t="s">
        <v>25127</v>
      </c>
      <c r="AC1591" t="s">
        <v>25126</v>
      </c>
      <c r="AD1591" t="s">
        <v>25125</v>
      </c>
      <c r="AE1591" t="s">
        <v>25124</v>
      </c>
      <c r="AF1591" t="s">
        <v>74</v>
      </c>
      <c r="AG1591">
        <v>37</v>
      </c>
      <c r="AH1591">
        <v>4</v>
      </c>
      <c r="AI1591">
        <v>4</v>
      </c>
      <c r="AJ1591">
        <v>10</v>
      </c>
      <c r="AK1591">
        <v>19</v>
      </c>
      <c r="AL1591" t="s">
        <v>503</v>
      </c>
      <c r="AM1591" t="s">
        <v>151</v>
      </c>
      <c r="AN1591" t="s">
        <v>504</v>
      </c>
      <c r="AO1591" t="s">
        <v>844</v>
      </c>
      <c r="AP1591" t="s">
        <v>845</v>
      </c>
      <c r="AQ1591" t="s">
        <v>74</v>
      </c>
      <c r="AR1591" t="s">
        <v>846</v>
      </c>
      <c r="AS1591" t="s">
        <v>847</v>
      </c>
      <c r="AT1591" t="s">
        <v>237</v>
      </c>
      <c r="AU1591">
        <v>2025</v>
      </c>
      <c r="AV1591">
        <v>98</v>
      </c>
      <c r="AW1591" t="s">
        <v>74</v>
      </c>
      <c r="AX1591" t="s">
        <v>74</v>
      </c>
      <c r="AY1591" t="s">
        <v>74</v>
      </c>
      <c r="AZ1591" t="s">
        <v>74</v>
      </c>
      <c r="BA1591" t="s">
        <v>74</v>
      </c>
      <c r="BB1591" t="s">
        <v>74</v>
      </c>
      <c r="BC1591" t="s">
        <v>74</v>
      </c>
      <c r="BD1591">
        <v>103894</v>
      </c>
      <c r="BE1591" t="s">
        <v>25123</v>
      </c>
      <c r="BF1591" t="str">
        <f>HYPERLINK("http://dx.doi.org/10.1016/j.irfa.2024.103894","http://dx.doi.org/10.1016/j.irfa.2024.103894")</f>
        <v>http://dx.doi.org/10.1016/j.irfa.2024.103894</v>
      </c>
      <c r="BG1591" t="s">
        <v>74</v>
      </c>
      <c r="BH1591" t="s">
        <v>1737</v>
      </c>
      <c r="BI1591">
        <v>11</v>
      </c>
      <c r="BJ1591" t="s">
        <v>268</v>
      </c>
      <c r="BK1591" t="s">
        <v>99</v>
      </c>
      <c r="BL1591" t="s">
        <v>100</v>
      </c>
      <c r="BM1591" t="s">
        <v>25122</v>
      </c>
      <c r="BN1591" t="s">
        <v>74</v>
      </c>
      <c r="BO1591" t="s">
        <v>74</v>
      </c>
      <c r="BP1591" t="s">
        <v>74</v>
      </c>
      <c r="BQ1591" t="s">
        <v>74</v>
      </c>
      <c r="BR1591" t="s">
        <v>102</v>
      </c>
      <c r="BS1591" t="s">
        <v>25121</v>
      </c>
      <c r="BT1591" t="str">
        <f>HYPERLINK("https%3A%2F%2Fwww.webofscience.com%2Fwos%2Fwoscc%2Ffull-record%2FWOS:001410438200001","View Full Record in Web of Science")</f>
        <v>View Full Record in Web of Science</v>
      </c>
    </row>
    <row r="1592" spans="1:72" x14ac:dyDescent="0.25">
      <c r="A1592" t="s">
        <v>72</v>
      </c>
      <c r="B1592" t="s">
        <v>25120</v>
      </c>
      <c r="C1592" t="s">
        <v>74</v>
      </c>
      <c r="D1592" t="s">
        <v>74</v>
      </c>
      <c r="E1592" t="s">
        <v>74</v>
      </c>
      <c r="F1592" t="s">
        <v>25119</v>
      </c>
      <c r="G1592" t="s">
        <v>74</v>
      </c>
      <c r="H1592" t="s">
        <v>74</v>
      </c>
      <c r="I1592" t="s">
        <v>25118</v>
      </c>
      <c r="J1592" t="s">
        <v>217</v>
      </c>
      <c r="K1592" t="s">
        <v>74</v>
      </c>
      <c r="L1592" t="s">
        <v>74</v>
      </c>
      <c r="M1592" t="s">
        <v>78</v>
      </c>
      <c r="N1592" t="s">
        <v>79</v>
      </c>
      <c r="O1592" t="s">
        <v>74</v>
      </c>
      <c r="P1592" t="s">
        <v>74</v>
      </c>
      <c r="Q1592" t="s">
        <v>74</v>
      </c>
      <c r="R1592" t="s">
        <v>74</v>
      </c>
      <c r="S1592" t="s">
        <v>74</v>
      </c>
      <c r="T1592" t="s">
        <v>25117</v>
      </c>
      <c r="U1592" t="s">
        <v>25116</v>
      </c>
      <c r="V1592" t="s">
        <v>25115</v>
      </c>
      <c r="W1592" t="s">
        <v>25114</v>
      </c>
      <c r="X1592" t="s">
        <v>20438</v>
      </c>
      <c r="Y1592" t="s">
        <v>25113</v>
      </c>
      <c r="Z1592" t="s">
        <v>25112</v>
      </c>
      <c r="AA1592" t="s">
        <v>74</v>
      </c>
      <c r="AB1592" t="s">
        <v>74</v>
      </c>
      <c r="AC1592" t="s">
        <v>74</v>
      </c>
      <c r="AD1592" t="s">
        <v>74</v>
      </c>
      <c r="AE1592" t="s">
        <v>74</v>
      </c>
      <c r="AF1592" t="s">
        <v>74</v>
      </c>
      <c r="AG1592">
        <v>86</v>
      </c>
      <c r="AH1592">
        <v>4</v>
      </c>
      <c r="AI1592">
        <v>11</v>
      </c>
      <c r="AJ1592">
        <v>0</v>
      </c>
      <c r="AK1592">
        <v>35</v>
      </c>
      <c r="AL1592" t="s">
        <v>230</v>
      </c>
      <c r="AM1592" t="s">
        <v>231</v>
      </c>
      <c r="AN1592" t="s">
        <v>232</v>
      </c>
      <c r="AO1592" t="s">
        <v>233</v>
      </c>
      <c r="AP1592" t="s">
        <v>234</v>
      </c>
      <c r="AQ1592" t="s">
        <v>74</v>
      </c>
      <c r="AR1592" t="s">
        <v>235</v>
      </c>
      <c r="AS1592" t="s">
        <v>236</v>
      </c>
      <c r="AT1592" t="s">
        <v>605</v>
      </c>
      <c r="AU1592">
        <v>2013</v>
      </c>
      <c r="AV1592">
        <v>35</v>
      </c>
      <c r="AW1592">
        <v>3</v>
      </c>
      <c r="AX1592" t="s">
        <v>74</v>
      </c>
      <c r="AY1592" t="s">
        <v>74</v>
      </c>
      <c r="AZ1592" t="s">
        <v>74</v>
      </c>
      <c r="BA1592" t="s">
        <v>74</v>
      </c>
      <c r="BB1592">
        <v>402</v>
      </c>
      <c r="BC1592">
        <v>410</v>
      </c>
      <c r="BD1592" t="s">
        <v>74</v>
      </c>
      <c r="BE1592" t="s">
        <v>25111</v>
      </c>
      <c r="BF1592" t="str">
        <f>HYPERLINK("http://dx.doi.org/10.1016/j.childyouth.2012.12.016","http://dx.doi.org/10.1016/j.childyouth.2012.12.016")</f>
        <v>http://dx.doi.org/10.1016/j.childyouth.2012.12.016</v>
      </c>
      <c r="BG1592" t="s">
        <v>74</v>
      </c>
      <c r="BH1592" t="s">
        <v>74</v>
      </c>
      <c r="BI1592">
        <v>9</v>
      </c>
      <c r="BJ1592" t="s">
        <v>240</v>
      </c>
      <c r="BK1592" t="s">
        <v>99</v>
      </c>
      <c r="BL1592" t="s">
        <v>240</v>
      </c>
      <c r="BM1592" t="s">
        <v>25110</v>
      </c>
      <c r="BN1592" t="s">
        <v>74</v>
      </c>
      <c r="BO1592" t="s">
        <v>74</v>
      </c>
      <c r="BP1592" t="s">
        <v>74</v>
      </c>
      <c r="BQ1592" t="s">
        <v>74</v>
      </c>
      <c r="BR1592" t="s">
        <v>102</v>
      </c>
      <c r="BS1592" t="s">
        <v>25109</v>
      </c>
      <c r="BT1592" t="str">
        <f>HYPERLINK("https%3A%2F%2Fwww.webofscience.com%2Fwos%2Fwoscc%2Ffull-record%2FWOS:000315832400005","View Full Record in Web of Science")</f>
        <v>View Full Record in Web of Science</v>
      </c>
    </row>
    <row r="1593" spans="1:72" x14ac:dyDescent="0.25">
      <c r="A1593" t="s">
        <v>72</v>
      </c>
      <c r="B1593" t="s">
        <v>25108</v>
      </c>
      <c r="C1593" t="s">
        <v>74</v>
      </c>
      <c r="D1593" t="s">
        <v>74</v>
      </c>
      <c r="E1593" t="s">
        <v>74</v>
      </c>
      <c r="F1593" t="s">
        <v>25107</v>
      </c>
      <c r="G1593" t="s">
        <v>74</v>
      </c>
      <c r="H1593" t="s">
        <v>74</v>
      </c>
      <c r="I1593" t="s">
        <v>25106</v>
      </c>
      <c r="J1593" t="s">
        <v>9372</v>
      </c>
      <c r="K1593" t="s">
        <v>74</v>
      </c>
      <c r="L1593" t="s">
        <v>74</v>
      </c>
      <c r="M1593" t="s">
        <v>78</v>
      </c>
      <c r="N1593" t="s">
        <v>79</v>
      </c>
      <c r="O1593" t="s">
        <v>74</v>
      </c>
      <c r="P1593" t="s">
        <v>74</v>
      </c>
      <c r="Q1593" t="s">
        <v>74</v>
      </c>
      <c r="R1593" t="s">
        <v>74</v>
      </c>
      <c r="S1593" t="s">
        <v>74</v>
      </c>
      <c r="T1593" t="s">
        <v>25105</v>
      </c>
      <c r="U1593" t="s">
        <v>25104</v>
      </c>
      <c r="V1593" t="s">
        <v>25103</v>
      </c>
      <c r="W1593" t="s">
        <v>25102</v>
      </c>
      <c r="X1593" t="s">
        <v>25101</v>
      </c>
      <c r="Y1593" t="s">
        <v>25100</v>
      </c>
      <c r="Z1593" t="s">
        <v>25099</v>
      </c>
      <c r="AA1593" t="s">
        <v>74</v>
      </c>
      <c r="AB1593" t="s">
        <v>74</v>
      </c>
      <c r="AC1593" t="s">
        <v>74</v>
      </c>
      <c r="AD1593" t="s">
        <v>74</v>
      </c>
      <c r="AE1593" t="s">
        <v>74</v>
      </c>
      <c r="AF1593" t="s">
        <v>74</v>
      </c>
      <c r="AG1593">
        <v>74</v>
      </c>
      <c r="AH1593">
        <v>4</v>
      </c>
      <c r="AI1593">
        <v>5</v>
      </c>
      <c r="AJ1593">
        <v>3</v>
      </c>
      <c r="AK1593">
        <v>8</v>
      </c>
      <c r="AL1593" t="s">
        <v>201</v>
      </c>
      <c r="AM1593" t="s">
        <v>202</v>
      </c>
      <c r="AN1593" t="s">
        <v>203</v>
      </c>
      <c r="AO1593" t="s">
        <v>9384</v>
      </c>
      <c r="AP1593" t="s">
        <v>9385</v>
      </c>
      <c r="AQ1593" t="s">
        <v>74</v>
      </c>
      <c r="AR1593" t="s">
        <v>9386</v>
      </c>
      <c r="AS1593" t="s">
        <v>9387</v>
      </c>
      <c r="AT1593" t="s">
        <v>1159</v>
      </c>
      <c r="AU1593">
        <v>2024</v>
      </c>
      <c r="AV1593">
        <v>72</v>
      </c>
      <c r="AW1593" t="s">
        <v>74</v>
      </c>
      <c r="AX1593" t="s">
        <v>3828</v>
      </c>
      <c r="AY1593" t="s">
        <v>74</v>
      </c>
      <c r="AZ1593" t="s">
        <v>74</v>
      </c>
      <c r="BA1593" t="s">
        <v>74</v>
      </c>
      <c r="BB1593" t="s">
        <v>74</v>
      </c>
      <c r="BC1593" t="s">
        <v>74</v>
      </c>
      <c r="BD1593">
        <v>102525</v>
      </c>
      <c r="BE1593" t="s">
        <v>25098</v>
      </c>
      <c r="BF1593" t="str">
        <f>HYPERLINK("http://dx.doi.org/10.1016/j.ribaf.2024.102525","http://dx.doi.org/10.1016/j.ribaf.2024.102525")</f>
        <v>http://dx.doi.org/10.1016/j.ribaf.2024.102525</v>
      </c>
      <c r="BG1593" t="s">
        <v>74</v>
      </c>
      <c r="BH1593" t="s">
        <v>393</v>
      </c>
      <c r="BI1593">
        <v>13</v>
      </c>
      <c r="BJ1593" t="s">
        <v>268</v>
      </c>
      <c r="BK1593" t="s">
        <v>99</v>
      </c>
      <c r="BL1593" t="s">
        <v>100</v>
      </c>
      <c r="BM1593" t="s">
        <v>25097</v>
      </c>
      <c r="BN1593" t="s">
        <v>74</v>
      </c>
      <c r="BO1593" t="s">
        <v>74</v>
      </c>
      <c r="BP1593" t="s">
        <v>74</v>
      </c>
      <c r="BQ1593" t="s">
        <v>74</v>
      </c>
      <c r="BR1593" t="s">
        <v>102</v>
      </c>
      <c r="BS1593" t="s">
        <v>25096</v>
      </c>
      <c r="BT1593" t="str">
        <f>HYPERLINK("https%3A%2F%2Fwww.webofscience.com%2Fwos%2Fwoscc%2Ffull-record%2FWOS:001301167300001","View Full Record in Web of Science")</f>
        <v>View Full Record in Web of Science</v>
      </c>
    </row>
    <row r="1594" spans="1:72" x14ac:dyDescent="0.25">
      <c r="A1594" t="s">
        <v>72</v>
      </c>
      <c r="B1594" t="s">
        <v>25095</v>
      </c>
      <c r="C1594" t="s">
        <v>74</v>
      </c>
      <c r="D1594" t="s">
        <v>74</v>
      </c>
      <c r="E1594" t="s">
        <v>74</v>
      </c>
      <c r="F1594" t="s">
        <v>25094</v>
      </c>
      <c r="G1594" t="s">
        <v>74</v>
      </c>
      <c r="H1594" t="s">
        <v>74</v>
      </c>
      <c r="I1594" t="s">
        <v>25093</v>
      </c>
      <c r="J1594" t="s">
        <v>4306</v>
      </c>
      <c r="K1594" t="s">
        <v>74</v>
      </c>
      <c r="L1594" t="s">
        <v>74</v>
      </c>
      <c r="M1594" t="s">
        <v>78</v>
      </c>
      <c r="N1594" t="s">
        <v>79</v>
      </c>
      <c r="O1594" t="s">
        <v>74</v>
      </c>
      <c r="P1594" t="s">
        <v>74</v>
      </c>
      <c r="Q1594" t="s">
        <v>74</v>
      </c>
      <c r="R1594" t="s">
        <v>74</v>
      </c>
      <c r="S1594" t="s">
        <v>74</v>
      </c>
      <c r="T1594" t="s">
        <v>25092</v>
      </c>
      <c r="U1594" t="s">
        <v>25091</v>
      </c>
      <c r="V1594" t="s">
        <v>25090</v>
      </c>
      <c r="W1594" t="s">
        <v>25089</v>
      </c>
      <c r="X1594" t="s">
        <v>25088</v>
      </c>
      <c r="Y1594" t="s">
        <v>25087</v>
      </c>
      <c r="Z1594" t="s">
        <v>25086</v>
      </c>
      <c r="AA1594" t="s">
        <v>25085</v>
      </c>
      <c r="AB1594" t="s">
        <v>25084</v>
      </c>
      <c r="AC1594" t="s">
        <v>74</v>
      </c>
      <c r="AD1594" t="s">
        <v>74</v>
      </c>
      <c r="AE1594" t="s">
        <v>74</v>
      </c>
      <c r="AF1594" t="s">
        <v>74</v>
      </c>
      <c r="AG1594">
        <v>120</v>
      </c>
      <c r="AH1594">
        <v>17</v>
      </c>
      <c r="AI1594">
        <v>19</v>
      </c>
      <c r="AJ1594">
        <v>37</v>
      </c>
      <c r="AK1594">
        <v>126</v>
      </c>
      <c r="AL1594" t="s">
        <v>503</v>
      </c>
      <c r="AM1594" t="s">
        <v>151</v>
      </c>
      <c r="AN1594" t="s">
        <v>504</v>
      </c>
      <c r="AO1594" t="s">
        <v>4315</v>
      </c>
      <c r="AP1594" t="s">
        <v>4316</v>
      </c>
      <c r="AQ1594" t="s">
        <v>74</v>
      </c>
      <c r="AR1594" t="s">
        <v>4317</v>
      </c>
      <c r="AS1594" t="s">
        <v>4318</v>
      </c>
      <c r="AT1594" t="s">
        <v>289</v>
      </c>
      <c r="AU1594">
        <v>2024</v>
      </c>
      <c r="AV1594">
        <v>205</v>
      </c>
      <c r="AW1594" t="s">
        <v>74</v>
      </c>
      <c r="AX1594" t="s">
        <v>74</v>
      </c>
      <c r="AY1594" t="s">
        <v>74</v>
      </c>
      <c r="AZ1594" t="s">
        <v>74</v>
      </c>
      <c r="BA1594" t="s">
        <v>74</v>
      </c>
      <c r="BB1594" t="s">
        <v>74</v>
      </c>
      <c r="BC1594" t="s">
        <v>74</v>
      </c>
      <c r="BD1594">
        <v>123491</v>
      </c>
      <c r="BE1594" t="s">
        <v>25083</v>
      </c>
      <c r="BF1594" t="str">
        <f>HYPERLINK("http://dx.doi.org/10.1016/j.techfore.2024.123491","http://dx.doi.org/10.1016/j.techfore.2024.123491")</f>
        <v>http://dx.doi.org/10.1016/j.techfore.2024.123491</v>
      </c>
      <c r="BG1594" t="s">
        <v>74</v>
      </c>
      <c r="BH1594" t="s">
        <v>6256</v>
      </c>
      <c r="BI1594">
        <v>12</v>
      </c>
      <c r="BJ1594" t="s">
        <v>1627</v>
      </c>
      <c r="BK1594" t="s">
        <v>99</v>
      </c>
      <c r="BL1594" t="s">
        <v>1406</v>
      </c>
      <c r="BM1594" t="s">
        <v>25082</v>
      </c>
      <c r="BN1594" t="s">
        <v>74</v>
      </c>
      <c r="BO1594" t="s">
        <v>74</v>
      </c>
      <c r="BP1594" t="s">
        <v>74</v>
      </c>
      <c r="BQ1594" t="s">
        <v>74</v>
      </c>
      <c r="BR1594" t="s">
        <v>102</v>
      </c>
      <c r="BS1594" t="s">
        <v>25081</v>
      </c>
      <c r="BT1594" t="str">
        <f>HYPERLINK("https%3A%2F%2Fwww.webofscience.com%2Fwos%2Fwoscc%2Ffull-record%2FWOS:001257746000001","View Full Record in Web of Science")</f>
        <v>View Full Record in Web of Science</v>
      </c>
    </row>
    <row r="1595" spans="1:72" x14ac:dyDescent="0.25">
      <c r="A1595" t="s">
        <v>72</v>
      </c>
      <c r="B1595" t="s">
        <v>25080</v>
      </c>
      <c r="C1595" t="s">
        <v>74</v>
      </c>
      <c r="D1595" t="s">
        <v>74</v>
      </c>
      <c r="E1595" t="s">
        <v>74</v>
      </c>
      <c r="F1595" t="s">
        <v>25079</v>
      </c>
      <c r="G1595" t="s">
        <v>74</v>
      </c>
      <c r="H1595" t="s">
        <v>74</v>
      </c>
      <c r="I1595" t="s">
        <v>25078</v>
      </c>
      <c r="J1595" t="s">
        <v>25077</v>
      </c>
      <c r="K1595" t="s">
        <v>74</v>
      </c>
      <c r="L1595" t="s">
        <v>74</v>
      </c>
      <c r="M1595" t="s">
        <v>78</v>
      </c>
      <c r="N1595" t="s">
        <v>1766</v>
      </c>
      <c r="O1595" t="s">
        <v>74</v>
      </c>
      <c r="P1595" t="s">
        <v>74</v>
      </c>
      <c r="Q1595" t="s">
        <v>74</v>
      </c>
      <c r="R1595" t="s">
        <v>74</v>
      </c>
      <c r="S1595" t="s">
        <v>74</v>
      </c>
      <c r="T1595" t="s">
        <v>25076</v>
      </c>
      <c r="U1595" t="s">
        <v>74</v>
      </c>
      <c r="V1595" t="s">
        <v>25075</v>
      </c>
      <c r="W1595" t="s">
        <v>25074</v>
      </c>
      <c r="X1595" t="s">
        <v>8791</v>
      </c>
      <c r="Y1595" t="s">
        <v>662</v>
      </c>
      <c r="Z1595" t="s">
        <v>2926</v>
      </c>
      <c r="AA1595" t="s">
        <v>1151</v>
      </c>
      <c r="AB1595" t="s">
        <v>1152</v>
      </c>
      <c r="AC1595" t="s">
        <v>74</v>
      </c>
      <c r="AD1595" t="s">
        <v>74</v>
      </c>
      <c r="AE1595" t="s">
        <v>74</v>
      </c>
      <c r="AF1595" t="s">
        <v>74</v>
      </c>
      <c r="AG1595">
        <v>37</v>
      </c>
      <c r="AH1595">
        <v>6</v>
      </c>
      <c r="AI1595">
        <v>11</v>
      </c>
      <c r="AJ1595">
        <v>0</v>
      </c>
      <c r="AK1595">
        <v>17</v>
      </c>
      <c r="AL1595" t="s">
        <v>332</v>
      </c>
      <c r="AM1595" t="s">
        <v>333</v>
      </c>
      <c r="AN1595" t="s">
        <v>334</v>
      </c>
      <c r="AO1595" t="s">
        <v>25073</v>
      </c>
      <c r="AP1595" t="s">
        <v>25072</v>
      </c>
      <c r="AQ1595" t="s">
        <v>74</v>
      </c>
      <c r="AR1595" t="s">
        <v>25071</v>
      </c>
      <c r="AS1595" t="s">
        <v>25070</v>
      </c>
      <c r="AT1595" t="s">
        <v>1693</v>
      </c>
      <c r="AU1595">
        <v>2021</v>
      </c>
      <c r="AV1595">
        <v>64</v>
      </c>
      <c r="AW1595">
        <v>3</v>
      </c>
      <c r="AX1595" t="s">
        <v>74</v>
      </c>
      <c r="AY1595" t="s">
        <v>74</v>
      </c>
      <c r="AZ1595" t="s">
        <v>74</v>
      </c>
      <c r="BA1595" t="s">
        <v>74</v>
      </c>
      <c r="BB1595">
        <v>238</v>
      </c>
      <c r="BC1595">
        <v>256</v>
      </c>
      <c r="BD1595" t="s">
        <v>74</v>
      </c>
      <c r="BE1595" t="s">
        <v>25069</v>
      </c>
      <c r="BF1595" t="str">
        <f>HYPERLINK("http://dx.doi.org/10.1080/01634372.2020.1865496","http://dx.doi.org/10.1080/01634372.2020.1865496")</f>
        <v>http://dx.doi.org/10.1080/01634372.2020.1865496</v>
      </c>
      <c r="BG1595" t="s">
        <v>74</v>
      </c>
      <c r="BH1595" t="s">
        <v>7236</v>
      </c>
      <c r="BI1595">
        <v>19</v>
      </c>
      <c r="BJ1595" t="s">
        <v>25068</v>
      </c>
      <c r="BK1595" t="s">
        <v>99</v>
      </c>
      <c r="BL1595" t="s">
        <v>25067</v>
      </c>
      <c r="BM1595" t="s">
        <v>25066</v>
      </c>
      <c r="BN1595">
        <v>33353516</v>
      </c>
      <c r="BO1595" t="s">
        <v>74</v>
      </c>
      <c r="BP1595" t="s">
        <v>74</v>
      </c>
      <c r="BQ1595" t="s">
        <v>74</v>
      </c>
      <c r="BR1595" t="s">
        <v>102</v>
      </c>
      <c r="BS1595" t="s">
        <v>25065</v>
      </c>
      <c r="BT1595" t="str">
        <f>HYPERLINK("https%3A%2F%2Fwww.webofscience.com%2Fwos%2Fwoscc%2Ffull-record%2FWOS:000601023800001","View Full Record in Web of Science")</f>
        <v>View Full Record in Web of Science</v>
      </c>
    </row>
    <row r="1596" spans="1:72" x14ac:dyDescent="0.25">
      <c r="A1596" t="s">
        <v>72</v>
      </c>
      <c r="B1596" t="s">
        <v>25064</v>
      </c>
      <c r="C1596" t="s">
        <v>74</v>
      </c>
      <c r="D1596" t="s">
        <v>74</v>
      </c>
      <c r="E1596" t="s">
        <v>74</v>
      </c>
      <c r="F1596" t="s">
        <v>25063</v>
      </c>
      <c r="G1596" t="s">
        <v>74</v>
      </c>
      <c r="H1596" t="s">
        <v>74</v>
      </c>
      <c r="I1596" t="s">
        <v>25062</v>
      </c>
      <c r="J1596" t="s">
        <v>4306</v>
      </c>
      <c r="K1596" t="s">
        <v>74</v>
      </c>
      <c r="L1596" t="s">
        <v>74</v>
      </c>
      <c r="M1596" t="s">
        <v>78</v>
      </c>
      <c r="N1596" t="s">
        <v>79</v>
      </c>
      <c r="O1596" t="s">
        <v>74</v>
      </c>
      <c r="P1596" t="s">
        <v>74</v>
      </c>
      <c r="Q1596" t="s">
        <v>74</v>
      </c>
      <c r="R1596" t="s">
        <v>74</v>
      </c>
      <c r="S1596" t="s">
        <v>74</v>
      </c>
      <c r="T1596" t="s">
        <v>25061</v>
      </c>
      <c r="U1596" t="s">
        <v>25060</v>
      </c>
      <c r="V1596" t="s">
        <v>25059</v>
      </c>
      <c r="W1596" t="s">
        <v>25058</v>
      </c>
      <c r="X1596" t="s">
        <v>25057</v>
      </c>
      <c r="Y1596" t="s">
        <v>25056</v>
      </c>
      <c r="Z1596" t="s">
        <v>25055</v>
      </c>
      <c r="AA1596" t="s">
        <v>25054</v>
      </c>
      <c r="AB1596" t="s">
        <v>25053</v>
      </c>
      <c r="AC1596" t="s">
        <v>74</v>
      </c>
      <c r="AD1596" t="s">
        <v>74</v>
      </c>
      <c r="AE1596" t="s">
        <v>74</v>
      </c>
      <c r="AF1596" t="s">
        <v>74</v>
      </c>
      <c r="AG1596">
        <v>56</v>
      </c>
      <c r="AH1596">
        <v>50</v>
      </c>
      <c r="AI1596">
        <v>60</v>
      </c>
      <c r="AJ1596">
        <v>0</v>
      </c>
      <c r="AK1596">
        <v>32</v>
      </c>
      <c r="AL1596" t="s">
        <v>503</v>
      </c>
      <c r="AM1596" t="s">
        <v>151</v>
      </c>
      <c r="AN1596" t="s">
        <v>504</v>
      </c>
      <c r="AO1596" t="s">
        <v>4315</v>
      </c>
      <c r="AP1596" t="s">
        <v>4316</v>
      </c>
      <c r="AQ1596" t="s">
        <v>74</v>
      </c>
      <c r="AR1596" t="s">
        <v>4317</v>
      </c>
      <c r="AS1596" t="s">
        <v>4318</v>
      </c>
      <c r="AT1596" t="s">
        <v>1652</v>
      </c>
      <c r="AU1596">
        <v>2021</v>
      </c>
      <c r="AV1596">
        <v>167</v>
      </c>
      <c r="AW1596" t="s">
        <v>74</v>
      </c>
      <c r="AX1596" t="s">
        <v>74</v>
      </c>
      <c r="AY1596" t="s">
        <v>74</v>
      </c>
      <c r="AZ1596" t="s">
        <v>74</v>
      </c>
      <c r="BA1596" t="s">
        <v>74</v>
      </c>
      <c r="BB1596" t="s">
        <v>74</v>
      </c>
      <c r="BC1596" t="s">
        <v>74</v>
      </c>
      <c r="BD1596">
        <v>120728</v>
      </c>
      <c r="BE1596" t="s">
        <v>25052</v>
      </c>
      <c r="BF1596" t="str">
        <f>HYPERLINK("http://dx.doi.org/10.1016/j.techfore.2021.120728","http://dx.doi.org/10.1016/j.techfore.2021.120728")</f>
        <v>http://dx.doi.org/10.1016/j.techfore.2021.120728</v>
      </c>
      <c r="BG1596" t="s">
        <v>74</v>
      </c>
      <c r="BH1596" t="s">
        <v>10160</v>
      </c>
      <c r="BI1596">
        <v>13</v>
      </c>
      <c r="BJ1596" t="s">
        <v>1627</v>
      </c>
      <c r="BK1596" t="s">
        <v>99</v>
      </c>
      <c r="BL1596" t="s">
        <v>1406</v>
      </c>
      <c r="BM1596" t="s">
        <v>25051</v>
      </c>
      <c r="BN1596" t="s">
        <v>74</v>
      </c>
      <c r="BO1596" t="s">
        <v>74</v>
      </c>
      <c r="BP1596" t="s">
        <v>74</v>
      </c>
      <c r="BQ1596" t="s">
        <v>74</v>
      </c>
      <c r="BR1596" t="s">
        <v>102</v>
      </c>
      <c r="BS1596" t="s">
        <v>25050</v>
      </c>
      <c r="BT1596" t="str">
        <f>HYPERLINK("https%3A%2F%2Fwww.webofscience.com%2Fwos%2Fwoscc%2Ffull-record%2FWOS:000637775800011","View Full Record in Web of Science")</f>
        <v>View Full Record in Web of Science</v>
      </c>
    </row>
    <row r="1597" spans="1:72" x14ac:dyDescent="0.25">
      <c r="A1597" t="s">
        <v>72</v>
      </c>
      <c r="B1597" t="s">
        <v>25049</v>
      </c>
      <c r="C1597" t="s">
        <v>74</v>
      </c>
      <c r="D1597" t="s">
        <v>74</v>
      </c>
      <c r="E1597" t="s">
        <v>74</v>
      </c>
      <c r="F1597" t="s">
        <v>25048</v>
      </c>
      <c r="G1597" t="s">
        <v>74</v>
      </c>
      <c r="H1597" t="s">
        <v>74</v>
      </c>
      <c r="I1597" t="s">
        <v>25047</v>
      </c>
      <c r="J1597" t="s">
        <v>729</v>
      </c>
      <c r="K1597" t="s">
        <v>74</v>
      </c>
      <c r="L1597" t="s">
        <v>74</v>
      </c>
      <c r="M1597" t="s">
        <v>78</v>
      </c>
      <c r="N1597" t="s">
        <v>79</v>
      </c>
      <c r="O1597" t="s">
        <v>74</v>
      </c>
      <c r="P1597" t="s">
        <v>74</v>
      </c>
      <c r="Q1597" t="s">
        <v>74</v>
      </c>
      <c r="R1597" t="s">
        <v>74</v>
      </c>
      <c r="S1597" t="s">
        <v>74</v>
      </c>
      <c r="T1597" t="s">
        <v>25046</v>
      </c>
      <c r="U1597" t="s">
        <v>25045</v>
      </c>
      <c r="V1597" t="s">
        <v>25044</v>
      </c>
      <c r="W1597" t="s">
        <v>25043</v>
      </c>
      <c r="X1597" t="s">
        <v>25042</v>
      </c>
      <c r="Y1597" t="s">
        <v>25041</v>
      </c>
      <c r="Z1597" t="s">
        <v>25040</v>
      </c>
      <c r="AA1597" t="s">
        <v>25039</v>
      </c>
      <c r="AB1597" t="s">
        <v>25038</v>
      </c>
      <c r="AC1597" t="s">
        <v>74</v>
      </c>
      <c r="AD1597" t="s">
        <v>74</v>
      </c>
      <c r="AE1597" t="s">
        <v>74</v>
      </c>
      <c r="AF1597" t="s">
        <v>74</v>
      </c>
      <c r="AG1597">
        <v>98</v>
      </c>
      <c r="AH1597">
        <v>26</v>
      </c>
      <c r="AI1597">
        <v>36</v>
      </c>
      <c r="AJ1597">
        <v>0</v>
      </c>
      <c r="AK1597">
        <v>64</v>
      </c>
      <c r="AL1597" t="s">
        <v>479</v>
      </c>
      <c r="AM1597" t="s">
        <v>480</v>
      </c>
      <c r="AN1597" t="s">
        <v>481</v>
      </c>
      <c r="AO1597" t="s">
        <v>739</v>
      </c>
      <c r="AP1597" t="s">
        <v>740</v>
      </c>
      <c r="AQ1597" t="s">
        <v>74</v>
      </c>
      <c r="AR1597" t="s">
        <v>741</v>
      </c>
      <c r="AS1597" t="s">
        <v>742</v>
      </c>
      <c r="AT1597" t="s">
        <v>1159</v>
      </c>
      <c r="AU1597">
        <v>2023</v>
      </c>
      <c r="AV1597">
        <v>28</v>
      </c>
      <c r="AW1597">
        <v>4</v>
      </c>
      <c r="AX1597" t="s">
        <v>74</v>
      </c>
      <c r="AY1597" t="s">
        <v>74</v>
      </c>
      <c r="AZ1597" t="s">
        <v>74</v>
      </c>
      <c r="BA1597" t="s">
        <v>74</v>
      </c>
      <c r="BB1597">
        <v>3552</v>
      </c>
      <c r="BC1597">
        <v>3573</v>
      </c>
      <c r="BD1597" t="s">
        <v>74</v>
      </c>
      <c r="BE1597" t="s">
        <v>25037</v>
      </c>
      <c r="BF1597" t="str">
        <f>HYPERLINK("http://dx.doi.org/10.1002/ijfe.2607","http://dx.doi.org/10.1002/ijfe.2607")</f>
        <v>http://dx.doi.org/10.1002/ijfe.2607</v>
      </c>
      <c r="BG1597" t="s">
        <v>74</v>
      </c>
      <c r="BH1597" t="s">
        <v>767</v>
      </c>
      <c r="BI1597">
        <v>22</v>
      </c>
      <c r="BJ1597" t="s">
        <v>268</v>
      </c>
      <c r="BK1597" t="s">
        <v>99</v>
      </c>
      <c r="BL1597" t="s">
        <v>100</v>
      </c>
      <c r="BM1597" t="s">
        <v>25036</v>
      </c>
      <c r="BN1597" t="s">
        <v>74</v>
      </c>
      <c r="BO1597" t="s">
        <v>74</v>
      </c>
      <c r="BP1597" t="s">
        <v>74</v>
      </c>
      <c r="BQ1597" t="s">
        <v>74</v>
      </c>
      <c r="BR1597" t="s">
        <v>102</v>
      </c>
      <c r="BS1597" t="s">
        <v>25035</v>
      </c>
      <c r="BT1597" t="str">
        <f>HYPERLINK("https%3A%2F%2Fwww.webofscience.com%2Fwos%2Fwoscc%2Ffull-record%2FWOS:000769922400001","View Full Record in Web of Science")</f>
        <v>View Full Record in Web of Science</v>
      </c>
    </row>
    <row r="1598" spans="1:72" x14ac:dyDescent="0.25">
      <c r="A1598" t="s">
        <v>72</v>
      </c>
      <c r="B1598" t="s">
        <v>25034</v>
      </c>
      <c r="C1598" t="s">
        <v>74</v>
      </c>
      <c r="D1598" t="s">
        <v>74</v>
      </c>
      <c r="E1598" t="s">
        <v>74</v>
      </c>
      <c r="F1598" t="s">
        <v>25033</v>
      </c>
      <c r="G1598" t="s">
        <v>74</v>
      </c>
      <c r="H1598" t="s">
        <v>74</v>
      </c>
      <c r="I1598" t="s">
        <v>25032</v>
      </c>
      <c r="J1598" t="s">
        <v>1143</v>
      </c>
      <c r="K1598" t="s">
        <v>74</v>
      </c>
      <c r="L1598" t="s">
        <v>74</v>
      </c>
      <c r="M1598" t="s">
        <v>78</v>
      </c>
      <c r="N1598" t="s">
        <v>79</v>
      </c>
      <c r="O1598" t="s">
        <v>74</v>
      </c>
      <c r="P1598" t="s">
        <v>74</v>
      </c>
      <c r="Q1598" t="s">
        <v>74</v>
      </c>
      <c r="R1598" t="s">
        <v>74</v>
      </c>
      <c r="S1598" t="s">
        <v>74</v>
      </c>
      <c r="T1598" t="s">
        <v>25031</v>
      </c>
      <c r="U1598" t="s">
        <v>25030</v>
      </c>
      <c r="V1598" t="s">
        <v>25029</v>
      </c>
      <c r="W1598" t="s">
        <v>25028</v>
      </c>
      <c r="X1598" t="s">
        <v>25027</v>
      </c>
      <c r="Y1598" t="s">
        <v>25026</v>
      </c>
      <c r="Z1598" t="s">
        <v>25025</v>
      </c>
      <c r="AA1598" t="s">
        <v>25024</v>
      </c>
      <c r="AB1598" t="s">
        <v>25023</v>
      </c>
      <c r="AC1598" t="s">
        <v>25022</v>
      </c>
      <c r="AD1598" t="s">
        <v>25021</v>
      </c>
      <c r="AE1598" t="s">
        <v>25020</v>
      </c>
      <c r="AF1598" t="s">
        <v>74</v>
      </c>
      <c r="AG1598">
        <v>72</v>
      </c>
      <c r="AH1598">
        <v>59</v>
      </c>
      <c r="AI1598">
        <v>81</v>
      </c>
      <c r="AJ1598">
        <v>2</v>
      </c>
      <c r="AK1598">
        <v>66</v>
      </c>
      <c r="AL1598" t="s">
        <v>385</v>
      </c>
      <c r="AM1598" t="s">
        <v>1153</v>
      </c>
      <c r="AN1598" t="s">
        <v>1154</v>
      </c>
      <c r="AO1598" t="s">
        <v>1155</v>
      </c>
      <c r="AP1598" t="s">
        <v>1156</v>
      </c>
      <c r="AQ1598" t="s">
        <v>74</v>
      </c>
      <c r="AR1598" t="s">
        <v>1157</v>
      </c>
      <c r="AS1598" t="s">
        <v>1158</v>
      </c>
      <c r="AT1598" t="s">
        <v>124</v>
      </c>
      <c r="AU1598">
        <v>2021</v>
      </c>
      <c r="AV1598">
        <v>158</v>
      </c>
      <c r="AW1598">
        <v>3</v>
      </c>
      <c r="AX1598" t="s">
        <v>74</v>
      </c>
      <c r="AY1598" t="s">
        <v>74</v>
      </c>
      <c r="AZ1598" t="s">
        <v>74</v>
      </c>
      <c r="BA1598" t="s">
        <v>74</v>
      </c>
      <c r="BB1598">
        <v>889</v>
      </c>
      <c r="BC1598">
        <v>925</v>
      </c>
      <c r="BD1598" t="s">
        <v>74</v>
      </c>
      <c r="BE1598" t="s">
        <v>25019</v>
      </c>
      <c r="BF1598" t="str">
        <f>HYPERLINK("http://dx.doi.org/10.1007/s11205-021-02730-7","http://dx.doi.org/10.1007/s11205-021-02730-7")</f>
        <v>http://dx.doi.org/10.1007/s11205-021-02730-7</v>
      </c>
      <c r="BG1598" t="s">
        <v>74</v>
      </c>
      <c r="BH1598" t="s">
        <v>11242</v>
      </c>
      <c r="BI1598">
        <v>37</v>
      </c>
      <c r="BJ1598" t="s">
        <v>1161</v>
      </c>
      <c r="BK1598" t="s">
        <v>99</v>
      </c>
      <c r="BL1598" t="s">
        <v>1162</v>
      </c>
      <c r="BM1598" t="s">
        <v>25018</v>
      </c>
      <c r="BN1598">
        <v>34127874</v>
      </c>
      <c r="BO1598" t="s">
        <v>3694</v>
      </c>
      <c r="BP1598" t="s">
        <v>74</v>
      </c>
      <c r="BQ1598" t="s">
        <v>74</v>
      </c>
      <c r="BR1598" t="s">
        <v>102</v>
      </c>
      <c r="BS1598" t="s">
        <v>25017</v>
      </c>
      <c r="BT1598" t="str">
        <f>HYPERLINK("https%3A%2F%2Fwww.webofscience.com%2Fwos%2Fwoscc%2Ffull-record%2FWOS:000659421100001","View Full Record in Web of Science")</f>
        <v>View Full Record in Web of Science</v>
      </c>
    </row>
    <row r="1599" spans="1:72" x14ac:dyDescent="0.25">
      <c r="A1599" t="s">
        <v>72</v>
      </c>
      <c r="B1599" t="s">
        <v>1140</v>
      </c>
      <c r="C1599" t="s">
        <v>74</v>
      </c>
      <c r="D1599" t="s">
        <v>74</v>
      </c>
      <c r="E1599" t="s">
        <v>74</v>
      </c>
      <c r="F1599" t="s">
        <v>7315</v>
      </c>
      <c r="G1599" t="s">
        <v>74</v>
      </c>
      <c r="H1599" t="s">
        <v>74</v>
      </c>
      <c r="I1599" t="s">
        <v>25016</v>
      </c>
      <c r="J1599" t="s">
        <v>2137</v>
      </c>
      <c r="K1599" t="s">
        <v>74</v>
      </c>
      <c r="L1599" t="s">
        <v>74</v>
      </c>
      <c r="M1599" t="s">
        <v>78</v>
      </c>
      <c r="N1599" t="s">
        <v>79</v>
      </c>
      <c r="O1599" t="s">
        <v>74</v>
      </c>
      <c r="P1599" t="s">
        <v>74</v>
      </c>
      <c r="Q1599" t="s">
        <v>74</v>
      </c>
      <c r="R1599" t="s">
        <v>74</v>
      </c>
      <c r="S1599" t="s">
        <v>74</v>
      </c>
      <c r="T1599" t="s">
        <v>25015</v>
      </c>
      <c r="U1599" t="s">
        <v>25014</v>
      </c>
      <c r="V1599" t="s">
        <v>25013</v>
      </c>
      <c r="W1599" t="s">
        <v>25012</v>
      </c>
      <c r="X1599" t="s">
        <v>1148</v>
      </c>
      <c r="Y1599" t="s">
        <v>3258</v>
      </c>
      <c r="Z1599" t="s">
        <v>25011</v>
      </c>
      <c r="AA1599" t="s">
        <v>664</v>
      </c>
      <c r="AB1599" t="s">
        <v>25010</v>
      </c>
      <c r="AC1599" t="s">
        <v>74</v>
      </c>
      <c r="AD1599" t="s">
        <v>74</v>
      </c>
      <c r="AE1599" t="s">
        <v>74</v>
      </c>
      <c r="AF1599" t="s">
        <v>74</v>
      </c>
      <c r="AG1599">
        <v>46</v>
      </c>
      <c r="AH1599">
        <v>18</v>
      </c>
      <c r="AI1599">
        <v>19</v>
      </c>
      <c r="AJ1599">
        <v>1</v>
      </c>
      <c r="AK1599">
        <v>45</v>
      </c>
      <c r="AL1599" t="s">
        <v>2145</v>
      </c>
      <c r="AM1599" t="s">
        <v>151</v>
      </c>
      <c r="AN1599" t="s">
        <v>2146</v>
      </c>
      <c r="AO1599" t="s">
        <v>2147</v>
      </c>
      <c r="AP1599" t="s">
        <v>2148</v>
      </c>
      <c r="AQ1599" t="s">
        <v>74</v>
      </c>
      <c r="AR1599" t="s">
        <v>2149</v>
      </c>
      <c r="AS1599" t="s">
        <v>2150</v>
      </c>
      <c r="AT1599" t="s">
        <v>74</v>
      </c>
      <c r="AU1599">
        <v>2020</v>
      </c>
      <c r="AV1599">
        <v>31</v>
      </c>
      <c r="AW1599">
        <v>2</v>
      </c>
      <c r="AX1599" t="s">
        <v>74</v>
      </c>
      <c r="AY1599" t="s">
        <v>74</v>
      </c>
      <c r="AZ1599" t="s">
        <v>74</v>
      </c>
      <c r="BA1599" t="s">
        <v>74</v>
      </c>
      <c r="BB1599">
        <v>179</v>
      </c>
      <c r="BC1599">
        <v>192</v>
      </c>
      <c r="BD1599" t="s">
        <v>74</v>
      </c>
      <c r="BE1599" t="s">
        <v>25009</v>
      </c>
      <c r="BF1599" t="str">
        <f>HYPERLINK("http://dx.doi.org/10.1891/JFCP-18-00067","http://dx.doi.org/10.1891/JFCP-18-00067")</f>
        <v>http://dx.doi.org/10.1891/JFCP-18-00067</v>
      </c>
      <c r="BG1599" t="s">
        <v>74</v>
      </c>
      <c r="BH1599" t="s">
        <v>74</v>
      </c>
      <c r="BI1599">
        <v>14</v>
      </c>
      <c r="BJ1599" t="s">
        <v>1453</v>
      </c>
      <c r="BK1599" t="s">
        <v>313</v>
      </c>
      <c r="BL1599" t="s">
        <v>100</v>
      </c>
      <c r="BM1599" t="s">
        <v>25008</v>
      </c>
      <c r="BN1599" t="s">
        <v>74</v>
      </c>
      <c r="BO1599" t="s">
        <v>74</v>
      </c>
      <c r="BP1599" t="s">
        <v>74</v>
      </c>
      <c r="BQ1599" t="s">
        <v>74</v>
      </c>
      <c r="BR1599" t="s">
        <v>102</v>
      </c>
      <c r="BS1599" t="s">
        <v>25007</v>
      </c>
      <c r="BT1599" t="str">
        <f>HYPERLINK("https%3A%2F%2Fwww.webofscience.com%2Fwos%2Fwoscc%2Ffull-record%2FWOS:000599215500001","View Full Record in Web of Science")</f>
        <v>View Full Record in Web of Science</v>
      </c>
    </row>
    <row r="1600" spans="1:72" x14ac:dyDescent="0.25">
      <c r="A1600" t="s">
        <v>72</v>
      </c>
      <c r="B1600" t="s">
        <v>25006</v>
      </c>
      <c r="C1600" t="s">
        <v>74</v>
      </c>
      <c r="D1600" t="s">
        <v>74</v>
      </c>
      <c r="E1600" t="s">
        <v>74</v>
      </c>
      <c r="F1600" t="s">
        <v>25005</v>
      </c>
      <c r="G1600" t="s">
        <v>74</v>
      </c>
      <c r="H1600" t="s">
        <v>74</v>
      </c>
      <c r="I1600" t="s">
        <v>25004</v>
      </c>
      <c r="J1600" t="s">
        <v>10958</v>
      </c>
      <c r="K1600" t="s">
        <v>74</v>
      </c>
      <c r="L1600" t="s">
        <v>74</v>
      </c>
      <c r="M1600" t="s">
        <v>78</v>
      </c>
      <c r="N1600" t="s">
        <v>79</v>
      </c>
      <c r="O1600" t="s">
        <v>74</v>
      </c>
      <c r="P1600" t="s">
        <v>74</v>
      </c>
      <c r="Q1600" t="s">
        <v>74</v>
      </c>
      <c r="R1600" t="s">
        <v>74</v>
      </c>
      <c r="S1600" t="s">
        <v>74</v>
      </c>
      <c r="T1600" t="s">
        <v>25003</v>
      </c>
      <c r="U1600" t="s">
        <v>25002</v>
      </c>
      <c r="V1600" t="s">
        <v>25001</v>
      </c>
      <c r="W1600" t="s">
        <v>25000</v>
      </c>
      <c r="X1600" t="s">
        <v>24999</v>
      </c>
      <c r="Y1600" t="s">
        <v>24998</v>
      </c>
      <c r="Z1600" t="s">
        <v>74</v>
      </c>
      <c r="AA1600" t="s">
        <v>24997</v>
      </c>
      <c r="AB1600" t="s">
        <v>74</v>
      </c>
      <c r="AC1600" t="s">
        <v>74</v>
      </c>
      <c r="AD1600" t="s">
        <v>74</v>
      </c>
      <c r="AE1600" t="s">
        <v>74</v>
      </c>
      <c r="AF1600" t="s">
        <v>74</v>
      </c>
      <c r="AG1600">
        <v>67</v>
      </c>
      <c r="AH1600">
        <v>20</v>
      </c>
      <c r="AI1600">
        <v>21</v>
      </c>
      <c r="AJ1600">
        <v>0</v>
      </c>
      <c r="AK1600">
        <v>16</v>
      </c>
      <c r="AL1600" t="s">
        <v>10967</v>
      </c>
      <c r="AM1600" t="s">
        <v>10968</v>
      </c>
      <c r="AN1600" t="s">
        <v>10969</v>
      </c>
      <c r="AO1600" t="s">
        <v>10970</v>
      </c>
      <c r="AP1600" t="s">
        <v>10971</v>
      </c>
      <c r="AQ1600" t="s">
        <v>74</v>
      </c>
      <c r="AR1600" t="s">
        <v>10972</v>
      </c>
      <c r="AS1600" t="s">
        <v>10973</v>
      </c>
      <c r="AT1600" t="s">
        <v>698</v>
      </c>
      <c r="AU1600">
        <v>2018</v>
      </c>
      <c r="AV1600">
        <v>9</v>
      </c>
      <c r="AW1600">
        <v>9</v>
      </c>
      <c r="AX1600" t="s">
        <v>74</v>
      </c>
      <c r="AY1600" t="s">
        <v>74</v>
      </c>
      <c r="AZ1600" t="s">
        <v>74</v>
      </c>
      <c r="BA1600" t="s">
        <v>74</v>
      </c>
      <c r="BB1600">
        <v>32</v>
      </c>
      <c r="BC1600">
        <v>41</v>
      </c>
      <c r="BD1600" t="s">
        <v>74</v>
      </c>
      <c r="BE1600" t="s">
        <v>74</v>
      </c>
      <c r="BF1600" t="s">
        <v>74</v>
      </c>
      <c r="BG1600" t="s">
        <v>74</v>
      </c>
      <c r="BH1600" t="s">
        <v>74</v>
      </c>
      <c r="BI1600">
        <v>10</v>
      </c>
      <c r="BJ1600" t="s">
        <v>1803</v>
      </c>
      <c r="BK1600" t="s">
        <v>313</v>
      </c>
      <c r="BL1600" t="s">
        <v>157</v>
      </c>
      <c r="BM1600" t="s">
        <v>24996</v>
      </c>
      <c r="BN1600" t="s">
        <v>74</v>
      </c>
      <c r="BO1600" t="s">
        <v>74</v>
      </c>
      <c r="BP1600" t="s">
        <v>74</v>
      </c>
      <c r="BQ1600" t="s">
        <v>74</v>
      </c>
      <c r="BR1600" t="s">
        <v>102</v>
      </c>
      <c r="BS1600" t="s">
        <v>24995</v>
      </c>
      <c r="BT1600" t="str">
        <f>HYPERLINK("https%3A%2F%2Fwww.webofscience.com%2Fwos%2Fwoscc%2Ffull-record%2FWOS:000447628300005","View Full Record in Web of Science")</f>
        <v>View Full Record in Web of Science</v>
      </c>
    </row>
    <row r="1601" spans="1:72" x14ac:dyDescent="0.25">
      <c r="A1601" t="s">
        <v>72</v>
      </c>
      <c r="B1601" t="s">
        <v>24994</v>
      </c>
      <c r="C1601" t="s">
        <v>74</v>
      </c>
      <c r="D1601" t="s">
        <v>74</v>
      </c>
      <c r="E1601" t="s">
        <v>74</v>
      </c>
      <c r="F1601" t="s">
        <v>24993</v>
      </c>
      <c r="G1601" t="s">
        <v>74</v>
      </c>
      <c r="H1601" t="s">
        <v>74</v>
      </c>
      <c r="I1601" t="s">
        <v>24992</v>
      </c>
      <c r="J1601" t="s">
        <v>7728</v>
      </c>
      <c r="K1601" t="s">
        <v>74</v>
      </c>
      <c r="L1601" t="s">
        <v>74</v>
      </c>
      <c r="M1601" t="s">
        <v>78</v>
      </c>
      <c r="N1601" t="s">
        <v>79</v>
      </c>
      <c r="O1601" t="s">
        <v>74</v>
      </c>
      <c r="P1601" t="s">
        <v>74</v>
      </c>
      <c r="Q1601" t="s">
        <v>74</v>
      </c>
      <c r="R1601" t="s">
        <v>74</v>
      </c>
      <c r="S1601" t="s">
        <v>74</v>
      </c>
      <c r="T1601" t="s">
        <v>24991</v>
      </c>
      <c r="U1601" t="s">
        <v>24990</v>
      </c>
      <c r="V1601" t="s">
        <v>24989</v>
      </c>
      <c r="W1601" t="s">
        <v>24988</v>
      </c>
      <c r="X1601" t="s">
        <v>24987</v>
      </c>
      <c r="Y1601" t="s">
        <v>24986</v>
      </c>
      <c r="Z1601" t="s">
        <v>24985</v>
      </c>
      <c r="AA1601" t="s">
        <v>74</v>
      </c>
      <c r="AB1601" t="s">
        <v>74</v>
      </c>
      <c r="AC1601" t="s">
        <v>74</v>
      </c>
      <c r="AD1601" t="s">
        <v>74</v>
      </c>
      <c r="AE1601" t="s">
        <v>74</v>
      </c>
      <c r="AF1601" t="s">
        <v>74</v>
      </c>
      <c r="AG1601">
        <v>103</v>
      </c>
      <c r="AH1601">
        <v>4</v>
      </c>
      <c r="AI1601">
        <v>4</v>
      </c>
      <c r="AJ1601">
        <v>8</v>
      </c>
      <c r="AK1601">
        <v>8</v>
      </c>
      <c r="AL1601" t="s">
        <v>2371</v>
      </c>
      <c r="AM1601" t="s">
        <v>2372</v>
      </c>
      <c r="AN1601" t="s">
        <v>2373</v>
      </c>
      <c r="AO1601" t="s">
        <v>7738</v>
      </c>
      <c r="AP1601" t="s">
        <v>7739</v>
      </c>
      <c r="AQ1601" t="s">
        <v>74</v>
      </c>
      <c r="AR1601" t="s">
        <v>7740</v>
      </c>
      <c r="AS1601" t="s">
        <v>7741</v>
      </c>
      <c r="AT1601" t="s">
        <v>74</v>
      </c>
      <c r="AU1601">
        <v>2024</v>
      </c>
      <c r="AV1601">
        <v>31</v>
      </c>
      <c r="AW1601">
        <v>3</v>
      </c>
      <c r="AX1601" t="s">
        <v>74</v>
      </c>
      <c r="AY1601" t="s">
        <v>74</v>
      </c>
      <c r="AZ1601" t="s">
        <v>74</v>
      </c>
      <c r="BA1601" t="s">
        <v>74</v>
      </c>
      <c r="BB1601">
        <v>330</v>
      </c>
      <c r="BC1601">
        <v>353</v>
      </c>
      <c r="BD1601" t="s">
        <v>74</v>
      </c>
      <c r="BE1601" t="s">
        <v>24984</v>
      </c>
      <c r="BF1601" t="str">
        <f>HYPERLINK("http://dx.doi.org/10.1504/GBER.2024.140847","http://dx.doi.org/10.1504/GBER.2024.140847")</f>
        <v>http://dx.doi.org/10.1504/GBER.2024.140847</v>
      </c>
      <c r="BG1601" t="s">
        <v>74</v>
      </c>
      <c r="BH1601" t="s">
        <v>74</v>
      </c>
      <c r="BI1601">
        <v>24</v>
      </c>
      <c r="BJ1601" t="s">
        <v>1453</v>
      </c>
      <c r="BK1601" t="s">
        <v>313</v>
      </c>
      <c r="BL1601" t="s">
        <v>100</v>
      </c>
      <c r="BM1601" t="s">
        <v>24983</v>
      </c>
      <c r="BN1601" t="s">
        <v>74</v>
      </c>
      <c r="BO1601" t="s">
        <v>74</v>
      </c>
      <c r="BP1601" t="s">
        <v>74</v>
      </c>
      <c r="BQ1601" t="s">
        <v>74</v>
      </c>
      <c r="BR1601" t="s">
        <v>102</v>
      </c>
      <c r="BS1601" t="s">
        <v>24982</v>
      </c>
      <c r="BT1601" t="str">
        <f>HYPERLINK("https%3A%2F%2Fwww.webofscience.com%2Fwos%2Fwoscc%2Ffull-record%2FWOS:001551744800005","View Full Record in Web of Science")</f>
        <v>View Full Record in Web of Science</v>
      </c>
    </row>
    <row r="1602" spans="1:72" x14ac:dyDescent="0.25">
      <c r="A1602" t="s">
        <v>72</v>
      </c>
      <c r="B1602" t="s">
        <v>24981</v>
      </c>
      <c r="C1602" t="s">
        <v>74</v>
      </c>
      <c r="D1602" t="s">
        <v>74</v>
      </c>
      <c r="E1602" t="s">
        <v>74</v>
      </c>
      <c r="F1602" t="s">
        <v>24980</v>
      </c>
      <c r="G1602" t="s">
        <v>74</v>
      </c>
      <c r="H1602" t="s">
        <v>74</v>
      </c>
      <c r="I1602" t="s">
        <v>24979</v>
      </c>
      <c r="J1602" t="s">
        <v>5958</v>
      </c>
      <c r="K1602" t="s">
        <v>74</v>
      </c>
      <c r="L1602" t="s">
        <v>74</v>
      </c>
      <c r="M1602" t="s">
        <v>78</v>
      </c>
      <c r="N1602" t="s">
        <v>79</v>
      </c>
      <c r="O1602" t="s">
        <v>74</v>
      </c>
      <c r="P1602" t="s">
        <v>74</v>
      </c>
      <c r="Q1602" t="s">
        <v>74</v>
      </c>
      <c r="R1602" t="s">
        <v>74</v>
      </c>
      <c r="S1602" t="s">
        <v>74</v>
      </c>
      <c r="T1602" t="s">
        <v>24978</v>
      </c>
      <c r="U1602" t="s">
        <v>24977</v>
      </c>
      <c r="V1602" t="s">
        <v>24976</v>
      </c>
      <c r="W1602" t="s">
        <v>24975</v>
      </c>
      <c r="X1602" t="s">
        <v>11178</v>
      </c>
      <c r="Y1602" t="s">
        <v>24974</v>
      </c>
      <c r="Z1602" t="s">
        <v>24973</v>
      </c>
      <c r="AA1602" t="s">
        <v>11181</v>
      </c>
      <c r="AB1602" t="s">
        <v>74</v>
      </c>
      <c r="AC1602" t="s">
        <v>24972</v>
      </c>
      <c r="AD1602" t="s">
        <v>24971</v>
      </c>
      <c r="AE1602" t="s">
        <v>24970</v>
      </c>
      <c r="AF1602" t="s">
        <v>74</v>
      </c>
      <c r="AG1602">
        <v>45</v>
      </c>
      <c r="AH1602">
        <v>6</v>
      </c>
      <c r="AI1602">
        <v>6</v>
      </c>
      <c r="AJ1602">
        <v>3</v>
      </c>
      <c r="AK1602">
        <v>53</v>
      </c>
      <c r="AL1602" t="s">
        <v>1216</v>
      </c>
      <c r="AM1602" t="s">
        <v>283</v>
      </c>
      <c r="AN1602" t="s">
        <v>1217</v>
      </c>
      <c r="AO1602" t="s">
        <v>5971</v>
      </c>
      <c r="AP1602" t="s">
        <v>74</v>
      </c>
      <c r="AQ1602" t="s">
        <v>74</v>
      </c>
      <c r="AR1602" t="s">
        <v>5972</v>
      </c>
      <c r="AS1602" t="s">
        <v>5973</v>
      </c>
      <c r="AT1602" t="s">
        <v>581</v>
      </c>
      <c r="AU1602">
        <v>2022</v>
      </c>
      <c r="AV1602">
        <v>13</v>
      </c>
      <c r="AW1602" t="s">
        <v>74</v>
      </c>
      <c r="AX1602" t="s">
        <v>74</v>
      </c>
      <c r="AY1602" t="s">
        <v>74</v>
      </c>
      <c r="AZ1602" t="s">
        <v>74</v>
      </c>
      <c r="BA1602" t="s">
        <v>74</v>
      </c>
      <c r="BB1602" t="s">
        <v>74</v>
      </c>
      <c r="BC1602" t="s">
        <v>74</v>
      </c>
      <c r="BD1602">
        <v>1042085</v>
      </c>
      <c r="BE1602" t="s">
        <v>24969</v>
      </c>
      <c r="BF1602" t="str">
        <f>HYPERLINK("http://dx.doi.org/10.3389/fpsyg.2022.1042085","http://dx.doi.org/10.3389/fpsyg.2022.1042085")</f>
        <v>http://dx.doi.org/10.3389/fpsyg.2022.1042085</v>
      </c>
      <c r="BG1602" t="s">
        <v>74</v>
      </c>
      <c r="BH1602" t="s">
        <v>74</v>
      </c>
      <c r="BI1602">
        <v>14</v>
      </c>
      <c r="BJ1602" t="s">
        <v>2992</v>
      </c>
      <c r="BK1602" t="s">
        <v>99</v>
      </c>
      <c r="BL1602" t="s">
        <v>2993</v>
      </c>
      <c r="BM1602" t="s">
        <v>24968</v>
      </c>
      <c r="BN1602">
        <v>36405209</v>
      </c>
      <c r="BO1602" t="s">
        <v>916</v>
      </c>
      <c r="BP1602" t="s">
        <v>74</v>
      </c>
      <c r="BQ1602" t="s">
        <v>74</v>
      </c>
      <c r="BR1602" t="s">
        <v>102</v>
      </c>
      <c r="BS1602" t="s">
        <v>24967</v>
      </c>
      <c r="BT1602" t="str">
        <f>HYPERLINK("https%3A%2F%2Fwww.webofscience.com%2Fwos%2Fwoscc%2Ffull-record%2FWOS:000886573800001","View Full Record in Web of Science")</f>
        <v>View Full Record in Web of Science</v>
      </c>
    </row>
    <row r="1603" spans="1:72" x14ac:dyDescent="0.25">
      <c r="A1603" t="s">
        <v>72</v>
      </c>
      <c r="B1603" t="s">
        <v>24966</v>
      </c>
      <c r="C1603" t="s">
        <v>74</v>
      </c>
      <c r="D1603" t="s">
        <v>74</v>
      </c>
      <c r="E1603" t="s">
        <v>74</v>
      </c>
      <c r="F1603" t="s">
        <v>24965</v>
      </c>
      <c r="G1603" t="s">
        <v>74</v>
      </c>
      <c r="H1603" t="s">
        <v>74</v>
      </c>
      <c r="I1603" t="s">
        <v>24964</v>
      </c>
      <c r="J1603" t="s">
        <v>1510</v>
      </c>
      <c r="K1603" t="s">
        <v>74</v>
      </c>
      <c r="L1603" t="s">
        <v>74</v>
      </c>
      <c r="M1603" t="s">
        <v>78</v>
      </c>
      <c r="N1603" t="s">
        <v>79</v>
      </c>
      <c r="O1603" t="s">
        <v>74</v>
      </c>
      <c r="P1603" t="s">
        <v>74</v>
      </c>
      <c r="Q1603" t="s">
        <v>74</v>
      </c>
      <c r="R1603" t="s">
        <v>74</v>
      </c>
      <c r="S1603" t="s">
        <v>74</v>
      </c>
      <c r="T1603" t="s">
        <v>24963</v>
      </c>
      <c r="U1603" t="s">
        <v>24962</v>
      </c>
      <c r="V1603" t="s">
        <v>24961</v>
      </c>
      <c r="W1603" t="s">
        <v>24960</v>
      </c>
      <c r="X1603" t="s">
        <v>24959</v>
      </c>
      <c r="Y1603" t="s">
        <v>24958</v>
      </c>
      <c r="Z1603" t="s">
        <v>19974</v>
      </c>
      <c r="AA1603" t="s">
        <v>74</v>
      </c>
      <c r="AB1603" t="s">
        <v>74</v>
      </c>
      <c r="AC1603" t="s">
        <v>74</v>
      </c>
      <c r="AD1603" t="s">
        <v>74</v>
      </c>
      <c r="AE1603" t="s">
        <v>74</v>
      </c>
      <c r="AF1603" t="s">
        <v>74</v>
      </c>
      <c r="AG1603">
        <v>31</v>
      </c>
      <c r="AH1603">
        <v>3</v>
      </c>
      <c r="AI1603">
        <v>4</v>
      </c>
      <c r="AJ1603">
        <v>0</v>
      </c>
      <c r="AK1603">
        <v>5</v>
      </c>
      <c r="AL1603" t="s">
        <v>89</v>
      </c>
      <c r="AM1603" t="s">
        <v>1497</v>
      </c>
      <c r="AN1603" t="s">
        <v>1498</v>
      </c>
      <c r="AO1603" t="s">
        <v>1519</v>
      </c>
      <c r="AP1603" t="s">
        <v>1520</v>
      </c>
      <c r="AQ1603" t="s">
        <v>74</v>
      </c>
      <c r="AR1603" t="s">
        <v>1521</v>
      </c>
      <c r="AS1603" t="s">
        <v>1522</v>
      </c>
      <c r="AT1603" t="s">
        <v>21598</v>
      </c>
      <c r="AU1603">
        <v>2021</v>
      </c>
      <c r="AV1603">
        <v>48</v>
      </c>
      <c r="AW1603">
        <v>1</v>
      </c>
      <c r="AX1603" t="s">
        <v>74</v>
      </c>
      <c r="AY1603" t="s">
        <v>74</v>
      </c>
      <c r="AZ1603" t="s">
        <v>74</v>
      </c>
      <c r="BA1603" t="s">
        <v>74</v>
      </c>
      <c r="BB1603">
        <v>121</v>
      </c>
      <c r="BC1603">
        <v>139</v>
      </c>
      <c r="BD1603" t="s">
        <v>74</v>
      </c>
      <c r="BE1603" t="s">
        <v>24957</v>
      </c>
      <c r="BF1603" t="str">
        <f>HYPERLINK("http://dx.doi.org/10.1108/IJSE-11-2019-0659","http://dx.doi.org/10.1108/IJSE-11-2019-0659")</f>
        <v>http://dx.doi.org/10.1108/IJSE-11-2019-0659</v>
      </c>
      <c r="BG1603" t="s">
        <v>74</v>
      </c>
      <c r="BH1603" t="s">
        <v>7236</v>
      </c>
      <c r="BI1603">
        <v>19</v>
      </c>
      <c r="BJ1603" t="s">
        <v>291</v>
      </c>
      <c r="BK1603" t="s">
        <v>313</v>
      </c>
      <c r="BL1603" t="s">
        <v>100</v>
      </c>
      <c r="BM1603" t="s">
        <v>24956</v>
      </c>
      <c r="BN1603" t="s">
        <v>74</v>
      </c>
      <c r="BO1603" t="s">
        <v>74</v>
      </c>
      <c r="BP1603" t="s">
        <v>74</v>
      </c>
      <c r="BQ1603" t="s">
        <v>74</v>
      </c>
      <c r="BR1603" t="s">
        <v>102</v>
      </c>
      <c r="BS1603" t="s">
        <v>24955</v>
      </c>
      <c r="BT1603" t="str">
        <f>HYPERLINK("https%3A%2F%2Fwww.webofscience.com%2Fwos%2Fwoscc%2Ffull-record%2FWOS:000598534900001","View Full Record in Web of Science")</f>
        <v>View Full Record in Web of Science</v>
      </c>
    </row>
    <row r="1604" spans="1:72" x14ac:dyDescent="0.25">
      <c r="A1604" t="s">
        <v>72</v>
      </c>
      <c r="B1604" t="s">
        <v>24954</v>
      </c>
      <c r="C1604" t="s">
        <v>74</v>
      </c>
      <c r="D1604" t="s">
        <v>74</v>
      </c>
      <c r="E1604" t="s">
        <v>74</v>
      </c>
      <c r="F1604" t="s">
        <v>24953</v>
      </c>
      <c r="G1604" t="s">
        <v>74</v>
      </c>
      <c r="H1604" t="s">
        <v>74</v>
      </c>
      <c r="I1604" t="s">
        <v>24952</v>
      </c>
      <c r="J1604" t="s">
        <v>6437</v>
      </c>
      <c r="K1604" t="s">
        <v>74</v>
      </c>
      <c r="L1604" t="s">
        <v>74</v>
      </c>
      <c r="M1604" t="s">
        <v>78</v>
      </c>
      <c r="N1604" t="s">
        <v>79</v>
      </c>
      <c r="O1604" t="s">
        <v>74</v>
      </c>
      <c r="P1604" t="s">
        <v>74</v>
      </c>
      <c r="Q1604" t="s">
        <v>74</v>
      </c>
      <c r="R1604" t="s">
        <v>74</v>
      </c>
      <c r="S1604" t="s">
        <v>74</v>
      </c>
      <c r="T1604" t="s">
        <v>24951</v>
      </c>
      <c r="U1604" t="s">
        <v>24950</v>
      </c>
      <c r="V1604" t="s">
        <v>24949</v>
      </c>
      <c r="W1604" t="s">
        <v>24948</v>
      </c>
      <c r="X1604" t="s">
        <v>24947</v>
      </c>
      <c r="Y1604" t="s">
        <v>24946</v>
      </c>
      <c r="Z1604" t="s">
        <v>24945</v>
      </c>
      <c r="AA1604" t="s">
        <v>24944</v>
      </c>
      <c r="AB1604" t="s">
        <v>24943</v>
      </c>
      <c r="AC1604" t="s">
        <v>24942</v>
      </c>
      <c r="AD1604" t="s">
        <v>24942</v>
      </c>
      <c r="AE1604" t="s">
        <v>24942</v>
      </c>
      <c r="AF1604" t="s">
        <v>74</v>
      </c>
      <c r="AG1604">
        <v>56</v>
      </c>
      <c r="AH1604">
        <v>5</v>
      </c>
      <c r="AI1604">
        <v>6</v>
      </c>
      <c r="AJ1604">
        <v>1</v>
      </c>
      <c r="AK1604">
        <v>12</v>
      </c>
      <c r="AL1604" t="s">
        <v>479</v>
      </c>
      <c r="AM1604" t="s">
        <v>480</v>
      </c>
      <c r="AN1604" t="s">
        <v>481</v>
      </c>
      <c r="AO1604" t="s">
        <v>6446</v>
      </c>
      <c r="AP1604" t="s">
        <v>6447</v>
      </c>
      <c r="AQ1604" t="s">
        <v>74</v>
      </c>
      <c r="AR1604" t="s">
        <v>6448</v>
      </c>
      <c r="AS1604" t="s">
        <v>6449</v>
      </c>
      <c r="AT1604" t="s">
        <v>848</v>
      </c>
      <c r="AU1604">
        <v>2022</v>
      </c>
      <c r="AV1604">
        <v>51</v>
      </c>
      <c r="AW1604">
        <v>2</v>
      </c>
      <c r="AX1604" t="s">
        <v>74</v>
      </c>
      <c r="AY1604" t="s">
        <v>74</v>
      </c>
      <c r="AZ1604" t="s">
        <v>74</v>
      </c>
      <c r="BA1604" t="s">
        <v>74</v>
      </c>
      <c r="BB1604" t="s">
        <v>74</v>
      </c>
      <c r="BC1604" t="s">
        <v>74</v>
      </c>
      <c r="BD1604" t="s">
        <v>24941</v>
      </c>
      <c r="BE1604" t="s">
        <v>24940</v>
      </c>
      <c r="BF1604" t="str">
        <f>HYPERLINK("http://dx.doi.org/10.1111/ecno.12199","http://dx.doi.org/10.1111/ecno.12199")</f>
        <v>http://dx.doi.org/10.1111/ecno.12199</v>
      </c>
      <c r="BG1604" t="s">
        <v>74</v>
      </c>
      <c r="BH1604" t="s">
        <v>2730</v>
      </c>
      <c r="BI1604">
        <v>19</v>
      </c>
      <c r="BJ1604" t="s">
        <v>291</v>
      </c>
      <c r="BK1604" t="s">
        <v>313</v>
      </c>
      <c r="BL1604" t="s">
        <v>100</v>
      </c>
      <c r="BM1604" t="s">
        <v>24939</v>
      </c>
      <c r="BN1604" t="s">
        <v>74</v>
      </c>
      <c r="BO1604" t="s">
        <v>74</v>
      </c>
      <c r="BP1604" t="s">
        <v>74</v>
      </c>
      <c r="BQ1604" t="s">
        <v>74</v>
      </c>
      <c r="BR1604" t="s">
        <v>102</v>
      </c>
      <c r="BS1604" t="s">
        <v>24938</v>
      </c>
      <c r="BT1604" t="str">
        <f>HYPERLINK("https%3A%2F%2Fwww.webofscience.com%2Fwos%2Fwoscc%2Ffull-record%2FWOS:000734982900001","View Full Record in Web of Science")</f>
        <v>View Full Record in Web of Science</v>
      </c>
    </row>
    <row r="1605" spans="1:72" x14ac:dyDescent="0.25">
      <c r="A1605" t="s">
        <v>72</v>
      </c>
      <c r="B1605" t="s">
        <v>24937</v>
      </c>
      <c r="C1605" t="s">
        <v>74</v>
      </c>
      <c r="D1605" t="s">
        <v>74</v>
      </c>
      <c r="E1605" t="s">
        <v>74</v>
      </c>
      <c r="F1605" t="s">
        <v>24936</v>
      </c>
      <c r="G1605" t="s">
        <v>74</v>
      </c>
      <c r="H1605" t="s">
        <v>74</v>
      </c>
      <c r="I1605" t="s">
        <v>24935</v>
      </c>
      <c r="J1605" t="s">
        <v>2919</v>
      </c>
      <c r="K1605" t="s">
        <v>74</v>
      </c>
      <c r="L1605" t="s">
        <v>74</v>
      </c>
      <c r="M1605" t="s">
        <v>78</v>
      </c>
      <c r="N1605" t="s">
        <v>79</v>
      </c>
      <c r="O1605" t="s">
        <v>74</v>
      </c>
      <c r="P1605" t="s">
        <v>74</v>
      </c>
      <c r="Q1605" t="s">
        <v>74</v>
      </c>
      <c r="R1605" t="s">
        <v>74</v>
      </c>
      <c r="S1605" t="s">
        <v>74</v>
      </c>
      <c r="T1605" t="s">
        <v>24934</v>
      </c>
      <c r="U1605" t="s">
        <v>24933</v>
      </c>
      <c r="V1605" t="s">
        <v>24932</v>
      </c>
      <c r="W1605" t="s">
        <v>24931</v>
      </c>
      <c r="X1605" t="s">
        <v>2924</v>
      </c>
      <c r="Y1605" t="s">
        <v>24930</v>
      </c>
      <c r="Z1605" t="s">
        <v>24929</v>
      </c>
      <c r="AA1605" t="s">
        <v>24928</v>
      </c>
      <c r="AB1605" t="s">
        <v>74</v>
      </c>
      <c r="AC1605" t="s">
        <v>74</v>
      </c>
      <c r="AD1605" t="s">
        <v>74</v>
      </c>
      <c r="AE1605" t="s">
        <v>74</v>
      </c>
      <c r="AF1605" t="s">
        <v>74</v>
      </c>
      <c r="AG1605">
        <v>31</v>
      </c>
      <c r="AH1605">
        <v>1</v>
      </c>
      <c r="AI1605">
        <v>1</v>
      </c>
      <c r="AJ1605">
        <v>5</v>
      </c>
      <c r="AK1605">
        <v>11</v>
      </c>
      <c r="AL1605" t="s">
        <v>332</v>
      </c>
      <c r="AM1605" t="s">
        <v>333</v>
      </c>
      <c r="AN1605" t="s">
        <v>334</v>
      </c>
      <c r="AO1605" t="s">
        <v>2931</v>
      </c>
      <c r="AP1605" t="s">
        <v>2932</v>
      </c>
      <c r="AQ1605" t="s">
        <v>74</v>
      </c>
      <c r="AR1605" t="s">
        <v>2933</v>
      </c>
      <c r="AS1605" t="s">
        <v>2934</v>
      </c>
      <c r="AT1605" t="s">
        <v>20097</v>
      </c>
      <c r="AU1605">
        <v>2025</v>
      </c>
      <c r="AV1605">
        <v>29</v>
      </c>
      <c r="AW1605">
        <v>5</v>
      </c>
      <c r="AX1605" t="s">
        <v>74</v>
      </c>
      <c r="AY1605" t="s">
        <v>74</v>
      </c>
      <c r="AZ1605" t="s">
        <v>74</v>
      </c>
      <c r="BA1605" t="s">
        <v>74</v>
      </c>
      <c r="BB1605">
        <v>437</v>
      </c>
      <c r="BC1605">
        <v>455</v>
      </c>
      <c r="BD1605" t="s">
        <v>74</v>
      </c>
      <c r="BE1605" t="s">
        <v>24927</v>
      </c>
      <c r="BF1605" t="str">
        <f>HYPERLINK("http://dx.doi.org/10.1080/10875549.2023.2301690","http://dx.doi.org/10.1080/10875549.2023.2301690")</f>
        <v>http://dx.doi.org/10.1080/10875549.2023.2301690</v>
      </c>
      <c r="BG1605" t="s">
        <v>74</v>
      </c>
      <c r="BH1605" t="s">
        <v>239</v>
      </c>
      <c r="BI1605">
        <v>19</v>
      </c>
      <c r="BJ1605" t="s">
        <v>2045</v>
      </c>
      <c r="BK1605" t="s">
        <v>313</v>
      </c>
      <c r="BL1605" t="s">
        <v>2045</v>
      </c>
      <c r="BM1605" t="s">
        <v>24926</v>
      </c>
      <c r="BN1605" t="s">
        <v>74</v>
      </c>
      <c r="BO1605" t="s">
        <v>74</v>
      </c>
      <c r="BP1605" t="s">
        <v>74</v>
      </c>
      <c r="BQ1605" t="s">
        <v>74</v>
      </c>
      <c r="BR1605" t="s">
        <v>102</v>
      </c>
      <c r="BS1605" t="s">
        <v>24925</v>
      </c>
      <c r="BT1605" t="str">
        <f>HYPERLINK("https%3A%2F%2Fwww.webofscience.com%2Fwos%2Fwoscc%2Ffull-record%2FWOS:001144058000001","View Full Record in Web of Science")</f>
        <v>View Full Record in Web of Science</v>
      </c>
    </row>
    <row r="1606" spans="1:72" x14ac:dyDescent="0.25">
      <c r="A1606" t="s">
        <v>72</v>
      </c>
      <c r="B1606" t="s">
        <v>24924</v>
      </c>
      <c r="C1606" t="s">
        <v>74</v>
      </c>
      <c r="D1606" t="s">
        <v>74</v>
      </c>
      <c r="E1606" t="s">
        <v>74</v>
      </c>
      <c r="F1606" t="s">
        <v>24923</v>
      </c>
      <c r="G1606" t="s">
        <v>74</v>
      </c>
      <c r="H1606" t="s">
        <v>74</v>
      </c>
      <c r="I1606" t="s">
        <v>24922</v>
      </c>
      <c r="J1606" t="s">
        <v>4558</v>
      </c>
      <c r="K1606" t="s">
        <v>74</v>
      </c>
      <c r="L1606" t="s">
        <v>74</v>
      </c>
      <c r="M1606" t="s">
        <v>78</v>
      </c>
      <c r="N1606" t="s">
        <v>79</v>
      </c>
      <c r="O1606" t="s">
        <v>74</v>
      </c>
      <c r="P1606" t="s">
        <v>74</v>
      </c>
      <c r="Q1606" t="s">
        <v>74</v>
      </c>
      <c r="R1606" t="s">
        <v>74</v>
      </c>
      <c r="S1606" t="s">
        <v>74</v>
      </c>
      <c r="T1606" t="s">
        <v>24921</v>
      </c>
      <c r="U1606" t="s">
        <v>74</v>
      </c>
      <c r="V1606" t="s">
        <v>24920</v>
      </c>
      <c r="W1606" t="s">
        <v>24919</v>
      </c>
      <c r="X1606" t="s">
        <v>24918</v>
      </c>
      <c r="Y1606" t="s">
        <v>24917</v>
      </c>
      <c r="Z1606" t="s">
        <v>24916</v>
      </c>
      <c r="AA1606" t="s">
        <v>24915</v>
      </c>
      <c r="AB1606" t="s">
        <v>24914</v>
      </c>
      <c r="AC1606" t="s">
        <v>24913</v>
      </c>
      <c r="AD1606" t="s">
        <v>24912</v>
      </c>
      <c r="AE1606" t="s">
        <v>24911</v>
      </c>
      <c r="AF1606" t="s">
        <v>74</v>
      </c>
      <c r="AG1606">
        <v>76</v>
      </c>
      <c r="AH1606">
        <v>15</v>
      </c>
      <c r="AI1606">
        <v>15</v>
      </c>
      <c r="AJ1606">
        <v>1</v>
      </c>
      <c r="AK1606">
        <v>13</v>
      </c>
      <c r="AL1606" t="s">
        <v>230</v>
      </c>
      <c r="AM1606" t="s">
        <v>231</v>
      </c>
      <c r="AN1606" t="s">
        <v>232</v>
      </c>
      <c r="AO1606" t="s">
        <v>4570</v>
      </c>
      <c r="AP1606" t="s">
        <v>4571</v>
      </c>
      <c r="AQ1606" t="s">
        <v>74</v>
      </c>
      <c r="AR1606" t="s">
        <v>4572</v>
      </c>
      <c r="AS1606" t="s">
        <v>4573</v>
      </c>
      <c r="AT1606" t="s">
        <v>237</v>
      </c>
      <c r="AU1606">
        <v>2021</v>
      </c>
      <c r="AV1606">
        <v>270</v>
      </c>
      <c r="AW1606" t="s">
        <v>74</v>
      </c>
      <c r="AX1606" t="s">
        <v>74</v>
      </c>
      <c r="AY1606" t="s">
        <v>74</v>
      </c>
      <c r="AZ1606" t="s">
        <v>74</v>
      </c>
      <c r="BA1606" t="s">
        <v>74</v>
      </c>
      <c r="BB1606" t="s">
        <v>74</v>
      </c>
      <c r="BC1606" t="s">
        <v>74</v>
      </c>
      <c r="BD1606">
        <v>113633</v>
      </c>
      <c r="BE1606" t="s">
        <v>24910</v>
      </c>
      <c r="BF1606" t="str">
        <f>HYPERLINK("http://dx.doi.org/10.1016/j.socscimed.2020.113633","http://dx.doi.org/10.1016/j.socscimed.2020.113633")</f>
        <v>http://dx.doi.org/10.1016/j.socscimed.2020.113633</v>
      </c>
      <c r="BG1606" t="s">
        <v>74</v>
      </c>
      <c r="BH1606" t="s">
        <v>11556</v>
      </c>
      <c r="BI1606">
        <v>9</v>
      </c>
      <c r="BJ1606" t="s">
        <v>4576</v>
      </c>
      <c r="BK1606" t="s">
        <v>2623</v>
      </c>
      <c r="BL1606" t="s">
        <v>4577</v>
      </c>
      <c r="BM1606" t="s">
        <v>24909</v>
      </c>
      <c r="BN1606">
        <v>33395609</v>
      </c>
      <c r="BO1606" t="s">
        <v>74</v>
      </c>
      <c r="BP1606" t="s">
        <v>74</v>
      </c>
      <c r="BQ1606" t="s">
        <v>74</v>
      </c>
      <c r="BR1606" t="s">
        <v>102</v>
      </c>
      <c r="BS1606" t="s">
        <v>24908</v>
      </c>
      <c r="BT1606" t="str">
        <f>HYPERLINK("https%3A%2F%2Fwww.webofscience.com%2Fwos%2Fwoscc%2Ffull-record%2FWOS:000621361500002","View Full Record in Web of Science")</f>
        <v>View Full Record in Web of Science</v>
      </c>
    </row>
    <row r="1607" spans="1:72" x14ac:dyDescent="0.25">
      <c r="A1607" t="s">
        <v>72</v>
      </c>
      <c r="B1607" t="s">
        <v>24907</v>
      </c>
      <c r="C1607" t="s">
        <v>74</v>
      </c>
      <c r="D1607" t="s">
        <v>74</v>
      </c>
      <c r="E1607" t="s">
        <v>74</v>
      </c>
      <c r="F1607" t="s">
        <v>24906</v>
      </c>
      <c r="G1607" t="s">
        <v>74</v>
      </c>
      <c r="H1607" t="s">
        <v>74</v>
      </c>
      <c r="I1607" t="s">
        <v>24905</v>
      </c>
      <c r="J1607" t="s">
        <v>20307</v>
      </c>
      <c r="K1607" t="s">
        <v>74</v>
      </c>
      <c r="L1607" t="s">
        <v>74</v>
      </c>
      <c r="M1607" t="s">
        <v>78</v>
      </c>
      <c r="N1607" t="s">
        <v>79</v>
      </c>
      <c r="O1607" t="s">
        <v>74</v>
      </c>
      <c r="P1607" t="s">
        <v>74</v>
      </c>
      <c r="Q1607" t="s">
        <v>74</v>
      </c>
      <c r="R1607" t="s">
        <v>74</v>
      </c>
      <c r="S1607" t="s">
        <v>74</v>
      </c>
      <c r="T1607" t="s">
        <v>24904</v>
      </c>
      <c r="U1607" t="s">
        <v>24903</v>
      </c>
      <c r="V1607" t="s">
        <v>24902</v>
      </c>
      <c r="W1607" t="s">
        <v>24901</v>
      </c>
      <c r="X1607" t="s">
        <v>24900</v>
      </c>
      <c r="Y1607" t="s">
        <v>24899</v>
      </c>
      <c r="Z1607" t="s">
        <v>24898</v>
      </c>
      <c r="AA1607" t="s">
        <v>24897</v>
      </c>
      <c r="AB1607" t="s">
        <v>24896</v>
      </c>
      <c r="AC1607" t="s">
        <v>24895</v>
      </c>
      <c r="AD1607" t="s">
        <v>24894</v>
      </c>
      <c r="AE1607" t="s">
        <v>24893</v>
      </c>
      <c r="AF1607" t="s">
        <v>74</v>
      </c>
      <c r="AG1607">
        <v>101</v>
      </c>
      <c r="AH1607">
        <v>12</v>
      </c>
      <c r="AI1607">
        <v>19</v>
      </c>
      <c r="AJ1607">
        <v>9</v>
      </c>
      <c r="AK1607">
        <v>94</v>
      </c>
      <c r="AL1607" t="s">
        <v>20297</v>
      </c>
      <c r="AM1607" t="s">
        <v>20296</v>
      </c>
      <c r="AN1607" t="s">
        <v>20295</v>
      </c>
      <c r="AO1607" t="s">
        <v>20294</v>
      </c>
      <c r="AP1607" t="s">
        <v>20293</v>
      </c>
      <c r="AQ1607" t="s">
        <v>74</v>
      </c>
      <c r="AR1607" t="s">
        <v>20292</v>
      </c>
      <c r="AS1607" t="s">
        <v>20291</v>
      </c>
      <c r="AT1607" t="s">
        <v>74</v>
      </c>
      <c r="AU1607">
        <v>2022</v>
      </c>
      <c r="AV1607">
        <v>25</v>
      </c>
      <c r="AW1607">
        <v>1</v>
      </c>
      <c r="AX1607" t="s">
        <v>74</v>
      </c>
      <c r="AY1607" t="s">
        <v>74</v>
      </c>
      <c r="AZ1607" t="s">
        <v>74</v>
      </c>
      <c r="BA1607" t="s">
        <v>74</v>
      </c>
      <c r="BB1607">
        <v>143</v>
      </c>
      <c r="BC1607">
        <v>160</v>
      </c>
      <c r="BD1607" t="s">
        <v>74</v>
      </c>
      <c r="BE1607" t="s">
        <v>24892</v>
      </c>
      <c r="BF1607" t="str">
        <f>HYPERLINK("http://dx.doi.org/10.15240/tul/001/2022-1-009","http://dx.doi.org/10.15240/tul/001/2022-1-009")</f>
        <v>http://dx.doi.org/10.15240/tul/001/2022-1-009</v>
      </c>
      <c r="BG1607" t="s">
        <v>74</v>
      </c>
      <c r="BH1607" t="s">
        <v>74</v>
      </c>
      <c r="BI1607">
        <v>18</v>
      </c>
      <c r="BJ1607" t="s">
        <v>5519</v>
      </c>
      <c r="BK1607" t="s">
        <v>99</v>
      </c>
      <c r="BL1607" t="s">
        <v>100</v>
      </c>
      <c r="BM1607" t="s">
        <v>24891</v>
      </c>
      <c r="BN1607" t="s">
        <v>74</v>
      </c>
      <c r="BO1607" t="s">
        <v>916</v>
      </c>
      <c r="BP1607" t="s">
        <v>74</v>
      </c>
      <c r="BQ1607" t="s">
        <v>74</v>
      </c>
      <c r="BR1607" t="s">
        <v>102</v>
      </c>
      <c r="BS1607" t="s">
        <v>24890</v>
      </c>
      <c r="BT1607" t="str">
        <f>HYPERLINK("https%3A%2F%2Fwww.webofscience.com%2Fwos%2Fwoscc%2Ffull-record%2FWOS:000782805800008","View Full Record in Web of Science")</f>
        <v>View Full Record in Web of Science</v>
      </c>
    </row>
    <row r="1608" spans="1:72" x14ac:dyDescent="0.25">
      <c r="A1608" t="s">
        <v>72</v>
      </c>
      <c r="B1608" t="s">
        <v>24889</v>
      </c>
      <c r="C1608" t="s">
        <v>74</v>
      </c>
      <c r="D1608" t="s">
        <v>74</v>
      </c>
      <c r="E1608" t="s">
        <v>74</v>
      </c>
      <c r="F1608" t="s">
        <v>24888</v>
      </c>
      <c r="G1608" t="s">
        <v>74</v>
      </c>
      <c r="H1608" t="s">
        <v>74</v>
      </c>
      <c r="I1608" t="s">
        <v>24887</v>
      </c>
      <c r="J1608" t="s">
        <v>8200</v>
      </c>
      <c r="K1608" t="s">
        <v>74</v>
      </c>
      <c r="L1608" t="s">
        <v>74</v>
      </c>
      <c r="M1608" t="s">
        <v>78</v>
      </c>
      <c r="N1608" t="s">
        <v>79</v>
      </c>
      <c r="O1608" t="s">
        <v>74</v>
      </c>
      <c r="P1608" t="s">
        <v>74</v>
      </c>
      <c r="Q1608" t="s">
        <v>74</v>
      </c>
      <c r="R1608" t="s">
        <v>74</v>
      </c>
      <c r="S1608" t="s">
        <v>74</v>
      </c>
      <c r="T1608" t="s">
        <v>74</v>
      </c>
      <c r="U1608" t="s">
        <v>24886</v>
      </c>
      <c r="V1608" t="s">
        <v>24885</v>
      </c>
      <c r="W1608" t="s">
        <v>24884</v>
      </c>
      <c r="X1608" t="s">
        <v>24883</v>
      </c>
      <c r="Y1608" t="s">
        <v>24882</v>
      </c>
      <c r="Z1608" t="s">
        <v>74</v>
      </c>
      <c r="AA1608" t="s">
        <v>74</v>
      </c>
      <c r="AB1608" t="s">
        <v>74</v>
      </c>
      <c r="AC1608" t="s">
        <v>74</v>
      </c>
      <c r="AD1608" t="s">
        <v>74</v>
      </c>
      <c r="AE1608" t="s">
        <v>74</v>
      </c>
      <c r="AF1608" t="s">
        <v>74</v>
      </c>
      <c r="AG1608">
        <v>36</v>
      </c>
      <c r="AH1608">
        <v>0</v>
      </c>
      <c r="AI1608">
        <v>0</v>
      </c>
      <c r="AJ1608">
        <v>0</v>
      </c>
      <c r="AK1608">
        <v>1</v>
      </c>
      <c r="AL1608" t="s">
        <v>8210</v>
      </c>
      <c r="AM1608" t="s">
        <v>8211</v>
      </c>
      <c r="AN1608" t="s">
        <v>8212</v>
      </c>
      <c r="AO1608" t="s">
        <v>8213</v>
      </c>
      <c r="AP1608" t="s">
        <v>74</v>
      </c>
      <c r="AQ1608" t="s">
        <v>74</v>
      </c>
      <c r="AR1608" t="s">
        <v>8214</v>
      </c>
      <c r="AS1608" t="s">
        <v>8215</v>
      </c>
      <c r="AT1608" t="s">
        <v>1540</v>
      </c>
      <c r="AU1608">
        <v>2020</v>
      </c>
      <c r="AV1608">
        <v>12</v>
      </c>
      <c r="AW1608">
        <v>11</v>
      </c>
      <c r="AX1608" t="s">
        <v>74</v>
      </c>
      <c r="AY1608" t="s">
        <v>74</v>
      </c>
      <c r="AZ1608" t="s">
        <v>74</v>
      </c>
      <c r="BA1608" t="s">
        <v>74</v>
      </c>
      <c r="BB1608">
        <v>124</v>
      </c>
      <c r="BC1608">
        <v>131</v>
      </c>
      <c r="BD1608" t="s">
        <v>74</v>
      </c>
      <c r="BE1608" t="s">
        <v>74</v>
      </c>
      <c r="BF1608" t="s">
        <v>74</v>
      </c>
      <c r="BG1608" t="s">
        <v>74</v>
      </c>
      <c r="BH1608" t="s">
        <v>74</v>
      </c>
      <c r="BI1608">
        <v>8</v>
      </c>
      <c r="BJ1608" t="s">
        <v>418</v>
      </c>
      <c r="BK1608" t="s">
        <v>313</v>
      </c>
      <c r="BL1608" t="s">
        <v>100</v>
      </c>
      <c r="BM1608" t="s">
        <v>24881</v>
      </c>
      <c r="BN1608" t="s">
        <v>74</v>
      </c>
      <c r="BO1608" t="s">
        <v>74</v>
      </c>
      <c r="BP1608" t="s">
        <v>74</v>
      </c>
      <c r="BQ1608" t="s">
        <v>74</v>
      </c>
      <c r="BR1608" t="s">
        <v>102</v>
      </c>
      <c r="BS1608" t="s">
        <v>24880</v>
      </c>
      <c r="BT1608" t="str">
        <f>HYPERLINK("https%3A%2F%2Fwww.webofscience.com%2Fwos%2Fwoscc%2Ffull-record%2FWOS:000565866400012","View Full Record in Web of Science")</f>
        <v>View Full Record in Web of Science</v>
      </c>
    </row>
    <row r="1609" spans="1:72" x14ac:dyDescent="0.25">
      <c r="A1609" t="s">
        <v>72</v>
      </c>
      <c r="B1609" t="s">
        <v>24879</v>
      </c>
      <c r="C1609" t="s">
        <v>74</v>
      </c>
      <c r="D1609" t="s">
        <v>74</v>
      </c>
      <c r="E1609" t="s">
        <v>74</v>
      </c>
      <c r="F1609" t="s">
        <v>24878</v>
      </c>
      <c r="G1609" t="s">
        <v>74</v>
      </c>
      <c r="H1609" t="s">
        <v>74</v>
      </c>
      <c r="I1609" t="s">
        <v>24877</v>
      </c>
      <c r="J1609" t="s">
        <v>2919</v>
      </c>
      <c r="K1609" t="s">
        <v>74</v>
      </c>
      <c r="L1609" t="s">
        <v>74</v>
      </c>
      <c r="M1609" t="s">
        <v>78</v>
      </c>
      <c r="N1609" t="s">
        <v>372</v>
      </c>
      <c r="O1609" t="s">
        <v>74</v>
      </c>
      <c r="P1609" t="s">
        <v>74</v>
      </c>
      <c r="Q1609" t="s">
        <v>74</v>
      </c>
      <c r="R1609" t="s">
        <v>74</v>
      </c>
      <c r="S1609" t="s">
        <v>74</v>
      </c>
      <c r="T1609" t="s">
        <v>24876</v>
      </c>
      <c r="U1609" t="s">
        <v>24875</v>
      </c>
      <c r="V1609" t="s">
        <v>24874</v>
      </c>
      <c r="W1609" t="s">
        <v>24873</v>
      </c>
      <c r="X1609" t="s">
        <v>24872</v>
      </c>
      <c r="Y1609" t="s">
        <v>24871</v>
      </c>
      <c r="Z1609" t="s">
        <v>24870</v>
      </c>
      <c r="AA1609" t="s">
        <v>24869</v>
      </c>
      <c r="AB1609" t="s">
        <v>24868</v>
      </c>
      <c r="AC1609" t="s">
        <v>74</v>
      </c>
      <c r="AD1609" t="s">
        <v>74</v>
      </c>
      <c r="AE1609" t="s">
        <v>74</v>
      </c>
      <c r="AF1609" t="s">
        <v>74</v>
      </c>
      <c r="AG1609">
        <v>81</v>
      </c>
      <c r="AH1609">
        <v>1</v>
      </c>
      <c r="AI1609">
        <v>1</v>
      </c>
      <c r="AJ1609">
        <v>2</v>
      </c>
      <c r="AK1609">
        <v>4</v>
      </c>
      <c r="AL1609" t="s">
        <v>332</v>
      </c>
      <c r="AM1609" t="s">
        <v>333</v>
      </c>
      <c r="AN1609" t="s">
        <v>334</v>
      </c>
      <c r="AO1609" t="s">
        <v>2931</v>
      </c>
      <c r="AP1609" t="s">
        <v>2932</v>
      </c>
      <c r="AQ1609" t="s">
        <v>74</v>
      </c>
      <c r="AR1609" t="s">
        <v>2933</v>
      </c>
      <c r="AS1609" t="s">
        <v>2934</v>
      </c>
      <c r="AT1609" t="s">
        <v>24867</v>
      </c>
      <c r="AU1609">
        <v>2024</v>
      </c>
      <c r="AV1609" t="s">
        <v>74</v>
      </c>
      <c r="AW1609" t="s">
        <v>74</v>
      </c>
      <c r="AX1609" t="s">
        <v>74</v>
      </c>
      <c r="AY1609" t="s">
        <v>74</v>
      </c>
      <c r="AZ1609" t="s">
        <v>74</v>
      </c>
      <c r="BA1609" t="s">
        <v>74</v>
      </c>
      <c r="BB1609" t="s">
        <v>74</v>
      </c>
      <c r="BC1609" t="s">
        <v>74</v>
      </c>
      <c r="BD1609" t="s">
        <v>74</v>
      </c>
      <c r="BE1609" t="s">
        <v>24866</v>
      </c>
      <c r="BF1609" t="str">
        <f>HYPERLINK("http://dx.doi.org/10.1080/10875549.2024.2426817","http://dx.doi.org/10.1080/10875549.2024.2426817")</f>
        <v>http://dx.doi.org/10.1080/10875549.2024.2426817</v>
      </c>
      <c r="BG1609" t="s">
        <v>74</v>
      </c>
      <c r="BH1609" t="s">
        <v>267</v>
      </c>
      <c r="BI1609">
        <v>25</v>
      </c>
      <c r="BJ1609" t="s">
        <v>2045</v>
      </c>
      <c r="BK1609" t="s">
        <v>313</v>
      </c>
      <c r="BL1609" t="s">
        <v>2045</v>
      </c>
      <c r="BM1609" t="s">
        <v>24865</v>
      </c>
      <c r="BN1609" t="s">
        <v>74</v>
      </c>
      <c r="BO1609" t="s">
        <v>74</v>
      </c>
      <c r="BP1609" t="s">
        <v>74</v>
      </c>
      <c r="BQ1609" t="s">
        <v>74</v>
      </c>
      <c r="BR1609" t="s">
        <v>102</v>
      </c>
      <c r="BS1609" t="s">
        <v>24864</v>
      </c>
      <c r="BT1609" t="str">
        <f>HYPERLINK("https%3A%2F%2Fwww.webofscience.com%2Fwos%2Fwoscc%2Ffull-record%2FWOS:001355008500001","View Full Record in Web of Science")</f>
        <v>View Full Record in Web of Science</v>
      </c>
    </row>
    <row r="1610" spans="1:72" x14ac:dyDescent="0.25">
      <c r="A1610" t="s">
        <v>72</v>
      </c>
      <c r="B1610" t="s">
        <v>24863</v>
      </c>
      <c r="C1610" t="s">
        <v>74</v>
      </c>
      <c r="D1610" t="s">
        <v>74</v>
      </c>
      <c r="E1610" t="s">
        <v>74</v>
      </c>
      <c r="F1610" t="s">
        <v>24862</v>
      </c>
      <c r="G1610" t="s">
        <v>74</v>
      </c>
      <c r="H1610" t="s">
        <v>74</v>
      </c>
      <c r="I1610" t="s">
        <v>24861</v>
      </c>
      <c r="J1610" t="s">
        <v>7119</v>
      </c>
      <c r="K1610" t="s">
        <v>74</v>
      </c>
      <c r="L1610" t="s">
        <v>74</v>
      </c>
      <c r="M1610" t="s">
        <v>78</v>
      </c>
      <c r="N1610" t="s">
        <v>79</v>
      </c>
      <c r="O1610" t="s">
        <v>74</v>
      </c>
      <c r="P1610" t="s">
        <v>74</v>
      </c>
      <c r="Q1610" t="s">
        <v>74</v>
      </c>
      <c r="R1610" t="s">
        <v>74</v>
      </c>
      <c r="S1610" t="s">
        <v>74</v>
      </c>
      <c r="T1610" t="s">
        <v>24860</v>
      </c>
      <c r="U1610" t="s">
        <v>8579</v>
      </c>
      <c r="V1610" t="s">
        <v>24859</v>
      </c>
      <c r="W1610" t="s">
        <v>24858</v>
      </c>
      <c r="X1610" t="s">
        <v>24857</v>
      </c>
      <c r="Y1610" t="s">
        <v>24856</v>
      </c>
      <c r="Z1610" t="s">
        <v>24855</v>
      </c>
      <c r="AA1610" t="s">
        <v>24854</v>
      </c>
      <c r="AB1610" t="s">
        <v>24853</v>
      </c>
      <c r="AC1610" t="s">
        <v>74</v>
      </c>
      <c r="AD1610" t="s">
        <v>74</v>
      </c>
      <c r="AE1610" t="s">
        <v>74</v>
      </c>
      <c r="AF1610" t="s">
        <v>74</v>
      </c>
      <c r="AG1610">
        <v>53</v>
      </c>
      <c r="AH1610">
        <v>10</v>
      </c>
      <c r="AI1610">
        <v>12</v>
      </c>
      <c r="AJ1610">
        <v>3</v>
      </c>
      <c r="AK1610">
        <v>17</v>
      </c>
      <c r="AL1610" t="s">
        <v>89</v>
      </c>
      <c r="AM1610" t="s">
        <v>90</v>
      </c>
      <c r="AN1610" t="s">
        <v>91</v>
      </c>
      <c r="AO1610" t="s">
        <v>7128</v>
      </c>
      <c r="AP1610" t="s">
        <v>74</v>
      </c>
      <c r="AQ1610" t="s">
        <v>74</v>
      </c>
      <c r="AR1610" t="s">
        <v>7129</v>
      </c>
      <c r="AS1610" t="s">
        <v>7130</v>
      </c>
      <c r="AT1610" t="s">
        <v>5915</v>
      </c>
      <c r="AU1610">
        <v>2024</v>
      </c>
      <c r="AV1610">
        <v>16</v>
      </c>
      <c r="AW1610">
        <v>4</v>
      </c>
      <c r="AX1610" t="s">
        <v>74</v>
      </c>
      <c r="AY1610" t="s">
        <v>74</v>
      </c>
      <c r="AZ1610" t="s">
        <v>74</v>
      </c>
      <c r="BA1610" t="s">
        <v>74</v>
      </c>
      <c r="BB1610">
        <v>660</v>
      </c>
      <c r="BC1610">
        <v>679</v>
      </c>
      <c r="BD1610" t="s">
        <v>74</v>
      </c>
      <c r="BE1610" t="s">
        <v>24852</v>
      </c>
      <c r="BF1610" t="str">
        <f>HYPERLINK("http://dx.doi.org/10.1108/QRFM-04-2022-0072","http://dx.doi.org/10.1108/QRFM-04-2022-0072")</f>
        <v>http://dx.doi.org/10.1108/QRFM-04-2022-0072</v>
      </c>
      <c r="BG1610" t="s">
        <v>74</v>
      </c>
      <c r="BH1610" t="s">
        <v>3535</v>
      </c>
      <c r="BI1610">
        <v>20</v>
      </c>
      <c r="BJ1610" t="s">
        <v>268</v>
      </c>
      <c r="BK1610" t="s">
        <v>313</v>
      </c>
      <c r="BL1610" t="s">
        <v>100</v>
      </c>
      <c r="BM1610" t="s">
        <v>24851</v>
      </c>
      <c r="BN1610" t="s">
        <v>74</v>
      </c>
      <c r="BO1610" t="s">
        <v>74</v>
      </c>
      <c r="BP1610" t="s">
        <v>74</v>
      </c>
      <c r="BQ1610" t="s">
        <v>74</v>
      </c>
      <c r="BR1610" t="s">
        <v>102</v>
      </c>
      <c r="BS1610" t="s">
        <v>24850</v>
      </c>
      <c r="BT1610" t="str">
        <f>HYPERLINK("https%3A%2F%2Fwww.webofscience.com%2Fwos%2Fwoscc%2Ffull-record%2FWOS:001098663000001","View Full Record in Web of Science")</f>
        <v>View Full Record in Web of Science</v>
      </c>
    </row>
    <row r="1611" spans="1:72" x14ac:dyDescent="0.25">
      <c r="A1611" t="s">
        <v>72</v>
      </c>
      <c r="B1611" t="s">
        <v>24849</v>
      </c>
      <c r="C1611" t="s">
        <v>74</v>
      </c>
      <c r="D1611" t="s">
        <v>74</v>
      </c>
      <c r="E1611" t="s">
        <v>74</v>
      </c>
      <c r="F1611" t="s">
        <v>24848</v>
      </c>
      <c r="G1611" t="s">
        <v>74</v>
      </c>
      <c r="H1611" t="s">
        <v>74</v>
      </c>
      <c r="I1611" t="s">
        <v>24847</v>
      </c>
      <c r="J1611" t="s">
        <v>877</v>
      </c>
      <c r="K1611" t="s">
        <v>74</v>
      </c>
      <c r="L1611" t="s">
        <v>74</v>
      </c>
      <c r="M1611" t="s">
        <v>78</v>
      </c>
      <c r="N1611" t="s">
        <v>79</v>
      </c>
      <c r="O1611" t="s">
        <v>74</v>
      </c>
      <c r="P1611" t="s">
        <v>74</v>
      </c>
      <c r="Q1611" t="s">
        <v>74</v>
      </c>
      <c r="R1611" t="s">
        <v>74</v>
      </c>
      <c r="S1611" t="s">
        <v>74</v>
      </c>
      <c r="T1611" t="s">
        <v>24846</v>
      </c>
      <c r="U1611" t="s">
        <v>24845</v>
      </c>
      <c r="V1611" t="s">
        <v>24844</v>
      </c>
      <c r="W1611" t="s">
        <v>24843</v>
      </c>
      <c r="X1611" t="s">
        <v>24842</v>
      </c>
      <c r="Y1611" t="s">
        <v>24841</v>
      </c>
      <c r="Z1611" t="s">
        <v>24840</v>
      </c>
      <c r="AA1611" t="s">
        <v>24839</v>
      </c>
      <c r="AB1611" t="s">
        <v>74</v>
      </c>
      <c r="AC1611" t="s">
        <v>74</v>
      </c>
      <c r="AD1611" t="s">
        <v>74</v>
      </c>
      <c r="AE1611" t="s">
        <v>74</v>
      </c>
      <c r="AF1611" t="s">
        <v>74</v>
      </c>
      <c r="AG1611">
        <v>76</v>
      </c>
      <c r="AH1611">
        <v>0</v>
      </c>
      <c r="AI1611">
        <v>0</v>
      </c>
      <c r="AJ1611">
        <v>3</v>
      </c>
      <c r="AK1611">
        <v>25</v>
      </c>
      <c r="AL1611" t="s">
        <v>884</v>
      </c>
      <c r="AM1611" t="s">
        <v>5203</v>
      </c>
      <c r="AN1611" t="s">
        <v>5204</v>
      </c>
      <c r="AO1611" t="s">
        <v>887</v>
      </c>
      <c r="AP1611" t="s">
        <v>888</v>
      </c>
      <c r="AQ1611" t="s">
        <v>74</v>
      </c>
      <c r="AR1611" t="s">
        <v>889</v>
      </c>
      <c r="AS1611" t="s">
        <v>890</v>
      </c>
      <c r="AT1611" t="s">
        <v>743</v>
      </c>
      <c r="AU1611">
        <v>2022</v>
      </c>
      <c r="AV1611">
        <v>9</v>
      </c>
      <c r="AW1611">
        <v>4</v>
      </c>
      <c r="AX1611" t="s">
        <v>74</v>
      </c>
      <c r="AY1611" t="s">
        <v>74</v>
      </c>
      <c r="AZ1611" t="s">
        <v>74</v>
      </c>
      <c r="BA1611" t="s">
        <v>74</v>
      </c>
      <c r="BB1611">
        <v>367</v>
      </c>
      <c r="BC1611">
        <v>380</v>
      </c>
      <c r="BD1611" t="s">
        <v>74</v>
      </c>
      <c r="BE1611" t="s">
        <v>24838</v>
      </c>
      <c r="BF1611" t="str">
        <f>HYPERLINK("http://dx.doi.org/10.13106/jafeb.2022.vol9.no4.0367","http://dx.doi.org/10.13106/jafeb.2022.vol9.no4.0367")</f>
        <v>http://dx.doi.org/10.13106/jafeb.2022.vol9.no4.0367</v>
      </c>
      <c r="BG1611" t="s">
        <v>74</v>
      </c>
      <c r="BH1611" t="s">
        <v>74</v>
      </c>
      <c r="BI1611">
        <v>14</v>
      </c>
      <c r="BJ1611" t="s">
        <v>418</v>
      </c>
      <c r="BK1611" t="s">
        <v>313</v>
      </c>
      <c r="BL1611" t="s">
        <v>100</v>
      </c>
      <c r="BM1611" t="s">
        <v>24837</v>
      </c>
      <c r="BN1611" t="s">
        <v>74</v>
      </c>
      <c r="BO1611" t="s">
        <v>74</v>
      </c>
      <c r="BP1611" t="s">
        <v>74</v>
      </c>
      <c r="BQ1611" t="s">
        <v>74</v>
      </c>
      <c r="BR1611" t="s">
        <v>102</v>
      </c>
      <c r="BS1611" t="s">
        <v>24836</v>
      </c>
      <c r="BT1611" t="str">
        <f>HYPERLINK("https%3A%2F%2Fwww.webofscience.com%2Fwos%2Fwoscc%2Ffull-record%2FWOS:000780235900035","View Full Record in Web of Science")</f>
        <v>View Full Record in Web of Science</v>
      </c>
    </row>
    <row r="1612" spans="1:72" x14ac:dyDescent="0.25">
      <c r="A1612" t="s">
        <v>72</v>
      </c>
      <c r="B1612" t="s">
        <v>24835</v>
      </c>
      <c r="C1612" t="s">
        <v>74</v>
      </c>
      <c r="D1612" t="s">
        <v>74</v>
      </c>
      <c r="E1612" t="s">
        <v>74</v>
      </c>
      <c r="F1612" t="s">
        <v>24834</v>
      </c>
      <c r="G1612" t="s">
        <v>74</v>
      </c>
      <c r="H1612" t="s">
        <v>74</v>
      </c>
      <c r="I1612" t="s">
        <v>24833</v>
      </c>
      <c r="J1612" t="s">
        <v>15430</v>
      </c>
      <c r="K1612" t="s">
        <v>74</v>
      </c>
      <c r="L1612" t="s">
        <v>74</v>
      </c>
      <c r="M1612" t="s">
        <v>78</v>
      </c>
      <c r="N1612" t="s">
        <v>79</v>
      </c>
      <c r="O1612" t="s">
        <v>74</v>
      </c>
      <c r="P1612" t="s">
        <v>74</v>
      </c>
      <c r="Q1612" t="s">
        <v>74</v>
      </c>
      <c r="R1612" t="s">
        <v>74</v>
      </c>
      <c r="S1612" t="s">
        <v>74</v>
      </c>
      <c r="T1612" t="s">
        <v>74</v>
      </c>
      <c r="U1612" t="s">
        <v>74</v>
      </c>
      <c r="V1612" t="s">
        <v>74</v>
      </c>
      <c r="W1612" t="s">
        <v>74</v>
      </c>
      <c r="X1612" t="s">
        <v>74</v>
      </c>
      <c r="Y1612" t="s">
        <v>74</v>
      </c>
      <c r="Z1612" t="s">
        <v>24832</v>
      </c>
      <c r="AA1612" t="s">
        <v>74</v>
      </c>
      <c r="AB1612" t="s">
        <v>74</v>
      </c>
      <c r="AC1612" t="s">
        <v>74</v>
      </c>
      <c r="AD1612" t="s">
        <v>74</v>
      </c>
      <c r="AE1612" t="s">
        <v>74</v>
      </c>
      <c r="AF1612" t="s">
        <v>74</v>
      </c>
      <c r="AG1612">
        <v>6</v>
      </c>
      <c r="AH1612">
        <v>1</v>
      </c>
      <c r="AI1612">
        <v>2</v>
      </c>
      <c r="AJ1612">
        <v>0</v>
      </c>
      <c r="AK1612">
        <v>12</v>
      </c>
      <c r="AL1612" t="s">
        <v>479</v>
      </c>
      <c r="AM1612" t="s">
        <v>480</v>
      </c>
      <c r="AN1612" t="s">
        <v>481</v>
      </c>
      <c r="AO1612" t="s">
        <v>15436</v>
      </c>
      <c r="AP1612" t="s">
        <v>15437</v>
      </c>
      <c r="AQ1612" t="s">
        <v>74</v>
      </c>
      <c r="AR1612" t="s">
        <v>15438</v>
      </c>
      <c r="AS1612" t="s">
        <v>15439</v>
      </c>
      <c r="AT1612" t="s">
        <v>1652</v>
      </c>
      <c r="AU1612">
        <v>2016</v>
      </c>
      <c r="AV1612">
        <v>36</v>
      </c>
      <c r="AW1612">
        <v>2</v>
      </c>
      <c r="AX1612" t="s">
        <v>74</v>
      </c>
      <c r="AY1612" t="s">
        <v>74</v>
      </c>
      <c r="AZ1612" t="s">
        <v>74</v>
      </c>
      <c r="BA1612" t="s">
        <v>74</v>
      </c>
      <c r="BB1612">
        <v>212</v>
      </c>
      <c r="BC1612">
        <v>216</v>
      </c>
      <c r="BD1612" t="s">
        <v>74</v>
      </c>
      <c r="BE1612" t="s">
        <v>24831</v>
      </c>
      <c r="BF1612" t="str">
        <f>HYPERLINK("http://dx.doi.org/10.1111/ecaf.12177","http://dx.doi.org/10.1111/ecaf.12177")</f>
        <v>http://dx.doi.org/10.1111/ecaf.12177</v>
      </c>
      <c r="BG1612" t="s">
        <v>74</v>
      </c>
      <c r="BH1612" t="s">
        <v>74</v>
      </c>
      <c r="BI1612">
        <v>5</v>
      </c>
      <c r="BJ1612" t="s">
        <v>291</v>
      </c>
      <c r="BK1612" t="s">
        <v>313</v>
      </c>
      <c r="BL1612" t="s">
        <v>100</v>
      </c>
      <c r="BM1612" t="s">
        <v>24830</v>
      </c>
      <c r="BN1612" t="s">
        <v>74</v>
      </c>
      <c r="BO1612" t="s">
        <v>74</v>
      </c>
      <c r="BP1612" t="s">
        <v>74</v>
      </c>
      <c r="BQ1612" t="s">
        <v>74</v>
      </c>
      <c r="BR1612" t="s">
        <v>102</v>
      </c>
      <c r="BS1612" t="s">
        <v>24829</v>
      </c>
      <c r="BT1612" t="str">
        <f>HYPERLINK("https%3A%2F%2Fwww.webofscience.com%2Fwos%2Fwoscc%2Ffull-record%2FWOS:000379675600010","View Full Record in Web of Science")</f>
        <v>View Full Record in Web of Science</v>
      </c>
    </row>
    <row r="1613" spans="1:72" x14ac:dyDescent="0.25">
      <c r="A1613" t="s">
        <v>72</v>
      </c>
      <c r="B1613" t="s">
        <v>24828</v>
      </c>
      <c r="C1613" t="s">
        <v>74</v>
      </c>
      <c r="D1613" t="s">
        <v>74</v>
      </c>
      <c r="E1613" t="s">
        <v>74</v>
      </c>
      <c r="F1613" t="s">
        <v>24827</v>
      </c>
      <c r="G1613" t="s">
        <v>74</v>
      </c>
      <c r="H1613" t="s">
        <v>74</v>
      </c>
      <c r="I1613" t="s">
        <v>24826</v>
      </c>
      <c r="J1613" t="s">
        <v>729</v>
      </c>
      <c r="K1613" t="s">
        <v>74</v>
      </c>
      <c r="L1613" t="s">
        <v>74</v>
      </c>
      <c r="M1613" t="s">
        <v>78</v>
      </c>
      <c r="N1613" t="s">
        <v>79</v>
      </c>
      <c r="O1613" t="s">
        <v>74</v>
      </c>
      <c r="P1613" t="s">
        <v>74</v>
      </c>
      <c r="Q1613" t="s">
        <v>74</v>
      </c>
      <c r="R1613" t="s">
        <v>74</v>
      </c>
      <c r="S1613" t="s">
        <v>74</v>
      </c>
      <c r="T1613" t="s">
        <v>24825</v>
      </c>
      <c r="U1613" t="s">
        <v>24824</v>
      </c>
      <c r="V1613" t="s">
        <v>24823</v>
      </c>
      <c r="W1613" t="s">
        <v>24822</v>
      </c>
      <c r="X1613" t="s">
        <v>24821</v>
      </c>
      <c r="Y1613" t="s">
        <v>24820</v>
      </c>
      <c r="Z1613" t="s">
        <v>24819</v>
      </c>
      <c r="AA1613" t="s">
        <v>24818</v>
      </c>
      <c r="AB1613" t="s">
        <v>24817</v>
      </c>
      <c r="AC1613" t="s">
        <v>24816</v>
      </c>
      <c r="AD1613" t="s">
        <v>24815</v>
      </c>
      <c r="AE1613" t="s">
        <v>24814</v>
      </c>
      <c r="AF1613" t="s">
        <v>74</v>
      </c>
      <c r="AG1613">
        <v>86</v>
      </c>
      <c r="AH1613">
        <v>8</v>
      </c>
      <c r="AI1613">
        <v>9</v>
      </c>
      <c r="AJ1613">
        <v>5</v>
      </c>
      <c r="AK1613">
        <v>86</v>
      </c>
      <c r="AL1613" t="s">
        <v>479</v>
      </c>
      <c r="AM1613" t="s">
        <v>480</v>
      </c>
      <c r="AN1613" t="s">
        <v>481</v>
      </c>
      <c r="AO1613" t="s">
        <v>739</v>
      </c>
      <c r="AP1613" t="s">
        <v>740</v>
      </c>
      <c r="AQ1613" t="s">
        <v>74</v>
      </c>
      <c r="AR1613" t="s">
        <v>741</v>
      </c>
      <c r="AS1613" t="s">
        <v>742</v>
      </c>
      <c r="AT1613" t="s">
        <v>208</v>
      </c>
      <c r="AU1613">
        <v>2022</v>
      </c>
      <c r="AV1613">
        <v>27</v>
      </c>
      <c r="AW1613">
        <v>1</v>
      </c>
      <c r="AX1613" t="s">
        <v>74</v>
      </c>
      <c r="AY1613" t="s">
        <v>74</v>
      </c>
      <c r="AZ1613" t="s">
        <v>74</v>
      </c>
      <c r="BA1613" t="s">
        <v>74</v>
      </c>
      <c r="BB1613">
        <v>1547</v>
      </c>
      <c r="BC1613">
        <v>1568</v>
      </c>
      <c r="BD1613" t="s">
        <v>74</v>
      </c>
      <c r="BE1613" t="s">
        <v>24813</v>
      </c>
      <c r="BF1613" t="str">
        <f>HYPERLINK("http://dx.doi.org/10.1002/ijfe.2230","http://dx.doi.org/10.1002/ijfe.2230")</f>
        <v>http://dx.doi.org/10.1002/ijfe.2230</v>
      </c>
      <c r="BG1613" t="s">
        <v>74</v>
      </c>
      <c r="BH1613" t="s">
        <v>745</v>
      </c>
      <c r="BI1613">
        <v>22</v>
      </c>
      <c r="BJ1613" t="s">
        <v>268</v>
      </c>
      <c r="BK1613" t="s">
        <v>99</v>
      </c>
      <c r="BL1613" t="s">
        <v>100</v>
      </c>
      <c r="BM1613" t="s">
        <v>6165</v>
      </c>
      <c r="BN1613" t="s">
        <v>74</v>
      </c>
      <c r="BO1613" t="s">
        <v>74</v>
      </c>
      <c r="BP1613" t="s">
        <v>74</v>
      </c>
      <c r="BQ1613" t="s">
        <v>74</v>
      </c>
      <c r="BR1613" t="s">
        <v>102</v>
      </c>
      <c r="BS1613" t="s">
        <v>24812</v>
      </c>
      <c r="BT1613" t="str">
        <f>HYPERLINK("https%3A%2F%2Fwww.webofscience.com%2Fwos%2Fwoscc%2Ffull-record%2FWOS:000564357700001","View Full Record in Web of Science")</f>
        <v>View Full Record in Web of Science</v>
      </c>
    </row>
    <row r="1614" spans="1:72" x14ac:dyDescent="0.25">
      <c r="A1614" t="s">
        <v>72</v>
      </c>
      <c r="B1614" t="s">
        <v>24811</v>
      </c>
      <c r="C1614" t="s">
        <v>74</v>
      </c>
      <c r="D1614" t="s">
        <v>74</v>
      </c>
      <c r="E1614" t="s">
        <v>74</v>
      </c>
      <c r="F1614" t="s">
        <v>24810</v>
      </c>
      <c r="G1614" t="s">
        <v>74</v>
      </c>
      <c r="H1614" t="s">
        <v>74</v>
      </c>
      <c r="I1614" t="s">
        <v>24809</v>
      </c>
      <c r="J1614" t="s">
        <v>24808</v>
      </c>
      <c r="K1614" t="s">
        <v>74</v>
      </c>
      <c r="L1614" t="s">
        <v>74</v>
      </c>
      <c r="M1614" t="s">
        <v>78</v>
      </c>
      <c r="N1614" t="s">
        <v>79</v>
      </c>
      <c r="O1614" t="s">
        <v>74</v>
      </c>
      <c r="P1614" t="s">
        <v>74</v>
      </c>
      <c r="Q1614" t="s">
        <v>74</v>
      </c>
      <c r="R1614" t="s">
        <v>74</v>
      </c>
      <c r="S1614" t="s">
        <v>74</v>
      </c>
      <c r="T1614" t="s">
        <v>24807</v>
      </c>
      <c r="U1614" t="s">
        <v>24806</v>
      </c>
      <c r="V1614" t="s">
        <v>24805</v>
      </c>
      <c r="W1614" t="s">
        <v>24804</v>
      </c>
      <c r="X1614" t="s">
        <v>24803</v>
      </c>
      <c r="Y1614" t="s">
        <v>24802</v>
      </c>
      <c r="Z1614" t="s">
        <v>24801</v>
      </c>
      <c r="AA1614" t="s">
        <v>24800</v>
      </c>
      <c r="AB1614" t="s">
        <v>24799</v>
      </c>
      <c r="AC1614" t="s">
        <v>24798</v>
      </c>
      <c r="AD1614" t="s">
        <v>24797</v>
      </c>
      <c r="AE1614" t="s">
        <v>24796</v>
      </c>
      <c r="AF1614" t="s">
        <v>74</v>
      </c>
      <c r="AG1614">
        <v>85</v>
      </c>
      <c r="AH1614">
        <v>7</v>
      </c>
      <c r="AI1614">
        <v>12</v>
      </c>
      <c r="AJ1614">
        <v>1</v>
      </c>
      <c r="AK1614">
        <v>32</v>
      </c>
      <c r="AL1614" t="s">
        <v>575</v>
      </c>
      <c r="AM1614" t="s">
        <v>576</v>
      </c>
      <c r="AN1614" t="s">
        <v>3242</v>
      </c>
      <c r="AO1614" t="s">
        <v>74</v>
      </c>
      <c r="AP1614" t="s">
        <v>24795</v>
      </c>
      <c r="AQ1614" t="s">
        <v>74</v>
      </c>
      <c r="AR1614" t="s">
        <v>24794</v>
      </c>
      <c r="AS1614" t="s">
        <v>24793</v>
      </c>
      <c r="AT1614" t="s">
        <v>848</v>
      </c>
      <c r="AU1614">
        <v>2022</v>
      </c>
      <c r="AV1614">
        <v>12</v>
      </c>
      <c r="AW1614">
        <v>7</v>
      </c>
      <c r="AX1614" t="s">
        <v>74</v>
      </c>
      <c r="AY1614" t="s">
        <v>74</v>
      </c>
      <c r="AZ1614" t="s">
        <v>74</v>
      </c>
      <c r="BA1614" t="s">
        <v>74</v>
      </c>
      <c r="BB1614" t="s">
        <v>74</v>
      </c>
      <c r="BC1614" t="s">
        <v>74</v>
      </c>
      <c r="BD1614">
        <v>463</v>
      </c>
      <c r="BE1614" t="s">
        <v>24792</v>
      </c>
      <c r="BF1614" t="str">
        <f>HYPERLINK("http://dx.doi.org/10.3390/educsci12070463","http://dx.doi.org/10.3390/educsci12070463")</f>
        <v>http://dx.doi.org/10.3390/educsci12070463</v>
      </c>
      <c r="BG1614" t="s">
        <v>74</v>
      </c>
      <c r="BH1614" t="s">
        <v>74</v>
      </c>
      <c r="BI1614">
        <v>21</v>
      </c>
      <c r="BJ1614" t="s">
        <v>4031</v>
      </c>
      <c r="BK1614" t="s">
        <v>313</v>
      </c>
      <c r="BL1614" t="s">
        <v>4031</v>
      </c>
      <c r="BM1614" t="s">
        <v>24791</v>
      </c>
      <c r="BN1614" t="s">
        <v>74</v>
      </c>
      <c r="BO1614" t="s">
        <v>916</v>
      </c>
      <c r="BP1614" t="s">
        <v>74</v>
      </c>
      <c r="BQ1614" t="s">
        <v>74</v>
      </c>
      <c r="BR1614" t="s">
        <v>102</v>
      </c>
      <c r="BS1614" t="s">
        <v>24790</v>
      </c>
      <c r="BT1614" t="str">
        <f>HYPERLINK("https%3A%2F%2Fwww.webofscience.com%2Fwos%2Fwoscc%2Ffull-record%2FWOS:000831984400001","View Full Record in Web of Science")</f>
        <v>View Full Record in Web of Science</v>
      </c>
    </row>
    <row r="1615" spans="1:72" x14ac:dyDescent="0.25">
      <c r="A1615" t="s">
        <v>72</v>
      </c>
      <c r="B1615" t="s">
        <v>24789</v>
      </c>
      <c r="C1615" t="s">
        <v>74</v>
      </c>
      <c r="D1615" t="s">
        <v>74</v>
      </c>
      <c r="E1615" t="s">
        <v>74</v>
      </c>
      <c r="F1615" t="s">
        <v>24788</v>
      </c>
      <c r="G1615" t="s">
        <v>74</v>
      </c>
      <c r="H1615" t="s">
        <v>74</v>
      </c>
      <c r="I1615" t="s">
        <v>24787</v>
      </c>
      <c r="J1615" t="s">
        <v>19104</v>
      </c>
      <c r="K1615" t="s">
        <v>74</v>
      </c>
      <c r="L1615" t="s">
        <v>74</v>
      </c>
      <c r="M1615" t="s">
        <v>78</v>
      </c>
      <c r="N1615" t="s">
        <v>79</v>
      </c>
      <c r="O1615" t="s">
        <v>74</v>
      </c>
      <c r="P1615" t="s">
        <v>74</v>
      </c>
      <c r="Q1615" t="s">
        <v>74</v>
      </c>
      <c r="R1615" t="s">
        <v>74</v>
      </c>
      <c r="S1615" t="s">
        <v>74</v>
      </c>
      <c r="T1615" t="s">
        <v>24786</v>
      </c>
      <c r="U1615" t="s">
        <v>24785</v>
      </c>
      <c r="V1615" t="s">
        <v>24784</v>
      </c>
      <c r="W1615" t="s">
        <v>24783</v>
      </c>
      <c r="X1615" t="s">
        <v>24782</v>
      </c>
      <c r="Y1615" t="s">
        <v>22213</v>
      </c>
      <c r="Z1615" t="s">
        <v>24781</v>
      </c>
      <c r="AA1615" t="s">
        <v>24780</v>
      </c>
      <c r="AB1615" t="s">
        <v>24779</v>
      </c>
      <c r="AC1615" t="s">
        <v>74</v>
      </c>
      <c r="AD1615" t="s">
        <v>74</v>
      </c>
      <c r="AE1615" t="s">
        <v>74</v>
      </c>
      <c r="AF1615" t="s">
        <v>74</v>
      </c>
      <c r="AG1615">
        <v>126</v>
      </c>
      <c r="AH1615">
        <v>15</v>
      </c>
      <c r="AI1615">
        <v>18</v>
      </c>
      <c r="AJ1615">
        <v>2</v>
      </c>
      <c r="AK1615">
        <v>47</v>
      </c>
      <c r="AL1615" t="s">
        <v>89</v>
      </c>
      <c r="AM1615" t="s">
        <v>90</v>
      </c>
      <c r="AN1615" t="s">
        <v>91</v>
      </c>
      <c r="AO1615" t="s">
        <v>19092</v>
      </c>
      <c r="AP1615" t="s">
        <v>19091</v>
      </c>
      <c r="AQ1615" t="s">
        <v>74</v>
      </c>
      <c r="AR1615" t="s">
        <v>19090</v>
      </c>
      <c r="AS1615" t="s">
        <v>19089</v>
      </c>
      <c r="AT1615" t="s">
        <v>24778</v>
      </c>
      <c r="AU1615">
        <v>2024</v>
      </c>
      <c r="AV1615">
        <v>27</v>
      </c>
      <c r="AW1615">
        <v>6</v>
      </c>
      <c r="AX1615" t="s">
        <v>74</v>
      </c>
      <c r="AY1615" t="s">
        <v>74</v>
      </c>
      <c r="AZ1615" t="s">
        <v>74</v>
      </c>
      <c r="BA1615" t="s">
        <v>74</v>
      </c>
      <c r="BB1615">
        <v>1837</v>
      </c>
      <c r="BC1615">
        <v>1863</v>
      </c>
      <c r="BD1615" t="s">
        <v>74</v>
      </c>
      <c r="BE1615" t="s">
        <v>24777</v>
      </c>
      <c r="BF1615" t="str">
        <f>HYPERLINK("http://dx.doi.org/10.1108/EJIM-09-2022-0538","http://dx.doi.org/10.1108/EJIM-09-2022-0538")</f>
        <v>http://dx.doi.org/10.1108/EJIM-09-2022-0538</v>
      </c>
      <c r="BG1615" t="s">
        <v>74</v>
      </c>
      <c r="BH1615" t="s">
        <v>11288</v>
      </c>
      <c r="BI1615">
        <v>27</v>
      </c>
      <c r="BJ1615" t="s">
        <v>98</v>
      </c>
      <c r="BK1615" t="s">
        <v>99</v>
      </c>
      <c r="BL1615" t="s">
        <v>100</v>
      </c>
      <c r="BM1615" t="s">
        <v>24776</v>
      </c>
      <c r="BN1615" t="s">
        <v>74</v>
      </c>
      <c r="BO1615" t="s">
        <v>74</v>
      </c>
      <c r="BP1615" t="s">
        <v>74</v>
      </c>
      <c r="BQ1615" t="s">
        <v>74</v>
      </c>
      <c r="BR1615" t="s">
        <v>102</v>
      </c>
      <c r="BS1615" t="s">
        <v>24775</v>
      </c>
      <c r="BT1615" t="str">
        <f>HYPERLINK("https%3A%2F%2Fwww.webofscience.com%2Fwos%2Fwoscc%2Ffull-record%2FWOS:000921194700001","View Full Record in Web of Science")</f>
        <v>View Full Record in Web of Science</v>
      </c>
    </row>
    <row r="1616" spans="1:72" x14ac:dyDescent="0.25">
      <c r="A1616" t="s">
        <v>72</v>
      </c>
      <c r="B1616" t="s">
        <v>24774</v>
      </c>
      <c r="C1616" t="s">
        <v>74</v>
      </c>
      <c r="D1616" t="s">
        <v>74</v>
      </c>
      <c r="E1616" t="s">
        <v>74</v>
      </c>
      <c r="F1616" t="s">
        <v>24773</v>
      </c>
      <c r="G1616" t="s">
        <v>74</v>
      </c>
      <c r="H1616" t="s">
        <v>74</v>
      </c>
      <c r="I1616" t="s">
        <v>24772</v>
      </c>
      <c r="J1616" t="s">
        <v>3231</v>
      </c>
      <c r="K1616" t="s">
        <v>74</v>
      </c>
      <c r="L1616" t="s">
        <v>74</v>
      </c>
      <c r="M1616" t="s">
        <v>78</v>
      </c>
      <c r="N1616" t="s">
        <v>2335</v>
      </c>
      <c r="O1616" t="s">
        <v>74</v>
      </c>
      <c r="P1616" t="s">
        <v>74</v>
      </c>
      <c r="Q1616" t="s">
        <v>74</v>
      </c>
      <c r="R1616" t="s">
        <v>74</v>
      </c>
      <c r="S1616" t="s">
        <v>74</v>
      </c>
      <c r="T1616" t="s">
        <v>24771</v>
      </c>
      <c r="U1616" t="s">
        <v>74</v>
      </c>
      <c r="V1616" t="s">
        <v>24770</v>
      </c>
      <c r="W1616" t="s">
        <v>24769</v>
      </c>
      <c r="X1616" t="s">
        <v>24768</v>
      </c>
      <c r="Y1616" t="s">
        <v>24767</v>
      </c>
      <c r="Z1616" t="s">
        <v>24766</v>
      </c>
      <c r="AA1616" t="s">
        <v>24765</v>
      </c>
      <c r="AB1616" t="s">
        <v>24764</v>
      </c>
      <c r="AC1616" t="s">
        <v>74</v>
      </c>
      <c r="AD1616" t="s">
        <v>74</v>
      </c>
      <c r="AE1616" t="s">
        <v>74</v>
      </c>
      <c r="AF1616" t="s">
        <v>74</v>
      </c>
      <c r="AG1616">
        <v>4</v>
      </c>
      <c r="AH1616">
        <v>2</v>
      </c>
      <c r="AI1616">
        <v>2</v>
      </c>
      <c r="AJ1616">
        <v>0</v>
      </c>
      <c r="AK1616">
        <v>4</v>
      </c>
      <c r="AL1616" t="s">
        <v>575</v>
      </c>
      <c r="AM1616" t="s">
        <v>576</v>
      </c>
      <c r="AN1616" t="s">
        <v>3242</v>
      </c>
      <c r="AO1616" t="s">
        <v>74</v>
      </c>
      <c r="AP1616" t="s">
        <v>3243</v>
      </c>
      <c r="AQ1616" t="s">
        <v>74</v>
      </c>
      <c r="AR1616" t="s">
        <v>3244</v>
      </c>
      <c r="AS1616" t="s">
        <v>3245</v>
      </c>
      <c r="AT1616" t="s">
        <v>289</v>
      </c>
      <c r="AU1616">
        <v>2018</v>
      </c>
      <c r="AV1616">
        <v>10</v>
      </c>
      <c r="AW1616">
        <v>8</v>
      </c>
      <c r="AX1616" t="s">
        <v>74</v>
      </c>
      <c r="AY1616" t="s">
        <v>74</v>
      </c>
      <c r="AZ1616" t="s">
        <v>74</v>
      </c>
      <c r="BA1616" t="s">
        <v>74</v>
      </c>
      <c r="BB1616" t="s">
        <v>74</v>
      </c>
      <c r="BC1616" t="s">
        <v>74</v>
      </c>
      <c r="BD1616">
        <v>2784</v>
      </c>
      <c r="BE1616" t="s">
        <v>24763</v>
      </c>
      <c r="BF1616" t="str">
        <f>HYPERLINK("http://dx.doi.org/10.3390/su10082784","http://dx.doi.org/10.3390/su10082784")</f>
        <v>http://dx.doi.org/10.3390/su10082784</v>
      </c>
      <c r="BG1616" t="s">
        <v>74</v>
      </c>
      <c r="BH1616" t="s">
        <v>74</v>
      </c>
      <c r="BI1616">
        <v>4</v>
      </c>
      <c r="BJ1616" t="s">
        <v>3247</v>
      </c>
      <c r="BK1616" t="s">
        <v>2623</v>
      </c>
      <c r="BL1616" t="s">
        <v>3248</v>
      </c>
      <c r="BM1616" t="s">
        <v>8082</v>
      </c>
      <c r="BN1616" t="s">
        <v>74</v>
      </c>
      <c r="BO1616" t="s">
        <v>916</v>
      </c>
      <c r="BP1616" t="s">
        <v>74</v>
      </c>
      <c r="BQ1616" t="s">
        <v>74</v>
      </c>
      <c r="BR1616" t="s">
        <v>102</v>
      </c>
      <c r="BS1616" t="s">
        <v>24762</v>
      </c>
      <c r="BT1616" t="str">
        <f>HYPERLINK("https%3A%2F%2Fwww.webofscience.com%2Fwos%2Fwoscc%2Ffull-record%2FWOS:000446767700200","View Full Record in Web of Science")</f>
        <v>View Full Record in Web of Science</v>
      </c>
    </row>
    <row r="1617" spans="1:72" x14ac:dyDescent="0.25">
      <c r="A1617" t="s">
        <v>72</v>
      </c>
      <c r="B1617" t="s">
        <v>24761</v>
      </c>
      <c r="C1617" t="s">
        <v>74</v>
      </c>
      <c r="D1617" t="s">
        <v>74</v>
      </c>
      <c r="E1617" t="s">
        <v>74</v>
      </c>
      <c r="F1617" t="s">
        <v>24760</v>
      </c>
      <c r="G1617" t="s">
        <v>74</v>
      </c>
      <c r="H1617" t="s">
        <v>74</v>
      </c>
      <c r="I1617" t="s">
        <v>24759</v>
      </c>
      <c r="J1617" t="s">
        <v>8200</v>
      </c>
      <c r="K1617" t="s">
        <v>74</v>
      </c>
      <c r="L1617" t="s">
        <v>74</v>
      </c>
      <c r="M1617" t="s">
        <v>78</v>
      </c>
      <c r="N1617" t="s">
        <v>79</v>
      </c>
      <c r="O1617" t="s">
        <v>74</v>
      </c>
      <c r="P1617" t="s">
        <v>74</v>
      </c>
      <c r="Q1617" t="s">
        <v>74</v>
      </c>
      <c r="R1617" t="s">
        <v>74</v>
      </c>
      <c r="S1617" t="s">
        <v>74</v>
      </c>
      <c r="T1617" t="s">
        <v>24758</v>
      </c>
      <c r="U1617" t="s">
        <v>74</v>
      </c>
      <c r="V1617" t="s">
        <v>24757</v>
      </c>
      <c r="W1617" t="s">
        <v>24756</v>
      </c>
      <c r="X1617" t="s">
        <v>24755</v>
      </c>
      <c r="Y1617" t="s">
        <v>24754</v>
      </c>
      <c r="Z1617" t="s">
        <v>24753</v>
      </c>
      <c r="AA1617" t="s">
        <v>24752</v>
      </c>
      <c r="AB1617" t="s">
        <v>74</v>
      </c>
      <c r="AC1617" t="s">
        <v>74</v>
      </c>
      <c r="AD1617" t="s">
        <v>74</v>
      </c>
      <c r="AE1617" t="s">
        <v>74</v>
      </c>
      <c r="AF1617" t="s">
        <v>74</v>
      </c>
      <c r="AG1617">
        <v>33</v>
      </c>
      <c r="AH1617">
        <v>0</v>
      </c>
      <c r="AI1617">
        <v>0</v>
      </c>
      <c r="AJ1617">
        <v>0</v>
      </c>
      <c r="AK1617">
        <v>8</v>
      </c>
      <c r="AL1617" t="s">
        <v>8210</v>
      </c>
      <c r="AM1617" t="s">
        <v>8211</v>
      </c>
      <c r="AN1617" t="s">
        <v>8212</v>
      </c>
      <c r="AO1617" t="s">
        <v>8213</v>
      </c>
      <c r="AP1617" t="s">
        <v>74</v>
      </c>
      <c r="AQ1617" t="s">
        <v>74</v>
      </c>
      <c r="AR1617" t="s">
        <v>8214</v>
      </c>
      <c r="AS1617" t="s">
        <v>8215</v>
      </c>
      <c r="AT1617" t="s">
        <v>891</v>
      </c>
      <c r="AU1617">
        <v>2023</v>
      </c>
      <c r="AV1617">
        <v>16</v>
      </c>
      <c r="AW1617">
        <v>5</v>
      </c>
      <c r="AX1617" t="s">
        <v>74</v>
      </c>
      <c r="AY1617" t="s">
        <v>74</v>
      </c>
      <c r="AZ1617" t="s">
        <v>74</v>
      </c>
      <c r="BA1617" t="s">
        <v>74</v>
      </c>
      <c r="BB1617">
        <v>70</v>
      </c>
      <c r="BC1617">
        <v>79</v>
      </c>
      <c r="BD1617" t="s">
        <v>74</v>
      </c>
      <c r="BE1617" t="s">
        <v>74</v>
      </c>
      <c r="BF1617" t="s">
        <v>74</v>
      </c>
      <c r="BG1617" t="s">
        <v>74</v>
      </c>
      <c r="BH1617" t="s">
        <v>74</v>
      </c>
      <c r="BI1617">
        <v>10</v>
      </c>
      <c r="BJ1617" t="s">
        <v>418</v>
      </c>
      <c r="BK1617" t="s">
        <v>313</v>
      </c>
      <c r="BL1617" t="s">
        <v>100</v>
      </c>
      <c r="BM1617" t="s">
        <v>24751</v>
      </c>
      <c r="BN1617" t="s">
        <v>74</v>
      </c>
      <c r="BO1617" t="s">
        <v>74</v>
      </c>
      <c r="BP1617" t="s">
        <v>74</v>
      </c>
      <c r="BQ1617" t="s">
        <v>74</v>
      </c>
      <c r="BR1617" t="s">
        <v>102</v>
      </c>
      <c r="BS1617" t="s">
        <v>24750</v>
      </c>
      <c r="BT1617" t="str">
        <f>HYPERLINK("https%3A%2F%2Fwww.webofscience.com%2Fwos%2Fwoscc%2Ffull-record%2FWOS:001165526300004","View Full Record in Web of Science")</f>
        <v>View Full Record in Web of Science</v>
      </c>
    </row>
    <row r="1618" spans="1:72" x14ac:dyDescent="0.25">
      <c r="A1618" t="s">
        <v>72</v>
      </c>
      <c r="B1618" t="s">
        <v>24749</v>
      </c>
      <c r="C1618" t="s">
        <v>74</v>
      </c>
      <c r="D1618" t="s">
        <v>74</v>
      </c>
      <c r="E1618" t="s">
        <v>74</v>
      </c>
      <c r="F1618" t="s">
        <v>24748</v>
      </c>
      <c r="G1618" t="s">
        <v>74</v>
      </c>
      <c r="H1618" t="s">
        <v>74</v>
      </c>
      <c r="I1618" t="s">
        <v>24747</v>
      </c>
      <c r="J1618" t="s">
        <v>1963</v>
      </c>
      <c r="K1618" t="s">
        <v>74</v>
      </c>
      <c r="L1618" t="s">
        <v>74</v>
      </c>
      <c r="M1618" t="s">
        <v>78</v>
      </c>
      <c r="N1618" t="s">
        <v>79</v>
      </c>
      <c r="O1618" t="s">
        <v>74</v>
      </c>
      <c r="P1618" t="s">
        <v>74</v>
      </c>
      <c r="Q1618" t="s">
        <v>74</v>
      </c>
      <c r="R1618" t="s">
        <v>74</v>
      </c>
      <c r="S1618" t="s">
        <v>74</v>
      </c>
      <c r="T1618" t="s">
        <v>24746</v>
      </c>
      <c r="U1618" t="s">
        <v>74</v>
      </c>
      <c r="V1618" t="s">
        <v>24745</v>
      </c>
      <c r="W1618" t="s">
        <v>24744</v>
      </c>
      <c r="X1618" t="s">
        <v>74</v>
      </c>
      <c r="Y1618" t="s">
        <v>24743</v>
      </c>
      <c r="Z1618" t="s">
        <v>24742</v>
      </c>
      <c r="AA1618" t="s">
        <v>24741</v>
      </c>
      <c r="AB1618" t="s">
        <v>24740</v>
      </c>
      <c r="AC1618" t="s">
        <v>74</v>
      </c>
      <c r="AD1618" t="s">
        <v>74</v>
      </c>
      <c r="AE1618" t="s">
        <v>74</v>
      </c>
      <c r="AF1618" t="s">
        <v>74</v>
      </c>
      <c r="AG1618">
        <v>22</v>
      </c>
      <c r="AH1618">
        <v>7</v>
      </c>
      <c r="AI1618">
        <v>7</v>
      </c>
      <c r="AJ1618">
        <v>4</v>
      </c>
      <c r="AK1618">
        <v>16</v>
      </c>
      <c r="AL1618" t="s">
        <v>332</v>
      </c>
      <c r="AM1618" t="s">
        <v>333</v>
      </c>
      <c r="AN1618" t="s">
        <v>334</v>
      </c>
      <c r="AO1618" t="s">
        <v>1975</v>
      </c>
      <c r="AP1618" t="s">
        <v>1976</v>
      </c>
      <c r="AQ1618" t="s">
        <v>74</v>
      </c>
      <c r="AR1618" t="s">
        <v>1977</v>
      </c>
      <c r="AS1618" t="s">
        <v>1978</v>
      </c>
      <c r="AT1618" t="s">
        <v>20892</v>
      </c>
      <c r="AU1618">
        <v>2022</v>
      </c>
      <c r="AV1618">
        <v>54</v>
      </c>
      <c r="AW1618">
        <v>41</v>
      </c>
      <c r="AX1618" t="s">
        <v>74</v>
      </c>
      <c r="AY1618" t="s">
        <v>74</v>
      </c>
      <c r="AZ1618" t="s">
        <v>74</v>
      </c>
      <c r="BA1618" t="s">
        <v>74</v>
      </c>
      <c r="BB1618">
        <v>4725</v>
      </c>
      <c r="BC1618">
        <v>4731</v>
      </c>
      <c r="BD1618" t="s">
        <v>74</v>
      </c>
      <c r="BE1618" t="s">
        <v>24739</v>
      </c>
      <c r="BF1618" t="str">
        <f>HYPERLINK("http://dx.doi.org/10.1080/00036846.2022.2035669","http://dx.doi.org/10.1080/00036846.2022.2035669")</f>
        <v>http://dx.doi.org/10.1080/00036846.2022.2035669</v>
      </c>
      <c r="BG1618" t="s">
        <v>74</v>
      </c>
      <c r="BH1618" t="s">
        <v>674</v>
      </c>
      <c r="BI1618">
        <v>7</v>
      </c>
      <c r="BJ1618" t="s">
        <v>291</v>
      </c>
      <c r="BK1618" t="s">
        <v>99</v>
      </c>
      <c r="BL1618" t="s">
        <v>100</v>
      </c>
      <c r="BM1618" t="s">
        <v>24738</v>
      </c>
      <c r="BN1618" t="s">
        <v>74</v>
      </c>
      <c r="BO1618" t="s">
        <v>74</v>
      </c>
      <c r="BP1618" t="s">
        <v>74</v>
      </c>
      <c r="BQ1618" t="s">
        <v>74</v>
      </c>
      <c r="BR1618" t="s">
        <v>102</v>
      </c>
      <c r="BS1618" t="s">
        <v>24737</v>
      </c>
      <c r="BT1618" t="str">
        <f>HYPERLINK("https%3A%2F%2Fwww.webofscience.com%2Fwos%2Fwoscc%2Ffull-record%2FWOS:000758059200001","View Full Record in Web of Science")</f>
        <v>View Full Record in Web of Science</v>
      </c>
    </row>
    <row r="1619" spans="1:72" x14ac:dyDescent="0.25">
      <c r="A1619" t="s">
        <v>72</v>
      </c>
      <c r="B1619" t="s">
        <v>24736</v>
      </c>
      <c r="C1619" t="s">
        <v>74</v>
      </c>
      <c r="D1619" t="s">
        <v>74</v>
      </c>
      <c r="E1619" t="s">
        <v>74</v>
      </c>
      <c r="F1619" t="s">
        <v>24735</v>
      </c>
      <c r="G1619" t="s">
        <v>74</v>
      </c>
      <c r="H1619" t="s">
        <v>74</v>
      </c>
      <c r="I1619" t="s">
        <v>24734</v>
      </c>
      <c r="J1619" t="s">
        <v>24733</v>
      </c>
      <c r="K1619" t="s">
        <v>74</v>
      </c>
      <c r="L1619" t="s">
        <v>74</v>
      </c>
      <c r="M1619" t="s">
        <v>78</v>
      </c>
      <c r="N1619" t="s">
        <v>79</v>
      </c>
      <c r="O1619" t="s">
        <v>74</v>
      </c>
      <c r="P1619" t="s">
        <v>74</v>
      </c>
      <c r="Q1619" t="s">
        <v>74</v>
      </c>
      <c r="R1619" t="s">
        <v>74</v>
      </c>
      <c r="S1619" t="s">
        <v>74</v>
      </c>
      <c r="T1619" t="s">
        <v>24732</v>
      </c>
      <c r="U1619" t="s">
        <v>24731</v>
      </c>
      <c r="V1619" t="s">
        <v>24730</v>
      </c>
      <c r="W1619" t="s">
        <v>24729</v>
      </c>
      <c r="X1619" t="s">
        <v>24728</v>
      </c>
      <c r="Y1619" t="s">
        <v>24727</v>
      </c>
      <c r="Z1619" t="s">
        <v>24726</v>
      </c>
      <c r="AA1619" t="s">
        <v>74</v>
      </c>
      <c r="AB1619" t="s">
        <v>74</v>
      </c>
      <c r="AC1619" t="s">
        <v>74</v>
      </c>
      <c r="AD1619" t="s">
        <v>74</v>
      </c>
      <c r="AE1619" t="s">
        <v>74</v>
      </c>
      <c r="AF1619" t="s">
        <v>74</v>
      </c>
      <c r="AG1619">
        <v>78</v>
      </c>
      <c r="AH1619">
        <v>59</v>
      </c>
      <c r="AI1619">
        <v>77</v>
      </c>
      <c r="AJ1619">
        <v>1</v>
      </c>
      <c r="AK1619">
        <v>26</v>
      </c>
      <c r="AL1619" t="s">
        <v>332</v>
      </c>
      <c r="AM1619" t="s">
        <v>333</v>
      </c>
      <c r="AN1619" t="s">
        <v>334</v>
      </c>
      <c r="AO1619" t="s">
        <v>24725</v>
      </c>
      <c r="AP1619" t="s">
        <v>24724</v>
      </c>
      <c r="AQ1619" t="s">
        <v>74</v>
      </c>
      <c r="AR1619" t="s">
        <v>24723</v>
      </c>
      <c r="AS1619" t="s">
        <v>24722</v>
      </c>
      <c r="AT1619" t="s">
        <v>74</v>
      </c>
      <c r="AU1619">
        <v>2018</v>
      </c>
      <c r="AV1619">
        <v>27</v>
      </c>
      <c r="AW1619">
        <v>2</v>
      </c>
      <c r="AX1619" t="s">
        <v>74</v>
      </c>
      <c r="AY1619" t="s">
        <v>74</v>
      </c>
      <c r="AZ1619" t="s">
        <v>74</v>
      </c>
      <c r="BA1619" t="s">
        <v>74</v>
      </c>
      <c r="BB1619">
        <v>154</v>
      </c>
      <c r="BC1619">
        <v>173</v>
      </c>
      <c r="BD1619" t="s">
        <v>74</v>
      </c>
      <c r="BE1619" t="s">
        <v>24721</v>
      </c>
      <c r="BF1619" t="str">
        <f>HYPERLINK("http://dx.doi.org/10.1080/10438599.2017.1322234","http://dx.doi.org/10.1080/10438599.2017.1322234")</f>
        <v>http://dx.doi.org/10.1080/10438599.2017.1322234</v>
      </c>
      <c r="BG1619" t="s">
        <v>74</v>
      </c>
      <c r="BH1619" t="s">
        <v>74</v>
      </c>
      <c r="BI1619">
        <v>20</v>
      </c>
      <c r="BJ1619" t="s">
        <v>291</v>
      </c>
      <c r="BK1619" t="s">
        <v>99</v>
      </c>
      <c r="BL1619" t="s">
        <v>100</v>
      </c>
      <c r="BM1619" t="s">
        <v>24720</v>
      </c>
      <c r="BN1619" t="s">
        <v>74</v>
      </c>
      <c r="BO1619" t="s">
        <v>74</v>
      </c>
      <c r="BP1619" t="s">
        <v>74</v>
      </c>
      <c r="BQ1619" t="s">
        <v>74</v>
      </c>
      <c r="BR1619" t="s">
        <v>102</v>
      </c>
      <c r="BS1619" t="s">
        <v>24719</v>
      </c>
      <c r="BT1619" t="str">
        <f>HYPERLINK("https%3A%2F%2Fwww.webofscience.com%2Fwos%2Fwoscc%2Ffull-record%2FWOS:000435159700003","View Full Record in Web of Science")</f>
        <v>View Full Record in Web of Science</v>
      </c>
    </row>
    <row r="1620" spans="1:72" x14ac:dyDescent="0.25">
      <c r="A1620" t="s">
        <v>72</v>
      </c>
      <c r="B1620" t="s">
        <v>24718</v>
      </c>
      <c r="C1620" t="s">
        <v>74</v>
      </c>
      <c r="D1620" t="s">
        <v>74</v>
      </c>
      <c r="E1620" t="s">
        <v>74</v>
      </c>
      <c r="F1620" t="s">
        <v>24717</v>
      </c>
      <c r="G1620" t="s">
        <v>74</v>
      </c>
      <c r="H1620" t="s">
        <v>74</v>
      </c>
      <c r="I1620" t="s">
        <v>24716</v>
      </c>
      <c r="J1620" t="s">
        <v>2137</v>
      </c>
      <c r="K1620" t="s">
        <v>74</v>
      </c>
      <c r="L1620" t="s">
        <v>74</v>
      </c>
      <c r="M1620" t="s">
        <v>78</v>
      </c>
      <c r="N1620" t="s">
        <v>79</v>
      </c>
      <c r="O1620" t="s">
        <v>74</v>
      </c>
      <c r="P1620" t="s">
        <v>74</v>
      </c>
      <c r="Q1620" t="s">
        <v>74</v>
      </c>
      <c r="R1620" t="s">
        <v>74</v>
      </c>
      <c r="S1620" t="s">
        <v>74</v>
      </c>
      <c r="T1620" t="s">
        <v>24715</v>
      </c>
      <c r="U1620" t="s">
        <v>24714</v>
      </c>
      <c r="V1620" t="s">
        <v>24713</v>
      </c>
      <c r="W1620" t="s">
        <v>24712</v>
      </c>
      <c r="X1620" t="s">
        <v>24711</v>
      </c>
      <c r="Y1620" t="s">
        <v>24710</v>
      </c>
      <c r="Z1620" t="s">
        <v>24709</v>
      </c>
      <c r="AA1620" t="s">
        <v>24708</v>
      </c>
      <c r="AB1620" t="s">
        <v>24707</v>
      </c>
      <c r="AC1620" t="s">
        <v>74</v>
      </c>
      <c r="AD1620" t="s">
        <v>74</v>
      </c>
      <c r="AE1620" t="s">
        <v>74</v>
      </c>
      <c r="AF1620" t="s">
        <v>74</v>
      </c>
      <c r="AG1620">
        <v>43</v>
      </c>
      <c r="AH1620">
        <v>6</v>
      </c>
      <c r="AI1620">
        <v>7</v>
      </c>
      <c r="AJ1620">
        <v>2</v>
      </c>
      <c r="AK1620">
        <v>33</v>
      </c>
      <c r="AL1620" t="s">
        <v>2145</v>
      </c>
      <c r="AM1620" t="s">
        <v>151</v>
      </c>
      <c r="AN1620" t="s">
        <v>2146</v>
      </c>
      <c r="AO1620" t="s">
        <v>2147</v>
      </c>
      <c r="AP1620" t="s">
        <v>2148</v>
      </c>
      <c r="AQ1620" t="s">
        <v>74</v>
      </c>
      <c r="AR1620" t="s">
        <v>2149</v>
      </c>
      <c r="AS1620" t="s">
        <v>2150</v>
      </c>
      <c r="AT1620" t="s">
        <v>74</v>
      </c>
      <c r="AU1620">
        <v>2022</v>
      </c>
      <c r="AV1620">
        <v>33</v>
      </c>
      <c r="AW1620">
        <v>3</v>
      </c>
      <c r="AX1620" t="s">
        <v>74</v>
      </c>
      <c r="AY1620" t="s">
        <v>74</v>
      </c>
      <c r="AZ1620" t="s">
        <v>74</v>
      </c>
      <c r="BA1620" t="s">
        <v>74</v>
      </c>
      <c r="BB1620">
        <v>282</v>
      </c>
      <c r="BC1620">
        <v>295</v>
      </c>
      <c r="BD1620" t="s">
        <v>74</v>
      </c>
      <c r="BE1620" t="s">
        <v>24706</v>
      </c>
      <c r="BF1620" t="str">
        <f>HYPERLINK("http://dx.doi.org/10.1891/JFCP-2021-0029","http://dx.doi.org/10.1891/JFCP-2021-0029")</f>
        <v>http://dx.doi.org/10.1891/JFCP-2021-0029</v>
      </c>
      <c r="BG1620" t="s">
        <v>74</v>
      </c>
      <c r="BH1620" t="s">
        <v>74</v>
      </c>
      <c r="BI1620">
        <v>14</v>
      </c>
      <c r="BJ1620" t="s">
        <v>1453</v>
      </c>
      <c r="BK1620" t="s">
        <v>313</v>
      </c>
      <c r="BL1620" t="s">
        <v>100</v>
      </c>
      <c r="BM1620" t="s">
        <v>24705</v>
      </c>
      <c r="BN1620" t="s">
        <v>74</v>
      </c>
      <c r="BO1620" t="s">
        <v>74</v>
      </c>
      <c r="BP1620" t="s">
        <v>74</v>
      </c>
      <c r="BQ1620" t="s">
        <v>74</v>
      </c>
      <c r="BR1620" t="s">
        <v>102</v>
      </c>
      <c r="BS1620" t="s">
        <v>24704</v>
      </c>
      <c r="BT1620" t="str">
        <f>HYPERLINK("https%3A%2F%2Fwww.webofscience.com%2Fwos%2Fwoscc%2Ffull-record%2FWOS:000887813500001","View Full Record in Web of Science")</f>
        <v>View Full Record in Web of Science</v>
      </c>
    </row>
    <row r="1621" spans="1:72" x14ac:dyDescent="0.25">
      <c r="A1621" t="s">
        <v>72</v>
      </c>
      <c r="B1621" t="s">
        <v>24703</v>
      </c>
      <c r="C1621" t="s">
        <v>74</v>
      </c>
      <c r="D1621" t="s">
        <v>74</v>
      </c>
      <c r="E1621" t="s">
        <v>74</v>
      </c>
      <c r="F1621" t="s">
        <v>24702</v>
      </c>
      <c r="G1621" t="s">
        <v>74</v>
      </c>
      <c r="H1621" t="s">
        <v>74</v>
      </c>
      <c r="I1621" t="s">
        <v>24701</v>
      </c>
      <c r="J1621" t="s">
        <v>4208</v>
      </c>
      <c r="K1621" t="s">
        <v>74</v>
      </c>
      <c r="L1621" t="s">
        <v>74</v>
      </c>
      <c r="M1621" t="s">
        <v>78</v>
      </c>
      <c r="N1621" t="s">
        <v>79</v>
      </c>
      <c r="O1621" t="s">
        <v>74</v>
      </c>
      <c r="P1621" t="s">
        <v>74</v>
      </c>
      <c r="Q1621" t="s">
        <v>74</v>
      </c>
      <c r="R1621" t="s">
        <v>74</v>
      </c>
      <c r="S1621" t="s">
        <v>74</v>
      </c>
      <c r="T1621" t="s">
        <v>74</v>
      </c>
      <c r="U1621" t="s">
        <v>24700</v>
      </c>
      <c r="V1621" t="s">
        <v>24699</v>
      </c>
      <c r="W1621" t="s">
        <v>24698</v>
      </c>
      <c r="X1621" t="s">
        <v>24697</v>
      </c>
      <c r="Y1621" t="s">
        <v>24696</v>
      </c>
      <c r="Z1621" t="s">
        <v>24695</v>
      </c>
      <c r="AA1621" t="s">
        <v>74</v>
      </c>
      <c r="AB1621" t="s">
        <v>74</v>
      </c>
      <c r="AC1621" t="s">
        <v>74</v>
      </c>
      <c r="AD1621" t="s">
        <v>74</v>
      </c>
      <c r="AE1621" t="s">
        <v>74</v>
      </c>
      <c r="AF1621" t="s">
        <v>74</v>
      </c>
      <c r="AG1621">
        <v>54</v>
      </c>
      <c r="AH1621">
        <v>20</v>
      </c>
      <c r="AI1621">
        <v>21</v>
      </c>
      <c r="AJ1621">
        <v>12</v>
      </c>
      <c r="AK1621">
        <v>224</v>
      </c>
      <c r="AL1621" t="s">
        <v>4218</v>
      </c>
      <c r="AM1621" t="s">
        <v>4219</v>
      </c>
      <c r="AN1621" t="s">
        <v>4220</v>
      </c>
      <c r="AO1621" t="s">
        <v>4221</v>
      </c>
      <c r="AP1621" t="s">
        <v>74</v>
      </c>
      <c r="AQ1621" t="s">
        <v>74</v>
      </c>
      <c r="AR1621" t="s">
        <v>4208</v>
      </c>
      <c r="AS1621" t="s">
        <v>4222</v>
      </c>
      <c r="AT1621" t="s">
        <v>7078</v>
      </c>
      <c r="AU1621">
        <v>2022</v>
      </c>
      <c r="AV1621">
        <v>17</v>
      </c>
      <c r="AW1621">
        <v>5</v>
      </c>
      <c r="AX1621" t="s">
        <v>74</v>
      </c>
      <c r="AY1621" t="s">
        <v>74</v>
      </c>
      <c r="AZ1621" t="s">
        <v>74</v>
      </c>
      <c r="BA1621" t="s">
        <v>74</v>
      </c>
      <c r="BB1621" t="s">
        <v>74</v>
      </c>
      <c r="BC1621" t="s">
        <v>74</v>
      </c>
      <c r="BD1621" t="s">
        <v>24694</v>
      </c>
      <c r="BE1621" t="s">
        <v>24693</v>
      </c>
      <c r="BF1621" t="str">
        <f>HYPERLINK("http://dx.doi.org/10.1371/journal.pone.0267055","http://dx.doi.org/10.1371/journal.pone.0267055")</f>
        <v>http://dx.doi.org/10.1371/journal.pone.0267055</v>
      </c>
      <c r="BG1621" t="s">
        <v>74</v>
      </c>
      <c r="BH1621" t="s">
        <v>74</v>
      </c>
      <c r="BI1621">
        <v>20</v>
      </c>
      <c r="BJ1621" t="s">
        <v>559</v>
      </c>
      <c r="BK1621" t="s">
        <v>128</v>
      </c>
      <c r="BL1621" t="s">
        <v>560</v>
      </c>
      <c r="BM1621" t="s">
        <v>24692</v>
      </c>
      <c r="BN1621">
        <v>35511872</v>
      </c>
      <c r="BO1621" t="s">
        <v>916</v>
      </c>
      <c r="BP1621" t="s">
        <v>74</v>
      </c>
      <c r="BQ1621" t="s">
        <v>74</v>
      </c>
      <c r="BR1621" t="s">
        <v>102</v>
      </c>
      <c r="BS1621" t="s">
        <v>24691</v>
      </c>
      <c r="BT1621" t="str">
        <f>HYPERLINK("https%3A%2F%2Fwww.webofscience.com%2Fwos%2Fwoscc%2Ffull-record%2FWOS:000892294900030","View Full Record in Web of Science")</f>
        <v>View Full Record in Web of Science</v>
      </c>
    </row>
    <row r="1622" spans="1:72" x14ac:dyDescent="0.25">
      <c r="A1622" t="s">
        <v>72</v>
      </c>
      <c r="B1622" t="s">
        <v>24690</v>
      </c>
      <c r="C1622" t="s">
        <v>74</v>
      </c>
      <c r="D1622" t="s">
        <v>74</v>
      </c>
      <c r="E1622" t="s">
        <v>74</v>
      </c>
      <c r="F1622" t="s">
        <v>24689</v>
      </c>
      <c r="G1622" t="s">
        <v>74</v>
      </c>
      <c r="H1622" t="s">
        <v>74</v>
      </c>
      <c r="I1622" t="s">
        <v>24688</v>
      </c>
      <c r="J1622" t="s">
        <v>8087</v>
      </c>
      <c r="K1622" t="s">
        <v>74</v>
      </c>
      <c r="L1622" t="s">
        <v>74</v>
      </c>
      <c r="M1622" t="s">
        <v>78</v>
      </c>
      <c r="N1622" t="s">
        <v>79</v>
      </c>
      <c r="O1622" t="s">
        <v>74</v>
      </c>
      <c r="P1622" t="s">
        <v>74</v>
      </c>
      <c r="Q1622" t="s">
        <v>74</v>
      </c>
      <c r="R1622" t="s">
        <v>74</v>
      </c>
      <c r="S1622" t="s">
        <v>74</v>
      </c>
      <c r="T1622" t="s">
        <v>24687</v>
      </c>
      <c r="U1622" t="s">
        <v>24686</v>
      </c>
      <c r="V1622" t="s">
        <v>24685</v>
      </c>
      <c r="W1622" t="s">
        <v>24684</v>
      </c>
      <c r="X1622" t="s">
        <v>24683</v>
      </c>
      <c r="Y1622" t="s">
        <v>24682</v>
      </c>
      <c r="Z1622" t="s">
        <v>14669</v>
      </c>
      <c r="AA1622" t="s">
        <v>14670</v>
      </c>
      <c r="AB1622" t="s">
        <v>24681</v>
      </c>
      <c r="AC1622" t="s">
        <v>74</v>
      </c>
      <c r="AD1622" t="s">
        <v>74</v>
      </c>
      <c r="AE1622" t="s">
        <v>74</v>
      </c>
      <c r="AF1622" t="s">
        <v>74</v>
      </c>
      <c r="AG1622">
        <v>43</v>
      </c>
      <c r="AH1622">
        <v>24</v>
      </c>
      <c r="AI1622">
        <v>38</v>
      </c>
      <c r="AJ1622">
        <v>2</v>
      </c>
      <c r="AK1622">
        <v>26</v>
      </c>
      <c r="AL1622" t="s">
        <v>479</v>
      </c>
      <c r="AM1622" t="s">
        <v>480</v>
      </c>
      <c r="AN1622" t="s">
        <v>481</v>
      </c>
      <c r="AO1622" t="s">
        <v>8097</v>
      </c>
      <c r="AP1622" t="s">
        <v>8098</v>
      </c>
      <c r="AQ1622" t="s">
        <v>74</v>
      </c>
      <c r="AR1622" t="s">
        <v>8099</v>
      </c>
      <c r="AS1622" t="s">
        <v>8100</v>
      </c>
      <c r="AT1622" t="s">
        <v>1540</v>
      </c>
      <c r="AU1622">
        <v>2021</v>
      </c>
      <c r="AV1622">
        <v>45</v>
      </c>
      <c r="AW1622">
        <v>3</v>
      </c>
      <c r="AX1622" t="s">
        <v>74</v>
      </c>
      <c r="AY1622" t="s">
        <v>74</v>
      </c>
      <c r="AZ1622" t="s">
        <v>74</v>
      </c>
      <c r="BA1622" t="s">
        <v>74</v>
      </c>
      <c r="BB1622">
        <v>379</v>
      </c>
      <c r="BC1622">
        <v>395</v>
      </c>
      <c r="BD1622" t="s">
        <v>74</v>
      </c>
      <c r="BE1622" t="s">
        <v>24680</v>
      </c>
      <c r="BF1622" t="str">
        <f>HYPERLINK("http://dx.doi.org/10.1111/ijcs.12628","http://dx.doi.org/10.1111/ijcs.12628")</f>
        <v>http://dx.doi.org/10.1111/ijcs.12628</v>
      </c>
      <c r="BG1622" t="s">
        <v>74</v>
      </c>
      <c r="BH1622" t="s">
        <v>14147</v>
      </c>
      <c r="BI1622">
        <v>17</v>
      </c>
      <c r="BJ1622" t="s">
        <v>418</v>
      </c>
      <c r="BK1622" t="s">
        <v>99</v>
      </c>
      <c r="BL1622" t="s">
        <v>100</v>
      </c>
      <c r="BM1622" t="s">
        <v>24679</v>
      </c>
      <c r="BN1622" t="s">
        <v>74</v>
      </c>
      <c r="BO1622" t="s">
        <v>1696</v>
      </c>
      <c r="BP1622" t="s">
        <v>74</v>
      </c>
      <c r="BQ1622" t="s">
        <v>74</v>
      </c>
      <c r="BR1622" t="s">
        <v>102</v>
      </c>
      <c r="BS1622" t="s">
        <v>24678</v>
      </c>
      <c r="BT1622" t="str">
        <f>HYPERLINK("https%3A%2F%2Fwww.webofscience.com%2Fwos%2Fwoscc%2Ffull-record%2FWOS:000588038600001","View Full Record in Web of Science")</f>
        <v>View Full Record in Web of Science</v>
      </c>
    </row>
    <row r="1623" spans="1:72" x14ac:dyDescent="0.25">
      <c r="A1623" t="s">
        <v>72</v>
      </c>
      <c r="B1623" t="s">
        <v>24677</v>
      </c>
      <c r="C1623" t="s">
        <v>74</v>
      </c>
      <c r="D1623" t="s">
        <v>74</v>
      </c>
      <c r="E1623" t="s">
        <v>74</v>
      </c>
      <c r="F1623" t="s">
        <v>24676</v>
      </c>
      <c r="G1623" t="s">
        <v>74</v>
      </c>
      <c r="H1623" t="s">
        <v>74</v>
      </c>
      <c r="I1623" t="s">
        <v>24675</v>
      </c>
      <c r="J1623" t="s">
        <v>4618</v>
      </c>
      <c r="K1623" t="s">
        <v>74</v>
      </c>
      <c r="L1623" t="s">
        <v>74</v>
      </c>
      <c r="M1623" t="s">
        <v>78</v>
      </c>
      <c r="N1623" t="s">
        <v>79</v>
      </c>
      <c r="O1623" t="s">
        <v>74</v>
      </c>
      <c r="P1623" t="s">
        <v>74</v>
      </c>
      <c r="Q1623" t="s">
        <v>74</v>
      </c>
      <c r="R1623" t="s">
        <v>74</v>
      </c>
      <c r="S1623" t="s">
        <v>74</v>
      </c>
      <c r="T1623" t="s">
        <v>24674</v>
      </c>
      <c r="U1623" t="s">
        <v>24673</v>
      </c>
      <c r="V1623" t="s">
        <v>24672</v>
      </c>
      <c r="W1623" t="s">
        <v>24671</v>
      </c>
      <c r="X1623" t="s">
        <v>24670</v>
      </c>
      <c r="Y1623" t="s">
        <v>24669</v>
      </c>
      <c r="Z1623" t="s">
        <v>24668</v>
      </c>
      <c r="AA1623" t="s">
        <v>24667</v>
      </c>
      <c r="AB1623" t="s">
        <v>24666</v>
      </c>
      <c r="AC1623" t="s">
        <v>24665</v>
      </c>
      <c r="AD1623" t="s">
        <v>24664</v>
      </c>
      <c r="AE1623" t="s">
        <v>24663</v>
      </c>
      <c r="AF1623" t="s">
        <v>74</v>
      </c>
      <c r="AG1623">
        <v>112</v>
      </c>
      <c r="AH1623">
        <v>4</v>
      </c>
      <c r="AI1623">
        <v>5</v>
      </c>
      <c r="AJ1623">
        <v>0</v>
      </c>
      <c r="AK1623">
        <v>15</v>
      </c>
      <c r="AL1623" t="s">
        <v>89</v>
      </c>
      <c r="AM1623" t="s">
        <v>90</v>
      </c>
      <c r="AN1623" t="s">
        <v>91</v>
      </c>
      <c r="AO1623" t="s">
        <v>4627</v>
      </c>
      <c r="AP1623" t="s">
        <v>4628</v>
      </c>
      <c r="AQ1623" t="s">
        <v>74</v>
      </c>
      <c r="AR1623" t="s">
        <v>4629</v>
      </c>
      <c r="AS1623" t="s">
        <v>4630</v>
      </c>
      <c r="AT1623" t="s">
        <v>1302</v>
      </c>
      <c r="AU1623">
        <v>2024</v>
      </c>
      <c r="AV1623">
        <v>17</v>
      </c>
      <c r="AW1623">
        <v>1</v>
      </c>
      <c r="AX1623" t="s">
        <v>74</v>
      </c>
      <c r="AY1623" t="s">
        <v>74</v>
      </c>
      <c r="AZ1623" t="s">
        <v>74</v>
      </c>
      <c r="BA1623" t="s">
        <v>74</v>
      </c>
      <c r="BB1623">
        <v>63</v>
      </c>
      <c r="BC1623">
        <v>85</v>
      </c>
      <c r="BD1623" t="s">
        <v>74</v>
      </c>
      <c r="BE1623" t="s">
        <v>24662</v>
      </c>
      <c r="BF1623" t="str">
        <f>HYPERLINK("http://dx.doi.org/10.1108/IMEFM-07-2022-0299","http://dx.doi.org/10.1108/IMEFM-07-2022-0299")</f>
        <v>http://dx.doi.org/10.1108/IMEFM-07-2022-0299</v>
      </c>
      <c r="BG1623" t="s">
        <v>74</v>
      </c>
      <c r="BH1623" t="s">
        <v>3535</v>
      </c>
      <c r="BI1623">
        <v>23</v>
      </c>
      <c r="BJ1623" t="s">
        <v>4632</v>
      </c>
      <c r="BK1623" t="s">
        <v>99</v>
      </c>
      <c r="BL1623" t="s">
        <v>100</v>
      </c>
      <c r="BM1623" t="s">
        <v>24661</v>
      </c>
      <c r="BN1623" t="s">
        <v>74</v>
      </c>
      <c r="BO1623" t="s">
        <v>74</v>
      </c>
      <c r="BP1623" t="s">
        <v>74</v>
      </c>
      <c r="BQ1623" t="s">
        <v>74</v>
      </c>
      <c r="BR1623" t="s">
        <v>102</v>
      </c>
      <c r="BS1623" t="s">
        <v>24660</v>
      </c>
      <c r="BT1623" t="str">
        <f>HYPERLINK("https%3A%2F%2Fwww.webofscience.com%2Fwos%2Fwoscc%2Ffull-record%2FWOS:001100788700001","View Full Record in Web of Science")</f>
        <v>View Full Record in Web of Science</v>
      </c>
    </row>
    <row r="1624" spans="1:72" x14ac:dyDescent="0.25">
      <c r="A1624" t="s">
        <v>72</v>
      </c>
      <c r="B1624" t="s">
        <v>24659</v>
      </c>
      <c r="C1624" t="s">
        <v>74</v>
      </c>
      <c r="D1624" t="s">
        <v>74</v>
      </c>
      <c r="E1624" t="s">
        <v>74</v>
      </c>
      <c r="F1624" t="s">
        <v>24658</v>
      </c>
      <c r="G1624" t="s">
        <v>74</v>
      </c>
      <c r="H1624" t="s">
        <v>74</v>
      </c>
      <c r="I1624" t="s">
        <v>24657</v>
      </c>
      <c r="J1624" t="s">
        <v>24656</v>
      </c>
      <c r="K1624" t="s">
        <v>74</v>
      </c>
      <c r="L1624" t="s">
        <v>74</v>
      </c>
      <c r="M1624" t="s">
        <v>78</v>
      </c>
      <c r="N1624" t="s">
        <v>79</v>
      </c>
      <c r="O1624" t="s">
        <v>74</v>
      </c>
      <c r="P1624" t="s">
        <v>74</v>
      </c>
      <c r="Q1624" t="s">
        <v>74</v>
      </c>
      <c r="R1624" t="s">
        <v>74</v>
      </c>
      <c r="S1624" t="s">
        <v>74</v>
      </c>
      <c r="T1624" t="s">
        <v>24655</v>
      </c>
      <c r="U1624" t="s">
        <v>24654</v>
      </c>
      <c r="V1624" t="s">
        <v>24653</v>
      </c>
      <c r="W1624" t="s">
        <v>24652</v>
      </c>
      <c r="X1624" t="s">
        <v>24651</v>
      </c>
      <c r="Y1624" t="s">
        <v>24650</v>
      </c>
      <c r="Z1624" t="s">
        <v>24649</v>
      </c>
      <c r="AA1624" t="s">
        <v>74</v>
      </c>
      <c r="AB1624" t="s">
        <v>74</v>
      </c>
      <c r="AC1624" t="s">
        <v>74</v>
      </c>
      <c r="AD1624" t="s">
        <v>74</v>
      </c>
      <c r="AE1624" t="s">
        <v>74</v>
      </c>
      <c r="AF1624" t="s">
        <v>74</v>
      </c>
      <c r="AG1624">
        <v>50</v>
      </c>
      <c r="AH1624">
        <v>4</v>
      </c>
      <c r="AI1624">
        <v>7</v>
      </c>
      <c r="AJ1624">
        <v>0</v>
      </c>
      <c r="AK1624">
        <v>16</v>
      </c>
      <c r="AL1624" t="s">
        <v>24648</v>
      </c>
      <c r="AM1624" t="s">
        <v>24647</v>
      </c>
      <c r="AN1624" t="s">
        <v>24646</v>
      </c>
      <c r="AO1624" t="s">
        <v>74</v>
      </c>
      <c r="AP1624" t="s">
        <v>24645</v>
      </c>
      <c r="AQ1624" t="s">
        <v>74</v>
      </c>
      <c r="AR1624" t="s">
        <v>24644</v>
      </c>
      <c r="AS1624" t="s">
        <v>24643</v>
      </c>
      <c r="AT1624" t="s">
        <v>24642</v>
      </c>
      <c r="AU1624">
        <v>2015</v>
      </c>
      <c r="AV1624">
        <v>21</v>
      </c>
      <c r="AW1624">
        <v>1</v>
      </c>
      <c r="AX1624" t="s">
        <v>74</v>
      </c>
      <c r="AY1624" t="s">
        <v>74</v>
      </c>
      <c r="AZ1624" t="s">
        <v>441</v>
      </c>
      <c r="BA1624" t="s">
        <v>74</v>
      </c>
      <c r="BB1624">
        <v>50</v>
      </c>
      <c r="BC1624">
        <v>68</v>
      </c>
      <c r="BD1624" t="s">
        <v>74</v>
      </c>
      <c r="BE1624" t="s">
        <v>24641</v>
      </c>
      <c r="BF1624" t="str">
        <f>HYPERLINK("http://dx.doi.org/10.5195/JWSR.2015.527","http://dx.doi.org/10.5195/JWSR.2015.527")</f>
        <v>http://dx.doi.org/10.5195/JWSR.2015.527</v>
      </c>
      <c r="BG1624" t="s">
        <v>74</v>
      </c>
      <c r="BH1624" t="s">
        <v>74</v>
      </c>
      <c r="BI1624">
        <v>19</v>
      </c>
      <c r="BJ1624" t="s">
        <v>5129</v>
      </c>
      <c r="BK1624" t="s">
        <v>313</v>
      </c>
      <c r="BL1624" t="s">
        <v>5129</v>
      </c>
      <c r="BM1624" t="s">
        <v>24640</v>
      </c>
      <c r="BN1624" t="s">
        <v>74</v>
      </c>
      <c r="BO1624" t="s">
        <v>916</v>
      </c>
      <c r="BP1624" t="s">
        <v>74</v>
      </c>
      <c r="BQ1624" t="s">
        <v>74</v>
      </c>
      <c r="BR1624" t="s">
        <v>102</v>
      </c>
      <c r="BS1624" t="s">
        <v>24639</v>
      </c>
      <c r="BT1624" t="str">
        <f>HYPERLINK("https%3A%2F%2Fwww.webofscience.com%2Fwos%2Fwoscc%2Ffull-record%2FWOS:000359285800005","View Full Record in Web of Science")</f>
        <v>View Full Record in Web of Science</v>
      </c>
    </row>
    <row r="1625" spans="1:72" x14ac:dyDescent="0.25">
      <c r="A1625" t="s">
        <v>72</v>
      </c>
      <c r="B1625" t="s">
        <v>24638</v>
      </c>
      <c r="C1625" t="s">
        <v>74</v>
      </c>
      <c r="D1625" t="s">
        <v>74</v>
      </c>
      <c r="E1625" t="s">
        <v>74</v>
      </c>
      <c r="F1625" t="s">
        <v>24637</v>
      </c>
      <c r="G1625" t="s">
        <v>74</v>
      </c>
      <c r="H1625" t="s">
        <v>74</v>
      </c>
      <c r="I1625" t="s">
        <v>24636</v>
      </c>
      <c r="J1625" t="s">
        <v>246</v>
      </c>
      <c r="K1625" t="s">
        <v>74</v>
      </c>
      <c r="L1625" t="s">
        <v>74</v>
      </c>
      <c r="M1625" t="s">
        <v>78</v>
      </c>
      <c r="N1625" t="s">
        <v>79</v>
      </c>
      <c r="O1625" t="s">
        <v>74</v>
      </c>
      <c r="P1625" t="s">
        <v>74</v>
      </c>
      <c r="Q1625" t="s">
        <v>74</v>
      </c>
      <c r="R1625" t="s">
        <v>74</v>
      </c>
      <c r="S1625" t="s">
        <v>74</v>
      </c>
      <c r="T1625" t="s">
        <v>24635</v>
      </c>
      <c r="U1625" t="s">
        <v>74</v>
      </c>
      <c r="V1625" t="s">
        <v>24634</v>
      </c>
      <c r="W1625" t="s">
        <v>24633</v>
      </c>
      <c r="X1625" t="s">
        <v>24632</v>
      </c>
      <c r="Y1625" t="s">
        <v>24631</v>
      </c>
      <c r="Z1625" t="s">
        <v>24630</v>
      </c>
      <c r="AA1625" t="s">
        <v>24629</v>
      </c>
      <c r="AB1625" t="s">
        <v>24628</v>
      </c>
      <c r="AC1625" t="s">
        <v>24627</v>
      </c>
      <c r="AD1625" t="s">
        <v>24626</v>
      </c>
      <c r="AE1625" t="s">
        <v>24625</v>
      </c>
      <c r="AF1625" t="s">
        <v>74</v>
      </c>
      <c r="AG1625">
        <v>21</v>
      </c>
      <c r="AH1625">
        <v>6</v>
      </c>
      <c r="AI1625">
        <v>6</v>
      </c>
      <c r="AJ1625">
        <v>5</v>
      </c>
      <c r="AK1625">
        <v>22</v>
      </c>
      <c r="AL1625" t="s">
        <v>259</v>
      </c>
      <c r="AM1625" t="s">
        <v>260</v>
      </c>
      <c r="AN1625" t="s">
        <v>261</v>
      </c>
      <c r="AO1625" t="s">
        <v>262</v>
      </c>
      <c r="AP1625" t="s">
        <v>263</v>
      </c>
      <c r="AQ1625" t="s">
        <v>74</v>
      </c>
      <c r="AR1625" t="s">
        <v>264</v>
      </c>
      <c r="AS1625" t="s">
        <v>265</v>
      </c>
      <c r="AT1625" t="s">
        <v>237</v>
      </c>
      <c r="AU1625">
        <v>2025</v>
      </c>
      <c r="AV1625">
        <v>72</v>
      </c>
      <c r="AW1625" t="s">
        <v>74</v>
      </c>
      <c r="AX1625" t="s">
        <v>74</v>
      </c>
      <c r="AY1625" t="s">
        <v>74</v>
      </c>
      <c r="AZ1625" t="s">
        <v>74</v>
      </c>
      <c r="BA1625" t="s">
        <v>74</v>
      </c>
      <c r="BB1625" t="s">
        <v>74</v>
      </c>
      <c r="BC1625" t="s">
        <v>74</v>
      </c>
      <c r="BD1625">
        <v>106541</v>
      </c>
      <c r="BE1625" t="s">
        <v>24624</v>
      </c>
      <c r="BF1625" t="str">
        <f>HYPERLINK("http://dx.doi.org/10.1016/j.frl.2024.106541","http://dx.doi.org/10.1016/j.frl.2024.106541")</f>
        <v>http://dx.doi.org/10.1016/j.frl.2024.106541</v>
      </c>
      <c r="BG1625" t="s">
        <v>74</v>
      </c>
      <c r="BH1625" t="s">
        <v>809</v>
      </c>
      <c r="BI1625">
        <v>8</v>
      </c>
      <c r="BJ1625" t="s">
        <v>268</v>
      </c>
      <c r="BK1625" t="s">
        <v>99</v>
      </c>
      <c r="BL1625" t="s">
        <v>100</v>
      </c>
      <c r="BM1625" t="s">
        <v>24623</v>
      </c>
      <c r="BN1625" t="s">
        <v>74</v>
      </c>
      <c r="BO1625" t="s">
        <v>74</v>
      </c>
      <c r="BP1625" t="s">
        <v>74</v>
      </c>
      <c r="BQ1625" t="s">
        <v>74</v>
      </c>
      <c r="BR1625" t="s">
        <v>102</v>
      </c>
      <c r="BS1625" t="s">
        <v>24622</v>
      </c>
      <c r="BT1625" t="str">
        <f>HYPERLINK("https%3A%2F%2Fwww.webofscience.com%2Fwos%2Fwoscc%2Ffull-record%2FWOS:001372595700001","View Full Record in Web of Science")</f>
        <v>View Full Record in Web of Science</v>
      </c>
    </row>
    <row r="1626" spans="1:72" x14ac:dyDescent="0.25">
      <c r="A1626" t="s">
        <v>72</v>
      </c>
      <c r="B1626" t="s">
        <v>24621</v>
      </c>
      <c r="C1626" t="s">
        <v>74</v>
      </c>
      <c r="D1626" t="s">
        <v>74</v>
      </c>
      <c r="E1626" t="s">
        <v>74</v>
      </c>
      <c r="F1626" t="s">
        <v>24620</v>
      </c>
      <c r="G1626" t="s">
        <v>74</v>
      </c>
      <c r="H1626" t="s">
        <v>74</v>
      </c>
      <c r="I1626" t="s">
        <v>24619</v>
      </c>
      <c r="J1626" t="s">
        <v>5812</v>
      </c>
      <c r="K1626" t="s">
        <v>74</v>
      </c>
      <c r="L1626" t="s">
        <v>74</v>
      </c>
      <c r="M1626" t="s">
        <v>78</v>
      </c>
      <c r="N1626" t="s">
        <v>79</v>
      </c>
      <c r="O1626" t="s">
        <v>74</v>
      </c>
      <c r="P1626" t="s">
        <v>74</v>
      </c>
      <c r="Q1626" t="s">
        <v>74</v>
      </c>
      <c r="R1626" t="s">
        <v>74</v>
      </c>
      <c r="S1626" t="s">
        <v>74</v>
      </c>
      <c r="T1626" t="s">
        <v>24618</v>
      </c>
      <c r="U1626" t="s">
        <v>24617</v>
      </c>
      <c r="V1626" t="s">
        <v>24616</v>
      </c>
      <c r="W1626" t="s">
        <v>24615</v>
      </c>
      <c r="X1626" t="s">
        <v>15466</v>
      </c>
      <c r="Y1626" t="s">
        <v>24614</v>
      </c>
      <c r="Z1626" t="s">
        <v>24613</v>
      </c>
      <c r="AA1626" t="s">
        <v>24612</v>
      </c>
      <c r="AB1626" t="s">
        <v>24611</v>
      </c>
      <c r="AC1626" t="s">
        <v>74</v>
      </c>
      <c r="AD1626" t="s">
        <v>74</v>
      </c>
      <c r="AE1626" t="s">
        <v>74</v>
      </c>
      <c r="AF1626" t="s">
        <v>74</v>
      </c>
      <c r="AG1626">
        <v>49</v>
      </c>
      <c r="AH1626">
        <v>77</v>
      </c>
      <c r="AI1626">
        <v>96</v>
      </c>
      <c r="AJ1626">
        <v>2</v>
      </c>
      <c r="AK1626">
        <v>38</v>
      </c>
      <c r="AL1626" t="s">
        <v>332</v>
      </c>
      <c r="AM1626" t="s">
        <v>333</v>
      </c>
      <c r="AN1626" t="s">
        <v>334</v>
      </c>
      <c r="AO1626" t="s">
        <v>5820</v>
      </c>
      <c r="AP1626" t="s">
        <v>5821</v>
      </c>
      <c r="AQ1626" t="s">
        <v>74</v>
      </c>
      <c r="AR1626" t="s">
        <v>5822</v>
      </c>
      <c r="AS1626" t="s">
        <v>5823</v>
      </c>
      <c r="AT1626" t="s">
        <v>2487</v>
      </c>
      <c r="AU1626">
        <v>2020</v>
      </c>
      <c r="AV1626">
        <v>33</v>
      </c>
      <c r="AW1626">
        <v>1</v>
      </c>
      <c r="AX1626" t="s">
        <v>74</v>
      </c>
      <c r="AY1626" t="s">
        <v>74</v>
      </c>
      <c r="AZ1626" t="s">
        <v>74</v>
      </c>
      <c r="BA1626" t="s">
        <v>74</v>
      </c>
      <c r="BB1626">
        <v>1465</v>
      </c>
      <c r="BC1626">
        <v>1484</v>
      </c>
      <c r="BD1626" t="s">
        <v>74</v>
      </c>
      <c r="BE1626" t="s">
        <v>24610</v>
      </c>
      <c r="BF1626" t="str">
        <f>HYPERLINK("http://dx.doi.org/10.1080/1331677X.2020.1748508","http://dx.doi.org/10.1080/1331677X.2020.1748508")</f>
        <v>http://dx.doi.org/10.1080/1331677X.2020.1748508</v>
      </c>
      <c r="BG1626" t="s">
        <v>74</v>
      </c>
      <c r="BH1626" t="s">
        <v>74</v>
      </c>
      <c r="BI1626">
        <v>20</v>
      </c>
      <c r="BJ1626" t="s">
        <v>291</v>
      </c>
      <c r="BK1626" t="s">
        <v>99</v>
      </c>
      <c r="BL1626" t="s">
        <v>100</v>
      </c>
      <c r="BM1626" t="s">
        <v>24609</v>
      </c>
      <c r="BN1626" t="s">
        <v>74</v>
      </c>
      <c r="BO1626" t="s">
        <v>466</v>
      </c>
      <c r="BP1626" t="s">
        <v>74</v>
      </c>
      <c r="BQ1626" t="s">
        <v>74</v>
      </c>
      <c r="BR1626" t="s">
        <v>102</v>
      </c>
      <c r="BS1626" t="s">
        <v>24608</v>
      </c>
      <c r="BT1626" t="str">
        <f>HYPERLINK("https%3A%2F%2Fwww.webofscience.com%2Fwos%2Fwoscc%2Ffull-record%2FWOS:000531028500001","View Full Record in Web of Science")</f>
        <v>View Full Record in Web of Science</v>
      </c>
    </row>
    <row r="1627" spans="1:72" x14ac:dyDescent="0.25">
      <c r="A1627" t="s">
        <v>72</v>
      </c>
      <c r="B1627" t="s">
        <v>24607</v>
      </c>
      <c r="C1627" t="s">
        <v>74</v>
      </c>
      <c r="D1627" t="s">
        <v>74</v>
      </c>
      <c r="E1627" t="s">
        <v>74</v>
      </c>
      <c r="F1627" t="s">
        <v>24606</v>
      </c>
      <c r="G1627" t="s">
        <v>74</v>
      </c>
      <c r="H1627" t="s">
        <v>74</v>
      </c>
      <c r="I1627" t="s">
        <v>24605</v>
      </c>
      <c r="J1627" t="s">
        <v>1701</v>
      </c>
      <c r="K1627" t="s">
        <v>74</v>
      </c>
      <c r="L1627" t="s">
        <v>74</v>
      </c>
      <c r="M1627" t="s">
        <v>78</v>
      </c>
      <c r="N1627" t="s">
        <v>79</v>
      </c>
      <c r="O1627" t="s">
        <v>74</v>
      </c>
      <c r="P1627" t="s">
        <v>74</v>
      </c>
      <c r="Q1627" t="s">
        <v>74</v>
      </c>
      <c r="R1627" t="s">
        <v>74</v>
      </c>
      <c r="S1627" t="s">
        <v>74</v>
      </c>
      <c r="T1627" t="s">
        <v>24604</v>
      </c>
      <c r="U1627" t="s">
        <v>8579</v>
      </c>
      <c r="V1627" t="s">
        <v>24603</v>
      </c>
      <c r="W1627" t="s">
        <v>24602</v>
      </c>
      <c r="X1627" t="s">
        <v>24601</v>
      </c>
      <c r="Y1627" t="s">
        <v>24600</v>
      </c>
      <c r="Z1627" t="s">
        <v>24599</v>
      </c>
      <c r="AA1627" t="s">
        <v>24598</v>
      </c>
      <c r="AB1627" t="s">
        <v>74</v>
      </c>
      <c r="AC1627" t="s">
        <v>74</v>
      </c>
      <c r="AD1627" t="s">
        <v>74</v>
      </c>
      <c r="AE1627" t="s">
        <v>74</v>
      </c>
      <c r="AF1627" t="s">
        <v>74</v>
      </c>
      <c r="AG1627">
        <v>105</v>
      </c>
      <c r="AH1627">
        <v>7</v>
      </c>
      <c r="AI1627">
        <v>8</v>
      </c>
      <c r="AJ1627">
        <v>3</v>
      </c>
      <c r="AK1627">
        <v>9</v>
      </c>
      <c r="AL1627" t="s">
        <v>503</v>
      </c>
      <c r="AM1627" t="s">
        <v>151</v>
      </c>
      <c r="AN1627" t="s">
        <v>504</v>
      </c>
      <c r="AO1627" t="s">
        <v>1709</v>
      </c>
      <c r="AP1627" t="s">
        <v>1710</v>
      </c>
      <c r="AQ1627" t="s">
        <v>74</v>
      </c>
      <c r="AR1627" t="s">
        <v>1711</v>
      </c>
      <c r="AS1627" t="s">
        <v>1712</v>
      </c>
      <c r="AT1627" t="s">
        <v>1540</v>
      </c>
      <c r="AU1627">
        <v>2024</v>
      </c>
      <c r="AV1627">
        <v>72</v>
      </c>
      <c r="AW1627" t="s">
        <v>74</v>
      </c>
      <c r="AX1627" t="s">
        <v>74</v>
      </c>
      <c r="AY1627" t="s">
        <v>74</v>
      </c>
      <c r="AZ1627" t="s">
        <v>74</v>
      </c>
      <c r="BA1627" t="s">
        <v>74</v>
      </c>
      <c r="BB1627" t="s">
        <v>74</v>
      </c>
      <c r="BC1627" t="s">
        <v>74</v>
      </c>
      <c r="BD1627">
        <v>102140</v>
      </c>
      <c r="BE1627" t="s">
        <v>24597</v>
      </c>
      <c r="BF1627" t="str">
        <f>HYPERLINK("http://dx.doi.org/10.1016/j.najef.2024.102140","http://dx.doi.org/10.1016/j.najef.2024.102140")</f>
        <v>http://dx.doi.org/10.1016/j.najef.2024.102140</v>
      </c>
      <c r="BG1627" t="s">
        <v>74</v>
      </c>
      <c r="BH1627" t="s">
        <v>938</v>
      </c>
      <c r="BI1627">
        <v>24</v>
      </c>
      <c r="BJ1627" t="s">
        <v>210</v>
      </c>
      <c r="BK1627" t="s">
        <v>99</v>
      </c>
      <c r="BL1627" t="s">
        <v>100</v>
      </c>
      <c r="BM1627" t="s">
        <v>24596</v>
      </c>
      <c r="BN1627" t="s">
        <v>74</v>
      </c>
      <c r="BO1627" t="s">
        <v>74</v>
      </c>
      <c r="BP1627" t="s">
        <v>74</v>
      </c>
      <c r="BQ1627" t="s">
        <v>74</v>
      </c>
      <c r="BR1627" t="s">
        <v>102</v>
      </c>
      <c r="BS1627" t="s">
        <v>24595</v>
      </c>
      <c r="BT1627" t="str">
        <f>HYPERLINK("https%3A%2F%2Fwww.webofscience.com%2Fwos%2Fwoscc%2Ffull-record%2FWOS:001232234000001","View Full Record in Web of Science")</f>
        <v>View Full Record in Web of Science</v>
      </c>
    </row>
    <row r="1628" spans="1:72" x14ac:dyDescent="0.25">
      <c r="A1628" t="s">
        <v>8303</v>
      </c>
      <c r="B1628" t="s">
        <v>20975</v>
      </c>
      <c r="C1628" t="s">
        <v>20973</v>
      </c>
      <c r="D1628" t="s">
        <v>74</v>
      </c>
      <c r="E1628" t="s">
        <v>74</v>
      </c>
      <c r="F1628" t="s">
        <v>20974</v>
      </c>
      <c r="G1628" t="s">
        <v>20973</v>
      </c>
      <c r="H1628" t="s">
        <v>74</v>
      </c>
      <c r="I1628" t="s">
        <v>24594</v>
      </c>
      <c r="J1628" t="s">
        <v>20971</v>
      </c>
      <c r="K1628" t="s">
        <v>74</v>
      </c>
      <c r="L1628" t="s">
        <v>74</v>
      </c>
      <c r="M1628" t="s">
        <v>78</v>
      </c>
      <c r="N1628" t="s">
        <v>6023</v>
      </c>
      <c r="O1628" t="s">
        <v>74</v>
      </c>
      <c r="P1628" t="s">
        <v>74</v>
      </c>
      <c r="Q1628" t="s">
        <v>74</v>
      </c>
      <c r="R1628" t="s">
        <v>74</v>
      </c>
      <c r="S1628" t="s">
        <v>74</v>
      </c>
      <c r="T1628" t="s">
        <v>74</v>
      </c>
      <c r="U1628" t="s">
        <v>74</v>
      </c>
      <c r="V1628" t="s">
        <v>24593</v>
      </c>
      <c r="W1628" t="s">
        <v>74</v>
      </c>
      <c r="X1628" t="s">
        <v>74</v>
      </c>
      <c r="Y1628" t="s">
        <v>74</v>
      </c>
      <c r="Z1628" t="s">
        <v>74</v>
      </c>
      <c r="AA1628" t="s">
        <v>74</v>
      </c>
      <c r="AB1628" t="s">
        <v>74</v>
      </c>
      <c r="AC1628" t="s">
        <v>74</v>
      </c>
      <c r="AD1628" t="s">
        <v>74</v>
      </c>
      <c r="AE1628" t="s">
        <v>74</v>
      </c>
      <c r="AF1628" t="s">
        <v>74</v>
      </c>
      <c r="AG1628">
        <v>0</v>
      </c>
      <c r="AH1628">
        <v>0</v>
      </c>
      <c r="AI1628">
        <v>0</v>
      </c>
      <c r="AJ1628">
        <v>0</v>
      </c>
      <c r="AK1628">
        <v>9</v>
      </c>
      <c r="AL1628" t="s">
        <v>16367</v>
      </c>
      <c r="AM1628" t="s">
        <v>2661</v>
      </c>
      <c r="AN1628" t="s">
        <v>16368</v>
      </c>
      <c r="AO1628" t="s">
        <v>74</v>
      </c>
      <c r="AP1628" t="s">
        <v>74</v>
      </c>
      <c r="AQ1628" t="s">
        <v>20969</v>
      </c>
      <c r="AR1628" t="s">
        <v>74</v>
      </c>
      <c r="AS1628" t="s">
        <v>74</v>
      </c>
      <c r="AT1628" t="s">
        <v>74</v>
      </c>
      <c r="AU1628">
        <v>2009</v>
      </c>
      <c r="AV1628" t="s">
        <v>74</v>
      </c>
      <c r="AW1628" t="s">
        <v>74</v>
      </c>
      <c r="AX1628" t="s">
        <v>74</v>
      </c>
      <c r="AY1628" t="s">
        <v>74</v>
      </c>
      <c r="AZ1628" t="s">
        <v>74</v>
      </c>
      <c r="BA1628" t="s">
        <v>74</v>
      </c>
      <c r="BB1628">
        <v>31</v>
      </c>
      <c r="BC1628">
        <v>82</v>
      </c>
      <c r="BD1628" t="s">
        <v>74</v>
      </c>
      <c r="BE1628" t="s">
        <v>74</v>
      </c>
      <c r="BF1628" t="s">
        <v>74</v>
      </c>
      <c r="BG1628" t="s">
        <v>20968</v>
      </c>
      <c r="BH1628" t="s">
        <v>74</v>
      </c>
      <c r="BI1628">
        <v>52</v>
      </c>
      <c r="BJ1628" t="s">
        <v>210</v>
      </c>
      <c r="BK1628" t="s">
        <v>8314</v>
      </c>
      <c r="BL1628" t="s">
        <v>100</v>
      </c>
      <c r="BM1628" t="s">
        <v>20967</v>
      </c>
      <c r="BN1628" t="s">
        <v>74</v>
      </c>
      <c r="BO1628" t="s">
        <v>74</v>
      </c>
      <c r="BP1628" t="s">
        <v>74</v>
      </c>
      <c r="BQ1628" t="s">
        <v>74</v>
      </c>
      <c r="BR1628" t="s">
        <v>102</v>
      </c>
      <c r="BS1628" t="s">
        <v>24592</v>
      </c>
      <c r="BT1628" t="str">
        <f>HYPERLINK("https%3A%2F%2Fwww.webofscience.com%2Fwos%2Fwoscc%2Ffull-record%2FWOS:000304007600002","View Full Record in Web of Science")</f>
        <v>View Full Record in Web of Science</v>
      </c>
    </row>
    <row r="1629" spans="1:72" x14ac:dyDescent="0.25">
      <c r="A1629" t="s">
        <v>72</v>
      </c>
      <c r="B1629" t="s">
        <v>24591</v>
      </c>
      <c r="C1629" t="s">
        <v>74</v>
      </c>
      <c r="D1629" t="s">
        <v>74</v>
      </c>
      <c r="E1629" t="s">
        <v>74</v>
      </c>
      <c r="F1629" t="s">
        <v>24590</v>
      </c>
      <c r="G1629" t="s">
        <v>74</v>
      </c>
      <c r="H1629" t="s">
        <v>74</v>
      </c>
      <c r="I1629" t="s">
        <v>24589</v>
      </c>
      <c r="J1629" t="s">
        <v>24588</v>
      </c>
      <c r="K1629" t="s">
        <v>74</v>
      </c>
      <c r="L1629" t="s">
        <v>74</v>
      </c>
      <c r="M1629" t="s">
        <v>78</v>
      </c>
      <c r="N1629" t="s">
        <v>372</v>
      </c>
      <c r="O1629" t="s">
        <v>74</v>
      </c>
      <c r="P1629" t="s">
        <v>74</v>
      </c>
      <c r="Q1629" t="s">
        <v>74</v>
      </c>
      <c r="R1629" t="s">
        <v>74</v>
      </c>
      <c r="S1629" t="s">
        <v>74</v>
      </c>
      <c r="T1629" t="s">
        <v>24587</v>
      </c>
      <c r="U1629" t="s">
        <v>24586</v>
      </c>
      <c r="V1629" t="s">
        <v>24585</v>
      </c>
      <c r="W1629" t="s">
        <v>24584</v>
      </c>
      <c r="X1629" t="s">
        <v>24583</v>
      </c>
      <c r="Y1629" t="s">
        <v>24582</v>
      </c>
      <c r="Z1629" t="s">
        <v>24581</v>
      </c>
      <c r="AA1629" t="s">
        <v>24580</v>
      </c>
      <c r="AB1629" t="s">
        <v>24579</v>
      </c>
      <c r="AC1629" t="s">
        <v>74</v>
      </c>
      <c r="AD1629" t="s">
        <v>74</v>
      </c>
      <c r="AE1629" t="s">
        <v>74</v>
      </c>
      <c r="AF1629" t="s">
        <v>74</v>
      </c>
      <c r="AG1629">
        <v>34</v>
      </c>
      <c r="AH1629">
        <v>1</v>
      </c>
      <c r="AI1629">
        <v>1</v>
      </c>
      <c r="AJ1629">
        <v>0</v>
      </c>
      <c r="AK1629">
        <v>2</v>
      </c>
      <c r="AL1629" t="s">
        <v>757</v>
      </c>
      <c r="AM1629" t="s">
        <v>758</v>
      </c>
      <c r="AN1629" t="s">
        <v>759</v>
      </c>
      <c r="AO1629" t="s">
        <v>24578</v>
      </c>
      <c r="AP1629" t="s">
        <v>24577</v>
      </c>
      <c r="AQ1629" t="s">
        <v>74</v>
      </c>
      <c r="AR1629" t="s">
        <v>24576</v>
      </c>
      <c r="AS1629" t="s">
        <v>24575</v>
      </c>
      <c r="AT1629" t="s">
        <v>24574</v>
      </c>
      <c r="AU1629">
        <v>2024</v>
      </c>
      <c r="AV1629" t="s">
        <v>74</v>
      </c>
      <c r="AW1629" t="s">
        <v>74</v>
      </c>
      <c r="AX1629" t="s">
        <v>74</v>
      </c>
      <c r="AY1629" t="s">
        <v>74</v>
      </c>
      <c r="AZ1629" t="s">
        <v>74</v>
      </c>
      <c r="BA1629" t="s">
        <v>74</v>
      </c>
      <c r="BB1629" t="s">
        <v>74</v>
      </c>
      <c r="BC1629" t="s">
        <v>74</v>
      </c>
      <c r="BD1629" t="s">
        <v>74</v>
      </c>
      <c r="BE1629" t="s">
        <v>24573</v>
      </c>
      <c r="BF1629" t="str">
        <f>HYPERLINK("http://dx.doi.org/10.1177/09763996241284692","http://dx.doi.org/10.1177/09763996241284692")</f>
        <v>http://dx.doi.org/10.1177/09763996241284692</v>
      </c>
      <c r="BG1629" t="s">
        <v>74</v>
      </c>
      <c r="BH1629" t="s">
        <v>809</v>
      </c>
      <c r="BI1629">
        <v>20</v>
      </c>
      <c r="BJ1629" t="s">
        <v>1674</v>
      </c>
      <c r="BK1629" t="s">
        <v>313</v>
      </c>
      <c r="BL1629" t="s">
        <v>1674</v>
      </c>
      <c r="BM1629" t="s">
        <v>24572</v>
      </c>
      <c r="BN1629" t="s">
        <v>74</v>
      </c>
      <c r="BO1629" t="s">
        <v>74</v>
      </c>
      <c r="BP1629" t="s">
        <v>74</v>
      </c>
      <c r="BQ1629" t="s">
        <v>74</v>
      </c>
      <c r="BR1629" t="s">
        <v>102</v>
      </c>
      <c r="BS1629" t="s">
        <v>24571</v>
      </c>
      <c r="BT1629" t="str">
        <f>HYPERLINK("https%3A%2F%2Fwww.webofscience.com%2Fwos%2Fwoscc%2Ffull-record%2FWOS:001378193800001","View Full Record in Web of Science")</f>
        <v>View Full Record in Web of Science</v>
      </c>
    </row>
    <row r="1630" spans="1:72" x14ac:dyDescent="0.25">
      <c r="A1630" t="s">
        <v>72</v>
      </c>
      <c r="B1630" t="s">
        <v>24570</v>
      </c>
      <c r="C1630" t="s">
        <v>74</v>
      </c>
      <c r="D1630" t="s">
        <v>74</v>
      </c>
      <c r="E1630" t="s">
        <v>74</v>
      </c>
      <c r="F1630" t="s">
        <v>24569</v>
      </c>
      <c r="G1630" t="s">
        <v>74</v>
      </c>
      <c r="H1630" t="s">
        <v>74</v>
      </c>
      <c r="I1630" t="s">
        <v>24568</v>
      </c>
      <c r="J1630" t="s">
        <v>3397</v>
      </c>
      <c r="K1630" t="s">
        <v>74</v>
      </c>
      <c r="L1630" t="s">
        <v>74</v>
      </c>
      <c r="M1630" t="s">
        <v>78</v>
      </c>
      <c r="N1630" t="s">
        <v>79</v>
      </c>
      <c r="O1630" t="s">
        <v>74</v>
      </c>
      <c r="P1630" t="s">
        <v>74</v>
      </c>
      <c r="Q1630" t="s">
        <v>74</v>
      </c>
      <c r="R1630" t="s">
        <v>74</v>
      </c>
      <c r="S1630" t="s">
        <v>74</v>
      </c>
      <c r="T1630" t="s">
        <v>24567</v>
      </c>
      <c r="U1630" t="s">
        <v>24566</v>
      </c>
      <c r="V1630" t="s">
        <v>24565</v>
      </c>
      <c r="W1630" t="s">
        <v>24564</v>
      </c>
      <c r="X1630" t="s">
        <v>24563</v>
      </c>
      <c r="Y1630" t="s">
        <v>24562</v>
      </c>
      <c r="Z1630" t="s">
        <v>24561</v>
      </c>
      <c r="AA1630" t="s">
        <v>74</v>
      </c>
      <c r="AB1630" t="s">
        <v>74</v>
      </c>
      <c r="AC1630" t="s">
        <v>24560</v>
      </c>
      <c r="AD1630" t="s">
        <v>24559</v>
      </c>
      <c r="AE1630" t="s">
        <v>24558</v>
      </c>
      <c r="AF1630" t="s">
        <v>74</v>
      </c>
      <c r="AG1630">
        <v>29</v>
      </c>
      <c r="AH1630">
        <v>13</v>
      </c>
      <c r="AI1630">
        <v>16</v>
      </c>
      <c r="AJ1630">
        <v>2</v>
      </c>
      <c r="AK1630">
        <v>31</v>
      </c>
      <c r="AL1630" t="s">
        <v>201</v>
      </c>
      <c r="AM1630" t="s">
        <v>202</v>
      </c>
      <c r="AN1630" t="s">
        <v>203</v>
      </c>
      <c r="AO1630" t="s">
        <v>3406</v>
      </c>
      <c r="AP1630" t="s">
        <v>3407</v>
      </c>
      <c r="AQ1630" t="s">
        <v>74</v>
      </c>
      <c r="AR1630" t="s">
        <v>3408</v>
      </c>
      <c r="AS1630" t="s">
        <v>3409</v>
      </c>
      <c r="AT1630" t="s">
        <v>1652</v>
      </c>
      <c r="AU1630">
        <v>2021</v>
      </c>
      <c r="AV1630">
        <v>67</v>
      </c>
      <c r="AW1630" t="s">
        <v>74</v>
      </c>
      <c r="AX1630" t="s">
        <v>74</v>
      </c>
      <c r="AY1630" t="s">
        <v>74</v>
      </c>
      <c r="AZ1630" t="s">
        <v>74</v>
      </c>
      <c r="BA1630" t="s">
        <v>74</v>
      </c>
      <c r="BB1630" t="s">
        <v>74</v>
      </c>
      <c r="BC1630" t="s">
        <v>74</v>
      </c>
      <c r="BD1630">
        <v>101557</v>
      </c>
      <c r="BE1630" t="s">
        <v>24557</v>
      </c>
      <c r="BF1630" t="str">
        <f>HYPERLINK("http://dx.doi.org/10.1016/j.pacfin.2021.101557","http://dx.doi.org/10.1016/j.pacfin.2021.101557")</f>
        <v>http://dx.doi.org/10.1016/j.pacfin.2021.101557</v>
      </c>
      <c r="BG1630" t="s">
        <v>74</v>
      </c>
      <c r="BH1630" t="s">
        <v>443</v>
      </c>
      <c r="BI1630">
        <v>18</v>
      </c>
      <c r="BJ1630" t="s">
        <v>268</v>
      </c>
      <c r="BK1630" t="s">
        <v>99</v>
      </c>
      <c r="BL1630" t="s">
        <v>100</v>
      </c>
      <c r="BM1630" t="s">
        <v>24556</v>
      </c>
      <c r="BN1630" t="s">
        <v>74</v>
      </c>
      <c r="BO1630" t="s">
        <v>74</v>
      </c>
      <c r="BP1630" t="s">
        <v>74</v>
      </c>
      <c r="BQ1630" t="s">
        <v>74</v>
      </c>
      <c r="BR1630" t="s">
        <v>102</v>
      </c>
      <c r="BS1630" t="s">
        <v>24555</v>
      </c>
      <c r="BT1630" t="str">
        <f>HYPERLINK("https%3A%2F%2Fwww.webofscience.com%2Fwos%2Fwoscc%2Ffull-record%2FWOS:000656251000004","View Full Record in Web of Science")</f>
        <v>View Full Record in Web of Science</v>
      </c>
    </row>
    <row r="1631" spans="1:72" x14ac:dyDescent="0.25">
      <c r="A1631" t="s">
        <v>72</v>
      </c>
      <c r="B1631" t="s">
        <v>24554</v>
      </c>
      <c r="C1631" t="s">
        <v>74</v>
      </c>
      <c r="D1631" t="s">
        <v>74</v>
      </c>
      <c r="E1631" t="s">
        <v>74</v>
      </c>
      <c r="F1631" t="s">
        <v>24553</v>
      </c>
      <c r="G1631" t="s">
        <v>74</v>
      </c>
      <c r="H1631" t="s">
        <v>74</v>
      </c>
      <c r="I1631" t="s">
        <v>24552</v>
      </c>
      <c r="J1631" t="s">
        <v>24551</v>
      </c>
      <c r="K1631" t="s">
        <v>74</v>
      </c>
      <c r="L1631" t="s">
        <v>74</v>
      </c>
      <c r="M1631" t="s">
        <v>78</v>
      </c>
      <c r="N1631" t="s">
        <v>79</v>
      </c>
      <c r="O1631" t="s">
        <v>74</v>
      </c>
      <c r="P1631" t="s">
        <v>74</v>
      </c>
      <c r="Q1631" t="s">
        <v>74</v>
      </c>
      <c r="R1631" t="s">
        <v>74</v>
      </c>
      <c r="S1631" t="s">
        <v>74</v>
      </c>
      <c r="T1631" t="s">
        <v>24550</v>
      </c>
      <c r="U1631" t="s">
        <v>24549</v>
      </c>
      <c r="V1631" t="s">
        <v>24548</v>
      </c>
      <c r="W1631" t="s">
        <v>24547</v>
      </c>
      <c r="X1631" t="s">
        <v>74</v>
      </c>
      <c r="Y1631" t="s">
        <v>24546</v>
      </c>
      <c r="Z1631" t="s">
        <v>24545</v>
      </c>
      <c r="AA1631" t="s">
        <v>24544</v>
      </c>
      <c r="AB1631" t="s">
        <v>24543</v>
      </c>
      <c r="AC1631" t="s">
        <v>24542</v>
      </c>
      <c r="AD1631" t="s">
        <v>24541</v>
      </c>
      <c r="AE1631" t="s">
        <v>24540</v>
      </c>
      <c r="AF1631" t="s">
        <v>74</v>
      </c>
      <c r="AG1631">
        <v>185</v>
      </c>
      <c r="AH1631">
        <v>41</v>
      </c>
      <c r="AI1631">
        <v>57</v>
      </c>
      <c r="AJ1631">
        <v>1</v>
      </c>
      <c r="AK1631">
        <v>56</v>
      </c>
      <c r="AL1631" t="s">
        <v>89</v>
      </c>
      <c r="AM1631" t="s">
        <v>1497</v>
      </c>
      <c r="AN1631" t="s">
        <v>1498</v>
      </c>
      <c r="AO1631" t="s">
        <v>24539</v>
      </c>
      <c r="AP1631" t="s">
        <v>24538</v>
      </c>
      <c r="AQ1631" t="s">
        <v>74</v>
      </c>
      <c r="AR1631" t="s">
        <v>24537</v>
      </c>
      <c r="AS1631" t="s">
        <v>24536</v>
      </c>
      <c r="AT1631" t="s">
        <v>24535</v>
      </c>
      <c r="AU1631">
        <v>2021</v>
      </c>
      <c r="AV1631">
        <v>16</v>
      </c>
      <c r="AW1631" t="s">
        <v>5324</v>
      </c>
      <c r="AX1631" t="s">
        <v>74</v>
      </c>
      <c r="AY1631" t="s">
        <v>74</v>
      </c>
      <c r="AZ1631" t="s">
        <v>74</v>
      </c>
      <c r="BA1631" t="s">
        <v>74</v>
      </c>
      <c r="BB1631">
        <v>572</v>
      </c>
      <c r="BC1631">
        <v>593</v>
      </c>
      <c r="BD1631" t="s">
        <v>74</v>
      </c>
      <c r="BE1631" t="s">
        <v>24534</v>
      </c>
      <c r="BF1631" t="str">
        <f>HYPERLINK("http://dx.doi.org/10.1108/QROM-03-2020-1910","http://dx.doi.org/10.1108/QROM-03-2020-1910")</f>
        <v>http://dx.doi.org/10.1108/QROM-03-2020-1910</v>
      </c>
      <c r="BG1631" t="s">
        <v>74</v>
      </c>
      <c r="BH1631" t="s">
        <v>3351</v>
      </c>
      <c r="BI1631">
        <v>22</v>
      </c>
      <c r="BJ1631" t="s">
        <v>583</v>
      </c>
      <c r="BK1631" t="s">
        <v>313</v>
      </c>
      <c r="BL1631" t="s">
        <v>100</v>
      </c>
      <c r="BM1631" t="s">
        <v>24533</v>
      </c>
      <c r="BN1631" t="s">
        <v>74</v>
      </c>
      <c r="BO1631" t="s">
        <v>74</v>
      </c>
      <c r="BP1631" t="s">
        <v>74</v>
      </c>
      <c r="BQ1631" t="s">
        <v>74</v>
      </c>
      <c r="BR1631" t="s">
        <v>102</v>
      </c>
      <c r="BS1631" t="s">
        <v>24532</v>
      </c>
      <c r="BT1631" t="str">
        <f>HYPERLINK("https%3A%2F%2Fwww.webofscience.com%2Fwos%2Fwoscc%2Ffull-record%2FWOS:000547549300001","View Full Record in Web of Science")</f>
        <v>View Full Record in Web of Science</v>
      </c>
    </row>
    <row r="1632" spans="1:72" x14ac:dyDescent="0.25">
      <c r="A1632" t="s">
        <v>72</v>
      </c>
      <c r="B1632" t="s">
        <v>24531</v>
      </c>
      <c r="C1632" t="s">
        <v>74</v>
      </c>
      <c r="D1632" t="s">
        <v>74</v>
      </c>
      <c r="E1632" t="s">
        <v>74</v>
      </c>
      <c r="F1632" t="s">
        <v>24530</v>
      </c>
      <c r="G1632" t="s">
        <v>74</v>
      </c>
      <c r="H1632" t="s">
        <v>74</v>
      </c>
      <c r="I1632" t="s">
        <v>24529</v>
      </c>
      <c r="J1632" t="s">
        <v>24528</v>
      </c>
      <c r="K1632" t="s">
        <v>74</v>
      </c>
      <c r="L1632" t="s">
        <v>74</v>
      </c>
      <c r="M1632" t="s">
        <v>78</v>
      </c>
      <c r="N1632" t="s">
        <v>79</v>
      </c>
      <c r="O1632" t="s">
        <v>74</v>
      </c>
      <c r="P1632" t="s">
        <v>74</v>
      </c>
      <c r="Q1632" t="s">
        <v>74</v>
      </c>
      <c r="R1632" t="s">
        <v>74</v>
      </c>
      <c r="S1632" t="s">
        <v>74</v>
      </c>
      <c r="T1632" t="s">
        <v>24527</v>
      </c>
      <c r="U1632" t="s">
        <v>15835</v>
      </c>
      <c r="V1632" t="s">
        <v>24526</v>
      </c>
      <c r="W1632" t="s">
        <v>24525</v>
      </c>
      <c r="X1632" t="s">
        <v>24524</v>
      </c>
      <c r="Y1632" t="s">
        <v>24523</v>
      </c>
      <c r="Z1632" t="s">
        <v>24522</v>
      </c>
      <c r="AA1632" t="s">
        <v>24521</v>
      </c>
      <c r="AB1632" t="s">
        <v>24520</v>
      </c>
      <c r="AC1632" t="s">
        <v>24519</v>
      </c>
      <c r="AD1632" t="s">
        <v>24518</v>
      </c>
      <c r="AE1632" t="s">
        <v>24517</v>
      </c>
      <c r="AF1632" t="s">
        <v>74</v>
      </c>
      <c r="AG1632">
        <v>12</v>
      </c>
      <c r="AH1632">
        <v>1</v>
      </c>
      <c r="AI1632">
        <v>1</v>
      </c>
      <c r="AJ1632">
        <v>0</v>
      </c>
      <c r="AK1632">
        <v>5</v>
      </c>
      <c r="AL1632" t="s">
        <v>994</v>
      </c>
      <c r="AM1632" t="s">
        <v>995</v>
      </c>
      <c r="AN1632" t="s">
        <v>2061</v>
      </c>
      <c r="AO1632" t="s">
        <v>24516</v>
      </c>
      <c r="AP1632" t="s">
        <v>24515</v>
      </c>
      <c r="AQ1632" t="s">
        <v>74</v>
      </c>
      <c r="AR1632" t="s">
        <v>24514</v>
      </c>
      <c r="AS1632" t="s">
        <v>24513</v>
      </c>
      <c r="AT1632" t="s">
        <v>1159</v>
      </c>
      <c r="AU1632">
        <v>2023</v>
      </c>
      <c r="AV1632">
        <v>50</v>
      </c>
      <c r="AW1632">
        <v>8</v>
      </c>
      <c r="AX1632" t="s">
        <v>74</v>
      </c>
      <c r="AY1632" t="s">
        <v>74</v>
      </c>
      <c r="AZ1632" t="s">
        <v>441</v>
      </c>
      <c r="BA1632" t="s">
        <v>74</v>
      </c>
      <c r="BB1632">
        <v>2326</v>
      </c>
      <c r="BC1632">
        <v>2329</v>
      </c>
      <c r="BD1632" t="s">
        <v>74</v>
      </c>
      <c r="BE1632" t="s">
        <v>24512</v>
      </c>
      <c r="BF1632" t="str">
        <f>HYPERLINK("http://dx.doi.org/10.1177/23998083231203990","http://dx.doi.org/10.1177/23998083231203990")</f>
        <v>http://dx.doi.org/10.1177/23998083231203990</v>
      </c>
      <c r="BG1632" t="s">
        <v>74</v>
      </c>
      <c r="BH1632" t="s">
        <v>5567</v>
      </c>
      <c r="BI1632">
        <v>4</v>
      </c>
      <c r="BJ1632" t="s">
        <v>24511</v>
      </c>
      <c r="BK1632" t="s">
        <v>99</v>
      </c>
      <c r="BL1632" t="s">
        <v>24510</v>
      </c>
      <c r="BM1632" t="s">
        <v>24509</v>
      </c>
      <c r="BN1632" t="s">
        <v>74</v>
      </c>
      <c r="BO1632" t="s">
        <v>74</v>
      </c>
      <c r="BP1632" t="s">
        <v>74</v>
      </c>
      <c r="BQ1632" t="s">
        <v>74</v>
      </c>
      <c r="BR1632" t="s">
        <v>102</v>
      </c>
      <c r="BS1632" t="s">
        <v>24508</v>
      </c>
      <c r="BT1632" t="str">
        <f>HYPERLINK("https%3A%2F%2Fwww.webofscience.com%2Fwos%2Fwoscc%2Ffull-record%2FWOS:001070471800001","View Full Record in Web of Science")</f>
        <v>View Full Record in Web of Science</v>
      </c>
    </row>
    <row r="1633" spans="1:72" x14ac:dyDescent="0.25">
      <c r="A1633" t="s">
        <v>72</v>
      </c>
      <c r="B1633" t="s">
        <v>24507</v>
      </c>
      <c r="C1633" t="s">
        <v>74</v>
      </c>
      <c r="D1633" t="s">
        <v>74</v>
      </c>
      <c r="E1633" t="s">
        <v>74</v>
      </c>
      <c r="F1633" t="s">
        <v>24506</v>
      </c>
      <c r="G1633" t="s">
        <v>74</v>
      </c>
      <c r="H1633" t="s">
        <v>74</v>
      </c>
      <c r="I1633" t="s">
        <v>24505</v>
      </c>
      <c r="J1633" t="s">
        <v>24504</v>
      </c>
      <c r="K1633" t="s">
        <v>74</v>
      </c>
      <c r="L1633" t="s">
        <v>74</v>
      </c>
      <c r="M1633" t="s">
        <v>78</v>
      </c>
      <c r="N1633" t="s">
        <v>79</v>
      </c>
      <c r="O1633" t="s">
        <v>74</v>
      </c>
      <c r="P1633" t="s">
        <v>74</v>
      </c>
      <c r="Q1633" t="s">
        <v>74</v>
      </c>
      <c r="R1633" t="s">
        <v>74</v>
      </c>
      <c r="S1633" t="s">
        <v>74</v>
      </c>
      <c r="T1633" t="s">
        <v>24503</v>
      </c>
      <c r="U1633" t="s">
        <v>24502</v>
      </c>
      <c r="V1633" t="s">
        <v>24501</v>
      </c>
      <c r="W1633" t="s">
        <v>24500</v>
      </c>
      <c r="X1633" t="s">
        <v>19923</v>
      </c>
      <c r="Y1633" t="s">
        <v>24499</v>
      </c>
      <c r="Z1633" t="s">
        <v>24498</v>
      </c>
      <c r="AA1633" t="s">
        <v>24497</v>
      </c>
      <c r="AB1633" t="s">
        <v>24496</v>
      </c>
      <c r="AC1633" t="s">
        <v>24495</v>
      </c>
      <c r="AD1633" t="s">
        <v>24495</v>
      </c>
      <c r="AE1633" t="s">
        <v>24494</v>
      </c>
      <c r="AF1633" t="s">
        <v>74</v>
      </c>
      <c r="AG1633">
        <v>81</v>
      </c>
      <c r="AH1633">
        <v>6</v>
      </c>
      <c r="AI1633">
        <v>8</v>
      </c>
      <c r="AJ1633">
        <v>0</v>
      </c>
      <c r="AK1633">
        <v>12</v>
      </c>
      <c r="AL1633" t="s">
        <v>332</v>
      </c>
      <c r="AM1633" t="s">
        <v>333</v>
      </c>
      <c r="AN1633" t="s">
        <v>334</v>
      </c>
      <c r="AO1633" t="s">
        <v>24493</v>
      </c>
      <c r="AP1633" t="s">
        <v>24492</v>
      </c>
      <c r="AQ1633" t="s">
        <v>74</v>
      </c>
      <c r="AR1633" t="s">
        <v>24491</v>
      </c>
      <c r="AS1633" t="s">
        <v>24490</v>
      </c>
      <c r="AT1633" t="s">
        <v>24489</v>
      </c>
      <c r="AU1633">
        <v>2020</v>
      </c>
      <c r="AV1633">
        <v>46</v>
      </c>
      <c r="AW1633">
        <v>6</v>
      </c>
      <c r="AX1633" t="s">
        <v>74</v>
      </c>
      <c r="AY1633" t="s">
        <v>74</v>
      </c>
      <c r="AZ1633" t="s">
        <v>74</v>
      </c>
      <c r="BA1633" t="s">
        <v>74</v>
      </c>
      <c r="BB1633">
        <v>1203</v>
      </c>
      <c r="BC1633">
        <v>1217</v>
      </c>
      <c r="BD1633" t="s">
        <v>74</v>
      </c>
      <c r="BE1633" t="s">
        <v>24488</v>
      </c>
      <c r="BF1633" t="str">
        <f>HYPERLINK("http://dx.doi.org/10.1080/03057070.2020.1823682","http://dx.doi.org/10.1080/03057070.2020.1823682")</f>
        <v>http://dx.doi.org/10.1080/03057070.2020.1823682</v>
      </c>
      <c r="BG1633" t="s">
        <v>74</v>
      </c>
      <c r="BH1633" t="s">
        <v>14147</v>
      </c>
      <c r="BI1633">
        <v>15</v>
      </c>
      <c r="BJ1633" t="s">
        <v>1674</v>
      </c>
      <c r="BK1633" t="s">
        <v>99</v>
      </c>
      <c r="BL1633" t="s">
        <v>1674</v>
      </c>
      <c r="BM1633" t="s">
        <v>24487</v>
      </c>
      <c r="BN1633" t="s">
        <v>74</v>
      </c>
      <c r="BO1633" t="s">
        <v>212</v>
      </c>
      <c r="BP1633" t="s">
        <v>74</v>
      </c>
      <c r="BQ1633" t="s">
        <v>74</v>
      </c>
      <c r="BR1633" t="s">
        <v>102</v>
      </c>
      <c r="BS1633" t="s">
        <v>24486</v>
      </c>
      <c r="BT1633" t="str">
        <f>HYPERLINK("https%3A%2F%2Fwww.webofscience.com%2Fwos%2Fwoscc%2Ffull-record%2FWOS:000585414500001","View Full Record in Web of Science")</f>
        <v>View Full Record in Web of Science</v>
      </c>
    </row>
    <row r="1634" spans="1:72" x14ac:dyDescent="0.25">
      <c r="A1634" t="s">
        <v>72</v>
      </c>
      <c r="B1634" t="s">
        <v>24485</v>
      </c>
      <c r="C1634" t="s">
        <v>74</v>
      </c>
      <c r="D1634" t="s">
        <v>74</v>
      </c>
      <c r="E1634" t="s">
        <v>74</v>
      </c>
      <c r="F1634" t="s">
        <v>24484</v>
      </c>
      <c r="G1634" t="s">
        <v>74</v>
      </c>
      <c r="H1634" t="s">
        <v>74</v>
      </c>
      <c r="I1634" t="s">
        <v>24483</v>
      </c>
      <c r="J1634" t="s">
        <v>24482</v>
      </c>
      <c r="K1634" t="s">
        <v>74</v>
      </c>
      <c r="L1634" t="s">
        <v>74</v>
      </c>
      <c r="M1634" t="s">
        <v>78</v>
      </c>
      <c r="N1634" t="s">
        <v>79</v>
      </c>
      <c r="O1634" t="s">
        <v>74</v>
      </c>
      <c r="P1634" t="s">
        <v>74</v>
      </c>
      <c r="Q1634" t="s">
        <v>74</v>
      </c>
      <c r="R1634" t="s">
        <v>74</v>
      </c>
      <c r="S1634" t="s">
        <v>74</v>
      </c>
      <c r="T1634" t="s">
        <v>24481</v>
      </c>
      <c r="U1634" t="s">
        <v>24480</v>
      </c>
      <c r="V1634" t="s">
        <v>24479</v>
      </c>
      <c r="W1634" t="s">
        <v>24478</v>
      </c>
      <c r="X1634" t="s">
        <v>24477</v>
      </c>
      <c r="Y1634" t="s">
        <v>24476</v>
      </c>
      <c r="Z1634" t="s">
        <v>24475</v>
      </c>
      <c r="AA1634" t="s">
        <v>24474</v>
      </c>
      <c r="AB1634" t="s">
        <v>24473</v>
      </c>
      <c r="AC1634" t="s">
        <v>74</v>
      </c>
      <c r="AD1634" t="s">
        <v>74</v>
      </c>
      <c r="AE1634" t="s">
        <v>74</v>
      </c>
      <c r="AF1634" t="s">
        <v>74</v>
      </c>
      <c r="AG1634">
        <v>61</v>
      </c>
      <c r="AH1634">
        <v>14</v>
      </c>
      <c r="AI1634">
        <v>16</v>
      </c>
      <c r="AJ1634">
        <v>0</v>
      </c>
      <c r="AK1634">
        <v>5</v>
      </c>
      <c r="AL1634" t="s">
        <v>24472</v>
      </c>
      <c r="AM1634" t="s">
        <v>24471</v>
      </c>
      <c r="AN1634" t="s">
        <v>24470</v>
      </c>
      <c r="AO1634" t="s">
        <v>24469</v>
      </c>
      <c r="AP1634" t="s">
        <v>74</v>
      </c>
      <c r="AQ1634" t="s">
        <v>74</v>
      </c>
      <c r="AR1634" t="s">
        <v>24468</v>
      </c>
      <c r="AS1634" t="s">
        <v>24467</v>
      </c>
      <c r="AT1634" t="s">
        <v>74</v>
      </c>
      <c r="AU1634">
        <v>2020</v>
      </c>
      <c r="AV1634">
        <v>13</v>
      </c>
      <c r="AW1634" t="s">
        <v>74</v>
      </c>
      <c r="AX1634" t="s">
        <v>74</v>
      </c>
      <c r="AY1634" t="s">
        <v>74</v>
      </c>
      <c r="AZ1634" t="s">
        <v>74</v>
      </c>
      <c r="BA1634" t="s">
        <v>74</v>
      </c>
      <c r="BB1634">
        <v>1157</v>
      </c>
      <c r="BC1634">
        <v>1167</v>
      </c>
      <c r="BD1634" t="s">
        <v>74</v>
      </c>
      <c r="BE1634" t="s">
        <v>24466</v>
      </c>
      <c r="BF1634" t="str">
        <f>HYPERLINK("http://dx.doi.org/10.2147/JMDH.S277357","http://dx.doi.org/10.2147/JMDH.S277357")</f>
        <v>http://dx.doi.org/10.2147/JMDH.S277357</v>
      </c>
      <c r="BG1634" t="s">
        <v>74</v>
      </c>
      <c r="BH1634" t="s">
        <v>74</v>
      </c>
      <c r="BI1634">
        <v>11</v>
      </c>
      <c r="BJ1634" t="s">
        <v>23597</v>
      </c>
      <c r="BK1634" t="s">
        <v>2623</v>
      </c>
      <c r="BL1634" t="s">
        <v>23597</v>
      </c>
      <c r="BM1634" t="s">
        <v>24465</v>
      </c>
      <c r="BN1634">
        <v>33116561</v>
      </c>
      <c r="BO1634" t="s">
        <v>916</v>
      </c>
      <c r="BP1634" t="s">
        <v>74</v>
      </c>
      <c r="BQ1634" t="s">
        <v>74</v>
      </c>
      <c r="BR1634" t="s">
        <v>102</v>
      </c>
      <c r="BS1634" t="s">
        <v>24464</v>
      </c>
      <c r="BT1634" t="str">
        <f>HYPERLINK("https%3A%2F%2Fwww.webofscience.com%2Fwos%2Fwoscc%2Ffull-record%2FWOS:000577144300001","View Full Record in Web of Science")</f>
        <v>View Full Record in Web of Science</v>
      </c>
    </row>
    <row r="1635" spans="1:72" x14ac:dyDescent="0.25">
      <c r="A1635" t="s">
        <v>72</v>
      </c>
      <c r="B1635" t="s">
        <v>24463</v>
      </c>
      <c r="C1635" t="s">
        <v>74</v>
      </c>
      <c r="D1635" t="s">
        <v>74</v>
      </c>
      <c r="E1635" t="s">
        <v>74</v>
      </c>
      <c r="F1635" t="s">
        <v>24462</v>
      </c>
      <c r="G1635" t="s">
        <v>74</v>
      </c>
      <c r="H1635" t="s">
        <v>74</v>
      </c>
      <c r="I1635" t="s">
        <v>24461</v>
      </c>
      <c r="J1635" t="s">
        <v>24460</v>
      </c>
      <c r="K1635" t="s">
        <v>74</v>
      </c>
      <c r="L1635" t="s">
        <v>74</v>
      </c>
      <c r="M1635" t="s">
        <v>78</v>
      </c>
      <c r="N1635" t="s">
        <v>79</v>
      </c>
      <c r="O1635" t="s">
        <v>74</v>
      </c>
      <c r="P1635" t="s">
        <v>74</v>
      </c>
      <c r="Q1635" t="s">
        <v>74</v>
      </c>
      <c r="R1635" t="s">
        <v>74</v>
      </c>
      <c r="S1635" t="s">
        <v>74</v>
      </c>
      <c r="T1635" t="s">
        <v>24459</v>
      </c>
      <c r="U1635" t="s">
        <v>24458</v>
      </c>
      <c r="V1635" t="s">
        <v>24457</v>
      </c>
      <c r="W1635" t="s">
        <v>24456</v>
      </c>
      <c r="X1635" t="s">
        <v>24455</v>
      </c>
      <c r="Y1635" t="s">
        <v>24454</v>
      </c>
      <c r="Z1635" t="s">
        <v>24453</v>
      </c>
      <c r="AA1635" t="s">
        <v>24452</v>
      </c>
      <c r="AB1635" t="s">
        <v>24451</v>
      </c>
      <c r="AC1635" t="s">
        <v>74</v>
      </c>
      <c r="AD1635" t="s">
        <v>74</v>
      </c>
      <c r="AE1635" t="s">
        <v>74</v>
      </c>
      <c r="AF1635" t="s">
        <v>74</v>
      </c>
      <c r="AG1635">
        <v>53</v>
      </c>
      <c r="AH1635">
        <v>10</v>
      </c>
      <c r="AI1635">
        <v>11</v>
      </c>
      <c r="AJ1635">
        <v>0</v>
      </c>
      <c r="AK1635">
        <v>5</v>
      </c>
      <c r="AL1635" t="s">
        <v>24450</v>
      </c>
      <c r="AM1635" t="s">
        <v>24449</v>
      </c>
      <c r="AN1635" t="s">
        <v>24448</v>
      </c>
      <c r="AO1635" t="s">
        <v>24447</v>
      </c>
      <c r="AP1635" t="s">
        <v>74</v>
      </c>
      <c r="AQ1635" t="s">
        <v>74</v>
      </c>
      <c r="AR1635" t="s">
        <v>24446</v>
      </c>
      <c r="AS1635" t="s">
        <v>24445</v>
      </c>
      <c r="AT1635" t="s">
        <v>124</v>
      </c>
      <c r="AU1635">
        <v>2016</v>
      </c>
      <c r="AV1635">
        <v>14</v>
      </c>
      <c r="AW1635">
        <v>3</v>
      </c>
      <c r="AX1635" t="s">
        <v>74</v>
      </c>
      <c r="AY1635" t="s">
        <v>74</v>
      </c>
      <c r="AZ1635" t="s">
        <v>74</v>
      </c>
      <c r="BA1635" t="s">
        <v>74</v>
      </c>
      <c r="BB1635">
        <v>650</v>
      </c>
      <c r="BC1635">
        <v>682</v>
      </c>
      <c r="BD1635" t="s">
        <v>74</v>
      </c>
      <c r="BE1635" t="s">
        <v>74</v>
      </c>
      <c r="BF1635" t="s">
        <v>74</v>
      </c>
      <c r="BG1635" t="s">
        <v>74</v>
      </c>
      <c r="BH1635" t="s">
        <v>74</v>
      </c>
      <c r="BI1635">
        <v>33</v>
      </c>
      <c r="BJ1635" t="s">
        <v>182</v>
      </c>
      <c r="BK1635" t="s">
        <v>313</v>
      </c>
      <c r="BL1635" t="s">
        <v>184</v>
      </c>
      <c r="BM1635" t="s">
        <v>24444</v>
      </c>
      <c r="BN1635" t="s">
        <v>74</v>
      </c>
      <c r="BO1635" t="s">
        <v>74</v>
      </c>
      <c r="BP1635" t="s">
        <v>74</v>
      </c>
      <c r="BQ1635" t="s">
        <v>74</v>
      </c>
      <c r="BR1635" t="s">
        <v>102</v>
      </c>
      <c r="BS1635" t="s">
        <v>24443</v>
      </c>
      <c r="BT1635" t="str">
        <f>HYPERLINK("https%3A%2F%2Fwww.webofscience.com%2Fwos%2Fwoscc%2Ffull-record%2FWOS:000404431900006","View Full Record in Web of Science")</f>
        <v>View Full Record in Web of Science</v>
      </c>
    </row>
    <row r="1636" spans="1:72" x14ac:dyDescent="0.25">
      <c r="A1636" t="s">
        <v>72</v>
      </c>
      <c r="B1636" t="s">
        <v>24442</v>
      </c>
      <c r="C1636" t="s">
        <v>74</v>
      </c>
      <c r="D1636" t="s">
        <v>74</v>
      </c>
      <c r="E1636" t="s">
        <v>74</v>
      </c>
      <c r="F1636" t="s">
        <v>24441</v>
      </c>
      <c r="G1636" t="s">
        <v>74</v>
      </c>
      <c r="H1636" t="s">
        <v>74</v>
      </c>
      <c r="I1636" t="s">
        <v>24440</v>
      </c>
      <c r="J1636" t="s">
        <v>24439</v>
      </c>
      <c r="K1636" t="s">
        <v>74</v>
      </c>
      <c r="L1636" t="s">
        <v>74</v>
      </c>
      <c r="M1636" t="s">
        <v>78</v>
      </c>
      <c r="N1636" t="s">
        <v>79</v>
      </c>
      <c r="O1636" t="s">
        <v>74</v>
      </c>
      <c r="P1636" t="s">
        <v>74</v>
      </c>
      <c r="Q1636" t="s">
        <v>74</v>
      </c>
      <c r="R1636" t="s">
        <v>74</v>
      </c>
      <c r="S1636" t="s">
        <v>74</v>
      </c>
      <c r="T1636" t="s">
        <v>24438</v>
      </c>
      <c r="U1636" t="s">
        <v>74</v>
      </c>
      <c r="V1636" t="s">
        <v>24437</v>
      </c>
      <c r="W1636" t="s">
        <v>24436</v>
      </c>
      <c r="X1636" t="s">
        <v>3960</v>
      </c>
      <c r="Y1636" t="s">
        <v>24435</v>
      </c>
      <c r="Z1636" t="s">
        <v>74</v>
      </c>
      <c r="AA1636" t="s">
        <v>24434</v>
      </c>
      <c r="AB1636" t="s">
        <v>24433</v>
      </c>
      <c r="AC1636" t="s">
        <v>74</v>
      </c>
      <c r="AD1636" t="s">
        <v>74</v>
      </c>
      <c r="AE1636" t="s">
        <v>74</v>
      </c>
      <c r="AF1636" t="s">
        <v>74</v>
      </c>
      <c r="AG1636">
        <v>31</v>
      </c>
      <c r="AH1636">
        <v>3</v>
      </c>
      <c r="AI1636">
        <v>7</v>
      </c>
      <c r="AJ1636">
        <v>3</v>
      </c>
      <c r="AK1636">
        <v>9</v>
      </c>
      <c r="AL1636" t="s">
        <v>24432</v>
      </c>
      <c r="AM1636" t="s">
        <v>15173</v>
      </c>
      <c r="AN1636" t="s">
        <v>24431</v>
      </c>
      <c r="AO1636" t="s">
        <v>24430</v>
      </c>
      <c r="AP1636" t="s">
        <v>74</v>
      </c>
      <c r="AQ1636" t="s">
        <v>74</v>
      </c>
      <c r="AR1636" t="s">
        <v>24429</v>
      </c>
      <c r="AS1636" t="s">
        <v>24428</v>
      </c>
      <c r="AT1636" t="s">
        <v>891</v>
      </c>
      <c r="AU1636">
        <v>2021</v>
      </c>
      <c r="AV1636">
        <v>43</v>
      </c>
      <c r="AW1636">
        <v>2</v>
      </c>
      <c r="AX1636" t="s">
        <v>74</v>
      </c>
      <c r="AY1636" t="s">
        <v>74</v>
      </c>
      <c r="AZ1636" t="s">
        <v>74</v>
      </c>
      <c r="BA1636" t="s">
        <v>74</v>
      </c>
      <c r="BB1636">
        <v>59</v>
      </c>
      <c r="BC1636">
        <v>82</v>
      </c>
      <c r="BD1636" t="s">
        <v>74</v>
      </c>
      <c r="BE1636" t="s">
        <v>24427</v>
      </c>
      <c r="BF1636" t="str">
        <f>HYPERLINK("http://dx.doi.org/10.35293/srsa.v43i2.3619","http://dx.doi.org/10.35293/srsa.v43i2.3619")</f>
        <v>http://dx.doi.org/10.35293/srsa.v43i2.3619</v>
      </c>
      <c r="BG1636" t="s">
        <v>74</v>
      </c>
      <c r="BH1636" t="s">
        <v>74</v>
      </c>
      <c r="BI1636">
        <v>24</v>
      </c>
      <c r="BJ1636" t="s">
        <v>3326</v>
      </c>
      <c r="BK1636" t="s">
        <v>313</v>
      </c>
      <c r="BL1636" t="s">
        <v>184</v>
      </c>
      <c r="BM1636" t="s">
        <v>24426</v>
      </c>
      <c r="BN1636" t="s">
        <v>74</v>
      </c>
      <c r="BO1636" t="s">
        <v>1205</v>
      </c>
      <c r="BP1636" t="s">
        <v>74</v>
      </c>
      <c r="BQ1636" t="s">
        <v>74</v>
      </c>
      <c r="BR1636" t="s">
        <v>102</v>
      </c>
      <c r="BS1636" t="s">
        <v>24425</v>
      </c>
      <c r="BT1636" t="str">
        <f>HYPERLINK("https%3A%2F%2Fwww.webofscience.com%2Fwos%2Fwoscc%2Ffull-record%2FWOS:000866238800004","View Full Record in Web of Science")</f>
        <v>View Full Record in Web of Science</v>
      </c>
    </row>
    <row r="1637" spans="1:72" x14ac:dyDescent="0.25">
      <c r="A1637" t="s">
        <v>72</v>
      </c>
      <c r="B1637" t="s">
        <v>24424</v>
      </c>
      <c r="C1637" t="s">
        <v>74</v>
      </c>
      <c r="D1637" t="s">
        <v>74</v>
      </c>
      <c r="E1637" t="s">
        <v>74</v>
      </c>
      <c r="F1637" t="s">
        <v>24423</v>
      </c>
      <c r="G1637" t="s">
        <v>74</v>
      </c>
      <c r="H1637" t="s">
        <v>74</v>
      </c>
      <c r="I1637" t="s">
        <v>24422</v>
      </c>
      <c r="J1637" t="s">
        <v>4956</v>
      </c>
      <c r="K1637" t="s">
        <v>74</v>
      </c>
      <c r="L1637" t="s">
        <v>74</v>
      </c>
      <c r="M1637" t="s">
        <v>78</v>
      </c>
      <c r="N1637" t="s">
        <v>79</v>
      </c>
      <c r="O1637" t="s">
        <v>74</v>
      </c>
      <c r="P1637" t="s">
        <v>74</v>
      </c>
      <c r="Q1637" t="s">
        <v>74</v>
      </c>
      <c r="R1637" t="s">
        <v>74</v>
      </c>
      <c r="S1637" t="s">
        <v>74</v>
      </c>
      <c r="T1637" t="s">
        <v>24421</v>
      </c>
      <c r="U1637" t="s">
        <v>24420</v>
      </c>
      <c r="V1637" t="s">
        <v>24419</v>
      </c>
      <c r="W1637" t="s">
        <v>24418</v>
      </c>
      <c r="X1637" t="s">
        <v>24417</v>
      </c>
      <c r="Y1637" t="s">
        <v>24416</v>
      </c>
      <c r="Z1637" t="s">
        <v>24415</v>
      </c>
      <c r="AA1637" t="s">
        <v>74</v>
      </c>
      <c r="AB1637" t="s">
        <v>74</v>
      </c>
      <c r="AC1637" t="s">
        <v>74</v>
      </c>
      <c r="AD1637" t="s">
        <v>74</v>
      </c>
      <c r="AE1637" t="s">
        <v>74</v>
      </c>
      <c r="AF1637" t="s">
        <v>74</v>
      </c>
      <c r="AG1637">
        <v>55</v>
      </c>
      <c r="AH1637">
        <v>3</v>
      </c>
      <c r="AI1637">
        <v>5</v>
      </c>
      <c r="AJ1637">
        <v>0</v>
      </c>
      <c r="AK1637">
        <v>15</v>
      </c>
      <c r="AL1637" t="s">
        <v>230</v>
      </c>
      <c r="AM1637" t="s">
        <v>231</v>
      </c>
      <c r="AN1637" t="s">
        <v>232</v>
      </c>
      <c r="AO1637" t="s">
        <v>4966</v>
      </c>
      <c r="AP1637" t="s">
        <v>4967</v>
      </c>
      <c r="AQ1637" t="s">
        <v>74</v>
      </c>
      <c r="AR1637" t="s">
        <v>4968</v>
      </c>
      <c r="AS1637" t="s">
        <v>4969</v>
      </c>
      <c r="AT1637" t="s">
        <v>743</v>
      </c>
      <c r="AU1637">
        <v>2022</v>
      </c>
      <c r="AV1637">
        <v>152</v>
      </c>
      <c r="AW1637" t="s">
        <v>74</v>
      </c>
      <c r="AX1637" t="s">
        <v>74</v>
      </c>
      <c r="AY1637" t="s">
        <v>74</v>
      </c>
      <c r="AZ1637" t="s">
        <v>74</v>
      </c>
      <c r="BA1637" t="s">
        <v>74</v>
      </c>
      <c r="BB1637" t="s">
        <v>74</v>
      </c>
      <c r="BC1637" t="s">
        <v>74</v>
      </c>
      <c r="BD1637">
        <v>105781</v>
      </c>
      <c r="BE1637" t="s">
        <v>24414</v>
      </c>
      <c r="BF1637" t="str">
        <f>HYPERLINK("http://dx.doi.org/10.1016/j.worlddev.2021.105781","http://dx.doi.org/10.1016/j.worlddev.2021.105781")</f>
        <v>http://dx.doi.org/10.1016/j.worlddev.2021.105781</v>
      </c>
      <c r="BG1637" t="s">
        <v>74</v>
      </c>
      <c r="BH1637" t="s">
        <v>6548</v>
      </c>
      <c r="BI1637">
        <v>12</v>
      </c>
      <c r="BJ1637" t="s">
        <v>701</v>
      </c>
      <c r="BK1637" t="s">
        <v>99</v>
      </c>
      <c r="BL1637" t="s">
        <v>702</v>
      </c>
      <c r="BM1637" t="s">
        <v>24413</v>
      </c>
      <c r="BN1637" t="s">
        <v>74</v>
      </c>
      <c r="BO1637" t="s">
        <v>74</v>
      </c>
      <c r="BP1637" t="s">
        <v>74</v>
      </c>
      <c r="BQ1637" t="s">
        <v>74</v>
      </c>
      <c r="BR1637" t="s">
        <v>102</v>
      </c>
      <c r="BS1637" t="s">
        <v>24412</v>
      </c>
      <c r="BT1637" t="str">
        <f>HYPERLINK("https%3A%2F%2Fwww.webofscience.com%2Fwos%2Fwoscc%2Ffull-record%2FWOS:000820602100005","View Full Record in Web of Science")</f>
        <v>View Full Record in Web of Science</v>
      </c>
    </row>
    <row r="1638" spans="1:72" x14ac:dyDescent="0.25">
      <c r="A1638" t="s">
        <v>72</v>
      </c>
      <c r="B1638" t="s">
        <v>24411</v>
      </c>
      <c r="C1638" t="s">
        <v>74</v>
      </c>
      <c r="D1638" t="s">
        <v>74</v>
      </c>
      <c r="E1638" t="s">
        <v>74</v>
      </c>
      <c r="F1638" t="s">
        <v>24410</v>
      </c>
      <c r="G1638" t="s">
        <v>74</v>
      </c>
      <c r="H1638" t="s">
        <v>74</v>
      </c>
      <c r="I1638" t="s">
        <v>24409</v>
      </c>
      <c r="J1638" t="s">
        <v>17640</v>
      </c>
      <c r="K1638" t="s">
        <v>74</v>
      </c>
      <c r="L1638" t="s">
        <v>74</v>
      </c>
      <c r="M1638" t="s">
        <v>78</v>
      </c>
      <c r="N1638" t="s">
        <v>79</v>
      </c>
      <c r="O1638" t="s">
        <v>74</v>
      </c>
      <c r="P1638" t="s">
        <v>74</v>
      </c>
      <c r="Q1638" t="s">
        <v>74</v>
      </c>
      <c r="R1638" t="s">
        <v>74</v>
      </c>
      <c r="S1638" t="s">
        <v>74</v>
      </c>
      <c r="T1638" t="s">
        <v>74</v>
      </c>
      <c r="U1638" t="s">
        <v>24408</v>
      </c>
      <c r="V1638" t="s">
        <v>24407</v>
      </c>
      <c r="W1638" t="s">
        <v>24406</v>
      </c>
      <c r="X1638" t="s">
        <v>19367</v>
      </c>
      <c r="Y1638" t="s">
        <v>24405</v>
      </c>
      <c r="Z1638" t="s">
        <v>24404</v>
      </c>
      <c r="AA1638" t="s">
        <v>74</v>
      </c>
      <c r="AB1638" t="s">
        <v>24403</v>
      </c>
      <c r="AC1638" t="s">
        <v>74</v>
      </c>
      <c r="AD1638" t="s">
        <v>74</v>
      </c>
      <c r="AE1638" t="s">
        <v>74</v>
      </c>
      <c r="AF1638" t="s">
        <v>74</v>
      </c>
      <c r="AG1638">
        <v>81</v>
      </c>
      <c r="AH1638">
        <v>1</v>
      </c>
      <c r="AI1638">
        <v>2</v>
      </c>
      <c r="AJ1638">
        <v>2</v>
      </c>
      <c r="AK1638">
        <v>15</v>
      </c>
      <c r="AL1638" t="s">
        <v>4666</v>
      </c>
      <c r="AM1638" t="s">
        <v>995</v>
      </c>
      <c r="AN1638" t="s">
        <v>4025</v>
      </c>
      <c r="AO1638" t="s">
        <v>74</v>
      </c>
      <c r="AP1638" t="s">
        <v>17649</v>
      </c>
      <c r="AQ1638" t="s">
        <v>74</v>
      </c>
      <c r="AR1638" t="s">
        <v>17650</v>
      </c>
      <c r="AS1638" t="s">
        <v>17651</v>
      </c>
      <c r="AT1638" t="s">
        <v>24402</v>
      </c>
      <c r="AU1638">
        <v>2024</v>
      </c>
      <c r="AV1638">
        <v>11</v>
      </c>
      <c r="AW1638">
        <v>1</v>
      </c>
      <c r="AX1638" t="s">
        <v>74</v>
      </c>
      <c r="AY1638" t="s">
        <v>74</v>
      </c>
      <c r="AZ1638" t="s">
        <v>74</v>
      </c>
      <c r="BA1638" t="s">
        <v>74</v>
      </c>
      <c r="BB1638" t="s">
        <v>74</v>
      </c>
      <c r="BC1638" t="s">
        <v>74</v>
      </c>
      <c r="BD1638">
        <v>238</v>
      </c>
      <c r="BE1638" t="s">
        <v>24401</v>
      </c>
      <c r="BF1638" t="str">
        <f>HYPERLINK("http://dx.doi.org/10.1057/s41599-024-02708-z","http://dx.doi.org/10.1057/s41599-024-02708-z")</f>
        <v>http://dx.doi.org/10.1057/s41599-024-02708-z</v>
      </c>
      <c r="BG1638" t="s">
        <v>74</v>
      </c>
      <c r="BH1638" t="s">
        <v>74</v>
      </c>
      <c r="BI1638">
        <v>13</v>
      </c>
      <c r="BJ1638" t="s">
        <v>17654</v>
      </c>
      <c r="BK1638" t="s">
        <v>871</v>
      </c>
      <c r="BL1638" t="s">
        <v>17655</v>
      </c>
      <c r="BM1638" t="s">
        <v>24400</v>
      </c>
      <c r="BN1638" t="s">
        <v>74</v>
      </c>
      <c r="BO1638" t="s">
        <v>212</v>
      </c>
      <c r="BP1638" t="s">
        <v>74</v>
      </c>
      <c r="BQ1638" t="s">
        <v>74</v>
      </c>
      <c r="BR1638" t="s">
        <v>102</v>
      </c>
      <c r="BS1638" t="s">
        <v>24399</v>
      </c>
      <c r="BT1638" t="str">
        <f>HYPERLINK("https%3A%2F%2Fwww.webofscience.com%2Fwos%2Fwoscc%2Ffull-record%2FWOS:001159378800008","View Full Record in Web of Science")</f>
        <v>View Full Record in Web of Science</v>
      </c>
    </row>
    <row r="1639" spans="1:72" x14ac:dyDescent="0.25">
      <c r="A1639" t="s">
        <v>72</v>
      </c>
      <c r="B1639" t="s">
        <v>24398</v>
      </c>
      <c r="C1639" t="s">
        <v>74</v>
      </c>
      <c r="D1639" t="s">
        <v>74</v>
      </c>
      <c r="E1639" t="s">
        <v>74</v>
      </c>
      <c r="F1639" t="s">
        <v>24397</v>
      </c>
      <c r="G1639" t="s">
        <v>74</v>
      </c>
      <c r="H1639" t="s">
        <v>74</v>
      </c>
      <c r="I1639" t="s">
        <v>24396</v>
      </c>
      <c r="J1639" t="s">
        <v>9896</v>
      </c>
      <c r="K1639" t="s">
        <v>74</v>
      </c>
      <c r="L1639" t="s">
        <v>74</v>
      </c>
      <c r="M1639" t="s">
        <v>78</v>
      </c>
      <c r="N1639" t="s">
        <v>79</v>
      </c>
      <c r="O1639" t="s">
        <v>74</v>
      </c>
      <c r="P1639" t="s">
        <v>74</v>
      </c>
      <c r="Q1639" t="s">
        <v>74</v>
      </c>
      <c r="R1639" t="s">
        <v>74</v>
      </c>
      <c r="S1639" t="s">
        <v>74</v>
      </c>
      <c r="T1639" t="s">
        <v>24395</v>
      </c>
      <c r="U1639" t="s">
        <v>24394</v>
      </c>
      <c r="V1639" t="s">
        <v>24393</v>
      </c>
      <c r="W1639" t="s">
        <v>24392</v>
      </c>
      <c r="X1639" t="s">
        <v>24391</v>
      </c>
      <c r="Y1639" t="s">
        <v>24390</v>
      </c>
      <c r="Z1639" t="s">
        <v>24389</v>
      </c>
      <c r="AA1639" t="s">
        <v>24388</v>
      </c>
      <c r="AB1639" t="s">
        <v>24387</v>
      </c>
      <c r="AC1639" t="s">
        <v>74</v>
      </c>
      <c r="AD1639" t="s">
        <v>74</v>
      </c>
      <c r="AE1639" t="s">
        <v>74</v>
      </c>
      <c r="AF1639" t="s">
        <v>74</v>
      </c>
      <c r="AG1639">
        <v>81</v>
      </c>
      <c r="AH1639">
        <v>31</v>
      </c>
      <c r="AI1639">
        <v>35</v>
      </c>
      <c r="AJ1639">
        <v>0</v>
      </c>
      <c r="AK1639">
        <v>16</v>
      </c>
      <c r="AL1639" t="s">
        <v>89</v>
      </c>
      <c r="AM1639" t="s">
        <v>1497</v>
      </c>
      <c r="AN1639" t="s">
        <v>1498</v>
      </c>
      <c r="AO1639" t="s">
        <v>9905</v>
      </c>
      <c r="AP1639" t="s">
        <v>9906</v>
      </c>
      <c r="AQ1639" t="s">
        <v>74</v>
      </c>
      <c r="AR1639" t="s">
        <v>9907</v>
      </c>
      <c r="AS1639" t="s">
        <v>9908</v>
      </c>
      <c r="AT1639" t="s">
        <v>24386</v>
      </c>
      <c r="AU1639">
        <v>2021</v>
      </c>
      <c r="AV1639">
        <v>81</v>
      </c>
      <c r="AW1639">
        <v>4</v>
      </c>
      <c r="AX1639" t="s">
        <v>74</v>
      </c>
      <c r="AY1639" t="s">
        <v>74</v>
      </c>
      <c r="AZ1639" t="s">
        <v>74</v>
      </c>
      <c r="BA1639" t="s">
        <v>74</v>
      </c>
      <c r="BB1639">
        <v>481</v>
      </c>
      <c r="BC1639">
        <v>502</v>
      </c>
      <c r="BD1639" t="s">
        <v>74</v>
      </c>
      <c r="BE1639" t="s">
        <v>24385</v>
      </c>
      <c r="BF1639" t="str">
        <f>HYPERLINK("http://dx.doi.org/10.1108/AFR-12-2019-0132","http://dx.doi.org/10.1108/AFR-12-2019-0132")</f>
        <v>http://dx.doi.org/10.1108/AFR-12-2019-0132</v>
      </c>
      <c r="BG1639" t="s">
        <v>74</v>
      </c>
      <c r="BH1639" t="s">
        <v>7236</v>
      </c>
      <c r="BI1639">
        <v>22</v>
      </c>
      <c r="BJ1639" t="s">
        <v>5151</v>
      </c>
      <c r="BK1639" t="s">
        <v>313</v>
      </c>
      <c r="BL1639" t="s">
        <v>5152</v>
      </c>
      <c r="BM1639" t="s">
        <v>24384</v>
      </c>
      <c r="BN1639" t="s">
        <v>74</v>
      </c>
      <c r="BO1639" t="s">
        <v>74</v>
      </c>
      <c r="BP1639" t="s">
        <v>74</v>
      </c>
      <c r="BQ1639" t="s">
        <v>74</v>
      </c>
      <c r="BR1639" t="s">
        <v>102</v>
      </c>
      <c r="BS1639" t="s">
        <v>24383</v>
      </c>
      <c r="BT1639" t="str">
        <f>HYPERLINK("https%3A%2F%2Fwww.webofscience.com%2Fwos%2Fwoscc%2Ffull-record%2FWOS:000598607800001","View Full Record in Web of Science")</f>
        <v>View Full Record in Web of Science</v>
      </c>
    </row>
    <row r="1640" spans="1:72" x14ac:dyDescent="0.25">
      <c r="A1640" t="s">
        <v>72</v>
      </c>
      <c r="B1640" t="s">
        <v>24382</v>
      </c>
      <c r="C1640" t="s">
        <v>74</v>
      </c>
      <c r="D1640" t="s">
        <v>74</v>
      </c>
      <c r="E1640" t="s">
        <v>74</v>
      </c>
      <c r="F1640" t="s">
        <v>24381</v>
      </c>
      <c r="G1640" t="s">
        <v>74</v>
      </c>
      <c r="H1640" t="s">
        <v>74</v>
      </c>
      <c r="I1640" t="s">
        <v>24380</v>
      </c>
      <c r="J1640" t="s">
        <v>24379</v>
      </c>
      <c r="K1640" t="s">
        <v>74</v>
      </c>
      <c r="L1640" t="s">
        <v>74</v>
      </c>
      <c r="M1640" t="s">
        <v>78</v>
      </c>
      <c r="N1640" t="s">
        <v>19497</v>
      </c>
      <c r="O1640" t="s">
        <v>74</v>
      </c>
      <c r="P1640" t="s">
        <v>74</v>
      </c>
      <c r="Q1640" t="s">
        <v>74</v>
      </c>
      <c r="R1640" t="s">
        <v>74</v>
      </c>
      <c r="S1640" t="s">
        <v>74</v>
      </c>
      <c r="T1640" t="s">
        <v>74</v>
      </c>
      <c r="U1640" t="s">
        <v>24378</v>
      </c>
      <c r="V1640" t="s">
        <v>24377</v>
      </c>
      <c r="W1640" t="s">
        <v>24376</v>
      </c>
      <c r="X1640" t="s">
        <v>24375</v>
      </c>
      <c r="Y1640" t="s">
        <v>24374</v>
      </c>
      <c r="Z1640" t="s">
        <v>24373</v>
      </c>
      <c r="AA1640" t="s">
        <v>74</v>
      </c>
      <c r="AB1640" t="s">
        <v>24372</v>
      </c>
      <c r="AC1640" t="s">
        <v>24371</v>
      </c>
      <c r="AD1640" t="s">
        <v>74</v>
      </c>
      <c r="AE1640" t="s">
        <v>24370</v>
      </c>
      <c r="AF1640" t="s">
        <v>74</v>
      </c>
      <c r="AG1640">
        <v>29</v>
      </c>
      <c r="AH1640">
        <v>9</v>
      </c>
      <c r="AI1640">
        <v>9</v>
      </c>
      <c r="AJ1640">
        <v>1</v>
      </c>
      <c r="AK1640">
        <v>96</v>
      </c>
      <c r="AL1640" t="s">
        <v>9090</v>
      </c>
      <c r="AM1640" t="s">
        <v>995</v>
      </c>
      <c r="AN1640" t="s">
        <v>9091</v>
      </c>
      <c r="AO1640" t="s">
        <v>24369</v>
      </c>
      <c r="AP1640" t="s">
        <v>24368</v>
      </c>
      <c r="AQ1640" t="s">
        <v>74</v>
      </c>
      <c r="AR1640" t="s">
        <v>24367</v>
      </c>
      <c r="AS1640" t="s">
        <v>24366</v>
      </c>
      <c r="AT1640" t="s">
        <v>24365</v>
      </c>
      <c r="AU1640">
        <v>2022</v>
      </c>
      <c r="AV1640">
        <v>2022</v>
      </c>
      <c r="AW1640" t="s">
        <v>74</v>
      </c>
      <c r="AX1640" t="s">
        <v>74</v>
      </c>
      <c r="AY1640" t="s">
        <v>74</v>
      </c>
      <c r="AZ1640" t="s">
        <v>74</v>
      </c>
      <c r="BA1640" t="s">
        <v>74</v>
      </c>
      <c r="BB1640" t="s">
        <v>74</v>
      </c>
      <c r="BC1640" t="s">
        <v>74</v>
      </c>
      <c r="BD1640">
        <v>7025375</v>
      </c>
      <c r="BE1640" t="s">
        <v>24364</v>
      </c>
      <c r="BF1640" t="str">
        <f>HYPERLINK("http://dx.doi.org/10.1155/2022/7025375","http://dx.doi.org/10.1155/2022/7025375")</f>
        <v>http://dx.doi.org/10.1155/2022/7025375</v>
      </c>
      <c r="BG1640" t="s">
        <v>74</v>
      </c>
      <c r="BH1640" t="s">
        <v>74</v>
      </c>
      <c r="BI1640">
        <v>15</v>
      </c>
      <c r="BJ1640" t="s">
        <v>2647</v>
      </c>
      <c r="BK1640" t="s">
        <v>128</v>
      </c>
      <c r="BL1640" t="s">
        <v>2648</v>
      </c>
      <c r="BM1640" t="s">
        <v>24363</v>
      </c>
      <c r="BN1640" t="s">
        <v>74</v>
      </c>
      <c r="BO1640" t="s">
        <v>270</v>
      </c>
      <c r="BP1640" t="s">
        <v>74</v>
      </c>
      <c r="BQ1640" t="s">
        <v>74</v>
      </c>
      <c r="BR1640" t="s">
        <v>102</v>
      </c>
      <c r="BS1640" t="s">
        <v>24362</v>
      </c>
      <c r="BT1640" t="str">
        <f>HYPERLINK("https%3A%2F%2Fwww.webofscience.com%2Fwos%2Fwoscc%2Ffull-record%2FWOS:000812277200010","View Full Record in Web of Science")</f>
        <v>View Full Record in Web of Science</v>
      </c>
    </row>
    <row r="1641" spans="1:72" x14ac:dyDescent="0.25">
      <c r="A1641" t="s">
        <v>72</v>
      </c>
      <c r="B1641" t="s">
        <v>24361</v>
      </c>
      <c r="C1641" t="s">
        <v>74</v>
      </c>
      <c r="D1641" t="s">
        <v>74</v>
      </c>
      <c r="E1641" t="s">
        <v>74</v>
      </c>
      <c r="F1641" t="s">
        <v>24360</v>
      </c>
      <c r="G1641" t="s">
        <v>74</v>
      </c>
      <c r="H1641" t="s">
        <v>74</v>
      </c>
      <c r="I1641" t="s">
        <v>24359</v>
      </c>
      <c r="J1641" t="s">
        <v>18194</v>
      </c>
      <c r="K1641" t="s">
        <v>74</v>
      </c>
      <c r="L1641" t="s">
        <v>74</v>
      </c>
      <c r="M1641" t="s">
        <v>78</v>
      </c>
      <c r="N1641" t="s">
        <v>79</v>
      </c>
      <c r="O1641" t="s">
        <v>74</v>
      </c>
      <c r="P1641" t="s">
        <v>74</v>
      </c>
      <c r="Q1641" t="s">
        <v>74</v>
      </c>
      <c r="R1641" t="s">
        <v>74</v>
      </c>
      <c r="S1641" t="s">
        <v>74</v>
      </c>
      <c r="T1641" t="s">
        <v>24358</v>
      </c>
      <c r="U1641" t="s">
        <v>74</v>
      </c>
      <c r="V1641" t="s">
        <v>24357</v>
      </c>
      <c r="W1641" t="s">
        <v>24356</v>
      </c>
      <c r="X1641" t="s">
        <v>24289</v>
      </c>
      <c r="Y1641" t="s">
        <v>24355</v>
      </c>
      <c r="Z1641" t="s">
        <v>24354</v>
      </c>
      <c r="AA1641" t="s">
        <v>24353</v>
      </c>
      <c r="AB1641" t="s">
        <v>24352</v>
      </c>
      <c r="AC1641" t="s">
        <v>24351</v>
      </c>
      <c r="AD1641" t="s">
        <v>24350</v>
      </c>
      <c r="AE1641" t="s">
        <v>24349</v>
      </c>
      <c r="AF1641" t="s">
        <v>74</v>
      </c>
      <c r="AG1641">
        <v>66</v>
      </c>
      <c r="AH1641">
        <v>1</v>
      </c>
      <c r="AI1641">
        <v>1</v>
      </c>
      <c r="AJ1641">
        <v>2</v>
      </c>
      <c r="AK1641">
        <v>16</v>
      </c>
      <c r="AL1641" t="s">
        <v>575</v>
      </c>
      <c r="AM1641" t="s">
        <v>576</v>
      </c>
      <c r="AN1641" t="s">
        <v>3242</v>
      </c>
      <c r="AO1641" t="s">
        <v>74</v>
      </c>
      <c r="AP1641" t="s">
        <v>18205</v>
      </c>
      <c r="AQ1641" t="s">
        <v>74</v>
      </c>
      <c r="AR1641" t="s">
        <v>18194</v>
      </c>
      <c r="AS1641" t="s">
        <v>18206</v>
      </c>
      <c r="AT1641" t="s">
        <v>1652</v>
      </c>
      <c r="AU1641">
        <v>2024</v>
      </c>
      <c r="AV1641">
        <v>14</v>
      </c>
      <c r="AW1641">
        <v>6</v>
      </c>
      <c r="AX1641" t="s">
        <v>74</v>
      </c>
      <c r="AY1641" t="s">
        <v>74</v>
      </c>
      <c r="AZ1641" t="s">
        <v>74</v>
      </c>
      <c r="BA1641" t="s">
        <v>74</v>
      </c>
      <c r="BB1641" t="s">
        <v>74</v>
      </c>
      <c r="BC1641" t="s">
        <v>74</v>
      </c>
      <c r="BD1641">
        <v>965</v>
      </c>
      <c r="BE1641" t="s">
        <v>24348</v>
      </c>
      <c r="BF1641" t="str">
        <f>HYPERLINK("http://dx.doi.org/10.3390/agriculture14060965","http://dx.doi.org/10.3390/agriculture14060965")</f>
        <v>http://dx.doi.org/10.3390/agriculture14060965</v>
      </c>
      <c r="BG1641" t="s">
        <v>74</v>
      </c>
      <c r="BH1641" t="s">
        <v>74</v>
      </c>
      <c r="BI1641">
        <v>22</v>
      </c>
      <c r="BJ1641" t="s">
        <v>18208</v>
      </c>
      <c r="BK1641" t="s">
        <v>128</v>
      </c>
      <c r="BL1641" t="s">
        <v>5152</v>
      </c>
      <c r="BM1641" t="s">
        <v>24347</v>
      </c>
      <c r="BN1641" t="s">
        <v>74</v>
      </c>
      <c r="BO1641" t="s">
        <v>916</v>
      </c>
      <c r="BP1641" t="s">
        <v>74</v>
      </c>
      <c r="BQ1641" t="s">
        <v>74</v>
      </c>
      <c r="BR1641" t="s">
        <v>102</v>
      </c>
      <c r="BS1641" t="s">
        <v>24346</v>
      </c>
      <c r="BT1641" t="str">
        <f>HYPERLINK("https%3A%2F%2Fwww.webofscience.com%2Fwos%2Fwoscc%2Ffull-record%2FWOS:001254520300001","View Full Record in Web of Science")</f>
        <v>View Full Record in Web of Science</v>
      </c>
    </row>
    <row r="1642" spans="1:72" x14ac:dyDescent="0.25">
      <c r="A1642" t="s">
        <v>72</v>
      </c>
      <c r="B1642" t="s">
        <v>24345</v>
      </c>
      <c r="C1642" t="s">
        <v>74</v>
      </c>
      <c r="D1642" t="s">
        <v>74</v>
      </c>
      <c r="E1642" t="s">
        <v>74</v>
      </c>
      <c r="F1642" t="s">
        <v>24344</v>
      </c>
      <c r="G1642" t="s">
        <v>74</v>
      </c>
      <c r="H1642" t="s">
        <v>74</v>
      </c>
      <c r="I1642" t="s">
        <v>24343</v>
      </c>
      <c r="J1642" t="s">
        <v>2137</v>
      </c>
      <c r="K1642" t="s">
        <v>74</v>
      </c>
      <c r="L1642" t="s">
        <v>74</v>
      </c>
      <c r="M1642" t="s">
        <v>78</v>
      </c>
      <c r="N1642" t="s">
        <v>79</v>
      </c>
      <c r="O1642" t="s">
        <v>74</v>
      </c>
      <c r="P1642" t="s">
        <v>74</v>
      </c>
      <c r="Q1642" t="s">
        <v>74</v>
      </c>
      <c r="R1642" t="s">
        <v>74</v>
      </c>
      <c r="S1642" t="s">
        <v>74</v>
      </c>
      <c r="T1642" t="s">
        <v>24342</v>
      </c>
      <c r="U1642" t="s">
        <v>24341</v>
      </c>
      <c r="V1642" t="s">
        <v>24340</v>
      </c>
      <c r="W1642" t="s">
        <v>24339</v>
      </c>
      <c r="X1642" t="s">
        <v>24338</v>
      </c>
      <c r="Y1642" t="s">
        <v>24337</v>
      </c>
      <c r="Z1642" t="s">
        <v>24336</v>
      </c>
      <c r="AA1642" t="s">
        <v>24335</v>
      </c>
      <c r="AB1642" t="s">
        <v>24334</v>
      </c>
      <c r="AC1642" t="s">
        <v>74</v>
      </c>
      <c r="AD1642" t="s">
        <v>74</v>
      </c>
      <c r="AE1642" t="s">
        <v>21802</v>
      </c>
      <c r="AF1642" t="s">
        <v>74</v>
      </c>
      <c r="AG1642">
        <v>70</v>
      </c>
      <c r="AH1642">
        <v>3</v>
      </c>
      <c r="AI1642">
        <v>3</v>
      </c>
      <c r="AJ1642">
        <v>11</v>
      </c>
      <c r="AK1642">
        <v>41</v>
      </c>
      <c r="AL1642" t="s">
        <v>2145</v>
      </c>
      <c r="AM1642" t="s">
        <v>151</v>
      </c>
      <c r="AN1642" t="s">
        <v>2146</v>
      </c>
      <c r="AO1642" t="s">
        <v>2147</v>
      </c>
      <c r="AP1642" t="s">
        <v>2148</v>
      </c>
      <c r="AQ1642" t="s">
        <v>74</v>
      </c>
      <c r="AR1642" t="s">
        <v>2149</v>
      </c>
      <c r="AS1642" t="s">
        <v>2150</v>
      </c>
      <c r="AT1642" t="s">
        <v>74</v>
      </c>
      <c r="AU1642">
        <v>2024</v>
      </c>
      <c r="AV1642">
        <v>35</v>
      </c>
      <c r="AW1642">
        <v>2</v>
      </c>
      <c r="AX1642" t="s">
        <v>74</v>
      </c>
      <c r="AY1642" t="s">
        <v>74</v>
      </c>
      <c r="AZ1642" t="s">
        <v>74</v>
      </c>
      <c r="BA1642" t="s">
        <v>74</v>
      </c>
      <c r="BB1642">
        <v>276</v>
      </c>
      <c r="BC1642">
        <v>291</v>
      </c>
      <c r="BD1642" t="s">
        <v>74</v>
      </c>
      <c r="BE1642" t="s">
        <v>24333</v>
      </c>
      <c r="BF1642" t="str">
        <f>HYPERLINK("http://dx.doi.org/10.1891/JFCP-2023-0022","http://dx.doi.org/10.1891/JFCP-2023-0022")</f>
        <v>http://dx.doi.org/10.1891/JFCP-2023-0022</v>
      </c>
      <c r="BG1642" t="s">
        <v>74</v>
      </c>
      <c r="BH1642" t="s">
        <v>74</v>
      </c>
      <c r="BI1642">
        <v>16</v>
      </c>
      <c r="BJ1642" t="s">
        <v>1453</v>
      </c>
      <c r="BK1642" t="s">
        <v>313</v>
      </c>
      <c r="BL1642" t="s">
        <v>100</v>
      </c>
      <c r="BM1642" t="s">
        <v>21800</v>
      </c>
      <c r="BN1642" t="s">
        <v>74</v>
      </c>
      <c r="BO1642" t="s">
        <v>74</v>
      </c>
      <c r="BP1642" t="s">
        <v>74</v>
      </c>
      <c r="BQ1642" t="s">
        <v>74</v>
      </c>
      <c r="BR1642" t="s">
        <v>102</v>
      </c>
      <c r="BS1642" t="s">
        <v>24332</v>
      </c>
      <c r="BT1642" t="str">
        <f>HYPERLINK("https%3A%2F%2Fwww.webofscience.com%2Fwos%2Fwoscc%2Ffull-record%2FWOS:001289023300010","View Full Record in Web of Science")</f>
        <v>View Full Record in Web of Science</v>
      </c>
    </row>
    <row r="1643" spans="1:72" x14ac:dyDescent="0.25">
      <c r="A1643" t="s">
        <v>72</v>
      </c>
      <c r="B1643" t="s">
        <v>24331</v>
      </c>
      <c r="C1643" t="s">
        <v>74</v>
      </c>
      <c r="D1643" t="s">
        <v>74</v>
      </c>
      <c r="E1643" t="s">
        <v>74</v>
      </c>
      <c r="F1643" t="s">
        <v>24330</v>
      </c>
      <c r="G1643" t="s">
        <v>74</v>
      </c>
      <c r="H1643" t="s">
        <v>74</v>
      </c>
      <c r="I1643" t="s">
        <v>24329</v>
      </c>
      <c r="J1643" t="s">
        <v>11135</v>
      </c>
      <c r="K1643" t="s">
        <v>74</v>
      </c>
      <c r="L1643" t="s">
        <v>74</v>
      </c>
      <c r="M1643" t="s">
        <v>78</v>
      </c>
      <c r="N1643" t="s">
        <v>79</v>
      </c>
      <c r="O1643" t="s">
        <v>74</v>
      </c>
      <c r="P1643" t="s">
        <v>74</v>
      </c>
      <c r="Q1643" t="s">
        <v>74</v>
      </c>
      <c r="R1643" t="s">
        <v>74</v>
      </c>
      <c r="S1643" t="s">
        <v>74</v>
      </c>
      <c r="T1643" t="s">
        <v>24328</v>
      </c>
      <c r="U1643" t="s">
        <v>24327</v>
      </c>
      <c r="V1643" t="s">
        <v>24326</v>
      </c>
      <c r="W1643" t="s">
        <v>24325</v>
      </c>
      <c r="X1643" t="s">
        <v>24324</v>
      </c>
      <c r="Y1643" t="s">
        <v>24323</v>
      </c>
      <c r="Z1643" t="s">
        <v>24322</v>
      </c>
      <c r="AA1643" t="s">
        <v>24321</v>
      </c>
      <c r="AB1643" t="s">
        <v>24320</v>
      </c>
      <c r="AC1643" t="s">
        <v>24319</v>
      </c>
      <c r="AD1643" t="s">
        <v>24318</v>
      </c>
      <c r="AE1643" t="s">
        <v>24317</v>
      </c>
      <c r="AF1643" t="s">
        <v>74</v>
      </c>
      <c r="AG1643">
        <v>42</v>
      </c>
      <c r="AH1643">
        <v>8</v>
      </c>
      <c r="AI1643">
        <v>9</v>
      </c>
      <c r="AJ1643">
        <v>17</v>
      </c>
      <c r="AK1643">
        <v>68</v>
      </c>
      <c r="AL1643" t="s">
        <v>332</v>
      </c>
      <c r="AM1643" t="s">
        <v>333</v>
      </c>
      <c r="AN1643" t="s">
        <v>334</v>
      </c>
      <c r="AO1643" t="s">
        <v>11145</v>
      </c>
      <c r="AP1643" t="s">
        <v>11146</v>
      </c>
      <c r="AQ1643" t="s">
        <v>74</v>
      </c>
      <c r="AR1643" t="s">
        <v>11147</v>
      </c>
      <c r="AS1643" t="s">
        <v>11148</v>
      </c>
      <c r="AT1643" t="s">
        <v>3349</v>
      </c>
      <c r="AU1643">
        <v>2025</v>
      </c>
      <c r="AV1643">
        <v>37</v>
      </c>
      <c r="AW1643">
        <v>11</v>
      </c>
      <c r="AX1643" t="s">
        <v>74</v>
      </c>
      <c r="AY1643" t="s">
        <v>74</v>
      </c>
      <c r="AZ1643" t="s">
        <v>74</v>
      </c>
      <c r="BA1643" t="s">
        <v>74</v>
      </c>
      <c r="BB1643">
        <v>1767</v>
      </c>
      <c r="BC1643">
        <v>1779</v>
      </c>
      <c r="BD1643" t="s">
        <v>74</v>
      </c>
      <c r="BE1643" t="s">
        <v>24316</v>
      </c>
      <c r="BF1643" t="str">
        <f>HYPERLINK("http://dx.doi.org/10.1080/09537325.2024.2328144","http://dx.doi.org/10.1080/09537325.2024.2328144")</f>
        <v>http://dx.doi.org/10.1080/09537325.2024.2328144</v>
      </c>
      <c r="BG1643" t="s">
        <v>74</v>
      </c>
      <c r="BH1643" t="s">
        <v>1981</v>
      </c>
      <c r="BI1643">
        <v>13</v>
      </c>
      <c r="BJ1643" t="s">
        <v>11152</v>
      </c>
      <c r="BK1643" t="s">
        <v>99</v>
      </c>
      <c r="BL1643" t="s">
        <v>650</v>
      </c>
      <c r="BM1643" t="s">
        <v>24315</v>
      </c>
      <c r="BN1643" t="s">
        <v>74</v>
      </c>
      <c r="BO1643" t="s">
        <v>74</v>
      </c>
      <c r="BP1643" t="s">
        <v>74</v>
      </c>
      <c r="BQ1643" t="s">
        <v>74</v>
      </c>
      <c r="BR1643" t="s">
        <v>102</v>
      </c>
      <c r="BS1643" t="s">
        <v>24314</v>
      </c>
      <c r="BT1643" t="str">
        <f>HYPERLINK("https%3A%2F%2Fwww.webofscience.com%2Fwos%2Fwoscc%2Ffull-record%2FWOS:001185941200001","View Full Record in Web of Science")</f>
        <v>View Full Record in Web of Science</v>
      </c>
    </row>
    <row r="1644" spans="1:72" x14ac:dyDescent="0.25">
      <c r="A1644" t="s">
        <v>72</v>
      </c>
      <c r="B1644" t="s">
        <v>24313</v>
      </c>
      <c r="C1644" t="s">
        <v>74</v>
      </c>
      <c r="D1644" t="s">
        <v>74</v>
      </c>
      <c r="E1644" t="s">
        <v>74</v>
      </c>
      <c r="F1644" t="s">
        <v>24312</v>
      </c>
      <c r="G1644" t="s">
        <v>74</v>
      </c>
      <c r="H1644" t="s">
        <v>74</v>
      </c>
      <c r="I1644" t="s">
        <v>24311</v>
      </c>
      <c r="J1644" t="s">
        <v>836</v>
      </c>
      <c r="K1644" t="s">
        <v>74</v>
      </c>
      <c r="L1644" t="s">
        <v>74</v>
      </c>
      <c r="M1644" t="s">
        <v>78</v>
      </c>
      <c r="N1644" t="s">
        <v>79</v>
      </c>
      <c r="O1644" t="s">
        <v>74</v>
      </c>
      <c r="P1644" t="s">
        <v>74</v>
      </c>
      <c r="Q1644" t="s">
        <v>74</v>
      </c>
      <c r="R1644" t="s">
        <v>74</v>
      </c>
      <c r="S1644" t="s">
        <v>74</v>
      </c>
      <c r="T1644" t="s">
        <v>24310</v>
      </c>
      <c r="U1644" t="s">
        <v>24309</v>
      </c>
      <c r="V1644" t="s">
        <v>24308</v>
      </c>
      <c r="W1644" t="s">
        <v>24307</v>
      </c>
      <c r="X1644" t="s">
        <v>24306</v>
      </c>
      <c r="Y1644" t="s">
        <v>24305</v>
      </c>
      <c r="Z1644" t="s">
        <v>24304</v>
      </c>
      <c r="AA1644" t="s">
        <v>74</v>
      </c>
      <c r="AB1644" t="s">
        <v>24303</v>
      </c>
      <c r="AC1644" t="s">
        <v>24302</v>
      </c>
      <c r="AD1644" t="s">
        <v>24301</v>
      </c>
      <c r="AE1644" t="s">
        <v>24300</v>
      </c>
      <c r="AF1644" t="s">
        <v>74</v>
      </c>
      <c r="AG1644">
        <v>77</v>
      </c>
      <c r="AH1644">
        <v>115</v>
      </c>
      <c r="AI1644">
        <v>125</v>
      </c>
      <c r="AJ1644">
        <v>32</v>
      </c>
      <c r="AK1644">
        <v>306</v>
      </c>
      <c r="AL1644" t="s">
        <v>503</v>
      </c>
      <c r="AM1644" t="s">
        <v>151</v>
      </c>
      <c r="AN1644" t="s">
        <v>504</v>
      </c>
      <c r="AO1644" t="s">
        <v>844</v>
      </c>
      <c r="AP1644" t="s">
        <v>845</v>
      </c>
      <c r="AQ1644" t="s">
        <v>74</v>
      </c>
      <c r="AR1644" t="s">
        <v>846</v>
      </c>
      <c r="AS1644" t="s">
        <v>847</v>
      </c>
      <c r="AT1644" t="s">
        <v>1540</v>
      </c>
      <c r="AU1644">
        <v>2023</v>
      </c>
      <c r="AV1644">
        <v>87</v>
      </c>
      <c r="AW1644" t="s">
        <v>74</v>
      </c>
      <c r="AX1644" t="s">
        <v>74</v>
      </c>
      <c r="AY1644" t="s">
        <v>74</v>
      </c>
      <c r="AZ1644" t="s">
        <v>74</v>
      </c>
      <c r="BA1644" t="s">
        <v>74</v>
      </c>
      <c r="BB1644" t="s">
        <v>74</v>
      </c>
      <c r="BC1644" t="s">
        <v>74</v>
      </c>
      <c r="BD1644">
        <v>102655</v>
      </c>
      <c r="BE1644" t="s">
        <v>24299</v>
      </c>
      <c r="BF1644" t="str">
        <f>HYPERLINK("http://dx.doi.org/10.1016/j.irfa.2023.102655","http://dx.doi.org/10.1016/j.irfa.2023.102655")</f>
        <v>http://dx.doi.org/10.1016/j.irfa.2023.102655</v>
      </c>
      <c r="BG1644" t="s">
        <v>74</v>
      </c>
      <c r="BH1644" t="s">
        <v>6298</v>
      </c>
      <c r="BI1644">
        <v>11</v>
      </c>
      <c r="BJ1644" t="s">
        <v>268</v>
      </c>
      <c r="BK1644" t="s">
        <v>99</v>
      </c>
      <c r="BL1644" t="s">
        <v>100</v>
      </c>
      <c r="BM1644" t="s">
        <v>24298</v>
      </c>
      <c r="BN1644" t="s">
        <v>74</v>
      </c>
      <c r="BO1644" t="s">
        <v>74</v>
      </c>
      <c r="BP1644" t="s">
        <v>74</v>
      </c>
      <c r="BQ1644" t="s">
        <v>74</v>
      </c>
      <c r="BR1644" t="s">
        <v>102</v>
      </c>
      <c r="BS1644" t="s">
        <v>24297</v>
      </c>
      <c r="BT1644" t="str">
        <f>HYPERLINK("https%3A%2F%2Fwww.webofscience.com%2Fwos%2Fwoscc%2Ffull-record%2FWOS:000979524000001","View Full Record in Web of Science")</f>
        <v>View Full Record in Web of Science</v>
      </c>
    </row>
    <row r="1645" spans="1:72" x14ac:dyDescent="0.25">
      <c r="A1645" t="s">
        <v>72</v>
      </c>
      <c r="B1645" t="s">
        <v>24296</v>
      </c>
      <c r="C1645" t="s">
        <v>74</v>
      </c>
      <c r="D1645" t="s">
        <v>74</v>
      </c>
      <c r="E1645" t="s">
        <v>74</v>
      </c>
      <c r="F1645" t="s">
        <v>24295</v>
      </c>
      <c r="G1645" t="s">
        <v>74</v>
      </c>
      <c r="H1645" t="s">
        <v>74</v>
      </c>
      <c r="I1645" t="s">
        <v>24294</v>
      </c>
      <c r="J1645" t="s">
        <v>10303</v>
      </c>
      <c r="K1645" t="s">
        <v>74</v>
      </c>
      <c r="L1645" t="s">
        <v>74</v>
      </c>
      <c r="M1645" t="s">
        <v>78</v>
      </c>
      <c r="N1645" t="s">
        <v>79</v>
      </c>
      <c r="O1645" t="s">
        <v>74</v>
      </c>
      <c r="P1645" t="s">
        <v>74</v>
      </c>
      <c r="Q1645" t="s">
        <v>74</v>
      </c>
      <c r="R1645" t="s">
        <v>74</v>
      </c>
      <c r="S1645" t="s">
        <v>74</v>
      </c>
      <c r="T1645" t="s">
        <v>24293</v>
      </c>
      <c r="U1645" t="s">
        <v>24292</v>
      </c>
      <c r="V1645" t="s">
        <v>24291</v>
      </c>
      <c r="W1645" t="s">
        <v>24290</v>
      </c>
      <c r="X1645" t="s">
        <v>24289</v>
      </c>
      <c r="Y1645" t="s">
        <v>24288</v>
      </c>
      <c r="Z1645" t="s">
        <v>24287</v>
      </c>
      <c r="AA1645" t="s">
        <v>74</v>
      </c>
      <c r="AB1645" t="s">
        <v>24286</v>
      </c>
      <c r="AC1645" t="s">
        <v>24285</v>
      </c>
      <c r="AD1645" t="s">
        <v>24284</v>
      </c>
      <c r="AE1645" t="s">
        <v>24283</v>
      </c>
      <c r="AF1645" t="s">
        <v>74</v>
      </c>
      <c r="AG1645">
        <v>78</v>
      </c>
      <c r="AH1645">
        <v>11</v>
      </c>
      <c r="AI1645">
        <v>13</v>
      </c>
      <c r="AJ1645">
        <v>7</v>
      </c>
      <c r="AK1645">
        <v>127</v>
      </c>
      <c r="AL1645" t="s">
        <v>230</v>
      </c>
      <c r="AM1645" t="s">
        <v>231</v>
      </c>
      <c r="AN1645" t="s">
        <v>232</v>
      </c>
      <c r="AO1645" t="s">
        <v>10312</v>
      </c>
      <c r="AP1645" t="s">
        <v>10313</v>
      </c>
      <c r="AQ1645" t="s">
        <v>74</v>
      </c>
      <c r="AR1645" t="s">
        <v>10314</v>
      </c>
      <c r="AS1645" t="s">
        <v>10315</v>
      </c>
      <c r="AT1645" t="s">
        <v>289</v>
      </c>
      <c r="AU1645">
        <v>2023</v>
      </c>
      <c r="AV1645">
        <v>145</v>
      </c>
      <c r="AW1645" t="s">
        <v>74</v>
      </c>
      <c r="AX1645" t="s">
        <v>74</v>
      </c>
      <c r="AY1645" t="s">
        <v>74</v>
      </c>
      <c r="AZ1645" t="s">
        <v>74</v>
      </c>
      <c r="BA1645" t="s">
        <v>74</v>
      </c>
      <c r="BB1645" t="s">
        <v>74</v>
      </c>
      <c r="BC1645" t="s">
        <v>74</v>
      </c>
      <c r="BD1645">
        <v>107768</v>
      </c>
      <c r="BE1645" t="s">
        <v>24282</v>
      </c>
      <c r="BF1645" t="str">
        <f>HYPERLINK("http://dx.doi.org/10.1016/j.chb.2023.107768","http://dx.doi.org/10.1016/j.chb.2023.107768")</f>
        <v>http://dx.doi.org/10.1016/j.chb.2023.107768</v>
      </c>
      <c r="BG1645" t="s">
        <v>74</v>
      </c>
      <c r="BH1645" t="s">
        <v>6298</v>
      </c>
      <c r="BI1645">
        <v>11</v>
      </c>
      <c r="BJ1645" t="s">
        <v>10317</v>
      </c>
      <c r="BK1645" t="s">
        <v>99</v>
      </c>
      <c r="BL1645" t="s">
        <v>2993</v>
      </c>
      <c r="BM1645" t="s">
        <v>24281</v>
      </c>
      <c r="BN1645" t="s">
        <v>74</v>
      </c>
      <c r="BO1645" t="s">
        <v>74</v>
      </c>
      <c r="BP1645" t="s">
        <v>74</v>
      </c>
      <c r="BQ1645" t="s">
        <v>74</v>
      </c>
      <c r="BR1645" t="s">
        <v>102</v>
      </c>
      <c r="BS1645" t="s">
        <v>24280</v>
      </c>
      <c r="BT1645" t="str">
        <f>HYPERLINK("https%3A%2F%2Fwww.webofscience.com%2Fwos%2Fwoscc%2Ffull-record%2FWOS:000983380200001","View Full Record in Web of Science")</f>
        <v>View Full Record in Web of Science</v>
      </c>
    </row>
    <row r="1646" spans="1:72" x14ac:dyDescent="0.25">
      <c r="A1646" t="s">
        <v>72</v>
      </c>
      <c r="B1646" t="s">
        <v>24279</v>
      </c>
      <c r="C1646" t="s">
        <v>74</v>
      </c>
      <c r="D1646" t="s">
        <v>74</v>
      </c>
      <c r="E1646" t="s">
        <v>74</v>
      </c>
      <c r="F1646" t="s">
        <v>24278</v>
      </c>
      <c r="G1646" t="s">
        <v>74</v>
      </c>
      <c r="H1646" t="s">
        <v>74</v>
      </c>
      <c r="I1646" t="s">
        <v>24277</v>
      </c>
      <c r="J1646" t="s">
        <v>24263</v>
      </c>
      <c r="K1646" t="s">
        <v>74</v>
      </c>
      <c r="L1646" t="s">
        <v>74</v>
      </c>
      <c r="M1646" t="s">
        <v>78</v>
      </c>
      <c r="N1646" t="s">
        <v>79</v>
      </c>
      <c r="O1646" t="s">
        <v>74</v>
      </c>
      <c r="P1646" t="s">
        <v>74</v>
      </c>
      <c r="Q1646" t="s">
        <v>74</v>
      </c>
      <c r="R1646" t="s">
        <v>74</v>
      </c>
      <c r="S1646" t="s">
        <v>74</v>
      </c>
      <c r="T1646" t="s">
        <v>24276</v>
      </c>
      <c r="U1646" t="s">
        <v>24275</v>
      </c>
      <c r="V1646" t="s">
        <v>24274</v>
      </c>
      <c r="W1646" t="s">
        <v>24273</v>
      </c>
      <c r="X1646" t="s">
        <v>24272</v>
      </c>
      <c r="Y1646" t="s">
        <v>24271</v>
      </c>
      <c r="Z1646" t="s">
        <v>24270</v>
      </c>
      <c r="AA1646" t="s">
        <v>24269</v>
      </c>
      <c r="AB1646" t="s">
        <v>24268</v>
      </c>
      <c r="AC1646" t="s">
        <v>24267</v>
      </c>
      <c r="AD1646" t="s">
        <v>24267</v>
      </c>
      <c r="AE1646" t="s">
        <v>24266</v>
      </c>
      <c r="AF1646" t="s">
        <v>74</v>
      </c>
      <c r="AG1646">
        <v>80</v>
      </c>
      <c r="AH1646">
        <v>9</v>
      </c>
      <c r="AI1646">
        <v>12</v>
      </c>
      <c r="AJ1646">
        <v>3</v>
      </c>
      <c r="AK1646">
        <v>18</v>
      </c>
      <c r="AL1646" t="s">
        <v>230</v>
      </c>
      <c r="AM1646" t="s">
        <v>231</v>
      </c>
      <c r="AN1646" t="s">
        <v>232</v>
      </c>
      <c r="AO1646" t="s">
        <v>24265</v>
      </c>
      <c r="AP1646" t="s">
        <v>24264</v>
      </c>
      <c r="AQ1646" t="s">
        <v>74</v>
      </c>
      <c r="AR1646" t="s">
        <v>24263</v>
      </c>
      <c r="AS1646" t="s">
        <v>24262</v>
      </c>
      <c r="AT1646" t="s">
        <v>605</v>
      </c>
      <c r="AU1646">
        <v>2019</v>
      </c>
      <c r="AV1646">
        <v>100</v>
      </c>
      <c r="AW1646" t="s">
        <v>74</v>
      </c>
      <c r="AX1646" t="s">
        <v>74</v>
      </c>
      <c r="AY1646" t="s">
        <v>74</v>
      </c>
      <c r="AZ1646" t="s">
        <v>74</v>
      </c>
      <c r="BA1646" t="s">
        <v>74</v>
      </c>
      <c r="BB1646">
        <v>80</v>
      </c>
      <c r="BC1646">
        <v>88</v>
      </c>
      <c r="BD1646" t="s">
        <v>74</v>
      </c>
      <c r="BE1646" t="s">
        <v>24261</v>
      </c>
      <c r="BF1646" t="str">
        <f>HYPERLINK("http://dx.doi.org/10.1016/j.geoforum.2019.02.004","http://dx.doi.org/10.1016/j.geoforum.2019.02.004")</f>
        <v>http://dx.doi.org/10.1016/j.geoforum.2019.02.004</v>
      </c>
      <c r="BG1646" t="s">
        <v>74</v>
      </c>
      <c r="BH1646" t="s">
        <v>74</v>
      </c>
      <c r="BI1646">
        <v>9</v>
      </c>
      <c r="BJ1646" t="s">
        <v>20950</v>
      </c>
      <c r="BK1646" t="s">
        <v>99</v>
      </c>
      <c r="BL1646" t="s">
        <v>20950</v>
      </c>
      <c r="BM1646" t="s">
        <v>24260</v>
      </c>
      <c r="BN1646" t="s">
        <v>74</v>
      </c>
      <c r="BO1646" t="s">
        <v>74</v>
      </c>
      <c r="BP1646" t="s">
        <v>74</v>
      </c>
      <c r="BQ1646" t="s">
        <v>74</v>
      </c>
      <c r="BR1646" t="s">
        <v>102</v>
      </c>
      <c r="BS1646" t="s">
        <v>24259</v>
      </c>
      <c r="BT1646" t="str">
        <f>HYPERLINK("https%3A%2F%2Fwww.webofscience.com%2Fwos%2Fwoscc%2Ffull-record%2FWOS:000463122400009","View Full Record in Web of Science")</f>
        <v>View Full Record in Web of Science</v>
      </c>
    </row>
    <row r="1647" spans="1:72" x14ac:dyDescent="0.25">
      <c r="A1647" t="s">
        <v>72</v>
      </c>
      <c r="B1647" t="s">
        <v>24258</v>
      </c>
      <c r="C1647" t="s">
        <v>74</v>
      </c>
      <c r="D1647" t="s">
        <v>74</v>
      </c>
      <c r="E1647" t="s">
        <v>74</v>
      </c>
      <c r="F1647" t="s">
        <v>24257</v>
      </c>
      <c r="G1647" t="s">
        <v>74</v>
      </c>
      <c r="H1647" t="s">
        <v>74</v>
      </c>
      <c r="I1647" t="s">
        <v>24256</v>
      </c>
      <c r="J1647" t="s">
        <v>11879</v>
      </c>
      <c r="K1647" t="s">
        <v>74</v>
      </c>
      <c r="L1647" t="s">
        <v>74</v>
      </c>
      <c r="M1647" t="s">
        <v>78</v>
      </c>
      <c r="N1647" t="s">
        <v>79</v>
      </c>
      <c r="O1647" t="s">
        <v>74</v>
      </c>
      <c r="P1647" t="s">
        <v>74</v>
      </c>
      <c r="Q1647" t="s">
        <v>74</v>
      </c>
      <c r="R1647" t="s">
        <v>74</v>
      </c>
      <c r="S1647" t="s">
        <v>74</v>
      </c>
      <c r="T1647" t="s">
        <v>24255</v>
      </c>
      <c r="U1647" t="s">
        <v>13423</v>
      </c>
      <c r="V1647" t="s">
        <v>24254</v>
      </c>
      <c r="W1647" t="s">
        <v>24253</v>
      </c>
      <c r="X1647" t="s">
        <v>24252</v>
      </c>
      <c r="Y1647" t="s">
        <v>24251</v>
      </c>
      <c r="Z1647" t="s">
        <v>24250</v>
      </c>
      <c r="AA1647" t="s">
        <v>24249</v>
      </c>
      <c r="AB1647" t="s">
        <v>74</v>
      </c>
      <c r="AC1647" t="s">
        <v>74</v>
      </c>
      <c r="AD1647" t="s">
        <v>74</v>
      </c>
      <c r="AE1647" t="s">
        <v>74</v>
      </c>
      <c r="AF1647" t="s">
        <v>74</v>
      </c>
      <c r="AG1647">
        <v>64</v>
      </c>
      <c r="AH1647">
        <v>1</v>
      </c>
      <c r="AI1647">
        <v>1</v>
      </c>
      <c r="AJ1647">
        <v>2</v>
      </c>
      <c r="AK1647">
        <v>2</v>
      </c>
      <c r="AL1647" t="s">
        <v>201</v>
      </c>
      <c r="AM1647" t="s">
        <v>202</v>
      </c>
      <c r="AN1647" t="s">
        <v>203</v>
      </c>
      <c r="AO1647" t="s">
        <v>11889</v>
      </c>
      <c r="AP1647" t="s">
        <v>11890</v>
      </c>
      <c r="AQ1647" t="s">
        <v>74</v>
      </c>
      <c r="AR1647" t="s">
        <v>11891</v>
      </c>
      <c r="AS1647" t="s">
        <v>11892</v>
      </c>
      <c r="AT1647" t="s">
        <v>124</v>
      </c>
      <c r="AU1647">
        <v>2025</v>
      </c>
      <c r="AV1647">
        <v>25</v>
      </c>
      <c r="AW1647" t="s">
        <v>74</v>
      </c>
      <c r="AX1647" t="s">
        <v>74</v>
      </c>
      <c r="AY1647">
        <v>2</v>
      </c>
      <c r="AZ1647" t="s">
        <v>74</v>
      </c>
      <c r="BA1647" t="s">
        <v>74</v>
      </c>
      <c r="BB1647">
        <v>101</v>
      </c>
      <c r="BC1647">
        <v>108</v>
      </c>
      <c r="BD1647" t="s">
        <v>74</v>
      </c>
      <c r="BE1647" t="s">
        <v>24248</v>
      </c>
      <c r="BF1647" t="str">
        <f>HYPERLINK("http://dx.doi.org/10.1016/j.bir.2025.07.010","http://dx.doi.org/10.1016/j.bir.2025.07.010")</f>
        <v>http://dx.doi.org/10.1016/j.bir.2025.07.010</v>
      </c>
      <c r="BG1647" t="s">
        <v>74</v>
      </c>
      <c r="BH1647" t="s">
        <v>74</v>
      </c>
      <c r="BI1647">
        <v>8</v>
      </c>
      <c r="BJ1647" t="s">
        <v>210</v>
      </c>
      <c r="BK1647" t="s">
        <v>99</v>
      </c>
      <c r="BL1647" t="s">
        <v>100</v>
      </c>
      <c r="BM1647" t="s">
        <v>12665</v>
      </c>
      <c r="BN1647" t="s">
        <v>74</v>
      </c>
      <c r="BO1647" t="s">
        <v>212</v>
      </c>
      <c r="BP1647" t="s">
        <v>74</v>
      </c>
      <c r="BQ1647" t="s">
        <v>74</v>
      </c>
      <c r="BR1647" t="s">
        <v>102</v>
      </c>
      <c r="BS1647" t="s">
        <v>24247</v>
      </c>
      <c r="BT1647" t="str">
        <f>HYPERLINK("https%3A%2F%2Fwww.webofscience.com%2Fwos%2Fwoscc%2Ffull-record%2FWOS:001637944900001","View Full Record in Web of Science")</f>
        <v>View Full Record in Web of Science</v>
      </c>
    </row>
    <row r="1648" spans="1:72" x14ac:dyDescent="0.25">
      <c r="A1648" t="s">
        <v>72</v>
      </c>
      <c r="B1648" t="s">
        <v>24246</v>
      </c>
      <c r="C1648" t="s">
        <v>74</v>
      </c>
      <c r="D1648" t="s">
        <v>74</v>
      </c>
      <c r="E1648" t="s">
        <v>74</v>
      </c>
      <c r="F1648" t="s">
        <v>24245</v>
      </c>
      <c r="G1648" t="s">
        <v>74</v>
      </c>
      <c r="H1648" t="s">
        <v>74</v>
      </c>
      <c r="I1648" t="s">
        <v>24244</v>
      </c>
      <c r="J1648" t="s">
        <v>9372</v>
      </c>
      <c r="K1648" t="s">
        <v>74</v>
      </c>
      <c r="L1648" t="s">
        <v>74</v>
      </c>
      <c r="M1648" t="s">
        <v>78</v>
      </c>
      <c r="N1648" t="s">
        <v>79</v>
      </c>
      <c r="O1648" t="s">
        <v>74</v>
      </c>
      <c r="P1648" t="s">
        <v>74</v>
      </c>
      <c r="Q1648" t="s">
        <v>74</v>
      </c>
      <c r="R1648" t="s">
        <v>74</v>
      </c>
      <c r="S1648" t="s">
        <v>74</v>
      </c>
      <c r="T1648" t="s">
        <v>24243</v>
      </c>
      <c r="U1648" t="s">
        <v>24242</v>
      </c>
      <c r="V1648" t="s">
        <v>24241</v>
      </c>
      <c r="W1648" t="s">
        <v>24240</v>
      </c>
      <c r="X1648" t="s">
        <v>24239</v>
      </c>
      <c r="Y1648" t="s">
        <v>24238</v>
      </c>
      <c r="Z1648" t="s">
        <v>24237</v>
      </c>
      <c r="AA1648" t="s">
        <v>24236</v>
      </c>
      <c r="AB1648" t="s">
        <v>24235</v>
      </c>
      <c r="AC1648" t="s">
        <v>74</v>
      </c>
      <c r="AD1648" t="s">
        <v>74</v>
      </c>
      <c r="AE1648" t="s">
        <v>74</v>
      </c>
      <c r="AF1648" t="s">
        <v>74</v>
      </c>
      <c r="AG1648">
        <v>130</v>
      </c>
      <c r="AH1648">
        <v>7</v>
      </c>
      <c r="AI1648">
        <v>8</v>
      </c>
      <c r="AJ1648">
        <v>5</v>
      </c>
      <c r="AK1648">
        <v>8</v>
      </c>
      <c r="AL1648" t="s">
        <v>201</v>
      </c>
      <c r="AM1648" t="s">
        <v>202</v>
      </c>
      <c r="AN1648" t="s">
        <v>203</v>
      </c>
      <c r="AO1648" t="s">
        <v>9384</v>
      </c>
      <c r="AP1648" t="s">
        <v>9385</v>
      </c>
      <c r="AQ1648" t="s">
        <v>74</v>
      </c>
      <c r="AR1648" t="s">
        <v>9386</v>
      </c>
      <c r="AS1648" t="s">
        <v>9387</v>
      </c>
      <c r="AT1648" t="s">
        <v>605</v>
      </c>
      <c r="AU1648">
        <v>2025</v>
      </c>
      <c r="AV1648">
        <v>75</v>
      </c>
      <c r="AW1648" t="s">
        <v>74</v>
      </c>
      <c r="AX1648" t="s">
        <v>74</v>
      </c>
      <c r="AY1648" t="s">
        <v>74</v>
      </c>
      <c r="AZ1648" t="s">
        <v>74</v>
      </c>
      <c r="BA1648" t="s">
        <v>74</v>
      </c>
      <c r="BB1648" t="s">
        <v>74</v>
      </c>
      <c r="BC1648" t="s">
        <v>74</v>
      </c>
      <c r="BD1648">
        <v>102768</v>
      </c>
      <c r="BE1648" t="s">
        <v>24234</v>
      </c>
      <c r="BF1648" t="str">
        <f>HYPERLINK("http://dx.doi.org/10.1016/j.ribaf.2025.102768","http://dx.doi.org/10.1016/j.ribaf.2025.102768")</f>
        <v>http://dx.doi.org/10.1016/j.ribaf.2025.102768</v>
      </c>
      <c r="BG1648" t="s">
        <v>74</v>
      </c>
      <c r="BH1648" t="s">
        <v>1737</v>
      </c>
      <c r="BI1648">
        <v>18</v>
      </c>
      <c r="BJ1648" t="s">
        <v>268</v>
      </c>
      <c r="BK1648" t="s">
        <v>99</v>
      </c>
      <c r="BL1648" t="s">
        <v>100</v>
      </c>
      <c r="BM1648" t="s">
        <v>24233</v>
      </c>
      <c r="BN1648" t="s">
        <v>74</v>
      </c>
      <c r="BO1648" t="s">
        <v>270</v>
      </c>
      <c r="BP1648" t="s">
        <v>74</v>
      </c>
      <c r="BQ1648" t="s">
        <v>74</v>
      </c>
      <c r="BR1648" t="s">
        <v>102</v>
      </c>
      <c r="BS1648" t="s">
        <v>24232</v>
      </c>
      <c r="BT1648" t="str">
        <f>HYPERLINK("https%3A%2F%2Fwww.webofscience.com%2Fwos%2Fwoscc%2Ffull-record%2FWOS:001413466700001","View Full Record in Web of Science")</f>
        <v>View Full Record in Web of Science</v>
      </c>
    </row>
    <row r="1649" spans="1:72" x14ac:dyDescent="0.25">
      <c r="A1649" t="s">
        <v>72</v>
      </c>
      <c r="B1649" t="s">
        <v>24231</v>
      </c>
      <c r="C1649" t="s">
        <v>74</v>
      </c>
      <c r="D1649" t="s">
        <v>74</v>
      </c>
      <c r="E1649" t="s">
        <v>74</v>
      </c>
      <c r="F1649" t="s">
        <v>24230</v>
      </c>
      <c r="G1649" t="s">
        <v>74</v>
      </c>
      <c r="H1649" t="s">
        <v>74</v>
      </c>
      <c r="I1649" t="s">
        <v>24229</v>
      </c>
      <c r="J1649" t="s">
        <v>24228</v>
      </c>
      <c r="K1649" t="s">
        <v>74</v>
      </c>
      <c r="L1649" t="s">
        <v>74</v>
      </c>
      <c r="M1649" t="s">
        <v>78</v>
      </c>
      <c r="N1649" t="s">
        <v>79</v>
      </c>
      <c r="O1649" t="s">
        <v>74</v>
      </c>
      <c r="P1649" t="s">
        <v>74</v>
      </c>
      <c r="Q1649" t="s">
        <v>74</v>
      </c>
      <c r="R1649" t="s">
        <v>74</v>
      </c>
      <c r="S1649" t="s">
        <v>74</v>
      </c>
      <c r="T1649" t="s">
        <v>74</v>
      </c>
      <c r="U1649" t="s">
        <v>11076</v>
      </c>
      <c r="V1649" t="s">
        <v>24227</v>
      </c>
      <c r="W1649" t="s">
        <v>24226</v>
      </c>
      <c r="X1649" t="s">
        <v>24225</v>
      </c>
      <c r="Y1649" t="s">
        <v>24224</v>
      </c>
      <c r="Z1649" t="s">
        <v>24223</v>
      </c>
      <c r="AA1649" t="s">
        <v>74</v>
      </c>
      <c r="AB1649" t="s">
        <v>74</v>
      </c>
      <c r="AC1649" t="s">
        <v>24222</v>
      </c>
      <c r="AD1649" t="s">
        <v>17529</v>
      </c>
      <c r="AE1649" t="s">
        <v>24221</v>
      </c>
      <c r="AF1649" t="s">
        <v>74</v>
      </c>
      <c r="AG1649">
        <v>29</v>
      </c>
      <c r="AH1649">
        <v>29</v>
      </c>
      <c r="AI1649">
        <v>35</v>
      </c>
      <c r="AJ1649">
        <v>33</v>
      </c>
      <c r="AK1649">
        <v>296</v>
      </c>
      <c r="AL1649" t="s">
        <v>479</v>
      </c>
      <c r="AM1649" t="s">
        <v>480</v>
      </c>
      <c r="AN1649" t="s">
        <v>481</v>
      </c>
      <c r="AO1649" t="s">
        <v>24220</v>
      </c>
      <c r="AP1649" t="s">
        <v>24219</v>
      </c>
      <c r="AQ1649" t="s">
        <v>74</v>
      </c>
      <c r="AR1649" t="s">
        <v>24218</v>
      </c>
      <c r="AS1649" t="s">
        <v>24217</v>
      </c>
      <c r="AT1649" t="s">
        <v>24216</v>
      </c>
      <c r="AU1649">
        <v>2022</v>
      </c>
      <c r="AV1649">
        <v>2022</v>
      </c>
      <c r="AW1649" t="s">
        <v>74</v>
      </c>
      <c r="AX1649" t="s">
        <v>74</v>
      </c>
      <c r="AY1649" t="s">
        <v>74</v>
      </c>
      <c r="AZ1649" t="s">
        <v>74</v>
      </c>
      <c r="BA1649" t="s">
        <v>74</v>
      </c>
      <c r="BB1649" t="s">
        <v>74</v>
      </c>
      <c r="BC1649" t="s">
        <v>74</v>
      </c>
      <c r="BD1649">
        <v>2882113</v>
      </c>
      <c r="BE1649" t="s">
        <v>24215</v>
      </c>
      <c r="BF1649" t="str">
        <f>HYPERLINK("http://dx.doi.org/10.1155/2022/2882113","http://dx.doi.org/10.1155/2022/2882113")</f>
        <v>http://dx.doi.org/10.1155/2022/2882113</v>
      </c>
      <c r="BG1649" t="s">
        <v>74</v>
      </c>
      <c r="BH1649" t="s">
        <v>74</v>
      </c>
      <c r="BI1649">
        <v>9</v>
      </c>
      <c r="BJ1649" t="s">
        <v>8262</v>
      </c>
      <c r="BK1649" t="s">
        <v>2623</v>
      </c>
      <c r="BL1649" t="s">
        <v>8262</v>
      </c>
      <c r="BM1649" t="s">
        <v>24214</v>
      </c>
      <c r="BN1649" t="s">
        <v>74</v>
      </c>
      <c r="BO1649" t="s">
        <v>212</v>
      </c>
      <c r="BP1649" t="s">
        <v>74</v>
      </c>
      <c r="BQ1649" t="s">
        <v>74</v>
      </c>
      <c r="BR1649" t="s">
        <v>102</v>
      </c>
      <c r="BS1649" t="s">
        <v>24213</v>
      </c>
      <c r="BT1649" t="str">
        <f>HYPERLINK("https%3A%2F%2Fwww.webofscience.com%2Fwos%2Fwoscc%2Ffull-record%2FWOS:000777036600001","View Full Record in Web of Science")</f>
        <v>View Full Record in Web of Science</v>
      </c>
    </row>
    <row r="1650" spans="1:72" x14ac:dyDescent="0.25">
      <c r="A1650" t="s">
        <v>72</v>
      </c>
      <c r="B1650" t="s">
        <v>7625</v>
      </c>
      <c r="C1650" t="s">
        <v>74</v>
      </c>
      <c r="D1650" t="s">
        <v>74</v>
      </c>
      <c r="E1650" t="s">
        <v>74</v>
      </c>
      <c r="F1650" t="s">
        <v>7626</v>
      </c>
      <c r="G1650" t="s">
        <v>74</v>
      </c>
      <c r="H1650" t="s">
        <v>74</v>
      </c>
      <c r="I1650" t="s">
        <v>24212</v>
      </c>
      <c r="J1650" t="s">
        <v>4306</v>
      </c>
      <c r="K1650" t="s">
        <v>74</v>
      </c>
      <c r="L1650" t="s">
        <v>74</v>
      </c>
      <c r="M1650" t="s">
        <v>78</v>
      </c>
      <c r="N1650" t="s">
        <v>79</v>
      </c>
      <c r="O1650" t="s">
        <v>74</v>
      </c>
      <c r="P1650" t="s">
        <v>74</v>
      </c>
      <c r="Q1650" t="s">
        <v>74</v>
      </c>
      <c r="R1650" t="s">
        <v>74</v>
      </c>
      <c r="S1650" t="s">
        <v>74</v>
      </c>
      <c r="T1650" t="s">
        <v>24211</v>
      </c>
      <c r="U1650" t="s">
        <v>24210</v>
      </c>
      <c r="V1650" t="s">
        <v>24209</v>
      </c>
      <c r="W1650" t="s">
        <v>24208</v>
      </c>
      <c r="X1650" t="s">
        <v>74</v>
      </c>
      <c r="Y1650" t="s">
        <v>24207</v>
      </c>
      <c r="Z1650" t="s">
        <v>7633</v>
      </c>
      <c r="AA1650" t="s">
        <v>74</v>
      </c>
      <c r="AB1650" t="s">
        <v>74</v>
      </c>
      <c r="AC1650" t="s">
        <v>74</v>
      </c>
      <c r="AD1650" t="s">
        <v>74</v>
      </c>
      <c r="AE1650" t="s">
        <v>74</v>
      </c>
      <c r="AF1650" t="s">
        <v>74</v>
      </c>
      <c r="AG1650">
        <v>40</v>
      </c>
      <c r="AH1650">
        <v>8</v>
      </c>
      <c r="AI1650">
        <v>9</v>
      </c>
      <c r="AJ1650">
        <v>3</v>
      </c>
      <c r="AK1650">
        <v>12</v>
      </c>
      <c r="AL1650" t="s">
        <v>503</v>
      </c>
      <c r="AM1650" t="s">
        <v>151</v>
      </c>
      <c r="AN1650" t="s">
        <v>504</v>
      </c>
      <c r="AO1650" t="s">
        <v>4315</v>
      </c>
      <c r="AP1650" t="s">
        <v>4316</v>
      </c>
      <c r="AQ1650" t="s">
        <v>74</v>
      </c>
      <c r="AR1650" t="s">
        <v>4317</v>
      </c>
      <c r="AS1650" t="s">
        <v>4318</v>
      </c>
      <c r="AT1650" t="s">
        <v>891</v>
      </c>
      <c r="AU1650">
        <v>2023</v>
      </c>
      <c r="AV1650">
        <v>196</v>
      </c>
      <c r="AW1650" t="s">
        <v>74</v>
      </c>
      <c r="AX1650" t="s">
        <v>74</v>
      </c>
      <c r="AY1650" t="s">
        <v>74</v>
      </c>
      <c r="AZ1650" t="s">
        <v>74</v>
      </c>
      <c r="BA1650" t="s">
        <v>74</v>
      </c>
      <c r="BB1650" t="s">
        <v>74</v>
      </c>
      <c r="BC1650" t="s">
        <v>74</v>
      </c>
      <c r="BD1650">
        <v>122821</v>
      </c>
      <c r="BE1650" t="s">
        <v>24206</v>
      </c>
      <c r="BF1650" t="str">
        <f>HYPERLINK("http://dx.doi.org/10.1016/j.techfore.2023.122821","http://dx.doi.org/10.1016/j.techfore.2023.122821")</f>
        <v>http://dx.doi.org/10.1016/j.techfore.2023.122821</v>
      </c>
      <c r="BG1650" t="s">
        <v>74</v>
      </c>
      <c r="BH1650" t="s">
        <v>5567</v>
      </c>
      <c r="BI1650">
        <v>8</v>
      </c>
      <c r="BJ1650" t="s">
        <v>1627</v>
      </c>
      <c r="BK1650" t="s">
        <v>99</v>
      </c>
      <c r="BL1650" t="s">
        <v>1406</v>
      </c>
      <c r="BM1650" t="s">
        <v>24205</v>
      </c>
      <c r="BN1650" t="s">
        <v>74</v>
      </c>
      <c r="BO1650" t="s">
        <v>74</v>
      </c>
      <c r="BP1650" t="s">
        <v>74</v>
      </c>
      <c r="BQ1650" t="s">
        <v>74</v>
      </c>
      <c r="BR1650" t="s">
        <v>102</v>
      </c>
      <c r="BS1650" t="s">
        <v>24204</v>
      </c>
      <c r="BT1650" t="str">
        <f>HYPERLINK("https%3A%2F%2Fwww.webofscience.com%2Fwos%2Fwoscc%2Ffull-record%2FWOS:001078764200001","View Full Record in Web of Science")</f>
        <v>View Full Record in Web of Science</v>
      </c>
    </row>
    <row r="1651" spans="1:72" x14ac:dyDescent="0.25">
      <c r="A1651" t="s">
        <v>72</v>
      </c>
      <c r="B1651" t="s">
        <v>24203</v>
      </c>
      <c r="C1651" t="s">
        <v>74</v>
      </c>
      <c r="D1651" t="s">
        <v>74</v>
      </c>
      <c r="E1651" t="s">
        <v>74</v>
      </c>
      <c r="F1651" t="s">
        <v>24202</v>
      </c>
      <c r="G1651" t="s">
        <v>74</v>
      </c>
      <c r="H1651" t="s">
        <v>74</v>
      </c>
      <c r="I1651" t="s">
        <v>24201</v>
      </c>
      <c r="J1651" t="s">
        <v>612</v>
      </c>
      <c r="K1651" t="s">
        <v>74</v>
      </c>
      <c r="L1651" t="s">
        <v>74</v>
      </c>
      <c r="M1651" t="s">
        <v>78</v>
      </c>
      <c r="N1651" t="s">
        <v>79</v>
      </c>
      <c r="O1651" t="s">
        <v>74</v>
      </c>
      <c r="P1651" t="s">
        <v>74</v>
      </c>
      <c r="Q1651" t="s">
        <v>74</v>
      </c>
      <c r="R1651" t="s">
        <v>74</v>
      </c>
      <c r="S1651" t="s">
        <v>74</v>
      </c>
      <c r="T1651" t="s">
        <v>24200</v>
      </c>
      <c r="U1651" t="s">
        <v>24199</v>
      </c>
      <c r="V1651" t="s">
        <v>24198</v>
      </c>
      <c r="W1651" t="s">
        <v>24197</v>
      </c>
      <c r="X1651" t="s">
        <v>24196</v>
      </c>
      <c r="Y1651" t="s">
        <v>24195</v>
      </c>
      <c r="Z1651" t="s">
        <v>24194</v>
      </c>
      <c r="AA1651" t="s">
        <v>24193</v>
      </c>
      <c r="AB1651" t="s">
        <v>74</v>
      </c>
      <c r="AC1651" t="s">
        <v>74</v>
      </c>
      <c r="AD1651" t="s">
        <v>74</v>
      </c>
      <c r="AE1651" t="s">
        <v>74</v>
      </c>
      <c r="AF1651" t="s">
        <v>74</v>
      </c>
      <c r="AG1651">
        <v>104</v>
      </c>
      <c r="AH1651">
        <v>0</v>
      </c>
      <c r="AI1651">
        <v>0</v>
      </c>
      <c r="AJ1651">
        <v>1</v>
      </c>
      <c r="AK1651">
        <v>1</v>
      </c>
      <c r="AL1651" t="s">
        <v>620</v>
      </c>
      <c r="AM1651" t="s">
        <v>621</v>
      </c>
      <c r="AN1651" t="s">
        <v>622</v>
      </c>
      <c r="AO1651" t="s">
        <v>623</v>
      </c>
      <c r="AP1651" t="s">
        <v>624</v>
      </c>
      <c r="AQ1651" t="s">
        <v>74</v>
      </c>
      <c r="AR1651" t="s">
        <v>625</v>
      </c>
      <c r="AS1651" t="s">
        <v>626</v>
      </c>
      <c r="AT1651" t="s">
        <v>74</v>
      </c>
      <c r="AU1651">
        <v>2025</v>
      </c>
      <c r="AV1651">
        <v>72</v>
      </c>
      <c r="AW1651">
        <v>2</v>
      </c>
      <c r="AX1651" t="s">
        <v>74</v>
      </c>
      <c r="AY1651" t="s">
        <v>74</v>
      </c>
      <c r="AZ1651" t="s">
        <v>74</v>
      </c>
      <c r="BA1651" t="s">
        <v>74</v>
      </c>
      <c r="BB1651">
        <v>213</v>
      </c>
      <c r="BC1651">
        <v>236</v>
      </c>
      <c r="BD1651" t="s">
        <v>74</v>
      </c>
      <c r="BE1651" t="s">
        <v>24192</v>
      </c>
      <c r="BF1651" t="str">
        <f>HYPERLINK("http://dx.doi.org/10.47743/saeb-2025-0011","http://dx.doi.org/10.47743/saeb-2025-0011")</f>
        <v>http://dx.doi.org/10.47743/saeb-2025-0011</v>
      </c>
      <c r="BG1651" t="s">
        <v>74</v>
      </c>
      <c r="BH1651" t="s">
        <v>74</v>
      </c>
      <c r="BI1651">
        <v>24</v>
      </c>
      <c r="BJ1651" t="s">
        <v>291</v>
      </c>
      <c r="BK1651" t="s">
        <v>313</v>
      </c>
      <c r="BL1651" t="s">
        <v>100</v>
      </c>
      <c r="BM1651" t="s">
        <v>628</v>
      </c>
      <c r="BN1651" t="s">
        <v>74</v>
      </c>
      <c r="BO1651" t="s">
        <v>212</v>
      </c>
      <c r="BP1651" t="s">
        <v>74</v>
      </c>
      <c r="BQ1651" t="s">
        <v>74</v>
      </c>
      <c r="BR1651" t="s">
        <v>102</v>
      </c>
      <c r="BS1651" t="s">
        <v>24191</v>
      </c>
      <c r="BT1651" t="str">
        <f>HYPERLINK("https%3A%2F%2Fwww.webofscience.com%2Fwos%2Fwoscc%2Ffull-record%2FWOS:001522000100004","View Full Record in Web of Science")</f>
        <v>View Full Record in Web of Science</v>
      </c>
    </row>
    <row r="1652" spans="1:72" x14ac:dyDescent="0.25">
      <c r="A1652" t="s">
        <v>72</v>
      </c>
      <c r="B1652" t="s">
        <v>24190</v>
      </c>
      <c r="C1652" t="s">
        <v>74</v>
      </c>
      <c r="D1652" t="s">
        <v>74</v>
      </c>
      <c r="E1652" t="s">
        <v>74</v>
      </c>
      <c r="F1652" t="s">
        <v>24189</v>
      </c>
      <c r="G1652" t="s">
        <v>74</v>
      </c>
      <c r="H1652" t="s">
        <v>74</v>
      </c>
      <c r="I1652" t="s">
        <v>24188</v>
      </c>
      <c r="J1652" t="s">
        <v>1290</v>
      </c>
      <c r="K1652" t="s">
        <v>74</v>
      </c>
      <c r="L1652" t="s">
        <v>74</v>
      </c>
      <c r="M1652" t="s">
        <v>78</v>
      </c>
      <c r="N1652" t="s">
        <v>79</v>
      </c>
      <c r="O1652" t="s">
        <v>74</v>
      </c>
      <c r="P1652" t="s">
        <v>74</v>
      </c>
      <c r="Q1652" t="s">
        <v>74</v>
      </c>
      <c r="R1652" t="s">
        <v>74</v>
      </c>
      <c r="S1652" t="s">
        <v>74</v>
      </c>
      <c r="T1652" t="s">
        <v>24187</v>
      </c>
      <c r="U1652" t="s">
        <v>24186</v>
      </c>
      <c r="V1652" t="s">
        <v>24185</v>
      </c>
      <c r="W1652" t="s">
        <v>24184</v>
      </c>
      <c r="X1652" t="s">
        <v>24183</v>
      </c>
      <c r="Y1652" t="s">
        <v>24182</v>
      </c>
      <c r="Z1652" t="s">
        <v>24181</v>
      </c>
      <c r="AA1652" t="s">
        <v>24180</v>
      </c>
      <c r="AB1652" t="s">
        <v>24179</v>
      </c>
      <c r="AC1652" t="s">
        <v>24178</v>
      </c>
      <c r="AD1652" t="s">
        <v>24177</v>
      </c>
      <c r="AE1652" t="s">
        <v>24176</v>
      </c>
      <c r="AF1652" t="s">
        <v>74</v>
      </c>
      <c r="AG1652">
        <v>40</v>
      </c>
      <c r="AH1652">
        <v>11</v>
      </c>
      <c r="AI1652">
        <v>11</v>
      </c>
      <c r="AJ1652">
        <v>0</v>
      </c>
      <c r="AK1652">
        <v>9</v>
      </c>
      <c r="AL1652" t="s">
        <v>575</v>
      </c>
      <c r="AM1652" t="s">
        <v>576</v>
      </c>
      <c r="AN1652" t="s">
        <v>3242</v>
      </c>
      <c r="AO1652" t="s">
        <v>1299</v>
      </c>
      <c r="AP1652" t="s">
        <v>74</v>
      </c>
      <c r="AQ1652" t="s">
        <v>74</v>
      </c>
      <c r="AR1652" t="s">
        <v>1300</v>
      </c>
      <c r="AS1652" t="s">
        <v>1301</v>
      </c>
      <c r="AT1652" t="s">
        <v>605</v>
      </c>
      <c r="AU1652">
        <v>2021</v>
      </c>
      <c r="AV1652">
        <v>9</v>
      </c>
      <c r="AW1652">
        <v>1</v>
      </c>
      <c r="AX1652" t="s">
        <v>74</v>
      </c>
      <c r="AY1652" t="s">
        <v>74</v>
      </c>
      <c r="AZ1652" t="s">
        <v>74</v>
      </c>
      <c r="BA1652" t="s">
        <v>74</v>
      </c>
      <c r="BB1652" t="s">
        <v>74</v>
      </c>
      <c r="BC1652" t="s">
        <v>74</v>
      </c>
      <c r="BD1652">
        <v>10</v>
      </c>
      <c r="BE1652" t="s">
        <v>24175</v>
      </c>
      <c r="BF1652" t="str">
        <f>HYPERLINK("http://dx.doi.org/10.3390/ijfs9010010","http://dx.doi.org/10.3390/ijfs9010010")</f>
        <v>http://dx.doi.org/10.3390/ijfs9010010</v>
      </c>
      <c r="BG1652" t="s">
        <v>74</v>
      </c>
      <c r="BH1652" t="s">
        <v>74</v>
      </c>
      <c r="BI1652">
        <v>12</v>
      </c>
      <c r="BJ1652" t="s">
        <v>268</v>
      </c>
      <c r="BK1652" t="s">
        <v>313</v>
      </c>
      <c r="BL1652" t="s">
        <v>100</v>
      </c>
      <c r="BM1652" t="s">
        <v>24174</v>
      </c>
      <c r="BN1652" t="s">
        <v>74</v>
      </c>
      <c r="BO1652" t="s">
        <v>916</v>
      </c>
      <c r="BP1652" t="s">
        <v>74</v>
      </c>
      <c r="BQ1652" t="s">
        <v>74</v>
      </c>
      <c r="BR1652" t="s">
        <v>102</v>
      </c>
      <c r="BS1652" t="s">
        <v>24173</v>
      </c>
      <c r="BT1652" t="str">
        <f>HYPERLINK("https%3A%2F%2Fwww.webofscience.com%2Fwos%2Fwoscc%2Ffull-record%2FWOS:000633127200001","View Full Record in Web of Science")</f>
        <v>View Full Record in Web of Science</v>
      </c>
    </row>
    <row r="1653" spans="1:72" x14ac:dyDescent="0.25">
      <c r="A1653" t="s">
        <v>72</v>
      </c>
      <c r="B1653" t="s">
        <v>24172</v>
      </c>
      <c r="C1653" t="s">
        <v>74</v>
      </c>
      <c r="D1653" t="s">
        <v>74</v>
      </c>
      <c r="E1653" t="s">
        <v>74</v>
      </c>
      <c r="F1653" t="s">
        <v>24171</v>
      </c>
      <c r="G1653" t="s">
        <v>74</v>
      </c>
      <c r="H1653" t="s">
        <v>74</v>
      </c>
      <c r="I1653" t="s">
        <v>24170</v>
      </c>
      <c r="J1653" t="s">
        <v>24169</v>
      </c>
      <c r="K1653" t="s">
        <v>74</v>
      </c>
      <c r="L1653" t="s">
        <v>74</v>
      </c>
      <c r="M1653" t="s">
        <v>78</v>
      </c>
      <c r="N1653" t="s">
        <v>79</v>
      </c>
      <c r="O1653" t="s">
        <v>74</v>
      </c>
      <c r="P1653" t="s">
        <v>74</v>
      </c>
      <c r="Q1653" t="s">
        <v>74</v>
      </c>
      <c r="R1653" t="s">
        <v>74</v>
      </c>
      <c r="S1653" t="s">
        <v>74</v>
      </c>
      <c r="T1653" t="s">
        <v>24168</v>
      </c>
      <c r="U1653" t="s">
        <v>24167</v>
      </c>
      <c r="V1653" t="s">
        <v>24166</v>
      </c>
      <c r="W1653" t="s">
        <v>24165</v>
      </c>
      <c r="X1653" t="s">
        <v>24164</v>
      </c>
      <c r="Y1653" t="s">
        <v>24163</v>
      </c>
      <c r="Z1653" t="s">
        <v>24162</v>
      </c>
      <c r="AA1653" t="s">
        <v>74</v>
      </c>
      <c r="AB1653" t="s">
        <v>24161</v>
      </c>
      <c r="AC1653" t="s">
        <v>24160</v>
      </c>
      <c r="AD1653" t="s">
        <v>24160</v>
      </c>
      <c r="AE1653" t="s">
        <v>24159</v>
      </c>
      <c r="AF1653" t="s">
        <v>74</v>
      </c>
      <c r="AG1653">
        <v>51</v>
      </c>
      <c r="AH1653">
        <v>42</v>
      </c>
      <c r="AI1653">
        <v>52</v>
      </c>
      <c r="AJ1653">
        <v>4</v>
      </c>
      <c r="AK1653">
        <v>20</v>
      </c>
      <c r="AL1653" t="s">
        <v>332</v>
      </c>
      <c r="AM1653" t="s">
        <v>333</v>
      </c>
      <c r="AN1653" t="s">
        <v>334</v>
      </c>
      <c r="AO1653" t="s">
        <v>24158</v>
      </c>
      <c r="AP1653" t="s">
        <v>24157</v>
      </c>
      <c r="AQ1653" t="s">
        <v>74</v>
      </c>
      <c r="AR1653" t="s">
        <v>24156</v>
      </c>
      <c r="AS1653" t="s">
        <v>24155</v>
      </c>
      <c r="AT1653" t="s">
        <v>8848</v>
      </c>
      <c r="AU1653">
        <v>2015</v>
      </c>
      <c r="AV1653">
        <v>18</v>
      </c>
      <c r="AW1653">
        <v>3</v>
      </c>
      <c r="AX1653" t="s">
        <v>74</v>
      </c>
      <c r="AY1653" t="s">
        <v>74</v>
      </c>
      <c r="AZ1653" t="s">
        <v>74</v>
      </c>
      <c r="BA1653" t="s">
        <v>74</v>
      </c>
      <c r="BB1653">
        <v>257</v>
      </c>
      <c r="BC1653">
        <v>276</v>
      </c>
      <c r="BD1653" t="s">
        <v>74</v>
      </c>
      <c r="BE1653" t="s">
        <v>24154</v>
      </c>
      <c r="BF1653" t="str">
        <f>HYPERLINK("http://dx.doi.org/10.1080/10253866.2014.1000315","http://dx.doi.org/10.1080/10253866.2014.1000315")</f>
        <v>http://dx.doi.org/10.1080/10253866.2014.1000315</v>
      </c>
      <c r="BG1653" t="s">
        <v>74</v>
      </c>
      <c r="BH1653" t="s">
        <v>74</v>
      </c>
      <c r="BI1653">
        <v>20</v>
      </c>
      <c r="BJ1653" t="s">
        <v>418</v>
      </c>
      <c r="BK1653" t="s">
        <v>99</v>
      </c>
      <c r="BL1653" t="s">
        <v>100</v>
      </c>
      <c r="BM1653" t="s">
        <v>24153</v>
      </c>
      <c r="BN1653" t="s">
        <v>74</v>
      </c>
      <c r="BO1653" t="s">
        <v>74</v>
      </c>
      <c r="BP1653" t="s">
        <v>74</v>
      </c>
      <c r="BQ1653" t="s">
        <v>74</v>
      </c>
      <c r="BR1653" t="s">
        <v>102</v>
      </c>
      <c r="BS1653" t="s">
        <v>24152</v>
      </c>
      <c r="BT1653" t="str">
        <f>HYPERLINK("https%3A%2F%2Fwww.webofscience.com%2Fwos%2Fwoscc%2Ffull-record%2FWOS:000355195500003","View Full Record in Web of Science")</f>
        <v>View Full Record in Web of Science</v>
      </c>
    </row>
    <row r="1654" spans="1:72" x14ac:dyDescent="0.25">
      <c r="A1654" t="s">
        <v>132</v>
      </c>
      <c r="B1654" t="s">
        <v>24151</v>
      </c>
      <c r="C1654" t="s">
        <v>74</v>
      </c>
      <c r="D1654" t="s">
        <v>74</v>
      </c>
      <c r="E1654" t="s">
        <v>74</v>
      </c>
      <c r="F1654" t="s">
        <v>24150</v>
      </c>
      <c r="G1654" t="s">
        <v>74</v>
      </c>
      <c r="H1654" t="s">
        <v>74</v>
      </c>
      <c r="I1654" t="s">
        <v>24149</v>
      </c>
      <c r="J1654" t="s">
        <v>24135</v>
      </c>
      <c r="K1654" t="s">
        <v>74</v>
      </c>
      <c r="L1654" t="s">
        <v>74</v>
      </c>
      <c r="M1654" t="s">
        <v>78</v>
      </c>
      <c r="N1654" t="s">
        <v>138</v>
      </c>
      <c r="O1654" t="s">
        <v>24134</v>
      </c>
      <c r="P1654" t="s">
        <v>24133</v>
      </c>
      <c r="Q1654" t="s">
        <v>1550</v>
      </c>
      <c r="R1654" t="s">
        <v>74</v>
      </c>
      <c r="S1654" t="s">
        <v>74</v>
      </c>
      <c r="T1654" t="s">
        <v>24148</v>
      </c>
      <c r="U1654" t="s">
        <v>24147</v>
      </c>
      <c r="V1654" t="s">
        <v>24146</v>
      </c>
      <c r="W1654" t="s">
        <v>24145</v>
      </c>
      <c r="X1654" t="s">
        <v>2394</v>
      </c>
      <c r="Y1654" t="s">
        <v>24144</v>
      </c>
      <c r="Z1654" t="s">
        <v>24143</v>
      </c>
      <c r="AA1654" t="s">
        <v>74</v>
      </c>
      <c r="AB1654" t="s">
        <v>74</v>
      </c>
      <c r="AC1654" t="s">
        <v>2394</v>
      </c>
      <c r="AD1654" t="s">
        <v>2394</v>
      </c>
      <c r="AE1654" t="s">
        <v>24142</v>
      </c>
      <c r="AF1654" t="s">
        <v>74</v>
      </c>
      <c r="AG1654">
        <v>48</v>
      </c>
      <c r="AH1654">
        <v>0</v>
      </c>
      <c r="AI1654">
        <v>0</v>
      </c>
      <c r="AJ1654">
        <v>2</v>
      </c>
      <c r="AK1654">
        <v>2</v>
      </c>
      <c r="AL1654" t="s">
        <v>4605</v>
      </c>
      <c r="AM1654" t="s">
        <v>4280</v>
      </c>
      <c r="AN1654" t="s">
        <v>4606</v>
      </c>
      <c r="AO1654" t="s">
        <v>24125</v>
      </c>
      <c r="AP1654" t="s">
        <v>24124</v>
      </c>
      <c r="AQ1654" t="s">
        <v>74</v>
      </c>
      <c r="AR1654" t="s">
        <v>24123</v>
      </c>
      <c r="AS1654" t="s">
        <v>24122</v>
      </c>
      <c r="AT1654" t="s">
        <v>3387</v>
      </c>
      <c r="AU1654">
        <v>2025</v>
      </c>
      <c r="AV1654">
        <v>19</v>
      </c>
      <c r="AW1654">
        <v>1</v>
      </c>
      <c r="AX1654" t="s">
        <v>74</v>
      </c>
      <c r="AY1654" t="s">
        <v>74</v>
      </c>
      <c r="AZ1654" t="s">
        <v>74</v>
      </c>
      <c r="BA1654" t="s">
        <v>74</v>
      </c>
      <c r="BB1654">
        <v>2482</v>
      </c>
      <c r="BC1654">
        <v>2494</v>
      </c>
      <c r="BD1654" t="s">
        <v>74</v>
      </c>
      <c r="BE1654" t="s">
        <v>24141</v>
      </c>
      <c r="BF1654" t="str">
        <f>HYPERLINK("http://dx.doi.org/10.2478/picbe-2025-0192","http://dx.doi.org/10.2478/picbe-2025-0192")</f>
        <v>http://dx.doi.org/10.2478/picbe-2025-0192</v>
      </c>
      <c r="BG1654" t="s">
        <v>74</v>
      </c>
      <c r="BH1654" t="s">
        <v>74</v>
      </c>
      <c r="BI1654">
        <v>13</v>
      </c>
      <c r="BJ1654" t="s">
        <v>418</v>
      </c>
      <c r="BK1654" t="s">
        <v>156</v>
      </c>
      <c r="BL1654" t="s">
        <v>100</v>
      </c>
      <c r="BM1654" t="s">
        <v>24140</v>
      </c>
      <c r="BN1654" t="s">
        <v>74</v>
      </c>
      <c r="BO1654" t="s">
        <v>270</v>
      </c>
      <c r="BP1654" t="s">
        <v>74</v>
      </c>
      <c r="BQ1654" t="s">
        <v>74</v>
      </c>
      <c r="BR1654" t="s">
        <v>102</v>
      </c>
      <c r="BS1654" t="s">
        <v>24139</v>
      </c>
      <c r="BT1654" t="str">
        <f>HYPERLINK("https%3A%2F%2Fwww.webofscience.com%2Fwos%2Fwoscc%2Ffull-record%2FWOS:001540819700016","View Full Record in Web of Science")</f>
        <v>View Full Record in Web of Science</v>
      </c>
    </row>
    <row r="1655" spans="1:72" x14ac:dyDescent="0.25">
      <c r="A1655" t="s">
        <v>132</v>
      </c>
      <c r="B1655" t="s">
        <v>24138</v>
      </c>
      <c r="C1655" t="s">
        <v>74</v>
      </c>
      <c r="D1655" t="s">
        <v>74</v>
      </c>
      <c r="E1655" t="s">
        <v>74</v>
      </c>
      <c r="F1655" t="s">
        <v>24137</v>
      </c>
      <c r="G1655" t="s">
        <v>74</v>
      </c>
      <c r="H1655" t="s">
        <v>74</v>
      </c>
      <c r="I1655" t="s">
        <v>24136</v>
      </c>
      <c r="J1655" t="s">
        <v>24135</v>
      </c>
      <c r="K1655" t="s">
        <v>74</v>
      </c>
      <c r="L1655" t="s">
        <v>74</v>
      </c>
      <c r="M1655" t="s">
        <v>78</v>
      </c>
      <c r="N1655" t="s">
        <v>138</v>
      </c>
      <c r="O1655" t="s">
        <v>24134</v>
      </c>
      <c r="P1655" t="s">
        <v>24133</v>
      </c>
      <c r="Q1655" t="s">
        <v>1550</v>
      </c>
      <c r="R1655" t="s">
        <v>74</v>
      </c>
      <c r="S1655" t="s">
        <v>74</v>
      </c>
      <c r="T1655" t="s">
        <v>24132</v>
      </c>
      <c r="U1655" t="s">
        <v>74</v>
      </c>
      <c r="V1655" t="s">
        <v>24131</v>
      </c>
      <c r="W1655" t="s">
        <v>24130</v>
      </c>
      <c r="X1655" t="s">
        <v>24129</v>
      </c>
      <c r="Y1655" t="s">
        <v>24128</v>
      </c>
      <c r="Z1655" t="s">
        <v>24127</v>
      </c>
      <c r="AA1655" t="s">
        <v>24126</v>
      </c>
      <c r="AB1655" t="s">
        <v>74</v>
      </c>
      <c r="AC1655" t="s">
        <v>74</v>
      </c>
      <c r="AD1655" t="s">
        <v>74</v>
      </c>
      <c r="AE1655" t="s">
        <v>74</v>
      </c>
      <c r="AF1655" t="s">
        <v>74</v>
      </c>
      <c r="AG1655">
        <v>42</v>
      </c>
      <c r="AH1655">
        <v>0</v>
      </c>
      <c r="AI1655">
        <v>0</v>
      </c>
      <c r="AJ1655">
        <v>5</v>
      </c>
      <c r="AK1655">
        <v>5</v>
      </c>
      <c r="AL1655" t="s">
        <v>4605</v>
      </c>
      <c r="AM1655" t="s">
        <v>4280</v>
      </c>
      <c r="AN1655" t="s">
        <v>4606</v>
      </c>
      <c r="AO1655" t="s">
        <v>24125</v>
      </c>
      <c r="AP1655" t="s">
        <v>24124</v>
      </c>
      <c r="AQ1655" t="s">
        <v>74</v>
      </c>
      <c r="AR1655" t="s">
        <v>24123</v>
      </c>
      <c r="AS1655" t="s">
        <v>24122</v>
      </c>
      <c r="AT1655" t="s">
        <v>3387</v>
      </c>
      <c r="AU1655">
        <v>2025</v>
      </c>
      <c r="AV1655">
        <v>19</v>
      </c>
      <c r="AW1655">
        <v>1</v>
      </c>
      <c r="AX1655" t="s">
        <v>74</v>
      </c>
      <c r="AY1655" t="s">
        <v>74</v>
      </c>
      <c r="AZ1655" t="s">
        <v>74</v>
      </c>
      <c r="BA1655" t="s">
        <v>74</v>
      </c>
      <c r="BB1655">
        <v>2951</v>
      </c>
      <c r="BC1655">
        <v>2966</v>
      </c>
      <c r="BD1655" t="s">
        <v>74</v>
      </c>
      <c r="BE1655" t="s">
        <v>24121</v>
      </c>
      <c r="BF1655" t="str">
        <f>HYPERLINK("http://dx.doi.org/10.2478/picbe-2025-0226","http://dx.doi.org/10.2478/picbe-2025-0226")</f>
        <v>http://dx.doi.org/10.2478/picbe-2025-0226</v>
      </c>
      <c r="BG1655" t="s">
        <v>74</v>
      </c>
      <c r="BH1655" t="s">
        <v>74</v>
      </c>
      <c r="BI1655">
        <v>16</v>
      </c>
      <c r="BJ1655" t="s">
        <v>418</v>
      </c>
      <c r="BK1655" t="s">
        <v>156</v>
      </c>
      <c r="BL1655" t="s">
        <v>100</v>
      </c>
      <c r="BM1655" t="s">
        <v>24120</v>
      </c>
      <c r="BN1655" t="s">
        <v>74</v>
      </c>
      <c r="BO1655" t="s">
        <v>270</v>
      </c>
      <c r="BP1655" t="s">
        <v>74</v>
      </c>
      <c r="BQ1655" t="s">
        <v>74</v>
      </c>
      <c r="BR1655" t="s">
        <v>102</v>
      </c>
      <c r="BS1655" t="s">
        <v>24119</v>
      </c>
      <c r="BT1655" t="str">
        <f>HYPERLINK("https%3A%2F%2Fwww.webofscience.com%2Fwos%2Fwoscc%2Ffull-record%2FWOS:001536630500008","View Full Record in Web of Science")</f>
        <v>View Full Record in Web of Science</v>
      </c>
    </row>
    <row r="1656" spans="1:72" x14ac:dyDescent="0.25">
      <c r="A1656" t="s">
        <v>72</v>
      </c>
      <c r="B1656" t="s">
        <v>24118</v>
      </c>
      <c r="C1656" t="s">
        <v>74</v>
      </c>
      <c r="D1656" t="s">
        <v>74</v>
      </c>
      <c r="E1656" t="s">
        <v>74</v>
      </c>
      <c r="F1656" t="s">
        <v>24117</v>
      </c>
      <c r="G1656" t="s">
        <v>74</v>
      </c>
      <c r="H1656" t="s">
        <v>74</v>
      </c>
      <c r="I1656" t="s">
        <v>24116</v>
      </c>
      <c r="J1656" t="s">
        <v>11173</v>
      </c>
      <c r="K1656" t="s">
        <v>74</v>
      </c>
      <c r="L1656" t="s">
        <v>74</v>
      </c>
      <c r="M1656" t="s">
        <v>78</v>
      </c>
      <c r="N1656" t="s">
        <v>79</v>
      </c>
      <c r="O1656" t="s">
        <v>74</v>
      </c>
      <c r="P1656" t="s">
        <v>74</v>
      </c>
      <c r="Q1656" t="s">
        <v>74</v>
      </c>
      <c r="R1656" t="s">
        <v>74</v>
      </c>
      <c r="S1656" t="s">
        <v>74</v>
      </c>
      <c r="T1656" t="s">
        <v>24115</v>
      </c>
      <c r="U1656" t="s">
        <v>24114</v>
      </c>
      <c r="V1656" t="s">
        <v>24113</v>
      </c>
      <c r="W1656" t="s">
        <v>24112</v>
      </c>
      <c r="X1656" t="s">
        <v>24111</v>
      </c>
      <c r="Y1656" t="s">
        <v>24110</v>
      </c>
      <c r="Z1656" t="s">
        <v>24109</v>
      </c>
      <c r="AA1656" t="s">
        <v>24108</v>
      </c>
      <c r="AB1656" t="s">
        <v>24107</v>
      </c>
      <c r="AC1656" t="s">
        <v>24106</v>
      </c>
      <c r="AD1656" t="s">
        <v>24105</v>
      </c>
      <c r="AE1656" t="s">
        <v>24104</v>
      </c>
      <c r="AF1656" t="s">
        <v>74</v>
      </c>
      <c r="AG1656">
        <v>43</v>
      </c>
      <c r="AH1656">
        <v>0</v>
      </c>
      <c r="AI1656">
        <v>0</v>
      </c>
      <c r="AJ1656">
        <v>1</v>
      </c>
      <c r="AK1656">
        <v>8</v>
      </c>
      <c r="AL1656" t="s">
        <v>575</v>
      </c>
      <c r="AM1656" t="s">
        <v>576</v>
      </c>
      <c r="AN1656" t="s">
        <v>577</v>
      </c>
      <c r="AO1656" t="s">
        <v>74</v>
      </c>
      <c r="AP1656" t="s">
        <v>11185</v>
      </c>
      <c r="AQ1656" t="s">
        <v>74</v>
      </c>
      <c r="AR1656" t="s">
        <v>11186</v>
      </c>
      <c r="AS1656" t="s">
        <v>8262</v>
      </c>
      <c r="AT1656" t="s">
        <v>891</v>
      </c>
      <c r="AU1656">
        <v>2024</v>
      </c>
      <c r="AV1656">
        <v>12</v>
      </c>
      <c r="AW1656">
        <v>22</v>
      </c>
      <c r="AX1656" t="s">
        <v>74</v>
      </c>
      <c r="AY1656" t="s">
        <v>74</v>
      </c>
      <c r="AZ1656" t="s">
        <v>74</v>
      </c>
      <c r="BA1656" t="s">
        <v>74</v>
      </c>
      <c r="BB1656" t="s">
        <v>74</v>
      </c>
      <c r="BC1656" t="s">
        <v>74</v>
      </c>
      <c r="BD1656">
        <v>3493</v>
      </c>
      <c r="BE1656" t="s">
        <v>24103</v>
      </c>
      <c r="BF1656" t="str">
        <f>HYPERLINK("http://dx.doi.org/10.3390/math12223493","http://dx.doi.org/10.3390/math12223493")</f>
        <v>http://dx.doi.org/10.3390/math12223493</v>
      </c>
      <c r="BG1656" t="s">
        <v>74</v>
      </c>
      <c r="BH1656" t="s">
        <v>74</v>
      </c>
      <c r="BI1656">
        <v>22</v>
      </c>
      <c r="BJ1656" t="s">
        <v>8262</v>
      </c>
      <c r="BK1656" t="s">
        <v>128</v>
      </c>
      <c r="BL1656" t="s">
        <v>8262</v>
      </c>
      <c r="BM1656" t="s">
        <v>24102</v>
      </c>
      <c r="BN1656" t="s">
        <v>74</v>
      </c>
      <c r="BO1656" t="s">
        <v>212</v>
      </c>
      <c r="BP1656" t="s">
        <v>74</v>
      </c>
      <c r="BQ1656" t="s">
        <v>74</v>
      </c>
      <c r="BR1656" t="s">
        <v>102</v>
      </c>
      <c r="BS1656" t="s">
        <v>24101</v>
      </c>
      <c r="BT1656" t="str">
        <f>HYPERLINK("https%3A%2F%2Fwww.webofscience.com%2Fwos%2Fwoscc%2Ffull-record%2FWOS:001365689200001","View Full Record in Web of Science")</f>
        <v>View Full Record in Web of Science</v>
      </c>
    </row>
    <row r="1657" spans="1:72" x14ac:dyDescent="0.25">
      <c r="A1657" t="s">
        <v>72</v>
      </c>
      <c r="B1657" t="s">
        <v>24100</v>
      </c>
      <c r="C1657" t="s">
        <v>74</v>
      </c>
      <c r="D1657" t="s">
        <v>74</v>
      </c>
      <c r="E1657" t="s">
        <v>74</v>
      </c>
      <c r="F1657" t="s">
        <v>24099</v>
      </c>
      <c r="G1657" t="s">
        <v>74</v>
      </c>
      <c r="H1657" t="s">
        <v>74</v>
      </c>
      <c r="I1657" t="s">
        <v>24098</v>
      </c>
      <c r="J1657" t="s">
        <v>18594</v>
      </c>
      <c r="K1657" t="s">
        <v>74</v>
      </c>
      <c r="L1657" t="s">
        <v>74</v>
      </c>
      <c r="M1657" t="s">
        <v>78</v>
      </c>
      <c r="N1657" t="s">
        <v>79</v>
      </c>
      <c r="O1657" t="s">
        <v>74</v>
      </c>
      <c r="P1657" t="s">
        <v>74</v>
      </c>
      <c r="Q1657" t="s">
        <v>74</v>
      </c>
      <c r="R1657" t="s">
        <v>74</v>
      </c>
      <c r="S1657" t="s">
        <v>74</v>
      </c>
      <c r="T1657" t="s">
        <v>24097</v>
      </c>
      <c r="U1657" t="s">
        <v>24096</v>
      </c>
      <c r="V1657" t="s">
        <v>24095</v>
      </c>
      <c r="W1657" t="s">
        <v>74</v>
      </c>
      <c r="X1657" t="s">
        <v>74</v>
      </c>
      <c r="Y1657" t="s">
        <v>74</v>
      </c>
      <c r="Z1657" t="s">
        <v>24094</v>
      </c>
      <c r="AA1657" t="s">
        <v>74</v>
      </c>
      <c r="AB1657" t="s">
        <v>24093</v>
      </c>
      <c r="AC1657" t="s">
        <v>74</v>
      </c>
      <c r="AD1657" t="s">
        <v>74</v>
      </c>
      <c r="AE1657" t="s">
        <v>74</v>
      </c>
      <c r="AF1657" t="s">
        <v>74</v>
      </c>
      <c r="AG1657">
        <v>61</v>
      </c>
      <c r="AH1657">
        <v>6</v>
      </c>
      <c r="AI1657">
        <v>12</v>
      </c>
      <c r="AJ1657">
        <v>0</v>
      </c>
      <c r="AK1657">
        <v>10</v>
      </c>
      <c r="AL1657" t="s">
        <v>332</v>
      </c>
      <c r="AM1657" t="s">
        <v>333</v>
      </c>
      <c r="AN1657" t="s">
        <v>334</v>
      </c>
      <c r="AO1657" t="s">
        <v>18584</v>
      </c>
      <c r="AP1657" t="s">
        <v>18583</v>
      </c>
      <c r="AQ1657" t="s">
        <v>74</v>
      </c>
      <c r="AR1657" t="s">
        <v>18582</v>
      </c>
      <c r="AS1657" t="s">
        <v>18581</v>
      </c>
      <c r="AT1657" t="s">
        <v>1693</v>
      </c>
      <c r="AU1657">
        <v>2022</v>
      </c>
      <c r="AV1657">
        <v>50</v>
      </c>
      <c r="AW1657">
        <v>2</v>
      </c>
      <c r="AX1657" t="s">
        <v>74</v>
      </c>
      <c r="AY1657" t="s">
        <v>74</v>
      </c>
      <c r="AZ1657" t="s">
        <v>74</v>
      </c>
      <c r="BA1657" t="s">
        <v>74</v>
      </c>
      <c r="BB1657">
        <v>177</v>
      </c>
      <c r="BC1657">
        <v>191</v>
      </c>
      <c r="BD1657" t="s">
        <v>74</v>
      </c>
      <c r="BE1657" t="s">
        <v>24092</v>
      </c>
      <c r="BF1657" t="str">
        <f>HYPERLINK("http://dx.doi.org/10.1080/13600818.2021.1998409","http://dx.doi.org/10.1080/13600818.2021.1998409")</f>
        <v>http://dx.doi.org/10.1080/13600818.2021.1998409</v>
      </c>
      <c r="BG1657" t="s">
        <v>74</v>
      </c>
      <c r="BH1657" t="s">
        <v>6817</v>
      </c>
      <c r="BI1657">
        <v>15</v>
      </c>
      <c r="BJ1657" t="s">
        <v>1137</v>
      </c>
      <c r="BK1657" t="s">
        <v>313</v>
      </c>
      <c r="BL1657" t="s">
        <v>1137</v>
      </c>
      <c r="BM1657" t="s">
        <v>24091</v>
      </c>
      <c r="BN1657" t="s">
        <v>74</v>
      </c>
      <c r="BO1657" t="s">
        <v>270</v>
      </c>
      <c r="BP1657" t="s">
        <v>74</v>
      </c>
      <c r="BQ1657" t="s">
        <v>74</v>
      </c>
      <c r="BR1657" t="s">
        <v>102</v>
      </c>
      <c r="BS1657" t="s">
        <v>24090</v>
      </c>
      <c r="BT1657" t="str">
        <f>HYPERLINK("https%3A%2F%2Fwww.webofscience.com%2Fwos%2Fwoscc%2Ffull-record%2FWOS:000721750000001","View Full Record in Web of Science")</f>
        <v>View Full Record in Web of Science</v>
      </c>
    </row>
    <row r="1658" spans="1:72" x14ac:dyDescent="0.25">
      <c r="A1658" t="s">
        <v>72</v>
      </c>
      <c r="B1658" t="s">
        <v>24089</v>
      </c>
      <c r="C1658" t="s">
        <v>74</v>
      </c>
      <c r="D1658" t="s">
        <v>74</v>
      </c>
      <c r="E1658" t="s">
        <v>74</v>
      </c>
      <c r="F1658" t="s">
        <v>24088</v>
      </c>
      <c r="G1658" t="s">
        <v>74</v>
      </c>
      <c r="H1658" t="s">
        <v>74</v>
      </c>
      <c r="I1658" t="s">
        <v>24087</v>
      </c>
      <c r="J1658" t="s">
        <v>2288</v>
      </c>
      <c r="K1658" t="s">
        <v>74</v>
      </c>
      <c r="L1658" t="s">
        <v>74</v>
      </c>
      <c r="M1658" t="s">
        <v>78</v>
      </c>
      <c r="N1658" t="s">
        <v>79</v>
      </c>
      <c r="O1658" t="s">
        <v>74</v>
      </c>
      <c r="P1658" t="s">
        <v>74</v>
      </c>
      <c r="Q1658" t="s">
        <v>74</v>
      </c>
      <c r="R1658" t="s">
        <v>74</v>
      </c>
      <c r="S1658" t="s">
        <v>74</v>
      </c>
      <c r="T1658" t="s">
        <v>24086</v>
      </c>
      <c r="U1658" t="s">
        <v>24085</v>
      </c>
      <c r="V1658" t="s">
        <v>24084</v>
      </c>
      <c r="W1658" t="s">
        <v>24083</v>
      </c>
      <c r="X1658" t="s">
        <v>24082</v>
      </c>
      <c r="Y1658" t="s">
        <v>24081</v>
      </c>
      <c r="Z1658" t="s">
        <v>24080</v>
      </c>
      <c r="AA1658" t="s">
        <v>74</v>
      </c>
      <c r="AB1658" t="s">
        <v>74</v>
      </c>
      <c r="AC1658" t="s">
        <v>24079</v>
      </c>
      <c r="AD1658" t="s">
        <v>24079</v>
      </c>
      <c r="AE1658" t="s">
        <v>24078</v>
      </c>
      <c r="AF1658" t="s">
        <v>74</v>
      </c>
      <c r="AG1658">
        <v>35</v>
      </c>
      <c r="AH1658">
        <v>25</v>
      </c>
      <c r="AI1658">
        <v>36</v>
      </c>
      <c r="AJ1658">
        <v>1</v>
      </c>
      <c r="AK1658">
        <v>41</v>
      </c>
      <c r="AL1658" t="s">
        <v>3298</v>
      </c>
      <c r="AM1658" t="s">
        <v>202</v>
      </c>
      <c r="AN1658" t="s">
        <v>3299</v>
      </c>
      <c r="AO1658" t="s">
        <v>2299</v>
      </c>
      <c r="AP1658" t="s">
        <v>2300</v>
      </c>
      <c r="AQ1658" t="s">
        <v>74</v>
      </c>
      <c r="AR1658" t="s">
        <v>2301</v>
      </c>
      <c r="AS1658" t="s">
        <v>2302</v>
      </c>
      <c r="AT1658" t="s">
        <v>891</v>
      </c>
      <c r="AU1658">
        <v>2018</v>
      </c>
      <c r="AV1658">
        <v>135</v>
      </c>
      <c r="AW1658" t="s">
        <v>74</v>
      </c>
      <c r="AX1658" t="s">
        <v>74</v>
      </c>
      <c r="AY1658" t="s">
        <v>74</v>
      </c>
      <c r="AZ1658" t="s">
        <v>74</v>
      </c>
      <c r="BA1658" t="s">
        <v>74</v>
      </c>
      <c r="BB1658">
        <v>160</v>
      </c>
      <c r="BC1658">
        <v>175</v>
      </c>
      <c r="BD1658" t="s">
        <v>74</v>
      </c>
      <c r="BE1658" t="s">
        <v>24077</v>
      </c>
      <c r="BF1658" t="str">
        <f>HYPERLINK("http://dx.doi.org/10.1016/j.jdeveco.2018.07.001","http://dx.doi.org/10.1016/j.jdeveco.2018.07.001")</f>
        <v>http://dx.doi.org/10.1016/j.jdeveco.2018.07.001</v>
      </c>
      <c r="BG1658" t="s">
        <v>74</v>
      </c>
      <c r="BH1658" t="s">
        <v>74</v>
      </c>
      <c r="BI1658">
        <v>16</v>
      </c>
      <c r="BJ1658" t="s">
        <v>291</v>
      </c>
      <c r="BK1658" t="s">
        <v>99</v>
      </c>
      <c r="BL1658" t="s">
        <v>100</v>
      </c>
      <c r="BM1658" t="s">
        <v>24076</v>
      </c>
      <c r="BN1658" t="s">
        <v>74</v>
      </c>
      <c r="BO1658" t="s">
        <v>74</v>
      </c>
      <c r="BP1658" t="s">
        <v>74</v>
      </c>
      <c r="BQ1658" t="s">
        <v>74</v>
      </c>
      <c r="BR1658" t="s">
        <v>102</v>
      </c>
      <c r="BS1658" t="s">
        <v>24075</v>
      </c>
      <c r="BT1658" t="str">
        <f>HYPERLINK("https%3A%2F%2Fwww.webofscience.com%2Fwos%2Fwoscc%2Ffull-record%2FWOS:000449892100010","View Full Record in Web of Science")</f>
        <v>View Full Record in Web of Science</v>
      </c>
    </row>
    <row r="1659" spans="1:72" x14ac:dyDescent="0.25">
      <c r="A1659" t="s">
        <v>72</v>
      </c>
      <c r="B1659" t="s">
        <v>24074</v>
      </c>
      <c r="C1659" t="s">
        <v>74</v>
      </c>
      <c r="D1659" t="s">
        <v>74</v>
      </c>
      <c r="E1659" t="s">
        <v>74</v>
      </c>
      <c r="F1659" t="s">
        <v>24073</v>
      </c>
      <c r="G1659" t="s">
        <v>74</v>
      </c>
      <c r="H1659" t="s">
        <v>74</v>
      </c>
      <c r="I1659" t="s">
        <v>24072</v>
      </c>
      <c r="J1659" t="s">
        <v>24071</v>
      </c>
      <c r="K1659" t="s">
        <v>74</v>
      </c>
      <c r="L1659" t="s">
        <v>74</v>
      </c>
      <c r="M1659" t="s">
        <v>78</v>
      </c>
      <c r="N1659" t="s">
        <v>79</v>
      </c>
      <c r="O1659" t="s">
        <v>74</v>
      </c>
      <c r="P1659" t="s">
        <v>74</v>
      </c>
      <c r="Q1659" t="s">
        <v>74</v>
      </c>
      <c r="R1659" t="s">
        <v>74</v>
      </c>
      <c r="S1659" t="s">
        <v>74</v>
      </c>
      <c r="T1659" t="s">
        <v>24070</v>
      </c>
      <c r="U1659" t="s">
        <v>74</v>
      </c>
      <c r="V1659" t="s">
        <v>24069</v>
      </c>
      <c r="W1659" t="s">
        <v>24068</v>
      </c>
      <c r="X1659" t="s">
        <v>14744</v>
      </c>
      <c r="Y1659" t="s">
        <v>24067</v>
      </c>
      <c r="Z1659" t="s">
        <v>24066</v>
      </c>
      <c r="AA1659" t="s">
        <v>24065</v>
      </c>
      <c r="AB1659" t="s">
        <v>74</v>
      </c>
      <c r="AC1659" t="s">
        <v>74</v>
      </c>
      <c r="AD1659" t="s">
        <v>74</v>
      </c>
      <c r="AE1659" t="s">
        <v>74</v>
      </c>
      <c r="AF1659" t="s">
        <v>74</v>
      </c>
      <c r="AG1659">
        <v>36</v>
      </c>
      <c r="AH1659">
        <v>1</v>
      </c>
      <c r="AI1659">
        <v>3</v>
      </c>
      <c r="AJ1659">
        <v>0</v>
      </c>
      <c r="AK1659">
        <v>2</v>
      </c>
      <c r="AL1659" t="s">
        <v>332</v>
      </c>
      <c r="AM1659" t="s">
        <v>333</v>
      </c>
      <c r="AN1659" t="s">
        <v>334</v>
      </c>
      <c r="AO1659" t="s">
        <v>24064</v>
      </c>
      <c r="AP1659" t="s">
        <v>24063</v>
      </c>
      <c r="AQ1659" t="s">
        <v>74</v>
      </c>
      <c r="AR1659" t="s">
        <v>24062</v>
      </c>
      <c r="AS1659" t="s">
        <v>24061</v>
      </c>
      <c r="AT1659" t="s">
        <v>10107</v>
      </c>
      <c r="AU1659">
        <v>2025</v>
      </c>
      <c r="AV1659">
        <v>46</v>
      </c>
      <c r="AW1659">
        <v>2</v>
      </c>
      <c r="AX1659" t="s">
        <v>74</v>
      </c>
      <c r="AY1659" t="s">
        <v>74</v>
      </c>
      <c r="AZ1659" t="s">
        <v>74</v>
      </c>
      <c r="BA1659" t="s">
        <v>74</v>
      </c>
      <c r="BB1659">
        <v>271</v>
      </c>
      <c r="BC1659">
        <v>287</v>
      </c>
      <c r="BD1659" t="s">
        <v>74</v>
      </c>
      <c r="BE1659" t="s">
        <v>24060</v>
      </c>
      <c r="BF1659" t="str">
        <f>HYPERLINK("http://dx.doi.org/10.1080/01442872.2024.2303348","http://dx.doi.org/10.1080/01442872.2024.2303348")</f>
        <v>http://dx.doi.org/10.1080/01442872.2024.2303348</v>
      </c>
      <c r="BG1659" t="s">
        <v>74</v>
      </c>
      <c r="BH1659" t="s">
        <v>239</v>
      </c>
      <c r="BI1659">
        <v>17</v>
      </c>
      <c r="BJ1659" t="s">
        <v>12122</v>
      </c>
      <c r="BK1659" t="s">
        <v>99</v>
      </c>
      <c r="BL1659" t="s">
        <v>12123</v>
      </c>
      <c r="BM1659" t="s">
        <v>24059</v>
      </c>
      <c r="BN1659" t="s">
        <v>74</v>
      </c>
      <c r="BO1659" t="s">
        <v>74</v>
      </c>
      <c r="BP1659" t="s">
        <v>74</v>
      </c>
      <c r="BQ1659" t="s">
        <v>74</v>
      </c>
      <c r="BR1659" t="s">
        <v>102</v>
      </c>
      <c r="BS1659" t="s">
        <v>24058</v>
      </c>
      <c r="BT1659" t="str">
        <f>HYPERLINK("https%3A%2F%2Fwww.webofscience.com%2Fwos%2Fwoscc%2Ffull-record%2FWOS:001139995100001","View Full Record in Web of Science")</f>
        <v>View Full Record in Web of Science</v>
      </c>
    </row>
    <row r="1660" spans="1:72" x14ac:dyDescent="0.25">
      <c r="A1660" t="s">
        <v>72</v>
      </c>
      <c r="B1660" t="s">
        <v>24057</v>
      </c>
      <c r="C1660" t="s">
        <v>74</v>
      </c>
      <c r="D1660" t="s">
        <v>74</v>
      </c>
      <c r="E1660" t="s">
        <v>74</v>
      </c>
      <c r="F1660" t="s">
        <v>24056</v>
      </c>
      <c r="G1660" t="s">
        <v>74</v>
      </c>
      <c r="H1660" t="s">
        <v>74</v>
      </c>
      <c r="I1660" t="s">
        <v>24055</v>
      </c>
      <c r="J1660" t="s">
        <v>24054</v>
      </c>
      <c r="K1660" t="s">
        <v>74</v>
      </c>
      <c r="L1660" t="s">
        <v>74</v>
      </c>
      <c r="M1660" t="s">
        <v>78</v>
      </c>
      <c r="N1660" t="s">
        <v>79</v>
      </c>
      <c r="O1660" t="s">
        <v>74</v>
      </c>
      <c r="P1660" t="s">
        <v>74</v>
      </c>
      <c r="Q1660" t="s">
        <v>74</v>
      </c>
      <c r="R1660" t="s">
        <v>74</v>
      </c>
      <c r="S1660" t="s">
        <v>74</v>
      </c>
      <c r="T1660" t="s">
        <v>24053</v>
      </c>
      <c r="U1660" t="s">
        <v>74</v>
      </c>
      <c r="V1660" t="s">
        <v>24052</v>
      </c>
      <c r="W1660" t="s">
        <v>24051</v>
      </c>
      <c r="X1660" t="s">
        <v>24050</v>
      </c>
      <c r="Y1660" t="s">
        <v>24049</v>
      </c>
      <c r="Z1660" t="s">
        <v>24048</v>
      </c>
      <c r="AA1660" t="s">
        <v>74</v>
      </c>
      <c r="AB1660" t="s">
        <v>74</v>
      </c>
      <c r="AC1660" t="s">
        <v>24047</v>
      </c>
      <c r="AD1660" t="s">
        <v>24047</v>
      </c>
      <c r="AE1660" t="s">
        <v>24046</v>
      </c>
      <c r="AF1660" t="s">
        <v>74</v>
      </c>
      <c r="AG1660">
        <v>57</v>
      </c>
      <c r="AH1660">
        <v>0</v>
      </c>
      <c r="AI1660">
        <v>0</v>
      </c>
      <c r="AJ1660">
        <v>6</v>
      </c>
      <c r="AK1660">
        <v>6</v>
      </c>
      <c r="AL1660" t="s">
        <v>479</v>
      </c>
      <c r="AM1660" t="s">
        <v>480</v>
      </c>
      <c r="AN1660" t="s">
        <v>481</v>
      </c>
      <c r="AO1660" t="s">
        <v>24045</v>
      </c>
      <c r="AP1660" t="s">
        <v>24044</v>
      </c>
      <c r="AQ1660" t="s">
        <v>74</v>
      </c>
      <c r="AR1660" t="s">
        <v>24043</v>
      </c>
      <c r="AS1660" t="s">
        <v>24042</v>
      </c>
      <c r="AT1660" t="s">
        <v>24041</v>
      </c>
      <c r="AU1660">
        <v>2025</v>
      </c>
      <c r="AV1660">
        <v>56</v>
      </c>
      <c r="AW1660">
        <v>4</v>
      </c>
      <c r="AX1660" t="s">
        <v>74</v>
      </c>
      <c r="AY1660" t="s">
        <v>74</v>
      </c>
      <c r="AZ1660" t="s">
        <v>74</v>
      </c>
      <c r="BA1660" t="s">
        <v>74</v>
      </c>
      <c r="BB1660" t="s">
        <v>74</v>
      </c>
      <c r="BC1660" t="s">
        <v>74</v>
      </c>
      <c r="BD1660" t="s">
        <v>24040</v>
      </c>
      <c r="BE1660" t="s">
        <v>24039</v>
      </c>
      <c r="BF1660" t="str">
        <f>HYPERLINK("http://dx.doi.org/10.1111/grow.70076","http://dx.doi.org/10.1111/grow.70076")</f>
        <v>http://dx.doi.org/10.1111/grow.70076</v>
      </c>
      <c r="BG1660" t="s">
        <v>74</v>
      </c>
      <c r="BH1660" t="s">
        <v>74</v>
      </c>
      <c r="BI1660">
        <v>20</v>
      </c>
      <c r="BJ1660" t="s">
        <v>2084</v>
      </c>
      <c r="BK1660" t="s">
        <v>99</v>
      </c>
      <c r="BL1660" t="s">
        <v>2085</v>
      </c>
      <c r="BM1660" t="s">
        <v>24038</v>
      </c>
      <c r="BN1660" t="s">
        <v>74</v>
      </c>
      <c r="BO1660" t="s">
        <v>74</v>
      </c>
      <c r="BP1660" t="s">
        <v>74</v>
      </c>
      <c r="BQ1660" t="s">
        <v>74</v>
      </c>
      <c r="BR1660" t="s">
        <v>102</v>
      </c>
      <c r="BS1660" t="s">
        <v>24037</v>
      </c>
      <c r="BT1660" t="str">
        <f>HYPERLINK("https%3A%2F%2Fwww.webofscience.com%2Fwos%2Fwoscc%2Ffull-record%2FWOS:001602026400001","View Full Record in Web of Science")</f>
        <v>View Full Record in Web of Science</v>
      </c>
    </row>
    <row r="1661" spans="1:72" x14ac:dyDescent="0.25">
      <c r="A1661" t="s">
        <v>72</v>
      </c>
      <c r="B1661" t="s">
        <v>24036</v>
      </c>
      <c r="C1661" t="s">
        <v>74</v>
      </c>
      <c r="D1661" t="s">
        <v>74</v>
      </c>
      <c r="E1661" t="s">
        <v>74</v>
      </c>
      <c r="F1661" t="s">
        <v>24035</v>
      </c>
      <c r="G1661" t="s">
        <v>74</v>
      </c>
      <c r="H1661" t="s">
        <v>74</v>
      </c>
      <c r="I1661" t="s">
        <v>24034</v>
      </c>
      <c r="J1661" t="s">
        <v>2763</v>
      </c>
      <c r="K1661" t="s">
        <v>74</v>
      </c>
      <c r="L1661" t="s">
        <v>74</v>
      </c>
      <c r="M1661" t="s">
        <v>78</v>
      </c>
      <c r="N1661" t="s">
        <v>79</v>
      </c>
      <c r="O1661" t="s">
        <v>74</v>
      </c>
      <c r="P1661" t="s">
        <v>74</v>
      </c>
      <c r="Q1661" t="s">
        <v>74</v>
      </c>
      <c r="R1661" t="s">
        <v>74</v>
      </c>
      <c r="S1661" t="s">
        <v>74</v>
      </c>
      <c r="T1661" t="s">
        <v>24033</v>
      </c>
      <c r="U1661" t="s">
        <v>24032</v>
      </c>
      <c r="V1661" t="s">
        <v>24031</v>
      </c>
      <c r="W1661" t="s">
        <v>24030</v>
      </c>
      <c r="X1661" t="s">
        <v>4811</v>
      </c>
      <c r="Y1661" t="s">
        <v>4812</v>
      </c>
      <c r="Z1661" t="s">
        <v>4813</v>
      </c>
      <c r="AA1661" t="s">
        <v>24029</v>
      </c>
      <c r="AB1661" t="s">
        <v>24028</v>
      </c>
      <c r="AC1661" t="s">
        <v>24027</v>
      </c>
      <c r="AD1661" t="s">
        <v>24026</v>
      </c>
      <c r="AE1661" t="s">
        <v>24025</v>
      </c>
      <c r="AF1661" t="s">
        <v>74</v>
      </c>
      <c r="AG1661">
        <v>80</v>
      </c>
      <c r="AH1661">
        <v>2</v>
      </c>
      <c r="AI1661">
        <v>2</v>
      </c>
      <c r="AJ1661">
        <v>1</v>
      </c>
      <c r="AK1661">
        <v>11</v>
      </c>
      <c r="AL1661" t="s">
        <v>479</v>
      </c>
      <c r="AM1661" t="s">
        <v>480</v>
      </c>
      <c r="AN1661" t="s">
        <v>481</v>
      </c>
      <c r="AO1661" t="s">
        <v>2776</v>
      </c>
      <c r="AP1661" t="s">
        <v>2777</v>
      </c>
      <c r="AQ1661" t="s">
        <v>74</v>
      </c>
      <c r="AR1661" t="s">
        <v>2778</v>
      </c>
      <c r="AS1661" t="s">
        <v>2779</v>
      </c>
      <c r="AT1661" t="s">
        <v>237</v>
      </c>
      <c r="AU1661">
        <v>2025</v>
      </c>
      <c r="AV1661">
        <v>29</v>
      </c>
      <c r="AW1661">
        <v>1</v>
      </c>
      <c r="AX1661" t="s">
        <v>74</v>
      </c>
      <c r="AY1661" t="s">
        <v>74</v>
      </c>
      <c r="AZ1661" t="s">
        <v>74</v>
      </c>
      <c r="BA1661" t="s">
        <v>74</v>
      </c>
      <c r="BB1661">
        <v>43</v>
      </c>
      <c r="BC1661">
        <v>63</v>
      </c>
      <c r="BD1661" t="s">
        <v>74</v>
      </c>
      <c r="BE1661" t="s">
        <v>24024</v>
      </c>
      <c r="BF1661" t="str">
        <f>HYPERLINK("http://dx.doi.org/10.1111/rode.13046","http://dx.doi.org/10.1111/rode.13046")</f>
        <v>http://dx.doi.org/10.1111/rode.13046</v>
      </c>
      <c r="BG1661" t="s">
        <v>74</v>
      </c>
      <c r="BH1661" t="s">
        <v>7993</v>
      </c>
      <c r="BI1661">
        <v>21</v>
      </c>
      <c r="BJ1661" t="s">
        <v>701</v>
      </c>
      <c r="BK1661" t="s">
        <v>99</v>
      </c>
      <c r="BL1661" t="s">
        <v>702</v>
      </c>
      <c r="BM1661" t="s">
        <v>19985</v>
      </c>
      <c r="BN1661" t="s">
        <v>74</v>
      </c>
      <c r="BO1661" t="s">
        <v>74</v>
      </c>
      <c r="BP1661" t="s">
        <v>74</v>
      </c>
      <c r="BQ1661" t="s">
        <v>74</v>
      </c>
      <c r="BR1661" t="s">
        <v>102</v>
      </c>
      <c r="BS1661" t="s">
        <v>24023</v>
      </c>
      <c r="BT1661" t="str">
        <f>HYPERLINK("https%3A%2F%2Fwww.webofscience.com%2Fwos%2Fwoscc%2Ffull-record%2FWOS:001052244900001","View Full Record in Web of Science")</f>
        <v>View Full Record in Web of Science</v>
      </c>
    </row>
    <row r="1662" spans="1:72" x14ac:dyDescent="0.25">
      <c r="A1662" t="s">
        <v>72</v>
      </c>
      <c r="B1662" t="s">
        <v>24022</v>
      </c>
      <c r="C1662" t="s">
        <v>74</v>
      </c>
      <c r="D1662" t="s">
        <v>74</v>
      </c>
      <c r="E1662" t="s">
        <v>74</v>
      </c>
      <c r="F1662" t="s">
        <v>24021</v>
      </c>
      <c r="G1662" t="s">
        <v>74</v>
      </c>
      <c r="H1662" t="s">
        <v>74</v>
      </c>
      <c r="I1662" t="s">
        <v>24020</v>
      </c>
      <c r="J1662" t="s">
        <v>4638</v>
      </c>
      <c r="K1662" t="s">
        <v>74</v>
      </c>
      <c r="L1662" t="s">
        <v>74</v>
      </c>
      <c r="M1662" t="s">
        <v>78</v>
      </c>
      <c r="N1662" t="s">
        <v>79</v>
      </c>
      <c r="O1662" t="s">
        <v>74</v>
      </c>
      <c r="P1662" t="s">
        <v>74</v>
      </c>
      <c r="Q1662" t="s">
        <v>74</v>
      </c>
      <c r="R1662" t="s">
        <v>74</v>
      </c>
      <c r="S1662" t="s">
        <v>74</v>
      </c>
      <c r="T1662" t="s">
        <v>24019</v>
      </c>
      <c r="U1662" t="s">
        <v>24018</v>
      </c>
      <c r="V1662" t="s">
        <v>24017</v>
      </c>
      <c r="W1662" t="s">
        <v>24016</v>
      </c>
      <c r="X1662" t="s">
        <v>24015</v>
      </c>
      <c r="Y1662" t="s">
        <v>24014</v>
      </c>
      <c r="Z1662" t="s">
        <v>74</v>
      </c>
      <c r="AA1662" t="s">
        <v>24013</v>
      </c>
      <c r="AB1662" t="s">
        <v>24012</v>
      </c>
      <c r="AC1662" t="s">
        <v>74</v>
      </c>
      <c r="AD1662" t="s">
        <v>74</v>
      </c>
      <c r="AE1662" t="s">
        <v>74</v>
      </c>
      <c r="AF1662" t="s">
        <v>74</v>
      </c>
      <c r="AG1662">
        <v>57</v>
      </c>
      <c r="AH1662">
        <v>7</v>
      </c>
      <c r="AI1662">
        <v>7</v>
      </c>
      <c r="AJ1662">
        <v>0</v>
      </c>
      <c r="AK1662">
        <v>5</v>
      </c>
      <c r="AL1662" t="s">
        <v>332</v>
      </c>
      <c r="AM1662" t="s">
        <v>333</v>
      </c>
      <c r="AN1662" t="s">
        <v>334</v>
      </c>
      <c r="AO1662" t="s">
        <v>4646</v>
      </c>
      <c r="AP1662" t="s">
        <v>4647</v>
      </c>
      <c r="AQ1662" t="s">
        <v>74</v>
      </c>
      <c r="AR1662" t="s">
        <v>4648</v>
      </c>
      <c r="AS1662" t="s">
        <v>4649</v>
      </c>
      <c r="AT1662" t="s">
        <v>2206</v>
      </c>
      <c r="AU1662">
        <v>2020</v>
      </c>
      <c r="AV1662">
        <v>49</v>
      </c>
      <c r="AW1662">
        <v>2</v>
      </c>
      <c r="AX1662" t="s">
        <v>74</v>
      </c>
      <c r="AY1662" t="s">
        <v>74</v>
      </c>
      <c r="AZ1662" t="s">
        <v>74</v>
      </c>
      <c r="BA1662" t="s">
        <v>74</v>
      </c>
      <c r="BB1662">
        <v>180</v>
      </c>
      <c r="BC1662">
        <v>201</v>
      </c>
      <c r="BD1662" t="s">
        <v>74</v>
      </c>
      <c r="BE1662" t="s">
        <v>24011</v>
      </c>
      <c r="BF1662" t="str">
        <f>HYPERLINK("http://dx.doi.org/10.1080/07360932.2018.1479648","http://dx.doi.org/10.1080/07360932.2018.1479648")</f>
        <v>http://dx.doi.org/10.1080/07360932.2018.1479648</v>
      </c>
      <c r="BG1662" t="s">
        <v>74</v>
      </c>
      <c r="BH1662" t="s">
        <v>74</v>
      </c>
      <c r="BI1662">
        <v>22</v>
      </c>
      <c r="BJ1662" t="s">
        <v>291</v>
      </c>
      <c r="BK1662" t="s">
        <v>313</v>
      </c>
      <c r="BL1662" t="s">
        <v>100</v>
      </c>
      <c r="BM1662" t="s">
        <v>24010</v>
      </c>
      <c r="BN1662" t="s">
        <v>74</v>
      </c>
      <c r="BO1662" t="s">
        <v>74</v>
      </c>
      <c r="BP1662" t="s">
        <v>74</v>
      </c>
      <c r="BQ1662" t="s">
        <v>74</v>
      </c>
      <c r="BR1662" t="s">
        <v>102</v>
      </c>
      <c r="BS1662" t="s">
        <v>24009</v>
      </c>
      <c r="BT1662" t="str">
        <f>HYPERLINK("https%3A%2F%2Fwww.webofscience.com%2Fwos%2Fwoscc%2Ffull-record%2FWOS:000536944800005","View Full Record in Web of Science")</f>
        <v>View Full Record in Web of Science</v>
      </c>
    </row>
    <row r="1663" spans="1:72" x14ac:dyDescent="0.25">
      <c r="A1663" t="s">
        <v>72</v>
      </c>
      <c r="B1663" t="s">
        <v>24008</v>
      </c>
      <c r="C1663" t="s">
        <v>74</v>
      </c>
      <c r="D1663" t="s">
        <v>74</v>
      </c>
      <c r="E1663" t="s">
        <v>74</v>
      </c>
      <c r="F1663" t="s">
        <v>24007</v>
      </c>
      <c r="G1663" t="s">
        <v>74</v>
      </c>
      <c r="H1663" t="s">
        <v>74</v>
      </c>
      <c r="I1663" t="s">
        <v>24006</v>
      </c>
      <c r="J1663" t="s">
        <v>6362</v>
      </c>
      <c r="K1663" t="s">
        <v>74</v>
      </c>
      <c r="L1663" t="s">
        <v>74</v>
      </c>
      <c r="M1663" t="s">
        <v>78</v>
      </c>
      <c r="N1663" t="s">
        <v>79</v>
      </c>
      <c r="O1663" t="s">
        <v>74</v>
      </c>
      <c r="P1663" t="s">
        <v>74</v>
      </c>
      <c r="Q1663" t="s">
        <v>74</v>
      </c>
      <c r="R1663" t="s">
        <v>74</v>
      </c>
      <c r="S1663" t="s">
        <v>74</v>
      </c>
      <c r="T1663" t="s">
        <v>74</v>
      </c>
      <c r="U1663" t="s">
        <v>24005</v>
      </c>
      <c r="V1663" t="s">
        <v>24004</v>
      </c>
      <c r="W1663" t="s">
        <v>24003</v>
      </c>
      <c r="X1663" t="s">
        <v>24002</v>
      </c>
      <c r="Y1663" t="s">
        <v>24001</v>
      </c>
      <c r="Z1663" t="s">
        <v>24000</v>
      </c>
      <c r="AA1663" t="s">
        <v>23999</v>
      </c>
      <c r="AB1663" t="s">
        <v>23998</v>
      </c>
      <c r="AC1663" t="s">
        <v>74</v>
      </c>
      <c r="AD1663" t="s">
        <v>74</v>
      </c>
      <c r="AE1663" t="s">
        <v>74</v>
      </c>
      <c r="AF1663" t="s">
        <v>74</v>
      </c>
      <c r="AG1663">
        <v>35</v>
      </c>
      <c r="AH1663">
        <v>19</v>
      </c>
      <c r="AI1663">
        <v>27</v>
      </c>
      <c r="AJ1663">
        <v>0</v>
      </c>
      <c r="AK1663">
        <v>34</v>
      </c>
      <c r="AL1663" t="s">
        <v>3298</v>
      </c>
      <c r="AM1663" t="s">
        <v>202</v>
      </c>
      <c r="AN1663" t="s">
        <v>3299</v>
      </c>
      <c r="AO1663" t="s">
        <v>6374</v>
      </c>
      <c r="AP1663" t="s">
        <v>6375</v>
      </c>
      <c r="AQ1663" t="s">
        <v>74</v>
      </c>
      <c r="AR1663" t="s">
        <v>6376</v>
      </c>
      <c r="AS1663" t="s">
        <v>6377</v>
      </c>
      <c r="AT1663" t="s">
        <v>848</v>
      </c>
      <c r="AU1663">
        <v>2014</v>
      </c>
      <c r="AV1663">
        <v>103</v>
      </c>
      <c r="AW1663" t="s">
        <v>74</v>
      </c>
      <c r="AX1663" t="s">
        <v>74</v>
      </c>
      <c r="AY1663" t="s">
        <v>74</v>
      </c>
      <c r="AZ1663" t="s">
        <v>441</v>
      </c>
      <c r="BA1663" t="s">
        <v>74</v>
      </c>
      <c r="BB1663" t="s">
        <v>23997</v>
      </c>
      <c r="BC1663" t="s">
        <v>23996</v>
      </c>
      <c r="BD1663" t="s">
        <v>74</v>
      </c>
      <c r="BE1663" t="s">
        <v>23995</v>
      </c>
      <c r="BF1663" t="str">
        <f>HYPERLINK("http://dx.doi.org/10.1016/j.jebo.2014.02.025","http://dx.doi.org/10.1016/j.jebo.2014.02.025")</f>
        <v>http://dx.doi.org/10.1016/j.jebo.2014.02.025</v>
      </c>
      <c r="BG1663" t="s">
        <v>74</v>
      </c>
      <c r="BH1663" t="s">
        <v>74</v>
      </c>
      <c r="BI1663">
        <v>18</v>
      </c>
      <c r="BJ1663" t="s">
        <v>291</v>
      </c>
      <c r="BK1663" t="s">
        <v>99</v>
      </c>
      <c r="BL1663" t="s">
        <v>100</v>
      </c>
      <c r="BM1663" t="s">
        <v>23994</v>
      </c>
      <c r="BN1663" t="s">
        <v>74</v>
      </c>
      <c r="BO1663" t="s">
        <v>74</v>
      </c>
      <c r="BP1663" t="s">
        <v>74</v>
      </c>
      <c r="BQ1663" t="s">
        <v>74</v>
      </c>
      <c r="BR1663" t="s">
        <v>102</v>
      </c>
      <c r="BS1663" t="s">
        <v>23993</v>
      </c>
      <c r="BT1663" t="str">
        <f>HYPERLINK("https%3A%2F%2Fwww.webofscience.com%2Fwos%2Fwoscc%2Ffull-record%2FWOS:000340017900005","View Full Record in Web of Science")</f>
        <v>View Full Record in Web of Science</v>
      </c>
    </row>
    <row r="1664" spans="1:72" x14ac:dyDescent="0.25">
      <c r="A1664" t="s">
        <v>72</v>
      </c>
      <c r="B1664" t="s">
        <v>23992</v>
      </c>
      <c r="C1664" t="s">
        <v>74</v>
      </c>
      <c r="D1664" t="s">
        <v>74</v>
      </c>
      <c r="E1664" t="s">
        <v>74</v>
      </c>
      <c r="F1664" t="s">
        <v>23991</v>
      </c>
      <c r="G1664" t="s">
        <v>74</v>
      </c>
      <c r="H1664" t="s">
        <v>74</v>
      </c>
      <c r="I1664" t="s">
        <v>23990</v>
      </c>
      <c r="J1664" t="s">
        <v>23989</v>
      </c>
      <c r="K1664" t="s">
        <v>74</v>
      </c>
      <c r="L1664" t="s">
        <v>74</v>
      </c>
      <c r="M1664" t="s">
        <v>78</v>
      </c>
      <c r="N1664" t="s">
        <v>79</v>
      </c>
      <c r="O1664" t="s">
        <v>74</v>
      </c>
      <c r="P1664" t="s">
        <v>74</v>
      </c>
      <c r="Q1664" t="s">
        <v>74</v>
      </c>
      <c r="R1664" t="s">
        <v>74</v>
      </c>
      <c r="S1664" t="s">
        <v>74</v>
      </c>
      <c r="T1664" t="s">
        <v>23988</v>
      </c>
      <c r="U1664" t="s">
        <v>23987</v>
      </c>
      <c r="V1664" t="s">
        <v>23986</v>
      </c>
      <c r="W1664" t="s">
        <v>23985</v>
      </c>
      <c r="X1664" t="s">
        <v>23984</v>
      </c>
      <c r="Y1664" t="s">
        <v>23983</v>
      </c>
      <c r="Z1664" t="s">
        <v>23982</v>
      </c>
      <c r="AA1664" t="s">
        <v>74</v>
      </c>
      <c r="AB1664" t="s">
        <v>23981</v>
      </c>
      <c r="AC1664" t="s">
        <v>74</v>
      </c>
      <c r="AD1664" t="s">
        <v>74</v>
      </c>
      <c r="AE1664" t="s">
        <v>74</v>
      </c>
      <c r="AF1664" t="s">
        <v>74</v>
      </c>
      <c r="AG1664">
        <v>82</v>
      </c>
      <c r="AH1664">
        <v>95</v>
      </c>
      <c r="AI1664">
        <v>126</v>
      </c>
      <c r="AJ1664">
        <v>1</v>
      </c>
      <c r="AK1664">
        <v>68</v>
      </c>
      <c r="AL1664" t="s">
        <v>201</v>
      </c>
      <c r="AM1664" t="s">
        <v>202</v>
      </c>
      <c r="AN1664" t="s">
        <v>203</v>
      </c>
      <c r="AO1664" t="s">
        <v>23980</v>
      </c>
      <c r="AP1664" t="s">
        <v>23979</v>
      </c>
      <c r="AQ1664" t="s">
        <v>74</v>
      </c>
      <c r="AR1664" t="s">
        <v>23978</v>
      </c>
      <c r="AS1664" t="s">
        <v>23977</v>
      </c>
      <c r="AT1664" t="s">
        <v>237</v>
      </c>
      <c r="AU1664">
        <v>2015</v>
      </c>
      <c r="AV1664">
        <v>24</v>
      </c>
      <c r="AW1664">
        <v>1</v>
      </c>
      <c r="AX1664" t="s">
        <v>74</v>
      </c>
      <c r="AY1664" t="s">
        <v>74</v>
      </c>
      <c r="AZ1664" t="s">
        <v>74</v>
      </c>
      <c r="BA1664" t="s">
        <v>74</v>
      </c>
      <c r="BB1664">
        <v>55</v>
      </c>
      <c r="BC1664">
        <v>65</v>
      </c>
      <c r="BD1664" t="s">
        <v>74</v>
      </c>
      <c r="BE1664" t="s">
        <v>23976</v>
      </c>
      <c r="BF1664" t="str">
        <f>HYPERLINK("http://dx.doi.org/10.1016/j.ibusrev.2014.05.008","http://dx.doi.org/10.1016/j.ibusrev.2014.05.008")</f>
        <v>http://dx.doi.org/10.1016/j.ibusrev.2014.05.008</v>
      </c>
      <c r="BG1664" t="s">
        <v>74</v>
      </c>
      <c r="BH1664" t="s">
        <v>74</v>
      </c>
      <c r="BI1664">
        <v>11</v>
      </c>
      <c r="BJ1664" t="s">
        <v>98</v>
      </c>
      <c r="BK1664" t="s">
        <v>99</v>
      </c>
      <c r="BL1664" t="s">
        <v>100</v>
      </c>
      <c r="BM1664" t="s">
        <v>23975</v>
      </c>
      <c r="BN1664" t="s">
        <v>74</v>
      </c>
      <c r="BO1664" t="s">
        <v>74</v>
      </c>
      <c r="BP1664" t="s">
        <v>74</v>
      </c>
      <c r="BQ1664" t="s">
        <v>74</v>
      </c>
      <c r="BR1664" t="s">
        <v>102</v>
      </c>
      <c r="BS1664" t="s">
        <v>23974</v>
      </c>
      <c r="BT1664" t="str">
        <f>HYPERLINK("https%3A%2F%2Fwww.webofscience.com%2Fwos%2Fwoscc%2Ffull-record%2FWOS:000345823000006","View Full Record in Web of Science")</f>
        <v>View Full Record in Web of Science</v>
      </c>
    </row>
    <row r="1665" spans="1:72" x14ac:dyDescent="0.25">
      <c r="A1665" t="s">
        <v>72</v>
      </c>
      <c r="B1665" t="s">
        <v>23973</v>
      </c>
      <c r="C1665" t="s">
        <v>74</v>
      </c>
      <c r="D1665" t="s">
        <v>74</v>
      </c>
      <c r="E1665" t="s">
        <v>74</v>
      </c>
      <c r="F1665" t="s">
        <v>23972</v>
      </c>
      <c r="G1665" t="s">
        <v>74</v>
      </c>
      <c r="H1665" t="s">
        <v>74</v>
      </c>
      <c r="I1665" t="s">
        <v>23971</v>
      </c>
      <c r="J1665" t="s">
        <v>16089</v>
      </c>
      <c r="K1665" t="s">
        <v>74</v>
      </c>
      <c r="L1665" t="s">
        <v>74</v>
      </c>
      <c r="M1665" t="s">
        <v>78</v>
      </c>
      <c r="N1665" t="s">
        <v>79</v>
      </c>
      <c r="O1665" t="s">
        <v>74</v>
      </c>
      <c r="P1665" t="s">
        <v>74</v>
      </c>
      <c r="Q1665" t="s">
        <v>74</v>
      </c>
      <c r="R1665" t="s">
        <v>74</v>
      </c>
      <c r="S1665" t="s">
        <v>74</v>
      </c>
      <c r="T1665" t="s">
        <v>23970</v>
      </c>
      <c r="U1665" t="s">
        <v>23969</v>
      </c>
      <c r="V1665" t="s">
        <v>23968</v>
      </c>
      <c r="W1665" t="s">
        <v>23967</v>
      </c>
      <c r="X1665" t="s">
        <v>23966</v>
      </c>
      <c r="Y1665" t="s">
        <v>23965</v>
      </c>
      <c r="Z1665" t="s">
        <v>23964</v>
      </c>
      <c r="AA1665" t="s">
        <v>23963</v>
      </c>
      <c r="AB1665" t="s">
        <v>23962</v>
      </c>
      <c r="AC1665" t="s">
        <v>74</v>
      </c>
      <c r="AD1665" t="s">
        <v>74</v>
      </c>
      <c r="AE1665" t="s">
        <v>74</v>
      </c>
      <c r="AF1665" t="s">
        <v>74</v>
      </c>
      <c r="AG1665">
        <v>45</v>
      </c>
      <c r="AH1665">
        <v>3</v>
      </c>
      <c r="AI1665">
        <v>5</v>
      </c>
      <c r="AJ1665">
        <v>0</v>
      </c>
      <c r="AK1665">
        <v>9</v>
      </c>
      <c r="AL1665" t="s">
        <v>16099</v>
      </c>
      <c r="AM1665" t="s">
        <v>16100</v>
      </c>
      <c r="AN1665" t="s">
        <v>16101</v>
      </c>
      <c r="AO1665" t="s">
        <v>16102</v>
      </c>
      <c r="AP1665" t="s">
        <v>16103</v>
      </c>
      <c r="AQ1665" t="s">
        <v>74</v>
      </c>
      <c r="AR1665" t="s">
        <v>16104</v>
      </c>
      <c r="AS1665" t="s">
        <v>16105</v>
      </c>
      <c r="AT1665" t="s">
        <v>1540</v>
      </c>
      <c r="AU1665">
        <v>2020</v>
      </c>
      <c r="AV1665">
        <v>29</v>
      </c>
      <c r="AW1665">
        <v>3</v>
      </c>
      <c r="AX1665" t="s">
        <v>74</v>
      </c>
      <c r="AY1665" t="s">
        <v>74</v>
      </c>
      <c r="AZ1665" t="s">
        <v>441</v>
      </c>
      <c r="BA1665" t="s">
        <v>74</v>
      </c>
      <c r="BB1665">
        <v>341</v>
      </c>
      <c r="BC1665">
        <v>353</v>
      </c>
      <c r="BD1665" t="s">
        <v>74</v>
      </c>
      <c r="BE1665" t="s">
        <v>23961</v>
      </c>
      <c r="BF1665" t="str">
        <f>HYPERLINK("http://dx.doi.org/10.1002/jsc.2333","http://dx.doi.org/10.1002/jsc.2333")</f>
        <v>http://dx.doi.org/10.1002/jsc.2333</v>
      </c>
      <c r="BG1665" t="s">
        <v>74</v>
      </c>
      <c r="BH1665" t="s">
        <v>74</v>
      </c>
      <c r="BI1665">
        <v>13</v>
      </c>
      <c r="BJ1665" t="s">
        <v>268</v>
      </c>
      <c r="BK1665" t="s">
        <v>313</v>
      </c>
      <c r="BL1665" t="s">
        <v>100</v>
      </c>
      <c r="BM1665" t="s">
        <v>23960</v>
      </c>
      <c r="BN1665" t="s">
        <v>74</v>
      </c>
      <c r="BO1665" t="s">
        <v>1696</v>
      </c>
      <c r="BP1665" t="s">
        <v>74</v>
      </c>
      <c r="BQ1665" t="s">
        <v>74</v>
      </c>
      <c r="BR1665" t="s">
        <v>102</v>
      </c>
      <c r="BS1665" t="s">
        <v>23959</v>
      </c>
      <c r="BT1665" t="str">
        <f>HYPERLINK("https%3A%2F%2Fwww.webofscience.com%2Fwos%2Fwoscc%2Ffull-record%2FWOS:000531417000009","View Full Record in Web of Science")</f>
        <v>View Full Record in Web of Science</v>
      </c>
    </row>
    <row r="1666" spans="1:72" x14ac:dyDescent="0.25">
      <c r="A1666" t="s">
        <v>72</v>
      </c>
      <c r="B1666" t="s">
        <v>23958</v>
      </c>
      <c r="C1666" t="s">
        <v>74</v>
      </c>
      <c r="D1666" t="s">
        <v>74</v>
      </c>
      <c r="E1666" t="s">
        <v>74</v>
      </c>
      <c r="F1666" t="s">
        <v>23957</v>
      </c>
      <c r="G1666" t="s">
        <v>74</v>
      </c>
      <c r="H1666" t="s">
        <v>74</v>
      </c>
      <c r="I1666" t="s">
        <v>23956</v>
      </c>
      <c r="J1666" t="s">
        <v>1245</v>
      </c>
      <c r="K1666" t="s">
        <v>74</v>
      </c>
      <c r="L1666" t="s">
        <v>74</v>
      </c>
      <c r="M1666" t="s">
        <v>78</v>
      </c>
      <c r="N1666" t="s">
        <v>79</v>
      </c>
      <c r="O1666" t="s">
        <v>74</v>
      </c>
      <c r="P1666" t="s">
        <v>74</v>
      </c>
      <c r="Q1666" t="s">
        <v>74</v>
      </c>
      <c r="R1666" t="s">
        <v>74</v>
      </c>
      <c r="S1666" t="s">
        <v>74</v>
      </c>
      <c r="T1666" t="s">
        <v>23955</v>
      </c>
      <c r="U1666" t="s">
        <v>23954</v>
      </c>
      <c r="V1666" t="s">
        <v>23953</v>
      </c>
      <c r="W1666" t="s">
        <v>23952</v>
      </c>
      <c r="X1666" t="s">
        <v>23951</v>
      </c>
      <c r="Y1666" t="s">
        <v>23950</v>
      </c>
      <c r="Z1666" t="s">
        <v>23949</v>
      </c>
      <c r="AA1666" t="s">
        <v>23948</v>
      </c>
      <c r="AB1666" t="s">
        <v>74</v>
      </c>
      <c r="AC1666" t="s">
        <v>74</v>
      </c>
      <c r="AD1666" t="s">
        <v>74</v>
      </c>
      <c r="AE1666" t="s">
        <v>74</v>
      </c>
      <c r="AF1666" t="s">
        <v>74</v>
      </c>
      <c r="AG1666">
        <v>18</v>
      </c>
      <c r="AH1666">
        <v>0</v>
      </c>
      <c r="AI1666">
        <v>0</v>
      </c>
      <c r="AJ1666">
        <v>0</v>
      </c>
      <c r="AK1666">
        <v>11</v>
      </c>
      <c r="AL1666" t="s">
        <v>23947</v>
      </c>
      <c r="AM1666" t="s">
        <v>23946</v>
      </c>
      <c r="AN1666" t="s">
        <v>23945</v>
      </c>
      <c r="AO1666" t="s">
        <v>1257</v>
      </c>
      <c r="AP1666" t="s">
        <v>1258</v>
      </c>
      <c r="AQ1666" t="s">
        <v>74</v>
      </c>
      <c r="AR1666" t="s">
        <v>1259</v>
      </c>
      <c r="AS1666" t="s">
        <v>1260</v>
      </c>
      <c r="AT1666" t="s">
        <v>74</v>
      </c>
      <c r="AU1666">
        <v>2021</v>
      </c>
      <c r="AV1666">
        <v>2</v>
      </c>
      <c r="AW1666">
        <v>37</v>
      </c>
      <c r="AX1666" t="s">
        <v>74</v>
      </c>
      <c r="AY1666" t="s">
        <v>74</v>
      </c>
      <c r="AZ1666" t="s">
        <v>74</v>
      </c>
      <c r="BA1666" t="s">
        <v>74</v>
      </c>
      <c r="BB1666">
        <v>62</v>
      </c>
      <c r="BC1666">
        <v>71</v>
      </c>
      <c r="BD1666" t="s">
        <v>74</v>
      </c>
      <c r="BE1666" t="s">
        <v>74</v>
      </c>
      <c r="BF1666" t="s">
        <v>74</v>
      </c>
      <c r="BG1666" t="s">
        <v>74</v>
      </c>
      <c r="BH1666" t="s">
        <v>74</v>
      </c>
      <c r="BI1666">
        <v>10</v>
      </c>
      <c r="BJ1666" t="s">
        <v>268</v>
      </c>
      <c r="BK1666" t="s">
        <v>313</v>
      </c>
      <c r="BL1666" t="s">
        <v>100</v>
      </c>
      <c r="BM1666" t="s">
        <v>23944</v>
      </c>
      <c r="BN1666" t="s">
        <v>74</v>
      </c>
      <c r="BO1666" t="s">
        <v>74</v>
      </c>
      <c r="BP1666" t="s">
        <v>74</v>
      </c>
      <c r="BQ1666" t="s">
        <v>74</v>
      </c>
      <c r="BR1666" t="s">
        <v>102</v>
      </c>
      <c r="BS1666" t="s">
        <v>23943</v>
      </c>
      <c r="BT1666" t="str">
        <f>HYPERLINK("https%3A%2F%2Fwww.webofscience.com%2Fwos%2Fwoscc%2Ffull-record%2FWOS:000654768000007","View Full Record in Web of Science")</f>
        <v>View Full Record in Web of Science</v>
      </c>
    </row>
    <row r="1667" spans="1:72" x14ac:dyDescent="0.25">
      <c r="A1667" t="s">
        <v>72</v>
      </c>
      <c r="B1667" t="s">
        <v>23942</v>
      </c>
      <c r="C1667" t="s">
        <v>74</v>
      </c>
      <c r="D1667" t="s">
        <v>74</v>
      </c>
      <c r="E1667" t="s">
        <v>74</v>
      </c>
      <c r="F1667" t="s">
        <v>23941</v>
      </c>
      <c r="G1667" t="s">
        <v>74</v>
      </c>
      <c r="H1667" t="s">
        <v>74</v>
      </c>
      <c r="I1667" t="s">
        <v>23940</v>
      </c>
      <c r="J1667" t="s">
        <v>23927</v>
      </c>
      <c r="K1667" t="s">
        <v>74</v>
      </c>
      <c r="L1667" t="s">
        <v>74</v>
      </c>
      <c r="M1667" t="s">
        <v>78</v>
      </c>
      <c r="N1667" t="s">
        <v>79</v>
      </c>
      <c r="O1667" t="s">
        <v>74</v>
      </c>
      <c r="P1667" t="s">
        <v>74</v>
      </c>
      <c r="Q1667" t="s">
        <v>74</v>
      </c>
      <c r="R1667" t="s">
        <v>74</v>
      </c>
      <c r="S1667" t="s">
        <v>74</v>
      </c>
      <c r="T1667" t="s">
        <v>23939</v>
      </c>
      <c r="U1667" t="s">
        <v>74</v>
      </c>
      <c r="V1667" t="s">
        <v>23938</v>
      </c>
      <c r="W1667" t="s">
        <v>23937</v>
      </c>
      <c r="X1667" t="s">
        <v>22766</v>
      </c>
      <c r="Y1667" t="s">
        <v>23936</v>
      </c>
      <c r="Z1667" t="s">
        <v>23935</v>
      </c>
      <c r="AA1667" t="s">
        <v>74</v>
      </c>
      <c r="AB1667" t="s">
        <v>74</v>
      </c>
      <c r="AC1667" t="s">
        <v>23934</v>
      </c>
      <c r="AD1667" t="s">
        <v>23933</v>
      </c>
      <c r="AE1667" t="s">
        <v>23932</v>
      </c>
      <c r="AF1667" t="s">
        <v>74</v>
      </c>
      <c r="AG1667">
        <v>67</v>
      </c>
      <c r="AH1667">
        <v>0</v>
      </c>
      <c r="AI1667">
        <v>0</v>
      </c>
      <c r="AJ1667">
        <v>0</v>
      </c>
      <c r="AK1667">
        <v>7</v>
      </c>
      <c r="AL1667" t="s">
        <v>23931</v>
      </c>
      <c r="AM1667" t="s">
        <v>23930</v>
      </c>
      <c r="AN1667" t="s">
        <v>23929</v>
      </c>
      <c r="AO1667" t="s">
        <v>23928</v>
      </c>
      <c r="AP1667" t="s">
        <v>74</v>
      </c>
      <c r="AQ1667" t="s">
        <v>74</v>
      </c>
      <c r="AR1667" t="s">
        <v>23927</v>
      </c>
      <c r="AS1667" t="s">
        <v>23926</v>
      </c>
      <c r="AT1667" t="s">
        <v>848</v>
      </c>
      <c r="AU1667">
        <v>2022</v>
      </c>
      <c r="AV1667" t="s">
        <v>74</v>
      </c>
      <c r="AW1667">
        <v>88</v>
      </c>
      <c r="AX1667" t="s">
        <v>74</v>
      </c>
      <c r="AY1667" t="s">
        <v>74</v>
      </c>
      <c r="AZ1667" t="s">
        <v>74</v>
      </c>
      <c r="BA1667" t="s">
        <v>74</v>
      </c>
      <c r="BB1667">
        <v>1</v>
      </c>
      <c r="BC1667">
        <v>18</v>
      </c>
      <c r="BD1667" t="s">
        <v>74</v>
      </c>
      <c r="BE1667" t="s">
        <v>23925</v>
      </c>
      <c r="BF1667" t="str">
        <f>HYPERLINK("http://dx.doi.org/10.54146/newcontree/2022/88/01","http://dx.doi.org/10.54146/newcontree/2022/88/01")</f>
        <v>http://dx.doi.org/10.54146/newcontree/2022/88/01</v>
      </c>
      <c r="BG1667" t="s">
        <v>74</v>
      </c>
      <c r="BH1667" t="s">
        <v>74</v>
      </c>
      <c r="BI1667">
        <v>18</v>
      </c>
      <c r="BJ1667" t="s">
        <v>2464</v>
      </c>
      <c r="BK1667" t="s">
        <v>313</v>
      </c>
      <c r="BL1667" t="s">
        <v>2464</v>
      </c>
      <c r="BM1667" t="s">
        <v>23924</v>
      </c>
      <c r="BN1667" t="s">
        <v>74</v>
      </c>
      <c r="BO1667" t="s">
        <v>212</v>
      </c>
      <c r="BP1667" t="s">
        <v>74</v>
      </c>
      <c r="BQ1667" t="s">
        <v>74</v>
      </c>
      <c r="BR1667" t="s">
        <v>102</v>
      </c>
      <c r="BS1667" t="s">
        <v>23923</v>
      </c>
      <c r="BT1667" t="str">
        <f>HYPERLINK("https%3A%2F%2Fwww.webofscience.com%2Fwos%2Fwoscc%2Ffull-record%2FWOS:000882472500001","View Full Record in Web of Science")</f>
        <v>View Full Record in Web of Science</v>
      </c>
    </row>
    <row r="1668" spans="1:72" x14ac:dyDescent="0.25">
      <c r="A1668" t="s">
        <v>72</v>
      </c>
      <c r="B1668" t="s">
        <v>23922</v>
      </c>
      <c r="C1668" t="s">
        <v>74</v>
      </c>
      <c r="D1668" t="s">
        <v>74</v>
      </c>
      <c r="E1668" t="s">
        <v>74</v>
      </c>
      <c r="F1668" t="s">
        <v>23921</v>
      </c>
      <c r="G1668" t="s">
        <v>74</v>
      </c>
      <c r="H1668" t="s">
        <v>74</v>
      </c>
      <c r="I1668" t="s">
        <v>23920</v>
      </c>
      <c r="J1668" t="s">
        <v>23912</v>
      </c>
      <c r="K1668" t="s">
        <v>74</v>
      </c>
      <c r="L1668" t="s">
        <v>74</v>
      </c>
      <c r="M1668" t="s">
        <v>78</v>
      </c>
      <c r="N1668" t="s">
        <v>79</v>
      </c>
      <c r="O1668" t="s">
        <v>74</v>
      </c>
      <c r="P1668" t="s">
        <v>74</v>
      </c>
      <c r="Q1668" t="s">
        <v>74</v>
      </c>
      <c r="R1668" t="s">
        <v>74</v>
      </c>
      <c r="S1668" t="s">
        <v>74</v>
      </c>
      <c r="T1668" t="s">
        <v>74</v>
      </c>
      <c r="U1668" t="s">
        <v>23919</v>
      </c>
      <c r="V1668" t="s">
        <v>23918</v>
      </c>
      <c r="W1668" t="s">
        <v>23917</v>
      </c>
      <c r="X1668" t="s">
        <v>23916</v>
      </c>
      <c r="Y1668" t="s">
        <v>23915</v>
      </c>
      <c r="Z1668" t="s">
        <v>23914</v>
      </c>
      <c r="AA1668" t="s">
        <v>23913</v>
      </c>
      <c r="AB1668" t="s">
        <v>74</v>
      </c>
      <c r="AC1668" t="s">
        <v>74</v>
      </c>
      <c r="AD1668" t="s">
        <v>74</v>
      </c>
      <c r="AE1668" t="s">
        <v>74</v>
      </c>
      <c r="AF1668" t="s">
        <v>74</v>
      </c>
      <c r="AG1668">
        <v>26</v>
      </c>
      <c r="AH1668">
        <v>8</v>
      </c>
      <c r="AI1668">
        <v>8</v>
      </c>
      <c r="AJ1668">
        <v>0</v>
      </c>
      <c r="AK1668">
        <v>5</v>
      </c>
      <c r="AL1668" t="s">
        <v>23912</v>
      </c>
      <c r="AM1668" t="s">
        <v>3024</v>
      </c>
      <c r="AN1668" t="s">
        <v>23911</v>
      </c>
      <c r="AO1668" t="s">
        <v>23910</v>
      </c>
      <c r="AP1668" t="s">
        <v>74</v>
      </c>
      <c r="AQ1668" t="s">
        <v>74</v>
      </c>
      <c r="AR1668" t="s">
        <v>23909</v>
      </c>
      <c r="AS1668" t="s">
        <v>23908</v>
      </c>
      <c r="AT1668" t="s">
        <v>74</v>
      </c>
      <c r="AU1668">
        <v>2020</v>
      </c>
      <c r="AV1668">
        <v>40</v>
      </c>
      <c r="AW1668">
        <v>1</v>
      </c>
      <c r="AX1668" t="s">
        <v>74</v>
      </c>
      <c r="AY1668" t="s">
        <v>74</v>
      </c>
      <c r="AZ1668" t="s">
        <v>74</v>
      </c>
      <c r="BA1668" t="s">
        <v>74</v>
      </c>
      <c r="BB1668">
        <v>863</v>
      </c>
      <c r="BC1668">
        <v>879</v>
      </c>
      <c r="BD1668" t="s">
        <v>74</v>
      </c>
      <c r="BE1668" t="s">
        <v>74</v>
      </c>
      <c r="BF1668" t="s">
        <v>74</v>
      </c>
      <c r="BG1668" t="s">
        <v>74</v>
      </c>
      <c r="BH1668" t="s">
        <v>74</v>
      </c>
      <c r="BI1668">
        <v>18</v>
      </c>
      <c r="BJ1668" t="s">
        <v>291</v>
      </c>
      <c r="BK1668" t="s">
        <v>313</v>
      </c>
      <c r="BL1668" t="s">
        <v>100</v>
      </c>
      <c r="BM1668" t="s">
        <v>23907</v>
      </c>
      <c r="BN1668" t="s">
        <v>74</v>
      </c>
      <c r="BO1668" t="s">
        <v>74</v>
      </c>
      <c r="BP1668" t="s">
        <v>74</v>
      </c>
      <c r="BQ1668" t="s">
        <v>74</v>
      </c>
      <c r="BR1668" t="s">
        <v>102</v>
      </c>
      <c r="BS1668" t="s">
        <v>23906</v>
      </c>
      <c r="BT1668" t="str">
        <f>HYPERLINK("https%3A%2F%2Fwww.webofscience.com%2Fwos%2Fwoscc%2Ffull-record%2FWOS:000528179800011","View Full Record in Web of Science")</f>
        <v>View Full Record in Web of Science</v>
      </c>
    </row>
    <row r="1669" spans="1:72" x14ac:dyDescent="0.25">
      <c r="A1669" t="s">
        <v>72</v>
      </c>
      <c r="B1669" t="s">
        <v>23905</v>
      </c>
      <c r="C1669" t="s">
        <v>74</v>
      </c>
      <c r="D1669" t="s">
        <v>74</v>
      </c>
      <c r="E1669" t="s">
        <v>74</v>
      </c>
      <c r="F1669" t="s">
        <v>23904</v>
      </c>
      <c r="G1669" t="s">
        <v>74</v>
      </c>
      <c r="H1669" t="s">
        <v>74</v>
      </c>
      <c r="I1669" t="s">
        <v>23903</v>
      </c>
      <c r="J1669" t="s">
        <v>23902</v>
      </c>
      <c r="K1669" t="s">
        <v>74</v>
      </c>
      <c r="L1669" t="s">
        <v>74</v>
      </c>
      <c r="M1669" t="s">
        <v>78</v>
      </c>
      <c r="N1669" t="s">
        <v>79</v>
      </c>
      <c r="O1669" t="s">
        <v>74</v>
      </c>
      <c r="P1669" t="s">
        <v>74</v>
      </c>
      <c r="Q1669" t="s">
        <v>74</v>
      </c>
      <c r="R1669" t="s">
        <v>74</v>
      </c>
      <c r="S1669" t="s">
        <v>74</v>
      </c>
      <c r="T1669" t="s">
        <v>23901</v>
      </c>
      <c r="U1669" t="s">
        <v>74</v>
      </c>
      <c r="V1669" t="s">
        <v>23900</v>
      </c>
      <c r="W1669" t="s">
        <v>23899</v>
      </c>
      <c r="X1669" t="s">
        <v>23898</v>
      </c>
      <c r="Y1669" t="s">
        <v>23897</v>
      </c>
      <c r="Z1669" t="s">
        <v>23896</v>
      </c>
      <c r="AA1669" t="s">
        <v>74</v>
      </c>
      <c r="AB1669" t="s">
        <v>23895</v>
      </c>
      <c r="AC1669" t="s">
        <v>74</v>
      </c>
      <c r="AD1669" t="s">
        <v>74</v>
      </c>
      <c r="AE1669" t="s">
        <v>74</v>
      </c>
      <c r="AF1669" t="s">
        <v>74</v>
      </c>
      <c r="AG1669">
        <v>31</v>
      </c>
      <c r="AH1669">
        <v>93</v>
      </c>
      <c r="AI1669">
        <v>127</v>
      </c>
      <c r="AJ1669">
        <v>1</v>
      </c>
      <c r="AK1669">
        <v>71</v>
      </c>
      <c r="AL1669" t="s">
        <v>479</v>
      </c>
      <c r="AM1669" t="s">
        <v>480</v>
      </c>
      <c r="AN1669" t="s">
        <v>481</v>
      </c>
      <c r="AO1669" t="s">
        <v>23894</v>
      </c>
      <c r="AP1669" t="s">
        <v>23893</v>
      </c>
      <c r="AQ1669" t="s">
        <v>74</v>
      </c>
      <c r="AR1669" t="s">
        <v>23892</v>
      </c>
      <c r="AS1669" t="s">
        <v>23891</v>
      </c>
      <c r="AT1669" t="s">
        <v>1159</v>
      </c>
      <c r="AU1669">
        <v>2012</v>
      </c>
      <c r="AV1669">
        <v>12</v>
      </c>
      <c r="AW1669">
        <v>4</v>
      </c>
      <c r="AX1669" t="s">
        <v>74</v>
      </c>
      <c r="AY1669" t="s">
        <v>74</v>
      </c>
      <c r="AZ1669" t="s">
        <v>74</v>
      </c>
      <c r="BA1669" t="s">
        <v>74</v>
      </c>
      <c r="BB1669">
        <v>601</v>
      </c>
      <c r="BC1669">
        <v>610</v>
      </c>
      <c r="BD1669" t="s">
        <v>74</v>
      </c>
      <c r="BE1669" t="s">
        <v>23890</v>
      </c>
      <c r="BF1669" t="str">
        <f>HYPERLINK("http://dx.doi.org/10.1111/j.1471-0366.2012.00377.x","http://dx.doi.org/10.1111/j.1471-0366.2012.00377.x")</f>
        <v>http://dx.doi.org/10.1111/j.1471-0366.2012.00377.x</v>
      </c>
      <c r="BG1669" t="s">
        <v>74</v>
      </c>
      <c r="BH1669" t="s">
        <v>74</v>
      </c>
      <c r="BI1669">
        <v>10</v>
      </c>
      <c r="BJ1669" t="s">
        <v>701</v>
      </c>
      <c r="BK1669" t="s">
        <v>99</v>
      </c>
      <c r="BL1669" t="s">
        <v>702</v>
      </c>
      <c r="BM1669" t="s">
        <v>23889</v>
      </c>
      <c r="BN1669" t="s">
        <v>74</v>
      </c>
      <c r="BO1669" t="s">
        <v>74</v>
      </c>
      <c r="BP1669" t="s">
        <v>74</v>
      </c>
      <c r="BQ1669" t="s">
        <v>74</v>
      </c>
      <c r="BR1669" t="s">
        <v>102</v>
      </c>
      <c r="BS1669" t="s">
        <v>23888</v>
      </c>
      <c r="BT1669" t="str">
        <f>HYPERLINK("https%3A%2F%2Fwww.webofscience.com%2Fwos%2Fwoscc%2Ffull-record%2FWOS:000308720000011","View Full Record in Web of Science")</f>
        <v>View Full Record in Web of Science</v>
      </c>
    </row>
    <row r="1670" spans="1:72" x14ac:dyDescent="0.25">
      <c r="A1670" t="s">
        <v>132</v>
      </c>
      <c r="B1670" t="s">
        <v>23887</v>
      </c>
      <c r="C1670" t="s">
        <v>74</v>
      </c>
      <c r="D1670" t="s">
        <v>23886</v>
      </c>
      <c r="E1670" t="s">
        <v>74</v>
      </c>
      <c r="F1670" t="s">
        <v>23885</v>
      </c>
      <c r="G1670" t="s">
        <v>74</v>
      </c>
      <c r="H1670" t="s">
        <v>74</v>
      </c>
      <c r="I1670" t="s">
        <v>23884</v>
      </c>
      <c r="J1670" t="s">
        <v>23883</v>
      </c>
      <c r="K1670" t="s">
        <v>23882</v>
      </c>
      <c r="L1670" t="s">
        <v>74</v>
      </c>
      <c r="M1670" t="s">
        <v>78</v>
      </c>
      <c r="N1670" t="s">
        <v>138</v>
      </c>
      <c r="O1670" t="s">
        <v>23881</v>
      </c>
      <c r="P1670" t="s">
        <v>23880</v>
      </c>
      <c r="Q1670" t="s">
        <v>23879</v>
      </c>
      <c r="R1670" t="s">
        <v>23878</v>
      </c>
      <c r="S1670" t="s">
        <v>23877</v>
      </c>
      <c r="T1670" t="s">
        <v>23876</v>
      </c>
      <c r="U1670" t="s">
        <v>74</v>
      </c>
      <c r="V1670" t="s">
        <v>23875</v>
      </c>
      <c r="W1670" t="s">
        <v>23874</v>
      </c>
      <c r="X1670" t="s">
        <v>23873</v>
      </c>
      <c r="Y1670" t="s">
        <v>23872</v>
      </c>
      <c r="Z1670" t="s">
        <v>23871</v>
      </c>
      <c r="AA1670" t="s">
        <v>23870</v>
      </c>
      <c r="AB1670" t="s">
        <v>23869</v>
      </c>
      <c r="AC1670" t="s">
        <v>74</v>
      </c>
      <c r="AD1670" t="s">
        <v>74</v>
      </c>
      <c r="AE1670" t="s">
        <v>74</v>
      </c>
      <c r="AF1670" t="s">
        <v>74</v>
      </c>
      <c r="AG1670">
        <v>23</v>
      </c>
      <c r="AH1670">
        <v>124</v>
      </c>
      <c r="AI1670">
        <v>197</v>
      </c>
      <c r="AJ1670">
        <v>2</v>
      </c>
      <c r="AK1670">
        <v>52</v>
      </c>
      <c r="AL1670" t="s">
        <v>3298</v>
      </c>
      <c r="AM1670" t="s">
        <v>202</v>
      </c>
      <c r="AN1670" t="s">
        <v>23868</v>
      </c>
      <c r="AO1670" t="s">
        <v>23867</v>
      </c>
      <c r="AP1670" t="s">
        <v>74</v>
      </c>
      <c r="AQ1670" t="s">
        <v>74</v>
      </c>
      <c r="AR1670" t="s">
        <v>23866</v>
      </c>
      <c r="AS1670" t="s">
        <v>74</v>
      </c>
      <c r="AT1670" t="s">
        <v>74</v>
      </c>
      <c r="AU1670">
        <v>2012</v>
      </c>
      <c r="AV1670">
        <v>37</v>
      </c>
      <c r="AW1670" t="s">
        <v>74</v>
      </c>
      <c r="AX1670" t="s">
        <v>74</v>
      </c>
      <c r="AY1670" t="s">
        <v>74</v>
      </c>
      <c r="AZ1670" t="s">
        <v>74</v>
      </c>
      <c r="BA1670" t="s">
        <v>74</v>
      </c>
      <c r="BB1670">
        <v>133</v>
      </c>
      <c r="BC1670">
        <v>149</v>
      </c>
      <c r="BD1670" t="s">
        <v>74</v>
      </c>
      <c r="BE1670" t="s">
        <v>23865</v>
      </c>
      <c r="BF1670" t="str">
        <f>HYPERLINK("http://dx.doi.org/10.1016/j.sbspro.2012.03.281","http://dx.doi.org/10.1016/j.sbspro.2012.03.281")</f>
        <v>http://dx.doi.org/10.1016/j.sbspro.2012.03.281</v>
      </c>
      <c r="BG1670" t="s">
        <v>74</v>
      </c>
      <c r="BH1670" t="s">
        <v>74</v>
      </c>
      <c r="BI1670">
        <v>17</v>
      </c>
      <c r="BJ1670" t="s">
        <v>23864</v>
      </c>
      <c r="BK1670" t="s">
        <v>183</v>
      </c>
      <c r="BL1670" t="s">
        <v>1406</v>
      </c>
      <c r="BM1670" t="s">
        <v>23863</v>
      </c>
      <c r="BN1670" t="s">
        <v>74</v>
      </c>
      <c r="BO1670" t="s">
        <v>212</v>
      </c>
      <c r="BP1670" t="s">
        <v>74</v>
      </c>
      <c r="BQ1670" t="s">
        <v>74</v>
      </c>
      <c r="BR1670" t="s">
        <v>102</v>
      </c>
      <c r="BS1670" t="s">
        <v>23862</v>
      </c>
      <c r="BT1670" t="str">
        <f>HYPERLINK("https%3A%2F%2Fwww.webofscience.com%2Fwos%2Fwoscc%2Ffull-record%2FWOS:000314108100013","View Full Record in Web of Science")</f>
        <v>View Full Record in Web of Science</v>
      </c>
    </row>
    <row r="1671" spans="1:72" x14ac:dyDescent="0.25">
      <c r="A1671" t="s">
        <v>72</v>
      </c>
      <c r="B1671" t="s">
        <v>23861</v>
      </c>
      <c r="C1671" t="s">
        <v>74</v>
      </c>
      <c r="D1671" t="s">
        <v>74</v>
      </c>
      <c r="E1671" t="s">
        <v>74</v>
      </c>
      <c r="F1671" t="s">
        <v>23860</v>
      </c>
      <c r="G1671" t="s">
        <v>74</v>
      </c>
      <c r="H1671" t="s">
        <v>74</v>
      </c>
      <c r="I1671" t="s">
        <v>23859</v>
      </c>
      <c r="J1671" t="s">
        <v>17444</v>
      </c>
      <c r="K1671" t="s">
        <v>74</v>
      </c>
      <c r="L1671" t="s">
        <v>74</v>
      </c>
      <c r="M1671" t="s">
        <v>78</v>
      </c>
      <c r="N1671" t="s">
        <v>1766</v>
      </c>
      <c r="O1671" t="s">
        <v>74</v>
      </c>
      <c r="P1671" t="s">
        <v>74</v>
      </c>
      <c r="Q1671" t="s">
        <v>74</v>
      </c>
      <c r="R1671" t="s">
        <v>74</v>
      </c>
      <c r="S1671" t="s">
        <v>74</v>
      </c>
      <c r="T1671" t="s">
        <v>23858</v>
      </c>
      <c r="U1671" t="s">
        <v>23857</v>
      </c>
      <c r="V1671" t="s">
        <v>23856</v>
      </c>
      <c r="W1671" t="s">
        <v>23855</v>
      </c>
      <c r="X1671" t="s">
        <v>10580</v>
      </c>
      <c r="Y1671" t="s">
        <v>23854</v>
      </c>
      <c r="Z1671" t="s">
        <v>23853</v>
      </c>
      <c r="AA1671" t="s">
        <v>23852</v>
      </c>
      <c r="AB1671" t="s">
        <v>23851</v>
      </c>
      <c r="AC1671" t="s">
        <v>74</v>
      </c>
      <c r="AD1671" t="s">
        <v>74</v>
      </c>
      <c r="AE1671" t="s">
        <v>74</v>
      </c>
      <c r="AF1671" t="s">
        <v>74</v>
      </c>
      <c r="AG1671">
        <v>85</v>
      </c>
      <c r="AH1671">
        <v>31</v>
      </c>
      <c r="AI1671">
        <v>53</v>
      </c>
      <c r="AJ1671">
        <v>7</v>
      </c>
      <c r="AK1671">
        <v>74</v>
      </c>
      <c r="AL1671" t="s">
        <v>89</v>
      </c>
      <c r="AM1671" t="s">
        <v>1497</v>
      </c>
      <c r="AN1671" t="s">
        <v>1498</v>
      </c>
      <c r="AO1671" t="s">
        <v>17454</v>
      </c>
      <c r="AP1671" t="s">
        <v>17455</v>
      </c>
      <c r="AQ1671" t="s">
        <v>74</v>
      </c>
      <c r="AR1671" t="s">
        <v>17456</v>
      </c>
      <c r="AS1671" t="s">
        <v>17457</v>
      </c>
      <c r="AT1671" t="s">
        <v>11361</v>
      </c>
      <c r="AU1671">
        <v>2022</v>
      </c>
      <c r="AV1671">
        <v>48</v>
      </c>
      <c r="AW1671" t="s">
        <v>23850</v>
      </c>
      <c r="AX1671" t="s">
        <v>74</v>
      </c>
      <c r="AY1671" t="s">
        <v>74</v>
      </c>
      <c r="AZ1671" t="s">
        <v>441</v>
      </c>
      <c r="BA1671" t="s">
        <v>74</v>
      </c>
      <c r="BB1671">
        <v>1352</v>
      </c>
      <c r="BC1671">
        <v>1371</v>
      </c>
      <c r="BD1671" t="s">
        <v>74</v>
      </c>
      <c r="BE1671" t="s">
        <v>23849</v>
      </c>
      <c r="BF1671" t="str">
        <f>HYPERLINK("http://dx.doi.org/10.1108/MF-06-2021-0260","http://dx.doi.org/10.1108/MF-06-2021-0260")</f>
        <v>http://dx.doi.org/10.1108/MF-06-2021-0260</v>
      </c>
      <c r="BG1671" t="s">
        <v>74</v>
      </c>
      <c r="BH1671" t="s">
        <v>674</v>
      </c>
      <c r="BI1671">
        <v>20</v>
      </c>
      <c r="BJ1671" t="s">
        <v>268</v>
      </c>
      <c r="BK1671" t="s">
        <v>313</v>
      </c>
      <c r="BL1671" t="s">
        <v>100</v>
      </c>
      <c r="BM1671" t="s">
        <v>23848</v>
      </c>
      <c r="BN1671" t="s">
        <v>74</v>
      </c>
      <c r="BO1671" t="s">
        <v>74</v>
      </c>
      <c r="BP1671" t="s">
        <v>74</v>
      </c>
      <c r="BQ1671" t="s">
        <v>74</v>
      </c>
      <c r="BR1671" t="s">
        <v>102</v>
      </c>
      <c r="BS1671" t="s">
        <v>23847</v>
      </c>
      <c r="BT1671" t="str">
        <f>HYPERLINK("https%3A%2F%2Fwww.webofscience.com%2Fwos%2Fwoscc%2Ffull-record%2FWOS:000752937000001","View Full Record in Web of Science")</f>
        <v>View Full Record in Web of Science</v>
      </c>
    </row>
    <row r="1672" spans="1:72" x14ac:dyDescent="0.25">
      <c r="A1672" t="s">
        <v>72</v>
      </c>
      <c r="B1672" t="s">
        <v>23846</v>
      </c>
      <c r="C1672" t="s">
        <v>74</v>
      </c>
      <c r="D1672" t="s">
        <v>74</v>
      </c>
      <c r="E1672" t="s">
        <v>74</v>
      </c>
      <c r="F1672" t="s">
        <v>23845</v>
      </c>
      <c r="G1672" t="s">
        <v>74</v>
      </c>
      <c r="H1672" t="s">
        <v>74</v>
      </c>
      <c r="I1672" t="s">
        <v>23844</v>
      </c>
      <c r="J1672" t="s">
        <v>3439</v>
      </c>
      <c r="K1672" t="s">
        <v>74</v>
      </c>
      <c r="L1672" t="s">
        <v>74</v>
      </c>
      <c r="M1672" t="s">
        <v>78</v>
      </c>
      <c r="N1672" t="s">
        <v>79</v>
      </c>
      <c r="O1672" t="s">
        <v>74</v>
      </c>
      <c r="P1672" t="s">
        <v>74</v>
      </c>
      <c r="Q1672" t="s">
        <v>74</v>
      </c>
      <c r="R1672" t="s">
        <v>74</v>
      </c>
      <c r="S1672" t="s">
        <v>74</v>
      </c>
      <c r="T1672" t="s">
        <v>23843</v>
      </c>
      <c r="U1672" t="s">
        <v>74</v>
      </c>
      <c r="V1672" t="s">
        <v>23842</v>
      </c>
      <c r="W1672" t="s">
        <v>23841</v>
      </c>
      <c r="X1672" t="s">
        <v>23840</v>
      </c>
      <c r="Y1672" t="s">
        <v>23839</v>
      </c>
      <c r="Z1672" t="s">
        <v>23838</v>
      </c>
      <c r="AA1672" t="s">
        <v>74</v>
      </c>
      <c r="AB1672" t="s">
        <v>23837</v>
      </c>
      <c r="AC1672" t="s">
        <v>74</v>
      </c>
      <c r="AD1672" t="s">
        <v>74</v>
      </c>
      <c r="AE1672" t="s">
        <v>74</v>
      </c>
      <c r="AF1672" t="s">
        <v>74</v>
      </c>
      <c r="AG1672">
        <v>45</v>
      </c>
      <c r="AH1672">
        <v>1</v>
      </c>
      <c r="AI1672">
        <v>4</v>
      </c>
      <c r="AJ1672">
        <v>0</v>
      </c>
      <c r="AK1672">
        <v>1</v>
      </c>
      <c r="AL1672" t="s">
        <v>2481</v>
      </c>
      <c r="AM1672" t="s">
        <v>2482</v>
      </c>
      <c r="AN1672" t="s">
        <v>2483</v>
      </c>
      <c r="AO1672" t="s">
        <v>3443</v>
      </c>
      <c r="AP1672" t="s">
        <v>74</v>
      </c>
      <c r="AQ1672" t="s">
        <v>74</v>
      </c>
      <c r="AR1672" t="s">
        <v>3444</v>
      </c>
      <c r="AS1672" t="s">
        <v>3445</v>
      </c>
      <c r="AT1672" t="s">
        <v>2970</v>
      </c>
      <c r="AU1672">
        <v>2024</v>
      </c>
      <c r="AV1672">
        <v>12</v>
      </c>
      <c r="AW1672">
        <v>1</v>
      </c>
      <c r="AX1672" t="s">
        <v>74</v>
      </c>
      <c r="AY1672" t="s">
        <v>74</v>
      </c>
      <c r="AZ1672" t="s">
        <v>74</v>
      </c>
      <c r="BA1672" t="s">
        <v>74</v>
      </c>
      <c r="BB1672" t="s">
        <v>74</v>
      </c>
      <c r="BC1672" t="s">
        <v>74</v>
      </c>
      <c r="BD1672">
        <v>2381682</v>
      </c>
      <c r="BE1672" t="s">
        <v>23836</v>
      </c>
      <c r="BF1672" t="str">
        <f>HYPERLINK("http://dx.doi.org/10.1080/23322039.2024.2381682","http://dx.doi.org/10.1080/23322039.2024.2381682")</f>
        <v>http://dx.doi.org/10.1080/23322039.2024.2381682</v>
      </c>
      <c r="BG1672" t="s">
        <v>74</v>
      </c>
      <c r="BH1672" t="s">
        <v>74</v>
      </c>
      <c r="BI1672">
        <v>11</v>
      </c>
      <c r="BJ1672" t="s">
        <v>291</v>
      </c>
      <c r="BK1672" t="s">
        <v>313</v>
      </c>
      <c r="BL1672" t="s">
        <v>100</v>
      </c>
      <c r="BM1672" t="s">
        <v>23835</v>
      </c>
      <c r="BN1672" t="s">
        <v>74</v>
      </c>
      <c r="BO1672" t="s">
        <v>916</v>
      </c>
      <c r="BP1672" t="s">
        <v>74</v>
      </c>
      <c r="BQ1672" t="s">
        <v>74</v>
      </c>
      <c r="BR1672" t="s">
        <v>102</v>
      </c>
      <c r="BS1672" t="s">
        <v>23834</v>
      </c>
      <c r="BT1672" t="str">
        <f>HYPERLINK("https%3A%2F%2Fwww.webofscience.com%2Fwos%2Fwoscc%2Ffull-record%2FWOS:001278650900001","View Full Record in Web of Science")</f>
        <v>View Full Record in Web of Science</v>
      </c>
    </row>
    <row r="1673" spans="1:72" x14ac:dyDescent="0.25">
      <c r="A1673" t="s">
        <v>72</v>
      </c>
      <c r="B1673" t="s">
        <v>23833</v>
      </c>
      <c r="C1673" t="s">
        <v>74</v>
      </c>
      <c r="D1673" t="s">
        <v>74</v>
      </c>
      <c r="E1673" t="s">
        <v>74</v>
      </c>
      <c r="F1673" t="s">
        <v>23832</v>
      </c>
      <c r="G1673" t="s">
        <v>74</v>
      </c>
      <c r="H1673" t="s">
        <v>74</v>
      </c>
      <c r="I1673" t="s">
        <v>23831</v>
      </c>
      <c r="J1673" t="s">
        <v>1510</v>
      </c>
      <c r="K1673" t="s">
        <v>74</v>
      </c>
      <c r="L1673" t="s">
        <v>74</v>
      </c>
      <c r="M1673" t="s">
        <v>78</v>
      </c>
      <c r="N1673" t="s">
        <v>79</v>
      </c>
      <c r="O1673" t="s">
        <v>74</v>
      </c>
      <c r="P1673" t="s">
        <v>74</v>
      </c>
      <c r="Q1673" t="s">
        <v>74</v>
      </c>
      <c r="R1673" t="s">
        <v>74</v>
      </c>
      <c r="S1673" t="s">
        <v>74</v>
      </c>
      <c r="T1673" t="s">
        <v>23830</v>
      </c>
      <c r="U1673" t="s">
        <v>23829</v>
      </c>
      <c r="V1673" t="s">
        <v>23828</v>
      </c>
      <c r="W1673" t="s">
        <v>23827</v>
      </c>
      <c r="X1673" t="s">
        <v>3960</v>
      </c>
      <c r="Y1673" t="s">
        <v>23826</v>
      </c>
      <c r="Z1673" t="s">
        <v>23825</v>
      </c>
      <c r="AA1673" t="s">
        <v>23824</v>
      </c>
      <c r="AB1673" t="s">
        <v>23823</v>
      </c>
      <c r="AC1673" t="s">
        <v>74</v>
      </c>
      <c r="AD1673" t="s">
        <v>74</v>
      </c>
      <c r="AE1673" t="s">
        <v>74</v>
      </c>
      <c r="AF1673" t="s">
        <v>74</v>
      </c>
      <c r="AG1673">
        <v>55</v>
      </c>
      <c r="AH1673">
        <v>64</v>
      </c>
      <c r="AI1673">
        <v>79</v>
      </c>
      <c r="AJ1673">
        <v>1</v>
      </c>
      <c r="AK1673">
        <v>22</v>
      </c>
      <c r="AL1673" t="s">
        <v>89</v>
      </c>
      <c r="AM1673" t="s">
        <v>1497</v>
      </c>
      <c r="AN1673" t="s">
        <v>1498</v>
      </c>
      <c r="AO1673" t="s">
        <v>1519</v>
      </c>
      <c r="AP1673" t="s">
        <v>1520</v>
      </c>
      <c r="AQ1673" t="s">
        <v>74</v>
      </c>
      <c r="AR1673" t="s">
        <v>1521</v>
      </c>
      <c r="AS1673" t="s">
        <v>1522</v>
      </c>
      <c r="AT1673" t="s">
        <v>23822</v>
      </c>
      <c r="AU1673">
        <v>2020</v>
      </c>
      <c r="AV1673">
        <v>47</v>
      </c>
      <c r="AW1673">
        <v>10</v>
      </c>
      <c r="AX1673" t="s">
        <v>74</v>
      </c>
      <c r="AY1673" t="s">
        <v>74</v>
      </c>
      <c r="AZ1673" t="s">
        <v>74</v>
      </c>
      <c r="BA1673" t="s">
        <v>74</v>
      </c>
      <c r="BB1673">
        <v>1283</v>
      </c>
      <c r="BC1673">
        <v>1297</v>
      </c>
      <c r="BD1673" t="s">
        <v>74</v>
      </c>
      <c r="BE1673" t="s">
        <v>23821</v>
      </c>
      <c r="BF1673" t="str">
        <f>HYPERLINK("http://dx.doi.org/10.1108/IJSE-05-2020-0271","http://dx.doi.org/10.1108/IJSE-05-2020-0271")</f>
        <v>http://dx.doi.org/10.1108/IJSE-05-2020-0271</v>
      </c>
      <c r="BG1673" t="s">
        <v>74</v>
      </c>
      <c r="BH1673" t="s">
        <v>2937</v>
      </c>
      <c r="BI1673">
        <v>15</v>
      </c>
      <c r="BJ1673" t="s">
        <v>291</v>
      </c>
      <c r="BK1673" t="s">
        <v>313</v>
      </c>
      <c r="BL1673" t="s">
        <v>100</v>
      </c>
      <c r="BM1673" t="s">
        <v>23820</v>
      </c>
      <c r="BN1673" t="s">
        <v>74</v>
      </c>
      <c r="BO1673" t="s">
        <v>74</v>
      </c>
      <c r="BP1673" t="s">
        <v>74</v>
      </c>
      <c r="BQ1673" t="s">
        <v>74</v>
      </c>
      <c r="BR1673" t="s">
        <v>102</v>
      </c>
      <c r="BS1673" t="s">
        <v>23819</v>
      </c>
      <c r="BT1673" t="str">
        <f>HYPERLINK("https%3A%2F%2Fwww.webofscience.com%2Fwos%2Fwoscc%2Ffull-record%2FWOS:000564905300001","View Full Record in Web of Science")</f>
        <v>View Full Record in Web of Science</v>
      </c>
    </row>
    <row r="1674" spans="1:72" x14ac:dyDescent="0.25">
      <c r="A1674" t="s">
        <v>72</v>
      </c>
      <c r="B1674" t="s">
        <v>15753</v>
      </c>
      <c r="C1674" t="s">
        <v>74</v>
      </c>
      <c r="D1674" t="s">
        <v>74</v>
      </c>
      <c r="E1674" t="s">
        <v>74</v>
      </c>
      <c r="F1674" t="s">
        <v>15754</v>
      </c>
      <c r="G1674" t="s">
        <v>74</v>
      </c>
      <c r="H1674" t="s">
        <v>74</v>
      </c>
      <c r="I1674" t="s">
        <v>23818</v>
      </c>
      <c r="J1674" t="s">
        <v>3579</v>
      </c>
      <c r="K1674" t="s">
        <v>74</v>
      </c>
      <c r="L1674" t="s">
        <v>74</v>
      </c>
      <c r="M1674" t="s">
        <v>78</v>
      </c>
      <c r="N1674" t="s">
        <v>2355</v>
      </c>
      <c r="O1674" t="s">
        <v>74</v>
      </c>
      <c r="P1674" t="s">
        <v>74</v>
      </c>
      <c r="Q1674" t="s">
        <v>74</v>
      </c>
      <c r="R1674" t="s">
        <v>74</v>
      </c>
      <c r="S1674" t="s">
        <v>74</v>
      </c>
      <c r="T1674" t="s">
        <v>74</v>
      </c>
      <c r="U1674" t="s">
        <v>74</v>
      </c>
      <c r="V1674" t="s">
        <v>74</v>
      </c>
      <c r="W1674" t="s">
        <v>15759</v>
      </c>
      <c r="X1674" t="s">
        <v>15760</v>
      </c>
      <c r="Y1674" t="s">
        <v>15761</v>
      </c>
      <c r="Z1674" t="s">
        <v>15762</v>
      </c>
      <c r="AA1674" t="s">
        <v>74</v>
      </c>
      <c r="AB1674" t="s">
        <v>15763</v>
      </c>
      <c r="AC1674" t="s">
        <v>74</v>
      </c>
      <c r="AD1674" t="s">
        <v>74</v>
      </c>
      <c r="AE1674" t="s">
        <v>74</v>
      </c>
      <c r="AF1674" t="s">
        <v>74</v>
      </c>
      <c r="AG1674">
        <v>1</v>
      </c>
      <c r="AH1674">
        <v>0</v>
      </c>
      <c r="AI1674">
        <v>0</v>
      </c>
      <c r="AJ1674">
        <v>0</v>
      </c>
      <c r="AK1674">
        <v>0</v>
      </c>
      <c r="AL1674" t="s">
        <v>3588</v>
      </c>
      <c r="AM1674" t="s">
        <v>410</v>
      </c>
      <c r="AN1674" t="s">
        <v>3589</v>
      </c>
      <c r="AO1674" t="s">
        <v>3590</v>
      </c>
      <c r="AP1674" t="s">
        <v>3591</v>
      </c>
      <c r="AQ1674" t="s">
        <v>74</v>
      </c>
      <c r="AR1674" t="s">
        <v>3592</v>
      </c>
      <c r="AS1674" t="s">
        <v>3593</v>
      </c>
      <c r="AT1674" t="s">
        <v>289</v>
      </c>
      <c r="AU1674">
        <v>2025</v>
      </c>
      <c r="AV1674">
        <v>27</v>
      </c>
      <c r="AW1674">
        <v>2</v>
      </c>
      <c r="AX1674" t="s">
        <v>74</v>
      </c>
      <c r="AY1674" t="s">
        <v>74</v>
      </c>
      <c r="AZ1674" t="s">
        <v>74</v>
      </c>
      <c r="BA1674" t="s">
        <v>74</v>
      </c>
      <c r="BB1674">
        <v>727</v>
      </c>
      <c r="BC1674">
        <v>727</v>
      </c>
      <c r="BD1674" t="s">
        <v>74</v>
      </c>
      <c r="BE1674" t="s">
        <v>23817</v>
      </c>
      <c r="BF1674" t="str">
        <f>HYPERLINK("http://dx.doi.org/10.1007/s40847-024-00412-x","http://dx.doi.org/10.1007/s40847-024-00412-x")</f>
        <v>http://dx.doi.org/10.1007/s40847-024-00412-x</v>
      </c>
      <c r="BG1674" t="s">
        <v>74</v>
      </c>
      <c r="BH1674" t="s">
        <v>1737</v>
      </c>
      <c r="BI1674">
        <v>1</v>
      </c>
      <c r="BJ1674" t="s">
        <v>701</v>
      </c>
      <c r="BK1674" t="s">
        <v>313</v>
      </c>
      <c r="BL1674" t="s">
        <v>702</v>
      </c>
      <c r="BM1674" t="s">
        <v>15765</v>
      </c>
      <c r="BN1674" t="s">
        <v>74</v>
      </c>
      <c r="BO1674" t="s">
        <v>1205</v>
      </c>
      <c r="BP1674" t="s">
        <v>74</v>
      </c>
      <c r="BQ1674" t="s">
        <v>74</v>
      </c>
      <c r="BR1674" t="s">
        <v>102</v>
      </c>
      <c r="BS1674" t="s">
        <v>23816</v>
      </c>
      <c r="BT1674" t="str">
        <f>HYPERLINK("https%3A%2F%2Fwww.webofscience.com%2Fwos%2Fwoscc%2Ffull-record%2FWOS:001393070400001","View Full Record in Web of Science")</f>
        <v>View Full Record in Web of Science</v>
      </c>
    </row>
    <row r="1675" spans="1:72" x14ac:dyDescent="0.25">
      <c r="A1675" t="s">
        <v>72</v>
      </c>
      <c r="B1675" t="s">
        <v>23815</v>
      </c>
      <c r="C1675" t="s">
        <v>74</v>
      </c>
      <c r="D1675" t="s">
        <v>74</v>
      </c>
      <c r="E1675" t="s">
        <v>74</v>
      </c>
      <c r="F1675" t="s">
        <v>23814</v>
      </c>
      <c r="G1675" t="s">
        <v>74</v>
      </c>
      <c r="H1675" t="s">
        <v>74</v>
      </c>
      <c r="I1675" t="s">
        <v>23813</v>
      </c>
      <c r="J1675" t="s">
        <v>1435</v>
      </c>
      <c r="K1675" t="s">
        <v>74</v>
      </c>
      <c r="L1675" t="s">
        <v>74</v>
      </c>
      <c r="M1675" t="s">
        <v>78</v>
      </c>
      <c r="N1675" t="s">
        <v>79</v>
      </c>
      <c r="O1675" t="s">
        <v>74</v>
      </c>
      <c r="P1675" t="s">
        <v>74</v>
      </c>
      <c r="Q1675" t="s">
        <v>74</v>
      </c>
      <c r="R1675" t="s">
        <v>74</v>
      </c>
      <c r="S1675" t="s">
        <v>74</v>
      </c>
      <c r="T1675" t="s">
        <v>23812</v>
      </c>
      <c r="U1675" t="s">
        <v>23811</v>
      </c>
      <c r="V1675" t="s">
        <v>23810</v>
      </c>
      <c r="W1675" t="s">
        <v>23809</v>
      </c>
      <c r="X1675" t="s">
        <v>74</v>
      </c>
      <c r="Y1675" t="s">
        <v>23808</v>
      </c>
      <c r="Z1675" t="s">
        <v>23807</v>
      </c>
      <c r="AA1675" t="s">
        <v>23806</v>
      </c>
      <c r="AB1675" t="s">
        <v>23805</v>
      </c>
      <c r="AC1675" t="s">
        <v>74</v>
      </c>
      <c r="AD1675" t="s">
        <v>74</v>
      </c>
      <c r="AE1675" t="s">
        <v>74</v>
      </c>
      <c r="AF1675" t="s">
        <v>74</v>
      </c>
      <c r="AG1675">
        <v>58</v>
      </c>
      <c r="AH1675">
        <v>1</v>
      </c>
      <c r="AI1675">
        <v>3</v>
      </c>
      <c r="AJ1675">
        <v>5</v>
      </c>
      <c r="AK1675">
        <v>24</v>
      </c>
      <c r="AL1675" t="s">
        <v>1445</v>
      </c>
      <c r="AM1675" t="s">
        <v>1446</v>
      </c>
      <c r="AN1675" t="s">
        <v>10534</v>
      </c>
      <c r="AO1675" t="s">
        <v>1448</v>
      </c>
      <c r="AP1675" t="s">
        <v>1449</v>
      </c>
      <c r="AQ1675" t="s">
        <v>74</v>
      </c>
      <c r="AR1675" t="s">
        <v>1450</v>
      </c>
      <c r="AS1675" t="s">
        <v>1451</v>
      </c>
      <c r="AT1675" t="s">
        <v>74</v>
      </c>
      <c r="AU1675">
        <v>2023</v>
      </c>
      <c r="AV1675">
        <v>16</v>
      </c>
      <c r="AW1675">
        <v>3</v>
      </c>
      <c r="AX1675" t="s">
        <v>74</v>
      </c>
      <c r="AY1675" t="s">
        <v>74</v>
      </c>
      <c r="AZ1675" t="s">
        <v>74</v>
      </c>
      <c r="BA1675" t="s">
        <v>74</v>
      </c>
      <c r="BB1675">
        <v>65</v>
      </c>
      <c r="BC1675">
        <v>81</v>
      </c>
      <c r="BD1675" t="s">
        <v>74</v>
      </c>
      <c r="BE1675" t="s">
        <v>23804</v>
      </c>
      <c r="BF1675" t="str">
        <f>HYPERLINK("http://dx.doi.org/10.14254/2071-789X.2023/16-3/4","http://dx.doi.org/10.14254/2071-789X.2023/16-3/4")</f>
        <v>http://dx.doi.org/10.14254/2071-789X.2023/16-3/4</v>
      </c>
      <c r="BG1675" t="s">
        <v>74</v>
      </c>
      <c r="BH1675" t="s">
        <v>74</v>
      </c>
      <c r="BI1675">
        <v>17</v>
      </c>
      <c r="BJ1675" t="s">
        <v>1453</v>
      </c>
      <c r="BK1675" t="s">
        <v>313</v>
      </c>
      <c r="BL1675" t="s">
        <v>100</v>
      </c>
      <c r="BM1675" t="s">
        <v>23803</v>
      </c>
      <c r="BN1675" t="s">
        <v>74</v>
      </c>
      <c r="BO1675" t="s">
        <v>212</v>
      </c>
      <c r="BP1675" t="s">
        <v>74</v>
      </c>
      <c r="BQ1675" t="s">
        <v>74</v>
      </c>
      <c r="BR1675" t="s">
        <v>102</v>
      </c>
      <c r="BS1675" t="s">
        <v>23802</v>
      </c>
      <c r="BT1675" t="str">
        <f>HYPERLINK("https%3A%2F%2Fwww.webofscience.com%2Fwos%2Fwoscc%2Ffull-record%2FWOS:001138069600002","View Full Record in Web of Science")</f>
        <v>View Full Record in Web of Science</v>
      </c>
    </row>
    <row r="1676" spans="1:72" x14ac:dyDescent="0.25">
      <c r="A1676" t="s">
        <v>132</v>
      </c>
      <c r="B1676" t="s">
        <v>23801</v>
      </c>
      <c r="C1676" t="s">
        <v>74</v>
      </c>
      <c r="D1676" t="s">
        <v>18619</v>
      </c>
      <c r="E1676" t="s">
        <v>74</v>
      </c>
      <c r="F1676" t="s">
        <v>23800</v>
      </c>
      <c r="G1676" t="s">
        <v>74</v>
      </c>
      <c r="H1676" t="s">
        <v>74</v>
      </c>
      <c r="I1676" t="s">
        <v>23799</v>
      </c>
      <c r="J1676" t="s">
        <v>23798</v>
      </c>
      <c r="K1676" t="s">
        <v>2425</v>
      </c>
      <c r="L1676" t="s">
        <v>74</v>
      </c>
      <c r="M1676" t="s">
        <v>78</v>
      </c>
      <c r="N1676" t="s">
        <v>138</v>
      </c>
      <c r="O1676" t="s">
        <v>18615</v>
      </c>
      <c r="P1676" t="s">
        <v>18614</v>
      </c>
      <c r="Q1676" t="s">
        <v>18613</v>
      </c>
      <c r="R1676" t="s">
        <v>18612</v>
      </c>
      <c r="S1676" t="s">
        <v>74</v>
      </c>
      <c r="T1676" t="s">
        <v>23797</v>
      </c>
      <c r="U1676" t="s">
        <v>74</v>
      </c>
      <c r="V1676" t="s">
        <v>23796</v>
      </c>
      <c r="W1676" t="s">
        <v>23795</v>
      </c>
      <c r="X1676" t="s">
        <v>23794</v>
      </c>
      <c r="Y1676" t="s">
        <v>23793</v>
      </c>
      <c r="Z1676" t="s">
        <v>23792</v>
      </c>
      <c r="AA1676" t="s">
        <v>23791</v>
      </c>
      <c r="AB1676" t="s">
        <v>74</v>
      </c>
      <c r="AC1676" t="s">
        <v>74</v>
      </c>
      <c r="AD1676" t="s">
        <v>74</v>
      </c>
      <c r="AE1676" t="s">
        <v>74</v>
      </c>
      <c r="AF1676" t="s">
        <v>74</v>
      </c>
      <c r="AG1676">
        <v>19</v>
      </c>
      <c r="AH1676">
        <v>2</v>
      </c>
      <c r="AI1676">
        <v>2</v>
      </c>
      <c r="AJ1676">
        <v>0</v>
      </c>
      <c r="AK1676">
        <v>2</v>
      </c>
      <c r="AL1676" t="s">
        <v>1062</v>
      </c>
      <c r="AM1676" t="s">
        <v>667</v>
      </c>
      <c r="AN1676" t="s">
        <v>668</v>
      </c>
      <c r="AO1676" t="s">
        <v>2437</v>
      </c>
      <c r="AP1676" t="s">
        <v>2438</v>
      </c>
      <c r="AQ1676" t="s">
        <v>23790</v>
      </c>
      <c r="AR1676" t="s">
        <v>2440</v>
      </c>
      <c r="AS1676" t="s">
        <v>74</v>
      </c>
      <c r="AT1676" t="s">
        <v>74</v>
      </c>
      <c r="AU1676">
        <v>2019</v>
      </c>
      <c r="AV1676">
        <v>11748</v>
      </c>
      <c r="AW1676" t="s">
        <v>74</v>
      </c>
      <c r="AX1676" t="s">
        <v>74</v>
      </c>
      <c r="AY1676" t="s">
        <v>74</v>
      </c>
      <c r="AZ1676" t="s">
        <v>74</v>
      </c>
      <c r="BA1676" t="s">
        <v>74</v>
      </c>
      <c r="BB1676">
        <v>34</v>
      </c>
      <c r="BC1676">
        <v>42</v>
      </c>
      <c r="BD1676" t="s">
        <v>74</v>
      </c>
      <c r="BE1676" t="s">
        <v>23789</v>
      </c>
      <c r="BF1676" t="str">
        <f>HYPERLINK("http://dx.doi.org/10.1007/978-3-030-29387-1_3","http://dx.doi.org/10.1007/978-3-030-29387-1_3")</f>
        <v>http://dx.doi.org/10.1007/978-3-030-29387-1_3</v>
      </c>
      <c r="BG1676" t="s">
        <v>74</v>
      </c>
      <c r="BH1676" t="s">
        <v>74</v>
      </c>
      <c r="BI1676">
        <v>9</v>
      </c>
      <c r="BJ1676" t="s">
        <v>18600</v>
      </c>
      <c r="BK1676" t="s">
        <v>156</v>
      </c>
      <c r="BL1676" t="s">
        <v>981</v>
      </c>
      <c r="BM1676" t="s">
        <v>23788</v>
      </c>
      <c r="BN1676" t="s">
        <v>74</v>
      </c>
      <c r="BO1676" t="s">
        <v>1696</v>
      </c>
      <c r="BP1676" t="s">
        <v>74</v>
      </c>
      <c r="BQ1676" t="s">
        <v>74</v>
      </c>
      <c r="BR1676" t="s">
        <v>102</v>
      </c>
      <c r="BS1676" t="s">
        <v>23787</v>
      </c>
      <c r="BT1676" t="str">
        <f>HYPERLINK("https%3A%2F%2Fwww.webofscience.com%2Fwos%2Fwoscc%2Ffull-record%2FWOS:000702140400003","View Full Record in Web of Science")</f>
        <v>View Full Record in Web of Science</v>
      </c>
    </row>
    <row r="1677" spans="1:72" x14ac:dyDescent="0.25">
      <c r="A1677" t="s">
        <v>72</v>
      </c>
      <c r="B1677" t="s">
        <v>23786</v>
      </c>
      <c r="C1677" t="s">
        <v>74</v>
      </c>
      <c r="D1677" t="s">
        <v>74</v>
      </c>
      <c r="E1677" t="s">
        <v>74</v>
      </c>
      <c r="F1677" t="s">
        <v>23785</v>
      </c>
      <c r="G1677" t="s">
        <v>74</v>
      </c>
      <c r="H1677" t="s">
        <v>74</v>
      </c>
      <c r="I1677" t="s">
        <v>23784</v>
      </c>
      <c r="J1677" t="s">
        <v>2763</v>
      </c>
      <c r="K1677" t="s">
        <v>74</v>
      </c>
      <c r="L1677" t="s">
        <v>74</v>
      </c>
      <c r="M1677" t="s">
        <v>78</v>
      </c>
      <c r="N1677" t="s">
        <v>372</v>
      </c>
      <c r="O1677" t="s">
        <v>74</v>
      </c>
      <c r="P1677" t="s">
        <v>74</v>
      </c>
      <c r="Q1677" t="s">
        <v>74</v>
      </c>
      <c r="R1677" t="s">
        <v>74</v>
      </c>
      <c r="S1677" t="s">
        <v>74</v>
      </c>
      <c r="T1677" t="s">
        <v>23783</v>
      </c>
      <c r="U1677" t="s">
        <v>74</v>
      </c>
      <c r="V1677" t="s">
        <v>23782</v>
      </c>
      <c r="W1677" t="s">
        <v>23781</v>
      </c>
      <c r="X1677" t="s">
        <v>6993</v>
      </c>
      <c r="Y1677" t="s">
        <v>23780</v>
      </c>
      <c r="Z1677" t="s">
        <v>11647</v>
      </c>
      <c r="AA1677" t="s">
        <v>23779</v>
      </c>
      <c r="AB1677" t="s">
        <v>74</v>
      </c>
      <c r="AC1677" t="s">
        <v>23778</v>
      </c>
      <c r="AD1677" t="s">
        <v>23777</v>
      </c>
      <c r="AE1677" t="s">
        <v>23776</v>
      </c>
      <c r="AF1677" t="s">
        <v>74</v>
      </c>
      <c r="AG1677">
        <v>56</v>
      </c>
      <c r="AH1677">
        <v>0</v>
      </c>
      <c r="AI1677">
        <v>0</v>
      </c>
      <c r="AJ1677">
        <v>1</v>
      </c>
      <c r="AK1677">
        <v>1</v>
      </c>
      <c r="AL1677" t="s">
        <v>479</v>
      </c>
      <c r="AM1677" t="s">
        <v>480</v>
      </c>
      <c r="AN1677" t="s">
        <v>481</v>
      </c>
      <c r="AO1677" t="s">
        <v>2776</v>
      </c>
      <c r="AP1677" t="s">
        <v>2777</v>
      </c>
      <c r="AQ1677" t="s">
        <v>74</v>
      </c>
      <c r="AR1677" t="s">
        <v>2778</v>
      </c>
      <c r="AS1677" t="s">
        <v>2779</v>
      </c>
      <c r="AT1677" t="s">
        <v>22175</v>
      </c>
      <c r="AU1677">
        <v>2025</v>
      </c>
      <c r="AV1677" t="s">
        <v>74</v>
      </c>
      <c r="AW1677" t="s">
        <v>74</v>
      </c>
      <c r="AX1677" t="s">
        <v>74</v>
      </c>
      <c r="AY1677" t="s">
        <v>74</v>
      </c>
      <c r="AZ1677" t="s">
        <v>74</v>
      </c>
      <c r="BA1677" t="s">
        <v>74</v>
      </c>
      <c r="BB1677" t="s">
        <v>74</v>
      </c>
      <c r="BC1677" t="s">
        <v>74</v>
      </c>
      <c r="BD1677" t="s">
        <v>74</v>
      </c>
      <c r="BE1677" t="s">
        <v>23775</v>
      </c>
      <c r="BF1677" t="str">
        <f>HYPERLINK("http://dx.doi.org/10.1111/rode.70068","http://dx.doi.org/10.1111/rode.70068")</f>
        <v>http://dx.doi.org/10.1111/rode.70068</v>
      </c>
      <c r="BG1677" t="s">
        <v>74</v>
      </c>
      <c r="BH1677" t="s">
        <v>12078</v>
      </c>
      <c r="BI1677">
        <v>32</v>
      </c>
      <c r="BJ1677" t="s">
        <v>701</v>
      </c>
      <c r="BK1677" t="s">
        <v>99</v>
      </c>
      <c r="BL1677" t="s">
        <v>702</v>
      </c>
      <c r="BM1677" t="s">
        <v>23774</v>
      </c>
      <c r="BN1677" t="s">
        <v>74</v>
      </c>
      <c r="BO1677" t="s">
        <v>1696</v>
      </c>
      <c r="BP1677" t="s">
        <v>74</v>
      </c>
      <c r="BQ1677" t="s">
        <v>74</v>
      </c>
      <c r="BR1677" t="s">
        <v>102</v>
      </c>
      <c r="BS1677" t="s">
        <v>23773</v>
      </c>
      <c r="BT1677" t="str">
        <f>HYPERLINK("https%3A%2F%2Fwww.webofscience.com%2Fwos%2Fwoscc%2Ffull-record%2FWOS:001594874900001","View Full Record in Web of Science")</f>
        <v>View Full Record in Web of Science</v>
      </c>
    </row>
    <row r="1678" spans="1:72" x14ac:dyDescent="0.25">
      <c r="A1678" t="s">
        <v>72</v>
      </c>
      <c r="B1678" t="s">
        <v>23772</v>
      </c>
      <c r="C1678" t="s">
        <v>74</v>
      </c>
      <c r="D1678" t="s">
        <v>74</v>
      </c>
      <c r="E1678" t="s">
        <v>74</v>
      </c>
      <c r="F1678" t="s">
        <v>23771</v>
      </c>
      <c r="G1678" t="s">
        <v>74</v>
      </c>
      <c r="H1678" t="s">
        <v>74</v>
      </c>
      <c r="I1678" t="s">
        <v>23770</v>
      </c>
      <c r="J1678" t="s">
        <v>14228</v>
      </c>
      <c r="K1678" t="s">
        <v>74</v>
      </c>
      <c r="L1678" t="s">
        <v>74</v>
      </c>
      <c r="M1678" t="s">
        <v>78</v>
      </c>
      <c r="N1678" t="s">
        <v>79</v>
      </c>
      <c r="O1678" t="s">
        <v>74</v>
      </c>
      <c r="P1678" t="s">
        <v>74</v>
      </c>
      <c r="Q1678" t="s">
        <v>74</v>
      </c>
      <c r="R1678" t="s">
        <v>74</v>
      </c>
      <c r="S1678" t="s">
        <v>74</v>
      </c>
      <c r="T1678" t="s">
        <v>23769</v>
      </c>
      <c r="U1678" t="s">
        <v>74</v>
      </c>
      <c r="V1678" t="s">
        <v>23768</v>
      </c>
      <c r="W1678" t="s">
        <v>23767</v>
      </c>
      <c r="X1678" t="s">
        <v>23766</v>
      </c>
      <c r="Y1678" t="s">
        <v>23765</v>
      </c>
      <c r="Z1678" t="s">
        <v>23764</v>
      </c>
      <c r="AA1678" t="s">
        <v>23763</v>
      </c>
      <c r="AB1678" t="s">
        <v>74</v>
      </c>
      <c r="AC1678" t="s">
        <v>23762</v>
      </c>
      <c r="AD1678" t="s">
        <v>23761</v>
      </c>
      <c r="AE1678" t="s">
        <v>23760</v>
      </c>
      <c r="AF1678" t="s">
        <v>74</v>
      </c>
      <c r="AG1678">
        <v>13</v>
      </c>
      <c r="AH1678">
        <v>5</v>
      </c>
      <c r="AI1678">
        <v>6</v>
      </c>
      <c r="AJ1678">
        <v>12</v>
      </c>
      <c r="AK1678">
        <v>137</v>
      </c>
      <c r="AL1678" t="s">
        <v>332</v>
      </c>
      <c r="AM1678" t="s">
        <v>333</v>
      </c>
      <c r="AN1678" t="s">
        <v>334</v>
      </c>
      <c r="AO1678" t="s">
        <v>14237</v>
      </c>
      <c r="AP1678" t="s">
        <v>14238</v>
      </c>
      <c r="AQ1678" t="s">
        <v>74</v>
      </c>
      <c r="AR1678" t="s">
        <v>14239</v>
      </c>
      <c r="AS1678" t="s">
        <v>14240</v>
      </c>
      <c r="AT1678" t="s">
        <v>14816</v>
      </c>
      <c r="AU1678">
        <v>2024</v>
      </c>
      <c r="AV1678">
        <v>31</v>
      </c>
      <c r="AW1678">
        <v>11</v>
      </c>
      <c r="AX1678" t="s">
        <v>74</v>
      </c>
      <c r="AY1678" t="s">
        <v>74</v>
      </c>
      <c r="AZ1678" t="s">
        <v>74</v>
      </c>
      <c r="BA1678" t="s">
        <v>74</v>
      </c>
      <c r="BB1678">
        <v>1014</v>
      </c>
      <c r="BC1678">
        <v>1018</v>
      </c>
      <c r="BD1678" t="s">
        <v>74</v>
      </c>
      <c r="BE1678" t="s">
        <v>23759</v>
      </c>
      <c r="BF1678" t="str">
        <f>HYPERLINK("http://dx.doi.org/10.1080/13504851.2023.2167915","http://dx.doi.org/10.1080/13504851.2023.2167915")</f>
        <v>http://dx.doi.org/10.1080/13504851.2023.2167915</v>
      </c>
      <c r="BG1678" t="s">
        <v>74</v>
      </c>
      <c r="BH1678" t="s">
        <v>11288</v>
      </c>
      <c r="BI1678">
        <v>5</v>
      </c>
      <c r="BJ1678" t="s">
        <v>291</v>
      </c>
      <c r="BK1678" t="s">
        <v>99</v>
      </c>
      <c r="BL1678" t="s">
        <v>100</v>
      </c>
      <c r="BM1678" t="s">
        <v>23758</v>
      </c>
      <c r="BN1678" t="s">
        <v>74</v>
      </c>
      <c r="BO1678" t="s">
        <v>74</v>
      </c>
      <c r="BP1678" t="s">
        <v>74</v>
      </c>
      <c r="BQ1678" t="s">
        <v>74</v>
      </c>
      <c r="BR1678" t="s">
        <v>102</v>
      </c>
      <c r="BS1678" t="s">
        <v>23757</v>
      </c>
      <c r="BT1678" t="str">
        <f>HYPERLINK("https%3A%2F%2Fwww.webofscience.com%2Fwos%2Fwoscc%2Ffull-record%2FWOS:000920151800001","View Full Record in Web of Science")</f>
        <v>View Full Record in Web of Science</v>
      </c>
    </row>
    <row r="1679" spans="1:72" x14ac:dyDescent="0.25">
      <c r="A1679" t="s">
        <v>72</v>
      </c>
      <c r="B1679" t="s">
        <v>23756</v>
      </c>
      <c r="C1679" t="s">
        <v>74</v>
      </c>
      <c r="D1679" t="s">
        <v>74</v>
      </c>
      <c r="E1679" t="s">
        <v>74</v>
      </c>
      <c r="F1679" t="s">
        <v>23755</v>
      </c>
      <c r="G1679" t="s">
        <v>74</v>
      </c>
      <c r="H1679" t="s">
        <v>74</v>
      </c>
      <c r="I1679" t="s">
        <v>23754</v>
      </c>
      <c r="J1679" t="s">
        <v>8200</v>
      </c>
      <c r="K1679" t="s">
        <v>74</v>
      </c>
      <c r="L1679" t="s">
        <v>74</v>
      </c>
      <c r="M1679" t="s">
        <v>78</v>
      </c>
      <c r="N1679" t="s">
        <v>79</v>
      </c>
      <c r="O1679" t="s">
        <v>74</v>
      </c>
      <c r="P1679" t="s">
        <v>74</v>
      </c>
      <c r="Q1679" t="s">
        <v>74</v>
      </c>
      <c r="R1679" t="s">
        <v>74</v>
      </c>
      <c r="S1679" t="s">
        <v>74</v>
      </c>
      <c r="T1679" t="s">
        <v>23753</v>
      </c>
      <c r="U1679" t="s">
        <v>18318</v>
      </c>
      <c r="V1679" t="s">
        <v>23752</v>
      </c>
      <c r="W1679" t="s">
        <v>23751</v>
      </c>
      <c r="X1679" t="s">
        <v>17963</v>
      </c>
      <c r="Y1679" t="s">
        <v>23750</v>
      </c>
      <c r="Z1679" t="s">
        <v>23749</v>
      </c>
      <c r="AA1679" t="s">
        <v>74</v>
      </c>
      <c r="AB1679" t="s">
        <v>74</v>
      </c>
      <c r="AC1679" t="s">
        <v>74</v>
      </c>
      <c r="AD1679" t="s">
        <v>74</v>
      </c>
      <c r="AE1679" t="s">
        <v>74</v>
      </c>
      <c r="AF1679" t="s">
        <v>74</v>
      </c>
      <c r="AG1679">
        <v>19</v>
      </c>
      <c r="AH1679">
        <v>0</v>
      </c>
      <c r="AI1679">
        <v>0</v>
      </c>
      <c r="AJ1679">
        <v>0</v>
      </c>
      <c r="AK1679">
        <v>0</v>
      </c>
      <c r="AL1679" t="s">
        <v>8210</v>
      </c>
      <c r="AM1679" t="s">
        <v>8211</v>
      </c>
      <c r="AN1679" t="s">
        <v>8212</v>
      </c>
      <c r="AO1679" t="s">
        <v>8213</v>
      </c>
      <c r="AP1679" t="s">
        <v>74</v>
      </c>
      <c r="AQ1679" t="s">
        <v>74</v>
      </c>
      <c r="AR1679" t="s">
        <v>8214</v>
      </c>
      <c r="AS1679" t="s">
        <v>8215</v>
      </c>
      <c r="AT1679" t="s">
        <v>698</v>
      </c>
      <c r="AU1679">
        <v>2025</v>
      </c>
      <c r="AV1679">
        <v>18</v>
      </c>
      <c r="AW1679">
        <v>3</v>
      </c>
      <c r="AX1679" t="s">
        <v>74</v>
      </c>
      <c r="AY1679" t="s">
        <v>74</v>
      </c>
      <c r="AZ1679" t="s">
        <v>74</v>
      </c>
      <c r="BA1679" t="s">
        <v>74</v>
      </c>
      <c r="BB1679">
        <v>57</v>
      </c>
      <c r="BC1679">
        <v>62</v>
      </c>
      <c r="BD1679" t="s">
        <v>74</v>
      </c>
      <c r="BE1679" t="s">
        <v>74</v>
      </c>
      <c r="BF1679" t="s">
        <v>74</v>
      </c>
      <c r="BG1679" t="s">
        <v>74</v>
      </c>
      <c r="BH1679" t="s">
        <v>74</v>
      </c>
      <c r="BI1679">
        <v>6</v>
      </c>
      <c r="BJ1679" t="s">
        <v>418</v>
      </c>
      <c r="BK1679" t="s">
        <v>313</v>
      </c>
      <c r="BL1679" t="s">
        <v>100</v>
      </c>
      <c r="BM1679" t="s">
        <v>23748</v>
      </c>
      <c r="BN1679" t="s">
        <v>74</v>
      </c>
      <c r="BO1679" t="s">
        <v>74</v>
      </c>
      <c r="BP1679" t="s">
        <v>74</v>
      </c>
      <c r="BQ1679" t="s">
        <v>74</v>
      </c>
      <c r="BR1679" t="s">
        <v>102</v>
      </c>
      <c r="BS1679" t="s">
        <v>23747</v>
      </c>
      <c r="BT1679" t="str">
        <f>HYPERLINK("https%3A%2F%2Fwww.webofscience.com%2Fwos%2Fwoscc%2Ffull-record%2FWOS:001593001800005","View Full Record in Web of Science")</f>
        <v>View Full Record in Web of Science</v>
      </c>
    </row>
    <row r="1680" spans="1:72" x14ac:dyDescent="0.25">
      <c r="A1680" t="s">
        <v>72</v>
      </c>
      <c r="B1680" t="s">
        <v>23746</v>
      </c>
      <c r="C1680" t="s">
        <v>74</v>
      </c>
      <c r="D1680" t="s">
        <v>74</v>
      </c>
      <c r="E1680" t="s">
        <v>74</v>
      </c>
      <c r="F1680" t="s">
        <v>23745</v>
      </c>
      <c r="G1680" t="s">
        <v>74</v>
      </c>
      <c r="H1680" t="s">
        <v>74</v>
      </c>
      <c r="I1680" t="s">
        <v>23744</v>
      </c>
      <c r="J1680" t="s">
        <v>2117</v>
      </c>
      <c r="K1680" t="s">
        <v>74</v>
      </c>
      <c r="L1680" t="s">
        <v>74</v>
      </c>
      <c r="M1680" t="s">
        <v>78</v>
      </c>
      <c r="N1680" t="s">
        <v>79</v>
      </c>
      <c r="O1680" t="s">
        <v>74</v>
      </c>
      <c r="P1680" t="s">
        <v>74</v>
      </c>
      <c r="Q1680" t="s">
        <v>74</v>
      </c>
      <c r="R1680" t="s">
        <v>74</v>
      </c>
      <c r="S1680" t="s">
        <v>74</v>
      </c>
      <c r="T1680" t="s">
        <v>23743</v>
      </c>
      <c r="U1680" t="s">
        <v>23742</v>
      </c>
      <c r="V1680" t="s">
        <v>23741</v>
      </c>
      <c r="W1680" t="s">
        <v>23740</v>
      </c>
      <c r="X1680" t="s">
        <v>11804</v>
      </c>
      <c r="Y1680" t="s">
        <v>23739</v>
      </c>
      <c r="Z1680" t="s">
        <v>23738</v>
      </c>
      <c r="AA1680" t="s">
        <v>23737</v>
      </c>
      <c r="AB1680" t="s">
        <v>74</v>
      </c>
      <c r="AC1680" t="s">
        <v>23736</v>
      </c>
      <c r="AD1680" t="s">
        <v>23735</v>
      </c>
      <c r="AE1680" t="s">
        <v>23734</v>
      </c>
      <c r="AF1680" t="s">
        <v>74</v>
      </c>
      <c r="AG1680">
        <v>77</v>
      </c>
      <c r="AH1680">
        <v>0</v>
      </c>
      <c r="AI1680">
        <v>0</v>
      </c>
      <c r="AJ1680">
        <v>3</v>
      </c>
      <c r="AK1680">
        <v>3</v>
      </c>
      <c r="AL1680" t="s">
        <v>201</v>
      </c>
      <c r="AM1680" t="s">
        <v>202</v>
      </c>
      <c r="AN1680" t="s">
        <v>203</v>
      </c>
      <c r="AO1680" t="s">
        <v>2127</v>
      </c>
      <c r="AP1680" t="s">
        <v>2128</v>
      </c>
      <c r="AQ1680" t="s">
        <v>74</v>
      </c>
      <c r="AR1680" t="s">
        <v>2129</v>
      </c>
      <c r="AS1680" t="s">
        <v>2130</v>
      </c>
      <c r="AT1680" t="s">
        <v>208</v>
      </c>
      <c r="AU1680">
        <v>2026</v>
      </c>
      <c r="AV1680">
        <v>70</v>
      </c>
      <c r="AW1680" t="s">
        <v>74</v>
      </c>
      <c r="AX1680" t="s">
        <v>74</v>
      </c>
      <c r="AY1680" t="s">
        <v>74</v>
      </c>
      <c r="AZ1680" t="s">
        <v>74</v>
      </c>
      <c r="BA1680" t="s">
        <v>74</v>
      </c>
      <c r="BB1680" t="s">
        <v>74</v>
      </c>
      <c r="BC1680" t="s">
        <v>74</v>
      </c>
      <c r="BD1680">
        <v>101389</v>
      </c>
      <c r="BE1680" t="s">
        <v>23733</v>
      </c>
      <c r="BF1680" t="str">
        <f>HYPERLINK("http://dx.doi.org/10.1016/j.ememar.2025.101389","http://dx.doi.org/10.1016/j.ememar.2025.101389")</f>
        <v>http://dx.doi.org/10.1016/j.ememar.2025.101389</v>
      </c>
      <c r="BG1680" t="s">
        <v>74</v>
      </c>
      <c r="BH1680" t="s">
        <v>12078</v>
      </c>
      <c r="BI1680">
        <v>24</v>
      </c>
      <c r="BJ1680" t="s">
        <v>210</v>
      </c>
      <c r="BK1680" t="s">
        <v>99</v>
      </c>
      <c r="BL1680" t="s">
        <v>100</v>
      </c>
      <c r="BM1680" t="s">
        <v>23732</v>
      </c>
      <c r="BN1680" t="s">
        <v>74</v>
      </c>
      <c r="BO1680" t="s">
        <v>270</v>
      </c>
      <c r="BP1680" t="s">
        <v>74</v>
      </c>
      <c r="BQ1680" t="s">
        <v>74</v>
      </c>
      <c r="BR1680" t="s">
        <v>102</v>
      </c>
      <c r="BS1680" t="s">
        <v>23731</v>
      </c>
      <c r="BT1680" t="str">
        <f>HYPERLINK("https%3A%2F%2Fwww.webofscience.com%2Fwos%2Fwoscc%2Ffull-record%2FWOS:001606223900001","View Full Record in Web of Science")</f>
        <v>View Full Record in Web of Science</v>
      </c>
    </row>
    <row r="1681" spans="1:72" x14ac:dyDescent="0.25">
      <c r="A1681" t="s">
        <v>72</v>
      </c>
      <c r="B1681" t="s">
        <v>23730</v>
      </c>
      <c r="C1681" t="s">
        <v>74</v>
      </c>
      <c r="D1681" t="s">
        <v>74</v>
      </c>
      <c r="E1681" t="s">
        <v>74</v>
      </c>
      <c r="F1681" t="s">
        <v>23729</v>
      </c>
      <c r="G1681" t="s">
        <v>74</v>
      </c>
      <c r="H1681" t="s">
        <v>74</v>
      </c>
      <c r="I1681" t="s">
        <v>23728</v>
      </c>
      <c r="J1681" t="s">
        <v>23727</v>
      </c>
      <c r="K1681" t="s">
        <v>74</v>
      </c>
      <c r="L1681" t="s">
        <v>74</v>
      </c>
      <c r="M1681" t="s">
        <v>78</v>
      </c>
      <c r="N1681" t="s">
        <v>79</v>
      </c>
      <c r="O1681" t="s">
        <v>74</v>
      </c>
      <c r="P1681" t="s">
        <v>74</v>
      </c>
      <c r="Q1681" t="s">
        <v>74</v>
      </c>
      <c r="R1681" t="s">
        <v>74</v>
      </c>
      <c r="S1681" t="s">
        <v>74</v>
      </c>
      <c r="T1681" t="s">
        <v>23726</v>
      </c>
      <c r="U1681" t="s">
        <v>23725</v>
      </c>
      <c r="V1681" t="s">
        <v>23724</v>
      </c>
      <c r="W1681" t="s">
        <v>23723</v>
      </c>
      <c r="X1681" t="s">
        <v>23722</v>
      </c>
      <c r="Y1681" t="s">
        <v>23721</v>
      </c>
      <c r="Z1681" t="s">
        <v>23720</v>
      </c>
      <c r="AA1681" t="s">
        <v>23719</v>
      </c>
      <c r="AB1681" t="s">
        <v>23718</v>
      </c>
      <c r="AC1681" t="s">
        <v>74</v>
      </c>
      <c r="AD1681" t="s">
        <v>74</v>
      </c>
      <c r="AE1681" t="s">
        <v>74</v>
      </c>
      <c r="AF1681" t="s">
        <v>74</v>
      </c>
      <c r="AG1681">
        <v>98</v>
      </c>
      <c r="AH1681">
        <v>14</v>
      </c>
      <c r="AI1681">
        <v>18</v>
      </c>
      <c r="AJ1681">
        <v>5</v>
      </c>
      <c r="AK1681">
        <v>22</v>
      </c>
      <c r="AL1681" t="s">
        <v>23717</v>
      </c>
      <c r="AM1681" t="s">
        <v>23716</v>
      </c>
      <c r="AN1681" t="s">
        <v>23715</v>
      </c>
      <c r="AO1681" t="s">
        <v>74</v>
      </c>
      <c r="AP1681" t="s">
        <v>23714</v>
      </c>
      <c r="AQ1681" t="s">
        <v>74</v>
      </c>
      <c r="AR1681" t="s">
        <v>23713</v>
      </c>
      <c r="AS1681" t="s">
        <v>23712</v>
      </c>
      <c r="AT1681" t="s">
        <v>74</v>
      </c>
      <c r="AU1681">
        <v>2021</v>
      </c>
      <c r="AV1681">
        <v>10</v>
      </c>
      <c r="AW1681">
        <v>1</v>
      </c>
      <c r="AX1681" t="s">
        <v>74</v>
      </c>
      <c r="AY1681" t="s">
        <v>74</v>
      </c>
      <c r="AZ1681" t="s">
        <v>74</v>
      </c>
      <c r="BA1681" t="s">
        <v>74</v>
      </c>
      <c r="BB1681">
        <v>1</v>
      </c>
      <c r="BC1681">
        <v>21</v>
      </c>
      <c r="BD1681" t="s">
        <v>74</v>
      </c>
      <c r="BE1681" t="s">
        <v>23711</v>
      </c>
      <c r="BF1681" t="str">
        <f>HYPERLINK("http://dx.doi.org/10.18267/j.aip.143","http://dx.doi.org/10.18267/j.aip.143")</f>
        <v>http://dx.doi.org/10.18267/j.aip.143</v>
      </c>
      <c r="BG1681" t="s">
        <v>74</v>
      </c>
      <c r="BH1681" t="s">
        <v>74</v>
      </c>
      <c r="BI1681">
        <v>21</v>
      </c>
      <c r="BJ1681" t="s">
        <v>23710</v>
      </c>
      <c r="BK1681" t="s">
        <v>313</v>
      </c>
      <c r="BL1681" t="s">
        <v>6876</v>
      </c>
      <c r="BM1681" t="s">
        <v>23709</v>
      </c>
      <c r="BN1681" t="s">
        <v>74</v>
      </c>
      <c r="BO1681" t="s">
        <v>916</v>
      </c>
      <c r="BP1681" t="s">
        <v>74</v>
      </c>
      <c r="BQ1681" t="s">
        <v>74</v>
      </c>
      <c r="BR1681" t="s">
        <v>102</v>
      </c>
      <c r="BS1681" t="s">
        <v>23708</v>
      </c>
      <c r="BT1681" t="str">
        <f>HYPERLINK("https%3A%2F%2Fwww.webofscience.com%2Fwos%2Fwoscc%2Ffull-record%2FWOS:001172873400001","View Full Record in Web of Science")</f>
        <v>View Full Record in Web of Science</v>
      </c>
    </row>
    <row r="1682" spans="1:72" x14ac:dyDescent="0.25">
      <c r="A1682" t="s">
        <v>72</v>
      </c>
      <c r="B1682" t="s">
        <v>23707</v>
      </c>
      <c r="C1682" t="s">
        <v>74</v>
      </c>
      <c r="D1682" t="s">
        <v>74</v>
      </c>
      <c r="E1682" t="s">
        <v>74</v>
      </c>
      <c r="F1682" t="s">
        <v>23706</v>
      </c>
      <c r="G1682" t="s">
        <v>74</v>
      </c>
      <c r="H1682" t="s">
        <v>74</v>
      </c>
      <c r="I1682" t="s">
        <v>23705</v>
      </c>
      <c r="J1682" t="s">
        <v>2875</v>
      </c>
      <c r="K1682" t="s">
        <v>74</v>
      </c>
      <c r="L1682" t="s">
        <v>74</v>
      </c>
      <c r="M1682" t="s">
        <v>78</v>
      </c>
      <c r="N1682" t="s">
        <v>79</v>
      </c>
      <c r="O1682" t="s">
        <v>74</v>
      </c>
      <c r="P1682" t="s">
        <v>74</v>
      </c>
      <c r="Q1682" t="s">
        <v>74</v>
      </c>
      <c r="R1682" t="s">
        <v>74</v>
      </c>
      <c r="S1682" t="s">
        <v>74</v>
      </c>
      <c r="T1682" t="s">
        <v>23704</v>
      </c>
      <c r="U1682" t="s">
        <v>23703</v>
      </c>
      <c r="V1682" t="s">
        <v>23702</v>
      </c>
      <c r="W1682" t="s">
        <v>23701</v>
      </c>
      <c r="X1682" t="s">
        <v>23700</v>
      </c>
      <c r="Y1682" t="s">
        <v>23699</v>
      </c>
      <c r="Z1682" t="s">
        <v>23698</v>
      </c>
      <c r="AA1682" t="s">
        <v>74</v>
      </c>
      <c r="AB1682" t="s">
        <v>21510</v>
      </c>
      <c r="AC1682" t="s">
        <v>23697</v>
      </c>
      <c r="AD1682" t="s">
        <v>23696</v>
      </c>
      <c r="AE1682" t="s">
        <v>23695</v>
      </c>
      <c r="AF1682" t="s">
        <v>74</v>
      </c>
      <c r="AG1682">
        <v>54</v>
      </c>
      <c r="AH1682">
        <v>89</v>
      </c>
      <c r="AI1682">
        <v>99</v>
      </c>
      <c r="AJ1682">
        <v>20</v>
      </c>
      <c r="AK1682">
        <v>308</v>
      </c>
      <c r="AL1682" t="s">
        <v>575</v>
      </c>
      <c r="AM1682" t="s">
        <v>576</v>
      </c>
      <c r="AN1682" t="s">
        <v>577</v>
      </c>
      <c r="AO1682" t="s">
        <v>2887</v>
      </c>
      <c r="AP1682" t="s">
        <v>74</v>
      </c>
      <c r="AQ1682" t="s">
        <v>74</v>
      </c>
      <c r="AR1682" t="s">
        <v>2888</v>
      </c>
      <c r="AS1682" t="s">
        <v>2889</v>
      </c>
      <c r="AT1682" t="s">
        <v>289</v>
      </c>
      <c r="AU1682">
        <v>2021</v>
      </c>
      <c r="AV1682">
        <v>16</v>
      </c>
      <c r="AW1682">
        <v>5</v>
      </c>
      <c r="AX1682" t="s">
        <v>74</v>
      </c>
      <c r="AY1682" t="s">
        <v>74</v>
      </c>
      <c r="AZ1682" t="s">
        <v>74</v>
      </c>
      <c r="BA1682" t="s">
        <v>74</v>
      </c>
      <c r="BB1682">
        <v>1434</v>
      </c>
      <c r="BC1682">
        <v>1457</v>
      </c>
      <c r="BD1682" t="s">
        <v>74</v>
      </c>
      <c r="BE1682" t="s">
        <v>23694</v>
      </c>
      <c r="BF1682" t="str">
        <f>HYPERLINK("http://dx.doi.org/10.3390/jtaer16050081","http://dx.doi.org/10.3390/jtaer16050081")</f>
        <v>http://dx.doi.org/10.3390/jtaer16050081</v>
      </c>
      <c r="BG1682" t="s">
        <v>74</v>
      </c>
      <c r="BH1682" t="s">
        <v>74</v>
      </c>
      <c r="BI1682">
        <v>24</v>
      </c>
      <c r="BJ1682" t="s">
        <v>418</v>
      </c>
      <c r="BK1682" t="s">
        <v>99</v>
      </c>
      <c r="BL1682" t="s">
        <v>100</v>
      </c>
      <c r="BM1682" t="s">
        <v>23693</v>
      </c>
      <c r="BN1682" t="s">
        <v>74</v>
      </c>
      <c r="BO1682" t="s">
        <v>916</v>
      </c>
      <c r="BP1682" t="s">
        <v>74</v>
      </c>
      <c r="BQ1682" t="s">
        <v>74</v>
      </c>
      <c r="BR1682" t="s">
        <v>102</v>
      </c>
      <c r="BS1682" t="s">
        <v>23692</v>
      </c>
      <c r="BT1682" t="str">
        <f>HYPERLINK("https%3A%2F%2Fwww.webofscience.com%2Fwos%2Fwoscc%2Ffull-record%2FWOS:000665586500001","View Full Record in Web of Science")</f>
        <v>View Full Record in Web of Science</v>
      </c>
    </row>
    <row r="1683" spans="1:72" x14ac:dyDescent="0.25">
      <c r="A1683" t="s">
        <v>72</v>
      </c>
      <c r="B1683" t="s">
        <v>23691</v>
      </c>
      <c r="C1683" t="s">
        <v>74</v>
      </c>
      <c r="D1683" t="s">
        <v>74</v>
      </c>
      <c r="E1683" t="s">
        <v>74</v>
      </c>
      <c r="F1683" t="s">
        <v>23690</v>
      </c>
      <c r="G1683" t="s">
        <v>74</v>
      </c>
      <c r="H1683" t="s">
        <v>74</v>
      </c>
      <c r="I1683" t="s">
        <v>23689</v>
      </c>
      <c r="J1683" t="s">
        <v>3231</v>
      </c>
      <c r="K1683" t="s">
        <v>74</v>
      </c>
      <c r="L1683" t="s">
        <v>74</v>
      </c>
      <c r="M1683" t="s">
        <v>78</v>
      </c>
      <c r="N1683" t="s">
        <v>79</v>
      </c>
      <c r="O1683" t="s">
        <v>74</v>
      </c>
      <c r="P1683" t="s">
        <v>74</v>
      </c>
      <c r="Q1683" t="s">
        <v>74</v>
      </c>
      <c r="R1683" t="s">
        <v>74</v>
      </c>
      <c r="S1683" t="s">
        <v>74</v>
      </c>
      <c r="T1683" t="s">
        <v>23688</v>
      </c>
      <c r="U1683" t="s">
        <v>74</v>
      </c>
      <c r="V1683" t="s">
        <v>23687</v>
      </c>
      <c r="W1683" t="s">
        <v>23686</v>
      </c>
      <c r="X1683" t="s">
        <v>23685</v>
      </c>
      <c r="Y1683" t="s">
        <v>23684</v>
      </c>
      <c r="Z1683" t="s">
        <v>23683</v>
      </c>
      <c r="AA1683" t="s">
        <v>23682</v>
      </c>
      <c r="AB1683" t="s">
        <v>23681</v>
      </c>
      <c r="AC1683" t="s">
        <v>74</v>
      </c>
      <c r="AD1683" t="s">
        <v>74</v>
      </c>
      <c r="AE1683" t="s">
        <v>74</v>
      </c>
      <c r="AF1683" t="s">
        <v>74</v>
      </c>
      <c r="AG1683">
        <v>85</v>
      </c>
      <c r="AH1683">
        <v>11</v>
      </c>
      <c r="AI1683">
        <v>17</v>
      </c>
      <c r="AJ1683">
        <v>2</v>
      </c>
      <c r="AK1683">
        <v>27</v>
      </c>
      <c r="AL1683" t="s">
        <v>575</v>
      </c>
      <c r="AM1683" t="s">
        <v>576</v>
      </c>
      <c r="AN1683" t="s">
        <v>3242</v>
      </c>
      <c r="AO1683" t="s">
        <v>74</v>
      </c>
      <c r="AP1683" t="s">
        <v>3243</v>
      </c>
      <c r="AQ1683" t="s">
        <v>74</v>
      </c>
      <c r="AR1683" t="s">
        <v>3244</v>
      </c>
      <c r="AS1683" t="s">
        <v>3245</v>
      </c>
      <c r="AT1683" t="s">
        <v>848</v>
      </c>
      <c r="AU1683">
        <v>2023</v>
      </c>
      <c r="AV1683">
        <v>15</v>
      </c>
      <c r="AW1683">
        <v>13</v>
      </c>
      <c r="AX1683" t="s">
        <v>74</v>
      </c>
      <c r="AY1683" t="s">
        <v>74</v>
      </c>
      <c r="AZ1683" t="s">
        <v>74</v>
      </c>
      <c r="BA1683" t="s">
        <v>74</v>
      </c>
      <c r="BB1683" t="s">
        <v>74</v>
      </c>
      <c r="BC1683" t="s">
        <v>74</v>
      </c>
      <c r="BD1683">
        <v>9868</v>
      </c>
      <c r="BE1683" t="s">
        <v>23680</v>
      </c>
      <c r="BF1683" t="str">
        <f>HYPERLINK("http://dx.doi.org/10.3390/su15139868","http://dx.doi.org/10.3390/su15139868")</f>
        <v>http://dx.doi.org/10.3390/su15139868</v>
      </c>
      <c r="BG1683" t="s">
        <v>74</v>
      </c>
      <c r="BH1683" t="s">
        <v>74</v>
      </c>
      <c r="BI1683">
        <v>20</v>
      </c>
      <c r="BJ1683" t="s">
        <v>3247</v>
      </c>
      <c r="BK1683" t="s">
        <v>2623</v>
      </c>
      <c r="BL1683" t="s">
        <v>3248</v>
      </c>
      <c r="BM1683" t="s">
        <v>23679</v>
      </c>
      <c r="BN1683" t="s">
        <v>74</v>
      </c>
      <c r="BO1683" t="s">
        <v>916</v>
      </c>
      <c r="BP1683" t="s">
        <v>74</v>
      </c>
      <c r="BQ1683" t="s">
        <v>74</v>
      </c>
      <c r="BR1683" t="s">
        <v>102</v>
      </c>
      <c r="BS1683" t="s">
        <v>23678</v>
      </c>
      <c r="BT1683" t="str">
        <f>HYPERLINK("https%3A%2F%2Fwww.webofscience.com%2Fwos%2Fwoscc%2Ffull-record%2FWOS:001028527000001","View Full Record in Web of Science")</f>
        <v>View Full Record in Web of Science</v>
      </c>
    </row>
    <row r="1684" spans="1:72" x14ac:dyDescent="0.25">
      <c r="A1684" t="s">
        <v>72</v>
      </c>
      <c r="B1684" t="s">
        <v>23677</v>
      </c>
      <c r="C1684" t="s">
        <v>74</v>
      </c>
      <c r="D1684" t="s">
        <v>74</v>
      </c>
      <c r="E1684" t="s">
        <v>74</v>
      </c>
      <c r="F1684" t="s">
        <v>23676</v>
      </c>
      <c r="G1684" t="s">
        <v>74</v>
      </c>
      <c r="H1684" t="s">
        <v>74</v>
      </c>
      <c r="I1684" t="s">
        <v>23675</v>
      </c>
      <c r="J1684" t="s">
        <v>14228</v>
      </c>
      <c r="K1684" t="s">
        <v>74</v>
      </c>
      <c r="L1684" t="s">
        <v>74</v>
      </c>
      <c r="M1684" t="s">
        <v>78</v>
      </c>
      <c r="N1684" t="s">
        <v>79</v>
      </c>
      <c r="O1684" t="s">
        <v>74</v>
      </c>
      <c r="P1684" t="s">
        <v>74</v>
      </c>
      <c r="Q1684" t="s">
        <v>74</v>
      </c>
      <c r="R1684" t="s">
        <v>74</v>
      </c>
      <c r="S1684" t="s">
        <v>74</v>
      </c>
      <c r="T1684" t="s">
        <v>23674</v>
      </c>
      <c r="U1684" t="s">
        <v>1369</v>
      </c>
      <c r="V1684" t="s">
        <v>23673</v>
      </c>
      <c r="W1684" t="s">
        <v>23672</v>
      </c>
      <c r="X1684" t="s">
        <v>23671</v>
      </c>
      <c r="Y1684" t="s">
        <v>23670</v>
      </c>
      <c r="Z1684" t="s">
        <v>23669</v>
      </c>
      <c r="AA1684" t="s">
        <v>23668</v>
      </c>
      <c r="AB1684" t="s">
        <v>23667</v>
      </c>
      <c r="AC1684" t="s">
        <v>23666</v>
      </c>
      <c r="AD1684" t="s">
        <v>10069</v>
      </c>
      <c r="AE1684" t="s">
        <v>23665</v>
      </c>
      <c r="AF1684" t="s">
        <v>74</v>
      </c>
      <c r="AG1684">
        <v>18</v>
      </c>
      <c r="AH1684">
        <v>13</v>
      </c>
      <c r="AI1684">
        <v>23</v>
      </c>
      <c r="AJ1684">
        <v>0</v>
      </c>
      <c r="AK1684">
        <v>50</v>
      </c>
      <c r="AL1684" t="s">
        <v>332</v>
      </c>
      <c r="AM1684" t="s">
        <v>333</v>
      </c>
      <c r="AN1684" t="s">
        <v>334</v>
      </c>
      <c r="AO1684" t="s">
        <v>14237</v>
      </c>
      <c r="AP1684" t="s">
        <v>14238</v>
      </c>
      <c r="AQ1684" t="s">
        <v>74</v>
      </c>
      <c r="AR1684" t="s">
        <v>14239</v>
      </c>
      <c r="AS1684" t="s">
        <v>14240</v>
      </c>
      <c r="AT1684" t="s">
        <v>20097</v>
      </c>
      <c r="AU1684">
        <v>2019</v>
      </c>
      <c r="AV1684">
        <v>26</v>
      </c>
      <c r="AW1684">
        <v>13</v>
      </c>
      <c r="AX1684" t="s">
        <v>74</v>
      </c>
      <c r="AY1684" t="s">
        <v>74</v>
      </c>
      <c r="AZ1684" t="s">
        <v>74</v>
      </c>
      <c r="BA1684" t="s">
        <v>74</v>
      </c>
      <c r="BB1684">
        <v>1133</v>
      </c>
      <c r="BC1684">
        <v>1137</v>
      </c>
      <c r="BD1684" t="s">
        <v>74</v>
      </c>
      <c r="BE1684" t="s">
        <v>23664</v>
      </c>
      <c r="BF1684" t="str">
        <f>HYPERLINK("http://dx.doi.org/10.1080/13504851.2018.1540833","http://dx.doi.org/10.1080/13504851.2018.1540833")</f>
        <v>http://dx.doi.org/10.1080/13504851.2018.1540833</v>
      </c>
      <c r="BG1684" t="s">
        <v>74</v>
      </c>
      <c r="BH1684" t="s">
        <v>74</v>
      </c>
      <c r="BI1684">
        <v>5</v>
      </c>
      <c r="BJ1684" t="s">
        <v>291</v>
      </c>
      <c r="BK1684" t="s">
        <v>99</v>
      </c>
      <c r="BL1684" t="s">
        <v>100</v>
      </c>
      <c r="BM1684" t="s">
        <v>23663</v>
      </c>
      <c r="BN1684" t="s">
        <v>74</v>
      </c>
      <c r="BO1684" t="s">
        <v>74</v>
      </c>
      <c r="BP1684" t="s">
        <v>74</v>
      </c>
      <c r="BQ1684" t="s">
        <v>74</v>
      </c>
      <c r="BR1684" t="s">
        <v>102</v>
      </c>
      <c r="BS1684" t="s">
        <v>23662</v>
      </c>
      <c r="BT1684" t="str">
        <f>HYPERLINK("https%3A%2F%2Fwww.webofscience.com%2Fwos%2Fwoscc%2Ffull-record%2FWOS:000465162300015","View Full Record in Web of Science")</f>
        <v>View Full Record in Web of Science</v>
      </c>
    </row>
    <row r="1685" spans="1:72" x14ac:dyDescent="0.25">
      <c r="A1685" t="s">
        <v>72</v>
      </c>
      <c r="B1685" t="s">
        <v>23661</v>
      </c>
      <c r="C1685" t="s">
        <v>74</v>
      </c>
      <c r="D1685" t="s">
        <v>74</v>
      </c>
      <c r="E1685" t="s">
        <v>74</v>
      </c>
      <c r="F1685" t="s">
        <v>23660</v>
      </c>
      <c r="G1685" t="s">
        <v>74</v>
      </c>
      <c r="H1685" t="s">
        <v>74</v>
      </c>
      <c r="I1685" t="s">
        <v>23659</v>
      </c>
      <c r="J1685" t="s">
        <v>9896</v>
      </c>
      <c r="K1685" t="s">
        <v>74</v>
      </c>
      <c r="L1685" t="s">
        <v>74</v>
      </c>
      <c r="M1685" t="s">
        <v>78</v>
      </c>
      <c r="N1685" t="s">
        <v>79</v>
      </c>
      <c r="O1685" t="s">
        <v>74</v>
      </c>
      <c r="P1685" t="s">
        <v>74</v>
      </c>
      <c r="Q1685" t="s">
        <v>74</v>
      </c>
      <c r="R1685" t="s">
        <v>74</v>
      </c>
      <c r="S1685" t="s">
        <v>74</v>
      </c>
      <c r="T1685" t="s">
        <v>23658</v>
      </c>
      <c r="U1685" t="s">
        <v>23657</v>
      </c>
      <c r="V1685" t="s">
        <v>23656</v>
      </c>
      <c r="W1685" t="s">
        <v>23655</v>
      </c>
      <c r="X1685" t="s">
        <v>7713</v>
      </c>
      <c r="Y1685" t="s">
        <v>23654</v>
      </c>
      <c r="Z1685" t="s">
        <v>23653</v>
      </c>
      <c r="AA1685" t="s">
        <v>23652</v>
      </c>
      <c r="AB1685" t="s">
        <v>23651</v>
      </c>
      <c r="AC1685" t="s">
        <v>74</v>
      </c>
      <c r="AD1685" t="s">
        <v>74</v>
      </c>
      <c r="AE1685" t="s">
        <v>74</v>
      </c>
      <c r="AF1685" t="s">
        <v>74</v>
      </c>
      <c r="AG1685">
        <v>67</v>
      </c>
      <c r="AH1685">
        <v>5</v>
      </c>
      <c r="AI1685">
        <v>5</v>
      </c>
      <c r="AJ1685">
        <v>5</v>
      </c>
      <c r="AK1685">
        <v>17</v>
      </c>
      <c r="AL1685" t="s">
        <v>89</v>
      </c>
      <c r="AM1685" t="s">
        <v>90</v>
      </c>
      <c r="AN1685" t="s">
        <v>91</v>
      </c>
      <c r="AO1685" t="s">
        <v>9905</v>
      </c>
      <c r="AP1685" t="s">
        <v>9906</v>
      </c>
      <c r="AQ1685" t="s">
        <v>74</v>
      </c>
      <c r="AR1685" t="s">
        <v>9907</v>
      </c>
      <c r="AS1685" t="s">
        <v>9908</v>
      </c>
      <c r="AT1685" t="s">
        <v>8970</v>
      </c>
      <c r="AU1685">
        <v>2023</v>
      </c>
      <c r="AV1685">
        <v>83</v>
      </c>
      <c r="AW1685" t="s">
        <v>23650</v>
      </c>
      <c r="AX1685" t="s">
        <v>74</v>
      </c>
      <c r="AY1685" t="s">
        <v>74</v>
      </c>
      <c r="AZ1685" t="s">
        <v>74</v>
      </c>
      <c r="BA1685" t="s">
        <v>74</v>
      </c>
      <c r="BB1685">
        <v>549</v>
      </c>
      <c r="BC1685">
        <v>571</v>
      </c>
      <c r="BD1685" t="s">
        <v>74</v>
      </c>
      <c r="BE1685" t="s">
        <v>23649</v>
      </c>
      <c r="BF1685" t="str">
        <f>HYPERLINK("http://dx.doi.org/10.1108/AFR-01-2023-0008","http://dx.doi.org/10.1108/AFR-01-2023-0008")</f>
        <v>http://dx.doi.org/10.1108/AFR-01-2023-0008</v>
      </c>
      <c r="BG1685" t="s">
        <v>74</v>
      </c>
      <c r="BH1685" t="s">
        <v>13995</v>
      </c>
      <c r="BI1685">
        <v>23</v>
      </c>
      <c r="BJ1685" t="s">
        <v>5151</v>
      </c>
      <c r="BK1685" t="s">
        <v>313</v>
      </c>
      <c r="BL1685" t="s">
        <v>5152</v>
      </c>
      <c r="BM1685" t="s">
        <v>23648</v>
      </c>
      <c r="BN1685" t="s">
        <v>74</v>
      </c>
      <c r="BO1685" t="s">
        <v>74</v>
      </c>
      <c r="BP1685" t="s">
        <v>74</v>
      </c>
      <c r="BQ1685" t="s">
        <v>74</v>
      </c>
      <c r="BR1685" t="s">
        <v>102</v>
      </c>
      <c r="BS1685" t="s">
        <v>23647</v>
      </c>
      <c r="BT1685" t="str">
        <f>HYPERLINK("https%3A%2F%2Fwww.webofscience.com%2Fwos%2Fwoscc%2Ffull-record%2FWOS:001015596600001","View Full Record in Web of Science")</f>
        <v>View Full Record in Web of Science</v>
      </c>
    </row>
    <row r="1686" spans="1:72" x14ac:dyDescent="0.25">
      <c r="A1686" t="s">
        <v>72</v>
      </c>
      <c r="B1686" t="s">
        <v>23646</v>
      </c>
      <c r="C1686" t="s">
        <v>74</v>
      </c>
      <c r="D1686" t="s">
        <v>74</v>
      </c>
      <c r="E1686" t="s">
        <v>74</v>
      </c>
      <c r="F1686" t="s">
        <v>23645</v>
      </c>
      <c r="G1686" t="s">
        <v>74</v>
      </c>
      <c r="H1686" t="s">
        <v>74</v>
      </c>
      <c r="I1686" t="s">
        <v>23644</v>
      </c>
      <c r="J1686" t="s">
        <v>3036</v>
      </c>
      <c r="K1686" t="s">
        <v>74</v>
      </c>
      <c r="L1686" t="s">
        <v>74</v>
      </c>
      <c r="M1686" t="s">
        <v>78</v>
      </c>
      <c r="N1686" t="s">
        <v>372</v>
      </c>
      <c r="O1686" t="s">
        <v>74</v>
      </c>
      <c r="P1686" t="s">
        <v>74</v>
      </c>
      <c r="Q1686" t="s">
        <v>74</v>
      </c>
      <c r="R1686" t="s">
        <v>74</v>
      </c>
      <c r="S1686" t="s">
        <v>74</v>
      </c>
      <c r="T1686" t="s">
        <v>23643</v>
      </c>
      <c r="U1686" t="s">
        <v>23642</v>
      </c>
      <c r="V1686" t="s">
        <v>23641</v>
      </c>
      <c r="W1686" t="s">
        <v>23640</v>
      </c>
      <c r="X1686" t="s">
        <v>23639</v>
      </c>
      <c r="Y1686" t="s">
        <v>23638</v>
      </c>
      <c r="Z1686" t="s">
        <v>23637</v>
      </c>
      <c r="AA1686" t="s">
        <v>23636</v>
      </c>
      <c r="AB1686" t="s">
        <v>23635</v>
      </c>
      <c r="AC1686" t="s">
        <v>74</v>
      </c>
      <c r="AD1686" t="s">
        <v>74</v>
      </c>
      <c r="AE1686" t="s">
        <v>74</v>
      </c>
      <c r="AF1686" t="s">
        <v>74</v>
      </c>
      <c r="AG1686">
        <v>50</v>
      </c>
      <c r="AH1686">
        <v>1</v>
      </c>
      <c r="AI1686">
        <v>1</v>
      </c>
      <c r="AJ1686">
        <v>2</v>
      </c>
      <c r="AK1686">
        <v>10</v>
      </c>
      <c r="AL1686" t="s">
        <v>385</v>
      </c>
      <c r="AM1686" t="s">
        <v>151</v>
      </c>
      <c r="AN1686" t="s">
        <v>386</v>
      </c>
      <c r="AO1686" t="s">
        <v>3045</v>
      </c>
      <c r="AP1686" t="s">
        <v>3046</v>
      </c>
      <c r="AQ1686" t="s">
        <v>74</v>
      </c>
      <c r="AR1686" t="s">
        <v>3047</v>
      </c>
      <c r="AS1686" t="s">
        <v>3048</v>
      </c>
      <c r="AT1686" t="s">
        <v>23634</v>
      </c>
      <c r="AU1686">
        <v>2024</v>
      </c>
      <c r="AV1686" t="s">
        <v>74</v>
      </c>
      <c r="AW1686" t="s">
        <v>74</v>
      </c>
      <c r="AX1686" t="s">
        <v>74</v>
      </c>
      <c r="AY1686" t="s">
        <v>74</v>
      </c>
      <c r="AZ1686" t="s">
        <v>74</v>
      </c>
      <c r="BA1686" t="s">
        <v>74</v>
      </c>
      <c r="BB1686" t="s">
        <v>74</v>
      </c>
      <c r="BC1686" t="s">
        <v>74</v>
      </c>
      <c r="BD1686" t="s">
        <v>74</v>
      </c>
      <c r="BE1686" t="s">
        <v>23633</v>
      </c>
      <c r="BF1686" t="str">
        <f>HYPERLINK("http://dx.doi.org/10.1007/s13132-024-02274-4","http://dx.doi.org/10.1007/s13132-024-02274-4")</f>
        <v>http://dx.doi.org/10.1007/s13132-024-02274-4</v>
      </c>
      <c r="BG1686" t="s">
        <v>74</v>
      </c>
      <c r="BH1686" t="s">
        <v>393</v>
      </c>
      <c r="BI1686">
        <v>26</v>
      </c>
      <c r="BJ1686" t="s">
        <v>291</v>
      </c>
      <c r="BK1686" t="s">
        <v>99</v>
      </c>
      <c r="BL1686" t="s">
        <v>100</v>
      </c>
      <c r="BM1686" t="s">
        <v>23632</v>
      </c>
      <c r="BN1686" t="s">
        <v>74</v>
      </c>
      <c r="BO1686" t="s">
        <v>74</v>
      </c>
      <c r="BP1686" t="s">
        <v>74</v>
      </c>
      <c r="BQ1686" t="s">
        <v>74</v>
      </c>
      <c r="BR1686" t="s">
        <v>102</v>
      </c>
      <c r="BS1686" t="s">
        <v>23631</v>
      </c>
      <c r="BT1686" t="str">
        <f>HYPERLINK("https%3A%2F%2Fwww.webofscience.com%2Fwos%2Fwoscc%2Ffull-record%2FWOS:001293461800004","View Full Record in Web of Science")</f>
        <v>View Full Record in Web of Science</v>
      </c>
    </row>
    <row r="1687" spans="1:72" x14ac:dyDescent="0.25">
      <c r="A1687" t="s">
        <v>72</v>
      </c>
      <c r="B1687" t="s">
        <v>23630</v>
      </c>
      <c r="C1687" t="s">
        <v>74</v>
      </c>
      <c r="D1687" t="s">
        <v>74</v>
      </c>
      <c r="E1687" t="s">
        <v>74</v>
      </c>
      <c r="F1687" t="s">
        <v>23629</v>
      </c>
      <c r="G1687" t="s">
        <v>74</v>
      </c>
      <c r="H1687" t="s">
        <v>74</v>
      </c>
      <c r="I1687" t="s">
        <v>23628</v>
      </c>
      <c r="J1687" t="s">
        <v>656</v>
      </c>
      <c r="K1687" t="s">
        <v>74</v>
      </c>
      <c r="L1687" t="s">
        <v>74</v>
      </c>
      <c r="M1687" t="s">
        <v>78</v>
      </c>
      <c r="N1687" t="s">
        <v>79</v>
      </c>
      <c r="O1687" t="s">
        <v>74</v>
      </c>
      <c r="P1687" t="s">
        <v>74</v>
      </c>
      <c r="Q1687" t="s">
        <v>74</v>
      </c>
      <c r="R1687" t="s">
        <v>74</v>
      </c>
      <c r="S1687" t="s">
        <v>74</v>
      </c>
      <c r="T1687" t="s">
        <v>23627</v>
      </c>
      <c r="U1687" t="s">
        <v>23626</v>
      </c>
      <c r="V1687" t="s">
        <v>23625</v>
      </c>
      <c r="W1687" t="s">
        <v>23624</v>
      </c>
      <c r="X1687" t="s">
        <v>23623</v>
      </c>
      <c r="Y1687" t="s">
        <v>23622</v>
      </c>
      <c r="Z1687" t="s">
        <v>23621</v>
      </c>
      <c r="AA1687" t="s">
        <v>23620</v>
      </c>
      <c r="AB1687" t="s">
        <v>23619</v>
      </c>
      <c r="AC1687" t="s">
        <v>74</v>
      </c>
      <c r="AD1687" t="s">
        <v>74</v>
      </c>
      <c r="AE1687" t="s">
        <v>74</v>
      </c>
      <c r="AF1687" t="s">
        <v>74</v>
      </c>
      <c r="AG1687">
        <v>51</v>
      </c>
      <c r="AH1687">
        <v>9</v>
      </c>
      <c r="AI1687">
        <v>10</v>
      </c>
      <c r="AJ1687">
        <v>0</v>
      </c>
      <c r="AK1687">
        <v>18</v>
      </c>
      <c r="AL1687" t="s">
        <v>666</v>
      </c>
      <c r="AM1687" t="s">
        <v>667</v>
      </c>
      <c r="AN1687" t="s">
        <v>668</v>
      </c>
      <c r="AO1687" t="s">
        <v>669</v>
      </c>
      <c r="AP1687" t="s">
        <v>670</v>
      </c>
      <c r="AQ1687" t="s">
        <v>74</v>
      </c>
      <c r="AR1687" t="s">
        <v>671</v>
      </c>
      <c r="AS1687" t="s">
        <v>672</v>
      </c>
      <c r="AT1687" t="s">
        <v>605</v>
      </c>
      <c r="AU1687">
        <v>2023</v>
      </c>
      <c r="AV1687">
        <v>44</v>
      </c>
      <c r="AW1687">
        <v>1</v>
      </c>
      <c r="AX1687" t="s">
        <v>74</v>
      </c>
      <c r="AY1687" t="s">
        <v>74</v>
      </c>
      <c r="AZ1687" t="s">
        <v>74</v>
      </c>
      <c r="BA1687" t="s">
        <v>74</v>
      </c>
      <c r="BB1687">
        <v>98</v>
      </c>
      <c r="BC1687">
        <v>113</v>
      </c>
      <c r="BD1687" t="s">
        <v>74</v>
      </c>
      <c r="BE1687" t="s">
        <v>23618</v>
      </c>
      <c r="BF1687" t="str">
        <f>HYPERLINK("http://dx.doi.org/10.1007/s10834-021-09805-0","http://dx.doi.org/10.1007/s10834-021-09805-0")</f>
        <v>http://dx.doi.org/10.1007/s10834-021-09805-0</v>
      </c>
      <c r="BG1687" t="s">
        <v>74</v>
      </c>
      <c r="BH1687" t="s">
        <v>6817</v>
      </c>
      <c r="BI1687">
        <v>16</v>
      </c>
      <c r="BJ1687" t="s">
        <v>675</v>
      </c>
      <c r="BK1687" t="s">
        <v>99</v>
      </c>
      <c r="BL1687" t="s">
        <v>676</v>
      </c>
      <c r="BM1687" t="s">
        <v>23617</v>
      </c>
      <c r="BN1687" t="s">
        <v>74</v>
      </c>
      <c r="BO1687" t="s">
        <v>74</v>
      </c>
      <c r="BP1687" t="s">
        <v>74</v>
      </c>
      <c r="BQ1687" t="s">
        <v>74</v>
      </c>
      <c r="BR1687" t="s">
        <v>102</v>
      </c>
      <c r="BS1687" t="s">
        <v>23616</v>
      </c>
      <c r="BT1687" t="str">
        <f>HYPERLINK("https%3A%2F%2Fwww.webofscience.com%2Fwos%2Fwoscc%2Ffull-record%2FWOS:000720712000001","View Full Record in Web of Science")</f>
        <v>View Full Record in Web of Science</v>
      </c>
    </row>
    <row r="1688" spans="1:72" x14ac:dyDescent="0.25">
      <c r="A1688" t="s">
        <v>72</v>
      </c>
      <c r="B1688" t="s">
        <v>23615</v>
      </c>
      <c r="C1688" t="s">
        <v>74</v>
      </c>
      <c r="D1688" t="s">
        <v>74</v>
      </c>
      <c r="E1688" t="s">
        <v>74</v>
      </c>
      <c r="F1688" t="s">
        <v>23614</v>
      </c>
      <c r="G1688" t="s">
        <v>74</v>
      </c>
      <c r="H1688" t="s">
        <v>74</v>
      </c>
      <c r="I1688" t="s">
        <v>23613</v>
      </c>
      <c r="J1688" t="s">
        <v>23612</v>
      </c>
      <c r="K1688" t="s">
        <v>74</v>
      </c>
      <c r="L1688" t="s">
        <v>74</v>
      </c>
      <c r="M1688" t="s">
        <v>78</v>
      </c>
      <c r="N1688" t="s">
        <v>1766</v>
      </c>
      <c r="O1688" t="s">
        <v>74</v>
      </c>
      <c r="P1688" t="s">
        <v>74</v>
      </c>
      <c r="Q1688" t="s">
        <v>74</v>
      </c>
      <c r="R1688" t="s">
        <v>74</v>
      </c>
      <c r="S1688" t="s">
        <v>74</v>
      </c>
      <c r="T1688" t="s">
        <v>23611</v>
      </c>
      <c r="U1688" t="s">
        <v>23610</v>
      </c>
      <c r="V1688" t="s">
        <v>23609</v>
      </c>
      <c r="W1688" t="s">
        <v>23608</v>
      </c>
      <c r="X1688" t="s">
        <v>23607</v>
      </c>
      <c r="Y1688" t="s">
        <v>23606</v>
      </c>
      <c r="Z1688" t="s">
        <v>23605</v>
      </c>
      <c r="AA1688" t="s">
        <v>74</v>
      </c>
      <c r="AB1688" t="s">
        <v>23604</v>
      </c>
      <c r="AC1688" t="s">
        <v>74</v>
      </c>
      <c r="AD1688" t="s">
        <v>74</v>
      </c>
      <c r="AE1688" t="s">
        <v>74</v>
      </c>
      <c r="AF1688" t="s">
        <v>74</v>
      </c>
      <c r="AG1688">
        <v>60</v>
      </c>
      <c r="AH1688">
        <v>36</v>
      </c>
      <c r="AI1688">
        <v>41</v>
      </c>
      <c r="AJ1688">
        <v>2</v>
      </c>
      <c r="AK1688">
        <v>24</v>
      </c>
      <c r="AL1688" t="s">
        <v>2551</v>
      </c>
      <c r="AM1688" t="s">
        <v>231</v>
      </c>
      <c r="AN1688" t="s">
        <v>2552</v>
      </c>
      <c r="AO1688" t="s">
        <v>23603</v>
      </c>
      <c r="AP1688" t="s">
        <v>23602</v>
      </c>
      <c r="AQ1688" t="s">
        <v>74</v>
      </c>
      <c r="AR1688" t="s">
        <v>23601</v>
      </c>
      <c r="AS1688" t="s">
        <v>23600</v>
      </c>
      <c r="AT1688" t="s">
        <v>1652</v>
      </c>
      <c r="AU1688">
        <v>2017</v>
      </c>
      <c r="AV1688">
        <v>32</v>
      </c>
      <c r="AW1688">
        <v>5</v>
      </c>
      <c r="AX1688" t="s">
        <v>74</v>
      </c>
      <c r="AY1688" t="s">
        <v>74</v>
      </c>
      <c r="AZ1688" t="s">
        <v>74</v>
      </c>
      <c r="BA1688" t="s">
        <v>74</v>
      </c>
      <c r="BB1688">
        <v>732</v>
      </c>
      <c r="BC1688">
        <v>756</v>
      </c>
      <c r="BD1688" t="s">
        <v>74</v>
      </c>
      <c r="BE1688" t="s">
        <v>23599</v>
      </c>
      <c r="BF1688" t="str">
        <f>HYPERLINK("http://dx.doi.org/10.1093/heapol/czw170","http://dx.doi.org/10.1093/heapol/czw170")</f>
        <v>http://dx.doi.org/10.1093/heapol/czw170</v>
      </c>
      <c r="BG1688" t="s">
        <v>74</v>
      </c>
      <c r="BH1688" t="s">
        <v>74</v>
      </c>
      <c r="BI1688">
        <v>25</v>
      </c>
      <c r="BJ1688" t="s">
        <v>23598</v>
      </c>
      <c r="BK1688" t="s">
        <v>2623</v>
      </c>
      <c r="BL1688" t="s">
        <v>23597</v>
      </c>
      <c r="BM1688" t="s">
        <v>23596</v>
      </c>
      <c r="BN1688">
        <v>28453714</v>
      </c>
      <c r="BO1688" t="s">
        <v>1205</v>
      </c>
      <c r="BP1688" t="s">
        <v>74</v>
      </c>
      <c r="BQ1688" t="s">
        <v>74</v>
      </c>
      <c r="BR1688" t="s">
        <v>102</v>
      </c>
      <c r="BS1688" t="s">
        <v>23595</v>
      </c>
      <c r="BT1688" t="str">
        <f>HYPERLINK("https%3A%2F%2Fwww.webofscience.com%2Fwos%2Fwoscc%2Ffull-record%2FWOS:000404034900013","View Full Record in Web of Science")</f>
        <v>View Full Record in Web of Science</v>
      </c>
    </row>
    <row r="1689" spans="1:72" x14ac:dyDescent="0.25">
      <c r="A1689" t="s">
        <v>72</v>
      </c>
      <c r="B1689" t="s">
        <v>23594</v>
      </c>
      <c r="C1689" t="s">
        <v>74</v>
      </c>
      <c r="D1689" t="s">
        <v>74</v>
      </c>
      <c r="E1689" t="s">
        <v>74</v>
      </c>
      <c r="F1689" t="s">
        <v>23593</v>
      </c>
      <c r="G1689" t="s">
        <v>74</v>
      </c>
      <c r="H1689" t="s">
        <v>74</v>
      </c>
      <c r="I1689" t="s">
        <v>23592</v>
      </c>
      <c r="J1689" t="s">
        <v>23591</v>
      </c>
      <c r="K1689" t="s">
        <v>74</v>
      </c>
      <c r="L1689" t="s">
        <v>74</v>
      </c>
      <c r="M1689" t="s">
        <v>78</v>
      </c>
      <c r="N1689" t="s">
        <v>79</v>
      </c>
      <c r="O1689" t="s">
        <v>74</v>
      </c>
      <c r="P1689" t="s">
        <v>74</v>
      </c>
      <c r="Q1689" t="s">
        <v>74</v>
      </c>
      <c r="R1689" t="s">
        <v>74</v>
      </c>
      <c r="S1689" t="s">
        <v>74</v>
      </c>
      <c r="T1689" t="s">
        <v>23590</v>
      </c>
      <c r="U1689" t="s">
        <v>23589</v>
      </c>
      <c r="V1689" t="s">
        <v>23588</v>
      </c>
      <c r="W1689" t="s">
        <v>23587</v>
      </c>
      <c r="X1689" t="s">
        <v>23586</v>
      </c>
      <c r="Y1689" t="s">
        <v>23585</v>
      </c>
      <c r="Z1689" t="s">
        <v>23584</v>
      </c>
      <c r="AA1689" t="s">
        <v>23583</v>
      </c>
      <c r="AB1689" t="s">
        <v>74</v>
      </c>
      <c r="AC1689" t="s">
        <v>23582</v>
      </c>
      <c r="AD1689" t="s">
        <v>23581</v>
      </c>
      <c r="AE1689" t="s">
        <v>23580</v>
      </c>
      <c r="AF1689" t="s">
        <v>74</v>
      </c>
      <c r="AG1689">
        <v>27</v>
      </c>
      <c r="AH1689">
        <v>0</v>
      </c>
      <c r="AI1689">
        <v>0</v>
      </c>
      <c r="AJ1689">
        <v>0</v>
      </c>
      <c r="AK1689">
        <v>0</v>
      </c>
      <c r="AL1689" t="s">
        <v>23579</v>
      </c>
      <c r="AM1689" t="s">
        <v>23578</v>
      </c>
      <c r="AN1689" t="s">
        <v>23577</v>
      </c>
      <c r="AO1689" t="s">
        <v>23576</v>
      </c>
      <c r="AP1689" t="s">
        <v>23575</v>
      </c>
      <c r="AQ1689" t="s">
        <v>74</v>
      </c>
      <c r="AR1689" t="s">
        <v>23574</v>
      </c>
      <c r="AS1689" t="s">
        <v>23573</v>
      </c>
      <c r="AT1689" t="s">
        <v>74</v>
      </c>
      <c r="AU1689">
        <v>2025</v>
      </c>
      <c r="AV1689">
        <v>95</v>
      </c>
      <c r="AW1689">
        <v>2</v>
      </c>
      <c r="AX1689" t="s">
        <v>74</v>
      </c>
      <c r="AY1689" t="s">
        <v>74</v>
      </c>
      <c r="AZ1689" t="s">
        <v>74</v>
      </c>
      <c r="BA1689" t="s">
        <v>74</v>
      </c>
      <c r="BB1689">
        <v>171</v>
      </c>
      <c r="BC1689">
        <v>183</v>
      </c>
      <c r="BD1689" t="s">
        <v>74</v>
      </c>
      <c r="BE1689" t="s">
        <v>23572</v>
      </c>
      <c r="BF1689" t="str">
        <f>HYPERLINK("http://dx.doi.org/10.17576/akad-2025-9502-10","http://dx.doi.org/10.17576/akad-2025-9502-10")</f>
        <v>http://dx.doi.org/10.17576/akad-2025-9502-10</v>
      </c>
      <c r="BG1689" t="s">
        <v>74</v>
      </c>
      <c r="BH1689" t="s">
        <v>74</v>
      </c>
      <c r="BI1689">
        <v>13</v>
      </c>
      <c r="BJ1689" t="s">
        <v>364</v>
      </c>
      <c r="BK1689" t="s">
        <v>313</v>
      </c>
      <c r="BL1689" t="s">
        <v>365</v>
      </c>
      <c r="BM1689" t="s">
        <v>23571</v>
      </c>
      <c r="BN1689" t="s">
        <v>74</v>
      </c>
      <c r="BO1689" t="s">
        <v>74</v>
      </c>
      <c r="BP1689" t="s">
        <v>74</v>
      </c>
      <c r="BQ1689" t="s">
        <v>74</v>
      </c>
      <c r="BR1689" t="s">
        <v>102</v>
      </c>
      <c r="BS1689" t="s">
        <v>23570</v>
      </c>
      <c r="BT1689" t="str">
        <f>HYPERLINK("https%3A%2F%2Fwww.webofscience.com%2Fwos%2Fwoscc%2Ffull-record%2FWOS:001546466500010","View Full Record in Web of Science")</f>
        <v>View Full Record in Web of Science</v>
      </c>
    </row>
    <row r="1690" spans="1:72" x14ac:dyDescent="0.25">
      <c r="A1690" t="s">
        <v>72</v>
      </c>
      <c r="B1690" t="s">
        <v>23569</v>
      </c>
      <c r="C1690" t="s">
        <v>74</v>
      </c>
      <c r="D1690" t="s">
        <v>74</v>
      </c>
      <c r="E1690" t="s">
        <v>74</v>
      </c>
      <c r="F1690" t="s">
        <v>23568</v>
      </c>
      <c r="G1690" t="s">
        <v>74</v>
      </c>
      <c r="H1690" t="s">
        <v>74</v>
      </c>
      <c r="I1690" t="s">
        <v>23567</v>
      </c>
      <c r="J1690" t="s">
        <v>23566</v>
      </c>
      <c r="K1690" t="s">
        <v>74</v>
      </c>
      <c r="L1690" t="s">
        <v>74</v>
      </c>
      <c r="M1690" t="s">
        <v>78</v>
      </c>
      <c r="N1690" t="s">
        <v>79</v>
      </c>
      <c r="O1690" t="s">
        <v>74</v>
      </c>
      <c r="P1690" t="s">
        <v>74</v>
      </c>
      <c r="Q1690" t="s">
        <v>74</v>
      </c>
      <c r="R1690" t="s">
        <v>74</v>
      </c>
      <c r="S1690" t="s">
        <v>74</v>
      </c>
      <c r="T1690" t="s">
        <v>23565</v>
      </c>
      <c r="U1690" t="s">
        <v>11832</v>
      </c>
      <c r="V1690" t="s">
        <v>23564</v>
      </c>
      <c r="W1690" t="s">
        <v>23563</v>
      </c>
      <c r="X1690" t="s">
        <v>23562</v>
      </c>
      <c r="Y1690" t="s">
        <v>23561</v>
      </c>
      <c r="Z1690" t="s">
        <v>23560</v>
      </c>
      <c r="AA1690" t="s">
        <v>74</v>
      </c>
      <c r="AB1690" t="s">
        <v>23559</v>
      </c>
      <c r="AC1690" t="s">
        <v>23558</v>
      </c>
      <c r="AD1690" t="s">
        <v>23558</v>
      </c>
      <c r="AE1690" t="s">
        <v>23557</v>
      </c>
      <c r="AF1690" t="s">
        <v>74</v>
      </c>
      <c r="AG1690">
        <v>49</v>
      </c>
      <c r="AH1690">
        <v>2</v>
      </c>
      <c r="AI1690">
        <v>3</v>
      </c>
      <c r="AJ1690">
        <v>1</v>
      </c>
      <c r="AK1690">
        <v>8</v>
      </c>
      <c r="AL1690" t="s">
        <v>23556</v>
      </c>
      <c r="AM1690" t="s">
        <v>23555</v>
      </c>
      <c r="AN1690" t="s">
        <v>23554</v>
      </c>
      <c r="AO1690" t="s">
        <v>23553</v>
      </c>
      <c r="AP1690" t="s">
        <v>23552</v>
      </c>
      <c r="AQ1690" t="s">
        <v>74</v>
      </c>
      <c r="AR1690" t="s">
        <v>23551</v>
      </c>
      <c r="AS1690" t="s">
        <v>23550</v>
      </c>
      <c r="AT1690" t="s">
        <v>8539</v>
      </c>
      <c r="AU1690">
        <v>2024</v>
      </c>
      <c r="AV1690">
        <v>26</v>
      </c>
      <c r="AW1690">
        <v>1</v>
      </c>
      <c r="AX1690" t="s">
        <v>74</v>
      </c>
      <c r="AY1690" t="s">
        <v>74</v>
      </c>
      <c r="AZ1690" t="s">
        <v>74</v>
      </c>
      <c r="BA1690" t="s">
        <v>74</v>
      </c>
      <c r="BB1690" t="s">
        <v>74</v>
      </c>
      <c r="BC1690" t="s">
        <v>74</v>
      </c>
      <c r="BD1690" t="s">
        <v>23549</v>
      </c>
      <c r="BE1690" t="s">
        <v>23548</v>
      </c>
      <c r="BF1690" t="str">
        <f>HYPERLINK("http://dx.doi.org/10.4102/sajim.v26i1.1759","http://dx.doi.org/10.4102/sajim.v26i1.1759")</f>
        <v>http://dx.doi.org/10.4102/sajim.v26i1.1759</v>
      </c>
      <c r="BG1690" t="s">
        <v>74</v>
      </c>
      <c r="BH1690" t="s">
        <v>74</v>
      </c>
      <c r="BI1690">
        <v>11</v>
      </c>
      <c r="BJ1690" t="s">
        <v>2351</v>
      </c>
      <c r="BK1690" t="s">
        <v>313</v>
      </c>
      <c r="BL1690" t="s">
        <v>2351</v>
      </c>
      <c r="BM1690" t="s">
        <v>23547</v>
      </c>
      <c r="BN1690" t="s">
        <v>74</v>
      </c>
      <c r="BO1690" t="s">
        <v>916</v>
      </c>
      <c r="BP1690" t="s">
        <v>74</v>
      </c>
      <c r="BQ1690" t="s">
        <v>74</v>
      </c>
      <c r="BR1690" t="s">
        <v>102</v>
      </c>
      <c r="BS1690" t="s">
        <v>23546</v>
      </c>
      <c r="BT1690" t="str">
        <f>HYPERLINK("https%3A%2F%2Fwww.webofscience.com%2Fwos%2Fwoscc%2Ffull-record%2FWOS:001179491900001","View Full Record in Web of Science")</f>
        <v>View Full Record in Web of Science</v>
      </c>
    </row>
    <row r="1691" spans="1:72" x14ac:dyDescent="0.25">
      <c r="A1691" t="s">
        <v>72</v>
      </c>
      <c r="B1691" t="s">
        <v>23545</v>
      </c>
      <c r="C1691" t="s">
        <v>74</v>
      </c>
      <c r="D1691" t="s">
        <v>74</v>
      </c>
      <c r="E1691" t="s">
        <v>74</v>
      </c>
      <c r="F1691" t="s">
        <v>23544</v>
      </c>
      <c r="G1691" t="s">
        <v>74</v>
      </c>
      <c r="H1691" t="s">
        <v>74</v>
      </c>
      <c r="I1691" t="s">
        <v>23543</v>
      </c>
      <c r="J1691" t="s">
        <v>14448</v>
      </c>
      <c r="K1691" t="s">
        <v>74</v>
      </c>
      <c r="L1691" t="s">
        <v>74</v>
      </c>
      <c r="M1691" t="s">
        <v>78</v>
      </c>
      <c r="N1691" t="s">
        <v>79</v>
      </c>
      <c r="O1691" t="s">
        <v>74</v>
      </c>
      <c r="P1691" t="s">
        <v>74</v>
      </c>
      <c r="Q1691" t="s">
        <v>74</v>
      </c>
      <c r="R1691" t="s">
        <v>74</v>
      </c>
      <c r="S1691" t="s">
        <v>74</v>
      </c>
      <c r="T1691" t="s">
        <v>23542</v>
      </c>
      <c r="U1691" t="s">
        <v>23541</v>
      </c>
      <c r="V1691" t="s">
        <v>23540</v>
      </c>
      <c r="W1691" t="s">
        <v>23539</v>
      </c>
      <c r="X1691" t="s">
        <v>23538</v>
      </c>
      <c r="Y1691" t="s">
        <v>23537</v>
      </c>
      <c r="Z1691" t="s">
        <v>23536</v>
      </c>
      <c r="AA1691" t="s">
        <v>23535</v>
      </c>
      <c r="AB1691" t="s">
        <v>23534</v>
      </c>
      <c r="AC1691" t="s">
        <v>74</v>
      </c>
      <c r="AD1691" t="s">
        <v>74</v>
      </c>
      <c r="AE1691" t="s">
        <v>74</v>
      </c>
      <c r="AF1691" t="s">
        <v>74</v>
      </c>
      <c r="AG1691">
        <v>84</v>
      </c>
      <c r="AH1691">
        <v>7</v>
      </c>
      <c r="AI1691">
        <v>12</v>
      </c>
      <c r="AJ1691">
        <v>9</v>
      </c>
      <c r="AK1691">
        <v>27</v>
      </c>
      <c r="AL1691" t="s">
        <v>4485</v>
      </c>
      <c r="AM1691" t="s">
        <v>6724</v>
      </c>
      <c r="AN1691" t="s">
        <v>6725</v>
      </c>
      <c r="AO1691" t="s">
        <v>14458</v>
      </c>
      <c r="AP1691" t="s">
        <v>14459</v>
      </c>
      <c r="AQ1691" t="s">
        <v>74</v>
      </c>
      <c r="AR1691" t="s">
        <v>14460</v>
      </c>
      <c r="AS1691" t="s">
        <v>14461</v>
      </c>
      <c r="AT1691" t="s">
        <v>23533</v>
      </c>
      <c r="AU1691">
        <v>2024</v>
      </c>
      <c r="AV1691">
        <v>449</v>
      </c>
      <c r="AW1691" t="s">
        <v>74</v>
      </c>
      <c r="AX1691" t="s">
        <v>74</v>
      </c>
      <c r="AY1691" t="s">
        <v>74</v>
      </c>
      <c r="AZ1691" t="s">
        <v>74</v>
      </c>
      <c r="BA1691" t="s">
        <v>74</v>
      </c>
      <c r="BB1691" t="s">
        <v>74</v>
      </c>
      <c r="BC1691" t="s">
        <v>74</v>
      </c>
      <c r="BD1691">
        <v>141731</v>
      </c>
      <c r="BE1691" t="s">
        <v>23532</v>
      </c>
      <c r="BF1691" t="str">
        <f>HYPERLINK("http://dx.doi.org/10.1016/j.jclepro.2024.141731","http://dx.doi.org/10.1016/j.jclepro.2024.141731")</f>
        <v>http://dx.doi.org/10.1016/j.jclepro.2024.141731</v>
      </c>
      <c r="BG1691" t="s">
        <v>74</v>
      </c>
      <c r="BH1691" t="s">
        <v>1981</v>
      </c>
      <c r="BI1691">
        <v>11</v>
      </c>
      <c r="BJ1691" t="s">
        <v>14463</v>
      </c>
      <c r="BK1691" t="s">
        <v>128</v>
      </c>
      <c r="BL1691" t="s">
        <v>14464</v>
      </c>
      <c r="BM1691" t="s">
        <v>23531</v>
      </c>
      <c r="BN1691" t="s">
        <v>74</v>
      </c>
      <c r="BO1691" t="s">
        <v>270</v>
      </c>
      <c r="BP1691" t="s">
        <v>74</v>
      </c>
      <c r="BQ1691" t="s">
        <v>74</v>
      </c>
      <c r="BR1691" t="s">
        <v>102</v>
      </c>
      <c r="BS1691" t="s">
        <v>23530</v>
      </c>
      <c r="BT1691" t="str">
        <f>HYPERLINK("https%3A%2F%2Fwww.webofscience.com%2Fwos%2Fwoscc%2Ffull-record%2FWOS:001220244200001","View Full Record in Web of Science")</f>
        <v>View Full Record in Web of Science</v>
      </c>
    </row>
    <row r="1692" spans="1:72" x14ac:dyDescent="0.25">
      <c r="A1692" t="s">
        <v>72</v>
      </c>
      <c r="B1692" t="s">
        <v>23529</v>
      </c>
      <c r="C1692" t="s">
        <v>74</v>
      </c>
      <c r="D1692" t="s">
        <v>74</v>
      </c>
      <c r="E1692" t="s">
        <v>74</v>
      </c>
      <c r="F1692" t="s">
        <v>23528</v>
      </c>
      <c r="G1692" t="s">
        <v>74</v>
      </c>
      <c r="H1692" t="s">
        <v>74</v>
      </c>
      <c r="I1692" t="s">
        <v>23527</v>
      </c>
      <c r="J1692" t="s">
        <v>4657</v>
      </c>
      <c r="K1692" t="s">
        <v>74</v>
      </c>
      <c r="L1692" t="s">
        <v>74</v>
      </c>
      <c r="M1692" t="s">
        <v>78</v>
      </c>
      <c r="N1692" t="s">
        <v>79</v>
      </c>
      <c r="O1692" t="s">
        <v>74</v>
      </c>
      <c r="P1692" t="s">
        <v>74</v>
      </c>
      <c r="Q1692" t="s">
        <v>74</v>
      </c>
      <c r="R1692" t="s">
        <v>74</v>
      </c>
      <c r="S1692" t="s">
        <v>74</v>
      </c>
      <c r="T1692" t="s">
        <v>23526</v>
      </c>
      <c r="U1692" t="s">
        <v>23525</v>
      </c>
      <c r="V1692" t="s">
        <v>23524</v>
      </c>
      <c r="W1692" t="s">
        <v>23523</v>
      </c>
      <c r="X1692" t="s">
        <v>74</v>
      </c>
      <c r="Y1692" t="s">
        <v>23522</v>
      </c>
      <c r="Z1692" t="s">
        <v>23521</v>
      </c>
      <c r="AA1692" t="s">
        <v>23520</v>
      </c>
      <c r="AB1692" t="s">
        <v>23519</v>
      </c>
      <c r="AC1692" t="s">
        <v>74</v>
      </c>
      <c r="AD1692" t="s">
        <v>74</v>
      </c>
      <c r="AE1692" t="s">
        <v>74</v>
      </c>
      <c r="AF1692" t="s">
        <v>74</v>
      </c>
      <c r="AG1692">
        <v>103</v>
      </c>
      <c r="AH1692">
        <v>8</v>
      </c>
      <c r="AI1692">
        <v>10</v>
      </c>
      <c r="AJ1692">
        <v>3</v>
      </c>
      <c r="AK1692">
        <v>16</v>
      </c>
      <c r="AL1692" t="s">
        <v>4666</v>
      </c>
      <c r="AM1692" t="s">
        <v>995</v>
      </c>
      <c r="AN1692" t="s">
        <v>4025</v>
      </c>
      <c r="AO1692" t="s">
        <v>74</v>
      </c>
      <c r="AP1692" t="s">
        <v>4667</v>
      </c>
      <c r="AQ1692" t="s">
        <v>74</v>
      </c>
      <c r="AR1692" t="s">
        <v>4668</v>
      </c>
      <c r="AS1692" t="s">
        <v>4669</v>
      </c>
      <c r="AT1692" t="s">
        <v>1816</v>
      </c>
      <c r="AU1692">
        <v>2024</v>
      </c>
      <c r="AV1692">
        <v>5</v>
      </c>
      <c r="AW1692">
        <v>1</v>
      </c>
      <c r="AX1692" t="s">
        <v>74</v>
      </c>
      <c r="AY1692" t="s">
        <v>74</v>
      </c>
      <c r="AZ1692" t="s">
        <v>74</v>
      </c>
      <c r="BA1692" t="s">
        <v>74</v>
      </c>
      <c r="BB1692" t="s">
        <v>74</v>
      </c>
      <c r="BC1692" t="s">
        <v>74</v>
      </c>
      <c r="BD1692">
        <v>309</v>
      </c>
      <c r="BE1692" t="s">
        <v>23518</v>
      </c>
      <c r="BF1692" t="str">
        <f>HYPERLINK("http://dx.doi.org/10.1007/s43621-024-00540-8","http://dx.doi.org/10.1007/s43621-024-00540-8")</f>
        <v>http://dx.doi.org/10.1007/s43621-024-00540-8</v>
      </c>
      <c r="BG1692" t="s">
        <v>74</v>
      </c>
      <c r="BH1692" t="s">
        <v>74</v>
      </c>
      <c r="BI1692">
        <v>29</v>
      </c>
      <c r="BJ1692" t="s">
        <v>3247</v>
      </c>
      <c r="BK1692" t="s">
        <v>313</v>
      </c>
      <c r="BL1692" t="s">
        <v>3248</v>
      </c>
      <c r="BM1692" t="s">
        <v>23517</v>
      </c>
      <c r="BN1692" t="s">
        <v>74</v>
      </c>
      <c r="BO1692" t="s">
        <v>212</v>
      </c>
      <c r="BP1692" t="s">
        <v>74</v>
      </c>
      <c r="BQ1692" t="s">
        <v>74</v>
      </c>
      <c r="BR1692" t="s">
        <v>102</v>
      </c>
      <c r="BS1692" t="s">
        <v>23516</v>
      </c>
      <c r="BT1692" t="str">
        <f>HYPERLINK("https%3A%2F%2Fwww.webofscience.com%2Fwos%2Fwoscc%2Ffull-record%2FWOS:001327759200001","View Full Record in Web of Science")</f>
        <v>View Full Record in Web of Science</v>
      </c>
    </row>
    <row r="1693" spans="1:72" x14ac:dyDescent="0.25">
      <c r="A1693" t="s">
        <v>72</v>
      </c>
      <c r="B1693" t="s">
        <v>23515</v>
      </c>
      <c r="C1693" t="s">
        <v>74</v>
      </c>
      <c r="D1693" t="s">
        <v>74</v>
      </c>
      <c r="E1693" t="s">
        <v>74</v>
      </c>
      <c r="F1693" t="s">
        <v>23514</v>
      </c>
      <c r="G1693" t="s">
        <v>74</v>
      </c>
      <c r="H1693" t="s">
        <v>74</v>
      </c>
      <c r="I1693" t="s">
        <v>23513</v>
      </c>
      <c r="J1693" t="s">
        <v>23512</v>
      </c>
      <c r="K1693" t="s">
        <v>74</v>
      </c>
      <c r="L1693" t="s">
        <v>74</v>
      </c>
      <c r="M1693" t="s">
        <v>78</v>
      </c>
      <c r="N1693" t="s">
        <v>79</v>
      </c>
      <c r="O1693" t="s">
        <v>74</v>
      </c>
      <c r="P1693" t="s">
        <v>74</v>
      </c>
      <c r="Q1693" t="s">
        <v>74</v>
      </c>
      <c r="R1693" t="s">
        <v>74</v>
      </c>
      <c r="S1693" t="s">
        <v>74</v>
      </c>
      <c r="T1693" t="s">
        <v>23511</v>
      </c>
      <c r="U1693" t="s">
        <v>74</v>
      </c>
      <c r="V1693" t="s">
        <v>23510</v>
      </c>
      <c r="W1693" t="s">
        <v>23509</v>
      </c>
      <c r="X1693" t="s">
        <v>23508</v>
      </c>
      <c r="Y1693" t="s">
        <v>23507</v>
      </c>
      <c r="Z1693" t="s">
        <v>23506</v>
      </c>
      <c r="AA1693" t="s">
        <v>23505</v>
      </c>
      <c r="AB1693" t="s">
        <v>23504</v>
      </c>
      <c r="AC1693" t="s">
        <v>23503</v>
      </c>
      <c r="AD1693" t="s">
        <v>23502</v>
      </c>
      <c r="AE1693" t="s">
        <v>23501</v>
      </c>
      <c r="AF1693" t="s">
        <v>74</v>
      </c>
      <c r="AG1693">
        <v>46</v>
      </c>
      <c r="AH1693">
        <v>9</v>
      </c>
      <c r="AI1693">
        <v>12</v>
      </c>
      <c r="AJ1693">
        <v>0</v>
      </c>
      <c r="AK1693">
        <v>5</v>
      </c>
      <c r="AL1693" t="s">
        <v>757</v>
      </c>
      <c r="AM1693" t="s">
        <v>758</v>
      </c>
      <c r="AN1693" t="s">
        <v>759</v>
      </c>
      <c r="AO1693" t="s">
        <v>23500</v>
      </c>
      <c r="AP1693" t="s">
        <v>74</v>
      </c>
      <c r="AQ1693" t="s">
        <v>74</v>
      </c>
      <c r="AR1693" t="s">
        <v>23499</v>
      </c>
      <c r="AS1693" t="s">
        <v>23498</v>
      </c>
      <c r="AT1693" t="s">
        <v>23250</v>
      </c>
      <c r="AU1693">
        <v>2018</v>
      </c>
      <c r="AV1693">
        <v>3</v>
      </c>
      <c r="AW1693" t="s">
        <v>74</v>
      </c>
      <c r="AX1693" t="s">
        <v>74</v>
      </c>
      <c r="AY1693" t="s">
        <v>74</v>
      </c>
      <c r="AZ1693" t="s">
        <v>74</v>
      </c>
      <c r="BA1693" t="s">
        <v>74</v>
      </c>
      <c r="BB1693" t="s">
        <v>74</v>
      </c>
      <c r="BC1693" t="s">
        <v>74</v>
      </c>
      <c r="BD1693" t="s">
        <v>74</v>
      </c>
      <c r="BE1693" t="s">
        <v>23497</v>
      </c>
      <c r="BF1693" t="str">
        <f>HYPERLINK("http://dx.doi.org/10.1177/2396941518794500","http://dx.doi.org/10.1177/2396941518794500")</f>
        <v>http://dx.doi.org/10.1177/2396941518794500</v>
      </c>
      <c r="BG1693" t="s">
        <v>74</v>
      </c>
      <c r="BH1693" t="s">
        <v>74</v>
      </c>
      <c r="BI1693">
        <v>11</v>
      </c>
      <c r="BJ1693" t="s">
        <v>23496</v>
      </c>
      <c r="BK1693" t="s">
        <v>313</v>
      </c>
      <c r="BL1693" t="s">
        <v>23495</v>
      </c>
      <c r="BM1693" t="s">
        <v>23494</v>
      </c>
      <c r="BN1693">
        <v>30370337</v>
      </c>
      <c r="BO1693" t="s">
        <v>916</v>
      </c>
      <c r="BP1693" t="s">
        <v>74</v>
      </c>
      <c r="BQ1693" t="s">
        <v>74</v>
      </c>
      <c r="BR1693" t="s">
        <v>102</v>
      </c>
      <c r="BS1693" t="s">
        <v>23493</v>
      </c>
      <c r="BT1693" t="str">
        <f>HYPERLINK("https%3A%2F%2Fwww.webofscience.com%2Fwos%2Fwoscc%2Ffull-record%2FWOS:000841458300014","View Full Record in Web of Science")</f>
        <v>View Full Record in Web of Science</v>
      </c>
    </row>
    <row r="1694" spans="1:72" x14ac:dyDescent="0.25">
      <c r="A1694" t="s">
        <v>72</v>
      </c>
      <c r="B1694" t="s">
        <v>23492</v>
      </c>
      <c r="C1694" t="s">
        <v>74</v>
      </c>
      <c r="D1694" t="s">
        <v>74</v>
      </c>
      <c r="E1694" t="s">
        <v>74</v>
      </c>
      <c r="F1694" t="s">
        <v>23491</v>
      </c>
      <c r="G1694" t="s">
        <v>74</v>
      </c>
      <c r="H1694" t="s">
        <v>74</v>
      </c>
      <c r="I1694" t="s">
        <v>23490</v>
      </c>
      <c r="J1694" t="s">
        <v>23489</v>
      </c>
      <c r="K1694" t="s">
        <v>74</v>
      </c>
      <c r="L1694" t="s">
        <v>74</v>
      </c>
      <c r="M1694" t="s">
        <v>78</v>
      </c>
      <c r="N1694" t="s">
        <v>79</v>
      </c>
      <c r="O1694" t="s">
        <v>74</v>
      </c>
      <c r="P1694" t="s">
        <v>74</v>
      </c>
      <c r="Q1694" t="s">
        <v>74</v>
      </c>
      <c r="R1694" t="s">
        <v>74</v>
      </c>
      <c r="S1694" t="s">
        <v>74</v>
      </c>
      <c r="T1694" t="s">
        <v>23488</v>
      </c>
      <c r="U1694" t="s">
        <v>1369</v>
      </c>
      <c r="V1694" t="s">
        <v>23487</v>
      </c>
      <c r="W1694" t="s">
        <v>23486</v>
      </c>
      <c r="X1694" t="s">
        <v>23485</v>
      </c>
      <c r="Y1694" t="s">
        <v>23484</v>
      </c>
      <c r="Z1694" t="s">
        <v>23483</v>
      </c>
      <c r="AA1694" t="s">
        <v>23482</v>
      </c>
      <c r="AB1694" t="s">
        <v>74</v>
      </c>
      <c r="AC1694" t="s">
        <v>23481</v>
      </c>
      <c r="AD1694" t="s">
        <v>23480</v>
      </c>
      <c r="AE1694" t="s">
        <v>23479</v>
      </c>
      <c r="AF1694" t="s">
        <v>74</v>
      </c>
      <c r="AG1694">
        <v>37</v>
      </c>
      <c r="AH1694">
        <v>3</v>
      </c>
      <c r="AI1694">
        <v>3</v>
      </c>
      <c r="AJ1694">
        <v>0</v>
      </c>
      <c r="AK1694">
        <v>10</v>
      </c>
      <c r="AL1694" t="s">
        <v>23478</v>
      </c>
      <c r="AM1694" t="s">
        <v>21429</v>
      </c>
      <c r="AN1694" t="s">
        <v>23477</v>
      </c>
      <c r="AO1694" t="s">
        <v>23476</v>
      </c>
      <c r="AP1694" t="s">
        <v>74</v>
      </c>
      <c r="AQ1694" t="s">
        <v>74</v>
      </c>
      <c r="AR1694" t="s">
        <v>23475</v>
      </c>
      <c r="AS1694" t="s">
        <v>23474</v>
      </c>
      <c r="AT1694" t="s">
        <v>74</v>
      </c>
      <c r="AU1694">
        <v>2023</v>
      </c>
      <c r="AV1694">
        <v>22</v>
      </c>
      <c r="AW1694">
        <v>3</v>
      </c>
      <c r="AX1694" t="s">
        <v>74</v>
      </c>
      <c r="AY1694" t="s">
        <v>74</v>
      </c>
      <c r="AZ1694" t="s">
        <v>74</v>
      </c>
      <c r="BA1694" t="s">
        <v>74</v>
      </c>
      <c r="BB1694" t="s">
        <v>74</v>
      </c>
      <c r="BC1694" t="s">
        <v>74</v>
      </c>
      <c r="BD1694" t="s">
        <v>74</v>
      </c>
      <c r="BE1694" t="s">
        <v>74</v>
      </c>
      <c r="BF1694" t="s">
        <v>74</v>
      </c>
      <c r="BG1694" t="s">
        <v>74</v>
      </c>
      <c r="BH1694" t="s">
        <v>74</v>
      </c>
      <c r="BI1694">
        <v>556</v>
      </c>
      <c r="BJ1694" t="s">
        <v>1453</v>
      </c>
      <c r="BK1694" t="s">
        <v>99</v>
      </c>
      <c r="BL1694" t="s">
        <v>100</v>
      </c>
      <c r="BM1694" t="s">
        <v>23473</v>
      </c>
      <c r="BN1694" t="s">
        <v>74</v>
      </c>
      <c r="BO1694" t="s">
        <v>74</v>
      </c>
      <c r="BP1694" t="s">
        <v>74</v>
      </c>
      <c r="BQ1694" t="s">
        <v>74</v>
      </c>
      <c r="BR1694" t="s">
        <v>102</v>
      </c>
      <c r="BS1694" t="s">
        <v>23472</v>
      </c>
      <c r="BT1694" t="str">
        <f>HYPERLINK("https%3A%2F%2Fwww.webofscience.com%2Fwos%2Fwoscc%2Ffull-record%2FWOS:001130717200015","View Full Record in Web of Science")</f>
        <v>View Full Record in Web of Science</v>
      </c>
    </row>
    <row r="1695" spans="1:72" x14ac:dyDescent="0.25">
      <c r="A1695" t="s">
        <v>72</v>
      </c>
      <c r="B1695" t="s">
        <v>23471</v>
      </c>
      <c r="C1695" t="s">
        <v>74</v>
      </c>
      <c r="D1695" t="s">
        <v>74</v>
      </c>
      <c r="E1695" t="s">
        <v>74</v>
      </c>
      <c r="F1695" t="s">
        <v>23470</v>
      </c>
      <c r="G1695" t="s">
        <v>74</v>
      </c>
      <c r="H1695" t="s">
        <v>74</v>
      </c>
      <c r="I1695" t="s">
        <v>23469</v>
      </c>
      <c r="J1695" t="s">
        <v>23468</v>
      </c>
      <c r="K1695" t="s">
        <v>74</v>
      </c>
      <c r="L1695" t="s">
        <v>74</v>
      </c>
      <c r="M1695" t="s">
        <v>78</v>
      </c>
      <c r="N1695" t="s">
        <v>79</v>
      </c>
      <c r="O1695" t="s">
        <v>74</v>
      </c>
      <c r="P1695" t="s">
        <v>74</v>
      </c>
      <c r="Q1695" t="s">
        <v>74</v>
      </c>
      <c r="R1695" t="s">
        <v>74</v>
      </c>
      <c r="S1695" t="s">
        <v>74</v>
      </c>
      <c r="T1695" t="s">
        <v>23467</v>
      </c>
      <c r="U1695" t="s">
        <v>23466</v>
      </c>
      <c r="V1695" t="s">
        <v>23465</v>
      </c>
      <c r="W1695" t="s">
        <v>23464</v>
      </c>
      <c r="X1695" t="s">
        <v>23463</v>
      </c>
      <c r="Y1695" t="s">
        <v>22149</v>
      </c>
      <c r="Z1695" t="s">
        <v>23462</v>
      </c>
      <c r="AA1695" t="s">
        <v>23461</v>
      </c>
      <c r="AB1695" t="s">
        <v>23460</v>
      </c>
      <c r="AC1695" t="s">
        <v>74</v>
      </c>
      <c r="AD1695" t="s">
        <v>74</v>
      </c>
      <c r="AE1695" t="s">
        <v>74</v>
      </c>
      <c r="AF1695" t="s">
        <v>74</v>
      </c>
      <c r="AG1695">
        <v>59</v>
      </c>
      <c r="AH1695">
        <v>15</v>
      </c>
      <c r="AI1695">
        <v>21</v>
      </c>
      <c r="AJ1695">
        <v>3</v>
      </c>
      <c r="AK1695">
        <v>18</v>
      </c>
      <c r="AL1695" t="s">
        <v>385</v>
      </c>
      <c r="AM1695" t="s">
        <v>1153</v>
      </c>
      <c r="AN1695" t="s">
        <v>1154</v>
      </c>
      <c r="AO1695" t="s">
        <v>23459</v>
      </c>
      <c r="AP1695" t="s">
        <v>23458</v>
      </c>
      <c r="AQ1695" t="s">
        <v>74</v>
      </c>
      <c r="AR1695" t="s">
        <v>23457</v>
      </c>
      <c r="AS1695" t="s">
        <v>23456</v>
      </c>
      <c r="AT1695" t="s">
        <v>237</v>
      </c>
      <c r="AU1695">
        <v>2023</v>
      </c>
      <c r="AV1695">
        <v>18</v>
      </c>
      <c r="AW1695">
        <v>1</v>
      </c>
      <c r="AX1695" t="s">
        <v>74</v>
      </c>
      <c r="AY1695" t="s">
        <v>74</v>
      </c>
      <c r="AZ1695" t="s">
        <v>74</v>
      </c>
      <c r="BA1695" t="s">
        <v>74</v>
      </c>
      <c r="BB1695">
        <v>365</v>
      </c>
      <c r="BC1695">
        <v>391</v>
      </c>
      <c r="BD1695" t="s">
        <v>74</v>
      </c>
      <c r="BE1695" t="s">
        <v>23455</v>
      </c>
      <c r="BF1695" t="str">
        <f>HYPERLINK("http://dx.doi.org/10.1007/s11482-022-10087-3","http://dx.doi.org/10.1007/s11482-022-10087-3")</f>
        <v>http://dx.doi.org/10.1007/s11482-022-10087-3</v>
      </c>
      <c r="BG1695" t="s">
        <v>74</v>
      </c>
      <c r="BH1695" t="s">
        <v>126</v>
      </c>
      <c r="BI1695">
        <v>27</v>
      </c>
      <c r="BJ1695" t="s">
        <v>364</v>
      </c>
      <c r="BK1695" t="s">
        <v>99</v>
      </c>
      <c r="BL1695" t="s">
        <v>365</v>
      </c>
      <c r="BM1695" t="s">
        <v>23454</v>
      </c>
      <c r="BN1695" t="s">
        <v>74</v>
      </c>
      <c r="BO1695" t="s">
        <v>74</v>
      </c>
      <c r="BP1695" t="s">
        <v>74</v>
      </c>
      <c r="BQ1695" t="s">
        <v>74</v>
      </c>
      <c r="BR1695" t="s">
        <v>102</v>
      </c>
      <c r="BS1695" t="s">
        <v>23453</v>
      </c>
      <c r="BT1695" t="str">
        <f>HYPERLINK("https%3A%2F%2Fwww.webofscience.com%2Fwos%2Fwoscc%2Ffull-record%2FWOS:000830948200001","View Full Record in Web of Science")</f>
        <v>View Full Record in Web of Science</v>
      </c>
    </row>
    <row r="1696" spans="1:72" x14ac:dyDescent="0.25">
      <c r="A1696" t="s">
        <v>72</v>
      </c>
      <c r="B1696" t="s">
        <v>23452</v>
      </c>
      <c r="C1696" t="s">
        <v>74</v>
      </c>
      <c r="D1696" t="s">
        <v>74</v>
      </c>
      <c r="E1696" t="s">
        <v>74</v>
      </c>
      <c r="F1696" t="s">
        <v>23451</v>
      </c>
      <c r="G1696" t="s">
        <v>74</v>
      </c>
      <c r="H1696" t="s">
        <v>74</v>
      </c>
      <c r="I1696" t="s">
        <v>23450</v>
      </c>
      <c r="J1696" t="s">
        <v>18075</v>
      </c>
      <c r="K1696" t="s">
        <v>74</v>
      </c>
      <c r="L1696" t="s">
        <v>74</v>
      </c>
      <c r="M1696" t="s">
        <v>78</v>
      </c>
      <c r="N1696" t="s">
        <v>79</v>
      </c>
      <c r="O1696" t="s">
        <v>74</v>
      </c>
      <c r="P1696" t="s">
        <v>74</v>
      </c>
      <c r="Q1696" t="s">
        <v>74</v>
      </c>
      <c r="R1696" t="s">
        <v>74</v>
      </c>
      <c r="S1696" t="s">
        <v>74</v>
      </c>
      <c r="T1696" t="s">
        <v>23449</v>
      </c>
      <c r="U1696" t="s">
        <v>23448</v>
      </c>
      <c r="V1696" t="s">
        <v>23447</v>
      </c>
      <c r="W1696" t="s">
        <v>23446</v>
      </c>
      <c r="X1696" t="s">
        <v>23445</v>
      </c>
      <c r="Y1696" t="s">
        <v>23444</v>
      </c>
      <c r="Z1696" t="s">
        <v>23443</v>
      </c>
      <c r="AA1696" t="s">
        <v>23442</v>
      </c>
      <c r="AB1696" t="s">
        <v>23441</v>
      </c>
      <c r="AC1696" t="s">
        <v>74</v>
      </c>
      <c r="AD1696" t="s">
        <v>74</v>
      </c>
      <c r="AE1696" t="s">
        <v>74</v>
      </c>
      <c r="AF1696" t="s">
        <v>74</v>
      </c>
      <c r="AG1696">
        <v>70</v>
      </c>
      <c r="AH1696">
        <v>54</v>
      </c>
      <c r="AI1696">
        <v>59</v>
      </c>
      <c r="AJ1696">
        <v>7</v>
      </c>
      <c r="AK1696">
        <v>48</v>
      </c>
      <c r="AL1696" t="s">
        <v>89</v>
      </c>
      <c r="AM1696" t="s">
        <v>90</v>
      </c>
      <c r="AN1696" t="s">
        <v>91</v>
      </c>
      <c r="AO1696" t="s">
        <v>18085</v>
      </c>
      <c r="AP1696" t="s">
        <v>18086</v>
      </c>
      <c r="AQ1696" t="s">
        <v>74</v>
      </c>
      <c r="AR1696" t="s">
        <v>18075</v>
      </c>
      <c r="AS1696" t="s">
        <v>18087</v>
      </c>
      <c r="AT1696" t="s">
        <v>7247</v>
      </c>
      <c r="AU1696">
        <v>2023</v>
      </c>
      <c r="AV1696">
        <v>52</v>
      </c>
      <c r="AW1696">
        <v>11</v>
      </c>
      <c r="AX1696" t="s">
        <v>74</v>
      </c>
      <c r="AY1696" t="s">
        <v>74</v>
      </c>
      <c r="AZ1696" t="s">
        <v>74</v>
      </c>
      <c r="BA1696" t="s">
        <v>74</v>
      </c>
      <c r="BB1696">
        <v>4876</v>
      </c>
      <c r="BC1696">
        <v>4896</v>
      </c>
      <c r="BD1696" t="s">
        <v>74</v>
      </c>
      <c r="BE1696" t="s">
        <v>23440</v>
      </c>
      <c r="BF1696" t="str">
        <f>HYPERLINK("http://dx.doi.org/10.1108/K-08-2021-0710","http://dx.doi.org/10.1108/K-08-2021-0710")</f>
        <v>http://dx.doi.org/10.1108/K-08-2021-0710</v>
      </c>
      <c r="BG1696" t="s">
        <v>74</v>
      </c>
      <c r="BH1696" t="s">
        <v>126</v>
      </c>
      <c r="BI1696">
        <v>21</v>
      </c>
      <c r="BJ1696" t="s">
        <v>6568</v>
      </c>
      <c r="BK1696" t="s">
        <v>128</v>
      </c>
      <c r="BL1696" t="s">
        <v>157</v>
      </c>
      <c r="BM1696" t="s">
        <v>23439</v>
      </c>
      <c r="BN1696" t="s">
        <v>74</v>
      </c>
      <c r="BO1696" t="s">
        <v>74</v>
      </c>
      <c r="BP1696" t="s">
        <v>74</v>
      </c>
      <c r="BQ1696" t="s">
        <v>74</v>
      </c>
      <c r="BR1696" t="s">
        <v>102</v>
      </c>
      <c r="BS1696" t="s">
        <v>23438</v>
      </c>
      <c r="BT1696" t="str">
        <f>HYPERLINK("https%3A%2F%2Fwww.webofscience.com%2Fwos%2Fwoscc%2Ffull-record%2FWOS:000817872100001","View Full Record in Web of Science")</f>
        <v>View Full Record in Web of Science</v>
      </c>
    </row>
    <row r="1697" spans="1:72" x14ac:dyDescent="0.25">
      <c r="A1697" t="s">
        <v>72</v>
      </c>
      <c r="B1697" t="s">
        <v>23437</v>
      </c>
      <c r="C1697" t="s">
        <v>74</v>
      </c>
      <c r="D1697" t="s">
        <v>74</v>
      </c>
      <c r="E1697" t="s">
        <v>74</v>
      </c>
      <c r="F1697" t="s">
        <v>23436</v>
      </c>
      <c r="G1697" t="s">
        <v>74</v>
      </c>
      <c r="H1697" t="s">
        <v>74</v>
      </c>
      <c r="I1697" t="s">
        <v>23435</v>
      </c>
      <c r="J1697" t="s">
        <v>493</v>
      </c>
      <c r="K1697" t="s">
        <v>74</v>
      </c>
      <c r="L1697" t="s">
        <v>74</v>
      </c>
      <c r="M1697" t="s">
        <v>78</v>
      </c>
      <c r="N1697" t="s">
        <v>79</v>
      </c>
      <c r="O1697" t="s">
        <v>74</v>
      </c>
      <c r="P1697" t="s">
        <v>74</v>
      </c>
      <c r="Q1697" t="s">
        <v>74</v>
      </c>
      <c r="R1697" t="s">
        <v>74</v>
      </c>
      <c r="S1697" t="s">
        <v>74</v>
      </c>
      <c r="T1697" t="s">
        <v>23434</v>
      </c>
      <c r="U1697" t="s">
        <v>23433</v>
      </c>
      <c r="V1697" t="s">
        <v>23432</v>
      </c>
      <c r="W1697" t="s">
        <v>23431</v>
      </c>
      <c r="X1697" t="s">
        <v>23430</v>
      </c>
      <c r="Y1697" t="s">
        <v>23429</v>
      </c>
      <c r="Z1697" t="s">
        <v>23428</v>
      </c>
      <c r="AA1697" t="s">
        <v>74</v>
      </c>
      <c r="AB1697" t="s">
        <v>74</v>
      </c>
      <c r="AC1697" t="s">
        <v>23427</v>
      </c>
      <c r="AD1697" t="s">
        <v>23426</v>
      </c>
      <c r="AE1697" t="s">
        <v>23425</v>
      </c>
      <c r="AF1697" t="s">
        <v>74</v>
      </c>
      <c r="AG1697">
        <v>31</v>
      </c>
      <c r="AH1697">
        <v>4</v>
      </c>
      <c r="AI1697">
        <v>5</v>
      </c>
      <c r="AJ1697">
        <v>7</v>
      </c>
      <c r="AK1697">
        <v>33</v>
      </c>
      <c r="AL1697" t="s">
        <v>503</v>
      </c>
      <c r="AM1697" t="s">
        <v>151</v>
      </c>
      <c r="AN1697" t="s">
        <v>504</v>
      </c>
      <c r="AO1697" t="s">
        <v>505</v>
      </c>
      <c r="AP1697" t="s">
        <v>506</v>
      </c>
      <c r="AQ1697" t="s">
        <v>74</v>
      </c>
      <c r="AR1697" t="s">
        <v>507</v>
      </c>
      <c r="AS1697" t="s">
        <v>508</v>
      </c>
      <c r="AT1697" t="s">
        <v>2801</v>
      </c>
      <c r="AU1697">
        <v>2023</v>
      </c>
      <c r="AV1697">
        <v>45</v>
      </c>
      <c r="AW1697">
        <v>3</v>
      </c>
      <c r="AX1697" t="s">
        <v>74</v>
      </c>
      <c r="AY1697" t="s">
        <v>74</v>
      </c>
      <c r="AZ1697" t="s">
        <v>74</v>
      </c>
      <c r="BA1697" t="s">
        <v>74</v>
      </c>
      <c r="BB1697">
        <v>592</v>
      </c>
      <c r="BC1697">
        <v>608</v>
      </c>
      <c r="BD1697" t="s">
        <v>74</v>
      </c>
      <c r="BE1697" t="s">
        <v>23424</v>
      </c>
      <c r="BF1697" t="str">
        <f>HYPERLINK("http://dx.doi.org/10.1016/j.jpolmod.2023.04.005","http://dx.doi.org/10.1016/j.jpolmod.2023.04.005")</f>
        <v>http://dx.doi.org/10.1016/j.jpolmod.2023.04.005</v>
      </c>
      <c r="BG1697" t="s">
        <v>74</v>
      </c>
      <c r="BH1697" t="s">
        <v>700</v>
      </c>
      <c r="BI1697">
        <v>17</v>
      </c>
      <c r="BJ1697" t="s">
        <v>291</v>
      </c>
      <c r="BK1697" t="s">
        <v>99</v>
      </c>
      <c r="BL1697" t="s">
        <v>100</v>
      </c>
      <c r="BM1697" t="s">
        <v>23423</v>
      </c>
      <c r="BN1697" t="s">
        <v>74</v>
      </c>
      <c r="BO1697" t="s">
        <v>74</v>
      </c>
      <c r="BP1697" t="s">
        <v>74</v>
      </c>
      <c r="BQ1697" t="s">
        <v>74</v>
      </c>
      <c r="BR1697" t="s">
        <v>102</v>
      </c>
      <c r="BS1697" t="s">
        <v>23422</v>
      </c>
      <c r="BT1697" t="str">
        <f>HYPERLINK("https%3A%2F%2Fwww.webofscience.com%2Fwos%2Fwoscc%2Ffull-record%2FWOS:001041151300001","View Full Record in Web of Science")</f>
        <v>View Full Record in Web of Science</v>
      </c>
    </row>
    <row r="1698" spans="1:72" x14ac:dyDescent="0.25">
      <c r="A1698" t="s">
        <v>72</v>
      </c>
      <c r="B1698" t="s">
        <v>23421</v>
      </c>
      <c r="C1698" t="s">
        <v>74</v>
      </c>
      <c r="D1698" t="s">
        <v>74</v>
      </c>
      <c r="E1698" t="s">
        <v>74</v>
      </c>
      <c r="F1698" t="s">
        <v>23420</v>
      </c>
      <c r="G1698" t="s">
        <v>74</v>
      </c>
      <c r="H1698" t="s">
        <v>74</v>
      </c>
      <c r="I1698" t="s">
        <v>23419</v>
      </c>
      <c r="J1698" t="s">
        <v>246</v>
      </c>
      <c r="K1698" t="s">
        <v>74</v>
      </c>
      <c r="L1698" t="s">
        <v>74</v>
      </c>
      <c r="M1698" t="s">
        <v>78</v>
      </c>
      <c r="N1698" t="s">
        <v>79</v>
      </c>
      <c r="O1698" t="s">
        <v>74</v>
      </c>
      <c r="P1698" t="s">
        <v>74</v>
      </c>
      <c r="Q1698" t="s">
        <v>74</v>
      </c>
      <c r="R1698" t="s">
        <v>74</v>
      </c>
      <c r="S1698" t="s">
        <v>74</v>
      </c>
      <c r="T1698" t="s">
        <v>23418</v>
      </c>
      <c r="U1698" t="s">
        <v>23417</v>
      </c>
      <c r="V1698" t="s">
        <v>23416</v>
      </c>
      <c r="W1698" t="s">
        <v>23415</v>
      </c>
      <c r="X1698" t="s">
        <v>23414</v>
      </c>
      <c r="Y1698" t="s">
        <v>23413</v>
      </c>
      <c r="Z1698" t="s">
        <v>23412</v>
      </c>
      <c r="AA1698" t="s">
        <v>74</v>
      </c>
      <c r="AB1698" t="s">
        <v>74</v>
      </c>
      <c r="AC1698" t="s">
        <v>23411</v>
      </c>
      <c r="AD1698" t="s">
        <v>23410</v>
      </c>
      <c r="AE1698" t="s">
        <v>23409</v>
      </c>
      <c r="AF1698" t="s">
        <v>74</v>
      </c>
      <c r="AG1698">
        <v>38</v>
      </c>
      <c r="AH1698">
        <v>0</v>
      </c>
      <c r="AI1698">
        <v>0</v>
      </c>
      <c r="AJ1698">
        <v>9</v>
      </c>
      <c r="AK1698">
        <v>9</v>
      </c>
      <c r="AL1698" t="s">
        <v>259</v>
      </c>
      <c r="AM1698" t="s">
        <v>260</v>
      </c>
      <c r="AN1698" t="s">
        <v>261</v>
      </c>
      <c r="AO1698" t="s">
        <v>262</v>
      </c>
      <c r="AP1698" t="s">
        <v>263</v>
      </c>
      <c r="AQ1698" t="s">
        <v>74</v>
      </c>
      <c r="AR1698" t="s">
        <v>264</v>
      </c>
      <c r="AS1698" t="s">
        <v>265</v>
      </c>
      <c r="AT1698" t="s">
        <v>124</v>
      </c>
      <c r="AU1698">
        <v>2025</v>
      </c>
      <c r="AV1698">
        <v>86</v>
      </c>
      <c r="AW1698" t="s">
        <v>74</v>
      </c>
      <c r="AX1698" t="s">
        <v>23408</v>
      </c>
      <c r="AY1698" t="s">
        <v>74</v>
      </c>
      <c r="AZ1698" t="s">
        <v>74</v>
      </c>
      <c r="BA1698" t="s">
        <v>74</v>
      </c>
      <c r="BB1698" t="s">
        <v>74</v>
      </c>
      <c r="BC1698" t="s">
        <v>74</v>
      </c>
      <c r="BD1698">
        <v>108858</v>
      </c>
      <c r="BE1698" t="s">
        <v>23407</v>
      </c>
      <c r="BF1698" t="str">
        <f>HYPERLINK("http://dx.doi.org/10.1016/j.frl.2025.108858","http://dx.doi.org/10.1016/j.frl.2025.108858")</f>
        <v>http://dx.doi.org/10.1016/j.frl.2025.108858</v>
      </c>
      <c r="BG1698" t="s">
        <v>74</v>
      </c>
      <c r="BH1698" t="s">
        <v>2044</v>
      </c>
      <c r="BI1698">
        <v>11</v>
      </c>
      <c r="BJ1698" t="s">
        <v>268</v>
      </c>
      <c r="BK1698" t="s">
        <v>99</v>
      </c>
      <c r="BL1698" t="s">
        <v>100</v>
      </c>
      <c r="BM1698" t="s">
        <v>23406</v>
      </c>
      <c r="BN1698" t="s">
        <v>74</v>
      </c>
      <c r="BO1698" t="s">
        <v>74</v>
      </c>
      <c r="BP1698" t="s">
        <v>74</v>
      </c>
      <c r="BQ1698" t="s">
        <v>74</v>
      </c>
      <c r="BR1698" t="s">
        <v>102</v>
      </c>
      <c r="BS1698" t="s">
        <v>23405</v>
      </c>
      <c r="BT1698" t="str">
        <f>HYPERLINK("https%3A%2F%2Fwww.webofscience.com%2Fwos%2Fwoscc%2Ffull-record%2FWOS:001619269900004","View Full Record in Web of Science")</f>
        <v>View Full Record in Web of Science</v>
      </c>
    </row>
    <row r="1699" spans="1:72" x14ac:dyDescent="0.25">
      <c r="A1699" t="s">
        <v>72</v>
      </c>
      <c r="B1699" t="s">
        <v>23404</v>
      </c>
      <c r="C1699" t="s">
        <v>74</v>
      </c>
      <c r="D1699" t="s">
        <v>74</v>
      </c>
      <c r="E1699" t="s">
        <v>74</v>
      </c>
      <c r="F1699" t="s">
        <v>23403</v>
      </c>
      <c r="G1699" t="s">
        <v>74</v>
      </c>
      <c r="H1699" t="s">
        <v>74</v>
      </c>
      <c r="I1699" t="s">
        <v>23402</v>
      </c>
      <c r="J1699" t="s">
        <v>14448</v>
      </c>
      <c r="K1699" t="s">
        <v>74</v>
      </c>
      <c r="L1699" t="s">
        <v>74</v>
      </c>
      <c r="M1699" t="s">
        <v>78</v>
      </c>
      <c r="N1699" t="s">
        <v>79</v>
      </c>
      <c r="O1699" t="s">
        <v>74</v>
      </c>
      <c r="P1699" t="s">
        <v>74</v>
      </c>
      <c r="Q1699" t="s">
        <v>74</v>
      </c>
      <c r="R1699" t="s">
        <v>74</v>
      </c>
      <c r="S1699" t="s">
        <v>74</v>
      </c>
      <c r="T1699" t="s">
        <v>23401</v>
      </c>
      <c r="U1699" t="s">
        <v>23400</v>
      </c>
      <c r="V1699" t="s">
        <v>23399</v>
      </c>
      <c r="W1699" t="s">
        <v>23398</v>
      </c>
      <c r="X1699" t="s">
        <v>23397</v>
      </c>
      <c r="Y1699" t="s">
        <v>23396</v>
      </c>
      <c r="Z1699" t="s">
        <v>23395</v>
      </c>
      <c r="AA1699" t="s">
        <v>23394</v>
      </c>
      <c r="AB1699" t="s">
        <v>23393</v>
      </c>
      <c r="AC1699" t="s">
        <v>74</v>
      </c>
      <c r="AD1699" t="s">
        <v>74</v>
      </c>
      <c r="AE1699" t="s">
        <v>74</v>
      </c>
      <c r="AF1699" t="s">
        <v>74</v>
      </c>
      <c r="AG1699">
        <v>134</v>
      </c>
      <c r="AH1699">
        <v>73</v>
      </c>
      <c r="AI1699">
        <v>92</v>
      </c>
      <c r="AJ1699">
        <v>26</v>
      </c>
      <c r="AK1699">
        <v>86</v>
      </c>
      <c r="AL1699" t="s">
        <v>4485</v>
      </c>
      <c r="AM1699" t="s">
        <v>6724</v>
      </c>
      <c r="AN1699" t="s">
        <v>6725</v>
      </c>
      <c r="AO1699" t="s">
        <v>14458</v>
      </c>
      <c r="AP1699" t="s">
        <v>14459</v>
      </c>
      <c r="AQ1699" t="s">
        <v>74</v>
      </c>
      <c r="AR1699" t="s">
        <v>14460</v>
      </c>
      <c r="AS1699" t="s">
        <v>14461</v>
      </c>
      <c r="AT1699" t="s">
        <v>868</v>
      </c>
      <c r="AU1699">
        <v>2023</v>
      </c>
      <c r="AV1699">
        <v>421</v>
      </c>
      <c r="AW1699" t="s">
        <v>74</v>
      </c>
      <c r="AX1699" t="s">
        <v>74</v>
      </c>
      <c r="AY1699" t="s">
        <v>74</v>
      </c>
      <c r="AZ1699" t="s">
        <v>74</v>
      </c>
      <c r="BA1699" t="s">
        <v>74</v>
      </c>
      <c r="BB1699" t="s">
        <v>74</v>
      </c>
      <c r="BC1699" t="s">
        <v>74</v>
      </c>
      <c r="BD1699">
        <v>137658</v>
      </c>
      <c r="BE1699" t="s">
        <v>23392</v>
      </c>
      <c r="BF1699" t="str">
        <f>HYPERLINK("http://dx.doi.org/10.1016/j.jclepro.2023.137658","http://dx.doi.org/10.1016/j.jclepro.2023.137658")</f>
        <v>http://dx.doi.org/10.1016/j.jclepro.2023.137658</v>
      </c>
      <c r="BG1699" t="s">
        <v>74</v>
      </c>
      <c r="BH1699" t="s">
        <v>7993</v>
      </c>
      <c r="BI1699">
        <v>15</v>
      </c>
      <c r="BJ1699" t="s">
        <v>14463</v>
      </c>
      <c r="BK1699" t="s">
        <v>128</v>
      </c>
      <c r="BL1699" t="s">
        <v>14464</v>
      </c>
      <c r="BM1699" t="s">
        <v>23391</v>
      </c>
      <c r="BN1699" t="s">
        <v>74</v>
      </c>
      <c r="BO1699" t="s">
        <v>74</v>
      </c>
      <c r="BP1699" t="s">
        <v>74</v>
      </c>
      <c r="BQ1699" t="s">
        <v>74</v>
      </c>
      <c r="BR1699" t="s">
        <v>102</v>
      </c>
      <c r="BS1699" t="s">
        <v>23390</v>
      </c>
      <c r="BT1699" t="str">
        <f>HYPERLINK("https%3A%2F%2Fwww.webofscience.com%2Fwos%2Fwoscc%2Ffull-record%2FWOS:001071183800001","View Full Record in Web of Science")</f>
        <v>View Full Record in Web of Science</v>
      </c>
    </row>
    <row r="1700" spans="1:72" x14ac:dyDescent="0.25">
      <c r="A1700" t="s">
        <v>132</v>
      </c>
      <c r="B1700" t="s">
        <v>23389</v>
      </c>
      <c r="C1700" t="s">
        <v>74</v>
      </c>
      <c r="D1700" t="s">
        <v>74</v>
      </c>
      <c r="E1700" t="s">
        <v>1551</v>
      </c>
      <c r="F1700" t="s">
        <v>23388</v>
      </c>
      <c r="G1700" t="s">
        <v>74</v>
      </c>
      <c r="H1700" t="s">
        <v>74</v>
      </c>
      <c r="I1700" t="s">
        <v>23387</v>
      </c>
      <c r="J1700" t="s">
        <v>23386</v>
      </c>
      <c r="K1700" t="s">
        <v>74</v>
      </c>
      <c r="L1700" t="s">
        <v>74</v>
      </c>
      <c r="M1700" t="s">
        <v>78</v>
      </c>
      <c r="N1700" t="s">
        <v>138</v>
      </c>
      <c r="O1700" t="s">
        <v>23385</v>
      </c>
      <c r="P1700" t="s">
        <v>23384</v>
      </c>
      <c r="Q1700" t="s">
        <v>23383</v>
      </c>
      <c r="R1700" t="s">
        <v>23382</v>
      </c>
      <c r="S1700" t="s">
        <v>23381</v>
      </c>
      <c r="T1700" t="s">
        <v>23380</v>
      </c>
      <c r="U1700" t="s">
        <v>23379</v>
      </c>
      <c r="V1700" t="s">
        <v>23378</v>
      </c>
      <c r="W1700" t="s">
        <v>23377</v>
      </c>
      <c r="X1700" t="s">
        <v>19037</v>
      </c>
      <c r="Y1700" t="s">
        <v>23376</v>
      </c>
      <c r="Z1700" t="s">
        <v>23375</v>
      </c>
      <c r="AA1700" t="s">
        <v>74</v>
      </c>
      <c r="AB1700" t="s">
        <v>74</v>
      </c>
      <c r="AC1700" t="s">
        <v>74</v>
      </c>
      <c r="AD1700" t="s">
        <v>74</v>
      </c>
      <c r="AE1700" t="s">
        <v>74</v>
      </c>
      <c r="AF1700" t="s">
        <v>74</v>
      </c>
      <c r="AG1700">
        <v>36</v>
      </c>
      <c r="AH1700">
        <v>0</v>
      </c>
      <c r="AI1700">
        <v>0</v>
      </c>
      <c r="AJ1700">
        <v>0</v>
      </c>
      <c r="AK1700">
        <v>0</v>
      </c>
      <c r="AL1700" t="s">
        <v>150</v>
      </c>
      <c r="AM1700" t="s">
        <v>151</v>
      </c>
      <c r="AN1700" t="s">
        <v>152</v>
      </c>
      <c r="AO1700" t="s">
        <v>74</v>
      </c>
      <c r="AP1700" t="s">
        <v>74</v>
      </c>
      <c r="AQ1700" t="s">
        <v>23374</v>
      </c>
      <c r="AR1700" t="s">
        <v>74</v>
      </c>
      <c r="AS1700" t="s">
        <v>74</v>
      </c>
      <c r="AT1700" t="s">
        <v>74</v>
      </c>
      <c r="AU1700">
        <v>2019</v>
      </c>
      <c r="AV1700" t="s">
        <v>74</v>
      </c>
      <c r="AW1700" t="s">
        <v>74</v>
      </c>
      <c r="AX1700" t="s">
        <v>74</v>
      </c>
      <c r="AY1700" t="s">
        <v>74</v>
      </c>
      <c r="AZ1700" t="s">
        <v>74</v>
      </c>
      <c r="BA1700" t="s">
        <v>74</v>
      </c>
      <c r="BB1700" t="s">
        <v>74</v>
      </c>
      <c r="BC1700" t="s">
        <v>74</v>
      </c>
      <c r="BD1700" t="s">
        <v>74</v>
      </c>
      <c r="BE1700" t="s">
        <v>23373</v>
      </c>
      <c r="BF1700" t="str">
        <f>HYPERLINK("http://dx.doi.org/10.1145/3287098.3287123","http://dx.doi.org/10.1145/3287098.3287123")</f>
        <v>http://dx.doi.org/10.1145/3287098.3287123</v>
      </c>
      <c r="BG1700" t="s">
        <v>74</v>
      </c>
      <c r="BH1700" t="s">
        <v>74</v>
      </c>
      <c r="BI1700">
        <v>6</v>
      </c>
      <c r="BJ1700" t="s">
        <v>5262</v>
      </c>
      <c r="BK1700" t="s">
        <v>156</v>
      </c>
      <c r="BL1700" t="s">
        <v>1023</v>
      </c>
      <c r="BM1700" t="s">
        <v>23372</v>
      </c>
      <c r="BN1700" t="s">
        <v>74</v>
      </c>
      <c r="BO1700" t="s">
        <v>916</v>
      </c>
      <c r="BP1700" t="s">
        <v>74</v>
      </c>
      <c r="BQ1700" t="s">
        <v>74</v>
      </c>
      <c r="BR1700" t="s">
        <v>102</v>
      </c>
      <c r="BS1700" t="s">
        <v>23371</v>
      </c>
      <c r="BT1700" t="str">
        <f>HYPERLINK("https%3A%2F%2Fwww.webofscience.com%2Fwos%2Fwoscc%2Ffull-record%2FWOS:000478678100027","View Full Record in Web of Science")</f>
        <v>View Full Record in Web of Science</v>
      </c>
    </row>
    <row r="1701" spans="1:72" x14ac:dyDescent="0.25">
      <c r="A1701" t="s">
        <v>72</v>
      </c>
      <c r="B1701" t="s">
        <v>23370</v>
      </c>
      <c r="C1701" t="s">
        <v>74</v>
      </c>
      <c r="D1701" t="s">
        <v>74</v>
      </c>
      <c r="E1701" t="s">
        <v>74</v>
      </c>
      <c r="F1701" t="s">
        <v>23369</v>
      </c>
      <c r="G1701" t="s">
        <v>74</v>
      </c>
      <c r="H1701" t="s">
        <v>74</v>
      </c>
      <c r="I1701" t="s">
        <v>23368</v>
      </c>
      <c r="J1701" t="s">
        <v>23367</v>
      </c>
      <c r="K1701" t="s">
        <v>74</v>
      </c>
      <c r="L1701" t="s">
        <v>74</v>
      </c>
      <c r="M1701" t="s">
        <v>78</v>
      </c>
      <c r="N1701" t="s">
        <v>1766</v>
      </c>
      <c r="O1701" t="s">
        <v>74</v>
      </c>
      <c r="P1701" t="s">
        <v>74</v>
      </c>
      <c r="Q1701" t="s">
        <v>74</v>
      </c>
      <c r="R1701" t="s">
        <v>74</v>
      </c>
      <c r="S1701" t="s">
        <v>74</v>
      </c>
      <c r="T1701" t="s">
        <v>23366</v>
      </c>
      <c r="U1701" t="s">
        <v>74</v>
      </c>
      <c r="V1701" t="s">
        <v>23365</v>
      </c>
      <c r="W1701" t="s">
        <v>23364</v>
      </c>
      <c r="X1701" t="s">
        <v>23363</v>
      </c>
      <c r="Y1701" t="s">
        <v>23362</v>
      </c>
      <c r="Z1701" t="s">
        <v>23361</v>
      </c>
      <c r="AA1701" t="s">
        <v>74</v>
      </c>
      <c r="AB1701" t="s">
        <v>23360</v>
      </c>
      <c r="AC1701" t="s">
        <v>23359</v>
      </c>
      <c r="AD1701" t="s">
        <v>23359</v>
      </c>
      <c r="AE1701" t="s">
        <v>23358</v>
      </c>
      <c r="AF1701" t="s">
        <v>74</v>
      </c>
      <c r="AG1701">
        <v>49</v>
      </c>
      <c r="AH1701">
        <v>3</v>
      </c>
      <c r="AI1701">
        <v>4</v>
      </c>
      <c r="AJ1701">
        <v>6</v>
      </c>
      <c r="AK1701">
        <v>7</v>
      </c>
      <c r="AL1701" t="s">
        <v>575</v>
      </c>
      <c r="AM1701" t="s">
        <v>576</v>
      </c>
      <c r="AN1701" t="s">
        <v>577</v>
      </c>
      <c r="AO1701" t="s">
        <v>74</v>
      </c>
      <c r="AP1701" t="s">
        <v>23357</v>
      </c>
      <c r="AQ1701" t="s">
        <v>74</v>
      </c>
      <c r="AR1701" t="s">
        <v>23356</v>
      </c>
      <c r="AS1701" t="s">
        <v>23355</v>
      </c>
      <c r="AT1701" t="s">
        <v>20394</v>
      </c>
      <c r="AU1701">
        <v>2025</v>
      </c>
      <c r="AV1701">
        <v>6</v>
      </c>
      <c r="AW1701">
        <v>2</v>
      </c>
      <c r="AX1701" t="s">
        <v>74</v>
      </c>
      <c r="AY1701" t="s">
        <v>74</v>
      </c>
      <c r="AZ1701" t="s">
        <v>74</v>
      </c>
      <c r="BA1701" t="s">
        <v>74</v>
      </c>
      <c r="BB1701" t="s">
        <v>74</v>
      </c>
      <c r="BC1701" t="s">
        <v>74</v>
      </c>
      <c r="BD1701">
        <v>44</v>
      </c>
      <c r="BE1701" t="s">
        <v>23354</v>
      </c>
      <c r="BF1701" t="str">
        <f>HYPERLINK("http://dx.doi.org/10.3390/world6020044","http://dx.doi.org/10.3390/world6020044")</f>
        <v>http://dx.doi.org/10.3390/world6020044</v>
      </c>
      <c r="BG1701" t="s">
        <v>74</v>
      </c>
      <c r="BH1701" t="s">
        <v>74</v>
      </c>
      <c r="BI1701">
        <v>22</v>
      </c>
      <c r="BJ1701" t="s">
        <v>23353</v>
      </c>
      <c r="BK1701" t="s">
        <v>313</v>
      </c>
      <c r="BL1701" t="s">
        <v>23352</v>
      </c>
      <c r="BM1701" t="s">
        <v>23351</v>
      </c>
      <c r="BN1701" t="s">
        <v>74</v>
      </c>
      <c r="BO1701" t="s">
        <v>212</v>
      </c>
      <c r="BP1701" t="s">
        <v>74</v>
      </c>
      <c r="BQ1701" t="s">
        <v>74</v>
      </c>
      <c r="BR1701" t="s">
        <v>102</v>
      </c>
      <c r="BS1701" t="s">
        <v>23350</v>
      </c>
      <c r="BT1701" t="str">
        <f>HYPERLINK("https%3A%2F%2Fwww.webofscience.com%2Fwos%2Fwoscc%2Ffull-record%2FWOS:001514681700001","View Full Record in Web of Science")</f>
        <v>View Full Record in Web of Science</v>
      </c>
    </row>
    <row r="1702" spans="1:72" x14ac:dyDescent="0.25">
      <c r="A1702" t="s">
        <v>72</v>
      </c>
      <c r="B1702" t="s">
        <v>23349</v>
      </c>
      <c r="C1702" t="s">
        <v>74</v>
      </c>
      <c r="D1702" t="s">
        <v>74</v>
      </c>
      <c r="E1702" t="s">
        <v>74</v>
      </c>
      <c r="F1702" t="s">
        <v>23348</v>
      </c>
      <c r="G1702" t="s">
        <v>74</v>
      </c>
      <c r="H1702" t="s">
        <v>74</v>
      </c>
      <c r="I1702" t="s">
        <v>23347</v>
      </c>
      <c r="J1702" t="s">
        <v>23346</v>
      </c>
      <c r="K1702" t="s">
        <v>74</v>
      </c>
      <c r="L1702" t="s">
        <v>74</v>
      </c>
      <c r="M1702" t="s">
        <v>78</v>
      </c>
      <c r="N1702" t="s">
        <v>79</v>
      </c>
      <c r="O1702" t="s">
        <v>74</v>
      </c>
      <c r="P1702" t="s">
        <v>74</v>
      </c>
      <c r="Q1702" t="s">
        <v>74</v>
      </c>
      <c r="R1702" t="s">
        <v>74</v>
      </c>
      <c r="S1702" t="s">
        <v>74</v>
      </c>
      <c r="T1702" t="s">
        <v>23345</v>
      </c>
      <c r="U1702" t="s">
        <v>23344</v>
      </c>
      <c r="V1702" t="s">
        <v>23343</v>
      </c>
      <c r="W1702" t="s">
        <v>23342</v>
      </c>
      <c r="X1702" t="s">
        <v>7032</v>
      </c>
      <c r="Y1702" t="s">
        <v>23341</v>
      </c>
      <c r="Z1702" t="s">
        <v>16064</v>
      </c>
      <c r="AA1702" t="s">
        <v>13483</v>
      </c>
      <c r="AB1702" t="s">
        <v>13484</v>
      </c>
      <c r="AC1702" t="s">
        <v>74</v>
      </c>
      <c r="AD1702" t="s">
        <v>74</v>
      </c>
      <c r="AE1702" t="s">
        <v>74</v>
      </c>
      <c r="AF1702" t="s">
        <v>74</v>
      </c>
      <c r="AG1702">
        <v>82</v>
      </c>
      <c r="AH1702">
        <v>27</v>
      </c>
      <c r="AI1702">
        <v>38</v>
      </c>
      <c r="AJ1702">
        <v>2</v>
      </c>
      <c r="AK1702">
        <v>34</v>
      </c>
      <c r="AL1702" t="s">
        <v>89</v>
      </c>
      <c r="AM1702" t="s">
        <v>1497</v>
      </c>
      <c r="AN1702" t="s">
        <v>1498</v>
      </c>
      <c r="AO1702" t="s">
        <v>23340</v>
      </c>
      <c r="AP1702" t="s">
        <v>23339</v>
      </c>
      <c r="AQ1702" t="s">
        <v>74</v>
      </c>
      <c r="AR1702" t="s">
        <v>23338</v>
      </c>
      <c r="AS1702" t="s">
        <v>23337</v>
      </c>
      <c r="AT1702" t="s">
        <v>16750</v>
      </c>
      <c r="AU1702">
        <v>2020</v>
      </c>
      <c r="AV1702">
        <v>16</v>
      </c>
      <c r="AW1702">
        <v>8</v>
      </c>
      <c r="AX1702" t="s">
        <v>74</v>
      </c>
      <c r="AY1702" t="s">
        <v>74</v>
      </c>
      <c r="AZ1702" t="s">
        <v>74</v>
      </c>
      <c r="BA1702" t="s">
        <v>74</v>
      </c>
      <c r="BB1702">
        <v>1215</v>
      </c>
      <c r="BC1702">
        <v>1237</v>
      </c>
      <c r="BD1702" t="s">
        <v>74</v>
      </c>
      <c r="BE1702" t="s">
        <v>23336</v>
      </c>
      <c r="BF1702" t="str">
        <f>HYPERLINK("http://dx.doi.org/10.1108/SRJ-01-2019-0011","http://dx.doi.org/10.1108/SRJ-01-2019-0011")</f>
        <v>http://dx.doi.org/10.1108/SRJ-01-2019-0011</v>
      </c>
      <c r="BG1702" t="s">
        <v>74</v>
      </c>
      <c r="BH1702" t="s">
        <v>74</v>
      </c>
      <c r="BI1702">
        <v>23</v>
      </c>
      <c r="BJ1702" t="s">
        <v>583</v>
      </c>
      <c r="BK1702" t="s">
        <v>313</v>
      </c>
      <c r="BL1702" t="s">
        <v>100</v>
      </c>
      <c r="BM1702" t="s">
        <v>23335</v>
      </c>
      <c r="BN1702" t="s">
        <v>74</v>
      </c>
      <c r="BO1702" t="s">
        <v>74</v>
      </c>
      <c r="BP1702" t="s">
        <v>74</v>
      </c>
      <c r="BQ1702" t="s">
        <v>74</v>
      </c>
      <c r="BR1702" t="s">
        <v>102</v>
      </c>
      <c r="BS1702" t="s">
        <v>23334</v>
      </c>
      <c r="BT1702" t="str">
        <f>HYPERLINK("https%3A%2F%2Fwww.webofscience.com%2Fwos%2Fwoscc%2Ffull-record%2FWOS:000586341900009","View Full Record in Web of Science")</f>
        <v>View Full Record in Web of Science</v>
      </c>
    </row>
    <row r="1703" spans="1:72" x14ac:dyDescent="0.25">
      <c r="A1703" t="s">
        <v>72</v>
      </c>
      <c r="B1703" t="s">
        <v>23333</v>
      </c>
      <c r="C1703" t="s">
        <v>74</v>
      </c>
      <c r="D1703" t="s">
        <v>74</v>
      </c>
      <c r="E1703" t="s">
        <v>74</v>
      </c>
      <c r="F1703" t="s">
        <v>23332</v>
      </c>
      <c r="G1703" t="s">
        <v>74</v>
      </c>
      <c r="H1703" t="s">
        <v>74</v>
      </c>
      <c r="I1703" t="s">
        <v>23331</v>
      </c>
      <c r="J1703" t="s">
        <v>1143</v>
      </c>
      <c r="K1703" t="s">
        <v>74</v>
      </c>
      <c r="L1703" t="s">
        <v>74</v>
      </c>
      <c r="M1703" t="s">
        <v>78</v>
      </c>
      <c r="N1703" t="s">
        <v>79</v>
      </c>
      <c r="O1703" t="s">
        <v>74</v>
      </c>
      <c r="P1703" t="s">
        <v>74</v>
      </c>
      <c r="Q1703" t="s">
        <v>74</v>
      </c>
      <c r="R1703" t="s">
        <v>74</v>
      </c>
      <c r="S1703" t="s">
        <v>74</v>
      </c>
      <c r="T1703" t="s">
        <v>23330</v>
      </c>
      <c r="U1703" t="s">
        <v>23329</v>
      </c>
      <c r="V1703" t="s">
        <v>23328</v>
      </c>
      <c r="W1703" t="s">
        <v>23327</v>
      </c>
      <c r="X1703" t="s">
        <v>23326</v>
      </c>
      <c r="Y1703" t="s">
        <v>23325</v>
      </c>
      <c r="Z1703" t="s">
        <v>23324</v>
      </c>
      <c r="AA1703" t="s">
        <v>23323</v>
      </c>
      <c r="AB1703" t="s">
        <v>74</v>
      </c>
      <c r="AC1703" t="s">
        <v>74</v>
      </c>
      <c r="AD1703" t="s">
        <v>74</v>
      </c>
      <c r="AE1703" t="s">
        <v>74</v>
      </c>
      <c r="AF1703" t="s">
        <v>74</v>
      </c>
      <c r="AG1703">
        <v>138</v>
      </c>
      <c r="AH1703">
        <v>2</v>
      </c>
      <c r="AI1703">
        <v>3</v>
      </c>
      <c r="AJ1703">
        <v>16</v>
      </c>
      <c r="AK1703">
        <v>36</v>
      </c>
      <c r="AL1703" t="s">
        <v>385</v>
      </c>
      <c r="AM1703" t="s">
        <v>1153</v>
      </c>
      <c r="AN1703" t="s">
        <v>1154</v>
      </c>
      <c r="AO1703" t="s">
        <v>1155</v>
      </c>
      <c r="AP1703" t="s">
        <v>1156</v>
      </c>
      <c r="AQ1703" t="s">
        <v>74</v>
      </c>
      <c r="AR1703" t="s">
        <v>1157</v>
      </c>
      <c r="AS1703" t="s">
        <v>1158</v>
      </c>
      <c r="AT1703" t="s">
        <v>208</v>
      </c>
      <c r="AU1703">
        <v>2025</v>
      </c>
      <c r="AV1703">
        <v>176</v>
      </c>
      <c r="AW1703">
        <v>2</v>
      </c>
      <c r="AX1703" t="s">
        <v>74</v>
      </c>
      <c r="AY1703" t="s">
        <v>74</v>
      </c>
      <c r="AZ1703" t="s">
        <v>74</v>
      </c>
      <c r="BA1703" t="s">
        <v>74</v>
      </c>
      <c r="BB1703">
        <v>533</v>
      </c>
      <c r="BC1703">
        <v>567</v>
      </c>
      <c r="BD1703" t="s">
        <v>74</v>
      </c>
      <c r="BE1703" t="s">
        <v>23322</v>
      </c>
      <c r="BF1703" t="str">
        <f>HYPERLINK("http://dx.doi.org/10.1007/s11205-024-03476-8","http://dx.doi.org/10.1007/s11205-024-03476-8")</f>
        <v>http://dx.doi.org/10.1007/s11205-024-03476-8</v>
      </c>
      <c r="BG1703" t="s">
        <v>74</v>
      </c>
      <c r="BH1703" t="s">
        <v>267</v>
      </c>
      <c r="BI1703">
        <v>35</v>
      </c>
      <c r="BJ1703" t="s">
        <v>1161</v>
      </c>
      <c r="BK1703" t="s">
        <v>99</v>
      </c>
      <c r="BL1703" t="s">
        <v>1162</v>
      </c>
      <c r="BM1703" t="s">
        <v>23321</v>
      </c>
      <c r="BN1703" t="s">
        <v>74</v>
      </c>
      <c r="BO1703" t="s">
        <v>74</v>
      </c>
      <c r="BP1703" t="s">
        <v>74</v>
      </c>
      <c r="BQ1703" t="s">
        <v>74</v>
      </c>
      <c r="BR1703" t="s">
        <v>102</v>
      </c>
      <c r="BS1703" t="s">
        <v>23320</v>
      </c>
      <c r="BT1703" t="str">
        <f>HYPERLINK("https%3A%2F%2Fwww.webofscience.com%2Fwos%2Fwoscc%2Ffull-record%2FWOS:001360893800001","View Full Record in Web of Science")</f>
        <v>View Full Record in Web of Science</v>
      </c>
    </row>
    <row r="1704" spans="1:72" x14ac:dyDescent="0.25">
      <c r="A1704" t="s">
        <v>72</v>
      </c>
      <c r="B1704" t="s">
        <v>23319</v>
      </c>
      <c r="C1704" t="s">
        <v>74</v>
      </c>
      <c r="D1704" t="s">
        <v>74</v>
      </c>
      <c r="E1704" t="s">
        <v>74</v>
      </c>
      <c r="F1704" t="s">
        <v>23318</v>
      </c>
      <c r="G1704" t="s">
        <v>74</v>
      </c>
      <c r="H1704" t="s">
        <v>74</v>
      </c>
      <c r="I1704" t="s">
        <v>23317</v>
      </c>
      <c r="J1704" t="s">
        <v>23316</v>
      </c>
      <c r="K1704" t="s">
        <v>74</v>
      </c>
      <c r="L1704" t="s">
        <v>74</v>
      </c>
      <c r="M1704" t="s">
        <v>78</v>
      </c>
      <c r="N1704" t="s">
        <v>372</v>
      </c>
      <c r="O1704" t="s">
        <v>74</v>
      </c>
      <c r="P1704" t="s">
        <v>74</v>
      </c>
      <c r="Q1704" t="s">
        <v>74</v>
      </c>
      <c r="R1704" t="s">
        <v>74</v>
      </c>
      <c r="S1704" t="s">
        <v>74</v>
      </c>
      <c r="T1704" t="s">
        <v>23315</v>
      </c>
      <c r="U1704" t="s">
        <v>74</v>
      </c>
      <c r="V1704" t="s">
        <v>23314</v>
      </c>
      <c r="W1704" t="s">
        <v>23313</v>
      </c>
      <c r="X1704" t="s">
        <v>74</v>
      </c>
      <c r="Y1704" t="s">
        <v>23312</v>
      </c>
      <c r="Z1704" t="s">
        <v>23311</v>
      </c>
      <c r="AA1704" t="s">
        <v>74</v>
      </c>
      <c r="AB1704" t="s">
        <v>74</v>
      </c>
      <c r="AC1704" t="s">
        <v>74</v>
      </c>
      <c r="AD1704" t="s">
        <v>74</v>
      </c>
      <c r="AE1704" t="s">
        <v>74</v>
      </c>
      <c r="AF1704" t="s">
        <v>74</v>
      </c>
      <c r="AG1704">
        <v>30</v>
      </c>
      <c r="AH1704">
        <v>0</v>
      </c>
      <c r="AI1704">
        <v>0</v>
      </c>
      <c r="AJ1704">
        <v>0</v>
      </c>
      <c r="AK1704">
        <v>0</v>
      </c>
      <c r="AL1704" t="s">
        <v>823</v>
      </c>
      <c r="AM1704" t="s">
        <v>333</v>
      </c>
      <c r="AN1704" t="s">
        <v>824</v>
      </c>
      <c r="AO1704" t="s">
        <v>23310</v>
      </c>
      <c r="AP1704" t="s">
        <v>23309</v>
      </c>
      <c r="AQ1704" t="s">
        <v>74</v>
      </c>
      <c r="AR1704" t="s">
        <v>23308</v>
      </c>
      <c r="AS1704" t="s">
        <v>23307</v>
      </c>
      <c r="AT1704" t="s">
        <v>23306</v>
      </c>
      <c r="AU1704">
        <v>2025</v>
      </c>
      <c r="AV1704" t="s">
        <v>74</v>
      </c>
      <c r="AW1704" t="s">
        <v>74</v>
      </c>
      <c r="AX1704" t="s">
        <v>74</v>
      </c>
      <c r="AY1704" t="s">
        <v>74</v>
      </c>
      <c r="AZ1704" t="s">
        <v>74</v>
      </c>
      <c r="BA1704" t="s">
        <v>74</v>
      </c>
      <c r="BB1704" t="s">
        <v>74</v>
      </c>
      <c r="BC1704" t="s">
        <v>74</v>
      </c>
      <c r="BD1704" t="s">
        <v>74</v>
      </c>
      <c r="BE1704" t="s">
        <v>23305</v>
      </c>
      <c r="BF1704" t="str">
        <f>HYPERLINK("http://dx.doi.org/10.1080/26437015.2025.2589426","http://dx.doi.org/10.1080/26437015.2025.2589426")</f>
        <v>http://dx.doi.org/10.1080/26437015.2025.2589426</v>
      </c>
      <c r="BG1704" t="s">
        <v>74</v>
      </c>
      <c r="BH1704" t="s">
        <v>488</v>
      </c>
      <c r="BI1704">
        <v>13</v>
      </c>
      <c r="BJ1704" t="s">
        <v>98</v>
      </c>
      <c r="BK1704" t="s">
        <v>313</v>
      </c>
      <c r="BL1704" t="s">
        <v>100</v>
      </c>
      <c r="BM1704" t="s">
        <v>23304</v>
      </c>
      <c r="BN1704" t="s">
        <v>74</v>
      </c>
      <c r="BO1704" t="s">
        <v>74</v>
      </c>
      <c r="BP1704" t="s">
        <v>74</v>
      </c>
      <c r="BQ1704" t="s">
        <v>74</v>
      </c>
      <c r="BR1704" t="s">
        <v>102</v>
      </c>
      <c r="BS1704" t="s">
        <v>23303</v>
      </c>
      <c r="BT1704" t="str">
        <f>HYPERLINK("https%3A%2F%2Fwww.webofscience.com%2Fwos%2Fwoscc%2Ffull-record%2FWOS:001628522800001","View Full Record in Web of Science")</f>
        <v>View Full Record in Web of Science</v>
      </c>
    </row>
    <row r="1705" spans="1:72" x14ac:dyDescent="0.25">
      <c r="A1705" t="s">
        <v>72</v>
      </c>
      <c r="B1705" t="s">
        <v>23302</v>
      </c>
      <c r="C1705" t="s">
        <v>74</v>
      </c>
      <c r="D1705" t="s">
        <v>74</v>
      </c>
      <c r="E1705" t="s">
        <v>74</v>
      </c>
      <c r="F1705" t="s">
        <v>23301</v>
      </c>
      <c r="G1705" t="s">
        <v>74</v>
      </c>
      <c r="H1705" t="s">
        <v>74</v>
      </c>
      <c r="I1705" t="s">
        <v>23300</v>
      </c>
      <c r="J1705" t="s">
        <v>13564</v>
      </c>
      <c r="K1705" t="s">
        <v>74</v>
      </c>
      <c r="L1705" t="s">
        <v>74</v>
      </c>
      <c r="M1705" t="s">
        <v>78</v>
      </c>
      <c r="N1705" t="s">
        <v>79</v>
      </c>
      <c r="O1705" t="s">
        <v>74</v>
      </c>
      <c r="P1705" t="s">
        <v>74</v>
      </c>
      <c r="Q1705" t="s">
        <v>74</v>
      </c>
      <c r="R1705" t="s">
        <v>74</v>
      </c>
      <c r="S1705" t="s">
        <v>74</v>
      </c>
      <c r="T1705" t="s">
        <v>23299</v>
      </c>
      <c r="U1705" t="s">
        <v>23298</v>
      </c>
      <c r="V1705" t="s">
        <v>23297</v>
      </c>
      <c r="W1705" t="s">
        <v>23296</v>
      </c>
      <c r="X1705" t="s">
        <v>23295</v>
      </c>
      <c r="Y1705" t="s">
        <v>23294</v>
      </c>
      <c r="Z1705" t="s">
        <v>23293</v>
      </c>
      <c r="AA1705" t="s">
        <v>23292</v>
      </c>
      <c r="AB1705" t="s">
        <v>74</v>
      </c>
      <c r="AC1705" t="s">
        <v>23291</v>
      </c>
      <c r="AD1705" t="s">
        <v>23290</v>
      </c>
      <c r="AE1705" t="s">
        <v>23289</v>
      </c>
      <c r="AF1705" t="s">
        <v>74</v>
      </c>
      <c r="AG1705">
        <v>104</v>
      </c>
      <c r="AH1705">
        <v>1</v>
      </c>
      <c r="AI1705">
        <v>1</v>
      </c>
      <c r="AJ1705">
        <v>2</v>
      </c>
      <c r="AK1705">
        <v>5</v>
      </c>
      <c r="AL1705" t="s">
        <v>201</v>
      </c>
      <c r="AM1705" t="s">
        <v>202</v>
      </c>
      <c r="AN1705" t="s">
        <v>203</v>
      </c>
      <c r="AO1705" t="s">
        <v>13571</v>
      </c>
      <c r="AP1705" t="s">
        <v>13572</v>
      </c>
      <c r="AQ1705" t="s">
        <v>74</v>
      </c>
      <c r="AR1705" t="s">
        <v>13573</v>
      </c>
      <c r="AS1705" t="s">
        <v>13574</v>
      </c>
      <c r="AT1705" t="s">
        <v>605</v>
      </c>
      <c r="AU1705">
        <v>2025</v>
      </c>
      <c r="AV1705">
        <v>64</v>
      </c>
      <c r="AW1705" t="s">
        <v>74</v>
      </c>
      <c r="AX1705" t="s">
        <v>74</v>
      </c>
      <c r="AY1705" t="s">
        <v>74</v>
      </c>
      <c r="AZ1705" t="s">
        <v>74</v>
      </c>
      <c r="BA1705" t="s">
        <v>74</v>
      </c>
      <c r="BB1705" t="s">
        <v>74</v>
      </c>
      <c r="BC1705" t="s">
        <v>74</v>
      </c>
      <c r="BD1705">
        <v>101070</v>
      </c>
      <c r="BE1705" t="s">
        <v>23288</v>
      </c>
      <c r="BF1705" t="str">
        <f>HYPERLINK("http://dx.doi.org/10.1016/j.gfj.2024.101070","http://dx.doi.org/10.1016/j.gfj.2024.101070")</f>
        <v>http://dx.doi.org/10.1016/j.gfj.2024.101070</v>
      </c>
      <c r="BG1705" t="s">
        <v>74</v>
      </c>
      <c r="BH1705" t="s">
        <v>809</v>
      </c>
      <c r="BI1705">
        <v>27</v>
      </c>
      <c r="BJ1705" t="s">
        <v>268</v>
      </c>
      <c r="BK1705" t="s">
        <v>99</v>
      </c>
      <c r="BL1705" t="s">
        <v>100</v>
      </c>
      <c r="BM1705" t="s">
        <v>23287</v>
      </c>
      <c r="BN1705" t="s">
        <v>74</v>
      </c>
      <c r="BO1705" t="s">
        <v>74</v>
      </c>
      <c r="BP1705" t="s">
        <v>74</v>
      </c>
      <c r="BQ1705" t="s">
        <v>74</v>
      </c>
      <c r="BR1705" t="s">
        <v>102</v>
      </c>
      <c r="BS1705" t="s">
        <v>23286</v>
      </c>
      <c r="BT1705" t="str">
        <f>HYPERLINK("https%3A%2F%2Fwww.webofscience.com%2Fwos%2Fwoscc%2Ffull-record%2FWOS:001403569700001","View Full Record in Web of Science")</f>
        <v>View Full Record in Web of Science</v>
      </c>
    </row>
    <row r="1706" spans="1:72" x14ac:dyDescent="0.25">
      <c r="A1706" t="s">
        <v>132</v>
      </c>
      <c r="B1706" t="s">
        <v>23285</v>
      </c>
      <c r="C1706" t="s">
        <v>74</v>
      </c>
      <c r="D1706" t="s">
        <v>23284</v>
      </c>
      <c r="E1706" t="s">
        <v>74</v>
      </c>
      <c r="F1706" t="s">
        <v>23283</v>
      </c>
      <c r="G1706" t="s">
        <v>74</v>
      </c>
      <c r="H1706" t="s">
        <v>74</v>
      </c>
      <c r="I1706" t="s">
        <v>23282</v>
      </c>
      <c r="J1706" t="s">
        <v>23281</v>
      </c>
      <c r="K1706" t="s">
        <v>7155</v>
      </c>
      <c r="L1706" t="s">
        <v>74</v>
      </c>
      <c r="M1706" t="s">
        <v>78</v>
      </c>
      <c r="N1706" t="s">
        <v>138</v>
      </c>
      <c r="O1706" t="s">
        <v>23280</v>
      </c>
      <c r="P1706" t="s">
        <v>23279</v>
      </c>
      <c r="Q1706" t="s">
        <v>23278</v>
      </c>
      <c r="R1706" t="s">
        <v>23277</v>
      </c>
      <c r="S1706" t="s">
        <v>74</v>
      </c>
      <c r="T1706" t="s">
        <v>23276</v>
      </c>
      <c r="U1706" t="s">
        <v>14863</v>
      </c>
      <c r="V1706" t="s">
        <v>23275</v>
      </c>
      <c r="W1706" t="s">
        <v>23274</v>
      </c>
      <c r="X1706" t="s">
        <v>23273</v>
      </c>
      <c r="Y1706" t="s">
        <v>23272</v>
      </c>
      <c r="Z1706" t="s">
        <v>23271</v>
      </c>
      <c r="AA1706" t="s">
        <v>74</v>
      </c>
      <c r="AB1706" t="s">
        <v>74</v>
      </c>
      <c r="AC1706" t="s">
        <v>74</v>
      </c>
      <c r="AD1706" t="s">
        <v>74</v>
      </c>
      <c r="AE1706" t="s">
        <v>74</v>
      </c>
      <c r="AF1706" t="s">
        <v>74</v>
      </c>
      <c r="AG1706">
        <v>16</v>
      </c>
      <c r="AH1706">
        <v>0</v>
      </c>
      <c r="AI1706">
        <v>0</v>
      </c>
      <c r="AJ1706">
        <v>0</v>
      </c>
      <c r="AK1706">
        <v>3</v>
      </c>
      <c r="AL1706" t="s">
        <v>7166</v>
      </c>
      <c r="AM1706" t="s">
        <v>7167</v>
      </c>
      <c r="AN1706" t="s">
        <v>7168</v>
      </c>
      <c r="AO1706" t="s">
        <v>7169</v>
      </c>
      <c r="AP1706" t="s">
        <v>74</v>
      </c>
      <c r="AQ1706" t="s">
        <v>23270</v>
      </c>
      <c r="AR1706" t="s">
        <v>7171</v>
      </c>
      <c r="AS1706" t="s">
        <v>74</v>
      </c>
      <c r="AT1706" t="s">
        <v>74</v>
      </c>
      <c r="AU1706">
        <v>2020</v>
      </c>
      <c r="AV1706">
        <v>152</v>
      </c>
      <c r="AW1706" t="s">
        <v>74</v>
      </c>
      <c r="AX1706" t="s">
        <v>74</v>
      </c>
      <c r="AY1706" t="s">
        <v>74</v>
      </c>
      <c r="AZ1706" t="s">
        <v>74</v>
      </c>
      <c r="BA1706" t="s">
        <v>74</v>
      </c>
      <c r="BB1706">
        <v>510</v>
      </c>
      <c r="BC1706">
        <v>514</v>
      </c>
      <c r="BD1706" t="s">
        <v>74</v>
      </c>
      <c r="BE1706" t="s">
        <v>74</v>
      </c>
      <c r="BF1706" t="s">
        <v>74</v>
      </c>
      <c r="BG1706" t="s">
        <v>74</v>
      </c>
      <c r="BH1706" t="s">
        <v>74</v>
      </c>
      <c r="BI1706">
        <v>5</v>
      </c>
      <c r="BJ1706" t="s">
        <v>418</v>
      </c>
      <c r="BK1706" t="s">
        <v>183</v>
      </c>
      <c r="BL1706" t="s">
        <v>100</v>
      </c>
      <c r="BM1706" t="s">
        <v>23269</v>
      </c>
      <c r="BN1706" t="s">
        <v>74</v>
      </c>
      <c r="BO1706" t="s">
        <v>74</v>
      </c>
      <c r="BP1706" t="s">
        <v>74</v>
      </c>
      <c r="BQ1706" t="s">
        <v>74</v>
      </c>
      <c r="BR1706" t="s">
        <v>102</v>
      </c>
      <c r="BS1706" t="s">
        <v>23268</v>
      </c>
      <c r="BT1706" t="str">
        <f>HYPERLINK("https%3A%2F%2Fwww.webofscience.com%2Fwos%2Fwoscc%2Ffull-record%2FWOS:000672730400057","View Full Record in Web of Science")</f>
        <v>View Full Record in Web of Science</v>
      </c>
    </row>
    <row r="1707" spans="1:72" x14ac:dyDescent="0.25">
      <c r="A1707" t="s">
        <v>72</v>
      </c>
      <c r="B1707" t="s">
        <v>23267</v>
      </c>
      <c r="C1707" t="s">
        <v>74</v>
      </c>
      <c r="D1707" t="s">
        <v>74</v>
      </c>
      <c r="E1707" t="s">
        <v>74</v>
      </c>
      <c r="F1707" t="s">
        <v>23266</v>
      </c>
      <c r="G1707" t="s">
        <v>74</v>
      </c>
      <c r="H1707" t="s">
        <v>74</v>
      </c>
      <c r="I1707" t="s">
        <v>23265</v>
      </c>
      <c r="J1707" t="s">
        <v>23264</v>
      </c>
      <c r="K1707" t="s">
        <v>74</v>
      </c>
      <c r="L1707" t="s">
        <v>74</v>
      </c>
      <c r="M1707" t="s">
        <v>298</v>
      </c>
      <c r="N1707" t="s">
        <v>79</v>
      </c>
      <c r="O1707" t="s">
        <v>74</v>
      </c>
      <c r="P1707" t="s">
        <v>74</v>
      </c>
      <c r="Q1707" t="s">
        <v>74</v>
      </c>
      <c r="R1707" t="s">
        <v>74</v>
      </c>
      <c r="S1707" t="s">
        <v>74</v>
      </c>
      <c r="T1707" t="s">
        <v>23263</v>
      </c>
      <c r="U1707" t="s">
        <v>74</v>
      </c>
      <c r="V1707" t="s">
        <v>23262</v>
      </c>
      <c r="W1707" t="s">
        <v>23261</v>
      </c>
      <c r="X1707" t="s">
        <v>23260</v>
      </c>
      <c r="Y1707" t="s">
        <v>23259</v>
      </c>
      <c r="Z1707" t="s">
        <v>23258</v>
      </c>
      <c r="AA1707" t="s">
        <v>74</v>
      </c>
      <c r="AB1707" t="s">
        <v>74</v>
      </c>
      <c r="AC1707" t="s">
        <v>74</v>
      </c>
      <c r="AD1707" t="s">
        <v>74</v>
      </c>
      <c r="AE1707" t="s">
        <v>74</v>
      </c>
      <c r="AF1707" t="s">
        <v>74</v>
      </c>
      <c r="AG1707">
        <v>58</v>
      </c>
      <c r="AH1707">
        <v>0</v>
      </c>
      <c r="AI1707">
        <v>1</v>
      </c>
      <c r="AJ1707">
        <v>1</v>
      </c>
      <c r="AK1707">
        <v>1</v>
      </c>
      <c r="AL1707" t="s">
        <v>23257</v>
      </c>
      <c r="AM1707" t="s">
        <v>23256</v>
      </c>
      <c r="AN1707" t="s">
        <v>23255</v>
      </c>
      <c r="AO1707" t="s">
        <v>23254</v>
      </c>
      <c r="AP1707" t="s">
        <v>23253</v>
      </c>
      <c r="AQ1707" t="s">
        <v>74</v>
      </c>
      <c r="AR1707" t="s">
        <v>23252</v>
      </c>
      <c r="AS1707" t="s">
        <v>23251</v>
      </c>
      <c r="AT1707" t="s">
        <v>23250</v>
      </c>
      <c r="AU1707">
        <v>2025</v>
      </c>
      <c r="AV1707">
        <v>21</v>
      </c>
      <c r="AW1707">
        <v>1</v>
      </c>
      <c r="AX1707" t="s">
        <v>74</v>
      </c>
      <c r="AY1707" t="s">
        <v>74</v>
      </c>
      <c r="AZ1707" t="s">
        <v>74</v>
      </c>
      <c r="BA1707" t="s">
        <v>74</v>
      </c>
      <c r="BB1707">
        <v>89</v>
      </c>
      <c r="BC1707">
        <v>104</v>
      </c>
      <c r="BD1707" t="s">
        <v>74</v>
      </c>
      <c r="BE1707" t="s">
        <v>23249</v>
      </c>
      <c r="BF1707" t="str">
        <f>HYPERLINK("http://dx.doi.org/10.17981/juridcuc.21.1.2025.05","http://dx.doi.org/10.17981/juridcuc.21.1.2025.05")</f>
        <v>http://dx.doi.org/10.17981/juridcuc.21.1.2025.05</v>
      </c>
      <c r="BG1707" t="s">
        <v>74</v>
      </c>
      <c r="BH1707" t="s">
        <v>74</v>
      </c>
      <c r="BI1707">
        <v>16</v>
      </c>
      <c r="BJ1707" t="s">
        <v>182</v>
      </c>
      <c r="BK1707" t="s">
        <v>313</v>
      </c>
      <c r="BL1707" t="s">
        <v>184</v>
      </c>
      <c r="BM1707" t="s">
        <v>23248</v>
      </c>
      <c r="BN1707" t="s">
        <v>74</v>
      </c>
      <c r="BO1707" t="s">
        <v>212</v>
      </c>
      <c r="BP1707" t="s">
        <v>74</v>
      </c>
      <c r="BQ1707" t="s">
        <v>74</v>
      </c>
      <c r="BR1707" t="s">
        <v>102</v>
      </c>
      <c r="BS1707" t="s">
        <v>23247</v>
      </c>
      <c r="BT1707" t="str">
        <f>HYPERLINK("https%3A%2F%2Fwww.webofscience.com%2Fwos%2Fwoscc%2Ffull-record%2FWOS:001532180800001","View Full Record in Web of Science")</f>
        <v>View Full Record in Web of Science</v>
      </c>
    </row>
    <row r="1708" spans="1:72" x14ac:dyDescent="0.25">
      <c r="A1708" t="s">
        <v>72</v>
      </c>
      <c r="B1708" t="s">
        <v>23246</v>
      </c>
      <c r="C1708" t="s">
        <v>74</v>
      </c>
      <c r="D1708" t="s">
        <v>74</v>
      </c>
      <c r="E1708" t="s">
        <v>74</v>
      </c>
      <c r="F1708" t="s">
        <v>23245</v>
      </c>
      <c r="G1708" t="s">
        <v>74</v>
      </c>
      <c r="H1708" t="s">
        <v>74</v>
      </c>
      <c r="I1708" t="s">
        <v>23244</v>
      </c>
      <c r="J1708" t="s">
        <v>246</v>
      </c>
      <c r="K1708" t="s">
        <v>74</v>
      </c>
      <c r="L1708" t="s">
        <v>74</v>
      </c>
      <c r="M1708" t="s">
        <v>78</v>
      </c>
      <c r="N1708" t="s">
        <v>79</v>
      </c>
      <c r="O1708" t="s">
        <v>74</v>
      </c>
      <c r="P1708" t="s">
        <v>74</v>
      </c>
      <c r="Q1708" t="s">
        <v>74</v>
      </c>
      <c r="R1708" t="s">
        <v>74</v>
      </c>
      <c r="S1708" t="s">
        <v>74</v>
      </c>
      <c r="T1708" t="s">
        <v>23243</v>
      </c>
      <c r="U1708" t="s">
        <v>74</v>
      </c>
      <c r="V1708" t="s">
        <v>23242</v>
      </c>
      <c r="W1708" t="s">
        <v>23241</v>
      </c>
      <c r="X1708" t="s">
        <v>23240</v>
      </c>
      <c r="Y1708" t="s">
        <v>23239</v>
      </c>
      <c r="Z1708" t="s">
        <v>23238</v>
      </c>
      <c r="AA1708" t="s">
        <v>23237</v>
      </c>
      <c r="AB1708" t="s">
        <v>74</v>
      </c>
      <c r="AC1708" t="s">
        <v>74</v>
      </c>
      <c r="AD1708" t="s">
        <v>74</v>
      </c>
      <c r="AE1708" t="s">
        <v>74</v>
      </c>
      <c r="AF1708" t="s">
        <v>74</v>
      </c>
      <c r="AG1708">
        <v>16</v>
      </c>
      <c r="AH1708">
        <v>38</v>
      </c>
      <c r="AI1708">
        <v>40</v>
      </c>
      <c r="AJ1708">
        <v>10</v>
      </c>
      <c r="AK1708">
        <v>90</v>
      </c>
      <c r="AL1708" t="s">
        <v>259</v>
      </c>
      <c r="AM1708" t="s">
        <v>260</v>
      </c>
      <c r="AN1708" t="s">
        <v>261</v>
      </c>
      <c r="AO1708" t="s">
        <v>262</v>
      </c>
      <c r="AP1708" t="s">
        <v>263</v>
      </c>
      <c r="AQ1708" t="s">
        <v>74</v>
      </c>
      <c r="AR1708" t="s">
        <v>264</v>
      </c>
      <c r="AS1708" t="s">
        <v>265</v>
      </c>
      <c r="AT1708" t="s">
        <v>1540</v>
      </c>
      <c r="AU1708">
        <v>2023</v>
      </c>
      <c r="AV1708">
        <v>53</v>
      </c>
      <c r="AW1708" t="s">
        <v>74</v>
      </c>
      <c r="AX1708" t="s">
        <v>74</v>
      </c>
      <c r="AY1708" t="s">
        <v>74</v>
      </c>
      <c r="AZ1708" t="s">
        <v>74</v>
      </c>
      <c r="BA1708" t="s">
        <v>74</v>
      </c>
      <c r="BB1708" t="s">
        <v>74</v>
      </c>
      <c r="BC1708" t="s">
        <v>74</v>
      </c>
      <c r="BD1708">
        <v>103659</v>
      </c>
      <c r="BE1708" t="s">
        <v>23236</v>
      </c>
      <c r="BF1708" t="str">
        <f>HYPERLINK("http://dx.doi.org/10.1016/j.frl.2023.103659","http://dx.doi.org/10.1016/j.frl.2023.103659")</f>
        <v>http://dx.doi.org/10.1016/j.frl.2023.103659</v>
      </c>
      <c r="BG1708" t="s">
        <v>74</v>
      </c>
      <c r="BH1708" t="s">
        <v>3595</v>
      </c>
      <c r="BI1708">
        <v>7</v>
      </c>
      <c r="BJ1708" t="s">
        <v>268</v>
      </c>
      <c r="BK1708" t="s">
        <v>99</v>
      </c>
      <c r="BL1708" t="s">
        <v>100</v>
      </c>
      <c r="BM1708" t="s">
        <v>23235</v>
      </c>
      <c r="BN1708" t="s">
        <v>74</v>
      </c>
      <c r="BO1708" t="s">
        <v>74</v>
      </c>
      <c r="BP1708" t="s">
        <v>74</v>
      </c>
      <c r="BQ1708" t="s">
        <v>74</v>
      </c>
      <c r="BR1708" t="s">
        <v>102</v>
      </c>
      <c r="BS1708" t="s">
        <v>23234</v>
      </c>
      <c r="BT1708" t="str">
        <f>HYPERLINK("https%3A%2F%2Fwww.webofscience.com%2Fwos%2Fwoscc%2Ffull-record%2FWOS:000956135400001","View Full Record in Web of Science")</f>
        <v>View Full Record in Web of Science</v>
      </c>
    </row>
    <row r="1709" spans="1:72" x14ac:dyDescent="0.25">
      <c r="A1709" t="s">
        <v>72</v>
      </c>
      <c r="B1709" t="s">
        <v>23233</v>
      </c>
      <c r="C1709" t="s">
        <v>74</v>
      </c>
      <c r="D1709" t="s">
        <v>74</v>
      </c>
      <c r="E1709" t="s">
        <v>74</v>
      </c>
      <c r="F1709" t="s">
        <v>23232</v>
      </c>
      <c r="G1709" t="s">
        <v>74</v>
      </c>
      <c r="H1709" t="s">
        <v>74</v>
      </c>
      <c r="I1709" t="s">
        <v>23231</v>
      </c>
      <c r="J1709" t="s">
        <v>1266</v>
      </c>
      <c r="K1709" t="s">
        <v>74</v>
      </c>
      <c r="L1709" t="s">
        <v>74</v>
      </c>
      <c r="M1709" t="s">
        <v>78</v>
      </c>
      <c r="N1709" t="s">
        <v>79</v>
      </c>
      <c r="O1709" t="s">
        <v>74</v>
      </c>
      <c r="P1709" t="s">
        <v>74</v>
      </c>
      <c r="Q1709" t="s">
        <v>74</v>
      </c>
      <c r="R1709" t="s">
        <v>74</v>
      </c>
      <c r="S1709" t="s">
        <v>74</v>
      </c>
      <c r="T1709" t="s">
        <v>23230</v>
      </c>
      <c r="U1709" t="s">
        <v>74</v>
      </c>
      <c r="V1709" t="s">
        <v>23229</v>
      </c>
      <c r="W1709" t="s">
        <v>23228</v>
      </c>
      <c r="X1709" t="s">
        <v>23227</v>
      </c>
      <c r="Y1709" t="s">
        <v>23226</v>
      </c>
      <c r="Z1709" t="s">
        <v>23225</v>
      </c>
      <c r="AA1709" t="s">
        <v>74</v>
      </c>
      <c r="AB1709" t="s">
        <v>23224</v>
      </c>
      <c r="AC1709" t="s">
        <v>23223</v>
      </c>
      <c r="AD1709" t="s">
        <v>23222</v>
      </c>
      <c r="AE1709" t="s">
        <v>23221</v>
      </c>
      <c r="AF1709" t="s">
        <v>74</v>
      </c>
      <c r="AG1709">
        <v>19</v>
      </c>
      <c r="AH1709">
        <v>7</v>
      </c>
      <c r="AI1709">
        <v>7</v>
      </c>
      <c r="AJ1709">
        <v>10</v>
      </c>
      <c r="AK1709">
        <v>78</v>
      </c>
      <c r="AL1709" t="s">
        <v>332</v>
      </c>
      <c r="AM1709" t="s">
        <v>333</v>
      </c>
      <c r="AN1709" t="s">
        <v>334</v>
      </c>
      <c r="AO1709" t="s">
        <v>1277</v>
      </c>
      <c r="AP1709" t="s">
        <v>1278</v>
      </c>
      <c r="AQ1709" t="s">
        <v>74</v>
      </c>
      <c r="AR1709" t="s">
        <v>1279</v>
      </c>
      <c r="AS1709" t="s">
        <v>1280</v>
      </c>
      <c r="AT1709" t="s">
        <v>23220</v>
      </c>
      <c r="AU1709">
        <v>2020</v>
      </c>
      <c r="AV1709">
        <v>56</v>
      </c>
      <c r="AW1709">
        <v>13</v>
      </c>
      <c r="AX1709" t="s">
        <v>74</v>
      </c>
      <c r="AY1709" t="s">
        <v>74</v>
      </c>
      <c r="AZ1709" t="s">
        <v>74</v>
      </c>
      <c r="BA1709" t="s">
        <v>74</v>
      </c>
      <c r="BB1709">
        <v>3205</v>
      </c>
      <c r="BC1709">
        <v>3216</v>
      </c>
      <c r="BD1709" t="s">
        <v>74</v>
      </c>
      <c r="BE1709" t="s">
        <v>23219</v>
      </c>
      <c r="BF1709" t="str">
        <f>HYPERLINK("http://dx.doi.org/10.1080/1540496X.2019.1684893","http://dx.doi.org/10.1080/1540496X.2019.1684893")</f>
        <v>http://dx.doi.org/10.1080/1540496X.2019.1684893</v>
      </c>
      <c r="BG1709" t="s">
        <v>74</v>
      </c>
      <c r="BH1709" t="s">
        <v>2621</v>
      </c>
      <c r="BI1709">
        <v>12</v>
      </c>
      <c r="BJ1709" t="s">
        <v>1283</v>
      </c>
      <c r="BK1709" t="s">
        <v>99</v>
      </c>
      <c r="BL1709" t="s">
        <v>1284</v>
      </c>
      <c r="BM1709" t="s">
        <v>23218</v>
      </c>
      <c r="BN1709" t="s">
        <v>74</v>
      </c>
      <c r="BO1709" t="s">
        <v>74</v>
      </c>
      <c r="BP1709" t="s">
        <v>74</v>
      </c>
      <c r="BQ1709" t="s">
        <v>74</v>
      </c>
      <c r="BR1709" t="s">
        <v>102</v>
      </c>
      <c r="BS1709" t="s">
        <v>23217</v>
      </c>
      <c r="BT1709" t="str">
        <f>HYPERLINK("https%3A%2F%2Fwww.webofscience.com%2Fwos%2Fwoscc%2Ffull-record%2FWOS:000516723800001","View Full Record in Web of Science")</f>
        <v>View Full Record in Web of Science</v>
      </c>
    </row>
    <row r="1710" spans="1:72" x14ac:dyDescent="0.25">
      <c r="A1710" t="s">
        <v>72</v>
      </c>
      <c r="B1710" t="s">
        <v>23216</v>
      </c>
      <c r="C1710" t="s">
        <v>74</v>
      </c>
      <c r="D1710" t="s">
        <v>74</v>
      </c>
      <c r="E1710" t="s">
        <v>74</v>
      </c>
      <c r="F1710" t="s">
        <v>23215</v>
      </c>
      <c r="G1710" t="s">
        <v>74</v>
      </c>
      <c r="H1710" t="s">
        <v>74</v>
      </c>
      <c r="I1710" t="s">
        <v>23214</v>
      </c>
      <c r="J1710" t="s">
        <v>23213</v>
      </c>
      <c r="K1710" t="s">
        <v>74</v>
      </c>
      <c r="L1710" t="s">
        <v>74</v>
      </c>
      <c r="M1710" t="s">
        <v>78</v>
      </c>
      <c r="N1710" t="s">
        <v>79</v>
      </c>
      <c r="O1710" t="s">
        <v>74</v>
      </c>
      <c r="P1710" t="s">
        <v>74</v>
      </c>
      <c r="Q1710" t="s">
        <v>74</v>
      </c>
      <c r="R1710" t="s">
        <v>74</v>
      </c>
      <c r="S1710" t="s">
        <v>74</v>
      </c>
      <c r="T1710" t="s">
        <v>74</v>
      </c>
      <c r="U1710" t="s">
        <v>8288</v>
      </c>
      <c r="V1710" t="s">
        <v>23212</v>
      </c>
      <c r="W1710" t="s">
        <v>23211</v>
      </c>
      <c r="X1710" t="s">
        <v>23210</v>
      </c>
      <c r="Y1710" t="s">
        <v>23209</v>
      </c>
      <c r="Z1710" t="s">
        <v>23208</v>
      </c>
      <c r="AA1710" t="s">
        <v>74</v>
      </c>
      <c r="AB1710" t="s">
        <v>74</v>
      </c>
      <c r="AC1710" t="s">
        <v>74</v>
      </c>
      <c r="AD1710" t="s">
        <v>74</v>
      </c>
      <c r="AE1710" t="s">
        <v>74</v>
      </c>
      <c r="AF1710" t="s">
        <v>74</v>
      </c>
      <c r="AG1710">
        <v>58</v>
      </c>
      <c r="AH1710">
        <v>1</v>
      </c>
      <c r="AI1710">
        <v>1</v>
      </c>
      <c r="AJ1710">
        <v>3</v>
      </c>
      <c r="AK1710">
        <v>5</v>
      </c>
      <c r="AL1710" t="s">
        <v>23207</v>
      </c>
      <c r="AM1710" t="s">
        <v>2457</v>
      </c>
      <c r="AN1710" t="s">
        <v>23206</v>
      </c>
      <c r="AO1710" t="s">
        <v>74</v>
      </c>
      <c r="AP1710" t="s">
        <v>23205</v>
      </c>
      <c r="AQ1710" t="s">
        <v>74</v>
      </c>
      <c r="AR1710" t="s">
        <v>23204</v>
      </c>
      <c r="AS1710" t="s">
        <v>23203</v>
      </c>
      <c r="AT1710" t="s">
        <v>17887</v>
      </c>
      <c r="AU1710">
        <v>2025</v>
      </c>
      <c r="AV1710">
        <v>11</v>
      </c>
      <c r="AW1710">
        <v>1</v>
      </c>
      <c r="AX1710" t="s">
        <v>74</v>
      </c>
      <c r="AY1710" t="s">
        <v>74</v>
      </c>
      <c r="AZ1710" t="s">
        <v>74</v>
      </c>
      <c r="BA1710" t="s">
        <v>74</v>
      </c>
      <c r="BB1710">
        <v>20</v>
      </c>
      <c r="BC1710">
        <v>37</v>
      </c>
      <c r="BD1710" t="s">
        <v>74</v>
      </c>
      <c r="BE1710" t="s">
        <v>23202</v>
      </c>
      <c r="BF1710" t="str">
        <f>HYPERLINK("http://dx.doi.org/10.1525/sod.2023.0051","http://dx.doi.org/10.1525/sod.2023.0051")</f>
        <v>http://dx.doi.org/10.1525/sod.2023.0051</v>
      </c>
      <c r="BG1710" t="s">
        <v>74</v>
      </c>
      <c r="BH1710" t="s">
        <v>74</v>
      </c>
      <c r="BI1710">
        <v>18</v>
      </c>
      <c r="BJ1710" t="s">
        <v>23201</v>
      </c>
      <c r="BK1710" t="s">
        <v>313</v>
      </c>
      <c r="BL1710" t="s">
        <v>23201</v>
      </c>
      <c r="BM1710" t="s">
        <v>23200</v>
      </c>
      <c r="BN1710" t="s">
        <v>74</v>
      </c>
      <c r="BO1710" t="s">
        <v>74</v>
      </c>
      <c r="BP1710" t="s">
        <v>74</v>
      </c>
      <c r="BQ1710" t="s">
        <v>74</v>
      </c>
      <c r="BR1710" t="s">
        <v>102</v>
      </c>
      <c r="BS1710" t="s">
        <v>23199</v>
      </c>
      <c r="BT1710" t="str">
        <f>HYPERLINK("https%3A%2F%2Fwww.webofscience.com%2Fwos%2Fwoscc%2Ffull-record%2FWOS:001447610400002","View Full Record in Web of Science")</f>
        <v>View Full Record in Web of Science</v>
      </c>
    </row>
    <row r="1711" spans="1:72" x14ac:dyDescent="0.25">
      <c r="A1711" t="s">
        <v>72</v>
      </c>
      <c r="B1711" t="s">
        <v>23198</v>
      </c>
      <c r="C1711" t="s">
        <v>74</v>
      </c>
      <c r="D1711" t="s">
        <v>74</v>
      </c>
      <c r="E1711" t="s">
        <v>74</v>
      </c>
      <c r="F1711" t="s">
        <v>23197</v>
      </c>
      <c r="G1711" t="s">
        <v>74</v>
      </c>
      <c r="H1711" t="s">
        <v>74</v>
      </c>
      <c r="I1711" t="s">
        <v>23196</v>
      </c>
      <c r="J1711" t="s">
        <v>1168</v>
      </c>
      <c r="K1711" t="s">
        <v>74</v>
      </c>
      <c r="L1711" t="s">
        <v>74</v>
      </c>
      <c r="M1711" t="s">
        <v>78</v>
      </c>
      <c r="N1711" t="s">
        <v>79</v>
      </c>
      <c r="O1711" t="s">
        <v>74</v>
      </c>
      <c r="P1711" t="s">
        <v>74</v>
      </c>
      <c r="Q1711" t="s">
        <v>74</v>
      </c>
      <c r="R1711" t="s">
        <v>74</v>
      </c>
      <c r="S1711" t="s">
        <v>74</v>
      </c>
      <c r="T1711" t="s">
        <v>23195</v>
      </c>
      <c r="U1711" t="s">
        <v>23194</v>
      </c>
      <c r="V1711" t="s">
        <v>23193</v>
      </c>
      <c r="W1711" t="s">
        <v>23192</v>
      </c>
      <c r="X1711" t="s">
        <v>23191</v>
      </c>
      <c r="Y1711" t="s">
        <v>23190</v>
      </c>
      <c r="Z1711" t="s">
        <v>23189</v>
      </c>
      <c r="AA1711" t="s">
        <v>23188</v>
      </c>
      <c r="AB1711" t="s">
        <v>23187</v>
      </c>
      <c r="AC1711" t="s">
        <v>74</v>
      </c>
      <c r="AD1711" t="s">
        <v>74</v>
      </c>
      <c r="AE1711" t="s">
        <v>74</v>
      </c>
      <c r="AF1711" t="s">
        <v>74</v>
      </c>
      <c r="AG1711">
        <v>84</v>
      </c>
      <c r="AH1711">
        <v>2</v>
      </c>
      <c r="AI1711">
        <v>2</v>
      </c>
      <c r="AJ1711">
        <v>0</v>
      </c>
      <c r="AK1711">
        <v>1</v>
      </c>
      <c r="AL1711" t="s">
        <v>332</v>
      </c>
      <c r="AM1711" t="s">
        <v>333</v>
      </c>
      <c r="AN1711" t="s">
        <v>334</v>
      </c>
      <c r="AO1711" t="s">
        <v>1179</v>
      </c>
      <c r="AP1711" t="s">
        <v>1180</v>
      </c>
      <c r="AQ1711" t="s">
        <v>74</v>
      </c>
      <c r="AR1711" t="s">
        <v>1181</v>
      </c>
      <c r="AS1711" t="s">
        <v>1182</v>
      </c>
      <c r="AT1711" t="s">
        <v>5028</v>
      </c>
      <c r="AU1711">
        <v>2025</v>
      </c>
      <c r="AV1711">
        <v>26</v>
      </c>
      <c r="AW1711">
        <v>4</v>
      </c>
      <c r="AX1711" t="s">
        <v>74</v>
      </c>
      <c r="AY1711" t="s">
        <v>74</v>
      </c>
      <c r="AZ1711" t="s">
        <v>74</v>
      </c>
      <c r="BA1711" t="s">
        <v>74</v>
      </c>
      <c r="BB1711">
        <v>749</v>
      </c>
      <c r="BC1711">
        <v>773</v>
      </c>
      <c r="BD1711" t="s">
        <v>74</v>
      </c>
      <c r="BE1711" t="s">
        <v>23186</v>
      </c>
      <c r="BF1711" t="str">
        <f>HYPERLINK("http://dx.doi.org/10.1080/15228916.2024.2423984","http://dx.doi.org/10.1080/15228916.2024.2423984")</f>
        <v>http://dx.doi.org/10.1080/15228916.2024.2423984</v>
      </c>
      <c r="BG1711" t="s">
        <v>74</v>
      </c>
      <c r="BH1711" t="s">
        <v>267</v>
      </c>
      <c r="BI1711">
        <v>25</v>
      </c>
      <c r="BJ1711" t="s">
        <v>418</v>
      </c>
      <c r="BK1711" t="s">
        <v>313</v>
      </c>
      <c r="BL1711" t="s">
        <v>100</v>
      </c>
      <c r="BM1711" t="s">
        <v>23185</v>
      </c>
      <c r="BN1711" t="s">
        <v>74</v>
      </c>
      <c r="BO1711" t="s">
        <v>74</v>
      </c>
      <c r="BP1711" t="s">
        <v>74</v>
      </c>
      <c r="BQ1711" t="s">
        <v>74</v>
      </c>
      <c r="BR1711" t="s">
        <v>102</v>
      </c>
      <c r="BS1711" t="s">
        <v>23184</v>
      </c>
      <c r="BT1711" t="str">
        <f>HYPERLINK("https%3A%2F%2Fwww.webofscience.com%2Fwos%2Fwoscc%2Ffull-record%2FWOS:001350834800001","View Full Record in Web of Science")</f>
        <v>View Full Record in Web of Science</v>
      </c>
    </row>
    <row r="1712" spans="1:72" x14ac:dyDescent="0.25">
      <c r="A1712" t="s">
        <v>72</v>
      </c>
      <c r="B1712" t="s">
        <v>23183</v>
      </c>
      <c r="C1712" t="s">
        <v>74</v>
      </c>
      <c r="D1712" t="s">
        <v>74</v>
      </c>
      <c r="E1712" t="s">
        <v>74</v>
      </c>
      <c r="F1712" t="s">
        <v>23182</v>
      </c>
      <c r="G1712" t="s">
        <v>74</v>
      </c>
      <c r="H1712" t="s">
        <v>74</v>
      </c>
      <c r="I1712" t="s">
        <v>23181</v>
      </c>
      <c r="J1712" t="s">
        <v>23174</v>
      </c>
      <c r="K1712" t="s">
        <v>74</v>
      </c>
      <c r="L1712" t="s">
        <v>74</v>
      </c>
      <c r="M1712" t="s">
        <v>78</v>
      </c>
      <c r="N1712" t="s">
        <v>79</v>
      </c>
      <c r="O1712" t="s">
        <v>74</v>
      </c>
      <c r="P1712" t="s">
        <v>74</v>
      </c>
      <c r="Q1712" t="s">
        <v>74</v>
      </c>
      <c r="R1712" t="s">
        <v>74</v>
      </c>
      <c r="S1712" t="s">
        <v>74</v>
      </c>
      <c r="T1712" t="s">
        <v>74</v>
      </c>
      <c r="U1712" t="s">
        <v>23180</v>
      </c>
      <c r="V1712" t="s">
        <v>23179</v>
      </c>
      <c r="W1712" t="s">
        <v>23178</v>
      </c>
      <c r="X1712" t="s">
        <v>23177</v>
      </c>
      <c r="Y1712" t="s">
        <v>23176</v>
      </c>
      <c r="Z1712" t="s">
        <v>74</v>
      </c>
      <c r="AA1712" t="s">
        <v>23175</v>
      </c>
      <c r="AB1712" t="s">
        <v>74</v>
      </c>
      <c r="AC1712" t="s">
        <v>74</v>
      </c>
      <c r="AD1712" t="s">
        <v>74</v>
      </c>
      <c r="AE1712" t="s">
        <v>74</v>
      </c>
      <c r="AF1712" t="s">
        <v>74</v>
      </c>
      <c r="AG1712">
        <v>109</v>
      </c>
      <c r="AH1712">
        <v>12</v>
      </c>
      <c r="AI1712">
        <v>16</v>
      </c>
      <c r="AJ1712">
        <v>2</v>
      </c>
      <c r="AK1712">
        <v>11</v>
      </c>
      <c r="AL1712" t="s">
        <v>23174</v>
      </c>
      <c r="AM1712" t="s">
        <v>23173</v>
      </c>
      <c r="AN1712" t="s">
        <v>23172</v>
      </c>
      <c r="AO1712" t="s">
        <v>23171</v>
      </c>
      <c r="AP1712" t="s">
        <v>74</v>
      </c>
      <c r="AQ1712" t="s">
        <v>74</v>
      </c>
      <c r="AR1712" t="s">
        <v>23170</v>
      </c>
      <c r="AS1712" t="s">
        <v>23169</v>
      </c>
      <c r="AT1712" t="s">
        <v>74</v>
      </c>
      <c r="AU1712">
        <v>2020</v>
      </c>
      <c r="AV1712">
        <v>105</v>
      </c>
      <c r="AW1712">
        <v>3</v>
      </c>
      <c r="AX1712" t="s">
        <v>74</v>
      </c>
      <c r="AY1712" t="s">
        <v>74</v>
      </c>
      <c r="AZ1712" t="s">
        <v>74</v>
      </c>
      <c r="BA1712" t="s">
        <v>74</v>
      </c>
      <c r="BB1712">
        <v>741</v>
      </c>
      <c r="BC1712">
        <v>796</v>
      </c>
      <c r="BD1712" t="s">
        <v>74</v>
      </c>
      <c r="BE1712" t="s">
        <v>74</v>
      </c>
      <c r="BF1712" t="s">
        <v>74</v>
      </c>
      <c r="BG1712" t="s">
        <v>74</v>
      </c>
      <c r="BH1712" t="s">
        <v>74</v>
      </c>
      <c r="BI1712">
        <v>56</v>
      </c>
      <c r="BJ1712" t="s">
        <v>182</v>
      </c>
      <c r="BK1712" t="s">
        <v>99</v>
      </c>
      <c r="BL1712" t="s">
        <v>184</v>
      </c>
      <c r="BM1712" t="s">
        <v>23168</v>
      </c>
      <c r="BN1712" t="s">
        <v>74</v>
      </c>
      <c r="BO1712" t="s">
        <v>74</v>
      </c>
      <c r="BP1712" t="s">
        <v>74</v>
      </c>
      <c r="BQ1712" t="s">
        <v>74</v>
      </c>
      <c r="BR1712" t="s">
        <v>102</v>
      </c>
      <c r="BS1712" t="s">
        <v>23167</v>
      </c>
      <c r="BT1712" t="str">
        <f>HYPERLINK("https%3A%2F%2Fwww.webofscience.com%2Fwos%2Fwoscc%2Ffull-record%2FWOS:000569260100004","View Full Record in Web of Science")</f>
        <v>View Full Record in Web of Science</v>
      </c>
    </row>
    <row r="1713" spans="1:72" x14ac:dyDescent="0.25">
      <c r="A1713" t="s">
        <v>72</v>
      </c>
      <c r="B1713" t="s">
        <v>23166</v>
      </c>
      <c r="C1713" t="s">
        <v>74</v>
      </c>
      <c r="D1713" t="s">
        <v>74</v>
      </c>
      <c r="E1713" t="s">
        <v>74</v>
      </c>
      <c r="F1713" t="s">
        <v>23165</v>
      </c>
      <c r="G1713" t="s">
        <v>74</v>
      </c>
      <c r="H1713" t="s">
        <v>74</v>
      </c>
      <c r="I1713" t="s">
        <v>23164</v>
      </c>
      <c r="J1713" t="s">
        <v>4306</v>
      </c>
      <c r="K1713" t="s">
        <v>74</v>
      </c>
      <c r="L1713" t="s">
        <v>74</v>
      </c>
      <c r="M1713" t="s">
        <v>78</v>
      </c>
      <c r="N1713" t="s">
        <v>79</v>
      </c>
      <c r="O1713" t="s">
        <v>74</v>
      </c>
      <c r="P1713" t="s">
        <v>74</v>
      </c>
      <c r="Q1713" t="s">
        <v>74</v>
      </c>
      <c r="R1713" t="s">
        <v>74</v>
      </c>
      <c r="S1713" t="s">
        <v>74</v>
      </c>
      <c r="T1713" t="s">
        <v>23163</v>
      </c>
      <c r="U1713" t="s">
        <v>23162</v>
      </c>
      <c r="V1713" t="s">
        <v>23161</v>
      </c>
      <c r="W1713" t="s">
        <v>23160</v>
      </c>
      <c r="X1713" t="s">
        <v>23159</v>
      </c>
      <c r="Y1713" t="s">
        <v>23158</v>
      </c>
      <c r="Z1713" t="s">
        <v>23157</v>
      </c>
      <c r="AA1713" t="s">
        <v>74</v>
      </c>
      <c r="AB1713" t="s">
        <v>23156</v>
      </c>
      <c r="AC1713" t="s">
        <v>74</v>
      </c>
      <c r="AD1713" t="s">
        <v>74</v>
      </c>
      <c r="AE1713" t="s">
        <v>74</v>
      </c>
      <c r="AF1713" t="s">
        <v>74</v>
      </c>
      <c r="AG1713">
        <v>89</v>
      </c>
      <c r="AH1713">
        <v>32</v>
      </c>
      <c r="AI1713">
        <v>43</v>
      </c>
      <c r="AJ1713">
        <v>5</v>
      </c>
      <c r="AK1713">
        <v>23</v>
      </c>
      <c r="AL1713" t="s">
        <v>503</v>
      </c>
      <c r="AM1713" t="s">
        <v>151</v>
      </c>
      <c r="AN1713" t="s">
        <v>504</v>
      </c>
      <c r="AO1713" t="s">
        <v>4315</v>
      </c>
      <c r="AP1713" t="s">
        <v>4316</v>
      </c>
      <c r="AQ1713" t="s">
        <v>74</v>
      </c>
      <c r="AR1713" t="s">
        <v>4317</v>
      </c>
      <c r="AS1713" t="s">
        <v>4318</v>
      </c>
      <c r="AT1713" t="s">
        <v>1540</v>
      </c>
      <c r="AU1713">
        <v>2024</v>
      </c>
      <c r="AV1713">
        <v>202</v>
      </c>
      <c r="AW1713" t="s">
        <v>74</v>
      </c>
      <c r="AX1713" t="s">
        <v>74</v>
      </c>
      <c r="AY1713" t="s">
        <v>74</v>
      </c>
      <c r="AZ1713" t="s">
        <v>74</v>
      </c>
      <c r="BA1713" t="s">
        <v>74</v>
      </c>
      <c r="BB1713" t="s">
        <v>74</v>
      </c>
      <c r="BC1713" t="s">
        <v>74</v>
      </c>
      <c r="BD1713" t="s">
        <v>74</v>
      </c>
      <c r="BE1713" t="s">
        <v>23155</v>
      </c>
      <c r="BF1713" t="str">
        <f>HYPERLINK("http://dx.doi.org/10.1016/j.techfore.2024.123339","http://dx.doi.org/10.1016/j.techfore.2024.123339")</f>
        <v>http://dx.doi.org/10.1016/j.techfore.2024.123339</v>
      </c>
      <c r="BG1713" t="s">
        <v>74</v>
      </c>
      <c r="BH1713" t="s">
        <v>1981</v>
      </c>
      <c r="BI1713">
        <v>13</v>
      </c>
      <c r="BJ1713" t="s">
        <v>1627</v>
      </c>
      <c r="BK1713" t="s">
        <v>99</v>
      </c>
      <c r="BL1713" t="s">
        <v>1406</v>
      </c>
      <c r="BM1713" t="s">
        <v>23154</v>
      </c>
      <c r="BN1713" t="s">
        <v>74</v>
      </c>
      <c r="BO1713" t="s">
        <v>270</v>
      </c>
      <c r="BP1713" t="s">
        <v>74</v>
      </c>
      <c r="BQ1713" t="s">
        <v>74</v>
      </c>
      <c r="BR1713" t="s">
        <v>102</v>
      </c>
      <c r="BS1713" t="s">
        <v>23153</v>
      </c>
      <c r="BT1713" t="str">
        <f>HYPERLINK("https%3A%2F%2Fwww.webofscience.com%2Fwos%2Fwoscc%2Ffull-record%2FWOS:001218307100001","View Full Record in Web of Science")</f>
        <v>View Full Record in Web of Science</v>
      </c>
    </row>
    <row r="1714" spans="1:72" x14ac:dyDescent="0.25">
      <c r="A1714" t="s">
        <v>72</v>
      </c>
      <c r="B1714" t="s">
        <v>23152</v>
      </c>
      <c r="C1714" t="s">
        <v>74</v>
      </c>
      <c r="D1714" t="s">
        <v>74</v>
      </c>
      <c r="E1714" t="s">
        <v>74</v>
      </c>
      <c r="F1714" t="s">
        <v>23151</v>
      </c>
      <c r="G1714" t="s">
        <v>74</v>
      </c>
      <c r="H1714" t="s">
        <v>74</v>
      </c>
      <c r="I1714" t="s">
        <v>23150</v>
      </c>
      <c r="J1714" t="s">
        <v>1987</v>
      </c>
      <c r="K1714" t="s">
        <v>74</v>
      </c>
      <c r="L1714" t="s">
        <v>74</v>
      </c>
      <c r="M1714" t="s">
        <v>78</v>
      </c>
      <c r="N1714" t="s">
        <v>79</v>
      </c>
      <c r="O1714" t="s">
        <v>74</v>
      </c>
      <c r="P1714" t="s">
        <v>74</v>
      </c>
      <c r="Q1714" t="s">
        <v>74</v>
      </c>
      <c r="R1714" t="s">
        <v>74</v>
      </c>
      <c r="S1714" t="s">
        <v>74</v>
      </c>
      <c r="T1714" t="s">
        <v>23149</v>
      </c>
      <c r="U1714" t="s">
        <v>74</v>
      </c>
      <c r="V1714" t="s">
        <v>23148</v>
      </c>
      <c r="W1714" t="s">
        <v>23147</v>
      </c>
      <c r="X1714" t="s">
        <v>21218</v>
      </c>
      <c r="Y1714" t="s">
        <v>23146</v>
      </c>
      <c r="Z1714" t="s">
        <v>23145</v>
      </c>
      <c r="AA1714" t="s">
        <v>23144</v>
      </c>
      <c r="AB1714" t="s">
        <v>23143</v>
      </c>
      <c r="AC1714" t="s">
        <v>74</v>
      </c>
      <c r="AD1714" t="s">
        <v>74</v>
      </c>
      <c r="AE1714" t="s">
        <v>74</v>
      </c>
      <c r="AF1714" t="s">
        <v>74</v>
      </c>
      <c r="AG1714">
        <v>31</v>
      </c>
      <c r="AH1714">
        <v>590</v>
      </c>
      <c r="AI1714">
        <v>844</v>
      </c>
      <c r="AJ1714">
        <v>27</v>
      </c>
      <c r="AK1714">
        <v>493</v>
      </c>
      <c r="AL1714" t="s">
        <v>479</v>
      </c>
      <c r="AM1714" t="s">
        <v>480</v>
      </c>
      <c r="AN1714" t="s">
        <v>481</v>
      </c>
      <c r="AO1714" t="s">
        <v>1997</v>
      </c>
      <c r="AP1714" t="s">
        <v>1998</v>
      </c>
      <c r="AQ1714" t="s">
        <v>74</v>
      </c>
      <c r="AR1714" t="s">
        <v>1999</v>
      </c>
      <c r="AS1714" t="s">
        <v>2000</v>
      </c>
      <c r="AT1714" t="s">
        <v>848</v>
      </c>
      <c r="AU1714">
        <v>2011</v>
      </c>
      <c r="AV1714">
        <v>23</v>
      </c>
      <c r="AW1714">
        <v>5</v>
      </c>
      <c r="AX1714" t="s">
        <v>74</v>
      </c>
      <c r="AY1714" t="s">
        <v>74</v>
      </c>
      <c r="AZ1714" t="s">
        <v>74</v>
      </c>
      <c r="BA1714" t="s">
        <v>74</v>
      </c>
      <c r="BB1714">
        <v>613</v>
      </c>
      <c r="BC1714">
        <v>628</v>
      </c>
      <c r="BD1714" t="s">
        <v>74</v>
      </c>
      <c r="BE1714" t="s">
        <v>23142</v>
      </c>
      <c r="BF1714" t="str">
        <f>HYPERLINK("http://dx.doi.org/10.1002/jid.1698","http://dx.doi.org/10.1002/jid.1698")</f>
        <v>http://dx.doi.org/10.1002/jid.1698</v>
      </c>
      <c r="BG1714" t="s">
        <v>74</v>
      </c>
      <c r="BH1714" t="s">
        <v>74</v>
      </c>
      <c r="BI1714">
        <v>16</v>
      </c>
      <c r="BJ1714" t="s">
        <v>1137</v>
      </c>
      <c r="BK1714" t="s">
        <v>99</v>
      </c>
      <c r="BL1714" t="s">
        <v>1137</v>
      </c>
      <c r="BM1714" t="s">
        <v>23141</v>
      </c>
      <c r="BN1714" t="s">
        <v>74</v>
      </c>
      <c r="BO1714" t="s">
        <v>74</v>
      </c>
      <c r="BP1714" t="s">
        <v>74</v>
      </c>
      <c r="BQ1714" t="s">
        <v>74</v>
      </c>
      <c r="BR1714" t="s">
        <v>102</v>
      </c>
      <c r="BS1714" t="s">
        <v>23140</v>
      </c>
      <c r="BT1714" t="str">
        <f>HYPERLINK("https%3A%2F%2Fwww.webofscience.com%2Fwos%2Fwoscc%2Ffull-record%2FWOS:000293448900001","View Full Record in Web of Science")</f>
        <v>View Full Record in Web of Science</v>
      </c>
    </row>
    <row r="1715" spans="1:72" x14ac:dyDescent="0.25">
      <c r="A1715" t="s">
        <v>72</v>
      </c>
      <c r="B1715" t="s">
        <v>23139</v>
      </c>
      <c r="C1715" t="s">
        <v>74</v>
      </c>
      <c r="D1715" t="s">
        <v>74</v>
      </c>
      <c r="E1715" t="s">
        <v>74</v>
      </c>
      <c r="F1715" t="s">
        <v>23138</v>
      </c>
      <c r="G1715" t="s">
        <v>74</v>
      </c>
      <c r="H1715" t="s">
        <v>74</v>
      </c>
      <c r="I1715" t="s">
        <v>23137</v>
      </c>
      <c r="J1715" t="s">
        <v>23136</v>
      </c>
      <c r="K1715" t="s">
        <v>74</v>
      </c>
      <c r="L1715" t="s">
        <v>74</v>
      </c>
      <c r="M1715" t="s">
        <v>78</v>
      </c>
      <c r="N1715" t="s">
        <v>79</v>
      </c>
      <c r="O1715" t="s">
        <v>74</v>
      </c>
      <c r="P1715" t="s">
        <v>74</v>
      </c>
      <c r="Q1715" t="s">
        <v>74</v>
      </c>
      <c r="R1715" t="s">
        <v>74</v>
      </c>
      <c r="S1715" t="s">
        <v>74</v>
      </c>
      <c r="T1715" t="s">
        <v>23135</v>
      </c>
      <c r="U1715" t="s">
        <v>23134</v>
      </c>
      <c r="V1715" t="s">
        <v>23133</v>
      </c>
      <c r="W1715" t="s">
        <v>23132</v>
      </c>
      <c r="X1715" t="s">
        <v>23131</v>
      </c>
      <c r="Y1715" t="s">
        <v>23130</v>
      </c>
      <c r="Z1715" t="s">
        <v>23129</v>
      </c>
      <c r="AA1715" t="s">
        <v>74</v>
      </c>
      <c r="AB1715" t="s">
        <v>23128</v>
      </c>
      <c r="AC1715" t="s">
        <v>74</v>
      </c>
      <c r="AD1715" t="s">
        <v>74</v>
      </c>
      <c r="AE1715" t="s">
        <v>74</v>
      </c>
      <c r="AF1715" t="s">
        <v>74</v>
      </c>
      <c r="AG1715">
        <v>81</v>
      </c>
      <c r="AH1715">
        <v>23</v>
      </c>
      <c r="AI1715">
        <v>35</v>
      </c>
      <c r="AJ1715">
        <v>2</v>
      </c>
      <c r="AK1715">
        <v>52</v>
      </c>
      <c r="AL1715" t="s">
        <v>89</v>
      </c>
      <c r="AM1715" t="s">
        <v>1497</v>
      </c>
      <c r="AN1715" t="s">
        <v>1498</v>
      </c>
      <c r="AO1715" t="s">
        <v>23127</v>
      </c>
      <c r="AP1715" t="s">
        <v>23126</v>
      </c>
      <c r="AQ1715" t="s">
        <v>74</v>
      </c>
      <c r="AR1715" t="s">
        <v>23125</v>
      </c>
      <c r="AS1715" t="s">
        <v>23124</v>
      </c>
      <c r="AT1715" t="s">
        <v>19701</v>
      </c>
      <c r="AU1715">
        <v>2022</v>
      </c>
      <c r="AV1715">
        <v>23</v>
      </c>
      <c r="AW1715">
        <v>2</v>
      </c>
      <c r="AX1715" t="s">
        <v>74</v>
      </c>
      <c r="AY1715" t="s">
        <v>74</v>
      </c>
      <c r="AZ1715" t="s">
        <v>74</v>
      </c>
      <c r="BA1715" t="s">
        <v>74</v>
      </c>
      <c r="BB1715">
        <v>454</v>
      </c>
      <c r="BC1715">
        <v>479</v>
      </c>
      <c r="BD1715" t="s">
        <v>74</v>
      </c>
      <c r="BE1715" t="s">
        <v>23123</v>
      </c>
      <c r="BF1715" t="str">
        <f>HYPERLINK("http://dx.doi.org/10.1108/JAAR-02-2021-0041","http://dx.doi.org/10.1108/JAAR-02-2021-0041")</f>
        <v>http://dx.doi.org/10.1108/JAAR-02-2021-0041</v>
      </c>
      <c r="BG1715" t="s">
        <v>74</v>
      </c>
      <c r="BH1715" t="s">
        <v>10889</v>
      </c>
      <c r="BI1715">
        <v>26</v>
      </c>
      <c r="BJ1715" t="s">
        <v>268</v>
      </c>
      <c r="BK1715" t="s">
        <v>313</v>
      </c>
      <c r="BL1715" t="s">
        <v>100</v>
      </c>
      <c r="BM1715" t="s">
        <v>23122</v>
      </c>
      <c r="BN1715" t="s">
        <v>74</v>
      </c>
      <c r="BO1715" t="s">
        <v>74</v>
      </c>
      <c r="BP1715" t="s">
        <v>74</v>
      </c>
      <c r="BQ1715" t="s">
        <v>74</v>
      </c>
      <c r="BR1715" t="s">
        <v>102</v>
      </c>
      <c r="BS1715" t="s">
        <v>23121</v>
      </c>
      <c r="BT1715" t="str">
        <f>HYPERLINK("https%3A%2F%2Fwww.webofscience.com%2Fwos%2Fwoscc%2Ffull-record%2FWOS:000697722100001","View Full Record in Web of Science")</f>
        <v>View Full Record in Web of Science</v>
      </c>
    </row>
    <row r="1716" spans="1:72" x14ac:dyDescent="0.25">
      <c r="A1716" t="s">
        <v>72</v>
      </c>
      <c r="B1716" t="s">
        <v>23120</v>
      </c>
      <c r="C1716" t="s">
        <v>74</v>
      </c>
      <c r="D1716" t="s">
        <v>74</v>
      </c>
      <c r="E1716" t="s">
        <v>74</v>
      </c>
      <c r="F1716" t="s">
        <v>23119</v>
      </c>
      <c r="G1716" t="s">
        <v>74</v>
      </c>
      <c r="H1716" t="s">
        <v>74</v>
      </c>
      <c r="I1716" t="s">
        <v>23118</v>
      </c>
      <c r="J1716" t="s">
        <v>23117</v>
      </c>
      <c r="K1716" t="s">
        <v>74</v>
      </c>
      <c r="L1716" t="s">
        <v>74</v>
      </c>
      <c r="M1716" t="s">
        <v>78</v>
      </c>
      <c r="N1716" t="s">
        <v>79</v>
      </c>
      <c r="O1716" t="s">
        <v>74</v>
      </c>
      <c r="P1716" t="s">
        <v>74</v>
      </c>
      <c r="Q1716" t="s">
        <v>74</v>
      </c>
      <c r="R1716" t="s">
        <v>74</v>
      </c>
      <c r="S1716" t="s">
        <v>74</v>
      </c>
      <c r="T1716" t="s">
        <v>23116</v>
      </c>
      <c r="U1716" t="s">
        <v>23115</v>
      </c>
      <c r="V1716" t="s">
        <v>23114</v>
      </c>
      <c r="W1716" t="s">
        <v>23113</v>
      </c>
      <c r="X1716" t="s">
        <v>23112</v>
      </c>
      <c r="Y1716" t="s">
        <v>23111</v>
      </c>
      <c r="Z1716" t="s">
        <v>23110</v>
      </c>
      <c r="AA1716" t="s">
        <v>23109</v>
      </c>
      <c r="AB1716" t="s">
        <v>74</v>
      </c>
      <c r="AC1716" t="s">
        <v>74</v>
      </c>
      <c r="AD1716" t="s">
        <v>74</v>
      </c>
      <c r="AE1716" t="s">
        <v>74</v>
      </c>
      <c r="AF1716" t="s">
        <v>74</v>
      </c>
      <c r="AG1716">
        <v>125</v>
      </c>
      <c r="AH1716">
        <v>2</v>
      </c>
      <c r="AI1716">
        <v>2</v>
      </c>
      <c r="AJ1716">
        <v>12</v>
      </c>
      <c r="AK1716">
        <v>23</v>
      </c>
      <c r="AL1716" t="s">
        <v>201</v>
      </c>
      <c r="AM1716" t="s">
        <v>202</v>
      </c>
      <c r="AN1716" t="s">
        <v>203</v>
      </c>
      <c r="AO1716" t="s">
        <v>23108</v>
      </c>
      <c r="AP1716" t="s">
        <v>74</v>
      </c>
      <c r="AQ1716" t="s">
        <v>74</v>
      </c>
      <c r="AR1716" t="s">
        <v>23107</v>
      </c>
      <c r="AS1716" t="s">
        <v>23106</v>
      </c>
      <c r="AT1716" t="s">
        <v>237</v>
      </c>
      <c r="AU1716">
        <v>2025</v>
      </c>
      <c r="AV1716">
        <v>97</v>
      </c>
      <c r="AW1716" t="s">
        <v>74</v>
      </c>
      <c r="AX1716" t="s">
        <v>74</v>
      </c>
      <c r="AY1716" t="s">
        <v>74</v>
      </c>
      <c r="AZ1716" t="s">
        <v>74</v>
      </c>
      <c r="BA1716" t="s">
        <v>74</v>
      </c>
      <c r="BB1716" t="s">
        <v>74</v>
      </c>
      <c r="BC1716" t="s">
        <v>74</v>
      </c>
      <c r="BD1716">
        <v>102230</v>
      </c>
      <c r="BE1716" t="s">
        <v>23105</v>
      </c>
      <c r="BF1716" t="str">
        <f>HYPERLINK("http://dx.doi.org/10.1016/j.tele.2024.102230","http://dx.doi.org/10.1016/j.tele.2024.102230")</f>
        <v>http://dx.doi.org/10.1016/j.tele.2024.102230</v>
      </c>
      <c r="BG1716" t="s">
        <v>74</v>
      </c>
      <c r="BH1716" t="s">
        <v>809</v>
      </c>
      <c r="BI1716">
        <v>19</v>
      </c>
      <c r="BJ1716" t="s">
        <v>2351</v>
      </c>
      <c r="BK1716" t="s">
        <v>99</v>
      </c>
      <c r="BL1716" t="s">
        <v>2351</v>
      </c>
      <c r="BM1716" t="s">
        <v>23104</v>
      </c>
      <c r="BN1716" t="s">
        <v>74</v>
      </c>
      <c r="BO1716" t="s">
        <v>270</v>
      </c>
      <c r="BP1716" t="s">
        <v>74</v>
      </c>
      <c r="BQ1716" t="s">
        <v>74</v>
      </c>
      <c r="BR1716" t="s">
        <v>102</v>
      </c>
      <c r="BS1716" t="s">
        <v>23103</v>
      </c>
      <c r="BT1716" t="str">
        <f>HYPERLINK("https%3A%2F%2Fwww.webofscience.com%2Fwos%2Fwoscc%2Ffull-record%2FWOS:001394471900001","View Full Record in Web of Science")</f>
        <v>View Full Record in Web of Science</v>
      </c>
    </row>
    <row r="1717" spans="1:72" x14ac:dyDescent="0.25">
      <c r="A1717" t="s">
        <v>72</v>
      </c>
      <c r="B1717" t="s">
        <v>23102</v>
      </c>
      <c r="C1717" t="s">
        <v>74</v>
      </c>
      <c r="D1717" t="s">
        <v>74</v>
      </c>
      <c r="E1717" t="s">
        <v>74</v>
      </c>
      <c r="F1717" t="s">
        <v>23101</v>
      </c>
      <c r="G1717" t="s">
        <v>74</v>
      </c>
      <c r="H1717" t="s">
        <v>74</v>
      </c>
      <c r="I1717" t="s">
        <v>23100</v>
      </c>
      <c r="J1717" t="s">
        <v>23099</v>
      </c>
      <c r="K1717" t="s">
        <v>74</v>
      </c>
      <c r="L1717" t="s">
        <v>74</v>
      </c>
      <c r="M1717" t="s">
        <v>78</v>
      </c>
      <c r="N1717" t="s">
        <v>79</v>
      </c>
      <c r="O1717" t="s">
        <v>74</v>
      </c>
      <c r="P1717" t="s">
        <v>74</v>
      </c>
      <c r="Q1717" t="s">
        <v>74</v>
      </c>
      <c r="R1717" t="s">
        <v>74</v>
      </c>
      <c r="S1717" t="s">
        <v>74</v>
      </c>
      <c r="T1717" t="s">
        <v>23098</v>
      </c>
      <c r="U1717" t="s">
        <v>23097</v>
      </c>
      <c r="V1717" t="s">
        <v>23096</v>
      </c>
      <c r="W1717" t="s">
        <v>23095</v>
      </c>
      <c r="X1717" t="s">
        <v>23094</v>
      </c>
      <c r="Y1717" t="s">
        <v>23093</v>
      </c>
      <c r="Z1717" t="s">
        <v>23092</v>
      </c>
      <c r="AA1717" t="s">
        <v>23091</v>
      </c>
      <c r="AB1717" t="s">
        <v>23090</v>
      </c>
      <c r="AC1717" t="s">
        <v>23089</v>
      </c>
      <c r="AD1717" t="s">
        <v>23088</v>
      </c>
      <c r="AE1717" t="s">
        <v>23087</v>
      </c>
      <c r="AF1717" t="s">
        <v>74</v>
      </c>
      <c r="AG1717">
        <v>140</v>
      </c>
      <c r="AH1717">
        <v>0</v>
      </c>
      <c r="AI1717">
        <v>0</v>
      </c>
      <c r="AJ1717">
        <v>0</v>
      </c>
      <c r="AK1717">
        <v>0</v>
      </c>
      <c r="AL1717" t="s">
        <v>201</v>
      </c>
      <c r="AM1717" t="s">
        <v>202</v>
      </c>
      <c r="AN1717" t="s">
        <v>203</v>
      </c>
      <c r="AO1717" t="s">
        <v>74</v>
      </c>
      <c r="AP1717" t="s">
        <v>23086</v>
      </c>
      <c r="AQ1717" t="s">
        <v>74</v>
      </c>
      <c r="AR1717" t="s">
        <v>23085</v>
      </c>
      <c r="AS1717" t="s">
        <v>23084</v>
      </c>
      <c r="AT1717" t="s">
        <v>124</v>
      </c>
      <c r="AU1717">
        <v>2025</v>
      </c>
      <c r="AV1717">
        <v>5</v>
      </c>
      <c r="AW1717" t="s">
        <v>74</v>
      </c>
      <c r="AX1717" t="s">
        <v>74</v>
      </c>
      <c r="AY1717" t="s">
        <v>74</v>
      </c>
      <c r="AZ1717" t="s">
        <v>74</v>
      </c>
      <c r="BA1717" t="s">
        <v>74</v>
      </c>
      <c r="BB1717" t="s">
        <v>74</v>
      </c>
      <c r="BC1717" t="s">
        <v>74</v>
      </c>
      <c r="BD1717">
        <v>100830</v>
      </c>
      <c r="BE1717" t="s">
        <v>23083</v>
      </c>
      <c r="BF1717" t="str">
        <f>HYPERLINK("http://dx.doi.org/10.1016/j.foohum.2025.100830","http://dx.doi.org/10.1016/j.foohum.2025.100830")</f>
        <v>http://dx.doi.org/10.1016/j.foohum.2025.100830</v>
      </c>
      <c r="BG1717" t="s">
        <v>74</v>
      </c>
      <c r="BH1717" t="s">
        <v>488</v>
      </c>
      <c r="BI1717">
        <v>15</v>
      </c>
      <c r="BJ1717" t="s">
        <v>7722</v>
      </c>
      <c r="BK1717" t="s">
        <v>313</v>
      </c>
      <c r="BL1717" t="s">
        <v>7722</v>
      </c>
      <c r="BM1717" t="s">
        <v>23082</v>
      </c>
      <c r="BN1717" t="s">
        <v>74</v>
      </c>
      <c r="BO1717" t="s">
        <v>74</v>
      </c>
      <c r="BP1717" t="s">
        <v>74</v>
      </c>
      <c r="BQ1717" t="s">
        <v>74</v>
      </c>
      <c r="BR1717" t="s">
        <v>102</v>
      </c>
      <c r="BS1717" t="s">
        <v>23081</v>
      </c>
      <c r="BT1717" t="str">
        <f>HYPERLINK("https%3A%2F%2Fwww.webofscience.com%2Fwos%2Fwoscc%2Ffull-record%2FWOS:001587555700002","View Full Record in Web of Science")</f>
        <v>View Full Record in Web of Science</v>
      </c>
    </row>
    <row r="1718" spans="1:72" x14ac:dyDescent="0.25">
      <c r="A1718" t="s">
        <v>72</v>
      </c>
      <c r="B1718" t="s">
        <v>23080</v>
      </c>
      <c r="C1718" t="s">
        <v>74</v>
      </c>
      <c r="D1718" t="s">
        <v>74</v>
      </c>
      <c r="E1718" t="s">
        <v>74</v>
      </c>
      <c r="F1718" t="s">
        <v>23079</v>
      </c>
      <c r="G1718" t="s">
        <v>74</v>
      </c>
      <c r="H1718" t="s">
        <v>74</v>
      </c>
      <c r="I1718" t="s">
        <v>23078</v>
      </c>
      <c r="J1718" t="s">
        <v>2896</v>
      </c>
      <c r="K1718" t="s">
        <v>74</v>
      </c>
      <c r="L1718" t="s">
        <v>74</v>
      </c>
      <c r="M1718" t="s">
        <v>78</v>
      </c>
      <c r="N1718" t="s">
        <v>79</v>
      </c>
      <c r="O1718" t="s">
        <v>74</v>
      </c>
      <c r="P1718" t="s">
        <v>74</v>
      </c>
      <c r="Q1718" t="s">
        <v>74</v>
      </c>
      <c r="R1718" t="s">
        <v>74</v>
      </c>
      <c r="S1718" t="s">
        <v>74</v>
      </c>
      <c r="T1718" t="s">
        <v>23077</v>
      </c>
      <c r="U1718" t="s">
        <v>23076</v>
      </c>
      <c r="V1718" t="s">
        <v>23075</v>
      </c>
      <c r="W1718" t="s">
        <v>23074</v>
      </c>
      <c r="X1718" t="s">
        <v>23073</v>
      </c>
      <c r="Y1718" t="s">
        <v>23072</v>
      </c>
      <c r="Z1718" t="s">
        <v>23071</v>
      </c>
      <c r="AA1718" t="s">
        <v>23070</v>
      </c>
      <c r="AB1718" t="s">
        <v>23069</v>
      </c>
      <c r="AC1718" t="s">
        <v>74</v>
      </c>
      <c r="AD1718" t="s">
        <v>74</v>
      </c>
      <c r="AE1718" t="s">
        <v>74</v>
      </c>
      <c r="AF1718" t="s">
        <v>74</v>
      </c>
      <c r="AG1718">
        <v>114</v>
      </c>
      <c r="AH1718">
        <v>6</v>
      </c>
      <c r="AI1718">
        <v>11</v>
      </c>
      <c r="AJ1718">
        <v>3</v>
      </c>
      <c r="AK1718">
        <v>20</v>
      </c>
      <c r="AL1718" t="s">
        <v>2907</v>
      </c>
      <c r="AM1718" t="s">
        <v>2908</v>
      </c>
      <c r="AN1718" t="s">
        <v>2909</v>
      </c>
      <c r="AO1718" t="s">
        <v>2910</v>
      </c>
      <c r="AP1718" t="s">
        <v>12978</v>
      </c>
      <c r="AQ1718" t="s">
        <v>74</v>
      </c>
      <c r="AR1718" t="s">
        <v>2911</v>
      </c>
      <c r="AS1718" t="s">
        <v>2912</v>
      </c>
      <c r="AT1718" t="s">
        <v>124</v>
      </c>
      <c r="AU1718">
        <v>2022</v>
      </c>
      <c r="AV1718">
        <v>34</v>
      </c>
      <c r="AW1718">
        <v>6</v>
      </c>
      <c r="AX1718" t="s">
        <v>74</v>
      </c>
      <c r="AY1718" t="s">
        <v>74</v>
      </c>
      <c r="AZ1718" t="s">
        <v>74</v>
      </c>
      <c r="BA1718" t="s">
        <v>74</v>
      </c>
      <c r="BB1718">
        <v>2625</v>
      </c>
      <c r="BC1718">
        <v>2650</v>
      </c>
      <c r="BD1718" t="s">
        <v>74</v>
      </c>
      <c r="BE1718" t="s">
        <v>23068</v>
      </c>
      <c r="BF1718" t="str">
        <f>HYPERLINK("http://dx.doi.org/10.1057/s41287-021-00480-3","http://dx.doi.org/10.1057/s41287-021-00480-3")</f>
        <v>http://dx.doi.org/10.1057/s41287-021-00480-3</v>
      </c>
      <c r="BG1718" t="s">
        <v>74</v>
      </c>
      <c r="BH1718" t="s">
        <v>6817</v>
      </c>
      <c r="BI1718">
        <v>26</v>
      </c>
      <c r="BJ1718" t="s">
        <v>1137</v>
      </c>
      <c r="BK1718" t="s">
        <v>99</v>
      </c>
      <c r="BL1718" t="s">
        <v>1137</v>
      </c>
      <c r="BM1718" t="s">
        <v>23067</v>
      </c>
      <c r="BN1718">
        <v>34785868</v>
      </c>
      <c r="BO1718" t="s">
        <v>3694</v>
      </c>
      <c r="BP1718" t="s">
        <v>74</v>
      </c>
      <c r="BQ1718" t="s">
        <v>74</v>
      </c>
      <c r="BR1718" t="s">
        <v>102</v>
      </c>
      <c r="BS1718" t="s">
        <v>23066</v>
      </c>
      <c r="BT1718" t="str">
        <f>HYPERLINK("https%3A%2F%2Fwww.webofscience.com%2Fwos%2Fwoscc%2Ffull-record%2FWOS:000717401400001","View Full Record in Web of Science")</f>
        <v>View Full Record in Web of Science</v>
      </c>
    </row>
    <row r="1719" spans="1:72" x14ac:dyDescent="0.25">
      <c r="A1719" t="s">
        <v>72</v>
      </c>
      <c r="B1719" t="s">
        <v>23065</v>
      </c>
      <c r="C1719" t="s">
        <v>74</v>
      </c>
      <c r="D1719" t="s">
        <v>74</v>
      </c>
      <c r="E1719" t="s">
        <v>74</v>
      </c>
      <c r="F1719" t="s">
        <v>23064</v>
      </c>
      <c r="G1719" t="s">
        <v>74</v>
      </c>
      <c r="H1719" t="s">
        <v>74</v>
      </c>
      <c r="I1719" t="s">
        <v>23063</v>
      </c>
      <c r="J1719" t="s">
        <v>4842</v>
      </c>
      <c r="K1719" t="s">
        <v>74</v>
      </c>
      <c r="L1719" t="s">
        <v>74</v>
      </c>
      <c r="M1719" t="s">
        <v>78</v>
      </c>
      <c r="N1719" t="s">
        <v>79</v>
      </c>
      <c r="O1719" t="s">
        <v>74</v>
      </c>
      <c r="P1719" t="s">
        <v>74</v>
      </c>
      <c r="Q1719" t="s">
        <v>74</v>
      </c>
      <c r="R1719" t="s">
        <v>74</v>
      </c>
      <c r="S1719" t="s">
        <v>74</v>
      </c>
      <c r="T1719" t="s">
        <v>23062</v>
      </c>
      <c r="U1719" t="s">
        <v>23061</v>
      </c>
      <c r="V1719" t="s">
        <v>23060</v>
      </c>
      <c r="W1719" t="s">
        <v>23059</v>
      </c>
      <c r="X1719" t="s">
        <v>23058</v>
      </c>
      <c r="Y1719" t="s">
        <v>23057</v>
      </c>
      <c r="Z1719" t="s">
        <v>23056</v>
      </c>
      <c r="AA1719" t="s">
        <v>23055</v>
      </c>
      <c r="AB1719" t="s">
        <v>74</v>
      </c>
      <c r="AC1719" t="s">
        <v>74</v>
      </c>
      <c r="AD1719" t="s">
        <v>74</v>
      </c>
      <c r="AE1719" t="s">
        <v>74</v>
      </c>
      <c r="AF1719" t="s">
        <v>74</v>
      </c>
      <c r="AG1719">
        <v>100</v>
      </c>
      <c r="AH1719">
        <v>10</v>
      </c>
      <c r="AI1719">
        <v>11</v>
      </c>
      <c r="AJ1719">
        <v>0</v>
      </c>
      <c r="AK1719">
        <v>15</v>
      </c>
      <c r="AL1719" t="s">
        <v>2481</v>
      </c>
      <c r="AM1719" t="s">
        <v>2482</v>
      </c>
      <c r="AN1719" t="s">
        <v>2483</v>
      </c>
      <c r="AO1719" t="s">
        <v>4853</v>
      </c>
      <c r="AP1719" t="s">
        <v>74</v>
      </c>
      <c r="AQ1719" t="s">
        <v>74</v>
      </c>
      <c r="AR1719" t="s">
        <v>4854</v>
      </c>
      <c r="AS1719" t="s">
        <v>4855</v>
      </c>
      <c r="AT1719" t="s">
        <v>2970</v>
      </c>
      <c r="AU1719">
        <v>2023</v>
      </c>
      <c r="AV1719">
        <v>10</v>
      </c>
      <c r="AW1719">
        <v>1</v>
      </c>
      <c r="AX1719" t="s">
        <v>74</v>
      </c>
      <c r="AY1719" t="s">
        <v>74</v>
      </c>
      <c r="AZ1719" t="s">
        <v>74</v>
      </c>
      <c r="BA1719" t="s">
        <v>74</v>
      </c>
      <c r="BB1719" t="s">
        <v>74</v>
      </c>
      <c r="BC1719" t="s">
        <v>74</v>
      </c>
      <c r="BD1719">
        <v>2135202</v>
      </c>
      <c r="BE1719" t="s">
        <v>23054</v>
      </c>
      <c r="BF1719" t="str">
        <f>HYPERLINK("http://dx.doi.org/10.1080/23311975.2022.2135202","http://dx.doi.org/10.1080/23311975.2022.2135202")</f>
        <v>http://dx.doi.org/10.1080/23311975.2022.2135202</v>
      </c>
      <c r="BG1719" t="s">
        <v>74</v>
      </c>
      <c r="BH1719" t="s">
        <v>74</v>
      </c>
      <c r="BI1719">
        <v>22</v>
      </c>
      <c r="BJ1719" t="s">
        <v>418</v>
      </c>
      <c r="BK1719" t="s">
        <v>313</v>
      </c>
      <c r="BL1719" t="s">
        <v>100</v>
      </c>
      <c r="BM1719" t="s">
        <v>23053</v>
      </c>
      <c r="BN1719" t="s">
        <v>74</v>
      </c>
      <c r="BO1719" t="s">
        <v>916</v>
      </c>
      <c r="BP1719" t="s">
        <v>74</v>
      </c>
      <c r="BQ1719" t="s">
        <v>74</v>
      </c>
      <c r="BR1719" t="s">
        <v>102</v>
      </c>
      <c r="BS1719" t="s">
        <v>23052</v>
      </c>
      <c r="BT1719" t="str">
        <f>HYPERLINK("https%3A%2F%2Fwww.webofscience.com%2Fwos%2Fwoscc%2Ffull-record%2FWOS:000912587300001","View Full Record in Web of Science")</f>
        <v>View Full Record in Web of Science</v>
      </c>
    </row>
    <row r="1720" spans="1:72" x14ac:dyDescent="0.25">
      <c r="A1720" t="s">
        <v>72</v>
      </c>
      <c r="B1720" t="s">
        <v>23051</v>
      </c>
      <c r="C1720" t="s">
        <v>74</v>
      </c>
      <c r="D1720" t="s">
        <v>74</v>
      </c>
      <c r="E1720" t="s">
        <v>74</v>
      </c>
      <c r="F1720" t="s">
        <v>23050</v>
      </c>
      <c r="G1720" t="s">
        <v>74</v>
      </c>
      <c r="H1720" t="s">
        <v>74</v>
      </c>
      <c r="I1720" t="s">
        <v>23049</v>
      </c>
      <c r="J1720" t="s">
        <v>23048</v>
      </c>
      <c r="K1720" t="s">
        <v>74</v>
      </c>
      <c r="L1720" t="s">
        <v>74</v>
      </c>
      <c r="M1720" t="s">
        <v>78</v>
      </c>
      <c r="N1720" t="s">
        <v>79</v>
      </c>
      <c r="O1720" t="s">
        <v>74</v>
      </c>
      <c r="P1720" t="s">
        <v>74</v>
      </c>
      <c r="Q1720" t="s">
        <v>74</v>
      </c>
      <c r="R1720" t="s">
        <v>74</v>
      </c>
      <c r="S1720" t="s">
        <v>74</v>
      </c>
      <c r="T1720" t="s">
        <v>23047</v>
      </c>
      <c r="U1720" t="s">
        <v>23046</v>
      </c>
      <c r="V1720" t="s">
        <v>23045</v>
      </c>
      <c r="W1720" t="s">
        <v>23044</v>
      </c>
      <c r="X1720" t="s">
        <v>23043</v>
      </c>
      <c r="Y1720" t="s">
        <v>23042</v>
      </c>
      <c r="Z1720" t="s">
        <v>23041</v>
      </c>
      <c r="AA1720" t="s">
        <v>23040</v>
      </c>
      <c r="AB1720" t="s">
        <v>23039</v>
      </c>
      <c r="AC1720" t="s">
        <v>23038</v>
      </c>
      <c r="AD1720" t="s">
        <v>19652</v>
      </c>
      <c r="AE1720" t="s">
        <v>23037</v>
      </c>
      <c r="AF1720" t="s">
        <v>74</v>
      </c>
      <c r="AG1720">
        <v>86</v>
      </c>
      <c r="AH1720">
        <v>0</v>
      </c>
      <c r="AI1720">
        <v>2</v>
      </c>
      <c r="AJ1720">
        <v>2</v>
      </c>
      <c r="AK1720">
        <v>2</v>
      </c>
      <c r="AL1720" t="s">
        <v>994</v>
      </c>
      <c r="AM1720" t="s">
        <v>995</v>
      </c>
      <c r="AN1720" t="s">
        <v>2061</v>
      </c>
      <c r="AO1720" t="s">
        <v>23036</v>
      </c>
      <c r="AP1720" t="s">
        <v>23035</v>
      </c>
      <c r="AQ1720" t="s">
        <v>74</v>
      </c>
      <c r="AR1720" t="s">
        <v>23034</v>
      </c>
      <c r="AS1720" t="s">
        <v>23033</v>
      </c>
      <c r="AT1720" t="s">
        <v>289</v>
      </c>
      <c r="AU1720">
        <v>2025</v>
      </c>
      <c r="AV1720">
        <v>17</v>
      </c>
      <c r="AW1720">
        <v>2</v>
      </c>
      <c r="AX1720" t="s">
        <v>74</v>
      </c>
      <c r="AY1720" t="s">
        <v>74</v>
      </c>
      <c r="AZ1720" t="s">
        <v>74</v>
      </c>
      <c r="BA1720" t="s">
        <v>74</v>
      </c>
      <c r="BB1720">
        <v>235</v>
      </c>
      <c r="BC1720">
        <v>257</v>
      </c>
      <c r="BD1720" t="s">
        <v>74</v>
      </c>
      <c r="BE1720" t="s">
        <v>23032</v>
      </c>
      <c r="BF1720" t="str">
        <f>HYPERLINK("http://dx.doi.org/10.1177/1866802X251316902","http://dx.doi.org/10.1177/1866802X251316902")</f>
        <v>http://dx.doi.org/10.1177/1866802X251316902</v>
      </c>
      <c r="BG1720" t="s">
        <v>74</v>
      </c>
      <c r="BH1720" t="s">
        <v>74</v>
      </c>
      <c r="BI1720">
        <v>23</v>
      </c>
      <c r="BJ1720" t="s">
        <v>3326</v>
      </c>
      <c r="BK1720" t="s">
        <v>313</v>
      </c>
      <c r="BL1720" t="s">
        <v>184</v>
      </c>
      <c r="BM1720" t="s">
        <v>23031</v>
      </c>
      <c r="BN1720" t="s">
        <v>74</v>
      </c>
      <c r="BO1720" t="s">
        <v>916</v>
      </c>
      <c r="BP1720" t="s">
        <v>74</v>
      </c>
      <c r="BQ1720" t="s">
        <v>74</v>
      </c>
      <c r="BR1720" t="s">
        <v>102</v>
      </c>
      <c r="BS1720" t="s">
        <v>23030</v>
      </c>
      <c r="BT1720" t="str">
        <f>HYPERLINK("https%3A%2F%2Fwww.webofscience.com%2Fwos%2Fwoscc%2Ffull-record%2FWOS:001529809600001","View Full Record in Web of Science")</f>
        <v>View Full Record in Web of Science</v>
      </c>
    </row>
    <row r="1721" spans="1:72" x14ac:dyDescent="0.25">
      <c r="A1721" t="s">
        <v>72</v>
      </c>
      <c r="B1721" t="s">
        <v>11071</v>
      </c>
      <c r="C1721" t="s">
        <v>74</v>
      </c>
      <c r="D1721" t="s">
        <v>74</v>
      </c>
      <c r="E1721" t="s">
        <v>74</v>
      </c>
      <c r="F1721" t="s">
        <v>11072</v>
      </c>
      <c r="G1721" t="s">
        <v>74</v>
      </c>
      <c r="H1721" t="s">
        <v>74</v>
      </c>
      <c r="I1721" t="s">
        <v>23029</v>
      </c>
      <c r="J1721" t="s">
        <v>23028</v>
      </c>
      <c r="K1721" t="s">
        <v>74</v>
      </c>
      <c r="L1721" t="s">
        <v>74</v>
      </c>
      <c r="M1721" t="s">
        <v>78</v>
      </c>
      <c r="N1721" t="s">
        <v>372</v>
      </c>
      <c r="O1721" t="s">
        <v>74</v>
      </c>
      <c r="P1721" t="s">
        <v>74</v>
      </c>
      <c r="Q1721" t="s">
        <v>74</v>
      </c>
      <c r="R1721" t="s">
        <v>74</v>
      </c>
      <c r="S1721" t="s">
        <v>74</v>
      </c>
      <c r="T1721" t="s">
        <v>23027</v>
      </c>
      <c r="U1721" t="s">
        <v>74</v>
      </c>
      <c r="V1721" t="s">
        <v>23026</v>
      </c>
      <c r="W1721" t="s">
        <v>11324</v>
      </c>
      <c r="X1721" t="s">
        <v>11079</v>
      </c>
      <c r="Y1721" t="s">
        <v>11325</v>
      </c>
      <c r="Z1721" t="s">
        <v>12317</v>
      </c>
      <c r="AA1721" t="s">
        <v>11082</v>
      </c>
      <c r="AB1721" t="s">
        <v>74</v>
      </c>
      <c r="AC1721" t="s">
        <v>74</v>
      </c>
      <c r="AD1721" t="s">
        <v>74</v>
      </c>
      <c r="AE1721" t="s">
        <v>74</v>
      </c>
      <c r="AF1721" t="s">
        <v>74</v>
      </c>
      <c r="AG1721">
        <v>50</v>
      </c>
      <c r="AH1721">
        <v>0</v>
      </c>
      <c r="AI1721">
        <v>0</v>
      </c>
      <c r="AJ1721">
        <v>0</v>
      </c>
      <c r="AK1721">
        <v>0</v>
      </c>
      <c r="AL1721" t="s">
        <v>332</v>
      </c>
      <c r="AM1721" t="s">
        <v>333</v>
      </c>
      <c r="AN1721" t="s">
        <v>334</v>
      </c>
      <c r="AO1721" t="s">
        <v>23025</v>
      </c>
      <c r="AP1721" t="s">
        <v>23024</v>
      </c>
      <c r="AQ1721" t="s">
        <v>74</v>
      </c>
      <c r="AR1721" t="s">
        <v>23023</v>
      </c>
      <c r="AS1721" t="s">
        <v>23022</v>
      </c>
      <c r="AT1721" t="s">
        <v>23021</v>
      </c>
      <c r="AU1721">
        <v>2025</v>
      </c>
      <c r="AV1721" t="s">
        <v>74</v>
      </c>
      <c r="AW1721" t="s">
        <v>74</v>
      </c>
      <c r="AX1721" t="s">
        <v>74</v>
      </c>
      <c r="AY1721" t="s">
        <v>74</v>
      </c>
      <c r="AZ1721" t="s">
        <v>74</v>
      </c>
      <c r="BA1721" t="s">
        <v>74</v>
      </c>
      <c r="BB1721" t="s">
        <v>74</v>
      </c>
      <c r="BC1721" t="s">
        <v>74</v>
      </c>
      <c r="BD1721" t="s">
        <v>74</v>
      </c>
      <c r="BE1721" t="s">
        <v>23020</v>
      </c>
      <c r="BF1721" t="str">
        <f>HYPERLINK("http://dx.doi.org/10.1080/13600826.2025.2557934","http://dx.doi.org/10.1080/13600826.2025.2557934")</f>
        <v>http://dx.doi.org/10.1080/13600826.2025.2557934</v>
      </c>
      <c r="BG1721" t="s">
        <v>74</v>
      </c>
      <c r="BH1721" t="s">
        <v>3411</v>
      </c>
      <c r="BI1721">
        <v>25</v>
      </c>
      <c r="BJ1721" t="s">
        <v>12820</v>
      </c>
      <c r="BK1721" t="s">
        <v>313</v>
      </c>
      <c r="BL1721" t="s">
        <v>12820</v>
      </c>
      <c r="BM1721" t="s">
        <v>23019</v>
      </c>
      <c r="BN1721" t="s">
        <v>74</v>
      </c>
      <c r="BO1721" t="s">
        <v>74</v>
      </c>
      <c r="BP1721" t="s">
        <v>74</v>
      </c>
      <c r="BQ1721" t="s">
        <v>74</v>
      </c>
      <c r="BR1721" t="s">
        <v>102</v>
      </c>
      <c r="BS1721" t="s">
        <v>23018</v>
      </c>
      <c r="BT1721" t="str">
        <f>HYPERLINK("https%3A%2F%2Fwww.webofscience.com%2Fwos%2Fwoscc%2Ffull-record%2FWOS:001572232700001","View Full Record in Web of Science")</f>
        <v>View Full Record in Web of Science</v>
      </c>
    </row>
    <row r="1722" spans="1:72" x14ac:dyDescent="0.25">
      <c r="A1722" t="s">
        <v>72</v>
      </c>
      <c r="B1722" t="s">
        <v>23017</v>
      </c>
      <c r="C1722" t="s">
        <v>74</v>
      </c>
      <c r="D1722" t="s">
        <v>74</v>
      </c>
      <c r="E1722" t="s">
        <v>74</v>
      </c>
      <c r="F1722" t="s">
        <v>23016</v>
      </c>
      <c r="G1722" t="s">
        <v>74</v>
      </c>
      <c r="H1722" t="s">
        <v>74</v>
      </c>
      <c r="I1722" t="s">
        <v>23015</v>
      </c>
      <c r="J1722" t="s">
        <v>1510</v>
      </c>
      <c r="K1722" t="s">
        <v>74</v>
      </c>
      <c r="L1722" t="s">
        <v>74</v>
      </c>
      <c r="M1722" t="s">
        <v>78</v>
      </c>
      <c r="N1722" t="s">
        <v>79</v>
      </c>
      <c r="O1722" t="s">
        <v>74</v>
      </c>
      <c r="P1722" t="s">
        <v>74</v>
      </c>
      <c r="Q1722" t="s">
        <v>74</v>
      </c>
      <c r="R1722" t="s">
        <v>74</v>
      </c>
      <c r="S1722" t="s">
        <v>74</v>
      </c>
      <c r="T1722" t="s">
        <v>23014</v>
      </c>
      <c r="U1722" t="s">
        <v>23013</v>
      </c>
      <c r="V1722" t="s">
        <v>23012</v>
      </c>
      <c r="W1722" t="s">
        <v>23011</v>
      </c>
      <c r="X1722" t="s">
        <v>23010</v>
      </c>
      <c r="Y1722" t="s">
        <v>23009</v>
      </c>
      <c r="Z1722" t="s">
        <v>23008</v>
      </c>
      <c r="AA1722" t="s">
        <v>23007</v>
      </c>
      <c r="AB1722" t="s">
        <v>23006</v>
      </c>
      <c r="AC1722" t="s">
        <v>74</v>
      </c>
      <c r="AD1722" t="s">
        <v>74</v>
      </c>
      <c r="AE1722" t="s">
        <v>74</v>
      </c>
      <c r="AF1722" t="s">
        <v>74</v>
      </c>
      <c r="AG1722">
        <v>64</v>
      </c>
      <c r="AH1722">
        <v>38</v>
      </c>
      <c r="AI1722">
        <v>57</v>
      </c>
      <c r="AJ1722">
        <v>1</v>
      </c>
      <c r="AK1722">
        <v>18</v>
      </c>
      <c r="AL1722" t="s">
        <v>89</v>
      </c>
      <c r="AM1722" t="s">
        <v>1497</v>
      </c>
      <c r="AN1722" t="s">
        <v>1498</v>
      </c>
      <c r="AO1722" t="s">
        <v>1519</v>
      </c>
      <c r="AP1722" t="s">
        <v>1520</v>
      </c>
      <c r="AQ1722" t="s">
        <v>74</v>
      </c>
      <c r="AR1722" t="s">
        <v>1521</v>
      </c>
      <c r="AS1722" t="s">
        <v>1522</v>
      </c>
      <c r="AT1722" t="s">
        <v>17652</v>
      </c>
      <c r="AU1722">
        <v>2021</v>
      </c>
      <c r="AV1722">
        <v>48</v>
      </c>
      <c r="AW1722">
        <v>8</v>
      </c>
      <c r="AX1722" t="s">
        <v>74</v>
      </c>
      <c r="AY1722" t="s">
        <v>74</v>
      </c>
      <c r="AZ1722" t="s">
        <v>74</v>
      </c>
      <c r="BA1722" t="s">
        <v>74</v>
      </c>
      <c r="BB1722">
        <v>1139</v>
      </c>
      <c r="BC1722">
        <v>1158</v>
      </c>
      <c r="BD1722" t="s">
        <v>74</v>
      </c>
      <c r="BE1722" t="s">
        <v>23005</v>
      </c>
      <c r="BF1722" t="str">
        <f>HYPERLINK("http://dx.doi.org/10.1108/IJSE-10-2020-0711","http://dx.doi.org/10.1108/IJSE-10-2020-0711")</f>
        <v>http://dx.doi.org/10.1108/IJSE-10-2020-0711</v>
      </c>
      <c r="BG1722" t="s">
        <v>74</v>
      </c>
      <c r="BH1722" t="s">
        <v>443</v>
      </c>
      <c r="BI1722">
        <v>20</v>
      </c>
      <c r="BJ1722" t="s">
        <v>291</v>
      </c>
      <c r="BK1722" t="s">
        <v>313</v>
      </c>
      <c r="BL1722" t="s">
        <v>100</v>
      </c>
      <c r="BM1722" t="s">
        <v>23004</v>
      </c>
      <c r="BN1722" t="s">
        <v>74</v>
      </c>
      <c r="BO1722" t="s">
        <v>74</v>
      </c>
      <c r="BP1722" t="s">
        <v>74</v>
      </c>
      <c r="BQ1722" t="s">
        <v>74</v>
      </c>
      <c r="BR1722" t="s">
        <v>102</v>
      </c>
      <c r="BS1722" t="s">
        <v>23003</v>
      </c>
      <c r="BT1722" t="str">
        <f>HYPERLINK("https%3A%2F%2Fwww.webofscience.com%2Fwos%2Fwoscc%2Ffull-record%2FWOS:000646297700001","View Full Record in Web of Science")</f>
        <v>View Full Record in Web of Science</v>
      </c>
    </row>
    <row r="1723" spans="1:72" x14ac:dyDescent="0.25">
      <c r="A1723" t="s">
        <v>72</v>
      </c>
      <c r="B1723" t="s">
        <v>23002</v>
      </c>
      <c r="C1723" t="s">
        <v>74</v>
      </c>
      <c r="D1723" t="s">
        <v>74</v>
      </c>
      <c r="E1723" t="s">
        <v>74</v>
      </c>
      <c r="F1723" t="s">
        <v>23001</v>
      </c>
      <c r="G1723" t="s">
        <v>74</v>
      </c>
      <c r="H1723" t="s">
        <v>74</v>
      </c>
      <c r="I1723" t="s">
        <v>23000</v>
      </c>
      <c r="J1723" t="s">
        <v>3231</v>
      </c>
      <c r="K1723" t="s">
        <v>74</v>
      </c>
      <c r="L1723" t="s">
        <v>74</v>
      </c>
      <c r="M1723" t="s">
        <v>78</v>
      </c>
      <c r="N1723" t="s">
        <v>79</v>
      </c>
      <c r="O1723" t="s">
        <v>74</v>
      </c>
      <c r="P1723" t="s">
        <v>74</v>
      </c>
      <c r="Q1723" t="s">
        <v>74</v>
      </c>
      <c r="R1723" t="s">
        <v>74</v>
      </c>
      <c r="S1723" t="s">
        <v>74</v>
      </c>
      <c r="T1723" t="s">
        <v>22999</v>
      </c>
      <c r="U1723" t="s">
        <v>22998</v>
      </c>
      <c r="V1723" t="s">
        <v>22997</v>
      </c>
      <c r="W1723" t="s">
        <v>22996</v>
      </c>
      <c r="X1723" t="s">
        <v>74</v>
      </c>
      <c r="Y1723" t="s">
        <v>22995</v>
      </c>
      <c r="Z1723" t="s">
        <v>22994</v>
      </c>
      <c r="AA1723" t="s">
        <v>22993</v>
      </c>
      <c r="AB1723" t="s">
        <v>22992</v>
      </c>
      <c r="AC1723" t="s">
        <v>74</v>
      </c>
      <c r="AD1723" t="s">
        <v>74</v>
      </c>
      <c r="AE1723" t="s">
        <v>74</v>
      </c>
      <c r="AF1723" t="s">
        <v>74</v>
      </c>
      <c r="AG1723">
        <v>71</v>
      </c>
      <c r="AH1723">
        <v>5</v>
      </c>
      <c r="AI1723">
        <v>6</v>
      </c>
      <c r="AJ1723">
        <v>1</v>
      </c>
      <c r="AK1723">
        <v>21</v>
      </c>
      <c r="AL1723" t="s">
        <v>575</v>
      </c>
      <c r="AM1723" t="s">
        <v>576</v>
      </c>
      <c r="AN1723" t="s">
        <v>577</v>
      </c>
      <c r="AO1723" t="s">
        <v>74</v>
      </c>
      <c r="AP1723" t="s">
        <v>3243</v>
      </c>
      <c r="AQ1723" t="s">
        <v>74</v>
      </c>
      <c r="AR1723" t="s">
        <v>3244</v>
      </c>
      <c r="AS1723" t="s">
        <v>3245</v>
      </c>
      <c r="AT1723" t="s">
        <v>891</v>
      </c>
      <c r="AU1723">
        <v>2020</v>
      </c>
      <c r="AV1723">
        <v>12</v>
      </c>
      <c r="AW1723">
        <v>22</v>
      </c>
      <c r="AX1723" t="s">
        <v>74</v>
      </c>
      <c r="AY1723" t="s">
        <v>74</v>
      </c>
      <c r="AZ1723" t="s">
        <v>74</v>
      </c>
      <c r="BA1723" t="s">
        <v>74</v>
      </c>
      <c r="BB1723" t="s">
        <v>74</v>
      </c>
      <c r="BC1723" t="s">
        <v>74</v>
      </c>
      <c r="BD1723">
        <v>9737</v>
      </c>
      <c r="BE1723" t="s">
        <v>22991</v>
      </c>
      <c r="BF1723" t="str">
        <f>HYPERLINK("http://dx.doi.org/10.3390/su12229737","http://dx.doi.org/10.3390/su12229737")</f>
        <v>http://dx.doi.org/10.3390/su12229737</v>
      </c>
      <c r="BG1723" t="s">
        <v>74</v>
      </c>
      <c r="BH1723" t="s">
        <v>74</v>
      </c>
      <c r="BI1723">
        <v>26</v>
      </c>
      <c r="BJ1723" t="s">
        <v>3247</v>
      </c>
      <c r="BK1723" t="s">
        <v>2623</v>
      </c>
      <c r="BL1723" t="s">
        <v>3248</v>
      </c>
      <c r="BM1723" t="s">
        <v>22990</v>
      </c>
      <c r="BN1723" t="s">
        <v>74</v>
      </c>
      <c r="BO1723" t="s">
        <v>916</v>
      </c>
      <c r="BP1723" t="s">
        <v>74</v>
      </c>
      <c r="BQ1723" t="s">
        <v>74</v>
      </c>
      <c r="BR1723" t="s">
        <v>102</v>
      </c>
      <c r="BS1723" t="s">
        <v>22989</v>
      </c>
      <c r="BT1723" t="str">
        <f>HYPERLINK("https%3A%2F%2Fwww.webofscience.com%2Fwos%2Fwoscc%2Ffull-record%2FWOS:000594598700001","View Full Record in Web of Science")</f>
        <v>View Full Record in Web of Science</v>
      </c>
    </row>
    <row r="1724" spans="1:72" x14ac:dyDescent="0.25">
      <c r="A1724" t="s">
        <v>72</v>
      </c>
      <c r="B1724" t="s">
        <v>22988</v>
      </c>
      <c r="C1724" t="s">
        <v>74</v>
      </c>
      <c r="D1724" t="s">
        <v>74</v>
      </c>
      <c r="E1724" t="s">
        <v>74</v>
      </c>
      <c r="F1724" t="s">
        <v>22987</v>
      </c>
      <c r="G1724" t="s">
        <v>74</v>
      </c>
      <c r="H1724" t="s">
        <v>74</v>
      </c>
      <c r="I1724" t="s">
        <v>22986</v>
      </c>
      <c r="J1724" t="s">
        <v>6713</v>
      </c>
      <c r="K1724" t="s">
        <v>74</v>
      </c>
      <c r="L1724" t="s">
        <v>74</v>
      </c>
      <c r="M1724" t="s">
        <v>78</v>
      </c>
      <c r="N1724" t="s">
        <v>79</v>
      </c>
      <c r="O1724" t="s">
        <v>74</v>
      </c>
      <c r="P1724" t="s">
        <v>74</v>
      </c>
      <c r="Q1724" t="s">
        <v>74</v>
      </c>
      <c r="R1724" t="s">
        <v>74</v>
      </c>
      <c r="S1724" t="s">
        <v>74</v>
      </c>
      <c r="T1724" t="s">
        <v>22985</v>
      </c>
      <c r="U1724" t="s">
        <v>22984</v>
      </c>
      <c r="V1724" t="s">
        <v>22983</v>
      </c>
      <c r="W1724" t="s">
        <v>22982</v>
      </c>
      <c r="X1724" t="s">
        <v>74</v>
      </c>
      <c r="Y1724" t="s">
        <v>22981</v>
      </c>
      <c r="Z1724" t="s">
        <v>22980</v>
      </c>
      <c r="AA1724" t="s">
        <v>74</v>
      </c>
      <c r="AB1724" t="s">
        <v>74</v>
      </c>
      <c r="AC1724" t="s">
        <v>74</v>
      </c>
      <c r="AD1724" t="s">
        <v>74</v>
      </c>
      <c r="AE1724" t="s">
        <v>74</v>
      </c>
      <c r="AF1724" t="s">
        <v>74</v>
      </c>
      <c r="AG1724">
        <v>39</v>
      </c>
      <c r="AH1724">
        <v>7</v>
      </c>
      <c r="AI1724">
        <v>8</v>
      </c>
      <c r="AJ1724">
        <v>0</v>
      </c>
      <c r="AK1724">
        <v>6</v>
      </c>
      <c r="AL1724" t="s">
        <v>4485</v>
      </c>
      <c r="AM1724" t="s">
        <v>6724</v>
      </c>
      <c r="AN1724" t="s">
        <v>6725</v>
      </c>
      <c r="AO1724" t="s">
        <v>6726</v>
      </c>
      <c r="AP1724" t="s">
        <v>6727</v>
      </c>
      <c r="AQ1724" t="s">
        <v>74</v>
      </c>
      <c r="AR1724" t="s">
        <v>6728</v>
      </c>
      <c r="AS1724" t="s">
        <v>6729</v>
      </c>
      <c r="AT1724" t="s">
        <v>237</v>
      </c>
      <c r="AU1724">
        <v>2023</v>
      </c>
      <c r="AV1724">
        <v>47</v>
      </c>
      <c r="AW1724">
        <v>1</v>
      </c>
      <c r="AX1724" t="s">
        <v>74</v>
      </c>
      <c r="AY1724" t="s">
        <v>74</v>
      </c>
      <c r="AZ1724" t="s">
        <v>74</v>
      </c>
      <c r="BA1724" t="s">
        <v>74</v>
      </c>
      <c r="BB1724" t="s">
        <v>74</v>
      </c>
      <c r="BC1724" t="s">
        <v>74</v>
      </c>
      <c r="BD1724">
        <v>102457</v>
      </c>
      <c r="BE1724" t="s">
        <v>22979</v>
      </c>
      <c r="BF1724" t="str">
        <f>HYPERLINK("http://dx.doi.org/10.1016/j.telpol.2022.102457","http://dx.doi.org/10.1016/j.telpol.2022.102457")</f>
        <v>http://dx.doi.org/10.1016/j.telpol.2022.102457</v>
      </c>
      <c r="BG1724" t="s">
        <v>74</v>
      </c>
      <c r="BH1724" t="s">
        <v>11288</v>
      </c>
      <c r="BI1724">
        <v>18</v>
      </c>
      <c r="BJ1724" t="s">
        <v>6731</v>
      </c>
      <c r="BK1724" t="s">
        <v>2623</v>
      </c>
      <c r="BL1724" t="s">
        <v>6731</v>
      </c>
      <c r="BM1724" t="s">
        <v>22978</v>
      </c>
      <c r="BN1724" t="s">
        <v>74</v>
      </c>
      <c r="BO1724" t="s">
        <v>74</v>
      </c>
      <c r="BP1724" t="s">
        <v>74</v>
      </c>
      <c r="BQ1724" t="s">
        <v>74</v>
      </c>
      <c r="BR1724" t="s">
        <v>102</v>
      </c>
      <c r="BS1724" t="s">
        <v>22977</v>
      </c>
      <c r="BT1724" t="str">
        <f>HYPERLINK("https%3A%2F%2Fwww.webofscience.com%2Fwos%2Fwoscc%2Ffull-record%2FWOS:000921079100001","View Full Record in Web of Science")</f>
        <v>View Full Record in Web of Science</v>
      </c>
    </row>
    <row r="1725" spans="1:72" x14ac:dyDescent="0.25">
      <c r="A1725" t="s">
        <v>72</v>
      </c>
      <c r="B1725" t="s">
        <v>22976</v>
      </c>
      <c r="C1725" t="s">
        <v>74</v>
      </c>
      <c r="D1725" t="s">
        <v>74</v>
      </c>
      <c r="E1725" t="s">
        <v>74</v>
      </c>
      <c r="F1725" t="s">
        <v>22975</v>
      </c>
      <c r="G1725" t="s">
        <v>74</v>
      </c>
      <c r="H1725" t="s">
        <v>74</v>
      </c>
      <c r="I1725" t="s">
        <v>22974</v>
      </c>
      <c r="J1725" t="s">
        <v>7220</v>
      </c>
      <c r="K1725" t="s">
        <v>74</v>
      </c>
      <c r="L1725" t="s">
        <v>74</v>
      </c>
      <c r="M1725" t="s">
        <v>78</v>
      </c>
      <c r="N1725" t="s">
        <v>79</v>
      </c>
      <c r="O1725" t="s">
        <v>74</v>
      </c>
      <c r="P1725" t="s">
        <v>74</v>
      </c>
      <c r="Q1725" t="s">
        <v>74</v>
      </c>
      <c r="R1725" t="s">
        <v>74</v>
      </c>
      <c r="S1725" t="s">
        <v>74</v>
      </c>
      <c r="T1725" t="s">
        <v>22973</v>
      </c>
      <c r="U1725" t="s">
        <v>22972</v>
      </c>
      <c r="V1725" t="s">
        <v>22971</v>
      </c>
      <c r="W1725" t="s">
        <v>22970</v>
      </c>
      <c r="X1725" t="s">
        <v>17508</v>
      </c>
      <c r="Y1725" t="s">
        <v>22969</v>
      </c>
      <c r="Z1725" t="s">
        <v>22968</v>
      </c>
      <c r="AA1725" t="s">
        <v>22967</v>
      </c>
      <c r="AB1725" t="s">
        <v>22966</v>
      </c>
      <c r="AC1725" t="s">
        <v>22965</v>
      </c>
      <c r="AD1725" t="s">
        <v>22964</v>
      </c>
      <c r="AE1725" t="s">
        <v>74</v>
      </c>
      <c r="AF1725" t="s">
        <v>74</v>
      </c>
      <c r="AG1725">
        <v>45</v>
      </c>
      <c r="AH1725">
        <v>13</v>
      </c>
      <c r="AI1725">
        <v>17</v>
      </c>
      <c r="AJ1725">
        <v>1</v>
      </c>
      <c r="AK1725">
        <v>15</v>
      </c>
      <c r="AL1725" t="s">
        <v>89</v>
      </c>
      <c r="AM1725" t="s">
        <v>1497</v>
      </c>
      <c r="AN1725" t="s">
        <v>1498</v>
      </c>
      <c r="AO1725" t="s">
        <v>7230</v>
      </c>
      <c r="AP1725" t="s">
        <v>7231</v>
      </c>
      <c r="AQ1725" t="s">
        <v>74</v>
      </c>
      <c r="AR1725" t="s">
        <v>7232</v>
      </c>
      <c r="AS1725" t="s">
        <v>7233</v>
      </c>
      <c r="AT1725" t="s">
        <v>22963</v>
      </c>
      <c r="AU1725">
        <v>2021</v>
      </c>
      <c r="AV1725">
        <v>37</v>
      </c>
      <c r="AW1725">
        <v>3</v>
      </c>
      <c r="AX1725" t="s">
        <v>74</v>
      </c>
      <c r="AY1725" t="s">
        <v>74</v>
      </c>
      <c r="AZ1725" t="s">
        <v>74</v>
      </c>
      <c r="BA1725" t="s">
        <v>74</v>
      </c>
      <c r="BB1725">
        <v>337</v>
      </c>
      <c r="BC1725">
        <v>354</v>
      </c>
      <c r="BD1725" t="s">
        <v>74</v>
      </c>
      <c r="BE1725" t="s">
        <v>22962</v>
      </c>
      <c r="BF1725" t="str">
        <f>HYPERLINK("http://dx.doi.org/10.1108/JEAS-04-2020-0045","http://dx.doi.org/10.1108/JEAS-04-2020-0045")</f>
        <v>http://dx.doi.org/10.1108/JEAS-04-2020-0045</v>
      </c>
      <c r="BG1725" t="s">
        <v>74</v>
      </c>
      <c r="BH1725" t="s">
        <v>22961</v>
      </c>
      <c r="BI1725">
        <v>18</v>
      </c>
      <c r="BJ1725" t="s">
        <v>291</v>
      </c>
      <c r="BK1725" t="s">
        <v>313</v>
      </c>
      <c r="BL1725" t="s">
        <v>100</v>
      </c>
      <c r="BM1725" t="s">
        <v>22960</v>
      </c>
      <c r="BN1725" t="s">
        <v>74</v>
      </c>
      <c r="BO1725" t="s">
        <v>74</v>
      </c>
      <c r="BP1725" t="s">
        <v>74</v>
      </c>
      <c r="BQ1725" t="s">
        <v>74</v>
      </c>
      <c r="BR1725" t="s">
        <v>102</v>
      </c>
      <c r="BS1725" t="s">
        <v>22959</v>
      </c>
      <c r="BT1725" t="str">
        <f>HYPERLINK("https%3A%2F%2Fwww.webofscience.com%2Fwos%2Fwoscc%2Ffull-record%2FWOS:000574654700001","View Full Record in Web of Science")</f>
        <v>View Full Record in Web of Science</v>
      </c>
    </row>
    <row r="1726" spans="1:72" x14ac:dyDescent="0.25">
      <c r="A1726" t="s">
        <v>72</v>
      </c>
      <c r="B1726" t="s">
        <v>22958</v>
      </c>
      <c r="C1726" t="s">
        <v>74</v>
      </c>
      <c r="D1726" t="s">
        <v>74</v>
      </c>
      <c r="E1726" t="s">
        <v>74</v>
      </c>
      <c r="F1726" t="s">
        <v>22957</v>
      </c>
      <c r="G1726" t="s">
        <v>74</v>
      </c>
      <c r="H1726" t="s">
        <v>74</v>
      </c>
      <c r="I1726" t="s">
        <v>22956</v>
      </c>
      <c r="J1726" t="s">
        <v>22955</v>
      </c>
      <c r="K1726" t="s">
        <v>74</v>
      </c>
      <c r="L1726" t="s">
        <v>74</v>
      </c>
      <c r="M1726" t="s">
        <v>298</v>
      </c>
      <c r="N1726" t="s">
        <v>79</v>
      </c>
      <c r="O1726" t="s">
        <v>74</v>
      </c>
      <c r="P1726" t="s">
        <v>74</v>
      </c>
      <c r="Q1726" t="s">
        <v>74</v>
      </c>
      <c r="R1726" t="s">
        <v>74</v>
      </c>
      <c r="S1726" t="s">
        <v>74</v>
      </c>
      <c r="T1726" t="s">
        <v>22954</v>
      </c>
      <c r="U1726" t="s">
        <v>74</v>
      </c>
      <c r="V1726" t="s">
        <v>22953</v>
      </c>
      <c r="W1726" t="s">
        <v>22952</v>
      </c>
      <c r="X1726" t="s">
        <v>22951</v>
      </c>
      <c r="Y1726" t="s">
        <v>22950</v>
      </c>
      <c r="Z1726" t="s">
        <v>22949</v>
      </c>
      <c r="AA1726" t="s">
        <v>74</v>
      </c>
      <c r="AB1726" t="s">
        <v>74</v>
      </c>
      <c r="AC1726" t="s">
        <v>74</v>
      </c>
      <c r="AD1726" t="s">
        <v>74</v>
      </c>
      <c r="AE1726" t="s">
        <v>74</v>
      </c>
      <c r="AF1726" t="s">
        <v>74</v>
      </c>
      <c r="AG1726">
        <v>36</v>
      </c>
      <c r="AH1726">
        <v>0</v>
      </c>
      <c r="AI1726">
        <v>0</v>
      </c>
      <c r="AJ1726">
        <v>1</v>
      </c>
      <c r="AK1726">
        <v>1</v>
      </c>
      <c r="AL1726" t="s">
        <v>22948</v>
      </c>
      <c r="AM1726" t="s">
        <v>22947</v>
      </c>
      <c r="AN1726" t="s">
        <v>22946</v>
      </c>
      <c r="AO1726" t="s">
        <v>22945</v>
      </c>
      <c r="AP1726" t="s">
        <v>74</v>
      </c>
      <c r="AQ1726" t="s">
        <v>74</v>
      </c>
      <c r="AR1726" t="s">
        <v>22944</v>
      </c>
      <c r="AS1726" t="s">
        <v>22943</v>
      </c>
      <c r="AT1726" t="s">
        <v>363</v>
      </c>
      <c r="AU1726">
        <v>2025</v>
      </c>
      <c r="AV1726">
        <v>56</v>
      </c>
      <c r="AW1726">
        <v>221</v>
      </c>
      <c r="AX1726" t="s">
        <v>74</v>
      </c>
      <c r="AY1726" t="s">
        <v>74</v>
      </c>
      <c r="AZ1726" t="s">
        <v>74</v>
      </c>
      <c r="BA1726" t="s">
        <v>74</v>
      </c>
      <c r="BB1726">
        <v>109</v>
      </c>
      <c r="BC1726">
        <v>135</v>
      </c>
      <c r="BD1726" t="s">
        <v>74</v>
      </c>
      <c r="BE1726" t="s">
        <v>22942</v>
      </c>
      <c r="BF1726" t="str">
        <f>HYPERLINK("http://dx.doi.org/10.22201/iiec.20078951e.2025.221.70234","http://dx.doi.org/10.22201/iiec.20078951e.2025.221.70234")</f>
        <v>http://dx.doi.org/10.22201/iiec.20078951e.2025.221.70234</v>
      </c>
      <c r="BG1726" t="s">
        <v>74</v>
      </c>
      <c r="BH1726" t="s">
        <v>74</v>
      </c>
      <c r="BI1726">
        <v>27</v>
      </c>
      <c r="BJ1726" t="s">
        <v>701</v>
      </c>
      <c r="BK1726" t="s">
        <v>313</v>
      </c>
      <c r="BL1726" t="s">
        <v>702</v>
      </c>
      <c r="BM1726" t="s">
        <v>22941</v>
      </c>
      <c r="BN1726" t="s">
        <v>74</v>
      </c>
      <c r="BO1726" t="s">
        <v>212</v>
      </c>
      <c r="BP1726" t="s">
        <v>74</v>
      </c>
      <c r="BQ1726" t="s">
        <v>74</v>
      </c>
      <c r="BR1726" t="s">
        <v>102</v>
      </c>
      <c r="BS1726" t="s">
        <v>22940</v>
      </c>
      <c r="BT1726" t="str">
        <f>HYPERLINK("https%3A%2F%2Fwww.webofscience.com%2Fwos%2Fwoscc%2Ffull-record%2FWOS:001474108100005","View Full Record in Web of Science")</f>
        <v>View Full Record in Web of Science</v>
      </c>
    </row>
    <row r="1727" spans="1:72" x14ac:dyDescent="0.25">
      <c r="A1727" t="s">
        <v>72</v>
      </c>
      <c r="B1727" t="s">
        <v>22939</v>
      </c>
      <c r="C1727" t="s">
        <v>74</v>
      </c>
      <c r="D1727" t="s">
        <v>74</v>
      </c>
      <c r="E1727" t="s">
        <v>74</v>
      </c>
      <c r="F1727" t="s">
        <v>22938</v>
      </c>
      <c r="G1727" t="s">
        <v>74</v>
      </c>
      <c r="H1727" t="s">
        <v>74</v>
      </c>
      <c r="I1727" t="s">
        <v>22937</v>
      </c>
      <c r="J1727" t="s">
        <v>246</v>
      </c>
      <c r="K1727" t="s">
        <v>74</v>
      </c>
      <c r="L1727" t="s">
        <v>74</v>
      </c>
      <c r="M1727" t="s">
        <v>78</v>
      </c>
      <c r="N1727" t="s">
        <v>79</v>
      </c>
      <c r="O1727" t="s">
        <v>74</v>
      </c>
      <c r="P1727" t="s">
        <v>74</v>
      </c>
      <c r="Q1727" t="s">
        <v>74</v>
      </c>
      <c r="R1727" t="s">
        <v>74</v>
      </c>
      <c r="S1727" t="s">
        <v>74</v>
      </c>
      <c r="T1727" t="s">
        <v>22936</v>
      </c>
      <c r="U1727" t="s">
        <v>22935</v>
      </c>
      <c r="V1727" t="s">
        <v>22934</v>
      </c>
      <c r="W1727" t="s">
        <v>22933</v>
      </c>
      <c r="X1727" t="s">
        <v>22932</v>
      </c>
      <c r="Y1727" t="s">
        <v>22931</v>
      </c>
      <c r="Z1727" t="s">
        <v>22930</v>
      </c>
      <c r="AA1727" t="s">
        <v>22929</v>
      </c>
      <c r="AB1727" t="s">
        <v>22928</v>
      </c>
      <c r="AC1727" t="s">
        <v>74</v>
      </c>
      <c r="AD1727" t="s">
        <v>74</v>
      </c>
      <c r="AE1727" t="s">
        <v>74</v>
      </c>
      <c r="AF1727" t="s">
        <v>74</v>
      </c>
      <c r="AG1727">
        <v>39</v>
      </c>
      <c r="AH1727">
        <v>0</v>
      </c>
      <c r="AI1727">
        <v>0</v>
      </c>
      <c r="AJ1727">
        <v>5</v>
      </c>
      <c r="AK1727">
        <v>5</v>
      </c>
      <c r="AL1727" t="s">
        <v>259</v>
      </c>
      <c r="AM1727" t="s">
        <v>260</v>
      </c>
      <c r="AN1727" t="s">
        <v>261</v>
      </c>
      <c r="AO1727" t="s">
        <v>262</v>
      </c>
      <c r="AP1727" t="s">
        <v>263</v>
      </c>
      <c r="AQ1727" t="s">
        <v>74</v>
      </c>
      <c r="AR1727" t="s">
        <v>264</v>
      </c>
      <c r="AS1727" t="s">
        <v>265</v>
      </c>
      <c r="AT1727" t="s">
        <v>891</v>
      </c>
      <c r="AU1727">
        <v>2025</v>
      </c>
      <c r="AV1727">
        <v>85</v>
      </c>
      <c r="AW1727" t="s">
        <v>74</v>
      </c>
      <c r="AX1727" t="s">
        <v>22927</v>
      </c>
      <c r="AY1727" t="s">
        <v>74</v>
      </c>
      <c r="AZ1727" t="s">
        <v>74</v>
      </c>
      <c r="BA1727" t="s">
        <v>74</v>
      </c>
      <c r="BB1727" t="s">
        <v>74</v>
      </c>
      <c r="BC1727" t="s">
        <v>74</v>
      </c>
      <c r="BD1727">
        <v>108302</v>
      </c>
      <c r="BE1727" t="s">
        <v>22926</v>
      </c>
      <c r="BF1727" t="str">
        <f>HYPERLINK("http://dx.doi.org/10.1016/j.frl.2025.108302","http://dx.doi.org/10.1016/j.frl.2025.108302")</f>
        <v>http://dx.doi.org/10.1016/j.frl.2025.108302</v>
      </c>
      <c r="BG1727" t="s">
        <v>74</v>
      </c>
      <c r="BH1727" t="s">
        <v>3411</v>
      </c>
      <c r="BI1727">
        <v>11</v>
      </c>
      <c r="BJ1727" t="s">
        <v>268</v>
      </c>
      <c r="BK1727" t="s">
        <v>99</v>
      </c>
      <c r="BL1727" t="s">
        <v>100</v>
      </c>
      <c r="BM1727" t="s">
        <v>22925</v>
      </c>
      <c r="BN1727" t="s">
        <v>74</v>
      </c>
      <c r="BO1727" t="s">
        <v>74</v>
      </c>
      <c r="BP1727" t="s">
        <v>74</v>
      </c>
      <c r="BQ1727" t="s">
        <v>74</v>
      </c>
      <c r="BR1727" t="s">
        <v>102</v>
      </c>
      <c r="BS1727" t="s">
        <v>22924</v>
      </c>
      <c r="BT1727" t="str">
        <f>HYPERLINK("https%3A%2F%2Fwww.webofscience.com%2Fwos%2Fwoscc%2Ffull-record%2FWOS:001567931800008","View Full Record in Web of Science")</f>
        <v>View Full Record in Web of Science</v>
      </c>
    </row>
    <row r="1728" spans="1:72" x14ac:dyDescent="0.25">
      <c r="A1728" t="s">
        <v>72</v>
      </c>
      <c r="B1728" t="s">
        <v>22923</v>
      </c>
      <c r="C1728" t="s">
        <v>74</v>
      </c>
      <c r="D1728" t="s">
        <v>74</v>
      </c>
      <c r="E1728" t="s">
        <v>74</v>
      </c>
      <c r="F1728" t="s">
        <v>22922</v>
      </c>
      <c r="G1728" t="s">
        <v>74</v>
      </c>
      <c r="H1728" t="s">
        <v>74</v>
      </c>
      <c r="I1728" t="s">
        <v>22921</v>
      </c>
      <c r="J1728" t="s">
        <v>1143</v>
      </c>
      <c r="K1728" t="s">
        <v>74</v>
      </c>
      <c r="L1728" t="s">
        <v>74</v>
      </c>
      <c r="M1728" t="s">
        <v>78</v>
      </c>
      <c r="N1728" t="s">
        <v>79</v>
      </c>
      <c r="O1728" t="s">
        <v>74</v>
      </c>
      <c r="P1728" t="s">
        <v>74</v>
      </c>
      <c r="Q1728" t="s">
        <v>74</v>
      </c>
      <c r="R1728" t="s">
        <v>74</v>
      </c>
      <c r="S1728" t="s">
        <v>74</v>
      </c>
      <c r="T1728" t="s">
        <v>22920</v>
      </c>
      <c r="U1728" t="s">
        <v>74</v>
      </c>
      <c r="V1728" t="s">
        <v>22919</v>
      </c>
      <c r="W1728" t="s">
        <v>22918</v>
      </c>
      <c r="X1728" t="s">
        <v>22917</v>
      </c>
      <c r="Y1728" t="s">
        <v>22916</v>
      </c>
      <c r="Z1728" t="s">
        <v>22915</v>
      </c>
      <c r="AA1728" t="s">
        <v>22914</v>
      </c>
      <c r="AB1728" t="s">
        <v>22913</v>
      </c>
      <c r="AC1728" t="s">
        <v>74</v>
      </c>
      <c r="AD1728" t="s">
        <v>74</v>
      </c>
      <c r="AE1728" t="s">
        <v>74</v>
      </c>
      <c r="AF1728" t="s">
        <v>74</v>
      </c>
      <c r="AG1728">
        <v>30</v>
      </c>
      <c r="AH1728">
        <v>13</v>
      </c>
      <c r="AI1728">
        <v>15</v>
      </c>
      <c r="AJ1728">
        <v>6</v>
      </c>
      <c r="AK1728">
        <v>18</v>
      </c>
      <c r="AL1728" t="s">
        <v>385</v>
      </c>
      <c r="AM1728" t="s">
        <v>1153</v>
      </c>
      <c r="AN1728" t="s">
        <v>1154</v>
      </c>
      <c r="AO1728" t="s">
        <v>1155</v>
      </c>
      <c r="AP1728" t="s">
        <v>1156</v>
      </c>
      <c r="AQ1728" t="s">
        <v>74</v>
      </c>
      <c r="AR1728" t="s">
        <v>1157</v>
      </c>
      <c r="AS1728" t="s">
        <v>1158</v>
      </c>
      <c r="AT1728" t="s">
        <v>124</v>
      </c>
      <c r="AU1728">
        <v>2023</v>
      </c>
      <c r="AV1728">
        <v>170</v>
      </c>
      <c r="AW1728">
        <v>3</v>
      </c>
      <c r="AX1728" t="s">
        <v>74</v>
      </c>
      <c r="AY1728" t="s">
        <v>74</v>
      </c>
      <c r="AZ1728" t="s">
        <v>74</v>
      </c>
      <c r="BA1728" t="s">
        <v>74</v>
      </c>
      <c r="BB1728">
        <v>877</v>
      </c>
      <c r="BC1728">
        <v>891</v>
      </c>
      <c r="BD1728" t="s">
        <v>74</v>
      </c>
      <c r="BE1728" t="s">
        <v>22912</v>
      </c>
      <c r="BF1728" t="str">
        <f>HYPERLINK("http://dx.doi.org/10.1007/s11205-023-03221-7","http://dx.doi.org/10.1007/s11205-023-03221-7")</f>
        <v>http://dx.doi.org/10.1007/s11205-023-03221-7</v>
      </c>
      <c r="BG1728" t="s">
        <v>74</v>
      </c>
      <c r="BH1728" t="s">
        <v>5567</v>
      </c>
      <c r="BI1728">
        <v>15</v>
      </c>
      <c r="BJ1728" t="s">
        <v>1161</v>
      </c>
      <c r="BK1728" t="s">
        <v>99</v>
      </c>
      <c r="BL1728" t="s">
        <v>1162</v>
      </c>
      <c r="BM1728" t="s">
        <v>22911</v>
      </c>
      <c r="BN1728" t="s">
        <v>74</v>
      </c>
      <c r="BO1728" t="s">
        <v>466</v>
      </c>
      <c r="BP1728" t="s">
        <v>74</v>
      </c>
      <c r="BQ1728" t="s">
        <v>74</v>
      </c>
      <c r="BR1728" t="s">
        <v>102</v>
      </c>
      <c r="BS1728" t="s">
        <v>22910</v>
      </c>
      <c r="BT1728" t="str">
        <f>HYPERLINK("https%3A%2F%2Fwww.webofscience.com%2Fwos%2Fwoscc%2Ffull-record%2FWOS:001077975600001","View Full Record in Web of Science")</f>
        <v>View Full Record in Web of Science</v>
      </c>
    </row>
    <row r="1729" spans="1:72" x14ac:dyDescent="0.25">
      <c r="A1729" t="s">
        <v>72</v>
      </c>
      <c r="B1729" t="s">
        <v>22909</v>
      </c>
      <c r="C1729" t="s">
        <v>74</v>
      </c>
      <c r="D1729" t="s">
        <v>74</v>
      </c>
      <c r="E1729" t="s">
        <v>74</v>
      </c>
      <c r="F1729" t="s">
        <v>22908</v>
      </c>
      <c r="G1729" t="s">
        <v>74</v>
      </c>
      <c r="H1729" t="s">
        <v>74</v>
      </c>
      <c r="I1729" t="s">
        <v>22907</v>
      </c>
      <c r="J1729" t="s">
        <v>2117</v>
      </c>
      <c r="K1729" t="s">
        <v>74</v>
      </c>
      <c r="L1729" t="s">
        <v>74</v>
      </c>
      <c r="M1729" t="s">
        <v>78</v>
      </c>
      <c r="N1729" t="s">
        <v>1766</v>
      </c>
      <c r="O1729" t="s">
        <v>74</v>
      </c>
      <c r="P1729" t="s">
        <v>74</v>
      </c>
      <c r="Q1729" t="s">
        <v>74</v>
      </c>
      <c r="R1729" t="s">
        <v>74</v>
      </c>
      <c r="S1729" t="s">
        <v>74</v>
      </c>
      <c r="T1729" t="s">
        <v>22906</v>
      </c>
      <c r="U1729" t="s">
        <v>22905</v>
      </c>
      <c r="V1729" t="s">
        <v>22904</v>
      </c>
      <c r="W1729" t="s">
        <v>22903</v>
      </c>
      <c r="X1729" t="s">
        <v>9052</v>
      </c>
      <c r="Y1729" t="s">
        <v>22902</v>
      </c>
      <c r="Z1729" t="s">
        <v>22901</v>
      </c>
      <c r="AA1729" t="s">
        <v>22900</v>
      </c>
      <c r="AB1729" t="s">
        <v>74</v>
      </c>
      <c r="AC1729" t="s">
        <v>74</v>
      </c>
      <c r="AD1729" t="s">
        <v>74</v>
      </c>
      <c r="AE1729" t="s">
        <v>74</v>
      </c>
      <c r="AF1729" t="s">
        <v>74</v>
      </c>
      <c r="AG1729">
        <v>164</v>
      </c>
      <c r="AH1729">
        <v>32</v>
      </c>
      <c r="AI1729">
        <v>37</v>
      </c>
      <c r="AJ1729">
        <v>47</v>
      </c>
      <c r="AK1729">
        <v>137</v>
      </c>
      <c r="AL1729" t="s">
        <v>201</v>
      </c>
      <c r="AM1729" t="s">
        <v>202</v>
      </c>
      <c r="AN1729" t="s">
        <v>203</v>
      </c>
      <c r="AO1729" t="s">
        <v>2127</v>
      </c>
      <c r="AP1729" t="s">
        <v>2128</v>
      </c>
      <c r="AQ1729" t="s">
        <v>74</v>
      </c>
      <c r="AR1729" t="s">
        <v>2129</v>
      </c>
      <c r="AS1729" t="s">
        <v>2130</v>
      </c>
      <c r="AT1729" t="s">
        <v>1652</v>
      </c>
      <c r="AU1729">
        <v>2024</v>
      </c>
      <c r="AV1729">
        <v>60</v>
      </c>
      <c r="AW1729" t="s">
        <v>74</v>
      </c>
      <c r="AX1729" t="s">
        <v>74</v>
      </c>
      <c r="AY1729" t="s">
        <v>74</v>
      </c>
      <c r="AZ1729" t="s">
        <v>74</v>
      </c>
      <c r="BA1729" t="s">
        <v>74</v>
      </c>
      <c r="BB1729" t="s">
        <v>74</v>
      </c>
      <c r="BC1729" t="s">
        <v>74</v>
      </c>
      <c r="BD1729">
        <v>101140</v>
      </c>
      <c r="BE1729" t="s">
        <v>22899</v>
      </c>
      <c r="BF1729" t="str">
        <f>HYPERLINK("http://dx.doi.org/10.1016/j.ememar.2024.101140","http://dx.doi.org/10.1016/j.ememar.2024.101140")</f>
        <v>http://dx.doi.org/10.1016/j.ememar.2024.101140</v>
      </c>
      <c r="BG1729" t="s">
        <v>74</v>
      </c>
      <c r="BH1729" t="s">
        <v>938</v>
      </c>
      <c r="BI1729">
        <v>21</v>
      </c>
      <c r="BJ1729" t="s">
        <v>210</v>
      </c>
      <c r="BK1729" t="s">
        <v>99</v>
      </c>
      <c r="BL1729" t="s">
        <v>100</v>
      </c>
      <c r="BM1729" t="s">
        <v>22898</v>
      </c>
      <c r="BN1729" t="s">
        <v>74</v>
      </c>
      <c r="BO1729" t="s">
        <v>74</v>
      </c>
      <c r="BP1729" t="s">
        <v>74</v>
      </c>
      <c r="BQ1729" t="s">
        <v>74</v>
      </c>
      <c r="BR1729" t="s">
        <v>102</v>
      </c>
      <c r="BS1729" t="s">
        <v>22897</v>
      </c>
      <c r="BT1729" t="str">
        <f>HYPERLINK("https%3A%2F%2Fwww.webofscience.com%2Fwos%2Fwoscc%2Ffull-record%2FWOS:001233543700001","View Full Record in Web of Science")</f>
        <v>View Full Record in Web of Science</v>
      </c>
    </row>
    <row r="1730" spans="1:72" x14ac:dyDescent="0.25">
      <c r="A1730" t="s">
        <v>72</v>
      </c>
      <c r="B1730" t="s">
        <v>22896</v>
      </c>
      <c r="C1730" t="s">
        <v>74</v>
      </c>
      <c r="D1730" t="s">
        <v>74</v>
      </c>
      <c r="E1730" t="s">
        <v>74</v>
      </c>
      <c r="F1730" t="s">
        <v>22895</v>
      </c>
      <c r="G1730" t="s">
        <v>74</v>
      </c>
      <c r="H1730" t="s">
        <v>74</v>
      </c>
      <c r="I1730" t="s">
        <v>22894</v>
      </c>
      <c r="J1730" t="s">
        <v>22893</v>
      </c>
      <c r="K1730" t="s">
        <v>74</v>
      </c>
      <c r="L1730" t="s">
        <v>74</v>
      </c>
      <c r="M1730" t="s">
        <v>78</v>
      </c>
      <c r="N1730" t="s">
        <v>79</v>
      </c>
      <c r="O1730" t="s">
        <v>74</v>
      </c>
      <c r="P1730" t="s">
        <v>74</v>
      </c>
      <c r="Q1730" t="s">
        <v>74</v>
      </c>
      <c r="R1730" t="s">
        <v>74</v>
      </c>
      <c r="S1730" t="s">
        <v>74</v>
      </c>
      <c r="T1730" t="s">
        <v>22892</v>
      </c>
      <c r="U1730" t="s">
        <v>74</v>
      </c>
      <c r="V1730" t="s">
        <v>22891</v>
      </c>
      <c r="W1730" t="s">
        <v>22890</v>
      </c>
      <c r="X1730" t="s">
        <v>74</v>
      </c>
      <c r="Y1730" t="s">
        <v>22889</v>
      </c>
      <c r="Z1730" t="s">
        <v>22888</v>
      </c>
      <c r="AA1730" t="s">
        <v>22887</v>
      </c>
      <c r="AB1730" t="s">
        <v>22886</v>
      </c>
      <c r="AC1730" t="s">
        <v>74</v>
      </c>
      <c r="AD1730" t="s">
        <v>74</v>
      </c>
      <c r="AE1730" t="s">
        <v>74</v>
      </c>
      <c r="AF1730" t="s">
        <v>74</v>
      </c>
      <c r="AG1730">
        <v>43</v>
      </c>
      <c r="AH1730">
        <v>0</v>
      </c>
      <c r="AI1730">
        <v>0</v>
      </c>
      <c r="AJ1730">
        <v>0</v>
      </c>
      <c r="AK1730">
        <v>3</v>
      </c>
      <c r="AL1730" t="s">
        <v>22885</v>
      </c>
      <c r="AM1730" t="s">
        <v>22884</v>
      </c>
      <c r="AN1730" t="s">
        <v>22883</v>
      </c>
      <c r="AO1730" t="s">
        <v>22882</v>
      </c>
      <c r="AP1730" t="s">
        <v>74</v>
      </c>
      <c r="AQ1730" t="s">
        <v>74</v>
      </c>
      <c r="AR1730" t="s">
        <v>22881</v>
      </c>
      <c r="AS1730" t="s">
        <v>22880</v>
      </c>
      <c r="AT1730" t="s">
        <v>698</v>
      </c>
      <c r="AU1730">
        <v>2024</v>
      </c>
      <c r="AV1730">
        <v>16</v>
      </c>
      <c r="AW1730">
        <v>3</v>
      </c>
      <c r="AX1730" t="s">
        <v>74</v>
      </c>
      <c r="AY1730" t="s">
        <v>74</v>
      </c>
      <c r="AZ1730" t="s">
        <v>74</v>
      </c>
      <c r="BA1730" t="s">
        <v>74</v>
      </c>
      <c r="BB1730">
        <v>139</v>
      </c>
      <c r="BC1730">
        <v>153</v>
      </c>
      <c r="BD1730" t="s">
        <v>74</v>
      </c>
      <c r="BE1730" t="s">
        <v>22879</v>
      </c>
      <c r="BF1730" t="str">
        <f>HYPERLINK("http://dx.doi.org/10.7160/aol.2024.160310","http://dx.doi.org/10.7160/aol.2024.160310")</f>
        <v>http://dx.doi.org/10.7160/aol.2024.160310</v>
      </c>
      <c r="BG1730" t="s">
        <v>74</v>
      </c>
      <c r="BH1730" t="s">
        <v>74</v>
      </c>
      <c r="BI1730">
        <v>15</v>
      </c>
      <c r="BJ1730" t="s">
        <v>5151</v>
      </c>
      <c r="BK1730" t="s">
        <v>313</v>
      </c>
      <c r="BL1730" t="s">
        <v>5152</v>
      </c>
      <c r="BM1730" t="s">
        <v>22878</v>
      </c>
      <c r="BN1730" t="s">
        <v>74</v>
      </c>
      <c r="BO1730" t="s">
        <v>212</v>
      </c>
      <c r="BP1730" t="s">
        <v>74</v>
      </c>
      <c r="BQ1730" t="s">
        <v>74</v>
      </c>
      <c r="BR1730" t="s">
        <v>102</v>
      </c>
      <c r="BS1730" t="s">
        <v>22877</v>
      </c>
      <c r="BT1730" t="str">
        <f>HYPERLINK("https%3A%2F%2Fwww.webofscience.com%2Fwos%2Fwoscc%2Ffull-record%2FWOS:001339960800010","View Full Record in Web of Science")</f>
        <v>View Full Record in Web of Science</v>
      </c>
    </row>
    <row r="1731" spans="1:72" x14ac:dyDescent="0.25">
      <c r="A1731" t="s">
        <v>72</v>
      </c>
      <c r="B1731" t="s">
        <v>22876</v>
      </c>
      <c r="C1731" t="s">
        <v>74</v>
      </c>
      <c r="D1731" t="s">
        <v>74</v>
      </c>
      <c r="E1731" t="s">
        <v>74</v>
      </c>
      <c r="F1731" t="s">
        <v>22875</v>
      </c>
      <c r="G1731" t="s">
        <v>74</v>
      </c>
      <c r="H1731" t="s">
        <v>74</v>
      </c>
      <c r="I1731" t="s">
        <v>22874</v>
      </c>
      <c r="J1731" t="s">
        <v>22873</v>
      </c>
      <c r="K1731" t="s">
        <v>74</v>
      </c>
      <c r="L1731" t="s">
        <v>74</v>
      </c>
      <c r="M1731" t="s">
        <v>78</v>
      </c>
      <c r="N1731" t="s">
        <v>79</v>
      </c>
      <c r="O1731" t="s">
        <v>74</v>
      </c>
      <c r="P1731" t="s">
        <v>74</v>
      </c>
      <c r="Q1731" t="s">
        <v>74</v>
      </c>
      <c r="R1731" t="s">
        <v>74</v>
      </c>
      <c r="S1731" t="s">
        <v>74</v>
      </c>
      <c r="T1731" t="s">
        <v>22872</v>
      </c>
      <c r="U1731" t="s">
        <v>22871</v>
      </c>
      <c r="V1731" t="s">
        <v>22870</v>
      </c>
      <c r="W1731" t="s">
        <v>22869</v>
      </c>
      <c r="X1731" t="s">
        <v>22868</v>
      </c>
      <c r="Y1731" t="s">
        <v>22867</v>
      </c>
      <c r="Z1731" t="s">
        <v>22866</v>
      </c>
      <c r="AA1731" t="s">
        <v>22865</v>
      </c>
      <c r="AB1731" t="s">
        <v>22864</v>
      </c>
      <c r="AC1731" t="s">
        <v>74</v>
      </c>
      <c r="AD1731" t="s">
        <v>74</v>
      </c>
      <c r="AE1731" t="s">
        <v>74</v>
      </c>
      <c r="AF1731" t="s">
        <v>74</v>
      </c>
      <c r="AG1731">
        <v>95</v>
      </c>
      <c r="AH1731">
        <v>3</v>
      </c>
      <c r="AI1731">
        <v>3</v>
      </c>
      <c r="AJ1731">
        <v>3</v>
      </c>
      <c r="AK1731">
        <v>6</v>
      </c>
      <c r="AL1731" t="s">
        <v>4024</v>
      </c>
      <c r="AM1731" t="s">
        <v>995</v>
      </c>
      <c r="AN1731" t="s">
        <v>22863</v>
      </c>
      <c r="AO1731" t="s">
        <v>22862</v>
      </c>
      <c r="AP1731" t="s">
        <v>22861</v>
      </c>
      <c r="AQ1731" t="s">
        <v>74</v>
      </c>
      <c r="AR1731" t="s">
        <v>22860</v>
      </c>
      <c r="AS1731" t="s">
        <v>22859</v>
      </c>
      <c r="AT1731" t="s">
        <v>124</v>
      </c>
      <c r="AU1731">
        <v>2024</v>
      </c>
      <c r="AV1731">
        <v>14</v>
      </c>
      <c r="AW1731">
        <v>1</v>
      </c>
      <c r="AX1731" t="s">
        <v>74</v>
      </c>
      <c r="AY1731" t="s">
        <v>74</v>
      </c>
      <c r="AZ1731" t="s">
        <v>74</v>
      </c>
      <c r="BA1731" t="s">
        <v>74</v>
      </c>
      <c r="BB1731" t="s">
        <v>74</v>
      </c>
      <c r="BC1731" t="s">
        <v>74</v>
      </c>
      <c r="BD1731">
        <v>41</v>
      </c>
      <c r="BE1731" t="s">
        <v>22858</v>
      </c>
      <c r="BF1731" t="str">
        <f>HYPERLINK("http://dx.doi.org/10.1007/s40497-024-00412-5","http://dx.doi.org/10.1007/s40497-024-00412-5")</f>
        <v>http://dx.doi.org/10.1007/s40497-024-00412-5</v>
      </c>
      <c r="BG1731" t="s">
        <v>74</v>
      </c>
      <c r="BH1731" t="s">
        <v>74</v>
      </c>
      <c r="BI1731">
        <v>18</v>
      </c>
      <c r="BJ1731" t="s">
        <v>418</v>
      </c>
      <c r="BK1731" t="s">
        <v>313</v>
      </c>
      <c r="BL1731" t="s">
        <v>100</v>
      </c>
      <c r="BM1731" t="s">
        <v>22857</v>
      </c>
      <c r="BN1731" t="s">
        <v>74</v>
      </c>
      <c r="BO1731" t="s">
        <v>74</v>
      </c>
      <c r="BP1731" t="s">
        <v>74</v>
      </c>
      <c r="BQ1731" t="s">
        <v>74</v>
      </c>
      <c r="BR1731" t="s">
        <v>102</v>
      </c>
      <c r="BS1731" t="s">
        <v>22856</v>
      </c>
      <c r="BT1731" t="str">
        <f>HYPERLINK("https%3A%2F%2Fwww.webofscience.com%2Fwos%2Fwoscc%2Ffull-record%2FWOS:001348453000001","View Full Record in Web of Science")</f>
        <v>View Full Record in Web of Science</v>
      </c>
    </row>
    <row r="1732" spans="1:72" x14ac:dyDescent="0.25">
      <c r="A1732" t="s">
        <v>72</v>
      </c>
      <c r="B1732" t="s">
        <v>22855</v>
      </c>
      <c r="C1732" t="s">
        <v>74</v>
      </c>
      <c r="D1732" t="s">
        <v>74</v>
      </c>
      <c r="E1732" t="s">
        <v>74</v>
      </c>
      <c r="F1732" t="s">
        <v>22854</v>
      </c>
      <c r="G1732" t="s">
        <v>74</v>
      </c>
      <c r="H1732" t="s">
        <v>74</v>
      </c>
      <c r="I1732" t="s">
        <v>22853</v>
      </c>
      <c r="J1732" t="s">
        <v>246</v>
      </c>
      <c r="K1732" t="s">
        <v>74</v>
      </c>
      <c r="L1732" t="s">
        <v>74</v>
      </c>
      <c r="M1732" t="s">
        <v>78</v>
      </c>
      <c r="N1732" t="s">
        <v>79</v>
      </c>
      <c r="O1732" t="s">
        <v>74</v>
      </c>
      <c r="P1732" t="s">
        <v>74</v>
      </c>
      <c r="Q1732" t="s">
        <v>74</v>
      </c>
      <c r="R1732" t="s">
        <v>74</v>
      </c>
      <c r="S1732" t="s">
        <v>74</v>
      </c>
      <c r="T1732" t="s">
        <v>22852</v>
      </c>
      <c r="U1732" t="s">
        <v>22851</v>
      </c>
      <c r="V1732" t="s">
        <v>22850</v>
      </c>
      <c r="W1732" t="s">
        <v>22849</v>
      </c>
      <c r="X1732" t="s">
        <v>22848</v>
      </c>
      <c r="Y1732" t="s">
        <v>22847</v>
      </c>
      <c r="Z1732" t="s">
        <v>22846</v>
      </c>
      <c r="AA1732" t="s">
        <v>74</v>
      </c>
      <c r="AB1732" t="s">
        <v>74</v>
      </c>
      <c r="AC1732" t="s">
        <v>22845</v>
      </c>
      <c r="AD1732" t="s">
        <v>22844</v>
      </c>
      <c r="AE1732" t="s">
        <v>22843</v>
      </c>
      <c r="AF1732" t="s">
        <v>74</v>
      </c>
      <c r="AG1732">
        <v>19</v>
      </c>
      <c r="AH1732">
        <v>12</v>
      </c>
      <c r="AI1732">
        <v>13</v>
      </c>
      <c r="AJ1732">
        <v>26</v>
      </c>
      <c r="AK1732">
        <v>64</v>
      </c>
      <c r="AL1732" t="s">
        <v>259</v>
      </c>
      <c r="AM1732" t="s">
        <v>260</v>
      </c>
      <c r="AN1732" t="s">
        <v>261</v>
      </c>
      <c r="AO1732" t="s">
        <v>262</v>
      </c>
      <c r="AP1732" t="s">
        <v>263</v>
      </c>
      <c r="AQ1732" t="s">
        <v>74</v>
      </c>
      <c r="AR1732" t="s">
        <v>264</v>
      </c>
      <c r="AS1732" t="s">
        <v>265</v>
      </c>
      <c r="AT1732" t="s">
        <v>1540</v>
      </c>
      <c r="AU1732">
        <v>2025</v>
      </c>
      <c r="AV1732">
        <v>77</v>
      </c>
      <c r="AW1732" t="s">
        <v>74</v>
      </c>
      <c r="AX1732" t="s">
        <v>74</v>
      </c>
      <c r="AY1732" t="s">
        <v>74</v>
      </c>
      <c r="AZ1732" t="s">
        <v>74</v>
      </c>
      <c r="BA1732" t="s">
        <v>74</v>
      </c>
      <c r="BB1732" t="s">
        <v>74</v>
      </c>
      <c r="BC1732" t="s">
        <v>74</v>
      </c>
      <c r="BD1732">
        <v>107065</v>
      </c>
      <c r="BE1732" t="s">
        <v>22842</v>
      </c>
      <c r="BF1732" t="str">
        <f>HYPERLINK("http://dx.doi.org/10.1016/j.frl.2025.107065","http://dx.doi.org/10.1016/j.frl.2025.107065")</f>
        <v>http://dx.doi.org/10.1016/j.frl.2025.107065</v>
      </c>
      <c r="BG1732" t="s">
        <v>74</v>
      </c>
      <c r="BH1732" t="s">
        <v>2781</v>
      </c>
      <c r="BI1732">
        <v>8</v>
      </c>
      <c r="BJ1732" t="s">
        <v>268</v>
      </c>
      <c r="BK1732" t="s">
        <v>99</v>
      </c>
      <c r="BL1732" t="s">
        <v>100</v>
      </c>
      <c r="BM1732" t="s">
        <v>22841</v>
      </c>
      <c r="BN1732" t="s">
        <v>74</v>
      </c>
      <c r="BO1732" t="s">
        <v>74</v>
      </c>
      <c r="BP1732" t="s">
        <v>74</v>
      </c>
      <c r="BQ1732" t="s">
        <v>74</v>
      </c>
      <c r="BR1732" t="s">
        <v>102</v>
      </c>
      <c r="BS1732" t="s">
        <v>22840</v>
      </c>
      <c r="BT1732" t="str">
        <f>HYPERLINK("https%3A%2F%2Fwww.webofscience.com%2Fwos%2Fwoscc%2Ffull-record%2FWOS:001438065300001","View Full Record in Web of Science")</f>
        <v>View Full Record in Web of Science</v>
      </c>
    </row>
    <row r="1733" spans="1:72" x14ac:dyDescent="0.25">
      <c r="A1733" t="s">
        <v>72</v>
      </c>
      <c r="B1733" t="s">
        <v>22839</v>
      </c>
      <c r="C1733" t="s">
        <v>74</v>
      </c>
      <c r="D1733" t="s">
        <v>74</v>
      </c>
      <c r="E1733" t="s">
        <v>74</v>
      </c>
      <c r="F1733" t="s">
        <v>22838</v>
      </c>
      <c r="G1733" t="s">
        <v>74</v>
      </c>
      <c r="H1733" t="s">
        <v>74</v>
      </c>
      <c r="I1733" t="s">
        <v>22837</v>
      </c>
      <c r="J1733" t="s">
        <v>5078</v>
      </c>
      <c r="K1733" t="s">
        <v>74</v>
      </c>
      <c r="L1733" t="s">
        <v>74</v>
      </c>
      <c r="M1733" t="s">
        <v>78</v>
      </c>
      <c r="N1733" t="s">
        <v>79</v>
      </c>
      <c r="O1733" t="s">
        <v>74</v>
      </c>
      <c r="P1733" t="s">
        <v>74</v>
      </c>
      <c r="Q1733" t="s">
        <v>74</v>
      </c>
      <c r="R1733" t="s">
        <v>74</v>
      </c>
      <c r="S1733" t="s">
        <v>74</v>
      </c>
      <c r="T1733" t="s">
        <v>22836</v>
      </c>
      <c r="U1733" t="s">
        <v>22835</v>
      </c>
      <c r="V1733" t="s">
        <v>22834</v>
      </c>
      <c r="W1733" t="s">
        <v>22833</v>
      </c>
      <c r="X1733" t="s">
        <v>22832</v>
      </c>
      <c r="Y1733" t="s">
        <v>22831</v>
      </c>
      <c r="Z1733" t="s">
        <v>22830</v>
      </c>
      <c r="AA1733" t="s">
        <v>22829</v>
      </c>
      <c r="AB1733" t="s">
        <v>74</v>
      </c>
      <c r="AC1733" t="s">
        <v>22828</v>
      </c>
      <c r="AD1733" t="s">
        <v>22827</v>
      </c>
      <c r="AE1733" t="s">
        <v>22826</v>
      </c>
      <c r="AF1733" t="s">
        <v>74</v>
      </c>
      <c r="AG1733">
        <v>77</v>
      </c>
      <c r="AH1733">
        <v>11</v>
      </c>
      <c r="AI1733">
        <v>18</v>
      </c>
      <c r="AJ1733">
        <v>10</v>
      </c>
      <c r="AK1733">
        <v>52</v>
      </c>
      <c r="AL1733" t="s">
        <v>385</v>
      </c>
      <c r="AM1733" t="s">
        <v>151</v>
      </c>
      <c r="AN1733" t="s">
        <v>386</v>
      </c>
      <c r="AO1733" t="s">
        <v>74</v>
      </c>
      <c r="AP1733" t="s">
        <v>5087</v>
      </c>
      <c r="AQ1733" t="s">
        <v>74</v>
      </c>
      <c r="AR1733" t="s">
        <v>5088</v>
      </c>
      <c r="AS1733" t="s">
        <v>5089</v>
      </c>
      <c r="AT1733" t="s">
        <v>22825</v>
      </c>
      <c r="AU1733">
        <v>2024</v>
      </c>
      <c r="AV1733">
        <v>10</v>
      </c>
      <c r="AW1733">
        <v>1</v>
      </c>
      <c r="AX1733" t="s">
        <v>74</v>
      </c>
      <c r="AY1733" t="s">
        <v>74</v>
      </c>
      <c r="AZ1733" t="s">
        <v>74</v>
      </c>
      <c r="BA1733" t="s">
        <v>74</v>
      </c>
      <c r="BB1733" t="s">
        <v>74</v>
      </c>
      <c r="BC1733" t="s">
        <v>74</v>
      </c>
      <c r="BD1733">
        <v>15</v>
      </c>
      <c r="BE1733" t="s">
        <v>22824</v>
      </c>
      <c r="BF1733" t="str">
        <f>HYPERLINK("http://dx.doi.org/10.1186/s40854-023-00557-4","http://dx.doi.org/10.1186/s40854-023-00557-4")</f>
        <v>http://dx.doi.org/10.1186/s40854-023-00557-4</v>
      </c>
      <c r="BG1733" t="s">
        <v>74</v>
      </c>
      <c r="BH1733" t="s">
        <v>74</v>
      </c>
      <c r="BI1733">
        <v>37</v>
      </c>
      <c r="BJ1733" t="s">
        <v>5092</v>
      </c>
      <c r="BK1733" t="s">
        <v>99</v>
      </c>
      <c r="BL1733" t="s">
        <v>2024</v>
      </c>
      <c r="BM1733" t="s">
        <v>22823</v>
      </c>
      <c r="BN1733" t="s">
        <v>74</v>
      </c>
      <c r="BO1733" t="s">
        <v>916</v>
      </c>
      <c r="BP1733" t="s">
        <v>74</v>
      </c>
      <c r="BQ1733" t="s">
        <v>74</v>
      </c>
      <c r="BR1733" t="s">
        <v>102</v>
      </c>
      <c r="BS1733" t="s">
        <v>22822</v>
      </c>
      <c r="BT1733" t="str">
        <f>HYPERLINK("https%3A%2F%2Fwww.webofscience.com%2Fwos%2Fwoscc%2Ffull-record%2FWOS:001140775300001","View Full Record in Web of Science")</f>
        <v>View Full Record in Web of Science</v>
      </c>
    </row>
    <row r="1734" spans="1:72" x14ac:dyDescent="0.25">
      <c r="A1734" t="s">
        <v>72</v>
      </c>
      <c r="B1734" t="s">
        <v>22821</v>
      </c>
      <c r="C1734" t="s">
        <v>74</v>
      </c>
      <c r="D1734" t="s">
        <v>74</v>
      </c>
      <c r="E1734" t="s">
        <v>74</v>
      </c>
      <c r="F1734" t="s">
        <v>22820</v>
      </c>
      <c r="G1734" t="s">
        <v>74</v>
      </c>
      <c r="H1734" t="s">
        <v>74</v>
      </c>
      <c r="I1734" t="s">
        <v>22819</v>
      </c>
      <c r="J1734" t="s">
        <v>16089</v>
      </c>
      <c r="K1734" t="s">
        <v>74</v>
      </c>
      <c r="L1734" t="s">
        <v>74</v>
      </c>
      <c r="M1734" t="s">
        <v>78</v>
      </c>
      <c r="N1734" t="s">
        <v>79</v>
      </c>
      <c r="O1734" t="s">
        <v>74</v>
      </c>
      <c r="P1734" t="s">
        <v>74</v>
      </c>
      <c r="Q1734" t="s">
        <v>74</v>
      </c>
      <c r="R1734" t="s">
        <v>74</v>
      </c>
      <c r="S1734" t="s">
        <v>74</v>
      </c>
      <c r="T1734" t="s">
        <v>74</v>
      </c>
      <c r="U1734" t="s">
        <v>22818</v>
      </c>
      <c r="V1734" t="s">
        <v>22817</v>
      </c>
      <c r="W1734" t="s">
        <v>22816</v>
      </c>
      <c r="X1734" t="s">
        <v>74</v>
      </c>
      <c r="Y1734" t="s">
        <v>22815</v>
      </c>
      <c r="Z1734" t="s">
        <v>22814</v>
      </c>
      <c r="AA1734" t="s">
        <v>20060</v>
      </c>
      <c r="AB1734" t="s">
        <v>22813</v>
      </c>
      <c r="AC1734" t="s">
        <v>20059</v>
      </c>
      <c r="AD1734" t="s">
        <v>20058</v>
      </c>
      <c r="AE1734" t="s">
        <v>22812</v>
      </c>
      <c r="AF1734" t="s">
        <v>74</v>
      </c>
      <c r="AG1734">
        <v>55</v>
      </c>
      <c r="AH1734">
        <v>13</v>
      </c>
      <c r="AI1734">
        <v>18</v>
      </c>
      <c r="AJ1734">
        <v>0</v>
      </c>
      <c r="AK1734">
        <v>3</v>
      </c>
      <c r="AL1734" t="s">
        <v>16099</v>
      </c>
      <c r="AM1734" t="s">
        <v>16100</v>
      </c>
      <c r="AN1734" t="s">
        <v>16101</v>
      </c>
      <c r="AO1734" t="s">
        <v>16102</v>
      </c>
      <c r="AP1734" t="s">
        <v>16103</v>
      </c>
      <c r="AQ1734" t="s">
        <v>74</v>
      </c>
      <c r="AR1734" t="s">
        <v>16104</v>
      </c>
      <c r="AS1734" t="s">
        <v>16105</v>
      </c>
      <c r="AT1734" t="s">
        <v>208</v>
      </c>
      <c r="AU1734">
        <v>2017</v>
      </c>
      <c r="AV1734">
        <v>26</v>
      </c>
      <c r="AW1734">
        <v>1</v>
      </c>
      <c r="AX1734" t="s">
        <v>74</v>
      </c>
      <c r="AY1734" t="s">
        <v>74</v>
      </c>
      <c r="AZ1734" t="s">
        <v>441</v>
      </c>
      <c r="BA1734" t="s">
        <v>74</v>
      </c>
      <c r="BB1734">
        <v>3</v>
      </c>
      <c r="BC1734">
        <v>20</v>
      </c>
      <c r="BD1734" t="s">
        <v>74</v>
      </c>
      <c r="BE1734" t="s">
        <v>22811</v>
      </c>
      <c r="BF1734" t="str">
        <f>HYPERLINK("http://dx.doi.org/10.1002/jsc.2105","http://dx.doi.org/10.1002/jsc.2105")</f>
        <v>http://dx.doi.org/10.1002/jsc.2105</v>
      </c>
      <c r="BG1734" t="s">
        <v>74</v>
      </c>
      <c r="BH1734" t="s">
        <v>74</v>
      </c>
      <c r="BI1734">
        <v>18</v>
      </c>
      <c r="BJ1734" t="s">
        <v>268</v>
      </c>
      <c r="BK1734" t="s">
        <v>313</v>
      </c>
      <c r="BL1734" t="s">
        <v>100</v>
      </c>
      <c r="BM1734" t="s">
        <v>22810</v>
      </c>
      <c r="BN1734" t="s">
        <v>74</v>
      </c>
      <c r="BO1734" t="s">
        <v>74</v>
      </c>
      <c r="BP1734" t="s">
        <v>74</v>
      </c>
      <c r="BQ1734" t="s">
        <v>74</v>
      </c>
      <c r="BR1734" t="s">
        <v>102</v>
      </c>
      <c r="BS1734" t="s">
        <v>22809</v>
      </c>
      <c r="BT1734" t="str">
        <f>HYPERLINK("https%3A%2F%2Fwww.webofscience.com%2Fwos%2Fwoscc%2Ffull-record%2FWOS:000396441400001","View Full Record in Web of Science")</f>
        <v>View Full Record in Web of Science</v>
      </c>
    </row>
    <row r="1735" spans="1:72" x14ac:dyDescent="0.25">
      <c r="A1735" t="s">
        <v>72</v>
      </c>
      <c r="B1735" t="s">
        <v>22808</v>
      </c>
      <c r="C1735" t="s">
        <v>74</v>
      </c>
      <c r="D1735" t="s">
        <v>74</v>
      </c>
      <c r="E1735" t="s">
        <v>74</v>
      </c>
      <c r="F1735" t="s">
        <v>22807</v>
      </c>
      <c r="G1735" t="s">
        <v>74</v>
      </c>
      <c r="H1735" t="s">
        <v>74</v>
      </c>
      <c r="I1735" t="s">
        <v>22806</v>
      </c>
      <c r="J1735" t="s">
        <v>22805</v>
      </c>
      <c r="K1735" t="s">
        <v>74</v>
      </c>
      <c r="L1735" t="s">
        <v>74</v>
      </c>
      <c r="M1735" t="s">
        <v>78</v>
      </c>
      <c r="N1735" t="s">
        <v>79</v>
      </c>
      <c r="O1735" t="s">
        <v>74</v>
      </c>
      <c r="P1735" t="s">
        <v>74</v>
      </c>
      <c r="Q1735" t="s">
        <v>74</v>
      </c>
      <c r="R1735" t="s">
        <v>74</v>
      </c>
      <c r="S1735" t="s">
        <v>74</v>
      </c>
      <c r="T1735" t="s">
        <v>22804</v>
      </c>
      <c r="U1735" t="s">
        <v>22803</v>
      </c>
      <c r="V1735" t="s">
        <v>22802</v>
      </c>
      <c r="W1735" t="s">
        <v>22801</v>
      </c>
      <c r="X1735" t="s">
        <v>22800</v>
      </c>
      <c r="Y1735" t="s">
        <v>22799</v>
      </c>
      <c r="Z1735" t="s">
        <v>22798</v>
      </c>
      <c r="AA1735" t="s">
        <v>74</v>
      </c>
      <c r="AB1735" t="s">
        <v>74</v>
      </c>
      <c r="AC1735" t="s">
        <v>74</v>
      </c>
      <c r="AD1735" t="s">
        <v>74</v>
      </c>
      <c r="AE1735" t="s">
        <v>74</v>
      </c>
      <c r="AF1735" t="s">
        <v>74</v>
      </c>
      <c r="AG1735">
        <v>89</v>
      </c>
      <c r="AH1735">
        <v>0</v>
      </c>
      <c r="AI1735">
        <v>0</v>
      </c>
      <c r="AJ1735">
        <v>0</v>
      </c>
      <c r="AK1735">
        <v>1</v>
      </c>
      <c r="AL1735" t="s">
        <v>201</v>
      </c>
      <c r="AM1735" t="s">
        <v>202</v>
      </c>
      <c r="AN1735" t="s">
        <v>203</v>
      </c>
      <c r="AO1735" t="s">
        <v>22797</v>
      </c>
      <c r="AP1735" t="s">
        <v>22796</v>
      </c>
      <c r="AQ1735" t="s">
        <v>74</v>
      </c>
      <c r="AR1735" t="s">
        <v>22795</v>
      </c>
      <c r="AS1735" t="s">
        <v>22794</v>
      </c>
      <c r="AT1735" t="s">
        <v>848</v>
      </c>
      <c r="AU1735">
        <v>2025</v>
      </c>
      <c r="AV1735">
        <v>102</v>
      </c>
      <c r="AW1735" t="s">
        <v>74</v>
      </c>
      <c r="AX1735" t="s">
        <v>74</v>
      </c>
      <c r="AY1735" t="s">
        <v>74</v>
      </c>
      <c r="AZ1735" t="s">
        <v>74</v>
      </c>
      <c r="BA1735" t="s">
        <v>74</v>
      </c>
      <c r="BB1735" t="s">
        <v>74</v>
      </c>
      <c r="BC1735" t="s">
        <v>74</v>
      </c>
      <c r="BD1735">
        <v>102163</v>
      </c>
      <c r="BE1735" t="s">
        <v>22793</v>
      </c>
      <c r="BF1735" t="str">
        <f>HYPERLINK("http://dx.doi.org/10.1016/j.intfin.2025.102163","http://dx.doi.org/10.1016/j.intfin.2025.102163")</f>
        <v>http://dx.doi.org/10.1016/j.intfin.2025.102163</v>
      </c>
      <c r="BG1735" t="s">
        <v>74</v>
      </c>
      <c r="BH1735" t="s">
        <v>1485</v>
      </c>
      <c r="BI1735">
        <v>36</v>
      </c>
      <c r="BJ1735" t="s">
        <v>210</v>
      </c>
      <c r="BK1735" t="s">
        <v>99</v>
      </c>
      <c r="BL1735" t="s">
        <v>100</v>
      </c>
      <c r="BM1735" t="s">
        <v>22792</v>
      </c>
      <c r="BN1735" t="s">
        <v>74</v>
      </c>
      <c r="BO1735" t="s">
        <v>74</v>
      </c>
      <c r="BP1735" t="s">
        <v>74</v>
      </c>
      <c r="BQ1735" t="s">
        <v>74</v>
      </c>
      <c r="BR1735" t="s">
        <v>102</v>
      </c>
      <c r="BS1735" t="s">
        <v>22791</v>
      </c>
      <c r="BT1735" t="str">
        <f>HYPERLINK("https%3A%2F%2Fwww.webofscience.com%2Fwos%2Fwoscc%2Ffull-record%2FWOS:001480203100001","View Full Record in Web of Science")</f>
        <v>View Full Record in Web of Science</v>
      </c>
    </row>
    <row r="1736" spans="1:72" x14ac:dyDescent="0.25">
      <c r="A1736" t="s">
        <v>72</v>
      </c>
      <c r="B1736" t="s">
        <v>22790</v>
      </c>
      <c r="C1736" t="s">
        <v>74</v>
      </c>
      <c r="D1736" t="s">
        <v>74</v>
      </c>
      <c r="E1736" t="s">
        <v>74</v>
      </c>
      <c r="F1736" t="s">
        <v>22789</v>
      </c>
      <c r="G1736" t="s">
        <v>74</v>
      </c>
      <c r="H1736" t="s">
        <v>74</v>
      </c>
      <c r="I1736" t="s">
        <v>22788</v>
      </c>
      <c r="J1736" t="s">
        <v>9191</v>
      </c>
      <c r="K1736" t="s">
        <v>74</v>
      </c>
      <c r="L1736" t="s">
        <v>74</v>
      </c>
      <c r="M1736" t="s">
        <v>78</v>
      </c>
      <c r="N1736" t="s">
        <v>79</v>
      </c>
      <c r="O1736" t="s">
        <v>74</v>
      </c>
      <c r="P1736" t="s">
        <v>74</v>
      </c>
      <c r="Q1736" t="s">
        <v>74</v>
      </c>
      <c r="R1736" t="s">
        <v>74</v>
      </c>
      <c r="S1736" t="s">
        <v>74</v>
      </c>
      <c r="T1736" t="s">
        <v>22787</v>
      </c>
      <c r="U1736" t="s">
        <v>22786</v>
      </c>
      <c r="V1736" t="s">
        <v>22785</v>
      </c>
      <c r="W1736" t="s">
        <v>22784</v>
      </c>
      <c r="X1736" t="s">
        <v>22783</v>
      </c>
      <c r="Y1736" t="s">
        <v>22782</v>
      </c>
      <c r="Z1736" t="s">
        <v>22781</v>
      </c>
      <c r="AA1736" t="s">
        <v>22780</v>
      </c>
      <c r="AB1736" t="s">
        <v>74</v>
      </c>
      <c r="AC1736" t="s">
        <v>22779</v>
      </c>
      <c r="AD1736" t="s">
        <v>22778</v>
      </c>
      <c r="AE1736" t="s">
        <v>22777</v>
      </c>
      <c r="AF1736" t="s">
        <v>74</v>
      </c>
      <c r="AG1736">
        <v>51</v>
      </c>
      <c r="AH1736">
        <v>3</v>
      </c>
      <c r="AI1736">
        <v>4</v>
      </c>
      <c r="AJ1736">
        <v>13</v>
      </c>
      <c r="AK1736">
        <v>71</v>
      </c>
      <c r="AL1736" t="s">
        <v>9204</v>
      </c>
      <c r="AM1736" t="s">
        <v>2016</v>
      </c>
      <c r="AN1736" t="s">
        <v>9205</v>
      </c>
      <c r="AO1736" t="s">
        <v>74</v>
      </c>
      <c r="AP1736" t="s">
        <v>9206</v>
      </c>
      <c r="AQ1736" t="s">
        <v>74</v>
      </c>
      <c r="AR1736" t="s">
        <v>9191</v>
      </c>
      <c r="AS1736" t="s">
        <v>9207</v>
      </c>
      <c r="AT1736" t="s">
        <v>96</v>
      </c>
      <c r="AU1736">
        <v>2024</v>
      </c>
      <c r="AV1736">
        <v>10</v>
      </c>
      <c r="AW1736">
        <v>10</v>
      </c>
      <c r="AX1736" t="s">
        <v>74</v>
      </c>
      <c r="AY1736" t="s">
        <v>74</v>
      </c>
      <c r="AZ1736" t="s">
        <v>74</v>
      </c>
      <c r="BA1736" t="s">
        <v>74</v>
      </c>
      <c r="BB1736" t="s">
        <v>74</v>
      </c>
      <c r="BC1736" t="s">
        <v>74</v>
      </c>
      <c r="BD1736" t="s">
        <v>22776</v>
      </c>
      <c r="BE1736" t="s">
        <v>22775</v>
      </c>
      <c r="BF1736" t="str">
        <f>HYPERLINK("http://dx.doi.org/10.1016/j.heliyon.2024.e31387","http://dx.doi.org/10.1016/j.heliyon.2024.e31387")</f>
        <v>http://dx.doi.org/10.1016/j.heliyon.2024.e31387</v>
      </c>
      <c r="BG1736" t="s">
        <v>74</v>
      </c>
      <c r="BH1736" t="s">
        <v>5285</v>
      </c>
      <c r="BI1736">
        <v>8</v>
      </c>
      <c r="BJ1736" t="s">
        <v>559</v>
      </c>
      <c r="BK1736" t="s">
        <v>128</v>
      </c>
      <c r="BL1736" t="s">
        <v>560</v>
      </c>
      <c r="BM1736" t="s">
        <v>22774</v>
      </c>
      <c r="BN1736">
        <v>38826738</v>
      </c>
      <c r="BO1736" t="s">
        <v>916</v>
      </c>
      <c r="BP1736" t="s">
        <v>74</v>
      </c>
      <c r="BQ1736" t="s">
        <v>74</v>
      </c>
      <c r="BR1736" t="s">
        <v>102</v>
      </c>
      <c r="BS1736" t="s">
        <v>22773</v>
      </c>
      <c r="BT1736" t="str">
        <f>HYPERLINK("https%3A%2F%2Fwww.webofscience.com%2Fwos%2Fwoscc%2Ffull-record%2FWOS:001298354800001","View Full Record in Web of Science")</f>
        <v>View Full Record in Web of Science</v>
      </c>
    </row>
    <row r="1737" spans="1:72" x14ac:dyDescent="0.25">
      <c r="A1737" t="s">
        <v>72</v>
      </c>
      <c r="B1737" t="s">
        <v>22772</v>
      </c>
      <c r="C1737" t="s">
        <v>74</v>
      </c>
      <c r="D1737" t="s">
        <v>74</v>
      </c>
      <c r="E1737" t="s">
        <v>74</v>
      </c>
      <c r="F1737" t="s">
        <v>22771</v>
      </c>
      <c r="G1737" t="s">
        <v>74</v>
      </c>
      <c r="H1737" t="s">
        <v>74</v>
      </c>
      <c r="I1737" t="s">
        <v>22770</v>
      </c>
      <c r="J1737" t="s">
        <v>22769</v>
      </c>
      <c r="K1737" t="s">
        <v>74</v>
      </c>
      <c r="L1737" t="s">
        <v>74</v>
      </c>
      <c r="M1737" t="s">
        <v>78</v>
      </c>
      <c r="N1737" t="s">
        <v>79</v>
      </c>
      <c r="O1737" t="s">
        <v>74</v>
      </c>
      <c r="P1737" t="s">
        <v>74</v>
      </c>
      <c r="Q1737" t="s">
        <v>74</v>
      </c>
      <c r="R1737" t="s">
        <v>74</v>
      </c>
      <c r="S1737" t="s">
        <v>74</v>
      </c>
      <c r="T1737" t="s">
        <v>74</v>
      </c>
      <c r="U1737" t="s">
        <v>74</v>
      </c>
      <c r="V1737" t="s">
        <v>22768</v>
      </c>
      <c r="W1737" t="s">
        <v>22767</v>
      </c>
      <c r="X1737" t="s">
        <v>22766</v>
      </c>
      <c r="Y1737" t="s">
        <v>22765</v>
      </c>
      <c r="Z1737" t="s">
        <v>74</v>
      </c>
      <c r="AA1737" t="s">
        <v>22764</v>
      </c>
      <c r="AB1737" t="s">
        <v>22763</v>
      </c>
      <c r="AC1737" t="s">
        <v>74</v>
      </c>
      <c r="AD1737" t="s">
        <v>74</v>
      </c>
      <c r="AE1737" t="s">
        <v>74</v>
      </c>
      <c r="AF1737" t="s">
        <v>74</v>
      </c>
      <c r="AG1737">
        <v>52</v>
      </c>
      <c r="AH1737">
        <v>4</v>
      </c>
      <c r="AI1737">
        <v>10</v>
      </c>
      <c r="AJ1737">
        <v>0</v>
      </c>
      <c r="AK1737">
        <v>9</v>
      </c>
      <c r="AL1737" t="s">
        <v>22762</v>
      </c>
      <c r="AM1737" t="s">
        <v>15173</v>
      </c>
      <c r="AN1737" t="s">
        <v>22761</v>
      </c>
      <c r="AO1737" t="s">
        <v>22760</v>
      </c>
      <c r="AP1737" t="s">
        <v>74</v>
      </c>
      <c r="AQ1737" t="s">
        <v>74</v>
      </c>
      <c r="AR1737" t="s">
        <v>22759</v>
      </c>
      <c r="AS1737" t="s">
        <v>22758</v>
      </c>
      <c r="AT1737" t="s">
        <v>124</v>
      </c>
      <c r="AU1737">
        <v>2009</v>
      </c>
      <c r="AV1737">
        <v>12</v>
      </c>
      <c r="AW1737">
        <v>4</v>
      </c>
      <c r="AX1737" t="s">
        <v>74</v>
      </c>
      <c r="AY1737" t="s">
        <v>74</v>
      </c>
      <c r="AZ1737" t="s">
        <v>74</v>
      </c>
      <c r="BA1737" t="s">
        <v>74</v>
      </c>
      <c r="BB1737">
        <v>448</v>
      </c>
      <c r="BC1737">
        <v>461</v>
      </c>
      <c r="BD1737" t="s">
        <v>74</v>
      </c>
      <c r="BE1737" t="s">
        <v>74</v>
      </c>
      <c r="BF1737" t="s">
        <v>74</v>
      </c>
      <c r="BG1737" t="s">
        <v>74</v>
      </c>
      <c r="BH1737" t="s">
        <v>74</v>
      </c>
      <c r="BI1737">
        <v>14</v>
      </c>
      <c r="BJ1737" t="s">
        <v>5519</v>
      </c>
      <c r="BK1737" t="s">
        <v>99</v>
      </c>
      <c r="BL1737" t="s">
        <v>100</v>
      </c>
      <c r="BM1737" t="s">
        <v>22757</v>
      </c>
      <c r="BN1737" t="s">
        <v>74</v>
      </c>
      <c r="BO1737" t="s">
        <v>74</v>
      </c>
      <c r="BP1737" t="s">
        <v>74</v>
      </c>
      <c r="BQ1737" t="s">
        <v>74</v>
      </c>
      <c r="BR1737" t="s">
        <v>102</v>
      </c>
      <c r="BS1737" t="s">
        <v>22756</v>
      </c>
      <c r="BT1737" t="str">
        <f>HYPERLINK("https%3A%2F%2Fwww.webofscience.com%2Fwos%2Fwoscc%2Ffull-record%2FWOS:000273270200005","View Full Record in Web of Science")</f>
        <v>View Full Record in Web of Science</v>
      </c>
    </row>
    <row r="1738" spans="1:72" x14ac:dyDescent="0.25">
      <c r="A1738" t="s">
        <v>132</v>
      </c>
      <c r="B1738" t="s">
        <v>22755</v>
      </c>
      <c r="C1738" t="s">
        <v>74</v>
      </c>
      <c r="D1738" t="s">
        <v>22754</v>
      </c>
      <c r="E1738" t="s">
        <v>74</v>
      </c>
      <c r="F1738" t="s">
        <v>22753</v>
      </c>
      <c r="G1738" t="s">
        <v>74</v>
      </c>
      <c r="H1738" t="s">
        <v>74</v>
      </c>
      <c r="I1738" t="s">
        <v>22752</v>
      </c>
      <c r="J1738" t="s">
        <v>22751</v>
      </c>
      <c r="K1738" t="s">
        <v>22750</v>
      </c>
      <c r="L1738" t="s">
        <v>74</v>
      </c>
      <c r="M1738" t="s">
        <v>78</v>
      </c>
      <c r="N1738" t="s">
        <v>138</v>
      </c>
      <c r="O1738" t="s">
        <v>22749</v>
      </c>
      <c r="P1738" t="s">
        <v>22748</v>
      </c>
      <c r="Q1738" t="s">
        <v>22747</v>
      </c>
      <c r="R1738" t="s">
        <v>22746</v>
      </c>
      <c r="S1738" t="s">
        <v>74</v>
      </c>
      <c r="T1738" t="s">
        <v>22745</v>
      </c>
      <c r="U1738" t="s">
        <v>22744</v>
      </c>
      <c r="V1738" t="s">
        <v>22743</v>
      </c>
      <c r="W1738" t="s">
        <v>22742</v>
      </c>
      <c r="X1738" t="s">
        <v>22741</v>
      </c>
      <c r="Y1738" t="s">
        <v>22740</v>
      </c>
      <c r="Z1738" t="s">
        <v>22739</v>
      </c>
      <c r="AA1738" t="s">
        <v>74</v>
      </c>
      <c r="AB1738" t="s">
        <v>74</v>
      </c>
      <c r="AC1738" t="s">
        <v>74</v>
      </c>
      <c r="AD1738" t="s">
        <v>74</v>
      </c>
      <c r="AE1738" t="s">
        <v>74</v>
      </c>
      <c r="AF1738" t="s">
        <v>74</v>
      </c>
      <c r="AG1738">
        <v>13</v>
      </c>
      <c r="AH1738">
        <v>0</v>
      </c>
      <c r="AI1738">
        <v>0</v>
      </c>
      <c r="AJ1738">
        <v>0</v>
      </c>
      <c r="AK1738">
        <v>13</v>
      </c>
      <c r="AL1738" t="s">
        <v>22738</v>
      </c>
      <c r="AM1738" t="s">
        <v>7673</v>
      </c>
      <c r="AN1738" t="s">
        <v>22737</v>
      </c>
      <c r="AO1738" t="s">
        <v>22736</v>
      </c>
      <c r="AP1738" t="s">
        <v>74</v>
      </c>
      <c r="AQ1738" t="s">
        <v>74</v>
      </c>
      <c r="AR1738" t="s">
        <v>22735</v>
      </c>
      <c r="AS1738" t="s">
        <v>74</v>
      </c>
      <c r="AT1738" t="s">
        <v>74</v>
      </c>
      <c r="AU1738">
        <v>2016</v>
      </c>
      <c r="AV1738" t="s">
        <v>74</v>
      </c>
      <c r="AW1738" t="s">
        <v>74</v>
      </c>
      <c r="AX1738" t="s">
        <v>74</v>
      </c>
      <c r="AY1738" t="s">
        <v>74</v>
      </c>
      <c r="AZ1738" t="s">
        <v>74</v>
      </c>
      <c r="BA1738" t="s">
        <v>74</v>
      </c>
      <c r="BB1738">
        <v>90</v>
      </c>
      <c r="BC1738">
        <v>95</v>
      </c>
      <c r="BD1738" t="s">
        <v>74</v>
      </c>
      <c r="BE1738" t="s">
        <v>74</v>
      </c>
      <c r="BF1738" t="s">
        <v>74</v>
      </c>
      <c r="BG1738" t="s">
        <v>74</v>
      </c>
      <c r="BH1738" t="s">
        <v>74</v>
      </c>
      <c r="BI1738">
        <v>6</v>
      </c>
      <c r="BJ1738" t="s">
        <v>22734</v>
      </c>
      <c r="BK1738" t="s">
        <v>183</v>
      </c>
      <c r="BL1738" t="s">
        <v>22339</v>
      </c>
      <c r="BM1738" t="s">
        <v>22733</v>
      </c>
      <c r="BN1738" t="s">
        <v>74</v>
      </c>
      <c r="BO1738" t="s">
        <v>74</v>
      </c>
      <c r="BP1738" t="s">
        <v>74</v>
      </c>
      <c r="BQ1738" t="s">
        <v>74</v>
      </c>
      <c r="BR1738" t="s">
        <v>102</v>
      </c>
      <c r="BS1738" t="s">
        <v>22732</v>
      </c>
      <c r="BT1738" t="str">
        <f>HYPERLINK("https%3A%2F%2Fwww.webofscience.com%2Fwos%2Fwoscc%2Ffull-record%2FWOS:000386192300015","View Full Record in Web of Science")</f>
        <v>View Full Record in Web of Science</v>
      </c>
    </row>
    <row r="1739" spans="1:72" x14ac:dyDescent="0.25">
      <c r="A1739" t="s">
        <v>72</v>
      </c>
      <c r="B1739" t="s">
        <v>22731</v>
      </c>
      <c r="C1739" t="s">
        <v>74</v>
      </c>
      <c r="D1739" t="s">
        <v>74</v>
      </c>
      <c r="E1739" t="s">
        <v>74</v>
      </c>
      <c r="F1739" t="s">
        <v>22730</v>
      </c>
      <c r="G1739" t="s">
        <v>74</v>
      </c>
      <c r="H1739" t="s">
        <v>74</v>
      </c>
      <c r="I1739" t="s">
        <v>22729</v>
      </c>
      <c r="J1739" t="s">
        <v>22728</v>
      </c>
      <c r="K1739" t="s">
        <v>74</v>
      </c>
      <c r="L1739" t="s">
        <v>74</v>
      </c>
      <c r="M1739" t="s">
        <v>78</v>
      </c>
      <c r="N1739" t="s">
        <v>79</v>
      </c>
      <c r="O1739" t="s">
        <v>74</v>
      </c>
      <c r="P1739" t="s">
        <v>74</v>
      </c>
      <c r="Q1739" t="s">
        <v>74</v>
      </c>
      <c r="R1739" t="s">
        <v>74</v>
      </c>
      <c r="S1739" t="s">
        <v>74</v>
      </c>
      <c r="T1739" t="s">
        <v>22727</v>
      </c>
      <c r="U1739" t="s">
        <v>22726</v>
      </c>
      <c r="V1739" t="s">
        <v>22725</v>
      </c>
      <c r="W1739" t="s">
        <v>22724</v>
      </c>
      <c r="X1739" t="s">
        <v>13182</v>
      </c>
      <c r="Y1739" t="s">
        <v>22723</v>
      </c>
      <c r="Z1739" t="s">
        <v>22722</v>
      </c>
      <c r="AA1739" t="s">
        <v>22721</v>
      </c>
      <c r="AB1739" t="s">
        <v>22720</v>
      </c>
      <c r="AC1739" t="s">
        <v>74</v>
      </c>
      <c r="AD1739" t="s">
        <v>74</v>
      </c>
      <c r="AE1739" t="s">
        <v>74</v>
      </c>
      <c r="AF1739" t="s">
        <v>74</v>
      </c>
      <c r="AG1739">
        <v>85</v>
      </c>
      <c r="AH1739">
        <v>5</v>
      </c>
      <c r="AI1739">
        <v>6</v>
      </c>
      <c r="AJ1739">
        <v>8</v>
      </c>
      <c r="AK1739">
        <v>39</v>
      </c>
      <c r="AL1739" t="s">
        <v>385</v>
      </c>
      <c r="AM1739" t="s">
        <v>151</v>
      </c>
      <c r="AN1739" t="s">
        <v>386</v>
      </c>
      <c r="AO1739" t="s">
        <v>22719</v>
      </c>
      <c r="AP1739" t="s">
        <v>22718</v>
      </c>
      <c r="AQ1739" t="s">
        <v>74</v>
      </c>
      <c r="AR1739" t="s">
        <v>22717</v>
      </c>
      <c r="AS1739" t="s">
        <v>22716</v>
      </c>
      <c r="AT1739" t="s">
        <v>124</v>
      </c>
      <c r="AU1739">
        <v>2024</v>
      </c>
      <c r="AV1739">
        <v>20</v>
      </c>
      <c r="AW1739">
        <v>4</v>
      </c>
      <c r="AX1739" t="s">
        <v>74</v>
      </c>
      <c r="AY1739" t="s">
        <v>74</v>
      </c>
      <c r="AZ1739" t="s">
        <v>74</v>
      </c>
      <c r="BA1739" t="s">
        <v>74</v>
      </c>
      <c r="BB1739">
        <v>2791</v>
      </c>
      <c r="BC1739">
        <v>2810</v>
      </c>
      <c r="BD1739" t="s">
        <v>74</v>
      </c>
      <c r="BE1739" t="s">
        <v>22715</v>
      </c>
      <c r="BF1739" t="str">
        <f>HYPERLINK("http://dx.doi.org/10.1007/s11365-024-00992-4","http://dx.doi.org/10.1007/s11365-024-00992-4")</f>
        <v>http://dx.doi.org/10.1007/s11365-024-00992-4</v>
      </c>
      <c r="BG1739" t="s">
        <v>74</v>
      </c>
      <c r="BH1739" t="s">
        <v>6256</v>
      </c>
      <c r="BI1739">
        <v>20</v>
      </c>
      <c r="BJ1739" t="s">
        <v>98</v>
      </c>
      <c r="BK1739" t="s">
        <v>99</v>
      </c>
      <c r="BL1739" t="s">
        <v>100</v>
      </c>
      <c r="BM1739" t="s">
        <v>22714</v>
      </c>
      <c r="BN1739" t="s">
        <v>74</v>
      </c>
      <c r="BO1739" t="s">
        <v>466</v>
      </c>
      <c r="BP1739" t="s">
        <v>74</v>
      </c>
      <c r="BQ1739" t="s">
        <v>74</v>
      </c>
      <c r="BR1739" t="s">
        <v>102</v>
      </c>
      <c r="BS1739" t="s">
        <v>22713</v>
      </c>
      <c r="BT1739" t="str">
        <f>HYPERLINK("https%3A%2F%2Fwww.webofscience.com%2Fwos%2Fwoscc%2Ffull-record%2FWOS:001242779600001","View Full Record in Web of Science")</f>
        <v>View Full Record in Web of Science</v>
      </c>
    </row>
    <row r="1740" spans="1:72" x14ac:dyDescent="0.25">
      <c r="A1740" t="s">
        <v>72</v>
      </c>
      <c r="B1740" t="s">
        <v>22712</v>
      </c>
      <c r="C1740" t="s">
        <v>74</v>
      </c>
      <c r="D1740" t="s">
        <v>74</v>
      </c>
      <c r="E1740" t="s">
        <v>74</v>
      </c>
      <c r="F1740" t="s">
        <v>22711</v>
      </c>
      <c r="G1740" t="s">
        <v>74</v>
      </c>
      <c r="H1740" t="s">
        <v>74</v>
      </c>
      <c r="I1740" t="s">
        <v>22710</v>
      </c>
      <c r="J1740" t="s">
        <v>22709</v>
      </c>
      <c r="K1740" t="s">
        <v>74</v>
      </c>
      <c r="L1740" t="s">
        <v>74</v>
      </c>
      <c r="M1740" t="s">
        <v>78</v>
      </c>
      <c r="N1740" t="s">
        <v>2355</v>
      </c>
      <c r="O1740" t="s">
        <v>74</v>
      </c>
      <c r="P1740" t="s">
        <v>74</v>
      </c>
      <c r="Q1740" t="s">
        <v>74</v>
      </c>
      <c r="R1740" t="s">
        <v>74</v>
      </c>
      <c r="S1740" t="s">
        <v>74</v>
      </c>
      <c r="T1740" t="s">
        <v>74</v>
      </c>
      <c r="U1740" t="s">
        <v>74</v>
      </c>
      <c r="V1740" t="s">
        <v>74</v>
      </c>
      <c r="W1740" t="s">
        <v>74</v>
      </c>
      <c r="X1740" t="s">
        <v>74</v>
      </c>
      <c r="Y1740" t="s">
        <v>74</v>
      </c>
      <c r="Z1740" t="s">
        <v>74</v>
      </c>
      <c r="AA1740" t="s">
        <v>74</v>
      </c>
      <c r="AB1740" t="s">
        <v>74</v>
      </c>
      <c r="AC1740" t="s">
        <v>74</v>
      </c>
      <c r="AD1740" t="s">
        <v>74</v>
      </c>
      <c r="AE1740" t="s">
        <v>74</v>
      </c>
      <c r="AF1740" t="s">
        <v>74</v>
      </c>
      <c r="AG1740">
        <v>1</v>
      </c>
      <c r="AH1740">
        <v>1</v>
      </c>
      <c r="AI1740">
        <v>1</v>
      </c>
      <c r="AJ1740">
        <v>0</v>
      </c>
      <c r="AK1740">
        <v>6</v>
      </c>
      <c r="AL1740" t="s">
        <v>332</v>
      </c>
      <c r="AM1740" t="s">
        <v>333</v>
      </c>
      <c r="AN1740" t="s">
        <v>334</v>
      </c>
      <c r="AO1740" t="s">
        <v>22708</v>
      </c>
      <c r="AP1740" t="s">
        <v>22707</v>
      </c>
      <c r="AQ1740" t="s">
        <v>74</v>
      </c>
      <c r="AR1740" t="s">
        <v>22706</v>
      </c>
      <c r="AS1740" t="s">
        <v>22705</v>
      </c>
      <c r="AT1740" t="s">
        <v>74</v>
      </c>
      <c r="AU1740">
        <v>2017</v>
      </c>
      <c r="AV1740">
        <v>38</v>
      </c>
      <c r="AW1740">
        <v>2</v>
      </c>
      <c r="AX1740" t="s">
        <v>74</v>
      </c>
      <c r="AY1740" t="s">
        <v>74</v>
      </c>
      <c r="AZ1740" t="s">
        <v>441</v>
      </c>
      <c r="BA1740" t="s">
        <v>74</v>
      </c>
      <c r="BB1740">
        <v>296</v>
      </c>
      <c r="BC1740">
        <v>296</v>
      </c>
      <c r="BD1740" t="s">
        <v>74</v>
      </c>
      <c r="BE1740" t="s">
        <v>22704</v>
      </c>
      <c r="BF1740" t="str">
        <f>HYPERLINK("http://dx.doi.org/10.1080/02255189.2017.1322298","http://dx.doi.org/10.1080/02255189.2017.1322298")</f>
        <v>http://dx.doi.org/10.1080/02255189.2017.1322298</v>
      </c>
      <c r="BG1740" t="s">
        <v>74</v>
      </c>
      <c r="BH1740" t="s">
        <v>74</v>
      </c>
      <c r="BI1740">
        <v>1</v>
      </c>
      <c r="BJ1740" t="s">
        <v>1137</v>
      </c>
      <c r="BK1740" t="s">
        <v>99</v>
      </c>
      <c r="BL1740" t="s">
        <v>1137</v>
      </c>
      <c r="BM1740" t="s">
        <v>22703</v>
      </c>
      <c r="BN1740" t="s">
        <v>74</v>
      </c>
      <c r="BO1740" t="s">
        <v>1205</v>
      </c>
      <c r="BP1740" t="s">
        <v>74</v>
      </c>
      <c r="BQ1740" t="s">
        <v>74</v>
      </c>
      <c r="BR1740" t="s">
        <v>102</v>
      </c>
      <c r="BS1740" t="s">
        <v>22702</v>
      </c>
      <c r="BT1740" t="str">
        <f>HYPERLINK("https%3A%2F%2Fwww.webofscience.com%2Fwos%2Fwoscc%2Ffull-record%2FWOS:000404255500010","View Full Record in Web of Science")</f>
        <v>View Full Record in Web of Science</v>
      </c>
    </row>
    <row r="1741" spans="1:72" x14ac:dyDescent="0.25">
      <c r="A1741" t="s">
        <v>72</v>
      </c>
      <c r="B1741" t="s">
        <v>22701</v>
      </c>
      <c r="C1741" t="s">
        <v>74</v>
      </c>
      <c r="D1741" t="s">
        <v>74</v>
      </c>
      <c r="E1741" t="s">
        <v>74</v>
      </c>
      <c r="F1741" t="s">
        <v>22700</v>
      </c>
      <c r="G1741" t="s">
        <v>74</v>
      </c>
      <c r="H1741" t="s">
        <v>74</v>
      </c>
      <c r="I1741" t="s">
        <v>22699</v>
      </c>
      <c r="J1741" t="s">
        <v>22698</v>
      </c>
      <c r="K1741" t="s">
        <v>74</v>
      </c>
      <c r="L1741" t="s">
        <v>74</v>
      </c>
      <c r="M1741" t="s">
        <v>78</v>
      </c>
      <c r="N1741" t="s">
        <v>79</v>
      </c>
      <c r="O1741" t="s">
        <v>74</v>
      </c>
      <c r="P1741" t="s">
        <v>74</v>
      </c>
      <c r="Q1741" t="s">
        <v>74</v>
      </c>
      <c r="R1741" t="s">
        <v>74</v>
      </c>
      <c r="S1741" t="s">
        <v>74</v>
      </c>
      <c r="T1741" t="s">
        <v>22697</v>
      </c>
      <c r="U1741" t="s">
        <v>22696</v>
      </c>
      <c r="V1741" t="s">
        <v>22695</v>
      </c>
      <c r="W1741" t="s">
        <v>22694</v>
      </c>
      <c r="X1741" t="s">
        <v>22693</v>
      </c>
      <c r="Y1741" t="s">
        <v>22692</v>
      </c>
      <c r="Z1741" t="s">
        <v>22691</v>
      </c>
      <c r="AA1741" t="s">
        <v>22690</v>
      </c>
      <c r="AB1741" t="s">
        <v>74</v>
      </c>
      <c r="AC1741" t="s">
        <v>74</v>
      </c>
      <c r="AD1741" t="s">
        <v>74</v>
      </c>
      <c r="AE1741" t="s">
        <v>74</v>
      </c>
      <c r="AF1741" t="s">
        <v>74</v>
      </c>
      <c r="AG1741">
        <v>147</v>
      </c>
      <c r="AH1741">
        <v>1</v>
      </c>
      <c r="AI1741">
        <v>1</v>
      </c>
      <c r="AJ1741">
        <v>4</v>
      </c>
      <c r="AK1741">
        <v>4</v>
      </c>
      <c r="AL1741" t="s">
        <v>201</v>
      </c>
      <c r="AM1741" t="s">
        <v>202</v>
      </c>
      <c r="AN1741" t="s">
        <v>203</v>
      </c>
      <c r="AO1741" t="s">
        <v>22689</v>
      </c>
      <c r="AP1741" t="s">
        <v>22688</v>
      </c>
      <c r="AQ1741" t="s">
        <v>74</v>
      </c>
      <c r="AR1741" t="s">
        <v>22687</v>
      </c>
      <c r="AS1741" t="s">
        <v>22686</v>
      </c>
      <c r="AT1741" t="s">
        <v>891</v>
      </c>
      <c r="AU1741">
        <v>2025</v>
      </c>
      <c r="AV1741">
        <v>151</v>
      </c>
      <c r="AW1741" t="s">
        <v>74</v>
      </c>
      <c r="AX1741" t="s">
        <v>74</v>
      </c>
      <c r="AY1741" t="s">
        <v>74</v>
      </c>
      <c r="AZ1741" t="s">
        <v>74</v>
      </c>
      <c r="BA1741" t="s">
        <v>74</v>
      </c>
      <c r="BB1741" t="s">
        <v>74</v>
      </c>
      <c r="BC1741" t="s">
        <v>74</v>
      </c>
      <c r="BD1741">
        <v>108927</v>
      </c>
      <c r="BE1741" t="s">
        <v>22685</v>
      </c>
      <c r="BF1741" t="str">
        <f>HYPERLINK("http://dx.doi.org/10.1016/j.eneco.2025.108927","http://dx.doi.org/10.1016/j.eneco.2025.108927")</f>
        <v>http://dx.doi.org/10.1016/j.eneco.2025.108927</v>
      </c>
      <c r="BG1741" t="s">
        <v>74</v>
      </c>
      <c r="BH1741" t="s">
        <v>12078</v>
      </c>
      <c r="BI1741">
        <v>14</v>
      </c>
      <c r="BJ1741" t="s">
        <v>291</v>
      </c>
      <c r="BK1741" t="s">
        <v>99</v>
      </c>
      <c r="BL1741" t="s">
        <v>100</v>
      </c>
      <c r="BM1741" t="s">
        <v>22684</v>
      </c>
      <c r="BN1741" t="s">
        <v>74</v>
      </c>
      <c r="BO1741" t="s">
        <v>466</v>
      </c>
      <c r="BP1741" t="s">
        <v>74</v>
      </c>
      <c r="BQ1741" t="s">
        <v>74</v>
      </c>
      <c r="BR1741" t="s">
        <v>102</v>
      </c>
      <c r="BS1741" t="s">
        <v>22683</v>
      </c>
      <c r="BT1741" t="str">
        <f>HYPERLINK("https%3A%2F%2Fwww.webofscience.com%2Fwos%2Fwoscc%2Ffull-record%2FWOS:001589249900001","View Full Record in Web of Science")</f>
        <v>View Full Record in Web of Science</v>
      </c>
    </row>
    <row r="1742" spans="1:72" x14ac:dyDescent="0.25">
      <c r="A1742" t="s">
        <v>72</v>
      </c>
      <c r="B1742" t="s">
        <v>22682</v>
      </c>
      <c r="C1742" t="s">
        <v>74</v>
      </c>
      <c r="D1742" t="s">
        <v>74</v>
      </c>
      <c r="E1742" t="s">
        <v>74</v>
      </c>
      <c r="F1742" t="s">
        <v>22681</v>
      </c>
      <c r="G1742" t="s">
        <v>74</v>
      </c>
      <c r="H1742" t="s">
        <v>74</v>
      </c>
      <c r="I1742" t="s">
        <v>22680</v>
      </c>
      <c r="J1742" t="s">
        <v>1510</v>
      </c>
      <c r="K1742" t="s">
        <v>74</v>
      </c>
      <c r="L1742" t="s">
        <v>74</v>
      </c>
      <c r="M1742" t="s">
        <v>78</v>
      </c>
      <c r="N1742" t="s">
        <v>372</v>
      </c>
      <c r="O1742" t="s">
        <v>74</v>
      </c>
      <c r="P1742" t="s">
        <v>74</v>
      </c>
      <c r="Q1742" t="s">
        <v>74</v>
      </c>
      <c r="R1742" t="s">
        <v>74</v>
      </c>
      <c r="S1742" t="s">
        <v>74</v>
      </c>
      <c r="T1742" t="s">
        <v>22679</v>
      </c>
      <c r="U1742" t="s">
        <v>8565</v>
      </c>
      <c r="V1742" t="s">
        <v>22678</v>
      </c>
      <c r="W1742" t="s">
        <v>22677</v>
      </c>
      <c r="X1742" t="s">
        <v>22676</v>
      </c>
      <c r="Y1742" t="s">
        <v>22675</v>
      </c>
      <c r="Z1742" t="s">
        <v>22674</v>
      </c>
      <c r="AA1742" t="s">
        <v>22673</v>
      </c>
      <c r="AB1742" t="s">
        <v>74</v>
      </c>
      <c r="AC1742" t="s">
        <v>74</v>
      </c>
      <c r="AD1742" t="s">
        <v>74</v>
      </c>
      <c r="AE1742" t="s">
        <v>74</v>
      </c>
      <c r="AF1742" t="s">
        <v>74</v>
      </c>
      <c r="AG1742">
        <v>50</v>
      </c>
      <c r="AH1742">
        <v>0</v>
      </c>
      <c r="AI1742">
        <v>0</v>
      </c>
      <c r="AJ1742">
        <v>1</v>
      </c>
      <c r="AK1742">
        <v>1</v>
      </c>
      <c r="AL1742" t="s">
        <v>89</v>
      </c>
      <c r="AM1742" t="s">
        <v>90</v>
      </c>
      <c r="AN1742" t="s">
        <v>91</v>
      </c>
      <c r="AO1742" t="s">
        <v>1519</v>
      </c>
      <c r="AP1742" t="s">
        <v>1520</v>
      </c>
      <c r="AQ1742" t="s">
        <v>74</v>
      </c>
      <c r="AR1742" t="s">
        <v>1521</v>
      </c>
      <c r="AS1742" t="s">
        <v>1522</v>
      </c>
      <c r="AT1742" t="s">
        <v>22672</v>
      </c>
      <c r="AU1742">
        <v>2025</v>
      </c>
      <c r="AV1742" t="s">
        <v>74</v>
      </c>
      <c r="AW1742" t="s">
        <v>74</v>
      </c>
      <c r="AX1742" t="s">
        <v>74</v>
      </c>
      <c r="AY1742" t="s">
        <v>74</v>
      </c>
      <c r="AZ1742" t="s">
        <v>74</v>
      </c>
      <c r="BA1742" t="s">
        <v>74</v>
      </c>
      <c r="BB1742" t="s">
        <v>74</v>
      </c>
      <c r="BC1742" t="s">
        <v>74</v>
      </c>
      <c r="BD1742" t="s">
        <v>74</v>
      </c>
      <c r="BE1742" t="s">
        <v>22671</v>
      </c>
      <c r="BF1742" t="str">
        <f>HYPERLINK("http://dx.doi.org/10.1108/IJSE-08-2024-0667","http://dx.doi.org/10.1108/IJSE-08-2024-0667")</f>
        <v>http://dx.doi.org/10.1108/IJSE-08-2024-0667</v>
      </c>
      <c r="BG1742" t="s">
        <v>74</v>
      </c>
      <c r="BH1742" t="s">
        <v>2044</v>
      </c>
      <c r="BI1742">
        <v>16</v>
      </c>
      <c r="BJ1742" t="s">
        <v>291</v>
      </c>
      <c r="BK1742" t="s">
        <v>313</v>
      </c>
      <c r="BL1742" t="s">
        <v>100</v>
      </c>
      <c r="BM1742" t="s">
        <v>22670</v>
      </c>
      <c r="BN1742" t="s">
        <v>74</v>
      </c>
      <c r="BO1742" t="s">
        <v>74</v>
      </c>
      <c r="BP1742" t="s">
        <v>74</v>
      </c>
      <c r="BQ1742" t="s">
        <v>74</v>
      </c>
      <c r="BR1742" t="s">
        <v>102</v>
      </c>
      <c r="BS1742" t="s">
        <v>22669</v>
      </c>
      <c r="BT1742" t="str">
        <f>HYPERLINK("https%3A%2F%2Fwww.webofscience.com%2Fwos%2Fwoscc%2Ffull-record%2FWOS:001620102800001","View Full Record in Web of Science")</f>
        <v>View Full Record in Web of Science</v>
      </c>
    </row>
    <row r="1743" spans="1:72" x14ac:dyDescent="0.25">
      <c r="A1743" t="s">
        <v>72</v>
      </c>
      <c r="B1743" t="s">
        <v>22668</v>
      </c>
      <c r="C1743" t="s">
        <v>74</v>
      </c>
      <c r="D1743" t="s">
        <v>74</v>
      </c>
      <c r="E1743" t="s">
        <v>74</v>
      </c>
      <c r="F1743" t="s">
        <v>22667</v>
      </c>
      <c r="G1743" t="s">
        <v>74</v>
      </c>
      <c r="H1743" t="s">
        <v>74</v>
      </c>
      <c r="I1743" t="s">
        <v>22666</v>
      </c>
      <c r="J1743" t="s">
        <v>7388</v>
      </c>
      <c r="K1743" t="s">
        <v>74</v>
      </c>
      <c r="L1743" t="s">
        <v>74</v>
      </c>
      <c r="M1743" t="s">
        <v>78</v>
      </c>
      <c r="N1743" t="s">
        <v>79</v>
      </c>
      <c r="O1743" t="s">
        <v>74</v>
      </c>
      <c r="P1743" t="s">
        <v>74</v>
      </c>
      <c r="Q1743" t="s">
        <v>74</v>
      </c>
      <c r="R1743" t="s">
        <v>74</v>
      </c>
      <c r="S1743" t="s">
        <v>74</v>
      </c>
      <c r="T1743" t="s">
        <v>22665</v>
      </c>
      <c r="U1743" t="s">
        <v>22664</v>
      </c>
      <c r="V1743" t="s">
        <v>22663</v>
      </c>
      <c r="W1743" t="s">
        <v>22662</v>
      </c>
      <c r="X1743" t="s">
        <v>22658</v>
      </c>
      <c r="Y1743" t="s">
        <v>22661</v>
      </c>
      <c r="Z1743" t="s">
        <v>22660</v>
      </c>
      <c r="AA1743" t="s">
        <v>74</v>
      </c>
      <c r="AB1743" t="s">
        <v>22659</v>
      </c>
      <c r="AC1743" t="s">
        <v>22658</v>
      </c>
      <c r="AD1743" t="s">
        <v>22658</v>
      </c>
      <c r="AE1743" t="s">
        <v>22657</v>
      </c>
      <c r="AF1743" t="s">
        <v>74</v>
      </c>
      <c r="AG1743">
        <v>42</v>
      </c>
      <c r="AH1743">
        <v>0</v>
      </c>
      <c r="AI1743">
        <v>0</v>
      </c>
      <c r="AJ1743">
        <v>5</v>
      </c>
      <c r="AK1743">
        <v>8</v>
      </c>
      <c r="AL1743" t="s">
        <v>7396</v>
      </c>
      <c r="AM1743" t="s">
        <v>5203</v>
      </c>
      <c r="AN1743" t="s">
        <v>5204</v>
      </c>
      <c r="AO1743" t="s">
        <v>7397</v>
      </c>
      <c r="AP1743" t="s">
        <v>7398</v>
      </c>
      <c r="AQ1743" t="s">
        <v>74</v>
      </c>
      <c r="AR1743" t="s">
        <v>7399</v>
      </c>
      <c r="AS1743" t="s">
        <v>7400</v>
      </c>
      <c r="AT1743" t="s">
        <v>74</v>
      </c>
      <c r="AU1743">
        <v>2025</v>
      </c>
      <c r="AV1743">
        <v>23</v>
      </c>
      <c r="AW1743">
        <v>3</v>
      </c>
      <c r="AX1743" t="s">
        <v>74</v>
      </c>
      <c r="AY1743" t="s">
        <v>74</v>
      </c>
      <c r="AZ1743" t="s">
        <v>74</v>
      </c>
      <c r="BA1743" t="s">
        <v>74</v>
      </c>
      <c r="BB1743">
        <v>45</v>
      </c>
      <c r="BC1743">
        <v>54</v>
      </c>
      <c r="BD1743" t="s">
        <v>74</v>
      </c>
      <c r="BE1743" t="s">
        <v>22656</v>
      </c>
      <c r="BF1743" t="str">
        <f>HYPERLINK("http://dx.doi.org/10.15722/jds.23.03.202503.45","http://dx.doi.org/10.15722/jds.23.03.202503.45")</f>
        <v>http://dx.doi.org/10.15722/jds.23.03.202503.45</v>
      </c>
      <c r="BG1743" t="s">
        <v>74</v>
      </c>
      <c r="BH1743" t="s">
        <v>74</v>
      </c>
      <c r="BI1743">
        <v>10</v>
      </c>
      <c r="BJ1743" t="s">
        <v>98</v>
      </c>
      <c r="BK1743" t="s">
        <v>313</v>
      </c>
      <c r="BL1743" t="s">
        <v>100</v>
      </c>
      <c r="BM1743" t="s">
        <v>22655</v>
      </c>
      <c r="BN1743" t="s">
        <v>74</v>
      </c>
      <c r="BO1743" t="s">
        <v>74</v>
      </c>
      <c r="BP1743" t="s">
        <v>74</v>
      </c>
      <c r="BQ1743" t="s">
        <v>74</v>
      </c>
      <c r="BR1743" t="s">
        <v>102</v>
      </c>
      <c r="BS1743" t="s">
        <v>22654</v>
      </c>
      <c r="BT1743" t="str">
        <f>HYPERLINK("https%3A%2F%2Fwww.webofscience.com%2Fwos%2Fwoscc%2Ffull-record%2FWOS:001463417100005","View Full Record in Web of Science")</f>
        <v>View Full Record in Web of Science</v>
      </c>
    </row>
    <row r="1744" spans="1:72" x14ac:dyDescent="0.25">
      <c r="A1744" t="s">
        <v>72</v>
      </c>
      <c r="B1744" t="s">
        <v>22653</v>
      </c>
      <c r="C1744" t="s">
        <v>74</v>
      </c>
      <c r="D1744" t="s">
        <v>74</v>
      </c>
      <c r="E1744" t="s">
        <v>74</v>
      </c>
      <c r="F1744" t="s">
        <v>22652</v>
      </c>
      <c r="G1744" t="s">
        <v>74</v>
      </c>
      <c r="H1744" t="s">
        <v>74</v>
      </c>
      <c r="I1744" t="s">
        <v>22651</v>
      </c>
      <c r="J1744" t="s">
        <v>3056</v>
      </c>
      <c r="K1744" t="s">
        <v>74</v>
      </c>
      <c r="L1744" t="s">
        <v>74</v>
      </c>
      <c r="M1744" t="s">
        <v>78</v>
      </c>
      <c r="N1744" t="s">
        <v>79</v>
      </c>
      <c r="O1744" t="s">
        <v>74</v>
      </c>
      <c r="P1744" t="s">
        <v>74</v>
      </c>
      <c r="Q1744" t="s">
        <v>74</v>
      </c>
      <c r="R1744" t="s">
        <v>74</v>
      </c>
      <c r="S1744" t="s">
        <v>74</v>
      </c>
      <c r="T1744" t="s">
        <v>22650</v>
      </c>
      <c r="U1744" t="s">
        <v>74</v>
      </c>
      <c r="V1744" t="s">
        <v>22649</v>
      </c>
      <c r="W1744" t="s">
        <v>22648</v>
      </c>
      <c r="X1744" t="s">
        <v>74</v>
      </c>
      <c r="Y1744" t="s">
        <v>22647</v>
      </c>
      <c r="Z1744" t="s">
        <v>22646</v>
      </c>
      <c r="AA1744" t="s">
        <v>74</v>
      </c>
      <c r="AB1744" t="s">
        <v>74</v>
      </c>
      <c r="AC1744" t="s">
        <v>74</v>
      </c>
      <c r="AD1744" t="s">
        <v>74</v>
      </c>
      <c r="AE1744" t="s">
        <v>74</v>
      </c>
      <c r="AF1744" t="s">
        <v>74</v>
      </c>
      <c r="AG1744">
        <v>7</v>
      </c>
      <c r="AH1744">
        <v>0</v>
      </c>
      <c r="AI1744">
        <v>2</v>
      </c>
      <c r="AJ1744">
        <v>0</v>
      </c>
      <c r="AK1744">
        <v>15</v>
      </c>
      <c r="AL1744" t="s">
        <v>3064</v>
      </c>
      <c r="AM1744" t="s">
        <v>3065</v>
      </c>
      <c r="AN1744" t="s">
        <v>3066</v>
      </c>
      <c r="AO1744" t="s">
        <v>3067</v>
      </c>
      <c r="AP1744" t="s">
        <v>3068</v>
      </c>
      <c r="AQ1744" t="s">
        <v>74</v>
      </c>
      <c r="AR1744" t="s">
        <v>3069</v>
      </c>
      <c r="AS1744" t="s">
        <v>3070</v>
      </c>
      <c r="AT1744" t="s">
        <v>7020</v>
      </c>
      <c r="AU1744">
        <v>2022</v>
      </c>
      <c r="AV1744">
        <v>18</v>
      </c>
      <c r="AW1744">
        <v>1</v>
      </c>
      <c r="AX1744" t="s">
        <v>74</v>
      </c>
      <c r="AY1744" t="s">
        <v>74</v>
      </c>
      <c r="AZ1744" t="s">
        <v>74</v>
      </c>
      <c r="BA1744" t="s">
        <v>74</v>
      </c>
      <c r="BB1744">
        <v>218</v>
      </c>
      <c r="BC1744">
        <v>223</v>
      </c>
      <c r="BD1744" t="s">
        <v>74</v>
      </c>
      <c r="BE1744" t="s">
        <v>22645</v>
      </c>
      <c r="BF1744" t="str">
        <f>HYPERLINK("http://dx.doi.org/10.35716/IJED/21212","http://dx.doi.org/10.35716/IJED/21212")</f>
        <v>http://dx.doi.org/10.35716/IJED/21212</v>
      </c>
      <c r="BG1744" t="s">
        <v>74</v>
      </c>
      <c r="BH1744" t="s">
        <v>74</v>
      </c>
      <c r="BI1744">
        <v>6</v>
      </c>
      <c r="BJ1744" t="s">
        <v>291</v>
      </c>
      <c r="BK1744" t="s">
        <v>313</v>
      </c>
      <c r="BL1744" t="s">
        <v>100</v>
      </c>
      <c r="BM1744" t="s">
        <v>22644</v>
      </c>
      <c r="BN1744" t="s">
        <v>74</v>
      </c>
      <c r="BO1744" t="s">
        <v>74</v>
      </c>
      <c r="BP1744" t="s">
        <v>74</v>
      </c>
      <c r="BQ1744" t="s">
        <v>74</v>
      </c>
      <c r="BR1744" t="s">
        <v>102</v>
      </c>
      <c r="BS1744" t="s">
        <v>22643</v>
      </c>
      <c r="BT1744" t="str">
        <f>HYPERLINK("https%3A%2F%2Fwww.webofscience.com%2Fwos%2Fwoscc%2Ffull-record%2FWOS:000819803300026","View Full Record in Web of Science")</f>
        <v>View Full Record in Web of Science</v>
      </c>
    </row>
    <row r="1745" spans="1:72" x14ac:dyDescent="0.25">
      <c r="A1745" t="s">
        <v>132</v>
      </c>
      <c r="B1745" t="s">
        <v>22642</v>
      </c>
      <c r="C1745" t="s">
        <v>74</v>
      </c>
      <c r="D1745" t="s">
        <v>22641</v>
      </c>
      <c r="E1745" t="s">
        <v>74</v>
      </c>
      <c r="F1745" t="s">
        <v>22640</v>
      </c>
      <c r="G1745" t="s">
        <v>74</v>
      </c>
      <c r="H1745" t="s">
        <v>74</v>
      </c>
      <c r="I1745" t="s">
        <v>22639</v>
      </c>
      <c r="J1745" t="s">
        <v>22638</v>
      </c>
      <c r="K1745" t="s">
        <v>22637</v>
      </c>
      <c r="L1745" t="s">
        <v>74</v>
      </c>
      <c r="M1745" t="s">
        <v>78</v>
      </c>
      <c r="N1745" t="s">
        <v>138</v>
      </c>
      <c r="O1745" t="s">
        <v>22636</v>
      </c>
      <c r="P1745" t="s">
        <v>22635</v>
      </c>
      <c r="Q1745" t="s">
        <v>22634</v>
      </c>
      <c r="R1745" t="s">
        <v>74</v>
      </c>
      <c r="S1745" t="s">
        <v>74</v>
      </c>
      <c r="T1745" t="s">
        <v>22633</v>
      </c>
      <c r="U1745" t="s">
        <v>22632</v>
      </c>
      <c r="V1745" t="s">
        <v>22631</v>
      </c>
      <c r="W1745" t="s">
        <v>22630</v>
      </c>
      <c r="X1745" t="s">
        <v>74</v>
      </c>
      <c r="Y1745" t="s">
        <v>22629</v>
      </c>
      <c r="Z1745" t="s">
        <v>22628</v>
      </c>
      <c r="AA1745" t="s">
        <v>22627</v>
      </c>
      <c r="AB1745" t="s">
        <v>74</v>
      </c>
      <c r="AC1745" t="s">
        <v>74</v>
      </c>
      <c r="AD1745" t="s">
        <v>74</v>
      </c>
      <c r="AE1745" t="s">
        <v>74</v>
      </c>
      <c r="AF1745" t="s">
        <v>74</v>
      </c>
      <c r="AG1745">
        <v>61</v>
      </c>
      <c r="AH1745">
        <v>1</v>
      </c>
      <c r="AI1745">
        <v>1</v>
      </c>
      <c r="AJ1745">
        <v>2</v>
      </c>
      <c r="AK1745">
        <v>15</v>
      </c>
      <c r="AL1745" t="s">
        <v>1401</v>
      </c>
      <c r="AM1745" t="s">
        <v>1402</v>
      </c>
      <c r="AN1745" t="s">
        <v>1403</v>
      </c>
      <c r="AO1745" t="s">
        <v>22626</v>
      </c>
      <c r="AP1745" t="s">
        <v>22625</v>
      </c>
      <c r="AQ1745" t="s">
        <v>74</v>
      </c>
      <c r="AR1745" t="s">
        <v>22624</v>
      </c>
      <c r="AS1745" t="s">
        <v>74</v>
      </c>
      <c r="AT1745" t="s">
        <v>74</v>
      </c>
      <c r="AU1745">
        <v>2016</v>
      </c>
      <c r="AV1745" t="s">
        <v>74</v>
      </c>
      <c r="AW1745" t="s">
        <v>74</v>
      </c>
      <c r="AX1745" t="s">
        <v>74</v>
      </c>
      <c r="AY1745" t="s">
        <v>74</v>
      </c>
      <c r="AZ1745" t="s">
        <v>74</v>
      </c>
      <c r="BA1745" t="s">
        <v>74</v>
      </c>
      <c r="BB1745">
        <v>663</v>
      </c>
      <c r="BC1745" t="s">
        <v>2190</v>
      </c>
      <c r="BD1745" t="s">
        <v>74</v>
      </c>
      <c r="BE1745" t="s">
        <v>74</v>
      </c>
      <c r="BF1745" t="s">
        <v>74</v>
      </c>
      <c r="BG1745" t="s">
        <v>74</v>
      </c>
      <c r="BH1745" t="s">
        <v>74</v>
      </c>
      <c r="BI1745">
        <v>30</v>
      </c>
      <c r="BJ1745" t="s">
        <v>22623</v>
      </c>
      <c r="BK1745" t="s">
        <v>183</v>
      </c>
      <c r="BL1745" t="s">
        <v>3868</v>
      </c>
      <c r="BM1745" t="s">
        <v>22622</v>
      </c>
      <c r="BN1745" t="s">
        <v>74</v>
      </c>
      <c r="BO1745" t="s">
        <v>74</v>
      </c>
      <c r="BP1745" t="s">
        <v>74</v>
      </c>
      <c r="BQ1745" t="s">
        <v>74</v>
      </c>
      <c r="BR1745" t="s">
        <v>102</v>
      </c>
      <c r="BS1745" t="s">
        <v>22621</v>
      </c>
      <c r="BT1745" t="str">
        <f>HYPERLINK("https%3A%2F%2Fwww.webofscience.com%2Fwos%2Fwoscc%2Ffull-record%2FWOS:000578601900069","View Full Record in Web of Science")</f>
        <v>View Full Record in Web of Science</v>
      </c>
    </row>
    <row r="1746" spans="1:72" x14ac:dyDescent="0.25">
      <c r="A1746" t="s">
        <v>72</v>
      </c>
      <c r="B1746" t="s">
        <v>22620</v>
      </c>
      <c r="C1746" t="s">
        <v>74</v>
      </c>
      <c r="D1746" t="s">
        <v>74</v>
      </c>
      <c r="E1746" t="s">
        <v>74</v>
      </c>
      <c r="F1746" t="s">
        <v>22619</v>
      </c>
      <c r="G1746" t="s">
        <v>74</v>
      </c>
      <c r="H1746" t="s">
        <v>74</v>
      </c>
      <c r="I1746" t="s">
        <v>22618</v>
      </c>
      <c r="J1746" t="s">
        <v>1510</v>
      </c>
      <c r="K1746" t="s">
        <v>74</v>
      </c>
      <c r="L1746" t="s">
        <v>74</v>
      </c>
      <c r="M1746" t="s">
        <v>78</v>
      </c>
      <c r="N1746" t="s">
        <v>79</v>
      </c>
      <c r="O1746" t="s">
        <v>74</v>
      </c>
      <c r="P1746" t="s">
        <v>74</v>
      </c>
      <c r="Q1746" t="s">
        <v>74</v>
      </c>
      <c r="R1746" t="s">
        <v>74</v>
      </c>
      <c r="S1746" t="s">
        <v>74</v>
      </c>
      <c r="T1746" t="s">
        <v>22617</v>
      </c>
      <c r="U1746" t="s">
        <v>22616</v>
      </c>
      <c r="V1746" t="s">
        <v>22615</v>
      </c>
      <c r="W1746" t="s">
        <v>22614</v>
      </c>
      <c r="X1746" t="s">
        <v>22613</v>
      </c>
      <c r="Y1746" t="s">
        <v>22612</v>
      </c>
      <c r="Z1746" t="s">
        <v>22611</v>
      </c>
      <c r="AA1746" t="s">
        <v>22610</v>
      </c>
      <c r="AB1746" t="s">
        <v>22609</v>
      </c>
      <c r="AC1746" t="s">
        <v>74</v>
      </c>
      <c r="AD1746" t="s">
        <v>74</v>
      </c>
      <c r="AE1746" t="s">
        <v>74</v>
      </c>
      <c r="AF1746" t="s">
        <v>74</v>
      </c>
      <c r="AG1746">
        <v>48</v>
      </c>
      <c r="AH1746">
        <v>2</v>
      </c>
      <c r="AI1746">
        <v>2</v>
      </c>
      <c r="AJ1746">
        <v>3</v>
      </c>
      <c r="AK1746">
        <v>10</v>
      </c>
      <c r="AL1746" t="s">
        <v>89</v>
      </c>
      <c r="AM1746" t="s">
        <v>90</v>
      </c>
      <c r="AN1746" t="s">
        <v>91</v>
      </c>
      <c r="AO1746" t="s">
        <v>1519</v>
      </c>
      <c r="AP1746" t="s">
        <v>1520</v>
      </c>
      <c r="AQ1746" t="s">
        <v>74</v>
      </c>
      <c r="AR1746" t="s">
        <v>1521</v>
      </c>
      <c r="AS1746" t="s">
        <v>1522</v>
      </c>
      <c r="AT1746" t="s">
        <v>22608</v>
      </c>
      <c r="AU1746">
        <v>2025</v>
      </c>
      <c r="AV1746">
        <v>52</v>
      </c>
      <c r="AW1746">
        <v>7</v>
      </c>
      <c r="AX1746" t="s">
        <v>74</v>
      </c>
      <c r="AY1746" t="s">
        <v>74</v>
      </c>
      <c r="AZ1746" t="s">
        <v>74</v>
      </c>
      <c r="BA1746" t="s">
        <v>74</v>
      </c>
      <c r="BB1746">
        <v>976</v>
      </c>
      <c r="BC1746">
        <v>990</v>
      </c>
      <c r="BD1746" t="s">
        <v>74</v>
      </c>
      <c r="BE1746" t="s">
        <v>22607</v>
      </c>
      <c r="BF1746" t="str">
        <f>HYPERLINK("http://dx.doi.org/10.1108/IJSE-08-2023-0668","http://dx.doi.org/10.1108/IJSE-08-2023-0668")</f>
        <v>http://dx.doi.org/10.1108/IJSE-08-2023-0668</v>
      </c>
      <c r="BG1746" t="s">
        <v>74</v>
      </c>
      <c r="BH1746" t="s">
        <v>9389</v>
      </c>
      <c r="BI1746">
        <v>15</v>
      </c>
      <c r="BJ1746" t="s">
        <v>291</v>
      </c>
      <c r="BK1746" t="s">
        <v>313</v>
      </c>
      <c r="BL1746" t="s">
        <v>100</v>
      </c>
      <c r="BM1746" t="s">
        <v>22606</v>
      </c>
      <c r="BN1746" t="s">
        <v>74</v>
      </c>
      <c r="BO1746" t="s">
        <v>74</v>
      </c>
      <c r="BP1746" t="s">
        <v>74</v>
      </c>
      <c r="BQ1746" t="s">
        <v>74</v>
      </c>
      <c r="BR1746" t="s">
        <v>102</v>
      </c>
      <c r="BS1746" t="s">
        <v>22605</v>
      </c>
      <c r="BT1746" t="str">
        <f>HYPERLINK("https%3A%2F%2Fwww.webofscience.com%2Fwos%2Fwoscc%2Ffull-record%2FWOS:001308843100001","View Full Record in Web of Science")</f>
        <v>View Full Record in Web of Science</v>
      </c>
    </row>
    <row r="1747" spans="1:72" x14ac:dyDescent="0.25">
      <c r="A1747" t="s">
        <v>72</v>
      </c>
      <c r="B1747" t="s">
        <v>22604</v>
      </c>
      <c r="C1747" t="s">
        <v>74</v>
      </c>
      <c r="D1747" t="s">
        <v>74</v>
      </c>
      <c r="E1747" t="s">
        <v>74</v>
      </c>
      <c r="F1747" t="s">
        <v>22603</v>
      </c>
      <c r="G1747" t="s">
        <v>74</v>
      </c>
      <c r="H1747" t="s">
        <v>74</v>
      </c>
      <c r="I1747" t="s">
        <v>22602</v>
      </c>
      <c r="J1747" t="s">
        <v>22601</v>
      </c>
      <c r="K1747" t="s">
        <v>74</v>
      </c>
      <c r="L1747" t="s">
        <v>74</v>
      </c>
      <c r="M1747" t="s">
        <v>78</v>
      </c>
      <c r="N1747" t="s">
        <v>79</v>
      </c>
      <c r="O1747" t="s">
        <v>74</v>
      </c>
      <c r="P1747" t="s">
        <v>74</v>
      </c>
      <c r="Q1747" t="s">
        <v>74</v>
      </c>
      <c r="R1747" t="s">
        <v>74</v>
      </c>
      <c r="S1747" t="s">
        <v>74</v>
      </c>
      <c r="T1747" t="s">
        <v>22600</v>
      </c>
      <c r="U1747" t="s">
        <v>22599</v>
      </c>
      <c r="V1747" t="s">
        <v>22598</v>
      </c>
      <c r="W1747" t="s">
        <v>22597</v>
      </c>
      <c r="X1747" t="s">
        <v>17508</v>
      </c>
      <c r="Y1747" t="s">
        <v>22596</v>
      </c>
      <c r="Z1747" t="s">
        <v>22595</v>
      </c>
      <c r="AA1747" t="s">
        <v>74</v>
      </c>
      <c r="AB1747" t="s">
        <v>22594</v>
      </c>
      <c r="AC1747" t="s">
        <v>74</v>
      </c>
      <c r="AD1747" t="s">
        <v>74</v>
      </c>
      <c r="AE1747" t="s">
        <v>74</v>
      </c>
      <c r="AF1747" t="s">
        <v>74</v>
      </c>
      <c r="AG1747">
        <v>37</v>
      </c>
      <c r="AH1747">
        <v>7</v>
      </c>
      <c r="AI1747">
        <v>7</v>
      </c>
      <c r="AJ1747">
        <v>0</v>
      </c>
      <c r="AK1747">
        <v>7</v>
      </c>
      <c r="AL1747" t="s">
        <v>201</v>
      </c>
      <c r="AM1747" t="s">
        <v>202</v>
      </c>
      <c r="AN1747" t="s">
        <v>203</v>
      </c>
      <c r="AO1747" t="s">
        <v>22593</v>
      </c>
      <c r="AP1747" t="s">
        <v>74</v>
      </c>
      <c r="AQ1747" t="s">
        <v>74</v>
      </c>
      <c r="AR1747" t="s">
        <v>22592</v>
      </c>
      <c r="AS1747" t="s">
        <v>22591</v>
      </c>
      <c r="AT1747" t="s">
        <v>848</v>
      </c>
      <c r="AU1747">
        <v>2022</v>
      </c>
      <c r="AV1747">
        <v>16</v>
      </c>
      <c r="AW1747" t="s">
        <v>74</v>
      </c>
      <c r="AX1747" t="s">
        <v>74</v>
      </c>
      <c r="AY1747" t="s">
        <v>74</v>
      </c>
      <c r="AZ1747" t="s">
        <v>74</v>
      </c>
      <c r="BA1747" t="s">
        <v>74</v>
      </c>
      <c r="BB1747" t="s">
        <v>74</v>
      </c>
      <c r="BC1747" t="s">
        <v>74</v>
      </c>
      <c r="BD1747" t="s">
        <v>22590</v>
      </c>
      <c r="BE1747" t="s">
        <v>22589</v>
      </c>
      <c r="BF1747" t="str">
        <f>HYPERLINK("http://dx.doi.org/10.1016/j.sciaf.2022.e01230","http://dx.doi.org/10.1016/j.sciaf.2022.e01230")</f>
        <v>http://dx.doi.org/10.1016/j.sciaf.2022.e01230</v>
      </c>
      <c r="BG1747" t="s">
        <v>74</v>
      </c>
      <c r="BH1747" t="s">
        <v>1802</v>
      </c>
      <c r="BI1747">
        <v>12</v>
      </c>
      <c r="BJ1747" t="s">
        <v>559</v>
      </c>
      <c r="BK1747" t="s">
        <v>313</v>
      </c>
      <c r="BL1747" t="s">
        <v>560</v>
      </c>
      <c r="BM1747" t="s">
        <v>22588</v>
      </c>
      <c r="BN1747" t="s">
        <v>74</v>
      </c>
      <c r="BO1747" t="s">
        <v>916</v>
      </c>
      <c r="BP1747" t="s">
        <v>74</v>
      </c>
      <c r="BQ1747" t="s">
        <v>74</v>
      </c>
      <c r="BR1747" t="s">
        <v>102</v>
      </c>
      <c r="BS1747" t="s">
        <v>22587</v>
      </c>
      <c r="BT1747" t="str">
        <f>HYPERLINK("https%3A%2F%2Fwww.webofscience.com%2Fwos%2Fwoscc%2Ffull-record%2FWOS:000836538600004","View Full Record in Web of Science")</f>
        <v>View Full Record in Web of Science</v>
      </c>
    </row>
    <row r="1748" spans="1:72" x14ac:dyDescent="0.25">
      <c r="A1748" t="s">
        <v>72</v>
      </c>
      <c r="B1748" t="s">
        <v>22586</v>
      </c>
      <c r="C1748" t="s">
        <v>74</v>
      </c>
      <c r="D1748" t="s">
        <v>74</v>
      </c>
      <c r="E1748" t="s">
        <v>74</v>
      </c>
      <c r="F1748" t="s">
        <v>22585</v>
      </c>
      <c r="G1748" t="s">
        <v>74</v>
      </c>
      <c r="H1748" t="s">
        <v>74</v>
      </c>
      <c r="I1748" t="s">
        <v>22584</v>
      </c>
      <c r="J1748" t="s">
        <v>22583</v>
      </c>
      <c r="K1748" t="s">
        <v>74</v>
      </c>
      <c r="L1748" t="s">
        <v>74</v>
      </c>
      <c r="M1748" t="s">
        <v>78</v>
      </c>
      <c r="N1748" t="s">
        <v>79</v>
      </c>
      <c r="O1748" t="s">
        <v>74</v>
      </c>
      <c r="P1748" t="s">
        <v>74</v>
      </c>
      <c r="Q1748" t="s">
        <v>74</v>
      </c>
      <c r="R1748" t="s">
        <v>74</v>
      </c>
      <c r="S1748" t="s">
        <v>74</v>
      </c>
      <c r="T1748" t="s">
        <v>22582</v>
      </c>
      <c r="U1748" t="s">
        <v>74</v>
      </c>
      <c r="V1748" t="s">
        <v>22581</v>
      </c>
      <c r="W1748" t="s">
        <v>22580</v>
      </c>
      <c r="X1748" t="s">
        <v>22579</v>
      </c>
      <c r="Y1748" t="s">
        <v>22578</v>
      </c>
      <c r="Z1748" t="s">
        <v>22577</v>
      </c>
      <c r="AA1748" t="s">
        <v>22576</v>
      </c>
      <c r="AB1748" t="s">
        <v>22575</v>
      </c>
      <c r="AC1748" t="s">
        <v>74</v>
      </c>
      <c r="AD1748" t="s">
        <v>74</v>
      </c>
      <c r="AE1748" t="s">
        <v>74</v>
      </c>
      <c r="AF1748" t="s">
        <v>74</v>
      </c>
      <c r="AG1748">
        <v>42</v>
      </c>
      <c r="AH1748">
        <v>0</v>
      </c>
      <c r="AI1748">
        <v>2</v>
      </c>
      <c r="AJ1748">
        <v>0</v>
      </c>
      <c r="AK1748">
        <v>5</v>
      </c>
      <c r="AL1748" t="s">
        <v>22574</v>
      </c>
      <c r="AM1748" t="s">
        <v>22573</v>
      </c>
      <c r="AN1748" t="s">
        <v>22572</v>
      </c>
      <c r="AO1748" t="s">
        <v>22571</v>
      </c>
      <c r="AP1748" t="s">
        <v>22570</v>
      </c>
      <c r="AQ1748" t="s">
        <v>74</v>
      </c>
      <c r="AR1748" t="s">
        <v>22569</v>
      </c>
      <c r="AS1748" t="s">
        <v>22568</v>
      </c>
      <c r="AT1748" t="s">
        <v>74</v>
      </c>
      <c r="AU1748">
        <v>2024</v>
      </c>
      <c r="AV1748">
        <v>29</v>
      </c>
      <c r="AW1748">
        <v>4</v>
      </c>
      <c r="AX1748" t="s">
        <v>74</v>
      </c>
      <c r="AY1748" t="s">
        <v>74</v>
      </c>
      <c r="AZ1748" t="s">
        <v>74</v>
      </c>
      <c r="BA1748" t="s">
        <v>74</v>
      </c>
      <c r="BB1748">
        <v>28</v>
      </c>
      <c r="BC1748">
        <v>38</v>
      </c>
      <c r="BD1748" t="s">
        <v>74</v>
      </c>
      <c r="BE1748" t="s">
        <v>22567</v>
      </c>
      <c r="BF1748" t="str">
        <f>HYPERLINK("http://dx.doi.org/10.5937/StraMan2300064K","http://dx.doi.org/10.5937/StraMan2300064K")</f>
        <v>http://dx.doi.org/10.5937/StraMan2300064K</v>
      </c>
      <c r="BG1748" t="s">
        <v>74</v>
      </c>
      <c r="BH1748" t="s">
        <v>239</v>
      </c>
      <c r="BI1748">
        <v>11</v>
      </c>
      <c r="BJ1748" t="s">
        <v>583</v>
      </c>
      <c r="BK1748" t="s">
        <v>313</v>
      </c>
      <c r="BL1748" t="s">
        <v>100</v>
      </c>
      <c r="BM1748" t="s">
        <v>22566</v>
      </c>
      <c r="BN1748" t="s">
        <v>74</v>
      </c>
      <c r="BO1748" t="s">
        <v>916</v>
      </c>
      <c r="BP1748" t="s">
        <v>74</v>
      </c>
      <c r="BQ1748" t="s">
        <v>74</v>
      </c>
      <c r="BR1748" t="s">
        <v>102</v>
      </c>
      <c r="BS1748" t="s">
        <v>22565</v>
      </c>
      <c r="BT1748" t="str">
        <f>HYPERLINK("https%3A%2F%2Fwww.webofscience.com%2Fwos%2Fwoscc%2Ffull-record%2FWOS:001157097700001","View Full Record in Web of Science")</f>
        <v>View Full Record in Web of Science</v>
      </c>
    </row>
    <row r="1749" spans="1:72" x14ac:dyDescent="0.25">
      <c r="A1749" t="s">
        <v>72</v>
      </c>
      <c r="B1749" t="s">
        <v>11071</v>
      </c>
      <c r="C1749" t="s">
        <v>74</v>
      </c>
      <c r="D1749" t="s">
        <v>74</v>
      </c>
      <c r="E1749" t="s">
        <v>74</v>
      </c>
      <c r="F1749" t="s">
        <v>11072</v>
      </c>
      <c r="G1749" t="s">
        <v>74</v>
      </c>
      <c r="H1749" t="s">
        <v>74</v>
      </c>
      <c r="I1749" t="s">
        <v>22564</v>
      </c>
      <c r="J1749" t="s">
        <v>22563</v>
      </c>
      <c r="K1749" t="s">
        <v>74</v>
      </c>
      <c r="L1749" t="s">
        <v>74</v>
      </c>
      <c r="M1749" t="s">
        <v>78</v>
      </c>
      <c r="N1749" t="s">
        <v>79</v>
      </c>
      <c r="O1749" t="s">
        <v>74</v>
      </c>
      <c r="P1749" t="s">
        <v>74</v>
      </c>
      <c r="Q1749" t="s">
        <v>74</v>
      </c>
      <c r="R1749" t="s">
        <v>74</v>
      </c>
      <c r="S1749" t="s">
        <v>74</v>
      </c>
      <c r="T1749" t="s">
        <v>22562</v>
      </c>
      <c r="U1749" t="s">
        <v>74</v>
      </c>
      <c r="V1749" t="s">
        <v>22561</v>
      </c>
      <c r="W1749" t="s">
        <v>11324</v>
      </c>
      <c r="X1749" t="s">
        <v>11079</v>
      </c>
      <c r="Y1749" t="s">
        <v>11325</v>
      </c>
      <c r="Z1749" t="s">
        <v>12317</v>
      </c>
      <c r="AA1749" t="s">
        <v>11082</v>
      </c>
      <c r="AB1749" t="s">
        <v>74</v>
      </c>
      <c r="AC1749" t="s">
        <v>74</v>
      </c>
      <c r="AD1749" t="s">
        <v>74</v>
      </c>
      <c r="AE1749" t="s">
        <v>74</v>
      </c>
      <c r="AF1749" t="s">
        <v>74</v>
      </c>
      <c r="AG1749">
        <v>69</v>
      </c>
      <c r="AH1749">
        <v>0</v>
      </c>
      <c r="AI1749">
        <v>0</v>
      </c>
      <c r="AJ1749">
        <v>0</v>
      </c>
      <c r="AK1749">
        <v>0</v>
      </c>
      <c r="AL1749" t="s">
        <v>332</v>
      </c>
      <c r="AM1749" t="s">
        <v>333</v>
      </c>
      <c r="AN1749" t="s">
        <v>334</v>
      </c>
      <c r="AO1749" t="s">
        <v>22560</v>
      </c>
      <c r="AP1749" t="s">
        <v>22559</v>
      </c>
      <c r="AQ1749" t="s">
        <v>74</v>
      </c>
      <c r="AR1749" t="s">
        <v>22558</v>
      </c>
      <c r="AS1749" t="s">
        <v>22557</v>
      </c>
      <c r="AT1749" t="s">
        <v>5028</v>
      </c>
      <c r="AU1749">
        <v>2025</v>
      </c>
      <c r="AV1749">
        <v>54</v>
      </c>
      <c r="AW1749">
        <v>4</v>
      </c>
      <c r="AX1749" t="s">
        <v>74</v>
      </c>
      <c r="AY1749" t="s">
        <v>74</v>
      </c>
      <c r="AZ1749" t="s">
        <v>74</v>
      </c>
      <c r="BA1749" t="s">
        <v>74</v>
      </c>
      <c r="BB1749">
        <v>347</v>
      </c>
      <c r="BC1749">
        <v>387</v>
      </c>
      <c r="BD1749" t="s">
        <v>74</v>
      </c>
      <c r="BE1749" t="s">
        <v>22556</v>
      </c>
      <c r="BF1749" t="str">
        <f>HYPERLINK("http://dx.doi.org/10.1080/1226508X.2025.2595991","http://dx.doi.org/10.1080/1226508X.2025.2595991")</f>
        <v>http://dx.doi.org/10.1080/1226508X.2025.2595991</v>
      </c>
      <c r="BG1749" t="s">
        <v>74</v>
      </c>
      <c r="BH1749" t="s">
        <v>488</v>
      </c>
      <c r="BI1749">
        <v>41</v>
      </c>
      <c r="BJ1749" t="s">
        <v>291</v>
      </c>
      <c r="BK1749" t="s">
        <v>99</v>
      </c>
      <c r="BL1749" t="s">
        <v>100</v>
      </c>
      <c r="BM1749" t="s">
        <v>22555</v>
      </c>
      <c r="BN1749" t="s">
        <v>74</v>
      </c>
      <c r="BO1749" t="s">
        <v>74</v>
      </c>
      <c r="BP1749" t="s">
        <v>74</v>
      </c>
      <c r="BQ1749" t="s">
        <v>74</v>
      </c>
      <c r="BR1749" t="s">
        <v>102</v>
      </c>
      <c r="BS1749" t="s">
        <v>22554</v>
      </c>
      <c r="BT1749" t="str">
        <f>HYPERLINK("https%3A%2F%2Fwww.webofscience.com%2Fwos%2Fwoscc%2Ffull-record%2FWOS:001629092400001","View Full Record in Web of Science")</f>
        <v>View Full Record in Web of Science</v>
      </c>
    </row>
    <row r="1750" spans="1:72" x14ac:dyDescent="0.25">
      <c r="A1750" t="s">
        <v>72</v>
      </c>
      <c r="B1750" t="s">
        <v>22553</v>
      </c>
      <c r="C1750" t="s">
        <v>74</v>
      </c>
      <c r="D1750" t="s">
        <v>74</v>
      </c>
      <c r="E1750" t="s">
        <v>74</v>
      </c>
      <c r="F1750" t="s">
        <v>22552</v>
      </c>
      <c r="G1750" t="s">
        <v>74</v>
      </c>
      <c r="H1750" t="s">
        <v>74</v>
      </c>
      <c r="I1750" t="s">
        <v>22551</v>
      </c>
      <c r="J1750" t="s">
        <v>22550</v>
      </c>
      <c r="K1750" t="s">
        <v>74</v>
      </c>
      <c r="L1750" t="s">
        <v>74</v>
      </c>
      <c r="M1750" t="s">
        <v>78</v>
      </c>
      <c r="N1750" t="s">
        <v>79</v>
      </c>
      <c r="O1750" t="s">
        <v>74</v>
      </c>
      <c r="P1750" t="s">
        <v>74</v>
      </c>
      <c r="Q1750" t="s">
        <v>74</v>
      </c>
      <c r="R1750" t="s">
        <v>74</v>
      </c>
      <c r="S1750" t="s">
        <v>74</v>
      </c>
      <c r="T1750" t="s">
        <v>74</v>
      </c>
      <c r="U1750" t="s">
        <v>74</v>
      </c>
      <c r="V1750" t="s">
        <v>22549</v>
      </c>
      <c r="W1750" t="s">
        <v>22548</v>
      </c>
      <c r="X1750" t="s">
        <v>22547</v>
      </c>
      <c r="Y1750" t="s">
        <v>22546</v>
      </c>
      <c r="Z1750" t="s">
        <v>22545</v>
      </c>
      <c r="AA1750" t="s">
        <v>74</v>
      </c>
      <c r="AB1750" t="s">
        <v>74</v>
      </c>
      <c r="AC1750" t="s">
        <v>74</v>
      </c>
      <c r="AD1750" t="s">
        <v>74</v>
      </c>
      <c r="AE1750" t="s">
        <v>74</v>
      </c>
      <c r="AF1750" t="s">
        <v>74</v>
      </c>
      <c r="AG1750">
        <v>13</v>
      </c>
      <c r="AH1750">
        <v>0</v>
      </c>
      <c r="AI1750">
        <v>0</v>
      </c>
      <c r="AJ1750">
        <v>1</v>
      </c>
      <c r="AK1750">
        <v>4</v>
      </c>
      <c r="AL1750" t="s">
        <v>22544</v>
      </c>
      <c r="AM1750" t="s">
        <v>22543</v>
      </c>
      <c r="AN1750" t="s">
        <v>22542</v>
      </c>
      <c r="AO1750" t="s">
        <v>22541</v>
      </c>
      <c r="AP1750" t="s">
        <v>22540</v>
      </c>
      <c r="AQ1750" t="s">
        <v>74</v>
      </c>
      <c r="AR1750" t="s">
        <v>22539</v>
      </c>
      <c r="AS1750" t="s">
        <v>22538</v>
      </c>
      <c r="AT1750" t="s">
        <v>605</v>
      </c>
      <c r="AU1750">
        <v>2024</v>
      </c>
      <c r="AV1750">
        <v>23</v>
      </c>
      <c r="AW1750">
        <v>1</v>
      </c>
      <c r="AX1750" t="s">
        <v>74</v>
      </c>
      <c r="AY1750" t="s">
        <v>74</v>
      </c>
      <c r="AZ1750" t="s">
        <v>74</v>
      </c>
      <c r="BA1750" t="s">
        <v>74</v>
      </c>
      <c r="BB1750" t="s">
        <v>74</v>
      </c>
      <c r="BC1750" t="s">
        <v>74</v>
      </c>
      <c r="BD1750" t="s">
        <v>74</v>
      </c>
      <c r="BE1750" t="s">
        <v>22537</v>
      </c>
      <c r="BF1750" t="str">
        <f>HYPERLINK("http://dx.doi.org/10.17705/2msqe.00089","http://dx.doi.org/10.17705/2msqe.00089")</f>
        <v>http://dx.doi.org/10.17705/2msqe.00089</v>
      </c>
      <c r="BG1750" t="s">
        <v>74</v>
      </c>
      <c r="BH1750" t="s">
        <v>74</v>
      </c>
      <c r="BI1750">
        <v>21</v>
      </c>
      <c r="BJ1750" t="s">
        <v>3655</v>
      </c>
      <c r="BK1750" t="s">
        <v>99</v>
      </c>
      <c r="BL1750" t="s">
        <v>3656</v>
      </c>
      <c r="BM1750" t="s">
        <v>22536</v>
      </c>
      <c r="BN1750" t="s">
        <v>74</v>
      </c>
      <c r="BO1750" t="s">
        <v>74</v>
      </c>
      <c r="BP1750" t="s">
        <v>74</v>
      </c>
      <c r="BQ1750" t="s">
        <v>74</v>
      </c>
      <c r="BR1750" t="s">
        <v>102</v>
      </c>
      <c r="BS1750" t="s">
        <v>22535</v>
      </c>
      <c r="BT1750" t="str">
        <f>HYPERLINK("https%3A%2F%2Fwww.webofscience.com%2Fwos%2Fwoscc%2Ffull-record%2FWOS:001193684300003","View Full Record in Web of Science")</f>
        <v>View Full Record in Web of Science</v>
      </c>
    </row>
    <row r="1751" spans="1:72" x14ac:dyDescent="0.25">
      <c r="A1751" t="s">
        <v>72</v>
      </c>
      <c r="B1751" t="s">
        <v>22534</v>
      </c>
      <c r="C1751" t="s">
        <v>74</v>
      </c>
      <c r="D1751" t="s">
        <v>74</v>
      </c>
      <c r="E1751" t="s">
        <v>74</v>
      </c>
      <c r="F1751" t="s">
        <v>22533</v>
      </c>
      <c r="G1751" t="s">
        <v>74</v>
      </c>
      <c r="H1751" t="s">
        <v>74</v>
      </c>
      <c r="I1751" t="s">
        <v>22532</v>
      </c>
      <c r="J1751" t="s">
        <v>836</v>
      </c>
      <c r="K1751" t="s">
        <v>74</v>
      </c>
      <c r="L1751" t="s">
        <v>74</v>
      </c>
      <c r="M1751" t="s">
        <v>78</v>
      </c>
      <c r="N1751" t="s">
        <v>79</v>
      </c>
      <c r="O1751" t="s">
        <v>74</v>
      </c>
      <c r="P1751" t="s">
        <v>74</v>
      </c>
      <c r="Q1751" t="s">
        <v>74</v>
      </c>
      <c r="R1751" t="s">
        <v>74</v>
      </c>
      <c r="S1751" t="s">
        <v>74</v>
      </c>
      <c r="T1751" t="s">
        <v>22531</v>
      </c>
      <c r="U1751" t="s">
        <v>22530</v>
      </c>
      <c r="V1751" t="s">
        <v>22529</v>
      </c>
      <c r="W1751" t="s">
        <v>22528</v>
      </c>
      <c r="X1751" t="s">
        <v>22527</v>
      </c>
      <c r="Y1751" t="s">
        <v>22526</v>
      </c>
      <c r="Z1751" t="s">
        <v>22525</v>
      </c>
      <c r="AA1751" t="s">
        <v>22524</v>
      </c>
      <c r="AB1751" t="s">
        <v>22523</v>
      </c>
      <c r="AC1751" t="s">
        <v>22522</v>
      </c>
      <c r="AD1751" t="s">
        <v>22521</v>
      </c>
      <c r="AE1751" t="s">
        <v>22520</v>
      </c>
      <c r="AF1751" t="s">
        <v>74</v>
      </c>
      <c r="AG1751">
        <v>72</v>
      </c>
      <c r="AH1751">
        <v>121</v>
      </c>
      <c r="AI1751">
        <v>130</v>
      </c>
      <c r="AJ1751">
        <v>59</v>
      </c>
      <c r="AK1751">
        <v>445</v>
      </c>
      <c r="AL1751" t="s">
        <v>503</v>
      </c>
      <c r="AM1751" t="s">
        <v>151</v>
      </c>
      <c r="AN1751" t="s">
        <v>504</v>
      </c>
      <c r="AO1751" t="s">
        <v>844</v>
      </c>
      <c r="AP1751" t="s">
        <v>845</v>
      </c>
      <c r="AQ1751" t="s">
        <v>74</v>
      </c>
      <c r="AR1751" t="s">
        <v>846</v>
      </c>
      <c r="AS1751" t="s">
        <v>847</v>
      </c>
      <c r="AT1751" t="s">
        <v>208</v>
      </c>
      <c r="AU1751">
        <v>2024</v>
      </c>
      <c r="AV1751">
        <v>91</v>
      </c>
      <c r="AW1751" t="s">
        <v>74</v>
      </c>
      <c r="AX1751" t="s">
        <v>74</v>
      </c>
      <c r="AY1751" t="s">
        <v>74</v>
      </c>
      <c r="AZ1751" t="s">
        <v>74</v>
      </c>
      <c r="BA1751" t="s">
        <v>74</v>
      </c>
      <c r="BB1751" t="s">
        <v>74</v>
      </c>
      <c r="BC1751" t="s">
        <v>74</v>
      </c>
      <c r="BD1751">
        <v>102940</v>
      </c>
      <c r="BE1751" t="s">
        <v>22519</v>
      </c>
      <c r="BF1751" t="str">
        <f>HYPERLINK("http://dx.doi.org/10.1016/j.irfa.2023.102940","http://dx.doi.org/10.1016/j.irfa.2023.102940")</f>
        <v>http://dx.doi.org/10.1016/j.irfa.2023.102940</v>
      </c>
      <c r="BG1751" t="s">
        <v>74</v>
      </c>
      <c r="BH1751" t="s">
        <v>2417</v>
      </c>
      <c r="BI1751">
        <v>9</v>
      </c>
      <c r="BJ1751" t="s">
        <v>268</v>
      </c>
      <c r="BK1751" t="s">
        <v>99</v>
      </c>
      <c r="BL1751" t="s">
        <v>100</v>
      </c>
      <c r="BM1751" t="s">
        <v>22518</v>
      </c>
      <c r="BN1751" t="s">
        <v>74</v>
      </c>
      <c r="BO1751" t="s">
        <v>74</v>
      </c>
      <c r="BP1751" t="s">
        <v>74</v>
      </c>
      <c r="BQ1751" t="s">
        <v>74</v>
      </c>
      <c r="BR1751" t="s">
        <v>102</v>
      </c>
      <c r="BS1751" t="s">
        <v>22517</v>
      </c>
      <c r="BT1751" t="str">
        <f>HYPERLINK("https%3A%2F%2Fwww.webofscience.com%2Fwos%2Fwoscc%2Ffull-record%2FWOS:001086601600001","View Full Record in Web of Science")</f>
        <v>View Full Record in Web of Science</v>
      </c>
    </row>
    <row r="1752" spans="1:72" x14ac:dyDescent="0.25">
      <c r="A1752" t="s">
        <v>72</v>
      </c>
      <c r="B1752" t="s">
        <v>22516</v>
      </c>
      <c r="C1752" t="s">
        <v>74</v>
      </c>
      <c r="D1752" t="s">
        <v>74</v>
      </c>
      <c r="E1752" t="s">
        <v>74</v>
      </c>
      <c r="F1752" t="s">
        <v>22515</v>
      </c>
      <c r="G1752" t="s">
        <v>74</v>
      </c>
      <c r="H1752" t="s">
        <v>74</v>
      </c>
      <c r="I1752" t="s">
        <v>22514</v>
      </c>
      <c r="J1752" t="s">
        <v>1290</v>
      </c>
      <c r="K1752" t="s">
        <v>74</v>
      </c>
      <c r="L1752" t="s">
        <v>74</v>
      </c>
      <c r="M1752" t="s">
        <v>78</v>
      </c>
      <c r="N1752" t="s">
        <v>79</v>
      </c>
      <c r="O1752" t="s">
        <v>74</v>
      </c>
      <c r="P1752" t="s">
        <v>74</v>
      </c>
      <c r="Q1752" t="s">
        <v>74</v>
      </c>
      <c r="R1752" t="s">
        <v>74</v>
      </c>
      <c r="S1752" t="s">
        <v>74</v>
      </c>
      <c r="T1752" t="s">
        <v>22513</v>
      </c>
      <c r="U1752" t="s">
        <v>22512</v>
      </c>
      <c r="V1752" t="s">
        <v>22511</v>
      </c>
      <c r="W1752" t="s">
        <v>22510</v>
      </c>
      <c r="X1752" t="s">
        <v>22509</v>
      </c>
      <c r="Y1752" t="s">
        <v>22508</v>
      </c>
      <c r="Z1752" t="s">
        <v>22507</v>
      </c>
      <c r="AA1752" t="s">
        <v>22506</v>
      </c>
      <c r="AB1752" t="s">
        <v>22505</v>
      </c>
      <c r="AC1752" t="s">
        <v>74</v>
      </c>
      <c r="AD1752" t="s">
        <v>74</v>
      </c>
      <c r="AE1752" t="s">
        <v>74</v>
      </c>
      <c r="AF1752" t="s">
        <v>74</v>
      </c>
      <c r="AG1752">
        <v>54</v>
      </c>
      <c r="AH1752">
        <v>0</v>
      </c>
      <c r="AI1752">
        <v>0</v>
      </c>
      <c r="AJ1752">
        <v>4</v>
      </c>
      <c r="AK1752">
        <v>4</v>
      </c>
      <c r="AL1752" t="s">
        <v>575</v>
      </c>
      <c r="AM1752" t="s">
        <v>576</v>
      </c>
      <c r="AN1752" t="s">
        <v>577</v>
      </c>
      <c r="AO1752" t="s">
        <v>1299</v>
      </c>
      <c r="AP1752" t="s">
        <v>74</v>
      </c>
      <c r="AQ1752" t="s">
        <v>74</v>
      </c>
      <c r="AR1752" t="s">
        <v>1300</v>
      </c>
      <c r="AS1752" t="s">
        <v>1301</v>
      </c>
      <c r="AT1752" t="s">
        <v>13886</v>
      </c>
      <c r="AU1752">
        <v>2025</v>
      </c>
      <c r="AV1752">
        <v>13</v>
      </c>
      <c r="AW1752">
        <v>2</v>
      </c>
      <c r="AX1752" t="s">
        <v>74</v>
      </c>
      <c r="AY1752" t="s">
        <v>74</v>
      </c>
      <c r="AZ1752" t="s">
        <v>74</v>
      </c>
      <c r="BA1752" t="s">
        <v>74</v>
      </c>
      <c r="BB1752" t="s">
        <v>74</v>
      </c>
      <c r="BC1752" t="s">
        <v>74</v>
      </c>
      <c r="BD1752">
        <v>110</v>
      </c>
      <c r="BE1752" t="s">
        <v>22504</v>
      </c>
      <c r="BF1752" t="str">
        <f>HYPERLINK("http://dx.doi.org/10.3390/ijfs13020110","http://dx.doi.org/10.3390/ijfs13020110")</f>
        <v>http://dx.doi.org/10.3390/ijfs13020110</v>
      </c>
      <c r="BG1752" t="s">
        <v>74</v>
      </c>
      <c r="BH1752" t="s">
        <v>74</v>
      </c>
      <c r="BI1752">
        <v>23</v>
      </c>
      <c r="BJ1752" t="s">
        <v>268</v>
      </c>
      <c r="BK1752" t="s">
        <v>313</v>
      </c>
      <c r="BL1752" t="s">
        <v>100</v>
      </c>
      <c r="BM1752" t="s">
        <v>22503</v>
      </c>
      <c r="BN1752" t="s">
        <v>74</v>
      </c>
      <c r="BO1752" t="s">
        <v>212</v>
      </c>
      <c r="BP1752" t="s">
        <v>74</v>
      </c>
      <c r="BQ1752" t="s">
        <v>74</v>
      </c>
      <c r="BR1752" t="s">
        <v>102</v>
      </c>
      <c r="BS1752" t="s">
        <v>22502</v>
      </c>
      <c r="BT1752" t="str">
        <f>HYPERLINK("https%3A%2F%2Fwww.webofscience.com%2Fwos%2Fwoscc%2Ffull-record%2FWOS:001515875500001","View Full Record in Web of Science")</f>
        <v>View Full Record in Web of Science</v>
      </c>
    </row>
    <row r="1753" spans="1:72" x14ac:dyDescent="0.25">
      <c r="A1753" t="s">
        <v>132</v>
      </c>
      <c r="B1753" t="s">
        <v>22501</v>
      </c>
      <c r="C1753" t="s">
        <v>74</v>
      </c>
      <c r="D1753" t="s">
        <v>74</v>
      </c>
      <c r="E1753" t="s">
        <v>74</v>
      </c>
      <c r="F1753" t="s">
        <v>22500</v>
      </c>
      <c r="G1753" t="s">
        <v>74</v>
      </c>
      <c r="H1753" t="s">
        <v>74</v>
      </c>
      <c r="I1753" t="s">
        <v>22499</v>
      </c>
      <c r="J1753" t="s">
        <v>540</v>
      </c>
      <c r="K1753" t="s">
        <v>74</v>
      </c>
      <c r="L1753" t="s">
        <v>74</v>
      </c>
      <c r="M1753" t="s">
        <v>78</v>
      </c>
      <c r="N1753" t="s">
        <v>138</v>
      </c>
      <c r="O1753" t="s">
        <v>22498</v>
      </c>
      <c r="P1753" t="s">
        <v>22497</v>
      </c>
      <c r="Q1753" t="s">
        <v>22496</v>
      </c>
      <c r="R1753" t="s">
        <v>22495</v>
      </c>
      <c r="S1753" t="s">
        <v>22494</v>
      </c>
      <c r="T1753" t="s">
        <v>22493</v>
      </c>
      <c r="U1753" t="s">
        <v>22492</v>
      </c>
      <c r="V1753" t="s">
        <v>22491</v>
      </c>
      <c r="W1753" t="s">
        <v>22490</v>
      </c>
      <c r="X1753" t="s">
        <v>22489</v>
      </c>
      <c r="Y1753" t="s">
        <v>22488</v>
      </c>
      <c r="Z1753" t="s">
        <v>74</v>
      </c>
      <c r="AA1753" t="s">
        <v>22487</v>
      </c>
      <c r="AB1753" t="s">
        <v>74</v>
      </c>
      <c r="AC1753" t="s">
        <v>74</v>
      </c>
      <c r="AD1753" t="s">
        <v>74</v>
      </c>
      <c r="AE1753" t="s">
        <v>74</v>
      </c>
      <c r="AF1753" t="s">
        <v>74</v>
      </c>
      <c r="AG1753">
        <v>21</v>
      </c>
      <c r="AH1753">
        <v>0</v>
      </c>
      <c r="AI1753">
        <v>0</v>
      </c>
      <c r="AJ1753">
        <v>1</v>
      </c>
      <c r="AK1753">
        <v>7</v>
      </c>
      <c r="AL1753" t="s">
        <v>551</v>
      </c>
      <c r="AM1753" t="s">
        <v>552</v>
      </c>
      <c r="AN1753" t="s">
        <v>553</v>
      </c>
      <c r="AO1753" t="s">
        <v>554</v>
      </c>
      <c r="AP1753" t="s">
        <v>555</v>
      </c>
      <c r="AQ1753" t="s">
        <v>74</v>
      </c>
      <c r="AR1753" t="s">
        <v>556</v>
      </c>
      <c r="AS1753" t="s">
        <v>557</v>
      </c>
      <c r="AT1753" t="s">
        <v>1652</v>
      </c>
      <c r="AU1753">
        <v>2018</v>
      </c>
      <c r="AV1753">
        <v>24</v>
      </c>
      <c r="AW1753">
        <v>6</v>
      </c>
      <c r="AX1753" t="s">
        <v>74</v>
      </c>
      <c r="AY1753" t="s">
        <v>74</v>
      </c>
      <c r="AZ1753" t="s">
        <v>74</v>
      </c>
      <c r="BA1753" t="s">
        <v>74</v>
      </c>
      <c r="BB1753">
        <v>4629</v>
      </c>
      <c r="BC1753">
        <v>4635</v>
      </c>
      <c r="BD1753" t="s">
        <v>74</v>
      </c>
      <c r="BE1753" t="s">
        <v>22486</v>
      </c>
      <c r="BF1753" t="str">
        <f>HYPERLINK("http://dx.doi.org/10.1166/asl.2018.11670","http://dx.doi.org/10.1166/asl.2018.11670")</f>
        <v>http://dx.doi.org/10.1166/asl.2018.11670</v>
      </c>
      <c r="BG1753" t="s">
        <v>74</v>
      </c>
      <c r="BH1753" t="s">
        <v>74</v>
      </c>
      <c r="BI1753">
        <v>7</v>
      </c>
      <c r="BJ1753" t="s">
        <v>559</v>
      </c>
      <c r="BK1753" t="s">
        <v>156</v>
      </c>
      <c r="BL1753" t="s">
        <v>560</v>
      </c>
      <c r="BM1753" t="s">
        <v>22485</v>
      </c>
      <c r="BN1753" t="s">
        <v>74</v>
      </c>
      <c r="BO1753" t="s">
        <v>74</v>
      </c>
      <c r="BP1753" t="s">
        <v>74</v>
      </c>
      <c r="BQ1753" t="s">
        <v>74</v>
      </c>
      <c r="BR1753" t="s">
        <v>102</v>
      </c>
      <c r="BS1753" t="s">
        <v>22484</v>
      </c>
      <c r="BT1753" t="str">
        <f>HYPERLINK("https%3A%2F%2Fwww.webofscience.com%2Fwos%2Fwoscc%2Ffull-record%2FWOS:000444996500172","View Full Record in Web of Science")</f>
        <v>View Full Record in Web of Science</v>
      </c>
    </row>
    <row r="1754" spans="1:72" x14ac:dyDescent="0.25">
      <c r="A1754" t="s">
        <v>72</v>
      </c>
      <c r="B1754" t="s">
        <v>22483</v>
      </c>
      <c r="C1754" t="s">
        <v>74</v>
      </c>
      <c r="D1754" t="s">
        <v>74</v>
      </c>
      <c r="E1754" t="s">
        <v>74</v>
      </c>
      <c r="F1754" t="s">
        <v>22482</v>
      </c>
      <c r="G1754" t="s">
        <v>74</v>
      </c>
      <c r="H1754" t="s">
        <v>74</v>
      </c>
      <c r="I1754" t="s">
        <v>22481</v>
      </c>
      <c r="J1754" t="s">
        <v>22480</v>
      </c>
      <c r="K1754" t="s">
        <v>74</v>
      </c>
      <c r="L1754" t="s">
        <v>74</v>
      </c>
      <c r="M1754" t="s">
        <v>78</v>
      </c>
      <c r="N1754" t="s">
        <v>79</v>
      </c>
      <c r="O1754" t="s">
        <v>74</v>
      </c>
      <c r="P1754" t="s">
        <v>74</v>
      </c>
      <c r="Q1754" t="s">
        <v>74</v>
      </c>
      <c r="R1754" t="s">
        <v>74</v>
      </c>
      <c r="S1754" t="s">
        <v>74</v>
      </c>
      <c r="T1754" t="s">
        <v>22479</v>
      </c>
      <c r="U1754" t="s">
        <v>22478</v>
      </c>
      <c r="V1754" t="s">
        <v>22477</v>
      </c>
      <c r="W1754" t="s">
        <v>22476</v>
      </c>
      <c r="X1754" t="s">
        <v>22475</v>
      </c>
      <c r="Y1754" t="s">
        <v>22474</v>
      </c>
      <c r="Z1754" t="s">
        <v>22473</v>
      </c>
      <c r="AA1754" t="s">
        <v>74</v>
      </c>
      <c r="AB1754" t="s">
        <v>74</v>
      </c>
      <c r="AC1754" t="s">
        <v>74</v>
      </c>
      <c r="AD1754" t="s">
        <v>74</v>
      </c>
      <c r="AE1754" t="s">
        <v>74</v>
      </c>
      <c r="AF1754" t="s">
        <v>74</v>
      </c>
      <c r="AG1754">
        <v>46</v>
      </c>
      <c r="AH1754">
        <v>33</v>
      </c>
      <c r="AI1754">
        <v>36</v>
      </c>
      <c r="AJ1754">
        <v>0</v>
      </c>
      <c r="AK1754">
        <v>52</v>
      </c>
      <c r="AL1754" t="s">
        <v>332</v>
      </c>
      <c r="AM1754" t="s">
        <v>333</v>
      </c>
      <c r="AN1754" t="s">
        <v>334</v>
      </c>
      <c r="AO1754" t="s">
        <v>22472</v>
      </c>
      <c r="AP1754" t="s">
        <v>22471</v>
      </c>
      <c r="AQ1754" t="s">
        <v>74</v>
      </c>
      <c r="AR1754" t="s">
        <v>22470</v>
      </c>
      <c r="AS1754" t="s">
        <v>22469</v>
      </c>
      <c r="AT1754" t="s">
        <v>16524</v>
      </c>
      <c r="AU1754">
        <v>2021</v>
      </c>
      <c r="AV1754">
        <v>28</v>
      </c>
      <c r="AW1754">
        <v>2</v>
      </c>
      <c r="AX1754" t="s">
        <v>74</v>
      </c>
      <c r="AY1754" t="s">
        <v>74</v>
      </c>
      <c r="AZ1754" t="s">
        <v>74</v>
      </c>
      <c r="BA1754" t="s">
        <v>74</v>
      </c>
      <c r="BB1754">
        <v>136</v>
      </c>
      <c r="BC1754">
        <v>159</v>
      </c>
      <c r="BD1754" t="s">
        <v>74</v>
      </c>
      <c r="BE1754" t="s">
        <v>22468</v>
      </c>
      <c r="BF1754" t="str">
        <f>HYPERLINK("http://dx.doi.org/10.1080/13662716.2020.1774867","http://dx.doi.org/10.1080/13662716.2020.1774867")</f>
        <v>http://dx.doi.org/10.1080/13662716.2020.1774867</v>
      </c>
      <c r="BG1754" t="s">
        <v>74</v>
      </c>
      <c r="BH1754" t="s">
        <v>960</v>
      </c>
      <c r="BI1754">
        <v>24</v>
      </c>
      <c r="BJ1754" t="s">
        <v>5519</v>
      </c>
      <c r="BK1754" t="s">
        <v>99</v>
      </c>
      <c r="BL1754" t="s">
        <v>100</v>
      </c>
      <c r="BM1754" t="s">
        <v>22467</v>
      </c>
      <c r="BN1754" t="s">
        <v>74</v>
      </c>
      <c r="BO1754" t="s">
        <v>74</v>
      </c>
      <c r="BP1754" t="s">
        <v>74</v>
      </c>
      <c r="BQ1754" t="s">
        <v>74</v>
      </c>
      <c r="BR1754" t="s">
        <v>102</v>
      </c>
      <c r="BS1754" t="s">
        <v>22466</v>
      </c>
      <c r="BT1754" t="str">
        <f>HYPERLINK("https%3A%2F%2Fwww.webofscience.com%2Fwos%2Fwoscc%2Ffull-record%2FWOS:000544930800001","View Full Record in Web of Science")</f>
        <v>View Full Record in Web of Science</v>
      </c>
    </row>
    <row r="1755" spans="1:72" x14ac:dyDescent="0.25">
      <c r="A1755" t="s">
        <v>72</v>
      </c>
      <c r="B1755" t="s">
        <v>22465</v>
      </c>
      <c r="C1755" t="s">
        <v>74</v>
      </c>
      <c r="D1755" t="s">
        <v>74</v>
      </c>
      <c r="E1755" t="s">
        <v>74</v>
      </c>
      <c r="F1755" t="s">
        <v>22464</v>
      </c>
      <c r="G1755" t="s">
        <v>74</v>
      </c>
      <c r="H1755" t="s">
        <v>74</v>
      </c>
      <c r="I1755" t="s">
        <v>22463</v>
      </c>
      <c r="J1755" t="s">
        <v>7501</v>
      </c>
      <c r="K1755" t="s">
        <v>74</v>
      </c>
      <c r="L1755" t="s">
        <v>74</v>
      </c>
      <c r="M1755" t="s">
        <v>78</v>
      </c>
      <c r="N1755" t="s">
        <v>79</v>
      </c>
      <c r="O1755" t="s">
        <v>74</v>
      </c>
      <c r="P1755" t="s">
        <v>74</v>
      </c>
      <c r="Q1755" t="s">
        <v>74</v>
      </c>
      <c r="R1755" t="s">
        <v>74</v>
      </c>
      <c r="S1755" t="s">
        <v>74</v>
      </c>
      <c r="T1755" t="s">
        <v>22462</v>
      </c>
      <c r="U1755" t="s">
        <v>22461</v>
      </c>
      <c r="V1755" t="s">
        <v>22460</v>
      </c>
      <c r="W1755" t="s">
        <v>22459</v>
      </c>
      <c r="X1755" t="s">
        <v>22458</v>
      </c>
      <c r="Y1755" t="s">
        <v>22457</v>
      </c>
      <c r="Z1755" t="s">
        <v>22456</v>
      </c>
      <c r="AA1755" t="s">
        <v>22455</v>
      </c>
      <c r="AB1755" t="s">
        <v>74</v>
      </c>
      <c r="AC1755" t="s">
        <v>74</v>
      </c>
      <c r="AD1755" t="s">
        <v>74</v>
      </c>
      <c r="AE1755" t="s">
        <v>74</v>
      </c>
      <c r="AF1755" t="s">
        <v>74</v>
      </c>
      <c r="AG1755">
        <v>32</v>
      </c>
      <c r="AH1755">
        <v>1</v>
      </c>
      <c r="AI1755">
        <v>2</v>
      </c>
      <c r="AJ1755">
        <v>0</v>
      </c>
      <c r="AK1755">
        <v>9</v>
      </c>
      <c r="AL1755" t="s">
        <v>7513</v>
      </c>
      <c r="AM1755" t="s">
        <v>7514</v>
      </c>
      <c r="AN1755" t="s">
        <v>7515</v>
      </c>
      <c r="AO1755" t="s">
        <v>7516</v>
      </c>
      <c r="AP1755" t="s">
        <v>7517</v>
      </c>
      <c r="AQ1755" t="s">
        <v>74</v>
      </c>
      <c r="AR1755" t="s">
        <v>7518</v>
      </c>
      <c r="AS1755" t="s">
        <v>7519</v>
      </c>
      <c r="AT1755" t="s">
        <v>74</v>
      </c>
      <c r="AU1755">
        <v>2019</v>
      </c>
      <c r="AV1755">
        <v>10</v>
      </c>
      <c r="AW1755">
        <v>15</v>
      </c>
      <c r="AX1755" t="s">
        <v>74</v>
      </c>
      <c r="AY1755" t="s">
        <v>74</v>
      </c>
      <c r="AZ1755" t="s">
        <v>74</v>
      </c>
      <c r="BA1755" t="s">
        <v>74</v>
      </c>
      <c r="BB1755" t="s">
        <v>74</v>
      </c>
      <c r="BC1755" t="s">
        <v>74</v>
      </c>
      <c r="BD1755" t="s">
        <v>22454</v>
      </c>
      <c r="BE1755" t="s">
        <v>22453</v>
      </c>
      <c r="BF1755" t="str">
        <f>HYPERLINK("http://dx.doi.org/10.14456/ITJEMAST.2019.200","http://dx.doi.org/10.14456/ITJEMAST.2019.200")</f>
        <v>http://dx.doi.org/10.14456/ITJEMAST.2019.200</v>
      </c>
      <c r="BG1755" t="s">
        <v>74</v>
      </c>
      <c r="BH1755" t="s">
        <v>74</v>
      </c>
      <c r="BI1755">
        <v>11</v>
      </c>
      <c r="BJ1755" t="s">
        <v>559</v>
      </c>
      <c r="BK1755" t="s">
        <v>313</v>
      </c>
      <c r="BL1755" t="s">
        <v>560</v>
      </c>
      <c r="BM1755" t="s">
        <v>22452</v>
      </c>
      <c r="BN1755" t="s">
        <v>74</v>
      </c>
      <c r="BO1755" t="s">
        <v>74</v>
      </c>
      <c r="BP1755" t="s">
        <v>74</v>
      </c>
      <c r="BQ1755" t="s">
        <v>74</v>
      </c>
      <c r="BR1755" t="s">
        <v>102</v>
      </c>
      <c r="BS1755" t="s">
        <v>22451</v>
      </c>
      <c r="BT1755" t="str">
        <f>HYPERLINK("https%3A%2F%2Fwww.webofscience.com%2Fwos%2Fwoscc%2Ffull-record%2FWOS:000494643500006","View Full Record in Web of Science")</f>
        <v>View Full Record in Web of Science</v>
      </c>
    </row>
    <row r="1756" spans="1:72" x14ac:dyDescent="0.25">
      <c r="A1756" t="s">
        <v>72</v>
      </c>
      <c r="B1756" t="s">
        <v>22450</v>
      </c>
      <c r="C1756" t="s">
        <v>74</v>
      </c>
      <c r="D1756" t="s">
        <v>74</v>
      </c>
      <c r="E1756" t="s">
        <v>74</v>
      </c>
      <c r="F1756" t="s">
        <v>22449</v>
      </c>
      <c r="G1756" t="s">
        <v>74</v>
      </c>
      <c r="H1756" t="s">
        <v>74</v>
      </c>
      <c r="I1756" t="s">
        <v>22448</v>
      </c>
      <c r="J1756" t="s">
        <v>12549</v>
      </c>
      <c r="K1756" t="s">
        <v>74</v>
      </c>
      <c r="L1756" t="s">
        <v>74</v>
      </c>
      <c r="M1756" t="s">
        <v>78</v>
      </c>
      <c r="N1756" t="s">
        <v>79</v>
      </c>
      <c r="O1756" t="s">
        <v>74</v>
      </c>
      <c r="P1756" t="s">
        <v>74</v>
      </c>
      <c r="Q1756" t="s">
        <v>74</v>
      </c>
      <c r="R1756" t="s">
        <v>74</v>
      </c>
      <c r="S1756" t="s">
        <v>74</v>
      </c>
      <c r="T1756" t="s">
        <v>22447</v>
      </c>
      <c r="U1756" t="s">
        <v>74</v>
      </c>
      <c r="V1756" t="s">
        <v>22446</v>
      </c>
      <c r="W1756" t="s">
        <v>22445</v>
      </c>
      <c r="X1756" t="s">
        <v>22444</v>
      </c>
      <c r="Y1756" t="s">
        <v>22443</v>
      </c>
      <c r="Z1756" t="s">
        <v>22442</v>
      </c>
      <c r="AA1756" t="s">
        <v>22441</v>
      </c>
      <c r="AB1756" t="s">
        <v>22440</v>
      </c>
      <c r="AC1756" t="s">
        <v>74</v>
      </c>
      <c r="AD1756" t="s">
        <v>74</v>
      </c>
      <c r="AE1756" t="s">
        <v>74</v>
      </c>
      <c r="AF1756" t="s">
        <v>74</v>
      </c>
      <c r="AG1756">
        <v>18</v>
      </c>
      <c r="AH1756">
        <v>12</v>
      </c>
      <c r="AI1756">
        <v>17</v>
      </c>
      <c r="AJ1756">
        <v>0</v>
      </c>
      <c r="AK1756">
        <v>31</v>
      </c>
      <c r="AL1756" t="s">
        <v>575</v>
      </c>
      <c r="AM1756" t="s">
        <v>576</v>
      </c>
      <c r="AN1756" t="s">
        <v>577</v>
      </c>
      <c r="AO1756" t="s">
        <v>12562</v>
      </c>
      <c r="AP1756" t="s">
        <v>12563</v>
      </c>
      <c r="AQ1756" t="s">
        <v>74</v>
      </c>
      <c r="AR1756" t="s">
        <v>12564</v>
      </c>
      <c r="AS1756" t="s">
        <v>12565</v>
      </c>
      <c r="AT1756" t="s">
        <v>289</v>
      </c>
      <c r="AU1756">
        <v>2020</v>
      </c>
      <c r="AV1756">
        <v>13</v>
      </c>
      <c r="AW1756">
        <v>8</v>
      </c>
      <c r="AX1756" t="s">
        <v>74</v>
      </c>
      <c r="AY1756" t="s">
        <v>74</v>
      </c>
      <c r="AZ1756" t="s">
        <v>74</v>
      </c>
      <c r="BA1756" t="s">
        <v>74</v>
      </c>
      <c r="BB1756" t="s">
        <v>74</v>
      </c>
      <c r="BC1756" t="s">
        <v>74</v>
      </c>
      <c r="BD1756">
        <v>180</v>
      </c>
      <c r="BE1756" t="s">
        <v>22439</v>
      </c>
      <c r="BF1756" t="str">
        <f>HYPERLINK("http://dx.doi.org/10.3390/jrfm13080180","http://dx.doi.org/10.3390/jrfm13080180")</f>
        <v>http://dx.doi.org/10.3390/jrfm13080180</v>
      </c>
      <c r="BG1756" t="s">
        <v>74</v>
      </c>
      <c r="BH1756" t="s">
        <v>74</v>
      </c>
      <c r="BI1756">
        <v>11</v>
      </c>
      <c r="BJ1756" t="s">
        <v>268</v>
      </c>
      <c r="BK1756" t="s">
        <v>313</v>
      </c>
      <c r="BL1756" t="s">
        <v>100</v>
      </c>
      <c r="BM1756" t="s">
        <v>22438</v>
      </c>
      <c r="BN1756" t="s">
        <v>74</v>
      </c>
      <c r="BO1756" t="s">
        <v>466</v>
      </c>
      <c r="BP1756" t="s">
        <v>74</v>
      </c>
      <c r="BQ1756" t="s">
        <v>74</v>
      </c>
      <c r="BR1756" t="s">
        <v>102</v>
      </c>
      <c r="BS1756" t="s">
        <v>22437</v>
      </c>
      <c r="BT1756" t="str">
        <f>HYPERLINK("https%3A%2F%2Fwww.webofscience.com%2Fwos%2Fwoscc%2Ffull-record%2FWOS:000578888400001","View Full Record in Web of Science")</f>
        <v>View Full Record in Web of Science</v>
      </c>
    </row>
    <row r="1757" spans="1:72" x14ac:dyDescent="0.25">
      <c r="A1757" t="s">
        <v>72</v>
      </c>
      <c r="B1757" t="s">
        <v>22436</v>
      </c>
      <c r="C1757" t="s">
        <v>74</v>
      </c>
      <c r="D1757" t="s">
        <v>74</v>
      </c>
      <c r="E1757" t="s">
        <v>74</v>
      </c>
      <c r="F1757" t="s">
        <v>22435</v>
      </c>
      <c r="G1757" t="s">
        <v>74</v>
      </c>
      <c r="H1757" t="s">
        <v>74</v>
      </c>
      <c r="I1757" t="s">
        <v>22434</v>
      </c>
      <c r="J1757" t="s">
        <v>9896</v>
      </c>
      <c r="K1757" t="s">
        <v>74</v>
      </c>
      <c r="L1757" t="s">
        <v>74</v>
      </c>
      <c r="M1757" t="s">
        <v>78</v>
      </c>
      <c r="N1757" t="s">
        <v>79</v>
      </c>
      <c r="O1757" t="s">
        <v>74</v>
      </c>
      <c r="P1757" t="s">
        <v>74</v>
      </c>
      <c r="Q1757" t="s">
        <v>74</v>
      </c>
      <c r="R1757" t="s">
        <v>74</v>
      </c>
      <c r="S1757" t="s">
        <v>74</v>
      </c>
      <c r="T1757" t="s">
        <v>22433</v>
      </c>
      <c r="U1757" t="s">
        <v>22432</v>
      </c>
      <c r="V1757" t="s">
        <v>22431</v>
      </c>
      <c r="W1757" t="s">
        <v>22430</v>
      </c>
      <c r="X1757" t="s">
        <v>22429</v>
      </c>
      <c r="Y1757" t="s">
        <v>22428</v>
      </c>
      <c r="Z1757" t="s">
        <v>22427</v>
      </c>
      <c r="AA1757" t="s">
        <v>22426</v>
      </c>
      <c r="AB1757" t="s">
        <v>22425</v>
      </c>
      <c r="AC1757" t="s">
        <v>74</v>
      </c>
      <c r="AD1757" t="s">
        <v>74</v>
      </c>
      <c r="AE1757" t="s">
        <v>74</v>
      </c>
      <c r="AF1757" t="s">
        <v>74</v>
      </c>
      <c r="AG1757">
        <v>33</v>
      </c>
      <c r="AH1757">
        <v>8</v>
      </c>
      <c r="AI1757">
        <v>10</v>
      </c>
      <c r="AJ1757">
        <v>0</v>
      </c>
      <c r="AK1757">
        <v>25</v>
      </c>
      <c r="AL1757" t="s">
        <v>89</v>
      </c>
      <c r="AM1757" t="s">
        <v>1497</v>
      </c>
      <c r="AN1757" t="s">
        <v>1498</v>
      </c>
      <c r="AO1757" t="s">
        <v>9905</v>
      </c>
      <c r="AP1757" t="s">
        <v>9906</v>
      </c>
      <c r="AQ1757" t="s">
        <v>74</v>
      </c>
      <c r="AR1757" t="s">
        <v>9907</v>
      </c>
      <c r="AS1757" t="s">
        <v>9908</v>
      </c>
      <c r="AT1757" t="s">
        <v>22424</v>
      </c>
      <c r="AU1757">
        <v>2019</v>
      </c>
      <c r="AV1757">
        <v>79</v>
      </c>
      <c r="AW1757">
        <v>1</v>
      </c>
      <c r="AX1757" t="s">
        <v>74</v>
      </c>
      <c r="AY1757" t="s">
        <v>74</v>
      </c>
      <c r="AZ1757" t="s">
        <v>74</v>
      </c>
      <c r="BA1757" t="s">
        <v>74</v>
      </c>
      <c r="BB1757">
        <v>48</v>
      </c>
      <c r="BC1757">
        <v>59</v>
      </c>
      <c r="BD1757" t="s">
        <v>74</v>
      </c>
      <c r="BE1757" t="s">
        <v>22423</v>
      </c>
      <c r="BF1757" t="str">
        <f>HYPERLINK("http://dx.doi.org/10.1108/AFR-12-2017-0111","http://dx.doi.org/10.1108/AFR-12-2017-0111")</f>
        <v>http://dx.doi.org/10.1108/AFR-12-2017-0111</v>
      </c>
      <c r="BG1757" t="s">
        <v>74</v>
      </c>
      <c r="BH1757" t="s">
        <v>74</v>
      </c>
      <c r="BI1757">
        <v>12</v>
      </c>
      <c r="BJ1757" t="s">
        <v>5151</v>
      </c>
      <c r="BK1757" t="s">
        <v>313</v>
      </c>
      <c r="BL1757" t="s">
        <v>5152</v>
      </c>
      <c r="BM1757" t="s">
        <v>22422</v>
      </c>
      <c r="BN1757" t="s">
        <v>74</v>
      </c>
      <c r="BO1757" t="s">
        <v>74</v>
      </c>
      <c r="BP1757" t="s">
        <v>74</v>
      </c>
      <c r="BQ1757" t="s">
        <v>74</v>
      </c>
      <c r="BR1757" t="s">
        <v>102</v>
      </c>
      <c r="BS1757" t="s">
        <v>22421</v>
      </c>
      <c r="BT1757" t="str">
        <f>HYPERLINK("https%3A%2F%2Fwww.webofscience.com%2Fwos%2Fwoscc%2Ffull-record%2FWOS:000455818900003","View Full Record in Web of Science")</f>
        <v>View Full Record in Web of Science</v>
      </c>
    </row>
    <row r="1758" spans="1:72" x14ac:dyDescent="0.25">
      <c r="A1758" t="s">
        <v>72</v>
      </c>
      <c r="B1758" t="s">
        <v>22420</v>
      </c>
      <c r="C1758" t="s">
        <v>74</v>
      </c>
      <c r="D1758" t="s">
        <v>74</v>
      </c>
      <c r="E1758" t="s">
        <v>74</v>
      </c>
      <c r="F1758" t="s">
        <v>22419</v>
      </c>
      <c r="G1758" t="s">
        <v>74</v>
      </c>
      <c r="H1758" t="s">
        <v>74</v>
      </c>
      <c r="I1758" t="s">
        <v>22418</v>
      </c>
      <c r="J1758" t="s">
        <v>22417</v>
      </c>
      <c r="K1758" t="s">
        <v>74</v>
      </c>
      <c r="L1758" t="s">
        <v>74</v>
      </c>
      <c r="M1758" t="s">
        <v>78</v>
      </c>
      <c r="N1758" t="s">
        <v>79</v>
      </c>
      <c r="O1758" t="s">
        <v>74</v>
      </c>
      <c r="P1758" t="s">
        <v>74</v>
      </c>
      <c r="Q1758" t="s">
        <v>74</v>
      </c>
      <c r="R1758" t="s">
        <v>74</v>
      </c>
      <c r="S1758" t="s">
        <v>74</v>
      </c>
      <c r="T1758" t="s">
        <v>22416</v>
      </c>
      <c r="U1758" t="s">
        <v>74</v>
      </c>
      <c r="V1758" t="s">
        <v>22415</v>
      </c>
      <c r="W1758" t="s">
        <v>22414</v>
      </c>
      <c r="X1758" t="s">
        <v>22413</v>
      </c>
      <c r="Y1758" t="s">
        <v>22412</v>
      </c>
      <c r="Z1758" t="s">
        <v>22411</v>
      </c>
      <c r="AA1758" t="s">
        <v>22410</v>
      </c>
      <c r="AB1758" t="s">
        <v>22409</v>
      </c>
      <c r="AC1758" t="s">
        <v>22408</v>
      </c>
      <c r="AD1758" t="s">
        <v>22407</v>
      </c>
      <c r="AE1758" t="s">
        <v>22406</v>
      </c>
      <c r="AF1758" t="s">
        <v>74</v>
      </c>
      <c r="AG1758">
        <v>19</v>
      </c>
      <c r="AH1758">
        <v>1</v>
      </c>
      <c r="AI1758">
        <v>2</v>
      </c>
      <c r="AJ1758">
        <v>0</v>
      </c>
      <c r="AK1758">
        <v>6</v>
      </c>
      <c r="AL1758" t="s">
        <v>22405</v>
      </c>
      <c r="AM1758" t="s">
        <v>12848</v>
      </c>
      <c r="AN1758" t="s">
        <v>22404</v>
      </c>
      <c r="AO1758" t="s">
        <v>22403</v>
      </c>
      <c r="AP1758" t="s">
        <v>22402</v>
      </c>
      <c r="AQ1758" t="s">
        <v>74</v>
      </c>
      <c r="AR1758" t="s">
        <v>22401</v>
      </c>
      <c r="AS1758" t="s">
        <v>22400</v>
      </c>
      <c r="AT1758" t="s">
        <v>289</v>
      </c>
      <c r="AU1758">
        <v>2020</v>
      </c>
      <c r="AV1758">
        <v>8</v>
      </c>
      <c r="AW1758" t="s">
        <v>74</v>
      </c>
      <c r="AX1758" t="s">
        <v>74</v>
      </c>
      <c r="AY1758" t="s">
        <v>74</v>
      </c>
      <c r="AZ1758" t="s">
        <v>441</v>
      </c>
      <c r="BA1758" t="s">
        <v>74</v>
      </c>
      <c r="BB1758" t="s">
        <v>74</v>
      </c>
      <c r="BC1758" t="s">
        <v>74</v>
      </c>
      <c r="BD1758" t="s">
        <v>22399</v>
      </c>
      <c r="BE1758" t="s">
        <v>22398</v>
      </c>
      <c r="BF1758" t="str">
        <f>HYPERLINK("http://dx.doi.org/10.20511/pyr2020.v8nSPE2.670","http://dx.doi.org/10.20511/pyr2020.v8nSPE2.670")</f>
        <v>http://dx.doi.org/10.20511/pyr2020.v8nSPE2.670</v>
      </c>
      <c r="BG1758" t="s">
        <v>74</v>
      </c>
      <c r="BH1758" t="s">
        <v>74</v>
      </c>
      <c r="BI1758">
        <v>11</v>
      </c>
      <c r="BJ1758" t="s">
        <v>22397</v>
      </c>
      <c r="BK1758" t="s">
        <v>313</v>
      </c>
      <c r="BL1758" t="s">
        <v>2993</v>
      </c>
      <c r="BM1758" t="s">
        <v>22396</v>
      </c>
      <c r="BN1758" t="s">
        <v>74</v>
      </c>
      <c r="BO1758" t="s">
        <v>916</v>
      </c>
      <c r="BP1758" t="s">
        <v>74</v>
      </c>
      <c r="BQ1758" t="s">
        <v>74</v>
      </c>
      <c r="BR1758" t="s">
        <v>102</v>
      </c>
      <c r="BS1758" t="s">
        <v>22395</v>
      </c>
      <c r="BT1758" t="str">
        <f>HYPERLINK("https%3A%2F%2Fwww.webofscience.com%2Fwos%2Fwoscc%2Ffull-record%2FWOS:000563780700015","View Full Record in Web of Science")</f>
        <v>View Full Record in Web of Science</v>
      </c>
    </row>
    <row r="1759" spans="1:72" x14ac:dyDescent="0.25">
      <c r="A1759" t="s">
        <v>72</v>
      </c>
      <c r="B1759" t="s">
        <v>22394</v>
      </c>
      <c r="C1759" t="s">
        <v>74</v>
      </c>
      <c r="D1759" t="s">
        <v>74</v>
      </c>
      <c r="E1759" t="s">
        <v>74</v>
      </c>
      <c r="F1759" t="s">
        <v>22393</v>
      </c>
      <c r="G1759" t="s">
        <v>74</v>
      </c>
      <c r="H1759" t="s">
        <v>74</v>
      </c>
      <c r="I1759" t="s">
        <v>22392</v>
      </c>
      <c r="J1759" t="s">
        <v>22391</v>
      </c>
      <c r="K1759" t="s">
        <v>74</v>
      </c>
      <c r="L1759" t="s">
        <v>74</v>
      </c>
      <c r="M1759" t="s">
        <v>78</v>
      </c>
      <c r="N1759" t="s">
        <v>79</v>
      </c>
      <c r="O1759" t="s">
        <v>74</v>
      </c>
      <c r="P1759" t="s">
        <v>74</v>
      </c>
      <c r="Q1759" t="s">
        <v>74</v>
      </c>
      <c r="R1759" t="s">
        <v>74</v>
      </c>
      <c r="S1759" t="s">
        <v>74</v>
      </c>
      <c r="T1759" t="s">
        <v>22390</v>
      </c>
      <c r="U1759" t="s">
        <v>74</v>
      </c>
      <c r="V1759" t="s">
        <v>22389</v>
      </c>
      <c r="W1759" t="s">
        <v>22388</v>
      </c>
      <c r="X1759" t="s">
        <v>22387</v>
      </c>
      <c r="Y1759" t="s">
        <v>22386</v>
      </c>
      <c r="Z1759" t="s">
        <v>22385</v>
      </c>
      <c r="AA1759" t="s">
        <v>22384</v>
      </c>
      <c r="AB1759" t="s">
        <v>74</v>
      </c>
      <c r="AC1759" t="s">
        <v>74</v>
      </c>
      <c r="AD1759" t="s">
        <v>74</v>
      </c>
      <c r="AE1759" t="s">
        <v>74</v>
      </c>
      <c r="AF1759" t="s">
        <v>74</v>
      </c>
      <c r="AG1759">
        <v>23</v>
      </c>
      <c r="AH1759">
        <v>1</v>
      </c>
      <c r="AI1759">
        <v>1</v>
      </c>
      <c r="AJ1759">
        <v>0</v>
      </c>
      <c r="AK1759">
        <v>8</v>
      </c>
      <c r="AL1759" t="s">
        <v>22383</v>
      </c>
      <c r="AM1759" t="s">
        <v>22382</v>
      </c>
      <c r="AN1759" t="s">
        <v>22381</v>
      </c>
      <c r="AO1759" t="s">
        <v>22380</v>
      </c>
      <c r="AP1759" t="s">
        <v>22379</v>
      </c>
      <c r="AQ1759" t="s">
        <v>74</v>
      </c>
      <c r="AR1759" t="s">
        <v>22378</v>
      </c>
      <c r="AS1759" t="s">
        <v>22377</v>
      </c>
      <c r="AT1759" t="s">
        <v>74</v>
      </c>
      <c r="AU1759">
        <v>2020</v>
      </c>
      <c r="AV1759" t="s">
        <v>74</v>
      </c>
      <c r="AW1759">
        <v>14</v>
      </c>
      <c r="AX1759" t="s">
        <v>74</v>
      </c>
      <c r="AY1759" t="s">
        <v>74</v>
      </c>
      <c r="AZ1759" t="s">
        <v>74</v>
      </c>
      <c r="BA1759" t="s">
        <v>74</v>
      </c>
      <c r="BB1759">
        <v>125</v>
      </c>
      <c r="BC1759">
        <v>136</v>
      </c>
      <c r="BD1759" t="s">
        <v>74</v>
      </c>
      <c r="BE1759" t="s">
        <v>22376</v>
      </c>
      <c r="BF1759" t="str">
        <f>HYPERLINK("http://dx.doi.org/10.5755/j01.eis.1.14.26318","http://dx.doi.org/10.5755/j01.eis.1.14.26318")</f>
        <v>http://dx.doi.org/10.5755/j01.eis.1.14.26318</v>
      </c>
      <c r="BG1759" t="s">
        <v>74</v>
      </c>
      <c r="BH1759" t="s">
        <v>74</v>
      </c>
      <c r="BI1759">
        <v>12</v>
      </c>
      <c r="BJ1759" t="s">
        <v>1674</v>
      </c>
      <c r="BK1759" t="s">
        <v>313</v>
      </c>
      <c r="BL1759" t="s">
        <v>1674</v>
      </c>
      <c r="BM1759" t="s">
        <v>22375</v>
      </c>
      <c r="BN1759" t="s">
        <v>74</v>
      </c>
      <c r="BO1759" t="s">
        <v>212</v>
      </c>
      <c r="BP1759" t="s">
        <v>74</v>
      </c>
      <c r="BQ1759" t="s">
        <v>74</v>
      </c>
      <c r="BR1759" t="s">
        <v>102</v>
      </c>
      <c r="BS1759" t="s">
        <v>22374</v>
      </c>
      <c r="BT1759" t="str">
        <f>HYPERLINK("https%3A%2F%2Fwww.webofscience.com%2Fwos%2Fwoscc%2Ffull-record%2FWOS:000593413900010","View Full Record in Web of Science")</f>
        <v>View Full Record in Web of Science</v>
      </c>
    </row>
    <row r="1760" spans="1:72" x14ac:dyDescent="0.25">
      <c r="A1760" t="s">
        <v>72</v>
      </c>
      <c r="B1760" t="s">
        <v>22373</v>
      </c>
      <c r="C1760" t="s">
        <v>74</v>
      </c>
      <c r="D1760" t="s">
        <v>74</v>
      </c>
      <c r="E1760" t="s">
        <v>74</v>
      </c>
      <c r="F1760" t="s">
        <v>22372</v>
      </c>
      <c r="G1760" t="s">
        <v>74</v>
      </c>
      <c r="H1760" t="s">
        <v>74</v>
      </c>
      <c r="I1760" t="s">
        <v>22371</v>
      </c>
      <c r="J1760" t="s">
        <v>12427</v>
      </c>
      <c r="K1760" t="s">
        <v>74</v>
      </c>
      <c r="L1760" t="s">
        <v>74</v>
      </c>
      <c r="M1760" t="s">
        <v>78</v>
      </c>
      <c r="N1760" t="s">
        <v>79</v>
      </c>
      <c r="O1760" t="s">
        <v>74</v>
      </c>
      <c r="P1760" t="s">
        <v>74</v>
      </c>
      <c r="Q1760" t="s">
        <v>74</v>
      </c>
      <c r="R1760" t="s">
        <v>74</v>
      </c>
      <c r="S1760" t="s">
        <v>74</v>
      </c>
      <c r="T1760" t="s">
        <v>22370</v>
      </c>
      <c r="U1760" t="s">
        <v>22369</v>
      </c>
      <c r="V1760" t="s">
        <v>22368</v>
      </c>
      <c r="W1760" t="s">
        <v>22367</v>
      </c>
      <c r="X1760" t="s">
        <v>22366</v>
      </c>
      <c r="Y1760" t="s">
        <v>22365</v>
      </c>
      <c r="Z1760" t="s">
        <v>22364</v>
      </c>
      <c r="AA1760" t="s">
        <v>22363</v>
      </c>
      <c r="AB1760" t="s">
        <v>22362</v>
      </c>
      <c r="AC1760" t="s">
        <v>74</v>
      </c>
      <c r="AD1760" t="s">
        <v>74</v>
      </c>
      <c r="AE1760" t="s">
        <v>74</v>
      </c>
      <c r="AF1760" t="s">
        <v>74</v>
      </c>
      <c r="AG1760">
        <v>127</v>
      </c>
      <c r="AH1760">
        <v>3</v>
      </c>
      <c r="AI1760">
        <v>7</v>
      </c>
      <c r="AJ1760">
        <v>2</v>
      </c>
      <c r="AK1760">
        <v>13</v>
      </c>
      <c r="AL1760" t="s">
        <v>201</v>
      </c>
      <c r="AM1760" t="s">
        <v>202</v>
      </c>
      <c r="AN1760" t="s">
        <v>203</v>
      </c>
      <c r="AO1760" t="s">
        <v>74</v>
      </c>
      <c r="AP1760" t="s">
        <v>12435</v>
      </c>
      <c r="AQ1760" t="s">
        <v>74</v>
      </c>
      <c r="AR1760" t="s">
        <v>12436</v>
      </c>
      <c r="AS1760" t="s">
        <v>12437</v>
      </c>
      <c r="AT1760" t="s">
        <v>124</v>
      </c>
      <c r="AU1760">
        <v>2024</v>
      </c>
      <c r="AV1760">
        <v>4</v>
      </c>
      <c r="AW1760">
        <v>2</v>
      </c>
      <c r="AX1760" t="s">
        <v>74</v>
      </c>
      <c r="AY1760" t="s">
        <v>74</v>
      </c>
      <c r="AZ1760" t="s">
        <v>74</v>
      </c>
      <c r="BA1760" t="s">
        <v>74</v>
      </c>
      <c r="BB1760" t="s">
        <v>74</v>
      </c>
      <c r="BC1760" t="s">
        <v>74</v>
      </c>
      <c r="BD1760">
        <v>100092</v>
      </c>
      <c r="BE1760" t="s">
        <v>22361</v>
      </c>
      <c r="BF1760" t="str">
        <f>HYPERLINK("http://dx.doi.org/10.1016/j.digbus.2024.100092","http://dx.doi.org/10.1016/j.digbus.2024.100092")</f>
        <v>http://dx.doi.org/10.1016/j.digbus.2024.100092</v>
      </c>
      <c r="BG1760" t="s">
        <v>74</v>
      </c>
      <c r="BH1760" t="s">
        <v>1136</v>
      </c>
      <c r="BI1760">
        <v>22</v>
      </c>
      <c r="BJ1760" t="s">
        <v>98</v>
      </c>
      <c r="BK1760" t="s">
        <v>313</v>
      </c>
      <c r="BL1760" t="s">
        <v>100</v>
      </c>
      <c r="BM1760" t="s">
        <v>22360</v>
      </c>
      <c r="BN1760" t="s">
        <v>74</v>
      </c>
      <c r="BO1760" t="s">
        <v>212</v>
      </c>
      <c r="BP1760" t="s">
        <v>74</v>
      </c>
      <c r="BQ1760" t="s">
        <v>74</v>
      </c>
      <c r="BR1760" t="s">
        <v>102</v>
      </c>
      <c r="BS1760" t="s">
        <v>22359</v>
      </c>
      <c r="BT1760" t="str">
        <f>HYPERLINK("https%3A%2F%2Fwww.webofscience.com%2Fwos%2Fwoscc%2Ffull-record%2FWOS:001349089100001","View Full Record in Web of Science")</f>
        <v>View Full Record in Web of Science</v>
      </c>
    </row>
    <row r="1761" spans="1:72" x14ac:dyDescent="0.25">
      <c r="A1761" t="s">
        <v>72</v>
      </c>
      <c r="B1761" t="s">
        <v>22358</v>
      </c>
      <c r="C1761" t="s">
        <v>74</v>
      </c>
      <c r="D1761" t="s">
        <v>74</v>
      </c>
      <c r="E1761" t="s">
        <v>74</v>
      </c>
      <c r="F1761" t="s">
        <v>22357</v>
      </c>
      <c r="G1761" t="s">
        <v>74</v>
      </c>
      <c r="H1761" t="s">
        <v>74</v>
      </c>
      <c r="I1761" t="s">
        <v>22356</v>
      </c>
      <c r="J1761" t="s">
        <v>22355</v>
      </c>
      <c r="K1761" t="s">
        <v>74</v>
      </c>
      <c r="L1761" t="s">
        <v>74</v>
      </c>
      <c r="M1761" t="s">
        <v>78</v>
      </c>
      <c r="N1761" t="s">
        <v>79</v>
      </c>
      <c r="O1761" t="s">
        <v>74</v>
      </c>
      <c r="P1761" t="s">
        <v>74</v>
      </c>
      <c r="Q1761" t="s">
        <v>74</v>
      </c>
      <c r="R1761" t="s">
        <v>74</v>
      </c>
      <c r="S1761" t="s">
        <v>74</v>
      </c>
      <c r="T1761" t="s">
        <v>22354</v>
      </c>
      <c r="U1761" t="s">
        <v>22353</v>
      </c>
      <c r="V1761" t="s">
        <v>22352</v>
      </c>
      <c r="W1761" t="s">
        <v>22351</v>
      </c>
      <c r="X1761" t="s">
        <v>22350</v>
      </c>
      <c r="Y1761" t="s">
        <v>22349</v>
      </c>
      <c r="Z1761" t="s">
        <v>22348</v>
      </c>
      <c r="AA1761" t="s">
        <v>22347</v>
      </c>
      <c r="AB1761" t="s">
        <v>22346</v>
      </c>
      <c r="AC1761" t="s">
        <v>74</v>
      </c>
      <c r="AD1761" t="s">
        <v>74</v>
      </c>
      <c r="AE1761" t="s">
        <v>74</v>
      </c>
      <c r="AF1761" t="s">
        <v>74</v>
      </c>
      <c r="AG1761">
        <v>77</v>
      </c>
      <c r="AH1761">
        <v>44</v>
      </c>
      <c r="AI1761">
        <v>54</v>
      </c>
      <c r="AJ1761">
        <v>2</v>
      </c>
      <c r="AK1761">
        <v>45</v>
      </c>
      <c r="AL1761" t="s">
        <v>385</v>
      </c>
      <c r="AM1761" t="s">
        <v>1153</v>
      </c>
      <c r="AN1761" t="s">
        <v>1154</v>
      </c>
      <c r="AO1761" t="s">
        <v>22345</v>
      </c>
      <c r="AP1761" t="s">
        <v>22344</v>
      </c>
      <c r="AQ1761" t="s">
        <v>74</v>
      </c>
      <c r="AR1761" t="s">
        <v>22343</v>
      </c>
      <c r="AS1761" t="s">
        <v>22342</v>
      </c>
      <c r="AT1761" t="s">
        <v>605</v>
      </c>
      <c r="AU1761">
        <v>2020</v>
      </c>
      <c r="AV1761">
        <v>162</v>
      </c>
      <c r="AW1761">
        <v>3</v>
      </c>
      <c r="AX1761" t="s">
        <v>74</v>
      </c>
      <c r="AY1761" t="s">
        <v>74</v>
      </c>
      <c r="AZ1761" t="s">
        <v>74</v>
      </c>
      <c r="BA1761" t="s">
        <v>74</v>
      </c>
      <c r="BB1761">
        <v>627</v>
      </c>
      <c r="BC1761">
        <v>644</v>
      </c>
      <c r="BD1761" t="s">
        <v>74</v>
      </c>
      <c r="BE1761" t="s">
        <v>22341</v>
      </c>
      <c r="BF1761" t="str">
        <f>HYPERLINK("http://dx.doi.org/10.1007/s10551-018-3986-z","http://dx.doi.org/10.1007/s10551-018-3986-z")</f>
        <v>http://dx.doi.org/10.1007/s10551-018-3986-z</v>
      </c>
      <c r="BG1761" t="s">
        <v>74</v>
      </c>
      <c r="BH1761" t="s">
        <v>74</v>
      </c>
      <c r="BI1761">
        <v>18</v>
      </c>
      <c r="BJ1761" t="s">
        <v>22340</v>
      </c>
      <c r="BK1761" t="s">
        <v>99</v>
      </c>
      <c r="BL1761" t="s">
        <v>22339</v>
      </c>
      <c r="BM1761" t="s">
        <v>22338</v>
      </c>
      <c r="BN1761" t="s">
        <v>74</v>
      </c>
      <c r="BO1761" t="s">
        <v>74</v>
      </c>
      <c r="BP1761" t="s">
        <v>74</v>
      </c>
      <c r="BQ1761" t="s">
        <v>74</v>
      </c>
      <c r="BR1761" t="s">
        <v>102</v>
      </c>
      <c r="BS1761" t="s">
        <v>22337</v>
      </c>
      <c r="BT1761" t="str">
        <f>HYPERLINK("https%3A%2F%2Fwww.webofscience.com%2Fwos%2Fwoscc%2Ffull-record%2FWOS:000519370800009","View Full Record in Web of Science")</f>
        <v>View Full Record in Web of Science</v>
      </c>
    </row>
    <row r="1762" spans="1:72" x14ac:dyDescent="0.25">
      <c r="A1762" t="s">
        <v>72</v>
      </c>
      <c r="B1762" t="s">
        <v>22336</v>
      </c>
      <c r="C1762" t="s">
        <v>74</v>
      </c>
      <c r="D1762" t="s">
        <v>74</v>
      </c>
      <c r="E1762" t="s">
        <v>74</v>
      </c>
      <c r="F1762" t="s">
        <v>22335</v>
      </c>
      <c r="G1762" t="s">
        <v>74</v>
      </c>
      <c r="H1762" t="s">
        <v>74</v>
      </c>
      <c r="I1762" t="s">
        <v>22334</v>
      </c>
      <c r="J1762" t="s">
        <v>190</v>
      </c>
      <c r="K1762" t="s">
        <v>74</v>
      </c>
      <c r="L1762" t="s">
        <v>74</v>
      </c>
      <c r="M1762" t="s">
        <v>78</v>
      </c>
      <c r="N1762" t="s">
        <v>79</v>
      </c>
      <c r="O1762" t="s">
        <v>74</v>
      </c>
      <c r="P1762" t="s">
        <v>74</v>
      </c>
      <c r="Q1762" t="s">
        <v>74</v>
      </c>
      <c r="R1762" t="s">
        <v>74</v>
      </c>
      <c r="S1762" t="s">
        <v>74</v>
      </c>
      <c r="T1762" t="s">
        <v>22333</v>
      </c>
      <c r="U1762" t="s">
        <v>22332</v>
      </c>
      <c r="V1762" t="s">
        <v>22331</v>
      </c>
      <c r="W1762" t="s">
        <v>22330</v>
      </c>
      <c r="X1762" t="s">
        <v>22329</v>
      </c>
      <c r="Y1762" t="s">
        <v>22328</v>
      </c>
      <c r="Z1762" t="s">
        <v>22327</v>
      </c>
      <c r="AA1762" t="s">
        <v>74</v>
      </c>
      <c r="AB1762" t="s">
        <v>74</v>
      </c>
      <c r="AC1762" t="s">
        <v>22326</v>
      </c>
      <c r="AD1762" t="s">
        <v>17529</v>
      </c>
      <c r="AE1762" t="s">
        <v>22325</v>
      </c>
      <c r="AF1762" t="s">
        <v>74</v>
      </c>
      <c r="AG1762">
        <v>101</v>
      </c>
      <c r="AH1762">
        <v>0</v>
      </c>
      <c r="AI1762">
        <v>0</v>
      </c>
      <c r="AJ1762">
        <v>4</v>
      </c>
      <c r="AK1762">
        <v>4</v>
      </c>
      <c r="AL1762" t="s">
        <v>201</v>
      </c>
      <c r="AM1762" t="s">
        <v>202</v>
      </c>
      <c r="AN1762" t="s">
        <v>203</v>
      </c>
      <c r="AO1762" t="s">
        <v>204</v>
      </c>
      <c r="AP1762" t="s">
        <v>205</v>
      </c>
      <c r="AQ1762" t="s">
        <v>74</v>
      </c>
      <c r="AR1762" t="s">
        <v>206</v>
      </c>
      <c r="AS1762" t="s">
        <v>207</v>
      </c>
      <c r="AT1762" t="s">
        <v>208</v>
      </c>
      <c r="AU1762">
        <v>2026</v>
      </c>
      <c r="AV1762">
        <v>105</v>
      </c>
      <c r="AW1762" t="s">
        <v>74</v>
      </c>
      <c r="AX1762" t="s">
        <v>74</v>
      </c>
      <c r="AY1762" t="s">
        <v>74</v>
      </c>
      <c r="AZ1762" t="s">
        <v>74</v>
      </c>
      <c r="BA1762" t="s">
        <v>74</v>
      </c>
      <c r="BB1762" t="s">
        <v>74</v>
      </c>
      <c r="BC1762" t="s">
        <v>74</v>
      </c>
      <c r="BD1762">
        <v>104816</v>
      </c>
      <c r="BE1762" t="s">
        <v>22324</v>
      </c>
      <c r="BF1762" t="str">
        <f>HYPERLINK("http://dx.doi.org/10.1016/j.iref.2025.104816","http://dx.doi.org/10.1016/j.iref.2025.104816")</f>
        <v>http://dx.doi.org/10.1016/j.iref.2025.104816</v>
      </c>
      <c r="BG1762" t="s">
        <v>74</v>
      </c>
      <c r="BH1762" t="s">
        <v>74</v>
      </c>
      <c r="BI1762">
        <v>14</v>
      </c>
      <c r="BJ1762" t="s">
        <v>210</v>
      </c>
      <c r="BK1762" t="s">
        <v>99</v>
      </c>
      <c r="BL1762" t="s">
        <v>100</v>
      </c>
      <c r="BM1762" t="s">
        <v>22323</v>
      </c>
      <c r="BN1762" t="s">
        <v>74</v>
      </c>
      <c r="BO1762" t="s">
        <v>212</v>
      </c>
      <c r="BP1762" t="s">
        <v>74</v>
      </c>
      <c r="BQ1762" t="s">
        <v>74</v>
      </c>
      <c r="BR1762" t="s">
        <v>102</v>
      </c>
      <c r="BS1762" t="s">
        <v>22322</v>
      </c>
      <c r="BT1762" t="str">
        <f>HYPERLINK("https%3A%2F%2Fwww.webofscience.com%2Fwos%2Fwoscc%2Ffull-record%2FWOS:001638059200001","View Full Record in Web of Science")</f>
        <v>View Full Record in Web of Science</v>
      </c>
    </row>
    <row r="1763" spans="1:72" x14ac:dyDescent="0.25">
      <c r="A1763" t="s">
        <v>72</v>
      </c>
      <c r="B1763" t="s">
        <v>22321</v>
      </c>
      <c r="C1763" t="s">
        <v>74</v>
      </c>
      <c r="D1763" t="s">
        <v>74</v>
      </c>
      <c r="E1763" t="s">
        <v>74</v>
      </c>
      <c r="F1763" t="s">
        <v>22320</v>
      </c>
      <c r="G1763" t="s">
        <v>74</v>
      </c>
      <c r="H1763" t="s">
        <v>74</v>
      </c>
      <c r="I1763" t="s">
        <v>22319</v>
      </c>
      <c r="J1763" t="s">
        <v>6242</v>
      </c>
      <c r="K1763" t="s">
        <v>74</v>
      </c>
      <c r="L1763" t="s">
        <v>74</v>
      </c>
      <c r="M1763" t="s">
        <v>78</v>
      </c>
      <c r="N1763" t="s">
        <v>79</v>
      </c>
      <c r="O1763" t="s">
        <v>74</v>
      </c>
      <c r="P1763" t="s">
        <v>74</v>
      </c>
      <c r="Q1763" t="s">
        <v>74</v>
      </c>
      <c r="R1763" t="s">
        <v>74</v>
      </c>
      <c r="S1763" t="s">
        <v>74</v>
      </c>
      <c r="T1763" t="s">
        <v>22318</v>
      </c>
      <c r="U1763" t="s">
        <v>22317</v>
      </c>
      <c r="V1763" t="s">
        <v>22316</v>
      </c>
      <c r="W1763" t="s">
        <v>22315</v>
      </c>
      <c r="X1763" t="s">
        <v>22314</v>
      </c>
      <c r="Y1763" t="s">
        <v>22313</v>
      </c>
      <c r="Z1763" t="s">
        <v>22312</v>
      </c>
      <c r="AA1763" t="s">
        <v>22311</v>
      </c>
      <c r="AB1763" t="s">
        <v>74</v>
      </c>
      <c r="AC1763" t="s">
        <v>74</v>
      </c>
      <c r="AD1763" t="s">
        <v>74</v>
      </c>
      <c r="AE1763" t="s">
        <v>74</v>
      </c>
      <c r="AF1763" t="s">
        <v>74</v>
      </c>
      <c r="AG1763">
        <v>127</v>
      </c>
      <c r="AH1763">
        <v>7</v>
      </c>
      <c r="AI1763">
        <v>10</v>
      </c>
      <c r="AJ1763">
        <v>6</v>
      </c>
      <c r="AK1763">
        <v>8</v>
      </c>
      <c r="AL1763" t="s">
        <v>385</v>
      </c>
      <c r="AM1763" t="s">
        <v>1153</v>
      </c>
      <c r="AN1763" t="s">
        <v>1154</v>
      </c>
      <c r="AO1763" t="s">
        <v>6250</v>
      </c>
      <c r="AP1763" t="s">
        <v>6251</v>
      </c>
      <c r="AQ1763" t="s">
        <v>74</v>
      </c>
      <c r="AR1763" t="s">
        <v>6252</v>
      </c>
      <c r="AS1763" t="s">
        <v>6253</v>
      </c>
      <c r="AT1763" t="s">
        <v>1159</v>
      </c>
      <c r="AU1763">
        <v>2025</v>
      </c>
      <c r="AV1763">
        <v>27</v>
      </c>
      <c r="AW1763">
        <v>5</v>
      </c>
      <c r="AX1763" t="s">
        <v>74</v>
      </c>
      <c r="AY1763" t="s">
        <v>74</v>
      </c>
      <c r="AZ1763" t="s">
        <v>74</v>
      </c>
      <c r="BA1763" t="s">
        <v>74</v>
      </c>
      <c r="BB1763">
        <v>2189</v>
      </c>
      <c r="BC1763">
        <v>2212</v>
      </c>
      <c r="BD1763" t="s">
        <v>74</v>
      </c>
      <c r="BE1763" t="s">
        <v>22310</v>
      </c>
      <c r="BF1763" t="str">
        <f>HYPERLINK("http://dx.doi.org/10.1007/s10796-025-10597-z","http://dx.doi.org/10.1007/s10796-025-10597-z")</f>
        <v>http://dx.doi.org/10.1007/s10796-025-10597-z</v>
      </c>
      <c r="BG1763" t="s">
        <v>74</v>
      </c>
      <c r="BH1763" t="s">
        <v>2781</v>
      </c>
      <c r="BI1763">
        <v>24</v>
      </c>
      <c r="BJ1763" t="s">
        <v>4466</v>
      </c>
      <c r="BK1763" t="s">
        <v>128</v>
      </c>
      <c r="BL1763" t="s">
        <v>157</v>
      </c>
      <c r="BM1763" t="s">
        <v>22309</v>
      </c>
      <c r="BN1763" t="s">
        <v>74</v>
      </c>
      <c r="BO1763" t="s">
        <v>270</v>
      </c>
      <c r="BP1763" t="s">
        <v>74</v>
      </c>
      <c r="BQ1763" t="s">
        <v>74</v>
      </c>
      <c r="BR1763" t="s">
        <v>102</v>
      </c>
      <c r="BS1763" t="s">
        <v>22308</v>
      </c>
      <c r="BT1763" t="str">
        <f>HYPERLINK("https%3A%2F%2Fwww.webofscience.com%2Fwos%2Fwoscc%2Ffull-record%2FWOS:001456129600001","View Full Record in Web of Science")</f>
        <v>View Full Record in Web of Science</v>
      </c>
    </row>
    <row r="1764" spans="1:72" x14ac:dyDescent="0.25">
      <c r="A1764" t="s">
        <v>72</v>
      </c>
      <c r="B1764" t="s">
        <v>22307</v>
      </c>
      <c r="C1764" t="s">
        <v>74</v>
      </c>
      <c r="D1764" t="s">
        <v>74</v>
      </c>
      <c r="E1764" t="s">
        <v>74</v>
      </c>
      <c r="F1764" t="s">
        <v>22306</v>
      </c>
      <c r="G1764" t="s">
        <v>74</v>
      </c>
      <c r="H1764" t="s">
        <v>74</v>
      </c>
      <c r="I1764" t="s">
        <v>22305</v>
      </c>
      <c r="J1764" t="s">
        <v>190</v>
      </c>
      <c r="K1764" t="s">
        <v>74</v>
      </c>
      <c r="L1764" t="s">
        <v>74</v>
      </c>
      <c r="M1764" t="s">
        <v>78</v>
      </c>
      <c r="N1764" t="s">
        <v>79</v>
      </c>
      <c r="O1764" t="s">
        <v>74</v>
      </c>
      <c r="P1764" t="s">
        <v>74</v>
      </c>
      <c r="Q1764" t="s">
        <v>74</v>
      </c>
      <c r="R1764" t="s">
        <v>74</v>
      </c>
      <c r="S1764" t="s">
        <v>74</v>
      </c>
      <c r="T1764" t="s">
        <v>22304</v>
      </c>
      <c r="U1764" t="s">
        <v>22303</v>
      </c>
      <c r="V1764" t="s">
        <v>22302</v>
      </c>
      <c r="W1764" t="s">
        <v>22301</v>
      </c>
      <c r="X1764" t="s">
        <v>22300</v>
      </c>
      <c r="Y1764" t="s">
        <v>22299</v>
      </c>
      <c r="Z1764" t="s">
        <v>22298</v>
      </c>
      <c r="AA1764" t="s">
        <v>22297</v>
      </c>
      <c r="AB1764" t="s">
        <v>74</v>
      </c>
      <c r="AC1764" t="s">
        <v>22296</v>
      </c>
      <c r="AD1764" t="s">
        <v>22295</v>
      </c>
      <c r="AE1764" t="s">
        <v>22294</v>
      </c>
      <c r="AF1764" t="s">
        <v>74</v>
      </c>
      <c r="AG1764">
        <v>46</v>
      </c>
      <c r="AH1764">
        <v>258</v>
      </c>
      <c r="AI1764">
        <v>273</v>
      </c>
      <c r="AJ1764">
        <v>35</v>
      </c>
      <c r="AK1764">
        <v>607</v>
      </c>
      <c r="AL1764" t="s">
        <v>201</v>
      </c>
      <c r="AM1764" t="s">
        <v>202</v>
      </c>
      <c r="AN1764" t="s">
        <v>203</v>
      </c>
      <c r="AO1764" t="s">
        <v>204</v>
      </c>
      <c r="AP1764" t="s">
        <v>205</v>
      </c>
      <c r="AQ1764" t="s">
        <v>74</v>
      </c>
      <c r="AR1764" t="s">
        <v>206</v>
      </c>
      <c r="AS1764" t="s">
        <v>207</v>
      </c>
      <c r="AT1764" t="s">
        <v>891</v>
      </c>
      <c r="AU1764">
        <v>2021</v>
      </c>
      <c r="AV1764">
        <v>76</v>
      </c>
      <c r="AW1764" t="s">
        <v>74</v>
      </c>
      <c r="AX1764" t="s">
        <v>74</v>
      </c>
      <c r="AY1764" t="s">
        <v>74</v>
      </c>
      <c r="AZ1764" t="s">
        <v>74</v>
      </c>
      <c r="BA1764" t="s">
        <v>74</v>
      </c>
      <c r="BB1764">
        <v>856</v>
      </c>
      <c r="BC1764">
        <v>869</v>
      </c>
      <c r="BD1764" t="s">
        <v>74</v>
      </c>
      <c r="BE1764" t="s">
        <v>22293</v>
      </c>
      <c r="BF1764" t="str">
        <f>HYPERLINK("http://dx.doi.org/10.1016/j.iref.2021.07.018","http://dx.doi.org/10.1016/j.iref.2021.07.018")</f>
        <v>http://dx.doi.org/10.1016/j.iref.2021.07.018</v>
      </c>
      <c r="BG1764" t="s">
        <v>74</v>
      </c>
      <c r="BH1764" t="s">
        <v>1818</v>
      </c>
      <c r="BI1764">
        <v>14</v>
      </c>
      <c r="BJ1764" t="s">
        <v>210</v>
      </c>
      <c r="BK1764" t="s">
        <v>99</v>
      </c>
      <c r="BL1764" t="s">
        <v>100</v>
      </c>
      <c r="BM1764" t="s">
        <v>22292</v>
      </c>
      <c r="BN1764" t="s">
        <v>74</v>
      </c>
      <c r="BO1764" t="s">
        <v>74</v>
      </c>
      <c r="BP1764" t="s">
        <v>74</v>
      </c>
      <c r="BQ1764" t="s">
        <v>74</v>
      </c>
      <c r="BR1764" t="s">
        <v>102</v>
      </c>
      <c r="BS1764" t="s">
        <v>22291</v>
      </c>
      <c r="BT1764" t="str">
        <f>HYPERLINK("https%3A%2F%2Fwww.webofscience.com%2Fwos%2Fwoscc%2Ffull-record%2FWOS:000700595400007","View Full Record in Web of Science")</f>
        <v>View Full Record in Web of Science</v>
      </c>
    </row>
    <row r="1765" spans="1:72" x14ac:dyDescent="0.25">
      <c r="A1765" t="s">
        <v>132</v>
      </c>
      <c r="B1765" t="s">
        <v>22290</v>
      </c>
      <c r="C1765" t="s">
        <v>74</v>
      </c>
      <c r="D1765" t="s">
        <v>22289</v>
      </c>
      <c r="E1765" t="s">
        <v>74</v>
      </c>
      <c r="F1765" t="s">
        <v>22288</v>
      </c>
      <c r="G1765" t="s">
        <v>74</v>
      </c>
      <c r="H1765" t="s">
        <v>74</v>
      </c>
      <c r="I1765" t="s">
        <v>22287</v>
      </c>
      <c r="J1765" t="s">
        <v>22286</v>
      </c>
      <c r="K1765" t="s">
        <v>22285</v>
      </c>
      <c r="L1765" t="s">
        <v>74</v>
      </c>
      <c r="M1765" t="s">
        <v>78</v>
      </c>
      <c r="N1765" t="s">
        <v>138</v>
      </c>
      <c r="O1765" t="s">
        <v>22284</v>
      </c>
      <c r="P1765" t="s">
        <v>22283</v>
      </c>
      <c r="Q1765" t="s">
        <v>22282</v>
      </c>
      <c r="R1765" t="s">
        <v>74</v>
      </c>
      <c r="S1765" t="s">
        <v>74</v>
      </c>
      <c r="T1765" t="s">
        <v>22281</v>
      </c>
      <c r="U1765" t="s">
        <v>22280</v>
      </c>
      <c r="V1765" t="s">
        <v>22279</v>
      </c>
      <c r="W1765" t="s">
        <v>22278</v>
      </c>
      <c r="X1765" t="s">
        <v>22277</v>
      </c>
      <c r="Y1765" t="s">
        <v>22276</v>
      </c>
      <c r="Z1765" t="s">
        <v>22275</v>
      </c>
      <c r="AA1765" t="s">
        <v>22274</v>
      </c>
      <c r="AB1765" t="s">
        <v>74</v>
      </c>
      <c r="AC1765" t="s">
        <v>74</v>
      </c>
      <c r="AD1765" t="s">
        <v>74</v>
      </c>
      <c r="AE1765" t="s">
        <v>74</v>
      </c>
      <c r="AF1765" t="s">
        <v>74</v>
      </c>
      <c r="AG1765">
        <v>33</v>
      </c>
      <c r="AH1765">
        <v>0</v>
      </c>
      <c r="AI1765">
        <v>0</v>
      </c>
      <c r="AJ1765">
        <v>1</v>
      </c>
      <c r="AK1765">
        <v>1</v>
      </c>
      <c r="AL1765" t="s">
        <v>771</v>
      </c>
      <c r="AM1765" t="s">
        <v>151</v>
      </c>
      <c r="AN1765" t="s">
        <v>785</v>
      </c>
      <c r="AO1765" t="s">
        <v>22273</v>
      </c>
      <c r="AP1765" t="s">
        <v>22272</v>
      </c>
      <c r="AQ1765" t="s">
        <v>22271</v>
      </c>
      <c r="AR1765" t="s">
        <v>22270</v>
      </c>
      <c r="AS1765" t="s">
        <v>74</v>
      </c>
      <c r="AT1765" t="s">
        <v>74</v>
      </c>
      <c r="AU1765">
        <v>2025</v>
      </c>
      <c r="AV1765" t="s">
        <v>74</v>
      </c>
      <c r="AW1765" t="s">
        <v>74</v>
      </c>
      <c r="AX1765" t="s">
        <v>74</v>
      </c>
      <c r="AY1765" t="s">
        <v>74</v>
      </c>
      <c r="AZ1765" t="s">
        <v>74</v>
      </c>
      <c r="BA1765" t="s">
        <v>74</v>
      </c>
      <c r="BB1765">
        <v>54</v>
      </c>
      <c r="BC1765">
        <v>61</v>
      </c>
      <c r="BD1765" t="s">
        <v>74</v>
      </c>
      <c r="BE1765" t="s">
        <v>22269</v>
      </c>
      <c r="BF1765" t="str">
        <f>HYPERLINK("http://dx.doi.org/10.1109/ICEDEG65568.2025.11081606","http://dx.doi.org/10.1109/ICEDEG65568.2025.11081606")</f>
        <v>http://dx.doi.org/10.1109/ICEDEG65568.2025.11081606</v>
      </c>
      <c r="BG1765" t="s">
        <v>74</v>
      </c>
      <c r="BH1765" t="s">
        <v>74</v>
      </c>
      <c r="BI1765">
        <v>8</v>
      </c>
      <c r="BJ1765" t="s">
        <v>22268</v>
      </c>
      <c r="BK1765" t="s">
        <v>1069</v>
      </c>
      <c r="BL1765" t="s">
        <v>22267</v>
      </c>
      <c r="BM1765" t="s">
        <v>22266</v>
      </c>
      <c r="BN1765" t="s">
        <v>74</v>
      </c>
      <c r="BO1765" t="s">
        <v>74</v>
      </c>
      <c r="BP1765" t="s">
        <v>74</v>
      </c>
      <c r="BQ1765" t="s">
        <v>74</v>
      </c>
      <c r="BR1765" t="s">
        <v>102</v>
      </c>
      <c r="BS1765" t="s">
        <v>22265</v>
      </c>
      <c r="BT1765" t="str">
        <f>HYPERLINK("https%3A%2F%2Fwww.webofscience.com%2Fwos%2Fwoscc%2Ffull-record%2FWOS:001546442900005","View Full Record in Web of Science")</f>
        <v>View Full Record in Web of Science</v>
      </c>
    </row>
    <row r="1766" spans="1:72" x14ac:dyDescent="0.25">
      <c r="A1766" t="s">
        <v>72</v>
      </c>
      <c r="B1766" t="s">
        <v>22264</v>
      </c>
      <c r="C1766" t="s">
        <v>74</v>
      </c>
      <c r="D1766" t="s">
        <v>74</v>
      </c>
      <c r="E1766" t="s">
        <v>74</v>
      </c>
      <c r="F1766" t="s">
        <v>22263</v>
      </c>
      <c r="G1766" t="s">
        <v>74</v>
      </c>
      <c r="H1766" t="s">
        <v>74</v>
      </c>
      <c r="I1766" t="s">
        <v>22262</v>
      </c>
      <c r="J1766" t="s">
        <v>836</v>
      </c>
      <c r="K1766" t="s">
        <v>74</v>
      </c>
      <c r="L1766" t="s">
        <v>74</v>
      </c>
      <c r="M1766" t="s">
        <v>78</v>
      </c>
      <c r="N1766" t="s">
        <v>79</v>
      </c>
      <c r="O1766" t="s">
        <v>74</v>
      </c>
      <c r="P1766" t="s">
        <v>74</v>
      </c>
      <c r="Q1766" t="s">
        <v>74</v>
      </c>
      <c r="R1766" t="s">
        <v>74</v>
      </c>
      <c r="S1766" t="s">
        <v>74</v>
      </c>
      <c r="T1766" t="s">
        <v>22261</v>
      </c>
      <c r="U1766" t="s">
        <v>74</v>
      </c>
      <c r="V1766" t="s">
        <v>22260</v>
      </c>
      <c r="W1766" t="s">
        <v>22259</v>
      </c>
      <c r="X1766" t="s">
        <v>22258</v>
      </c>
      <c r="Y1766" t="s">
        <v>22257</v>
      </c>
      <c r="Z1766" t="s">
        <v>22256</v>
      </c>
      <c r="AA1766" t="s">
        <v>22255</v>
      </c>
      <c r="AB1766" t="s">
        <v>74</v>
      </c>
      <c r="AC1766" t="s">
        <v>22254</v>
      </c>
      <c r="AD1766" t="s">
        <v>22253</v>
      </c>
      <c r="AE1766" t="s">
        <v>22252</v>
      </c>
      <c r="AF1766" t="s">
        <v>74</v>
      </c>
      <c r="AG1766">
        <v>21</v>
      </c>
      <c r="AH1766">
        <v>23</v>
      </c>
      <c r="AI1766">
        <v>24</v>
      </c>
      <c r="AJ1766">
        <v>42</v>
      </c>
      <c r="AK1766">
        <v>92</v>
      </c>
      <c r="AL1766" t="s">
        <v>503</v>
      </c>
      <c r="AM1766" t="s">
        <v>151</v>
      </c>
      <c r="AN1766" t="s">
        <v>504</v>
      </c>
      <c r="AO1766" t="s">
        <v>844</v>
      </c>
      <c r="AP1766" t="s">
        <v>845</v>
      </c>
      <c r="AQ1766" t="s">
        <v>74</v>
      </c>
      <c r="AR1766" t="s">
        <v>846</v>
      </c>
      <c r="AS1766" t="s">
        <v>847</v>
      </c>
      <c r="AT1766" t="s">
        <v>237</v>
      </c>
      <c r="AU1766">
        <v>2025</v>
      </c>
      <c r="AV1766">
        <v>98</v>
      </c>
      <c r="AW1766" t="s">
        <v>74</v>
      </c>
      <c r="AX1766" t="s">
        <v>74</v>
      </c>
      <c r="AY1766" t="s">
        <v>74</v>
      </c>
      <c r="AZ1766" t="s">
        <v>74</v>
      </c>
      <c r="BA1766" t="s">
        <v>74</v>
      </c>
      <c r="BB1766" t="s">
        <v>74</v>
      </c>
      <c r="BC1766" t="s">
        <v>74</v>
      </c>
      <c r="BD1766">
        <v>103897</v>
      </c>
      <c r="BE1766" t="s">
        <v>22251</v>
      </c>
      <c r="BF1766" t="str">
        <f>HYPERLINK("http://dx.doi.org/10.1016/j.irfa.2024.103897","http://dx.doi.org/10.1016/j.irfa.2024.103897")</f>
        <v>http://dx.doi.org/10.1016/j.irfa.2024.103897</v>
      </c>
      <c r="BG1766" t="s">
        <v>74</v>
      </c>
      <c r="BH1766" t="s">
        <v>1737</v>
      </c>
      <c r="BI1766">
        <v>6</v>
      </c>
      <c r="BJ1766" t="s">
        <v>268</v>
      </c>
      <c r="BK1766" t="s">
        <v>99</v>
      </c>
      <c r="BL1766" t="s">
        <v>100</v>
      </c>
      <c r="BM1766" t="s">
        <v>22250</v>
      </c>
      <c r="BN1766" t="s">
        <v>74</v>
      </c>
      <c r="BO1766" t="s">
        <v>74</v>
      </c>
      <c r="BP1766" t="s">
        <v>74</v>
      </c>
      <c r="BQ1766" t="s">
        <v>74</v>
      </c>
      <c r="BR1766" t="s">
        <v>102</v>
      </c>
      <c r="BS1766" t="s">
        <v>22249</v>
      </c>
      <c r="BT1766" t="str">
        <f>HYPERLINK("https%3A%2F%2Fwww.webofscience.com%2Fwos%2Fwoscc%2Ffull-record%2FWOS:001402923200001","View Full Record in Web of Science")</f>
        <v>View Full Record in Web of Science</v>
      </c>
    </row>
    <row r="1767" spans="1:72" x14ac:dyDescent="0.25">
      <c r="A1767" t="s">
        <v>72</v>
      </c>
      <c r="B1767" t="s">
        <v>22248</v>
      </c>
      <c r="C1767" t="s">
        <v>74</v>
      </c>
      <c r="D1767" t="s">
        <v>74</v>
      </c>
      <c r="E1767" t="s">
        <v>74</v>
      </c>
      <c r="F1767" t="s">
        <v>22247</v>
      </c>
      <c r="G1767" t="s">
        <v>74</v>
      </c>
      <c r="H1767" t="s">
        <v>74</v>
      </c>
      <c r="I1767" t="s">
        <v>22246</v>
      </c>
      <c r="J1767" t="s">
        <v>1701</v>
      </c>
      <c r="K1767" t="s">
        <v>74</v>
      </c>
      <c r="L1767" t="s">
        <v>74</v>
      </c>
      <c r="M1767" t="s">
        <v>78</v>
      </c>
      <c r="N1767" t="s">
        <v>79</v>
      </c>
      <c r="O1767" t="s">
        <v>74</v>
      </c>
      <c r="P1767" t="s">
        <v>74</v>
      </c>
      <c r="Q1767" t="s">
        <v>74</v>
      </c>
      <c r="R1767" t="s">
        <v>74</v>
      </c>
      <c r="S1767" t="s">
        <v>74</v>
      </c>
      <c r="T1767" t="s">
        <v>22245</v>
      </c>
      <c r="U1767" t="s">
        <v>22244</v>
      </c>
      <c r="V1767" t="s">
        <v>22243</v>
      </c>
      <c r="W1767" t="s">
        <v>22242</v>
      </c>
      <c r="X1767" t="s">
        <v>11822</v>
      </c>
      <c r="Y1767" t="s">
        <v>22241</v>
      </c>
      <c r="Z1767" t="s">
        <v>22240</v>
      </c>
      <c r="AA1767" t="s">
        <v>74</v>
      </c>
      <c r="AB1767" t="s">
        <v>74</v>
      </c>
      <c r="AC1767" t="s">
        <v>74</v>
      </c>
      <c r="AD1767" t="s">
        <v>74</v>
      </c>
      <c r="AE1767" t="s">
        <v>74</v>
      </c>
      <c r="AF1767" t="s">
        <v>74</v>
      </c>
      <c r="AG1767">
        <v>57</v>
      </c>
      <c r="AH1767">
        <v>16</v>
      </c>
      <c r="AI1767">
        <v>18</v>
      </c>
      <c r="AJ1767">
        <v>5</v>
      </c>
      <c r="AK1767">
        <v>42</v>
      </c>
      <c r="AL1767" t="s">
        <v>503</v>
      </c>
      <c r="AM1767" t="s">
        <v>151</v>
      </c>
      <c r="AN1767" t="s">
        <v>504</v>
      </c>
      <c r="AO1767" t="s">
        <v>1709</v>
      </c>
      <c r="AP1767" t="s">
        <v>1710</v>
      </c>
      <c r="AQ1767" t="s">
        <v>74</v>
      </c>
      <c r="AR1767" t="s">
        <v>1711</v>
      </c>
      <c r="AS1767" t="s">
        <v>1712</v>
      </c>
      <c r="AT1767" t="s">
        <v>698</v>
      </c>
      <c r="AU1767">
        <v>2023</v>
      </c>
      <c r="AV1767">
        <v>68</v>
      </c>
      <c r="AW1767" t="s">
        <v>74</v>
      </c>
      <c r="AX1767" t="s">
        <v>74</v>
      </c>
      <c r="AY1767" t="s">
        <v>74</v>
      </c>
      <c r="AZ1767" t="s">
        <v>74</v>
      </c>
      <c r="BA1767" t="s">
        <v>74</v>
      </c>
      <c r="BB1767" t="s">
        <v>74</v>
      </c>
      <c r="BC1767" t="s">
        <v>74</v>
      </c>
      <c r="BD1767">
        <v>101963</v>
      </c>
      <c r="BE1767" t="s">
        <v>22239</v>
      </c>
      <c r="BF1767" t="str">
        <f>HYPERLINK("http://dx.doi.org/10.1016/j.najef.2023.101963","http://dx.doi.org/10.1016/j.najef.2023.101963")</f>
        <v>http://dx.doi.org/10.1016/j.najef.2023.101963</v>
      </c>
      <c r="BG1767" t="s">
        <v>74</v>
      </c>
      <c r="BH1767" t="s">
        <v>700</v>
      </c>
      <c r="BI1767">
        <v>15</v>
      </c>
      <c r="BJ1767" t="s">
        <v>210</v>
      </c>
      <c r="BK1767" t="s">
        <v>99</v>
      </c>
      <c r="BL1767" t="s">
        <v>100</v>
      </c>
      <c r="BM1767" t="s">
        <v>22238</v>
      </c>
      <c r="BN1767" t="s">
        <v>74</v>
      </c>
      <c r="BO1767" t="s">
        <v>74</v>
      </c>
      <c r="BP1767" t="s">
        <v>74</v>
      </c>
      <c r="BQ1767" t="s">
        <v>74</v>
      </c>
      <c r="BR1767" t="s">
        <v>102</v>
      </c>
      <c r="BS1767" t="s">
        <v>22237</v>
      </c>
      <c r="BT1767" t="str">
        <f>HYPERLINK("https%3A%2F%2Fwww.webofscience.com%2Fwos%2Fwoscc%2Ffull-record%2FWOS:001041161900001","View Full Record in Web of Science")</f>
        <v>View Full Record in Web of Science</v>
      </c>
    </row>
    <row r="1768" spans="1:72" x14ac:dyDescent="0.25">
      <c r="A1768" t="s">
        <v>72</v>
      </c>
      <c r="B1768" t="s">
        <v>22236</v>
      </c>
      <c r="C1768" t="s">
        <v>74</v>
      </c>
      <c r="D1768" t="s">
        <v>74</v>
      </c>
      <c r="E1768" t="s">
        <v>74</v>
      </c>
      <c r="F1768" t="s">
        <v>22235</v>
      </c>
      <c r="G1768" t="s">
        <v>74</v>
      </c>
      <c r="H1768" t="s">
        <v>74</v>
      </c>
      <c r="I1768" t="s">
        <v>22234</v>
      </c>
      <c r="J1768" t="s">
        <v>246</v>
      </c>
      <c r="K1768" t="s">
        <v>74</v>
      </c>
      <c r="L1768" t="s">
        <v>74</v>
      </c>
      <c r="M1768" t="s">
        <v>78</v>
      </c>
      <c r="N1768" t="s">
        <v>79</v>
      </c>
      <c r="O1768" t="s">
        <v>74</v>
      </c>
      <c r="P1768" t="s">
        <v>74</v>
      </c>
      <c r="Q1768" t="s">
        <v>74</v>
      </c>
      <c r="R1768" t="s">
        <v>74</v>
      </c>
      <c r="S1768" t="s">
        <v>74</v>
      </c>
      <c r="T1768" t="s">
        <v>22233</v>
      </c>
      <c r="U1768" t="s">
        <v>22232</v>
      </c>
      <c r="V1768" t="s">
        <v>22231</v>
      </c>
      <c r="W1768" t="s">
        <v>22230</v>
      </c>
      <c r="X1768" t="s">
        <v>22229</v>
      </c>
      <c r="Y1768" t="s">
        <v>22228</v>
      </c>
      <c r="Z1768" t="s">
        <v>22227</v>
      </c>
      <c r="AA1768" t="s">
        <v>22226</v>
      </c>
      <c r="AB1768" t="s">
        <v>22225</v>
      </c>
      <c r="AC1768" t="s">
        <v>74</v>
      </c>
      <c r="AD1768" t="s">
        <v>74</v>
      </c>
      <c r="AE1768" t="s">
        <v>74</v>
      </c>
      <c r="AF1768" t="s">
        <v>74</v>
      </c>
      <c r="AG1768">
        <v>26</v>
      </c>
      <c r="AH1768">
        <v>100</v>
      </c>
      <c r="AI1768">
        <v>116</v>
      </c>
      <c r="AJ1768">
        <v>7</v>
      </c>
      <c r="AK1768">
        <v>92</v>
      </c>
      <c r="AL1768" t="s">
        <v>259</v>
      </c>
      <c r="AM1768" t="s">
        <v>260</v>
      </c>
      <c r="AN1768" t="s">
        <v>261</v>
      </c>
      <c r="AO1768" t="s">
        <v>262</v>
      </c>
      <c r="AP1768" t="s">
        <v>263</v>
      </c>
      <c r="AQ1768" t="s">
        <v>74</v>
      </c>
      <c r="AR1768" t="s">
        <v>264</v>
      </c>
      <c r="AS1768" t="s">
        <v>265</v>
      </c>
      <c r="AT1768" t="s">
        <v>605</v>
      </c>
      <c r="AU1768">
        <v>2022</v>
      </c>
      <c r="AV1768">
        <v>45</v>
      </c>
      <c r="AW1768" t="s">
        <v>74</v>
      </c>
      <c r="AX1768" t="s">
        <v>74</v>
      </c>
      <c r="AY1768" t="s">
        <v>74</v>
      </c>
      <c r="AZ1768" t="s">
        <v>74</v>
      </c>
      <c r="BA1768" t="s">
        <v>74</v>
      </c>
      <c r="BB1768" t="s">
        <v>74</v>
      </c>
      <c r="BC1768" t="s">
        <v>74</v>
      </c>
      <c r="BD1768">
        <v>102149</v>
      </c>
      <c r="BE1768" t="s">
        <v>22224</v>
      </c>
      <c r="BF1768" t="str">
        <f>HYPERLINK("http://dx.doi.org/10.1016/j.frl.2021.102149","http://dx.doi.org/10.1016/j.frl.2021.102149")</f>
        <v>http://dx.doi.org/10.1016/j.frl.2021.102149</v>
      </c>
      <c r="BG1768" t="s">
        <v>74</v>
      </c>
      <c r="BH1768" t="s">
        <v>674</v>
      </c>
      <c r="BI1768">
        <v>10</v>
      </c>
      <c r="BJ1768" t="s">
        <v>268</v>
      </c>
      <c r="BK1768" t="s">
        <v>99</v>
      </c>
      <c r="BL1768" t="s">
        <v>100</v>
      </c>
      <c r="BM1768" t="s">
        <v>22223</v>
      </c>
      <c r="BN1768" t="s">
        <v>74</v>
      </c>
      <c r="BO1768" t="s">
        <v>74</v>
      </c>
      <c r="BP1768" t="s">
        <v>74</v>
      </c>
      <c r="BQ1768" t="s">
        <v>74</v>
      </c>
      <c r="BR1768" t="s">
        <v>102</v>
      </c>
      <c r="BS1768" t="s">
        <v>22222</v>
      </c>
      <c r="BT1768" t="str">
        <f>HYPERLINK("https%3A%2F%2Fwww.webofscience.com%2Fwos%2Fwoscc%2Ffull-record%2FWOS:000761168200040","View Full Record in Web of Science")</f>
        <v>View Full Record in Web of Science</v>
      </c>
    </row>
    <row r="1769" spans="1:72" x14ac:dyDescent="0.25">
      <c r="A1769" t="s">
        <v>72</v>
      </c>
      <c r="B1769" t="s">
        <v>22221</v>
      </c>
      <c r="C1769" t="s">
        <v>74</v>
      </c>
      <c r="D1769" t="s">
        <v>74</v>
      </c>
      <c r="E1769" t="s">
        <v>74</v>
      </c>
      <c r="F1769" t="s">
        <v>22220</v>
      </c>
      <c r="G1769" t="s">
        <v>74</v>
      </c>
      <c r="H1769" t="s">
        <v>74</v>
      </c>
      <c r="I1769" t="s">
        <v>22219</v>
      </c>
      <c r="J1769" t="s">
        <v>7837</v>
      </c>
      <c r="K1769" t="s">
        <v>74</v>
      </c>
      <c r="L1769" t="s">
        <v>74</v>
      </c>
      <c r="M1769" t="s">
        <v>78</v>
      </c>
      <c r="N1769" t="s">
        <v>79</v>
      </c>
      <c r="O1769" t="s">
        <v>74</v>
      </c>
      <c r="P1769" t="s">
        <v>74</v>
      </c>
      <c r="Q1769" t="s">
        <v>74</v>
      </c>
      <c r="R1769" t="s">
        <v>74</v>
      </c>
      <c r="S1769" t="s">
        <v>74</v>
      </c>
      <c r="T1769" t="s">
        <v>22218</v>
      </c>
      <c r="U1769" t="s">
        <v>22217</v>
      </c>
      <c r="V1769" t="s">
        <v>22216</v>
      </c>
      <c r="W1769" t="s">
        <v>22215</v>
      </c>
      <c r="X1769" t="s">
        <v>22214</v>
      </c>
      <c r="Y1769" t="s">
        <v>22213</v>
      </c>
      <c r="Z1769" t="s">
        <v>22212</v>
      </c>
      <c r="AA1769" t="s">
        <v>22211</v>
      </c>
      <c r="AB1769" t="s">
        <v>22210</v>
      </c>
      <c r="AC1769" t="s">
        <v>74</v>
      </c>
      <c r="AD1769" t="s">
        <v>74</v>
      </c>
      <c r="AE1769" t="s">
        <v>74</v>
      </c>
      <c r="AF1769" t="s">
        <v>74</v>
      </c>
      <c r="AG1769">
        <v>87</v>
      </c>
      <c r="AH1769">
        <v>15</v>
      </c>
      <c r="AI1769">
        <v>21</v>
      </c>
      <c r="AJ1769">
        <v>1</v>
      </c>
      <c r="AK1769">
        <v>23</v>
      </c>
      <c r="AL1769" t="s">
        <v>89</v>
      </c>
      <c r="AM1769" t="s">
        <v>90</v>
      </c>
      <c r="AN1769" t="s">
        <v>91</v>
      </c>
      <c r="AO1769" t="s">
        <v>7847</v>
      </c>
      <c r="AP1769" t="s">
        <v>7848</v>
      </c>
      <c r="AQ1769" t="s">
        <v>74</v>
      </c>
      <c r="AR1769" t="s">
        <v>7849</v>
      </c>
      <c r="AS1769" t="s">
        <v>7850</v>
      </c>
      <c r="AT1769" t="s">
        <v>96</v>
      </c>
      <c r="AU1769">
        <v>2025</v>
      </c>
      <c r="AV1769">
        <v>20</v>
      </c>
      <c r="AW1769">
        <v>6</v>
      </c>
      <c r="AX1769" t="s">
        <v>74</v>
      </c>
      <c r="AY1769" t="s">
        <v>74</v>
      </c>
      <c r="AZ1769" t="s">
        <v>74</v>
      </c>
      <c r="BA1769" t="s">
        <v>74</v>
      </c>
      <c r="BB1769">
        <v>2524</v>
      </c>
      <c r="BC1769">
        <v>2544</v>
      </c>
      <c r="BD1769" t="s">
        <v>74</v>
      </c>
      <c r="BE1769" t="s">
        <v>22209</v>
      </c>
      <c r="BF1769" t="str">
        <f>HYPERLINK("http://dx.doi.org/10.1108/IJOEM-06-2023-0924","http://dx.doi.org/10.1108/IJOEM-06-2023-0924")</f>
        <v>http://dx.doi.org/10.1108/IJOEM-06-2023-0924</v>
      </c>
      <c r="BG1769" t="s">
        <v>74</v>
      </c>
      <c r="BH1769" t="s">
        <v>2417</v>
      </c>
      <c r="BI1769">
        <v>21</v>
      </c>
      <c r="BJ1769" t="s">
        <v>6512</v>
      </c>
      <c r="BK1769" t="s">
        <v>99</v>
      </c>
      <c r="BL1769" t="s">
        <v>100</v>
      </c>
      <c r="BM1769" t="s">
        <v>9756</v>
      </c>
      <c r="BN1769" t="s">
        <v>74</v>
      </c>
      <c r="BO1769" t="s">
        <v>74</v>
      </c>
      <c r="BP1769" t="s">
        <v>74</v>
      </c>
      <c r="BQ1769" t="s">
        <v>74</v>
      </c>
      <c r="BR1769" t="s">
        <v>102</v>
      </c>
      <c r="BS1769" t="s">
        <v>22208</v>
      </c>
      <c r="BT1769" t="str">
        <f>HYPERLINK("https%3A%2F%2Fwww.webofscience.com%2Fwos%2Fwoscc%2Ffull-record%2FWOS:001089046400001","View Full Record in Web of Science")</f>
        <v>View Full Record in Web of Science</v>
      </c>
    </row>
    <row r="1770" spans="1:72" x14ac:dyDescent="0.25">
      <c r="A1770" t="s">
        <v>72</v>
      </c>
      <c r="B1770" t="s">
        <v>22207</v>
      </c>
      <c r="C1770" t="s">
        <v>74</v>
      </c>
      <c r="D1770" t="s">
        <v>74</v>
      </c>
      <c r="E1770" t="s">
        <v>74</v>
      </c>
      <c r="F1770" t="s">
        <v>22206</v>
      </c>
      <c r="G1770" t="s">
        <v>74</v>
      </c>
      <c r="H1770" t="s">
        <v>74</v>
      </c>
      <c r="I1770" t="s">
        <v>22205</v>
      </c>
      <c r="J1770" t="s">
        <v>1435</v>
      </c>
      <c r="K1770" t="s">
        <v>74</v>
      </c>
      <c r="L1770" t="s">
        <v>74</v>
      </c>
      <c r="M1770" t="s">
        <v>78</v>
      </c>
      <c r="N1770" t="s">
        <v>79</v>
      </c>
      <c r="O1770" t="s">
        <v>74</v>
      </c>
      <c r="P1770" t="s">
        <v>74</v>
      </c>
      <c r="Q1770" t="s">
        <v>74</v>
      </c>
      <c r="R1770" t="s">
        <v>74</v>
      </c>
      <c r="S1770" t="s">
        <v>74</v>
      </c>
      <c r="T1770" t="s">
        <v>22204</v>
      </c>
      <c r="U1770" t="s">
        <v>22203</v>
      </c>
      <c r="V1770" t="s">
        <v>22202</v>
      </c>
      <c r="W1770" t="s">
        <v>22201</v>
      </c>
      <c r="X1770" t="s">
        <v>22200</v>
      </c>
      <c r="Y1770" t="s">
        <v>22199</v>
      </c>
      <c r="Z1770" t="s">
        <v>22198</v>
      </c>
      <c r="AA1770" t="s">
        <v>22197</v>
      </c>
      <c r="AB1770" t="s">
        <v>22196</v>
      </c>
      <c r="AC1770" t="s">
        <v>22195</v>
      </c>
      <c r="AD1770" t="s">
        <v>22195</v>
      </c>
      <c r="AE1770" t="s">
        <v>22194</v>
      </c>
      <c r="AF1770" t="s">
        <v>74</v>
      </c>
      <c r="AG1770">
        <v>96</v>
      </c>
      <c r="AH1770">
        <v>24</v>
      </c>
      <c r="AI1770">
        <v>55</v>
      </c>
      <c r="AJ1770">
        <v>6</v>
      </c>
      <c r="AK1770">
        <v>36</v>
      </c>
      <c r="AL1770" t="s">
        <v>1445</v>
      </c>
      <c r="AM1770" t="s">
        <v>1446</v>
      </c>
      <c r="AN1770" t="s">
        <v>10534</v>
      </c>
      <c r="AO1770" t="s">
        <v>1448</v>
      </c>
      <c r="AP1770" t="s">
        <v>1449</v>
      </c>
      <c r="AQ1770" t="s">
        <v>74</v>
      </c>
      <c r="AR1770" t="s">
        <v>1450</v>
      </c>
      <c r="AS1770" t="s">
        <v>1451</v>
      </c>
      <c r="AT1770" t="s">
        <v>74</v>
      </c>
      <c r="AU1770">
        <v>2020</v>
      </c>
      <c r="AV1770">
        <v>13</v>
      </c>
      <c r="AW1770">
        <v>3</v>
      </c>
      <c r="AX1770" t="s">
        <v>74</v>
      </c>
      <c r="AY1770" t="s">
        <v>74</v>
      </c>
      <c r="AZ1770" t="s">
        <v>74</v>
      </c>
      <c r="BA1770" t="s">
        <v>74</v>
      </c>
      <c r="BB1770">
        <v>133</v>
      </c>
      <c r="BC1770">
        <v>154</v>
      </c>
      <c r="BD1770" t="s">
        <v>74</v>
      </c>
      <c r="BE1770" t="s">
        <v>22193</v>
      </c>
      <c r="BF1770" t="str">
        <f>HYPERLINK("http://dx.doi.org/10.14254/2071-789X.2020/13-3/9","http://dx.doi.org/10.14254/2071-789X.2020/13-3/9")</f>
        <v>http://dx.doi.org/10.14254/2071-789X.2020/13-3/9</v>
      </c>
      <c r="BG1770" t="s">
        <v>74</v>
      </c>
      <c r="BH1770" t="s">
        <v>74</v>
      </c>
      <c r="BI1770">
        <v>22</v>
      </c>
      <c r="BJ1770" t="s">
        <v>1453</v>
      </c>
      <c r="BK1770" t="s">
        <v>313</v>
      </c>
      <c r="BL1770" t="s">
        <v>100</v>
      </c>
      <c r="BM1770" t="s">
        <v>22192</v>
      </c>
      <c r="BN1770" t="s">
        <v>74</v>
      </c>
      <c r="BO1770" t="s">
        <v>916</v>
      </c>
      <c r="BP1770" t="s">
        <v>74</v>
      </c>
      <c r="BQ1770" t="s">
        <v>74</v>
      </c>
      <c r="BR1770" t="s">
        <v>102</v>
      </c>
      <c r="BS1770" t="s">
        <v>22191</v>
      </c>
      <c r="BT1770" t="str">
        <f>HYPERLINK("https%3A%2F%2Fwww.webofscience.com%2Fwos%2Fwoscc%2Ffull-record%2FWOS:000576584500009","View Full Record in Web of Science")</f>
        <v>View Full Record in Web of Science</v>
      </c>
    </row>
    <row r="1771" spans="1:72" x14ac:dyDescent="0.25">
      <c r="A1771" t="s">
        <v>72</v>
      </c>
      <c r="B1771" t="s">
        <v>22190</v>
      </c>
      <c r="C1771" t="s">
        <v>74</v>
      </c>
      <c r="D1771" t="s">
        <v>74</v>
      </c>
      <c r="E1771" t="s">
        <v>74</v>
      </c>
      <c r="F1771" t="s">
        <v>22189</v>
      </c>
      <c r="G1771" t="s">
        <v>74</v>
      </c>
      <c r="H1771" t="s">
        <v>74</v>
      </c>
      <c r="I1771" t="s">
        <v>22188</v>
      </c>
      <c r="J1771" t="s">
        <v>22187</v>
      </c>
      <c r="K1771" t="s">
        <v>74</v>
      </c>
      <c r="L1771" t="s">
        <v>74</v>
      </c>
      <c r="M1771" t="s">
        <v>78</v>
      </c>
      <c r="N1771" t="s">
        <v>372</v>
      </c>
      <c r="O1771" t="s">
        <v>74</v>
      </c>
      <c r="P1771" t="s">
        <v>74</v>
      </c>
      <c r="Q1771" t="s">
        <v>74</v>
      </c>
      <c r="R1771" t="s">
        <v>74</v>
      </c>
      <c r="S1771" t="s">
        <v>74</v>
      </c>
      <c r="T1771" t="s">
        <v>22186</v>
      </c>
      <c r="U1771" t="s">
        <v>22185</v>
      </c>
      <c r="V1771" t="s">
        <v>22184</v>
      </c>
      <c r="W1771" t="s">
        <v>22183</v>
      </c>
      <c r="X1771" t="s">
        <v>22182</v>
      </c>
      <c r="Y1771" t="s">
        <v>22181</v>
      </c>
      <c r="Z1771" t="s">
        <v>22180</v>
      </c>
      <c r="AA1771" t="s">
        <v>74</v>
      </c>
      <c r="AB1771" t="s">
        <v>74</v>
      </c>
      <c r="AC1771" t="s">
        <v>74</v>
      </c>
      <c r="AD1771" t="s">
        <v>74</v>
      </c>
      <c r="AE1771" t="s">
        <v>74</v>
      </c>
      <c r="AF1771" t="s">
        <v>74</v>
      </c>
      <c r="AG1771">
        <v>44</v>
      </c>
      <c r="AH1771">
        <v>0</v>
      </c>
      <c r="AI1771">
        <v>0</v>
      </c>
      <c r="AJ1771">
        <v>1</v>
      </c>
      <c r="AK1771">
        <v>1</v>
      </c>
      <c r="AL1771" t="s">
        <v>2907</v>
      </c>
      <c r="AM1771" t="s">
        <v>2908</v>
      </c>
      <c r="AN1771" t="s">
        <v>2909</v>
      </c>
      <c r="AO1771" t="s">
        <v>22179</v>
      </c>
      <c r="AP1771" t="s">
        <v>22178</v>
      </c>
      <c r="AQ1771" t="s">
        <v>74</v>
      </c>
      <c r="AR1771" t="s">
        <v>22177</v>
      </c>
      <c r="AS1771" t="s">
        <v>22176</v>
      </c>
      <c r="AT1771" t="s">
        <v>22175</v>
      </c>
      <c r="AU1771">
        <v>2025</v>
      </c>
      <c r="AV1771" t="s">
        <v>74</v>
      </c>
      <c r="AW1771" t="s">
        <v>74</v>
      </c>
      <c r="AX1771" t="s">
        <v>74</v>
      </c>
      <c r="AY1771" t="s">
        <v>74</v>
      </c>
      <c r="AZ1771" t="s">
        <v>74</v>
      </c>
      <c r="BA1771" t="s">
        <v>74</v>
      </c>
      <c r="BB1771" t="s">
        <v>74</v>
      </c>
      <c r="BC1771" t="s">
        <v>74</v>
      </c>
      <c r="BD1771" t="s">
        <v>74</v>
      </c>
      <c r="BE1771" t="s">
        <v>22174</v>
      </c>
      <c r="BF1771" t="str">
        <f>HYPERLINK("http://dx.doi.org/10.1057/s41302-025-00309-5","http://dx.doi.org/10.1057/s41302-025-00309-5")</f>
        <v>http://dx.doi.org/10.1057/s41302-025-00309-5</v>
      </c>
      <c r="BG1771" t="s">
        <v>74</v>
      </c>
      <c r="BH1771" t="s">
        <v>12078</v>
      </c>
      <c r="BI1771">
        <v>50</v>
      </c>
      <c r="BJ1771" t="s">
        <v>291</v>
      </c>
      <c r="BK1771" t="s">
        <v>313</v>
      </c>
      <c r="BL1771" t="s">
        <v>100</v>
      </c>
      <c r="BM1771" t="s">
        <v>22173</v>
      </c>
      <c r="BN1771" t="s">
        <v>74</v>
      </c>
      <c r="BO1771" t="s">
        <v>74</v>
      </c>
      <c r="BP1771" t="s">
        <v>74</v>
      </c>
      <c r="BQ1771" t="s">
        <v>74</v>
      </c>
      <c r="BR1771" t="s">
        <v>102</v>
      </c>
      <c r="BS1771" t="s">
        <v>22172</v>
      </c>
      <c r="BT1771" t="str">
        <f>HYPERLINK("https%3A%2F%2Fwww.webofscience.com%2Fwos%2Fwoscc%2Ffull-record%2FWOS:001594953500001","View Full Record in Web of Science")</f>
        <v>View Full Record in Web of Science</v>
      </c>
    </row>
    <row r="1772" spans="1:72" x14ac:dyDescent="0.25">
      <c r="A1772" t="s">
        <v>72</v>
      </c>
      <c r="B1772" t="s">
        <v>22171</v>
      </c>
      <c r="C1772" t="s">
        <v>74</v>
      </c>
      <c r="D1772" t="s">
        <v>74</v>
      </c>
      <c r="E1772" t="s">
        <v>74</v>
      </c>
      <c r="F1772" t="s">
        <v>22170</v>
      </c>
      <c r="G1772" t="s">
        <v>74</v>
      </c>
      <c r="H1772" t="s">
        <v>74</v>
      </c>
      <c r="I1772" t="s">
        <v>22169</v>
      </c>
      <c r="J1772" t="s">
        <v>7064</v>
      </c>
      <c r="K1772" t="s">
        <v>74</v>
      </c>
      <c r="L1772" t="s">
        <v>74</v>
      </c>
      <c r="M1772" t="s">
        <v>78</v>
      </c>
      <c r="N1772" t="s">
        <v>79</v>
      </c>
      <c r="O1772" t="s">
        <v>74</v>
      </c>
      <c r="P1772" t="s">
        <v>74</v>
      </c>
      <c r="Q1772" t="s">
        <v>74</v>
      </c>
      <c r="R1772" t="s">
        <v>74</v>
      </c>
      <c r="S1772" t="s">
        <v>74</v>
      </c>
      <c r="T1772" t="s">
        <v>22168</v>
      </c>
      <c r="U1772" t="s">
        <v>74</v>
      </c>
      <c r="V1772" t="s">
        <v>22167</v>
      </c>
      <c r="W1772" t="s">
        <v>22166</v>
      </c>
      <c r="X1772" t="s">
        <v>22165</v>
      </c>
      <c r="Y1772" t="s">
        <v>22164</v>
      </c>
      <c r="Z1772" t="s">
        <v>22163</v>
      </c>
      <c r="AA1772" t="s">
        <v>22162</v>
      </c>
      <c r="AB1772" t="s">
        <v>74</v>
      </c>
      <c r="AC1772" t="s">
        <v>74</v>
      </c>
      <c r="AD1772" t="s">
        <v>74</v>
      </c>
      <c r="AE1772" t="s">
        <v>74</v>
      </c>
      <c r="AF1772" t="s">
        <v>74</v>
      </c>
      <c r="AG1772">
        <v>22</v>
      </c>
      <c r="AH1772">
        <v>0</v>
      </c>
      <c r="AI1772">
        <v>0</v>
      </c>
      <c r="AJ1772">
        <v>1</v>
      </c>
      <c r="AK1772">
        <v>1</v>
      </c>
      <c r="AL1772" t="s">
        <v>8503</v>
      </c>
      <c r="AM1772" t="s">
        <v>995</v>
      </c>
      <c r="AN1772" t="s">
        <v>8504</v>
      </c>
      <c r="AO1772" t="s">
        <v>74</v>
      </c>
      <c r="AP1772" t="s">
        <v>7076</v>
      </c>
      <c r="AQ1772" t="s">
        <v>74</v>
      </c>
      <c r="AR1772" t="s">
        <v>7064</v>
      </c>
      <c r="AS1772" t="s">
        <v>7077</v>
      </c>
      <c r="AT1772" t="s">
        <v>22161</v>
      </c>
      <c r="AU1772">
        <v>2025</v>
      </c>
      <c r="AV1772">
        <v>25</v>
      </c>
      <c r="AW1772">
        <v>1</v>
      </c>
      <c r="AX1772" t="s">
        <v>74</v>
      </c>
      <c r="AY1772" t="s">
        <v>74</v>
      </c>
      <c r="AZ1772" t="s">
        <v>74</v>
      </c>
      <c r="BA1772" t="s">
        <v>74</v>
      </c>
      <c r="BB1772" t="s">
        <v>74</v>
      </c>
      <c r="BC1772" t="s">
        <v>74</v>
      </c>
      <c r="BD1772">
        <v>3426</v>
      </c>
      <c r="BE1772" t="s">
        <v>22160</v>
      </c>
      <c r="BF1772" t="str">
        <f>HYPERLINK("http://dx.doi.org/10.1186/s12889-025-24643-7","http://dx.doi.org/10.1186/s12889-025-24643-7")</f>
        <v>http://dx.doi.org/10.1186/s12889-025-24643-7</v>
      </c>
      <c r="BG1772" t="s">
        <v>74</v>
      </c>
      <c r="BH1772" t="s">
        <v>74</v>
      </c>
      <c r="BI1772">
        <v>11</v>
      </c>
      <c r="BJ1772" t="s">
        <v>7080</v>
      </c>
      <c r="BK1772" t="s">
        <v>128</v>
      </c>
      <c r="BL1772" t="s">
        <v>7080</v>
      </c>
      <c r="BM1772" t="s">
        <v>22159</v>
      </c>
      <c r="BN1772">
        <v>41068771</v>
      </c>
      <c r="BO1772" t="s">
        <v>916</v>
      </c>
      <c r="BP1772" t="s">
        <v>74</v>
      </c>
      <c r="BQ1772" t="s">
        <v>74</v>
      </c>
      <c r="BR1772" t="s">
        <v>102</v>
      </c>
      <c r="BS1772" t="s">
        <v>22158</v>
      </c>
      <c r="BT1772" t="str">
        <f>HYPERLINK("https%3A%2F%2Fwww.webofscience.com%2Fwos%2Fwoscc%2Ffull-record%2FWOS:001591587500036","View Full Record in Web of Science")</f>
        <v>View Full Record in Web of Science</v>
      </c>
    </row>
    <row r="1773" spans="1:72" x14ac:dyDescent="0.25">
      <c r="A1773" t="s">
        <v>72</v>
      </c>
      <c r="B1773" t="s">
        <v>22157</v>
      </c>
      <c r="C1773" t="s">
        <v>74</v>
      </c>
      <c r="D1773" t="s">
        <v>74</v>
      </c>
      <c r="E1773" t="s">
        <v>74</v>
      </c>
      <c r="F1773" t="s">
        <v>22156</v>
      </c>
      <c r="G1773" t="s">
        <v>74</v>
      </c>
      <c r="H1773" t="s">
        <v>74</v>
      </c>
      <c r="I1773" t="s">
        <v>22155</v>
      </c>
      <c r="J1773" t="s">
        <v>424</v>
      </c>
      <c r="K1773" t="s">
        <v>74</v>
      </c>
      <c r="L1773" t="s">
        <v>74</v>
      </c>
      <c r="M1773" t="s">
        <v>78</v>
      </c>
      <c r="N1773" t="s">
        <v>1766</v>
      </c>
      <c r="O1773" t="s">
        <v>74</v>
      </c>
      <c r="P1773" t="s">
        <v>74</v>
      </c>
      <c r="Q1773" t="s">
        <v>74</v>
      </c>
      <c r="R1773" t="s">
        <v>74</v>
      </c>
      <c r="S1773" t="s">
        <v>74</v>
      </c>
      <c r="T1773" t="s">
        <v>22154</v>
      </c>
      <c r="U1773" t="s">
        <v>22153</v>
      </c>
      <c r="V1773" t="s">
        <v>22152</v>
      </c>
      <c r="W1773" t="s">
        <v>22151</v>
      </c>
      <c r="X1773" t="s">
        <v>22150</v>
      </c>
      <c r="Y1773" t="s">
        <v>22149</v>
      </c>
      <c r="Z1773" t="s">
        <v>22148</v>
      </c>
      <c r="AA1773" t="s">
        <v>22147</v>
      </c>
      <c r="AB1773" t="s">
        <v>22146</v>
      </c>
      <c r="AC1773" t="s">
        <v>22145</v>
      </c>
      <c r="AD1773" t="s">
        <v>22145</v>
      </c>
      <c r="AE1773" t="s">
        <v>22144</v>
      </c>
      <c r="AF1773" t="s">
        <v>74</v>
      </c>
      <c r="AG1773">
        <v>222</v>
      </c>
      <c r="AH1773">
        <v>80</v>
      </c>
      <c r="AI1773">
        <v>103</v>
      </c>
      <c r="AJ1773">
        <v>3</v>
      </c>
      <c r="AK1773">
        <v>96</v>
      </c>
      <c r="AL1773" t="s">
        <v>89</v>
      </c>
      <c r="AM1773" t="s">
        <v>90</v>
      </c>
      <c r="AN1773" t="s">
        <v>91</v>
      </c>
      <c r="AO1773" t="s">
        <v>436</v>
      </c>
      <c r="AP1773" t="s">
        <v>437</v>
      </c>
      <c r="AQ1773" t="s">
        <v>74</v>
      </c>
      <c r="AR1773" t="s">
        <v>438</v>
      </c>
      <c r="AS1773" t="s">
        <v>439</v>
      </c>
      <c r="AT1773" t="s">
        <v>4361</v>
      </c>
      <c r="AU1773">
        <v>2022</v>
      </c>
      <c r="AV1773">
        <v>40</v>
      </c>
      <c r="AW1773">
        <v>7</v>
      </c>
      <c r="AX1773" t="s">
        <v>74</v>
      </c>
      <c r="AY1773" t="s">
        <v>74</v>
      </c>
      <c r="AZ1773" t="s">
        <v>74</v>
      </c>
      <c r="BA1773" t="s">
        <v>74</v>
      </c>
      <c r="BB1773">
        <v>1680</v>
      </c>
      <c r="BC1773">
        <v>1717</v>
      </c>
      <c r="BD1773" t="s">
        <v>74</v>
      </c>
      <c r="BE1773" t="s">
        <v>22143</v>
      </c>
      <c r="BF1773" t="str">
        <f>HYPERLINK("http://dx.doi.org/10.1108/IJBM-05-2022-0185","http://dx.doi.org/10.1108/IJBM-05-2022-0185")</f>
        <v>http://dx.doi.org/10.1108/IJBM-05-2022-0185</v>
      </c>
      <c r="BG1773" t="s">
        <v>74</v>
      </c>
      <c r="BH1773" t="s">
        <v>6014</v>
      </c>
      <c r="BI1773">
        <v>38</v>
      </c>
      <c r="BJ1773" t="s">
        <v>418</v>
      </c>
      <c r="BK1773" t="s">
        <v>99</v>
      </c>
      <c r="BL1773" t="s">
        <v>100</v>
      </c>
      <c r="BM1773" t="s">
        <v>22142</v>
      </c>
      <c r="BN1773" t="s">
        <v>74</v>
      </c>
      <c r="BO1773" t="s">
        <v>74</v>
      </c>
      <c r="BP1773" t="s">
        <v>74</v>
      </c>
      <c r="BQ1773" t="s">
        <v>74</v>
      </c>
      <c r="BR1773" t="s">
        <v>102</v>
      </c>
      <c r="BS1773" t="s">
        <v>22141</v>
      </c>
      <c r="BT1773" t="str">
        <f>HYPERLINK("https%3A%2F%2Fwww.webofscience.com%2Fwos%2Fwoscc%2Ffull-record%2FWOS:000850275000001","View Full Record in Web of Science")</f>
        <v>View Full Record in Web of Science</v>
      </c>
    </row>
    <row r="1774" spans="1:72" x14ac:dyDescent="0.25">
      <c r="A1774" t="s">
        <v>72</v>
      </c>
      <c r="B1774" t="s">
        <v>22140</v>
      </c>
      <c r="C1774" t="s">
        <v>74</v>
      </c>
      <c r="D1774" t="s">
        <v>74</v>
      </c>
      <c r="E1774" t="s">
        <v>74</v>
      </c>
      <c r="F1774" t="s">
        <v>22139</v>
      </c>
      <c r="G1774" t="s">
        <v>74</v>
      </c>
      <c r="H1774" t="s">
        <v>74</v>
      </c>
      <c r="I1774" t="s">
        <v>22138</v>
      </c>
      <c r="J1774" t="s">
        <v>22137</v>
      </c>
      <c r="K1774" t="s">
        <v>74</v>
      </c>
      <c r="L1774" t="s">
        <v>74</v>
      </c>
      <c r="M1774" t="s">
        <v>78</v>
      </c>
      <c r="N1774" t="s">
        <v>79</v>
      </c>
      <c r="O1774" t="s">
        <v>74</v>
      </c>
      <c r="P1774" t="s">
        <v>74</v>
      </c>
      <c r="Q1774" t="s">
        <v>74</v>
      </c>
      <c r="R1774" t="s">
        <v>74</v>
      </c>
      <c r="S1774" t="s">
        <v>74</v>
      </c>
      <c r="T1774" t="s">
        <v>22136</v>
      </c>
      <c r="U1774" t="s">
        <v>2337</v>
      </c>
      <c r="V1774" t="s">
        <v>22135</v>
      </c>
      <c r="W1774" t="s">
        <v>22134</v>
      </c>
      <c r="X1774" t="s">
        <v>22133</v>
      </c>
      <c r="Y1774" t="s">
        <v>22132</v>
      </c>
      <c r="Z1774" t="s">
        <v>22131</v>
      </c>
      <c r="AA1774" t="s">
        <v>22130</v>
      </c>
      <c r="AB1774" t="s">
        <v>22129</v>
      </c>
      <c r="AC1774" t="s">
        <v>74</v>
      </c>
      <c r="AD1774" t="s">
        <v>74</v>
      </c>
      <c r="AE1774" t="s">
        <v>74</v>
      </c>
      <c r="AF1774" t="s">
        <v>74</v>
      </c>
      <c r="AG1774">
        <v>32</v>
      </c>
      <c r="AH1774">
        <v>4</v>
      </c>
      <c r="AI1774">
        <v>4</v>
      </c>
      <c r="AJ1774">
        <v>0</v>
      </c>
      <c r="AK1774">
        <v>5</v>
      </c>
      <c r="AL1774" t="s">
        <v>22128</v>
      </c>
      <c r="AM1774" t="s">
        <v>22127</v>
      </c>
      <c r="AN1774" t="s">
        <v>22126</v>
      </c>
      <c r="AO1774" t="s">
        <v>22125</v>
      </c>
      <c r="AP1774" t="s">
        <v>74</v>
      </c>
      <c r="AQ1774" t="s">
        <v>74</v>
      </c>
      <c r="AR1774" t="s">
        <v>22124</v>
      </c>
      <c r="AS1774" t="s">
        <v>22123</v>
      </c>
      <c r="AT1774" t="s">
        <v>74</v>
      </c>
      <c r="AU1774">
        <v>2023</v>
      </c>
      <c r="AV1774">
        <v>18</v>
      </c>
      <c r="AW1774">
        <v>3</v>
      </c>
      <c r="AX1774" t="s">
        <v>74</v>
      </c>
      <c r="AY1774" t="s">
        <v>74</v>
      </c>
      <c r="AZ1774" t="s">
        <v>74</v>
      </c>
      <c r="BA1774" t="s">
        <v>74</v>
      </c>
      <c r="BB1774">
        <v>1</v>
      </c>
      <c r="BC1774">
        <v>20</v>
      </c>
      <c r="BD1774" t="s">
        <v>74</v>
      </c>
      <c r="BE1774" t="s">
        <v>74</v>
      </c>
      <c r="BF1774" t="s">
        <v>74</v>
      </c>
      <c r="BG1774" t="s">
        <v>74</v>
      </c>
      <c r="BH1774" t="s">
        <v>74</v>
      </c>
      <c r="BI1774">
        <v>20</v>
      </c>
      <c r="BJ1774" t="s">
        <v>1137</v>
      </c>
      <c r="BK1774" t="s">
        <v>313</v>
      </c>
      <c r="BL1774" t="s">
        <v>1137</v>
      </c>
      <c r="BM1774" t="s">
        <v>22122</v>
      </c>
      <c r="BN1774" t="s">
        <v>74</v>
      </c>
      <c r="BO1774" t="s">
        <v>74</v>
      </c>
      <c r="BP1774" t="s">
        <v>74</v>
      </c>
      <c r="BQ1774" t="s">
        <v>74</v>
      </c>
      <c r="BR1774" t="s">
        <v>102</v>
      </c>
      <c r="BS1774" t="s">
        <v>22121</v>
      </c>
      <c r="BT1774" t="str">
        <f>HYPERLINK("https%3A%2F%2Fwww.webofscience.com%2Fwos%2Fwoscc%2Ffull-record%2FWOS:001080269900001","View Full Record in Web of Science")</f>
        <v>View Full Record in Web of Science</v>
      </c>
    </row>
    <row r="1775" spans="1:72" x14ac:dyDescent="0.25">
      <c r="A1775" t="s">
        <v>72</v>
      </c>
      <c r="B1775" t="s">
        <v>22120</v>
      </c>
      <c r="C1775" t="s">
        <v>74</v>
      </c>
      <c r="D1775" t="s">
        <v>74</v>
      </c>
      <c r="E1775" t="s">
        <v>74</v>
      </c>
      <c r="F1775" t="s">
        <v>22119</v>
      </c>
      <c r="G1775" t="s">
        <v>74</v>
      </c>
      <c r="H1775" t="s">
        <v>74</v>
      </c>
      <c r="I1775" t="s">
        <v>22118</v>
      </c>
      <c r="J1775" t="s">
        <v>22117</v>
      </c>
      <c r="K1775" t="s">
        <v>74</v>
      </c>
      <c r="L1775" t="s">
        <v>74</v>
      </c>
      <c r="M1775" t="s">
        <v>78</v>
      </c>
      <c r="N1775" t="s">
        <v>79</v>
      </c>
      <c r="O1775" t="s">
        <v>74</v>
      </c>
      <c r="P1775" t="s">
        <v>74</v>
      </c>
      <c r="Q1775" t="s">
        <v>74</v>
      </c>
      <c r="R1775" t="s">
        <v>74</v>
      </c>
      <c r="S1775" t="s">
        <v>74</v>
      </c>
      <c r="T1775" t="s">
        <v>22116</v>
      </c>
      <c r="U1775" t="s">
        <v>74</v>
      </c>
      <c r="V1775" t="s">
        <v>22115</v>
      </c>
      <c r="W1775" t="s">
        <v>22114</v>
      </c>
      <c r="X1775" t="s">
        <v>74</v>
      </c>
      <c r="Y1775" t="s">
        <v>22113</v>
      </c>
      <c r="Z1775" t="s">
        <v>22112</v>
      </c>
      <c r="AA1775" t="s">
        <v>74</v>
      </c>
      <c r="AB1775" t="s">
        <v>74</v>
      </c>
      <c r="AC1775" t="s">
        <v>74</v>
      </c>
      <c r="AD1775" t="s">
        <v>74</v>
      </c>
      <c r="AE1775" t="s">
        <v>74</v>
      </c>
      <c r="AF1775" t="s">
        <v>74</v>
      </c>
      <c r="AG1775">
        <v>22</v>
      </c>
      <c r="AH1775">
        <v>34</v>
      </c>
      <c r="AI1775">
        <v>62</v>
      </c>
      <c r="AJ1775">
        <v>1</v>
      </c>
      <c r="AK1775">
        <v>23</v>
      </c>
      <c r="AL1775" t="s">
        <v>757</v>
      </c>
      <c r="AM1775" t="s">
        <v>758</v>
      </c>
      <c r="AN1775" t="s">
        <v>759</v>
      </c>
      <c r="AO1775" t="s">
        <v>22111</v>
      </c>
      <c r="AP1775" t="s">
        <v>74</v>
      </c>
      <c r="AQ1775" t="s">
        <v>74</v>
      </c>
      <c r="AR1775" t="s">
        <v>22110</v>
      </c>
      <c r="AS1775" t="s">
        <v>22109</v>
      </c>
      <c r="AT1775" t="s">
        <v>289</v>
      </c>
      <c r="AU1775">
        <v>2010</v>
      </c>
      <c r="AV1775">
        <v>60</v>
      </c>
      <c r="AW1775">
        <v>4</v>
      </c>
      <c r="AX1775" t="s">
        <v>74</v>
      </c>
      <c r="AY1775" t="s">
        <v>74</v>
      </c>
      <c r="AZ1775" t="s">
        <v>74</v>
      </c>
      <c r="BA1775" t="s">
        <v>74</v>
      </c>
      <c r="BB1775">
        <v>357</v>
      </c>
      <c r="BC1775">
        <v>376</v>
      </c>
      <c r="BD1775" t="s">
        <v>74</v>
      </c>
      <c r="BE1775" t="s">
        <v>22108</v>
      </c>
      <c r="BF1775" t="str">
        <f>HYPERLINK("http://dx.doi.org/10.1177/0741713609358449","http://dx.doi.org/10.1177/0741713609358449")</f>
        <v>http://dx.doi.org/10.1177/0741713609358449</v>
      </c>
      <c r="BG1775" t="s">
        <v>74</v>
      </c>
      <c r="BH1775" t="s">
        <v>74</v>
      </c>
      <c r="BI1775">
        <v>20</v>
      </c>
      <c r="BJ1775" t="s">
        <v>4031</v>
      </c>
      <c r="BK1775" t="s">
        <v>99</v>
      </c>
      <c r="BL1775" t="s">
        <v>4031</v>
      </c>
      <c r="BM1775" t="s">
        <v>22107</v>
      </c>
      <c r="BN1775" t="s">
        <v>74</v>
      </c>
      <c r="BO1775" t="s">
        <v>74</v>
      </c>
      <c r="BP1775" t="s">
        <v>74</v>
      </c>
      <c r="BQ1775" t="s">
        <v>74</v>
      </c>
      <c r="BR1775" t="s">
        <v>102</v>
      </c>
      <c r="BS1775" t="s">
        <v>22106</v>
      </c>
      <c r="BT1775" t="str">
        <f>HYPERLINK("https%3A%2F%2Fwww.webofscience.com%2Fwos%2Fwoscc%2Ffull-record%2FWOS:000280680400003","View Full Record in Web of Science")</f>
        <v>View Full Record in Web of Science</v>
      </c>
    </row>
    <row r="1776" spans="1:72" x14ac:dyDescent="0.25">
      <c r="A1776" t="s">
        <v>72</v>
      </c>
      <c r="B1776" t="s">
        <v>22105</v>
      </c>
      <c r="C1776" t="s">
        <v>74</v>
      </c>
      <c r="D1776" t="s">
        <v>74</v>
      </c>
      <c r="E1776" t="s">
        <v>74</v>
      </c>
      <c r="F1776" t="s">
        <v>22104</v>
      </c>
      <c r="G1776" t="s">
        <v>74</v>
      </c>
      <c r="H1776" t="s">
        <v>74</v>
      </c>
      <c r="I1776" t="s">
        <v>22103</v>
      </c>
      <c r="J1776" t="s">
        <v>22091</v>
      </c>
      <c r="K1776" t="s">
        <v>74</v>
      </c>
      <c r="L1776" t="s">
        <v>74</v>
      </c>
      <c r="M1776" t="s">
        <v>78</v>
      </c>
      <c r="N1776" t="s">
        <v>79</v>
      </c>
      <c r="O1776" t="s">
        <v>74</v>
      </c>
      <c r="P1776" t="s">
        <v>74</v>
      </c>
      <c r="Q1776" t="s">
        <v>74</v>
      </c>
      <c r="R1776" t="s">
        <v>74</v>
      </c>
      <c r="S1776" t="s">
        <v>74</v>
      </c>
      <c r="T1776" t="s">
        <v>22102</v>
      </c>
      <c r="U1776" t="s">
        <v>22101</v>
      </c>
      <c r="V1776" t="s">
        <v>22100</v>
      </c>
      <c r="W1776" t="s">
        <v>22099</v>
      </c>
      <c r="X1776" t="s">
        <v>22098</v>
      </c>
      <c r="Y1776" t="s">
        <v>22097</v>
      </c>
      <c r="Z1776" t="s">
        <v>22096</v>
      </c>
      <c r="AA1776" t="s">
        <v>22095</v>
      </c>
      <c r="AB1776" t="s">
        <v>22094</v>
      </c>
      <c r="AC1776" t="s">
        <v>74</v>
      </c>
      <c r="AD1776" t="s">
        <v>74</v>
      </c>
      <c r="AE1776" t="s">
        <v>74</v>
      </c>
      <c r="AF1776" t="s">
        <v>74</v>
      </c>
      <c r="AG1776">
        <v>86</v>
      </c>
      <c r="AH1776">
        <v>21</v>
      </c>
      <c r="AI1776">
        <v>34</v>
      </c>
      <c r="AJ1776">
        <v>2</v>
      </c>
      <c r="AK1776">
        <v>29</v>
      </c>
      <c r="AL1776" t="s">
        <v>89</v>
      </c>
      <c r="AM1776" t="s">
        <v>1497</v>
      </c>
      <c r="AN1776" t="s">
        <v>1498</v>
      </c>
      <c r="AO1776" t="s">
        <v>22093</v>
      </c>
      <c r="AP1776" t="s">
        <v>22092</v>
      </c>
      <c r="AQ1776" t="s">
        <v>74</v>
      </c>
      <c r="AR1776" t="s">
        <v>22091</v>
      </c>
      <c r="AS1776" t="s">
        <v>22090</v>
      </c>
      <c r="AT1776" t="s">
        <v>74</v>
      </c>
      <c r="AU1776">
        <v>2016</v>
      </c>
      <c r="AV1776">
        <v>32</v>
      </c>
      <c r="AW1776">
        <v>3</v>
      </c>
      <c r="AX1776" t="s">
        <v>74</v>
      </c>
      <c r="AY1776" t="s">
        <v>74</v>
      </c>
      <c r="AZ1776" t="s">
        <v>74</v>
      </c>
      <c r="BA1776" t="s">
        <v>74</v>
      </c>
      <c r="BB1776">
        <v>328</v>
      </c>
      <c r="BC1776">
        <v>351</v>
      </c>
      <c r="BD1776" t="s">
        <v>74</v>
      </c>
      <c r="BE1776" t="s">
        <v>22089</v>
      </c>
      <c r="BF1776" t="str">
        <f>HYPERLINK("http://dx.doi.org/10.1108/H-09-2015-0061","http://dx.doi.org/10.1108/H-09-2015-0061")</f>
        <v>http://dx.doi.org/10.1108/H-09-2015-0061</v>
      </c>
      <c r="BG1776" t="s">
        <v>74</v>
      </c>
      <c r="BH1776" t="s">
        <v>74</v>
      </c>
      <c r="BI1776">
        <v>24</v>
      </c>
      <c r="BJ1776" t="s">
        <v>291</v>
      </c>
      <c r="BK1776" t="s">
        <v>313</v>
      </c>
      <c r="BL1776" t="s">
        <v>100</v>
      </c>
      <c r="BM1776" t="s">
        <v>22088</v>
      </c>
      <c r="BN1776" t="s">
        <v>74</v>
      </c>
      <c r="BO1776" t="s">
        <v>74</v>
      </c>
      <c r="BP1776" t="s">
        <v>74</v>
      </c>
      <c r="BQ1776" t="s">
        <v>74</v>
      </c>
      <c r="BR1776" t="s">
        <v>102</v>
      </c>
      <c r="BS1776" t="s">
        <v>22087</v>
      </c>
      <c r="BT1776" t="str">
        <f>HYPERLINK("https%3A%2F%2Fwww.webofscience.com%2Fwos%2Fwoscc%2Ffull-record%2FWOS:000386024100006","View Full Record in Web of Science")</f>
        <v>View Full Record in Web of Science</v>
      </c>
    </row>
    <row r="1777" spans="1:72" x14ac:dyDescent="0.25">
      <c r="A1777" t="s">
        <v>72</v>
      </c>
      <c r="B1777" t="s">
        <v>22086</v>
      </c>
      <c r="C1777" t="s">
        <v>74</v>
      </c>
      <c r="D1777" t="s">
        <v>74</v>
      </c>
      <c r="E1777" t="s">
        <v>74</v>
      </c>
      <c r="F1777" t="s">
        <v>22085</v>
      </c>
      <c r="G1777" t="s">
        <v>74</v>
      </c>
      <c r="H1777" t="s">
        <v>74</v>
      </c>
      <c r="I1777" t="s">
        <v>22084</v>
      </c>
      <c r="J1777" t="s">
        <v>22083</v>
      </c>
      <c r="K1777" t="s">
        <v>74</v>
      </c>
      <c r="L1777" t="s">
        <v>74</v>
      </c>
      <c r="M1777" t="s">
        <v>78</v>
      </c>
      <c r="N1777" t="s">
        <v>79</v>
      </c>
      <c r="O1777" t="s">
        <v>74</v>
      </c>
      <c r="P1777" t="s">
        <v>74</v>
      </c>
      <c r="Q1777" t="s">
        <v>74</v>
      </c>
      <c r="R1777" t="s">
        <v>74</v>
      </c>
      <c r="S1777" t="s">
        <v>74</v>
      </c>
      <c r="T1777" t="s">
        <v>22082</v>
      </c>
      <c r="U1777" t="s">
        <v>74</v>
      </c>
      <c r="V1777" t="s">
        <v>22081</v>
      </c>
      <c r="W1777" t="s">
        <v>22080</v>
      </c>
      <c r="X1777" t="s">
        <v>22079</v>
      </c>
      <c r="Y1777" t="s">
        <v>22078</v>
      </c>
      <c r="Z1777" t="s">
        <v>22077</v>
      </c>
      <c r="AA1777" t="s">
        <v>22076</v>
      </c>
      <c r="AB1777" t="s">
        <v>22075</v>
      </c>
      <c r="AC1777" t="s">
        <v>22074</v>
      </c>
      <c r="AD1777" t="s">
        <v>22073</v>
      </c>
      <c r="AE1777" t="s">
        <v>22072</v>
      </c>
      <c r="AF1777" t="s">
        <v>74</v>
      </c>
      <c r="AG1777">
        <v>5</v>
      </c>
      <c r="AH1777">
        <v>2</v>
      </c>
      <c r="AI1777">
        <v>2</v>
      </c>
      <c r="AJ1777">
        <v>2</v>
      </c>
      <c r="AK1777">
        <v>10</v>
      </c>
      <c r="AL1777" t="s">
        <v>332</v>
      </c>
      <c r="AM1777" t="s">
        <v>333</v>
      </c>
      <c r="AN1777" t="s">
        <v>334</v>
      </c>
      <c r="AO1777" t="s">
        <v>22071</v>
      </c>
      <c r="AP1777" t="s">
        <v>22070</v>
      </c>
      <c r="AQ1777" t="s">
        <v>74</v>
      </c>
      <c r="AR1777" t="s">
        <v>22069</v>
      </c>
      <c r="AS1777" t="s">
        <v>22068</v>
      </c>
      <c r="AT1777" t="s">
        <v>11149</v>
      </c>
      <c r="AU1777">
        <v>2025</v>
      </c>
      <c r="AV1777">
        <v>40</v>
      </c>
      <c r="AW1777">
        <v>10</v>
      </c>
      <c r="AX1777" t="s">
        <v>74</v>
      </c>
      <c r="AY1777" t="s">
        <v>74</v>
      </c>
      <c r="AZ1777" t="s">
        <v>74</v>
      </c>
      <c r="BA1777" t="s">
        <v>74</v>
      </c>
      <c r="BB1777">
        <v>2928</v>
      </c>
      <c r="BC1777">
        <v>2933</v>
      </c>
      <c r="BD1777" t="s">
        <v>74</v>
      </c>
      <c r="BE1777" t="s">
        <v>22067</v>
      </c>
      <c r="BF1777" t="str">
        <f>HYPERLINK("http://dx.doi.org/10.1080/09687599.2024.2411530","http://dx.doi.org/10.1080/09687599.2024.2411530")</f>
        <v>http://dx.doi.org/10.1080/09687599.2024.2411530</v>
      </c>
      <c r="BG1777" t="s">
        <v>74</v>
      </c>
      <c r="BH1777" t="s">
        <v>9389</v>
      </c>
      <c r="BI1777">
        <v>6</v>
      </c>
      <c r="BJ1777" t="s">
        <v>22066</v>
      </c>
      <c r="BK1777" t="s">
        <v>99</v>
      </c>
      <c r="BL1777" t="s">
        <v>22065</v>
      </c>
      <c r="BM1777" t="s">
        <v>22064</v>
      </c>
      <c r="BN1777" t="s">
        <v>74</v>
      </c>
      <c r="BO1777" t="s">
        <v>74</v>
      </c>
      <c r="BP1777" t="s">
        <v>74</v>
      </c>
      <c r="BQ1777" t="s">
        <v>74</v>
      </c>
      <c r="BR1777" t="s">
        <v>102</v>
      </c>
      <c r="BS1777" t="s">
        <v>22063</v>
      </c>
      <c r="BT1777" t="str">
        <f>HYPERLINK("https%3A%2F%2Fwww.webofscience.com%2Fwos%2Fwoscc%2Ffull-record%2FWOS:001325976900001","View Full Record in Web of Science")</f>
        <v>View Full Record in Web of Science</v>
      </c>
    </row>
    <row r="1778" spans="1:72" x14ac:dyDescent="0.25">
      <c r="A1778" t="s">
        <v>72</v>
      </c>
      <c r="B1778" t="s">
        <v>22062</v>
      </c>
      <c r="C1778" t="s">
        <v>74</v>
      </c>
      <c r="D1778" t="s">
        <v>74</v>
      </c>
      <c r="E1778" t="s">
        <v>74</v>
      </c>
      <c r="F1778" t="s">
        <v>22061</v>
      </c>
      <c r="G1778" t="s">
        <v>74</v>
      </c>
      <c r="H1778" t="s">
        <v>74</v>
      </c>
      <c r="I1778" t="s">
        <v>22060</v>
      </c>
      <c r="J1778" t="s">
        <v>11879</v>
      </c>
      <c r="K1778" t="s">
        <v>74</v>
      </c>
      <c r="L1778" t="s">
        <v>74</v>
      </c>
      <c r="M1778" t="s">
        <v>78</v>
      </c>
      <c r="N1778" t="s">
        <v>79</v>
      </c>
      <c r="O1778" t="s">
        <v>74</v>
      </c>
      <c r="P1778" t="s">
        <v>74</v>
      </c>
      <c r="Q1778" t="s">
        <v>74</v>
      </c>
      <c r="R1778" t="s">
        <v>74</v>
      </c>
      <c r="S1778" t="s">
        <v>74</v>
      </c>
      <c r="T1778" t="s">
        <v>22059</v>
      </c>
      <c r="U1778" t="s">
        <v>22058</v>
      </c>
      <c r="V1778" t="s">
        <v>22057</v>
      </c>
      <c r="W1778" t="s">
        <v>22056</v>
      </c>
      <c r="X1778" t="s">
        <v>22055</v>
      </c>
      <c r="Y1778" t="s">
        <v>22054</v>
      </c>
      <c r="Z1778" t="s">
        <v>22053</v>
      </c>
      <c r="AA1778" t="s">
        <v>22052</v>
      </c>
      <c r="AB1778" t="s">
        <v>22051</v>
      </c>
      <c r="AC1778" t="s">
        <v>22050</v>
      </c>
      <c r="AD1778" t="s">
        <v>22049</v>
      </c>
      <c r="AE1778" t="s">
        <v>22048</v>
      </c>
      <c r="AF1778" t="s">
        <v>74</v>
      </c>
      <c r="AG1778">
        <v>55</v>
      </c>
      <c r="AH1778">
        <v>32</v>
      </c>
      <c r="AI1778">
        <v>39</v>
      </c>
      <c r="AJ1778">
        <v>1</v>
      </c>
      <c r="AK1778">
        <v>18</v>
      </c>
      <c r="AL1778" t="s">
        <v>201</v>
      </c>
      <c r="AM1778" t="s">
        <v>202</v>
      </c>
      <c r="AN1778" t="s">
        <v>203</v>
      </c>
      <c r="AO1778" t="s">
        <v>11889</v>
      </c>
      <c r="AP1778" t="s">
        <v>11890</v>
      </c>
      <c r="AQ1778" t="s">
        <v>74</v>
      </c>
      <c r="AR1778" t="s">
        <v>11891</v>
      </c>
      <c r="AS1778" t="s">
        <v>11892</v>
      </c>
      <c r="AT1778" t="s">
        <v>208</v>
      </c>
      <c r="AU1778">
        <v>2022</v>
      </c>
      <c r="AV1778">
        <v>22</v>
      </c>
      <c r="AW1778">
        <v>1</v>
      </c>
      <c r="AX1778" t="s">
        <v>74</v>
      </c>
      <c r="AY1778" t="s">
        <v>74</v>
      </c>
      <c r="AZ1778" t="s">
        <v>74</v>
      </c>
      <c r="BA1778" t="s">
        <v>74</v>
      </c>
      <c r="BB1778">
        <v>47</v>
      </c>
      <c r="BC1778">
        <v>56</v>
      </c>
      <c r="BD1778" t="s">
        <v>74</v>
      </c>
      <c r="BE1778" t="s">
        <v>22047</v>
      </c>
      <c r="BF1778" t="str">
        <f>HYPERLINK("http://dx.doi.org/10.1016/j.bir.2020.12.007","http://dx.doi.org/10.1016/j.bir.2020.12.007")</f>
        <v>http://dx.doi.org/10.1016/j.bir.2020.12.007</v>
      </c>
      <c r="BG1778" t="s">
        <v>74</v>
      </c>
      <c r="BH1778" t="s">
        <v>74</v>
      </c>
      <c r="BI1778">
        <v>10</v>
      </c>
      <c r="BJ1778" t="s">
        <v>210</v>
      </c>
      <c r="BK1778" t="s">
        <v>99</v>
      </c>
      <c r="BL1778" t="s">
        <v>100</v>
      </c>
      <c r="BM1778" t="s">
        <v>22046</v>
      </c>
      <c r="BN1778" t="s">
        <v>74</v>
      </c>
      <c r="BO1778" t="s">
        <v>916</v>
      </c>
      <c r="BP1778" t="s">
        <v>74</v>
      </c>
      <c r="BQ1778" t="s">
        <v>74</v>
      </c>
      <c r="BR1778" t="s">
        <v>102</v>
      </c>
      <c r="BS1778" t="s">
        <v>22045</v>
      </c>
      <c r="BT1778" t="str">
        <f>HYPERLINK("https%3A%2F%2Fwww.webofscience.com%2Fwos%2Fwoscc%2Ffull-record%2FWOS:000800912700005","View Full Record in Web of Science")</f>
        <v>View Full Record in Web of Science</v>
      </c>
    </row>
    <row r="1779" spans="1:72" x14ac:dyDescent="0.25">
      <c r="A1779" t="s">
        <v>72</v>
      </c>
      <c r="B1779" t="s">
        <v>22044</v>
      </c>
      <c r="C1779" t="s">
        <v>74</v>
      </c>
      <c r="D1779" t="s">
        <v>74</v>
      </c>
      <c r="E1779" t="s">
        <v>74</v>
      </c>
      <c r="F1779" t="s">
        <v>22043</v>
      </c>
      <c r="G1779" t="s">
        <v>74</v>
      </c>
      <c r="H1779" t="s">
        <v>74</v>
      </c>
      <c r="I1779" t="s">
        <v>22042</v>
      </c>
      <c r="J1779" t="s">
        <v>22041</v>
      </c>
      <c r="K1779" t="s">
        <v>74</v>
      </c>
      <c r="L1779" t="s">
        <v>74</v>
      </c>
      <c r="M1779" t="s">
        <v>78</v>
      </c>
      <c r="N1779" t="s">
        <v>79</v>
      </c>
      <c r="O1779" t="s">
        <v>74</v>
      </c>
      <c r="P1779" t="s">
        <v>74</v>
      </c>
      <c r="Q1779" t="s">
        <v>74</v>
      </c>
      <c r="R1779" t="s">
        <v>74</v>
      </c>
      <c r="S1779" t="s">
        <v>74</v>
      </c>
      <c r="T1779" t="s">
        <v>22040</v>
      </c>
      <c r="U1779" t="s">
        <v>22039</v>
      </c>
      <c r="V1779" t="s">
        <v>22038</v>
      </c>
      <c r="W1779" t="s">
        <v>22037</v>
      </c>
      <c r="X1779" t="s">
        <v>6910</v>
      </c>
      <c r="Y1779" t="s">
        <v>22036</v>
      </c>
      <c r="Z1779" t="s">
        <v>22035</v>
      </c>
      <c r="AA1779" t="s">
        <v>74</v>
      </c>
      <c r="AB1779" t="s">
        <v>74</v>
      </c>
      <c r="AC1779" t="s">
        <v>74</v>
      </c>
      <c r="AD1779" t="s">
        <v>74</v>
      </c>
      <c r="AE1779" t="s">
        <v>74</v>
      </c>
      <c r="AF1779" t="s">
        <v>74</v>
      </c>
      <c r="AG1779">
        <v>132</v>
      </c>
      <c r="AH1779">
        <v>1</v>
      </c>
      <c r="AI1779">
        <v>1</v>
      </c>
      <c r="AJ1779">
        <v>2</v>
      </c>
      <c r="AK1779">
        <v>2</v>
      </c>
      <c r="AL1779" t="s">
        <v>201</v>
      </c>
      <c r="AM1779" t="s">
        <v>202</v>
      </c>
      <c r="AN1779" t="s">
        <v>203</v>
      </c>
      <c r="AO1779" t="s">
        <v>22034</v>
      </c>
      <c r="AP1779" t="s">
        <v>22033</v>
      </c>
      <c r="AQ1779" t="s">
        <v>74</v>
      </c>
      <c r="AR1779" t="s">
        <v>22032</v>
      </c>
      <c r="AS1779" t="s">
        <v>22031</v>
      </c>
      <c r="AT1779" t="s">
        <v>124</v>
      </c>
      <c r="AU1779">
        <v>2025</v>
      </c>
      <c r="AV1779">
        <v>102</v>
      </c>
      <c r="AW1779" t="s">
        <v>74</v>
      </c>
      <c r="AX1779" t="s">
        <v>74</v>
      </c>
      <c r="AY1779" t="s">
        <v>74</v>
      </c>
      <c r="AZ1779" t="s">
        <v>74</v>
      </c>
      <c r="BA1779" t="s">
        <v>74</v>
      </c>
      <c r="BB1779" t="s">
        <v>74</v>
      </c>
      <c r="BC1779" t="s">
        <v>74</v>
      </c>
      <c r="BD1779">
        <v>102823</v>
      </c>
      <c r="BE1779" t="s">
        <v>22030</v>
      </c>
      <c r="BF1779" t="str">
        <f>HYPERLINK("http://dx.doi.org/10.1016/j.cpa.2025.102823","http://dx.doi.org/10.1016/j.cpa.2025.102823")</f>
        <v>http://dx.doi.org/10.1016/j.cpa.2025.102823</v>
      </c>
      <c r="BG1779" t="s">
        <v>74</v>
      </c>
      <c r="BH1779" t="s">
        <v>2044</v>
      </c>
      <c r="BI1779">
        <v>18</v>
      </c>
      <c r="BJ1779" t="s">
        <v>268</v>
      </c>
      <c r="BK1779" t="s">
        <v>99</v>
      </c>
      <c r="BL1779" t="s">
        <v>100</v>
      </c>
      <c r="BM1779" t="s">
        <v>22029</v>
      </c>
      <c r="BN1779" t="s">
        <v>74</v>
      </c>
      <c r="BO1779" t="s">
        <v>270</v>
      </c>
      <c r="BP1779" t="s">
        <v>74</v>
      </c>
      <c r="BQ1779" t="s">
        <v>74</v>
      </c>
      <c r="BR1779" t="s">
        <v>102</v>
      </c>
      <c r="BS1779" t="s">
        <v>22028</v>
      </c>
      <c r="BT1779" t="str">
        <f>HYPERLINK("https%3A%2F%2Fwww.webofscience.com%2Fwos%2Fwoscc%2Ffull-record%2FWOS:001614632700001","View Full Record in Web of Science")</f>
        <v>View Full Record in Web of Science</v>
      </c>
    </row>
    <row r="1780" spans="1:72" x14ac:dyDescent="0.25">
      <c r="A1780" t="s">
        <v>72</v>
      </c>
      <c r="B1780" t="s">
        <v>22027</v>
      </c>
      <c r="C1780" t="s">
        <v>74</v>
      </c>
      <c r="D1780" t="s">
        <v>74</v>
      </c>
      <c r="E1780" t="s">
        <v>74</v>
      </c>
      <c r="F1780" t="s">
        <v>22026</v>
      </c>
      <c r="G1780" t="s">
        <v>74</v>
      </c>
      <c r="H1780" t="s">
        <v>74</v>
      </c>
      <c r="I1780" t="s">
        <v>22025</v>
      </c>
      <c r="J1780" t="s">
        <v>22024</v>
      </c>
      <c r="K1780" t="s">
        <v>74</v>
      </c>
      <c r="L1780" t="s">
        <v>74</v>
      </c>
      <c r="M1780" t="s">
        <v>78</v>
      </c>
      <c r="N1780" t="s">
        <v>79</v>
      </c>
      <c r="O1780" t="s">
        <v>74</v>
      </c>
      <c r="P1780" t="s">
        <v>74</v>
      </c>
      <c r="Q1780" t="s">
        <v>74</v>
      </c>
      <c r="R1780" t="s">
        <v>74</v>
      </c>
      <c r="S1780" t="s">
        <v>74</v>
      </c>
      <c r="T1780" t="s">
        <v>22023</v>
      </c>
      <c r="U1780" t="s">
        <v>22022</v>
      </c>
      <c r="V1780" t="s">
        <v>22021</v>
      </c>
      <c r="W1780" t="s">
        <v>22020</v>
      </c>
      <c r="X1780" t="s">
        <v>22019</v>
      </c>
      <c r="Y1780" t="s">
        <v>22018</v>
      </c>
      <c r="Z1780" t="s">
        <v>22017</v>
      </c>
      <c r="AA1780" t="s">
        <v>22016</v>
      </c>
      <c r="AB1780" t="s">
        <v>22015</v>
      </c>
      <c r="AC1780" t="s">
        <v>74</v>
      </c>
      <c r="AD1780" t="s">
        <v>74</v>
      </c>
      <c r="AE1780" t="s">
        <v>74</v>
      </c>
      <c r="AF1780" t="s">
        <v>74</v>
      </c>
      <c r="AG1780">
        <v>91</v>
      </c>
      <c r="AH1780">
        <v>5</v>
      </c>
      <c r="AI1780">
        <v>5</v>
      </c>
      <c r="AJ1780">
        <v>2</v>
      </c>
      <c r="AK1780">
        <v>11</v>
      </c>
      <c r="AL1780" t="s">
        <v>89</v>
      </c>
      <c r="AM1780" t="s">
        <v>90</v>
      </c>
      <c r="AN1780" t="s">
        <v>91</v>
      </c>
      <c r="AO1780" t="s">
        <v>22014</v>
      </c>
      <c r="AP1780" t="s">
        <v>22013</v>
      </c>
      <c r="AQ1780" t="s">
        <v>74</v>
      </c>
      <c r="AR1780" t="s">
        <v>22012</v>
      </c>
      <c r="AS1780" t="s">
        <v>22011</v>
      </c>
      <c r="AT1780" t="s">
        <v>12473</v>
      </c>
      <c r="AU1780">
        <v>2024</v>
      </c>
      <c r="AV1780">
        <v>13</v>
      </c>
      <c r="AW1780">
        <v>4</v>
      </c>
      <c r="AX1780" t="s">
        <v>74</v>
      </c>
      <c r="AY1780" t="s">
        <v>74</v>
      </c>
      <c r="AZ1780" t="s">
        <v>74</v>
      </c>
      <c r="BA1780" t="s">
        <v>74</v>
      </c>
      <c r="BB1780">
        <v>566</v>
      </c>
      <c r="BC1780">
        <v>598</v>
      </c>
      <c r="BD1780" t="s">
        <v>74</v>
      </c>
      <c r="BE1780" t="s">
        <v>22010</v>
      </c>
      <c r="BF1780" t="str">
        <f>HYPERLINK("http://dx.doi.org/10.1108/JEPP-09-2023-0086","http://dx.doi.org/10.1108/JEPP-09-2023-0086")</f>
        <v>http://dx.doi.org/10.1108/JEPP-09-2023-0086</v>
      </c>
      <c r="BG1780" t="s">
        <v>74</v>
      </c>
      <c r="BH1780" t="s">
        <v>6256</v>
      </c>
      <c r="BI1780">
        <v>33</v>
      </c>
      <c r="BJ1780" t="s">
        <v>291</v>
      </c>
      <c r="BK1780" t="s">
        <v>313</v>
      </c>
      <c r="BL1780" t="s">
        <v>100</v>
      </c>
      <c r="BM1780" t="s">
        <v>22009</v>
      </c>
      <c r="BN1780" t="s">
        <v>74</v>
      </c>
      <c r="BO1780" t="s">
        <v>74</v>
      </c>
      <c r="BP1780" t="s">
        <v>74</v>
      </c>
      <c r="BQ1780" t="s">
        <v>74</v>
      </c>
      <c r="BR1780" t="s">
        <v>102</v>
      </c>
      <c r="BS1780" t="s">
        <v>22008</v>
      </c>
      <c r="BT1780" t="str">
        <f>HYPERLINK("https%3A%2F%2Fwww.webofscience.com%2Fwos%2Fwoscc%2Ffull-record%2FWOS:001253231900001","View Full Record in Web of Science")</f>
        <v>View Full Record in Web of Science</v>
      </c>
    </row>
    <row r="1781" spans="1:72" x14ac:dyDescent="0.25">
      <c r="A1781" t="s">
        <v>72</v>
      </c>
      <c r="B1781" t="s">
        <v>22007</v>
      </c>
      <c r="C1781" t="s">
        <v>74</v>
      </c>
      <c r="D1781" t="s">
        <v>74</v>
      </c>
      <c r="E1781" t="s">
        <v>74</v>
      </c>
      <c r="F1781" t="s">
        <v>22006</v>
      </c>
      <c r="G1781" t="s">
        <v>74</v>
      </c>
      <c r="H1781" t="s">
        <v>74</v>
      </c>
      <c r="I1781" t="s">
        <v>22005</v>
      </c>
      <c r="J1781" t="s">
        <v>4842</v>
      </c>
      <c r="K1781" t="s">
        <v>74</v>
      </c>
      <c r="L1781" t="s">
        <v>74</v>
      </c>
      <c r="M1781" t="s">
        <v>78</v>
      </c>
      <c r="N1781" t="s">
        <v>79</v>
      </c>
      <c r="O1781" t="s">
        <v>74</v>
      </c>
      <c r="P1781" t="s">
        <v>74</v>
      </c>
      <c r="Q1781" t="s">
        <v>74</v>
      </c>
      <c r="R1781" t="s">
        <v>74</v>
      </c>
      <c r="S1781" t="s">
        <v>74</v>
      </c>
      <c r="T1781" t="s">
        <v>22004</v>
      </c>
      <c r="U1781" t="s">
        <v>22003</v>
      </c>
      <c r="V1781" t="s">
        <v>22002</v>
      </c>
      <c r="W1781" t="s">
        <v>22001</v>
      </c>
      <c r="X1781" t="s">
        <v>74</v>
      </c>
      <c r="Y1781" t="s">
        <v>22000</v>
      </c>
      <c r="Z1781" t="s">
        <v>21999</v>
      </c>
      <c r="AA1781" t="s">
        <v>74</v>
      </c>
      <c r="AB1781" t="s">
        <v>21998</v>
      </c>
      <c r="AC1781" t="s">
        <v>74</v>
      </c>
      <c r="AD1781" t="s">
        <v>74</v>
      </c>
      <c r="AE1781" t="s">
        <v>74</v>
      </c>
      <c r="AF1781" t="s">
        <v>74</v>
      </c>
      <c r="AG1781">
        <v>99</v>
      </c>
      <c r="AH1781">
        <v>1</v>
      </c>
      <c r="AI1781">
        <v>1</v>
      </c>
      <c r="AJ1781">
        <v>8</v>
      </c>
      <c r="AK1781">
        <v>15</v>
      </c>
      <c r="AL1781" t="s">
        <v>823</v>
      </c>
      <c r="AM1781" t="s">
        <v>333</v>
      </c>
      <c r="AN1781" t="s">
        <v>824</v>
      </c>
      <c r="AO1781" t="s">
        <v>4853</v>
      </c>
      <c r="AP1781" t="s">
        <v>74</v>
      </c>
      <c r="AQ1781" t="s">
        <v>74</v>
      </c>
      <c r="AR1781" t="s">
        <v>4854</v>
      </c>
      <c r="AS1781" t="s">
        <v>4855</v>
      </c>
      <c r="AT1781" t="s">
        <v>4856</v>
      </c>
      <c r="AU1781">
        <v>2025</v>
      </c>
      <c r="AV1781">
        <v>12</v>
      </c>
      <c r="AW1781">
        <v>1</v>
      </c>
      <c r="AX1781" t="s">
        <v>74</v>
      </c>
      <c r="AY1781" t="s">
        <v>74</v>
      </c>
      <c r="AZ1781" t="s">
        <v>74</v>
      </c>
      <c r="BA1781" t="s">
        <v>74</v>
      </c>
      <c r="BB1781" t="s">
        <v>74</v>
      </c>
      <c r="BC1781" t="s">
        <v>74</v>
      </c>
      <c r="BD1781">
        <v>2460624</v>
      </c>
      <c r="BE1781" t="s">
        <v>21997</v>
      </c>
      <c r="BF1781" t="str">
        <f>HYPERLINK("http://dx.doi.org/10.1080/23311975.2025.2460624","http://dx.doi.org/10.1080/23311975.2025.2460624")</f>
        <v>http://dx.doi.org/10.1080/23311975.2025.2460624</v>
      </c>
      <c r="BG1781" t="s">
        <v>74</v>
      </c>
      <c r="BH1781" t="s">
        <v>74</v>
      </c>
      <c r="BI1781">
        <v>21</v>
      </c>
      <c r="BJ1781" t="s">
        <v>418</v>
      </c>
      <c r="BK1781" t="s">
        <v>313</v>
      </c>
      <c r="BL1781" t="s">
        <v>100</v>
      </c>
      <c r="BM1781" t="s">
        <v>21996</v>
      </c>
      <c r="BN1781" t="s">
        <v>74</v>
      </c>
      <c r="BO1781" t="s">
        <v>212</v>
      </c>
      <c r="BP1781" t="s">
        <v>74</v>
      </c>
      <c r="BQ1781" t="s">
        <v>74</v>
      </c>
      <c r="BR1781" t="s">
        <v>102</v>
      </c>
      <c r="BS1781" t="s">
        <v>21995</v>
      </c>
      <c r="BT1781" t="str">
        <f>HYPERLINK("https%3A%2F%2Fwww.webofscience.com%2Fwos%2Fwoscc%2Ffull-record%2FWOS:001412811500001","View Full Record in Web of Science")</f>
        <v>View Full Record in Web of Science</v>
      </c>
    </row>
    <row r="1782" spans="1:72" x14ac:dyDescent="0.25">
      <c r="A1782" t="s">
        <v>72</v>
      </c>
      <c r="B1782" t="s">
        <v>21994</v>
      </c>
      <c r="C1782" t="s">
        <v>74</v>
      </c>
      <c r="D1782" t="s">
        <v>74</v>
      </c>
      <c r="E1782" t="s">
        <v>74</v>
      </c>
      <c r="F1782" t="s">
        <v>21993</v>
      </c>
      <c r="G1782" t="s">
        <v>74</v>
      </c>
      <c r="H1782" t="s">
        <v>74</v>
      </c>
      <c r="I1782" t="s">
        <v>21992</v>
      </c>
      <c r="J1782" t="s">
        <v>21991</v>
      </c>
      <c r="K1782" t="s">
        <v>74</v>
      </c>
      <c r="L1782" t="s">
        <v>74</v>
      </c>
      <c r="M1782" t="s">
        <v>78</v>
      </c>
      <c r="N1782" t="s">
        <v>79</v>
      </c>
      <c r="O1782" t="s">
        <v>74</v>
      </c>
      <c r="P1782" t="s">
        <v>74</v>
      </c>
      <c r="Q1782" t="s">
        <v>74</v>
      </c>
      <c r="R1782" t="s">
        <v>74</v>
      </c>
      <c r="S1782" t="s">
        <v>74</v>
      </c>
      <c r="T1782" t="s">
        <v>21990</v>
      </c>
      <c r="U1782" t="s">
        <v>2073</v>
      </c>
      <c r="V1782" t="s">
        <v>21989</v>
      </c>
      <c r="W1782" t="s">
        <v>21988</v>
      </c>
      <c r="X1782" t="s">
        <v>5335</v>
      </c>
      <c r="Y1782" t="s">
        <v>21987</v>
      </c>
      <c r="Z1782" t="s">
        <v>21986</v>
      </c>
      <c r="AA1782" t="s">
        <v>74</v>
      </c>
      <c r="AB1782" t="s">
        <v>21985</v>
      </c>
      <c r="AC1782" t="s">
        <v>74</v>
      </c>
      <c r="AD1782" t="s">
        <v>74</v>
      </c>
      <c r="AE1782" t="s">
        <v>74</v>
      </c>
      <c r="AF1782" t="s">
        <v>74</v>
      </c>
      <c r="AG1782">
        <v>85</v>
      </c>
      <c r="AH1782">
        <v>1</v>
      </c>
      <c r="AI1782">
        <v>1</v>
      </c>
      <c r="AJ1782">
        <v>0</v>
      </c>
      <c r="AK1782">
        <v>1</v>
      </c>
      <c r="AL1782" t="s">
        <v>4666</v>
      </c>
      <c r="AM1782" t="s">
        <v>995</v>
      </c>
      <c r="AN1782" t="s">
        <v>4025</v>
      </c>
      <c r="AO1782" t="s">
        <v>21984</v>
      </c>
      <c r="AP1782" t="s">
        <v>21983</v>
      </c>
      <c r="AQ1782" t="s">
        <v>74</v>
      </c>
      <c r="AR1782" t="s">
        <v>21982</v>
      </c>
      <c r="AS1782" t="s">
        <v>21981</v>
      </c>
      <c r="AT1782" t="s">
        <v>1652</v>
      </c>
      <c r="AU1782">
        <v>2022</v>
      </c>
      <c r="AV1782">
        <v>6</v>
      </c>
      <c r="AW1782">
        <v>2</v>
      </c>
      <c r="AX1782" t="s">
        <v>74</v>
      </c>
      <c r="AY1782" t="s">
        <v>74</v>
      </c>
      <c r="AZ1782" t="s">
        <v>74</v>
      </c>
      <c r="BA1782" t="s">
        <v>74</v>
      </c>
      <c r="BB1782">
        <v>635</v>
      </c>
      <c r="BC1782">
        <v>681</v>
      </c>
      <c r="BD1782" t="s">
        <v>74</v>
      </c>
      <c r="BE1782" t="s">
        <v>21980</v>
      </c>
      <c r="BF1782" t="str">
        <f>HYPERLINK("http://dx.doi.org/10.1007/s41685-022-00245-8","http://dx.doi.org/10.1007/s41685-022-00245-8")</f>
        <v>http://dx.doi.org/10.1007/s41685-022-00245-8</v>
      </c>
      <c r="BG1782" t="s">
        <v>74</v>
      </c>
      <c r="BH1782" t="s">
        <v>74</v>
      </c>
      <c r="BI1782">
        <v>47</v>
      </c>
      <c r="BJ1782" t="s">
        <v>21979</v>
      </c>
      <c r="BK1782" t="s">
        <v>313</v>
      </c>
      <c r="BL1782" t="s">
        <v>21978</v>
      </c>
      <c r="BM1782" t="s">
        <v>21977</v>
      </c>
      <c r="BN1782" t="s">
        <v>74</v>
      </c>
      <c r="BO1782" t="s">
        <v>74</v>
      </c>
      <c r="BP1782" t="s">
        <v>74</v>
      </c>
      <c r="BQ1782" t="s">
        <v>74</v>
      </c>
      <c r="BR1782" t="s">
        <v>102</v>
      </c>
      <c r="BS1782" t="s">
        <v>21976</v>
      </c>
      <c r="BT1782" t="str">
        <f>HYPERLINK("https%3A%2F%2Fwww.webofscience.com%2Fwos%2Fwoscc%2Ffull-record%2FWOS:000805283600009","View Full Record in Web of Science")</f>
        <v>View Full Record in Web of Science</v>
      </c>
    </row>
    <row r="1783" spans="1:72" x14ac:dyDescent="0.25">
      <c r="A1783" t="s">
        <v>72</v>
      </c>
      <c r="B1783" t="s">
        <v>21975</v>
      </c>
      <c r="C1783" t="s">
        <v>74</v>
      </c>
      <c r="D1783" t="s">
        <v>74</v>
      </c>
      <c r="E1783" t="s">
        <v>74</v>
      </c>
      <c r="F1783" t="s">
        <v>21974</v>
      </c>
      <c r="G1783" t="s">
        <v>74</v>
      </c>
      <c r="H1783" t="s">
        <v>74</v>
      </c>
      <c r="I1783" t="s">
        <v>21973</v>
      </c>
      <c r="J1783" t="s">
        <v>21972</v>
      </c>
      <c r="K1783" t="s">
        <v>74</v>
      </c>
      <c r="L1783" t="s">
        <v>74</v>
      </c>
      <c r="M1783" t="s">
        <v>78</v>
      </c>
      <c r="N1783" t="s">
        <v>79</v>
      </c>
      <c r="O1783" t="s">
        <v>74</v>
      </c>
      <c r="P1783" t="s">
        <v>74</v>
      </c>
      <c r="Q1783" t="s">
        <v>74</v>
      </c>
      <c r="R1783" t="s">
        <v>74</v>
      </c>
      <c r="S1783" t="s">
        <v>74</v>
      </c>
      <c r="T1783" t="s">
        <v>21971</v>
      </c>
      <c r="U1783" t="s">
        <v>21970</v>
      </c>
      <c r="V1783" t="s">
        <v>21969</v>
      </c>
      <c r="W1783" t="s">
        <v>21968</v>
      </c>
      <c r="X1783" t="s">
        <v>21967</v>
      </c>
      <c r="Y1783" t="s">
        <v>21966</v>
      </c>
      <c r="Z1783" t="s">
        <v>21965</v>
      </c>
      <c r="AA1783" t="s">
        <v>74</v>
      </c>
      <c r="AB1783" t="s">
        <v>74</v>
      </c>
      <c r="AC1783" t="s">
        <v>74</v>
      </c>
      <c r="AD1783" t="s">
        <v>74</v>
      </c>
      <c r="AE1783" t="s">
        <v>74</v>
      </c>
      <c r="AF1783" t="s">
        <v>74</v>
      </c>
      <c r="AG1783">
        <v>50</v>
      </c>
      <c r="AH1783">
        <v>8</v>
      </c>
      <c r="AI1783">
        <v>11</v>
      </c>
      <c r="AJ1783">
        <v>2</v>
      </c>
      <c r="AK1783">
        <v>34</v>
      </c>
      <c r="AL1783" t="s">
        <v>385</v>
      </c>
      <c r="AM1783" t="s">
        <v>1153</v>
      </c>
      <c r="AN1783" t="s">
        <v>1154</v>
      </c>
      <c r="AO1783" t="s">
        <v>21964</v>
      </c>
      <c r="AP1783" t="s">
        <v>21963</v>
      </c>
      <c r="AQ1783" t="s">
        <v>74</v>
      </c>
      <c r="AR1783" t="s">
        <v>21962</v>
      </c>
      <c r="AS1783" t="s">
        <v>21961</v>
      </c>
      <c r="AT1783" t="s">
        <v>289</v>
      </c>
      <c r="AU1783">
        <v>2020</v>
      </c>
      <c r="AV1783">
        <v>13</v>
      </c>
      <c r="AW1783">
        <v>4</v>
      </c>
      <c r="AX1783" t="s">
        <v>74</v>
      </c>
      <c r="AY1783" t="s">
        <v>74</v>
      </c>
      <c r="AZ1783" t="s">
        <v>74</v>
      </c>
      <c r="BA1783" t="s">
        <v>74</v>
      </c>
      <c r="BB1783">
        <v>1371</v>
      </c>
      <c r="BC1783">
        <v>1386</v>
      </c>
      <c r="BD1783" t="s">
        <v>74</v>
      </c>
      <c r="BE1783" t="s">
        <v>21960</v>
      </c>
      <c r="BF1783" t="str">
        <f>HYPERLINK("http://dx.doi.org/10.1007/s12187-019-09704-9","http://dx.doi.org/10.1007/s12187-019-09704-9")</f>
        <v>http://dx.doi.org/10.1007/s12187-019-09704-9</v>
      </c>
      <c r="BG1783" t="s">
        <v>74</v>
      </c>
      <c r="BH1783" t="s">
        <v>74</v>
      </c>
      <c r="BI1783">
        <v>16</v>
      </c>
      <c r="BJ1783" t="s">
        <v>364</v>
      </c>
      <c r="BK1783" t="s">
        <v>99</v>
      </c>
      <c r="BL1783" t="s">
        <v>365</v>
      </c>
      <c r="BM1783" t="s">
        <v>21959</v>
      </c>
      <c r="BN1783" t="s">
        <v>74</v>
      </c>
      <c r="BO1783" t="s">
        <v>74</v>
      </c>
      <c r="BP1783" t="s">
        <v>74</v>
      </c>
      <c r="BQ1783" t="s">
        <v>74</v>
      </c>
      <c r="BR1783" t="s">
        <v>102</v>
      </c>
      <c r="BS1783" t="s">
        <v>21958</v>
      </c>
      <c r="BT1783" t="str">
        <f>HYPERLINK("https%3A%2F%2Fwww.webofscience.com%2Fwos%2Fwoscc%2Ffull-record%2FWOS:000546397700013","View Full Record in Web of Science")</f>
        <v>View Full Record in Web of Science</v>
      </c>
    </row>
    <row r="1784" spans="1:72" x14ac:dyDescent="0.25">
      <c r="A1784" t="s">
        <v>72</v>
      </c>
      <c r="B1784" t="s">
        <v>21957</v>
      </c>
      <c r="C1784" t="s">
        <v>74</v>
      </c>
      <c r="D1784" t="s">
        <v>74</v>
      </c>
      <c r="E1784" t="s">
        <v>74</v>
      </c>
      <c r="F1784" t="s">
        <v>21956</v>
      </c>
      <c r="G1784" t="s">
        <v>74</v>
      </c>
      <c r="H1784" t="s">
        <v>74</v>
      </c>
      <c r="I1784" t="s">
        <v>21955</v>
      </c>
      <c r="J1784" t="s">
        <v>21954</v>
      </c>
      <c r="K1784" t="s">
        <v>74</v>
      </c>
      <c r="L1784" t="s">
        <v>74</v>
      </c>
      <c r="M1784" t="s">
        <v>78</v>
      </c>
      <c r="N1784" t="s">
        <v>79</v>
      </c>
      <c r="O1784" t="s">
        <v>74</v>
      </c>
      <c r="P1784" t="s">
        <v>74</v>
      </c>
      <c r="Q1784" t="s">
        <v>74</v>
      </c>
      <c r="R1784" t="s">
        <v>74</v>
      </c>
      <c r="S1784" t="s">
        <v>74</v>
      </c>
      <c r="T1784" t="s">
        <v>21953</v>
      </c>
      <c r="U1784" t="s">
        <v>21952</v>
      </c>
      <c r="V1784" t="s">
        <v>21951</v>
      </c>
      <c r="W1784" t="s">
        <v>21950</v>
      </c>
      <c r="X1784" t="s">
        <v>21949</v>
      </c>
      <c r="Y1784" t="s">
        <v>21948</v>
      </c>
      <c r="Z1784" t="s">
        <v>21947</v>
      </c>
      <c r="AA1784" t="s">
        <v>21946</v>
      </c>
      <c r="AB1784" t="s">
        <v>74</v>
      </c>
      <c r="AC1784" t="s">
        <v>21945</v>
      </c>
      <c r="AD1784" t="s">
        <v>21944</v>
      </c>
      <c r="AE1784" t="s">
        <v>21943</v>
      </c>
      <c r="AF1784" t="s">
        <v>74</v>
      </c>
      <c r="AG1784">
        <v>89</v>
      </c>
      <c r="AH1784">
        <v>0</v>
      </c>
      <c r="AI1784">
        <v>0</v>
      </c>
      <c r="AJ1784">
        <v>0</v>
      </c>
      <c r="AK1784">
        <v>0</v>
      </c>
      <c r="AL1784" t="s">
        <v>4485</v>
      </c>
      <c r="AM1784" t="s">
        <v>6724</v>
      </c>
      <c r="AN1784" t="s">
        <v>6725</v>
      </c>
      <c r="AO1784" t="s">
        <v>21942</v>
      </c>
      <c r="AP1784" t="s">
        <v>21941</v>
      </c>
      <c r="AQ1784" t="s">
        <v>74</v>
      </c>
      <c r="AR1784" t="s">
        <v>21940</v>
      </c>
      <c r="AS1784" t="s">
        <v>21939</v>
      </c>
      <c r="AT1784" t="s">
        <v>237</v>
      </c>
      <c r="AU1784">
        <v>2026</v>
      </c>
      <c r="AV1784">
        <v>89</v>
      </c>
      <c r="AW1784" t="s">
        <v>74</v>
      </c>
      <c r="AX1784" t="s">
        <v>8303</v>
      </c>
      <c r="AY1784" t="s">
        <v>74</v>
      </c>
      <c r="AZ1784" t="s">
        <v>74</v>
      </c>
      <c r="BA1784" t="s">
        <v>74</v>
      </c>
      <c r="BB1784" t="s">
        <v>74</v>
      </c>
      <c r="BC1784" t="s">
        <v>74</v>
      </c>
      <c r="BD1784">
        <v>104639</v>
      </c>
      <c r="BE1784" t="s">
        <v>21938</v>
      </c>
      <c r="BF1784" t="str">
        <f>HYPERLINK("http://dx.doi.org/10.1016/j.jretconser.2025.104639","http://dx.doi.org/10.1016/j.jretconser.2025.104639")</f>
        <v>http://dx.doi.org/10.1016/j.jretconser.2025.104639</v>
      </c>
      <c r="BG1784" t="s">
        <v>74</v>
      </c>
      <c r="BH1784" t="s">
        <v>2044</v>
      </c>
      <c r="BI1784">
        <v>13</v>
      </c>
      <c r="BJ1784" t="s">
        <v>418</v>
      </c>
      <c r="BK1784" t="s">
        <v>99</v>
      </c>
      <c r="BL1784" t="s">
        <v>100</v>
      </c>
      <c r="BM1784" t="s">
        <v>21937</v>
      </c>
      <c r="BN1784" t="s">
        <v>74</v>
      </c>
      <c r="BO1784" t="s">
        <v>74</v>
      </c>
      <c r="BP1784" t="s">
        <v>74</v>
      </c>
      <c r="BQ1784" t="s">
        <v>74</v>
      </c>
      <c r="BR1784" t="s">
        <v>102</v>
      </c>
      <c r="BS1784" t="s">
        <v>21936</v>
      </c>
      <c r="BT1784" t="str">
        <f>HYPERLINK("https%3A%2F%2Fwww.webofscience.com%2Fwos%2Fwoscc%2Ffull-record%2FWOS:001630861800003","View Full Record in Web of Science")</f>
        <v>View Full Record in Web of Science</v>
      </c>
    </row>
    <row r="1785" spans="1:72" x14ac:dyDescent="0.25">
      <c r="A1785" t="s">
        <v>72</v>
      </c>
      <c r="B1785" t="s">
        <v>21935</v>
      </c>
      <c r="C1785" t="s">
        <v>74</v>
      </c>
      <c r="D1785" t="s">
        <v>74</v>
      </c>
      <c r="E1785" t="s">
        <v>74</v>
      </c>
      <c r="F1785" t="s">
        <v>21934</v>
      </c>
      <c r="G1785" t="s">
        <v>74</v>
      </c>
      <c r="H1785" t="s">
        <v>74</v>
      </c>
      <c r="I1785" t="s">
        <v>21933</v>
      </c>
      <c r="J1785" t="s">
        <v>2288</v>
      </c>
      <c r="K1785" t="s">
        <v>74</v>
      </c>
      <c r="L1785" t="s">
        <v>74</v>
      </c>
      <c r="M1785" t="s">
        <v>78</v>
      </c>
      <c r="N1785" t="s">
        <v>79</v>
      </c>
      <c r="O1785" t="s">
        <v>74</v>
      </c>
      <c r="P1785" t="s">
        <v>74</v>
      </c>
      <c r="Q1785" t="s">
        <v>74</v>
      </c>
      <c r="R1785" t="s">
        <v>74</v>
      </c>
      <c r="S1785" t="s">
        <v>74</v>
      </c>
      <c r="T1785" t="s">
        <v>21932</v>
      </c>
      <c r="U1785" t="s">
        <v>21931</v>
      </c>
      <c r="V1785" t="s">
        <v>21930</v>
      </c>
      <c r="W1785" t="s">
        <v>21929</v>
      </c>
      <c r="X1785" t="s">
        <v>21928</v>
      </c>
      <c r="Y1785" t="s">
        <v>21927</v>
      </c>
      <c r="Z1785" t="s">
        <v>6029</v>
      </c>
      <c r="AA1785" t="s">
        <v>74</v>
      </c>
      <c r="AB1785" t="s">
        <v>74</v>
      </c>
      <c r="AC1785" t="s">
        <v>74</v>
      </c>
      <c r="AD1785" t="s">
        <v>74</v>
      </c>
      <c r="AE1785" t="s">
        <v>74</v>
      </c>
      <c r="AF1785" t="s">
        <v>74</v>
      </c>
      <c r="AG1785">
        <v>27</v>
      </c>
      <c r="AH1785">
        <v>111</v>
      </c>
      <c r="AI1785">
        <v>141</v>
      </c>
      <c r="AJ1785">
        <v>14</v>
      </c>
      <c r="AK1785">
        <v>119</v>
      </c>
      <c r="AL1785" t="s">
        <v>201</v>
      </c>
      <c r="AM1785" t="s">
        <v>202</v>
      </c>
      <c r="AN1785" t="s">
        <v>203</v>
      </c>
      <c r="AO1785" t="s">
        <v>2299</v>
      </c>
      <c r="AP1785" t="s">
        <v>2300</v>
      </c>
      <c r="AQ1785" t="s">
        <v>74</v>
      </c>
      <c r="AR1785" t="s">
        <v>2301</v>
      </c>
      <c r="AS1785" t="s">
        <v>2302</v>
      </c>
      <c r="AT1785" t="s">
        <v>891</v>
      </c>
      <c r="AU1785">
        <v>2021</v>
      </c>
      <c r="AV1785">
        <v>153</v>
      </c>
      <c r="AW1785" t="s">
        <v>74</v>
      </c>
      <c r="AX1785" t="s">
        <v>74</v>
      </c>
      <c r="AY1785" t="s">
        <v>74</v>
      </c>
      <c r="AZ1785" t="s">
        <v>74</v>
      </c>
      <c r="BA1785" t="s">
        <v>74</v>
      </c>
      <c r="BB1785" t="s">
        <v>74</v>
      </c>
      <c r="BC1785" t="s">
        <v>74</v>
      </c>
      <c r="BD1785">
        <v>102697</v>
      </c>
      <c r="BE1785" t="s">
        <v>21926</v>
      </c>
      <c r="BF1785" t="str">
        <f>HYPERLINK("http://dx.doi.org/10.1016/j.jdeveco.2021.102697","http://dx.doi.org/10.1016/j.jdeveco.2021.102697")</f>
        <v>http://dx.doi.org/10.1016/j.jdeveco.2021.102697</v>
      </c>
      <c r="BG1785" t="s">
        <v>74</v>
      </c>
      <c r="BH1785" t="s">
        <v>1818</v>
      </c>
      <c r="BI1785">
        <v>20</v>
      </c>
      <c r="BJ1785" t="s">
        <v>291</v>
      </c>
      <c r="BK1785" t="s">
        <v>99</v>
      </c>
      <c r="BL1785" t="s">
        <v>100</v>
      </c>
      <c r="BM1785" t="s">
        <v>21925</v>
      </c>
      <c r="BN1785" t="s">
        <v>74</v>
      </c>
      <c r="BO1785" t="s">
        <v>74</v>
      </c>
      <c r="BP1785" t="s">
        <v>74</v>
      </c>
      <c r="BQ1785" t="s">
        <v>74</v>
      </c>
      <c r="BR1785" t="s">
        <v>102</v>
      </c>
      <c r="BS1785" t="s">
        <v>21924</v>
      </c>
      <c r="BT1785" t="str">
        <f>HYPERLINK("https%3A%2F%2Fwww.webofscience.com%2Fwos%2Fwoscc%2Ffull-record%2FWOS:000706989000001","View Full Record in Web of Science")</f>
        <v>View Full Record in Web of Science</v>
      </c>
    </row>
    <row r="1786" spans="1:72" x14ac:dyDescent="0.25">
      <c r="A1786" t="s">
        <v>72</v>
      </c>
      <c r="B1786" t="s">
        <v>21923</v>
      </c>
      <c r="C1786" t="s">
        <v>74</v>
      </c>
      <c r="D1786" t="s">
        <v>74</v>
      </c>
      <c r="E1786" t="s">
        <v>74</v>
      </c>
      <c r="F1786" t="s">
        <v>21922</v>
      </c>
      <c r="G1786" t="s">
        <v>74</v>
      </c>
      <c r="H1786" t="s">
        <v>74</v>
      </c>
      <c r="I1786" t="s">
        <v>21921</v>
      </c>
      <c r="J1786" t="s">
        <v>13835</v>
      </c>
      <c r="K1786" t="s">
        <v>74</v>
      </c>
      <c r="L1786" t="s">
        <v>74</v>
      </c>
      <c r="M1786" t="s">
        <v>78</v>
      </c>
      <c r="N1786" t="s">
        <v>79</v>
      </c>
      <c r="O1786" t="s">
        <v>74</v>
      </c>
      <c r="P1786" t="s">
        <v>74</v>
      </c>
      <c r="Q1786" t="s">
        <v>74</v>
      </c>
      <c r="R1786" t="s">
        <v>74</v>
      </c>
      <c r="S1786" t="s">
        <v>74</v>
      </c>
      <c r="T1786" t="s">
        <v>21920</v>
      </c>
      <c r="U1786" t="s">
        <v>21919</v>
      </c>
      <c r="V1786" t="s">
        <v>21918</v>
      </c>
      <c r="W1786" t="s">
        <v>21917</v>
      </c>
      <c r="X1786" t="s">
        <v>21916</v>
      </c>
      <c r="Y1786" t="s">
        <v>21915</v>
      </c>
      <c r="Z1786" t="s">
        <v>74</v>
      </c>
      <c r="AA1786" t="s">
        <v>21914</v>
      </c>
      <c r="AB1786" t="s">
        <v>21913</v>
      </c>
      <c r="AC1786" t="s">
        <v>21912</v>
      </c>
      <c r="AD1786" t="s">
        <v>21911</v>
      </c>
      <c r="AE1786" t="s">
        <v>21910</v>
      </c>
      <c r="AF1786" t="s">
        <v>74</v>
      </c>
      <c r="AG1786">
        <v>80</v>
      </c>
      <c r="AH1786">
        <v>13</v>
      </c>
      <c r="AI1786">
        <v>19</v>
      </c>
      <c r="AJ1786">
        <v>3</v>
      </c>
      <c r="AK1786">
        <v>43</v>
      </c>
      <c r="AL1786" t="s">
        <v>757</v>
      </c>
      <c r="AM1786" t="s">
        <v>758</v>
      </c>
      <c r="AN1786" t="s">
        <v>759</v>
      </c>
      <c r="AO1786" t="s">
        <v>13844</v>
      </c>
      <c r="AP1786" t="s">
        <v>13845</v>
      </c>
      <c r="AQ1786" t="s">
        <v>74</v>
      </c>
      <c r="AR1786" t="s">
        <v>13846</v>
      </c>
      <c r="AS1786" t="s">
        <v>13847</v>
      </c>
      <c r="AT1786" t="s">
        <v>208</v>
      </c>
      <c r="AU1786">
        <v>2022</v>
      </c>
      <c r="AV1786">
        <v>22</v>
      </c>
      <c r="AW1786">
        <v>1</v>
      </c>
      <c r="AX1786" t="s">
        <v>74</v>
      </c>
      <c r="AY1786" t="s">
        <v>74</v>
      </c>
      <c r="AZ1786" t="s">
        <v>74</v>
      </c>
      <c r="BA1786" t="s">
        <v>74</v>
      </c>
      <c r="BB1786">
        <v>32</v>
      </c>
      <c r="BC1786">
        <v>55</v>
      </c>
      <c r="BD1786">
        <v>1.464993421103522E+16</v>
      </c>
      <c r="BE1786" t="s">
        <v>21909</v>
      </c>
      <c r="BF1786" t="str">
        <f>HYPERLINK("http://dx.doi.org/10.1177/14649934211035219","http://dx.doi.org/10.1177/14649934211035219")</f>
        <v>http://dx.doi.org/10.1177/14649934211035219</v>
      </c>
      <c r="BG1786" t="s">
        <v>74</v>
      </c>
      <c r="BH1786" t="s">
        <v>10889</v>
      </c>
      <c r="BI1786">
        <v>24</v>
      </c>
      <c r="BJ1786" t="s">
        <v>1137</v>
      </c>
      <c r="BK1786" t="s">
        <v>99</v>
      </c>
      <c r="BL1786" t="s">
        <v>1137</v>
      </c>
      <c r="BM1786" t="s">
        <v>21908</v>
      </c>
      <c r="BN1786" t="s">
        <v>74</v>
      </c>
      <c r="BO1786" t="s">
        <v>74</v>
      </c>
      <c r="BP1786" t="s">
        <v>74</v>
      </c>
      <c r="BQ1786" t="s">
        <v>74</v>
      </c>
      <c r="BR1786" t="s">
        <v>102</v>
      </c>
      <c r="BS1786" t="s">
        <v>21907</v>
      </c>
      <c r="BT1786" t="str">
        <f>HYPERLINK("https%3A%2F%2Fwww.webofscience.com%2Fwos%2Fwoscc%2Ffull-record%2FWOS:000702462000001","View Full Record in Web of Science")</f>
        <v>View Full Record in Web of Science</v>
      </c>
    </row>
    <row r="1787" spans="1:72" x14ac:dyDescent="0.25">
      <c r="A1787" t="s">
        <v>72</v>
      </c>
      <c r="B1787" t="s">
        <v>21906</v>
      </c>
      <c r="C1787" t="s">
        <v>74</v>
      </c>
      <c r="D1787" t="s">
        <v>74</v>
      </c>
      <c r="E1787" t="s">
        <v>74</v>
      </c>
      <c r="F1787" t="s">
        <v>21905</v>
      </c>
      <c r="G1787" t="s">
        <v>74</v>
      </c>
      <c r="H1787" t="s">
        <v>74</v>
      </c>
      <c r="I1787" t="s">
        <v>21904</v>
      </c>
      <c r="J1787" t="s">
        <v>3439</v>
      </c>
      <c r="K1787" t="s">
        <v>74</v>
      </c>
      <c r="L1787" t="s">
        <v>74</v>
      </c>
      <c r="M1787" t="s">
        <v>78</v>
      </c>
      <c r="N1787" t="s">
        <v>79</v>
      </c>
      <c r="O1787" t="s">
        <v>74</v>
      </c>
      <c r="P1787" t="s">
        <v>74</v>
      </c>
      <c r="Q1787" t="s">
        <v>74</v>
      </c>
      <c r="R1787" t="s">
        <v>74</v>
      </c>
      <c r="S1787" t="s">
        <v>74</v>
      </c>
      <c r="T1787" t="s">
        <v>21903</v>
      </c>
      <c r="U1787" t="s">
        <v>21902</v>
      </c>
      <c r="V1787" t="s">
        <v>21901</v>
      </c>
      <c r="W1787" t="s">
        <v>21900</v>
      </c>
      <c r="X1787" t="s">
        <v>21899</v>
      </c>
      <c r="Y1787" t="s">
        <v>21898</v>
      </c>
      <c r="Z1787" t="s">
        <v>21897</v>
      </c>
      <c r="AA1787" t="s">
        <v>21896</v>
      </c>
      <c r="AB1787" t="s">
        <v>21895</v>
      </c>
      <c r="AC1787" t="s">
        <v>21894</v>
      </c>
      <c r="AD1787" t="s">
        <v>21894</v>
      </c>
      <c r="AE1787" t="s">
        <v>21893</v>
      </c>
      <c r="AF1787" t="s">
        <v>74</v>
      </c>
      <c r="AG1787">
        <v>83</v>
      </c>
      <c r="AH1787">
        <v>3</v>
      </c>
      <c r="AI1787">
        <v>4</v>
      </c>
      <c r="AJ1787">
        <v>5</v>
      </c>
      <c r="AK1787">
        <v>12</v>
      </c>
      <c r="AL1787" t="s">
        <v>823</v>
      </c>
      <c r="AM1787" t="s">
        <v>333</v>
      </c>
      <c r="AN1787" t="s">
        <v>824</v>
      </c>
      <c r="AO1787" t="s">
        <v>3443</v>
      </c>
      <c r="AP1787" t="s">
        <v>74</v>
      </c>
      <c r="AQ1787" t="s">
        <v>74</v>
      </c>
      <c r="AR1787" t="s">
        <v>3444</v>
      </c>
      <c r="AS1787" t="s">
        <v>3445</v>
      </c>
      <c r="AT1787" t="s">
        <v>2970</v>
      </c>
      <c r="AU1787">
        <v>2024</v>
      </c>
      <c r="AV1787">
        <v>12</v>
      </c>
      <c r="AW1787">
        <v>1</v>
      </c>
      <c r="AX1787" t="s">
        <v>74</v>
      </c>
      <c r="AY1787" t="s">
        <v>74</v>
      </c>
      <c r="AZ1787" t="s">
        <v>74</v>
      </c>
      <c r="BA1787" t="s">
        <v>74</v>
      </c>
      <c r="BB1787" t="s">
        <v>74</v>
      </c>
      <c r="BC1787" t="s">
        <v>74</v>
      </c>
      <c r="BD1787">
        <v>2402031</v>
      </c>
      <c r="BE1787" t="s">
        <v>21892</v>
      </c>
      <c r="BF1787" t="str">
        <f>HYPERLINK("http://dx.doi.org/10.1080/23322039.2024.2402031","http://dx.doi.org/10.1080/23322039.2024.2402031")</f>
        <v>http://dx.doi.org/10.1080/23322039.2024.2402031</v>
      </c>
      <c r="BG1787" t="s">
        <v>74</v>
      </c>
      <c r="BH1787" t="s">
        <v>74</v>
      </c>
      <c r="BI1787">
        <v>21</v>
      </c>
      <c r="BJ1787" t="s">
        <v>291</v>
      </c>
      <c r="BK1787" t="s">
        <v>313</v>
      </c>
      <c r="BL1787" t="s">
        <v>100</v>
      </c>
      <c r="BM1787" t="s">
        <v>21891</v>
      </c>
      <c r="BN1787" t="s">
        <v>74</v>
      </c>
      <c r="BO1787" t="s">
        <v>916</v>
      </c>
      <c r="BP1787" t="s">
        <v>74</v>
      </c>
      <c r="BQ1787" t="s">
        <v>74</v>
      </c>
      <c r="BR1787" t="s">
        <v>102</v>
      </c>
      <c r="BS1787" t="s">
        <v>21890</v>
      </c>
      <c r="BT1787" t="str">
        <f>HYPERLINK("https%3A%2F%2Fwww.webofscience.com%2Fwos%2Fwoscc%2Ffull-record%2FWOS:001310055500001","View Full Record in Web of Science")</f>
        <v>View Full Record in Web of Science</v>
      </c>
    </row>
    <row r="1788" spans="1:72" x14ac:dyDescent="0.25">
      <c r="A1788" t="s">
        <v>72</v>
      </c>
      <c r="B1788" t="s">
        <v>21889</v>
      </c>
      <c r="C1788" t="s">
        <v>74</v>
      </c>
      <c r="D1788" t="s">
        <v>74</v>
      </c>
      <c r="E1788" t="s">
        <v>74</v>
      </c>
      <c r="F1788" t="s">
        <v>21888</v>
      </c>
      <c r="G1788" t="s">
        <v>74</v>
      </c>
      <c r="H1788" t="s">
        <v>74</v>
      </c>
      <c r="I1788" t="s">
        <v>21887</v>
      </c>
      <c r="J1788" t="s">
        <v>8087</v>
      </c>
      <c r="K1788" t="s">
        <v>74</v>
      </c>
      <c r="L1788" t="s">
        <v>74</v>
      </c>
      <c r="M1788" t="s">
        <v>78</v>
      </c>
      <c r="N1788" t="s">
        <v>1766</v>
      </c>
      <c r="O1788" t="s">
        <v>74</v>
      </c>
      <c r="P1788" t="s">
        <v>74</v>
      </c>
      <c r="Q1788" t="s">
        <v>74</v>
      </c>
      <c r="R1788" t="s">
        <v>74</v>
      </c>
      <c r="S1788" t="s">
        <v>74</v>
      </c>
      <c r="T1788" t="s">
        <v>21886</v>
      </c>
      <c r="U1788" t="s">
        <v>21885</v>
      </c>
      <c r="V1788" t="s">
        <v>21884</v>
      </c>
      <c r="W1788" t="s">
        <v>21883</v>
      </c>
      <c r="X1788" t="s">
        <v>21882</v>
      </c>
      <c r="Y1788" t="s">
        <v>21881</v>
      </c>
      <c r="Z1788" t="s">
        <v>21880</v>
      </c>
      <c r="AA1788" t="s">
        <v>21879</v>
      </c>
      <c r="AB1788" t="s">
        <v>21878</v>
      </c>
      <c r="AC1788" t="s">
        <v>21877</v>
      </c>
      <c r="AD1788" t="s">
        <v>21876</v>
      </c>
      <c r="AE1788" t="s">
        <v>21875</v>
      </c>
      <c r="AF1788" t="s">
        <v>74</v>
      </c>
      <c r="AG1788">
        <v>187</v>
      </c>
      <c r="AH1788">
        <v>22</v>
      </c>
      <c r="AI1788">
        <v>28</v>
      </c>
      <c r="AJ1788">
        <v>3</v>
      </c>
      <c r="AK1788">
        <v>41</v>
      </c>
      <c r="AL1788" t="s">
        <v>479</v>
      </c>
      <c r="AM1788" t="s">
        <v>480</v>
      </c>
      <c r="AN1788" t="s">
        <v>481</v>
      </c>
      <c r="AO1788" t="s">
        <v>8097</v>
      </c>
      <c r="AP1788" t="s">
        <v>8098</v>
      </c>
      <c r="AQ1788" t="s">
        <v>74</v>
      </c>
      <c r="AR1788" t="s">
        <v>8099</v>
      </c>
      <c r="AS1788" t="s">
        <v>8100</v>
      </c>
      <c r="AT1788" t="s">
        <v>208</v>
      </c>
      <c r="AU1788">
        <v>2023</v>
      </c>
      <c r="AV1788">
        <v>47</v>
      </c>
      <c r="AW1788">
        <v>1</v>
      </c>
      <c r="AX1788" t="s">
        <v>74</v>
      </c>
      <c r="AY1788" t="s">
        <v>74</v>
      </c>
      <c r="AZ1788" t="s">
        <v>74</v>
      </c>
      <c r="BA1788" t="s">
        <v>74</v>
      </c>
      <c r="BB1788">
        <v>373</v>
      </c>
      <c r="BC1788">
        <v>399</v>
      </c>
      <c r="BD1788" t="s">
        <v>74</v>
      </c>
      <c r="BE1788" t="s">
        <v>21874</v>
      </c>
      <c r="BF1788" t="str">
        <f>HYPERLINK("http://dx.doi.org/10.1111/ijcs.12778","http://dx.doi.org/10.1111/ijcs.12778")</f>
        <v>http://dx.doi.org/10.1111/ijcs.12778</v>
      </c>
      <c r="BG1788" t="s">
        <v>74</v>
      </c>
      <c r="BH1788" t="s">
        <v>674</v>
      </c>
      <c r="BI1788">
        <v>27</v>
      </c>
      <c r="BJ1788" t="s">
        <v>418</v>
      </c>
      <c r="BK1788" t="s">
        <v>99</v>
      </c>
      <c r="BL1788" t="s">
        <v>100</v>
      </c>
      <c r="BM1788" t="s">
        <v>21873</v>
      </c>
      <c r="BN1788" t="s">
        <v>74</v>
      </c>
      <c r="BO1788" t="s">
        <v>74</v>
      </c>
      <c r="BP1788" t="s">
        <v>74</v>
      </c>
      <c r="BQ1788" t="s">
        <v>74</v>
      </c>
      <c r="BR1788" t="s">
        <v>102</v>
      </c>
      <c r="BS1788" t="s">
        <v>21872</v>
      </c>
      <c r="BT1788" t="str">
        <f>HYPERLINK("https%3A%2F%2Fwww.webofscience.com%2Fwos%2Fwoscc%2Ffull-record%2FWOS:000754084500001","View Full Record in Web of Science")</f>
        <v>View Full Record in Web of Science</v>
      </c>
    </row>
    <row r="1789" spans="1:72" x14ac:dyDescent="0.25">
      <c r="A1789" t="s">
        <v>72</v>
      </c>
      <c r="B1789" t="s">
        <v>21871</v>
      </c>
      <c r="C1789" t="s">
        <v>74</v>
      </c>
      <c r="D1789" t="s">
        <v>74</v>
      </c>
      <c r="E1789" t="s">
        <v>74</v>
      </c>
      <c r="F1789" t="s">
        <v>21870</v>
      </c>
      <c r="G1789" t="s">
        <v>74</v>
      </c>
      <c r="H1789" t="s">
        <v>74</v>
      </c>
      <c r="I1789" t="s">
        <v>21869</v>
      </c>
      <c r="J1789" t="s">
        <v>246</v>
      </c>
      <c r="K1789" t="s">
        <v>74</v>
      </c>
      <c r="L1789" t="s">
        <v>74</v>
      </c>
      <c r="M1789" t="s">
        <v>78</v>
      </c>
      <c r="N1789" t="s">
        <v>79</v>
      </c>
      <c r="O1789" t="s">
        <v>74</v>
      </c>
      <c r="P1789" t="s">
        <v>74</v>
      </c>
      <c r="Q1789" t="s">
        <v>74</v>
      </c>
      <c r="R1789" t="s">
        <v>74</v>
      </c>
      <c r="S1789" t="s">
        <v>74</v>
      </c>
      <c r="T1789" t="s">
        <v>21868</v>
      </c>
      <c r="U1789" t="s">
        <v>21867</v>
      </c>
      <c r="V1789" t="s">
        <v>21866</v>
      </c>
      <c r="W1789" t="s">
        <v>21865</v>
      </c>
      <c r="X1789" t="s">
        <v>12970</v>
      </c>
      <c r="Y1789" t="s">
        <v>21864</v>
      </c>
      <c r="Z1789" t="s">
        <v>21863</v>
      </c>
      <c r="AA1789" t="s">
        <v>21862</v>
      </c>
      <c r="AB1789" t="s">
        <v>21861</v>
      </c>
      <c r="AC1789" t="s">
        <v>74</v>
      </c>
      <c r="AD1789" t="s">
        <v>74</v>
      </c>
      <c r="AE1789" t="s">
        <v>74</v>
      </c>
      <c r="AF1789" t="s">
        <v>74</v>
      </c>
      <c r="AG1789">
        <v>26</v>
      </c>
      <c r="AH1789">
        <v>188</v>
      </c>
      <c r="AI1789">
        <v>208</v>
      </c>
      <c r="AJ1789">
        <v>0</v>
      </c>
      <c r="AK1789">
        <v>42</v>
      </c>
      <c r="AL1789" t="s">
        <v>259</v>
      </c>
      <c r="AM1789" t="s">
        <v>260</v>
      </c>
      <c r="AN1789" t="s">
        <v>261</v>
      </c>
      <c r="AO1789" t="s">
        <v>262</v>
      </c>
      <c r="AP1789" t="s">
        <v>263</v>
      </c>
      <c r="AQ1789" t="s">
        <v>74</v>
      </c>
      <c r="AR1789" t="s">
        <v>264</v>
      </c>
      <c r="AS1789" t="s">
        <v>265</v>
      </c>
      <c r="AT1789" t="s">
        <v>891</v>
      </c>
      <c r="AU1789">
        <v>2020</v>
      </c>
      <c r="AV1789">
        <v>37</v>
      </c>
      <c r="AW1789" t="s">
        <v>74</v>
      </c>
      <c r="AX1789" t="s">
        <v>74</v>
      </c>
      <c r="AY1789" t="s">
        <v>74</v>
      </c>
      <c r="AZ1789" t="s">
        <v>74</v>
      </c>
      <c r="BA1789" t="s">
        <v>74</v>
      </c>
      <c r="BB1789" t="s">
        <v>74</v>
      </c>
      <c r="BC1789" t="s">
        <v>74</v>
      </c>
      <c r="BD1789">
        <v>101725</v>
      </c>
      <c r="BE1789" t="s">
        <v>21860</v>
      </c>
      <c r="BF1789" t="str">
        <f>HYPERLINK("http://dx.doi.org/10.1016/j.frl.2020.101725","http://dx.doi.org/10.1016/j.frl.2020.101725")</f>
        <v>http://dx.doi.org/10.1016/j.frl.2020.101725</v>
      </c>
      <c r="BG1789" t="s">
        <v>74</v>
      </c>
      <c r="BH1789" t="s">
        <v>74</v>
      </c>
      <c r="BI1789">
        <v>8</v>
      </c>
      <c r="BJ1789" t="s">
        <v>268</v>
      </c>
      <c r="BK1789" t="s">
        <v>99</v>
      </c>
      <c r="BL1789" t="s">
        <v>100</v>
      </c>
      <c r="BM1789" t="s">
        <v>21859</v>
      </c>
      <c r="BN1789" t="s">
        <v>74</v>
      </c>
      <c r="BO1789" t="s">
        <v>74</v>
      </c>
      <c r="BP1789" t="s">
        <v>74</v>
      </c>
      <c r="BQ1789" t="s">
        <v>74</v>
      </c>
      <c r="BR1789" t="s">
        <v>102</v>
      </c>
      <c r="BS1789" t="s">
        <v>21858</v>
      </c>
      <c r="BT1789" t="str">
        <f>HYPERLINK("https%3A%2F%2Fwww.webofscience.com%2Fwos%2Fwoscc%2Ffull-record%2FWOS:000596542600032","View Full Record in Web of Science")</f>
        <v>View Full Record in Web of Science</v>
      </c>
    </row>
    <row r="1790" spans="1:72" x14ac:dyDescent="0.25">
      <c r="A1790" t="s">
        <v>72</v>
      </c>
      <c r="B1790" t="s">
        <v>21857</v>
      </c>
      <c r="C1790" t="s">
        <v>74</v>
      </c>
      <c r="D1790" t="s">
        <v>74</v>
      </c>
      <c r="E1790" t="s">
        <v>74</v>
      </c>
      <c r="F1790" t="s">
        <v>21856</v>
      </c>
      <c r="G1790" t="s">
        <v>74</v>
      </c>
      <c r="H1790" t="s">
        <v>74</v>
      </c>
      <c r="I1790" t="s">
        <v>21855</v>
      </c>
      <c r="J1790" t="s">
        <v>4956</v>
      </c>
      <c r="K1790" t="s">
        <v>74</v>
      </c>
      <c r="L1790" t="s">
        <v>74</v>
      </c>
      <c r="M1790" t="s">
        <v>78</v>
      </c>
      <c r="N1790" t="s">
        <v>79</v>
      </c>
      <c r="O1790" t="s">
        <v>74</v>
      </c>
      <c r="P1790" t="s">
        <v>74</v>
      </c>
      <c r="Q1790" t="s">
        <v>74</v>
      </c>
      <c r="R1790" t="s">
        <v>74</v>
      </c>
      <c r="S1790" t="s">
        <v>74</v>
      </c>
      <c r="T1790" t="s">
        <v>21854</v>
      </c>
      <c r="U1790" t="s">
        <v>21853</v>
      </c>
      <c r="V1790" t="s">
        <v>21852</v>
      </c>
      <c r="W1790" t="s">
        <v>21851</v>
      </c>
      <c r="X1790" t="s">
        <v>21850</v>
      </c>
      <c r="Y1790" t="s">
        <v>21849</v>
      </c>
      <c r="Z1790" t="s">
        <v>21848</v>
      </c>
      <c r="AA1790" t="s">
        <v>21847</v>
      </c>
      <c r="AB1790" t="s">
        <v>21846</v>
      </c>
      <c r="AC1790" t="s">
        <v>21845</v>
      </c>
      <c r="AD1790" t="s">
        <v>21844</v>
      </c>
      <c r="AE1790" t="s">
        <v>21843</v>
      </c>
      <c r="AF1790" t="s">
        <v>74</v>
      </c>
      <c r="AG1790">
        <v>58</v>
      </c>
      <c r="AH1790">
        <v>76</v>
      </c>
      <c r="AI1790">
        <v>101</v>
      </c>
      <c r="AJ1790">
        <v>6</v>
      </c>
      <c r="AK1790">
        <v>98</v>
      </c>
      <c r="AL1790" t="s">
        <v>230</v>
      </c>
      <c r="AM1790" t="s">
        <v>231</v>
      </c>
      <c r="AN1790" t="s">
        <v>232</v>
      </c>
      <c r="AO1790" t="s">
        <v>4966</v>
      </c>
      <c r="AP1790" t="s">
        <v>74</v>
      </c>
      <c r="AQ1790" t="s">
        <v>74</v>
      </c>
      <c r="AR1790" t="s">
        <v>4968</v>
      </c>
      <c r="AS1790" t="s">
        <v>4969</v>
      </c>
      <c r="AT1790" t="s">
        <v>698</v>
      </c>
      <c r="AU1790">
        <v>2020</v>
      </c>
      <c r="AV1790">
        <v>133</v>
      </c>
      <c r="AW1790" t="s">
        <v>74</v>
      </c>
      <c r="AX1790" t="s">
        <v>74</v>
      </c>
      <c r="AY1790" t="s">
        <v>74</v>
      </c>
      <c r="AZ1790" t="s">
        <v>74</v>
      </c>
      <c r="BA1790" t="s">
        <v>74</v>
      </c>
      <c r="BB1790" t="s">
        <v>74</v>
      </c>
      <c r="BC1790" t="s">
        <v>74</v>
      </c>
      <c r="BD1790">
        <v>104997</v>
      </c>
      <c r="BE1790" t="s">
        <v>21842</v>
      </c>
      <c r="BF1790" t="str">
        <f>HYPERLINK("http://dx.doi.org/10.1016/j.worlddev.2020.104997","http://dx.doi.org/10.1016/j.worlddev.2020.104997")</f>
        <v>http://dx.doi.org/10.1016/j.worlddev.2020.104997</v>
      </c>
      <c r="BG1790" t="s">
        <v>74</v>
      </c>
      <c r="BH1790" t="s">
        <v>74</v>
      </c>
      <c r="BI1790">
        <v>13</v>
      </c>
      <c r="BJ1790" t="s">
        <v>701</v>
      </c>
      <c r="BK1790" t="s">
        <v>99</v>
      </c>
      <c r="BL1790" t="s">
        <v>702</v>
      </c>
      <c r="BM1790" t="s">
        <v>21841</v>
      </c>
      <c r="BN1790" t="s">
        <v>74</v>
      </c>
      <c r="BO1790" t="s">
        <v>74</v>
      </c>
      <c r="BP1790" t="s">
        <v>74</v>
      </c>
      <c r="BQ1790" t="s">
        <v>74</v>
      </c>
      <c r="BR1790" t="s">
        <v>102</v>
      </c>
      <c r="BS1790" t="s">
        <v>21840</v>
      </c>
      <c r="BT1790" t="str">
        <f>HYPERLINK("https%3A%2F%2Fwww.webofscience.com%2Fwos%2Fwoscc%2Ffull-record%2FWOS:000539160600006","View Full Record in Web of Science")</f>
        <v>View Full Record in Web of Science</v>
      </c>
    </row>
    <row r="1791" spans="1:72" x14ac:dyDescent="0.25">
      <c r="A1791" t="s">
        <v>72</v>
      </c>
      <c r="B1791" t="s">
        <v>21839</v>
      </c>
      <c r="C1791" t="s">
        <v>74</v>
      </c>
      <c r="D1791" t="s">
        <v>74</v>
      </c>
      <c r="E1791" t="s">
        <v>74</v>
      </c>
      <c r="F1791" t="s">
        <v>21838</v>
      </c>
      <c r="G1791" t="s">
        <v>74</v>
      </c>
      <c r="H1791" t="s">
        <v>74</v>
      </c>
      <c r="I1791" t="s">
        <v>21837</v>
      </c>
      <c r="J1791" t="s">
        <v>3493</v>
      </c>
      <c r="K1791" t="s">
        <v>74</v>
      </c>
      <c r="L1791" t="s">
        <v>74</v>
      </c>
      <c r="M1791" t="s">
        <v>78</v>
      </c>
      <c r="N1791" t="s">
        <v>79</v>
      </c>
      <c r="O1791" t="s">
        <v>74</v>
      </c>
      <c r="P1791" t="s">
        <v>74</v>
      </c>
      <c r="Q1791" t="s">
        <v>74</v>
      </c>
      <c r="R1791" t="s">
        <v>74</v>
      </c>
      <c r="S1791" t="s">
        <v>74</v>
      </c>
      <c r="T1791" t="s">
        <v>21836</v>
      </c>
      <c r="U1791" t="s">
        <v>21835</v>
      </c>
      <c r="V1791" t="s">
        <v>21834</v>
      </c>
      <c r="W1791" t="s">
        <v>21833</v>
      </c>
      <c r="X1791" t="s">
        <v>21832</v>
      </c>
      <c r="Y1791" t="s">
        <v>21831</v>
      </c>
      <c r="Z1791" t="s">
        <v>21830</v>
      </c>
      <c r="AA1791" t="s">
        <v>74</v>
      </c>
      <c r="AB1791" t="s">
        <v>74</v>
      </c>
      <c r="AC1791" t="s">
        <v>74</v>
      </c>
      <c r="AD1791" t="s">
        <v>74</v>
      </c>
      <c r="AE1791" t="s">
        <v>74</v>
      </c>
      <c r="AF1791" t="s">
        <v>74</v>
      </c>
      <c r="AG1791">
        <v>55</v>
      </c>
      <c r="AH1791">
        <v>0</v>
      </c>
      <c r="AI1791">
        <v>0</v>
      </c>
      <c r="AJ1791">
        <v>19</v>
      </c>
      <c r="AK1791">
        <v>19</v>
      </c>
      <c r="AL1791" t="s">
        <v>201</v>
      </c>
      <c r="AM1791" t="s">
        <v>202</v>
      </c>
      <c r="AN1791" t="s">
        <v>203</v>
      </c>
      <c r="AO1791" t="s">
        <v>3500</v>
      </c>
      <c r="AP1791" t="s">
        <v>3501</v>
      </c>
      <c r="AQ1791" t="s">
        <v>74</v>
      </c>
      <c r="AR1791" t="s">
        <v>3502</v>
      </c>
      <c r="AS1791" t="s">
        <v>3503</v>
      </c>
      <c r="AT1791" t="s">
        <v>124</v>
      </c>
      <c r="AU1791">
        <v>2025</v>
      </c>
      <c r="AV1791">
        <v>181</v>
      </c>
      <c r="AW1791" t="s">
        <v>74</v>
      </c>
      <c r="AX1791" t="s">
        <v>74</v>
      </c>
      <c r="AY1791" t="s">
        <v>74</v>
      </c>
      <c r="AZ1791" t="s">
        <v>74</v>
      </c>
      <c r="BA1791" t="s">
        <v>74</v>
      </c>
      <c r="BB1791" t="s">
        <v>74</v>
      </c>
      <c r="BC1791" t="s">
        <v>74</v>
      </c>
      <c r="BD1791">
        <v>107557</v>
      </c>
      <c r="BE1791" t="s">
        <v>21829</v>
      </c>
      <c r="BF1791" t="str">
        <f>HYPERLINK("http://dx.doi.org/10.1016/j.jbankfin.2025.107557","http://dx.doi.org/10.1016/j.jbankfin.2025.107557")</f>
        <v>http://dx.doi.org/10.1016/j.jbankfin.2025.107557</v>
      </c>
      <c r="BG1791" t="s">
        <v>74</v>
      </c>
      <c r="BH1791" t="s">
        <v>12078</v>
      </c>
      <c r="BI1791">
        <v>17</v>
      </c>
      <c r="BJ1791" t="s">
        <v>210</v>
      </c>
      <c r="BK1791" t="s">
        <v>99</v>
      </c>
      <c r="BL1791" t="s">
        <v>100</v>
      </c>
      <c r="BM1791" t="s">
        <v>21828</v>
      </c>
      <c r="BN1791" t="s">
        <v>74</v>
      </c>
      <c r="BO1791" t="s">
        <v>74</v>
      </c>
      <c r="BP1791" t="s">
        <v>74</v>
      </c>
      <c r="BQ1791" t="s">
        <v>74</v>
      </c>
      <c r="BR1791" t="s">
        <v>102</v>
      </c>
      <c r="BS1791" t="s">
        <v>21827</v>
      </c>
      <c r="BT1791" t="str">
        <f>HYPERLINK("https%3A%2F%2Fwww.webofscience.com%2Fwos%2Fwoscc%2Ffull-record%2FWOS:001600171100001","View Full Record in Web of Science")</f>
        <v>View Full Record in Web of Science</v>
      </c>
    </row>
    <row r="1792" spans="1:72" x14ac:dyDescent="0.25">
      <c r="A1792" t="s">
        <v>72</v>
      </c>
      <c r="B1792" t="s">
        <v>21826</v>
      </c>
      <c r="C1792" t="s">
        <v>74</v>
      </c>
      <c r="D1792" t="s">
        <v>74</v>
      </c>
      <c r="E1792" t="s">
        <v>74</v>
      </c>
      <c r="F1792" t="s">
        <v>21825</v>
      </c>
      <c r="G1792" t="s">
        <v>74</v>
      </c>
      <c r="H1792" t="s">
        <v>74</v>
      </c>
      <c r="I1792" t="s">
        <v>21824</v>
      </c>
      <c r="J1792" t="s">
        <v>17801</v>
      </c>
      <c r="K1792" t="s">
        <v>74</v>
      </c>
      <c r="L1792" t="s">
        <v>74</v>
      </c>
      <c r="M1792" t="s">
        <v>78</v>
      </c>
      <c r="N1792" t="s">
        <v>79</v>
      </c>
      <c r="O1792" t="s">
        <v>74</v>
      </c>
      <c r="P1792" t="s">
        <v>74</v>
      </c>
      <c r="Q1792" t="s">
        <v>74</v>
      </c>
      <c r="R1792" t="s">
        <v>74</v>
      </c>
      <c r="S1792" t="s">
        <v>74</v>
      </c>
      <c r="T1792" t="s">
        <v>21823</v>
      </c>
      <c r="U1792" t="s">
        <v>74</v>
      </c>
      <c r="V1792" t="s">
        <v>21822</v>
      </c>
      <c r="W1792" t="s">
        <v>21821</v>
      </c>
      <c r="X1792" t="s">
        <v>74</v>
      </c>
      <c r="Y1792" t="s">
        <v>21820</v>
      </c>
      <c r="Z1792" t="s">
        <v>21819</v>
      </c>
      <c r="AA1792" t="s">
        <v>21818</v>
      </c>
      <c r="AB1792" t="s">
        <v>74</v>
      </c>
      <c r="AC1792" t="s">
        <v>74</v>
      </c>
      <c r="AD1792" t="s">
        <v>74</v>
      </c>
      <c r="AE1792" t="s">
        <v>74</v>
      </c>
      <c r="AF1792" t="s">
        <v>74</v>
      </c>
      <c r="AG1792">
        <v>25</v>
      </c>
      <c r="AH1792">
        <v>0</v>
      </c>
      <c r="AI1792">
        <v>0</v>
      </c>
      <c r="AJ1792">
        <v>5</v>
      </c>
      <c r="AK1792">
        <v>5</v>
      </c>
      <c r="AL1792" t="s">
        <v>17808</v>
      </c>
      <c r="AM1792" t="s">
        <v>17809</v>
      </c>
      <c r="AN1792" t="s">
        <v>17810</v>
      </c>
      <c r="AO1792" t="s">
        <v>17811</v>
      </c>
      <c r="AP1792" t="s">
        <v>17812</v>
      </c>
      <c r="AQ1792" t="s">
        <v>74</v>
      </c>
      <c r="AR1792" t="s">
        <v>17801</v>
      </c>
      <c r="AS1792" t="s">
        <v>17813</v>
      </c>
      <c r="AT1792" t="s">
        <v>698</v>
      </c>
      <c r="AU1792">
        <v>2025</v>
      </c>
      <c r="AV1792">
        <v>41</v>
      </c>
      <c r="AW1792">
        <v>3</v>
      </c>
      <c r="AX1792" t="s">
        <v>74</v>
      </c>
      <c r="AY1792" t="s">
        <v>74</v>
      </c>
      <c r="AZ1792" t="s">
        <v>74</v>
      </c>
      <c r="BA1792" t="s">
        <v>74</v>
      </c>
      <c r="BB1792" t="s">
        <v>74</v>
      </c>
      <c r="BC1792" t="s">
        <v>74</v>
      </c>
      <c r="BD1792" t="s">
        <v>74</v>
      </c>
      <c r="BE1792" t="s">
        <v>21817</v>
      </c>
      <c r="BF1792" t="str">
        <f>HYPERLINK("http://dx.doi.org/10.64446/aw.2025.9.41.3.82","http://dx.doi.org/10.64446/aw.2025.9.41.3.82")</f>
        <v>http://dx.doi.org/10.64446/aw.2025.9.41.3.82</v>
      </c>
      <c r="BG1792" t="s">
        <v>74</v>
      </c>
      <c r="BH1792" t="s">
        <v>74</v>
      </c>
      <c r="BI1792">
        <v>173</v>
      </c>
      <c r="BJ1792" t="s">
        <v>4761</v>
      </c>
      <c r="BK1792" t="s">
        <v>99</v>
      </c>
      <c r="BL1792" t="s">
        <v>4761</v>
      </c>
      <c r="BM1792" t="s">
        <v>21816</v>
      </c>
      <c r="BN1792" t="s">
        <v>74</v>
      </c>
      <c r="BO1792" t="s">
        <v>270</v>
      </c>
      <c r="BP1792" t="s">
        <v>74</v>
      </c>
      <c r="BQ1792" t="s">
        <v>74</v>
      </c>
      <c r="BR1792" t="s">
        <v>102</v>
      </c>
      <c r="BS1792" t="s">
        <v>21815</v>
      </c>
      <c r="BT1792" t="str">
        <f>HYPERLINK("https%3A%2F%2Fwww.webofscience.com%2Fwos%2Fwoscc%2Ffull-record%2FWOS:001587965300005","View Full Record in Web of Science")</f>
        <v>View Full Record in Web of Science</v>
      </c>
    </row>
    <row r="1793" spans="1:72" x14ac:dyDescent="0.25">
      <c r="A1793" t="s">
        <v>72</v>
      </c>
      <c r="B1793" t="s">
        <v>21814</v>
      </c>
      <c r="C1793" t="s">
        <v>74</v>
      </c>
      <c r="D1793" t="s">
        <v>74</v>
      </c>
      <c r="E1793" t="s">
        <v>74</v>
      </c>
      <c r="F1793" t="s">
        <v>21813</v>
      </c>
      <c r="G1793" t="s">
        <v>74</v>
      </c>
      <c r="H1793" t="s">
        <v>74</v>
      </c>
      <c r="I1793" t="s">
        <v>21812</v>
      </c>
      <c r="J1793" t="s">
        <v>2137</v>
      </c>
      <c r="K1793" t="s">
        <v>74</v>
      </c>
      <c r="L1793" t="s">
        <v>74</v>
      </c>
      <c r="M1793" t="s">
        <v>78</v>
      </c>
      <c r="N1793" t="s">
        <v>79</v>
      </c>
      <c r="O1793" t="s">
        <v>74</v>
      </c>
      <c r="P1793" t="s">
        <v>74</v>
      </c>
      <c r="Q1793" t="s">
        <v>74</v>
      </c>
      <c r="R1793" t="s">
        <v>74</v>
      </c>
      <c r="S1793" t="s">
        <v>74</v>
      </c>
      <c r="T1793" t="s">
        <v>21811</v>
      </c>
      <c r="U1793" t="s">
        <v>21810</v>
      </c>
      <c r="V1793" t="s">
        <v>21809</v>
      </c>
      <c r="W1793" t="s">
        <v>21808</v>
      </c>
      <c r="X1793" t="s">
        <v>21807</v>
      </c>
      <c r="Y1793" t="s">
        <v>21806</v>
      </c>
      <c r="Z1793" t="s">
        <v>21805</v>
      </c>
      <c r="AA1793" t="s">
        <v>21804</v>
      </c>
      <c r="AB1793" t="s">
        <v>21803</v>
      </c>
      <c r="AC1793" t="s">
        <v>74</v>
      </c>
      <c r="AD1793" t="s">
        <v>74</v>
      </c>
      <c r="AE1793" t="s">
        <v>21802</v>
      </c>
      <c r="AF1793" t="s">
        <v>74</v>
      </c>
      <c r="AG1793">
        <v>42</v>
      </c>
      <c r="AH1793">
        <v>2</v>
      </c>
      <c r="AI1793">
        <v>2</v>
      </c>
      <c r="AJ1793">
        <v>1</v>
      </c>
      <c r="AK1793">
        <v>7</v>
      </c>
      <c r="AL1793" t="s">
        <v>2145</v>
      </c>
      <c r="AM1793" t="s">
        <v>151</v>
      </c>
      <c r="AN1793" t="s">
        <v>2146</v>
      </c>
      <c r="AO1793" t="s">
        <v>2147</v>
      </c>
      <c r="AP1793" t="s">
        <v>2148</v>
      </c>
      <c r="AQ1793" t="s">
        <v>74</v>
      </c>
      <c r="AR1793" t="s">
        <v>2149</v>
      </c>
      <c r="AS1793" t="s">
        <v>2150</v>
      </c>
      <c r="AT1793" t="s">
        <v>74</v>
      </c>
      <c r="AU1793">
        <v>2024</v>
      </c>
      <c r="AV1793">
        <v>35</v>
      </c>
      <c r="AW1793">
        <v>2</v>
      </c>
      <c r="AX1793" t="s">
        <v>74</v>
      </c>
      <c r="AY1793" t="s">
        <v>74</v>
      </c>
      <c r="AZ1793" t="s">
        <v>74</v>
      </c>
      <c r="BA1793" t="s">
        <v>74</v>
      </c>
      <c r="BB1793">
        <v>292</v>
      </c>
      <c r="BC1793">
        <v>304</v>
      </c>
      <c r="BD1793" t="s">
        <v>74</v>
      </c>
      <c r="BE1793" t="s">
        <v>21801</v>
      </c>
      <c r="BF1793" t="str">
        <f>HYPERLINK("http://dx.doi.org/10.1891/JFCP-2023-0067","http://dx.doi.org/10.1891/JFCP-2023-0067")</f>
        <v>http://dx.doi.org/10.1891/JFCP-2023-0067</v>
      </c>
      <c r="BG1793" t="s">
        <v>74</v>
      </c>
      <c r="BH1793" t="s">
        <v>74</v>
      </c>
      <c r="BI1793">
        <v>13</v>
      </c>
      <c r="BJ1793" t="s">
        <v>1453</v>
      </c>
      <c r="BK1793" t="s">
        <v>313</v>
      </c>
      <c r="BL1793" t="s">
        <v>100</v>
      </c>
      <c r="BM1793" t="s">
        <v>21800</v>
      </c>
      <c r="BN1793" t="s">
        <v>74</v>
      </c>
      <c r="BO1793" t="s">
        <v>74</v>
      </c>
      <c r="BP1793" t="s">
        <v>74</v>
      </c>
      <c r="BQ1793" t="s">
        <v>74</v>
      </c>
      <c r="BR1793" t="s">
        <v>102</v>
      </c>
      <c r="BS1793" t="s">
        <v>21799</v>
      </c>
      <c r="BT1793" t="str">
        <f>HYPERLINK("https%3A%2F%2Fwww.webofscience.com%2Fwos%2Fwoscc%2Ffull-record%2FWOS:001289023300011","View Full Record in Web of Science")</f>
        <v>View Full Record in Web of Science</v>
      </c>
    </row>
    <row r="1794" spans="1:72" x14ac:dyDescent="0.25">
      <c r="A1794" t="s">
        <v>72</v>
      </c>
      <c r="B1794" t="s">
        <v>21798</v>
      </c>
      <c r="C1794" t="s">
        <v>74</v>
      </c>
      <c r="D1794" t="s">
        <v>74</v>
      </c>
      <c r="E1794" t="s">
        <v>74</v>
      </c>
      <c r="F1794" t="s">
        <v>21797</v>
      </c>
      <c r="G1794" t="s">
        <v>74</v>
      </c>
      <c r="H1794" t="s">
        <v>74</v>
      </c>
      <c r="I1794" t="s">
        <v>21796</v>
      </c>
      <c r="J1794" t="s">
        <v>3056</v>
      </c>
      <c r="K1794" t="s">
        <v>74</v>
      </c>
      <c r="L1794" t="s">
        <v>74</v>
      </c>
      <c r="M1794" t="s">
        <v>78</v>
      </c>
      <c r="N1794" t="s">
        <v>79</v>
      </c>
      <c r="O1794" t="s">
        <v>74</v>
      </c>
      <c r="P1794" t="s">
        <v>74</v>
      </c>
      <c r="Q1794" t="s">
        <v>74</v>
      </c>
      <c r="R1794" t="s">
        <v>74</v>
      </c>
      <c r="S1794" t="s">
        <v>74</v>
      </c>
      <c r="T1794" t="s">
        <v>21795</v>
      </c>
      <c r="U1794" t="s">
        <v>74</v>
      </c>
      <c r="V1794" t="s">
        <v>21794</v>
      </c>
      <c r="W1794" t="s">
        <v>21793</v>
      </c>
      <c r="X1794" t="s">
        <v>21792</v>
      </c>
      <c r="Y1794" t="s">
        <v>74</v>
      </c>
      <c r="Z1794" t="s">
        <v>21791</v>
      </c>
      <c r="AA1794" t="s">
        <v>21790</v>
      </c>
      <c r="AB1794" t="s">
        <v>74</v>
      </c>
      <c r="AC1794" t="s">
        <v>74</v>
      </c>
      <c r="AD1794" t="s">
        <v>74</v>
      </c>
      <c r="AE1794" t="s">
        <v>74</v>
      </c>
      <c r="AF1794" t="s">
        <v>74</v>
      </c>
      <c r="AG1794">
        <v>11</v>
      </c>
      <c r="AH1794">
        <v>1</v>
      </c>
      <c r="AI1794">
        <v>1</v>
      </c>
      <c r="AJ1794">
        <v>0</v>
      </c>
      <c r="AK1794">
        <v>5</v>
      </c>
      <c r="AL1794" t="s">
        <v>3064</v>
      </c>
      <c r="AM1794" t="s">
        <v>3065</v>
      </c>
      <c r="AN1794" t="s">
        <v>3066</v>
      </c>
      <c r="AO1794" t="s">
        <v>3067</v>
      </c>
      <c r="AP1794" t="s">
        <v>3068</v>
      </c>
      <c r="AQ1794" t="s">
        <v>74</v>
      </c>
      <c r="AR1794" t="s">
        <v>3069</v>
      </c>
      <c r="AS1794" t="s">
        <v>3070</v>
      </c>
      <c r="AT1794" t="s">
        <v>363</v>
      </c>
      <c r="AU1794">
        <v>2019</v>
      </c>
      <c r="AV1794">
        <v>15</v>
      </c>
      <c r="AW1794">
        <v>2</v>
      </c>
      <c r="AX1794" t="s">
        <v>74</v>
      </c>
      <c r="AY1794" t="s">
        <v>74</v>
      </c>
      <c r="AZ1794" t="s">
        <v>74</v>
      </c>
      <c r="BA1794" t="s">
        <v>74</v>
      </c>
      <c r="BB1794">
        <v>307</v>
      </c>
      <c r="BC1794">
        <v>311</v>
      </c>
      <c r="BD1794" t="s">
        <v>74</v>
      </c>
      <c r="BE1794" t="s">
        <v>21789</v>
      </c>
      <c r="BF1794" t="str">
        <f>HYPERLINK("http://dx.doi.org/10.5958/2322-0430.2019.00038.6","http://dx.doi.org/10.5958/2322-0430.2019.00038.6")</f>
        <v>http://dx.doi.org/10.5958/2322-0430.2019.00038.6</v>
      </c>
      <c r="BG1794" t="s">
        <v>74</v>
      </c>
      <c r="BH1794" t="s">
        <v>74</v>
      </c>
      <c r="BI1794">
        <v>5</v>
      </c>
      <c r="BJ1794" t="s">
        <v>291</v>
      </c>
      <c r="BK1794" t="s">
        <v>313</v>
      </c>
      <c r="BL1794" t="s">
        <v>100</v>
      </c>
      <c r="BM1794" t="s">
        <v>21788</v>
      </c>
      <c r="BN1794" t="s">
        <v>74</v>
      </c>
      <c r="BO1794" t="s">
        <v>270</v>
      </c>
      <c r="BP1794" t="s">
        <v>74</v>
      </c>
      <c r="BQ1794" t="s">
        <v>74</v>
      </c>
      <c r="BR1794" t="s">
        <v>102</v>
      </c>
      <c r="BS1794" t="s">
        <v>21787</v>
      </c>
      <c r="BT1794" t="str">
        <f>HYPERLINK("https%3A%2F%2Fwww.webofscience.com%2Fwos%2Fwoscc%2Ffull-record%2FWOS:000542310800018","View Full Record in Web of Science")</f>
        <v>View Full Record in Web of Science</v>
      </c>
    </row>
    <row r="1795" spans="1:72" x14ac:dyDescent="0.25">
      <c r="A1795" t="s">
        <v>72</v>
      </c>
      <c r="B1795" t="s">
        <v>21786</v>
      </c>
      <c r="C1795" t="s">
        <v>74</v>
      </c>
      <c r="D1795" t="s">
        <v>74</v>
      </c>
      <c r="E1795" t="s">
        <v>74</v>
      </c>
      <c r="F1795" t="s">
        <v>21785</v>
      </c>
      <c r="G1795" t="s">
        <v>74</v>
      </c>
      <c r="H1795" t="s">
        <v>74</v>
      </c>
      <c r="I1795" t="s">
        <v>21784</v>
      </c>
      <c r="J1795" t="s">
        <v>21783</v>
      </c>
      <c r="K1795" t="s">
        <v>74</v>
      </c>
      <c r="L1795" t="s">
        <v>74</v>
      </c>
      <c r="M1795" t="s">
        <v>78</v>
      </c>
      <c r="N1795" t="s">
        <v>79</v>
      </c>
      <c r="O1795" t="s">
        <v>74</v>
      </c>
      <c r="P1795" t="s">
        <v>74</v>
      </c>
      <c r="Q1795" t="s">
        <v>74</v>
      </c>
      <c r="R1795" t="s">
        <v>74</v>
      </c>
      <c r="S1795" t="s">
        <v>74</v>
      </c>
      <c r="T1795" t="s">
        <v>74</v>
      </c>
      <c r="U1795" t="s">
        <v>21782</v>
      </c>
      <c r="V1795" t="s">
        <v>21781</v>
      </c>
      <c r="W1795" t="s">
        <v>21780</v>
      </c>
      <c r="X1795" t="s">
        <v>21779</v>
      </c>
      <c r="Y1795" t="s">
        <v>21778</v>
      </c>
      <c r="Z1795" t="s">
        <v>21777</v>
      </c>
      <c r="AA1795" t="s">
        <v>74</v>
      </c>
      <c r="AB1795" t="s">
        <v>21776</v>
      </c>
      <c r="AC1795" t="s">
        <v>21775</v>
      </c>
      <c r="AD1795" t="s">
        <v>21775</v>
      </c>
      <c r="AE1795" t="s">
        <v>21774</v>
      </c>
      <c r="AF1795" t="s">
        <v>74</v>
      </c>
      <c r="AG1795">
        <v>38</v>
      </c>
      <c r="AH1795">
        <v>12</v>
      </c>
      <c r="AI1795">
        <v>15</v>
      </c>
      <c r="AJ1795">
        <v>3</v>
      </c>
      <c r="AK1795">
        <v>51</v>
      </c>
      <c r="AL1795" t="s">
        <v>3861</v>
      </c>
      <c r="AM1795" t="s">
        <v>2016</v>
      </c>
      <c r="AN1795" t="s">
        <v>3862</v>
      </c>
      <c r="AO1795" t="s">
        <v>21773</v>
      </c>
      <c r="AP1795" t="s">
        <v>21772</v>
      </c>
      <c r="AQ1795" t="s">
        <v>74</v>
      </c>
      <c r="AR1795" t="s">
        <v>21771</v>
      </c>
      <c r="AS1795" t="s">
        <v>21770</v>
      </c>
      <c r="AT1795" t="s">
        <v>289</v>
      </c>
      <c r="AU1795">
        <v>2022</v>
      </c>
      <c r="AV1795">
        <v>57</v>
      </c>
      <c r="AW1795">
        <v>5</v>
      </c>
      <c r="AX1795" t="s">
        <v>74</v>
      </c>
      <c r="AY1795" t="s">
        <v>74</v>
      </c>
      <c r="AZ1795" t="s">
        <v>74</v>
      </c>
      <c r="BA1795" t="s">
        <v>74</v>
      </c>
      <c r="BB1795">
        <v>1834</v>
      </c>
      <c r="BC1795">
        <v>1861</v>
      </c>
      <c r="BD1795" t="s">
        <v>21769</v>
      </c>
      <c r="BE1795" t="s">
        <v>21768</v>
      </c>
      <c r="BF1795" t="str">
        <f>HYPERLINK("http://dx.doi.org/10.1017/S0022109021000569","http://dx.doi.org/10.1017/S0022109021000569")</f>
        <v>http://dx.doi.org/10.1017/S0022109021000569</v>
      </c>
      <c r="BG1795" t="s">
        <v>74</v>
      </c>
      <c r="BH1795" t="s">
        <v>1818</v>
      </c>
      <c r="BI1795">
        <v>28</v>
      </c>
      <c r="BJ1795" t="s">
        <v>210</v>
      </c>
      <c r="BK1795" t="s">
        <v>99</v>
      </c>
      <c r="BL1795" t="s">
        <v>100</v>
      </c>
      <c r="BM1795" t="s">
        <v>21767</v>
      </c>
      <c r="BN1795" t="s">
        <v>74</v>
      </c>
      <c r="BO1795" t="s">
        <v>74</v>
      </c>
      <c r="BP1795" t="s">
        <v>74</v>
      </c>
      <c r="BQ1795" t="s">
        <v>74</v>
      </c>
      <c r="BR1795" t="s">
        <v>102</v>
      </c>
      <c r="BS1795" t="s">
        <v>21766</v>
      </c>
      <c r="BT1795" t="str">
        <f>HYPERLINK("https%3A%2F%2Fwww.webofscience.com%2Fwos%2Fwoscc%2Ffull-record%2FWOS:000792204400001","View Full Record in Web of Science")</f>
        <v>View Full Record in Web of Science</v>
      </c>
    </row>
    <row r="1796" spans="1:72" x14ac:dyDescent="0.25">
      <c r="A1796" t="s">
        <v>72</v>
      </c>
      <c r="B1796" t="s">
        <v>21765</v>
      </c>
      <c r="C1796" t="s">
        <v>74</v>
      </c>
      <c r="D1796" t="s">
        <v>74</v>
      </c>
      <c r="E1796" t="s">
        <v>74</v>
      </c>
      <c r="F1796" t="s">
        <v>21764</v>
      </c>
      <c r="G1796" t="s">
        <v>74</v>
      </c>
      <c r="H1796" t="s">
        <v>74</v>
      </c>
      <c r="I1796" t="s">
        <v>21763</v>
      </c>
      <c r="J1796" t="s">
        <v>18344</v>
      </c>
      <c r="K1796" t="s">
        <v>74</v>
      </c>
      <c r="L1796" t="s">
        <v>74</v>
      </c>
      <c r="M1796" t="s">
        <v>78</v>
      </c>
      <c r="N1796" t="s">
        <v>79</v>
      </c>
      <c r="O1796" t="s">
        <v>74</v>
      </c>
      <c r="P1796" t="s">
        <v>74</v>
      </c>
      <c r="Q1796" t="s">
        <v>74</v>
      </c>
      <c r="R1796" t="s">
        <v>74</v>
      </c>
      <c r="S1796" t="s">
        <v>74</v>
      </c>
      <c r="T1796" t="s">
        <v>21762</v>
      </c>
      <c r="U1796" t="s">
        <v>21761</v>
      </c>
      <c r="V1796" t="s">
        <v>21760</v>
      </c>
      <c r="W1796" t="s">
        <v>21759</v>
      </c>
      <c r="X1796" t="s">
        <v>19572</v>
      </c>
      <c r="Y1796" t="s">
        <v>21758</v>
      </c>
      <c r="Z1796" t="s">
        <v>21757</v>
      </c>
      <c r="AA1796" t="s">
        <v>21756</v>
      </c>
      <c r="AB1796" t="s">
        <v>19015</v>
      </c>
      <c r="AC1796" t="s">
        <v>74</v>
      </c>
      <c r="AD1796" t="s">
        <v>74</v>
      </c>
      <c r="AE1796" t="s">
        <v>74</v>
      </c>
      <c r="AF1796" t="s">
        <v>74</v>
      </c>
      <c r="AG1796">
        <v>62</v>
      </c>
      <c r="AH1796">
        <v>0</v>
      </c>
      <c r="AI1796">
        <v>0</v>
      </c>
      <c r="AJ1796">
        <v>2</v>
      </c>
      <c r="AK1796">
        <v>4</v>
      </c>
      <c r="AL1796" t="s">
        <v>89</v>
      </c>
      <c r="AM1796" t="s">
        <v>1497</v>
      </c>
      <c r="AN1796" t="s">
        <v>1498</v>
      </c>
      <c r="AO1796" t="s">
        <v>18354</v>
      </c>
      <c r="AP1796" t="s">
        <v>18355</v>
      </c>
      <c r="AQ1796" t="s">
        <v>74</v>
      </c>
      <c r="AR1796" t="s">
        <v>18356</v>
      </c>
      <c r="AS1796" t="s">
        <v>18357</v>
      </c>
      <c r="AT1796" t="s">
        <v>16081</v>
      </c>
      <c r="AU1796">
        <v>2021</v>
      </c>
      <c r="AV1796">
        <v>37</v>
      </c>
      <c r="AW1796">
        <v>3</v>
      </c>
      <c r="AX1796" t="s">
        <v>74</v>
      </c>
      <c r="AY1796" t="s">
        <v>74</v>
      </c>
      <c r="AZ1796" t="s">
        <v>74</v>
      </c>
      <c r="BA1796" t="s">
        <v>74</v>
      </c>
      <c r="BB1796">
        <v>390</v>
      </c>
      <c r="BC1796">
        <v>405</v>
      </c>
      <c r="BD1796" t="s">
        <v>74</v>
      </c>
      <c r="BE1796" t="s">
        <v>21755</v>
      </c>
      <c r="BF1796" t="str">
        <f>HYPERLINK("http://dx.doi.org/10.1108/IJOES-11-2020-0176","http://dx.doi.org/10.1108/IJOES-11-2020-0176")</f>
        <v>http://dx.doi.org/10.1108/IJOES-11-2020-0176</v>
      </c>
      <c r="BG1796" t="s">
        <v>74</v>
      </c>
      <c r="BH1796" t="s">
        <v>4575</v>
      </c>
      <c r="BI1796">
        <v>16</v>
      </c>
      <c r="BJ1796" t="s">
        <v>291</v>
      </c>
      <c r="BK1796" t="s">
        <v>313</v>
      </c>
      <c r="BL1796" t="s">
        <v>100</v>
      </c>
      <c r="BM1796" t="s">
        <v>19013</v>
      </c>
      <c r="BN1796" t="s">
        <v>74</v>
      </c>
      <c r="BO1796" t="s">
        <v>74</v>
      </c>
      <c r="BP1796" t="s">
        <v>74</v>
      </c>
      <c r="BQ1796" t="s">
        <v>74</v>
      </c>
      <c r="BR1796" t="s">
        <v>102</v>
      </c>
      <c r="BS1796" t="s">
        <v>21754</v>
      </c>
      <c r="BT1796" t="str">
        <f>HYPERLINK("https%3A%2F%2Fwww.webofscience.com%2Fwos%2Fwoscc%2Ffull-record%2FWOS:000653150400001","View Full Record in Web of Science")</f>
        <v>View Full Record in Web of Science</v>
      </c>
    </row>
    <row r="1797" spans="1:72" x14ac:dyDescent="0.25">
      <c r="A1797" t="s">
        <v>72</v>
      </c>
      <c r="B1797" t="s">
        <v>21753</v>
      </c>
      <c r="C1797" t="s">
        <v>74</v>
      </c>
      <c r="D1797" t="s">
        <v>74</v>
      </c>
      <c r="E1797" t="s">
        <v>74</v>
      </c>
      <c r="F1797" t="s">
        <v>21752</v>
      </c>
      <c r="G1797" t="s">
        <v>74</v>
      </c>
      <c r="H1797" t="s">
        <v>74</v>
      </c>
      <c r="I1797" t="s">
        <v>21751</v>
      </c>
      <c r="J1797" t="s">
        <v>8200</v>
      </c>
      <c r="K1797" t="s">
        <v>74</v>
      </c>
      <c r="L1797" t="s">
        <v>74</v>
      </c>
      <c r="M1797" t="s">
        <v>78</v>
      </c>
      <c r="N1797" t="s">
        <v>79</v>
      </c>
      <c r="O1797" t="s">
        <v>74</v>
      </c>
      <c r="P1797" t="s">
        <v>74</v>
      </c>
      <c r="Q1797" t="s">
        <v>74</v>
      </c>
      <c r="R1797" t="s">
        <v>74</v>
      </c>
      <c r="S1797" t="s">
        <v>74</v>
      </c>
      <c r="T1797" t="s">
        <v>21750</v>
      </c>
      <c r="U1797" t="s">
        <v>74</v>
      </c>
      <c r="V1797" t="s">
        <v>21749</v>
      </c>
      <c r="W1797" t="s">
        <v>21748</v>
      </c>
      <c r="X1797" t="s">
        <v>21747</v>
      </c>
      <c r="Y1797" t="s">
        <v>21746</v>
      </c>
      <c r="Z1797" t="s">
        <v>21745</v>
      </c>
      <c r="AA1797" t="s">
        <v>74</v>
      </c>
      <c r="AB1797" t="s">
        <v>74</v>
      </c>
      <c r="AC1797" t="s">
        <v>74</v>
      </c>
      <c r="AD1797" t="s">
        <v>74</v>
      </c>
      <c r="AE1797" t="s">
        <v>74</v>
      </c>
      <c r="AF1797" t="s">
        <v>74</v>
      </c>
      <c r="AG1797">
        <v>49</v>
      </c>
      <c r="AH1797">
        <v>0</v>
      </c>
      <c r="AI1797">
        <v>0</v>
      </c>
      <c r="AJ1797">
        <v>0</v>
      </c>
      <c r="AK1797">
        <v>1</v>
      </c>
      <c r="AL1797" t="s">
        <v>8210</v>
      </c>
      <c r="AM1797" t="s">
        <v>8211</v>
      </c>
      <c r="AN1797" t="s">
        <v>8212</v>
      </c>
      <c r="AO1797" t="s">
        <v>8213</v>
      </c>
      <c r="AP1797" t="s">
        <v>74</v>
      </c>
      <c r="AQ1797" t="s">
        <v>74</v>
      </c>
      <c r="AR1797" t="s">
        <v>8214</v>
      </c>
      <c r="AS1797" t="s">
        <v>8215</v>
      </c>
      <c r="AT1797" t="s">
        <v>1159</v>
      </c>
      <c r="AU1797">
        <v>2022</v>
      </c>
      <c r="AV1797">
        <v>15</v>
      </c>
      <c r="AW1797">
        <v>4</v>
      </c>
      <c r="AX1797" t="s">
        <v>74</v>
      </c>
      <c r="AY1797" t="s">
        <v>74</v>
      </c>
      <c r="AZ1797" t="s">
        <v>74</v>
      </c>
      <c r="BA1797" t="s">
        <v>74</v>
      </c>
      <c r="BB1797">
        <v>7</v>
      </c>
      <c r="BC1797">
        <v>17</v>
      </c>
      <c r="BD1797" t="s">
        <v>74</v>
      </c>
      <c r="BE1797" t="s">
        <v>74</v>
      </c>
      <c r="BF1797" t="s">
        <v>74</v>
      </c>
      <c r="BG1797" t="s">
        <v>74</v>
      </c>
      <c r="BH1797" t="s">
        <v>74</v>
      </c>
      <c r="BI1797">
        <v>11</v>
      </c>
      <c r="BJ1797" t="s">
        <v>418</v>
      </c>
      <c r="BK1797" t="s">
        <v>313</v>
      </c>
      <c r="BL1797" t="s">
        <v>100</v>
      </c>
      <c r="BM1797" t="s">
        <v>21744</v>
      </c>
      <c r="BN1797" t="s">
        <v>74</v>
      </c>
      <c r="BO1797" t="s">
        <v>74</v>
      </c>
      <c r="BP1797" t="s">
        <v>74</v>
      </c>
      <c r="BQ1797" t="s">
        <v>74</v>
      </c>
      <c r="BR1797" t="s">
        <v>102</v>
      </c>
      <c r="BS1797" t="s">
        <v>21743</v>
      </c>
      <c r="BT1797" t="str">
        <f>HYPERLINK("https%3A%2F%2Fwww.webofscience.com%2Fwos%2Fwoscc%2Ffull-record%2FWOS:000907699800005","View Full Record in Web of Science")</f>
        <v>View Full Record in Web of Science</v>
      </c>
    </row>
    <row r="1798" spans="1:72" x14ac:dyDescent="0.25">
      <c r="A1798" t="s">
        <v>72</v>
      </c>
      <c r="B1798" t="s">
        <v>21742</v>
      </c>
      <c r="C1798" t="s">
        <v>74</v>
      </c>
      <c r="D1798" t="s">
        <v>74</v>
      </c>
      <c r="E1798" t="s">
        <v>74</v>
      </c>
      <c r="F1798" t="s">
        <v>21741</v>
      </c>
      <c r="G1798" t="s">
        <v>74</v>
      </c>
      <c r="H1798" t="s">
        <v>74</v>
      </c>
      <c r="I1798" t="s">
        <v>21740</v>
      </c>
      <c r="J1798" t="s">
        <v>12620</v>
      </c>
      <c r="K1798" t="s">
        <v>74</v>
      </c>
      <c r="L1798" t="s">
        <v>74</v>
      </c>
      <c r="M1798" t="s">
        <v>78</v>
      </c>
      <c r="N1798" t="s">
        <v>372</v>
      </c>
      <c r="O1798" t="s">
        <v>74</v>
      </c>
      <c r="P1798" t="s">
        <v>74</v>
      </c>
      <c r="Q1798" t="s">
        <v>74</v>
      </c>
      <c r="R1798" t="s">
        <v>74</v>
      </c>
      <c r="S1798" t="s">
        <v>74</v>
      </c>
      <c r="T1798" t="s">
        <v>21739</v>
      </c>
      <c r="U1798" t="s">
        <v>21738</v>
      </c>
      <c r="V1798" t="s">
        <v>21737</v>
      </c>
      <c r="W1798" t="s">
        <v>21736</v>
      </c>
      <c r="X1798" t="s">
        <v>10580</v>
      </c>
      <c r="Y1798" t="s">
        <v>21735</v>
      </c>
      <c r="Z1798" t="s">
        <v>21734</v>
      </c>
      <c r="AA1798" t="s">
        <v>74</v>
      </c>
      <c r="AB1798" t="s">
        <v>74</v>
      </c>
      <c r="AC1798" t="s">
        <v>74</v>
      </c>
      <c r="AD1798" t="s">
        <v>74</v>
      </c>
      <c r="AE1798" t="s">
        <v>74</v>
      </c>
      <c r="AF1798" t="s">
        <v>74</v>
      </c>
      <c r="AG1798">
        <v>84</v>
      </c>
      <c r="AH1798">
        <v>0</v>
      </c>
      <c r="AI1798">
        <v>0</v>
      </c>
      <c r="AJ1798">
        <v>0</v>
      </c>
      <c r="AK1798">
        <v>0</v>
      </c>
      <c r="AL1798" t="s">
        <v>89</v>
      </c>
      <c r="AM1798" t="s">
        <v>90</v>
      </c>
      <c r="AN1798" t="s">
        <v>91</v>
      </c>
      <c r="AO1798" t="s">
        <v>12628</v>
      </c>
      <c r="AP1798" t="s">
        <v>12629</v>
      </c>
      <c r="AQ1798" t="s">
        <v>74</v>
      </c>
      <c r="AR1798" t="s">
        <v>12630</v>
      </c>
      <c r="AS1798" t="s">
        <v>12631</v>
      </c>
      <c r="AT1798" t="s">
        <v>1281</v>
      </c>
      <c r="AU1798">
        <v>2025</v>
      </c>
      <c r="AV1798" t="s">
        <v>74</v>
      </c>
      <c r="AW1798" t="s">
        <v>74</v>
      </c>
      <c r="AX1798" t="s">
        <v>74</v>
      </c>
      <c r="AY1798" t="s">
        <v>74</v>
      </c>
      <c r="AZ1798" t="s">
        <v>74</v>
      </c>
      <c r="BA1798" t="s">
        <v>74</v>
      </c>
      <c r="BB1798" t="s">
        <v>74</v>
      </c>
      <c r="BC1798" t="s">
        <v>74</v>
      </c>
      <c r="BD1798" t="s">
        <v>74</v>
      </c>
      <c r="BE1798" t="s">
        <v>21733</v>
      </c>
      <c r="BF1798" t="str">
        <f>HYPERLINK("http://dx.doi.org/10.1108/IJSSP-04-2025-0258","http://dx.doi.org/10.1108/IJSSP-04-2025-0258")</f>
        <v>http://dx.doi.org/10.1108/IJSSP-04-2025-0258</v>
      </c>
      <c r="BG1798" t="s">
        <v>74</v>
      </c>
      <c r="BH1798" t="s">
        <v>488</v>
      </c>
      <c r="BI1798">
        <v>22</v>
      </c>
      <c r="BJ1798" t="s">
        <v>5129</v>
      </c>
      <c r="BK1798" t="s">
        <v>313</v>
      </c>
      <c r="BL1798" t="s">
        <v>5129</v>
      </c>
      <c r="BM1798" t="s">
        <v>21732</v>
      </c>
      <c r="BN1798" t="s">
        <v>74</v>
      </c>
      <c r="BO1798" t="s">
        <v>74</v>
      </c>
      <c r="BP1798" t="s">
        <v>74</v>
      </c>
      <c r="BQ1798" t="s">
        <v>74</v>
      </c>
      <c r="BR1798" t="s">
        <v>102</v>
      </c>
      <c r="BS1798" t="s">
        <v>21731</v>
      </c>
      <c r="BT1798" t="str">
        <f>HYPERLINK("https%3A%2F%2Fwww.webofscience.com%2Fwos%2Fwoscc%2Ffull-record%2FWOS:001649917000001","View Full Record in Web of Science")</f>
        <v>View Full Record in Web of Science</v>
      </c>
    </row>
    <row r="1799" spans="1:72" x14ac:dyDescent="0.25">
      <c r="A1799" t="s">
        <v>72</v>
      </c>
      <c r="B1799" t="s">
        <v>21730</v>
      </c>
      <c r="C1799" t="s">
        <v>74</v>
      </c>
      <c r="D1799" t="s">
        <v>74</v>
      </c>
      <c r="E1799" t="s">
        <v>74</v>
      </c>
      <c r="F1799" t="s">
        <v>21729</v>
      </c>
      <c r="G1799" t="s">
        <v>74</v>
      </c>
      <c r="H1799" t="s">
        <v>74</v>
      </c>
      <c r="I1799" t="s">
        <v>21728</v>
      </c>
      <c r="J1799" t="s">
        <v>21727</v>
      </c>
      <c r="K1799" t="s">
        <v>74</v>
      </c>
      <c r="L1799" t="s">
        <v>74</v>
      </c>
      <c r="M1799" t="s">
        <v>78</v>
      </c>
      <c r="N1799" t="s">
        <v>79</v>
      </c>
      <c r="O1799" t="s">
        <v>74</v>
      </c>
      <c r="P1799" t="s">
        <v>74</v>
      </c>
      <c r="Q1799" t="s">
        <v>74</v>
      </c>
      <c r="R1799" t="s">
        <v>74</v>
      </c>
      <c r="S1799" t="s">
        <v>74</v>
      </c>
      <c r="T1799" t="s">
        <v>21726</v>
      </c>
      <c r="U1799" t="s">
        <v>74</v>
      </c>
      <c r="V1799" t="s">
        <v>21725</v>
      </c>
      <c r="W1799" t="s">
        <v>21724</v>
      </c>
      <c r="X1799" t="s">
        <v>11936</v>
      </c>
      <c r="Y1799" t="s">
        <v>21723</v>
      </c>
      <c r="Z1799" t="s">
        <v>21722</v>
      </c>
      <c r="AA1799" t="s">
        <v>74</v>
      </c>
      <c r="AB1799" t="s">
        <v>74</v>
      </c>
      <c r="AC1799" t="s">
        <v>74</v>
      </c>
      <c r="AD1799" t="s">
        <v>74</v>
      </c>
      <c r="AE1799" t="s">
        <v>74</v>
      </c>
      <c r="AF1799" t="s">
        <v>74</v>
      </c>
      <c r="AG1799">
        <v>25</v>
      </c>
      <c r="AH1799">
        <v>1</v>
      </c>
      <c r="AI1799">
        <v>2</v>
      </c>
      <c r="AJ1799">
        <v>0</v>
      </c>
      <c r="AK1799">
        <v>5</v>
      </c>
      <c r="AL1799" t="s">
        <v>385</v>
      </c>
      <c r="AM1799" t="s">
        <v>151</v>
      </c>
      <c r="AN1799" t="s">
        <v>386</v>
      </c>
      <c r="AO1799" t="s">
        <v>21721</v>
      </c>
      <c r="AP1799" t="s">
        <v>21720</v>
      </c>
      <c r="AQ1799" t="s">
        <v>74</v>
      </c>
      <c r="AR1799" t="s">
        <v>21719</v>
      </c>
      <c r="AS1799" t="s">
        <v>21718</v>
      </c>
      <c r="AT1799" t="s">
        <v>698</v>
      </c>
      <c r="AU1799">
        <v>2023</v>
      </c>
      <c r="AV1799">
        <v>50</v>
      </c>
      <c r="AW1799">
        <v>3</v>
      </c>
      <c r="AX1799" t="s">
        <v>74</v>
      </c>
      <c r="AY1799" t="s">
        <v>74</v>
      </c>
      <c r="AZ1799" t="s">
        <v>74</v>
      </c>
      <c r="BA1799" t="s">
        <v>74</v>
      </c>
      <c r="BB1799">
        <v>349</v>
      </c>
      <c r="BC1799">
        <v>362</v>
      </c>
      <c r="BD1799" t="s">
        <v>74</v>
      </c>
      <c r="BE1799" t="s">
        <v>21717</v>
      </c>
      <c r="BF1799" t="str">
        <f>HYPERLINK("http://dx.doi.org/10.1007/s40622-023-00355-y","http://dx.doi.org/10.1007/s40622-023-00355-y")</f>
        <v>http://dx.doi.org/10.1007/s40622-023-00355-y</v>
      </c>
      <c r="BG1799" t="s">
        <v>74</v>
      </c>
      <c r="BH1799" t="s">
        <v>5567</v>
      </c>
      <c r="BI1799">
        <v>14</v>
      </c>
      <c r="BJ1799" t="s">
        <v>583</v>
      </c>
      <c r="BK1799" t="s">
        <v>313</v>
      </c>
      <c r="BL1799" t="s">
        <v>100</v>
      </c>
      <c r="BM1799" t="s">
        <v>21716</v>
      </c>
      <c r="BN1799" t="s">
        <v>74</v>
      </c>
      <c r="BO1799" t="s">
        <v>74</v>
      </c>
      <c r="BP1799" t="s">
        <v>74</v>
      </c>
      <c r="BQ1799" t="s">
        <v>74</v>
      </c>
      <c r="BR1799" t="s">
        <v>102</v>
      </c>
      <c r="BS1799" t="s">
        <v>21715</v>
      </c>
      <c r="BT1799" t="str">
        <f>HYPERLINK("https%3A%2F%2Fwww.webofscience.com%2Fwos%2Fwoscc%2Ffull-record%2FWOS:001072258200001","View Full Record in Web of Science")</f>
        <v>View Full Record in Web of Science</v>
      </c>
    </row>
    <row r="1800" spans="1:72" x14ac:dyDescent="0.25">
      <c r="A1800" t="s">
        <v>72</v>
      </c>
      <c r="B1800" t="s">
        <v>21714</v>
      </c>
      <c r="C1800" t="s">
        <v>74</v>
      </c>
      <c r="D1800" t="s">
        <v>74</v>
      </c>
      <c r="E1800" t="s">
        <v>74</v>
      </c>
      <c r="F1800" t="s">
        <v>21713</v>
      </c>
      <c r="G1800" t="s">
        <v>74</v>
      </c>
      <c r="H1800" t="s">
        <v>74</v>
      </c>
      <c r="I1800" t="s">
        <v>21712</v>
      </c>
      <c r="J1800" t="s">
        <v>21711</v>
      </c>
      <c r="K1800" t="s">
        <v>74</v>
      </c>
      <c r="L1800" t="s">
        <v>74</v>
      </c>
      <c r="M1800" t="s">
        <v>78</v>
      </c>
      <c r="N1800" t="s">
        <v>79</v>
      </c>
      <c r="O1800" t="s">
        <v>74</v>
      </c>
      <c r="P1800" t="s">
        <v>74</v>
      </c>
      <c r="Q1800" t="s">
        <v>74</v>
      </c>
      <c r="R1800" t="s">
        <v>74</v>
      </c>
      <c r="S1800" t="s">
        <v>74</v>
      </c>
      <c r="T1800" t="s">
        <v>21710</v>
      </c>
      <c r="U1800" t="s">
        <v>74</v>
      </c>
      <c r="V1800" t="s">
        <v>21709</v>
      </c>
      <c r="W1800" t="s">
        <v>21708</v>
      </c>
      <c r="X1800" t="s">
        <v>548</v>
      </c>
      <c r="Y1800" t="s">
        <v>21707</v>
      </c>
      <c r="Z1800" t="s">
        <v>21706</v>
      </c>
      <c r="AA1800" t="s">
        <v>21705</v>
      </c>
      <c r="AB1800" t="s">
        <v>74</v>
      </c>
      <c r="AC1800" t="s">
        <v>74</v>
      </c>
      <c r="AD1800" t="s">
        <v>74</v>
      </c>
      <c r="AE1800" t="s">
        <v>74</v>
      </c>
      <c r="AF1800" t="s">
        <v>74</v>
      </c>
      <c r="AG1800">
        <v>17</v>
      </c>
      <c r="AH1800">
        <v>5</v>
      </c>
      <c r="AI1800">
        <v>5</v>
      </c>
      <c r="AJ1800">
        <v>0</v>
      </c>
      <c r="AK1800">
        <v>5</v>
      </c>
      <c r="AL1800" t="s">
        <v>21704</v>
      </c>
      <c r="AM1800" t="s">
        <v>11717</v>
      </c>
      <c r="AN1800" t="s">
        <v>21703</v>
      </c>
      <c r="AO1800" t="s">
        <v>21702</v>
      </c>
      <c r="AP1800" t="s">
        <v>21701</v>
      </c>
      <c r="AQ1800" t="s">
        <v>74</v>
      </c>
      <c r="AR1800" t="s">
        <v>21700</v>
      </c>
      <c r="AS1800" t="s">
        <v>21699</v>
      </c>
      <c r="AT1800" t="s">
        <v>74</v>
      </c>
      <c r="AU1800">
        <v>2021</v>
      </c>
      <c r="AV1800">
        <v>39</v>
      </c>
      <c r="AW1800">
        <v>4</v>
      </c>
      <c r="AX1800" t="s">
        <v>74</v>
      </c>
      <c r="AY1800" t="s">
        <v>74</v>
      </c>
      <c r="AZ1800" t="s">
        <v>74</v>
      </c>
      <c r="BA1800" t="s">
        <v>74</v>
      </c>
      <c r="BB1800" t="s">
        <v>74</v>
      </c>
      <c r="BC1800" t="s">
        <v>74</v>
      </c>
      <c r="BD1800" t="s">
        <v>74</v>
      </c>
      <c r="BE1800" t="s">
        <v>21698</v>
      </c>
      <c r="BF1800" t="str">
        <f>HYPERLINK("http://dx.doi.org/10.25115/eea.v39i4.4489","http://dx.doi.org/10.25115/eea.v39i4.4489")</f>
        <v>http://dx.doi.org/10.25115/eea.v39i4.4489</v>
      </c>
      <c r="BG1800" t="s">
        <v>74</v>
      </c>
      <c r="BH1800" t="s">
        <v>74</v>
      </c>
      <c r="BI1800">
        <v>10</v>
      </c>
      <c r="BJ1800" t="s">
        <v>291</v>
      </c>
      <c r="BK1800" t="s">
        <v>313</v>
      </c>
      <c r="BL1800" t="s">
        <v>100</v>
      </c>
      <c r="BM1800" t="s">
        <v>21697</v>
      </c>
      <c r="BN1800" t="s">
        <v>74</v>
      </c>
      <c r="BO1800" t="s">
        <v>270</v>
      </c>
      <c r="BP1800" t="s">
        <v>74</v>
      </c>
      <c r="BQ1800" t="s">
        <v>74</v>
      </c>
      <c r="BR1800" t="s">
        <v>102</v>
      </c>
      <c r="BS1800" t="s">
        <v>21696</v>
      </c>
      <c r="BT1800" t="str">
        <f>HYPERLINK("https%3A%2F%2Fwww.webofscience.com%2Fwos%2Fwoscc%2Ffull-record%2FWOS:000647769900025","View Full Record in Web of Science")</f>
        <v>View Full Record in Web of Science</v>
      </c>
    </row>
    <row r="1801" spans="1:72" x14ac:dyDescent="0.25">
      <c r="A1801" t="s">
        <v>72</v>
      </c>
      <c r="B1801" t="s">
        <v>21695</v>
      </c>
      <c r="C1801" t="s">
        <v>74</v>
      </c>
      <c r="D1801" t="s">
        <v>74</v>
      </c>
      <c r="E1801" t="s">
        <v>74</v>
      </c>
      <c r="F1801" t="s">
        <v>21694</v>
      </c>
      <c r="G1801" t="s">
        <v>74</v>
      </c>
      <c r="H1801" t="s">
        <v>74</v>
      </c>
      <c r="I1801" t="s">
        <v>21693</v>
      </c>
      <c r="J1801" t="s">
        <v>19892</v>
      </c>
      <c r="K1801" t="s">
        <v>74</v>
      </c>
      <c r="L1801" t="s">
        <v>74</v>
      </c>
      <c r="M1801" t="s">
        <v>78</v>
      </c>
      <c r="N1801" t="s">
        <v>79</v>
      </c>
      <c r="O1801" t="s">
        <v>74</v>
      </c>
      <c r="P1801" t="s">
        <v>74</v>
      </c>
      <c r="Q1801" t="s">
        <v>74</v>
      </c>
      <c r="R1801" t="s">
        <v>74</v>
      </c>
      <c r="S1801" t="s">
        <v>74</v>
      </c>
      <c r="T1801" t="s">
        <v>21692</v>
      </c>
      <c r="U1801" t="s">
        <v>21691</v>
      </c>
      <c r="V1801" t="s">
        <v>21690</v>
      </c>
      <c r="W1801" t="s">
        <v>21689</v>
      </c>
      <c r="X1801" t="s">
        <v>13264</v>
      </c>
      <c r="Y1801" t="s">
        <v>21688</v>
      </c>
      <c r="Z1801" t="s">
        <v>21687</v>
      </c>
      <c r="AA1801" t="s">
        <v>21686</v>
      </c>
      <c r="AB1801" t="s">
        <v>21685</v>
      </c>
      <c r="AC1801" t="s">
        <v>21684</v>
      </c>
      <c r="AD1801" t="s">
        <v>21684</v>
      </c>
      <c r="AE1801" t="s">
        <v>21683</v>
      </c>
      <c r="AF1801" t="s">
        <v>74</v>
      </c>
      <c r="AG1801">
        <v>56</v>
      </c>
      <c r="AH1801">
        <v>12</v>
      </c>
      <c r="AI1801">
        <v>15</v>
      </c>
      <c r="AJ1801">
        <v>0</v>
      </c>
      <c r="AK1801">
        <v>9</v>
      </c>
      <c r="AL1801" t="s">
        <v>332</v>
      </c>
      <c r="AM1801" t="s">
        <v>333</v>
      </c>
      <c r="AN1801" t="s">
        <v>334</v>
      </c>
      <c r="AO1801" t="s">
        <v>19881</v>
      </c>
      <c r="AP1801" t="s">
        <v>19880</v>
      </c>
      <c r="AQ1801" t="s">
        <v>74</v>
      </c>
      <c r="AR1801" t="s">
        <v>19879</v>
      </c>
      <c r="AS1801" t="s">
        <v>19878</v>
      </c>
      <c r="AT1801" t="s">
        <v>1427</v>
      </c>
      <c r="AU1801">
        <v>2022</v>
      </c>
      <c r="AV1801">
        <v>14</v>
      </c>
      <c r="AW1801">
        <v>1</v>
      </c>
      <c r="AX1801" t="s">
        <v>74</v>
      </c>
      <c r="AY1801" t="s">
        <v>74</v>
      </c>
      <c r="AZ1801" t="s">
        <v>441</v>
      </c>
      <c r="BA1801" t="s">
        <v>74</v>
      </c>
      <c r="BB1801">
        <v>56</v>
      </c>
      <c r="BC1801">
        <v>75</v>
      </c>
      <c r="BD1801" t="s">
        <v>74</v>
      </c>
      <c r="BE1801" t="s">
        <v>21682</v>
      </c>
      <c r="BF1801" t="str">
        <f>HYPERLINK("http://dx.doi.org/10.1080/19439342.2021.1964576","http://dx.doi.org/10.1080/19439342.2021.1964576")</f>
        <v>http://dx.doi.org/10.1080/19439342.2021.1964576</v>
      </c>
      <c r="BG1801" t="s">
        <v>74</v>
      </c>
      <c r="BH1801" t="s">
        <v>1818</v>
      </c>
      <c r="BI1801">
        <v>20</v>
      </c>
      <c r="BJ1801" t="s">
        <v>1137</v>
      </c>
      <c r="BK1801" t="s">
        <v>99</v>
      </c>
      <c r="BL1801" t="s">
        <v>1137</v>
      </c>
      <c r="BM1801" t="s">
        <v>21681</v>
      </c>
      <c r="BN1801" t="s">
        <v>74</v>
      </c>
      <c r="BO1801" t="s">
        <v>74</v>
      </c>
      <c r="BP1801" t="s">
        <v>74</v>
      </c>
      <c r="BQ1801" t="s">
        <v>74</v>
      </c>
      <c r="BR1801" t="s">
        <v>102</v>
      </c>
      <c r="BS1801" t="s">
        <v>21680</v>
      </c>
      <c r="BT1801" t="str">
        <f>HYPERLINK("https%3A%2F%2Fwww.webofscience.com%2Fwos%2Fwoscc%2Ffull-record%2FWOS:000684163600001","View Full Record in Web of Science")</f>
        <v>View Full Record in Web of Science</v>
      </c>
    </row>
    <row r="1802" spans="1:72" x14ac:dyDescent="0.25">
      <c r="A1802" t="s">
        <v>72</v>
      </c>
      <c r="B1802" t="s">
        <v>21679</v>
      </c>
      <c r="C1802" t="s">
        <v>74</v>
      </c>
      <c r="D1802" t="s">
        <v>74</v>
      </c>
      <c r="E1802" t="s">
        <v>74</v>
      </c>
      <c r="F1802" t="s">
        <v>21678</v>
      </c>
      <c r="G1802" t="s">
        <v>74</v>
      </c>
      <c r="H1802" t="s">
        <v>74</v>
      </c>
      <c r="I1802" t="s">
        <v>21677</v>
      </c>
      <c r="J1802" t="s">
        <v>21676</v>
      </c>
      <c r="K1802" t="s">
        <v>74</v>
      </c>
      <c r="L1802" t="s">
        <v>74</v>
      </c>
      <c r="M1802" t="s">
        <v>78</v>
      </c>
      <c r="N1802" t="s">
        <v>79</v>
      </c>
      <c r="O1802" t="s">
        <v>74</v>
      </c>
      <c r="P1802" t="s">
        <v>74</v>
      </c>
      <c r="Q1802" t="s">
        <v>74</v>
      </c>
      <c r="R1802" t="s">
        <v>74</v>
      </c>
      <c r="S1802" t="s">
        <v>74</v>
      </c>
      <c r="T1802" t="s">
        <v>21675</v>
      </c>
      <c r="U1802" t="s">
        <v>74</v>
      </c>
      <c r="V1802" t="s">
        <v>21674</v>
      </c>
      <c r="W1802" t="s">
        <v>21673</v>
      </c>
      <c r="X1802" t="s">
        <v>21672</v>
      </c>
      <c r="Y1802" t="s">
        <v>21671</v>
      </c>
      <c r="Z1802" t="s">
        <v>21670</v>
      </c>
      <c r="AA1802" t="s">
        <v>21669</v>
      </c>
      <c r="AB1802" t="s">
        <v>21668</v>
      </c>
      <c r="AC1802" t="s">
        <v>74</v>
      </c>
      <c r="AD1802" t="s">
        <v>74</v>
      </c>
      <c r="AE1802" t="s">
        <v>74</v>
      </c>
      <c r="AF1802" t="s">
        <v>74</v>
      </c>
      <c r="AG1802">
        <v>45</v>
      </c>
      <c r="AH1802">
        <v>5</v>
      </c>
      <c r="AI1802">
        <v>6</v>
      </c>
      <c r="AJ1802">
        <v>3</v>
      </c>
      <c r="AK1802">
        <v>14</v>
      </c>
      <c r="AL1802" t="s">
        <v>332</v>
      </c>
      <c r="AM1802" t="s">
        <v>333</v>
      </c>
      <c r="AN1802" t="s">
        <v>334</v>
      </c>
      <c r="AO1802" t="s">
        <v>21667</v>
      </c>
      <c r="AP1802" t="s">
        <v>21666</v>
      </c>
      <c r="AQ1802" t="s">
        <v>74</v>
      </c>
      <c r="AR1802" t="s">
        <v>21665</v>
      </c>
      <c r="AS1802" t="s">
        <v>21664</v>
      </c>
      <c r="AT1802" t="s">
        <v>1427</v>
      </c>
      <c r="AU1802">
        <v>2024</v>
      </c>
      <c r="AV1802">
        <v>54</v>
      </c>
      <c r="AW1802">
        <v>1</v>
      </c>
      <c r="AX1802" t="s">
        <v>74</v>
      </c>
      <c r="AY1802" t="s">
        <v>74</v>
      </c>
      <c r="AZ1802" t="s">
        <v>74</v>
      </c>
      <c r="BA1802" t="s">
        <v>74</v>
      </c>
      <c r="BB1802">
        <v>68</v>
      </c>
      <c r="BC1802">
        <v>84</v>
      </c>
      <c r="BD1802" t="s">
        <v>74</v>
      </c>
      <c r="BE1802" t="s">
        <v>21663</v>
      </c>
      <c r="BF1802" t="str">
        <f>HYPERLINK("http://dx.doi.org/10.1080/00208825.2023.2281207","http://dx.doi.org/10.1080/00208825.2023.2281207")</f>
        <v>http://dx.doi.org/10.1080/00208825.2023.2281207</v>
      </c>
      <c r="BG1802" t="s">
        <v>74</v>
      </c>
      <c r="BH1802" t="s">
        <v>3535</v>
      </c>
      <c r="BI1802">
        <v>17</v>
      </c>
      <c r="BJ1802" t="s">
        <v>583</v>
      </c>
      <c r="BK1802" t="s">
        <v>313</v>
      </c>
      <c r="BL1802" t="s">
        <v>100</v>
      </c>
      <c r="BM1802" t="s">
        <v>21662</v>
      </c>
      <c r="BN1802" t="s">
        <v>74</v>
      </c>
      <c r="BO1802" t="s">
        <v>74</v>
      </c>
      <c r="BP1802" t="s">
        <v>74</v>
      </c>
      <c r="BQ1802" t="s">
        <v>74</v>
      </c>
      <c r="BR1802" t="s">
        <v>102</v>
      </c>
      <c r="BS1802" t="s">
        <v>21661</v>
      </c>
      <c r="BT1802" t="str">
        <f>HYPERLINK("https%3A%2F%2Fwww.webofscience.com%2Fwos%2Fwoscc%2Ffull-record%2FWOS:001129167200004","View Full Record in Web of Science")</f>
        <v>View Full Record in Web of Science</v>
      </c>
    </row>
    <row r="1803" spans="1:72" x14ac:dyDescent="0.25">
      <c r="A1803" t="s">
        <v>72</v>
      </c>
      <c r="B1803" t="s">
        <v>21660</v>
      </c>
      <c r="C1803" t="s">
        <v>74</v>
      </c>
      <c r="D1803" t="s">
        <v>74</v>
      </c>
      <c r="E1803" t="s">
        <v>74</v>
      </c>
      <c r="F1803" t="s">
        <v>21659</v>
      </c>
      <c r="G1803" t="s">
        <v>74</v>
      </c>
      <c r="H1803" t="s">
        <v>74</v>
      </c>
      <c r="I1803" t="s">
        <v>21658</v>
      </c>
      <c r="J1803" t="s">
        <v>13601</v>
      </c>
      <c r="K1803" t="s">
        <v>74</v>
      </c>
      <c r="L1803" t="s">
        <v>74</v>
      </c>
      <c r="M1803" t="s">
        <v>78</v>
      </c>
      <c r="N1803" t="s">
        <v>79</v>
      </c>
      <c r="O1803" t="s">
        <v>74</v>
      </c>
      <c r="P1803" t="s">
        <v>74</v>
      </c>
      <c r="Q1803" t="s">
        <v>74</v>
      </c>
      <c r="R1803" t="s">
        <v>74</v>
      </c>
      <c r="S1803" t="s">
        <v>74</v>
      </c>
      <c r="T1803" t="s">
        <v>21657</v>
      </c>
      <c r="U1803" t="s">
        <v>21656</v>
      </c>
      <c r="V1803" t="s">
        <v>21655</v>
      </c>
      <c r="W1803" t="s">
        <v>21654</v>
      </c>
      <c r="X1803" t="s">
        <v>21653</v>
      </c>
      <c r="Y1803" t="s">
        <v>21652</v>
      </c>
      <c r="Z1803" t="s">
        <v>21651</v>
      </c>
      <c r="AA1803" t="s">
        <v>21650</v>
      </c>
      <c r="AB1803" t="s">
        <v>74</v>
      </c>
      <c r="AC1803" t="s">
        <v>74</v>
      </c>
      <c r="AD1803" t="s">
        <v>74</v>
      </c>
      <c r="AE1803" t="s">
        <v>74</v>
      </c>
      <c r="AF1803" t="s">
        <v>74</v>
      </c>
      <c r="AG1803">
        <v>83</v>
      </c>
      <c r="AH1803">
        <v>7</v>
      </c>
      <c r="AI1803">
        <v>9</v>
      </c>
      <c r="AJ1803">
        <v>1</v>
      </c>
      <c r="AK1803">
        <v>6</v>
      </c>
      <c r="AL1803" t="s">
        <v>21649</v>
      </c>
      <c r="AM1803" t="s">
        <v>21648</v>
      </c>
      <c r="AN1803" t="s">
        <v>21647</v>
      </c>
      <c r="AO1803" t="s">
        <v>13608</v>
      </c>
      <c r="AP1803" t="s">
        <v>74</v>
      </c>
      <c r="AQ1803" t="s">
        <v>74</v>
      </c>
      <c r="AR1803" t="s">
        <v>13609</v>
      </c>
      <c r="AS1803" t="s">
        <v>13610</v>
      </c>
      <c r="AT1803" t="s">
        <v>124</v>
      </c>
      <c r="AU1803">
        <v>2020</v>
      </c>
      <c r="AV1803">
        <v>10</v>
      </c>
      <c r="AW1803">
        <v>2</v>
      </c>
      <c r="AX1803" t="s">
        <v>74</v>
      </c>
      <c r="AY1803" t="s">
        <v>74</v>
      </c>
      <c r="AZ1803" t="s">
        <v>74</v>
      </c>
      <c r="BA1803" t="s">
        <v>74</v>
      </c>
      <c r="BB1803">
        <v>1</v>
      </c>
      <c r="BC1803">
        <v>18</v>
      </c>
      <c r="BD1803" t="s">
        <v>74</v>
      </c>
      <c r="BE1803" t="s">
        <v>74</v>
      </c>
      <c r="BF1803" t="s">
        <v>74</v>
      </c>
      <c r="BG1803" t="s">
        <v>74</v>
      </c>
      <c r="BH1803" t="s">
        <v>74</v>
      </c>
      <c r="BI1803">
        <v>18</v>
      </c>
      <c r="BJ1803" t="s">
        <v>268</v>
      </c>
      <c r="BK1803" t="s">
        <v>313</v>
      </c>
      <c r="BL1803" t="s">
        <v>100</v>
      </c>
      <c r="BM1803" t="s">
        <v>21646</v>
      </c>
      <c r="BN1803" t="s">
        <v>74</v>
      </c>
      <c r="BO1803" t="s">
        <v>74</v>
      </c>
      <c r="BP1803" t="s">
        <v>74</v>
      </c>
      <c r="BQ1803" t="s">
        <v>74</v>
      </c>
      <c r="BR1803" t="s">
        <v>102</v>
      </c>
      <c r="BS1803" t="s">
        <v>21645</v>
      </c>
      <c r="BT1803" t="str">
        <f>HYPERLINK("https%3A%2F%2Fwww.webofscience.com%2Fwos%2Fwoscc%2Ffull-record%2FWOS:000670408300001","View Full Record in Web of Science")</f>
        <v>View Full Record in Web of Science</v>
      </c>
    </row>
    <row r="1804" spans="1:72" x14ac:dyDescent="0.25">
      <c r="A1804" t="s">
        <v>72</v>
      </c>
      <c r="B1804" t="s">
        <v>21644</v>
      </c>
      <c r="C1804" t="s">
        <v>74</v>
      </c>
      <c r="D1804" t="s">
        <v>74</v>
      </c>
      <c r="E1804" t="s">
        <v>74</v>
      </c>
      <c r="F1804" t="s">
        <v>21643</v>
      </c>
      <c r="G1804" t="s">
        <v>74</v>
      </c>
      <c r="H1804" t="s">
        <v>74</v>
      </c>
      <c r="I1804" t="s">
        <v>21642</v>
      </c>
      <c r="J1804" t="s">
        <v>21630</v>
      </c>
      <c r="K1804" t="s">
        <v>74</v>
      </c>
      <c r="L1804" t="s">
        <v>74</v>
      </c>
      <c r="M1804" t="s">
        <v>78</v>
      </c>
      <c r="N1804" t="s">
        <v>79</v>
      </c>
      <c r="O1804" t="s">
        <v>74</v>
      </c>
      <c r="P1804" t="s">
        <v>74</v>
      </c>
      <c r="Q1804" t="s">
        <v>74</v>
      </c>
      <c r="R1804" t="s">
        <v>74</v>
      </c>
      <c r="S1804" t="s">
        <v>74</v>
      </c>
      <c r="T1804" t="s">
        <v>21641</v>
      </c>
      <c r="U1804" t="s">
        <v>21640</v>
      </c>
      <c r="V1804" t="s">
        <v>21639</v>
      </c>
      <c r="W1804" t="s">
        <v>21638</v>
      </c>
      <c r="X1804" t="s">
        <v>21637</v>
      </c>
      <c r="Y1804" t="s">
        <v>21636</v>
      </c>
      <c r="Z1804" t="s">
        <v>21635</v>
      </c>
      <c r="AA1804" t="s">
        <v>21634</v>
      </c>
      <c r="AB1804" t="s">
        <v>21633</v>
      </c>
      <c r="AC1804" t="s">
        <v>74</v>
      </c>
      <c r="AD1804" t="s">
        <v>74</v>
      </c>
      <c r="AE1804" t="s">
        <v>74</v>
      </c>
      <c r="AF1804" t="s">
        <v>74</v>
      </c>
      <c r="AG1804">
        <v>42</v>
      </c>
      <c r="AH1804">
        <v>10</v>
      </c>
      <c r="AI1804">
        <v>19</v>
      </c>
      <c r="AJ1804">
        <v>0</v>
      </c>
      <c r="AK1804">
        <v>36</v>
      </c>
      <c r="AL1804" t="s">
        <v>385</v>
      </c>
      <c r="AM1804" t="s">
        <v>151</v>
      </c>
      <c r="AN1804" t="s">
        <v>7357</v>
      </c>
      <c r="AO1804" t="s">
        <v>21632</v>
      </c>
      <c r="AP1804" t="s">
        <v>21631</v>
      </c>
      <c r="AQ1804" t="s">
        <v>74</v>
      </c>
      <c r="AR1804" t="s">
        <v>21630</v>
      </c>
      <c r="AS1804" t="s">
        <v>21629</v>
      </c>
      <c r="AT1804" t="s">
        <v>124</v>
      </c>
      <c r="AU1804">
        <v>2016</v>
      </c>
      <c r="AV1804">
        <v>27</v>
      </c>
      <c r="AW1804">
        <v>6</v>
      </c>
      <c r="AX1804" t="s">
        <v>74</v>
      </c>
      <c r="AY1804" t="s">
        <v>74</v>
      </c>
      <c r="AZ1804" t="s">
        <v>74</v>
      </c>
      <c r="BA1804" t="s">
        <v>74</v>
      </c>
      <c r="BB1804">
        <v>2576</v>
      </c>
      <c r="BC1804">
        <v>2594</v>
      </c>
      <c r="BD1804" t="s">
        <v>74</v>
      </c>
      <c r="BE1804" t="s">
        <v>21628</v>
      </c>
      <c r="BF1804" t="str">
        <f>HYPERLINK("http://dx.doi.org/10.1007/s11266-016-9707-2","http://dx.doi.org/10.1007/s11266-016-9707-2")</f>
        <v>http://dx.doi.org/10.1007/s11266-016-9707-2</v>
      </c>
      <c r="BG1804" t="s">
        <v>74</v>
      </c>
      <c r="BH1804" t="s">
        <v>74</v>
      </c>
      <c r="BI1804">
        <v>19</v>
      </c>
      <c r="BJ1804" t="s">
        <v>21627</v>
      </c>
      <c r="BK1804" t="s">
        <v>99</v>
      </c>
      <c r="BL1804" t="s">
        <v>21627</v>
      </c>
      <c r="BM1804" t="s">
        <v>21626</v>
      </c>
      <c r="BN1804" t="s">
        <v>74</v>
      </c>
      <c r="BO1804" t="s">
        <v>74</v>
      </c>
      <c r="BP1804" t="s">
        <v>74</v>
      </c>
      <c r="BQ1804" t="s">
        <v>74</v>
      </c>
      <c r="BR1804" t="s">
        <v>102</v>
      </c>
      <c r="BS1804" t="s">
        <v>21625</v>
      </c>
      <c r="BT1804" t="str">
        <f>HYPERLINK("https%3A%2F%2Fwww.webofscience.com%2Fwos%2Fwoscc%2Ffull-record%2FWOS:000393747100003","View Full Record in Web of Science")</f>
        <v>View Full Record in Web of Science</v>
      </c>
    </row>
    <row r="1805" spans="1:72" x14ac:dyDescent="0.25">
      <c r="A1805" t="s">
        <v>72</v>
      </c>
      <c r="B1805" t="s">
        <v>21624</v>
      </c>
      <c r="C1805" t="s">
        <v>74</v>
      </c>
      <c r="D1805" t="s">
        <v>74</v>
      </c>
      <c r="E1805" t="s">
        <v>74</v>
      </c>
      <c r="F1805" t="s">
        <v>21623</v>
      </c>
      <c r="G1805" t="s">
        <v>74</v>
      </c>
      <c r="H1805" t="s">
        <v>74</v>
      </c>
      <c r="I1805" t="s">
        <v>21622</v>
      </c>
      <c r="J1805" t="s">
        <v>9372</v>
      </c>
      <c r="K1805" t="s">
        <v>74</v>
      </c>
      <c r="L1805" t="s">
        <v>74</v>
      </c>
      <c r="M1805" t="s">
        <v>78</v>
      </c>
      <c r="N1805" t="s">
        <v>79</v>
      </c>
      <c r="O1805" t="s">
        <v>74</v>
      </c>
      <c r="P1805" t="s">
        <v>74</v>
      </c>
      <c r="Q1805" t="s">
        <v>74</v>
      </c>
      <c r="R1805" t="s">
        <v>74</v>
      </c>
      <c r="S1805" t="s">
        <v>74</v>
      </c>
      <c r="T1805" t="s">
        <v>21621</v>
      </c>
      <c r="U1805" t="s">
        <v>21620</v>
      </c>
      <c r="V1805" t="s">
        <v>21619</v>
      </c>
      <c r="W1805" t="s">
        <v>21618</v>
      </c>
      <c r="X1805" t="s">
        <v>21617</v>
      </c>
      <c r="Y1805" t="s">
        <v>21616</v>
      </c>
      <c r="Z1805" t="s">
        <v>21615</v>
      </c>
      <c r="AA1805" t="s">
        <v>74</v>
      </c>
      <c r="AB1805" t="s">
        <v>74</v>
      </c>
      <c r="AC1805" t="s">
        <v>21614</v>
      </c>
      <c r="AD1805" t="s">
        <v>17529</v>
      </c>
      <c r="AE1805" t="s">
        <v>21613</v>
      </c>
      <c r="AF1805" t="s">
        <v>74</v>
      </c>
      <c r="AG1805">
        <v>50</v>
      </c>
      <c r="AH1805">
        <v>0</v>
      </c>
      <c r="AI1805">
        <v>0</v>
      </c>
      <c r="AJ1805">
        <v>10</v>
      </c>
      <c r="AK1805">
        <v>10</v>
      </c>
      <c r="AL1805" t="s">
        <v>201</v>
      </c>
      <c r="AM1805" t="s">
        <v>202</v>
      </c>
      <c r="AN1805" t="s">
        <v>203</v>
      </c>
      <c r="AO1805" t="s">
        <v>9384</v>
      </c>
      <c r="AP1805" t="s">
        <v>9385</v>
      </c>
      <c r="AQ1805" t="s">
        <v>74</v>
      </c>
      <c r="AR1805" t="s">
        <v>9386</v>
      </c>
      <c r="AS1805" t="s">
        <v>9387</v>
      </c>
      <c r="AT1805" t="s">
        <v>289</v>
      </c>
      <c r="AU1805">
        <v>2025</v>
      </c>
      <c r="AV1805">
        <v>80</v>
      </c>
      <c r="AW1805" t="s">
        <v>74</v>
      </c>
      <c r="AX1805" t="s">
        <v>74</v>
      </c>
      <c r="AY1805" t="s">
        <v>74</v>
      </c>
      <c r="AZ1805" t="s">
        <v>74</v>
      </c>
      <c r="BA1805" t="s">
        <v>74</v>
      </c>
      <c r="BB1805" t="s">
        <v>74</v>
      </c>
      <c r="BC1805" t="s">
        <v>74</v>
      </c>
      <c r="BD1805">
        <v>103116</v>
      </c>
      <c r="BE1805" t="s">
        <v>21612</v>
      </c>
      <c r="BF1805" t="str">
        <f>HYPERLINK("http://dx.doi.org/10.1016/j.ribaf.2025.103116","http://dx.doi.org/10.1016/j.ribaf.2025.103116")</f>
        <v>http://dx.doi.org/10.1016/j.ribaf.2025.103116</v>
      </c>
      <c r="BG1805" t="s">
        <v>74</v>
      </c>
      <c r="BH1805" t="s">
        <v>5030</v>
      </c>
      <c r="BI1805">
        <v>13</v>
      </c>
      <c r="BJ1805" t="s">
        <v>268</v>
      </c>
      <c r="BK1805" t="s">
        <v>99</v>
      </c>
      <c r="BL1805" t="s">
        <v>100</v>
      </c>
      <c r="BM1805" t="s">
        <v>21611</v>
      </c>
      <c r="BN1805" t="s">
        <v>74</v>
      </c>
      <c r="BO1805" t="s">
        <v>74</v>
      </c>
      <c r="BP1805" t="s">
        <v>74</v>
      </c>
      <c r="BQ1805" t="s">
        <v>74</v>
      </c>
      <c r="BR1805" t="s">
        <v>102</v>
      </c>
      <c r="BS1805" t="s">
        <v>21610</v>
      </c>
      <c r="BT1805" t="str">
        <f>HYPERLINK("https%3A%2F%2Fwww.webofscience.com%2Fwos%2Fwoscc%2Ffull-record%2FWOS:001564543200002","View Full Record in Web of Science")</f>
        <v>View Full Record in Web of Science</v>
      </c>
    </row>
    <row r="1806" spans="1:72" x14ac:dyDescent="0.25">
      <c r="A1806" t="s">
        <v>72</v>
      </c>
      <c r="B1806" t="s">
        <v>21609</v>
      </c>
      <c r="C1806" t="s">
        <v>74</v>
      </c>
      <c r="D1806" t="s">
        <v>74</v>
      </c>
      <c r="E1806" t="s">
        <v>74</v>
      </c>
      <c r="F1806" t="s">
        <v>21608</v>
      </c>
      <c r="G1806" t="s">
        <v>74</v>
      </c>
      <c r="H1806" t="s">
        <v>74</v>
      </c>
      <c r="I1806" t="s">
        <v>21607</v>
      </c>
      <c r="J1806" t="s">
        <v>5958</v>
      </c>
      <c r="K1806" t="s">
        <v>74</v>
      </c>
      <c r="L1806" t="s">
        <v>74</v>
      </c>
      <c r="M1806" t="s">
        <v>78</v>
      </c>
      <c r="N1806" t="s">
        <v>79</v>
      </c>
      <c r="O1806" t="s">
        <v>74</v>
      </c>
      <c r="P1806" t="s">
        <v>74</v>
      </c>
      <c r="Q1806" t="s">
        <v>74</v>
      </c>
      <c r="R1806" t="s">
        <v>74</v>
      </c>
      <c r="S1806" t="s">
        <v>74</v>
      </c>
      <c r="T1806" t="s">
        <v>21606</v>
      </c>
      <c r="U1806" t="s">
        <v>21605</v>
      </c>
      <c r="V1806" t="s">
        <v>21604</v>
      </c>
      <c r="W1806" t="s">
        <v>21603</v>
      </c>
      <c r="X1806" t="s">
        <v>21602</v>
      </c>
      <c r="Y1806" t="s">
        <v>21601</v>
      </c>
      <c r="Z1806" t="s">
        <v>21600</v>
      </c>
      <c r="AA1806" t="s">
        <v>21599</v>
      </c>
      <c r="AB1806" t="s">
        <v>74</v>
      </c>
      <c r="AC1806" t="s">
        <v>74</v>
      </c>
      <c r="AD1806" t="s">
        <v>74</v>
      </c>
      <c r="AE1806" t="s">
        <v>74</v>
      </c>
      <c r="AF1806" t="s">
        <v>74</v>
      </c>
      <c r="AG1806">
        <v>90</v>
      </c>
      <c r="AH1806">
        <v>59</v>
      </c>
      <c r="AI1806">
        <v>95</v>
      </c>
      <c r="AJ1806">
        <v>7</v>
      </c>
      <c r="AK1806">
        <v>59</v>
      </c>
      <c r="AL1806" t="s">
        <v>1216</v>
      </c>
      <c r="AM1806" t="s">
        <v>283</v>
      </c>
      <c r="AN1806" t="s">
        <v>1217</v>
      </c>
      <c r="AO1806" t="s">
        <v>5971</v>
      </c>
      <c r="AP1806" t="s">
        <v>74</v>
      </c>
      <c r="AQ1806" t="s">
        <v>74</v>
      </c>
      <c r="AR1806" t="s">
        <v>5972</v>
      </c>
      <c r="AS1806" t="s">
        <v>5973</v>
      </c>
      <c r="AT1806" t="s">
        <v>21598</v>
      </c>
      <c r="AU1806">
        <v>2022</v>
      </c>
      <c r="AV1806">
        <v>12</v>
      </c>
      <c r="AW1806" t="s">
        <v>74</v>
      </c>
      <c r="AX1806" t="s">
        <v>74</v>
      </c>
      <c r="AY1806" t="s">
        <v>74</v>
      </c>
      <c r="AZ1806" t="s">
        <v>74</v>
      </c>
      <c r="BA1806" t="s">
        <v>74</v>
      </c>
      <c r="BB1806" t="s">
        <v>74</v>
      </c>
      <c r="BC1806" t="s">
        <v>74</v>
      </c>
      <c r="BD1806">
        <v>776844</v>
      </c>
      <c r="BE1806" t="s">
        <v>21597</v>
      </c>
      <c r="BF1806" t="str">
        <f>HYPERLINK("http://dx.doi.org/10.3389/fpsyg.2021.776844","http://dx.doi.org/10.3389/fpsyg.2021.776844")</f>
        <v>http://dx.doi.org/10.3389/fpsyg.2021.776844</v>
      </c>
      <c r="BG1806" t="s">
        <v>74</v>
      </c>
      <c r="BH1806" t="s">
        <v>74</v>
      </c>
      <c r="BI1806">
        <v>16</v>
      </c>
      <c r="BJ1806" t="s">
        <v>2992</v>
      </c>
      <c r="BK1806" t="s">
        <v>99</v>
      </c>
      <c r="BL1806" t="s">
        <v>2993</v>
      </c>
      <c r="BM1806" t="s">
        <v>21596</v>
      </c>
      <c r="BN1806">
        <v>35058847</v>
      </c>
      <c r="BO1806" t="s">
        <v>916</v>
      </c>
      <c r="BP1806" t="s">
        <v>74</v>
      </c>
      <c r="BQ1806" t="s">
        <v>74</v>
      </c>
      <c r="BR1806" t="s">
        <v>102</v>
      </c>
      <c r="BS1806" t="s">
        <v>21595</v>
      </c>
      <c r="BT1806" t="str">
        <f>HYPERLINK("https%3A%2F%2Fwww.webofscience.com%2Fwos%2Fwoscc%2Ffull-record%2FWOS:000745210700001","View Full Record in Web of Science")</f>
        <v>View Full Record in Web of Science</v>
      </c>
    </row>
    <row r="1807" spans="1:72" x14ac:dyDescent="0.25">
      <c r="A1807" t="s">
        <v>72</v>
      </c>
      <c r="B1807" t="s">
        <v>21594</v>
      </c>
      <c r="C1807" t="s">
        <v>74</v>
      </c>
      <c r="D1807" t="s">
        <v>74</v>
      </c>
      <c r="E1807" t="s">
        <v>74</v>
      </c>
      <c r="F1807" t="s">
        <v>21593</v>
      </c>
      <c r="G1807" t="s">
        <v>74</v>
      </c>
      <c r="H1807" t="s">
        <v>74</v>
      </c>
      <c r="I1807" t="s">
        <v>21592</v>
      </c>
      <c r="J1807" t="s">
        <v>217</v>
      </c>
      <c r="K1807" t="s">
        <v>74</v>
      </c>
      <c r="L1807" t="s">
        <v>74</v>
      </c>
      <c r="M1807" t="s">
        <v>78</v>
      </c>
      <c r="N1807" t="s">
        <v>79</v>
      </c>
      <c r="O1807" t="s">
        <v>74</v>
      </c>
      <c r="P1807" t="s">
        <v>74</v>
      </c>
      <c r="Q1807" t="s">
        <v>74</v>
      </c>
      <c r="R1807" t="s">
        <v>74</v>
      </c>
      <c r="S1807" t="s">
        <v>74</v>
      </c>
      <c r="T1807" t="s">
        <v>21591</v>
      </c>
      <c r="U1807" t="s">
        <v>21590</v>
      </c>
      <c r="V1807" t="s">
        <v>21589</v>
      </c>
      <c r="W1807" t="s">
        <v>21588</v>
      </c>
      <c r="X1807" t="s">
        <v>21587</v>
      </c>
      <c r="Y1807" t="s">
        <v>21586</v>
      </c>
      <c r="Z1807" t="s">
        <v>21585</v>
      </c>
      <c r="AA1807" t="s">
        <v>21584</v>
      </c>
      <c r="AB1807" t="s">
        <v>21583</v>
      </c>
      <c r="AC1807" t="s">
        <v>21582</v>
      </c>
      <c r="AD1807" t="s">
        <v>21581</v>
      </c>
      <c r="AE1807" t="s">
        <v>21580</v>
      </c>
      <c r="AF1807" t="s">
        <v>74</v>
      </c>
      <c r="AG1807">
        <v>68</v>
      </c>
      <c r="AH1807">
        <v>8</v>
      </c>
      <c r="AI1807">
        <v>11</v>
      </c>
      <c r="AJ1807">
        <v>1</v>
      </c>
      <c r="AK1807">
        <v>7</v>
      </c>
      <c r="AL1807" t="s">
        <v>230</v>
      </c>
      <c r="AM1807" t="s">
        <v>231</v>
      </c>
      <c r="AN1807" t="s">
        <v>232</v>
      </c>
      <c r="AO1807" t="s">
        <v>233</v>
      </c>
      <c r="AP1807" t="s">
        <v>234</v>
      </c>
      <c r="AQ1807" t="s">
        <v>74</v>
      </c>
      <c r="AR1807" t="s">
        <v>235</v>
      </c>
      <c r="AS1807" t="s">
        <v>236</v>
      </c>
      <c r="AT1807" t="s">
        <v>237</v>
      </c>
      <c r="AU1807">
        <v>2020</v>
      </c>
      <c r="AV1807">
        <v>109</v>
      </c>
      <c r="AW1807" t="s">
        <v>74</v>
      </c>
      <c r="AX1807" t="s">
        <v>74</v>
      </c>
      <c r="AY1807" t="s">
        <v>74</v>
      </c>
      <c r="AZ1807" t="s">
        <v>74</v>
      </c>
      <c r="BA1807" t="s">
        <v>74</v>
      </c>
      <c r="BB1807" t="s">
        <v>74</v>
      </c>
      <c r="BC1807" t="s">
        <v>74</v>
      </c>
      <c r="BD1807">
        <v>104730</v>
      </c>
      <c r="BE1807" t="s">
        <v>21579</v>
      </c>
      <c r="BF1807" t="str">
        <f>HYPERLINK("http://dx.doi.org/10.1016/j.childyouth.2019.104730","http://dx.doi.org/10.1016/j.childyouth.2019.104730")</f>
        <v>http://dx.doi.org/10.1016/j.childyouth.2019.104730</v>
      </c>
      <c r="BG1807" t="s">
        <v>74</v>
      </c>
      <c r="BH1807" t="s">
        <v>74</v>
      </c>
      <c r="BI1807">
        <v>11</v>
      </c>
      <c r="BJ1807" t="s">
        <v>240</v>
      </c>
      <c r="BK1807" t="s">
        <v>99</v>
      </c>
      <c r="BL1807" t="s">
        <v>240</v>
      </c>
      <c r="BM1807" t="s">
        <v>21578</v>
      </c>
      <c r="BN1807">
        <v>32713987</v>
      </c>
      <c r="BO1807" t="s">
        <v>1696</v>
      </c>
      <c r="BP1807" t="s">
        <v>74</v>
      </c>
      <c r="BQ1807" t="s">
        <v>74</v>
      </c>
      <c r="BR1807" t="s">
        <v>102</v>
      </c>
      <c r="BS1807" t="s">
        <v>21577</v>
      </c>
      <c r="BT1807" t="str">
        <f>HYPERLINK("https%3A%2F%2Fwww.webofscience.com%2Fwos%2Fwoscc%2Ffull-record%2FWOS:000514253500049","View Full Record in Web of Science")</f>
        <v>View Full Record in Web of Science</v>
      </c>
    </row>
    <row r="1808" spans="1:72" x14ac:dyDescent="0.25">
      <c r="A1808" t="s">
        <v>72</v>
      </c>
      <c r="B1808" t="s">
        <v>21576</v>
      </c>
      <c r="C1808" t="s">
        <v>74</v>
      </c>
      <c r="D1808" t="s">
        <v>74</v>
      </c>
      <c r="E1808" t="s">
        <v>74</v>
      </c>
      <c r="F1808" t="s">
        <v>21575</v>
      </c>
      <c r="G1808" t="s">
        <v>74</v>
      </c>
      <c r="H1808" t="s">
        <v>74</v>
      </c>
      <c r="I1808" t="s">
        <v>21574</v>
      </c>
      <c r="J1808" t="s">
        <v>4638</v>
      </c>
      <c r="K1808" t="s">
        <v>74</v>
      </c>
      <c r="L1808" t="s">
        <v>74</v>
      </c>
      <c r="M1808" t="s">
        <v>78</v>
      </c>
      <c r="N1808" t="s">
        <v>79</v>
      </c>
      <c r="O1808" t="s">
        <v>74</v>
      </c>
      <c r="P1808" t="s">
        <v>74</v>
      </c>
      <c r="Q1808" t="s">
        <v>74</v>
      </c>
      <c r="R1808" t="s">
        <v>74</v>
      </c>
      <c r="S1808" t="s">
        <v>74</v>
      </c>
      <c r="T1808" t="s">
        <v>21573</v>
      </c>
      <c r="U1808" t="s">
        <v>74</v>
      </c>
      <c r="V1808" t="s">
        <v>21572</v>
      </c>
      <c r="W1808" t="s">
        <v>21571</v>
      </c>
      <c r="X1808" t="s">
        <v>74</v>
      </c>
      <c r="Y1808" t="s">
        <v>21570</v>
      </c>
      <c r="Z1808" t="s">
        <v>74</v>
      </c>
      <c r="AA1808" t="s">
        <v>74</v>
      </c>
      <c r="AB1808" t="s">
        <v>21569</v>
      </c>
      <c r="AC1808" t="s">
        <v>74</v>
      </c>
      <c r="AD1808" t="s">
        <v>74</v>
      </c>
      <c r="AE1808" t="s">
        <v>74</v>
      </c>
      <c r="AF1808" t="s">
        <v>74</v>
      </c>
      <c r="AG1808">
        <v>107</v>
      </c>
      <c r="AH1808">
        <v>25</v>
      </c>
      <c r="AI1808">
        <v>28</v>
      </c>
      <c r="AJ1808">
        <v>0</v>
      </c>
      <c r="AK1808">
        <v>4</v>
      </c>
      <c r="AL1808" t="s">
        <v>332</v>
      </c>
      <c r="AM1808" t="s">
        <v>333</v>
      </c>
      <c r="AN1808" t="s">
        <v>334</v>
      </c>
      <c r="AO1808" t="s">
        <v>4646</v>
      </c>
      <c r="AP1808" t="s">
        <v>4647</v>
      </c>
      <c r="AQ1808" t="s">
        <v>74</v>
      </c>
      <c r="AR1808" t="s">
        <v>4648</v>
      </c>
      <c r="AS1808" t="s">
        <v>4649</v>
      </c>
      <c r="AT1808" t="s">
        <v>74</v>
      </c>
      <c r="AU1808">
        <v>2019</v>
      </c>
      <c r="AV1808">
        <v>48</v>
      </c>
      <c r="AW1808">
        <v>1</v>
      </c>
      <c r="AX1808" t="s">
        <v>74</v>
      </c>
      <c r="AY1808" t="s">
        <v>74</v>
      </c>
      <c r="AZ1808" t="s">
        <v>74</v>
      </c>
      <c r="BA1808" t="s">
        <v>74</v>
      </c>
      <c r="BB1808">
        <v>22</v>
      </c>
      <c r="BC1808">
        <v>48</v>
      </c>
      <c r="BD1808" t="s">
        <v>74</v>
      </c>
      <c r="BE1808" t="s">
        <v>21568</v>
      </c>
      <c r="BF1808" t="str">
        <f>HYPERLINK("http://dx.doi.org/10.1080/07360932.2015.1056204","http://dx.doi.org/10.1080/07360932.2015.1056204")</f>
        <v>http://dx.doi.org/10.1080/07360932.2015.1056204</v>
      </c>
      <c r="BG1808" t="s">
        <v>74</v>
      </c>
      <c r="BH1808" t="s">
        <v>74</v>
      </c>
      <c r="BI1808">
        <v>27</v>
      </c>
      <c r="BJ1808" t="s">
        <v>291</v>
      </c>
      <c r="BK1808" t="s">
        <v>313</v>
      </c>
      <c r="BL1808" t="s">
        <v>100</v>
      </c>
      <c r="BM1808" t="s">
        <v>21567</v>
      </c>
      <c r="BN1808" t="s">
        <v>74</v>
      </c>
      <c r="BO1808" t="s">
        <v>74</v>
      </c>
      <c r="BP1808" t="s">
        <v>74</v>
      </c>
      <c r="BQ1808" t="s">
        <v>74</v>
      </c>
      <c r="BR1808" t="s">
        <v>102</v>
      </c>
      <c r="BS1808" t="s">
        <v>21566</v>
      </c>
      <c r="BT1808" t="str">
        <f>HYPERLINK("https%3A%2F%2Fwww.webofscience.com%2Fwos%2Fwoscc%2Ffull-record%2FWOS:000471816700003","View Full Record in Web of Science")</f>
        <v>View Full Record in Web of Science</v>
      </c>
    </row>
    <row r="1809" spans="1:72" x14ac:dyDescent="0.25">
      <c r="A1809" t="s">
        <v>72</v>
      </c>
      <c r="B1809" t="s">
        <v>21565</v>
      </c>
      <c r="C1809" t="s">
        <v>74</v>
      </c>
      <c r="D1809" t="s">
        <v>74</v>
      </c>
      <c r="E1809" t="s">
        <v>74</v>
      </c>
      <c r="F1809" t="s">
        <v>21564</v>
      </c>
      <c r="G1809" t="s">
        <v>74</v>
      </c>
      <c r="H1809" t="s">
        <v>74</v>
      </c>
      <c r="I1809" t="s">
        <v>21563</v>
      </c>
      <c r="J1809" t="s">
        <v>9470</v>
      </c>
      <c r="K1809" t="s">
        <v>74</v>
      </c>
      <c r="L1809" t="s">
        <v>74</v>
      </c>
      <c r="M1809" t="s">
        <v>78</v>
      </c>
      <c r="N1809" t="s">
        <v>79</v>
      </c>
      <c r="O1809" t="s">
        <v>74</v>
      </c>
      <c r="P1809" t="s">
        <v>74</v>
      </c>
      <c r="Q1809" t="s">
        <v>74</v>
      </c>
      <c r="R1809" t="s">
        <v>74</v>
      </c>
      <c r="S1809" t="s">
        <v>74</v>
      </c>
      <c r="T1809" t="s">
        <v>21562</v>
      </c>
      <c r="U1809" t="s">
        <v>21561</v>
      </c>
      <c r="V1809" t="s">
        <v>21560</v>
      </c>
      <c r="W1809" t="s">
        <v>21559</v>
      </c>
      <c r="X1809" t="s">
        <v>21558</v>
      </c>
      <c r="Y1809" t="s">
        <v>21557</v>
      </c>
      <c r="Z1809" t="s">
        <v>21556</v>
      </c>
      <c r="AA1809" t="s">
        <v>21555</v>
      </c>
      <c r="AB1809" t="s">
        <v>21554</v>
      </c>
      <c r="AC1809" t="s">
        <v>74</v>
      </c>
      <c r="AD1809" t="s">
        <v>74</v>
      </c>
      <c r="AE1809" t="s">
        <v>74</v>
      </c>
      <c r="AF1809" t="s">
        <v>74</v>
      </c>
      <c r="AG1809">
        <v>67</v>
      </c>
      <c r="AH1809">
        <v>10</v>
      </c>
      <c r="AI1809">
        <v>14</v>
      </c>
      <c r="AJ1809">
        <v>4</v>
      </c>
      <c r="AK1809">
        <v>17</v>
      </c>
      <c r="AL1809" t="s">
        <v>1889</v>
      </c>
      <c r="AM1809" t="s">
        <v>1890</v>
      </c>
      <c r="AN1809" t="s">
        <v>1891</v>
      </c>
      <c r="AO1809" t="s">
        <v>9478</v>
      </c>
      <c r="AP1809" t="s">
        <v>9479</v>
      </c>
      <c r="AQ1809" t="s">
        <v>74</v>
      </c>
      <c r="AR1809" t="s">
        <v>9480</v>
      </c>
      <c r="AS1809" t="s">
        <v>9481</v>
      </c>
      <c r="AT1809" t="s">
        <v>605</v>
      </c>
      <c r="AU1809">
        <v>2024</v>
      </c>
      <c r="AV1809">
        <v>69</v>
      </c>
      <c r="AW1809">
        <v>1</v>
      </c>
      <c r="AX1809" t="s">
        <v>74</v>
      </c>
      <c r="AY1809" t="s">
        <v>74</v>
      </c>
      <c r="AZ1809" t="s">
        <v>74</v>
      </c>
      <c r="BA1809" t="s">
        <v>74</v>
      </c>
      <c r="BB1809">
        <v>377</v>
      </c>
      <c r="BC1809">
        <v>398</v>
      </c>
      <c r="BD1809" t="s">
        <v>74</v>
      </c>
      <c r="BE1809" t="s">
        <v>21553</v>
      </c>
      <c r="BF1809" t="str">
        <f>HYPERLINK("http://dx.doi.org/10.1142/S0217590820500629","http://dx.doi.org/10.1142/S0217590820500629")</f>
        <v>http://dx.doi.org/10.1142/S0217590820500629</v>
      </c>
      <c r="BG1809" t="s">
        <v>74</v>
      </c>
      <c r="BH1809" t="s">
        <v>74</v>
      </c>
      <c r="BI1809">
        <v>22</v>
      </c>
      <c r="BJ1809" t="s">
        <v>291</v>
      </c>
      <c r="BK1809" t="s">
        <v>99</v>
      </c>
      <c r="BL1809" t="s">
        <v>100</v>
      </c>
      <c r="BM1809" t="s">
        <v>21552</v>
      </c>
      <c r="BN1809" t="s">
        <v>74</v>
      </c>
      <c r="BO1809" t="s">
        <v>74</v>
      </c>
      <c r="BP1809" t="s">
        <v>74</v>
      </c>
      <c r="BQ1809" t="s">
        <v>74</v>
      </c>
      <c r="BR1809" t="s">
        <v>102</v>
      </c>
      <c r="BS1809" t="s">
        <v>21551</v>
      </c>
      <c r="BT1809" t="str">
        <f>HYPERLINK("https%3A%2F%2Fwww.webofscience.com%2Fwos%2Fwoscc%2Ffull-record%2FWOS:001199856000007","View Full Record in Web of Science")</f>
        <v>View Full Record in Web of Science</v>
      </c>
    </row>
    <row r="1810" spans="1:72" x14ac:dyDescent="0.25">
      <c r="A1810" t="s">
        <v>72</v>
      </c>
      <c r="B1810" t="s">
        <v>21550</v>
      </c>
      <c r="C1810" t="s">
        <v>74</v>
      </c>
      <c r="D1810" t="s">
        <v>74</v>
      </c>
      <c r="E1810" t="s">
        <v>74</v>
      </c>
      <c r="F1810" t="s">
        <v>21549</v>
      </c>
      <c r="G1810" t="s">
        <v>74</v>
      </c>
      <c r="H1810" t="s">
        <v>74</v>
      </c>
      <c r="I1810" t="s">
        <v>21548</v>
      </c>
      <c r="J1810" t="s">
        <v>3397</v>
      </c>
      <c r="K1810" t="s">
        <v>74</v>
      </c>
      <c r="L1810" t="s">
        <v>74</v>
      </c>
      <c r="M1810" t="s">
        <v>78</v>
      </c>
      <c r="N1810" t="s">
        <v>79</v>
      </c>
      <c r="O1810" t="s">
        <v>74</v>
      </c>
      <c r="P1810" t="s">
        <v>74</v>
      </c>
      <c r="Q1810" t="s">
        <v>74</v>
      </c>
      <c r="R1810" t="s">
        <v>74</v>
      </c>
      <c r="S1810" t="s">
        <v>74</v>
      </c>
      <c r="T1810" t="s">
        <v>21547</v>
      </c>
      <c r="U1810" t="s">
        <v>21546</v>
      </c>
      <c r="V1810" t="s">
        <v>21545</v>
      </c>
      <c r="W1810" t="s">
        <v>21544</v>
      </c>
      <c r="X1810" t="s">
        <v>12134</v>
      </c>
      <c r="Y1810" t="s">
        <v>21543</v>
      </c>
      <c r="Z1810" t="s">
        <v>21542</v>
      </c>
      <c r="AA1810" t="s">
        <v>74</v>
      </c>
      <c r="AB1810" t="s">
        <v>74</v>
      </c>
      <c r="AC1810" t="s">
        <v>21541</v>
      </c>
      <c r="AD1810" t="s">
        <v>21540</v>
      </c>
      <c r="AE1810" t="s">
        <v>21539</v>
      </c>
      <c r="AF1810" t="s">
        <v>74</v>
      </c>
      <c r="AG1810">
        <v>74</v>
      </c>
      <c r="AH1810">
        <v>0</v>
      </c>
      <c r="AI1810">
        <v>0</v>
      </c>
      <c r="AJ1810">
        <v>16</v>
      </c>
      <c r="AK1810">
        <v>17</v>
      </c>
      <c r="AL1810" t="s">
        <v>201</v>
      </c>
      <c r="AM1810" t="s">
        <v>202</v>
      </c>
      <c r="AN1810" t="s">
        <v>203</v>
      </c>
      <c r="AO1810" t="s">
        <v>3406</v>
      </c>
      <c r="AP1810" t="s">
        <v>3407</v>
      </c>
      <c r="AQ1810" t="s">
        <v>74</v>
      </c>
      <c r="AR1810" t="s">
        <v>3408</v>
      </c>
      <c r="AS1810" t="s">
        <v>3409</v>
      </c>
      <c r="AT1810" t="s">
        <v>1159</v>
      </c>
      <c r="AU1810">
        <v>2025</v>
      </c>
      <c r="AV1810">
        <v>93</v>
      </c>
      <c r="AW1810" t="s">
        <v>74</v>
      </c>
      <c r="AX1810" t="s">
        <v>74</v>
      </c>
      <c r="AY1810" t="s">
        <v>74</v>
      </c>
      <c r="AZ1810" t="s">
        <v>74</v>
      </c>
      <c r="BA1810" t="s">
        <v>74</v>
      </c>
      <c r="BB1810" t="s">
        <v>74</v>
      </c>
      <c r="BC1810" t="s">
        <v>74</v>
      </c>
      <c r="BD1810">
        <v>102828</v>
      </c>
      <c r="BE1810" t="s">
        <v>21538</v>
      </c>
      <c r="BF1810" t="str">
        <f>HYPERLINK("http://dx.doi.org/10.1016/j.pacfin.2025.102828","http://dx.doi.org/10.1016/j.pacfin.2025.102828")</f>
        <v>http://dx.doi.org/10.1016/j.pacfin.2025.102828</v>
      </c>
      <c r="BG1810" t="s">
        <v>74</v>
      </c>
      <c r="BH1810" t="s">
        <v>7657</v>
      </c>
      <c r="BI1810">
        <v>19</v>
      </c>
      <c r="BJ1810" t="s">
        <v>268</v>
      </c>
      <c r="BK1810" t="s">
        <v>99</v>
      </c>
      <c r="BL1810" t="s">
        <v>100</v>
      </c>
      <c r="BM1810" t="s">
        <v>21537</v>
      </c>
      <c r="BN1810" t="s">
        <v>74</v>
      </c>
      <c r="BO1810" t="s">
        <v>74</v>
      </c>
      <c r="BP1810" t="s">
        <v>74</v>
      </c>
      <c r="BQ1810" t="s">
        <v>74</v>
      </c>
      <c r="BR1810" t="s">
        <v>102</v>
      </c>
      <c r="BS1810" t="s">
        <v>21536</v>
      </c>
      <c r="BT1810" t="str">
        <f>HYPERLINK("https%3A%2F%2Fwww.webofscience.com%2Fwos%2Fwoscc%2Ffull-record%2FWOS:001517267800001","View Full Record in Web of Science")</f>
        <v>View Full Record in Web of Science</v>
      </c>
    </row>
    <row r="1811" spans="1:72" x14ac:dyDescent="0.25">
      <c r="A1811" t="s">
        <v>72</v>
      </c>
      <c r="B1811" t="s">
        <v>21535</v>
      </c>
      <c r="C1811" t="s">
        <v>74</v>
      </c>
      <c r="D1811" t="s">
        <v>74</v>
      </c>
      <c r="E1811" t="s">
        <v>74</v>
      </c>
      <c r="F1811" t="s">
        <v>21534</v>
      </c>
      <c r="G1811" t="s">
        <v>74</v>
      </c>
      <c r="H1811" t="s">
        <v>74</v>
      </c>
      <c r="I1811" t="s">
        <v>21533</v>
      </c>
      <c r="J1811" t="s">
        <v>4657</v>
      </c>
      <c r="K1811" t="s">
        <v>74</v>
      </c>
      <c r="L1811" t="s">
        <v>74</v>
      </c>
      <c r="M1811" t="s">
        <v>78</v>
      </c>
      <c r="N1811" t="s">
        <v>79</v>
      </c>
      <c r="O1811" t="s">
        <v>74</v>
      </c>
      <c r="P1811" t="s">
        <v>74</v>
      </c>
      <c r="Q1811" t="s">
        <v>74</v>
      </c>
      <c r="R1811" t="s">
        <v>74</v>
      </c>
      <c r="S1811" t="s">
        <v>74</v>
      </c>
      <c r="T1811" t="s">
        <v>21532</v>
      </c>
      <c r="U1811" t="s">
        <v>21531</v>
      </c>
      <c r="V1811" t="s">
        <v>21530</v>
      </c>
      <c r="W1811" t="s">
        <v>21529</v>
      </c>
      <c r="X1811" t="s">
        <v>21528</v>
      </c>
      <c r="Y1811" t="s">
        <v>21527</v>
      </c>
      <c r="Z1811" t="s">
        <v>21526</v>
      </c>
      <c r="AA1811" t="s">
        <v>21525</v>
      </c>
      <c r="AB1811" t="s">
        <v>21524</v>
      </c>
      <c r="AC1811" t="s">
        <v>74</v>
      </c>
      <c r="AD1811" t="s">
        <v>74</v>
      </c>
      <c r="AE1811" t="s">
        <v>74</v>
      </c>
      <c r="AF1811" t="s">
        <v>74</v>
      </c>
      <c r="AG1811">
        <v>64</v>
      </c>
      <c r="AH1811">
        <v>1</v>
      </c>
      <c r="AI1811">
        <v>1</v>
      </c>
      <c r="AJ1811">
        <v>2</v>
      </c>
      <c r="AK1811">
        <v>4</v>
      </c>
      <c r="AL1811" t="s">
        <v>4666</v>
      </c>
      <c r="AM1811" t="s">
        <v>995</v>
      </c>
      <c r="AN1811" t="s">
        <v>4025</v>
      </c>
      <c r="AO1811" t="s">
        <v>74</v>
      </c>
      <c r="AP1811" t="s">
        <v>4667</v>
      </c>
      <c r="AQ1811" t="s">
        <v>74</v>
      </c>
      <c r="AR1811" t="s">
        <v>4668</v>
      </c>
      <c r="AS1811" t="s">
        <v>4669</v>
      </c>
      <c r="AT1811" t="s">
        <v>13531</v>
      </c>
      <c r="AU1811">
        <v>2025</v>
      </c>
      <c r="AV1811">
        <v>6</v>
      </c>
      <c r="AW1811">
        <v>1</v>
      </c>
      <c r="AX1811" t="s">
        <v>74</v>
      </c>
      <c r="AY1811" t="s">
        <v>74</v>
      </c>
      <c r="AZ1811" t="s">
        <v>74</v>
      </c>
      <c r="BA1811" t="s">
        <v>74</v>
      </c>
      <c r="BB1811" t="s">
        <v>74</v>
      </c>
      <c r="BC1811" t="s">
        <v>74</v>
      </c>
      <c r="BD1811">
        <v>492</v>
      </c>
      <c r="BE1811" t="s">
        <v>21523</v>
      </c>
      <c r="BF1811" t="str">
        <f>HYPERLINK("http://dx.doi.org/10.1007/s43621-025-01360-0","http://dx.doi.org/10.1007/s43621-025-01360-0")</f>
        <v>http://dx.doi.org/10.1007/s43621-025-01360-0</v>
      </c>
      <c r="BG1811" t="s">
        <v>74</v>
      </c>
      <c r="BH1811" t="s">
        <v>74</v>
      </c>
      <c r="BI1811">
        <v>11</v>
      </c>
      <c r="BJ1811" t="s">
        <v>3247</v>
      </c>
      <c r="BK1811" t="s">
        <v>313</v>
      </c>
      <c r="BL1811" t="s">
        <v>3248</v>
      </c>
      <c r="BM1811" t="s">
        <v>21522</v>
      </c>
      <c r="BN1811" t="s">
        <v>74</v>
      </c>
      <c r="BO1811" t="s">
        <v>212</v>
      </c>
      <c r="BP1811" t="s">
        <v>74</v>
      </c>
      <c r="BQ1811" t="s">
        <v>74</v>
      </c>
      <c r="BR1811" t="s">
        <v>102</v>
      </c>
      <c r="BS1811" t="s">
        <v>21521</v>
      </c>
      <c r="BT1811" t="str">
        <f>HYPERLINK("https%3A%2F%2Fwww.webofscience.com%2Fwos%2Fwoscc%2Ffull-record%2FWOS:001501262600004","View Full Record in Web of Science")</f>
        <v>View Full Record in Web of Science</v>
      </c>
    </row>
    <row r="1812" spans="1:72" x14ac:dyDescent="0.25">
      <c r="A1812" t="s">
        <v>72</v>
      </c>
      <c r="B1812" t="s">
        <v>21520</v>
      </c>
      <c r="C1812" t="s">
        <v>74</v>
      </c>
      <c r="D1812" t="s">
        <v>74</v>
      </c>
      <c r="E1812" t="s">
        <v>74</v>
      </c>
      <c r="F1812" t="s">
        <v>21519</v>
      </c>
      <c r="G1812" t="s">
        <v>74</v>
      </c>
      <c r="H1812" t="s">
        <v>74</v>
      </c>
      <c r="I1812" t="s">
        <v>21518</v>
      </c>
      <c r="J1812" t="s">
        <v>5036</v>
      </c>
      <c r="K1812" t="s">
        <v>74</v>
      </c>
      <c r="L1812" t="s">
        <v>74</v>
      </c>
      <c r="M1812" t="s">
        <v>78</v>
      </c>
      <c r="N1812" t="s">
        <v>79</v>
      </c>
      <c r="O1812" t="s">
        <v>74</v>
      </c>
      <c r="P1812" t="s">
        <v>74</v>
      </c>
      <c r="Q1812" t="s">
        <v>74</v>
      </c>
      <c r="R1812" t="s">
        <v>74</v>
      </c>
      <c r="S1812" t="s">
        <v>74</v>
      </c>
      <c r="T1812" t="s">
        <v>21517</v>
      </c>
      <c r="U1812" t="s">
        <v>21516</v>
      </c>
      <c r="V1812" t="s">
        <v>21515</v>
      </c>
      <c r="W1812" t="s">
        <v>21514</v>
      </c>
      <c r="X1812" t="s">
        <v>21513</v>
      </c>
      <c r="Y1812" t="s">
        <v>21512</v>
      </c>
      <c r="Z1812" t="s">
        <v>21511</v>
      </c>
      <c r="AA1812" t="s">
        <v>74</v>
      </c>
      <c r="AB1812" t="s">
        <v>21510</v>
      </c>
      <c r="AC1812" t="s">
        <v>21509</v>
      </c>
      <c r="AD1812" t="s">
        <v>21508</v>
      </c>
      <c r="AE1812" t="s">
        <v>21507</v>
      </c>
      <c r="AF1812" t="s">
        <v>74</v>
      </c>
      <c r="AG1812">
        <v>50</v>
      </c>
      <c r="AH1812">
        <v>9</v>
      </c>
      <c r="AI1812">
        <v>9</v>
      </c>
      <c r="AJ1812">
        <v>17</v>
      </c>
      <c r="AK1812">
        <v>45</v>
      </c>
      <c r="AL1812" t="s">
        <v>201</v>
      </c>
      <c r="AM1812" t="s">
        <v>202</v>
      </c>
      <c r="AN1812" t="s">
        <v>203</v>
      </c>
      <c r="AO1812" t="s">
        <v>5045</v>
      </c>
      <c r="AP1812" t="s">
        <v>5046</v>
      </c>
      <c r="AQ1812" t="s">
        <v>74</v>
      </c>
      <c r="AR1812" t="s">
        <v>5047</v>
      </c>
      <c r="AS1812" t="s">
        <v>5048</v>
      </c>
      <c r="AT1812" t="s">
        <v>1159</v>
      </c>
      <c r="AU1812">
        <v>2024</v>
      </c>
      <c r="AV1812">
        <v>94</v>
      </c>
      <c r="AW1812" t="s">
        <v>74</v>
      </c>
      <c r="AX1812" t="s">
        <v>74</v>
      </c>
      <c r="AY1812" t="s">
        <v>74</v>
      </c>
      <c r="AZ1812" t="s">
        <v>74</v>
      </c>
      <c r="BA1812" t="s">
        <v>74</v>
      </c>
      <c r="BB1812" t="s">
        <v>74</v>
      </c>
      <c r="BC1812" t="s">
        <v>74</v>
      </c>
      <c r="BD1812">
        <v>101767</v>
      </c>
      <c r="BE1812" t="s">
        <v>21506</v>
      </c>
      <c r="BF1812" t="str">
        <f>HYPERLINK("http://dx.doi.org/10.1016/j.asieco.2024.101767","http://dx.doi.org/10.1016/j.asieco.2024.101767")</f>
        <v>http://dx.doi.org/10.1016/j.asieco.2024.101767</v>
      </c>
      <c r="BG1812" t="s">
        <v>74</v>
      </c>
      <c r="BH1812" t="s">
        <v>6256</v>
      </c>
      <c r="BI1812">
        <v>19</v>
      </c>
      <c r="BJ1812" t="s">
        <v>291</v>
      </c>
      <c r="BK1812" t="s">
        <v>99</v>
      </c>
      <c r="BL1812" t="s">
        <v>100</v>
      </c>
      <c r="BM1812" t="s">
        <v>21505</v>
      </c>
      <c r="BN1812" t="s">
        <v>74</v>
      </c>
      <c r="BO1812" t="s">
        <v>74</v>
      </c>
      <c r="BP1812" t="s">
        <v>74</v>
      </c>
      <c r="BQ1812" t="s">
        <v>74</v>
      </c>
      <c r="BR1812" t="s">
        <v>102</v>
      </c>
      <c r="BS1812" t="s">
        <v>21504</v>
      </c>
      <c r="BT1812" t="str">
        <f>HYPERLINK("https%3A%2F%2Fwww.webofscience.com%2Fwos%2Fwoscc%2Ffull-record%2FWOS:001251718500001","View Full Record in Web of Science")</f>
        <v>View Full Record in Web of Science</v>
      </c>
    </row>
    <row r="1813" spans="1:72" x14ac:dyDescent="0.25">
      <c r="A1813" t="s">
        <v>72</v>
      </c>
      <c r="B1813" t="s">
        <v>21503</v>
      </c>
      <c r="C1813" t="s">
        <v>74</v>
      </c>
      <c r="D1813" t="s">
        <v>74</v>
      </c>
      <c r="E1813" t="s">
        <v>74</v>
      </c>
      <c r="F1813" t="s">
        <v>21502</v>
      </c>
      <c r="G1813" t="s">
        <v>74</v>
      </c>
      <c r="H1813" t="s">
        <v>74</v>
      </c>
      <c r="I1813" t="s">
        <v>21501</v>
      </c>
      <c r="J1813" t="s">
        <v>21500</v>
      </c>
      <c r="K1813" t="s">
        <v>74</v>
      </c>
      <c r="L1813" t="s">
        <v>74</v>
      </c>
      <c r="M1813" t="s">
        <v>78</v>
      </c>
      <c r="N1813" t="s">
        <v>79</v>
      </c>
      <c r="O1813" t="s">
        <v>74</v>
      </c>
      <c r="P1813" t="s">
        <v>74</v>
      </c>
      <c r="Q1813" t="s">
        <v>74</v>
      </c>
      <c r="R1813" t="s">
        <v>74</v>
      </c>
      <c r="S1813" t="s">
        <v>74</v>
      </c>
      <c r="T1813" t="s">
        <v>21499</v>
      </c>
      <c r="U1813" t="s">
        <v>21498</v>
      </c>
      <c r="V1813" t="s">
        <v>21497</v>
      </c>
      <c r="W1813" t="s">
        <v>21496</v>
      </c>
      <c r="X1813" t="s">
        <v>7032</v>
      </c>
      <c r="Y1813" t="s">
        <v>21495</v>
      </c>
      <c r="Z1813" t="s">
        <v>21494</v>
      </c>
      <c r="AA1813" t="s">
        <v>74</v>
      </c>
      <c r="AB1813" t="s">
        <v>74</v>
      </c>
      <c r="AC1813" t="s">
        <v>74</v>
      </c>
      <c r="AD1813" t="s">
        <v>74</v>
      </c>
      <c r="AE1813" t="s">
        <v>74</v>
      </c>
      <c r="AF1813" t="s">
        <v>74</v>
      </c>
      <c r="AG1813">
        <v>87</v>
      </c>
      <c r="AH1813">
        <v>57</v>
      </c>
      <c r="AI1813">
        <v>79</v>
      </c>
      <c r="AJ1813">
        <v>0</v>
      </c>
      <c r="AK1813">
        <v>32</v>
      </c>
      <c r="AL1813" t="s">
        <v>89</v>
      </c>
      <c r="AM1813" t="s">
        <v>1497</v>
      </c>
      <c r="AN1813" t="s">
        <v>1498</v>
      </c>
      <c r="AO1813" t="s">
        <v>21493</v>
      </c>
      <c r="AP1813" t="s">
        <v>21492</v>
      </c>
      <c r="AQ1813" t="s">
        <v>74</v>
      </c>
      <c r="AR1813" t="s">
        <v>21491</v>
      </c>
      <c r="AS1813" t="s">
        <v>21490</v>
      </c>
      <c r="AT1813" t="s">
        <v>74</v>
      </c>
      <c r="AU1813">
        <v>2017</v>
      </c>
      <c r="AV1813">
        <v>36</v>
      </c>
      <c r="AW1813">
        <v>2</v>
      </c>
      <c r="AX1813" t="s">
        <v>74</v>
      </c>
      <c r="AY1813" t="s">
        <v>74</v>
      </c>
      <c r="AZ1813" t="s">
        <v>74</v>
      </c>
      <c r="BA1813" t="s">
        <v>74</v>
      </c>
      <c r="BB1813">
        <v>128</v>
      </c>
      <c r="BC1813">
        <v>149</v>
      </c>
      <c r="BD1813" t="s">
        <v>74</v>
      </c>
      <c r="BE1813" t="s">
        <v>21489</v>
      </c>
      <c r="BF1813" t="str">
        <f>HYPERLINK("http://dx.doi.org/10.1108/EDI-05-2016-0040","http://dx.doi.org/10.1108/EDI-05-2016-0040")</f>
        <v>http://dx.doi.org/10.1108/EDI-05-2016-0040</v>
      </c>
      <c r="BG1813" t="s">
        <v>74</v>
      </c>
      <c r="BH1813" t="s">
        <v>74</v>
      </c>
      <c r="BI1813">
        <v>22</v>
      </c>
      <c r="BJ1813" t="s">
        <v>21488</v>
      </c>
      <c r="BK1813" t="s">
        <v>313</v>
      </c>
      <c r="BL1813" t="s">
        <v>13814</v>
      </c>
      <c r="BM1813" t="s">
        <v>21487</v>
      </c>
      <c r="BN1813" t="s">
        <v>74</v>
      </c>
      <c r="BO1813" t="s">
        <v>74</v>
      </c>
      <c r="BP1813" t="s">
        <v>74</v>
      </c>
      <c r="BQ1813" t="s">
        <v>74</v>
      </c>
      <c r="BR1813" t="s">
        <v>102</v>
      </c>
      <c r="BS1813" t="s">
        <v>21486</v>
      </c>
      <c r="BT1813" t="str">
        <f>HYPERLINK("https%3A%2F%2Fwww.webofscience.com%2Fwos%2Fwoscc%2Ffull-record%2FWOS:000401005200003","View Full Record in Web of Science")</f>
        <v>View Full Record in Web of Science</v>
      </c>
    </row>
    <row r="1814" spans="1:72" x14ac:dyDescent="0.25">
      <c r="A1814" t="s">
        <v>132</v>
      </c>
      <c r="B1814" t="s">
        <v>21485</v>
      </c>
      <c r="C1814" t="s">
        <v>74</v>
      </c>
      <c r="D1814" t="s">
        <v>74</v>
      </c>
      <c r="E1814" t="s">
        <v>771</v>
      </c>
      <c r="F1814" t="s">
        <v>21484</v>
      </c>
      <c r="G1814" t="s">
        <v>74</v>
      </c>
      <c r="H1814" t="s">
        <v>74</v>
      </c>
      <c r="I1814" t="s">
        <v>21483</v>
      </c>
      <c r="J1814" t="s">
        <v>21482</v>
      </c>
      <c r="K1814" t="s">
        <v>10593</v>
      </c>
      <c r="L1814" t="s">
        <v>74</v>
      </c>
      <c r="M1814" t="s">
        <v>78</v>
      </c>
      <c r="N1814" t="s">
        <v>138</v>
      </c>
      <c r="O1814" t="s">
        <v>21481</v>
      </c>
      <c r="P1814" t="s">
        <v>21480</v>
      </c>
      <c r="Q1814" t="s">
        <v>21479</v>
      </c>
      <c r="R1814" t="s">
        <v>74</v>
      </c>
      <c r="S1814" t="s">
        <v>21478</v>
      </c>
      <c r="T1814" t="s">
        <v>21477</v>
      </c>
      <c r="U1814" t="s">
        <v>74</v>
      </c>
      <c r="V1814" t="s">
        <v>21476</v>
      </c>
      <c r="W1814" t="s">
        <v>21475</v>
      </c>
      <c r="X1814" t="s">
        <v>21474</v>
      </c>
      <c r="Y1814" t="s">
        <v>21473</v>
      </c>
      <c r="Z1814" t="s">
        <v>21472</v>
      </c>
      <c r="AA1814" t="s">
        <v>74</v>
      </c>
      <c r="AB1814" t="s">
        <v>74</v>
      </c>
      <c r="AC1814" t="s">
        <v>74</v>
      </c>
      <c r="AD1814" t="s">
        <v>74</v>
      </c>
      <c r="AE1814" t="s">
        <v>74</v>
      </c>
      <c r="AF1814" t="s">
        <v>74</v>
      </c>
      <c r="AG1814">
        <v>14</v>
      </c>
      <c r="AH1814">
        <v>0</v>
      </c>
      <c r="AI1814">
        <v>0</v>
      </c>
      <c r="AJ1814">
        <v>0</v>
      </c>
      <c r="AK1814">
        <v>0</v>
      </c>
      <c r="AL1814" t="s">
        <v>771</v>
      </c>
      <c r="AM1814" t="s">
        <v>151</v>
      </c>
      <c r="AN1814" t="s">
        <v>785</v>
      </c>
      <c r="AO1814" t="s">
        <v>10603</v>
      </c>
      <c r="AP1814" t="s">
        <v>74</v>
      </c>
      <c r="AQ1814" t="s">
        <v>21471</v>
      </c>
      <c r="AR1814" t="s">
        <v>21470</v>
      </c>
      <c r="AS1814" t="s">
        <v>74</v>
      </c>
      <c r="AT1814" t="s">
        <v>74</v>
      </c>
      <c r="AU1814">
        <v>2024</v>
      </c>
      <c r="AV1814" t="s">
        <v>74</v>
      </c>
      <c r="AW1814" t="s">
        <v>74</v>
      </c>
      <c r="AX1814" t="s">
        <v>74</v>
      </c>
      <c r="AY1814" t="s">
        <v>74</v>
      </c>
      <c r="AZ1814" t="s">
        <v>74</v>
      </c>
      <c r="BA1814" t="s">
        <v>74</v>
      </c>
      <c r="BB1814" t="s">
        <v>74</v>
      </c>
      <c r="BC1814" t="s">
        <v>74</v>
      </c>
      <c r="BD1814">
        <v>700</v>
      </c>
      <c r="BE1814" t="s">
        <v>21469</v>
      </c>
      <c r="BF1814" t="str">
        <f>HYPERLINK("http://dx.doi.org/10.1109/TENSYMP61132.2024.10752316","http://dx.doi.org/10.1109/TENSYMP61132.2024.10752316")</f>
        <v>http://dx.doi.org/10.1109/TENSYMP61132.2024.10752316</v>
      </c>
      <c r="BG1814" t="s">
        <v>74</v>
      </c>
      <c r="BH1814" t="s">
        <v>74</v>
      </c>
      <c r="BI1814">
        <v>6</v>
      </c>
      <c r="BJ1814" t="s">
        <v>6213</v>
      </c>
      <c r="BK1814" t="s">
        <v>156</v>
      </c>
      <c r="BL1814" t="s">
        <v>157</v>
      </c>
      <c r="BM1814" t="s">
        <v>21468</v>
      </c>
      <c r="BN1814" t="s">
        <v>74</v>
      </c>
      <c r="BO1814" t="s">
        <v>74</v>
      </c>
      <c r="BP1814" t="s">
        <v>74</v>
      </c>
      <c r="BQ1814" t="s">
        <v>74</v>
      </c>
      <c r="BR1814" t="s">
        <v>102</v>
      </c>
      <c r="BS1814" t="s">
        <v>21467</v>
      </c>
      <c r="BT1814" t="str">
        <f>HYPERLINK("https%3A%2F%2Fwww.webofscience.com%2Fwos%2Fwoscc%2Ffull-record%2FWOS:001440434400225","View Full Record in Web of Science")</f>
        <v>View Full Record in Web of Science</v>
      </c>
    </row>
    <row r="1815" spans="1:72" x14ac:dyDescent="0.25">
      <c r="A1815" t="s">
        <v>72</v>
      </c>
      <c r="B1815" t="s">
        <v>21466</v>
      </c>
      <c r="C1815" t="s">
        <v>74</v>
      </c>
      <c r="D1815" t="s">
        <v>74</v>
      </c>
      <c r="E1815" t="s">
        <v>74</v>
      </c>
      <c r="F1815" t="s">
        <v>21465</v>
      </c>
      <c r="G1815" t="s">
        <v>74</v>
      </c>
      <c r="H1815" t="s">
        <v>74</v>
      </c>
      <c r="I1815" t="s">
        <v>21464</v>
      </c>
      <c r="J1815" t="s">
        <v>8200</v>
      </c>
      <c r="K1815" t="s">
        <v>74</v>
      </c>
      <c r="L1815" t="s">
        <v>74</v>
      </c>
      <c r="M1815" t="s">
        <v>78</v>
      </c>
      <c r="N1815" t="s">
        <v>79</v>
      </c>
      <c r="O1815" t="s">
        <v>74</v>
      </c>
      <c r="P1815" t="s">
        <v>74</v>
      </c>
      <c r="Q1815" t="s">
        <v>74</v>
      </c>
      <c r="R1815" t="s">
        <v>74</v>
      </c>
      <c r="S1815" t="s">
        <v>74</v>
      </c>
      <c r="T1815" t="s">
        <v>21463</v>
      </c>
      <c r="U1815" t="s">
        <v>21462</v>
      </c>
      <c r="V1815" t="s">
        <v>21461</v>
      </c>
      <c r="W1815" t="s">
        <v>21460</v>
      </c>
      <c r="X1815" t="s">
        <v>74</v>
      </c>
      <c r="Y1815" t="s">
        <v>21459</v>
      </c>
      <c r="Z1815" t="s">
        <v>74</v>
      </c>
      <c r="AA1815" t="s">
        <v>74</v>
      </c>
      <c r="AB1815" t="s">
        <v>74</v>
      </c>
      <c r="AC1815" t="s">
        <v>74</v>
      </c>
      <c r="AD1815" t="s">
        <v>74</v>
      </c>
      <c r="AE1815" t="s">
        <v>74</v>
      </c>
      <c r="AF1815" t="s">
        <v>74</v>
      </c>
      <c r="AG1815">
        <v>21</v>
      </c>
      <c r="AH1815">
        <v>1</v>
      </c>
      <c r="AI1815">
        <v>1</v>
      </c>
      <c r="AJ1815">
        <v>0</v>
      </c>
      <c r="AK1815">
        <v>4</v>
      </c>
      <c r="AL1815" t="s">
        <v>8210</v>
      </c>
      <c r="AM1815" t="s">
        <v>8211</v>
      </c>
      <c r="AN1815" t="s">
        <v>8212</v>
      </c>
      <c r="AO1815" t="s">
        <v>8213</v>
      </c>
      <c r="AP1815" t="s">
        <v>74</v>
      </c>
      <c r="AQ1815" t="s">
        <v>74</v>
      </c>
      <c r="AR1815" t="s">
        <v>8214</v>
      </c>
      <c r="AS1815" t="s">
        <v>8215</v>
      </c>
      <c r="AT1815" t="s">
        <v>1159</v>
      </c>
      <c r="AU1815">
        <v>2018</v>
      </c>
      <c r="AV1815">
        <v>11</v>
      </c>
      <c r="AW1815">
        <v>4</v>
      </c>
      <c r="AX1815" t="s">
        <v>74</v>
      </c>
      <c r="AY1815" t="s">
        <v>74</v>
      </c>
      <c r="AZ1815" t="s">
        <v>74</v>
      </c>
      <c r="BA1815" t="s">
        <v>74</v>
      </c>
      <c r="BB1815">
        <v>97</v>
      </c>
      <c r="BC1815">
        <v>106</v>
      </c>
      <c r="BD1815" t="s">
        <v>74</v>
      </c>
      <c r="BE1815" t="s">
        <v>74</v>
      </c>
      <c r="BF1815" t="s">
        <v>74</v>
      </c>
      <c r="BG1815" t="s">
        <v>74</v>
      </c>
      <c r="BH1815" t="s">
        <v>74</v>
      </c>
      <c r="BI1815">
        <v>10</v>
      </c>
      <c r="BJ1815" t="s">
        <v>418</v>
      </c>
      <c r="BK1815" t="s">
        <v>313</v>
      </c>
      <c r="BL1815" t="s">
        <v>100</v>
      </c>
      <c r="BM1815" t="s">
        <v>21458</v>
      </c>
      <c r="BN1815" t="s">
        <v>74</v>
      </c>
      <c r="BO1815" t="s">
        <v>74</v>
      </c>
      <c r="BP1815" t="s">
        <v>74</v>
      </c>
      <c r="BQ1815" t="s">
        <v>74</v>
      </c>
      <c r="BR1815" t="s">
        <v>102</v>
      </c>
      <c r="BS1815" t="s">
        <v>21457</v>
      </c>
      <c r="BT1815" t="str">
        <f>HYPERLINK("https%3A%2F%2Fwww.webofscience.com%2Fwos%2Fwoscc%2Ffull-record%2FWOS:000457835600010","View Full Record in Web of Science")</f>
        <v>View Full Record in Web of Science</v>
      </c>
    </row>
    <row r="1816" spans="1:72" x14ac:dyDescent="0.25">
      <c r="A1816" t="s">
        <v>72</v>
      </c>
      <c r="B1816" t="s">
        <v>21456</v>
      </c>
      <c r="C1816" t="s">
        <v>74</v>
      </c>
      <c r="D1816" t="s">
        <v>74</v>
      </c>
      <c r="E1816" t="s">
        <v>74</v>
      </c>
      <c r="F1816" t="s">
        <v>21455</v>
      </c>
      <c r="G1816" t="s">
        <v>74</v>
      </c>
      <c r="H1816" t="s">
        <v>74</v>
      </c>
      <c r="I1816" t="s">
        <v>21454</v>
      </c>
      <c r="J1816" t="s">
        <v>3056</v>
      </c>
      <c r="K1816" t="s">
        <v>74</v>
      </c>
      <c r="L1816" t="s">
        <v>74</v>
      </c>
      <c r="M1816" t="s">
        <v>78</v>
      </c>
      <c r="N1816" t="s">
        <v>1766</v>
      </c>
      <c r="O1816" t="s">
        <v>74</v>
      </c>
      <c r="P1816" t="s">
        <v>74</v>
      </c>
      <c r="Q1816" t="s">
        <v>74</v>
      </c>
      <c r="R1816" t="s">
        <v>74</v>
      </c>
      <c r="S1816" t="s">
        <v>74</v>
      </c>
      <c r="T1816" t="s">
        <v>21453</v>
      </c>
      <c r="U1816" t="s">
        <v>74</v>
      </c>
      <c r="V1816" t="s">
        <v>21452</v>
      </c>
      <c r="W1816" t="s">
        <v>21451</v>
      </c>
      <c r="X1816" t="s">
        <v>21450</v>
      </c>
      <c r="Y1816" t="s">
        <v>21449</v>
      </c>
      <c r="Z1816" t="s">
        <v>21448</v>
      </c>
      <c r="AA1816" t="s">
        <v>74</v>
      </c>
      <c r="AB1816" t="s">
        <v>21447</v>
      </c>
      <c r="AC1816" t="s">
        <v>74</v>
      </c>
      <c r="AD1816" t="s">
        <v>74</v>
      </c>
      <c r="AE1816" t="s">
        <v>74</v>
      </c>
      <c r="AF1816" t="s">
        <v>74</v>
      </c>
      <c r="AG1816">
        <v>44</v>
      </c>
      <c r="AH1816">
        <v>1</v>
      </c>
      <c r="AI1816">
        <v>2</v>
      </c>
      <c r="AJ1816">
        <v>3</v>
      </c>
      <c r="AK1816">
        <v>32</v>
      </c>
      <c r="AL1816" t="s">
        <v>3064</v>
      </c>
      <c r="AM1816" t="s">
        <v>3065</v>
      </c>
      <c r="AN1816" t="s">
        <v>3066</v>
      </c>
      <c r="AO1816" t="s">
        <v>3067</v>
      </c>
      <c r="AP1816" t="s">
        <v>3068</v>
      </c>
      <c r="AQ1816" t="s">
        <v>74</v>
      </c>
      <c r="AR1816" t="s">
        <v>3069</v>
      </c>
      <c r="AS1816" t="s">
        <v>3070</v>
      </c>
      <c r="AT1816" t="s">
        <v>363</v>
      </c>
      <c r="AU1816">
        <v>2020</v>
      </c>
      <c r="AV1816">
        <v>16</v>
      </c>
      <c r="AW1816">
        <v>2</v>
      </c>
      <c r="AX1816" t="s">
        <v>74</v>
      </c>
      <c r="AY1816" t="s">
        <v>74</v>
      </c>
      <c r="AZ1816" t="s">
        <v>74</v>
      </c>
      <c r="BA1816" t="s">
        <v>74</v>
      </c>
      <c r="BB1816">
        <v>278</v>
      </c>
      <c r="BC1816">
        <v>284</v>
      </c>
      <c r="BD1816" t="s">
        <v>74</v>
      </c>
      <c r="BE1816" t="s">
        <v>21446</v>
      </c>
      <c r="BF1816" t="str">
        <f>HYPERLINK("http://dx.doi.org/10.35716/IJED/19016","http://dx.doi.org/10.35716/IJED/19016")</f>
        <v>http://dx.doi.org/10.35716/IJED/19016</v>
      </c>
      <c r="BG1816" t="s">
        <v>74</v>
      </c>
      <c r="BH1816" t="s">
        <v>74</v>
      </c>
      <c r="BI1816">
        <v>7</v>
      </c>
      <c r="BJ1816" t="s">
        <v>291</v>
      </c>
      <c r="BK1816" t="s">
        <v>313</v>
      </c>
      <c r="BL1816" t="s">
        <v>100</v>
      </c>
      <c r="BM1816" t="s">
        <v>21445</v>
      </c>
      <c r="BN1816" t="s">
        <v>74</v>
      </c>
      <c r="BO1816" t="s">
        <v>74</v>
      </c>
      <c r="BP1816" t="s">
        <v>74</v>
      </c>
      <c r="BQ1816" t="s">
        <v>74</v>
      </c>
      <c r="BR1816" t="s">
        <v>102</v>
      </c>
      <c r="BS1816" t="s">
        <v>21444</v>
      </c>
      <c r="BT1816" t="str">
        <f>HYPERLINK("https%3A%2F%2Fwww.webofscience.com%2Fwos%2Fwoscc%2Ffull-record%2FWOS:000562049800014","View Full Record in Web of Science")</f>
        <v>View Full Record in Web of Science</v>
      </c>
    </row>
    <row r="1817" spans="1:72" x14ac:dyDescent="0.25">
      <c r="A1817" t="s">
        <v>72</v>
      </c>
      <c r="B1817" t="s">
        <v>21443</v>
      </c>
      <c r="C1817" t="s">
        <v>74</v>
      </c>
      <c r="D1817" t="s">
        <v>74</v>
      </c>
      <c r="E1817" t="s">
        <v>74</v>
      </c>
      <c r="F1817" t="s">
        <v>21442</v>
      </c>
      <c r="G1817" t="s">
        <v>74</v>
      </c>
      <c r="H1817" t="s">
        <v>74</v>
      </c>
      <c r="I1817" t="s">
        <v>21441</v>
      </c>
      <c r="J1817" t="s">
        <v>21440</v>
      </c>
      <c r="K1817" t="s">
        <v>74</v>
      </c>
      <c r="L1817" t="s">
        <v>74</v>
      </c>
      <c r="M1817" t="s">
        <v>78</v>
      </c>
      <c r="N1817" t="s">
        <v>79</v>
      </c>
      <c r="O1817" t="s">
        <v>74</v>
      </c>
      <c r="P1817" t="s">
        <v>74</v>
      </c>
      <c r="Q1817" t="s">
        <v>74</v>
      </c>
      <c r="R1817" t="s">
        <v>74</v>
      </c>
      <c r="S1817" t="s">
        <v>74</v>
      </c>
      <c r="T1817" t="s">
        <v>21439</v>
      </c>
      <c r="U1817" t="s">
        <v>21438</v>
      </c>
      <c r="V1817" t="s">
        <v>21437</v>
      </c>
      <c r="W1817" t="s">
        <v>21436</v>
      </c>
      <c r="X1817" t="s">
        <v>21435</v>
      </c>
      <c r="Y1817" t="s">
        <v>21434</v>
      </c>
      <c r="Z1817" t="s">
        <v>21433</v>
      </c>
      <c r="AA1817" t="s">
        <v>21432</v>
      </c>
      <c r="AB1817" t="s">
        <v>21431</v>
      </c>
      <c r="AC1817" t="s">
        <v>74</v>
      </c>
      <c r="AD1817" t="s">
        <v>74</v>
      </c>
      <c r="AE1817" t="s">
        <v>74</v>
      </c>
      <c r="AF1817" t="s">
        <v>74</v>
      </c>
      <c r="AG1817">
        <v>82</v>
      </c>
      <c r="AH1817">
        <v>0</v>
      </c>
      <c r="AI1817">
        <v>0</v>
      </c>
      <c r="AJ1817">
        <v>15</v>
      </c>
      <c r="AK1817">
        <v>15</v>
      </c>
      <c r="AL1817" t="s">
        <v>21430</v>
      </c>
      <c r="AM1817" t="s">
        <v>21429</v>
      </c>
      <c r="AN1817" t="s">
        <v>21428</v>
      </c>
      <c r="AO1817" t="s">
        <v>21427</v>
      </c>
      <c r="AP1817" t="s">
        <v>21426</v>
      </c>
      <c r="AQ1817" t="s">
        <v>74</v>
      </c>
      <c r="AR1817" t="s">
        <v>21425</v>
      </c>
      <c r="AS1817" t="s">
        <v>21424</v>
      </c>
      <c r="AT1817" t="s">
        <v>74</v>
      </c>
      <c r="AU1817">
        <v>2025</v>
      </c>
      <c r="AV1817">
        <v>31</v>
      </c>
      <c r="AW1817">
        <v>3</v>
      </c>
      <c r="AX1817" t="s">
        <v>74</v>
      </c>
      <c r="AY1817" t="s">
        <v>74</v>
      </c>
      <c r="AZ1817" t="s">
        <v>74</v>
      </c>
      <c r="BA1817" t="s">
        <v>74</v>
      </c>
      <c r="BB1817">
        <v>916</v>
      </c>
      <c r="BC1817">
        <v>949</v>
      </c>
      <c r="BD1817" t="s">
        <v>74</v>
      </c>
      <c r="BE1817" t="s">
        <v>21423</v>
      </c>
      <c r="BF1817" t="str">
        <f>HYPERLINK("http://dx.doi.org/10.3846/tede.2025.23879","http://dx.doi.org/10.3846/tede.2025.23879")</f>
        <v>http://dx.doi.org/10.3846/tede.2025.23879</v>
      </c>
      <c r="BG1817" t="s">
        <v>74</v>
      </c>
      <c r="BH1817" t="s">
        <v>74</v>
      </c>
      <c r="BI1817">
        <v>34</v>
      </c>
      <c r="BJ1817" t="s">
        <v>291</v>
      </c>
      <c r="BK1817" t="s">
        <v>99</v>
      </c>
      <c r="BL1817" t="s">
        <v>100</v>
      </c>
      <c r="BM1817" t="s">
        <v>21422</v>
      </c>
      <c r="BN1817" t="s">
        <v>74</v>
      </c>
      <c r="BO1817" t="s">
        <v>212</v>
      </c>
      <c r="BP1817" t="s">
        <v>74</v>
      </c>
      <c r="BQ1817" t="s">
        <v>74</v>
      </c>
      <c r="BR1817" t="s">
        <v>102</v>
      </c>
      <c r="BS1817" t="s">
        <v>21421</v>
      </c>
      <c r="BT1817" t="str">
        <f>HYPERLINK("https%3A%2F%2Fwww.webofscience.com%2Fwos%2Fwoscc%2Ffull-record%2FWOS:001525110100012","View Full Record in Web of Science")</f>
        <v>View Full Record in Web of Science</v>
      </c>
    </row>
    <row r="1818" spans="1:72" x14ac:dyDescent="0.25">
      <c r="A1818" t="s">
        <v>72</v>
      </c>
      <c r="B1818" t="s">
        <v>21420</v>
      </c>
      <c r="C1818" t="s">
        <v>74</v>
      </c>
      <c r="D1818" t="s">
        <v>74</v>
      </c>
      <c r="E1818" t="s">
        <v>74</v>
      </c>
      <c r="F1818" t="s">
        <v>21419</v>
      </c>
      <c r="G1818" t="s">
        <v>74</v>
      </c>
      <c r="H1818" t="s">
        <v>74</v>
      </c>
      <c r="I1818" t="s">
        <v>21418</v>
      </c>
      <c r="J1818" t="s">
        <v>21417</v>
      </c>
      <c r="K1818" t="s">
        <v>74</v>
      </c>
      <c r="L1818" t="s">
        <v>74</v>
      </c>
      <c r="M1818" t="s">
        <v>78</v>
      </c>
      <c r="N1818" t="s">
        <v>79</v>
      </c>
      <c r="O1818" t="s">
        <v>74</v>
      </c>
      <c r="P1818" t="s">
        <v>74</v>
      </c>
      <c r="Q1818" t="s">
        <v>74</v>
      </c>
      <c r="R1818" t="s">
        <v>74</v>
      </c>
      <c r="S1818" t="s">
        <v>74</v>
      </c>
      <c r="T1818" t="s">
        <v>21416</v>
      </c>
      <c r="U1818" t="s">
        <v>74</v>
      </c>
      <c r="V1818" t="s">
        <v>21415</v>
      </c>
      <c r="W1818" t="s">
        <v>21414</v>
      </c>
      <c r="X1818" t="s">
        <v>21413</v>
      </c>
      <c r="Y1818" t="s">
        <v>12773</v>
      </c>
      <c r="Z1818" t="s">
        <v>21412</v>
      </c>
      <c r="AA1818" t="s">
        <v>4333</v>
      </c>
      <c r="AB1818" t="s">
        <v>21411</v>
      </c>
      <c r="AC1818" t="s">
        <v>74</v>
      </c>
      <c r="AD1818" t="s">
        <v>74</v>
      </c>
      <c r="AE1818" t="s">
        <v>74</v>
      </c>
      <c r="AF1818" t="s">
        <v>74</v>
      </c>
      <c r="AG1818">
        <v>62</v>
      </c>
      <c r="AH1818">
        <v>44</v>
      </c>
      <c r="AI1818">
        <v>58</v>
      </c>
      <c r="AJ1818">
        <v>2</v>
      </c>
      <c r="AK1818">
        <v>51</v>
      </c>
      <c r="AL1818" t="s">
        <v>3298</v>
      </c>
      <c r="AM1818" t="s">
        <v>202</v>
      </c>
      <c r="AN1818" t="s">
        <v>3299</v>
      </c>
      <c r="AO1818" t="s">
        <v>21410</v>
      </c>
      <c r="AP1818" t="s">
        <v>21409</v>
      </c>
      <c r="AQ1818" t="s">
        <v>74</v>
      </c>
      <c r="AR1818" t="s">
        <v>21408</v>
      </c>
      <c r="AS1818" t="s">
        <v>21407</v>
      </c>
      <c r="AT1818" t="s">
        <v>891</v>
      </c>
      <c r="AU1818">
        <v>2018</v>
      </c>
      <c r="AV1818">
        <v>12</v>
      </c>
      <c r="AW1818" t="s">
        <v>74</v>
      </c>
      <c r="AX1818" t="s">
        <v>74</v>
      </c>
      <c r="AY1818" t="s">
        <v>74</v>
      </c>
      <c r="AZ1818" t="s">
        <v>74</v>
      </c>
      <c r="BA1818" t="s">
        <v>74</v>
      </c>
      <c r="BB1818">
        <v>96</v>
      </c>
      <c r="BC1818">
        <v>117</v>
      </c>
      <c r="BD1818" t="s">
        <v>74</v>
      </c>
      <c r="BE1818" t="s">
        <v>21406</v>
      </c>
      <c r="BF1818" t="str">
        <f>HYPERLINK("http://dx.doi.org/10.1016/j.jeoa.2018.03.001","http://dx.doi.org/10.1016/j.jeoa.2018.03.001")</f>
        <v>http://dx.doi.org/10.1016/j.jeoa.2018.03.001</v>
      </c>
      <c r="BG1818" t="s">
        <v>74</v>
      </c>
      <c r="BH1818" t="s">
        <v>74</v>
      </c>
      <c r="BI1818">
        <v>22</v>
      </c>
      <c r="BJ1818" t="s">
        <v>21405</v>
      </c>
      <c r="BK1818" t="s">
        <v>99</v>
      </c>
      <c r="BL1818" t="s">
        <v>21404</v>
      </c>
      <c r="BM1818" t="s">
        <v>21403</v>
      </c>
      <c r="BN1818" t="s">
        <v>74</v>
      </c>
      <c r="BO1818" t="s">
        <v>74</v>
      </c>
      <c r="BP1818" t="s">
        <v>74</v>
      </c>
      <c r="BQ1818" t="s">
        <v>74</v>
      </c>
      <c r="BR1818" t="s">
        <v>102</v>
      </c>
      <c r="BS1818" t="s">
        <v>21402</v>
      </c>
      <c r="BT1818" t="str">
        <f>HYPERLINK("https%3A%2F%2Fwww.webofscience.com%2Fwos%2Fwoscc%2Ffull-record%2FWOS:000452068600010","View Full Record in Web of Science")</f>
        <v>View Full Record in Web of Science</v>
      </c>
    </row>
    <row r="1819" spans="1:72" x14ac:dyDescent="0.25">
      <c r="A1819" t="s">
        <v>72</v>
      </c>
      <c r="B1819" t="s">
        <v>21401</v>
      </c>
      <c r="C1819" t="s">
        <v>74</v>
      </c>
      <c r="D1819" t="s">
        <v>74</v>
      </c>
      <c r="E1819" t="s">
        <v>74</v>
      </c>
      <c r="F1819" t="s">
        <v>21400</v>
      </c>
      <c r="G1819" t="s">
        <v>74</v>
      </c>
      <c r="H1819" t="s">
        <v>74</v>
      </c>
      <c r="I1819" t="s">
        <v>21399</v>
      </c>
      <c r="J1819" t="s">
        <v>3231</v>
      </c>
      <c r="K1819" t="s">
        <v>74</v>
      </c>
      <c r="L1819" t="s">
        <v>74</v>
      </c>
      <c r="M1819" t="s">
        <v>78</v>
      </c>
      <c r="N1819" t="s">
        <v>79</v>
      </c>
      <c r="O1819" t="s">
        <v>74</v>
      </c>
      <c r="P1819" t="s">
        <v>74</v>
      </c>
      <c r="Q1819" t="s">
        <v>74</v>
      </c>
      <c r="R1819" t="s">
        <v>74</v>
      </c>
      <c r="S1819" t="s">
        <v>74</v>
      </c>
      <c r="T1819" t="s">
        <v>21398</v>
      </c>
      <c r="U1819" t="s">
        <v>74</v>
      </c>
      <c r="V1819" t="s">
        <v>21397</v>
      </c>
      <c r="W1819" t="s">
        <v>21396</v>
      </c>
      <c r="X1819" t="s">
        <v>21395</v>
      </c>
      <c r="Y1819" t="s">
        <v>21394</v>
      </c>
      <c r="Z1819" t="s">
        <v>21393</v>
      </c>
      <c r="AA1819" t="s">
        <v>74</v>
      </c>
      <c r="AB1819" t="s">
        <v>21392</v>
      </c>
      <c r="AC1819" t="s">
        <v>21391</v>
      </c>
      <c r="AD1819" t="s">
        <v>21390</v>
      </c>
      <c r="AE1819" t="s">
        <v>21389</v>
      </c>
      <c r="AF1819" t="s">
        <v>74</v>
      </c>
      <c r="AG1819">
        <v>41</v>
      </c>
      <c r="AH1819">
        <v>12</v>
      </c>
      <c r="AI1819">
        <v>15</v>
      </c>
      <c r="AJ1819">
        <v>26</v>
      </c>
      <c r="AK1819">
        <v>210</v>
      </c>
      <c r="AL1819" t="s">
        <v>575</v>
      </c>
      <c r="AM1819" t="s">
        <v>576</v>
      </c>
      <c r="AN1819" t="s">
        <v>3242</v>
      </c>
      <c r="AO1819" t="s">
        <v>74</v>
      </c>
      <c r="AP1819" t="s">
        <v>3243</v>
      </c>
      <c r="AQ1819" t="s">
        <v>74</v>
      </c>
      <c r="AR1819" t="s">
        <v>3244</v>
      </c>
      <c r="AS1819" t="s">
        <v>3245</v>
      </c>
      <c r="AT1819" t="s">
        <v>605</v>
      </c>
      <c r="AU1819">
        <v>2023</v>
      </c>
      <c r="AV1819">
        <v>15</v>
      </c>
      <c r="AW1819">
        <v>6</v>
      </c>
      <c r="AX1819" t="s">
        <v>74</v>
      </c>
      <c r="AY1819" t="s">
        <v>74</v>
      </c>
      <c r="AZ1819" t="s">
        <v>74</v>
      </c>
      <c r="BA1819" t="s">
        <v>74</v>
      </c>
      <c r="BB1819" t="s">
        <v>74</v>
      </c>
      <c r="BC1819" t="s">
        <v>74</v>
      </c>
      <c r="BD1819">
        <v>5032</v>
      </c>
      <c r="BE1819" t="s">
        <v>21388</v>
      </c>
      <c r="BF1819" t="str">
        <f>HYPERLINK("http://dx.doi.org/10.3390/su15065032","http://dx.doi.org/10.3390/su15065032")</f>
        <v>http://dx.doi.org/10.3390/su15065032</v>
      </c>
      <c r="BG1819" t="s">
        <v>74</v>
      </c>
      <c r="BH1819" t="s">
        <v>74</v>
      </c>
      <c r="BI1819">
        <v>17</v>
      </c>
      <c r="BJ1819" t="s">
        <v>3247</v>
      </c>
      <c r="BK1819" t="s">
        <v>2623</v>
      </c>
      <c r="BL1819" t="s">
        <v>3248</v>
      </c>
      <c r="BM1819" t="s">
        <v>21387</v>
      </c>
      <c r="BN1819" t="s">
        <v>74</v>
      </c>
      <c r="BO1819" t="s">
        <v>916</v>
      </c>
      <c r="BP1819" t="s">
        <v>74</v>
      </c>
      <c r="BQ1819" t="s">
        <v>74</v>
      </c>
      <c r="BR1819" t="s">
        <v>102</v>
      </c>
      <c r="BS1819" t="s">
        <v>21386</v>
      </c>
      <c r="BT1819" t="str">
        <f>HYPERLINK("https%3A%2F%2Fwww.webofscience.com%2Fwos%2Fwoscc%2Ffull-record%2FWOS:000959936400001","View Full Record in Web of Science")</f>
        <v>View Full Record in Web of Science</v>
      </c>
    </row>
    <row r="1820" spans="1:72" x14ac:dyDescent="0.25">
      <c r="A1820" t="s">
        <v>72</v>
      </c>
      <c r="B1820" t="s">
        <v>21385</v>
      </c>
      <c r="C1820" t="s">
        <v>74</v>
      </c>
      <c r="D1820" t="s">
        <v>74</v>
      </c>
      <c r="E1820" t="s">
        <v>74</v>
      </c>
      <c r="F1820" t="s">
        <v>21384</v>
      </c>
      <c r="G1820" t="s">
        <v>74</v>
      </c>
      <c r="H1820" t="s">
        <v>74</v>
      </c>
      <c r="I1820" t="s">
        <v>21383</v>
      </c>
      <c r="J1820" t="s">
        <v>3231</v>
      </c>
      <c r="K1820" t="s">
        <v>74</v>
      </c>
      <c r="L1820" t="s">
        <v>74</v>
      </c>
      <c r="M1820" t="s">
        <v>78</v>
      </c>
      <c r="N1820" t="s">
        <v>79</v>
      </c>
      <c r="O1820" t="s">
        <v>74</v>
      </c>
      <c r="P1820" t="s">
        <v>74</v>
      </c>
      <c r="Q1820" t="s">
        <v>74</v>
      </c>
      <c r="R1820" t="s">
        <v>74</v>
      </c>
      <c r="S1820" t="s">
        <v>74</v>
      </c>
      <c r="T1820" t="s">
        <v>21382</v>
      </c>
      <c r="U1820" t="s">
        <v>21381</v>
      </c>
      <c r="V1820" t="s">
        <v>21380</v>
      </c>
      <c r="W1820" t="s">
        <v>21379</v>
      </c>
      <c r="X1820" t="s">
        <v>21378</v>
      </c>
      <c r="Y1820" t="s">
        <v>21377</v>
      </c>
      <c r="Z1820" t="s">
        <v>21376</v>
      </c>
      <c r="AA1820" t="s">
        <v>21375</v>
      </c>
      <c r="AB1820" t="s">
        <v>21374</v>
      </c>
      <c r="AC1820" t="s">
        <v>21373</v>
      </c>
      <c r="AD1820" t="s">
        <v>21372</v>
      </c>
      <c r="AE1820" t="s">
        <v>21371</v>
      </c>
      <c r="AF1820" t="s">
        <v>74</v>
      </c>
      <c r="AG1820">
        <v>63</v>
      </c>
      <c r="AH1820">
        <v>6</v>
      </c>
      <c r="AI1820">
        <v>8</v>
      </c>
      <c r="AJ1820">
        <v>44</v>
      </c>
      <c r="AK1820">
        <v>105</v>
      </c>
      <c r="AL1820" t="s">
        <v>575</v>
      </c>
      <c r="AM1820" t="s">
        <v>576</v>
      </c>
      <c r="AN1820" t="s">
        <v>3242</v>
      </c>
      <c r="AO1820" t="s">
        <v>74</v>
      </c>
      <c r="AP1820" t="s">
        <v>3243</v>
      </c>
      <c r="AQ1820" t="s">
        <v>74</v>
      </c>
      <c r="AR1820" t="s">
        <v>3244</v>
      </c>
      <c r="AS1820" t="s">
        <v>3245</v>
      </c>
      <c r="AT1820" t="s">
        <v>891</v>
      </c>
      <c r="AU1820">
        <v>2024</v>
      </c>
      <c r="AV1820">
        <v>16</v>
      </c>
      <c r="AW1820">
        <v>22</v>
      </c>
      <c r="AX1820" t="s">
        <v>74</v>
      </c>
      <c r="AY1820" t="s">
        <v>74</v>
      </c>
      <c r="AZ1820" t="s">
        <v>74</v>
      </c>
      <c r="BA1820" t="s">
        <v>74</v>
      </c>
      <c r="BB1820" t="s">
        <v>74</v>
      </c>
      <c r="BC1820" t="s">
        <v>74</v>
      </c>
      <c r="BD1820">
        <v>9763</v>
      </c>
      <c r="BE1820" t="s">
        <v>21370</v>
      </c>
      <c r="BF1820" t="str">
        <f>HYPERLINK("http://dx.doi.org/10.3390/su16229763","http://dx.doi.org/10.3390/su16229763")</f>
        <v>http://dx.doi.org/10.3390/su16229763</v>
      </c>
      <c r="BG1820" t="s">
        <v>74</v>
      </c>
      <c r="BH1820" t="s">
        <v>74</v>
      </c>
      <c r="BI1820">
        <v>23</v>
      </c>
      <c r="BJ1820" t="s">
        <v>3247</v>
      </c>
      <c r="BK1820" t="s">
        <v>2623</v>
      </c>
      <c r="BL1820" t="s">
        <v>3248</v>
      </c>
      <c r="BM1820" t="s">
        <v>21369</v>
      </c>
      <c r="BN1820" t="s">
        <v>74</v>
      </c>
      <c r="BO1820" t="s">
        <v>212</v>
      </c>
      <c r="BP1820" t="s">
        <v>74</v>
      </c>
      <c r="BQ1820" t="s">
        <v>74</v>
      </c>
      <c r="BR1820" t="s">
        <v>102</v>
      </c>
      <c r="BS1820" t="s">
        <v>21368</v>
      </c>
      <c r="BT1820" t="str">
        <f>HYPERLINK("https%3A%2F%2Fwww.webofscience.com%2Fwos%2Fwoscc%2Ffull-record%2FWOS:001366079900001","View Full Record in Web of Science")</f>
        <v>View Full Record in Web of Science</v>
      </c>
    </row>
    <row r="1821" spans="1:72" x14ac:dyDescent="0.25">
      <c r="A1821" t="s">
        <v>72</v>
      </c>
      <c r="B1821" t="s">
        <v>21367</v>
      </c>
      <c r="C1821" t="s">
        <v>74</v>
      </c>
      <c r="D1821" t="s">
        <v>74</v>
      </c>
      <c r="E1821" t="s">
        <v>74</v>
      </c>
      <c r="F1821" t="s">
        <v>21366</v>
      </c>
      <c r="G1821" t="s">
        <v>74</v>
      </c>
      <c r="H1821" t="s">
        <v>74</v>
      </c>
      <c r="I1821" t="s">
        <v>21365</v>
      </c>
      <c r="J1821" t="s">
        <v>9191</v>
      </c>
      <c r="K1821" t="s">
        <v>74</v>
      </c>
      <c r="L1821" t="s">
        <v>74</v>
      </c>
      <c r="M1821" t="s">
        <v>78</v>
      </c>
      <c r="N1821" t="s">
        <v>79</v>
      </c>
      <c r="O1821" t="s">
        <v>74</v>
      </c>
      <c r="P1821" t="s">
        <v>74</v>
      </c>
      <c r="Q1821" t="s">
        <v>74</v>
      </c>
      <c r="R1821" t="s">
        <v>74</v>
      </c>
      <c r="S1821" t="s">
        <v>74</v>
      </c>
      <c r="T1821" t="s">
        <v>21364</v>
      </c>
      <c r="U1821" t="s">
        <v>21363</v>
      </c>
      <c r="V1821" t="s">
        <v>21362</v>
      </c>
      <c r="W1821" t="s">
        <v>21361</v>
      </c>
      <c r="X1821" t="s">
        <v>21360</v>
      </c>
      <c r="Y1821" t="s">
        <v>21359</v>
      </c>
      <c r="Z1821" t="s">
        <v>21358</v>
      </c>
      <c r="AA1821" t="s">
        <v>21357</v>
      </c>
      <c r="AB1821" t="s">
        <v>21356</v>
      </c>
      <c r="AC1821" t="s">
        <v>74</v>
      </c>
      <c r="AD1821" t="s">
        <v>74</v>
      </c>
      <c r="AE1821" t="s">
        <v>74</v>
      </c>
      <c r="AF1821" t="s">
        <v>74</v>
      </c>
      <c r="AG1821">
        <v>94</v>
      </c>
      <c r="AH1821">
        <v>18</v>
      </c>
      <c r="AI1821">
        <v>30</v>
      </c>
      <c r="AJ1821">
        <v>4</v>
      </c>
      <c r="AK1821">
        <v>38</v>
      </c>
      <c r="AL1821" t="s">
        <v>9204</v>
      </c>
      <c r="AM1821" t="s">
        <v>2016</v>
      </c>
      <c r="AN1821" t="s">
        <v>9205</v>
      </c>
      <c r="AO1821" t="s">
        <v>74</v>
      </c>
      <c r="AP1821" t="s">
        <v>9206</v>
      </c>
      <c r="AQ1821" t="s">
        <v>74</v>
      </c>
      <c r="AR1821" t="s">
        <v>9191</v>
      </c>
      <c r="AS1821" t="s">
        <v>9207</v>
      </c>
      <c r="AT1821" t="s">
        <v>237</v>
      </c>
      <c r="AU1821">
        <v>2023</v>
      </c>
      <c r="AV1821">
        <v>9</v>
      </c>
      <c r="AW1821">
        <v>2</v>
      </c>
      <c r="AX1821" t="s">
        <v>74</v>
      </c>
      <c r="AY1821" t="s">
        <v>74</v>
      </c>
      <c r="AZ1821" t="s">
        <v>74</v>
      </c>
      <c r="BA1821" t="s">
        <v>74</v>
      </c>
      <c r="BB1821" t="s">
        <v>74</v>
      </c>
      <c r="BC1821" t="s">
        <v>74</v>
      </c>
      <c r="BD1821" t="s">
        <v>21355</v>
      </c>
      <c r="BE1821" t="s">
        <v>21354</v>
      </c>
      <c r="BF1821" t="str">
        <f>HYPERLINK("http://dx.doi.org/10.1016/j.heliyon.2023.e13085","http://dx.doi.org/10.1016/j.heliyon.2023.e13085")</f>
        <v>http://dx.doi.org/10.1016/j.heliyon.2023.e13085</v>
      </c>
      <c r="BG1821" t="s">
        <v>74</v>
      </c>
      <c r="BH1821" t="s">
        <v>11288</v>
      </c>
      <c r="BI1821">
        <v>16</v>
      </c>
      <c r="BJ1821" t="s">
        <v>559</v>
      </c>
      <c r="BK1821" t="s">
        <v>128</v>
      </c>
      <c r="BL1821" t="s">
        <v>560</v>
      </c>
      <c r="BM1821" t="s">
        <v>21353</v>
      </c>
      <c r="BN1821">
        <v>36793953</v>
      </c>
      <c r="BO1821" t="s">
        <v>916</v>
      </c>
      <c r="BP1821" t="s">
        <v>74</v>
      </c>
      <c r="BQ1821" t="s">
        <v>74</v>
      </c>
      <c r="BR1821" t="s">
        <v>102</v>
      </c>
      <c r="BS1821" t="s">
        <v>21352</v>
      </c>
      <c r="BT1821" t="str">
        <f>HYPERLINK("https%3A%2F%2Fwww.webofscience.com%2Fwos%2Fwoscc%2Ffull-record%2FWOS:000968519000001","View Full Record in Web of Science")</f>
        <v>View Full Record in Web of Science</v>
      </c>
    </row>
    <row r="1822" spans="1:72" x14ac:dyDescent="0.25">
      <c r="A1822" t="s">
        <v>72</v>
      </c>
      <c r="B1822" t="s">
        <v>21351</v>
      </c>
      <c r="C1822" t="s">
        <v>74</v>
      </c>
      <c r="D1822" t="s">
        <v>74</v>
      </c>
      <c r="E1822" t="s">
        <v>74</v>
      </c>
      <c r="F1822" t="s">
        <v>21350</v>
      </c>
      <c r="G1822" t="s">
        <v>74</v>
      </c>
      <c r="H1822" t="s">
        <v>74</v>
      </c>
      <c r="I1822" t="s">
        <v>21349</v>
      </c>
      <c r="J1822" t="s">
        <v>3332</v>
      </c>
      <c r="K1822" t="s">
        <v>74</v>
      </c>
      <c r="L1822" t="s">
        <v>74</v>
      </c>
      <c r="M1822" t="s">
        <v>78</v>
      </c>
      <c r="N1822" t="s">
        <v>79</v>
      </c>
      <c r="O1822" t="s">
        <v>74</v>
      </c>
      <c r="P1822" t="s">
        <v>74</v>
      </c>
      <c r="Q1822" t="s">
        <v>74</v>
      </c>
      <c r="R1822" t="s">
        <v>74</v>
      </c>
      <c r="S1822" t="s">
        <v>74</v>
      </c>
      <c r="T1822" t="s">
        <v>21348</v>
      </c>
      <c r="U1822" t="s">
        <v>21347</v>
      </c>
      <c r="V1822" t="s">
        <v>21346</v>
      </c>
      <c r="W1822" t="s">
        <v>21345</v>
      </c>
      <c r="X1822" t="s">
        <v>21344</v>
      </c>
      <c r="Y1822" t="s">
        <v>21343</v>
      </c>
      <c r="Z1822" t="s">
        <v>21342</v>
      </c>
      <c r="AA1822" t="s">
        <v>21341</v>
      </c>
      <c r="AB1822" t="s">
        <v>21340</v>
      </c>
      <c r="AC1822" t="s">
        <v>74</v>
      </c>
      <c r="AD1822" t="s">
        <v>74</v>
      </c>
      <c r="AE1822" t="s">
        <v>74</v>
      </c>
      <c r="AF1822" t="s">
        <v>74</v>
      </c>
      <c r="AG1822">
        <v>89</v>
      </c>
      <c r="AH1822">
        <v>21</v>
      </c>
      <c r="AI1822">
        <v>30</v>
      </c>
      <c r="AJ1822">
        <v>0</v>
      </c>
      <c r="AK1822">
        <v>21</v>
      </c>
      <c r="AL1822" t="s">
        <v>89</v>
      </c>
      <c r="AM1822" t="s">
        <v>1497</v>
      </c>
      <c r="AN1822" t="s">
        <v>1498</v>
      </c>
      <c r="AO1822" t="s">
        <v>3345</v>
      </c>
      <c r="AP1822" t="s">
        <v>3346</v>
      </c>
      <c r="AQ1822" t="s">
        <v>74</v>
      </c>
      <c r="AR1822" t="s">
        <v>3347</v>
      </c>
      <c r="AS1822" t="s">
        <v>3348</v>
      </c>
      <c r="AT1822" t="s">
        <v>21339</v>
      </c>
      <c r="AU1822">
        <v>2020</v>
      </c>
      <c r="AV1822">
        <v>11</v>
      </c>
      <c r="AW1822">
        <v>1</v>
      </c>
      <c r="AX1822" t="s">
        <v>74</v>
      </c>
      <c r="AY1822" t="s">
        <v>74</v>
      </c>
      <c r="AZ1822" t="s">
        <v>74</v>
      </c>
      <c r="BA1822" t="s">
        <v>74</v>
      </c>
      <c r="BB1822">
        <v>143</v>
      </c>
      <c r="BC1822">
        <v>160</v>
      </c>
      <c r="BD1822" t="s">
        <v>74</v>
      </c>
      <c r="BE1822" t="s">
        <v>21338</v>
      </c>
      <c r="BF1822" t="str">
        <f>HYPERLINK("http://dx.doi.org/10.1108/JIMA-02-2017-0020","http://dx.doi.org/10.1108/JIMA-02-2017-0020")</f>
        <v>http://dx.doi.org/10.1108/JIMA-02-2017-0020</v>
      </c>
      <c r="BG1822" t="s">
        <v>74</v>
      </c>
      <c r="BH1822" t="s">
        <v>74</v>
      </c>
      <c r="BI1822">
        <v>18</v>
      </c>
      <c r="BJ1822" t="s">
        <v>418</v>
      </c>
      <c r="BK1822" t="s">
        <v>313</v>
      </c>
      <c r="BL1822" t="s">
        <v>100</v>
      </c>
      <c r="BM1822" t="s">
        <v>21337</v>
      </c>
      <c r="BN1822" t="s">
        <v>74</v>
      </c>
      <c r="BO1822" t="s">
        <v>74</v>
      </c>
      <c r="BP1822" t="s">
        <v>74</v>
      </c>
      <c r="BQ1822" t="s">
        <v>74</v>
      </c>
      <c r="BR1822" t="s">
        <v>102</v>
      </c>
      <c r="BS1822" t="s">
        <v>21336</v>
      </c>
      <c r="BT1822" t="str">
        <f>HYPERLINK("https%3A%2F%2Fwww.webofscience.com%2Fwos%2Fwoscc%2Ffull-record%2FWOS:000506256800009","View Full Record in Web of Science")</f>
        <v>View Full Record in Web of Science</v>
      </c>
    </row>
    <row r="1823" spans="1:72" x14ac:dyDescent="0.25">
      <c r="A1823" t="s">
        <v>72</v>
      </c>
      <c r="B1823" t="s">
        <v>21335</v>
      </c>
      <c r="C1823" t="s">
        <v>74</v>
      </c>
      <c r="D1823" t="s">
        <v>74</v>
      </c>
      <c r="E1823" t="s">
        <v>74</v>
      </c>
      <c r="F1823" t="s">
        <v>21334</v>
      </c>
      <c r="G1823" t="s">
        <v>74</v>
      </c>
      <c r="H1823" t="s">
        <v>74</v>
      </c>
      <c r="I1823" t="s">
        <v>21333</v>
      </c>
      <c r="J1823" t="s">
        <v>1510</v>
      </c>
      <c r="K1823" t="s">
        <v>74</v>
      </c>
      <c r="L1823" t="s">
        <v>74</v>
      </c>
      <c r="M1823" t="s">
        <v>78</v>
      </c>
      <c r="N1823" t="s">
        <v>79</v>
      </c>
      <c r="O1823" t="s">
        <v>74</v>
      </c>
      <c r="P1823" t="s">
        <v>74</v>
      </c>
      <c r="Q1823" t="s">
        <v>74</v>
      </c>
      <c r="R1823" t="s">
        <v>74</v>
      </c>
      <c r="S1823" t="s">
        <v>74</v>
      </c>
      <c r="T1823" t="s">
        <v>21332</v>
      </c>
      <c r="U1823" t="s">
        <v>21331</v>
      </c>
      <c r="V1823" t="s">
        <v>21330</v>
      </c>
      <c r="W1823" t="s">
        <v>21329</v>
      </c>
      <c r="X1823" t="s">
        <v>21328</v>
      </c>
      <c r="Y1823" t="s">
        <v>21327</v>
      </c>
      <c r="Z1823" t="s">
        <v>21326</v>
      </c>
      <c r="AA1823" t="s">
        <v>74</v>
      </c>
      <c r="AB1823" t="s">
        <v>21325</v>
      </c>
      <c r="AC1823" t="s">
        <v>74</v>
      </c>
      <c r="AD1823" t="s">
        <v>74</v>
      </c>
      <c r="AE1823" t="s">
        <v>74</v>
      </c>
      <c r="AF1823" t="s">
        <v>74</v>
      </c>
      <c r="AG1823">
        <v>97</v>
      </c>
      <c r="AH1823">
        <v>1</v>
      </c>
      <c r="AI1823">
        <v>2</v>
      </c>
      <c r="AJ1823">
        <v>0</v>
      </c>
      <c r="AK1823">
        <v>9</v>
      </c>
      <c r="AL1823" t="s">
        <v>89</v>
      </c>
      <c r="AM1823" t="s">
        <v>1497</v>
      </c>
      <c r="AN1823" t="s">
        <v>1498</v>
      </c>
      <c r="AO1823" t="s">
        <v>1519</v>
      </c>
      <c r="AP1823" t="s">
        <v>1520</v>
      </c>
      <c r="AQ1823" t="s">
        <v>74</v>
      </c>
      <c r="AR1823" t="s">
        <v>1521</v>
      </c>
      <c r="AS1823" t="s">
        <v>1522</v>
      </c>
      <c r="AT1823" t="s">
        <v>74</v>
      </c>
      <c r="AU1823">
        <v>2017</v>
      </c>
      <c r="AV1823">
        <v>44</v>
      </c>
      <c r="AW1823">
        <v>12</v>
      </c>
      <c r="AX1823" t="s">
        <v>74</v>
      </c>
      <c r="AY1823" t="s">
        <v>74</v>
      </c>
      <c r="AZ1823" t="s">
        <v>74</v>
      </c>
      <c r="BA1823" t="s">
        <v>74</v>
      </c>
      <c r="BB1823">
        <v>1973</v>
      </c>
      <c r="BC1823">
        <v>1987</v>
      </c>
      <c r="BD1823" t="s">
        <v>74</v>
      </c>
      <c r="BE1823" t="s">
        <v>21324</v>
      </c>
      <c r="BF1823" t="str">
        <f>HYPERLINK("http://dx.doi.org/10.1108/IJSE-05-2015-0117","http://dx.doi.org/10.1108/IJSE-05-2015-0117")</f>
        <v>http://dx.doi.org/10.1108/IJSE-05-2015-0117</v>
      </c>
      <c r="BG1823" t="s">
        <v>74</v>
      </c>
      <c r="BH1823" t="s">
        <v>74</v>
      </c>
      <c r="BI1823">
        <v>15</v>
      </c>
      <c r="BJ1823" t="s">
        <v>291</v>
      </c>
      <c r="BK1823" t="s">
        <v>313</v>
      </c>
      <c r="BL1823" t="s">
        <v>100</v>
      </c>
      <c r="BM1823" t="s">
        <v>21323</v>
      </c>
      <c r="BN1823" t="s">
        <v>74</v>
      </c>
      <c r="BO1823" t="s">
        <v>74</v>
      </c>
      <c r="BP1823" t="s">
        <v>74</v>
      </c>
      <c r="BQ1823" t="s">
        <v>74</v>
      </c>
      <c r="BR1823" t="s">
        <v>102</v>
      </c>
      <c r="BS1823" t="s">
        <v>21322</v>
      </c>
      <c r="BT1823" t="str">
        <f>HYPERLINK("https%3A%2F%2Fwww.webofscience.com%2Fwos%2Fwoscc%2Ffull-record%2FWOS:000415099000027","View Full Record in Web of Science")</f>
        <v>View Full Record in Web of Science</v>
      </c>
    </row>
    <row r="1824" spans="1:72" x14ac:dyDescent="0.25">
      <c r="A1824" t="s">
        <v>72</v>
      </c>
      <c r="B1824" t="s">
        <v>21321</v>
      </c>
      <c r="C1824" t="s">
        <v>74</v>
      </c>
      <c r="D1824" t="s">
        <v>74</v>
      </c>
      <c r="E1824" t="s">
        <v>74</v>
      </c>
      <c r="F1824" t="s">
        <v>21320</v>
      </c>
      <c r="G1824" t="s">
        <v>74</v>
      </c>
      <c r="H1824" t="s">
        <v>74</v>
      </c>
      <c r="I1824" t="s">
        <v>21319</v>
      </c>
      <c r="J1824" t="s">
        <v>12172</v>
      </c>
      <c r="K1824" t="s">
        <v>74</v>
      </c>
      <c r="L1824" t="s">
        <v>74</v>
      </c>
      <c r="M1824" t="s">
        <v>78</v>
      </c>
      <c r="N1824" t="s">
        <v>79</v>
      </c>
      <c r="O1824" t="s">
        <v>74</v>
      </c>
      <c r="P1824" t="s">
        <v>74</v>
      </c>
      <c r="Q1824" t="s">
        <v>74</v>
      </c>
      <c r="R1824" t="s">
        <v>74</v>
      </c>
      <c r="S1824" t="s">
        <v>74</v>
      </c>
      <c r="T1824" t="s">
        <v>21318</v>
      </c>
      <c r="U1824" t="s">
        <v>21317</v>
      </c>
      <c r="V1824" t="s">
        <v>21316</v>
      </c>
      <c r="W1824" t="s">
        <v>21315</v>
      </c>
      <c r="X1824" t="s">
        <v>21314</v>
      </c>
      <c r="Y1824" t="s">
        <v>21313</v>
      </c>
      <c r="Z1824" t="s">
        <v>74</v>
      </c>
      <c r="AA1824" t="s">
        <v>21312</v>
      </c>
      <c r="AB1824" t="s">
        <v>21311</v>
      </c>
      <c r="AC1824" t="s">
        <v>21310</v>
      </c>
      <c r="AD1824" t="s">
        <v>21309</v>
      </c>
      <c r="AE1824" t="s">
        <v>21308</v>
      </c>
      <c r="AF1824" t="s">
        <v>74</v>
      </c>
      <c r="AG1824">
        <v>61</v>
      </c>
      <c r="AH1824">
        <v>3</v>
      </c>
      <c r="AI1824">
        <v>5</v>
      </c>
      <c r="AJ1824">
        <v>5</v>
      </c>
      <c r="AK1824">
        <v>22</v>
      </c>
      <c r="AL1824" t="s">
        <v>757</v>
      </c>
      <c r="AM1824" t="s">
        <v>758</v>
      </c>
      <c r="AN1824" t="s">
        <v>759</v>
      </c>
      <c r="AO1824" t="s">
        <v>12179</v>
      </c>
      <c r="AP1824" t="s">
        <v>74</v>
      </c>
      <c r="AQ1824" t="s">
        <v>74</v>
      </c>
      <c r="AR1824" t="s">
        <v>12172</v>
      </c>
      <c r="AS1824" t="s">
        <v>12180</v>
      </c>
      <c r="AT1824" t="s">
        <v>1159</v>
      </c>
      <c r="AU1824">
        <v>2023</v>
      </c>
      <c r="AV1824">
        <v>13</v>
      </c>
      <c r="AW1824">
        <v>4</v>
      </c>
      <c r="AX1824" t="s">
        <v>74</v>
      </c>
      <c r="AY1824" t="s">
        <v>74</v>
      </c>
      <c r="AZ1824" t="s">
        <v>74</v>
      </c>
      <c r="BA1824" t="s">
        <v>74</v>
      </c>
      <c r="BB1824" t="s">
        <v>74</v>
      </c>
      <c r="BC1824" t="s">
        <v>74</v>
      </c>
      <c r="BD1824">
        <v>2.1582440231208928E+16</v>
      </c>
      <c r="BE1824" t="s">
        <v>21307</v>
      </c>
      <c r="BF1824" t="str">
        <f>HYPERLINK("http://dx.doi.org/10.1177/21582440231208927","http://dx.doi.org/10.1177/21582440231208927")</f>
        <v>http://dx.doi.org/10.1177/21582440231208927</v>
      </c>
      <c r="BG1824" t="s">
        <v>74</v>
      </c>
      <c r="BH1824" t="s">
        <v>74</v>
      </c>
      <c r="BI1824">
        <v>16</v>
      </c>
      <c r="BJ1824" t="s">
        <v>364</v>
      </c>
      <c r="BK1824" t="s">
        <v>99</v>
      </c>
      <c r="BL1824" t="s">
        <v>365</v>
      </c>
      <c r="BM1824" t="s">
        <v>21306</v>
      </c>
      <c r="BN1824" t="s">
        <v>74</v>
      </c>
      <c r="BO1824" t="s">
        <v>916</v>
      </c>
      <c r="BP1824" t="s">
        <v>74</v>
      </c>
      <c r="BQ1824" t="s">
        <v>74</v>
      </c>
      <c r="BR1824" t="s">
        <v>102</v>
      </c>
      <c r="BS1824" t="s">
        <v>21305</v>
      </c>
      <c r="BT1824" t="str">
        <f>HYPERLINK("https%3A%2F%2Fwww.webofscience.com%2Fwos%2Fwoscc%2Ffull-record%2FWOS:001109335900001","View Full Record in Web of Science")</f>
        <v>View Full Record in Web of Science</v>
      </c>
    </row>
    <row r="1825" spans="1:72" x14ac:dyDescent="0.25">
      <c r="A1825" t="s">
        <v>72</v>
      </c>
      <c r="B1825" t="s">
        <v>21304</v>
      </c>
      <c r="C1825" t="s">
        <v>74</v>
      </c>
      <c r="D1825" t="s">
        <v>74</v>
      </c>
      <c r="E1825" t="s">
        <v>74</v>
      </c>
      <c r="F1825" t="s">
        <v>21303</v>
      </c>
      <c r="G1825" t="s">
        <v>74</v>
      </c>
      <c r="H1825" t="s">
        <v>74</v>
      </c>
      <c r="I1825" t="s">
        <v>21302</v>
      </c>
      <c r="J1825" t="s">
        <v>3754</v>
      </c>
      <c r="K1825" t="s">
        <v>74</v>
      </c>
      <c r="L1825" t="s">
        <v>74</v>
      </c>
      <c r="M1825" t="s">
        <v>78</v>
      </c>
      <c r="N1825" t="s">
        <v>79</v>
      </c>
      <c r="O1825" t="s">
        <v>74</v>
      </c>
      <c r="P1825" t="s">
        <v>74</v>
      </c>
      <c r="Q1825" t="s">
        <v>74</v>
      </c>
      <c r="R1825" t="s">
        <v>74</v>
      </c>
      <c r="S1825" t="s">
        <v>74</v>
      </c>
      <c r="T1825" t="s">
        <v>21301</v>
      </c>
      <c r="U1825" t="s">
        <v>21300</v>
      </c>
      <c r="V1825" t="s">
        <v>21299</v>
      </c>
      <c r="W1825" t="s">
        <v>21298</v>
      </c>
      <c r="X1825" t="s">
        <v>21297</v>
      </c>
      <c r="Y1825" t="s">
        <v>21296</v>
      </c>
      <c r="Z1825" t="s">
        <v>21295</v>
      </c>
      <c r="AA1825" t="s">
        <v>74</v>
      </c>
      <c r="AB1825" t="s">
        <v>21294</v>
      </c>
      <c r="AC1825" t="s">
        <v>74</v>
      </c>
      <c r="AD1825" t="s">
        <v>74</v>
      </c>
      <c r="AE1825" t="s">
        <v>74</v>
      </c>
      <c r="AF1825" t="s">
        <v>74</v>
      </c>
      <c r="AG1825">
        <v>40</v>
      </c>
      <c r="AH1825">
        <v>38</v>
      </c>
      <c r="AI1825">
        <v>53</v>
      </c>
      <c r="AJ1825">
        <v>2</v>
      </c>
      <c r="AK1825">
        <v>35</v>
      </c>
      <c r="AL1825" t="s">
        <v>2597</v>
      </c>
      <c r="AM1825" t="s">
        <v>2598</v>
      </c>
      <c r="AN1825" t="s">
        <v>2599</v>
      </c>
      <c r="AO1825" t="s">
        <v>3763</v>
      </c>
      <c r="AP1825" t="s">
        <v>3764</v>
      </c>
      <c r="AQ1825" t="s">
        <v>74</v>
      </c>
      <c r="AR1825" t="s">
        <v>3765</v>
      </c>
      <c r="AS1825" t="s">
        <v>3766</v>
      </c>
      <c r="AT1825" t="s">
        <v>1159</v>
      </c>
      <c r="AU1825">
        <v>2016</v>
      </c>
      <c r="AV1825">
        <v>61</v>
      </c>
      <c r="AW1825">
        <v>4</v>
      </c>
      <c r="AX1825" t="s">
        <v>74</v>
      </c>
      <c r="AY1825" t="s">
        <v>74</v>
      </c>
      <c r="AZ1825" t="s">
        <v>74</v>
      </c>
      <c r="BA1825" t="s">
        <v>74</v>
      </c>
      <c r="BB1825">
        <v>305</v>
      </c>
      <c r="BC1825">
        <v>312</v>
      </c>
      <c r="BD1825" t="s">
        <v>74</v>
      </c>
      <c r="BE1825" t="s">
        <v>21293</v>
      </c>
      <c r="BF1825" t="str">
        <f>HYPERLINK("http://dx.doi.org/10.1093/sw/sww057","http://dx.doi.org/10.1093/sw/sww057")</f>
        <v>http://dx.doi.org/10.1093/sw/sww057</v>
      </c>
      <c r="BG1825" t="s">
        <v>74</v>
      </c>
      <c r="BH1825" t="s">
        <v>74</v>
      </c>
      <c r="BI1825">
        <v>8</v>
      </c>
      <c r="BJ1825" t="s">
        <v>2045</v>
      </c>
      <c r="BK1825" t="s">
        <v>99</v>
      </c>
      <c r="BL1825" t="s">
        <v>2045</v>
      </c>
      <c r="BM1825" t="s">
        <v>20434</v>
      </c>
      <c r="BN1825">
        <v>29664257</v>
      </c>
      <c r="BO1825" t="s">
        <v>74</v>
      </c>
      <c r="BP1825" t="s">
        <v>74</v>
      </c>
      <c r="BQ1825" t="s">
        <v>74</v>
      </c>
      <c r="BR1825" t="s">
        <v>102</v>
      </c>
      <c r="BS1825" t="s">
        <v>21292</v>
      </c>
      <c r="BT1825" t="str">
        <f>HYPERLINK("https%3A%2F%2Fwww.webofscience.com%2Fwos%2Fwoscc%2Ffull-record%2FWOS:000387901600003","View Full Record in Web of Science")</f>
        <v>View Full Record in Web of Science</v>
      </c>
    </row>
    <row r="1826" spans="1:72" x14ac:dyDescent="0.25">
      <c r="A1826" t="s">
        <v>72</v>
      </c>
      <c r="B1826" t="s">
        <v>21291</v>
      </c>
      <c r="C1826" t="s">
        <v>74</v>
      </c>
      <c r="D1826" t="s">
        <v>74</v>
      </c>
      <c r="E1826" t="s">
        <v>74</v>
      </c>
      <c r="F1826" t="s">
        <v>21290</v>
      </c>
      <c r="G1826" t="s">
        <v>74</v>
      </c>
      <c r="H1826" t="s">
        <v>74</v>
      </c>
      <c r="I1826" t="s">
        <v>21289</v>
      </c>
      <c r="J1826" t="s">
        <v>16325</v>
      </c>
      <c r="K1826" t="s">
        <v>74</v>
      </c>
      <c r="L1826" t="s">
        <v>74</v>
      </c>
      <c r="M1826" t="s">
        <v>78</v>
      </c>
      <c r="N1826" t="s">
        <v>79</v>
      </c>
      <c r="O1826" t="s">
        <v>74</v>
      </c>
      <c r="P1826" t="s">
        <v>74</v>
      </c>
      <c r="Q1826" t="s">
        <v>74</v>
      </c>
      <c r="R1826" t="s">
        <v>74</v>
      </c>
      <c r="S1826" t="s">
        <v>74</v>
      </c>
      <c r="T1826" t="s">
        <v>21288</v>
      </c>
      <c r="U1826" t="s">
        <v>21287</v>
      </c>
      <c r="V1826" t="s">
        <v>21286</v>
      </c>
      <c r="W1826" t="s">
        <v>21285</v>
      </c>
      <c r="X1826" t="s">
        <v>74</v>
      </c>
      <c r="Y1826" t="s">
        <v>21284</v>
      </c>
      <c r="Z1826" t="s">
        <v>21283</v>
      </c>
      <c r="AA1826" t="s">
        <v>74</v>
      </c>
      <c r="AB1826" t="s">
        <v>74</v>
      </c>
      <c r="AC1826" t="s">
        <v>74</v>
      </c>
      <c r="AD1826" t="s">
        <v>74</v>
      </c>
      <c r="AE1826" t="s">
        <v>74</v>
      </c>
      <c r="AF1826" t="s">
        <v>74</v>
      </c>
      <c r="AG1826">
        <v>44</v>
      </c>
      <c r="AH1826">
        <v>0</v>
      </c>
      <c r="AI1826">
        <v>0</v>
      </c>
      <c r="AJ1826">
        <v>1</v>
      </c>
      <c r="AK1826">
        <v>1</v>
      </c>
      <c r="AL1826" t="s">
        <v>16335</v>
      </c>
      <c r="AM1826" t="s">
        <v>16336</v>
      </c>
      <c r="AN1826" t="s">
        <v>16337</v>
      </c>
      <c r="AO1826" t="s">
        <v>16338</v>
      </c>
      <c r="AP1826" t="s">
        <v>16339</v>
      </c>
      <c r="AQ1826" t="s">
        <v>74</v>
      </c>
      <c r="AR1826" t="s">
        <v>16340</v>
      </c>
      <c r="AS1826" t="s">
        <v>16341</v>
      </c>
      <c r="AT1826" t="s">
        <v>289</v>
      </c>
      <c r="AU1826">
        <v>2025</v>
      </c>
      <c r="AV1826">
        <v>9</v>
      </c>
      <c r="AW1826">
        <v>1</v>
      </c>
      <c r="AX1826" t="s">
        <v>74</v>
      </c>
      <c r="AY1826" t="s">
        <v>74</v>
      </c>
      <c r="AZ1826" t="s">
        <v>74</v>
      </c>
      <c r="BA1826" t="s">
        <v>74</v>
      </c>
      <c r="BB1826">
        <v>52</v>
      </c>
      <c r="BC1826">
        <v>65</v>
      </c>
      <c r="BD1826" t="s">
        <v>74</v>
      </c>
      <c r="BE1826" t="s">
        <v>21282</v>
      </c>
      <c r="BF1826" t="str">
        <f>HYPERLINK("http://dx.doi.org/10.20448/ijsam.v9i1.7259","http://dx.doi.org/10.20448/ijsam.v9i1.7259")</f>
        <v>http://dx.doi.org/10.20448/ijsam.v9i1.7259</v>
      </c>
      <c r="BG1826" t="s">
        <v>74</v>
      </c>
      <c r="BH1826" t="s">
        <v>74</v>
      </c>
      <c r="BI1826">
        <v>14</v>
      </c>
      <c r="BJ1826" t="s">
        <v>4632</v>
      </c>
      <c r="BK1826" t="s">
        <v>313</v>
      </c>
      <c r="BL1826" t="s">
        <v>100</v>
      </c>
      <c r="BM1826" t="s">
        <v>21281</v>
      </c>
      <c r="BN1826" t="s">
        <v>74</v>
      </c>
      <c r="BO1826" t="s">
        <v>212</v>
      </c>
      <c r="BP1826" t="s">
        <v>74</v>
      </c>
      <c r="BQ1826" t="s">
        <v>74</v>
      </c>
      <c r="BR1826" t="s">
        <v>102</v>
      </c>
      <c r="BS1826" t="s">
        <v>21280</v>
      </c>
      <c r="BT1826" t="str">
        <f>HYPERLINK("https%3A%2F%2Fwww.webofscience.com%2Fwos%2Fwoscc%2Ffull-record%2FWOS:001604218900005","View Full Record in Web of Science")</f>
        <v>View Full Record in Web of Science</v>
      </c>
    </row>
    <row r="1827" spans="1:72" x14ac:dyDescent="0.25">
      <c r="A1827" t="s">
        <v>72</v>
      </c>
      <c r="B1827" t="s">
        <v>21279</v>
      </c>
      <c r="C1827" t="s">
        <v>74</v>
      </c>
      <c r="D1827" t="s">
        <v>74</v>
      </c>
      <c r="E1827" t="s">
        <v>74</v>
      </c>
      <c r="F1827" t="s">
        <v>21278</v>
      </c>
      <c r="G1827" t="s">
        <v>74</v>
      </c>
      <c r="H1827" t="s">
        <v>74</v>
      </c>
      <c r="I1827" t="s">
        <v>21277</v>
      </c>
      <c r="J1827" t="s">
        <v>13800</v>
      </c>
      <c r="K1827" t="s">
        <v>74</v>
      </c>
      <c r="L1827" t="s">
        <v>74</v>
      </c>
      <c r="M1827" t="s">
        <v>78</v>
      </c>
      <c r="N1827" t="s">
        <v>79</v>
      </c>
      <c r="O1827" t="s">
        <v>74</v>
      </c>
      <c r="P1827" t="s">
        <v>74</v>
      </c>
      <c r="Q1827" t="s">
        <v>74</v>
      </c>
      <c r="R1827" t="s">
        <v>74</v>
      </c>
      <c r="S1827" t="s">
        <v>74</v>
      </c>
      <c r="T1827" t="s">
        <v>21276</v>
      </c>
      <c r="U1827" t="s">
        <v>21275</v>
      </c>
      <c r="V1827" t="s">
        <v>21274</v>
      </c>
      <c r="W1827" t="s">
        <v>21273</v>
      </c>
      <c r="X1827" t="s">
        <v>4129</v>
      </c>
      <c r="Y1827" t="s">
        <v>21272</v>
      </c>
      <c r="Z1827" t="s">
        <v>21271</v>
      </c>
      <c r="AA1827" t="s">
        <v>74</v>
      </c>
      <c r="AB1827" t="s">
        <v>21270</v>
      </c>
      <c r="AC1827" t="s">
        <v>74</v>
      </c>
      <c r="AD1827" t="s">
        <v>74</v>
      </c>
      <c r="AE1827" t="s">
        <v>74</v>
      </c>
      <c r="AF1827" t="s">
        <v>74</v>
      </c>
      <c r="AG1827">
        <v>98</v>
      </c>
      <c r="AH1827">
        <v>16</v>
      </c>
      <c r="AI1827">
        <v>24</v>
      </c>
      <c r="AJ1827">
        <v>6</v>
      </c>
      <c r="AK1827">
        <v>31</v>
      </c>
      <c r="AL1827" t="s">
        <v>89</v>
      </c>
      <c r="AM1827" t="s">
        <v>90</v>
      </c>
      <c r="AN1827" t="s">
        <v>91</v>
      </c>
      <c r="AO1827" t="s">
        <v>13808</v>
      </c>
      <c r="AP1827" t="s">
        <v>13809</v>
      </c>
      <c r="AQ1827" t="s">
        <v>74</v>
      </c>
      <c r="AR1827" t="s">
        <v>13810</v>
      </c>
      <c r="AS1827" t="s">
        <v>13811</v>
      </c>
      <c r="AT1827" t="s">
        <v>14190</v>
      </c>
      <c r="AU1827">
        <v>2023</v>
      </c>
      <c r="AV1827">
        <v>38</v>
      </c>
      <c r="AW1827">
        <v>4</v>
      </c>
      <c r="AX1827" t="s">
        <v>74</v>
      </c>
      <c r="AY1827" t="s">
        <v>74</v>
      </c>
      <c r="AZ1827" t="s">
        <v>74</v>
      </c>
      <c r="BA1827" t="s">
        <v>74</v>
      </c>
      <c r="BB1827">
        <v>561</v>
      </c>
      <c r="BC1827">
        <v>580</v>
      </c>
      <c r="BD1827" t="s">
        <v>74</v>
      </c>
      <c r="BE1827" t="s">
        <v>21269</v>
      </c>
      <c r="BF1827" t="str">
        <f>HYPERLINK("http://dx.doi.org/10.1108/GM-04-2022-0125","http://dx.doi.org/10.1108/GM-04-2022-0125")</f>
        <v>http://dx.doi.org/10.1108/GM-04-2022-0125</v>
      </c>
      <c r="BG1827" t="s">
        <v>74</v>
      </c>
      <c r="BH1827" t="s">
        <v>9145</v>
      </c>
      <c r="BI1827">
        <v>20</v>
      </c>
      <c r="BJ1827" t="s">
        <v>13813</v>
      </c>
      <c r="BK1827" t="s">
        <v>99</v>
      </c>
      <c r="BL1827" t="s">
        <v>13814</v>
      </c>
      <c r="BM1827" t="s">
        <v>21268</v>
      </c>
      <c r="BN1827" t="s">
        <v>74</v>
      </c>
      <c r="BO1827" t="s">
        <v>74</v>
      </c>
      <c r="BP1827" t="s">
        <v>74</v>
      </c>
      <c r="BQ1827" t="s">
        <v>74</v>
      </c>
      <c r="BR1827" t="s">
        <v>102</v>
      </c>
      <c r="BS1827" t="s">
        <v>21267</v>
      </c>
      <c r="BT1827" t="str">
        <f>HYPERLINK("https%3A%2F%2Fwww.webofscience.com%2Fwos%2Fwoscc%2Ffull-record%2FWOS:000938266200001","View Full Record in Web of Science")</f>
        <v>View Full Record in Web of Science</v>
      </c>
    </row>
    <row r="1828" spans="1:72" x14ac:dyDescent="0.25">
      <c r="A1828" t="s">
        <v>72</v>
      </c>
      <c r="B1828" t="s">
        <v>21266</v>
      </c>
      <c r="C1828" t="s">
        <v>74</v>
      </c>
      <c r="D1828" t="s">
        <v>74</v>
      </c>
      <c r="E1828" t="s">
        <v>74</v>
      </c>
      <c r="F1828" t="s">
        <v>21265</v>
      </c>
      <c r="G1828" t="s">
        <v>74</v>
      </c>
      <c r="H1828" t="s">
        <v>74</v>
      </c>
      <c r="I1828" t="s">
        <v>21264</v>
      </c>
      <c r="J1828" t="s">
        <v>2264</v>
      </c>
      <c r="K1828" t="s">
        <v>74</v>
      </c>
      <c r="L1828" t="s">
        <v>74</v>
      </c>
      <c r="M1828" t="s">
        <v>78</v>
      </c>
      <c r="N1828" t="s">
        <v>79</v>
      </c>
      <c r="O1828" t="s">
        <v>74</v>
      </c>
      <c r="P1828" t="s">
        <v>74</v>
      </c>
      <c r="Q1828" t="s">
        <v>74</v>
      </c>
      <c r="R1828" t="s">
        <v>74</v>
      </c>
      <c r="S1828" t="s">
        <v>74</v>
      </c>
      <c r="T1828" t="s">
        <v>21263</v>
      </c>
      <c r="U1828" t="s">
        <v>74</v>
      </c>
      <c r="V1828" t="s">
        <v>21262</v>
      </c>
      <c r="W1828" t="s">
        <v>21261</v>
      </c>
      <c r="X1828" t="s">
        <v>21260</v>
      </c>
      <c r="Y1828" t="s">
        <v>21259</v>
      </c>
      <c r="Z1828" t="s">
        <v>21258</v>
      </c>
      <c r="AA1828" t="s">
        <v>74</v>
      </c>
      <c r="AB1828" t="s">
        <v>21257</v>
      </c>
      <c r="AC1828" t="s">
        <v>74</v>
      </c>
      <c r="AD1828" t="s">
        <v>74</v>
      </c>
      <c r="AE1828" t="s">
        <v>74</v>
      </c>
      <c r="AF1828" t="s">
        <v>74</v>
      </c>
      <c r="AG1828">
        <v>109</v>
      </c>
      <c r="AH1828">
        <v>41</v>
      </c>
      <c r="AI1828">
        <v>60</v>
      </c>
      <c r="AJ1828">
        <v>14</v>
      </c>
      <c r="AK1828">
        <v>154</v>
      </c>
      <c r="AL1828" t="s">
        <v>117</v>
      </c>
      <c r="AM1828" t="s">
        <v>118</v>
      </c>
      <c r="AN1828" t="s">
        <v>119</v>
      </c>
      <c r="AO1828" t="s">
        <v>2276</v>
      </c>
      <c r="AP1828" t="s">
        <v>2277</v>
      </c>
      <c r="AQ1828" t="s">
        <v>74</v>
      </c>
      <c r="AR1828" t="s">
        <v>2278</v>
      </c>
      <c r="AS1828" t="s">
        <v>2279</v>
      </c>
      <c r="AT1828" t="s">
        <v>124</v>
      </c>
      <c r="AU1828">
        <v>2020</v>
      </c>
      <c r="AV1828">
        <v>21</v>
      </c>
      <c r="AW1828">
        <v>4</v>
      </c>
      <c r="AX1828" t="s">
        <v>74</v>
      </c>
      <c r="AY1828" t="s">
        <v>74</v>
      </c>
      <c r="AZ1828" t="s">
        <v>74</v>
      </c>
      <c r="BA1828" t="s">
        <v>74</v>
      </c>
      <c r="BB1828">
        <v>731</v>
      </c>
      <c r="BC1828">
        <v>757</v>
      </c>
      <c r="BD1828" t="s">
        <v>74</v>
      </c>
      <c r="BE1828" t="s">
        <v>21256</v>
      </c>
      <c r="BF1828" t="str">
        <f>HYPERLINK("http://dx.doi.org/10.1007/s40804-020-00200-0","http://dx.doi.org/10.1007/s40804-020-00200-0")</f>
        <v>http://dx.doi.org/10.1007/s40804-020-00200-0</v>
      </c>
      <c r="BG1828" t="s">
        <v>74</v>
      </c>
      <c r="BH1828" t="s">
        <v>14147</v>
      </c>
      <c r="BI1828">
        <v>27</v>
      </c>
      <c r="BJ1828" t="s">
        <v>2281</v>
      </c>
      <c r="BK1828" t="s">
        <v>99</v>
      </c>
      <c r="BL1828" t="s">
        <v>2282</v>
      </c>
      <c r="BM1828" t="s">
        <v>21255</v>
      </c>
      <c r="BN1828" t="s">
        <v>74</v>
      </c>
      <c r="BO1828" t="s">
        <v>466</v>
      </c>
      <c r="BP1828" t="s">
        <v>74</v>
      </c>
      <c r="BQ1828" t="s">
        <v>74</v>
      </c>
      <c r="BR1828" t="s">
        <v>102</v>
      </c>
      <c r="BS1828" t="s">
        <v>21254</v>
      </c>
      <c r="BT1828" t="str">
        <f>HYPERLINK("https%3A%2F%2Fwww.webofscience.com%2Fwos%2Fwoscc%2Ffull-record%2FWOS:000590999000001","View Full Record in Web of Science")</f>
        <v>View Full Record in Web of Science</v>
      </c>
    </row>
    <row r="1829" spans="1:72" x14ac:dyDescent="0.25">
      <c r="A1829" t="s">
        <v>72</v>
      </c>
      <c r="B1829" t="s">
        <v>21253</v>
      </c>
      <c r="C1829" t="s">
        <v>74</v>
      </c>
      <c r="D1829" t="s">
        <v>74</v>
      </c>
      <c r="E1829" t="s">
        <v>74</v>
      </c>
      <c r="F1829" t="s">
        <v>21252</v>
      </c>
      <c r="G1829" t="s">
        <v>74</v>
      </c>
      <c r="H1829" t="s">
        <v>74</v>
      </c>
      <c r="I1829" t="s">
        <v>21251</v>
      </c>
      <c r="J1829" t="s">
        <v>7220</v>
      </c>
      <c r="K1829" t="s">
        <v>74</v>
      </c>
      <c r="L1829" t="s">
        <v>74</v>
      </c>
      <c r="M1829" t="s">
        <v>78</v>
      </c>
      <c r="N1829" t="s">
        <v>372</v>
      </c>
      <c r="O1829" t="s">
        <v>74</v>
      </c>
      <c r="P1829" t="s">
        <v>74</v>
      </c>
      <c r="Q1829" t="s">
        <v>74</v>
      </c>
      <c r="R1829" t="s">
        <v>74</v>
      </c>
      <c r="S1829" t="s">
        <v>74</v>
      </c>
      <c r="T1829" t="s">
        <v>21250</v>
      </c>
      <c r="U1829" t="s">
        <v>74</v>
      </c>
      <c r="V1829" t="s">
        <v>21249</v>
      </c>
      <c r="W1829" t="s">
        <v>21248</v>
      </c>
      <c r="X1829" t="s">
        <v>1515</v>
      </c>
      <c r="Y1829" t="s">
        <v>21247</v>
      </c>
      <c r="Z1829" t="s">
        <v>21246</v>
      </c>
      <c r="AA1829" t="s">
        <v>74</v>
      </c>
      <c r="AB1829" t="s">
        <v>21245</v>
      </c>
      <c r="AC1829" t="s">
        <v>74</v>
      </c>
      <c r="AD1829" t="s">
        <v>74</v>
      </c>
      <c r="AE1829" t="s">
        <v>74</v>
      </c>
      <c r="AF1829" t="s">
        <v>74</v>
      </c>
      <c r="AG1829">
        <v>64</v>
      </c>
      <c r="AH1829">
        <v>2</v>
      </c>
      <c r="AI1829">
        <v>3</v>
      </c>
      <c r="AJ1829">
        <v>2</v>
      </c>
      <c r="AK1829">
        <v>5</v>
      </c>
      <c r="AL1829" t="s">
        <v>89</v>
      </c>
      <c r="AM1829" t="s">
        <v>90</v>
      </c>
      <c r="AN1829" t="s">
        <v>91</v>
      </c>
      <c r="AO1829" t="s">
        <v>7230</v>
      </c>
      <c r="AP1829" t="s">
        <v>7231</v>
      </c>
      <c r="AQ1829" t="s">
        <v>74</v>
      </c>
      <c r="AR1829" t="s">
        <v>7232</v>
      </c>
      <c r="AS1829" t="s">
        <v>7233</v>
      </c>
      <c r="AT1829" t="s">
        <v>21244</v>
      </c>
      <c r="AU1829">
        <v>2025</v>
      </c>
      <c r="AV1829" t="s">
        <v>74</v>
      </c>
      <c r="AW1829" t="s">
        <v>74</v>
      </c>
      <c r="AX1829" t="s">
        <v>74</v>
      </c>
      <c r="AY1829" t="s">
        <v>74</v>
      </c>
      <c r="AZ1829" t="s">
        <v>74</v>
      </c>
      <c r="BA1829" t="s">
        <v>74</v>
      </c>
      <c r="BB1829" t="s">
        <v>74</v>
      </c>
      <c r="BC1829" t="s">
        <v>74</v>
      </c>
      <c r="BD1829" t="s">
        <v>74</v>
      </c>
      <c r="BE1829" t="s">
        <v>21243</v>
      </c>
      <c r="BF1829" t="str">
        <f>HYPERLINK("http://dx.doi.org/10.1108/JEAS-10-2024-0402","http://dx.doi.org/10.1108/JEAS-10-2024-0402")</f>
        <v>http://dx.doi.org/10.1108/JEAS-10-2024-0402</v>
      </c>
      <c r="BG1829" t="s">
        <v>74</v>
      </c>
      <c r="BH1829" t="s">
        <v>2359</v>
      </c>
      <c r="BI1829">
        <v>21</v>
      </c>
      <c r="BJ1829" t="s">
        <v>291</v>
      </c>
      <c r="BK1829" t="s">
        <v>313</v>
      </c>
      <c r="BL1829" t="s">
        <v>100</v>
      </c>
      <c r="BM1829" t="s">
        <v>21242</v>
      </c>
      <c r="BN1829" t="s">
        <v>74</v>
      </c>
      <c r="BO1829" t="s">
        <v>74</v>
      </c>
      <c r="BP1829" t="s">
        <v>74</v>
      </c>
      <c r="BQ1829" t="s">
        <v>74</v>
      </c>
      <c r="BR1829" t="s">
        <v>102</v>
      </c>
      <c r="BS1829" t="s">
        <v>21241</v>
      </c>
      <c r="BT1829" t="str">
        <f>HYPERLINK("https%3A%2F%2Fwww.webofscience.com%2Fwos%2Fwoscc%2Ffull-record%2FWOS:001490856500001","View Full Record in Web of Science")</f>
        <v>View Full Record in Web of Science</v>
      </c>
    </row>
    <row r="1830" spans="1:72" x14ac:dyDescent="0.25">
      <c r="A1830" t="s">
        <v>132</v>
      </c>
      <c r="B1830" t="s">
        <v>21240</v>
      </c>
      <c r="C1830" t="s">
        <v>21238</v>
      </c>
      <c r="D1830" t="s">
        <v>74</v>
      </c>
      <c r="E1830" t="s">
        <v>74</v>
      </c>
      <c r="F1830" t="s">
        <v>21239</v>
      </c>
      <c r="G1830" t="s">
        <v>21238</v>
      </c>
      <c r="H1830" t="s">
        <v>74</v>
      </c>
      <c r="I1830" t="s">
        <v>21237</v>
      </c>
      <c r="J1830" t="s">
        <v>21236</v>
      </c>
      <c r="K1830" t="s">
        <v>2425</v>
      </c>
      <c r="L1830" t="s">
        <v>74</v>
      </c>
      <c r="M1830" t="s">
        <v>78</v>
      </c>
      <c r="N1830" t="s">
        <v>138</v>
      </c>
      <c r="O1830" t="s">
        <v>21235</v>
      </c>
      <c r="P1830" t="s">
        <v>21234</v>
      </c>
      <c r="Q1830" t="s">
        <v>21233</v>
      </c>
      <c r="R1830" t="s">
        <v>74</v>
      </c>
      <c r="S1830" t="s">
        <v>74</v>
      </c>
      <c r="T1830" t="s">
        <v>21232</v>
      </c>
      <c r="U1830" t="s">
        <v>74</v>
      </c>
      <c r="V1830" t="s">
        <v>21231</v>
      </c>
      <c r="W1830" t="s">
        <v>21230</v>
      </c>
      <c r="X1830" t="s">
        <v>15746</v>
      </c>
      <c r="Y1830" t="s">
        <v>21229</v>
      </c>
      <c r="Z1830" t="s">
        <v>21228</v>
      </c>
      <c r="AA1830" t="s">
        <v>74</v>
      </c>
      <c r="AB1830" t="s">
        <v>21227</v>
      </c>
      <c r="AC1830" t="s">
        <v>74</v>
      </c>
      <c r="AD1830" t="s">
        <v>74</v>
      </c>
      <c r="AE1830" t="s">
        <v>74</v>
      </c>
      <c r="AF1830" t="s">
        <v>74</v>
      </c>
      <c r="AG1830">
        <v>24</v>
      </c>
      <c r="AH1830">
        <v>49</v>
      </c>
      <c r="AI1830">
        <v>74</v>
      </c>
      <c r="AJ1830">
        <v>0</v>
      </c>
      <c r="AK1830">
        <v>11</v>
      </c>
      <c r="AL1830" t="s">
        <v>3807</v>
      </c>
      <c r="AM1830" t="s">
        <v>3098</v>
      </c>
      <c r="AN1830" t="s">
        <v>3808</v>
      </c>
      <c r="AO1830" t="s">
        <v>2437</v>
      </c>
      <c r="AP1830" t="s">
        <v>74</v>
      </c>
      <c r="AQ1830" t="s">
        <v>21226</v>
      </c>
      <c r="AR1830" t="s">
        <v>2440</v>
      </c>
      <c r="AS1830" t="s">
        <v>74</v>
      </c>
      <c r="AT1830" t="s">
        <v>74</v>
      </c>
      <c r="AU1830">
        <v>2009</v>
      </c>
      <c r="AV1830">
        <v>5623</v>
      </c>
      <c r="AW1830" t="s">
        <v>74</v>
      </c>
      <c r="AX1830" t="s">
        <v>74</v>
      </c>
      <c r="AY1830" t="s">
        <v>74</v>
      </c>
      <c r="AZ1830" t="s">
        <v>74</v>
      </c>
      <c r="BA1830" t="s">
        <v>74</v>
      </c>
      <c r="BB1830">
        <v>485</v>
      </c>
      <c r="BC1830">
        <v>494</v>
      </c>
      <c r="BD1830" t="s">
        <v>74</v>
      </c>
      <c r="BE1830" t="s">
        <v>74</v>
      </c>
      <c r="BF1830" t="s">
        <v>74</v>
      </c>
      <c r="BG1830" t="s">
        <v>74</v>
      </c>
      <c r="BH1830" t="s">
        <v>74</v>
      </c>
      <c r="BI1830">
        <v>10</v>
      </c>
      <c r="BJ1830" t="s">
        <v>1803</v>
      </c>
      <c r="BK1830" t="s">
        <v>156</v>
      </c>
      <c r="BL1830" t="s">
        <v>157</v>
      </c>
      <c r="BM1830" t="s">
        <v>21225</v>
      </c>
      <c r="BN1830" t="s">
        <v>74</v>
      </c>
      <c r="BO1830" t="s">
        <v>74</v>
      </c>
      <c r="BP1830" t="s">
        <v>74</v>
      </c>
      <c r="BQ1830" t="s">
        <v>74</v>
      </c>
      <c r="BR1830" t="s">
        <v>102</v>
      </c>
      <c r="BS1830" t="s">
        <v>21224</v>
      </c>
      <c r="BT1830" t="str">
        <f>HYPERLINK("https%3A%2F%2Fwww.webofscience.com%2Fwos%2Fwoscc%2Ffull-record%2FWOS:000269191600054","View Full Record in Web of Science")</f>
        <v>View Full Record in Web of Science</v>
      </c>
    </row>
    <row r="1831" spans="1:72" x14ac:dyDescent="0.25">
      <c r="A1831" t="s">
        <v>72</v>
      </c>
      <c r="B1831" t="s">
        <v>19752</v>
      </c>
      <c r="C1831" t="s">
        <v>74</v>
      </c>
      <c r="D1831" t="s">
        <v>74</v>
      </c>
      <c r="E1831" t="s">
        <v>74</v>
      </c>
      <c r="F1831" t="s">
        <v>19751</v>
      </c>
      <c r="G1831" t="s">
        <v>74</v>
      </c>
      <c r="H1831" t="s">
        <v>74</v>
      </c>
      <c r="I1831" t="s">
        <v>21223</v>
      </c>
      <c r="J1831" t="s">
        <v>19749</v>
      </c>
      <c r="K1831" t="s">
        <v>74</v>
      </c>
      <c r="L1831" t="s">
        <v>74</v>
      </c>
      <c r="M1831" t="s">
        <v>78</v>
      </c>
      <c r="N1831" t="s">
        <v>79</v>
      </c>
      <c r="O1831" t="s">
        <v>74</v>
      </c>
      <c r="P1831" t="s">
        <v>74</v>
      </c>
      <c r="Q1831" t="s">
        <v>74</v>
      </c>
      <c r="R1831" t="s">
        <v>74</v>
      </c>
      <c r="S1831" t="s">
        <v>74</v>
      </c>
      <c r="T1831" t="s">
        <v>21222</v>
      </c>
      <c r="U1831" t="s">
        <v>21221</v>
      </c>
      <c r="V1831" t="s">
        <v>21220</v>
      </c>
      <c r="W1831" t="s">
        <v>21219</v>
      </c>
      <c r="X1831" t="s">
        <v>21218</v>
      </c>
      <c r="Y1831" t="s">
        <v>21217</v>
      </c>
      <c r="Z1831" t="s">
        <v>21216</v>
      </c>
      <c r="AA1831" t="s">
        <v>74</v>
      </c>
      <c r="AB1831" t="s">
        <v>74</v>
      </c>
      <c r="AC1831" t="s">
        <v>74</v>
      </c>
      <c r="AD1831" t="s">
        <v>74</v>
      </c>
      <c r="AE1831" t="s">
        <v>74</v>
      </c>
      <c r="AF1831" t="s">
        <v>74</v>
      </c>
      <c r="AG1831">
        <v>40</v>
      </c>
      <c r="AH1831">
        <v>84</v>
      </c>
      <c r="AI1831">
        <v>127</v>
      </c>
      <c r="AJ1831">
        <v>1</v>
      </c>
      <c r="AK1831">
        <v>70</v>
      </c>
      <c r="AL1831" t="s">
        <v>2551</v>
      </c>
      <c r="AM1831" t="s">
        <v>231</v>
      </c>
      <c r="AN1831" t="s">
        <v>2552</v>
      </c>
      <c r="AO1831" t="s">
        <v>19748</v>
      </c>
      <c r="AP1831" t="s">
        <v>19747</v>
      </c>
      <c r="AQ1831" t="s">
        <v>74</v>
      </c>
      <c r="AR1831" t="s">
        <v>19746</v>
      </c>
      <c r="AS1831" t="s">
        <v>19745</v>
      </c>
      <c r="AT1831" t="s">
        <v>891</v>
      </c>
      <c r="AU1831">
        <v>2013</v>
      </c>
      <c r="AV1831">
        <v>37</v>
      </c>
      <c r="AW1831">
        <v>6</v>
      </c>
      <c r="AX1831" t="s">
        <v>74</v>
      </c>
      <c r="AY1831" t="s">
        <v>74</v>
      </c>
      <c r="AZ1831" t="s">
        <v>74</v>
      </c>
      <c r="BA1831" t="s">
        <v>74</v>
      </c>
      <c r="BB1831">
        <v>1203</v>
      </c>
      <c r="BC1831">
        <v>1219</v>
      </c>
      <c r="BD1831" t="s">
        <v>74</v>
      </c>
      <c r="BE1831" t="s">
        <v>21215</v>
      </c>
      <c r="BF1831" t="str">
        <f>HYPERLINK("http://dx.doi.org/10.1093/cje/bet042","http://dx.doi.org/10.1093/cje/bet042")</f>
        <v>http://dx.doi.org/10.1093/cje/bet042</v>
      </c>
      <c r="BG1831" t="s">
        <v>74</v>
      </c>
      <c r="BH1831" t="s">
        <v>74</v>
      </c>
      <c r="BI1831">
        <v>17</v>
      </c>
      <c r="BJ1831" t="s">
        <v>291</v>
      </c>
      <c r="BK1831" t="s">
        <v>99</v>
      </c>
      <c r="BL1831" t="s">
        <v>100</v>
      </c>
      <c r="BM1831" t="s">
        <v>21214</v>
      </c>
      <c r="BN1831" t="s">
        <v>74</v>
      </c>
      <c r="BO1831" t="s">
        <v>74</v>
      </c>
      <c r="BP1831" t="s">
        <v>74</v>
      </c>
      <c r="BQ1831" t="s">
        <v>74</v>
      </c>
      <c r="BR1831" t="s">
        <v>102</v>
      </c>
      <c r="BS1831" t="s">
        <v>21213</v>
      </c>
      <c r="BT1831" t="str">
        <f>HYPERLINK("https%3A%2F%2Fwww.webofscience.com%2Fwos%2Fwoscc%2Ffull-record%2FWOS:000326644200001","View Full Record in Web of Science")</f>
        <v>View Full Record in Web of Science</v>
      </c>
    </row>
    <row r="1832" spans="1:72" x14ac:dyDescent="0.25">
      <c r="A1832" t="s">
        <v>72</v>
      </c>
      <c r="B1832" t="s">
        <v>21212</v>
      </c>
      <c r="C1832" t="s">
        <v>74</v>
      </c>
      <c r="D1832" t="s">
        <v>74</v>
      </c>
      <c r="E1832" t="s">
        <v>74</v>
      </c>
      <c r="F1832" t="s">
        <v>21211</v>
      </c>
      <c r="G1832" t="s">
        <v>74</v>
      </c>
      <c r="H1832" t="s">
        <v>74</v>
      </c>
      <c r="I1832" t="s">
        <v>21210</v>
      </c>
      <c r="J1832" t="s">
        <v>19892</v>
      </c>
      <c r="K1832" t="s">
        <v>74</v>
      </c>
      <c r="L1832" t="s">
        <v>74</v>
      </c>
      <c r="M1832" t="s">
        <v>78</v>
      </c>
      <c r="N1832" t="s">
        <v>79</v>
      </c>
      <c r="O1832" t="s">
        <v>74</v>
      </c>
      <c r="P1832" t="s">
        <v>74</v>
      </c>
      <c r="Q1832" t="s">
        <v>74</v>
      </c>
      <c r="R1832" t="s">
        <v>74</v>
      </c>
      <c r="S1832" t="s">
        <v>74</v>
      </c>
      <c r="T1832" t="s">
        <v>21209</v>
      </c>
      <c r="U1832" t="s">
        <v>21208</v>
      </c>
      <c r="V1832" t="s">
        <v>21207</v>
      </c>
      <c r="W1832" t="s">
        <v>21206</v>
      </c>
      <c r="X1832" t="s">
        <v>21205</v>
      </c>
      <c r="Y1832" t="s">
        <v>21204</v>
      </c>
      <c r="Z1832" t="s">
        <v>21203</v>
      </c>
      <c r="AA1832" t="s">
        <v>74</v>
      </c>
      <c r="AB1832" t="s">
        <v>74</v>
      </c>
      <c r="AC1832" t="s">
        <v>74</v>
      </c>
      <c r="AD1832" t="s">
        <v>74</v>
      </c>
      <c r="AE1832" t="s">
        <v>74</v>
      </c>
      <c r="AF1832" t="s">
        <v>74</v>
      </c>
      <c r="AG1832">
        <v>35</v>
      </c>
      <c r="AH1832">
        <v>0</v>
      </c>
      <c r="AI1832">
        <v>1</v>
      </c>
      <c r="AJ1832">
        <v>0</v>
      </c>
      <c r="AK1832">
        <v>0</v>
      </c>
      <c r="AL1832" t="s">
        <v>332</v>
      </c>
      <c r="AM1832" t="s">
        <v>333</v>
      </c>
      <c r="AN1832" t="s">
        <v>334</v>
      </c>
      <c r="AO1832" t="s">
        <v>19881</v>
      </c>
      <c r="AP1832" t="s">
        <v>19880</v>
      </c>
      <c r="AQ1832" t="s">
        <v>74</v>
      </c>
      <c r="AR1832" t="s">
        <v>19879</v>
      </c>
      <c r="AS1832" t="s">
        <v>19878</v>
      </c>
      <c r="AT1832" t="s">
        <v>1693</v>
      </c>
      <c r="AU1832">
        <v>2025</v>
      </c>
      <c r="AV1832">
        <v>17</v>
      </c>
      <c r="AW1832">
        <v>2</v>
      </c>
      <c r="AX1832" t="s">
        <v>74</v>
      </c>
      <c r="AY1832" t="s">
        <v>74</v>
      </c>
      <c r="AZ1832" t="s">
        <v>74</v>
      </c>
      <c r="BA1832" t="s">
        <v>74</v>
      </c>
      <c r="BB1832">
        <v>231</v>
      </c>
      <c r="BC1832">
        <v>256</v>
      </c>
      <c r="BD1832" t="s">
        <v>74</v>
      </c>
      <c r="BE1832" t="s">
        <v>21202</v>
      </c>
      <c r="BF1832" t="str">
        <f>HYPERLINK("http://dx.doi.org/10.1080/19439342.2024.2428672","http://dx.doi.org/10.1080/19439342.2024.2428672")</f>
        <v>http://dx.doi.org/10.1080/19439342.2024.2428672</v>
      </c>
      <c r="BG1832" t="s">
        <v>74</v>
      </c>
      <c r="BH1832" t="s">
        <v>267</v>
      </c>
      <c r="BI1832">
        <v>26</v>
      </c>
      <c r="BJ1832" t="s">
        <v>1137</v>
      </c>
      <c r="BK1832" t="s">
        <v>99</v>
      </c>
      <c r="BL1832" t="s">
        <v>1137</v>
      </c>
      <c r="BM1832" t="s">
        <v>19876</v>
      </c>
      <c r="BN1832" t="s">
        <v>74</v>
      </c>
      <c r="BO1832" t="s">
        <v>74</v>
      </c>
      <c r="BP1832" t="s">
        <v>74</v>
      </c>
      <c r="BQ1832" t="s">
        <v>74</v>
      </c>
      <c r="BR1832" t="s">
        <v>102</v>
      </c>
      <c r="BS1832" t="s">
        <v>21201</v>
      </c>
      <c r="BT1832" t="str">
        <f>HYPERLINK("https%3A%2F%2Fwww.webofscience.com%2Fwos%2Fwoscc%2Ffull-record%2FWOS:001358255000001","View Full Record in Web of Science")</f>
        <v>View Full Record in Web of Science</v>
      </c>
    </row>
    <row r="1833" spans="1:72" x14ac:dyDescent="0.25">
      <c r="A1833" t="s">
        <v>72</v>
      </c>
      <c r="B1833" t="s">
        <v>21200</v>
      </c>
      <c r="C1833" t="s">
        <v>74</v>
      </c>
      <c r="D1833" t="s">
        <v>74</v>
      </c>
      <c r="E1833" t="s">
        <v>74</v>
      </c>
      <c r="F1833" t="s">
        <v>21199</v>
      </c>
      <c r="G1833" t="s">
        <v>74</v>
      </c>
      <c r="H1833" t="s">
        <v>74</v>
      </c>
      <c r="I1833" t="s">
        <v>21198</v>
      </c>
      <c r="J1833" t="s">
        <v>3397</v>
      </c>
      <c r="K1833" t="s">
        <v>74</v>
      </c>
      <c r="L1833" t="s">
        <v>74</v>
      </c>
      <c r="M1833" t="s">
        <v>78</v>
      </c>
      <c r="N1833" t="s">
        <v>79</v>
      </c>
      <c r="O1833" t="s">
        <v>74</v>
      </c>
      <c r="P1833" t="s">
        <v>74</v>
      </c>
      <c r="Q1833" t="s">
        <v>74</v>
      </c>
      <c r="R1833" t="s">
        <v>74</v>
      </c>
      <c r="S1833" t="s">
        <v>74</v>
      </c>
      <c r="T1833" t="s">
        <v>21197</v>
      </c>
      <c r="U1833" t="s">
        <v>21196</v>
      </c>
      <c r="V1833" t="s">
        <v>21195</v>
      </c>
      <c r="W1833" t="s">
        <v>21194</v>
      </c>
      <c r="X1833" t="s">
        <v>21193</v>
      </c>
      <c r="Y1833" t="s">
        <v>21192</v>
      </c>
      <c r="Z1833" t="s">
        <v>21191</v>
      </c>
      <c r="AA1833" t="s">
        <v>21190</v>
      </c>
      <c r="AB1833" t="s">
        <v>21189</v>
      </c>
      <c r="AC1833" t="s">
        <v>21188</v>
      </c>
      <c r="AD1833" t="s">
        <v>21187</v>
      </c>
      <c r="AE1833" t="s">
        <v>21186</v>
      </c>
      <c r="AF1833" t="s">
        <v>74</v>
      </c>
      <c r="AG1833">
        <v>56</v>
      </c>
      <c r="AH1833">
        <v>2</v>
      </c>
      <c r="AI1833">
        <v>2</v>
      </c>
      <c r="AJ1833">
        <v>5</v>
      </c>
      <c r="AK1833">
        <v>10</v>
      </c>
      <c r="AL1833" t="s">
        <v>201</v>
      </c>
      <c r="AM1833" t="s">
        <v>202</v>
      </c>
      <c r="AN1833" t="s">
        <v>203</v>
      </c>
      <c r="AO1833" t="s">
        <v>3406</v>
      </c>
      <c r="AP1833" t="s">
        <v>3407</v>
      </c>
      <c r="AQ1833" t="s">
        <v>74</v>
      </c>
      <c r="AR1833" t="s">
        <v>3408</v>
      </c>
      <c r="AS1833" t="s">
        <v>3409</v>
      </c>
      <c r="AT1833" t="s">
        <v>1652</v>
      </c>
      <c r="AU1833">
        <v>2025</v>
      </c>
      <c r="AV1833">
        <v>91</v>
      </c>
      <c r="AW1833" t="s">
        <v>74</v>
      </c>
      <c r="AX1833" t="s">
        <v>74</v>
      </c>
      <c r="AY1833" t="s">
        <v>74</v>
      </c>
      <c r="AZ1833" t="s">
        <v>74</v>
      </c>
      <c r="BA1833" t="s">
        <v>74</v>
      </c>
      <c r="BB1833" t="s">
        <v>74</v>
      </c>
      <c r="BC1833" t="s">
        <v>74</v>
      </c>
      <c r="BD1833">
        <v>102731</v>
      </c>
      <c r="BE1833" t="s">
        <v>21185</v>
      </c>
      <c r="BF1833" t="str">
        <f>HYPERLINK("http://dx.doi.org/10.1016/j.pacfin.2025.102731","http://dx.doi.org/10.1016/j.pacfin.2025.102731")</f>
        <v>http://dx.doi.org/10.1016/j.pacfin.2025.102731</v>
      </c>
      <c r="BG1833" t="s">
        <v>74</v>
      </c>
      <c r="BH1833" t="s">
        <v>2781</v>
      </c>
      <c r="BI1833">
        <v>18</v>
      </c>
      <c r="BJ1833" t="s">
        <v>268</v>
      </c>
      <c r="BK1833" t="s">
        <v>99</v>
      </c>
      <c r="BL1833" t="s">
        <v>100</v>
      </c>
      <c r="BM1833" t="s">
        <v>21184</v>
      </c>
      <c r="BN1833" t="s">
        <v>74</v>
      </c>
      <c r="BO1833" t="s">
        <v>270</v>
      </c>
      <c r="BP1833" t="s">
        <v>74</v>
      </c>
      <c r="BQ1833" t="s">
        <v>74</v>
      </c>
      <c r="BR1833" t="s">
        <v>102</v>
      </c>
      <c r="BS1833" t="s">
        <v>21183</v>
      </c>
      <c r="BT1833" t="str">
        <f>HYPERLINK("https%3A%2F%2Fwww.webofscience.com%2Fwos%2Fwoscc%2Ffull-record%2FWOS:001458190500001","View Full Record in Web of Science")</f>
        <v>View Full Record in Web of Science</v>
      </c>
    </row>
    <row r="1834" spans="1:72" x14ac:dyDescent="0.25">
      <c r="A1834" t="s">
        <v>72</v>
      </c>
      <c r="B1834" t="s">
        <v>21182</v>
      </c>
      <c r="C1834" t="s">
        <v>74</v>
      </c>
      <c r="D1834" t="s">
        <v>74</v>
      </c>
      <c r="E1834" t="s">
        <v>74</v>
      </c>
      <c r="F1834" t="s">
        <v>21181</v>
      </c>
      <c r="G1834" t="s">
        <v>74</v>
      </c>
      <c r="H1834" t="s">
        <v>74</v>
      </c>
      <c r="I1834" t="s">
        <v>21180</v>
      </c>
      <c r="J1834" t="s">
        <v>5078</v>
      </c>
      <c r="K1834" t="s">
        <v>74</v>
      </c>
      <c r="L1834" t="s">
        <v>74</v>
      </c>
      <c r="M1834" t="s">
        <v>78</v>
      </c>
      <c r="N1834" t="s">
        <v>79</v>
      </c>
      <c r="O1834" t="s">
        <v>74</v>
      </c>
      <c r="P1834" t="s">
        <v>74</v>
      </c>
      <c r="Q1834" t="s">
        <v>74</v>
      </c>
      <c r="R1834" t="s">
        <v>74</v>
      </c>
      <c r="S1834" t="s">
        <v>74</v>
      </c>
      <c r="T1834" t="s">
        <v>21179</v>
      </c>
      <c r="U1834" t="s">
        <v>21178</v>
      </c>
      <c r="V1834" t="s">
        <v>21177</v>
      </c>
      <c r="W1834" t="s">
        <v>21176</v>
      </c>
      <c r="X1834" t="s">
        <v>21175</v>
      </c>
      <c r="Y1834" t="s">
        <v>21174</v>
      </c>
      <c r="Z1834" t="s">
        <v>21173</v>
      </c>
      <c r="AA1834" t="s">
        <v>21172</v>
      </c>
      <c r="AB1834" t="s">
        <v>21171</v>
      </c>
      <c r="AC1834" t="s">
        <v>74</v>
      </c>
      <c r="AD1834" t="s">
        <v>74</v>
      </c>
      <c r="AE1834" t="s">
        <v>74</v>
      </c>
      <c r="AF1834" t="s">
        <v>74</v>
      </c>
      <c r="AG1834">
        <v>109</v>
      </c>
      <c r="AH1834">
        <v>19</v>
      </c>
      <c r="AI1834">
        <v>26</v>
      </c>
      <c r="AJ1834">
        <v>12</v>
      </c>
      <c r="AK1834">
        <v>55</v>
      </c>
      <c r="AL1834" t="s">
        <v>385</v>
      </c>
      <c r="AM1834" t="s">
        <v>151</v>
      </c>
      <c r="AN1834" t="s">
        <v>386</v>
      </c>
      <c r="AO1834" t="s">
        <v>74</v>
      </c>
      <c r="AP1834" t="s">
        <v>5087</v>
      </c>
      <c r="AQ1834" t="s">
        <v>74</v>
      </c>
      <c r="AR1834" t="s">
        <v>5088</v>
      </c>
      <c r="AS1834" t="s">
        <v>5089</v>
      </c>
      <c r="AT1834" t="s">
        <v>9278</v>
      </c>
      <c r="AU1834">
        <v>2023</v>
      </c>
      <c r="AV1834">
        <v>9</v>
      </c>
      <c r="AW1834">
        <v>1</v>
      </c>
      <c r="AX1834" t="s">
        <v>74</v>
      </c>
      <c r="AY1834" t="s">
        <v>74</v>
      </c>
      <c r="AZ1834" t="s">
        <v>74</v>
      </c>
      <c r="BA1834" t="s">
        <v>74</v>
      </c>
      <c r="BB1834" t="s">
        <v>74</v>
      </c>
      <c r="BC1834" t="s">
        <v>74</v>
      </c>
      <c r="BD1834">
        <v>111</v>
      </c>
      <c r="BE1834" t="s">
        <v>21170</v>
      </c>
      <c r="BF1834" t="str">
        <f>HYPERLINK("http://dx.doi.org/10.1186/s40854-023-00522-1","http://dx.doi.org/10.1186/s40854-023-00522-1")</f>
        <v>http://dx.doi.org/10.1186/s40854-023-00522-1</v>
      </c>
      <c r="BG1834" t="s">
        <v>74</v>
      </c>
      <c r="BH1834" t="s">
        <v>74</v>
      </c>
      <c r="BI1834">
        <v>27</v>
      </c>
      <c r="BJ1834" t="s">
        <v>5092</v>
      </c>
      <c r="BK1834" t="s">
        <v>99</v>
      </c>
      <c r="BL1834" t="s">
        <v>2024</v>
      </c>
      <c r="BM1834" t="s">
        <v>21169</v>
      </c>
      <c r="BN1834" t="s">
        <v>74</v>
      </c>
      <c r="BO1834" t="s">
        <v>212</v>
      </c>
      <c r="BP1834" t="s">
        <v>74</v>
      </c>
      <c r="BQ1834" t="s">
        <v>74</v>
      </c>
      <c r="BR1834" t="s">
        <v>102</v>
      </c>
      <c r="BS1834" t="s">
        <v>21168</v>
      </c>
      <c r="BT1834" t="str">
        <f>HYPERLINK("https%3A%2F%2Fwww.webofscience.com%2Fwos%2Fwoscc%2Ffull-record%2FWOS:001038168400001","View Full Record in Web of Science")</f>
        <v>View Full Record in Web of Science</v>
      </c>
    </row>
    <row r="1835" spans="1:72" x14ac:dyDescent="0.25">
      <c r="A1835" t="s">
        <v>72</v>
      </c>
      <c r="B1835" t="s">
        <v>21167</v>
      </c>
      <c r="C1835" t="s">
        <v>74</v>
      </c>
      <c r="D1835" t="s">
        <v>74</v>
      </c>
      <c r="E1835" t="s">
        <v>74</v>
      </c>
      <c r="F1835" t="s">
        <v>21166</v>
      </c>
      <c r="G1835" t="s">
        <v>74</v>
      </c>
      <c r="H1835" t="s">
        <v>74</v>
      </c>
      <c r="I1835" t="s">
        <v>21165</v>
      </c>
      <c r="J1835" t="s">
        <v>729</v>
      </c>
      <c r="K1835" t="s">
        <v>74</v>
      </c>
      <c r="L1835" t="s">
        <v>74</v>
      </c>
      <c r="M1835" t="s">
        <v>78</v>
      </c>
      <c r="N1835" t="s">
        <v>372</v>
      </c>
      <c r="O1835" t="s">
        <v>74</v>
      </c>
      <c r="P1835" t="s">
        <v>74</v>
      </c>
      <c r="Q1835" t="s">
        <v>74</v>
      </c>
      <c r="R1835" t="s">
        <v>74</v>
      </c>
      <c r="S1835" t="s">
        <v>74</v>
      </c>
      <c r="T1835" t="s">
        <v>21164</v>
      </c>
      <c r="U1835" t="s">
        <v>21163</v>
      </c>
      <c r="V1835" t="s">
        <v>21162</v>
      </c>
      <c r="W1835" t="s">
        <v>21161</v>
      </c>
      <c r="X1835" t="s">
        <v>21160</v>
      </c>
      <c r="Y1835" t="s">
        <v>21159</v>
      </c>
      <c r="Z1835" t="s">
        <v>21158</v>
      </c>
      <c r="AA1835" t="s">
        <v>21157</v>
      </c>
      <c r="AB1835" t="s">
        <v>21156</v>
      </c>
      <c r="AC1835" t="s">
        <v>21155</v>
      </c>
      <c r="AD1835" t="s">
        <v>21154</v>
      </c>
      <c r="AE1835" t="s">
        <v>21153</v>
      </c>
      <c r="AF1835" t="s">
        <v>74</v>
      </c>
      <c r="AG1835">
        <v>87</v>
      </c>
      <c r="AH1835">
        <v>0</v>
      </c>
      <c r="AI1835">
        <v>0</v>
      </c>
      <c r="AJ1835">
        <v>3</v>
      </c>
      <c r="AK1835">
        <v>3</v>
      </c>
      <c r="AL1835" t="s">
        <v>479</v>
      </c>
      <c r="AM1835" t="s">
        <v>480</v>
      </c>
      <c r="AN1835" t="s">
        <v>481</v>
      </c>
      <c r="AO1835" t="s">
        <v>739</v>
      </c>
      <c r="AP1835" t="s">
        <v>740</v>
      </c>
      <c r="AQ1835" t="s">
        <v>74</v>
      </c>
      <c r="AR1835" t="s">
        <v>741</v>
      </c>
      <c r="AS1835" t="s">
        <v>742</v>
      </c>
      <c r="AT1835" t="s">
        <v>21152</v>
      </c>
      <c r="AU1835">
        <v>2025</v>
      </c>
      <c r="AV1835" t="s">
        <v>74</v>
      </c>
      <c r="AW1835" t="s">
        <v>74</v>
      </c>
      <c r="AX1835" t="s">
        <v>74</v>
      </c>
      <c r="AY1835" t="s">
        <v>74</v>
      </c>
      <c r="AZ1835" t="s">
        <v>74</v>
      </c>
      <c r="BA1835" t="s">
        <v>74</v>
      </c>
      <c r="BB1835" t="s">
        <v>74</v>
      </c>
      <c r="BC1835" t="s">
        <v>74</v>
      </c>
      <c r="BD1835" t="s">
        <v>74</v>
      </c>
      <c r="BE1835" t="s">
        <v>21151</v>
      </c>
      <c r="BF1835" t="str">
        <f>HYPERLINK("http://dx.doi.org/10.1002/ijfe.70062","http://dx.doi.org/10.1002/ijfe.70062")</f>
        <v>http://dx.doi.org/10.1002/ijfe.70062</v>
      </c>
      <c r="BG1835" t="s">
        <v>74</v>
      </c>
      <c r="BH1835" t="s">
        <v>12078</v>
      </c>
      <c r="BI1835">
        <v>28</v>
      </c>
      <c r="BJ1835" t="s">
        <v>268</v>
      </c>
      <c r="BK1835" t="s">
        <v>99</v>
      </c>
      <c r="BL1835" t="s">
        <v>100</v>
      </c>
      <c r="BM1835" t="s">
        <v>21150</v>
      </c>
      <c r="BN1835" t="s">
        <v>74</v>
      </c>
      <c r="BO1835" t="s">
        <v>74</v>
      </c>
      <c r="BP1835" t="s">
        <v>74</v>
      </c>
      <c r="BQ1835" t="s">
        <v>74</v>
      </c>
      <c r="BR1835" t="s">
        <v>102</v>
      </c>
      <c r="BS1835" t="s">
        <v>21149</v>
      </c>
      <c r="BT1835" t="str">
        <f>HYPERLINK("https%3A%2F%2Fwww.webofscience.com%2Fwos%2Fwoscc%2Ffull-record%2FWOS:001586394900001","View Full Record in Web of Science")</f>
        <v>View Full Record in Web of Science</v>
      </c>
    </row>
    <row r="1836" spans="1:72" x14ac:dyDescent="0.25">
      <c r="A1836" t="s">
        <v>72</v>
      </c>
      <c r="B1836" t="s">
        <v>19824</v>
      </c>
      <c r="C1836" t="s">
        <v>74</v>
      </c>
      <c r="D1836" t="s">
        <v>74</v>
      </c>
      <c r="E1836" t="s">
        <v>74</v>
      </c>
      <c r="F1836" t="s">
        <v>19823</v>
      </c>
      <c r="G1836" t="s">
        <v>74</v>
      </c>
      <c r="H1836" t="s">
        <v>74</v>
      </c>
      <c r="I1836" t="s">
        <v>21148</v>
      </c>
      <c r="J1836" t="s">
        <v>683</v>
      </c>
      <c r="K1836" t="s">
        <v>74</v>
      </c>
      <c r="L1836" t="s">
        <v>74</v>
      </c>
      <c r="M1836" t="s">
        <v>78</v>
      </c>
      <c r="N1836" t="s">
        <v>79</v>
      </c>
      <c r="O1836" t="s">
        <v>74</v>
      </c>
      <c r="P1836" t="s">
        <v>74</v>
      </c>
      <c r="Q1836" t="s">
        <v>74</v>
      </c>
      <c r="R1836" t="s">
        <v>74</v>
      </c>
      <c r="S1836" t="s">
        <v>74</v>
      </c>
      <c r="T1836" t="s">
        <v>21147</v>
      </c>
      <c r="U1836" t="s">
        <v>74</v>
      </c>
      <c r="V1836" t="s">
        <v>21146</v>
      </c>
      <c r="W1836" t="s">
        <v>21145</v>
      </c>
      <c r="X1836" t="s">
        <v>19817</v>
      </c>
      <c r="Y1836" t="s">
        <v>21144</v>
      </c>
      <c r="Z1836" t="s">
        <v>19815</v>
      </c>
      <c r="AA1836" t="s">
        <v>21143</v>
      </c>
      <c r="AB1836" t="s">
        <v>19813</v>
      </c>
      <c r="AC1836" t="s">
        <v>74</v>
      </c>
      <c r="AD1836" t="s">
        <v>74</v>
      </c>
      <c r="AE1836" t="s">
        <v>74</v>
      </c>
      <c r="AF1836" t="s">
        <v>74</v>
      </c>
      <c r="AG1836">
        <v>66</v>
      </c>
      <c r="AH1836">
        <v>40</v>
      </c>
      <c r="AI1836">
        <v>50</v>
      </c>
      <c r="AJ1836">
        <v>1</v>
      </c>
      <c r="AK1836">
        <v>21</v>
      </c>
      <c r="AL1836" t="s">
        <v>201</v>
      </c>
      <c r="AM1836" t="s">
        <v>202</v>
      </c>
      <c r="AN1836" t="s">
        <v>203</v>
      </c>
      <c r="AO1836" t="s">
        <v>695</v>
      </c>
      <c r="AP1836" t="s">
        <v>74</v>
      </c>
      <c r="AQ1836" t="s">
        <v>74</v>
      </c>
      <c r="AR1836" t="s">
        <v>696</v>
      </c>
      <c r="AS1836" t="s">
        <v>697</v>
      </c>
      <c r="AT1836" t="s">
        <v>1652</v>
      </c>
      <c r="AU1836">
        <v>2021</v>
      </c>
      <c r="AV1836">
        <v>22</v>
      </c>
      <c r="AW1836" t="s">
        <v>74</v>
      </c>
      <c r="AX1836" t="s">
        <v>74</v>
      </c>
      <c r="AY1836" t="s">
        <v>74</v>
      </c>
      <c r="AZ1836" t="s">
        <v>74</v>
      </c>
      <c r="BA1836" t="s">
        <v>74</v>
      </c>
      <c r="BB1836" t="s">
        <v>74</v>
      </c>
      <c r="BC1836" t="s">
        <v>74</v>
      </c>
      <c r="BD1836">
        <v>100311</v>
      </c>
      <c r="BE1836" t="s">
        <v>21142</v>
      </c>
      <c r="BF1836" t="str">
        <f>HYPERLINK("http://dx.doi.org/10.1016/j.wdp.2021.100311","http://dx.doi.org/10.1016/j.wdp.2021.100311")</f>
        <v>http://dx.doi.org/10.1016/j.wdp.2021.100311</v>
      </c>
      <c r="BG1836" t="s">
        <v>74</v>
      </c>
      <c r="BH1836" t="s">
        <v>4575</v>
      </c>
      <c r="BI1836">
        <v>10</v>
      </c>
      <c r="BJ1836" t="s">
        <v>701</v>
      </c>
      <c r="BK1836" t="s">
        <v>313</v>
      </c>
      <c r="BL1836" t="s">
        <v>702</v>
      </c>
      <c r="BM1836" t="s">
        <v>21141</v>
      </c>
      <c r="BN1836" t="s">
        <v>74</v>
      </c>
      <c r="BO1836" t="s">
        <v>74</v>
      </c>
      <c r="BP1836" t="s">
        <v>74</v>
      </c>
      <c r="BQ1836" t="s">
        <v>74</v>
      </c>
      <c r="BR1836" t="s">
        <v>102</v>
      </c>
      <c r="BS1836" t="s">
        <v>21140</v>
      </c>
      <c r="BT1836" t="str">
        <f>HYPERLINK("https%3A%2F%2Fwww.webofscience.com%2Fwos%2Fwoscc%2Ffull-record%2FWOS:000693689300005","View Full Record in Web of Science")</f>
        <v>View Full Record in Web of Science</v>
      </c>
    </row>
    <row r="1837" spans="1:72" x14ac:dyDescent="0.25">
      <c r="A1837" t="s">
        <v>72</v>
      </c>
      <c r="B1837" t="s">
        <v>21139</v>
      </c>
      <c r="C1837" t="s">
        <v>74</v>
      </c>
      <c r="D1837" t="s">
        <v>74</v>
      </c>
      <c r="E1837" t="s">
        <v>74</v>
      </c>
      <c r="F1837" t="s">
        <v>21138</v>
      </c>
      <c r="G1837" t="s">
        <v>74</v>
      </c>
      <c r="H1837" t="s">
        <v>74</v>
      </c>
      <c r="I1837" t="s">
        <v>21137</v>
      </c>
      <c r="J1837" t="s">
        <v>21136</v>
      </c>
      <c r="K1837" t="s">
        <v>74</v>
      </c>
      <c r="L1837" t="s">
        <v>74</v>
      </c>
      <c r="M1837" t="s">
        <v>78</v>
      </c>
      <c r="N1837" t="s">
        <v>79</v>
      </c>
      <c r="O1837" t="s">
        <v>74</v>
      </c>
      <c r="P1837" t="s">
        <v>74</v>
      </c>
      <c r="Q1837" t="s">
        <v>74</v>
      </c>
      <c r="R1837" t="s">
        <v>74</v>
      </c>
      <c r="S1837" t="s">
        <v>74</v>
      </c>
      <c r="T1837" t="s">
        <v>21135</v>
      </c>
      <c r="U1837" t="s">
        <v>74</v>
      </c>
      <c r="V1837" t="s">
        <v>21134</v>
      </c>
      <c r="W1837" t="s">
        <v>21133</v>
      </c>
      <c r="X1837" t="s">
        <v>21132</v>
      </c>
      <c r="Y1837" t="s">
        <v>21131</v>
      </c>
      <c r="Z1837" t="s">
        <v>74</v>
      </c>
      <c r="AA1837" t="s">
        <v>21130</v>
      </c>
      <c r="AB1837" t="s">
        <v>21129</v>
      </c>
      <c r="AC1837" t="s">
        <v>74</v>
      </c>
      <c r="AD1837" t="s">
        <v>74</v>
      </c>
      <c r="AE1837" t="s">
        <v>74</v>
      </c>
      <c r="AF1837" t="s">
        <v>74</v>
      </c>
      <c r="AG1837">
        <v>35</v>
      </c>
      <c r="AH1837">
        <v>12</v>
      </c>
      <c r="AI1837">
        <v>17</v>
      </c>
      <c r="AJ1837">
        <v>0</v>
      </c>
      <c r="AK1837">
        <v>21</v>
      </c>
      <c r="AL1837" t="s">
        <v>21128</v>
      </c>
      <c r="AM1837" t="s">
        <v>21127</v>
      </c>
      <c r="AN1837" t="s">
        <v>21126</v>
      </c>
      <c r="AO1837" t="s">
        <v>74</v>
      </c>
      <c r="AP1837" t="s">
        <v>21125</v>
      </c>
      <c r="AQ1837" t="s">
        <v>74</v>
      </c>
      <c r="AR1837" t="s">
        <v>21124</v>
      </c>
      <c r="AS1837" t="s">
        <v>21123</v>
      </c>
      <c r="AT1837" t="s">
        <v>1540</v>
      </c>
      <c r="AU1837">
        <v>2020</v>
      </c>
      <c r="AV1837">
        <v>9</v>
      </c>
      <c r="AW1837">
        <v>29</v>
      </c>
      <c r="AX1837" t="s">
        <v>74</v>
      </c>
      <c r="AY1837" t="s">
        <v>74</v>
      </c>
      <c r="AZ1837" t="s">
        <v>74</v>
      </c>
      <c r="BA1837" t="s">
        <v>74</v>
      </c>
      <c r="BB1837">
        <v>436</v>
      </c>
      <c r="BC1837">
        <v>444</v>
      </c>
      <c r="BD1837" t="s">
        <v>74</v>
      </c>
      <c r="BE1837" t="s">
        <v>21122</v>
      </c>
      <c r="BF1837" t="str">
        <f>HYPERLINK("http://dx.doi.org/10.34069/AI/2020.29.05.48","http://dx.doi.org/10.34069/AI/2020.29.05.48")</f>
        <v>http://dx.doi.org/10.34069/AI/2020.29.05.48</v>
      </c>
      <c r="BG1837" t="s">
        <v>74</v>
      </c>
      <c r="BH1837" t="s">
        <v>74</v>
      </c>
      <c r="BI1837">
        <v>9</v>
      </c>
      <c r="BJ1837" t="s">
        <v>364</v>
      </c>
      <c r="BK1837" t="s">
        <v>313</v>
      </c>
      <c r="BL1837" t="s">
        <v>365</v>
      </c>
      <c r="BM1837" t="s">
        <v>21121</v>
      </c>
      <c r="BN1837" t="s">
        <v>74</v>
      </c>
      <c r="BO1837" t="s">
        <v>212</v>
      </c>
      <c r="BP1837" t="s">
        <v>74</v>
      </c>
      <c r="BQ1837" t="s">
        <v>74</v>
      </c>
      <c r="BR1837" t="s">
        <v>102</v>
      </c>
      <c r="BS1837" t="s">
        <v>21120</v>
      </c>
      <c r="BT1837" t="str">
        <f>HYPERLINK("https%3A%2F%2Fwww.webofscience.com%2Fwos%2Fwoscc%2Ffull-record%2FWOS:000612545600048","View Full Record in Web of Science")</f>
        <v>View Full Record in Web of Science</v>
      </c>
    </row>
    <row r="1838" spans="1:72" x14ac:dyDescent="0.25">
      <c r="A1838" t="s">
        <v>72</v>
      </c>
      <c r="B1838" t="s">
        <v>21119</v>
      </c>
      <c r="C1838" t="s">
        <v>74</v>
      </c>
      <c r="D1838" t="s">
        <v>74</v>
      </c>
      <c r="E1838" t="s">
        <v>74</v>
      </c>
      <c r="F1838" t="s">
        <v>21118</v>
      </c>
      <c r="G1838" t="s">
        <v>74</v>
      </c>
      <c r="H1838" t="s">
        <v>74</v>
      </c>
      <c r="I1838" t="s">
        <v>21117</v>
      </c>
      <c r="J1838" t="s">
        <v>4956</v>
      </c>
      <c r="K1838" t="s">
        <v>74</v>
      </c>
      <c r="L1838" t="s">
        <v>74</v>
      </c>
      <c r="M1838" t="s">
        <v>78</v>
      </c>
      <c r="N1838" t="s">
        <v>79</v>
      </c>
      <c r="O1838" t="s">
        <v>74</v>
      </c>
      <c r="P1838" t="s">
        <v>74</v>
      </c>
      <c r="Q1838" t="s">
        <v>74</v>
      </c>
      <c r="R1838" t="s">
        <v>74</v>
      </c>
      <c r="S1838" t="s">
        <v>74</v>
      </c>
      <c r="T1838" t="s">
        <v>21116</v>
      </c>
      <c r="U1838" t="s">
        <v>21115</v>
      </c>
      <c r="V1838" t="s">
        <v>21114</v>
      </c>
      <c r="W1838" t="s">
        <v>21113</v>
      </c>
      <c r="X1838" t="s">
        <v>21112</v>
      </c>
      <c r="Y1838" t="s">
        <v>21111</v>
      </c>
      <c r="Z1838" t="s">
        <v>21110</v>
      </c>
      <c r="AA1838" t="s">
        <v>74</v>
      </c>
      <c r="AB1838" t="s">
        <v>74</v>
      </c>
      <c r="AC1838" t="s">
        <v>74</v>
      </c>
      <c r="AD1838" t="s">
        <v>74</v>
      </c>
      <c r="AE1838" t="s">
        <v>74</v>
      </c>
      <c r="AF1838" t="s">
        <v>74</v>
      </c>
      <c r="AG1838">
        <v>122</v>
      </c>
      <c r="AH1838">
        <v>49</v>
      </c>
      <c r="AI1838">
        <v>52</v>
      </c>
      <c r="AJ1838">
        <v>7</v>
      </c>
      <c r="AK1838">
        <v>69</v>
      </c>
      <c r="AL1838" t="s">
        <v>230</v>
      </c>
      <c r="AM1838" t="s">
        <v>231</v>
      </c>
      <c r="AN1838" t="s">
        <v>232</v>
      </c>
      <c r="AO1838" t="s">
        <v>4966</v>
      </c>
      <c r="AP1838" t="s">
        <v>4967</v>
      </c>
      <c r="AQ1838" t="s">
        <v>74</v>
      </c>
      <c r="AR1838" t="s">
        <v>4968</v>
      </c>
      <c r="AS1838" t="s">
        <v>4969</v>
      </c>
      <c r="AT1838" t="s">
        <v>208</v>
      </c>
      <c r="AU1838">
        <v>2023</v>
      </c>
      <c r="AV1838">
        <v>161</v>
      </c>
      <c r="AW1838" t="s">
        <v>74</v>
      </c>
      <c r="AX1838" t="s">
        <v>74</v>
      </c>
      <c r="AY1838" t="s">
        <v>74</v>
      </c>
      <c r="AZ1838" t="s">
        <v>74</v>
      </c>
      <c r="BA1838" t="s">
        <v>74</v>
      </c>
      <c r="BB1838" t="s">
        <v>74</v>
      </c>
      <c r="BC1838" t="s">
        <v>74</v>
      </c>
      <c r="BD1838">
        <v>106110</v>
      </c>
      <c r="BE1838" t="s">
        <v>21109</v>
      </c>
      <c r="BF1838" t="str">
        <f>HYPERLINK("http://dx.doi.org/10.1016/j.worlddev.2022.106110","http://dx.doi.org/10.1016/j.worlddev.2022.106110")</f>
        <v>http://dx.doi.org/10.1016/j.worlddev.2022.106110</v>
      </c>
      <c r="BG1838" t="s">
        <v>74</v>
      </c>
      <c r="BH1838" t="s">
        <v>3050</v>
      </c>
      <c r="BI1838">
        <v>29</v>
      </c>
      <c r="BJ1838" t="s">
        <v>701</v>
      </c>
      <c r="BK1838" t="s">
        <v>99</v>
      </c>
      <c r="BL1838" t="s">
        <v>702</v>
      </c>
      <c r="BM1838" t="s">
        <v>21108</v>
      </c>
      <c r="BN1838" t="s">
        <v>74</v>
      </c>
      <c r="BO1838" t="s">
        <v>1696</v>
      </c>
      <c r="BP1838" t="s">
        <v>74</v>
      </c>
      <c r="BQ1838" t="s">
        <v>74</v>
      </c>
      <c r="BR1838" t="s">
        <v>102</v>
      </c>
      <c r="BS1838" t="s">
        <v>21107</v>
      </c>
      <c r="BT1838" t="str">
        <f>HYPERLINK("https%3A%2F%2Fwww.webofscience.com%2Fwos%2Fwoscc%2Ffull-record%2FWOS:000876858500002","View Full Record in Web of Science")</f>
        <v>View Full Record in Web of Science</v>
      </c>
    </row>
    <row r="1839" spans="1:72" x14ac:dyDescent="0.25">
      <c r="A1839" t="s">
        <v>72</v>
      </c>
      <c r="B1839" t="s">
        <v>21106</v>
      </c>
      <c r="C1839" t="s">
        <v>74</v>
      </c>
      <c r="D1839" t="s">
        <v>74</v>
      </c>
      <c r="E1839" t="s">
        <v>74</v>
      </c>
      <c r="F1839" t="s">
        <v>21105</v>
      </c>
      <c r="G1839" t="s">
        <v>74</v>
      </c>
      <c r="H1839" t="s">
        <v>74</v>
      </c>
      <c r="I1839" t="s">
        <v>21104</v>
      </c>
      <c r="J1839" t="s">
        <v>8546</v>
      </c>
      <c r="K1839" t="s">
        <v>74</v>
      </c>
      <c r="L1839" t="s">
        <v>74</v>
      </c>
      <c r="M1839" t="s">
        <v>78</v>
      </c>
      <c r="N1839" t="s">
        <v>372</v>
      </c>
      <c r="O1839" t="s">
        <v>74</v>
      </c>
      <c r="P1839" t="s">
        <v>74</v>
      </c>
      <c r="Q1839" t="s">
        <v>74</v>
      </c>
      <c r="R1839" t="s">
        <v>74</v>
      </c>
      <c r="S1839" t="s">
        <v>74</v>
      </c>
      <c r="T1839" t="s">
        <v>21103</v>
      </c>
      <c r="U1839" t="s">
        <v>8565</v>
      </c>
      <c r="V1839" t="s">
        <v>21102</v>
      </c>
      <c r="W1839" t="s">
        <v>21101</v>
      </c>
      <c r="X1839" t="s">
        <v>21100</v>
      </c>
      <c r="Y1839" t="s">
        <v>21099</v>
      </c>
      <c r="Z1839" t="s">
        <v>21098</v>
      </c>
      <c r="AA1839" t="s">
        <v>21097</v>
      </c>
      <c r="AB1839" t="s">
        <v>21096</v>
      </c>
      <c r="AC1839" t="s">
        <v>74</v>
      </c>
      <c r="AD1839" t="s">
        <v>74</v>
      </c>
      <c r="AE1839" t="s">
        <v>74</v>
      </c>
      <c r="AF1839" t="s">
        <v>74</v>
      </c>
      <c r="AG1839">
        <v>50</v>
      </c>
      <c r="AH1839">
        <v>20</v>
      </c>
      <c r="AI1839">
        <v>26</v>
      </c>
      <c r="AJ1839">
        <v>1</v>
      </c>
      <c r="AK1839">
        <v>11</v>
      </c>
      <c r="AL1839" t="s">
        <v>332</v>
      </c>
      <c r="AM1839" t="s">
        <v>333</v>
      </c>
      <c r="AN1839" t="s">
        <v>334</v>
      </c>
      <c r="AO1839" t="s">
        <v>8553</v>
      </c>
      <c r="AP1839" t="s">
        <v>8554</v>
      </c>
      <c r="AQ1839" t="s">
        <v>74</v>
      </c>
      <c r="AR1839" t="s">
        <v>8555</v>
      </c>
      <c r="AS1839" t="s">
        <v>8556</v>
      </c>
      <c r="AT1839" t="s">
        <v>21095</v>
      </c>
      <c r="AU1839">
        <v>2021</v>
      </c>
      <c r="AV1839" t="s">
        <v>74</v>
      </c>
      <c r="AW1839" t="s">
        <v>74</v>
      </c>
      <c r="AX1839" t="s">
        <v>74</v>
      </c>
      <c r="AY1839" t="s">
        <v>74</v>
      </c>
      <c r="AZ1839" t="s">
        <v>74</v>
      </c>
      <c r="BA1839" t="s">
        <v>74</v>
      </c>
      <c r="BB1839" t="s">
        <v>74</v>
      </c>
      <c r="BC1839" t="s">
        <v>74</v>
      </c>
      <c r="BD1839" t="s">
        <v>74</v>
      </c>
      <c r="BE1839" t="s">
        <v>21094</v>
      </c>
      <c r="BF1839" t="str">
        <f>HYPERLINK("http://dx.doi.org/10.1080/20430795.2021.1953929","http://dx.doi.org/10.1080/20430795.2021.1953929")</f>
        <v>http://dx.doi.org/10.1080/20430795.2021.1953929</v>
      </c>
      <c r="BG1839" t="s">
        <v>74</v>
      </c>
      <c r="BH1839" t="s">
        <v>11151</v>
      </c>
      <c r="BI1839">
        <v>16</v>
      </c>
      <c r="BJ1839" t="s">
        <v>8558</v>
      </c>
      <c r="BK1839" t="s">
        <v>313</v>
      </c>
      <c r="BL1839" t="s">
        <v>650</v>
      </c>
      <c r="BM1839" t="s">
        <v>21093</v>
      </c>
      <c r="BN1839" t="s">
        <v>74</v>
      </c>
      <c r="BO1839" t="s">
        <v>74</v>
      </c>
      <c r="BP1839" t="s">
        <v>74</v>
      </c>
      <c r="BQ1839" t="s">
        <v>74</v>
      </c>
      <c r="BR1839" t="s">
        <v>102</v>
      </c>
      <c r="BS1839" t="s">
        <v>21092</v>
      </c>
      <c r="BT1839" t="str">
        <f>HYPERLINK("https%3A%2F%2Fwww.webofscience.com%2Fwos%2Fwoscc%2Ffull-record%2FWOS:000678411300001","View Full Record in Web of Science")</f>
        <v>View Full Record in Web of Science</v>
      </c>
    </row>
    <row r="1840" spans="1:72" x14ac:dyDescent="0.25">
      <c r="A1840" t="s">
        <v>72</v>
      </c>
      <c r="B1840" t="s">
        <v>21091</v>
      </c>
      <c r="C1840" t="s">
        <v>74</v>
      </c>
      <c r="D1840" t="s">
        <v>74</v>
      </c>
      <c r="E1840" t="s">
        <v>74</v>
      </c>
      <c r="F1840" t="s">
        <v>21090</v>
      </c>
      <c r="G1840" t="s">
        <v>74</v>
      </c>
      <c r="H1840" t="s">
        <v>74</v>
      </c>
      <c r="I1840" t="s">
        <v>21089</v>
      </c>
      <c r="J1840" t="s">
        <v>21077</v>
      </c>
      <c r="K1840" t="s">
        <v>74</v>
      </c>
      <c r="L1840" t="s">
        <v>74</v>
      </c>
      <c r="M1840" t="s">
        <v>78</v>
      </c>
      <c r="N1840" t="s">
        <v>79</v>
      </c>
      <c r="O1840" t="s">
        <v>74</v>
      </c>
      <c r="P1840" t="s">
        <v>74</v>
      </c>
      <c r="Q1840" t="s">
        <v>74</v>
      </c>
      <c r="R1840" t="s">
        <v>74</v>
      </c>
      <c r="S1840" t="s">
        <v>74</v>
      </c>
      <c r="T1840" t="s">
        <v>21088</v>
      </c>
      <c r="U1840" t="s">
        <v>74</v>
      </c>
      <c r="V1840" t="s">
        <v>21087</v>
      </c>
      <c r="W1840" t="s">
        <v>21086</v>
      </c>
      <c r="X1840" t="s">
        <v>74</v>
      </c>
      <c r="Y1840" t="s">
        <v>21085</v>
      </c>
      <c r="Z1840" t="s">
        <v>74</v>
      </c>
      <c r="AA1840" t="s">
        <v>21084</v>
      </c>
      <c r="AB1840" t="s">
        <v>1595</v>
      </c>
      <c r="AC1840" t="s">
        <v>21083</v>
      </c>
      <c r="AD1840" t="s">
        <v>21082</v>
      </c>
      <c r="AE1840" t="s">
        <v>21081</v>
      </c>
      <c r="AF1840" t="s">
        <v>74</v>
      </c>
      <c r="AG1840">
        <v>19</v>
      </c>
      <c r="AH1840">
        <v>2</v>
      </c>
      <c r="AI1840">
        <v>2</v>
      </c>
      <c r="AJ1840">
        <v>1</v>
      </c>
      <c r="AK1840">
        <v>9</v>
      </c>
      <c r="AL1840" t="s">
        <v>21080</v>
      </c>
      <c r="AM1840" t="s">
        <v>9793</v>
      </c>
      <c r="AN1840" t="s">
        <v>21079</v>
      </c>
      <c r="AO1840" t="s">
        <v>21078</v>
      </c>
      <c r="AP1840" t="s">
        <v>74</v>
      </c>
      <c r="AQ1840" t="s">
        <v>74</v>
      </c>
      <c r="AR1840" t="s">
        <v>21077</v>
      </c>
      <c r="AS1840" t="s">
        <v>21076</v>
      </c>
      <c r="AT1840" t="s">
        <v>74</v>
      </c>
      <c r="AU1840">
        <v>2018</v>
      </c>
      <c r="AV1840" t="s">
        <v>74</v>
      </c>
      <c r="AW1840" t="s">
        <v>74</v>
      </c>
      <c r="AX1840" t="s">
        <v>74</v>
      </c>
      <c r="AY1840" t="s">
        <v>74</v>
      </c>
      <c r="AZ1840">
        <v>3</v>
      </c>
      <c r="BA1840" t="s">
        <v>74</v>
      </c>
      <c r="BB1840">
        <v>43</v>
      </c>
      <c r="BC1840">
        <v>67</v>
      </c>
      <c r="BD1840" t="s">
        <v>74</v>
      </c>
      <c r="BE1840" t="s">
        <v>74</v>
      </c>
      <c r="BF1840" t="s">
        <v>74</v>
      </c>
      <c r="BG1840" t="s">
        <v>74</v>
      </c>
      <c r="BH1840" t="s">
        <v>74</v>
      </c>
      <c r="BI1840">
        <v>25</v>
      </c>
      <c r="BJ1840" t="s">
        <v>9799</v>
      </c>
      <c r="BK1840" t="s">
        <v>2465</v>
      </c>
      <c r="BL1840" t="s">
        <v>9799</v>
      </c>
      <c r="BM1840" t="s">
        <v>21075</v>
      </c>
      <c r="BN1840" t="s">
        <v>74</v>
      </c>
      <c r="BO1840" t="s">
        <v>74</v>
      </c>
      <c r="BP1840" t="s">
        <v>74</v>
      </c>
      <c r="BQ1840" t="s">
        <v>74</v>
      </c>
      <c r="BR1840" t="s">
        <v>102</v>
      </c>
      <c r="BS1840" t="s">
        <v>21074</v>
      </c>
      <c r="BT1840" t="str">
        <f>HYPERLINK("https%3A%2F%2Fwww.webofscience.com%2Fwos%2Fwoscc%2Ffull-record%2FWOS:000456491000002","View Full Record in Web of Science")</f>
        <v>View Full Record in Web of Science</v>
      </c>
    </row>
    <row r="1841" spans="1:72" x14ac:dyDescent="0.25">
      <c r="A1841" t="s">
        <v>72</v>
      </c>
      <c r="B1841" t="s">
        <v>21073</v>
      </c>
      <c r="C1841" t="s">
        <v>74</v>
      </c>
      <c r="D1841" t="s">
        <v>74</v>
      </c>
      <c r="E1841" t="s">
        <v>74</v>
      </c>
      <c r="F1841" t="s">
        <v>21072</v>
      </c>
      <c r="G1841" t="s">
        <v>74</v>
      </c>
      <c r="H1841" t="s">
        <v>74</v>
      </c>
      <c r="I1841" t="s">
        <v>21071</v>
      </c>
      <c r="J1841" t="s">
        <v>12172</v>
      </c>
      <c r="K1841" t="s">
        <v>74</v>
      </c>
      <c r="L1841" t="s">
        <v>74</v>
      </c>
      <c r="M1841" t="s">
        <v>78</v>
      </c>
      <c r="N1841" t="s">
        <v>79</v>
      </c>
      <c r="O1841" t="s">
        <v>74</v>
      </c>
      <c r="P1841" t="s">
        <v>74</v>
      </c>
      <c r="Q1841" t="s">
        <v>74</v>
      </c>
      <c r="R1841" t="s">
        <v>74</v>
      </c>
      <c r="S1841" t="s">
        <v>74</v>
      </c>
      <c r="T1841" t="s">
        <v>21070</v>
      </c>
      <c r="U1841" t="s">
        <v>74</v>
      </c>
      <c r="V1841" t="s">
        <v>21069</v>
      </c>
      <c r="W1841" t="s">
        <v>21068</v>
      </c>
      <c r="X1841" t="s">
        <v>21067</v>
      </c>
      <c r="Y1841" t="s">
        <v>21066</v>
      </c>
      <c r="Z1841" t="s">
        <v>21065</v>
      </c>
      <c r="AA1841" t="s">
        <v>21064</v>
      </c>
      <c r="AB1841" t="s">
        <v>21063</v>
      </c>
      <c r="AC1841" t="s">
        <v>21062</v>
      </c>
      <c r="AD1841" t="s">
        <v>21061</v>
      </c>
      <c r="AE1841" t="s">
        <v>21060</v>
      </c>
      <c r="AF1841" t="s">
        <v>74</v>
      </c>
      <c r="AG1841">
        <v>26</v>
      </c>
      <c r="AH1841">
        <v>3</v>
      </c>
      <c r="AI1841">
        <v>3</v>
      </c>
      <c r="AJ1841">
        <v>1</v>
      </c>
      <c r="AK1841">
        <v>4</v>
      </c>
      <c r="AL1841" t="s">
        <v>757</v>
      </c>
      <c r="AM1841" t="s">
        <v>758</v>
      </c>
      <c r="AN1841" t="s">
        <v>759</v>
      </c>
      <c r="AO1841" t="s">
        <v>12179</v>
      </c>
      <c r="AP1841" t="s">
        <v>74</v>
      </c>
      <c r="AQ1841" t="s">
        <v>74</v>
      </c>
      <c r="AR1841" t="s">
        <v>12172</v>
      </c>
      <c r="AS1841" t="s">
        <v>12180</v>
      </c>
      <c r="AT1841" t="s">
        <v>743</v>
      </c>
      <c r="AU1841">
        <v>2024</v>
      </c>
      <c r="AV1841">
        <v>14</v>
      </c>
      <c r="AW1841">
        <v>2</v>
      </c>
      <c r="AX1841" t="s">
        <v>74</v>
      </c>
      <c r="AY1841" t="s">
        <v>74</v>
      </c>
      <c r="AZ1841" t="s">
        <v>74</v>
      </c>
      <c r="BA1841" t="s">
        <v>74</v>
      </c>
      <c r="BB1841" t="s">
        <v>74</v>
      </c>
      <c r="BC1841" t="s">
        <v>74</v>
      </c>
      <c r="BD1841">
        <v>2.1582440241252268E+16</v>
      </c>
      <c r="BE1841" t="s">
        <v>21059</v>
      </c>
      <c r="BF1841" t="str">
        <f>HYPERLINK("http://dx.doi.org/10.1177/21582440241252268","http://dx.doi.org/10.1177/21582440241252268")</f>
        <v>http://dx.doi.org/10.1177/21582440241252268</v>
      </c>
      <c r="BG1841" t="s">
        <v>74</v>
      </c>
      <c r="BH1841" t="s">
        <v>74</v>
      </c>
      <c r="BI1841">
        <v>19</v>
      </c>
      <c r="BJ1841" t="s">
        <v>364</v>
      </c>
      <c r="BK1841" t="s">
        <v>99</v>
      </c>
      <c r="BL1841" t="s">
        <v>365</v>
      </c>
      <c r="BM1841" t="s">
        <v>21058</v>
      </c>
      <c r="BN1841" t="s">
        <v>74</v>
      </c>
      <c r="BO1841" t="s">
        <v>212</v>
      </c>
      <c r="BP1841" t="s">
        <v>74</v>
      </c>
      <c r="BQ1841" t="s">
        <v>74</v>
      </c>
      <c r="BR1841" t="s">
        <v>102</v>
      </c>
      <c r="BS1841" t="s">
        <v>21057</v>
      </c>
      <c r="BT1841" t="str">
        <f>HYPERLINK("https%3A%2F%2Fwww.webofscience.com%2Fwos%2Fwoscc%2Ffull-record%2FWOS:001234054900001","View Full Record in Web of Science")</f>
        <v>View Full Record in Web of Science</v>
      </c>
    </row>
    <row r="1842" spans="1:72" x14ac:dyDescent="0.25">
      <c r="A1842" t="s">
        <v>72</v>
      </c>
      <c r="B1842" t="s">
        <v>21056</v>
      </c>
      <c r="C1842" t="s">
        <v>74</v>
      </c>
      <c r="D1842" t="s">
        <v>74</v>
      </c>
      <c r="E1842" t="s">
        <v>74</v>
      </c>
      <c r="F1842" t="s">
        <v>21055</v>
      </c>
      <c r="G1842" t="s">
        <v>74</v>
      </c>
      <c r="H1842" t="s">
        <v>74</v>
      </c>
      <c r="I1842" t="s">
        <v>21054</v>
      </c>
      <c r="J1842" t="s">
        <v>7728</v>
      </c>
      <c r="K1842" t="s">
        <v>74</v>
      </c>
      <c r="L1842" t="s">
        <v>74</v>
      </c>
      <c r="M1842" t="s">
        <v>78</v>
      </c>
      <c r="N1842" t="s">
        <v>79</v>
      </c>
      <c r="O1842" t="s">
        <v>74</v>
      </c>
      <c r="P1842" t="s">
        <v>74</v>
      </c>
      <c r="Q1842" t="s">
        <v>74</v>
      </c>
      <c r="R1842" t="s">
        <v>74</v>
      </c>
      <c r="S1842" t="s">
        <v>74</v>
      </c>
      <c r="T1842" t="s">
        <v>21053</v>
      </c>
      <c r="U1842" t="s">
        <v>74</v>
      </c>
      <c r="V1842" t="s">
        <v>21052</v>
      </c>
      <c r="W1842" t="s">
        <v>21051</v>
      </c>
      <c r="X1842" t="s">
        <v>3513</v>
      </c>
      <c r="Y1842" t="s">
        <v>3514</v>
      </c>
      <c r="Z1842" t="s">
        <v>21050</v>
      </c>
      <c r="AA1842" t="s">
        <v>21049</v>
      </c>
      <c r="AB1842" t="s">
        <v>21048</v>
      </c>
      <c r="AC1842" t="s">
        <v>74</v>
      </c>
      <c r="AD1842" t="s">
        <v>74</v>
      </c>
      <c r="AE1842" t="s">
        <v>74</v>
      </c>
      <c r="AF1842" t="s">
        <v>74</v>
      </c>
      <c r="AG1842">
        <v>46</v>
      </c>
      <c r="AH1842">
        <v>5</v>
      </c>
      <c r="AI1842">
        <v>5</v>
      </c>
      <c r="AJ1842">
        <v>0</v>
      </c>
      <c r="AK1842">
        <v>0</v>
      </c>
      <c r="AL1842" t="s">
        <v>2371</v>
      </c>
      <c r="AM1842" t="s">
        <v>2372</v>
      </c>
      <c r="AN1842" t="s">
        <v>2373</v>
      </c>
      <c r="AO1842" t="s">
        <v>7738</v>
      </c>
      <c r="AP1842" t="s">
        <v>7739</v>
      </c>
      <c r="AQ1842" t="s">
        <v>74</v>
      </c>
      <c r="AR1842" t="s">
        <v>7740</v>
      </c>
      <c r="AS1842" t="s">
        <v>7741</v>
      </c>
      <c r="AT1842" t="s">
        <v>74</v>
      </c>
      <c r="AU1842">
        <v>2023</v>
      </c>
      <c r="AV1842">
        <v>28</v>
      </c>
      <c r="AW1842">
        <v>4</v>
      </c>
      <c r="AX1842" t="s">
        <v>74</v>
      </c>
      <c r="AY1842" t="s">
        <v>74</v>
      </c>
      <c r="AZ1842" t="s">
        <v>74</v>
      </c>
      <c r="BA1842" t="s">
        <v>74</v>
      </c>
      <c r="BB1842">
        <v>447</v>
      </c>
      <c r="BC1842">
        <v>468</v>
      </c>
      <c r="BD1842" t="s">
        <v>74</v>
      </c>
      <c r="BE1842" t="s">
        <v>21047</v>
      </c>
      <c r="BF1842" t="str">
        <f>HYPERLINK("http://dx.doi.org/10.1504/GBER.2023.131195","http://dx.doi.org/10.1504/GBER.2023.131195")</f>
        <v>http://dx.doi.org/10.1504/GBER.2023.131195</v>
      </c>
      <c r="BG1842" t="s">
        <v>74</v>
      </c>
      <c r="BH1842" t="s">
        <v>74</v>
      </c>
      <c r="BI1842">
        <v>22</v>
      </c>
      <c r="BJ1842" t="s">
        <v>1453</v>
      </c>
      <c r="BK1842" t="s">
        <v>313</v>
      </c>
      <c r="BL1842" t="s">
        <v>100</v>
      </c>
      <c r="BM1842" t="s">
        <v>21046</v>
      </c>
      <c r="BN1842" t="s">
        <v>74</v>
      </c>
      <c r="BO1842" t="s">
        <v>74</v>
      </c>
      <c r="BP1842" t="s">
        <v>74</v>
      </c>
      <c r="BQ1842" t="s">
        <v>74</v>
      </c>
      <c r="BR1842" t="s">
        <v>102</v>
      </c>
      <c r="BS1842" t="s">
        <v>21045</v>
      </c>
      <c r="BT1842" t="str">
        <f>HYPERLINK("https%3A%2F%2Fwww.webofscience.com%2Fwos%2Fwoscc%2Ffull-record%2FWOS:001553561400001","View Full Record in Web of Science")</f>
        <v>View Full Record in Web of Science</v>
      </c>
    </row>
    <row r="1843" spans="1:72" x14ac:dyDescent="0.25">
      <c r="A1843" t="s">
        <v>72</v>
      </c>
      <c r="B1843" t="s">
        <v>21044</v>
      </c>
      <c r="C1843" t="s">
        <v>74</v>
      </c>
      <c r="D1843" t="s">
        <v>74</v>
      </c>
      <c r="E1843" t="s">
        <v>74</v>
      </c>
      <c r="F1843" t="s">
        <v>21043</v>
      </c>
      <c r="G1843" t="s">
        <v>74</v>
      </c>
      <c r="H1843" t="s">
        <v>74</v>
      </c>
      <c r="I1843" t="s">
        <v>21042</v>
      </c>
      <c r="J1843" t="s">
        <v>7220</v>
      </c>
      <c r="K1843" t="s">
        <v>74</v>
      </c>
      <c r="L1843" t="s">
        <v>74</v>
      </c>
      <c r="M1843" t="s">
        <v>78</v>
      </c>
      <c r="N1843" t="s">
        <v>79</v>
      </c>
      <c r="O1843" t="s">
        <v>74</v>
      </c>
      <c r="P1843" t="s">
        <v>74</v>
      </c>
      <c r="Q1843" t="s">
        <v>74</v>
      </c>
      <c r="R1843" t="s">
        <v>74</v>
      </c>
      <c r="S1843" t="s">
        <v>74</v>
      </c>
      <c r="T1843" t="s">
        <v>21041</v>
      </c>
      <c r="U1843" t="s">
        <v>74</v>
      </c>
      <c r="V1843" t="s">
        <v>21040</v>
      </c>
      <c r="W1843" t="s">
        <v>21039</v>
      </c>
      <c r="X1843" t="s">
        <v>9303</v>
      </c>
      <c r="Y1843" t="s">
        <v>21038</v>
      </c>
      <c r="Z1843" t="s">
        <v>21037</v>
      </c>
      <c r="AA1843" t="s">
        <v>74</v>
      </c>
      <c r="AB1843" t="s">
        <v>21036</v>
      </c>
      <c r="AC1843" t="s">
        <v>74</v>
      </c>
      <c r="AD1843" t="s">
        <v>74</v>
      </c>
      <c r="AE1843" t="s">
        <v>74</v>
      </c>
      <c r="AF1843" t="s">
        <v>74</v>
      </c>
      <c r="AG1843">
        <v>92</v>
      </c>
      <c r="AH1843">
        <v>6</v>
      </c>
      <c r="AI1843">
        <v>10</v>
      </c>
      <c r="AJ1843">
        <v>1</v>
      </c>
      <c r="AK1843">
        <v>21</v>
      </c>
      <c r="AL1843" t="s">
        <v>89</v>
      </c>
      <c r="AM1843" t="s">
        <v>1497</v>
      </c>
      <c r="AN1843" t="s">
        <v>1498</v>
      </c>
      <c r="AO1843" t="s">
        <v>7230</v>
      </c>
      <c r="AP1843" t="s">
        <v>7231</v>
      </c>
      <c r="AQ1843" t="s">
        <v>74</v>
      </c>
      <c r="AR1843" t="s">
        <v>7232</v>
      </c>
      <c r="AS1843" t="s">
        <v>7233</v>
      </c>
      <c r="AT1843" t="s">
        <v>4611</v>
      </c>
      <c r="AU1843">
        <v>2022</v>
      </c>
      <c r="AV1843">
        <v>38</v>
      </c>
      <c r="AW1843">
        <v>4</v>
      </c>
      <c r="AX1843" t="s">
        <v>74</v>
      </c>
      <c r="AY1843" t="s">
        <v>74</v>
      </c>
      <c r="AZ1843" t="s">
        <v>74</v>
      </c>
      <c r="BA1843" t="s">
        <v>74</v>
      </c>
      <c r="BB1843">
        <v>581</v>
      </c>
      <c r="BC1843">
        <v>601</v>
      </c>
      <c r="BD1843" t="s">
        <v>74</v>
      </c>
      <c r="BE1843" t="s">
        <v>21035</v>
      </c>
      <c r="BF1843" t="str">
        <f>HYPERLINK("http://dx.doi.org/10.1108/JEAS-08-2020-0147","http://dx.doi.org/10.1108/JEAS-08-2020-0147")</f>
        <v>http://dx.doi.org/10.1108/JEAS-08-2020-0147</v>
      </c>
      <c r="BG1843" t="s">
        <v>74</v>
      </c>
      <c r="BH1843" t="s">
        <v>443</v>
      </c>
      <c r="BI1843">
        <v>21</v>
      </c>
      <c r="BJ1843" t="s">
        <v>291</v>
      </c>
      <c r="BK1843" t="s">
        <v>313</v>
      </c>
      <c r="BL1843" t="s">
        <v>100</v>
      </c>
      <c r="BM1843" t="s">
        <v>21034</v>
      </c>
      <c r="BN1843" t="s">
        <v>74</v>
      </c>
      <c r="BO1843" t="s">
        <v>74</v>
      </c>
      <c r="BP1843" t="s">
        <v>74</v>
      </c>
      <c r="BQ1843" t="s">
        <v>74</v>
      </c>
      <c r="BR1843" t="s">
        <v>102</v>
      </c>
      <c r="BS1843" t="s">
        <v>21033</v>
      </c>
      <c r="BT1843" t="str">
        <f>HYPERLINK("https%3A%2F%2Fwww.webofscience.com%2Fwos%2Fwoscc%2Ffull-record%2FWOS:000637278500001","View Full Record in Web of Science")</f>
        <v>View Full Record in Web of Science</v>
      </c>
    </row>
    <row r="1844" spans="1:72" x14ac:dyDescent="0.25">
      <c r="A1844" t="s">
        <v>72</v>
      </c>
      <c r="B1844" t="s">
        <v>21032</v>
      </c>
      <c r="C1844" t="s">
        <v>74</v>
      </c>
      <c r="D1844" t="s">
        <v>74</v>
      </c>
      <c r="E1844" t="s">
        <v>74</v>
      </c>
      <c r="F1844" t="s">
        <v>21031</v>
      </c>
      <c r="G1844" t="s">
        <v>74</v>
      </c>
      <c r="H1844" t="s">
        <v>74</v>
      </c>
      <c r="I1844" t="s">
        <v>21030</v>
      </c>
      <c r="J1844" t="s">
        <v>21029</v>
      </c>
      <c r="K1844" t="s">
        <v>74</v>
      </c>
      <c r="L1844" t="s">
        <v>74</v>
      </c>
      <c r="M1844" t="s">
        <v>298</v>
      </c>
      <c r="N1844" t="s">
        <v>79</v>
      </c>
      <c r="O1844" t="s">
        <v>74</v>
      </c>
      <c r="P1844" t="s">
        <v>74</v>
      </c>
      <c r="Q1844" t="s">
        <v>74</v>
      </c>
      <c r="R1844" t="s">
        <v>74</v>
      </c>
      <c r="S1844" t="s">
        <v>74</v>
      </c>
      <c r="T1844" t="s">
        <v>21028</v>
      </c>
      <c r="U1844" t="s">
        <v>74</v>
      </c>
      <c r="V1844" t="s">
        <v>21027</v>
      </c>
      <c r="W1844" t="s">
        <v>21026</v>
      </c>
      <c r="X1844" t="s">
        <v>21025</v>
      </c>
      <c r="Y1844" t="s">
        <v>21024</v>
      </c>
      <c r="Z1844" t="s">
        <v>21023</v>
      </c>
      <c r="AA1844" t="s">
        <v>74</v>
      </c>
      <c r="AB1844" t="s">
        <v>74</v>
      </c>
      <c r="AC1844" t="s">
        <v>74</v>
      </c>
      <c r="AD1844" t="s">
        <v>74</v>
      </c>
      <c r="AE1844" t="s">
        <v>74</v>
      </c>
      <c r="AF1844" t="s">
        <v>74</v>
      </c>
      <c r="AG1844">
        <v>40</v>
      </c>
      <c r="AH1844">
        <v>0</v>
      </c>
      <c r="AI1844">
        <v>0</v>
      </c>
      <c r="AJ1844">
        <v>0</v>
      </c>
      <c r="AK1844">
        <v>0</v>
      </c>
      <c r="AL1844" t="s">
        <v>9604</v>
      </c>
      <c r="AM1844" t="s">
        <v>9605</v>
      </c>
      <c r="AN1844" t="s">
        <v>9606</v>
      </c>
      <c r="AO1844" t="s">
        <v>21022</v>
      </c>
      <c r="AP1844" t="s">
        <v>74</v>
      </c>
      <c r="AQ1844" t="s">
        <v>74</v>
      </c>
      <c r="AR1844" t="s">
        <v>21021</v>
      </c>
      <c r="AS1844" t="s">
        <v>21020</v>
      </c>
      <c r="AT1844" t="s">
        <v>7020</v>
      </c>
      <c r="AU1844">
        <v>2025</v>
      </c>
      <c r="AV1844">
        <v>41</v>
      </c>
      <c r="AW1844">
        <v>174</v>
      </c>
      <c r="AX1844" t="s">
        <v>74</v>
      </c>
      <c r="AY1844" t="s">
        <v>74</v>
      </c>
      <c r="AZ1844" t="s">
        <v>74</v>
      </c>
      <c r="BA1844" t="s">
        <v>74</v>
      </c>
      <c r="BB1844">
        <v>105</v>
      </c>
      <c r="BC1844">
        <v>118</v>
      </c>
      <c r="BD1844" t="s">
        <v>74</v>
      </c>
      <c r="BE1844" t="s">
        <v>21019</v>
      </c>
      <c r="BF1844" t="str">
        <f>HYPERLINK("http://dx.doi.org/10.18046/j.estger.2025.174.7245","http://dx.doi.org/10.18046/j.estger.2025.174.7245")</f>
        <v>http://dx.doi.org/10.18046/j.estger.2025.174.7245</v>
      </c>
      <c r="BG1844" t="s">
        <v>74</v>
      </c>
      <c r="BH1844" t="s">
        <v>74</v>
      </c>
      <c r="BI1844">
        <v>14</v>
      </c>
      <c r="BJ1844" t="s">
        <v>291</v>
      </c>
      <c r="BK1844" t="s">
        <v>313</v>
      </c>
      <c r="BL1844" t="s">
        <v>100</v>
      </c>
      <c r="BM1844" t="s">
        <v>21018</v>
      </c>
      <c r="BN1844" t="s">
        <v>74</v>
      </c>
      <c r="BO1844" t="s">
        <v>74</v>
      </c>
      <c r="BP1844" t="s">
        <v>74</v>
      </c>
      <c r="BQ1844" t="s">
        <v>74</v>
      </c>
      <c r="BR1844" t="s">
        <v>102</v>
      </c>
      <c r="BS1844" t="s">
        <v>21017</v>
      </c>
      <c r="BT1844" t="str">
        <f>HYPERLINK("https%3A%2F%2Fwww.webofscience.com%2Fwos%2Fwoscc%2Ffull-record%2FWOS:001517423300008","View Full Record in Web of Science")</f>
        <v>View Full Record in Web of Science</v>
      </c>
    </row>
    <row r="1845" spans="1:72" x14ac:dyDescent="0.25">
      <c r="A1845" t="s">
        <v>72</v>
      </c>
      <c r="B1845" t="s">
        <v>21016</v>
      </c>
      <c r="C1845" t="s">
        <v>74</v>
      </c>
      <c r="D1845" t="s">
        <v>74</v>
      </c>
      <c r="E1845" t="s">
        <v>74</v>
      </c>
      <c r="F1845" t="s">
        <v>21015</v>
      </c>
      <c r="G1845" t="s">
        <v>74</v>
      </c>
      <c r="H1845" t="s">
        <v>74</v>
      </c>
      <c r="I1845" t="s">
        <v>21014</v>
      </c>
      <c r="J1845" t="s">
        <v>1412</v>
      </c>
      <c r="K1845" t="s">
        <v>74</v>
      </c>
      <c r="L1845" t="s">
        <v>74</v>
      </c>
      <c r="M1845" t="s">
        <v>78</v>
      </c>
      <c r="N1845" t="s">
        <v>79</v>
      </c>
      <c r="O1845" t="s">
        <v>74</v>
      </c>
      <c r="P1845" t="s">
        <v>74</v>
      </c>
      <c r="Q1845" t="s">
        <v>74</v>
      </c>
      <c r="R1845" t="s">
        <v>74</v>
      </c>
      <c r="S1845" t="s">
        <v>74</v>
      </c>
      <c r="T1845" t="s">
        <v>21013</v>
      </c>
      <c r="U1845" t="s">
        <v>21012</v>
      </c>
      <c r="V1845" t="s">
        <v>21011</v>
      </c>
      <c r="W1845" t="s">
        <v>21010</v>
      </c>
      <c r="X1845" t="s">
        <v>21009</v>
      </c>
      <c r="Y1845" t="s">
        <v>21008</v>
      </c>
      <c r="Z1845" t="s">
        <v>21007</v>
      </c>
      <c r="AA1845" t="s">
        <v>74</v>
      </c>
      <c r="AB1845" t="s">
        <v>74</v>
      </c>
      <c r="AC1845" t="s">
        <v>74</v>
      </c>
      <c r="AD1845" t="s">
        <v>74</v>
      </c>
      <c r="AE1845" t="s">
        <v>74</v>
      </c>
      <c r="AF1845" t="s">
        <v>74</v>
      </c>
      <c r="AG1845">
        <v>94</v>
      </c>
      <c r="AH1845">
        <v>12</v>
      </c>
      <c r="AI1845">
        <v>19</v>
      </c>
      <c r="AJ1845">
        <v>9</v>
      </c>
      <c r="AK1845">
        <v>29</v>
      </c>
      <c r="AL1845" t="s">
        <v>332</v>
      </c>
      <c r="AM1845" t="s">
        <v>333</v>
      </c>
      <c r="AN1845" t="s">
        <v>334</v>
      </c>
      <c r="AO1845" t="s">
        <v>1423</v>
      </c>
      <c r="AP1845" t="s">
        <v>1424</v>
      </c>
      <c r="AQ1845" t="s">
        <v>74</v>
      </c>
      <c r="AR1845" t="s">
        <v>1425</v>
      </c>
      <c r="AS1845" t="s">
        <v>1426</v>
      </c>
      <c r="AT1845" t="s">
        <v>5028</v>
      </c>
      <c r="AU1845">
        <v>2023</v>
      </c>
      <c r="AV1845">
        <v>29</v>
      </c>
      <c r="AW1845">
        <v>4</v>
      </c>
      <c r="AX1845" t="s">
        <v>74</v>
      </c>
      <c r="AY1845" t="s">
        <v>74</v>
      </c>
      <c r="AZ1845" t="s">
        <v>74</v>
      </c>
      <c r="BA1845" t="s">
        <v>74</v>
      </c>
      <c r="BB1845">
        <v>582</v>
      </c>
      <c r="BC1845">
        <v>606</v>
      </c>
      <c r="BD1845" t="s">
        <v>74</v>
      </c>
      <c r="BE1845" t="s">
        <v>21006</v>
      </c>
      <c r="BF1845" t="str">
        <f>HYPERLINK("http://dx.doi.org/10.1080/02681102.2023.2199189","http://dx.doi.org/10.1080/02681102.2023.2199189")</f>
        <v>http://dx.doi.org/10.1080/02681102.2023.2199189</v>
      </c>
      <c r="BG1845" t="s">
        <v>74</v>
      </c>
      <c r="BH1845" t="s">
        <v>6418</v>
      </c>
      <c r="BI1845">
        <v>25</v>
      </c>
      <c r="BJ1845" t="s">
        <v>1429</v>
      </c>
      <c r="BK1845" t="s">
        <v>99</v>
      </c>
      <c r="BL1845" t="s">
        <v>1429</v>
      </c>
      <c r="BM1845" t="s">
        <v>21005</v>
      </c>
      <c r="BN1845" t="s">
        <v>74</v>
      </c>
      <c r="BO1845" t="s">
        <v>270</v>
      </c>
      <c r="BP1845" t="s">
        <v>74</v>
      </c>
      <c r="BQ1845" t="s">
        <v>74</v>
      </c>
      <c r="BR1845" t="s">
        <v>102</v>
      </c>
      <c r="BS1845" t="s">
        <v>21004</v>
      </c>
      <c r="BT1845" t="str">
        <f>HYPERLINK("https%3A%2F%2Fwww.webofscience.com%2Fwos%2Fwoscc%2Ffull-record%2FWOS:000982780600001","View Full Record in Web of Science")</f>
        <v>View Full Record in Web of Science</v>
      </c>
    </row>
    <row r="1846" spans="1:72" x14ac:dyDescent="0.25">
      <c r="A1846" t="s">
        <v>72</v>
      </c>
      <c r="B1846" t="s">
        <v>21003</v>
      </c>
      <c r="C1846" t="s">
        <v>74</v>
      </c>
      <c r="D1846" t="s">
        <v>74</v>
      </c>
      <c r="E1846" t="s">
        <v>74</v>
      </c>
      <c r="F1846" t="s">
        <v>21002</v>
      </c>
      <c r="G1846" t="s">
        <v>74</v>
      </c>
      <c r="H1846" t="s">
        <v>74</v>
      </c>
      <c r="I1846" t="s">
        <v>21001</v>
      </c>
      <c r="J1846" t="s">
        <v>3439</v>
      </c>
      <c r="K1846" t="s">
        <v>74</v>
      </c>
      <c r="L1846" t="s">
        <v>74</v>
      </c>
      <c r="M1846" t="s">
        <v>78</v>
      </c>
      <c r="N1846" t="s">
        <v>79</v>
      </c>
      <c r="O1846" t="s">
        <v>74</v>
      </c>
      <c r="P1846" t="s">
        <v>74</v>
      </c>
      <c r="Q1846" t="s">
        <v>74</v>
      </c>
      <c r="R1846" t="s">
        <v>74</v>
      </c>
      <c r="S1846" t="s">
        <v>74</v>
      </c>
      <c r="T1846" t="s">
        <v>21000</v>
      </c>
      <c r="U1846" t="s">
        <v>20999</v>
      </c>
      <c r="V1846" t="s">
        <v>20998</v>
      </c>
      <c r="W1846" t="s">
        <v>20997</v>
      </c>
      <c r="X1846" t="s">
        <v>7109</v>
      </c>
      <c r="Y1846" t="s">
        <v>20996</v>
      </c>
      <c r="Z1846" t="s">
        <v>14438</v>
      </c>
      <c r="AA1846" t="s">
        <v>20995</v>
      </c>
      <c r="AB1846" t="s">
        <v>20994</v>
      </c>
      <c r="AC1846" t="s">
        <v>74</v>
      </c>
      <c r="AD1846" t="s">
        <v>74</v>
      </c>
      <c r="AE1846" t="s">
        <v>74</v>
      </c>
      <c r="AF1846" t="s">
        <v>74</v>
      </c>
      <c r="AG1846">
        <v>51</v>
      </c>
      <c r="AH1846">
        <v>5</v>
      </c>
      <c r="AI1846">
        <v>6</v>
      </c>
      <c r="AJ1846">
        <v>1</v>
      </c>
      <c r="AK1846">
        <v>4</v>
      </c>
      <c r="AL1846" t="s">
        <v>823</v>
      </c>
      <c r="AM1846" t="s">
        <v>333</v>
      </c>
      <c r="AN1846" t="s">
        <v>824</v>
      </c>
      <c r="AO1846" t="s">
        <v>3443</v>
      </c>
      <c r="AP1846" t="s">
        <v>74</v>
      </c>
      <c r="AQ1846" t="s">
        <v>74</v>
      </c>
      <c r="AR1846" t="s">
        <v>3444</v>
      </c>
      <c r="AS1846" t="s">
        <v>3445</v>
      </c>
      <c r="AT1846" t="s">
        <v>2970</v>
      </c>
      <c r="AU1846">
        <v>2024</v>
      </c>
      <c r="AV1846">
        <v>12</v>
      </c>
      <c r="AW1846">
        <v>1</v>
      </c>
      <c r="AX1846" t="s">
        <v>74</v>
      </c>
      <c r="AY1846" t="s">
        <v>74</v>
      </c>
      <c r="AZ1846" t="s">
        <v>74</v>
      </c>
      <c r="BA1846" t="s">
        <v>74</v>
      </c>
      <c r="BB1846" t="s">
        <v>74</v>
      </c>
      <c r="BC1846" t="s">
        <v>74</v>
      </c>
      <c r="BD1846">
        <v>2437005</v>
      </c>
      <c r="BE1846" t="s">
        <v>20993</v>
      </c>
      <c r="BF1846" t="str">
        <f>HYPERLINK("http://dx.doi.org/10.1080/23322039.2024.2437005","http://dx.doi.org/10.1080/23322039.2024.2437005")</f>
        <v>http://dx.doi.org/10.1080/23322039.2024.2437005</v>
      </c>
      <c r="BG1846" t="s">
        <v>74</v>
      </c>
      <c r="BH1846" t="s">
        <v>74</v>
      </c>
      <c r="BI1846">
        <v>20</v>
      </c>
      <c r="BJ1846" t="s">
        <v>291</v>
      </c>
      <c r="BK1846" t="s">
        <v>313</v>
      </c>
      <c r="BL1846" t="s">
        <v>100</v>
      </c>
      <c r="BM1846" t="s">
        <v>20992</v>
      </c>
      <c r="BN1846" t="s">
        <v>74</v>
      </c>
      <c r="BO1846" t="s">
        <v>916</v>
      </c>
      <c r="BP1846" t="s">
        <v>74</v>
      </c>
      <c r="BQ1846" t="s">
        <v>74</v>
      </c>
      <c r="BR1846" t="s">
        <v>102</v>
      </c>
      <c r="BS1846" t="s">
        <v>20991</v>
      </c>
      <c r="BT1846" t="str">
        <f>HYPERLINK("https%3A%2F%2Fwww.webofscience.com%2Fwos%2Fwoscc%2Ffull-record%2FWOS:001372841300001","View Full Record in Web of Science")</f>
        <v>View Full Record in Web of Science</v>
      </c>
    </row>
    <row r="1847" spans="1:72" x14ac:dyDescent="0.25">
      <c r="A1847" t="s">
        <v>72</v>
      </c>
      <c r="B1847" t="s">
        <v>20990</v>
      </c>
      <c r="C1847" t="s">
        <v>74</v>
      </c>
      <c r="D1847" t="s">
        <v>74</v>
      </c>
      <c r="E1847" t="s">
        <v>74</v>
      </c>
      <c r="F1847" t="s">
        <v>20989</v>
      </c>
      <c r="G1847" t="s">
        <v>74</v>
      </c>
      <c r="H1847" t="s">
        <v>74</v>
      </c>
      <c r="I1847" t="s">
        <v>20988</v>
      </c>
      <c r="J1847" t="s">
        <v>18779</v>
      </c>
      <c r="K1847" t="s">
        <v>74</v>
      </c>
      <c r="L1847" t="s">
        <v>74</v>
      </c>
      <c r="M1847" t="s">
        <v>78</v>
      </c>
      <c r="N1847" t="s">
        <v>79</v>
      </c>
      <c r="O1847" t="s">
        <v>74</v>
      </c>
      <c r="P1847" t="s">
        <v>74</v>
      </c>
      <c r="Q1847" t="s">
        <v>74</v>
      </c>
      <c r="R1847" t="s">
        <v>74</v>
      </c>
      <c r="S1847" t="s">
        <v>74</v>
      </c>
      <c r="T1847" t="s">
        <v>20987</v>
      </c>
      <c r="U1847" t="s">
        <v>20986</v>
      </c>
      <c r="V1847" t="s">
        <v>20985</v>
      </c>
      <c r="W1847" t="s">
        <v>20984</v>
      </c>
      <c r="X1847" t="s">
        <v>20983</v>
      </c>
      <c r="Y1847" t="s">
        <v>20982</v>
      </c>
      <c r="Z1847" t="s">
        <v>20981</v>
      </c>
      <c r="AA1847" t="s">
        <v>20980</v>
      </c>
      <c r="AB1847" t="s">
        <v>20979</v>
      </c>
      <c r="AC1847" t="s">
        <v>74</v>
      </c>
      <c r="AD1847" t="s">
        <v>74</v>
      </c>
      <c r="AE1847" t="s">
        <v>74</v>
      </c>
      <c r="AF1847" t="s">
        <v>74</v>
      </c>
      <c r="AG1847">
        <v>77</v>
      </c>
      <c r="AH1847">
        <v>23</v>
      </c>
      <c r="AI1847">
        <v>25</v>
      </c>
      <c r="AJ1847">
        <v>1</v>
      </c>
      <c r="AK1847">
        <v>23</v>
      </c>
      <c r="AL1847" t="s">
        <v>230</v>
      </c>
      <c r="AM1847" t="s">
        <v>231</v>
      </c>
      <c r="AN1847" t="s">
        <v>232</v>
      </c>
      <c r="AO1847" t="s">
        <v>18771</v>
      </c>
      <c r="AP1847" t="s">
        <v>18770</v>
      </c>
      <c r="AQ1847" t="s">
        <v>74</v>
      </c>
      <c r="AR1847" t="s">
        <v>18769</v>
      </c>
      <c r="AS1847" t="s">
        <v>18768</v>
      </c>
      <c r="AT1847" t="s">
        <v>1159</v>
      </c>
      <c r="AU1847">
        <v>2022</v>
      </c>
      <c r="AV1847">
        <v>198</v>
      </c>
      <c r="AW1847" t="s">
        <v>74</v>
      </c>
      <c r="AX1847" t="s">
        <v>74</v>
      </c>
      <c r="AY1847" t="s">
        <v>74</v>
      </c>
      <c r="AZ1847" t="s">
        <v>74</v>
      </c>
      <c r="BA1847" t="s">
        <v>74</v>
      </c>
      <c r="BB1847">
        <v>984</v>
      </c>
      <c r="BC1847">
        <v>998</v>
      </c>
      <c r="BD1847" t="s">
        <v>74</v>
      </c>
      <c r="BE1847" t="s">
        <v>20978</v>
      </c>
      <c r="BF1847" t="str">
        <f>HYPERLINK("http://dx.doi.org/10.1016/j.renene.2022.08.056","http://dx.doi.org/10.1016/j.renene.2022.08.056")</f>
        <v>http://dx.doi.org/10.1016/j.renene.2022.08.056</v>
      </c>
      <c r="BG1847" t="s">
        <v>74</v>
      </c>
      <c r="BH1847" t="s">
        <v>6014</v>
      </c>
      <c r="BI1847">
        <v>15</v>
      </c>
      <c r="BJ1847" t="s">
        <v>13274</v>
      </c>
      <c r="BK1847" t="s">
        <v>128</v>
      </c>
      <c r="BL1847" t="s">
        <v>13275</v>
      </c>
      <c r="BM1847" t="s">
        <v>20977</v>
      </c>
      <c r="BN1847" t="s">
        <v>74</v>
      </c>
      <c r="BO1847" t="s">
        <v>74</v>
      </c>
      <c r="BP1847" t="s">
        <v>74</v>
      </c>
      <c r="BQ1847" t="s">
        <v>74</v>
      </c>
      <c r="BR1847" t="s">
        <v>102</v>
      </c>
      <c r="BS1847" t="s">
        <v>20976</v>
      </c>
      <c r="BT1847" t="str">
        <f>HYPERLINK("https%3A%2F%2Fwww.webofscience.com%2Fwos%2Fwoscc%2Ffull-record%2FWOS:000860445900006","View Full Record in Web of Science")</f>
        <v>View Full Record in Web of Science</v>
      </c>
    </row>
    <row r="1848" spans="1:72" x14ac:dyDescent="0.25">
      <c r="A1848" t="s">
        <v>8303</v>
      </c>
      <c r="B1848" t="s">
        <v>20975</v>
      </c>
      <c r="C1848" t="s">
        <v>20973</v>
      </c>
      <c r="D1848" t="s">
        <v>74</v>
      </c>
      <c r="E1848" t="s">
        <v>74</v>
      </c>
      <c r="F1848" t="s">
        <v>20974</v>
      </c>
      <c r="G1848" t="s">
        <v>20973</v>
      </c>
      <c r="H1848" t="s">
        <v>74</v>
      </c>
      <c r="I1848" t="s">
        <v>20972</v>
      </c>
      <c r="J1848" t="s">
        <v>20971</v>
      </c>
      <c r="K1848" t="s">
        <v>74</v>
      </c>
      <c r="L1848" t="s">
        <v>74</v>
      </c>
      <c r="M1848" t="s">
        <v>78</v>
      </c>
      <c r="N1848" t="s">
        <v>6023</v>
      </c>
      <c r="O1848" t="s">
        <v>74</v>
      </c>
      <c r="P1848" t="s">
        <v>74</v>
      </c>
      <c r="Q1848" t="s">
        <v>74</v>
      </c>
      <c r="R1848" t="s">
        <v>74</v>
      </c>
      <c r="S1848" t="s">
        <v>74</v>
      </c>
      <c r="T1848" t="s">
        <v>74</v>
      </c>
      <c r="U1848" t="s">
        <v>74</v>
      </c>
      <c r="V1848" t="s">
        <v>20970</v>
      </c>
      <c r="W1848" t="s">
        <v>74</v>
      </c>
      <c r="X1848" t="s">
        <v>74</v>
      </c>
      <c r="Y1848" t="s">
        <v>74</v>
      </c>
      <c r="Z1848" t="s">
        <v>74</v>
      </c>
      <c r="AA1848" t="s">
        <v>74</v>
      </c>
      <c r="AB1848" t="s">
        <v>74</v>
      </c>
      <c r="AC1848" t="s">
        <v>74</v>
      </c>
      <c r="AD1848" t="s">
        <v>74</v>
      </c>
      <c r="AE1848" t="s">
        <v>74</v>
      </c>
      <c r="AF1848" t="s">
        <v>74</v>
      </c>
      <c r="AG1848">
        <v>0</v>
      </c>
      <c r="AH1848">
        <v>0</v>
      </c>
      <c r="AI1848">
        <v>0</v>
      </c>
      <c r="AJ1848">
        <v>0</v>
      </c>
      <c r="AK1848">
        <v>8</v>
      </c>
      <c r="AL1848" t="s">
        <v>16367</v>
      </c>
      <c r="AM1848" t="s">
        <v>2661</v>
      </c>
      <c r="AN1848" t="s">
        <v>16368</v>
      </c>
      <c r="AO1848" t="s">
        <v>74</v>
      </c>
      <c r="AP1848" t="s">
        <v>74</v>
      </c>
      <c r="AQ1848" t="s">
        <v>20969</v>
      </c>
      <c r="AR1848" t="s">
        <v>74</v>
      </c>
      <c r="AS1848" t="s">
        <v>74</v>
      </c>
      <c r="AT1848" t="s">
        <v>74</v>
      </c>
      <c r="AU1848">
        <v>2009</v>
      </c>
      <c r="AV1848" t="s">
        <v>74</v>
      </c>
      <c r="AW1848" t="s">
        <v>74</v>
      </c>
      <c r="AX1848" t="s">
        <v>74</v>
      </c>
      <c r="AY1848" t="s">
        <v>74</v>
      </c>
      <c r="AZ1848" t="s">
        <v>74</v>
      </c>
      <c r="BA1848" t="s">
        <v>74</v>
      </c>
      <c r="BB1848">
        <v>83</v>
      </c>
      <c r="BC1848">
        <v>106</v>
      </c>
      <c r="BD1848" t="s">
        <v>74</v>
      </c>
      <c r="BE1848" t="s">
        <v>74</v>
      </c>
      <c r="BF1848" t="s">
        <v>74</v>
      </c>
      <c r="BG1848" t="s">
        <v>20968</v>
      </c>
      <c r="BH1848" t="s">
        <v>74</v>
      </c>
      <c r="BI1848">
        <v>24</v>
      </c>
      <c r="BJ1848" t="s">
        <v>210</v>
      </c>
      <c r="BK1848" t="s">
        <v>8314</v>
      </c>
      <c r="BL1848" t="s">
        <v>100</v>
      </c>
      <c r="BM1848" t="s">
        <v>20967</v>
      </c>
      <c r="BN1848" t="s">
        <v>74</v>
      </c>
      <c r="BO1848" t="s">
        <v>74</v>
      </c>
      <c r="BP1848" t="s">
        <v>74</v>
      </c>
      <c r="BQ1848" t="s">
        <v>74</v>
      </c>
      <c r="BR1848" t="s">
        <v>102</v>
      </c>
      <c r="BS1848" t="s">
        <v>20966</v>
      </c>
      <c r="BT1848" t="str">
        <f>HYPERLINK("https%3A%2F%2Fwww.webofscience.com%2Fwos%2Fwoscc%2Ffull-record%2FWOS:000304007600003","View Full Record in Web of Science")</f>
        <v>View Full Record in Web of Science</v>
      </c>
    </row>
    <row r="1849" spans="1:72" x14ac:dyDescent="0.25">
      <c r="A1849" t="s">
        <v>72</v>
      </c>
      <c r="B1849" t="s">
        <v>20965</v>
      </c>
      <c r="C1849" t="s">
        <v>74</v>
      </c>
      <c r="D1849" t="s">
        <v>74</v>
      </c>
      <c r="E1849" t="s">
        <v>74</v>
      </c>
      <c r="F1849" t="s">
        <v>20964</v>
      </c>
      <c r="G1849" t="s">
        <v>74</v>
      </c>
      <c r="H1849" t="s">
        <v>74</v>
      </c>
      <c r="I1849" t="s">
        <v>20963</v>
      </c>
      <c r="J1849" t="s">
        <v>20962</v>
      </c>
      <c r="K1849" t="s">
        <v>74</v>
      </c>
      <c r="L1849" t="s">
        <v>74</v>
      </c>
      <c r="M1849" t="s">
        <v>78</v>
      </c>
      <c r="N1849" t="s">
        <v>79</v>
      </c>
      <c r="O1849" t="s">
        <v>74</v>
      </c>
      <c r="P1849" t="s">
        <v>74</v>
      </c>
      <c r="Q1849" t="s">
        <v>74</v>
      </c>
      <c r="R1849" t="s">
        <v>74</v>
      </c>
      <c r="S1849" t="s">
        <v>74</v>
      </c>
      <c r="T1849" t="s">
        <v>20961</v>
      </c>
      <c r="U1849" t="s">
        <v>20960</v>
      </c>
      <c r="V1849" t="s">
        <v>20959</v>
      </c>
      <c r="W1849" t="s">
        <v>20958</v>
      </c>
      <c r="X1849" t="s">
        <v>13249</v>
      </c>
      <c r="Y1849" t="s">
        <v>20957</v>
      </c>
      <c r="Z1849" t="s">
        <v>11412</v>
      </c>
      <c r="AA1849" t="s">
        <v>20956</v>
      </c>
      <c r="AB1849" t="s">
        <v>20955</v>
      </c>
      <c r="AC1849" t="s">
        <v>74</v>
      </c>
      <c r="AD1849" t="s">
        <v>74</v>
      </c>
      <c r="AE1849" t="s">
        <v>74</v>
      </c>
      <c r="AF1849" t="s">
        <v>74</v>
      </c>
      <c r="AG1849">
        <v>39</v>
      </c>
      <c r="AH1849">
        <v>14</v>
      </c>
      <c r="AI1849">
        <v>18</v>
      </c>
      <c r="AJ1849">
        <v>1</v>
      </c>
      <c r="AK1849">
        <v>15</v>
      </c>
      <c r="AL1849" t="s">
        <v>4485</v>
      </c>
      <c r="AM1849" t="s">
        <v>6724</v>
      </c>
      <c r="AN1849" t="s">
        <v>6725</v>
      </c>
      <c r="AO1849" t="s">
        <v>20954</v>
      </c>
      <c r="AP1849" t="s">
        <v>74</v>
      </c>
      <c r="AQ1849" t="s">
        <v>74</v>
      </c>
      <c r="AR1849" t="s">
        <v>20953</v>
      </c>
      <c r="AS1849" t="s">
        <v>20952</v>
      </c>
      <c r="AT1849" t="s">
        <v>605</v>
      </c>
      <c r="AU1849">
        <v>2022</v>
      </c>
      <c r="AV1849">
        <v>16</v>
      </c>
      <c r="AW1849">
        <v>3</v>
      </c>
      <c r="AX1849" t="s">
        <v>74</v>
      </c>
      <c r="AY1849" t="s">
        <v>74</v>
      </c>
      <c r="AZ1849" t="s">
        <v>74</v>
      </c>
      <c r="BA1849" t="s">
        <v>74</v>
      </c>
      <c r="BB1849" t="s">
        <v>74</v>
      </c>
      <c r="BC1849" t="s">
        <v>74</v>
      </c>
      <c r="BD1849">
        <v>12516</v>
      </c>
      <c r="BE1849" t="s">
        <v>20951</v>
      </c>
      <c r="BF1849" t="str">
        <f>HYPERLINK("http://dx.doi.org/10.1111/rsp3.12516","http://dx.doi.org/10.1111/rsp3.12516")</f>
        <v>http://dx.doi.org/10.1111/rsp3.12516</v>
      </c>
      <c r="BG1849" t="s">
        <v>74</v>
      </c>
      <c r="BH1849" t="s">
        <v>767</v>
      </c>
      <c r="BI1849">
        <v>37</v>
      </c>
      <c r="BJ1849" t="s">
        <v>20950</v>
      </c>
      <c r="BK1849" t="s">
        <v>313</v>
      </c>
      <c r="BL1849" t="s">
        <v>20950</v>
      </c>
      <c r="BM1849" t="s">
        <v>20949</v>
      </c>
      <c r="BN1849" t="s">
        <v>74</v>
      </c>
      <c r="BO1849" t="s">
        <v>74</v>
      </c>
      <c r="BP1849" t="s">
        <v>74</v>
      </c>
      <c r="BQ1849" t="s">
        <v>74</v>
      </c>
      <c r="BR1849" t="s">
        <v>102</v>
      </c>
      <c r="BS1849" t="s">
        <v>20948</v>
      </c>
      <c r="BT1849" t="str">
        <f>HYPERLINK("https%3A%2F%2Fwww.webofscience.com%2Fwos%2Fwoscc%2Ffull-record%2FWOS:000762565800001","View Full Record in Web of Science")</f>
        <v>View Full Record in Web of Science</v>
      </c>
    </row>
    <row r="1850" spans="1:72" x14ac:dyDescent="0.25">
      <c r="A1850" t="s">
        <v>72</v>
      </c>
      <c r="B1850" t="s">
        <v>20947</v>
      </c>
      <c r="C1850" t="s">
        <v>74</v>
      </c>
      <c r="D1850" t="s">
        <v>74</v>
      </c>
      <c r="E1850" t="s">
        <v>74</v>
      </c>
      <c r="F1850" t="s">
        <v>20946</v>
      </c>
      <c r="G1850" t="s">
        <v>74</v>
      </c>
      <c r="H1850" t="s">
        <v>74</v>
      </c>
      <c r="I1850" t="s">
        <v>20945</v>
      </c>
      <c r="J1850" t="s">
        <v>1122</v>
      </c>
      <c r="K1850" t="s">
        <v>74</v>
      </c>
      <c r="L1850" t="s">
        <v>74</v>
      </c>
      <c r="M1850" t="s">
        <v>78</v>
      </c>
      <c r="N1850" t="s">
        <v>79</v>
      </c>
      <c r="O1850" t="s">
        <v>74</v>
      </c>
      <c r="P1850" t="s">
        <v>74</v>
      </c>
      <c r="Q1850" t="s">
        <v>74</v>
      </c>
      <c r="R1850" t="s">
        <v>74</v>
      </c>
      <c r="S1850" t="s">
        <v>74</v>
      </c>
      <c r="T1850" t="s">
        <v>20944</v>
      </c>
      <c r="U1850" t="s">
        <v>20943</v>
      </c>
      <c r="V1850" t="s">
        <v>20942</v>
      </c>
      <c r="W1850" t="s">
        <v>20941</v>
      </c>
      <c r="X1850" t="s">
        <v>20940</v>
      </c>
      <c r="Y1850" t="s">
        <v>20939</v>
      </c>
      <c r="Z1850" t="s">
        <v>20938</v>
      </c>
      <c r="AA1850" t="s">
        <v>20937</v>
      </c>
      <c r="AB1850" t="s">
        <v>20936</v>
      </c>
      <c r="AC1850" t="s">
        <v>74</v>
      </c>
      <c r="AD1850" t="s">
        <v>74</v>
      </c>
      <c r="AE1850" t="s">
        <v>74</v>
      </c>
      <c r="AF1850" t="s">
        <v>74</v>
      </c>
      <c r="AG1850">
        <v>38</v>
      </c>
      <c r="AH1850">
        <v>37</v>
      </c>
      <c r="AI1850">
        <v>50</v>
      </c>
      <c r="AJ1850">
        <v>2</v>
      </c>
      <c r="AK1850">
        <v>50</v>
      </c>
      <c r="AL1850" t="s">
        <v>479</v>
      </c>
      <c r="AM1850" t="s">
        <v>480</v>
      </c>
      <c r="AN1850" t="s">
        <v>481</v>
      </c>
      <c r="AO1850" t="s">
        <v>1131</v>
      </c>
      <c r="AP1850" t="s">
        <v>1132</v>
      </c>
      <c r="AQ1850" t="s">
        <v>74</v>
      </c>
      <c r="AR1850" t="s">
        <v>1133</v>
      </c>
      <c r="AS1850" t="s">
        <v>1134</v>
      </c>
      <c r="AT1850" t="s">
        <v>1652</v>
      </c>
      <c r="AU1850">
        <v>2022</v>
      </c>
      <c r="AV1850">
        <v>34</v>
      </c>
      <c r="AW1850">
        <v>2</v>
      </c>
      <c r="AX1850" t="s">
        <v>74</v>
      </c>
      <c r="AY1850" t="s">
        <v>74</v>
      </c>
      <c r="AZ1850" t="s">
        <v>74</v>
      </c>
      <c r="BA1850" t="s">
        <v>74</v>
      </c>
      <c r="BB1850">
        <v>293</v>
      </c>
      <c r="BC1850">
        <v>306</v>
      </c>
      <c r="BD1850" t="s">
        <v>74</v>
      </c>
      <c r="BE1850" t="s">
        <v>20935</v>
      </c>
      <c r="BF1850" t="str">
        <f>HYPERLINK("http://dx.doi.org/10.1111/1467-8268.12636","http://dx.doi.org/10.1111/1467-8268.12636")</f>
        <v>http://dx.doi.org/10.1111/1467-8268.12636</v>
      </c>
      <c r="BG1850" t="s">
        <v>74</v>
      </c>
      <c r="BH1850" t="s">
        <v>1091</v>
      </c>
      <c r="BI1850">
        <v>14</v>
      </c>
      <c r="BJ1850" t="s">
        <v>1137</v>
      </c>
      <c r="BK1850" t="s">
        <v>99</v>
      </c>
      <c r="BL1850" t="s">
        <v>1137</v>
      </c>
      <c r="BM1850" t="s">
        <v>20934</v>
      </c>
      <c r="BN1850" t="s">
        <v>74</v>
      </c>
      <c r="BO1850" t="s">
        <v>74</v>
      </c>
      <c r="BP1850" t="s">
        <v>74</v>
      </c>
      <c r="BQ1850" t="s">
        <v>74</v>
      </c>
      <c r="BR1850" t="s">
        <v>102</v>
      </c>
      <c r="BS1850" t="s">
        <v>20933</v>
      </c>
      <c r="BT1850" t="str">
        <f>HYPERLINK("https%3A%2F%2Fwww.webofscience.com%2Fwos%2Fwoscc%2Ffull-record%2FWOS:000801983900001","View Full Record in Web of Science")</f>
        <v>View Full Record in Web of Science</v>
      </c>
    </row>
    <row r="1851" spans="1:72" x14ac:dyDescent="0.25">
      <c r="A1851" t="s">
        <v>72</v>
      </c>
      <c r="B1851" t="s">
        <v>20932</v>
      </c>
      <c r="C1851" t="s">
        <v>74</v>
      </c>
      <c r="D1851" t="s">
        <v>74</v>
      </c>
      <c r="E1851" t="s">
        <v>74</v>
      </c>
      <c r="F1851" t="s">
        <v>20931</v>
      </c>
      <c r="G1851" t="s">
        <v>74</v>
      </c>
      <c r="H1851" t="s">
        <v>74</v>
      </c>
      <c r="I1851" t="s">
        <v>20930</v>
      </c>
      <c r="J1851" t="s">
        <v>20929</v>
      </c>
      <c r="K1851" t="s">
        <v>74</v>
      </c>
      <c r="L1851" t="s">
        <v>74</v>
      </c>
      <c r="M1851" t="s">
        <v>78</v>
      </c>
      <c r="N1851" t="s">
        <v>79</v>
      </c>
      <c r="O1851" t="s">
        <v>74</v>
      </c>
      <c r="P1851" t="s">
        <v>74</v>
      </c>
      <c r="Q1851" t="s">
        <v>74</v>
      </c>
      <c r="R1851" t="s">
        <v>74</v>
      </c>
      <c r="S1851" t="s">
        <v>74</v>
      </c>
      <c r="T1851" t="s">
        <v>20928</v>
      </c>
      <c r="U1851" t="s">
        <v>8288</v>
      </c>
      <c r="V1851" t="s">
        <v>20927</v>
      </c>
      <c r="W1851" t="s">
        <v>20926</v>
      </c>
      <c r="X1851" t="s">
        <v>12970</v>
      </c>
      <c r="Y1851" t="s">
        <v>20925</v>
      </c>
      <c r="Z1851" t="s">
        <v>20924</v>
      </c>
      <c r="AA1851" t="s">
        <v>74</v>
      </c>
      <c r="AB1851" t="s">
        <v>74</v>
      </c>
      <c r="AC1851" t="s">
        <v>74</v>
      </c>
      <c r="AD1851" t="s">
        <v>74</v>
      </c>
      <c r="AE1851" t="s">
        <v>74</v>
      </c>
      <c r="AF1851" t="s">
        <v>74</v>
      </c>
      <c r="AG1851">
        <v>21</v>
      </c>
      <c r="AH1851">
        <v>9</v>
      </c>
      <c r="AI1851">
        <v>13</v>
      </c>
      <c r="AJ1851">
        <v>0</v>
      </c>
      <c r="AK1851">
        <v>52</v>
      </c>
      <c r="AL1851" t="s">
        <v>20923</v>
      </c>
      <c r="AM1851" t="s">
        <v>1497</v>
      </c>
      <c r="AN1851" t="s">
        <v>1498</v>
      </c>
      <c r="AO1851" t="s">
        <v>20922</v>
      </c>
      <c r="AP1851" t="s">
        <v>20921</v>
      </c>
      <c r="AQ1851" t="s">
        <v>74</v>
      </c>
      <c r="AR1851" t="s">
        <v>20920</v>
      </c>
      <c r="AS1851" t="s">
        <v>20919</v>
      </c>
      <c r="AT1851" t="s">
        <v>74</v>
      </c>
      <c r="AU1851">
        <v>2013</v>
      </c>
      <c r="AV1851">
        <v>5</v>
      </c>
      <c r="AW1851">
        <v>3</v>
      </c>
      <c r="AX1851" t="s">
        <v>74</v>
      </c>
      <c r="AY1851" t="s">
        <v>74</v>
      </c>
      <c r="AZ1851" t="s">
        <v>74</v>
      </c>
      <c r="BA1851" t="s">
        <v>74</v>
      </c>
      <c r="BB1851">
        <v>328</v>
      </c>
      <c r="BC1851">
        <v>341</v>
      </c>
      <c r="BD1851" t="s">
        <v>74</v>
      </c>
      <c r="BE1851" t="s">
        <v>20918</v>
      </c>
      <c r="BF1851" t="str">
        <f>HYPERLINK("http://dx.doi.org/10.1108/CAER-08-2012-0083","http://dx.doi.org/10.1108/CAER-08-2012-0083")</f>
        <v>http://dx.doi.org/10.1108/CAER-08-2012-0083</v>
      </c>
      <c r="BG1851" t="s">
        <v>74</v>
      </c>
      <c r="BH1851" t="s">
        <v>74</v>
      </c>
      <c r="BI1851">
        <v>14</v>
      </c>
      <c r="BJ1851" t="s">
        <v>18270</v>
      </c>
      <c r="BK1851" t="s">
        <v>2623</v>
      </c>
      <c r="BL1851" t="s">
        <v>18271</v>
      </c>
      <c r="BM1851" t="s">
        <v>20917</v>
      </c>
      <c r="BN1851" t="s">
        <v>74</v>
      </c>
      <c r="BO1851" t="s">
        <v>74</v>
      </c>
      <c r="BP1851" t="s">
        <v>74</v>
      </c>
      <c r="BQ1851" t="s">
        <v>74</v>
      </c>
      <c r="BR1851" t="s">
        <v>102</v>
      </c>
      <c r="BS1851" t="s">
        <v>20916</v>
      </c>
      <c r="BT1851" t="str">
        <f>HYPERLINK("https%3A%2F%2Fwww.webofscience.com%2Fwos%2Fwoscc%2Ffull-record%2FWOS:000330419000002","View Full Record in Web of Science")</f>
        <v>View Full Record in Web of Science</v>
      </c>
    </row>
    <row r="1852" spans="1:72" x14ac:dyDescent="0.25">
      <c r="A1852" t="s">
        <v>72</v>
      </c>
      <c r="B1852" t="s">
        <v>20915</v>
      </c>
      <c r="C1852" t="s">
        <v>74</v>
      </c>
      <c r="D1852" t="s">
        <v>74</v>
      </c>
      <c r="E1852" t="s">
        <v>74</v>
      </c>
      <c r="F1852" t="s">
        <v>20914</v>
      </c>
      <c r="G1852" t="s">
        <v>74</v>
      </c>
      <c r="H1852" t="s">
        <v>74</v>
      </c>
      <c r="I1852" t="s">
        <v>20913</v>
      </c>
      <c r="J1852" t="s">
        <v>729</v>
      </c>
      <c r="K1852" t="s">
        <v>74</v>
      </c>
      <c r="L1852" t="s">
        <v>74</v>
      </c>
      <c r="M1852" t="s">
        <v>78</v>
      </c>
      <c r="N1852" t="s">
        <v>79</v>
      </c>
      <c r="O1852" t="s">
        <v>74</v>
      </c>
      <c r="P1852" t="s">
        <v>74</v>
      </c>
      <c r="Q1852" t="s">
        <v>74</v>
      </c>
      <c r="R1852" t="s">
        <v>74</v>
      </c>
      <c r="S1852" t="s">
        <v>74</v>
      </c>
      <c r="T1852" t="s">
        <v>20912</v>
      </c>
      <c r="U1852" t="s">
        <v>20911</v>
      </c>
      <c r="V1852" t="s">
        <v>20910</v>
      </c>
      <c r="W1852" t="s">
        <v>20909</v>
      </c>
      <c r="X1852" t="s">
        <v>17508</v>
      </c>
      <c r="Y1852" t="s">
        <v>20908</v>
      </c>
      <c r="Z1852" t="s">
        <v>20907</v>
      </c>
      <c r="AA1852" t="s">
        <v>74</v>
      </c>
      <c r="AB1852" t="s">
        <v>20906</v>
      </c>
      <c r="AC1852" t="s">
        <v>74</v>
      </c>
      <c r="AD1852" t="s">
        <v>74</v>
      </c>
      <c r="AE1852" t="s">
        <v>74</v>
      </c>
      <c r="AF1852" t="s">
        <v>74</v>
      </c>
      <c r="AG1852">
        <v>79</v>
      </c>
      <c r="AH1852">
        <v>56</v>
      </c>
      <c r="AI1852">
        <v>74</v>
      </c>
      <c r="AJ1852">
        <v>1</v>
      </c>
      <c r="AK1852">
        <v>41</v>
      </c>
      <c r="AL1852" t="s">
        <v>479</v>
      </c>
      <c r="AM1852" t="s">
        <v>480</v>
      </c>
      <c r="AN1852" t="s">
        <v>481</v>
      </c>
      <c r="AO1852" t="s">
        <v>739</v>
      </c>
      <c r="AP1852" t="s">
        <v>740</v>
      </c>
      <c r="AQ1852" t="s">
        <v>74</v>
      </c>
      <c r="AR1852" t="s">
        <v>741</v>
      </c>
      <c r="AS1852" t="s">
        <v>742</v>
      </c>
      <c r="AT1852" t="s">
        <v>208</v>
      </c>
      <c r="AU1852">
        <v>2021</v>
      </c>
      <c r="AV1852">
        <v>26</v>
      </c>
      <c r="AW1852">
        <v>1</v>
      </c>
      <c r="AX1852" t="s">
        <v>74</v>
      </c>
      <c r="AY1852" t="s">
        <v>74</v>
      </c>
      <c r="AZ1852" t="s">
        <v>74</v>
      </c>
      <c r="BA1852" t="s">
        <v>74</v>
      </c>
      <c r="BB1852">
        <v>42</v>
      </c>
      <c r="BC1852">
        <v>59</v>
      </c>
      <c r="BD1852" t="s">
        <v>74</v>
      </c>
      <c r="BE1852" t="s">
        <v>20905</v>
      </c>
      <c r="BF1852" t="str">
        <f>HYPERLINK("http://dx.doi.org/10.1002/ijfe.1775","http://dx.doi.org/10.1002/ijfe.1775")</f>
        <v>http://dx.doi.org/10.1002/ijfe.1775</v>
      </c>
      <c r="BG1852" t="s">
        <v>74</v>
      </c>
      <c r="BH1852" t="s">
        <v>9265</v>
      </c>
      <c r="BI1852">
        <v>18</v>
      </c>
      <c r="BJ1852" t="s">
        <v>268</v>
      </c>
      <c r="BK1852" t="s">
        <v>99</v>
      </c>
      <c r="BL1852" t="s">
        <v>100</v>
      </c>
      <c r="BM1852" t="s">
        <v>20904</v>
      </c>
      <c r="BN1852" t="s">
        <v>74</v>
      </c>
      <c r="BO1852" t="s">
        <v>74</v>
      </c>
      <c r="BP1852" t="s">
        <v>74</v>
      </c>
      <c r="BQ1852" t="s">
        <v>74</v>
      </c>
      <c r="BR1852" t="s">
        <v>102</v>
      </c>
      <c r="BS1852" t="s">
        <v>20903</v>
      </c>
      <c r="BT1852" t="str">
        <f>HYPERLINK("https%3A%2F%2Fwww.webofscience.com%2Fwos%2Fwoscc%2Ffull-record%2FWOS:000505518800001","View Full Record in Web of Science")</f>
        <v>View Full Record in Web of Science</v>
      </c>
    </row>
    <row r="1853" spans="1:72" x14ac:dyDescent="0.25">
      <c r="A1853" t="s">
        <v>72</v>
      </c>
      <c r="B1853" t="s">
        <v>20902</v>
      </c>
      <c r="C1853" t="s">
        <v>74</v>
      </c>
      <c r="D1853" t="s">
        <v>74</v>
      </c>
      <c r="E1853" t="s">
        <v>74</v>
      </c>
      <c r="F1853" t="s">
        <v>20901</v>
      </c>
      <c r="G1853" t="s">
        <v>74</v>
      </c>
      <c r="H1853" t="s">
        <v>74</v>
      </c>
      <c r="I1853" t="s">
        <v>20900</v>
      </c>
      <c r="J1853" t="s">
        <v>8942</v>
      </c>
      <c r="K1853" t="s">
        <v>74</v>
      </c>
      <c r="L1853" t="s">
        <v>74</v>
      </c>
      <c r="M1853" t="s">
        <v>78</v>
      </c>
      <c r="N1853" t="s">
        <v>79</v>
      </c>
      <c r="O1853" t="s">
        <v>74</v>
      </c>
      <c r="P1853" t="s">
        <v>74</v>
      </c>
      <c r="Q1853" t="s">
        <v>74</v>
      </c>
      <c r="R1853" t="s">
        <v>74</v>
      </c>
      <c r="S1853" t="s">
        <v>74</v>
      </c>
      <c r="T1853" t="s">
        <v>20899</v>
      </c>
      <c r="U1853" t="s">
        <v>20898</v>
      </c>
      <c r="V1853" t="s">
        <v>20897</v>
      </c>
      <c r="W1853" t="s">
        <v>20896</v>
      </c>
      <c r="X1853" t="s">
        <v>734</v>
      </c>
      <c r="Y1853" t="s">
        <v>20895</v>
      </c>
      <c r="Z1853" t="s">
        <v>20894</v>
      </c>
      <c r="AA1853" t="s">
        <v>74</v>
      </c>
      <c r="AB1853" t="s">
        <v>20893</v>
      </c>
      <c r="AC1853" t="s">
        <v>74</v>
      </c>
      <c r="AD1853" t="s">
        <v>74</v>
      </c>
      <c r="AE1853" t="s">
        <v>74</v>
      </c>
      <c r="AF1853" t="s">
        <v>74</v>
      </c>
      <c r="AG1853">
        <v>27</v>
      </c>
      <c r="AH1853">
        <v>9</v>
      </c>
      <c r="AI1853">
        <v>12</v>
      </c>
      <c r="AJ1853">
        <v>0</v>
      </c>
      <c r="AK1853">
        <v>14</v>
      </c>
      <c r="AL1853" t="s">
        <v>89</v>
      </c>
      <c r="AM1853" t="s">
        <v>1497</v>
      </c>
      <c r="AN1853" t="s">
        <v>1498</v>
      </c>
      <c r="AO1853" t="s">
        <v>8952</v>
      </c>
      <c r="AP1853" t="s">
        <v>8953</v>
      </c>
      <c r="AQ1853" t="s">
        <v>74</v>
      </c>
      <c r="AR1853" t="s">
        <v>8954</v>
      </c>
      <c r="AS1853" t="s">
        <v>8955</v>
      </c>
      <c r="AT1853" t="s">
        <v>20892</v>
      </c>
      <c r="AU1853">
        <v>2019</v>
      </c>
      <c r="AV1853">
        <v>10</v>
      </c>
      <c r="AW1853">
        <v>3</v>
      </c>
      <c r="AX1853" t="s">
        <v>74</v>
      </c>
      <c r="AY1853" t="s">
        <v>74</v>
      </c>
      <c r="AZ1853" t="s">
        <v>74</v>
      </c>
      <c r="BA1853" t="s">
        <v>74</v>
      </c>
      <c r="BB1853">
        <v>286</v>
      </c>
      <c r="BC1853">
        <v>298</v>
      </c>
      <c r="BD1853" t="s">
        <v>74</v>
      </c>
      <c r="BE1853" t="s">
        <v>20891</v>
      </c>
      <c r="BF1853" t="str">
        <f>HYPERLINK("http://dx.doi.org/10.1108/AJEMS-10-2018-0325","http://dx.doi.org/10.1108/AJEMS-10-2018-0325")</f>
        <v>http://dx.doi.org/10.1108/AJEMS-10-2018-0325</v>
      </c>
      <c r="BG1853" t="s">
        <v>74</v>
      </c>
      <c r="BH1853" t="s">
        <v>74</v>
      </c>
      <c r="BI1853">
        <v>13</v>
      </c>
      <c r="BJ1853" t="s">
        <v>291</v>
      </c>
      <c r="BK1853" t="s">
        <v>313</v>
      </c>
      <c r="BL1853" t="s">
        <v>100</v>
      </c>
      <c r="BM1853" t="s">
        <v>20890</v>
      </c>
      <c r="BN1853" t="s">
        <v>74</v>
      </c>
      <c r="BO1853" t="s">
        <v>74</v>
      </c>
      <c r="BP1853" t="s">
        <v>74</v>
      </c>
      <c r="BQ1853" t="s">
        <v>74</v>
      </c>
      <c r="BR1853" t="s">
        <v>102</v>
      </c>
      <c r="BS1853" t="s">
        <v>20889</v>
      </c>
      <c r="BT1853" t="str">
        <f>HYPERLINK("https%3A%2F%2Fwww.webofscience.com%2Fwos%2Fwoscc%2Ffull-record%2FWOS:000481923700002","View Full Record in Web of Science")</f>
        <v>View Full Record in Web of Science</v>
      </c>
    </row>
    <row r="1854" spans="1:72" x14ac:dyDescent="0.25">
      <c r="A1854" t="s">
        <v>132</v>
      </c>
      <c r="B1854" t="s">
        <v>20888</v>
      </c>
      <c r="C1854" t="s">
        <v>74</v>
      </c>
      <c r="D1854" t="s">
        <v>20887</v>
      </c>
      <c r="E1854" t="s">
        <v>74</v>
      </c>
      <c r="F1854" t="s">
        <v>20886</v>
      </c>
      <c r="G1854" t="s">
        <v>74</v>
      </c>
      <c r="H1854" t="s">
        <v>74</v>
      </c>
      <c r="I1854" t="s">
        <v>20885</v>
      </c>
      <c r="J1854" t="s">
        <v>20884</v>
      </c>
      <c r="K1854" t="s">
        <v>1049</v>
      </c>
      <c r="L1854" t="s">
        <v>74</v>
      </c>
      <c r="M1854" t="s">
        <v>78</v>
      </c>
      <c r="N1854" t="s">
        <v>138</v>
      </c>
      <c r="O1854" t="s">
        <v>20883</v>
      </c>
      <c r="P1854" t="s">
        <v>20882</v>
      </c>
      <c r="Q1854" t="s">
        <v>20881</v>
      </c>
      <c r="R1854" t="s">
        <v>20880</v>
      </c>
      <c r="S1854" t="s">
        <v>74</v>
      </c>
      <c r="T1854" t="s">
        <v>20879</v>
      </c>
      <c r="U1854" t="s">
        <v>20878</v>
      </c>
      <c r="V1854" t="s">
        <v>20877</v>
      </c>
      <c r="W1854" t="s">
        <v>20876</v>
      </c>
      <c r="X1854" t="s">
        <v>20875</v>
      </c>
      <c r="Y1854" t="s">
        <v>20874</v>
      </c>
      <c r="Z1854" t="s">
        <v>20873</v>
      </c>
      <c r="AA1854" t="s">
        <v>20872</v>
      </c>
      <c r="AB1854" t="s">
        <v>20871</v>
      </c>
      <c r="AC1854" t="s">
        <v>74</v>
      </c>
      <c r="AD1854" t="s">
        <v>74</v>
      </c>
      <c r="AE1854" t="s">
        <v>74</v>
      </c>
      <c r="AF1854" t="s">
        <v>74</v>
      </c>
      <c r="AG1854">
        <v>38</v>
      </c>
      <c r="AH1854">
        <v>1</v>
      </c>
      <c r="AI1854">
        <v>1</v>
      </c>
      <c r="AJ1854">
        <v>0</v>
      </c>
      <c r="AK1854">
        <v>0</v>
      </c>
      <c r="AL1854" t="s">
        <v>1062</v>
      </c>
      <c r="AM1854" t="s">
        <v>667</v>
      </c>
      <c r="AN1854" t="s">
        <v>668</v>
      </c>
      <c r="AO1854" t="s">
        <v>1063</v>
      </c>
      <c r="AP1854" t="s">
        <v>1064</v>
      </c>
      <c r="AQ1854" t="s">
        <v>20870</v>
      </c>
      <c r="AR1854" t="s">
        <v>1066</v>
      </c>
      <c r="AS1854" t="s">
        <v>74</v>
      </c>
      <c r="AT1854" t="s">
        <v>74</v>
      </c>
      <c r="AU1854">
        <v>2023</v>
      </c>
      <c r="AV1854">
        <v>562</v>
      </c>
      <c r="AW1854" t="s">
        <v>74</v>
      </c>
      <c r="AX1854" t="s">
        <v>74</v>
      </c>
      <c r="AY1854" t="s">
        <v>74</v>
      </c>
      <c r="AZ1854" t="s">
        <v>74</v>
      </c>
      <c r="BA1854" t="s">
        <v>74</v>
      </c>
      <c r="BB1854">
        <v>430</v>
      </c>
      <c r="BC1854">
        <v>444</v>
      </c>
      <c r="BD1854" t="s">
        <v>74</v>
      </c>
      <c r="BE1854" t="s">
        <v>20869</v>
      </c>
      <c r="BF1854" t="str">
        <f>HYPERLINK("http://dx.doi.org/10.1007/978-3-031-18645-5_27","http://dx.doi.org/10.1007/978-3-031-18645-5_27")</f>
        <v>http://dx.doi.org/10.1007/978-3-031-18645-5_27</v>
      </c>
      <c r="BG1854" t="s">
        <v>74</v>
      </c>
      <c r="BH1854" t="s">
        <v>74</v>
      </c>
      <c r="BI1854">
        <v>15</v>
      </c>
      <c r="BJ1854" t="s">
        <v>20868</v>
      </c>
      <c r="BK1854" t="s">
        <v>156</v>
      </c>
      <c r="BL1854" t="s">
        <v>9777</v>
      </c>
      <c r="BM1854" t="s">
        <v>20867</v>
      </c>
      <c r="BN1854" t="s">
        <v>74</v>
      </c>
      <c r="BO1854" t="s">
        <v>74</v>
      </c>
      <c r="BP1854" t="s">
        <v>74</v>
      </c>
      <c r="BQ1854" t="s">
        <v>74</v>
      </c>
      <c r="BR1854" t="s">
        <v>102</v>
      </c>
      <c r="BS1854" t="s">
        <v>20866</v>
      </c>
      <c r="BT1854" t="str">
        <f>HYPERLINK("https%3A%2F%2Fwww.webofscience.com%2Fwos%2Fwoscc%2Ffull-record%2FWOS:000945457300027","View Full Record in Web of Science")</f>
        <v>View Full Record in Web of Science</v>
      </c>
    </row>
    <row r="1855" spans="1:72" x14ac:dyDescent="0.25">
      <c r="A1855" t="s">
        <v>72</v>
      </c>
      <c r="B1855" t="s">
        <v>20865</v>
      </c>
      <c r="C1855" t="s">
        <v>74</v>
      </c>
      <c r="D1855" t="s">
        <v>74</v>
      </c>
      <c r="E1855" t="s">
        <v>74</v>
      </c>
      <c r="F1855" t="s">
        <v>20864</v>
      </c>
      <c r="G1855" t="s">
        <v>74</v>
      </c>
      <c r="H1855" t="s">
        <v>74</v>
      </c>
      <c r="I1855" t="s">
        <v>20863</v>
      </c>
      <c r="J1855" t="s">
        <v>20862</v>
      </c>
      <c r="K1855" t="s">
        <v>74</v>
      </c>
      <c r="L1855" t="s">
        <v>74</v>
      </c>
      <c r="M1855" t="s">
        <v>78</v>
      </c>
      <c r="N1855" t="s">
        <v>79</v>
      </c>
      <c r="O1855" t="s">
        <v>74</v>
      </c>
      <c r="P1855" t="s">
        <v>74</v>
      </c>
      <c r="Q1855" t="s">
        <v>74</v>
      </c>
      <c r="R1855" t="s">
        <v>74</v>
      </c>
      <c r="S1855" t="s">
        <v>74</v>
      </c>
      <c r="T1855" t="s">
        <v>20861</v>
      </c>
      <c r="U1855" t="s">
        <v>20860</v>
      </c>
      <c r="V1855" t="s">
        <v>20859</v>
      </c>
      <c r="W1855" t="s">
        <v>20858</v>
      </c>
      <c r="X1855" t="s">
        <v>15613</v>
      </c>
      <c r="Y1855" t="s">
        <v>20857</v>
      </c>
      <c r="Z1855" t="s">
        <v>20856</v>
      </c>
      <c r="AA1855" t="s">
        <v>20855</v>
      </c>
      <c r="AB1855" t="s">
        <v>20854</v>
      </c>
      <c r="AC1855" t="s">
        <v>74</v>
      </c>
      <c r="AD1855" t="s">
        <v>74</v>
      </c>
      <c r="AE1855" t="s">
        <v>74</v>
      </c>
      <c r="AF1855" t="s">
        <v>74</v>
      </c>
      <c r="AG1855">
        <v>33</v>
      </c>
      <c r="AH1855">
        <v>0</v>
      </c>
      <c r="AI1855">
        <v>0</v>
      </c>
      <c r="AJ1855">
        <v>2</v>
      </c>
      <c r="AK1855">
        <v>2</v>
      </c>
      <c r="AL1855" t="s">
        <v>20853</v>
      </c>
      <c r="AM1855" t="s">
        <v>863</v>
      </c>
      <c r="AN1855" t="s">
        <v>20852</v>
      </c>
      <c r="AO1855" t="s">
        <v>20851</v>
      </c>
      <c r="AP1855" t="s">
        <v>20850</v>
      </c>
      <c r="AQ1855" t="s">
        <v>74</v>
      </c>
      <c r="AR1855" t="s">
        <v>20849</v>
      </c>
      <c r="AS1855" t="s">
        <v>20848</v>
      </c>
      <c r="AT1855" t="s">
        <v>2462</v>
      </c>
      <c r="AU1855">
        <v>2025</v>
      </c>
      <c r="AV1855">
        <v>14</v>
      </c>
      <c r="AW1855">
        <v>3</v>
      </c>
      <c r="AX1855" t="s">
        <v>74</v>
      </c>
      <c r="AY1855" t="s">
        <v>74</v>
      </c>
      <c r="AZ1855" t="s">
        <v>74</v>
      </c>
      <c r="BA1855" t="s">
        <v>74</v>
      </c>
      <c r="BB1855">
        <v>531</v>
      </c>
      <c r="BC1855">
        <v>538</v>
      </c>
      <c r="BD1855" t="s">
        <v>74</v>
      </c>
      <c r="BE1855" t="s">
        <v>20847</v>
      </c>
      <c r="BF1855" t="str">
        <f>HYPERLINK("http://dx.doi.org/10.5267/j.dsl.2025.5.006","http://dx.doi.org/10.5267/j.dsl.2025.5.006")</f>
        <v>http://dx.doi.org/10.5267/j.dsl.2025.5.006</v>
      </c>
      <c r="BG1855" t="s">
        <v>74</v>
      </c>
      <c r="BH1855" t="s">
        <v>74</v>
      </c>
      <c r="BI1855">
        <v>8</v>
      </c>
      <c r="BJ1855" t="s">
        <v>3174</v>
      </c>
      <c r="BK1855" t="s">
        <v>313</v>
      </c>
      <c r="BL1855" t="s">
        <v>3174</v>
      </c>
      <c r="BM1855" t="s">
        <v>20846</v>
      </c>
      <c r="BN1855" t="s">
        <v>74</v>
      </c>
      <c r="BO1855" t="s">
        <v>212</v>
      </c>
      <c r="BP1855" t="s">
        <v>74</v>
      </c>
      <c r="BQ1855" t="s">
        <v>74</v>
      </c>
      <c r="BR1855" t="s">
        <v>102</v>
      </c>
      <c r="BS1855" t="s">
        <v>20845</v>
      </c>
      <c r="BT1855" t="str">
        <f>HYPERLINK("https%3A%2F%2Fwww.webofscience.com%2Fwos%2Fwoscc%2Ffull-record%2FWOS:001500607100001","View Full Record in Web of Science")</f>
        <v>View Full Record in Web of Science</v>
      </c>
    </row>
    <row r="1856" spans="1:72" x14ac:dyDescent="0.25">
      <c r="A1856" t="s">
        <v>72</v>
      </c>
      <c r="B1856" t="s">
        <v>20844</v>
      </c>
      <c r="C1856" t="s">
        <v>74</v>
      </c>
      <c r="D1856" t="s">
        <v>74</v>
      </c>
      <c r="E1856" t="s">
        <v>74</v>
      </c>
      <c r="F1856" t="s">
        <v>20843</v>
      </c>
      <c r="G1856" t="s">
        <v>74</v>
      </c>
      <c r="H1856" t="s">
        <v>74</v>
      </c>
      <c r="I1856" t="s">
        <v>20842</v>
      </c>
      <c r="J1856" t="s">
        <v>4208</v>
      </c>
      <c r="K1856" t="s">
        <v>74</v>
      </c>
      <c r="L1856" t="s">
        <v>74</v>
      </c>
      <c r="M1856" t="s">
        <v>78</v>
      </c>
      <c r="N1856" t="s">
        <v>79</v>
      </c>
      <c r="O1856" t="s">
        <v>74</v>
      </c>
      <c r="P1856" t="s">
        <v>74</v>
      </c>
      <c r="Q1856" t="s">
        <v>74</v>
      </c>
      <c r="R1856" t="s">
        <v>74</v>
      </c>
      <c r="S1856" t="s">
        <v>74</v>
      </c>
      <c r="T1856" t="s">
        <v>74</v>
      </c>
      <c r="U1856" t="s">
        <v>20841</v>
      </c>
      <c r="V1856" t="s">
        <v>20840</v>
      </c>
      <c r="W1856" t="s">
        <v>20839</v>
      </c>
      <c r="X1856" t="s">
        <v>20838</v>
      </c>
      <c r="Y1856" t="s">
        <v>20837</v>
      </c>
      <c r="Z1856" t="s">
        <v>20836</v>
      </c>
      <c r="AA1856" t="s">
        <v>74</v>
      </c>
      <c r="AB1856" t="s">
        <v>74</v>
      </c>
      <c r="AC1856" t="s">
        <v>20835</v>
      </c>
      <c r="AD1856" t="s">
        <v>20834</v>
      </c>
      <c r="AE1856" t="s">
        <v>20833</v>
      </c>
      <c r="AF1856" t="s">
        <v>74</v>
      </c>
      <c r="AG1856">
        <v>47</v>
      </c>
      <c r="AH1856">
        <v>13</v>
      </c>
      <c r="AI1856">
        <v>16</v>
      </c>
      <c r="AJ1856">
        <v>0</v>
      </c>
      <c r="AK1856">
        <v>15</v>
      </c>
      <c r="AL1856" t="s">
        <v>4218</v>
      </c>
      <c r="AM1856" t="s">
        <v>4219</v>
      </c>
      <c r="AN1856" t="s">
        <v>4220</v>
      </c>
      <c r="AO1856" t="s">
        <v>4221</v>
      </c>
      <c r="AP1856" t="s">
        <v>74</v>
      </c>
      <c r="AQ1856" t="s">
        <v>74</v>
      </c>
      <c r="AR1856" t="s">
        <v>4208</v>
      </c>
      <c r="AS1856" t="s">
        <v>4222</v>
      </c>
      <c r="AT1856" t="s">
        <v>12580</v>
      </c>
      <c r="AU1856">
        <v>2018</v>
      </c>
      <c r="AV1856">
        <v>13</v>
      </c>
      <c r="AW1856">
        <v>2</v>
      </c>
      <c r="AX1856" t="s">
        <v>74</v>
      </c>
      <c r="AY1856" t="s">
        <v>74</v>
      </c>
      <c r="AZ1856" t="s">
        <v>74</v>
      </c>
      <c r="BA1856" t="s">
        <v>74</v>
      </c>
      <c r="BB1856" t="s">
        <v>74</v>
      </c>
      <c r="BC1856" t="s">
        <v>74</v>
      </c>
      <c r="BD1856" t="s">
        <v>20832</v>
      </c>
      <c r="BE1856" t="s">
        <v>20831</v>
      </c>
      <c r="BF1856" t="str">
        <f>HYPERLINK("http://dx.doi.org/10.1371/journal.pone.0191863","http://dx.doi.org/10.1371/journal.pone.0191863")</f>
        <v>http://dx.doi.org/10.1371/journal.pone.0191863</v>
      </c>
      <c r="BG1856" t="s">
        <v>74</v>
      </c>
      <c r="BH1856" t="s">
        <v>74</v>
      </c>
      <c r="BI1856">
        <v>17</v>
      </c>
      <c r="BJ1856" t="s">
        <v>559</v>
      </c>
      <c r="BK1856" t="s">
        <v>2623</v>
      </c>
      <c r="BL1856" t="s">
        <v>560</v>
      </c>
      <c r="BM1856" t="s">
        <v>20830</v>
      </c>
      <c r="BN1856">
        <v>29474411</v>
      </c>
      <c r="BO1856" t="s">
        <v>916</v>
      </c>
      <c r="BP1856" t="s">
        <v>74</v>
      </c>
      <c r="BQ1856" t="s">
        <v>74</v>
      </c>
      <c r="BR1856" t="s">
        <v>102</v>
      </c>
      <c r="BS1856" t="s">
        <v>20829</v>
      </c>
      <c r="BT1856" t="str">
        <f>HYPERLINK("https%3A%2F%2Fwww.webofscience.com%2Fwos%2Fwoscc%2Ffull-record%2FWOS:000426049500011","View Full Record in Web of Science")</f>
        <v>View Full Record in Web of Science</v>
      </c>
    </row>
    <row r="1857" spans="1:72" x14ac:dyDescent="0.25">
      <c r="A1857" t="s">
        <v>72</v>
      </c>
      <c r="B1857" t="s">
        <v>20828</v>
      </c>
      <c r="C1857" t="s">
        <v>74</v>
      </c>
      <c r="D1857" t="s">
        <v>74</v>
      </c>
      <c r="E1857" t="s">
        <v>74</v>
      </c>
      <c r="F1857" t="s">
        <v>20827</v>
      </c>
      <c r="G1857" t="s">
        <v>74</v>
      </c>
      <c r="H1857" t="s">
        <v>74</v>
      </c>
      <c r="I1857" t="s">
        <v>20826</v>
      </c>
      <c r="J1857" t="s">
        <v>1143</v>
      </c>
      <c r="K1857" t="s">
        <v>74</v>
      </c>
      <c r="L1857" t="s">
        <v>74</v>
      </c>
      <c r="M1857" t="s">
        <v>78</v>
      </c>
      <c r="N1857" t="s">
        <v>79</v>
      </c>
      <c r="O1857" t="s">
        <v>74</v>
      </c>
      <c r="P1857" t="s">
        <v>74</v>
      </c>
      <c r="Q1857" t="s">
        <v>74</v>
      </c>
      <c r="R1857" t="s">
        <v>74</v>
      </c>
      <c r="S1857" t="s">
        <v>74</v>
      </c>
      <c r="T1857" t="s">
        <v>20825</v>
      </c>
      <c r="U1857" t="s">
        <v>20824</v>
      </c>
      <c r="V1857" t="s">
        <v>20823</v>
      </c>
      <c r="W1857" t="s">
        <v>20822</v>
      </c>
      <c r="X1857" t="s">
        <v>20821</v>
      </c>
      <c r="Y1857" t="s">
        <v>20820</v>
      </c>
      <c r="Z1857" t="s">
        <v>20819</v>
      </c>
      <c r="AA1857" t="s">
        <v>20818</v>
      </c>
      <c r="AB1857" t="s">
        <v>74</v>
      </c>
      <c r="AC1857" t="s">
        <v>20817</v>
      </c>
      <c r="AD1857" t="s">
        <v>20817</v>
      </c>
      <c r="AE1857" t="s">
        <v>20816</v>
      </c>
      <c r="AF1857" t="s">
        <v>74</v>
      </c>
      <c r="AG1857">
        <v>43</v>
      </c>
      <c r="AH1857">
        <v>85</v>
      </c>
      <c r="AI1857">
        <v>106</v>
      </c>
      <c r="AJ1857">
        <v>7</v>
      </c>
      <c r="AK1857">
        <v>257</v>
      </c>
      <c r="AL1857" t="s">
        <v>385</v>
      </c>
      <c r="AM1857" t="s">
        <v>1153</v>
      </c>
      <c r="AN1857" t="s">
        <v>1154</v>
      </c>
      <c r="AO1857" t="s">
        <v>1155</v>
      </c>
      <c r="AP1857" t="s">
        <v>1156</v>
      </c>
      <c r="AQ1857" t="s">
        <v>74</v>
      </c>
      <c r="AR1857" t="s">
        <v>1157</v>
      </c>
      <c r="AS1857" t="s">
        <v>1158</v>
      </c>
      <c r="AT1857" t="s">
        <v>1540</v>
      </c>
      <c r="AU1857">
        <v>2019</v>
      </c>
      <c r="AV1857">
        <v>143</v>
      </c>
      <c r="AW1857">
        <v>1</v>
      </c>
      <c r="AX1857" t="s">
        <v>74</v>
      </c>
      <c r="AY1857" t="s">
        <v>74</v>
      </c>
      <c r="AZ1857" t="s">
        <v>74</v>
      </c>
      <c r="BA1857" t="s">
        <v>74</v>
      </c>
      <c r="BB1857">
        <v>325</v>
      </c>
      <c r="BC1857">
        <v>353</v>
      </c>
      <c r="BD1857" t="s">
        <v>74</v>
      </c>
      <c r="BE1857" t="s">
        <v>20815</v>
      </c>
      <c r="BF1857" t="str">
        <f>HYPERLINK("http://dx.doi.org/10.1007/s11205-018-1952-x","http://dx.doi.org/10.1007/s11205-018-1952-x")</f>
        <v>http://dx.doi.org/10.1007/s11205-018-1952-x</v>
      </c>
      <c r="BG1857" t="s">
        <v>74</v>
      </c>
      <c r="BH1857" t="s">
        <v>74</v>
      </c>
      <c r="BI1857">
        <v>29</v>
      </c>
      <c r="BJ1857" t="s">
        <v>1161</v>
      </c>
      <c r="BK1857" t="s">
        <v>99</v>
      </c>
      <c r="BL1857" t="s">
        <v>1162</v>
      </c>
      <c r="BM1857" t="s">
        <v>20814</v>
      </c>
      <c r="BN1857" t="s">
        <v>74</v>
      </c>
      <c r="BO1857" t="s">
        <v>74</v>
      </c>
      <c r="BP1857" t="s">
        <v>74</v>
      </c>
      <c r="BQ1857" t="s">
        <v>74</v>
      </c>
      <c r="BR1857" t="s">
        <v>102</v>
      </c>
      <c r="BS1857" t="s">
        <v>20813</v>
      </c>
      <c r="BT1857" t="str">
        <f>HYPERLINK("https%3A%2F%2Fwww.webofscience.com%2Fwos%2Fwoscc%2Ffull-record%2FWOS:000471313800015","View Full Record in Web of Science")</f>
        <v>View Full Record in Web of Science</v>
      </c>
    </row>
    <row r="1858" spans="1:72" x14ac:dyDescent="0.25">
      <c r="A1858" t="s">
        <v>72</v>
      </c>
      <c r="B1858" t="s">
        <v>20812</v>
      </c>
      <c r="C1858" t="s">
        <v>74</v>
      </c>
      <c r="D1858" t="s">
        <v>74</v>
      </c>
      <c r="E1858" t="s">
        <v>74</v>
      </c>
      <c r="F1858" t="s">
        <v>20811</v>
      </c>
      <c r="G1858" t="s">
        <v>74</v>
      </c>
      <c r="H1858" t="s">
        <v>74</v>
      </c>
      <c r="I1858" t="s">
        <v>20810</v>
      </c>
      <c r="J1858" t="s">
        <v>7004</v>
      </c>
      <c r="K1858" t="s">
        <v>74</v>
      </c>
      <c r="L1858" t="s">
        <v>74</v>
      </c>
      <c r="M1858" t="s">
        <v>298</v>
      </c>
      <c r="N1858" t="s">
        <v>79</v>
      </c>
      <c r="O1858" t="s">
        <v>74</v>
      </c>
      <c r="P1858" t="s">
        <v>74</v>
      </c>
      <c r="Q1858" t="s">
        <v>74</v>
      </c>
      <c r="R1858" t="s">
        <v>74</v>
      </c>
      <c r="S1858" t="s">
        <v>74</v>
      </c>
      <c r="T1858" t="s">
        <v>20809</v>
      </c>
      <c r="U1858" t="s">
        <v>2337</v>
      </c>
      <c r="V1858" t="s">
        <v>20808</v>
      </c>
      <c r="W1858" t="s">
        <v>20807</v>
      </c>
      <c r="X1858" t="s">
        <v>74</v>
      </c>
      <c r="Y1858" t="s">
        <v>20806</v>
      </c>
      <c r="Z1858" t="s">
        <v>20805</v>
      </c>
      <c r="AA1858" t="s">
        <v>20804</v>
      </c>
      <c r="AB1858" t="s">
        <v>74</v>
      </c>
      <c r="AC1858" t="s">
        <v>74</v>
      </c>
      <c r="AD1858" t="s">
        <v>74</v>
      </c>
      <c r="AE1858" t="s">
        <v>74</v>
      </c>
      <c r="AF1858" t="s">
        <v>74</v>
      </c>
      <c r="AG1858">
        <v>50</v>
      </c>
      <c r="AH1858">
        <v>0</v>
      </c>
      <c r="AI1858">
        <v>1</v>
      </c>
      <c r="AJ1858">
        <v>0</v>
      </c>
      <c r="AK1858">
        <v>1</v>
      </c>
      <c r="AL1858" t="s">
        <v>7014</v>
      </c>
      <c r="AM1858" t="s">
        <v>7015</v>
      </c>
      <c r="AN1858" t="s">
        <v>7016</v>
      </c>
      <c r="AO1858" t="s">
        <v>74</v>
      </c>
      <c r="AP1858" t="s">
        <v>7017</v>
      </c>
      <c r="AQ1858" t="s">
        <v>74</v>
      </c>
      <c r="AR1858" t="s">
        <v>7018</v>
      </c>
      <c r="AS1858" t="s">
        <v>7019</v>
      </c>
      <c r="AT1858" t="s">
        <v>5892</v>
      </c>
      <c r="AU1858">
        <v>2023</v>
      </c>
      <c r="AV1858">
        <v>18</v>
      </c>
      <c r="AW1858">
        <v>3</v>
      </c>
      <c r="AX1858" t="s">
        <v>74</v>
      </c>
      <c r="AY1858" t="s">
        <v>74</v>
      </c>
      <c r="AZ1858" t="s">
        <v>74</v>
      </c>
      <c r="BA1858" t="s">
        <v>74</v>
      </c>
      <c r="BB1858" t="s">
        <v>74</v>
      </c>
      <c r="BC1858" t="s">
        <v>74</v>
      </c>
      <c r="BD1858" t="s">
        <v>20803</v>
      </c>
      <c r="BE1858" t="s">
        <v>20802</v>
      </c>
      <c r="BF1858" t="str">
        <f>HYPERLINK("http://dx.doi.org/10.21919/remef.v18i3.889","http://dx.doi.org/10.21919/remef.v18i3.889")</f>
        <v>http://dx.doi.org/10.21919/remef.v18i3.889</v>
      </c>
      <c r="BG1858" t="s">
        <v>74</v>
      </c>
      <c r="BH1858" t="s">
        <v>74</v>
      </c>
      <c r="BI1858">
        <v>40</v>
      </c>
      <c r="BJ1858" t="s">
        <v>210</v>
      </c>
      <c r="BK1858" t="s">
        <v>313</v>
      </c>
      <c r="BL1858" t="s">
        <v>100</v>
      </c>
      <c r="BM1858" t="s">
        <v>20801</v>
      </c>
      <c r="BN1858" t="s">
        <v>74</v>
      </c>
      <c r="BO1858" t="s">
        <v>916</v>
      </c>
      <c r="BP1858" t="s">
        <v>74</v>
      </c>
      <c r="BQ1858" t="s">
        <v>74</v>
      </c>
      <c r="BR1858" t="s">
        <v>102</v>
      </c>
      <c r="BS1858" t="s">
        <v>20800</v>
      </c>
      <c r="BT1858" t="str">
        <f>HYPERLINK("https%3A%2F%2Fwww.webofscience.com%2Fwos%2Fwoscc%2Ffull-record%2FWOS:001636119700002","View Full Record in Web of Science")</f>
        <v>View Full Record in Web of Science</v>
      </c>
    </row>
    <row r="1859" spans="1:72" x14ac:dyDescent="0.25">
      <c r="A1859" t="s">
        <v>72</v>
      </c>
      <c r="B1859" t="s">
        <v>20799</v>
      </c>
      <c r="C1859" t="s">
        <v>74</v>
      </c>
      <c r="D1859" t="s">
        <v>74</v>
      </c>
      <c r="E1859" t="s">
        <v>74</v>
      </c>
      <c r="F1859" t="s">
        <v>20798</v>
      </c>
      <c r="G1859" t="s">
        <v>74</v>
      </c>
      <c r="H1859" t="s">
        <v>74</v>
      </c>
      <c r="I1859" t="s">
        <v>20797</v>
      </c>
      <c r="J1859" t="s">
        <v>2030</v>
      </c>
      <c r="K1859" t="s">
        <v>74</v>
      </c>
      <c r="L1859" t="s">
        <v>74</v>
      </c>
      <c r="M1859" t="s">
        <v>78</v>
      </c>
      <c r="N1859" t="s">
        <v>79</v>
      </c>
      <c r="O1859" t="s">
        <v>74</v>
      </c>
      <c r="P1859" t="s">
        <v>74</v>
      </c>
      <c r="Q1859" t="s">
        <v>74</v>
      </c>
      <c r="R1859" t="s">
        <v>74</v>
      </c>
      <c r="S1859" t="s">
        <v>74</v>
      </c>
      <c r="T1859" t="s">
        <v>20796</v>
      </c>
      <c r="U1859" t="s">
        <v>20795</v>
      </c>
      <c r="V1859" t="s">
        <v>20794</v>
      </c>
      <c r="W1859" t="s">
        <v>20793</v>
      </c>
      <c r="X1859" t="s">
        <v>20792</v>
      </c>
      <c r="Y1859" t="s">
        <v>20791</v>
      </c>
      <c r="Z1859" t="s">
        <v>20790</v>
      </c>
      <c r="AA1859" t="s">
        <v>20789</v>
      </c>
      <c r="AB1859" t="s">
        <v>20788</v>
      </c>
      <c r="AC1859" t="s">
        <v>20787</v>
      </c>
      <c r="AD1859" t="s">
        <v>20786</v>
      </c>
      <c r="AE1859" t="s">
        <v>20785</v>
      </c>
      <c r="AF1859" t="s">
        <v>74</v>
      </c>
      <c r="AG1859">
        <v>49</v>
      </c>
      <c r="AH1859">
        <v>6</v>
      </c>
      <c r="AI1859">
        <v>8</v>
      </c>
      <c r="AJ1859">
        <v>1</v>
      </c>
      <c r="AK1859">
        <v>11</v>
      </c>
      <c r="AL1859" t="s">
        <v>1062</v>
      </c>
      <c r="AM1859" t="s">
        <v>667</v>
      </c>
      <c r="AN1859" t="s">
        <v>668</v>
      </c>
      <c r="AO1859" t="s">
        <v>2039</v>
      </c>
      <c r="AP1859" t="s">
        <v>74</v>
      </c>
      <c r="AQ1859" t="s">
        <v>74</v>
      </c>
      <c r="AR1859" t="s">
        <v>2040</v>
      </c>
      <c r="AS1859" t="s">
        <v>2041</v>
      </c>
      <c r="AT1859" t="s">
        <v>124</v>
      </c>
      <c r="AU1859">
        <v>2018</v>
      </c>
      <c r="AV1859">
        <v>5</v>
      </c>
      <c r="AW1859">
        <v>4</v>
      </c>
      <c r="AX1859" t="s">
        <v>74</v>
      </c>
      <c r="AY1859" t="s">
        <v>74</v>
      </c>
      <c r="AZ1859" t="s">
        <v>74</v>
      </c>
      <c r="BA1859" t="s">
        <v>74</v>
      </c>
      <c r="BB1859">
        <v>265</v>
      </c>
      <c r="BC1859">
        <v>275</v>
      </c>
      <c r="BD1859" t="s">
        <v>74</v>
      </c>
      <c r="BE1859" t="s">
        <v>20784</v>
      </c>
      <c r="BF1859" t="str">
        <f>HYPERLINK("http://dx.doi.org/10.1007/s40609-017-0109-1","http://dx.doi.org/10.1007/s40609-017-0109-1")</f>
        <v>http://dx.doi.org/10.1007/s40609-017-0109-1</v>
      </c>
      <c r="BG1859" t="s">
        <v>74</v>
      </c>
      <c r="BH1859" t="s">
        <v>74</v>
      </c>
      <c r="BI1859">
        <v>11</v>
      </c>
      <c r="BJ1859" t="s">
        <v>2045</v>
      </c>
      <c r="BK1859" t="s">
        <v>313</v>
      </c>
      <c r="BL1859" t="s">
        <v>2045</v>
      </c>
      <c r="BM1859" t="s">
        <v>20783</v>
      </c>
      <c r="BN1859" t="s">
        <v>74</v>
      </c>
      <c r="BO1859" t="s">
        <v>74</v>
      </c>
      <c r="BP1859" t="s">
        <v>74</v>
      </c>
      <c r="BQ1859" t="s">
        <v>74</v>
      </c>
      <c r="BR1859" t="s">
        <v>102</v>
      </c>
      <c r="BS1859" t="s">
        <v>20782</v>
      </c>
      <c r="BT1859" t="str">
        <f>HYPERLINK("https%3A%2F%2Fwww.webofscience.com%2Fwos%2Fwoscc%2Ffull-record%2FWOS:000452329900007","View Full Record in Web of Science")</f>
        <v>View Full Record in Web of Science</v>
      </c>
    </row>
    <row r="1860" spans="1:72" x14ac:dyDescent="0.25">
      <c r="A1860" t="s">
        <v>72</v>
      </c>
      <c r="B1860" t="s">
        <v>20781</v>
      </c>
      <c r="C1860" t="s">
        <v>74</v>
      </c>
      <c r="D1860" t="s">
        <v>74</v>
      </c>
      <c r="E1860" t="s">
        <v>74</v>
      </c>
      <c r="F1860" t="s">
        <v>20780</v>
      </c>
      <c r="G1860" t="s">
        <v>74</v>
      </c>
      <c r="H1860" t="s">
        <v>74</v>
      </c>
      <c r="I1860" t="s">
        <v>20779</v>
      </c>
      <c r="J1860" t="s">
        <v>20778</v>
      </c>
      <c r="K1860" t="s">
        <v>74</v>
      </c>
      <c r="L1860" t="s">
        <v>74</v>
      </c>
      <c r="M1860" t="s">
        <v>78</v>
      </c>
      <c r="N1860" t="s">
        <v>79</v>
      </c>
      <c r="O1860" t="s">
        <v>74</v>
      </c>
      <c r="P1860" t="s">
        <v>74</v>
      </c>
      <c r="Q1860" t="s">
        <v>74</v>
      </c>
      <c r="R1860" t="s">
        <v>74</v>
      </c>
      <c r="S1860" t="s">
        <v>74</v>
      </c>
      <c r="T1860" t="s">
        <v>20777</v>
      </c>
      <c r="U1860" t="s">
        <v>20776</v>
      </c>
      <c r="V1860" t="s">
        <v>20775</v>
      </c>
      <c r="W1860" t="s">
        <v>20774</v>
      </c>
      <c r="X1860" t="s">
        <v>20773</v>
      </c>
      <c r="Y1860" t="s">
        <v>20772</v>
      </c>
      <c r="Z1860" t="s">
        <v>20771</v>
      </c>
      <c r="AA1860" t="s">
        <v>20770</v>
      </c>
      <c r="AB1860" t="s">
        <v>20769</v>
      </c>
      <c r="AC1860" t="s">
        <v>20768</v>
      </c>
      <c r="AD1860" t="s">
        <v>20767</v>
      </c>
      <c r="AE1860" t="s">
        <v>20766</v>
      </c>
      <c r="AF1860" t="s">
        <v>74</v>
      </c>
      <c r="AG1860">
        <v>56</v>
      </c>
      <c r="AH1860">
        <v>3</v>
      </c>
      <c r="AI1860">
        <v>5</v>
      </c>
      <c r="AJ1860">
        <v>0</v>
      </c>
      <c r="AK1860">
        <v>18</v>
      </c>
      <c r="AL1860" t="s">
        <v>20765</v>
      </c>
      <c r="AM1860" t="s">
        <v>9605</v>
      </c>
      <c r="AN1860" t="s">
        <v>20764</v>
      </c>
      <c r="AO1860" t="s">
        <v>20763</v>
      </c>
      <c r="AP1860" t="s">
        <v>20762</v>
      </c>
      <c r="AQ1860" t="s">
        <v>74</v>
      </c>
      <c r="AR1860" t="s">
        <v>20761</v>
      </c>
      <c r="AS1860" t="s">
        <v>20760</v>
      </c>
      <c r="AT1860" t="s">
        <v>20759</v>
      </c>
      <c r="AU1860">
        <v>2020</v>
      </c>
      <c r="AV1860">
        <v>36</v>
      </c>
      <c r="AW1860">
        <v>67</v>
      </c>
      <c r="AX1860" t="s">
        <v>74</v>
      </c>
      <c r="AY1860" t="s">
        <v>74</v>
      </c>
      <c r="AZ1860" t="s">
        <v>74</v>
      </c>
      <c r="BA1860" t="s">
        <v>74</v>
      </c>
      <c r="BB1860">
        <v>79</v>
      </c>
      <c r="BC1860">
        <v>92</v>
      </c>
      <c r="BD1860" t="s">
        <v>74</v>
      </c>
      <c r="BE1860" t="s">
        <v>20758</v>
      </c>
      <c r="BF1860" t="str">
        <f>HYPERLINK("http://dx.doi.org/10.25100/cdea.v36i67.8744","http://dx.doi.org/10.25100/cdea.v36i67.8744")</f>
        <v>http://dx.doi.org/10.25100/cdea.v36i67.8744</v>
      </c>
      <c r="BG1860" t="s">
        <v>74</v>
      </c>
      <c r="BH1860" t="s">
        <v>74</v>
      </c>
      <c r="BI1860">
        <v>14</v>
      </c>
      <c r="BJ1860" t="s">
        <v>583</v>
      </c>
      <c r="BK1860" t="s">
        <v>313</v>
      </c>
      <c r="BL1860" t="s">
        <v>100</v>
      </c>
      <c r="BM1860" t="s">
        <v>20757</v>
      </c>
      <c r="BN1860" t="s">
        <v>74</v>
      </c>
      <c r="BO1860" t="s">
        <v>212</v>
      </c>
      <c r="BP1860" t="s">
        <v>74</v>
      </c>
      <c r="BQ1860" t="s">
        <v>74</v>
      </c>
      <c r="BR1860" t="s">
        <v>102</v>
      </c>
      <c r="BS1860" t="s">
        <v>20756</v>
      </c>
      <c r="BT1860" t="str">
        <f>HYPERLINK("https%3A%2F%2Fwww.webofscience.com%2Fwos%2Fwoscc%2Ffull-record%2FWOS:000577861700007","View Full Record in Web of Science")</f>
        <v>View Full Record in Web of Science</v>
      </c>
    </row>
    <row r="1861" spans="1:72" x14ac:dyDescent="0.25">
      <c r="A1861" t="s">
        <v>72</v>
      </c>
      <c r="B1861" t="s">
        <v>20755</v>
      </c>
      <c r="C1861" t="s">
        <v>74</v>
      </c>
      <c r="D1861" t="s">
        <v>74</v>
      </c>
      <c r="E1861" t="s">
        <v>74</v>
      </c>
      <c r="F1861" t="s">
        <v>20754</v>
      </c>
      <c r="G1861" t="s">
        <v>74</v>
      </c>
      <c r="H1861" t="s">
        <v>74</v>
      </c>
      <c r="I1861" t="s">
        <v>20753</v>
      </c>
      <c r="J1861" t="s">
        <v>20752</v>
      </c>
      <c r="K1861" t="s">
        <v>74</v>
      </c>
      <c r="L1861" t="s">
        <v>74</v>
      </c>
      <c r="M1861" t="s">
        <v>78</v>
      </c>
      <c r="N1861" t="s">
        <v>79</v>
      </c>
      <c r="O1861" t="s">
        <v>74</v>
      </c>
      <c r="P1861" t="s">
        <v>74</v>
      </c>
      <c r="Q1861" t="s">
        <v>74</v>
      </c>
      <c r="R1861" t="s">
        <v>74</v>
      </c>
      <c r="S1861" t="s">
        <v>74</v>
      </c>
      <c r="T1861" t="s">
        <v>20751</v>
      </c>
      <c r="U1861" t="s">
        <v>20750</v>
      </c>
      <c r="V1861" t="s">
        <v>20749</v>
      </c>
      <c r="W1861" t="s">
        <v>20748</v>
      </c>
      <c r="X1861" t="s">
        <v>20747</v>
      </c>
      <c r="Y1861" t="s">
        <v>20746</v>
      </c>
      <c r="Z1861" t="s">
        <v>20745</v>
      </c>
      <c r="AA1861" t="s">
        <v>74</v>
      </c>
      <c r="AB1861" t="s">
        <v>74</v>
      </c>
      <c r="AC1861" t="s">
        <v>74</v>
      </c>
      <c r="AD1861" t="s">
        <v>74</v>
      </c>
      <c r="AE1861" t="s">
        <v>74</v>
      </c>
      <c r="AF1861" t="s">
        <v>74</v>
      </c>
      <c r="AG1861">
        <v>101</v>
      </c>
      <c r="AH1861">
        <v>5</v>
      </c>
      <c r="AI1861">
        <v>6</v>
      </c>
      <c r="AJ1861">
        <v>0</v>
      </c>
      <c r="AK1861">
        <v>15</v>
      </c>
      <c r="AL1861" t="s">
        <v>20744</v>
      </c>
      <c r="AM1861" t="s">
        <v>2251</v>
      </c>
      <c r="AN1861" t="s">
        <v>20743</v>
      </c>
      <c r="AO1861" t="s">
        <v>20742</v>
      </c>
      <c r="AP1861" t="s">
        <v>20741</v>
      </c>
      <c r="AQ1861" t="s">
        <v>74</v>
      </c>
      <c r="AR1861" t="s">
        <v>20740</v>
      </c>
      <c r="AS1861" t="s">
        <v>20739</v>
      </c>
      <c r="AT1861" t="s">
        <v>19701</v>
      </c>
      <c r="AU1861">
        <v>2020</v>
      </c>
      <c r="AV1861">
        <v>9</v>
      </c>
      <c r="AW1861">
        <v>1</v>
      </c>
      <c r="AX1861" t="s">
        <v>74</v>
      </c>
      <c r="AY1861" t="s">
        <v>74</v>
      </c>
      <c r="AZ1861" t="s">
        <v>74</v>
      </c>
      <c r="BA1861" t="s">
        <v>74</v>
      </c>
      <c r="BB1861">
        <v>61</v>
      </c>
      <c r="BC1861">
        <v>83</v>
      </c>
      <c r="BD1861" t="s">
        <v>74</v>
      </c>
      <c r="BE1861" t="s">
        <v>20738</v>
      </c>
      <c r="BF1861" t="str">
        <f>HYPERLINK("http://dx.doi.org/10.1386/ajms_00011_1","http://dx.doi.org/10.1386/ajms_00011_1")</f>
        <v>http://dx.doi.org/10.1386/ajms_00011_1</v>
      </c>
      <c r="BG1861" t="s">
        <v>74</v>
      </c>
      <c r="BH1861" t="s">
        <v>74</v>
      </c>
      <c r="BI1861">
        <v>23</v>
      </c>
      <c r="BJ1861" t="s">
        <v>3714</v>
      </c>
      <c r="BK1861" t="s">
        <v>313</v>
      </c>
      <c r="BL1861" t="s">
        <v>3714</v>
      </c>
      <c r="BM1861" t="s">
        <v>20737</v>
      </c>
      <c r="BN1861" t="s">
        <v>74</v>
      </c>
      <c r="BO1861" t="s">
        <v>74</v>
      </c>
      <c r="BP1861" t="s">
        <v>74</v>
      </c>
      <c r="BQ1861" t="s">
        <v>74</v>
      </c>
      <c r="BR1861" t="s">
        <v>102</v>
      </c>
      <c r="BS1861" t="s">
        <v>20736</v>
      </c>
      <c r="BT1861" t="str">
        <f>HYPERLINK("https%3A%2F%2Fwww.webofscience.com%2Fwos%2Fwoscc%2Ffull-record%2FWOS:000526948700004","View Full Record in Web of Science")</f>
        <v>View Full Record in Web of Science</v>
      </c>
    </row>
    <row r="1862" spans="1:72" x14ac:dyDescent="0.25">
      <c r="A1862" t="s">
        <v>72</v>
      </c>
      <c r="B1862" t="s">
        <v>20735</v>
      </c>
      <c r="C1862" t="s">
        <v>74</v>
      </c>
      <c r="D1862" t="s">
        <v>74</v>
      </c>
      <c r="E1862" t="s">
        <v>74</v>
      </c>
      <c r="F1862" t="s">
        <v>20734</v>
      </c>
      <c r="G1862" t="s">
        <v>74</v>
      </c>
      <c r="H1862" t="s">
        <v>74</v>
      </c>
      <c r="I1862" t="s">
        <v>20733</v>
      </c>
      <c r="J1862" t="s">
        <v>4657</v>
      </c>
      <c r="K1862" t="s">
        <v>74</v>
      </c>
      <c r="L1862" t="s">
        <v>74</v>
      </c>
      <c r="M1862" t="s">
        <v>78</v>
      </c>
      <c r="N1862" t="s">
        <v>79</v>
      </c>
      <c r="O1862" t="s">
        <v>74</v>
      </c>
      <c r="P1862" t="s">
        <v>74</v>
      </c>
      <c r="Q1862" t="s">
        <v>74</v>
      </c>
      <c r="R1862" t="s">
        <v>74</v>
      </c>
      <c r="S1862" t="s">
        <v>74</v>
      </c>
      <c r="T1862" t="s">
        <v>20732</v>
      </c>
      <c r="U1862" t="s">
        <v>10980</v>
      </c>
      <c r="V1862" t="s">
        <v>20731</v>
      </c>
      <c r="W1862" t="s">
        <v>20730</v>
      </c>
      <c r="X1862" t="s">
        <v>20729</v>
      </c>
      <c r="Y1862" t="s">
        <v>20728</v>
      </c>
      <c r="Z1862" t="s">
        <v>20727</v>
      </c>
      <c r="AA1862" t="s">
        <v>13826</v>
      </c>
      <c r="AB1862" t="s">
        <v>74</v>
      </c>
      <c r="AC1862" t="s">
        <v>74</v>
      </c>
      <c r="AD1862" t="s">
        <v>74</v>
      </c>
      <c r="AE1862" t="s">
        <v>74</v>
      </c>
      <c r="AF1862" t="s">
        <v>74</v>
      </c>
      <c r="AG1862">
        <v>67</v>
      </c>
      <c r="AH1862">
        <v>0</v>
      </c>
      <c r="AI1862">
        <v>1</v>
      </c>
      <c r="AJ1862">
        <v>1</v>
      </c>
      <c r="AK1862">
        <v>1</v>
      </c>
      <c r="AL1862" t="s">
        <v>4666</v>
      </c>
      <c r="AM1862" t="s">
        <v>995</v>
      </c>
      <c r="AN1862" t="s">
        <v>4025</v>
      </c>
      <c r="AO1862" t="s">
        <v>74</v>
      </c>
      <c r="AP1862" t="s">
        <v>4667</v>
      </c>
      <c r="AQ1862" t="s">
        <v>74</v>
      </c>
      <c r="AR1862" t="s">
        <v>4668</v>
      </c>
      <c r="AS1862" t="s">
        <v>4669</v>
      </c>
      <c r="AT1862" t="s">
        <v>20220</v>
      </c>
      <c r="AU1862">
        <v>2025</v>
      </c>
      <c r="AV1862">
        <v>6</v>
      </c>
      <c r="AW1862">
        <v>1</v>
      </c>
      <c r="AX1862" t="s">
        <v>74</v>
      </c>
      <c r="AY1862" t="s">
        <v>74</v>
      </c>
      <c r="AZ1862" t="s">
        <v>74</v>
      </c>
      <c r="BA1862" t="s">
        <v>74</v>
      </c>
      <c r="BB1862" t="s">
        <v>74</v>
      </c>
      <c r="BC1862" t="s">
        <v>74</v>
      </c>
      <c r="BD1862">
        <v>772</v>
      </c>
      <c r="BE1862" t="s">
        <v>20726</v>
      </c>
      <c r="BF1862" t="str">
        <f>HYPERLINK("http://dx.doi.org/10.1007/s43621-025-01694-9","http://dx.doi.org/10.1007/s43621-025-01694-9")</f>
        <v>http://dx.doi.org/10.1007/s43621-025-01694-9</v>
      </c>
      <c r="BG1862" t="s">
        <v>74</v>
      </c>
      <c r="BH1862" t="s">
        <v>74</v>
      </c>
      <c r="BI1862">
        <v>20</v>
      </c>
      <c r="BJ1862" t="s">
        <v>3247</v>
      </c>
      <c r="BK1862" t="s">
        <v>313</v>
      </c>
      <c r="BL1862" t="s">
        <v>3248</v>
      </c>
      <c r="BM1862" t="s">
        <v>20725</v>
      </c>
      <c r="BN1862" t="s">
        <v>74</v>
      </c>
      <c r="BO1862" t="s">
        <v>212</v>
      </c>
      <c r="BP1862" t="s">
        <v>74</v>
      </c>
      <c r="BQ1862" t="s">
        <v>74</v>
      </c>
      <c r="BR1862" t="s">
        <v>102</v>
      </c>
      <c r="BS1862" t="s">
        <v>20724</v>
      </c>
      <c r="BT1862" t="str">
        <f>HYPERLINK("https%3A%2F%2Fwww.webofscience.com%2Fwos%2Fwoscc%2Ffull-record%2FWOS:001545754900004","View Full Record in Web of Science")</f>
        <v>View Full Record in Web of Science</v>
      </c>
    </row>
    <row r="1863" spans="1:72" x14ac:dyDescent="0.25">
      <c r="A1863" t="s">
        <v>72</v>
      </c>
      <c r="B1863" t="s">
        <v>20723</v>
      </c>
      <c r="C1863" t="s">
        <v>74</v>
      </c>
      <c r="D1863" t="s">
        <v>74</v>
      </c>
      <c r="E1863" t="s">
        <v>74</v>
      </c>
      <c r="F1863" t="s">
        <v>20722</v>
      </c>
      <c r="G1863" t="s">
        <v>74</v>
      </c>
      <c r="H1863" t="s">
        <v>74</v>
      </c>
      <c r="I1863" t="s">
        <v>20721</v>
      </c>
      <c r="J1863" t="s">
        <v>8715</v>
      </c>
      <c r="K1863" t="s">
        <v>74</v>
      </c>
      <c r="L1863" t="s">
        <v>74</v>
      </c>
      <c r="M1863" t="s">
        <v>78</v>
      </c>
      <c r="N1863" t="s">
        <v>79</v>
      </c>
      <c r="O1863" t="s">
        <v>74</v>
      </c>
      <c r="P1863" t="s">
        <v>74</v>
      </c>
      <c r="Q1863" t="s">
        <v>74</v>
      </c>
      <c r="R1863" t="s">
        <v>74</v>
      </c>
      <c r="S1863" t="s">
        <v>74</v>
      </c>
      <c r="T1863" t="s">
        <v>20720</v>
      </c>
      <c r="U1863" t="s">
        <v>20719</v>
      </c>
      <c r="V1863" t="s">
        <v>20718</v>
      </c>
      <c r="W1863" t="s">
        <v>20717</v>
      </c>
      <c r="X1863" t="s">
        <v>20716</v>
      </c>
      <c r="Y1863" t="s">
        <v>20715</v>
      </c>
      <c r="Z1863" t="s">
        <v>20714</v>
      </c>
      <c r="AA1863" t="s">
        <v>20713</v>
      </c>
      <c r="AB1863" t="s">
        <v>20712</v>
      </c>
      <c r="AC1863" t="s">
        <v>74</v>
      </c>
      <c r="AD1863" t="s">
        <v>74</v>
      </c>
      <c r="AE1863" t="s">
        <v>74</v>
      </c>
      <c r="AF1863" t="s">
        <v>74</v>
      </c>
      <c r="AG1863">
        <v>65</v>
      </c>
      <c r="AH1863">
        <v>0</v>
      </c>
      <c r="AI1863">
        <v>0</v>
      </c>
      <c r="AJ1863">
        <v>7</v>
      </c>
      <c r="AK1863">
        <v>8</v>
      </c>
      <c r="AL1863" t="s">
        <v>757</v>
      </c>
      <c r="AM1863" t="s">
        <v>758</v>
      </c>
      <c r="AN1863" t="s">
        <v>759</v>
      </c>
      <c r="AO1863" t="s">
        <v>8721</v>
      </c>
      <c r="AP1863" t="s">
        <v>74</v>
      </c>
      <c r="AQ1863" t="s">
        <v>74</v>
      </c>
      <c r="AR1863" t="s">
        <v>8722</v>
      </c>
      <c r="AS1863" t="s">
        <v>8723</v>
      </c>
      <c r="AT1863" t="s">
        <v>1652</v>
      </c>
      <c r="AU1863">
        <v>2025</v>
      </c>
      <c r="AV1863">
        <v>33</v>
      </c>
      <c r="AW1863">
        <v>2</v>
      </c>
      <c r="AX1863" t="s">
        <v>74</v>
      </c>
      <c r="AY1863" t="s">
        <v>74</v>
      </c>
      <c r="AZ1863" t="s">
        <v>74</v>
      </c>
      <c r="BA1863" t="s">
        <v>74</v>
      </c>
      <c r="BB1863">
        <v>115</v>
      </c>
      <c r="BC1863">
        <v>127</v>
      </c>
      <c r="BD1863" t="s">
        <v>74</v>
      </c>
      <c r="BE1863" t="s">
        <v>20711</v>
      </c>
      <c r="BF1863" t="str">
        <f>HYPERLINK("http://dx.doi.org/10.1177/09711023251338105","http://dx.doi.org/10.1177/09711023251338105")</f>
        <v>http://dx.doi.org/10.1177/09711023251338105</v>
      </c>
      <c r="BG1863" t="s">
        <v>74</v>
      </c>
      <c r="BH1863" t="s">
        <v>74</v>
      </c>
      <c r="BI1863">
        <v>13</v>
      </c>
      <c r="BJ1863" t="s">
        <v>583</v>
      </c>
      <c r="BK1863" t="s">
        <v>313</v>
      </c>
      <c r="BL1863" t="s">
        <v>100</v>
      </c>
      <c r="BM1863" t="s">
        <v>20710</v>
      </c>
      <c r="BN1863" t="s">
        <v>74</v>
      </c>
      <c r="BO1863" t="s">
        <v>212</v>
      </c>
      <c r="BP1863" t="s">
        <v>74</v>
      </c>
      <c r="BQ1863" t="s">
        <v>74</v>
      </c>
      <c r="BR1863" t="s">
        <v>102</v>
      </c>
      <c r="BS1863" t="s">
        <v>20709</v>
      </c>
      <c r="BT1863" t="str">
        <f>HYPERLINK("https%3A%2F%2Fwww.webofscience.com%2Fwos%2Fwoscc%2Ffull-record%2FWOS:001501450200006","View Full Record in Web of Science")</f>
        <v>View Full Record in Web of Science</v>
      </c>
    </row>
    <row r="1864" spans="1:72" x14ac:dyDescent="0.25">
      <c r="A1864" t="s">
        <v>72</v>
      </c>
      <c r="B1864" t="s">
        <v>20708</v>
      </c>
      <c r="C1864" t="s">
        <v>74</v>
      </c>
      <c r="D1864" t="s">
        <v>74</v>
      </c>
      <c r="E1864" t="s">
        <v>74</v>
      </c>
      <c r="F1864" t="s">
        <v>20707</v>
      </c>
      <c r="G1864" t="s">
        <v>74</v>
      </c>
      <c r="H1864" t="s">
        <v>74</v>
      </c>
      <c r="I1864" t="s">
        <v>20706</v>
      </c>
      <c r="J1864" t="s">
        <v>7004</v>
      </c>
      <c r="K1864" t="s">
        <v>74</v>
      </c>
      <c r="L1864" t="s">
        <v>74</v>
      </c>
      <c r="M1864" t="s">
        <v>78</v>
      </c>
      <c r="N1864" t="s">
        <v>79</v>
      </c>
      <c r="O1864" t="s">
        <v>74</v>
      </c>
      <c r="P1864" t="s">
        <v>74</v>
      </c>
      <c r="Q1864" t="s">
        <v>74</v>
      </c>
      <c r="R1864" t="s">
        <v>74</v>
      </c>
      <c r="S1864" t="s">
        <v>74</v>
      </c>
      <c r="T1864" t="s">
        <v>20705</v>
      </c>
      <c r="U1864" t="s">
        <v>74</v>
      </c>
      <c r="V1864" t="s">
        <v>20704</v>
      </c>
      <c r="W1864" t="s">
        <v>20703</v>
      </c>
      <c r="X1864" t="s">
        <v>20702</v>
      </c>
      <c r="Y1864" t="s">
        <v>20701</v>
      </c>
      <c r="Z1864" t="s">
        <v>20700</v>
      </c>
      <c r="AA1864" t="s">
        <v>20699</v>
      </c>
      <c r="AB1864" t="s">
        <v>20698</v>
      </c>
      <c r="AC1864" t="s">
        <v>74</v>
      </c>
      <c r="AD1864" t="s">
        <v>74</v>
      </c>
      <c r="AE1864" t="s">
        <v>74</v>
      </c>
      <c r="AF1864" t="s">
        <v>74</v>
      </c>
      <c r="AG1864">
        <v>51</v>
      </c>
      <c r="AH1864">
        <v>1</v>
      </c>
      <c r="AI1864">
        <v>1</v>
      </c>
      <c r="AJ1864">
        <v>1</v>
      </c>
      <c r="AK1864">
        <v>2</v>
      </c>
      <c r="AL1864" t="s">
        <v>7014</v>
      </c>
      <c r="AM1864" t="s">
        <v>7015</v>
      </c>
      <c r="AN1864" t="s">
        <v>7016</v>
      </c>
      <c r="AO1864" t="s">
        <v>74</v>
      </c>
      <c r="AP1864" t="s">
        <v>7017</v>
      </c>
      <c r="AQ1864" t="s">
        <v>74</v>
      </c>
      <c r="AR1864" t="s">
        <v>7018</v>
      </c>
      <c r="AS1864" t="s">
        <v>7019</v>
      </c>
      <c r="AT1864" t="s">
        <v>7020</v>
      </c>
      <c r="AU1864">
        <v>2024</v>
      </c>
      <c r="AV1864">
        <v>19</v>
      </c>
      <c r="AW1864">
        <v>1</v>
      </c>
      <c r="AX1864" t="s">
        <v>74</v>
      </c>
      <c r="AY1864" t="s">
        <v>74</v>
      </c>
      <c r="AZ1864" t="s">
        <v>74</v>
      </c>
      <c r="BA1864" t="s">
        <v>74</v>
      </c>
      <c r="BB1864" t="s">
        <v>74</v>
      </c>
      <c r="BC1864" t="s">
        <v>74</v>
      </c>
      <c r="BD1864" t="s">
        <v>20697</v>
      </c>
      <c r="BE1864" t="s">
        <v>20696</v>
      </c>
      <c r="BF1864" t="str">
        <f>HYPERLINK("http://dx.doi.org/10.21919/remef.v19i1.965","http://dx.doi.org/10.21919/remef.v19i1.965")</f>
        <v>http://dx.doi.org/10.21919/remef.v19i1.965</v>
      </c>
      <c r="BG1864" t="s">
        <v>74</v>
      </c>
      <c r="BH1864" t="s">
        <v>74</v>
      </c>
      <c r="BI1864">
        <v>25</v>
      </c>
      <c r="BJ1864" t="s">
        <v>210</v>
      </c>
      <c r="BK1864" t="s">
        <v>313</v>
      </c>
      <c r="BL1864" t="s">
        <v>100</v>
      </c>
      <c r="BM1864" t="s">
        <v>7023</v>
      </c>
      <c r="BN1864" t="s">
        <v>74</v>
      </c>
      <c r="BO1864" t="s">
        <v>916</v>
      </c>
      <c r="BP1864" t="s">
        <v>74</v>
      </c>
      <c r="BQ1864" t="s">
        <v>74</v>
      </c>
      <c r="BR1864" t="s">
        <v>102</v>
      </c>
      <c r="BS1864" t="s">
        <v>20695</v>
      </c>
      <c r="BT1864" t="str">
        <f>HYPERLINK("https%3A%2F%2Fwww.webofscience.com%2Fwos%2Fwoscc%2Ffull-record%2FWOS:001637628300007","View Full Record in Web of Science")</f>
        <v>View Full Record in Web of Science</v>
      </c>
    </row>
    <row r="1865" spans="1:72" x14ac:dyDescent="0.25">
      <c r="A1865" t="s">
        <v>72</v>
      </c>
      <c r="B1865" t="s">
        <v>20694</v>
      </c>
      <c r="C1865" t="s">
        <v>74</v>
      </c>
      <c r="D1865" t="s">
        <v>74</v>
      </c>
      <c r="E1865" t="s">
        <v>74</v>
      </c>
      <c r="F1865" t="s">
        <v>20693</v>
      </c>
      <c r="G1865" t="s">
        <v>74</v>
      </c>
      <c r="H1865" t="s">
        <v>74</v>
      </c>
      <c r="I1865" t="s">
        <v>20692</v>
      </c>
      <c r="J1865" t="s">
        <v>20691</v>
      </c>
      <c r="K1865" t="s">
        <v>74</v>
      </c>
      <c r="L1865" t="s">
        <v>74</v>
      </c>
      <c r="M1865" t="s">
        <v>78</v>
      </c>
      <c r="N1865" t="s">
        <v>79</v>
      </c>
      <c r="O1865" t="s">
        <v>74</v>
      </c>
      <c r="P1865" t="s">
        <v>74</v>
      </c>
      <c r="Q1865" t="s">
        <v>74</v>
      </c>
      <c r="R1865" t="s">
        <v>74</v>
      </c>
      <c r="S1865" t="s">
        <v>74</v>
      </c>
      <c r="T1865" t="s">
        <v>20690</v>
      </c>
      <c r="U1865" t="s">
        <v>20689</v>
      </c>
      <c r="V1865" t="s">
        <v>20688</v>
      </c>
      <c r="W1865" t="s">
        <v>20687</v>
      </c>
      <c r="X1865" t="s">
        <v>6311</v>
      </c>
      <c r="Y1865" t="s">
        <v>20686</v>
      </c>
      <c r="Z1865" t="s">
        <v>20685</v>
      </c>
      <c r="AA1865" t="s">
        <v>20684</v>
      </c>
      <c r="AB1865" t="s">
        <v>74</v>
      </c>
      <c r="AC1865" t="s">
        <v>74</v>
      </c>
      <c r="AD1865" t="s">
        <v>74</v>
      </c>
      <c r="AE1865" t="s">
        <v>74</v>
      </c>
      <c r="AF1865" t="s">
        <v>74</v>
      </c>
      <c r="AG1865">
        <v>55</v>
      </c>
      <c r="AH1865">
        <v>0</v>
      </c>
      <c r="AI1865">
        <v>0</v>
      </c>
      <c r="AJ1865">
        <v>1</v>
      </c>
      <c r="AK1865">
        <v>3</v>
      </c>
      <c r="AL1865" t="s">
        <v>20683</v>
      </c>
      <c r="AM1865" t="s">
        <v>20682</v>
      </c>
      <c r="AN1865" t="s">
        <v>20681</v>
      </c>
      <c r="AO1865" t="s">
        <v>20680</v>
      </c>
      <c r="AP1865" t="s">
        <v>20679</v>
      </c>
      <c r="AQ1865" t="s">
        <v>74</v>
      </c>
      <c r="AR1865" t="s">
        <v>20678</v>
      </c>
      <c r="AS1865" t="s">
        <v>20677</v>
      </c>
      <c r="AT1865" t="s">
        <v>605</v>
      </c>
      <c r="AU1865">
        <v>2025</v>
      </c>
      <c r="AV1865">
        <v>40</v>
      </c>
      <c r="AW1865">
        <v>1</v>
      </c>
      <c r="AX1865" t="s">
        <v>74</v>
      </c>
      <c r="AY1865" t="s">
        <v>74</v>
      </c>
      <c r="AZ1865" t="s">
        <v>74</v>
      </c>
      <c r="BA1865" t="s">
        <v>74</v>
      </c>
      <c r="BB1865">
        <v>53</v>
      </c>
      <c r="BC1865">
        <v>70</v>
      </c>
      <c r="BD1865" t="s">
        <v>74</v>
      </c>
      <c r="BE1865" t="s">
        <v>20676</v>
      </c>
      <c r="BF1865" t="str">
        <f>HYPERLINK("http://dx.doi.org/10.11130/jei.2024041","http://dx.doi.org/10.11130/jei.2024041")</f>
        <v>http://dx.doi.org/10.11130/jei.2024041</v>
      </c>
      <c r="BG1865" t="s">
        <v>74</v>
      </c>
      <c r="BH1865" t="s">
        <v>74</v>
      </c>
      <c r="BI1865">
        <v>18</v>
      </c>
      <c r="BJ1865" t="s">
        <v>291</v>
      </c>
      <c r="BK1865" t="s">
        <v>313</v>
      </c>
      <c r="BL1865" t="s">
        <v>100</v>
      </c>
      <c r="BM1865" t="s">
        <v>20675</v>
      </c>
      <c r="BN1865" t="s">
        <v>74</v>
      </c>
      <c r="BO1865" t="s">
        <v>212</v>
      </c>
      <c r="BP1865" t="s">
        <v>74</v>
      </c>
      <c r="BQ1865" t="s">
        <v>74</v>
      </c>
      <c r="BR1865" t="s">
        <v>102</v>
      </c>
      <c r="BS1865" t="s">
        <v>20674</v>
      </c>
      <c r="BT1865" t="str">
        <f>HYPERLINK("https%3A%2F%2Fwww.webofscience.com%2Fwos%2Fwoscc%2Ffull-record%2FWOS:001441106400003","View Full Record in Web of Science")</f>
        <v>View Full Record in Web of Science</v>
      </c>
    </row>
    <row r="1866" spans="1:72" x14ac:dyDescent="0.25">
      <c r="A1866" t="s">
        <v>72</v>
      </c>
      <c r="B1866" t="s">
        <v>20673</v>
      </c>
      <c r="C1866" t="s">
        <v>74</v>
      </c>
      <c r="D1866" t="s">
        <v>74</v>
      </c>
      <c r="E1866" t="s">
        <v>74</v>
      </c>
      <c r="F1866" t="s">
        <v>20672</v>
      </c>
      <c r="G1866" t="s">
        <v>74</v>
      </c>
      <c r="H1866" t="s">
        <v>74</v>
      </c>
      <c r="I1866" t="s">
        <v>20671</v>
      </c>
      <c r="J1866" t="s">
        <v>20670</v>
      </c>
      <c r="K1866" t="s">
        <v>74</v>
      </c>
      <c r="L1866" t="s">
        <v>74</v>
      </c>
      <c r="M1866" t="s">
        <v>78</v>
      </c>
      <c r="N1866" t="s">
        <v>79</v>
      </c>
      <c r="O1866" t="s">
        <v>74</v>
      </c>
      <c r="P1866" t="s">
        <v>74</v>
      </c>
      <c r="Q1866" t="s">
        <v>74</v>
      </c>
      <c r="R1866" t="s">
        <v>74</v>
      </c>
      <c r="S1866" t="s">
        <v>74</v>
      </c>
      <c r="T1866" t="s">
        <v>20669</v>
      </c>
      <c r="U1866" t="s">
        <v>20668</v>
      </c>
      <c r="V1866" t="s">
        <v>20667</v>
      </c>
      <c r="W1866" t="s">
        <v>20666</v>
      </c>
      <c r="X1866" t="s">
        <v>20665</v>
      </c>
      <c r="Y1866" t="s">
        <v>20664</v>
      </c>
      <c r="Z1866" t="s">
        <v>20663</v>
      </c>
      <c r="AA1866" t="s">
        <v>20662</v>
      </c>
      <c r="AB1866" t="s">
        <v>20661</v>
      </c>
      <c r="AC1866" t="s">
        <v>74</v>
      </c>
      <c r="AD1866" t="s">
        <v>74</v>
      </c>
      <c r="AE1866" t="s">
        <v>74</v>
      </c>
      <c r="AF1866" t="s">
        <v>74</v>
      </c>
      <c r="AG1866">
        <v>52</v>
      </c>
      <c r="AH1866">
        <v>8</v>
      </c>
      <c r="AI1866">
        <v>8</v>
      </c>
      <c r="AJ1866">
        <v>4</v>
      </c>
      <c r="AK1866">
        <v>19</v>
      </c>
      <c r="AL1866" t="s">
        <v>201</v>
      </c>
      <c r="AM1866" t="s">
        <v>202</v>
      </c>
      <c r="AN1866" t="s">
        <v>203</v>
      </c>
      <c r="AO1866" t="s">
        <v>20660</v>
      </c>
      <c r="AP1866" t="s">
        <v>20659</v>
      </c>
      <c r="AQ1866" t="s">
        <v>74</v>
      </c>
      <c r="AR1866" t="s">
        <v>20658</v>
      </c>
      <c r="AS1866" t="s">
        <v>20657</v>
      </c>
      <c r="AT1866" t="s">
        <v>1652</v>
      </c>
      <c r="AU1866">
        <v>2023</v>
      </c>
      <c r="AV1866">
        <v>38</v>
      </c>
      <c r="AW1866" t="s">
        <v>74</v>
      </c>
      <c r="AX1866" t="s">
        <v>74</v>
      </c>
      <c r="AY1866" t="s">
        <v>74</v>
      </c>
      <c r="AZ1866" t="s">
        <v>74</v>
      </c>
      <c r="BA1866" t="s">
        <v>74</v>
      </c>
      <c r="BB1866" t="s">
        <v>74</v>
      </c>
      <c r="BC1866" t="s">
        <v>74</v>
      </c>
      <c r="BD1866">
        <v>100795</v>
      </c>
      <c r="BE1866" t="s">
        <v>20656</v>
      </c>
      <c r="BF1866" t="str">
        <f>HYPERLINK("http://dx.doi.org/10.1016/j.jbef.2023.100795","http://dx.doi.org/10.1016/j.jbef.2023.100795")</f>
        <v>http://dx.doi.org/10.1016/j.jbef.2023.100795</v>
      </c>
      <c r="BG1866" t="s">
        <v>74</v>
      </c>
      <c r="BH1866" t="s">
        <v>3595</v>
      </c>
      <c r="BI1866">
        <v>13</v>
      </c>
      <c r="BJ1866" t="s">
        <v>210</v>
      </c>
      <c r="BK1866" t="s">
        <v>99</v>
      </c>
      <c r="BL1866" t="s">
        <v>100</v>
      </c>
      <c r="BM1866" t="s">
        <v>20655</v>
      </c>
      <c r="BN1866" t="s">
        <v>74</v>
      </c>
      <c r="BO1866" t="s">
        <v>15142</v>
      </c>
      <c r="BP1866" t="s">
        <v>74</v>
      </c>
      <c r="BQ1866" t="s">
        <v>74</v>
      </c>
      <c r="BR1866" t="s">
        <v>102</v>
      </c>
      <c r="BS1866" t="s">
        <v>20654</v>
      </c>
      <c r="BT1866" t="str">
        <f>HYPERLINK("https%3A%2F%2Fwww.webofscience.com%2Fwos%2Fwoscc%2Ffull-record%2FWOS:001041699100001","View Full Record in Web of Science")</f>
        <v>View Full Record in Web of Science</v>
      </c>
    </row>
    <row r="1867" spans="1:72" x14ac:dyDescent="0.25">
      <c r="A1867" t="s">
        <v>72</v>
      </c>
      <c r="B1867" t="s">
        <v>20653</v>
      </c>
      <c r="C1867" t="s">
        <v>74</v>
      </c>
      <c r="D1867" t="s">
        <v>74</v>
      </c>
      <c r="E1867" t="s">
        <v>74</v>
      </c>
      <c r="F1867" t="s">
        <v>20652</v>
      </c>
      <c r="G1867" t="s">
        <v>74</v>
      </c>
      <c r="H1867" t="s">
        <v>74</v>
      </c>
      <c r="I1867" t="s">
        <v>20651</v>
      </c>
      <c r="J1867" t="s">
        <v>5812</v>
      </c>
      <c r="K1867" t="s">
        <v>74</v>
      </c>
      <c r="L1867" t="s">
        <v>74</v>
      </c>
      <c r="M1867" t="s">
        <v>78</v>
      </c>
      <c r="N1867" t="s">
        <v>79</v>
      </c>
      <c r="O1867" t="s">
        <v>74</v>
      </c>
      <c r="P1867" t="s">
        <v>74</v>
      </c>
      <c r="Q1867" t="s">
        <v>74</v>
      </c>
      <c r="R1867" t="s">
        <v>74</v>
      </c>
      <c r="S1867" t="s">
        <v>74</v>
      </c>
      <c r="T1867" t="s">
        <v>20650</v>
      </c>
      <c r="U1867" t="s">
        <v>20649</v>
      </c>
      <c r="V1867" t="s">
        <v>20648</v>
      </c>
      <c r="W1867" t="s">
        <v>20647</v>
      </c>
      <c r="X1867" t="s">
        <v>20646</v>
      </c>
      <c r="Y1867" t="s">
        <v>20645</v>
      </c>
      <c r="Z1867" t="s">
        <v>20644</v>
      </c>
      <c r="AA1867" t="s">
        <v>74</v>
      </c>
      <c r="AB1867" t="s">
        <v>20643</v>
      </c>
      <c r="AC1867" t="s">
        <v>74</v>
      </c>
      <c r="AD1867" t="s">
        <v>74</v>
      </c>
      <c r="AE1867" t="s">
        <v>74</v>
      </c>
      <c r="AF1867" t="s">
        <v>74</v>
      </c>
      <c r="AG1867">
        <v>75</v>
      </c>
      <c r="AH1867">
        <v>37</v>
      </c>
      <c r="AI1867">
        <v>53</v>
      </c>
      <c r="AJ1867">
        <v>3</v>
      </c>
      <c r="AK1867">
        <v>54</v>
      </c>
      <c r="AL1867" t="s">
        <v>332</v>
      </c>
      <c r="AM1867" t="s">
        <v>333</v>
      </c>
      <c r="AN1867" t="s">
        <v>334</v>
      </c>
      <c r="AO1867" t="s">
        <v>5820</v>
      </c>
      <c r="AP1867" t="s">
        <v>5821</v>
      </c>
      <c r="AQ1867" t="s">
        <v>74</v>
      </c>
      <c r="AR1867" t="s">
        <v>5822</v>
      </c>
      <c r="AS1867" t="s">
        <v>5823</v>
      </c>
      <c r="AT1867" t="s">
        <v>2970</v>
      </c>
      <c r="AU1867">
        <v>2022</v>
      </c>
      <c r="AV1867">
        <v>35</v>
      </c>
      <c r="AW1867">
        <v>1</v>
      </c>
      <c r="AX1867" t="s">
        <v>74</v>
      </c>
      <c r="AY1867" t="s">
        <v>74</v>
      </c>
      <c r="AZ1867" t="s">
        <v>74</v>
      </c>
      <c r="BA1867" t="s">
        <v>74</v>
      </c>
      <c r="BB1867">
        <v>3243</v>
      </c>
      <c r="BC1867">
        <v>3275</v>
      </c>
      <c r="BD1867" t="s">
        <v>74</v>
      </c>
      <c r="BE1867" t="s">
        <v>20642</v>
      </c>
      <c r="BF1867" t="str">
        <f>HYPERLINK("http://dx.doi.org/10.1080/1331677X.2021.1989319","http://dx.doi.org/10.1080/1331677X.2021.1989319")</f>
        <v>http://dx.doi.org/10.1080/1331677X.2021.1989319</v>
      </c>
      <c r="BG1867" t="s">
        <v>74</v>
      </c>
      <c r="BH1867" t="s">
        <v>4651</v>
      </c>
      <c r="BI1867">
        <v>33</v>
      </c>
      <c r="BJ1867" t="s">
        <v>291</v>
      </c>
      <c r="BK1867" t="s">
        <v>99</v>
      </c>
      <c r="BL1867" t="s">
        <v>100</v>
      </c>
      <c r="BM1867" t="s">
        <v>20641</v>
      </c>
      <c r="BN1867" t="s">
        <v>74</v>
      </c>
      <c r="BO1867" t="s">
        <v>466</v>
      </c>
      <c r="BP1867" t="s">
        <v>74</v>
      </c>
      <c r="BQ1867" t="s">
        <v>74</v>
      </c>
      <c r="BR1867" t="s">
        <v>102</v>
      </c>
      <c r="BS1867" t="s">
        <v>20640</v>
      </c>
      <c r="BT1867" t="str">
        <f>HYPERLINK("https%3A%2F%2Fwww.webofscience.com%2Fwos%2Fwoscc%2Ffull-record%2FWOS:000708303000001","View Full Record in Web of Science")</f>
        <v>View Full Record in Web of Science</v>
      </c>
    </row>
    <row r="1868" spans="1:72" x14ac:dyDescent="0.25">
      <c r="A1868" t="s">
        <v>72</v>
      </c>
      <c r="B1868" t="s">
        <v>20639</v>
      </c>
      <c r="C1868" t="s">
        <v>74</v>
      </c>
      <c r="D1868" t="s">
        <v>74</v>
      </c>
      <c r="E1868" t="s">
        <v>74</v>
      </c>
      <c r="F1868" t="s">
        <v>20638</v>
      </c>
      <c r="G1868" t="s">
        <v>74</v>
      </c>
      <c r="H1868" t="s">
        <v>74</v>
      </c>
      <c r="I1868" t="s">
        <v>20637</v>
      </c>
      <c r="J1868" t="s">
        <v>2288</v>
      </c>
      <c r="K1868" t="s">
        <v>74</v>
      </c>
      <c r="L1868" t="s">
        <v>74</v>
      </c>
      <c r="M1868" t="s">
        <v>78</v>
      </c>
      <c r="N1868" t="s">
        <v>79</v>
      </c>
      <c r="O1868" t="s">
        <v>74</v>
      </c>
      <c r="P1868" t="s">
        <v>74</v>
      </c>
      <c r="Q1868" t="s">
        <v>74</v>
      </c>
      <c r="R1868" t="s">
        <v>74</v>
      </c>
      <c r="S1868" t="s">
        <v>74</v>
      </c>
      <c r="T1868" t="s">
        <v>20636</v>
      </c>
      <c r="U1868" t="s">
        <v>20635</v>
      </c>
      <c r="V1868" t="s">
        <v>20634</v>
      </c>
      <c r="W1868" t="s">
        <v>20633</v>
      </c>
      <c r="X1868" t="s">
        <v>20632</v>
      </c>
      <c r="Y1868" t="s">
        <v>20631</v>
      </c>
      <c r="Z1868" t="s">
        <v>20630</v>
      </c>
      <c r="AA1868" t="s">
        <v>74</v>
      </c>
      <c r="AB1868" t="s">
        <v>20629</v>
      </c>
      <c r="AC1868" t="s">
        <v>20628</v>
      </c>
      <c r="AD1868" t="s">
        <v>20627</v>
      </c>
      <c r="AE1868" t="s">
        <v>20626</v>
      </c>
      <c r="AF1868" t="s">
        <v>74</v>
      </c>
      <c r="AG1868">
        <v>37</v>
      </c>
      <c r="AH1868">
        <v>13</v>
      </c>
      <c r="AI1868">
        <v>17</v>
      </c>
      <c r="AJ1868">
        <v>3</v>
      </c>
      <c r="AK1868">
        <v>31</v>
      </c>
      <c r="AL1868" t="s">
        <v>201</v>
      </c>
      <c r="AM1868" t="s">
        <v>202</v>
      </c>
      <c r="AN1868" t="s">
        <v>203</v>
      </c>
      <c r="AO1868" t="s">
        <v>2299</v>
      </c>
      <c r="AP1868" t="s">
        <v>2300</v>
      </c>
      <c r="AQ1868" t="s">
        <v>74</v>
      </c>
      <c r="AR1868" t="s">
        <v>2301</v>
      </c>
      <c r="AS1868" t="s">
        <v>2302</v>
      </c>
      <c r="AT1868" t="s">
        <v>1652</v>
      </c>
      <c r="AU1868">
        <v>2020</v>
      </c>
      <c r="AV1868">
        <v>145</v>
      </c>
      <c r="AW1868" t="s">
        <v>74</v>
      </c>
      <c r="AX1868" t="s">
        <v>74</v>
      </c>
      <c r="AY1868" t="s">
        <v>74</v>
      </c>
      <c r="AZ1868" t="s">
        <v>74</v>
      </c>
      <c r="BA1868" t="s">
        <v>74</v>
      </c>
      <c r="BB1868" t="s">
        <v>74</v>
      </c>
      <c r="BC1868" t="s">
        <v>74</v>
      </c>
      <c r="BD1868">
        <v>102460</v>
      </c>
      <c r="BE1868" t="s">
        <v>20625</v>
      </c>
      <c r="BF1868" t="str">
        <f>HYPERLINK("http://dx.doi.org/10.1016/j.jdeveco.2020.102460","http://dx.doi.org/10.1016/j.jdeveco.2020.102460")</f>
        <v>http://dx.doi.org/10.1016/j.jdeveco.2020.102460</v>
      </c>
      <c r="BG1868" t="s">
        <v>74</v>
      </c>
      <c r="BH1868" t="s">
        <v>74</v>
      </c>
      <c r="BI1868">
        <v>18</v>
      </c>
      <c r="BJ1868" t="s">
        <v>291</v>
      </c>
      <c r="BK1868" t="s">
        <v>99</v>
      </c>
      <c r="BL1868" t="s">
        <v>100</v>
      </c>
      <c r="BM1868" t="s">
        <v>20624</v>
      </c>
      <c r="BN1868" t="s">
        <v>74</v>
      </c>
      <c r="BO1868" t="s">
        <v>74</v>
      </c>
      <c r="BP1868" t="s">
        <v>74</v>
      </c>
      <c r="BQ1868" t="s">
        <v>74</v>
      </c>
      <c r="BR1868" t="s">
        <v>102</v>
      </c>
      <c r="BS1868" t="s">
        <v>20623</v>
      </c>
      <c r="BT1868" t="str">
        <f>HYPERLINK("https%3A%2F%2Fwww.webofscience.com%2Fwos%2Fwoscc%2Ffull-record%2FWOS:000532696900002","View Full Record in Web of Science")</f>
        <v>View Full Record in Web of Science</v>
      </c>
    </row>
    <row r="1869" spans="1:72" x14ac:dyDescent="0.25">
      <c r="A1869" t="s">
        <v>72</v>
      </c>
      <c r="B1869" t="s">
        <v>20622</v>
      </c>
      <c r="C1869" t="s">
        <v>74</v>
      </c>
      <c r="D1869" t="s">
        <v>74</v>
      </c>
      <c r="E1869" t="s">
        <v>74</v>
      </c>
      <c r="F1869" t="s">
        <v>20621</v>
      </c>
      <c r="G1869" t="s">
        <v>74</v>
      </c>
      <c r="H1869" t="s">
        <v>74</v>
      </c>
      <c r="I1869" t="s">
        <v>20620</v>
      </c>
      <c r="J1869" t="s">
        <v>19892</v>
      </c>
      <c r="K1869" t="s">
        <v>74</v>
      </c>
      <c r="L1869" t="s">
        <v>74</v>
      </c>
      <c r="M1869" t="s">
        <v>78</v>
      </c>
      <c r="N1869" t="s">
        <v>79</v>
      </c>
      <c r="O1869" t="s">
        <v>74</v>
      </c>
      <c r="P1869" t="s">
        <v>74</v>
      </c>
      <c r="Q1869" t="s">
        <v>74</v>
      </c>
      <c r="R1869" t="s">
        <v>74</v>
      </c>
      <c r="S1869" t="s">
        <v>74</v>
      </c>
      <c r="T1869" t="s">
        <v>20619</v>
      </c>
      <c r="U1869" t="s">
        <v>20618</v>
      </c>
      <c r="V1869" t="s">
        <v>20617</v>
      </c>
      <c r="W1869" t="s">
        <v>20616</v>
      </c>
      <c r="X1869" t="s">
        <v>20615</v>
      </c>
      <c r="Y1869" t="s">
        <v>20614</v>
      </c>
      <c r="Z1869" t="s">
        <v>20613</v>
      </c>
      <c r="AA1869" t="s">
        <v>74</v>
      </c>
      <c r="AB1869" t="s">
        <v>20612</v>
      </c>
      <c r="AC1869" t="s">
        <v>74</v>
      </c>
      <c r="AD1869" t="s">
        <v>74</v>
      </c>
      <c r="AE1869" t="s">
        <v>74</v>
      </c>
      <c r="AF1869" t="s">
        <v>74</v>
      </c>
      <c r="AG1869">
        <v>42</v>
      </c>
      <c r="AH1869">
        <v>8</v>
      </c>
      <c r="AI1869">
        <v>8</v>
      </c>
      <c r="AJ1869">
        <v>2</v>
      </c>
      <c r="AK1869">
        <v>11</v>
      </c>
      <c r="AL1869" t="s">
        <v>332</v>
      </c>
      <c r="AM1869" t="s">
        <v>333</v>
      </c>
      <c r="AN1869" t="s">
        <v>334</v>
      </c>
      <c r="AO1869" t="s">
        <v>19881</v>
      </c>
      <c r="AP1869" t="s">
        <v>19880</v>
      </c>
      <c r="AQ1869" t="s">
        <v>74</v>
      </c>
      <c r="AR1869" t="s">
        <v>19879</v>
      </c>
      <c r="AS1869" t="s">
        <v>19878</v>
      </c>
      <c r="AT1869" t="s">
        <v>1693</v>
      </c>
      <c r="AU1869">
        <v>2022</v>
      </c>
      <c r="AV1869">
        <v>14</v>
      </c>
      <c r="AW1869">
        <v>2</v>
      </c>
      <c r="AX1869" t="s">
        <v>74</v>
      </c>
      <c r="AY1869" t="s">
        <v>74</v>
      </c>
      <c r="AZ1869" t="s">
        <v>74</v>
      </c>
      <c r="BA1869" t="s">
        <v>74</v>
      </c>
      <c r="BB1869">
        <v>125</v>
      </c>
      <c r="BC1869">
        <v>142</v>
      </c>
      <c r="BD1869" t="s">
        <v>74</v>
      </c>
      <c r="BE1869" t="s">
        <v>20611</v>
      </c>
      <c r="BF1869" t="str">
        <f>HYPERLINK("http://dx.doi.org/10.1080/19439342.2021.1968934","http://dx.doi.org/10.1080/19439342.2021.1968934")</f>
        <v>http://dx.doi.org/10.1080/19439342.2021.1968934</v>
      </c>
      <c r="BG1869" t="s">
        <v>74</v>
      </c>
      <c r="BH1869" t="s">
        <v>1818</v>
      </c>
      <c r="BI1869">
        <v>18</v>
      </c>
      <c r="BJ1869" t="s">
        <v>1137</v>
      </c>
      <c r="BK1869" t="s">
        <v>99</v>
      </c>
      <c r="BL1869" t="s">
        <v>1137</v>
      </c>
      <c r="BM1869" t="s">
        <v>20610</v>
      </c>
      <c r="BN1869" t="s">
        <v>74</v>
      </c>
      <c r="BO1869" t="s">
        <v>74</v>
      </c>
      <c r="BP1869" t="s">
        <v>74</v>
      </c>
      <c r="BQ1869" t="s">
        <v>74</v>
      </c>
      <c r="BR1869" t="s">
        <v>102</v>
      </c>
      <c r="BS1869" t="s">
        <v>20609</v>
      </c>
      <c r="BT1869" t="str">
        <f>HYPERLINK("https%3A%2F%2Fwww.webofscience.com%2Fwos%2Fwoscc%2Ffull-record%2FWOS:000687535200001","View Full Record in Web of Science")</f>
        <v>View Full Record in Web of Science</v>
      </c>
    </row>
    <row r="1870" spans="1:72" x14ac:dyDescent="0.25">
      <c r="A1870" t="s">
        <v>72</v>
      </c>
      <c r="B1870" t="s">
        <v>20608</v>
      </c>
      <c r="C1870" t="s">
        <v>74</v>
      </c>
      <c r="D1870" t="s">
        <v>74</v>
      </c>
      <c r="E1870" t="s">
        <v>74</v>
      </c>
      <c r="F1870" t="s">
        <v>20607</v>
      </c>
      <c r="G1870" t="s">
        <v>74</v>
      </c>
      <c r="H1870" t="s">
        <v>74</v>
      </c>
      <c r="I1870" t="s">
        <v>20606</v>
      </c>
      <c r="J1870" t="s">
        <v>2365</v>
      </c>
      <c r="K1870" t="s">
        <v>74</v>
      </c>
      <c r="L1870" t="s">
        <v>74</v>
      </c>
      <c r="M1870" t="s">
        <v>78</v>
      </c>
      <c r="N1870" t="s">
        <v>79</v>
      </c>
      <c r="O1870" t="s">
        <v>74</v>
      </c>
      <c r="P1870" t="s">
        <v>74</v>
      </c>
      <c r="Q1870" t="s">
        <v>74</v>
      </c>
      <c r="R1870" t="s">
        <v>74</v>
      </c>
      <c r="S1870" t="s">
        <v>74</v>
      </c>
      <c r="T1870" t="s">
        <v>20605</v>
      </c>
      <c r="U1870" t="s">
        <v>20604</v>
      </c>
      <c r="V1870" t="s">
        <v>20603</v>
      </c>
      <c r="W1870" t="s">
        <v>20602</v>
      </c>
      <c r="X1870" t="s">
        <v>74</v>
      </c>
      <c r="Y1870" t="s">
        <v>20601</v>
      </c>
      <c r="Z1870" t="s">
        <v>20600</v>
      </c>
      <c r="AA1870" t="s">
        <v>74</v>
      </c>
      <c r="AB1870" t="s">
        <v>74</v>
      </c>
      <c r="AC1870" t="s">
        <v>74</v>
      </c>
      <c r="AD1870" t="s">
        <v>74</v>
      </c>
      <c r="AE1870" t="s">
        <v>74</v>
      </c>
      <c r="AF1870" t="s">
        <v>74</v>
      </c>
      <c r="AG1870">
        <v>59</v>
      </c>
      <c r="AH1870">
        <v>1</v>
      </c>
      <c r="AI1870">
        <v>1</v>
      </c>
      <c r="AJ1870">
        <v>1</v>
      </c>
      <c r="AK1870">
        <v>10</v>
      </c>
      <c r="AL1870" t="s">
        <v>2371</v>
      </c>
      <c r="AM1870" t="s">
        <v>2372</v>
      </c>
      <c r="AN1870" t="s">
        <v>2373</v>
      </c>
      <c r="AO1870" t="s">
        <v>2374</v>
      </c>
      <c r="AP1870" t="s">
        <v>2375</v>
      </c>
      <c r="AQ1870" t="s">
        <v>74</v>
      </c>
      <c r="AR1870" t="s">
        <v>2376</v>
      </c>
      <c r="AS1870" t="s">
        <v>2377</v>
      </c>
      <c r="AT1870" t="s">
        <v>74</v>
      </c>
      <c r="AU1870">
        <v>2023</v>
      </c>
      <c r="AV1870">
        <v>28</v>
      </c>
      <c r="AW1870">
        <v>4</v>
      </c>
      <c r="AX1870" t="s">
        <v>74</v>
      </c>
      <c r="AY1870" t="s">
        <v>74</v>
      </c>
      <c r="AZ1870" t="s">
        <v>74</v>
      </c>
      <c r="BA1870" t="s">
        <v>74</v>
      </c>
      <c r="BB1870">
        <v>542</v>
      </c>
      <c r="BC1870">
        <v>568</v>
      </c>
      <c r="BD1870" t="s">
        <v>74</v>
      </c>
      <c r="BE1870" t="s">
        <v>20599</v>
      </c>
      <c r="BF1870" t="str">
        <f>HYPERLINK("http://dx.doi.org/10.1504/IJICBM.2023.130095","http://dx.doi.org/10.1504/IJICBM.2023.130095")</f>
        <v>http://dx.doi.org/10.1504/IJICBM.2023.130095</v>
      </c>
      <c r="BG1870" t="s">
        <v>74</v>
      </c>
      <c r="BH1870" t="s">
        <v>74</v>
      </c>
      <c r="BI1870">
        <v>28</v>
      </c>
      <c r="BJ1870" t="s">
        <v>418</v>
      </c>
      <c r="BK1870" t="s">
        <v>313</v>
      </c>
      <c r="BL1870" t="s">
        <v>100</v>
      </c>
      <c r="BM1870" t="s">
        <v>20598</v>
      </c>
      <c r="BN1870" t="s">
        <v>74</v>
      </c>
      <c r="BO1870" t="s">
        <v>74</v>
      </c>
      <c r="BP1870" t="s">
        <v>74</v>
      </c>
      <c r="BQ1870" t="s">
        <v>74</v>
      </c>
      <c r="BR1870" t="s">
        <v>102</v>
      </c>
      <c r="BS1870" t="s">
        <v>20597</v>
      </c>
      <c r="BT1870" t="str">
        <f>HYPERLINK("https%3A%2F%2Fwww.webofscience.com%2Fwos%2Fwoscc%2Ffull-record%2FWOS:000968727600007","View Full Record in Web of Science")</f>
        <v>View Full Record in Web of Science</v>
      </c>
    </row>
    <row r="1871" spans="1:72" x14ac:dyDescent="0.25">
      <c r="A1871" t="s">
        <v>72</v>
      </c>
      <c r="B1871" t="s">
        <v>20596</v>
      </c>
      <c r="C1871" t="s">
        <v>74</v>
      </c>
      <c r="D1871" t="s">
        <v>74</v>
      </c>
      <c r="E1871" t="s">
        <v>74</v>
      </c>
      <c r="F1871" t="s">
        <v>20595</v>
      </c>
      <c r="G1871" t="s">
        <v>74</v>
      </c>
      <c r="H1871" t="s">
        <v>74</v>
      </c>
      <c r="I1871" t="s">
        <v>20594</v>
      </c>
      <c r="J1871" t="s">
        <v>4500</v>
      </c>
      <c r="K1871" t="s">
        <v>74</v>
      </c>
      <c r="L1871" t="s">
        <v>74</v>
      </c>
      <c r="M1871" t="s">
        <v>78</v>
      </c>
      <c r="N1871" t="s">
        <v>79</v>
      </c>
      <c r="O1871" t="s">
        <v>74</v>
      </c>
      <c r="P1871" t="s">
        <v>74</v>
      </c>
      <c r="Q1871" t="s">
        <v>74</v>
      </c>
      <c r="R1871" t="s">
        <v>74</v>
      </c>
      <c r="S1871" t="s">
        <v>74</v>
      </c>
      <c r="T1871" t="s">
        <v>74</v>
      </c>
      <c r="U1871" t="s">
        <v>74</v>
      </c>
      <c r="V1871" t="s">
        <v>20593</v>
      </c>
      <c r="W1871" t="s">
        <v>20592</v>
      </c>
      <c r="X1871" t="s">
        <v>20591</v>
      </c>
      <c r="Y1871" t="s">
        <v>20590</v>
      </c>
      <c r="Z1871" t="s">
        <v>20589</v>
      </c>
      <c r="AA1871" t="s">
        <v>20588</v>
      </c>
      <c r="AB1871" t="s">
        <v>20587</v>
      </c>
      <c r="AC1871" t="s">
        <v>74</v>
      </c>
      <c r="AD1871" t="s">
        <v>74</v>
      </c>
      <c r="AE1871" t="s">
        <v>74</v>
      </c>
      <c r="AF1871" t="s">
        <v>74</v>
      </c>
      <c r="AG1871">
        <v>39</v>
      </c>
      <c r="AH1871">
        <v>13</v>
      </c>
      <c r="AI1871">
        <v>22</v>
      </c>
      <c r="AJ1871">
        <v>1</v>
      </c>
      <c r="AK1871">
        <v>7</v>
      </c>
      <c r="AL1871" t="s">
        <v>479</v>
      </c>
      <c r="AM1871" t="s">
        <v>480</v>
      </c>
      <c r="AN1871" t="s">
        <v>481</v>
      </c>
      <c r="AO1871" t="s">
        <v>4509</v>
      </c>
      <c r="AP1871" t="s">
        <v>4510</v>
      </c>
      <c r="AQ1871" t="s">
        <v>74</v>
      </c>
      <c r="AR1871" t="s">
        <v>4511</v>
      </c>
      <c r="AS1871" t="s">
        <v>4512</v>
      </c>
      <c r="AT1871" t="s">
        <v>289</v>
      </c>
      <c r="AU1871">
        <v>2021</v>
      </c>
      <c r="AV1871">
        <v>21</v>
      </c>
      <c r="AW1871">
        <v>3</v>
      </c>
      <c r="AX1871" t="s">
        <v>74</v>
      </c>
      <c r="AY1871" t="s">
        <v>74</v>
      </c>
      <c r="AZ1871" t="s">
        <v>74</v>
      </c>
      <c r="BA1871" t="s">
        <v>74</v>
      </c>
      <c r="BB1871" t="s">
        <v>74</v>
      </c>
      <c r="BC1871" t="s">
        <v>74</v>
      </c>
      <c r="BD1871" t="s">
        <v>20586</v>
      </c>
      <c r="BE1871" t="s">
        <v>20585</v>
      </c>
      <c r="BF1871" t="str">
        <f>HYPERLINK("http://dx.doi.org/10.1002/pa.2238","http://dx.doi.org/10.1002/pa.2238")</f>
        <v>http://dx.doi.org/10.1002/pa.2238</v>
      </c>
      <c r="BG1871" t="s">
        <v>74</v>
      </c>
      <c r="BH1871" t="s">
        <v>3351</v>
      </c>
      <c r="BI1871">
        <v>15</v>
      </c>
      <c r="BJ1871" t="s">
        <v>3868</v>
      </c>
      <c r="BK1871" t="s">
        <v>313</v>
      </c>
      <c r="BL1871" t="s">
        <v>3868</v>
      </c>
      <c r="BM1871" t="s">
        <v>20584</v>
      </c>
      <c r="BN1871" t="s">
        <v>74</v>
      </c>
      <c r="BO1871" t="s">
        <v>74</v>
      </c>
      <c r="BP1871" t="s">
        <v>74</v>
      </c>
      <c r="BQ1871" t="s">
        <v>74</v>
      </c>
      <c r="BR1871" t="s">
        <v>102</v>
      </c>
      <c r="BS1871" t="s">
        <v>20583</v>
      </c>
      <c r="BT1871" t="str">
        <f>HYPERLINK("https%3A%2F%2Fwww.webofscience.com%2Fwos%2Fwoscc%2Ffull-record%2FWOS:000551222400001","View Full Record in Web of Science")</f>
        <v>View Full Record in Web of Science</v>
      </c>
    </row>
    <row r="1872" spans="1:72" x14ac:dyDescent="0.25">
      <c r="A1872" t="s">
        <v>72</v>
      </c>
      <c r="B1872" t="s">
        <v>20582</v>
      </c>
      <c r="C1872" t="s">
        <v>74</v>
      </c>
      <c r="D1872" t="s">
        <v>74</v>
      </c>
      <c r="E1872" t="s">
        <v>74</v>
      </c>
      <c r="F1872" t="s">
        <v>20581</v>
      </c>
      <c r="G1872" t="s">
        <v>74</v>
      </c>
      <c r="H1872" t="s">
        <v>74</v>
      </c>
      <c r="I1872" t="s">
        <v>20580</v>
      </c>
      <c r="J1872" t="s">
        <v>20579</v>
      </c>
      <c r="K1872" t="s">
        <v>74</v>
      </c>
      <c r="L1872" t="s">
        <v>74</v>
      </c>
      <c r="M1872" t="s">
        <v>78</v>
      </c>
      <c r="N1872" t="s">
        <v>79</v>
      </c>
      <c r="O1872" t="s">
        <v>74</v>
      </c>
      <c r="P1872" t="s">
        <v>74</v>
      </c>
      <c r="Q1872" t="s">
        <v>74</v>
      </c>
      <c r="R1872" t="s">
        <v>74</v>
      </c>
      <c r="S1872" t="s">
        <v>74</v>
      </c>
      <c r="T1872" t="s">
        <v>20578</v>
      </c>
      <c r="U1872" t="s">
        <v>20577</v>
      </c>
      <c r="V1872" t="s">
        <v>20576</v>
      </c>
      <c r="W1872" t="s">
        <v>20575</v>
      </c>
      <c r="X1872" t="s">
        <v>74</v>
      </c>
      <c r="Y1872" t="s">
        <v>20574</v>
      </c>
      <c r="Z1872" t="s">
        <v>20573</v>
      </c>
      <c r="AA1872" t="s">
        <v>20572</v>
      </c>
      <c r="AB1872" t="s">
        <v>20571</v>
      </c>
      <c r="AC1872" t="s">
        <v>74</v>
      </c>
      <c r="AD1872" t="s">
        <v>74</v>
      </c>
      <c r="AE1872" t="s">
        <v>20570</v>
      </c>
      <c r="AF1872" t="s">
        <v>74</v>
      </c>
      <c r="AG1872">
        <v>74</v>
      </c>
      <c r="AH1872">
        <v>6</v>
      </c>
      <c r="AI1872">
        <v>8</v>
      </c>
      <c r="AJ1872">
        <v>7</v>
      </c>
      <c r="AK1872">
        <v>21</v>
      </c>
      <c r="AL1872" t="s">
        <v>89</v>
      </c>
      <c r="AM1872" t="s">
        <v>90</v>
      </c>
      <c r="AN1872" t="s">
        <v>91</v>
      </c>
      <c r="AO1872" t="s">
        <v>20569</v>
      </c>
      <c r="AP1872" t="s">
        <v>20568</v>
      </c>
      <c r="AQ1872" t="s">
        <v>74</v>
      </c>
      <c r="AR1872" t="s">
        <v>20567</v>
      </c>
      <c r="AS1872" t="s">
        <v>20566</v>
      </c>
      <c r="AT1872" t="s">
        <v>20565</v>
      </c>
      <c r="AU1872">
        <v>2025</v>
      </c>
      <c r="AV1872">
        <v>23</v>
      </c>
      <c r="AW1872">
        <v>2</v>
      </c>
      <c r="AX1872" t="s">
        <v>74</v>
      </c>
      <c r="AY1872" t="s">
        <v>74</v>
      </c>
      <c r="AZ1872" t="s">
        <v>441</v>
      </c>
      <c r="BA1872" t="s">
        <v>74</v>
      </c>
      <c r="BB1872">
        <v>575</v>
      </c>
      <c r="BC1872">
        <v>593</v>
      </c>
      <c r="BD1872" t="s">
        <v>74</v>
      </c>
      <c r="BE1872" t="s">
        <v>20564</v>
      </c>
      <c r="BF1872" t="str">
        <f>HYPERLINK("http://dx.doi.org/10.1108/JFRA-12-2023-0791","http://dx.doi.org/10.1108/JFRA-12-2023-0791")</f>
        <v>http://dx.doi.org/10.1108/JFRA-12-2023-0791</v>
      </c>
      <c r="BG1872" t="s">
        <v>74</v>
      </c>
      <c r="BH1872" t="s">
        <v>2524</v>
      </c>
      <c r="BI1872">
        <v>19</v>
      </c>
      <c r="BJ1872" t="s">
        <v>268</v>
      </c>
      <c r="BK1872" t="s">
        <v>313</v>
      </c>
      <c r="BL1872" t="s">
        <v>100</v>
      </c>
      <c r="BM1872" t="s">
        <v>20563</v>
      </c>
      <c r="BN1872" t="s">
        <v>74</v>
      </c>
      <c r="BO1872" t="s">
        <v>74</v>
      </c>
      <c r="BP1872" t="s">
        <v>74</v>
      </c>
      <c r="BQ1872" t="s">
        <v>74</v>
      </c>
      <c r="BR1872" t="s">
        <v>102</v>
      </c>
      <c r="BS1872" t="s">
        <v>20562</v>
      </c>
      <c r="BT1872" t="str">
        <f>HYPERLINK("https%3A%2F%2Fwww.webofscience.com%2Fwos%2Fwoscc%2Ffull-record%2FWOS:001273123800001","View Full Record in Web of Science")</f>
        <v>View Full Record in Web of Science</v>
      </c>
    </row>
    <row r="1873" spans="1:72" x14ac:dyDescent="0.25">
      <c r="A1873" t="s">
        <v>132</v>
      </c>
      <c r="B1873" t="s">
        <v>20561</v>
      </c>
      <c r="C1873" t="s">
        <v>74</v>
      </c>
      <c r="D1873" t="s">
        <v>20560</v>
      </c>
      <c r="E1873" t="s">
        <v>74</v>
      </c>
      <c r="F1873" t="s">
        <v>20559</v>
      </c>
      <c r="G1873" t="s">
        <v>74</v>
      </c>
      <c r="H1873" t="s">
        <v>74</v>
      </c>
      <c r="I1873" t="s">
        <v>20558</v>
      </c>
      <c r="J1873" t="s">
        <v>20557</v>
      </c>
      <c r="K1873" t="s">
        <v>74</v>
      </c>
      <c r="L1873" t="s">
        <v>74</v>
      </c>
      <c r="M1873" t="s">
        <v>78</v>
      </c>
      <c r="N1873" t="s">
        <v>138</v>
      </c>
      <c r="O1873" t="s">
        <v>20556</v>
      </c>
      <c r="P1873" t="s">
        <v>20555</v>
      </c>
      <c r="Q1873" t="s">
        <v>20554</v>
      </c>
      <c r="R1873" t="s">
        <v>20553</v>
      </c>
      <c r="S1873" t="s">
        <v>74</v>
      </c>
      <c r="T1873" t="s">
        <v>20552</v>
      </c>
      <c r="U1873" t="s">
        <v>74</v>
      </c>
      <c r="V1873" t="s">
        <v>20551</v>
      </c>
      <c r="W1873" t="s">
        <v>20550</v>
      </c>
      <c r="X1873" t="s">
        <v>20549</v>
      </c>
      <c r="Y1873" t="s">
        <v>20548</v>
      </c>
      <c r="Z1873" t="s">
        <v>20547</v>
      </c>
      <c r="AA1873" t="s">
        <v>20546</v>
      </c>
      <c r="AB1873" t="s">
        <v>20545</v>
      </c>
      <c r="AC1873" t="s">
        <v>74</v>
      </c>
      <c r="AD1873" t="s">
        <v>74</v>
      </c>
      <c r="AE1873" t="s">
        <v>74</v>
      </c>
      <c r="AF1873" t="s">
        <v>74</v>
      </c>
      <c r="AG1873">
        <v>56</v>
      </c>
      <c r="AH1873">
        <v>13</v>
      </c>
      <c r="AI1873">
        <v>15</v>
      </c>
      <c r="AJ1873">
        <v>0</v>
      </c>
      <c r="AK1873">
        <v>1</v>
      </c>
      <c r="AL1873" t="s">
        <v>150</v>
      </c>
      <c r="AM1873" t="s">
        <v>151</v>
      </c>
      <c r="AN1873" t="s">
        <v>1560</v>
      </c>
      <c r="AO1873" t="s">
        <v>74</v>
      </c>
      <c r="AP1873" t="s">
        <v>74</v>
      </c>
      <c r="AQ1873" t="s">
        <v>20544</v>
      </c>
      <c r="AR1873" t="s">
        <v>74</v>
      </c>
      <c r="AS1873" t="s">
        <v>74</v>
      </c>
      <c r="AT1873" t="s">
        <v>74</v>
      </c>
      <c r="AU1873">
        <v>2018</v>
      </c>
      <c r="AV1873" t="s">
        <v>74</v>
      </c>
      <c r="AW1873" t="s">
        <v>74</v>
      </c>
      <c r="AX1873" t="s">
        <v>74</v>
      </c>
      <c r="AY1873" t="s">
        <v>74</v>
      </c>
      <c r="AZ1873" t="s">
        <v>74</v>
      </c>
      <c r="BA1873" t="s">
        <v>74</v>
      </c>
      <c r="BB1873">
        <v>63</v>
      </c>
      <c r="BC1873">
        <v>73</v>
      </c>
      <c r="BD1873" t="s">
        <v>74</v>
      </c>
      <c r="BE1873" t="s">
        <v>20543</v>
      </c>
      <c r="BF1873" t="str">
        <f>HYPERLINK("http://dx.doi.org/10.1145/3292147.3292157","http://dx.doi.org/10.1145/3292147.3292157")</f>
        <v>http://dx.doi.org/10.1145/3292147.3292157</v>
      </c>
      <c r="BG1873" t="s">
        <v>74</v>
      </c>
      <c r="BH1873" t="s">
        <v>74</v>
      </c>
      <c r="BI1873">
        <v>11</v>
      </c>
      <c r="BJ1873" t="s">
        <v>20542</v>
      </c>
      <c r="BK1873" t="s">
        <v>156</v>
      </c>
      <c r="BL1873" t="s">
        <v>157</v>
      </c>
      <c r="BM1873" t="s">
        <v>20541</v>
      </c>
      <c r="BN1873" t="s">
        <v>74</v>
      </c>
      <c r="BO1873" t="s">
        <v>1696</v>
      </c>
      <c r="BP1873" t="s">
        <v>74</v>
      </c>
      <c r="BQ1873" t="s">
        <v>74</v>
      </c>
      <c r="BR1873" t="s">
        <v>102</v>
      </c>
      <c r="BS1873" t="s">
        <v>20540</v>
      </c>
      <c r="BT1873" t="str">
        <f>HYPERLINK("https%3A%2F%2Fwww.webofscience.com%2Fwos%2Fwoscc%2Ffull-record%2FWOS:000474790100008","View Full Record in Web of Science")</f>
        <v>View Full Record in Web of Science</v>
      </c>
    </row>
    <row r="1874" spans="1:72" x14ac:dyDescent="0.25">
      <c r="A1874" t="s">
        <v>72</v>
      </c>
      <c r="B1874" t="s">
        <v>20539</v>
      </c>
      <c r="C1874" t="s">
        <v>74</v>
      </c>
      <c r="D1874" t="s">
        <v>74</v>
      </c>
      <c r="E1874" t="s">
        <v>74</v>
      </c>
      <c r="F1874" t="s">
        <v>20538</v>
      </c>
      <c r="G1874" t="s">
        <v>74</v>
      </c>
      <c r="H1874" t="s">
        <v>74</v>
      </c>
      <c r="I1874" t="s">
        <v>20537</v>
      </c>
      <c r="J1874" t="s">
        <v>12172</v>
      </c>
      <c r="K1874" t="s">
        <v>74</v>
      </c>
      <c r="L1874" t="s">
        <v>74</v>
      </c>
      <c r="M1874" t="s">
        <v>78</v>
      </c>
      <c r="N1874" t="s">
        <v>79</v>
      </c>
      <c r="O1874" t="s">
        <v>74</v>
      </c>
      <c r="P1874" t="s">
        <v>74</v>
      </c>
      <c r="Q1874" t="s">
        <v>74</v>
      </c>
      <c r="R1874" t="s">
        <v>74</v>
      </c>
      <c r="S1874" t="s">
        <v>74</v>
      </c>
      <c r="T1874" t="s">
        <v>20536</v>
      </c>
      <c r="U1874" t="s">
        <v>20535</v>
      </c>
      <c r="V1874" t="s">
        <v>20534</v>
      </c>
      <c r="W1874" t="s">
        <v>20533</v>
      </c>
      <c r="X1874" t="s">
        <v>20532</v>
      </c>
      <c r="Y1874" t="s">
        <v>20531</v>
      </c>
      <c r="Z1874" t="s">
        <v>20530</v>
      </c>
      <c r="AA1874" t="s">
        <v>74</v>
      </c>
      <c r="AB1874" t="s">
        <v>20529</v>
      </c>
      <c r="AC1874" t="s">
        <v>20528</v>
      </c>
      <c r="AD1874" t="s">
        <v>20527</v>
      </c>
      <c r="AE1874" t="s">
        <v>20526</v>
      </c>
      <c r="AF1874" t="s">
        <v>74</v>
      </c>
      <c r="AG1874">
        <v>62</v>
      </c>
      <c r="AH1874">
        <v>0</v>
      </c>
      <c r="AI1874">
        <v>0</v>
      </c>
      <c r="AJ1874">
        <v>7</v>
      </c>
      <c r="AK1874">
        <v>8</v>
      </c>
      <c r="AL1874" t="s">
        <v>757</v>
      </c>
      <c r="AM1874" t="s">
        <v>758</v>
      </c>
      <c r="AN1874" t="s">
        <v>759</v>
      </c>
      <c r="AO1874" t="s">
        <v>12179</v>
      </c>
      <c r="AP1874" t="s">
        <v>74</v>
      </c>
      <c r="AQ1874" t="s">
        <v>74</v>
      </c>
      <c r="AR1874" t="s">
        <v>12172</v>
      </c>
      <c r="AS1874" t="s">
        <v>12180</v>
      </c>
      <c r="AT1874" t="s">
        <v>743</v>
      </c>
      <c r="AU1874">
        <v>2025</v>
      </c>
      <c r="AV1874">
        <v>15</v>
      </c>
      <c r="AW1874">
        <v>2</v>
      </c>
      <c r="AX1874" t="s">
        <v>74</v>
      </c>
      <c r="AY1874" t="s">
        <v>74</v>
      </c>
      <c r="AZ1874" t="s">
        <v>74</v>
      </c>
      <c r="BA1874" t="s">
        <v>74</v>
      </c>
      <c r="BB1874" t="s">
        <v>74</v>
      </c>
      <c r="BC1874" t="s">
        <v>74</v>
      </c>
      <c r="BD1874">
        <v>2.1582440251342088E+16</v>
      </c>
      <c r="BE1874" t="s">
        <v>20525</v>
      </c>
      <c r="BF1874" t="str">
        <f>HYPERLINK("http://dx.doi.org/10.1177/21582440251342087","http://dx.doi.org/10.1177/21582440251342087")</f>
        <v>http://dx.doi.org/10.1177/21582440251342087</v>
      </c>
      <c r="BG1874" t="s">
        <v>74</v>
      </c>
      <c r="BH1874" t="s">
        <v>74</v>
      </c>
      <c r="BI1874">
        <v>15</v>
      </c>
      <c r="BJ1874" t="s">
        <v>364</v>
      </c>
      <c r="BK1874" t="s">
        <v>99</v>
      </c>
      <c r="BL1874" t="s">
        <v>365</v>
      </c>
      <c r="BM1874" t="s">
        <v>20524</v>
      </c>
      <c r="BN1874" t="s">
        <v>74</v>
      </c>
      <c r="BO1874" t="s">
        <v>212</v>
      </c>
      <c r="BP1874" t="s">
        <v>74</v>
      </c>
      <c r="BQ1874" t="s">
        <v>74</v>
      </c>
      <c r="BR1874" t="s">
        <v>102</v>
      </c>
      <c r="BS1874" t="s">
        <v>20523</v>
      </c>
      <c r="BT1874" t="str">
        <f>HYPERLINK("https%3A%2F%2Fwww.webofscience.com%2Fwos%2Fwoscc%2Ffull-record%2FWOS:001508402600001","View Full Record in Web of Science")</f>
        <v>View Full Record in Web of Science</v>
      </c>
    </row>
    <row r="1875" spans="1:72" x14ac:dyDescent="0.25">
      <c r="A1875" t="s">
        <v>72</v>
      </c>
      <c r="B1875" t="s">
        <v>20522</v>
      </c>
      <c r="C1875" t="s">
        <v>74</v>
      </c>
      <c r="D1875" t="s">
        <v>74</v>
      </c>
      <c r="E1875" t="s">
        <v>74</v>
      </c>
      <c r="F1875" t="s">
        <v>20521</v>
      </c>
      <c r="G1875" t="s">
        <v>74</v>
      </c>
      <c r="H1875" t="s">
        <v>74</v>
      </c>
      <c r="I1875" t="s">
        <v>20520</v>
      </c>
      <c r="J1875" t="s">
        <v>20519</v>
      </c>
      <c r="K1875" t="s">
        <v>74</v>
      </c>
      <c r="L1875" t="s">
        <v>74</v>
      </c>
      <c r="M1875" t="s">
        <v>78</v>
      </c>
      <c r="N1875" t="s">
        <v>20518</v>
      </c>
      <c r="O1875" t="s">
        <v>74</v>
      </c>
      <c r="P1875" t="s">
        <v>74</v>
      </c>
      <c r="Q1875" t="s">
        <v>74</v>
      </c>
      <c r="R1875" t="s">
        <v>74</v>
      </c>
      <c r="S1875" t="s">
        <v>74</v>
      </c>
      <c r="T1875" t="s">
        <v>74</v>
      </c>
      <c r="U1875" t="s">
        <v>74</v>
      </c>
      <c r="V1875" t="s">
        <v>74</v>
      </c>
      <c r="W1875" t="s">
        <v>20517</v>
      </c>
      <c r="X1875" t="s">
        <v>74</v>
      </c>
      <c r="Y1875" t="s">
        <v>20516</v>
      </c>
      <c r="Z1875" t="s">
        <v>74</v>
      </c>
      <c r="AA1875" t="s">
        <v>74</v>
      </c>
      <c r="AB1875" t="s">
        <v>20515</v>
      </c>
      <c r="AC1875" t="s">
        <v>74</v>
      </c>
      <c r="AD1875" t="s">
        <v>74</v>
      </c>
      <c r="AE1875" t="s">
        <v>74</v>
      </c>
      <c r="AF1875" t="s">
        <v>74</v>
      </c>
      <c r="AG1875">
        <v>5</v>
      </c>
      <c r="AH1875">
        <v>0</v>
      </c>
      <c r="AI1875">
        <v>0</v>
      </c>
      <c r="AJ1875">
        <v>1</v>
      </c>
      <c r="AK1875">
        <v>2</v>
      </c>
      <c r="AL1875" t="s">
        <v>994</v>
      </c>
      <c r="AM1875" t="s">
        <v>995</v>
      </c>
      <c r="AN1875" t="s">
        <v>2061</v>
      </c>
      <c r="AO1875" t="s">
        <v>20514</v>
      </c>
      <c r="AP1875" t="s">
        <v>20513</v>
      </c>
      <c r="AQ1875" t="s">
        <v>74</v>
      </c>
      <c r="AR1875" t="s">
        <v>20512</v>
      </c>
      <c r="AS1875" t="s">
        <v>20511</v>
      </c>
      <c r="AT1875" t="s">
        <v>20510</v>
      </c>
      <c r="AU1875">
        <v>2024</v>
      </c>
      <c r="AV1875" t="s">
        <v>74</v>
      </c>
      <c r="AW1875" t="s">
        <v>74</v>
      </c>
      <c r="AX1875" t="s">
        <v>74</v>
      </c>
      <c r="AY1875" t="s">
        <v>74</v>
      </c>
      <c r="AZ1875" t="s">
        <v>74</v>
      </c>
      <c r="BA1875" t="s">
        <v>74</v>
      </c>
      <c r="BB1875" t="s">
        <v>74</v>
      </c>
      <c r="BC1875" t="s">
        <v>74</v>
      </c>
      <c r="BD1875" t="s">
        <v>74</v>
      </c>
      <c r="BE1875" t="s">
        <v>20509</v>
      </c>
      <c r="BF1875" t="str">
        <f>HYPERLINK("http://dx.doi.org/10.1177/03063070241226851","http://dx.doi.org/10.1177/03063070241226851")</f>
        <v>http://dx.doi.org/10.1177/03063070241226851</v>
      </c>
      <c r="BG1875" t="s">
        <v>74</v>
      </c>
      <c r="BH1875" t="s">
        <v>239</v>
      </c>
      <c r="BI1875">
        <v>2</v>
      </c>
      <c r="BJ1875" t="s">
        <v>583</v>
      </c>
      <c r="BK1875" t="s">
        <v>313</v>
      </c>
      <c r="BL1875" t="s">
        <v>100</v>
      </c>
      <c r="BM1875" t="s">
        <v>20508</v>
      </c>
      <c r="BN1875" t="s">
        <v>74</v>
      </c>
      <c r="BO1875" t="s">
        <v>74</v>
      </c>
      <c r="BP1875" t="s">
        <v>74</v>
      </c>
      <c r="BQ1875" t="s">
        <v>74</v>
      </c>
      <c r="BR1875" t="s">
        <v>102</v>
      </c>
      <c r="BS1875" t="s">
        <v>20507</v>
      </c>
      <c r="BT1875" t="str">
        <f>HYPERLINK("https%3A%2F%2Fwww.webofscience.com%2Fwos%2Fwoscc%2Ffull-record%2FWOS:001138801900001","View Full Record in Web of Science")</f>
        <v>View Full Record in Web of Science</v>
      </c>
    </row>
    <row r="1876" spans="1:72" x14ac:dyDescent="0.25">
      <c r="A1876" t="s">
        <v>72</v>
      </c>
      <c r="B1876" t="s">
        <v>20506</v>
      </c>
      <c r="C1876" t="s">
        <v>74</v>
      </c>
      <c r="D1876" t="s">
        <v>74</v>
      </c>
      <c r="E1876" t="s">
        <v>74</v>
      </c>
      <c r="F1876" t="s">
        <v>20505</v>
      </c>
      <c r="G1876" t="s">
        <v>74</v>
      </c>
      <c r="H1876" t="s">
        <v>74</v>
      </c>
      <c r="I1876" t="s">
        <v>20504</v>
      </c>
      <c r="J1876" t="s">
        <v>12172</v>
      </c>
      <c r="K1876" t="s">
        <v>74</v>
      </c>
      <c r="L1876" t="s">
        <v>74</v>
      </c>
      <c r="M1876" t="s">
        <v>78</v>
      </c>
      <c r="N1876" t="s">
        <v>79</v>
      </c>
      <c r="O1876" t="s">
        <v>74</v>
      </c>
      <c r="P1876" t="s">
        <v>74</v>
      </c>
      <c r="Q1876" t="s">
        <v>74</v>
      </c>
      <c r="R1876" t="s">
        <v>74</v>
      </c>
      <c r="S1876" t="s">
        <v>74</v>
      </c>
      <c r="T1876" t="s">
        <v>20503</v>
      </c>
      <c r="U1876" t="s">
        <v>20502</v>
      </c>
      <c r="V1876" t="s">
        <v>20501</v>
      </c>
      <c r="W1876" t="s">
        <v>20500</v>
      </c>
      <c r="X1876" t="s">
        <v>20499</v>
      </c>
      <c r="Y1876" t="s">
        <v>20498</v>
      </c>
      <c r="Z1876" t="s">
        <v>20497</v>
      </c>
      <c r="AA1876" t="s">
        <v>74</v>
      </c>
      <c r="AB1876" t="s">
        <v>20496</v>
      </c>
      <c r="AC1876" t="s">
        <v>20495</v>
      </c>
      <c r="AD1876" t="s">
        <v>20494</v>
      </c>
      <c r="AE1876" t="s">
        <v>20493</v>
      </c>
      <c r="AF1876" t="s">
        <v>74</v>
      </c>
      <c r="AG1876">
        <v>52</v>
      </c>
      <c r="AH1876">
        <v>4</v>
      </c>
      <c r="AI1876">
        <v>4</v>
      </c>
      <c r="AJ1876">
        <v>3</v>
      </c>
      <c r="AK1876">
        <v>34</v>
      </c>
      <c r="AL1876" t="s">
        <v>757</v>
      </c>
      <c r="AM1876" t="s">
        <v>758</v>
      </c>
      <c r="AN1876" t="s">
        <v>759</v>
      </c>
      <c r="AO1876" t="s">
        <v>12179</v>
      </c>
      <c r="AP1876" t="s">
        <v>74</v>
      </c>
      <c r="AQ1876" t="s">
        <v>74</v>
      </c>
      <c r="AR1876" t="s">
        <v>12172</v>
      </c>
      <c r="AS1876" t="s">
        <v>12180</v>
      </c>
      <c r="AT1876" t="s">
        <v>1159</v>
      </c>
      <c r="AU1876">
        <v>2023</v>
      </c>
      <c r="AV1876">
        <v>13</v>
      </c>
      <c r="AW1876">
        <v>4</v>
      </c>
      <c r="AX1876" t="s">
        <v>74</v>
      </c>
      <c r="AY1876" t="s">
        <v>74</v>
      </c>
      <c r="AZ1876" t="s">
        <v>74</v>
      </c>
      <c r="BA1876" t="s">
        <v>74</v>
      </c>
      <c r="BB1876" t="s">
        <v>74</v>
      </c>
      <c r="BC1876" t="s">
        <v>74</v>
      </c>
      <c r="BD1876">
        <v>2.15824402312055E+16</v>
      </c>
      <c r="BE1876" t="s">
        <v>20492</v>
      </c>
      <c r="BF1876" t="str">
        <f>HYPERLINK("http://dx.doi.org/10.1177/21582440231205501","http://dx.doi.org/10.1177/21582440231205501")</f>
        <v>http://dx.doi.org/10.1177/21582440231205501</v>
      </c>
      <c r="BG1876" t="s">
        <v>74</v>
      </c>
      <c r="BH1876" t="s">
        <v>74</v>
      </c>
      <c r="BI1876">
        <v>15</v>
      </c>
      <c r="BJ1876" t="s">
        <v>364</v>
      </c>
      <c r="BK1876" t="s">
        <v>99</v>
      </c>
      <c r="BL1876" t="s">
        <v>365</v>
      </c>
      <c r="BM1876" t="s">
        <v>20491</v>
      </c>
      <c r="BN1876" t="s">
        <v>74</v>
      </c>
      <c r="BO1876" t="s">
        <v>916</v>
      </c>
      <c r="BP1876" t="s">
        <v>74</v>
      </c>
      <c r="BQ1876" t="s">
        <v>74</v>
      </c>
      <c r="BR1876" t="s">
        <v>102</v>
      </c>
      <c r="BS1876" t="s">
        <v>20490</v>
      </c>
      <c r="BT1876" t="str">
        <f>HYPERLINK("https%3A%2F%2Fwww.webofscience.com%2Fwos%2Fwoscc%2Ffull-record%2FWOS:001091648300001","View Full Record in Web of Science")</f>
        <v>View Full Record in Web of Science</v>
      </c>
    </row>
    <row r="1877" spans="1:72" x14ac:dyDescent="0.25">
      <c r="A1877" t="s">
        <v>72</v>
      </c>
      <c r="B1877" t="s">
        <v>20489</v>
      </c>
      <c r="C1877" t="s">
        <v>74</v>
      </c>
      <c r="D1877" t="s">
        <v>74</v>
      </c>
      <c r="E1877" t="s">
        <v>74</v>
      </c>
      <c r="F1877" t="s">
        <v>20488</v>
      </c>
      <c r="G1877" t="s">
        <v>74</v>
      </c>
      <c r="H1877" t="s">
        <v>74</v>
      </c>
      <c r="I1877" t="s">
        <v>20487</v>
      </c>
      <c r="J1877" t="s">
        <v>1143</v>
      </c>
      <c r="K1877" t="s">
        <v>74</v>
      </c>
      <c r="L1877" t="s">
        <v>74</v>
      </c>
      <c r="M1877" t="s">
        <v>78</v>
      </c>
      <c r="N1877" t="s">
        <v>79</v>
      </c>
      <c r="O1877" t="s">
        <v>74</v>
      </c>
      <c r="P1877" t="s">
        <v>74</v>
      </c>
      <c r="Q1877" t="s">
        <v>74</v>
      </c>
      <c r="R1877" t="s">
        <v>74</v>
      </c>
      <c r="S1877" t="s">
        <v>74</v>
      </c>
      <c r="T1877" t="s">
        <v>20486</v>
      </c>
      <c r="U1877" t="s">
        <v>20485</v>
      </c>
      <c r="V1877" t="s">
        <v>20484</v>
      </c>
      <c r="W1877" t="s">
        <v>20483</v>
      </c>
      <c r="X1877" t="s">
        <v>20482</v>
      </c>
      <c r="Y1877" t="s">
        <v>20481</v>
      </c>
      <c r="Z1877" t="s">
        <v>20480</v>
      </c>
      <c r="AA1877" t="s">
        <v>74</v>
      </c>
      <c r="AB1877" t="s">
        <v>74</v>
      </c>
      <c r="AC1877" t="s">
        <v>74</v>
      </c>
      <c r="AD1877" t="s">
        <v>74</v>
      </c>
      <c r="AE1877" t="s">
        <v>74</v>
      </c>
      <c r="AF1877" t="s">
        <v>74</v>
      </c>
      <c r="AG1877">
        <v>44</v>
      </c>
      <c r="AH1877">
        <v>17</v>
      </c>
      <c r="AI1877">
        <v>25</v>
      </c>
      <c r="AJ1877">
        <v>1</v>
      </c>
      <c r="AK1877">
        <v>46</v>
      </c>
      <c r="AL1877" t="s">
        <v>385</v>
      </c>
      <c r="AM1877" t="s">
        <v>1153</v>
      </c>
      <c r="AN1877" t="s">
        <v>1154</v>
      </c>
      <c r="AO1877" t="s">
        <v>1155</v>
      </c>
      <c r="AP1877" t="s">
        <v>1156</v>
      </c>
      <c r="AQ1877" t="s">
        <v>74</v>
      </c>
      <c r="AR1877" t="s">
        <v>1157</v>
      </c>
      <c r="AS1877" t="s">
        <v>1158</v>
      </c>
      <c r="AT1877" t="s">
        <v>1652</v>
      </c>
      <c r="AU1877">
        <v>2020</v>
      </c>
      <c r="AV1877">
        <v>149</v>
      </c>
      <c r="AW1877">
        <v>2</v>
      </c>
      <c r="AX1877" t="s">
        <v>74</v>
      </c>
      <c r="AY1877" t="s">
        <v>74</v>
      </c>
      <c r="AZ1877" t="s">
        <v>74</v>
      </c>
      <c r="BA1877" t="s">
        <v>74</v>
      </c>
      <c r="BB1877">
        <v>641</v>
      </c>
      <c r="BC1877">
        <v>656</v>
      </c>
      <c r="BD1877" t="s">
        <v>74</v>
      </c>
      <c r="BE1877" t="s">
        <v>20479</v>
      </c>
      <c r="BF1877" t="str">
        <f>HYPERLINK("http://dx.doi.org/10.1007/s11205-019-02248-z","http://dx.doi.org/10.1007/s11205-019-02248-z")</f>
        <v>http://dx.doi.org/10.1007/s11205-019-02248-z</v>
      </c>
      <c r="BG1877" t="s">
        <v>74</v>
      </c>
      <c r="BH1877" t="s">
        <v>74</v>
      </c>
      <c r="BI1877">
        <v>16</v>
      </c>
      <c r="BJ1877" t="s">
        <v>1161</v>
      </c>
      <c r="BK1877" t="s">
        <v>99</v>
      </c>
      <c r="BL1877" t="s">
        <v>1162</v>
      </c>
      <c r="BM1877" t="s">
        <v>17722</v>
      </c>
      <c r="BN1877" t="s">
        <v>74</v>
      </c>
      <c r="BO1877" t="s">
        <v>74</v>
      </c>
      <c r="BP1877" t="s">
        <v>74</v>
      </c>
      <c r="BQ1877" t="s">
        <v>74</v>
      </c>
      <c r="BR1877" t="s">
        <v>102</v>
      </c>
      <c r="BS1877" t="s">
        <v>20478</v>
      </c>
      <c r="BT1877" t="str">
        <f>HYPERLINK("https%3A%2F%2Fwww.webofscience.com%2Fwos%2Fwoscc%2Ffull-record%2FWOS:000538251500011","View Full Record in Web of Science")</f>
        <v>View Full Record in Web of Science</v>
      </c>
    </row>
    <row r="1878" spans="1:72" x14ac:dyDescent="0.25">
      <c r="A1878" t="s">
        <v>72</v>
      </c>
      <c r="B1878" t="s">
        <v>20477</v>
      </c>
      <c r="C1878" t="s">
        <v>74</v>
      </c>
      <c r="D1878" t="s">
        <v>74</v>
      </c>
      <c r="E1878" t="s">
        <v>74</v>
      </c>
      <c r="F1878" t="s">
        <v>20476</v>
      </c>
      <c r="G1878" t="s">
        <v>74</v>
      </c>
      <c r="H1878" t="s">
        <v>74</v>
      </c>
      <c r="I1878" t="s">
        <v>20475</v>
      </c>
      <c r="J1878" t="s">
        <v>6882</v>
      </c>
      <c r="K1878" t="s">
        <v>74</v>
      </c>
      <c r="L1878" t="s">
        <v>74</v>
      </c>
      <c r="M1878" t="s">
        <v>78</v>
      </c>
      <c r="N1878" t="s">
        <v>79</v>
      </c>
      <c r="O1878" t="s">
        <v>74</v>
      </c>
      <c r="P1878" t="s">
        <v>74</v>
      </c>
      <c r="Q1878" t="s">
        <v>74</v>
      </c>
      <c r="R1878" t="s">
        <v>74</v>
      </c>
      <c r="S1878" t="s">
        <v>74</v>
      </c>
      <c r="T1878" t="s">
        <v>20474</v>
      </c>
      <c r="U1878" t="s">
        <v>20473</v>
      </c>
      <c r="V1878" t="s">
        <v>20472</v>
      </c>
      <c r="W1878" t="s">
        <v>20471</v>
      </c>
      <c r="X1878" t="s">
        <v>20470</v>
      </c>
      <c r="Y1878" t="s">
        <v>20469</v>
      </c>
      <c r="Z1878" t="s">
        <v>20468</v>
      </c>
      <c r="AA1878" t="s">
        <v>20467</v>
      </c>
      <c r="AB1878" t="s">
        <v>20466</v>
      </c>
      <c r="AC1878" t="s">
        <v>74</v>
      </c>
      <c r="AD1878" t="s">
        <v>74</v>
      </c>
      <c r="AE1878" t="s">
        <v>74</v>
      </c>
      <c r="AF1878" t="s">
        <v>74</v>
      </c>
      <c r="AG1878">
        <v>74</v>
      </c>
      <c r="AH1878">
        <v>27</v>
      </c>
      <c r="AI1878">
        <v>41</v>
      </c>
      <c r="AJ1878">
        <v>4</v>
      </c>
      <c r="AK1878">
        <v>70</v>
      </c>
      <c r="AL1878" t="s">
        <v>230</v>
      </c>
      <c r="AM1878" t="s">
        <v>231</v>
      </c>
      <c r="AN1878" t="s">
        <v>232</v>
      </c>
      <c r="AO1878" t="s">
        <v>6893</v>
      </c>
      <c r="AP1878" t="s">
        <v>6894</v>
      </c>
      <c r="AQ1878" t="s">
        <v>74</v>
      </c>
      <c r="AR1878" t="s">
        <v>6895</v>
      </c>
      <c r="AS1878" t="s">
        <v>6896</v>
      </c>
      <c r="AT1878" t="s">
        <v>14074</v>
      </c>
      <c r="AU1878">
        <v>2021</v>
      </c>
      <c r="AV1878">
        <v>176</v>
      </c>
      <c r="AW1878" t="s">
        <v>74</v>
      </c>
      <c r="AX1878" t="s">
        <v>74</v>
      </c>
      <c r="AY1878" t="s">
        <v>74</v>
      </c>
      <c r="AZ1878" t="s">
        <v>74</v>
      </c>
      <c r="BA1878" t="s">
        <v>74</v>
      </c>
      <c r="BB1878" t="s">
        <v>74</v>
      </c>
      <c r="BC1878" t="s">
        <v>74</v>
      </c>
      <c r="BD1878">
        <v>114835</v>
      </c>
      <c r="BE1878" t="s">
        <v>20465</v>
      </c>
      <c r="BF1878" t="str">
        <f>HYPERLINK("http://dx.doi.org/10.1016/j.eswa.2021.114835","http://dx.doi.org/10.1016/j.eswa.2021.114835")</f>
        <v>http://dx.doi.org/10.1016/j.eswa.2021.114835</v>
      </c>
      <c r="BG1878" t="s">
        <v>74</v>
      </c>
      <c r="BH1878" t="s">
        <v>443</v>
      </c>
      <c r="BI1878">
        <v>16</v>
      </c>
      <c r="BJ1878" t="s">
        <v>6898</v>
      </c>
      <c r="BK1878" t="s">
        <v>2623</v>
      </c>
      <c r="BL1878" t="s">
        <v>6899</v>
      </c>
      <c r="BM1878" t="s">
        <v>20464</v>
      </c>
      <c r="BN1878" t="s">
        <v>74</v>
      </c>
      <c r="BO1878" t="s">
        <v>74</v>
      </c>
      <c r="BP1878" t="s">
        <v>74</v>
      </c>
      <c r="BQ1878" t="s">
        <v>74</v>
      </c>
      <c r="BR1878" t="s">
        <v>102</v>
      </c>
      <c r="BS1878" t="s">
        <v>20463</v>
      </c>
      <c r="BT1878" t="str">
        <f>HYPERLINK("https%3A%2F%2Fwww.webofscience.com%2Fwos%2Fwoscc%2Ffull-record%2FWOS:000646956600008","View Full Record in Web of Science")</f>
        <v>View Full Record in Web of Science</v>
      </c>
    </row>
    <row r="1879" spans="1:72" x14ac:dyDescent="0.25">
      <c r="A1879" t="s">
        <v>72</v>
      </c>
      <c r="B1879" t="s">
        <v>20462</v>
      </c>
      <c r="C1879" t="s">
        <v>74</v>
      </c>
      <c r="D1879" t="s">
        <v>74</v>
      </c>
      <c r="E1879" t="s">
        <v>74</v>
      </c>
      <c r="F1879" t="s">
        <v>20461</v>
      </c>
      <c r="G1879" t="s">
        <v>74</v>
      </c>
      <c r="H1879" t="s">
        <v>74</v>
      </c>
      <c r="I1879" t="s">
        <v>20460</v>
      </c>
      <c r="J1879" t="s">
        <v>7298</v>
      </c>
      <c r="K1879" t="s">
        <v>74</v>
      </c>
      <c r="L1879" t="s">
        <v>74</v>
      </c>
      <c r="M1879" t="s">
        <v>78</v>
      </c>
      <c r="N1879" t="s">
        <v>79</v>
      </c>
      <c r="O1879" t="s">
        <v>74</v>
      </c>
      <c r="P1879" t="s">
        <v>74</v>
      </c>
      <c r="Q1879" t="s">
        <v>74</v>
      </c>
      <c r="R1879" t="s">
        <v>74</v>
      </c>
      <c r="S1879" t="s">
        <v>74</v>
      </c>
      <c r="T1879" t="s">
        <v>20459</v>
      </c>
      <c r="U1879" t="s">
        <v>20458</v>
      </c>
      <c r="V1879" t="s">
        <v>20457</v>
      </c>
      <c r="W1879" t="s">
        <v>20456</v>
      </c>
      <c r="X1879" t="s">
        <v>20455</v>
      </c>
      <c r="Y1879" t="s">
        <v>20454</v>
      </c>
      <c r="Z1879" t="s">
        <v>20453</v>
      </c>
      <c r="AA1879" t="s">
        <v>20452</v>
      </c>
      <c r="AB1879" t="s">
        <v>20451</v>
      </c>
      <c r="AC1879" t="s">
        <v>20450</v>
      </c>
      <c r="AD1879" t="s">
        <v>20449</v>
      </c>
      <c r="AE1879" t="s">
        <v>20448</v>
      </c>
      <c r="AF1879" t="s">
        <v>74</v>
      </c>
      <c r="AG1879">
        <v>97</v>
      </c>
      <c r="AH1879">
        <v>6</v>
      </c>
      <c r="AI1879">
        <v>8</v>
      </c>
      <c r="AJ1879">
        <v>8</v>
      </c>
      <c r="AK1879">
        <v>32</v>
      </c>
      <c r="AL1879" t="s">
        <v>479</v>
      </c>
      <c r="AM1879" t="s">
        <v>480</v>
      </c>
      <c r="AN1879" t="s">
        <v>481</v>
      </c>
      <c r="AO1879" t="s">
        <v>7308</v>
      </c>
      <c r="AP1879" t="s">
        <v>7309</v>
      </c>
      <c r="AQ1879" t="s">
        <v>74</v>
      </c>
      <c r="AR1879" t="s">
        <v>7310</v>
      </c>
      <c r="AS1879" t="s">
        <v>7311</v>
      </c>
      <c r="AT1879" t="s">
        <v>698</v>
      </c>
      <c r="AU1879">
        <v>2023</v>
      </c>
      <c r="AV1879">
        <v>94</v>
      </c>
      <c r="AW1879">
        <v>3</v>
      </c>
      <c r="AX1879" t="s">
        <v>74</v>
      </c>
      <c r="AY1879" t="s">
        <v>74</v>
      </c>
      <c r="AZ1879" t="s">
        <v>74</v>
      </c>
      <c r="BA1879" t="s">
        <v>74</v>
      </c>
      <c r="BB1879">
        <v>951</v>
      </c>
      <c r="BC1879">
        <v>980</v>
      </c>
      <c r="BD1879" t="s">
        <v>74</v>
      </c>
      <c r="BE1879" t="s">
        <v>20447</v>
      </c>
      <c r="BF1879" t="str">
        <f>HYPERLINK("http://dx.doi.org/10.1111/apce.12428","http://dx.doi.org/10.1111/apce.12428")</f>
        <v>http://dx.doi.org/10.1111/apce.12428</v>
      </c>
      <c r="BG1879" t="s">
        <v>74</v>
      </c>
      <c r="BH1879" t="s">
        <v>6418</v>
      </c>
      <c r="BI1879">
        <v>30</v>
      </c>
      <c r="BJ1879" t="s">
        <v>291</v>
      </c>
      <c r="BK1879" t="s">
        <v>99</v>
      </c>
      <c r="BL1879" t="s">
        <v>100</v>
      </c>
      <c r="BM1879" t="s">
        <v>20446</v>
      </c>
      <c r="BN1879" t="s">
        <v>74</v>
      </c>
      <c r="BO1879" t="s">
        <v>270</v>
      </c>
      <c r="BP1879" t="s">
        <v>74</v>
      </c>
      <c r="BQ1879" t="s">
        <v>74</v>
      </c>
      <c r="BR1879" t="s">
        <v>102</v>
      </c>
      <c r="BS1879" t="s">
        <v>20445</v>
      </c>
      <c r="BT1879" t="str">
        <f>HYPERLINK("https%3A%2F%2Fwww.webofscience.com%2Fwos%2Fwoscc%2Ffull-record%2FWOS:000991696900001","View Full Record in Web of Science")</f>
        <v>View Full Record in Web of Science</v>
      </c>
    </row>
    <row r="1880" spans="1:72" x14ac:dyDescent="0.25">
      <c r="A1880" t="s">
        <v>72</v>
      </c>
      <c r="B1880" t="s">
        <v>20444</v>
      </c>
      <c r="C1880" t="s">
        <v>74</v>
      </c>
      <c r="D1880" t="s">
        <v>74</v>
      </c>
      <c r="E1880" t="s">
        <v>74</v>
      </c>
      <c r="F1880" t="s">
        <v>20443</v>
      </c>
      <c r="G1880" t="s">
        <v>74</v>
      </c>
      <c r="H1880" t="s">
        <v>74</v>
      </c>
      <c r="I1880" t="s">
        <v>20442</v>
      </c>
      <c r="J1880" t="s">
        <v>3754</v>
      </c>
      <c r="K1880" t="s">
        <v>74</v>
      </c>
      <c r="L1880" t="s">
        <v>74</v>
      </c>
      <c r="M1880" t="s">
        <v>78</v>
      </c>
      <c r="N1880" t="s">
        <v>79</v>
      </c>
      <c r="O1880" t="s">
        <v>74</v>
      </c>
      <c r="P1880" t="s">
        <v>74</v>
      </c>
      <c r="Q1880" t="s">
        <v>74</v>
      </c>
      <c r="R1880" t="s">
        <v>74</v>
      </c>
      <c r="S1880" t="s">
        <v>74</v>
      </c>
      <c r="T1880" t="s">
        <v>20441</v>
      </c>
      <c r="U1880" t="s">
        <v>74</v>
      </c>
      <c r="V1880" t="s">
        <v>20440</v>
      </c>
      <c r="W1880" t="s">
        <v>20439</v>
      </c>
      <c r="X1880" t="s">
        <v>20438</v>
      </c>
      <c r="Y1880" t="s">
        <v>20437</v>
      </c>
      <c r="Z1880" t="s">
        <v>20436</v>
      </c>
      <c r="AA1880" t="s">
        <v>74</v>
      </c>
      <c r="AB1880" t="s">
        <v>74</v>
      </c>
      <c r="AC1880" t="s">
        <v>74</v>
      </c>
      <c r="AD1880" t="s">
        <v>74</v>
      </c>
      <c r="AE1880" t="s">
        <v>74</v>
      </c>
      <c r="AF1880" t="s">
        <v>74</v>
      </c>
      <c r="AG1880">
        <v>23</v>
      </c>
      <c r="AH1880">
        <v>10</v>
      </c>
      <c r="AI1880">
        <v>14</v>
      </c>
      <c r="AJ1880">
        <v>0</v>
      </c>
      <c r="AK1880">
        <v>15</v>
      </c>
      <c r="AL1880" t="s">
        <v>2597</v>
      </c>
      <c r="AM1880" t="s">
        <v>2598</v>
      </c>
      <c r="AN1880" t="s">
        <v>2599</v>
      </c>
      <c r="AO1880" t="s">
        <v>3763</v>
      </c>
      <c r="AP1880" t="s">
        <v>3764</v>
      </c>
      <c r="AQ1880" t="s">
        <v>74</v>
      </c>
      <c r="AR1880" t="s">
        <v>3765</v>
      </c>
      <c r="AS1880" t="s">
        <v>3766</v>
      </c>
      <c r="AT1880" t="s">
        <v>1159</v>
      </c>
      <c r="AU1880">
        <v>2016</v>
      </c>
      <c r="AV1880">
        <v>61</v>
      </c>
      <c r="AW1880">
        <v>4</v>
      </c>
      <c r="AX1880" t="s">
        <v>74</v>
      </c>
      <c r="AY1880" t="s">
        <v>74</v>
      </c>
      <c r="AZ1880" t="s">
        <v>74</v>
      </c>
      <c r="BA1880" t="s">
        <v>74</v>
      </c>
      <c r="BB1880">
        <v>349</v>
      </c>
      <c r="BC1880">
        <v>358</v>
      </c>
      <c r="BD1880" t="s">
        <v>74</v>
      </c>
      <c r="BE1880" t="s">
        <v>20435</v>
      </c>
      <c r="BF1880" t="str">
        <f>HYPERLINK("http://dx.doi.org/10.1093/sw/sww045","http://dx.doi.org/10.1093/sw/sww045")</f>
        <v>http://dx.doi.org/10.1093/sw/sww045</v>
      </c>
      <c r="BG1880" t="s">
        <v>74</v>
      </c>
      <c r="BH1880" t="s">
        <v>74</v>
      </c>
      <c r="BI1880">
        <v>10</v>
      </c>
      <c r="BJ1880" t="s">
        <v>2045</v>
      </c>
      <c r="BK1880" t="s">
        <v>99</v>
      </c>
      <c r="BL1880" t="s">
        <v>2045</v>
      </c>
      <c r="BM1880" t="s">
        <v>20434</v>
      </c>
      <c r="BN1880">
        <v>29664263</v>
      </c>
      <c r="BO1880" t="s">
        <v>74</v>
      </c>
      <c r="BP1880" t="s">
        <v>74</v>
      </c>
      <c r="BQ1880" t="s">
        <v>74</v>
      </c>
      <c r="BR1880" t="s">
        <v>102</v>
      </c>
      <c r="BS1880" t="s">
        <v>20433</v>
      </c>
      <c r="BT1880" t="str">
        <f>HYPERLINK("https%3A%2F%2Fwww.webofscience.com%2Fwos%2Fwoscc%2Ffull-record%2FWOS:000387901600008","View Full Record in Web of Science")</f>
        <v>View Full Record in Web of Science</v>
      </c>
    </row>
    <row r="1881" spans="1:72" x14ac:dyDescent="0.25">
      <c r="A1881" t="s">
        <v>72</v>
      </c>
      <c r="B1881" t="s">
        <v>20432</v>
      </c>
      <c r="C1881" t="s">
        <v>74</v>
      </c>
      <c r="D1881" t="s">
        <v>74</v>
      </c>
      <c r="E1881" t="s">
        <v>74</v>
      </c>
      <c r="F1881" t="s">
        <v>20431</v>
      </c>
      <c r="G1881" t="s">
        <v>74</v>
      </c>
      <c r="H1881" t="s">
        <v>74</v>
      </c>
      <c r="I1881" t="s">
        <v>20430</v>
      </c>
      <c r="J1881" t="s">
        <v>20429</v>
      </c>
      <c r="K1881" t="s">
        <v>74</v>
      </c>
      <c r="L1881" t="s">
        <v>74</v>
      </c>
      <c r="M1881" t="s">
        <v>78</v>
      </c>
      <c r="N1881" t="s">
        <v>79</v>
      </c>
      <c r="O1881" t="s">
        <v>74</v>
      </c>
      <c r="P1881" t="s">
        <v>74</v>
      </c>
      <c r="Q1881" t="s">
        <v>74</v>
      </c>
      <c r="R1881" t="s">
        <v>74</v>
      </c>
      <c r="S1881" t="s">
        <v>74</v>
      </c>
      <c r="T1881" t="s">
        <v>20428</v>
      </c>
      <c r="U1881" t="s">
        <v>20427</v>
      </c>
      <c r="V1881" t="s">
        <v>20426</v>
      </c>
      <c r="W1881" t="s">
        <v>20425</v>
      </c>
      <c r="X1881" t="s">
        <v>20424</v>
      </c>
      <c r="Y1881" t="s">
        <v>20423</v>
      </c>
      <c r="Z1881" t="s">
        <v>20422</v>
      </c>
      <c r="AA1881" t="s">
        <v>20421</v>
      </c>
      <c r="AB1881" t="s">
        <v>20420</v>
      </c>
      <c r="AC1881" t="s">
        <v>74</v>
      </c>
      <c r="AD1881" t="s">
        <v>74</v>
      </c>
      <c r="AE1881" t="s">
        <v>74</v>
      </c>
      <c r="AF1881" t="s">
        <v>74</v>
      </c>
      <c r="AG1881">
        <v>162</v>
      </c>
      <c r="AH1881">
        <v>4</v>
      </c>
      <c r="AI1881">
        <v>6</v>
      </c>
      <c r="AJ1881">
        <v>0</v>
      </c>
      <c r="AK1881">
        <v>1</v>
      </c>
      <c r="AL1881" t="s">
        <v>409</v>
      </c>
      <c r="AM1881" t="s">
        <v>410</v>
      </c>
      <c r="AN1881" t="s">
        <v>411</v>
      </c>
      <c r="AO1881" t="s">
        <v>20419</v>
      </c>
      <c r="AP1881" t="s">
        <v>20418</v>
      </c>
      <c r="AQ1881" t="s">
        <v>74</v>
      </c>
      <c r="AR1881" t="s">
        <v>20417</v>
      </c>
      <c r="AS1881" t="s">
        <v>20416</v>
      </c>
      <c r="AT1881" t="s">
        <v>848</v>
      </c>
      <c r="AU1881">
        <v>2016</v>
      </c>
      <c r="AV1881">
        <v>5</v>
      </c>
      <c r="AW1881">
        <v>2</v>
      </c>
      <c r="AX1881" t="s">
        <v>74</v>
      </c>
      <c r="AY1881" t="s">
        <v>74</v>
      </c>
      <c r="AZ1881" t="s">
        <v>74</v>
      </c>
      <c r="BA1881" t="s">
        <v>74</v>
      </c>
      <c r="BB1881">
        <v>120</v>
      </c>
      <c r="BC1881">
        <v>140</v>
      </c>
      <c r="BD1881" t="s">
        <v>74</v>
      </c>
      <c r="BE1881" t="s">
        <v>20415</v>
      </c>
      <c r="BF1881" t="str">
        <f>HYPERLINK("http://dx.doi.org/10.1177/2277975216631887","http://dx.doi.org/10.1177/2277975216631887")</f>
        <v>http://dx.doi.org/10.1177/2277975216631887</v>
      </c>
      <c r="BG1881" t="s">
        <v>74</v>
      </c>
      <c r="BH1881" t="s">
        <v>74</v>
      </c>
      <c r="BI1881">
        <v>21</v>
      </c>
      <c r="BJ1881" t="s">
        <v>583</v>
      </c>
      <c r="BK1881" t="s">
        <v>313</v>
      </c>
      <c r="BL1881" t="s">
        <v>100</v>
      </c>
      <c r="BM1881" t="s">
        <v>20414</v>
      </c>
      <c r="BN1881" t="s">
        <v>74</v>
      </c>
      <c r="BO1881" t="s">
        <v>74</v>
      </c>
      <c r="BP1881" t="s">
        <v>74</v>
      </c>
      <c r="BQ1881" t="s">
        <v>74</v>
      </c>
      <c r="BR1881" t="s">
        <v>102</v>
      </c>
      <c r="BS1881" t="s">
        <v>20413</v>
      </c>
      <c r="BT1881" t="str">
        <f>HYPERLINK("https%3A%2F%2Fwww.webofscience.com%2Fwos%2Fwoscc%2Ffull-record%2FWOS:000457919000002","View Full Record in Web of Science")</f>
        <v>View Full Record in Web of Science</v>
      </c>
    </row>
    <row r="1882" spans="1:72" x14ac:dyDescent="0.25">
      <c r="A1882" t="s">
        <v>72</v>
      </c>
      <c r="B1882" t="s">
        <v>20412</v>
      </c>
      <c r="C1882" t="s">
        <v>74</v>
      </c>
      <c r="D1882" t="s">
        <v>74</v>
      </c>
      <c r="E1882" t="s">
        <v>74</v>
      </c>
      <c r="F1882" t="s">
        <v>20411</v>
      </c>
      <c r="G1882" t="s">
        <v>74</v>
      </c>
      <c r="H1882" t="s">
        <v>74</v>
      </c>
      <c r="I1882" t="s">
        <v>20410</v>
      </c>
      <c r="J1882" t="s">
        <v>20409</v>
      </c>
      <c r="K1882" t="s">
        <v>74</v>
      </c>
      <c r="L1882" t="s">
        <v>74</v>
      </c>
      <c r="M1882" t="s">
        <v>78</v>
      </c>
      <c r="N1882" t="s">
        <v>79</v>
      </c>
      <c r="O1882" t="s">
        <v>74</v>
      </c>
      <c r="P1882" t="s">
        <v>74</v>
      </c>
      <c r="Q1882" t="s">
        <v>74</v>
      </c>
      <c r="R1882" t="s">
        <v>74</v>
      </c>
      <c r="S1882" t="s">
        <v>74</v>
      </c>
      <c r="T1882" t="s">
        <v>20408</v>
      </c>
      <c r="U1882" t="s">
        <v>74</v>
      </c>
      <c r="V1882" t="s">
        <v>20407</v>
      </c>
      <c r="W1882" t="s">
        <v>20406</v>
      </c>
      <c r="X1882" t="s">
        <v>20405</v>
      </c>
      <c r="Y1882" t="s">
        <v>20404</v>
      </c>
      <c r="Z1882" t="s">
        <v>20403</v>
      </c>
      <c r="AA1882" t="s">
        <v>20402</v>
      </c>
      <c r="AB1882" t="s">
        <v>20401</v>
      </c>
      <c r="AC1882" t="s">
        <v>20400</v>
      </c>
      <c r="AD1882" t="s">
        <v>8707</v>
      </c>
      <c r="AE1882" t="s">
        <v>20399</v>
      </c>
      <c r="AF1882" t="s">
        <v>74</v>
      </c>
      <c r="AG1882">
        <v>39</v>
      </c>
      <c r="AH1882">
        <v>3</v>
      </c>
      <c r="AI1882">
        <v>3</v>
      </c>
      <c r="AJ1882">
        <v>21</v>
      </c>
      <c r="AK1882">
        <v>34</v>
      </c>
      <c r="AL1882" t="s">
        <v>479</v>
      </c>
      <c r="AM1882" t="s">
        <v>480</v>
      </c>
      <c r="AN1882" t="s">
        <v>481</v>
      </c>
      <c r="AO1882" t="s">
        <v>20398</v>
      </c>
      <c r="AP1882" t="s">
        <v>20397</v>
      </c>
      <c r="AQ1882" t="s">
        <v>74</v>
      </c>
      <c r="AR1882" t="s">
        <v>20396</v>
      </c>
      <c r="AS1882" t="s">
        <v>20395</v>
      </c>
      <c r="AT1882" t="s">
        <v>20394</v>
      </c>
      <c r="AU1882">
        <v>2025</v>
      </c>
      <c r="AV1882">
        <v>31</v>
      </c>
      <c r="AW1882">
        <v>3</v>
      </c>
      <c r="AX1882" t="s">
        <v>74</v>
      </c>
      <c r="AY1882" t="s">
        <v>74</v>
      </c>
      <c r="AZ1882" t="s">
        <v>74</v>
      </c>
      <c r="BA1882" t="s">
        <v>74</v>
      </c>
      <c r="BB1882" t="s">
        <v>74</v>
      </c>
      <c r="BC1882" t="s">
        <v>74</v>
      </c>
      <c r="BD1882" t="s">
        <v>20393</v>
      </c>
      <c r="BE1882" t="s">
        <v>20392</v>
      </c>
      <c r="BF1882" t="str">
        <f>HYPERLINK("http://dx.doi.org/10.1002/psp.70025","http://dx.doi.org/10.1002/psp.70025")</f>
        <v>http://dx.doi.org/10.1002/psp.70025</v>
      </c>
      <c r="BG1882" t="s">
        <v>74</v>
      </c>
      <c r="BH1882" t="s">
        <v>74</v>
      </c>
      <c r="BI1882">
        <v>16</v>
      </c>
      <c r="BJ1882" t="s">
        <v>20391</v>
      </c>
      <c r="BK1882" t="s">
        <v>99</v>
      </c>
      <c r="BL1882" t="s">
        <v>20391</v>
      </c>
      <c r="BM1882" t="s">
        <v>20390</v>
      </c>
      <c r="BN1882" t="s">
        <v>74</v>
      </c>
      <c r="BO1882" t="s">
        <v>1205</v>
      </c>
      <c r="BP1882" t="s">
        <v>74</v>
      </c>
      <c r="BQ1882" t="s">
        <v>74</v>
      </c>
      <c r="BR1882" t="s">
        <v>102</v>
      </c>
      <c r="BS1882" t="s">
        <v>20389</v>
      </c>
      <c r="BT1882" t="str">
        <f>HYPERLINK("https%3A%2F%2Fwww.webofscience.com%2Fwos%2Fwoscc%2Ffull-record%2FWOS:001456645500001","View Full Record in Web of Science")</f>
        <v>View Full Record in Web of Science</v>
      </c>
    </row>
    <row r="1883" spans="1:72" x14ac:dyDescent="0.25">
      <c r="A1883" t="s">
        <v>72</v>
      </c>
      <c r="B1883" t="s">
        <v>2893</v>
      </c>
      <c r="C1883" t="s">
        <v>74</v>
      </c>
      <c r="D1883" t="s">
        <v>74</v>
      </c>
      <c r="E1883" t="s">
        <v>74</v>
      </c>
      <c r="F1883" t="s">
        <v>2894</v>
      </c>
      <c r="G1883" t="s">
        <v>74</v>
      </c>
      <c r="H1883" t="s">
        <v>74</v>
      </c>
      <c r="I1883" t="s">
        <v>20388</v>
      </c>
      <c r="J1883" t="s">
        <v>13601</v>
      </c>
      <c r="K1883" t="s">
        <v>74</v>
      </c>
      <c r="L1883" t="s">
        <v>74</v>
      </c>
      <c r="M1883" t="s">
        <v>78</v>
      </c>
      <c r="N1883" t="s">
        <v>79</v>
      </c>
      <c r="O1883" t="s">
        <v>74</v>
      </c>
      <c r="P1883" t="s">
        <v>74</v>
      </c>
      <c r="Q1883" t="s">
        <v>74</v>
      </c>
      <c r="R1883" t="s">
        <v>74</v>
      </c>
      <c r="S1883" t="s">
        <v>74</v>
      </c>
      <c r="T1883" t="s">
        <v>20387</v>
      </c>
      <c r="U1883" t="s">
        <v>20386</v>
      </c>
      <c r="V1883" t="s">
        <v>20385</v>
      </c>
      <c r="W1883" t="s">
        <v>20384</v>
      </c>
      <c r="X1883" t="s">
        <v>20383</v>
      </c>
      <c r="Y1883" t="s">
        <v>20382</v>
      </c>
      <c r="Z1883" t="s">
        <v>20381</v>
      </c>
      <c r="AA1883" t="s">
        <v>20380</v>
      </c>
      <c r="AB1883" t="s">
        <v>20379</v>
      </c>
      <c r="AC1883" t="s">
        <v>20378</v>
      </c>
      <c r="AD1883" t="s">
        <v>20377</v>
      </c>
      <c r="AE1883" t="s">
        <v>20376</v>
      </c>
      <c r="AF1883" t="s">
        <v>74</v>
      </c>
      <c r="AG1883">
        <v>20</v>
      </c>
      <c r="AH1883">
        <v>40</v>
      </c>
      <c r="AI1883">
        <v>50</v>
      </c>
      <c r="AJ1883">
        <v>1</v>
      </c>
      <c r="AK1883">
        <v>14</v>
      </c>
      <c r="AL1883" t="s">
        <v>3298</v>
      </c>
      <c r="AM1883" t="s">
        <v>202</v>
      </c>
      <c r="AN1883" t="s">
        <v>3299</v>
      </c>
      <c r="AO1883" t="s">
        <v>13608</v>
      </c>
      <c r="AP1883" t="s">
        <v>74</v>
      </c>
      <c r="AQ1883" t="s">
        <v>74</v>
      </c>
      <c r="AR1883" t="s">
        <v>13609</v>
      </c>
      <c r="AS1883" t="s">
        <v>13610</v>
      </c>
      <c r="AT1883" t="s">
        <v>1652</v>
      </c>
      <c r="AU1883">
        <v>2015</v>
      </c>
      <c r="AV1883">
        <v>5</v>
      </c>
      <c r="AW1883">
        <v>1</v>
      </c>
      <c r="AX1883" t="s">
        <v>74</v>
      </c>
      <c r="AY1883" t="s">
        <v>74</v>
      </c>
      <c r="AZ1883" t="s">
        <v>74</v>
      </c>
      <c r="BA1883" t="s">
        <v>74</v>
      </c>
      <c r="BB1883">
        <v>34</v>
      </c>
      <c r="BC1883">
        <v>42</v>
      </c>
      <c r="BD1883" t="s">
        <v>74</v>
      </c>
      <c r="BE1883" t="s">
        <v>20375</v>
      </c>
      <c r="BF1883" t="str">
        <f>HYPERLINK("http://dx.doi.org/10.1016/j.rdf.2014.04.001","http://dx.doi.org/10.1016/j.rdf.2014.04.001")</f>
        <v>http://dx.doi.org/10.1016/j.rdf.2014.04.001</v>
      </c>
      <c r="BG1883" t="s">
        <v>74</v>
      </c>
      <c r="BH1883" t="s">
        <v>74</v>
      </c>
      <c r="BI1883">
        <v>9</v>
      </c>
      <c r="BJ1883" t="s">
        <v>268</v>
      </c>
      <c r="BK1883" t="s">
        <v>313</v>
      </c>
      <c r="BL1883" t="s">
        <v>100</v>
      </c>
      <c r="BM1883" t="s">
        <v>20374</v>
      </c>
      <c r="BN1883" t="s">
        <v>74</v>
      </c>
      <c r="BO1883" t="s">
        <v>16420</v>
      </c>
      <c r="BP1883" t="s">
        <v>74</v>
      </c>
      <c r="BQ1883" t="s">
        <v>74</v>
      </c>
      <c r="BR1883" t="s">
        <v>102</v>
      </c>
      <c r="BS1883" t="s">
        <v>20373</v>
      </c>
      <c r="BT1883" t="str">
        <f>HYPERLINK("https%3A%2F%2Fwww.webofscience.com%2Fwos%2Fwoscc%2Ffull-record%2FWOS:000372404200004","View Full Record in Web of Science")</f>
        <v>View Full Record in Web of Science</v>
      </c>
    </row>
    <row r="1884" spans="1:72" x14ac:dyDescent="0.25">
      <c r="A1884" t="s">
        <v>72</v>
      </c>
      <c r="B1884" t="s">
        <v>20372</v>
      </c>
      <c r="C1884" t="s">
        <v>74</v>
      </c>
      <c r="D1884" t="s">
        <v>74</v>
      </c>
      <c r="E1884" t="s">
        <v>74</v>
      </c>
      <c r="F1884" t="s">
        <v>20371</v>
      </c>
      <c r="G1884" t="s">
        <v>74</v>
      </c>
      <c r="H1884" t="s">
        <v>74</v>
      </c>
      <c r="I1884" t="s">
        <v>20370</v>
      </c>
      <c r="J1884" t="s">
        <v>20369</v>
      </c>
      <c r="K1884" t="s">
        <v>74</v>
      </c>
      <c r="L1884" t="s">
        <v>74</v>
      </c>
      <c r="M1884" t="s">
        <v>78</v>
      </c>
      <c r="N1884" t="s">
        <v>79</v>
      </c>
      <c r="O1884" t="s">
        <v>74</v>
      </c>
      <c r="P1884" t="s">
        <v>74</v>
      </c>
      <c r="Q1884" t="s">
        <v>74</v>
      </c>
      <c r="R1884" t="s">
        <v>74</v>
      </c>
      <c r="S1884" t="s">
        <v>74</v>
      </c>
      <c r="T1884" t="s">
        <v>20368</v>
      </c>
      <c r="U1884" t="s">
        <v>20367</v>
      </c>
      <c r="V1884" t="s">
        <v>20366</v>
      </c>
      <c r="W1884" t="s">
        <v>20365</v>
      </c>
      <c r="X1884" t="s">
        <v>20364</v>
      </c>
      <c r="Y1884" t="s">
        <v>20363</v>
      </c>
      <c r="Z1884" t="s">
        <v>20362</v>
      </c>
      <c r="AA1884" t="s">
        <v>20361</v>
      </c>
      <c r="AB1884" t="s">
        <v>20360</v>
      </c>
      <c r="AC1884" t="s">
        <v>74</v>
      </c>
      <c r="AD1884" t="s">
        <v>74</v>
      </c>
      <c r="AE1884" t="s">
        <v>74</v>
      </c>
      <c r="AF1884" t="s">
        <v>74</v>
      </c>
      <c r="AG1884">
        <v>54</v>
      </c>
      <c r="AH1884">
        <v>3</v>
      </c>
      <c r="AI1884">
        <v>4</v>
      </c>
      <c r="AJ1884">
        <v>8</v>
      </c>
      <c r="AK1884">
        <v>43</v>
      </c>
      <c r="AL1884" t="s">
        <v>385</v>
      </c>
      <c r="AM1884" t="s">
        <v>1153</v>
      </c>
      <c r="AN1884" t="s">
        <v>1154</v>
      </c>
      <c r="AO1884" t="s">
        <v>20359</v>
      </c>
      <c r="AP1884" t="s">
        <v>20358</v>
      </c>
      <c r="AQ1884" t="s">
        <v>74</v>
      </c>
      <c r="AR1884" t="s">
        <v>20357</v>
      </c>
      <c r="AS1884" t="s">
        <v>20356</v>
      </c>
      <c r="AT1884" t="s">
        <v>605</v>
      </c>
      <c r="AU1884">
        <v>2024</v>
      </c>
      <c r="AV1884">
        <v>62</v>
      </c>
      <c r="AW1884">
        <v>3</v>
      </c>
      <c r="AX1884" t="s">
        <v>74</v>
      </c>
      <c r="AY1884" t="s">
        <v>74</v>
      </c>
      <c r="AZ1884" t="s">
        <v>74</v>
      </c>
      <c r="BA1884" t="s">
        <v>74</v>
      </c>
      <c r="BB1884">
        <v>1075</v>
      </c>
      <c r="BC1884">
        <v>1097</v>
      </c>
      <c r="BD1884" t="s">
        <v>74</v>
      </c>
      <c r="BE1884" t="s">
        <v>20355</v>
      </c>
      <c r="BF1884" t="str">
        <f>HYPERLINK("http://dx.doi.org/10.1007/s11187-023-00796-w","http://dx.doi.org/10.1007/s11187-023-00796-w")</f>
        <v>http://dx.doi.org/10.1007/s11187-023-00796-w</v>
      </c>
      <c r="BG1884" t="s">
        <v>74</v>
      </c>
      <c r="BH1884" t="s">
        <v>700</v>
      </c>
      <c r="BI1884">
        <v>23</v>
      </c>
      <c r="BJ1884" t="s">
        <v>6512</v>
      </c>
      <c r="BK1884" t="s">
        <v>99</v>
      </c>
      <c r="BL1884" t="s">
        <v>100</v>
      </c>
      <c r="BM1884" t="s">
        <v>20354</v>
      </c>
      <c r="BN1884" t="s">
        <v>74</v>
      </c>
      <c r="BO1884" t="s">
        <v>74</v>
      </c>
      <c r="BP1884" t="s">
        <v>74</v>
      </c>
      <c r="BQ1884" t="s">
        <v>74</v>
      </c>
      <c r="BR1884" t="s">
        <v>102</v>
      </c>
      <c r="BS1884" t="s">
        <v>20353</v>
      </c>
      <c r="BT1884" t="str">
        <f>HYPERLINK("https%3A%2F%2Fwww.webofscience.com%2Fwos%2Fwoscc%2Ffull-record%2FWOS:001025243600001","View Full Record in Web of Science")</f>
        <v>View Full Record in Web of Science</v>
      </c>
    </row>
    <row r="1885" spans="1:72" x14ac:dyDescent="0.25">
      <c r="A1885" t="s">
        <v>72</v>
      </c>
      <c r="B1885" t="s">
        <v>20352</v>
      </c>
      <c r="C1885" t="s">
        <v>74</v>
      </c>
      <c r="D1885" t="s">
        <v>74</v>
      </c>
      <c r="E1885" t="s">
        <v>74</v>
      </c>
      <c r="F1885" t="s">
        <v>20351</v>
      </c>
      <c r="G1885" t="s">
        <v>74</v>
      </c>
      <c r="H1885" t="s">
        <v>74</v>
      </c>
      <c r="I1885" t="s">
        <v>20350</v>
      </c>
      <c r="J1885" t="s">
        <v>1963</v>
      </c>
      <c r="K1885" t="s">
        <v>74</v>
      </c>
      <c r="L1885" t="s">
        <v>74</v>
      </c>
      <c r="M1885" t="s">
        <v>78</v>
      </c>
      <c r="N1885" t="s">
        <v>79</v>
      </c>
      <c r="O1885" t="s">
        <v>74</v>
      </c>
      <c r="P1885" t="s">
        <v>74</v>
      </c>
      <c r="Q1885" t="s">
        <v>74</v>
      </c>
      <c r="R1885" t="s">
        <v>74</v>
      </c>
      <c r="S1885" t="s">
        <v>74</v>
      </c>
      <c r="T1885" t="s">
        <v>20349</v>
      </c>
      <c r="U1885" t="s">
        <v>20348</v>
      </c>
      <c r="V1885" t="s">
        <v>20347</v>
      </c>
      <c r="W1885" t="s">
        <v>20346</v>
      </c>
      <c r="X1885" t="s">
        <v>19447</v>
      </c>
      <c r="Y1885" t="s">
        <v>20345</v>
      </c>
      <c r="Z1885" t="s">
        <v>20344</v>
      </c>
      <c r="AA1885" t="s">
        <v>74</v>
      </c>
      <c r="AB1885" t="s">
        <v>74</v>
      </c>
      <c r="AC1885" t="s">
        <v>74</v>
      </c>
      <c r="AD1885" t="s">
        <v>74</v>
      </c>
      <c r="AE1885" t="s">
        <v>74</v>
      </c>
      <c r="AF1885" t="s">
        <v>74</v>
      </c>
      <c r="AG1885">
        <v>39</v>
      </c>
      <c r="AH1885">
        <v>3</v>
      </c>
      <c r="AI1885">
        <v>3</v>
      </c>
      <c r="AJ1885">
        <v>3</v>
      </c>
      <c r="AK1885">
        <v>5</v>
      </c>
      <c r="AL1885" t="s">
        <v>332</v>
      </c>
      <c r="AM1885" t="s">
        <v>333</v>
      </c>
      <c r="AN1885" t="s">
        <v>334</v>
      </c>
      <c r="AO1885" t="s">
        <v>1975</v>
      </c>
      <c r="AP1885" t="s">
        <v>1976</v>
      </c>
      <c r="AQ1885" t="s">
        <v>74</v>
      </c>
      <c r="AR1885" t="s">
        <v>1977</v>
      </c>
      <c r="AS1885" t="s">
        <v>1978</v>
      </c>
      <c r="AT1885" t="s">
        <v>15391</v>
      </c>
      <c r="AU1885">
        <v>2025</v>
      </c>
      <c r="AV1885">
        <v>57</v>
      </c>
      <c r="AW1885">
        <v>60</v>
      </c>
      <c r="AX1885" t="s">
        <v>74</v>
      </c>
      <c r="AY1885" t="s">
        <v>74</v>
      </c>
      <c r="AZ1885" t="s">
        <v>74</v>
      </c>
      <c r="BA1885" t="s">
        <v>74</v>
      </c>
      <c r="BB1885">
        <v>11014</v>
      </c>
      <c r="BC1885">
        <v>11027</v>
      </c>
      <c r="BD1885" t="s">
        <v>74</v>
      </c>
      <c r="BE1885" t="s">
        <v>20343</v>
      </c>
      <c r="BF1885" t="str">
        <f>HYPERLINK("http://dx.doi.org/10.1080/00036846.2025.2449839","http://dx.doi.org/10.1080/00036846.2025.2449839")</f>
        <v>http://dx.doi.org/10.1080/00036846.2025.2449839</v>
      </c>
      <c r="BG1885" t="s">
        <v>74</v>
      </c>
      <c r="BH1885" t="s">
        <v>1737</v>
      </c>
      <c r="BI1885">
        <v>14</v>
      </c>
      <c r="BJ1885" t="s">
        <v>291</v>
      </c>
      <c r="BK1885" t="s">
        <v>99</v>
      </c>
      <c r="BL1885" t="s">
        <v>100</v>
      </c>
      <c r="BM1885" t="s">
        <v>20342</v>
      </c>
      <c r="BN1885" t="s">
        <v>74</v>
      </c>
      <c r="BO1885" t="s">
        <v>74</v>
      </c>
      <c r="BP1885" t="s">
        <v>74</v>
      </c>
      <c r="BQ1885" t="s">
        <v>74</v>
      </c>
      <c r="BR1885" t="s">
        <v>102</v>
      </c>
      <c r="BS1885" t="s">
        <v>20341</v>
      </c>
      <c r="BT1885" t="str">
        <f>HYPERLINK("https%3A%2F%2Fwww.webofscience.com%2Fwos%2Fwoscc%2Ffull-record%2FWOS:001391163000001","View Full Record in Web of Science")</f>
        <v>View Full Record in Web of Science</v>
      </c>
    </row>
    <row r="1886" spans="1:72" x14ac:dyDescent="0.25">
      <c r="A1886" t="s">
        <v>132</v>
      </c>
      <c r="B1886" t="s">
        <v>20340</v>
      </c>
      <c r="C1886" t="s">
        <v>74</v>
      </c>
      <c r="D1886" t="s">
        <v>6120</v>
      </c>
      <c r="E1886" t="s">
        <v>74</v>
      </c>
      <c r="F1886" t="s">
        <v>20339</v>
      </c>
      <c r="G1886" t="s">
        <v>74</v>
      </c>
      <c r="H1886" t="s">
        <v>74</v>
      </c>
      <c r="I1886" t="s">
        <v>20338</v>
      </c>
      <c r="J1886" t="s">
        <v>20337</v>
      </c>
      <c r="K1886" t="s">
        <v>20336</v>
      </c>
      <c r="L1886" t="s">
        <v>74</v>
      </c>
      <c r="M1886" t="s">
        <v>78</v>
      </c>
      <c r="N1886" t="s">
        <v>138</v>
      </c>
      <c r="O1886" t="s">
        <v>20335</v>
      </c>
      <c r="P1886" t="s">
        <v>20334</v>
      </c>
      <c r="Q1886" t="s">
        <v>20333</v>
      </c>
      <c r="R1886" t="s">
        <v>74</v>
      </c>
      <c r="S1886" t="s">
        <v>74</v>
      </c>
      <c r="T1886" t="s">
        <v>20332</v>
      </c>
      <c r="U1886" t="s">
        <v>74</v>
      </c>
      <c r="V1886" t="s">
        <v>74</v>
      </c>
      <c r="W1886" t="s">
        <v>20331</v>
      </c>
      <c r="X1886" t="s">
        <v>20330</v>
      </c>
      <c r="Y1886" t="s">
        <v>20329</v>
      </c>
      <c r="Z1886" t="s">
        <v>74</v>
      </c>
      <c r="AA1886" t="s">
        <v>74</v>
      </c>
      <c r="AB1886" t="s">
        <v>74</v>
      </c>
      <c r="AC1886" t="s">
        <v>74</v>
      </c>
      <c r="AD1886" t="s">
        <v>74</v>
      </c>
      <c r="AE1886" t="s">
        <v>74</v>
      </c>
      <c r="AF1886" t="s">
        <v>74</v>
      </c>
      <c r="AG1886">
        <v>0</v>
      </c>
      <c r="AH1886">
        <v>0</v>
      </c>
      <c r="AI1886">
        <v>0</v>
      </c>
      <c r="AJ1886">
        <v>0</v>
      </c>
      <c r="AK1886">
        <v>2</v>
      </c>
      <c r="AL1886" t="s">
        <v>6134</v>
      </c>
      <c r="AM1886" t="s">
        <v>6135</v>
      </c>
      <c r="AN1886" t="s">
        <v>6136</v>
      </c>
      <c r="AO1886" t="s">
        <v>20328</v>
      </c>
      <c r="AP1886" t="s">
        <v>74</v>
      </c>
      <c r="AQ1886" t="s">
        <v>20327</v>
      </c>
      <c r="AR1886" t="s">
        <v>20326</v>
      </c>
      <c r="AS1886" t="s">
        <v>74</v>
      </c>
      <c r="AT1886" t="s">
        <v>74</v>
      </c>
      <c r="AU1886">
        <v>2016</v>
      </c>
      <c r="AV1886" t="s">
        <v>74</v>
      </c>
      <c r="AW1886" t="s">
        <v>74</v>
      </c>
      <c r="AX1886" t="s">
        <v>74</v>
      </c>
      <c r="AY1886" t="s">
        <v>74</v>
      </c>
      <c r="AZ1886" t="s">
        <v>74</v>
      </c>
      <c r="BA1886" t="s">
        <v>74</v>
      </c>
      <c r="BB1886">
        <v>216</v>
      </c>
      <c r="BC1886">
        <v>216</v>
      </c>
      <c r="BD1886" t="s">
        <v>74</v>
      </c>
      <c r="BE1886" t="s">
        <v>74</v>
      </c>
      <c r="BF1886" t="s">
        <v>74</v>
      </c>
      <c r="BG1886" t="s">
        <v>74</v>
      </c>
      <c r="BH1886" t="s">
        <v>74</v>
      </c>
      <c r="BI1886">
        <v>1</v>
      </c>
      <c r="BJ1886" t="s">
        <v>20325</v>
      </c>
      <c r="BK1886" t="s">
        <v>1069</v>
      </c>
      <c r="BL1886" t="s">
        <v>4031</v>
      </c>
      <c r="BM1886" t="s">
        <v>20324</v>
      </c>
      <c r="BN1886" t="s">
        <v>74</v>
      </c>
      <c r="BO1886" t="s">
        <v>74</v>
      </c>
      <c r="BP1886" t="s">
        <v>74</v>
      </c>
      <c r="BQ1886" t="s">
        <v>74</v>
      </c>
      <c r="BR1886" t="s">
        <v>102</v>
      </c>
      <c r="BS1886" t="s">
        <v>20323</v>
      </c>
      <c r="BT1886" t="str">
        <f>HYPERLINK("https%3A%2F%2Fwww.webofscience.com%2Fwos%2Fwoscc%2Ffull-record%2FWOS:000402738400031","View Full Record in Web of Science")</f>
        <v>View Full Record in Web of Science</v>
      </c>
    </row>
    <row r="1887" spans="1:72" x14ac:dyDescent="0.25">
      <c r="A1887" t="s">
        <v>72</v>
      </c>
      <c r="B1887" t="s">
        <v>20322</v>
      </c>
      <c r="C1887" t="s">
        <v>74</v>
      </c>
      <c r="D1887" t="s">
        <v>74</v>
      </c>
      <c r="E1887" t="s">
        <v>74</v>
      </c>
      <c r="F1887" t="s">
        <v>20321</v>
      </c>
      <c r="G1887" t="s">
        <v>74</v>
      </c>
      <c r="H1887" t="s">
        <v>74</v>
      </c>
      <c r="I1887" t="s">
        <v>20320</v>
      </c>
      <c r="J1887" t="s">
        <v>4956</v>
      </c>
      <c r="K1887" t="s">
        <v>74</v>
      </c>
      <c r="L1887" t="s">
        <v>74</v>
      </c>
      <c r="M1887" t="s">
        <v>78</v>
      </c>
      <c r="N1887" t="s">
        <v>79</v>
      </c>
      <c r="O1887" t="s">
        <v>74</v>
      </c>
      <c r="P1887" t="s">
        <v>74</v>
      </c>
      <c r="Q1887" t="s">
        <v>74</v>
      </c>
      <c r="R1887" t="s">
        <v>74</v>
      </c>
      <c r="S1887" t="s">
        <v>74</v>
      </c>
      <c r="T1887" t="s">
        <v>20319</v>
      </c>
      <c r="U1887" t="s">
        <v>20318</v>
      </c>
      <c r="V1887" t="s">
        <v>20317</v>
      </c>
      <c r="W1887" t="s">
        <v>20316</v>
      </c>
      <c r="X1887" t="s">
        <v>20315</v>
      </c>
      <c r="Y1887" t="s">
        <v>20314</v>
      </c>
      <c r="Z1887" t="s">
        <v>74</v>
      </c>
      <c r="AA1887" t="s">
        <v>74</v>
      </c>
      <c r="AB1887" t="s">
        <v>74</v>
      </c>
      <c r="AC1887" t="s">
        <v>74</v>
      </c>
      <c r="AD1887" t="s">
        <v>74</v>
      </c>
      <c r="AE1887" t="s">
        <v>74</v>
      </c>
      <c r="AF1887" t="s">
        <v>74</v>
      </c>
      <c r="AG1887">
        <v>35</v>
      </c>
      <c r="AH1887">
        <v>46</v>
      </c>
      <c r="AI1887">
        <v>58</v>
      </c>
      <c r="AJ1887">
        <v>0</v>
      </c>
      <c r="AK1887">
        <v>40</v>
      </c>
      <c r="AL1887" t="s">
        <v>230</v>
      </c>
      <c r="AM1887" t="s">
        <v>231</v>
      </c>
      <c r="AN1887" t="s">
        <v>232</v>
      </c>
      <c r="AO1887" t="s">
        <v>4966</v>
      </c>
      <c r="AP1887" t="s">
        <v>74</v>
      </c>
      <c r="AQ1887" t="s">
        <v>74</v>
      </c>
      <c r="AR1887" t="s">
        <v>4968</v>
      </c>
      <c r="AS1887" t="s">
        <v>4969</v>
      </c>
      <c r="AT1887" t="s">
        <v>208</v>
      </c>
      <c r="AU1887">
        <v>2011</v>
      </c>
      <c r="AV1887">
        <v>39</v>
      </c>
      <c r="AW1887">
        <v>1</v>
      </c>
      <c r="AX1887" t="s">
        <v>74</v>
      </c>
      <c r="AY1887" t="s">
        <v>74</v>
      </c>
      <c r="AZ1887" t="s">
        <v>74</v>
      </c>
      <c r="BA1887" t="s">
        <v>74</v>
      </c>
      <c r="BB1887">
        <v>110</v>
      </c>
      <c r="BC1887">
        <v>122</v>
      </c>
      <c r="BD1887" t="s">
        <v>74</v>
      </c>
      <c r="BE1887" t="s">
        <v>20313</v>
      </c>
      <c r="BF1887" t="str">
        <f>HYPERLINK("http://dx.doi.org/10.1016/j.worlddev.2010.09.002","http://dx.doi.org/10.1016/j.worlddev.2010.09.002")</f>
        <v>http://dx.doi.org/10.1016/j.worlddev.2010.09.002</v>
      </c>
      <c r="BG1887" t="s">
        <v>74</v>
      </c>
      <c r="BH1887" t="s">
        <v>74</v>
      </c>
      <c r="BI1887">
        <v>13</v>
      </c>
      <c r="BJ1887" t="s">
        <v>701</v>
      </c>
      <c r="BK1887" t="s">
        <v>99</v>
      </c>
      <c r="BL1887" t="s">
        <v>702</v>
      </c>
      <c r="BM1887" t="s">
        <v>20312</v>
      </c>
      <c r="BN1887" t="s">
        <v>74</v>
      </c>
      <c r="BO1887" t="s">
        <v>74</v>
      </c>
      <c r="BP1887" t="s">
        <v>74</v>
      </c>
      <c r="BQ1887" t="s">
        <v>74</v>
      </c>
      <c r="BR1887" t="s">
        <v>102</v>
      </c>
      <c r="BS1887" t="s">
        <v>20311</v>
      </c>
      <c r="BT1887" t="str">
        <f>HYPERLINK("https%3A%2F%2Fwww.webofscience.com%2Fwos%2Fwoscc%2Ffull-record%2FWOS:000285177200009","View Full Record in Web of Science")</f>
        <v>View Full Record in Web of Science</v>
      </c>
    </row>
    <row r="1888" spans="1:72" x14ac:dyDescent="0.25">
      <c r="A1888" t="s">
        <v>72</v>
      </c>
      <c r="B1888" t="s">
        <v>20310</v>
      </c>
      <c r="C1888" t="s">
        <v>74</v>
      </c>
      <c r="D1888" t="s">
        <v>74</v>
      </c>
      <c r="E1888" t="s">
        <v>74</v>
      </c>
      <c r="F1888" t="s">
        <v>20309</v>
      </c>
      <c r="G1888" t="s">
        <v>74</v>
      </c>
      <c r="H1888" t="s">
        <v>74</v>
      </c>
      <c r="I1888" t="s">
        <v>20308</v>
      </c>
      <c r="J1888" t="s">
        <v>20307</v>
      </c>
      <c r="K1888" t="s">
        <v>74</v>
      </c>
      <c r="L1888" t="s">
        <v>74</v>
      </c>
      <c r="M1888" t="s">
        <v>78</v>
      </c>
      <c r="N1888" t="s">
        <v>79</v>
      </c>
      <c r="O1888" t="s">
        <v>74</v>
      </c>
      <c r="P1888" t="s">
        <v>74</v>
      </c>
      <c r="Q1888" t="s">
        <v>74</v>
      </c>
      <c r="R1888" t="s">
        <v>74</v>
      </c>
      <c r="S1888" t="s">
        <v>74</v>
      </c>
      <c r="T1888" t="s">
        <v>20306</v>
      </c>
      <c r="U1888" t="s">
        <v>20305</v>
      </c>
      <c r="V1888" t="s">
        <v>20304</v>
      </c>
      <c r="W1888" t="s">
        <v>20303</v>
      </c>
      <c r="X1888" t="s">
        <v>20302</v>
      </c>
      <c r="Y1888" t="s">
        <v>20301</v>
      </c>
      <c r="Z1888" t="s">
        <v>20300</v>
      </c>
      <c r="AA1888" t="s">
        <v>20299</v>
      </c>
      <c r="AB1888" t="s">
        <v>20298</v>
      </c>
      <c r="AC1888" t="s">
        <v>74</v>
      </c>
      <c r="AD1888" t="s">
        <v>74</v>
      </c>
      <c r="AE1888" t="s">
        <v>74</v>
      </c>
      <c r="AF1888" t="s">
        <v>74</v>
      </c>
      <c r="AG1888">
        <v>117</v>
      </c>
      <c r="AH1888">
        <v>7</v>
      </c>
      <c r="AI1888">
        <v>7</v>
      </c>
      <c r="AJ1888">
        <v>3</v>
      </c>
      <c r="AK1888">
        <v>57</v>
      </c>
      <c r="AL1888" t="s">
        <v>20297</v>
      </c>
      <c r="AM1888" t="s">
        <v>20296</v>
      </c>
      <c r="AN1888" t="s">
        <v>20295</v>
      </c>
      <c r="AO1888" t="s">
        <v>20294</v>
      </c>
      <c r="AP1888" t="s">
        <v>20293</v>
      </c>
      <c r="AQ1888" t="s">
        <v>74</v>
      </c>
      <c r="AR1888" t="s">
        <v>20292</v>
      </c>
      <c r="AS1888" t="s">
        <v>20291</v>
      </c>
      <c r="AT1888" t="s">
        <v>74</v>
      </c>
      <c r="AU1888">
        <v>2021</v>
      </c>
      <c r="AV1888">
        <v>24</v>
      </c>
      <c r="AW1888">
        <v>4</v>
      </c>
      <c r="AX1888" t="s">
        <v>74</v>
      </c>
      <c r="AY1888" t="s">
        <v>74</v>
      </c>
      <c r="AZ1888" t="s">
        <v>74</v>
      </c>
      <c r="BA1888" t="s">
        <v>74</v>
      </c>
      <c r="BB1888">
        <v>105</v>
      </c>
      <c r="BC1888">
        <v>123</v>
      </c>
      <c r="BD1888" t="s">
        <v>74</v>
      </c>
      <c r="BE1888" t="s">
        <v>20290</v>
      </c>
      <c r="BF1888" t="str">
        <f>HYPERLINK("http://dx.doi.org/10.15240/tul/001/2021-4-007","http://dx.doi.org/10.15240/tul/001/2021-4-007")</f>
        <v>http://dx.doi.org/10.15240/tul/001/2021-4-007</v>
      </c>
      <c r="BG1888" t="s">
        <v>74</v>
      </c>
      <c r="BH1888" t="s">
        <v>74</v>
      </c>
      <c r="BI1888">
        <v>19</v>
      </c>
      <c r="BJ1888" t="s">
        <v>5519</v>
      </c>
      <c r="BK1888" t="s">
        <v>99</v>
      </c>
      <c r="BL1888" t="s">
        <v>100</v>
      </c>
      <c r="BM1888" t="s">
        <v>20289</v>
      </c>
      <c r="BN1888" t="s">
        <v>74</v>
      </c>
      <c r="BO1888" t="s">
        <v>916</v>
      </c>
      <c r="BP1888" t="s">
        <v>74</v>
      </c>
      <c r="BQ1888" t="s">
        <v>74</v>
      </c>
      <c r="BR1888" t="s">
        <v>102</v>
      </c>
      <c r="BS1888" t="s">
        <v>20288</v>
      </c>
      <c r="BT1888" t="str">
        <f>HYPERLINK("https%3A%2F%2Fwww.webofscience.com%2Fwos%2Fwoscc%2Ffull-record%2FWOS:000733816600007","View Full Record in Web of Science")</f>
        <v>View Full Record in Web of Science</v>
      </c>
    </row>
    <row r="1889" spans="1:72" x14ac:dyDescent="0.25">
      <c r="A1889" t="s">
        <v>72</v>
      </c>
      <c r="B1889" t="s">
        <v>20287</v>
      </c>
      <c r="C1889" t="s">
        <v>74</v>
      </c>
      <c r="D1889" t="s">
        <v>74</v>
      </c>
      <c r="E1889" t="s">
        <v>74</v>
      </c>
      <c r="F1889" t="s">
        <v>20286</v>
      </c>
      <c r="G1889" t="s">
        <v>74</v>
      </c>
      <c r="H1889" t="s">
        <v>74</v>
      </c>
      <c r="I1889" t="s">
        <v>20285</v>
      </c>
      <c r="J1889" t="s">
        <v>20284</v>
      </c>
      <c r="K1889" t="s">
        <v>74</v>
      </c>
      <c r="L1889" t="s">
        <v>74</v>
      </c>
      <c r="M1889" t="s">
        <v>78</v>
      </c>
      <c r="N1889" t="s">
        <v>79</v>
      </c>
      <c r="O1889" t="s">
        <v>74</v>
      </c>
      <c r="P1889" t="s">
        <v>74</v>
      </c>
      <c r="Q1889" t="s">
        <v>74</v>
      </c>
      <c r="R1889" t="s">
        <v>74</v>
      </c>
      <c r="S1889" t="s">
        <v>74</v>
      </c>
      <c r="T1889" t="s">
        <v>20283</v>
      </c>
      <c r="U1889" t="s">
        <v>20282</v>
      </c>
      <c r="V1889" t="s">
        <v>20281</v>
      </c>
      <c r="W1889" t="s">
        <v>20280</v>
      </c>
      <c r="X1889" t="s">
        <v>20279</v>
      </c>
      <c r="Y1889" t="s">
        <v>20278</v>
      </c>
      <c r="Z1889" t="s">
        <v>74</v>
      </c>
      <c r="AA1889" t="s">
        <v>20277</v>
      </c>
      <c r="AB1889" t="s">
        <v>20276</v>
      </c>
      <c r="AC1889" t="s">
        <v>20275</v>
      </c>
      <c r="AD1889" t="s">
        <v>20274</v>
      </c>
      <c r="AE1889" t="s">
        <v>20273</v>
      </c>
      <c r="AF1889" t="s">
        <v>74</v>
      </c>
      <c r="AG1889">
        <v>33</v>
      </c>
      <c r="AH1889">
        <v>26</v>
      </c>
      <c r="AI1889">
        <v>38</v>
      </c>
      <c r="AJ1889">
        <v>0</v>
      </c>
      <c r="AK1889">
        <v>37</v>
      </c>
      <c r="AL1889" t="s">
        <v>2551</v>
      </c>
      <c r="AM1889" t="s">
        <v>231</v>
      </c>
      <c r="AN1889" t="s">
        <v>2552</v>
      </c>
      <c r="AO1889" t="s">
        <v>20272</v>
      </c>
      <c r="AP1889" t="s">
        <v>20271</v>
      </c>
      <c r="AQ1889" t="s">
        <v>74</v>
      </c>
      <c r="AR1889" t="s">
        <v>20270</v>
      </c>
      <c r="AS1889" t="s">
        <v>20269</v>
      </c>
      <c r="AT1889" t="s">
        <v>848</v>
      </c>
      <c r="AU1889">
        <v>2019</v>
      </c>
      <c r="AV1889">
        <v>86</v>
      </c>
      <c r="AW1889">
        <v>4</v>
      </c>
      <c r="AX1889" t="s">
        <v>74</v>
      </c>
      <c r="AY1889" t="s">
        <v>74</v>
      </c>
      <c r="AZ1889" t="s">
        <v>74</v>
      </c>
      <c r="BA1889" t="s">
        <v>74</v>
      </c>
      <c r="BB1889">
        <v>1704</v>
      </c>
      <c r="BC1889">
        <v>1746</v>
      </c>
      <c r="BD1889" t="s">
        <v>74</v>
      </c>
      <c r="BE1889" t="s">
        <v>20268</v>
      </c>
      <c r="BF1889" t="str">
        <f>HYPERLINK("http://dx.doi.org/10.1093/restud/rdy046","http://dx.doi.org/10.1093/restud/rdy046")</f>
        <v>http://dx.doi.org/10.1093/restud/rdy046</v>
      </c>
      <c r="BG1889" t="s">
        <v>74</v>
      </c>
      <c r="BH1889" t="s">
        <v>74</v>
      </c>
      <c r="BI1889">
        <v>43</v>
      </c>
      <c r="BJ1889" t="s">
        <v>291</v>
      </c>
      <c r="BK1889" t="s">
        <v>99</v>
      </c>
      <c r="BL1889" t="s">
        <v>100</v>
      </c>
      <c r="BM1889" t="s">
        <v>20267</v>
      </c>
      <c r="BN1889" t="s">
        <v>74</v>
      </c>
      <c r="BO1889" t="s">
        <v>74</v>
      </c>
      <c r="BP1889" t="s">
        <v>74</v>
      </c>
      <c r="BQ1889" t="s">
        <v>74</v>
      </c>
      <c r="BR1889" t="s">
        <v>102</v>
      </c>
      <c r="BS1889" t="s">
        <v>20266</v>
      </c>
      <c r="BT1889" t="str">
        <f>HYPERLINK("https%3A%2F%2Fwww.webofscience.com%2Fwos%2Fwoscc%2Ffull-record%2FWOS:000493307200010","View Full Record in Web of Science")</f>
        <v>View Full Record in Web of Science</v>
      </c>
    </row>
    <row r="1890" spans="1:72" x14ac:dyDescent="0.25">
      <c r="A1890" t="s">
        <v>72</v>
      </c>
      <c r="B1890" t="s">
        <v>20265</v>
      </c>
      <c r="C1890" t="s">
        <v>74</v>
      </c>
      <c r="D1890" t="s">
        <v>74</v>
      </c>
      <c r="E1890" t="s">
        <v>74</v>
      </c>
      <c r="F1890" t="s">
        <v>20264</v>
      </c>
      <c r="G1890" t="s">
        <v>74</v>
      </c>
      <c r="H1890" t="s">
        <v>74</v>
      </c>
      <c r="I1890" t="s">
        <v>20263</v>
      </c>
      <c r="J1890" t="s">
        <v>20262</v>
      </c>
      <c r="K1890" t="s">
        <v>74</v>
      </c>
      <c r="L1890" t="s">
        <v>74</v>
      </c>
      <c r="M1890" t="s">
        <v>78</v>
      </c>
      <c r="N1890" t="s">
        <v>79</v>
      </c>
      <c r="O1890" t="s">
        <v>74</v>
      </c>
      <c r="P1890" t="s">
        <v>74</v>
      </c>
      <c r="Q1890" t="s">
        <v>74</v>
      </c>
      <c r="R1890" t="s">
        <v>74</v>
      </c>
      <c r="S1890" t="s">
        <v>74</v>
      </c>
      <c r="T1890" t="s">
        <v>20261</v>
      </c>
      <c r="U1890" t="s">
        <v>20260</v>
      </c>
      <c r="V1890" t="s">
        <v>20259</v>
      </c>
      <c r="W1890" t="s">
        <v>20258</v>
      </c>
      <c r="X1890" t="s">
        <v>20257</v>
      </c>
      <c r="Y1890" t="s">
        <v>20256</v>
      </c>
      <c r="Z1890" t="s">
        <v>20255</v>
      </c>
      <c r="AA1890" t="s">
        <v>20254</v>
      </c>
      <c r="AB1890" t="s">
        <v>20253</v>
      </c>
      <c r="AC1890" t="s">
        <v>74</v>
      </c>
      <c r="AD1890" t="s">
        <v>74</v>
      </c>
      <c r="AE1890" t="s">
        <v>74</v>
      </c>
      <c r="AF1890" t="s">
        <v>74</v>
      </c>
      <c r="AG1890">
        <v>82</v>
      </c>
      <c r="AH1890">
        <v>3</v>
      </c>
      <c r="AI1890">
        <v>4</v>
      </c>
      <c r="AJ1890">
        <v>2</v>
      </c>
      <c r="AK1890">
        <v>12</v>
      </c>
      <c r="AL1890" t="s">
        <v>757</v>
      </c>
      <c r="AM1890" t="s">
        <v>758</v>
      </c>
      <c r="AN1890" t="s">
        <v>759</v>
      </c>
      <c r="AO1890" t="s">
        <v>20252</v>
      </c>
      <c r="AP1890" t="s">
        <v>20251</v>
      </c>
      <c r="AQ1890" t="s">
        <v>74</v>
      </c>
      <c r="AR1890" t="s">
        <v>20250</v>
      </c>
      <c r="AS1890" t="s">
        <v>20249</v>
      </c>
      <c r="AT1890" t="s">
        <v>124</v>
      </c>
      <c r="AU1890">
        <v>2023</v>
      </c>
      <c r="AV1890">
        <v>10</v>
      </c>
      <c r="AW1890">
        <v>4</v>
      </c>
      <c r="AX1890" t="s">
        <v>74</v>
      </c>
      <c r="AY1890" t="s">
        <v>74</v>
      </c>
      <c r="AZ1890" t="s">
        <v>74</v>
      </c>
      <c r="BA1890" t="s">
        <v>74</v>
      </c>
      <c r="BB1890">
        <v>386</v>
      </c>
      <c r="BC1890">
        <v>407</v>
      </c>
      <c r="BD1890" t="s">
        <v>74</v>
      </c>
      <c r="BE1890" t="s">
        <v>20248</v>
      </c>
      <c r="BF1890" t="str">
        <f>HYPERLINK("http://dx.doi.org/10.1177/23477989231198327","http://dx.doi.org/10.1177/23477989231198327")</f>
        <v>http://dx.doi.org/10.1177/23477989231198327</v>
      </c>
      <c r="BG1890" t="s">
        <v>74</v>
      </c>
      <c r="BH1890" t="s">
        <v>5567</v>
      </c>
      <c r="BI1890">
        <v>22</v>
      </c>
      <c r="BJ1890" t="s">
        <v>20247</v>
      </c>
      <c r="BK1890" t="s">
        <v>313</v>
      </c>
      <c r="BL1890" t="s">
        <v>20247</v>
      </c>
      <c r="BM1890" t="s">
        <v>20246</v>
      </c>
      <c r="BN1890" t="s">
        <v>74</v>
      </c>
      <c r="BO1890" t="s">
        <v>74</v>
      </c>
      <c r="BP1890" t="s">
        <v>74</v>
      </c>
      <c r="BQ1890" t="s">
        <v>74</v>
      </c>
      <c r="BR1890" t="s">
        <v>102</v>
      </c>
      <c r="BS1890" t="s">
        <v>20245</v>
      </c>
      <c r="BT1890" t="str">
        <f>HYPERLINK("https%3A%2F%2Fwww.webofscience.com%2Fwos%2Fwoscc%2Ffull-record%2FWOS:001071486000001","View Full Record in Web of Science")</f>
        <v>View Full Record in Web of Science</v>
      </c>
    </row>
    <row r="1891" spans="1:72" x14ac:dyDescent="0.25">
      <c r="A1891" t="s">
        <v>72</v>
      </c>
      <c r="B1891" t="s">
        <v>20244</v>
      </c>
      <c r="C1891" t="s">
        <v>74</v>
      </c>
      <c r="D1891" t="s">
        <v>74</v>
      </c>
      <c r="E1891" t="s">
        <v>74</v>
      </c>
      <c r="F1891" t="s">
        <v>20243</v>
      </c>
      <c r="G1891" t="s">
        <v>74</v>
      </c>
      <c r="H1891" t="s">
        <v>74</v>
      </c>
      <c r="I1891" t="s">
        <v>20242</v>
      </c>
      <c r="J1891" t="s">
        <v>20241</v>
      </c>
      <c r="K1891" t="s">
        <v>74</v>
      </c>
      <c r="L1891" t="s">
        <v>74</v>
      </c>
      <c r="M1891" t="s">
        <v>78</v>
      </c>
      <c r="N1891" t="s">
        <v>79</v>
      </c>
      <c r="O1891" t="s">
        <v>74</v>
      </c>
      <c r="P1891" t="s">
        <v>74</v>
      </c>
      <c r="Q1891" t="s">
        <v>74</v>
      </c>
      <c r="R1891" t="s">
        <v>74</v>
      </c>
      <c r="S1891" t="s">
        <v>74</v>
      </c>
      <c r="T1891" t="s">
        <v>74</v>
      </c>
      <c r="U1891" t="s">
        <v>20240</v>
      </c>
      <c r="V1891" t="s">
        <v>20239</v>
      </c>
      <c r="W1891" t="s">
        <v>74</v>
      </c>
      <c r="X1891" t="s">
        <v>74</v>
      </c>
      <c r="Y1891" t="s">
        <v>74</v>
      </c>
      <c r="Z1891" t="s">
        <v>74</v>
      </c>
      <c r="AA1891" t="s">
        <v>74</v>
      </c>
      <c r="AB1891" t="s">
        <v>74</v>
      </c>
      <c r="AC1891" t="s">
        <v>74</v>
      </c>
      <c r="AD1891" t="s">
        <v>74</v>
      </c>
      <c r="AE1891" t="s">
        <v>74</v>
      </c>
      <c r="AF1891" t="s">
        <v>74</v>
      </c>
      <c r="AG1891">
        <v>294</v>
      </c>
      <c r="AH1891">
        <v>5</v>
      </c>
      <c r="AI1891">
        <v>5</v>
      </c>
      <c r="AJ1891">
        <v>1</v>
      </c>
      <c r="AK1891">
        <v>3</v>
      </c>
      <c r="AL1891" t="s">
        <v>20238</v>
      </c>
      <c r="AM1891" t="s">
        <v>3381</v>
      </c>
      <c r="AN1891" t="s">
        <v>20237</v>
      </c>
      <c r="AO1891" t="s">
        <v>20236</v>
      </c>
      <c r="AP1891" t="s">
        <v>74</v>
      </c>
      <c r="AQ1891" t="s">
        <v>74</v>
      </c>
      <c r="AR1891" t="s">
        <v>20235</v>
      </c>
      <c r="AS1891" t="s">
        <v>20234</v>
      </c>
      <c r="AT1891" t="s">
        <v>74</v>
      </c>
      <c r="AU1891">
        <v>2023</v>
      </c>
      <c r="AV1891">
        <v>118</v>
      </c>
      <c r="AW1891">
        <v>3</v>
      </c>
      <c r="AX1891" t="s">
        <v>74</v>
      </c>
      <c r="AY1891" t="s">
        <v>74</v>
      </c>
      <c r="AZ1891" t="s">
        <v>74</v>
      </c>
      <c r="BA1891" t="s">
        <v>74</v>
      </c>
      <c r="BB1891">
        <v>621</v>
      </c>
      <c r="BC1891">
        <v>690</v>
      </c>
      <c r="BD1891" t="s">
        <v>74</v>
      </c>
      <c r="BE1891" t="s">
        <v>74</v>
      </c>
      <c r="BF1891" t="s">
        <v>74</v>
      </c>
      <c r="BG1891" t="s">
        <v>74</v>
      </c>
      <c r="BH1891" t="s">
        <v>74</v>
      </c>
      <c r="BI1891">
        <v>70</v>
      </c>
      <c r="BJ1891" t="s">
        <v>182</v>
      </c>
      <c r="BK1891" t="s">
        <v>99</v>
      </c>
      <c r="BL1891" t="s">
        <v>184</v>
      </c>
      <c r="BM1891" t="s">
        <v>20233</v>
      </c>
      <c r="BN1891" t="s">
        <v>74</v>
      </c>
      <c r="BO1891" t="s">
        <v>74</v>
      </c>
      <c r="BP1891" t="s">
        <v>74</v>
      </c>
      <c r="BQ1891" t="s">
        <v>74</v>
      </c>
      <c r="BR1891" t="s">
        <v>102</v>
      </c>
      <c r="BS1891" t="s">
        <v>20232</v>
      </c>
      <c r="BT1891" t="str">
        <f>HYPERLINK("https%3A%2F%2Fwww.webofscience.com%2Fwos%2Fwoscc%2Ffull-record%2FWOS:001106607400008","View Full Record in Web of Science")</f>
        <v>View Full Record in Web of Science</v>
      </c>
    </row>
    <row r="1892" spans="1:72" x14ac:dyDescent="0.25">
      <c r="A1892" t="s">
        <v>72</v>
      </c>
      <c r="B1892" t="s">
        <v>20231</v>
      </c>
      <c r="C1892" t="s">
        <v>74</v>
      </c>
      <c r="D1892" t="s">
        <v>74</v>
      </c>
      <c r="E1892" t="s">
        <v>74</v>
      </c>
      <c r="F1892" t="s">
        <v>20230</v>
      </c>
      <c r="G1892" t="s">
        <v>74</v>
      </c>
      <c r="H1892" t="s">
        <v>74</v>
      </c>
      <c r="I1892" t="s">
        <v>20229</v>
      </c>
      <c r="J1892" t="s">
        <v>900</v>
      </c>
      <c r="K1892" t="s">
        <v>74</v>
      </c>
      <c r="L1892" t="s">
        <v>74</v>
      </c>
      <c r="M1892" t="s">
        <v>78</v>
      </c>
      <c r="N1892" t="s">
        <v>79</v>
      </c>
      <c r="O1892" t="s">
        <v>74</v>
      </c>
      <c r="P1892" t="s">
        <v>74</v>
      </c>
      <c r="Q1892" t="s">
        <v>74</v>
      </c>
      <c r="R1892" t="s">
        <v>74</v>
      </c>
      <c r="S1892" t="s">
        <v>74</v>
      </c>
      <c r="T1892" t="s">
        <v>20228</v>
      </c>
      <c r="U1892" t="s">
        <v>20227</v>
      </c>
      <c r="V1892" t="s">
        <v>20226</v>
      </c>
      <c r="W1892" t="s">
        <v>20225</v>
      </c>
      <c r="X1892" t="s">
        <v>20224</v>
      </c>
      <c r="Y1892" t="s">
        <v>20223</v>
      </c>
      <c r="Z1892" t="s">
        <v>20222</v>
      </c>
      <c r="AA1892" t="s">
        <v>20221</v>
      </c>
      <c r="AB1892" t="s">
        <v>74</v>
      </c>
      <c r="AC1892" t="s">
        <v>74</v>
      </c>
      <c r="AD1892" t="s">
        <v>74</v>
      </c>
      <c r="AE1892" t="s">
        <v>74</v>
      </c>
      <c r="AF1892" t="s">
        <v>74</v>
      </c>
      <c r="AG1892">
        <v>60</v>
      </c>
      <c r="AH1892">
        <v>1</v>
      </c>
      <c r="AI1892">
        <v>2</v>
      </c>
      <c r="AJ1892">
        <v>3</v>
      </c>
      <c r="AK1892">
        <v>3</v>
      </c>
      <c r="AL1892" t="s">
        <v>575</v>
      </c>
      <c r="AM1892" t="s">
        <v>576</v>
      </c>
      <c r="AN1892" t="s">
        <v>577</v>
      </c>
      <c r="AO1892" t="s">
        <v>74</v>
      </c>
      <c r="AP1892" t="s">
        <v>4045</v>
      </c>
      <c r="AQ1892" t="s">
        <v>74</v>
      </c>
      <c r="AR1892" t="s">
        <v>4046</v>
      </c>
      <c r="AS1892" t="s">
        <v>4047</v>
      </c>
      <c r="AT1892" t="s">
        <v>20220</v>
      </c>
      <c r="AU1892">
        <v>2025</v>
      </c>
      <c r="AV1892">
        <v>4</v>
      </c>
      <c r="AW1892">
        <v>3</v>
      </c>
      <c r="AX1892" t="s">
        <v>74</v>
      </c>
      <c r="AY1892" t="s">
        <v>74</v>
      </c>
      <c r="AZ1892" t="s">
        <v>74</v>
      </c>
      <c r="BA1892" t="s">
        <v>74</v>
      </c>
      <c r="BB1892" t="s">
        <v>74</v>
      </c>
      <c r="BC1892" t="s">
        <v>74</v>
      </c>
      <c r="BD1892">
        <v>40</v>
      </c>
      <c r="BE1892" t="s">
        <v>20219</v>
      </c>
      <c r="BF1892" t="str">
        <f>HYPERLINK("http://dx.doi.org/10.3390/fintech4030040","http://dx.doi.org/10.3390/fintech4030040")</f>
        <v>http://dx.doi.org/10.3390/fintech4030040</v>
      </c>
      <c r="BG1892" t="s">
        <v>74</v>
      </c>
      <c r="BH1892" t="s">
        <v>74</v>
      </c>
      <c r="BI1892">
        <v>17</v>
      </c>
      <c r="BJ1892" t="s">
        <v>4049</v>
      </c>
      <c r="BK1892" t="s">
        <v>313</v>
      </c>
      <c r="BL1892" t="s">
        <v>1070</v>
      </c>
      <c r="BM1892" t="s">
        <v>20218</v>
      </c>
      <c r="BN1892" t="s">
        <v>74</v>
      </c>
      <c r="BO1892" t="s">
        <v>212</v>
      </c>
      <c r="BP1892" t="s">
        <v>74</v>
      </c>
      <c r="BQ1892" t="s">
        <v>74</v>
      </c>
      <c r="BR1892" t="s">
        <v>102</v>
      </c>
      <c r="BS1892" t="s">
        <v>20217</v>
      </c>
      <c r="BT1892" t="str">
        <f>HYPERLINK("https%3A%2F%2Fwww.webofscience.com%2Fwos%2Fwoscc%2Ffull-record%2FWOS:001580870100001","View Full Record in Web of Science")</f>
        <v>View Full Record in Web of Science</v>
      </c>
    </row>
    <row r="1893" spans="1:72" x14ac:dyDescent="0.25">
      <c r="A1893" t="s">
        <v>72</v>
      </c>
      <c r="B1893" t="s">
        <v>20216</v>
      </c>
      <c r="C1893" t="s">
        <v>74</v>
      </c>
      <c r="D1893" t="s">
        <v>74</v>
      </c>
      <c r="E1893" t="s">
        <v>74</v>
      </c>
      <c r="F1893" t="s">
        <v>20215</v>
      </c>
      <c r="G1893" t="s">
        <v>74</v>
      </c>
      <c r="H1893" t="s">
        <v>74</v>
      </c>
      <c r="I1893" t="s">
        <v>20214</v>
      </c>
      <c r="J1893" t="s">
        <v>20213</v>
      </c>
      <c r="K1893" t="s">
        <v>74</v>
      </c>
      <c r="L1893" t="s">
        <v>74</v>
      </c>
      <c r="M1893" t="s">
        <v>78</v>
      </c>
      <c r="N1893" t="s">
        <v>79</v>
      </c>
      <c r="O1893" t="s">
        <v>74</v>
      </c>
      <c r="P1893" t="s">
        <v>74</v>
      </c>
      <c r="Q1893" t="s">
        <v>74</v>
      </c>
      <c r="R1893" t="s">
        <v>74</v>
      </c>
      <c r="S1893" t="s">
        <v>74</v>
      </c>
      <c r="T1893" t="s">
        <v>20212</v>
      </c>
      <c r="U1893" t="s">
        <v>74</v>
      </c>
      <c r="V1893" t="s">
        <v>20211</v>
      </c>
      <c r="W1893" t="s">
        <v>20210</v>
      </c>
      <c r="X1893" t="s">
        <v>7124</v>
      </c>
      <c r="Y1893" t="s">
        <v>20209</v>
      </c>
      <c r="Z1893" t="s">
        <v>20208</v>
      </c>
      <c r="AA1893" t="s">
        <v>20207</v>
      </c>
      <c r="AB1893" t="s">
        <v>20206</v>
      </c>
      <c r="AC1893" t="s">
        <v>74</v>
      </c>
      <c r="AD1893" t="s">
        <v>74</v>
      </c>
      <c r="AE1893" t="s">
        <v>74</v>
      </c>
      <c r="AF1893" t="s">
        <v>74</v>
      </c>
      <c r="AG1893">
        <v>38</v>
      </c>
      <c r="AH1893">
        <v>18</v>
      </c>
      <c r="AI1893">
        <v>27</v>
      </c>
      <c r="AJ1893">
        <v>0</v>
      </c>
      <c r="AK1893">
        <v>35</v>
      </c>
      <c r="AL1893" t="s">
        <v>89</v>
      </c>
      <c r="AM1893" t="s">
        <v>1497</v>
      </c>
      <c r="AN1893" t="s">
        <v>1498</v>
      </c>
      <c r="AO1893" t="s">
        <v>20205</v>
      </c>
      <c r="AP1893" t="s">
        <v>20204</v>
      </c>
      <c r="AQ1893" t="s">
        <v>74</v>
      </c>
      <c r="AR1893" t="s">
        <v>20203</v>
      </c>
      <c r="AS1893" t="s">
        <v>20202</v>
      </c>
      <c r="AT1893" t="s">
        <v>20201</v>
      </c>
      <c r="AU1893">
        <v>2021</v>
      </c>
      <c r="AV1893">
        <v>12</v>
      </c>
      <c r="AW1893">
        <v>2</v>
      </c>
      <c r="AX1893" t="s">
        <v>74</v>
      </c>
      <c r="AY1893" t="s">
        <v>74</v>
      </c>
      <c r="AZ1893" t="s">
        <v>74</v>
      </c>
      <c r="BA1893" t="s">
        <v>74</v>
      </c>
      <c r="BB1893">
        <v>186</v>
      </c>
      <c r="BC1893">
        <v>203</v>
      </c>
      <c r="BD1893" t="s">
        <v>74</v>
      </c>
      <c r="BE1893" t="s">
        <v>20200</v>
      </c>
      <c r="BF1893" t="str">
        <f>HYPERLINK("http://dx.doi.org/10.1108/JIABR-10-2019-0198","http://dx.doi.org/10.1108/JIABR-10-2019-0198")</f>
        <v>http://dx.doi.org/10.1108/JIABR-10-2019-0198</v>
      </c>
      <c r="BG1893" t="s">
        <v>74</v>
      </c>
      <c r="BH1893" t="s">
        <v>7236</v>
      </c>
      <c r="BI1893">
        <v>18</v>
      </c>
      <c r="BJ1893" t="s">
        <v>268</v>
      </c>
      <c r="BK1893" t="s">
        <v>313</v>
      </c>
      <c r="BL1893" t="s">
        <v>100</v>
      </c>
      <c r="BM1893" t="s">
        <v>20199</v>
      </c>
      <c r="BN1893" t="s">
        <v>74</v>
      </c>
      <c r="BO1893" t="s">
        <v>74</v>
      </c>
      <c r="BP1893" t="s">
        <v>74</v>
      </c>
      <c r="BQ1893" t="s">
        <v>74</v>
      </c>
      <c r="BR1893" t="s">
        <v>102</v>
      </c>
      <c r="BS1893" t="s">
        <v>20198</v>
      </c>
      <c r="BT1893" t="str">
        <f>HYPERLINK("https%3A%2F%2Fwww.webofscience.com%2Fwos%2Fwoscc%2Ffull-record%2FWOS:000603463500001","View Full Record in Web of Science")</f>
        <v>View Full Record in Web of Science</v>
      </c>
    </row>
    <row r="1894" spans="1:72" x14ac:dyDescent="0.25">
      <c r="A1894" t="s">
        <v>72</v>
      </c>
      <c r="B1894" t="s">
        <v>20197</v>
      </c>
      <c r="C1894" t="s">
        <v>74</v>
      </c>
      <c r="D1894" t="s">
        <v>74</v>
      </c>
      <c r="E1894" t="s">
        <v>74</v>
      </c>
      <c r="F1894" t="s">
        <v>20196</v>
      </c>
      <c r="G1894" t="s">
        <v>74</v>
      </c>
      <c r="H1894" t="s">
        <v>74</v>
      </c>
      <c r="I1894" t="s">
        <v>20195</v>
      </c>
      <c r="J1894" t="s">
        <v>2137</v>
      </c>
      <c r="K1894" t="s">
        <v>74</v>
      </c>
      <c r="L1894" t="s">
        <v>74</v>
      </c>
      <c r="M1894" t="s">
        <v>78</v>
      </c>
      <c r="N1894" t="s">
        <v>79</v>
      </c>
      <c r="O1894" t="s">
        <v>74</v>
      </c>
      <c r="P1894" t="s">
        <v>74</v>
      </c>
      <c r="Q1894" t="s">
        <v>74</v>
      </c>
      <c r="R1894" t="s">
        <v>74</v>
      </c>
      <c r="S1894" t="s">
        <v>74</v>
      </c>
      <c r="T1894" t="s">
        <v>20194</v>
      </c>
      <c r="U1894" t="s">
        <v>20193</v>
      </c>
      <c r="V1894" t="s">
        <v>20192</v>
      </c>
      <c r="W1894" t="s">
        <v>20191</v>
      </c>
      <c r="X1894" t="s">
        <v>20190</v>
      </c>
      <c r="Y1894" t="s">
        <v>20189</v>
      </c>
      <c r="Z1894" t="s">
        <v>20188</v>
      </c>
      <c r="AA1894" t="s">
        <v>74</v>
      </c>
      <c r="AB1894" t="s">
        <v>20187</v>
      </c>
      <c r="AC1894" t="s">
        <v>74</v>
      </c>
      <c r="AD1894" t="s">
        <v>74</v>
      </c>
      <c r="AE1894" t="s">
        <v>74</v>
      </c>
      <c r="AF1894" t="s">
        <v>74</v>
      </c>
      <c r="AG1894">
        <v>22</v>
      </c>
      <c r="AH1894">
        <v>5</v>
      </c>
      <c r="AI1894">
        <v>5</v>
      </c>
      <c r="AJ1894">
        <v>0</v>
      </c>
      <c r="AK1894">
        <v>7</v>
      </c>
      <c r="AL1894" t="s">
        <v>2145</v>
      </c>
      <c r="AM1894" t="s">
        <v>151</v>
      </c>
      <c r="AN1894" t="s">
        <v>2146</v>
      </c>
      <c r="AO1894" t="s">
        <v>2147</v>
      </c>
      <c r="AP1894" t="s">
        <v>2148</v>
      </c>
      <c r="AQ1894" t="s">
        <v>74</v>
      </c>
      <c r="AR1894" t="s">
        <v>2149</v>
      </c>
      <c r="AS1894" t="s">
        <v>2150</v>
      </c>
      <c r="AT1894" t="s">
        <v>74</v>
      </c>
      <c r="AU1894">
        <v>2022</v>
      </c>
      <c r="AV1894">
        <v>33</v>
      </c>
      <c r="AW1894">
        <v>1</v>
      </c>
      <c r="AX1894" t="s">
        <v>74</v>
      </c>
      <c r="AY1894" t="s">
        <v>74</v>
      </c>
      <c r="AZ1894" t="s">
        <v>74</v>
      </c>
      <c r="BA1894" t="s">
        <v>74</v>
      </c>
      <c r="BB1894">
        <v>44</v>
      </c>
      <c r="BC1894">
        <v>55</v>
      </c>
      <c r="BD1894" t="s">
        <v>74</v>
      </c>
      <c r="BE1894" t="s">
        <v>20186</v>
      </c>
      <c r="BF1894" t="str">
        <f>HYPERLINK("http://dx.doi.org/10.1891/JFCP-20-00011","http://dx.doi.org/10.1891/JFCP-20-00011")</f>
        <v>http://dx.doi.org/10.1891/JFCP-20-00011</v>
      </c>
      <c r="BG1894" t="s">
        <v>74</v>
      </c>
      <c r="BH1894" t="s">
        <v>74</v>
      </c>
      <c r="BI1894">
        <v>12</v>
      </c>
      <c r="BJ1894" t="s">
        <v>1453</v>
      </c>
      <c r="BK1894" t="s">
        <v>313</v>
      </c>
      <c r="BL1894" t="s">
        <v>100</v>
      </c>
      <c r="BM1894" t="s">
        <v>20185</v>
      </c>
      <c r="BN1894" t="s">
        <v>74</v>
      </c>
      <c r="BO1894" t="s">
        <v>74</v>
      </c>
      <c r="BP1894" t="s">
        <v>74</v>
      </c>
      <c r="BQ1894" t="s">
        <v>74</v>
      </c>
      <c r="BR1894" t="s">
        <v>102</v>
      </c>
      <c r="BS1894" t="s">
        <v>20184</v>
      </c>
      <c r="BT1894" t="str">
        <f>HYPERLINK("https%3A%2F%2Fwww.webofscience.com%2Fwos%2Fwoscc%2Ffull-record%2FWOS:000792561300003","View Full Record in Web of Science")</f>
        <v>View Full Record in Web of Science</v>
      </c>
    </row>
    <row r="1895" spans="1:72" x14ac:dyDescent="0.25">
      <c r="A1895" t="s">
        <v>72</v>
      </c>
      <c r="B1895" t="s">
        <v>20183</v>
      </c>
      <c r="C1895" t="s">
        <v>74</v>
      </c>
      <c r="D1895" t="s">
        <v>74</v>
      </c>
      <c r="E1895" t="s">
        <v>74</v>
      </c>
      <c r="F1895" t="s">
        <v>20182</v>
      </c>
      <c r="G1895" t="s">
        <v>74</v>
      </c>
      <c r="H1895" t="s">
        <v>74</v>
      </c>
      <c r="I1895" t="s">
        <v>20181</v>
      </c>
      <c r="J1895" t="s">
        <v>9727</v>
      </c>
      <c r="K1895" t="s">
        <v>74</v>
      </c>
      <c r="L1895" t="s">
        <v>74</v>
      </c>
      <c r="M1895" t="s">
        <v>78</v>
      </c>
      <c r="N1895" t="s">
        <v>79</v>
      </c>
      <c r="O1895" t="s">
        <v>74</v>
      </c>
      <c r="P1895" t="s">
        <v>74</v>
      </c>
      <c r="Q1895" t="s">
        <v>74</v>
      </c>
      <c r="R1895" t="s">
        <v>74</v>
      </c>
      <c r="S1895" t="s">
        <v>74</v>
      </c>
      <c r="T1895" t="s">
        <v>20180</v>
      </c>
      <c r="U1895" t="s">
        <v>20179</v>
      </c>
      <c r="V1895" t="s">
        <v>20178</v>
      </c>
      <c r="W1895" t="s">
        <v>20177</v>
      </c>
      <c r="X1895" t="s">
        <v>20176</v>
      </c>
      <c r="Y1895" t="s">
        <v>20175</v>
      </c>
      <c r="Z1895" t="s">
        <v>20174</v>
      </c>
      <c r="AA1895" t="s">
        <v>20173</v>
      </c>
      <c r="AB1895" t="s">
        <v>20172</v>
      </c>
      <c r="AC1895" t="s">
        <v>74</v>
      </c>
      <c r="AD1895" t="s">
        <v>74</v>
      </c>
      <c r="AE1895" t="s">
        <v>74</v>
      </c>
      <c r="AF1895" t="s">
        <v>74</v>
      </c>
      <c r="AG1895">
        <v>24</v>
      </c>
      <c r="AH1895">
        <v>2</v>
      </c>
      <c r="AI1895">
        <v>4</v>
      </c>
      <c r="AJ1895">
        <v>3</v>
      </c>
      <c r="AK1895">
        <v>22</v>
      </c>
      <c r="AL1895" t="s">
        <v>5449</v>
      </c>
      <c r="AM1895" t="s">
        <v>5450</v>
      </c>
      <c r="AN1895" t="s">
        <v>5451</v>
      </c>
      <c r="AO1895" t="s">
        <v>9737</v>
      </c>
      <c r="AP1895" t="s">
        <v>9738</v>
      </c>
      <c r="AQ1895" t="s">
        <v>74</v>
      </c>
      <c r="AR1895" t="s">
        <v>9739</v>
      </c>
      <c r="AS1895" t="s">
        <v>9740</v>
      </c>
      <c r="AT1895" t="s">
        <v>2801</v>
      </c>
      <c r="AU1895">
        <v>2023</v>
      </c>
      <c r="AV1895">
        <v>25</v>
      </c>
      <c r="AW1895">
        <v>3</v>
      </c>
      <c r="AX1895" t="s">
        <v>74</v>
      </c>
      <c r="AY1895" t="s">
        <v>74</v>
      </c>
      <c r="AZ1895" t="s">
        <v>74</v>
      </c>
      <c r="BA1895" t="s">
        <v>74</v>
      </c>
      <c r="BB1895">
        <v>958</v>
      </c>
      <c r="BC1895">
        <v>974</v>
      </c>
      <c r="BD1895" t="s">
        <v>74</v>
      </c>
      <c r="BE1895" t="s">
        <v>20171</v>
      </c>
      <c r="BF1895" t="str">
        <f>HYPERLINK("http://dx.doi.org/10.1287/msom.2022.1175","http://dx.doi.org/10.1287/msom.2022.1175")</f>
        <v>http://dx.doi.org/10.1287/msom.2022.1175</v>
      </c>
      <c r="BG1895" t="s">
        <v>74</v>
      </c>
      <c r="BH1895" t="s">
        <v>9145</v>
      </c>
      <c r="BI1895">
        <v>17</v>
      </c>
      <c r="BJ1895" t="s">
        <v>5169</v>
      </c>
      <c r="BK1895" t="s">
        <v>2623</v>
      </c>
      <c r="BL1895" t="s">
        <v>5170</v>
      </c>
      <c r="BM1895" t="s">
        <v>20170</v>
      </c>
      <c r="BN1895" t="s">
        <v>74</v>
      </c>
      <c r="BO1895" t="s">
        <v>74</v>
      </c>
      <c r="BP1895" t="s">
        <v>74</v>
      </c>
      <c r="BQ1895" t="s">
        <v>74</v>
      </c>
      <c r="BR1895" t="s">
        <v>102</v>
      </c>
      <c r="BS1895" t="s">
        <v>20169</v>
      </c>
      <c r="BT1895" t="str">
        <f>HYPERLINK("https%3A%2F%2Fwww.webofscience.com%2Fwos%2Fwoscc%2Ffull-record%2FWOS:000937431800001","View Full Record in Web of Science")</f>
        <v>View Full Record in Web of Science</v>
      </c>
    </row>
    <row r="1896" spans="1:72" x14ac:dyDescent="0.25">
      <c r="A1896" t="s">
        <v>72</v>
      </c>
      <c r="B1896" t="s">
        <v>20168</v>
      </c>
      <c r="C1896" t="s">
        <v>74</v>
      </c>
      <c r="D1896" t="s">
        <v>74</v>
      </c>
      <c r="E1896" t="s">
        <v>74</v>
      </c>
      <c r="F1896" t="s">
        <v>20167</v>
      </c>
      <c r="G1896" t="s">
        <v>74</v>
      </c>
      <c r="H1896" t="s">
        <v>74</v>
      </c>
      <c r="I1896" t="s">
        <v>20166</v>
      </c>
      <c r="J1896" t="s">
        <v>20165</v>
      </c>
      <c r="K1896" t="s">
        <v>74</v>
      </c>
      <c r="L1896" t="s">
        <v>74</v>
      </c>
      <c r="M1896" t="s">
        <v>78</v>
      </c>
      <c r="N1896" t="s">
        <v>79</v>
      </c>
      <c r="O1896" t="s">
        <v>74</v>
      </c>
      <c r="P1896" t="s">
        <v>74</v>
      </c>
      <c r="Q1896" t="s">
        <v>74</v>
      </c>
      <c r="R1896" t="s">
        <v>74</v>
      </c>
      <c r="S1896" t="s">
        <v>74</v>
      </c>
      <c r="T1896" t="s">
        <v>20164</v>
      </c>
      <c r="U1896" t="s">
        <v>12604</v>
      </c>
      <c r="V1896" t="s">
        <v>20163</v>
      </c>
      <c r="W1896" t="s">
        <v>20162</v>
      </c>
      <c r="X1896" t="s">
        <v>74</v>
      </c>
      <c r="Y1896" t="s">
        <v>20161</v>
      </c>
      <c r="Z1896" t="s">
        <v>20160</v>
      </c>
      <c r="AA1896" t="s">
        <v>20159</v>
      </c>
      <c r="AB1896" t="s">
        <v>20158</v>
      </c>
      <c r="AC1896" t="s">
        <v>74</v>
      </c>
      <c r="AD1896" t="s">
        <v>74</v>
      </c>
      <c r="AE1896" t="s">
        <v>74</v>
      </c>
      <c r="AF1896" t="s">
        <v>74</v>
      </c>
      <c r="AG1896">
        <v>52</v>
      </c>
      <c r="AH1896">
        <v>41</v>
      </c>
      <c r="AI1896">
        <v>54</v>
      </c>
      <c r="AJ1896">
        <v>1</v>
      </c>
      <c r="AK1896">
        <v>37</v>
      </c>
      <c r="AL1896" t="s">
        <v>20157</v>
      </c>
      <c r="AM1896" t="s">
        <v>11717</v>
      </c>
      <c r="AN1896" t="s">
        <v>20156</v>
      </c>
      <c r="AO1896" t="s">
        <v>20155</v>
      </c>
      <c r="AP1896" t="s">
        <v>20154</v>
      </c>
      <c r="AQ1896" t="s">
        <v>74</v>
      </c>
      <c r="AR1896" t="s">
        <v>20153</v>
      </c>
      <c r="AS1896" t="s">
        <v>20152</v>
      </c>
      <c r="AT1896" t="s">
        <v>363</v>
      </c>
      <c r="AU1896">
        <v>2020</v>
      </c>
      <c r="AV1896">
        <v>5</v>
      </c>
      <c r="AW1896">
        <v>2</v>
      </c>
      <c r="AX1896" t="s">
        <v>74</v>
      </c>
      <c r="AY1896" t="s">
        <v>74</v>
      </c>
      <c r="AZ1896" t="s">
        <v>74</v>
      </c>
      <c r="BA1896" t="s">
        <v>74</v>
      </c>
      <c r="BB1896">
        <v>105</v>
      </c>
      <c r="BC1896">
        <v>116</v>
      </c>
      <c r="BD1896" t="s">
        <v>74</v>
      </c>
      <c r="BE1896" t="s">
        <v>20151</v>
      </c>
      <c r="BF1896" t="str">
        <f>HYPERLINK("http://dx.doi.org/10.1016/j.jik.2019.03.001","http://dx.doi.org/10.1016/j.jik.2019.03.001")</f>
        <v>http://dx.doi.org/10.1016/j.jik.2019.03.001</v>
      </c>
      <c r="BG1896" t="s">
        <v>74</v>
      </c>
      <c r="BH1896" t="s">
        <v>74</v>
      </c>
      <c r="BI1896">
        <v>12</v>
      </c>
      <c r="BJ1896" t="s">
        <v>98</v>
      </c>
      <c r="BK1896" t="s">
        <v>99</v>
      </c>
      <c r="BL1896" t="s">
        <v>100</v>
      </c>
      <c r="BM1896" t="s">
        <v>20150</v>
      </c>
      <c r="BN1896" t="s">
        <v>74</v>
      </c>
      <c r="BO1896" t="s">
        <v>916</v>
      </c>
      <c r="BP1896" t="s">
        <v>74</v>
      </c>
      <c r="BQ1896" t="s">
        <v>74</v>
      </c>
      <c r="BR1896" t="s">
        <v>102</v>
      </c>
      <c r="BS1896" t="s">
        <v>20149</v>
      </c>
      <c r="BT1896" t="str">
        <f>HYPERLINK("https%3A%2F%2Fwww.webofscience.com%2Fwos%2Fwoscc%2Ffull-record%2FWOS:000537722900003","View Full Record in Web of Science")</f>
        <v>View Full Record in Web of Science</v>
      </c>
    </row>
    <row r="1897" spans="1:72" x14ac:dyDescent="0.25">
      <c r="A1897" t="s">
        <v>72</v>
      </c>
      <c r="B1897" t="s">
        <v>20148</v>
      </c>
      <c r="C1897" t="s">
        <v>74</v>
      </c>
      <c r="D1897" t="s">
        <v>74</v>
      </c>
      <c r="E1897" t="s">
        <v>74</v>
      </c>
      <c r="F1897" t="s">
        <v>20147</v>
      </c>
      <c r="G1897" t="s">
        <v>74</v>
      </c>
      <c r="H1897" t="s">
        <v>74</v>
      </c>
      <c r="I1897" t="s">
        <v>20146</v>
      </c>
      <c r="J1897" t="s">
        <v>1963</v>
      </c>
      <c r="K1897" t="s">
        <v>74</v>
      </c>
      <c r="L1897" t="s">
        <v>74</v>
      </c>
      <c r="M1897" t="s">
        <v>78</v>
      </c>
      <c r="N1897" t="s">
        <v>79</v>
      </c>
      <c r="O1897" t="s">
        <v>74</v>
      </c>
      <c r="P1897" t="s">
        <v>74</v>
      </c>
      <c r="Q1897" t="s">
        <v>74</v>
      </c>
      <c r="R1897" t="s">
        <v>74</v>
      </c>
      <c r="S1897" t="s">
        <v>74</v>
      </c>
      <c r="T1897" t="s">
        <v>20145</v>
      </c>
      <c r="U1897" t="s">
        <v>20144</v>
      </c>
      <c r="V1897" t="s">
        <v>20143</v>
      </c>
      <c r="W1897" t="s">
        <v>20142</v>
      </c>
      <c r="X1897" t="s">
        <v>20141</v>
      </c>
      <c r="Y1897" t="s">
        <v>20140</v>
      </c>
      <c r="Z1897" t="s">
        <v>20139</v>
      </c>
      <c r="AA1897" t="s">
        <v>74</v>
      </c>
      <c r="AB1897" t="s">
        <v>74</v>
      </c>
      <c r="AC1897" t="s">
        <v>74</v>
      </c>
      <c r="AD1897" t="s">
        <v>74</v>
      </c>
      <c r="AE1897" t="s">
        <v>74</v>
      </c>
      <c r="AF1897" t="s">
        <v>74</v>
      </c>
      <c r="AG1897">
        <v>91</v>
      </c>
      <c r="AH1897">
        <v>51</v>
      </c>
      <c r="AI1897">
        <v>73</v>
      </c>
      <c r="AJ1897">
        <v>6</v>
      </c>
      <c r="AK1897">
        <v>92</v>
      </c>
      <c r="AL1897" t="s">
        <v>332</v>
      </c>
      <c r="AM1897" t="s">
        <v>333</v>
      </c>
      <c r="AN1897" t="s">
        <v>334</v>
      </c>
      <c r="AO1897" t="s">
        <v>1975</v>
      </c>
      <c r="AP1897" t="s">
        <v>1976</v>
      </c>
      <c r="AQ1897" t="s">
        <v>74</v>
      </c>
      <c r="AR1897" t="s">
        <v>1977</v>
      </c>
      <c r="AS1897" t="s">
        <v>1978</v>
      </c>
      <c r="AT1897" t="s">
        <v>74</v>
      </c>
      <c r="AU1897">
        <v>2018</v>
      </c>
      <c r="AV1897">
        <v>50</v>
      </c>
      <c r="AW1897">
        <v>14</v>
      </c>
      <c r="AX1897" t="s">
        <v>74</v>
      </c>
      <c r="AY1897" t="s">
        <v>74</v>
      </c>
      <c r="AZ1897" t="s">
        <v>74</v>
      </c>
      <c r="BA1897" t="s">
        <v>74</v>
      </c>
      <c r="BB1897">
        <v>1555</v>
      </c>
      <c r="BC1897">
        <v>1577</v>
      </c>
      <c r="BD1897" t="s">
        <v>74</v>
      </c>
      <c r="BE1897" t="s">
        <v>20138</v>
      </c>
      <c r="BF1897" t="str">
        <f>HYPERLINK("http://dx.doi.org/10.1080/00036846.2017.1368990","http://dx.doi.org/10.1080/00036846.2017.1368990")</f>
        <v>http://dx.doi.org/10.1080/00036846.2017.1368990</v>
      </c>
      <c r="BG1897" t="s">
        <v>74</v>
      </c>
      <c r="BH1897" t="s">
        <v>74</v>
      </c>
      <c r="BI1897">
        <v>23</v>
      </c>
      <c r="BJ1897" t="s">
        <v>291</v>
      </c>
      <c r="BK1897" t="s">
        <v>99</v>
      </c>
      <c r="BL1897" t="s">
        <v>100</v>
      </c>
      <c r="BM1897" t="s">
        <v>20137</v>
      </c>
      <c r="BN1897" t="s">
        <v>74</v>
      </c>
      <c r="BO1897" t="s">
        <v>74</v>
      </c>
      <c r="BP1897" t="s">
        <v>74</v>
      </c>
      <c r="BQ1897" t="s">
        <v>74</v>
      </c>
      <c r="BR1897" t="s">
        <v>102</v>
      </c>
      <c r="BS1897" t="s">
        <v>20136</v>
      </c>
      <c r="BT1897" t="str">
        <f>HYPERLINK("https%3A%2F%2Fwww.webofscience.com%2Fwos%2Fwoscc%2Ffull-record%2FWOS:000427203200003","View Full Record in Web of Science")</f>
        <v>View Full Record in Web of Science</v>
      </c>
    </row>
    <row r="1898" spans="1:72" x14ac:dyDescent="0.25">
      <c r="A1898" t="s">
        <v>72</v>
      </c>
      <c r="B1898" t="s">
        <v>20135</v>
      </c>
      <c r="C1898" t="s">
        <v>74</v>
      </c>
      <c r="D1898" t="s">
        <v>74</v>
      </c>
      <c r="E1898" t="s">
        <v>74</v>
      </c>
      <c r="F1898" t="s">
        <v>20134</v>
      </c>
      <c r="G1898" t="s">
        <v>74</v>
      </c>
      <c r="H1898" t="s">
        <v>74</v>
      </c>
      <c r="I1898" t="s">
        <v>20133</v>
      </c>
      <c r="J1898" t="s">
        <v>3056</v>
      </c>
      <c r="K1898" t="s">
        <v>74</v>
      </c>
      <c r="L1898" t="s">
        <v>74</v>
      </c>
      <c r="M1898" t="s">
        <v>78</v>
      </c>
      <c r="N1898" t="s">
        <v>79</v>
      </c>
      <c r="O1898" t="s">
        <v>74</v>
      </c>
      <c r="P1898" t="s">
        <v>74</v>
      </c>
      <c r="Q1898" t="s">
        <v>74</v>
      </c>
      <c r="R1898" t="s">
        <v>74</v>
      </c>
      <c r="S1898" t="s">
        <v>74</v>
      </c>
      <c r="T1898" t="s">
        <v>20132</v>
      </c>
      <c r="U1898" t="s">
        <v>2945</v>
      </c>
      <c r="V1898" t="s">
        <v>20131</v>
      </c>
      <c r="W1898" t="s">
        <v>20130</v>
      </c>
      <c r="X1898" t="s">
        <v>20129</v>
      </c>
      <c r="Y1898" t="s">
        <v>20128</v>
      </c>
      <c r="Z1898" t="s">
        <v>20127</v>
      </c>
      <c r="AA1898" t="s">
        <v>74</v>
      </c>
      <c r="AB1898" t="s">
        <v>20126</v>
      </c>
      <c r="AC1898" t="s">
        <v>74</v>
      </c>
      <c r="AD1898" t="s">
        <v>74</v>
      </c>
      <c r="AE1898" t="s">
        <v>74</v>
      </c>
      <c r="AF1898" t="s">
        <v>74</v>
      </c>
      <c r="AG1898">
        <v>43</v>
      </c>
      <c r="AH1898">
        <v>0</v>
      </c>
      <c r="AI1898">
        <v>1</v>
      </c>
      <c r="AJ1898">
        <v>1</v>
      </c>
      <c r="AK1898">
        <v>2</v>
      </c>
      <c r="AL1898" t="s">
        <v>3064</v>
      </c>
      <c r="AM1898" t="s">
        <v>3065</v>
      </c>
      <c r="AN1898" t="s">
        <v>3066</v>
      </c>
      <c r="AO1898" t="s">
        <v>3067</v>
      </c>
      <c r="AP1898" t="s">
        <v>3068</v>
      </c>
      <c r="AQ1898" t="s">
        <v>74</v>
      </c>
      <c r="AR1898" t="s">
        <v>3069</v>
      </c>
      <c r="AS1898" t="s">
        <v>3070</v>
      </c>
      <c r="AT1898" t="s">
        <v>1652</v>
      </c>
      <c r="AU1898">
        <v>2024</v>
      </c>
      <c r="AV1898">
        <v>20</v>
      </c>
      <c r="AW1898">
        <v>2</v>
      </c>
      <c r="AX1898" t="s">
        <v>74</v>
      </c>
      <c r="AY1898" t="s">
        <v>74</v>
      </c>
      <c r="AZ1898" t="s">
        <v>74</v>
      </c>
      <c r="BA1898" t="s">
        <v>74</v>
      </c>
      <c r="BB1898" t="s">
        <v>74</v>
      </c>
      <c r="BC1898" t="s">
        <v>74</v>
      </c>
      <c r="BD1898" t="s">
        <v>74</v>
      </c>
      <c r="BE1898" t="s">
        <v>20125</v>
      </c>
      <c r="BF1898" t="str">
        <f>HYPERLINK("http://dx.doi.org/10.35716/IJED-22479","http://dx.doi.org/10.35716/IJED-22479")</f>
        <v>http://dx.doi.org/10.35716/IJED-22479</v>
      </c>
      <c r="BG1898" t="s">
        <v>74</v>
      </c>
      <c r="BH1898" t="s">
        <v>74</v>
      </c>
      <c r="BI1898">
        <v>218</v>
      </c>
      <c r="BJ1898" t="s">
        <v>291</v>
      </c>
      <c r="BK1898" t="s">
        <v>313</v>
      </c>
      <c r="BL1898" t="s">
        <v>100</v>
      </c>
      <c r="BM1898" t="s">
        <v>20124</v>
      </c>
      <c r="BN1898" t="s">
        <v>74</v>
      </c>
      <c r="BO1898" t="s">
        <v>74</v>
      </c>
      <c r="BP1898" t="s">
        <v>74</v>
      </c>
      <c r="BQ1898" t="s">
        <v>74</v>
      </c>
      <c r="BR1898" t="s">
        <v>102</v>
      </c>
      <c r="BS1898" t="s">
        <v>20123</v>
      </c>
      <c r="BT1898" t="str">
        <f>HYPERLINK("https%3A%2F%2Fwww.webofscience.com%2Fwos%2Fwoscc%2Ffull-record%2FWOS:001421095000015","View Full Record in Web of Science")</f>
        <v>View Full Record in Web of Science</v>
      </c>
    </row>
    <row r="1899" spans="1:72" x14ac:dyDescent="0.25">
      <c r="A1899" t="s">
        <v>72</v>
      </c>
      <c r="B1899" t="s">
        <v>20122</v>
      </c>
      <c r="C1899" t="s">
        <v>74</v>
      </c>
      <c r="D1899" t="s">
        <v>74</v>
      </c>
      <c r="E1899" t="s">
        <v>74</v>
      </c>
      <c r="F1899" t="s">
        <v>20121</v>
      </c>
      <c r="G1899" t="s">
        <v>74</v>
      </c>
      <c r="H1899" t="s">
        <v>74</v>
      </c>
      <c r="I1899" t="s">
        <v>20120</v>
      </c>
      <c r="J1899" t="s">
        <v>16089</v>
      </c>
      <c r="K1899" t="s">
        <v>74</v>
      </c>
      <c r="L1899" t="s">
        <v>74</v>
      </c>
      <c r="M1899" t="s">
        <v>78</v>
      </c>
      <c r="N1899" t="s">
        <v>79</v>
      </c>
      <c r="O1899" t="s">
        <v>74</v>
      </c>
      <c r="P1899" t="s">
        <v>74</v>
      </c>
      <c r="Q1899" t="s">
        <v>74</v>
      </c>
      <c r="R1899" t="s">
        <v>74</v>
      </c>
      <c r="S1899" t="s">
        <v>74</v>
      </c>
      <c r="T1899" t="s">
        <v>74</v>
      </c>
      <c r="U1899" t="s">
        <v>20119</v>
      </c>
      <c r="V1899" t="s">
        <v>20118</v>
      </c>
      <c r="W1899" t="s">
        <v>20117</v>
      </c>
      <c r="X1899" t="s">
        <v>20116</v>
      </c>
      <c r="Y1899" t="s">
        <v>20115</v>
      </c>
      <c r="Z1899" t="s">
        <v>20114</v>
      </c>
      <c r="AA1899" t="s">
        <v>20113</v>
      </c>
      <c r="AB1899" t="s">
        <v>20112</v>
      </c>
      <c r="AC1899" t="s">
        <v>74</v>
      </c>
      <c r="AD1899" t="s">
        <v>74</v>
      </c>
      <c r="AE1899" t="s">
        <v>74</v>
      </c>
      <c r="AF1899" t="s">
        <v>74</v>
      </c>
      <c r="AG1899">
        <v>51</v>
      </c>
      <c r="AH1899">
        <v>22</v>
      </c>
      <c r="AI1899">
        <v>28</v>
      </c>
      <c r="AJ1899">
        <v>0</v>
      </c>
      <c r="AK1899">
        <v>61</v>
      </c>
      <c r="AL1899" t="s">
        <v>16099</v>
      </c>
      <c r="AM1899" t="s">
        <v>16100</v>
      </c>
      <c r="AN1899" t="s">
        <v>16101</v>
      </c>
      <c r="AO1899" t="s">
        <v>16102</v>
      </c>
      <c r="AP1899" t="s">
        <v>16103</v>
      </c>
      <c r="AQ1899" t="s">
        <v>74</v>
      </c>
      <c r="AR1899" t="s">
        <v>16104</v>
      </c>
      <c r="AS1899" t="s">
        <v>16105</v>
      </c>
      <c r="AT1899" t="s">
        <v>605</v>
      </c>
      <c r="AU1899">
        <v>2017</v>
      </c>
      <c r="AV1899">
        <v>26</v>
      </c>
      <c r="AW1899">
        <v>2</v>
      </c>
      <c r="AX1899" t="s">
        <v>74</v>
      </c>
      <c r="AY1899" t="s">
        <v>74</v>
      </c>
      <c r="AZ1899" t="s">
        <v>441</v>
      </c>
      <c r="BA1899" t="s">
        <v>74</v>
      </c>
      <c r="BB1899">
        <v>193</v>
      </c>
      <c r="BC1899">
        <v>212</v>
      </c>
      <c r="BD1899" t="s">
        <v>74</v>
      </c>
      <c r="BE1899" t="s">
        <v>20111</v>
      </c>
      <c r="BF1899" t="str">
        <f>HYPERLINK("http://dx.doi.org/10.1002/jsc.2120","http://dx.doi.org/10.1002/jsc.2120")</f>
        <v>http://dx.doi.org/10.1002/jsc.2120</v>
      </c>
      <c r="BG1899" t="s">
        <v>74</v>
      </c>
      <c r="BH1899" t="s">
        <v>74</v>
      </c>
      <c r="BI1899">
        <v>20</v>
      </c>
      <c r="BJ1899" t="s">
        <v>268</v>
      </c>
      <c r="BK1899" t="s">
        <v>313</v>
      </c>
      <c r="BL1899" t="s">
        <v>100</v>
      </c>
      <c r="BM1899" t="s">
        <v>20110</v>
      </c>
      <c r="BN1899" t="s">
        <v>74</v>
      </c>
      <c r="BO1899" t="s">
        <v>74</v>
      </c>
      <c r="BP1899" t="s">
        <v>74</v>
      </c>
      <c r="BQ1899" t="s">
        <v>74</v>
      </c>
      <c r="BR1899" t="s">
        <v>102</v>
      </c>
      <c r="BS1899" t="s">
        <v>20109</v>
      </c>
      <c r="BT1899" t="str">
        <f>HYPERLINK("https%3A%2F%2Fwww.webofscience.com%2Fwos%2Fwoscc%2Ffull-record%2FWOS:000397470300009","View Full Record in Web of Science")</f>
        <v>View Full Record in Web of Science</v>
      </c>
    </row>
    <row r="1900" spans="1:72" x14ac:dyDescent="0.25">
      <c r="A1900" t="s">
        <v>72</v>
      </c>
      <c r="B1900" t="s">
        <v>20108</v>
      </c>
      <c r="C1900" t="s">
        <v>74</v>
      </c>
      <c r="D1900" t="s">
        <v>74</v>
      </c>
      <c r="E1900" t="s">
        <v>74</v>
      </c>
      <c r="F1900" t="s">
        <v>20107</v>
      </c>
      <c r="G1900" t="s">
        <v>74</v>
      </c>
      <c r="H1900" t="s">
        <v>74</v>
      </c>
      <c r="I1900" t="s">
        <v>20106</v>
      </c>
      <c r="J1900" t="s">
        <v>900</v>
      </c>
      <c r="K1900" t="s">
        <v>74</v>
      </c>
      <c r="L1900" t="s">
        <v>74</v>
      </c>
      <c r="M1900" t="s">
        <v>78</v>
      </c>
      <c r="N1900" t="s">
        <v>79</v>
      </c>
      <c r="O1900" t="s">
        <v>74</v>
      </c>
      <c r="P1900" t="s">
        <v>74</v>
      </c>
      <c r="Q1900" t="s">
        <v>74</v>
      </c>
      <c r="R1900" t="s">
        <v>74</v>
      </c>
      <c r="S1900" t="s">
        <v>74</v>
      </c>
      <c r="T1900" t="s">
        <v>20105</v>
      </c>
      <c r="U1900" t="s">
        <v>20104</v>
      </c>
      <c r="V1900" t="s">
        <v>20103</v>
      </c>
      <c r="W1900" t="s">
        <v>20102</v>
      </c>
      <c r="X1900" t="s">
        <v>20101</v>
      </c>
      <c r="Y1900" t="s">
        <v>20100</v>
      </c>
      <c r="Z1900" t="s">
        <v>20099</v>
      </c>
      <c r="AA1900" t="s">
        <v>20098</v>
      </c>
      <c r="AB1900" t="s">
        <v>74</v>
      </c>
      <c r="AC1900" t="s">
        <v>74</v>
      </c>
      <c r="AD1900" t="s">
        <v>74</v>
      </c>
      <c r="AE1900" t="s">
        <v>74</v>
      </c>
      <c r="AF1900" t="s">
        <v>74</v>
      </c>
      <c r="AG1900">
        <v>76</v>
      </c>
      <c r="AH1900">
        <v>0</v>
      </c>
      <c r="AI1900">
        <v>1</v>
      </c>
      <c r="AJ1900">
        <v>6</v>
      </c>
      <c r="AK1900">
        <v>6</v>
      </c>
      <c r="AL1900" t="s">
        <v>575</v>
      </c>
      <c r="AM1900" t="s">
        <v>576</v>
      </c>
      <c r="AN1900" t="s">
        <v>577</v>
      </c>
      <c r="AO1900" t="s">
        <v>74</v>
      </c>
      <c r="AP1900" t="s">
        <v>4045</v>
      </c>
      <c r="AQ1900" t="s">
        <v>74</v>
      </c>
      <c r="AR1900" t="s">
        <v>4046</v>
      </c>
      <c r="AS1900" t="s">
        <v>4047</v>
      </c>
      <c r="AT1900" t="s">
        <v>20097</v>
      </c>
      <c r="AU1900">
        <v>2025</v>
      </c>
      <c r="AV1900">
        <v>4</v>
      </c>
      <c r="AW1900">
        <v>3</v>
      </c>
      <c r="AX1900" t="s">
        <v>74</v>
      </c>
      <c r="AY1900" t="s">
        <v>74</v>
      </c>
      <c r="AZ1900" t="s">
        <v>74</v>
      </c>
      <c r="BA1900" t="s">
        <v>74</v>
      </c>
      <c r="BB1900" t="s">
        <v>74</v>
      </c>
      <c r="BC1900" t="s">
        <v>74</v>
      </c>
      <c r="BD1900">
        <v>36</v>
      </c>
      <c r="BE1900" t="s">
        <v>20096</v>
      </c>
      <c r="BF1900" t="str">
        <f>HYPERLINK("http://dx.doi.org/10.3390/fintech4030036","http://dx.doi.org/10.3390/fintech4030036")</f>
        <v>http://dx.doi.org/10.3390/fintech4030036</v>
      </c>
      <c r="BG1900" t="s">
        <v>74</v>
      </c>
      <c r="BH1900" t="s">
        <v>74</v>
      </c>
      <c r="BI1900">
        <v>24</v>
      </c>
      <c r="BJ1900" t="s">
        <v>4049</v>
      </c>
      <c r="BK1900" t="s">
        <v>313</v>
      </c>
      <c r="BL1900" t="s">
        <v>1070</v>
      </c>
      <c r="BM1900" t="s">
        <v>20095</v>
      </c>
      <c r="BN1900" t="s">
        <v>74</v>
      </c>
      <c r="BO1900" t="s">
        <v>212</v>
      </c>
      <c r="BP1900" t="s">
        <v>74</v>
      </c>
      <c r="BQ1900" t="s">
        <v>74</v>
      </c>
      <c r="BR1900" t="s">
        <v>102</v>
      </c>
      <c r="BS1900" t="s">
        <v>20094</v>
      </c>
      <c r="BT1900" t="str">
        <f>HYPERLINK("https%3A%2F%2Fwww.webofscience.com%2Fwos%2Fwoscc%2Ffull-record%2FWOS:001580931300001","View Full Record in Web of Science")</f>
        <v>View Full Record in Web of Science</v>
      </c>
    </row>
    <row r="1901" spans="1:72" x14ac:dyDescent="0.25">
      <c r="A1901" t="s">
        <v>72</v>
      </c>
      <c r="B1901" t="s">
        <v>20093</v>
      </c>
      <c r="C1901" t="s">
        <v>74</v>
      </c>
      <c r="D1901" t="s">
        <v>74</v>
      </c>
      <c r="E1901" t="s">
        <v>74</v>
      </c>
      <c r="F1901" t="s">
        <v>20092</v>
      </c>
      <c r="G1901" t="s">
        <v>74</v>
      </c>
      <c r="H1901" t="s">
        <v>74</v>
      </c>
      <c r="I1901" t="s">
        <v>20091</v>
      </c>
      <c r="J1901" t="s">
        <v>20090</v>
      </c>
      <c r="K1901" t="s">
        <v>74</v>
      </c>
      <c r="L1901" t="s">
        <v>74</v>
      </c>
      <c r="M1901" t="s">
        <v>78</v>
      </c>
      <c r="N1901" t="s">
        <v>79</v>
      </c>
      <c r="O1901" t="s">
        <v>74</v>
      </c>
      <c r="P1901" t="s">
        <v>74</v>
      </c>
      <c r="Q1901" t="s">
        <v>74</v>
      </c>
      <c r="R1901" t="s">
        <v>74</v>
      </c>
      <c r="S1901" t="s">
        <v>74</v>
      </c>
      <c r="T1901" t="s">
        <v>74</v>
      </c>
      <c r="U1901" t="s">
        <v>20089</v>
      </c>
      <c r="V1901" t="s">
        <v>20088</v>
      </c>
      <c r="W1901" t="s">
        <v>20087</v>
      </c>
      <c r="X1901" t="s">
        <v>20086</v>
      </c>
      <c r="Y1901" t="s">
        <v>20085</v>
      </c>
      <c r="Z1901" t="s">
        <v>20084</v>
      </c>
      <c r="AA1901" t="s">
        <v>74</v>
      </c>
      <c r="AB1901" t="s">
        <v>20083</v>
      </c>
      <c r="AC1901" t="s">
        <v>20082</v>
      </c>
      <c r="AD1901" t="s">
        <v>20081</v>
      </c>
      <c r="AE1901" t="s">
        <v>20080</v>
      </c>
      <c r="AF1901" t="s">
        <v>74</v>
      </c>
      <c r="AG1901">
        <v>40</v>
      </c>
      <c r="AH1901">
        <v>27</v>
      </c>
      <c r="AI1901">
        <v>32</v>
      </c>
      <c r="AJ1901">
        <v>1</v>
      </c>
      <c r="AK1901">
        <v>22</v>
      </c>
      <c r="AL1901" t="s">
        <v>20079</v>
      </c>
      <c r="AM1901" t="s">
        <v>20078</v>
      </c>
      <c r="AN1901" t="s">
        <v>20077</v>
      </c>
      <c r="AO1901" t="s">
        <v>20076</v>
      </c>
      <c r="AP1901" t="s">
        <v>20075</v>
      </c>
      <c r="AQ1901" t="s">
        <v>74</v>
      </c>
      <c r="AR1901" t="s">
        <v>20074</v>
      </c>
      <c r="AS1901" t="s">
        <v>20073</v>
      </c>
      <c r="AT1901" t="s">
        <v>605</v>
      </c>
      <c r="AU1901">
        <v>2022</v>
      </c>
      <c r="AV1901">
        <v>57</v>
      </c>
      <c r="AW1901">
        <v>2</v>
      </c>
      <c r="AX1901" t="s">
        <v>74</v>
      </c>
      <c r="AY1901" t="s">
        <v>74</v>
      </c>
      <c r="AZ1901" t="s">
        <v>74</v>
      </c>
      <c r="BA1901" t="s">
        <v>74</v>
      </c>
      <c r="BB1901">
        <v>435</v>
      </c>
      <c r="BC1901">
        <v>464</v>
      </c>
      <c r="BD1901" t="s">
        <v>74</v>
      </c>
      <c r="BE1901" t="s">
        <v>20072</v>
      </c>
      <c r="BF1901" t="str">
        <f>HYPERLINK("http://dx.doi.org/10.3368/jhr.57.2.1018-9796R1","http://dx.doi.org/10.3368/jhr.57.2.1018-9796R1")</f>
        <v>http://dx.doi.org/10.3368/jhr.57.2.1018-9796R1</v>
      </c>
      <c r="BG1901" t="s">
        <v>74</v>
      </c>
      <c r="BH1901" t="s">
        <v>74</v>
      </c>
      <c r="BI1901">
        <v>31</v>
      </c>
      <c r="BJ1901" t="s">
        <v>20071</v>
      </c>
      <c r="BK1901" t="s">
        <v>99</v>
      </c>
      <c r="BL1901" t="s">
        <v>100</v>
      </c>
      <c r="BM1901" t="s">
        <v>20070</v>
      </c>
      <c r="BN1901" t="s">
        <v>74</v>
      </c>
      <c r="BO1901" t="s">
        <v>466</v>
      </c>
      <c r="BP1901" t="s">
        <v>74</v>
      </c>
      <c r="BQ1901" t="s">
        <v>74</v>
      </c>
      <c r="BR1901" t="s">
        <v>102</v>
      </c>
      <c r="BS1901" t="s">
        <v>20069</v>
      </c>
      <c r="BT1901" t="str">
        <f>HYPERLINK("https%3A%2F%2Fwww.webofscience.com%2Fwos%2Fwoscc%2Ffull-record%2FWOS:000766779800004","View Full Record in Web of Science")</f>
        <v>View Full Record in Web of Science</v>
      </c>
    </row>
    <row r="1902" spans="1:72" x14ac:dyDescent="0.25">
      <c r="A1902" t="s">
        <v>72</v>
      </c>
      <c r="B1902" t="s">
        <v>20068</v>
      </c>
      <c r="C1902" t="s">
        <v>74</v>
      </c>
      <c r="D1902" t="s">
        <v>74</v>
      </c>
      <c r="E1902" t="s">
        <v>74</v>
      </c>
      <c r="F1902" t="s">
        <v>20067</v>
      </c>
      <c r="G1902" t="s">
        <v>74</v>
      </c>
      <c r="H1902" t="s">
        <v>74</v>
      </c>
      <c r="I1902" t="s">
        <v>20066</v>
      </c>
      <c r="J1902" t="s">
        <v>16089</v>
      </c>
      <c r="K1902" t="s">
        <v>74</v>
      </c>
      <c r="L1902" t="s">
        <v>74</v>
      </c>
      <c r="M1902" t="s">
        <v>78</v>
      </c>
      <c r="N1902" t="s">
        <v>79</v>
      </c>
      <c r="O1902" t="s">
        <v>74</v>
      </c>
      <c r="P1902" t="s">
        <v>74</v>
      </c>
      <c r="Q1902" t="s">
        <v>74</v>
      </c>
      <c r="R1902" t="s">
        <v>74</v>
      </c>
      <c r="S1902" t="s">
        <v>74</v>
      </c>
      <c r="T1902" t="s">
        <v>74</v>
      </c>
      <c r="U1902" t="s">
        <v>74</v>
      </c>
      <c r="V1902" t="s">
        <v>20065</v>
      </c>
      <c r="W1902" t="s">
        <v>20064</v>
      </c>
      <c r="X1902" t="s">
        <v>20063</v>
      </c>
      <c r="Y1902" t="s">
        <v>20062</v>
      </c>
      <c r="Z1902" t="s">
        <v>20061</v>
      </c>
      <c r="AA1902" t="s">
        <v>20060</v>
      </c>
      <c r="AB1902" t="s">
        <v>74</v>
      </c>
      <c r="AC1902" t="s">
        <v>20059</v>
      </c>
      <c r="AD1902" t="s">
        <v>20058</v>
      </c>
      <c r="AE1902" t="s">
        <v>20057</v>
      </c>
      <c r="AF1902" t="s">
        <v>74</v>
      </c>
      <c r="AG1902">
        <v>23</v>
      </c>
      <c r="AH1902">
        <v>7</v>
      </c>
      <c r="AI1902">
        <v>9</v>
      </c>
      <c r="AJ1902">
        <v>0</v>
      </c>
      <c r="AK1902">
        <v>8</v>
      </c>
      <c r="AL1902" t="s">
        <v>16099</v>
      </c>
      <c r="AM1902" t="s">
        <v>16100</v>
      </c>
      <c r="AN1902" t="s">
        <v>16101</v>
      </c>
      <c r="AO1902" t="s">
        <v>16102</v>
      </c>
      <c r="AP1902" t="s">
        <v>16103</v>
      </c>
      <c r="AQ1902" t="s">
        <v>74</v>
      </c>
      <c r="AR1902" t="s">
        <v>16104</v>
      </c>
      <c r="AS1902" t="s">
        <v>16105</v>
      </c>
      <c r="AT1902" t="s">
        <v>891</v>
      </c>
      <c r="AU1902">
        <v>2017</v>
      </c>
      <c r="AV1902">
        <v>26</v>
      </c>
      <c r="AW1902">
        <v>6</v>
      </c>
      <c r="AX1902" t="s">
        <v>74</v>
      </c>
      <c r="AY1902" t="s">
        <v>74</v>
      </c>
      <c r="AZ1902" t="s">
        <v>441</v>
      </c>
      <c r="BA1902" t="s">
        <v>74</v>
      </c>
      <c r="BB1902">
        <v>555</v>
      </c>
      <c r="BC1902">
        <v>562</v>
      </c>
      <c r="BD1902" t="s">
        <v>74</v>
      </c>
      <c r="BE1902" t="s">
        <v>20056</v>
      </c>
      <c r="BF1902" t="str">
        <f>HYPERLINK("http://dx.doi.org/10.1002/jsc.2166","http://dx.doi.org/10.1002/jsc.2166")</f>
        <v>http://dx.doi.org/10.1002/jsc.2166</v>
      </c>
      <c r="BG1902" t="s">
        <v>74</v>
      </c>
      <c r="BH1902" t="s">
        <v>74</v>
      </c>
      <c r="BI1902">
        <v>8</v>
      </c>
      <c r="BJ1902" t="s">
        <v>268</v>
      </c>
      <c r="BK1902" t="s">
        <v>313</v>
      </c>
      <c r="BL1902" t="s">
        <v>100</v>
      </c>
      <c r="BM1902" t="s">
        <v>20055</v>
      </c>
      <c r="BN1902" t="s">
        <v>74</v>
      </c>
      <c r="BO1902" t="s">
        <v>74</v>
      </c>
      <c r="BP1902" t="s">
        <v>74</v>
      </c>
      <c r="BQ1902" t="s">
        <v>74</v>
      </c>
      <c r="BR1902" t="s">
        <v>102</v>
      </c>
      <c r="BS1902" t="s">
        <v>20054</v>
      </c>
      <c r="BT1902" t="str">
        <f>HYPERLINK("https%3A%2F%2Fwww.webofscience.com%2Fwos%2Fwoscc%2Ffull-record%2FWOS:000415925100003","View Full Record in Web of Science")</f>
        <v>View Full Record in Web of Science</v>
      </c>
    </row>
    <row r="1903" spans="1:72" x14ac:dyDescent="0.25">
      <c r="A1903" t="s">
        <v>72</v>
      </c>
      <c r="B1903" t="s">
        <v>20053</v>
      </c>
      <c r="C1903" t="s">
        <v>74</v>
      </c>
      <c r="D1903" t="s">
        <v>74</v>
      </c>
      <c r="E1903" t="s">
        <v>74</v>
      </c>
      <c r="F1903" t="s">
        <v>20052</v>
      </c>
      <c r="G1903" t="s">
        <v>74</v>
      </c>
      <c r="H1903" t="s">
        <v>74</v>
      </c>
      <c r="I1903" t="s">
        <v>20051</v>
      </c>
      <c r="J1903" t="s">
        <v>4822</v>
      </c>
      <c r="K1903" t="s">
        <v>74</v>
      </c>
      <c r="L1903" t="s">
        <v>74</v>
      </c>
      <c r="M1903" t="s">
        <v>78</v>
      </c>
      <c r="N1903" t="s">
        <v>79</v>
      </c>
      <c r="O1903" t="s">
        <v>74</v>
      </c>
      <c r="P1903" t="s">
        <v>74</v>
      </c>
      <c r="Q1903" t="s">
        <v>74</v>
      </c>
      <c r="R1903" t="s">
        <v>74</v>
      </c>
      <c r="S1903" t="s">
        <v>74</v>
      </c>
      <c r="T1903" t="s">
        <v>20050</v>
      </c>
      <c r="U1903" t="s">
        <v>20049</v>
      </c>
      <c r="V1903" t="s">
        <v>20048</v>
      </c>
      <c r="W1903" t="s">
        <v>20047</v>
      </c>
      <c r="X1903" t="s">
        <v>20046</v>
      </c>
      <c r="Y1903" t="s">
        <v>20045</v>
      </c>
      <c r="Z1903" t="s">
        <v>20044</v>
      </c>
      <c r="AA1903" t="s">
        <v>74</v>
      </c>
      <c r="AB1903" t="s">
        <v>74</v>
      </c>
      <c r="AC1903" t="s">
        <v>20043</v>
      </c>
      <c r="AD1903" t="s">
        <v>20042</v>
      </c>
      <c r="AE1903" t="s">
        <v>20041</v>
      </c>
      <c r="AF1903" t="s">
        <v>74</v>
      </c>
      <c r="AG1903">
        <v>80</v>
      </c>
      <c r="AH1903">
        <v>1</v>
      </c>
      <c r="AI1903">
        <v>1</v>
      </c>
      <c r="AJ1903">
        <v>20</v>
      </c>
      <c r="AK1903">
        <v>50</v>
      </c>
      <c r="AL1903" t="s">
        <v>201</v>
      </c>
      <c r="AM1903" t="s">
        <v>202</v>
      </c>
      <c r="AN1903" t="s">
        <v>203</v>
      </c>
      <c r="AO1903" t="s">
        <v>4833</v>
      </c>
      <c r="AP1903" t="s">
        <v>74</v>
      </c>
      <c r="AQ1903" t="s">
        <v>74</v>
      </c>
      <c r="AR1903" t="s">
        <v>4834</v>
      </c>
      <c r="AS1903" t="s">
        <v>4835</v>
      </c>
      <c r="AT1903" t="s">
        <v>124</v>
      </c>
      <c r="AU1903">
        <v>2024</v>
      </c>
      <c r="AV1903">
        <v>84</v>
      </c>
      <c r="AW1903" t="s">
        <v>74</v>
      </c>
      <c r="AX1903" t="s">
        <v>74</v>
      </c>
      <c r="AY1903" t="s">
        <v>74</v>
      </c>
      <c r="AZ1903" t="s">
        <v>74</v>
      </c>
      <c r="BA1903" t="s">
        <v>74</v>
      </c>
      <c r="BB1903">
        <v>521</v>
      </c>
      <c r="BC1903">
        <v>544</v>
      </c>
      <c r="BD1903" t="s">
        <v>74</v>
      </c>
      <c r="BE1903" t="s">
        <v>20040</v>
      </c>
      <c r="BF1903" t="str">
        <f>HYPERLINK("http://dx.doi.org/10.1016/j.eap.2024.09.010","http://dx.doi.org/10.1016/j.eap.2024.09.010")</f>
        <v>http://dx.doi.org/10.1016/j.eap.2024.09.010</v>
      </c>
      <c r="BG1903" t="s">
        <v>74</v>
      </c>
      <c r="BH1903" t="s">
        <v>9389</v>
      </c>
      <c r="BI1903">
        <v>24</v>
      </c>
      <c r="BJ1903" t="s">
        <v>291</v>
      </c>
      <c r="BK1903" t="s">
        <v>99</v>
      </c>
      <c r="BL1903" t="s">
        <v>100</v>
      </c>
      <c r="BM1903" t="s">
        <v>20039</v>
      </c>
      <c r="BN1903" t="s">
        <v>74</v>
      </c>
      <c r="BO1903" t="s">
        <v>74</v>
      </c>
      <c r="BP1903" t="s">
        <v>74</v>
      </c>
      <c r="BQ1903" t="s">
        <v>74</v>
      </c>
      <c r="BR1903" t="s">
        <v>102</v>
      </c>
      <c r="BS1903" t="s">
        <v>20038</v>
      </c>
      <c r="BT1903" t="str">
        <f>HYPERLINK("https%3A%2F%2Fwww.webofscience.com%2Fwos%2Fwoscc%2Ffull-record%2FWOS:001317755400001","View Full Record in Web of Science")</f>
        <v>View Full Record in Web of Science</v>
      </c>
    </row>
    <row r="1904" spans="1:72" x14ac:dyDescent="0.25">
      <c r="A1904" t="s">
        <v>72</v>
      </c>
      <c r="B1904" t="s">
        <v>20037</v>
      </c>
      <c r="C1904" t="s">
        <v>74</v>
      </c>
      <c r="D1904" t="s">
        <v>74</v>
      </c>
      <c r="E1904" t="s">
        <v>74</v>
      </c>
      <c r="F1904" t="s">
        <v>20036</v>
      </c>
      <c r="G1904" t="s">
        <v>74</v>
      </c>
      <c r="H1904" t="s">
        <v>74</v>
      </c>
      <c r="I1904" t="s">
        <v>20035</v>
      </c>
      <c r="J1904" t="s">
        <v>3397</v>
      </c>
      <c r="K1904" t="s">
        <v>74</v>
      </c>
      <c r="L1904" t="s">
        <v>74</v>
      </c>
      <c r="M1904" t="s">
        <v>78</v>
      </c>
      <c r="N1904" t="s">
        <v>79</v>
      </c>
      <c r="O1904" t="s">
        <v>74</v>
      </c>
      <c r="P1904" t="s">
        <v>74</v>
      </c>
      <c r="Q1904" t="s">
        <v>74</v>
      </c>
      <c r="R1904" t="s">
        <v>74</v>
      </c>
      <c r="S1904" t="s">
        <v>74</v>
      </c>
      <c r="T1904" t="s">
        <v>20034</v>
      </c>
      <c r="U1904" t="s">
        <v>20033</v>
      </c>
      <c r="V1904" t="s">
        <v>20032</v>
      </c>
      <c r="W1904" t="s">
        <v>20031</v>
      </c>
      <c r="X1904" t="s">
        <v>20030</v>
      </c>
      <c r="Y1904" t="s">
        <v>20029</v>
      </c>
      <c r="Z1904" t="s">
        <v>20028</v>
      </c>
      <c r="AA1904" t="s">
        <v>74</v>
      </c>
      <c r="AB1904" t="s">
        <v>74</v>
      </c>
      <c r="AC1904" t="s">
        <v>20027</v>
      </c>
      <c r="AD1904" t="s">
        <v>20026</v>
      </c>
      <c r="AE1904" t="s">
        <v>20025</v>
      </c>
      <c r="AF1904" t="s">
        <v>74</v>
      </c>
      <c r="AG1904">
        <v>61</v>
      </c>
      <c r="AH1904">
        <v>0</v>
      </c>
      <c r="AI1904">
        <v>0</v>
      </c>
      <c r="AJ1904">
        <v>0</v>
      </c>
      <c r="AK1904">
        <v>0</v>
      </c>
      <c r="AL1904" t="s">
        <v>201</v>
      </c>
      <c r="AM1904" t="s">
        <v>202</v>
      </c>
      <c r="AN1904" t="s">
        <v>203</v>
      </c>
      <c r="AO1904" t="s">
        <v>3406</v>
      </c>
      <c r="AP1904" t="s">
        <v>3407</v>
      </c>
      <c r="AQ1904" t="s">
        <v>74</v>
      </c>
      <c r="AR1904" t="s">
        <v>3408</v>
      </c>
      <c r="AS1904" t="s">
        <v>3409</v>
      </c>
      <c r="AT1904" t="s">
        <v>237</v>
      </c>
      <c r="AU1904">
        <v>2026</v>
      </c>
      <c r="AV1904">
        <v>96</v>
      </c>
      <c r="AW1904" t="s">
        <v>74</v>
      </c>
      <c r="AX1904" t="s">
        <v>74</v>
      </c>
      <c r="AY1904" t="s">
        <v>74</v>
      </c>
      <c r="AZ1904" t="s">
        <v>74</v>
      </c>
      <c r="BA1904" t="s">
        <v>74</v>
      </c>
      <c r="BB1904" t="s">
        <v>74</v>
      </c>
      <c r="BC1904" t="s">
        <v>74</v>
      </c>
      <c r="BD1904">
        <v>103047</v>
      </c>
      <c r="BE1904" t="s">
        <v>20024</v>
      </c>
      <c r="BF1904" t="str">
        <f>HYPERLINK("http://dx.doi.org/10.1016/j.pacfin.2025.103047","http://dx.doi.org/10.1016/j.pacfin.2025.103047")</f>
        <v>http://dx.doi.org/10.1016/j.pacfin.2025.103047</v>
      </c>
      <c r="BG1904" t="s">
        <v>74</v>
      </c>
      <c r="BH1904" t="s">
        <v>74</v>
      </c>
      <c r="BI1904">
        <v>9</v>
      </c>
      <c r="BJ1904" t="s">
        <v>268</v>
      </c>
      <c r="BK1904" t="s">
        <v>99</v>
      </c>
      <c r="BL1904" t="s">
        <v>100</v>
      </c>
      <c r="BM1904" t="s">
        <v>20023</v>
      </c>
      <c r="BN1904" t="s">
        <v>74</v>
      </c>
      <c r="BO1904" t="s">
        <v>74</v>
      </c>
      <c r="BP1904" t="s">
        <v>74</v>
      </c>
      <c r="BQ1904" t="s">
        <v>74</v>
      </c>
      <c r="BR1904" t="s">
        <v>102</v>
      </c>
      <c r="BS1904" t="s">
        <v>20022</v>
      </c>
      <c r="BT1904" t="str">
        <f>HYPERLINK("https%3A%2F%2Fwww.webofscience.com%2Fwos%2Fwoscc%2Ffull-record%2FWOS:001656096200001","View Full Record in Web of Science")</f>
        <v>View Full Record in Web of Science</v>
      </c>
    </row>
    <row r="1905" spans="1:72" x14ac:dyDescent="0.25">
      <c r="A1905" t="s">
        <v>72</v>
      </c>
      <c r="B1905" t="s">
        <v>20021</v>
      </c>
      <c r="C1905" t="s">
        <v>74</v>
      </c>
      <c r="D1905" t="s">
        <v>74</v>
      </c>
      <c r="E1905" t="s">
        <v>74</v>
      </c>
      <c r="F1905" t="s">
        <v>20020</v>
      </c>
      <c r="G1905" t="s">
        <v>74</v>
      </c>
      <c r="H1905" t="s">
        <v>74</v>
      </c>
      <c r="I1905" t="s">
        <v>20019</v>
      </c>
      <c r="J1905" t="s">
        <v>20006</v>
      </c>
      <c r="K1905" t="s">
        <v>74</v>
      </c>
      <c r="L1905" t="s">
        <v>74</v>
      </c>
      <c r="M1905" t="s">
        <v>78</v>
      </c>
      <c r="N1905" t="s">
        <v>79</v>
      </c>
      <c r="O1905" t="s">
        <v>74</v>
      </c>
      <c r="P1905" t="s">
        <v>74</v>
      </c>
      <c r="Q1905" t="s">
        <v>74</v>
      </c>
      <c r="R1905" t="s">
        <v>74</v>
      </c>
      <c r="S1905" t="s">
        <v>74</v>
      </c>
      <c r="T1905" t="s">
        <v>20018</v>
      </c>
      <c r="U1905" t="s">
        <v>74</v>
      </c>
      <c r="V1905" t="s">
        <v>20017</v>
      </c>
      <c r="W1905" t="s">
        <v>20016</v>
      </c>
      <c r="X1905" t="s">
        <v>20015</v>
      </c>
      <c r="Y1905" t="s">
        <v>20014</v>
      </c>
      <c r="Z1905" t="s">
        <v>20013</v>
      </c>
      <c r="AA1905" t="s">
        <v>20012</v>
      </c>
      <c r="AB1905" t="s">
        <v>20011</v>
      </c>
      <c r="AC1905" t="s">
        <v>74</v>
      </c>
      <c r="AD1905" t="s">
        <v>74</v>
      </c>
      <c r="AE1905" t="s">
        <v>74</v>
      </c>
      <c r="AF1905" t="s">
        <v>74</v>
      </c>
      <c r="AG1905">
        <v>36</v>
      </c>
      <c r="AH1905">
        <v>3</v>
      </c>
      <c r="AI1905">
        <v>6</v>
      </c>
      <c r="AJ1905">
        <v>1</v>
      </c>
      <c r="AK1905">
        <v>31</v>
      </c>
      <c r="AL1905" t="s">
        <v>20010</v>
      </c>
      <c r="AM1905" t="s">
        <v>20009</v>
      </c>
      <c r="AN1905" t="s">
        <v>20008</v>
      </c>
      <c r="AO1905" t="s">
        <v>74</v>
      </c>
      <c r="AP1905" t="s">
        <v>20007</v>
      </c>
      <c r="AQ1905" t="s">
        <v>74</v>
      </c>
      <c r="AR1905" t="s">
        <v>20006</v>
      </c>
      <c r="AS1905" t="s">
        <v>20005</v>
      </c>
      <c r="AT1905" t="s">
        <v>74</v>
      </c>
      <c r="AU1905">
        <v>2020</v>
      </c>
      <c r="AV1905">
        <v>42</v>
      </c>
      <c r="AW1905">
        <v>2</v>
      </c>
      <c r="AX1905" t="s">
        <v>74</v>
      </c>
      <c r="AY1905" t="s">
        <v>74</v>
      </c>
      <c r="AZ1905" t="s">
        <v>441</v>
      </c>
      <c r="BA1905" t="s">
        <v>74</v>
      </c>
      <c r="BB1905">
        <v>215</v>
      </c>
      <c r="BC1905">
        <v>242</v>
      </c>
      <c r="BD1905" t="s">
        <v>74</v>
      </c>
      <c r="BE1905" t="s">
        <v>20004</v>
      </c>
      <c r="BF1905" t="str">
        <f>HYPERLINK("http://dx.doi.org/10.28949/bilimname.819736","http://dx.doi.org/10.28949/bilimname.819736")</f>
        <v>http://dx.doi.org/10.28949/bilimname.819736</v>
      </c>
      <c r="BG1905" t="s">
        <v>74</v>
      </c>
      <c r="BH1905" t="s">
        <v>74</v>
      </c>
      <c r="BI1905">
        <v>28</v>
      </c>
      <c r="BJ1905" t="s">
        <v>9799</v>
      </c>
      <c r="BK1905" t="s">
        <v>313</v>
      </c>
      <c r="BL1905" t="s">
        <v>9799</v>
      </c>
      <c r="BM1905" t="s">
        <v>20003</v>
      </c>
      <c r="BN1905" t="s">
        <v>74</v>
      </c>
      <c r="BO1905" t="s">
        <v>916</v>
      </c>
      <c r="BP1905" t="s">
        <v>74</v>
      </c>
      <c r="BQ1905" t="s">
        <v>74</v>
      </c>
      <c r="BR1905" t="s">
        <v>102</v>
      </c>
      <c r="BS1905" t="s">
        <v>20002</v>
      </c>
      <c r="BT1905" t="str">
        <f>HYPERLINK("https%3A%2F%2Fwww.webofscience.com%2Fwos%2Fwoscc%2Ffull-record%2FWOS:000586052400008","View Full Record in Web of Science")</f>
        <v>View Full Record in Web of Science</v>
      </c>
    </row>
    <row r="1906" spans="1:72" x14ac:dyDescent="0.25">
      <c r="A1906" t="s">
        <v>72</v>
      </c>
      <c r="B1906" t="s">
        <v>20001</v>
      </c>
      <c r="C1906" t="s">
        <v>74</v>
      </c>
      <c r="D1906" t="s">
        <v>74</v>
      </c>
      <c r="E1906" t="s">
        <v>74</v>
      </c>
      <c r="F1906" t="s">
        <v>20000</v>
      </c>
      <c r="G1906" t="s">
        <v>74</v>
      </c>
      <c r="H1906" t="s">
        <v>74</v>
      </c>
      <c r="I1906" t="s">
        <v>19999</v>
      </c>
      <c r="J1906" t="s">
        <v>2763</v>
      </c>
      <c r="K1906" t="s">
        <v>74</v>
      </c>
      <c r="L1906" t="s">
        <v>74</v>
      </c>
      <c r="M1906" t="s">
        <v>78</v>
      </c>
      <c r="N1906" t="s">
        <v>79</v>
      </c>
      <c r="O1906" t="s">
        <v>74</v>
      </c>
      <c r="P1906" t="s">
        <v>74</v>
      </c>
      <c r="Q1906" t="s">
        <v>74</v>
      </c>
      <c r="R1906" t="s">
        <v>74</v>
      </c>
      <c r="S1906" t="s">
        <v>74</v>
      </c>
      <c r="T1906" t="s">
        <v>19998</v>
      </c>
      <c r="U1906" t="s">
        <v>19997</v>
      </c>
      <c r="V1906" t="s">
        <v>19996</v>
      </c>
      <c r="W1906" t="s">
        <v>19995</v>
      </c>
      <c r="X1906" t="s">
        <v>19994</v>
      </c>
      <c r="Y1906" t="s">
        <v>19993</v>
      </c>
      <c r="Z1906" t="s">
        <v>19992</v>
      </c>
      <c r="AA1906" t="s">
        <v>19991</v>
      </c>
      <c r="AB1906" t="s">
        <v>19990</v>
      </c>
      <c r="AC1906" t="s">
        <v>19989</v>
      </c>
      <c r="AD1906" t="s">
        <v>19988</v>
      </c>
      <c r="AE1906" t="s">
        <v>19987</v>
      </c>
      <c r="AF1906" t="s">
        <v>74</v>
      </c>
      <c r="AG1906">
        <v>57</v>
      </c>
      <c r="AH1906">
        <v>3</v>
      </c>
      <c r="AI1906">
        <v>4</v>
      </c>
      <c r="AJ1906">
        <v>0</v>
      </c>
      <c r="AK1906">
        <v>10</v>
      </c>
      <c r="AL1906" t="s">
        <v>479</v>
      </c>
      <c r="AM1906" t="s">
        <v>480</v>
      </c>
      <c r="AN1906" t="s">
        <v>481</v>
      </c>
      <c r="AO1906" t="s">
        <v>2776</v>
      </c>
      <c r="AP1906" t="s">
        <v>2777</v>
      </c>
      <c r="AQ1906" t="s">
        <v>74</v>
      </c>
      <c r="AR1906" t="s">
        <v>2778</v>
      </c>
      <c r="AS1906" t="s">
        <v>2779</v>
      </c>
      <c r="AT1906" t="s">
        <v>237</v>
      </c>
      <c r="AU1906">
        <v>2025</v>
      </c>
      <c r="AV1906">
        <v>29</v>
      </c>
      <c r="AW1906">
        <v>1</v>
      </c>
      <c r="AX1906" t="s">
        <v>74</v>
      </c>
      <c r="AY1906" t="s">
        <v>74</v>
      </c>
      <c r="AZ1906" t="s">
        <v>74</v>
      </c>
      <c r="BA1906" t="s">
        <v>74</v>
      </c>
      <c r="BB1906">
        <v>145</v>
      </c>
      <c r="BC1906">
        <v>165</v>
      </c>
      <c r="BD1906" t="s">
        <v>74</v>
      </c>
      <c r="BE1906" t="s">
        <v>19986</v>
      </c>
      <c r="BF1906" t="str">
        <f>HYPERLINK("http://dx.doi.org/10.1111/rode.13057","http://dx.doi.org/10.1111/rode.13057")</f>
        <v>http://dx.doi.org/10.1111/rode.13057</v>
      </c>
      <c r="BG1906" t="s">
        <v>74</v>
      </c>
      <c r="BH1906" t="s">
        <v>5567</v>
      </c>
      <c r="BI1906">
        <v>21</v>
      </c>
      <c r="BJ1906" t="s">
        <v>701</v>
      </c>
      <c r="BK1906" t="s">
        <v>99</v>
      </c>
      <c r="BL1906" t="s">
        <v>702</v>
      </c>
      <c r="BM1906" t="s">
        <v>19985</v>
      </c>
      <c r="BN1906" t="s">
        <v>74</v>
      </c>
      <c r="BO1906" t="s">
        <v>270</v>
      </c>
      <c r="BP1906" t="s">
        <v>74</v>
      </c>
      <c r="BQ1906" t="s">
        <v>74</v>
      </c>
      <c r="BR1906" t="s">
        <v>102</v>
      </c>
      <c r="BS1906" t="s">
        <v>19984</v>
      </c>
      <c r="BT1906" t="str">
        <f>HYPERLINK("https%3A%2F%2Fwww.webofscience.com%2Fwos%2Fwoscc%2Ffull-record%2FWOS:001072927400001","View Full Record in Web of Science")</f>
        <v>View Full Record in Web of Science</v>
      </c>
    </row>
    <row r="1907" spans="1:72" x14ac:dyDescent="0.25">
      <c r="A1907" t="s">
        <v>72</v>
      </c>
      <c r="B1907" t="s">
        <v>19983</v>
      </c>
      <c r="C1907" t="s">
        <v>74</v>
      </c>
      <c r="D1907" t="s">
        <v>74</v>
      </c>
      <c r="E1907" t="s">
        <v>74</v>
      </c>
      <c r="F1907" t="s">
        <v>19982</v>
      </c>
      <c r="G1907" t="s">
        <v>74</v>
      </c>
      <c r="H1907" t="s">
        <v>74</v>
      </c>
      <c r="I1907" t="s">
        <v>19981</v>
      </c>
      <c r="J1907" t="s">
        <v>19980</v>
      </c>
      <c r="K1907" t="s">
        <v>74</v>
      </c>
      <c r="L1907" t="s">
        <v>74</v>
      </c>
      <c r="M1907" t="s">
        <v>78</v>
      </c>
      <c r="N1907" t="s">
        <v>79</v>
      </c>
      <c r="O1907" t="s">
        <v>74</v>
      </c>
      <c r="P1907" t="s">
        <v>74</v>
      </c>
      <c r="Q1907" t="s">
        <v>74</v>
      </c>
      <c r="R1907" t="s">
        <v>74</v>
      </c>
      <c r="S1907" t="s">
        <v>74</v>
      </c>
      <c r="T1907" t="s">
        <v>19979</v>
      </c>
      <c r="U1907" t="s">
        <v>15835</v>
      </c>
      <c r="V1907" t="s">
        <v>19978</v>
      </c>
      <c r="W1907" t="s">
        <v>19977</v>
      </c>
      <c r="X1907" t="s">
        <v>19976</v>
      </c>
      <c r="Y1907" t="s">
        <v>19975</v>
      </c>
      <c r="Z1907" t="s">
        <v>19974</v>
      </c>
      <c r="AA1907" t="s">
        <v>74</v>
      </c>
      <c r="AB1907" t="s">
        <v>74</v>
      </c>
      <c r="AC1907" t="s">
        <v>74</v>
      </c>
      <c r="AD1907" t="s">
        <v>74</v>
      </c>
      <c r="AE1907" t="s">
        <v>74</v>
      </c>
      <c r="AF1907" t="s">
        <v>74</v>
      </c>
      <c r="AG1907">
        <v>23</v>
      </c>
      <c r="AH1907">
        <v>65</v>
      </c>
      <c r="AI1907">
        <v>86</v>
      </c>
      <c r="AJ1907">
        <v>0</v>
      </c>
      <c r="AK1907">
        <v>10</v>
      </c>
      <c r="AL1907" t="s">
        <v>201</v>
      </c>
      <c r="AM1907" t="s">
        <v>202</v>
      </c>
      <c r="AN1907" t="s">
        <v>203</v>
      </c>
      <c r="AO1907" t="s">
        <v>19973</v>
      </c>
      <c r="AP1907" t="s">
        <v>19972</v>
      </c>
      <c r="AQ1907" t="s">
        <v>74</v>
      </c>
      <c r="AR1907" t="s">
        <v>19971</v>
      </c>
      <c r="AS1907" t="s">
        <v>19970</v>
      </c>
      <c r="AT1907" t="s">
        <v>124</v>
      </c>
      <c r="AU1907">
        <v>2019</v>
      </c>
      <c r="AV1907">
        <v>31</v>
      </c>
      <c r="AW1907">
        <v>4</v>
      </c>
      <c r="AX1907" t="s">
        <v>74</v>
      </c>
      <c r="AY1907" t="s">
        <v>74</v>
      </c>
      <c r="AZ1907" t="s">
        <v>74</v>
      </c>
      <c r="BA1907" t="s">
        <v>74</v>
      </c>
      <c r="BB1907">
        <v>336</v>
      </c>
      <c r="BC1907">
        <v>349</v>
      </c>
      <c r="BD1907" t="s">
        <v>74</v>
      </c>
      <c r="BE1907" t="s">
        <v>19969</v>
      </c>
      <c r="BF1907" t="str">
        <f>HYPERLINK("http://dx.doi.org/10.1016/j.iimb.2019.07.013","http://dx.doi.org/10.1016/j.iimb.2019.07.013")</f>
        <v>http://dx.doi.org/10.1016/j.iimb.2019.07.013</v>
      </c>
      <c r="BG1907" t="s">
        <v>74</v>
      </c>
      <c r="BH1907" t="s">
        <v>74</v>
      </c>
      <c r="BI1907">
        <v>14</v>
      </c>
      <c r="BJ1907" t="s">
        <v>583</v>
      </c>
      <c r="BK1907" t="s">
        <v>313</v>
      </c>
      <c r="BL1907" t="s">
        <v>100</v>
      </c>
      <c r="BM1907" t="s">
        <v>19968</v>
      </c>
      <c r="BN1907" t="s">
        <v>74</v>
      </c>
      <c r="BO1907" t="s">
        <v>916</v>
      </c>
      <c r="BP1907" t="s">
        <v>74</v>
      </c>
      <c r="BQ1907" t="s">
        <v>74</v>
      </c>
      <c r="BR1907" t="s">
        <v>102</v>
      </c>
      <c r="BS1907" t="s">
        <v>19967</v>
      </c>
      <c r="BT1907" t="str">
        <f>HYPERLINK("https%3A%2F%2Fwww.webofscience.com%2Fwos%2Fwoscc%2Ffull-record%2FWOS:000512374400011","View Full Record in Web of Science")</f>
        <v>View Full Record in Web of Science</v>
      </c>
    </row>
    <row r="1908" spans="1:72" x14ac:dyDescent="0.25">
      <c r="A1908" t="s">
        <v>72</v>
      </c>
      <c r="B1908" t="s">
        <v>19966</v>
      </c>
      <c r="C1908" t="s">
        <v>74</v>
      </c>
      <c r="D1908" t="s">
        <v>74</v>
      </c>
      <c r="E1908" t="s">
        <v>74</v>
      </c>
      <c r="F1908" t="s">
        <v>19965</v>
      </c>
      <c r="G1908" t="s">
        <v>74</v>
      </c>
      <c r="H1908" t="s">
        <v>74</v>
      </c>
      <c r="I1908" t="s">
        <v>19964</v>
      </c>
      <c r="J1908" t="s">
        <v>3036</v>
      </c>
      <c r="K1908" t="s">
        <v>74</v>
      </c>
      <c r="L1908" t="s">
        <v>74</v>
      </c>
      <c r="M1908" t="s">
        <v>78</v>
      </c>
      <c r="N1908" t="s">
        <v>79</v>
      </c>
      <c r="O1908" t="s">
        <v>74</v>
      </c>
      <c r="P1908" t="s">
        <v>74</v>
      </c>
      <c r="Q1908" t="s">
        <v>74</v>
      </c>
      <c r="R1908" t="s">
        <v>74</v>
      </c>
      <c r="S1908" t="s">
        <v>74</v>
      </c>
      <c r="T1908" t="s">
        <v>74</v>
      </c>
      <c r="U1908" t="s">
        <v>19963</v>
      </c>
      <c r="V1908" t="s">
        <v>19962</v>
      </c>
      <c r="W1908" t="s">
        <v>19961</v>
      </c>
      <c r="X1908" t="s">
        <v>74</v>
      </c>
      <c r="Y1908" t="s">
        <v>19960</v>
      </c>
      <c r="Z1908" t="s">
        <v>19959</v>
      </c>
      <c r="AA1908" t="s">
        <v>19958</v>
      </c>
      <c r="AB1908" t="s">
        <v>19957</v>
      </c>
      <c r="AC1908" t="s">
        <v>19956</v>
      </c>
      <c r="AD1908" t="s">
        <v>19955</v>
      </c>
      <c r="AE1908" t="s">
        <v>19954</v>
      </c>
      <c r="AF1908" t="s">
        <v>74</v>
      </c>
      <c r="AG1908">
        <v>97</v>
      </c>
      <c r="AH1908">
        <v>1</v>
      </c>
      <c r="AI1908">
        <v>2</v>
      </c>
      <c r="AJ1908">
        <v>1</v>
      </c>
      <c r="AK1908">
        <v>3</v>
      </c>
      <c r="AL1908" t="s">
        <v>385</v>
      </c>
      <c r="AM1908" t="s">
        <v>151</v>
      </c>
      <c r="AN1908" t="s">
        <v>386</v>
      </c>
      <c r="AO1908" t="s">
        <v>3045</v>
      </c>
      <c r="AP1908" t="s">
        <v>3046</v>
      </c>
      <c r="AQ1908" t="s">
        <v>74</v>
      </c>
      <c r="AR1908" t="s">
        <v>3047</v>
      </c>
      <c r="AS1908" t="s">
        <v>3048</v>
      </c>
      <c r="AT1908" t="s">
        <v>605</v>
      </c>
      <c r="AU1908">
        <v>2024</v>
      </c>
      <c r="AV1908">
        <v>15</v>
      </c>
      <c r="AW1908">
        <v>1</v>
      </c>
      <c r="AX1908" t="s">
        <v>74</v>
      </c>
      <c r="AY1908" t="s">
        <v>74</v>
      </c>
      <c r="AZ1908" t="s">
        <v>74</v>
      </c>
      <c r="BA1908" t="s">
        <v>74</v>
      </c>
      <c r="BB1908">
        <v>2874</v>
      </c>
      <c r="BC1908">
        <v>2894</v>
      </c>
      <c r="BD1908" t="s">
        <v>74</v>
      </c>
      <c r="BE1908" t="s">
        <v>19953</v>
      </c>
      <c r="BF1908" t="str">
        <f>HYPERLINK("http://dx.doi.org/10.1007/s13132-023-01134-x","http://dx.doi.org/10.1007/s13132-023-01134-x")</f>
        <v>http://dx.doi.org/10.1007/s13132-023-01134-x</v>
      </c>
      <c r="BG1908" t="s">
        <v>74</v>
      </c>
      <c r="BH1908" t="s">
        <v>3595</v>
      </c>
      <c r="BI1908">
        <v>21</v>
      </c>
      <c r="BJ1908" t="s">
        <v>291</v>
      </c>
      <c r="BK1908" t="s">
        <v>99</v>
      </c>
      <c r="BL1908" t="s">
        <v>100</v>
      </c>
      <c r="BM1908" t="s">
        <v>19952</v>
      </c>
      <c r="BN1908" t="s">
        <v>74</v>
      </c>
      <c r="BO1908" t="s">
        <v>270</v>
      </c>
      <c r="BP1908" t="s">
        <v>74</v>
      </c>
      <c r="BQ1908" t="s">
        <v>74</v>
      </c>
      <c r="BR1908" t="s">
        <v>102</v>
      </c>
      <c r="BS1908" t="s">
        <v>19951</v>
      </c>
      <c r="BT1908" t="str">
        <f>HYPERLINK("https%3A%2F%2Fwww.webofscience.com%2Fwos%2Fwoscc%2Ffull-record%2FWOS:000954462200002","View Full Record in Web of Science")</f>
        <v>View Full Record in Web of Science</v>
      </c>
    </row>
    <row r="1909" spans="1:72" x14ac:dyDescent="0.25">
      <c r="A1909" t="s">
        <v>132</v>
      </c>
      <c r="B1909" t="s">
        <v>6820</v>
      </c>
      <c r="C1909" t="s">
        <v>74</v>
      </c>
      <c r="D1909" t="s">
        <v>19950</v>
      </c>
      <c r="E1909" t="s">
        <v>74</v>
      </c>
      <c r="F1909" t="s">
        <v>19949</v>
      </c>
      <c r="G1909" t="s">
        <v>74</v>
      </c>
      <c r="H1909" t="s">
        <v>74</v>
      </c>
      <c r="I1909" t="s">
        <v>19948</v>
      </c>
      <c r="J1909" t="s">
        <v>19947</v>
      </c>
      <c r="K1909" t="s">
        <v>5767</v>
      </c>
      <c r="L1909" t="s">
        <v>74</v>
      </c>
      <c r="M1909" t="s">
        <v>78</v>
      </c>
      <c r="N1909" t="s">
        <v>138</v>
      </c>
      <c r="O1909" t="s">
        <v>19946</v>
      </c>
      <c r="P1909" t="s">
        <v>19945</v>
      </c>
      <c r="Q1909" t="s">
        <v>19944</v>
      </c>
      <c r="R1909" t="s">
        <v>19943</v>
      </c>
      <c r="S1909" t="s">
        <v>74</v>
      </c>
      <c r="T1909" t="s">
        <v>19942</v>
      </c>
      <c r="U1909" t="s">
        <v>19941</v>
      </c>
      <c r="V1909" t="s">
        <v>19940</v>
      </c>
      <c r="W1909" t="s">
        <v>19939</v>
      </c>
      <c r="X1909" t="s">
        <v>74</v>
      </c>
      <c r="Y1909" t="s">
        <v>19938</v>
      </c>
      <c r="Z1909" t="s">
        <v>19937</v>
      </c>
      <c r="AA1909" t="s">
        <v>74</v>
      </c>
      <c r="AB1909" t="s">
        <v>74</v>
      </c>
      <c r="AC1909" t="s">
        <v>74</v>
      </c>
      <c r="AD1909" t="s">
        <v>74</v>
      </c>
      <c r="AE1909" t="s">
        <v>74</v>
      </c>
      <c r="AF1909" t="s">
        <v>74</v>
      </c>
      <c r="AG1909">
        <v>71</v>
      </c>
      <c r="AH1909">
        <v>0</v>
      </c>
      <c r="AI1909">
        <v>0</v>
      </c>
      <c r="AJ1909">
        <v>1</v>
      </c>
      <c r="AK1909">
        <v>1</v>
      </c>
      <c r="AL1909" t="s">
        <v>2105</v>
      </c>
      <c r="AM1909" t="s">
        <v>1890</v>
      </c>
      <c r="AN1909" t="s">
        <v>4110</v>
      </c>
      <c r="AO1909" t="s">
        <v>5780</v>
      </c>
      <c r="AP1909" t="s">
        <v>5781</v>
      </c>
      <c r="AQ1909" t="s">
        <v>19936</v>
      </c>
      <c r="AR1909" t="s">
        <v>5783</v>
      </c>
      <c r="AS1909" t="s">
        <v>74</v>
      </c>
      <c r="AT1909" t="s">
        <v>74</v>
      </c>
      <c r="AU1909">
        <v>2024</v>
      </c>
      <c r="AV1909" t="s">
        <v>74</v>
      </c>
      <c r="AW1909" t="s">
        <v>74</v>
      </c>
      <c r="AX1909" t="s">
        <v>74</v>
      </c>
      <c r="AY1909" t="s">
        <v>74</v>
      </c>
      <c r="AZ1909" t="s">
        <v>74</v>
      </c>
      <c r="BA1909" t="s">
        <v>74</v>
      </c>
      <c r="BB1909">
        <v>183</v>
      </c>
      <c r="BC1909">
        <v>203</v>
      </c>
      <c r="BD1909" t="s">
        <v>74</v>
      </c>
      <c r="BE1909" t="s">
        <v>19935</v>
      </c>
      <c r="BF1909" t="str">
        <f>HYPERLINK("http://dx.doi.org/10.1007/978-981-97-6687-1_1","http://dx.doi.org/10.1007/978-981-97-6687-1_1")</f>
        <v>http://dx.doi.org/10.1007/978-981-97-6687-1_1</v>
      </c>
      <c r="BG1909" t="s">
        <v>74</v>
      </c>
      <c r="BH1909" t="s">
        <v>74</v>
      </c>
      <c r="BI1909">
        <v>21</v>
      </c>
      <c r="BJ1909" t="s">
        <v>19934</v>
      </c>
      <c r="BK1909" t="s">
        <v>1069</v>
      </c>
      <c r="BL1909" t="s">
        <v>650</v>
      </c>
      <c r="BM1909" t="s">
        <v>19933</v>
      </c>
      <c r="BN1909" t="s">
        <v>74</v>
      </c>
      <c r="BO1909" t="s">
        <v>270</v>
      </c>
      <c r="BP1909" t="s">
        <v>74</v>
      </c>
      <c r="BQ1909" t="s">
        <v>74</v>
      </c>
      <c r="BR1909" t="s">
        <v>102</v>
      </c>
      <c r="BS1909" t="s">
        <v>19932</v>
      </c>
      <c r="BT1909" t="str">
        <f>HYPERLINK("https%3A%2F%2Fwww.webofscience.com%2Fwos%2Fwoscc%2Ffull-record%2FWOS:001420160400010","View Full Record in Web of Science")</f>
        <v>View Full Record in Web of Science</v>
      </c>
    </row>
    <row r="1910" spans="1:72" x14ac:dyDescent="0.25">
      <c r="A1910" t="s">
        <v>72</v>
      </c>
      <c r="B1910" t="s">
        <v>19931</v>
      </c>
      <c r="C1910" t="s">
        <v>74</v>
      </c>
      <c r="D1910" t="s">
        <v>74</v>
      </c>
      <c r="E1910" t="s">
        <v>74</v>
      </c>
      <c r="F1910" t="s">
        <v>19930</v>
      </c>
      <c r="G1910" t="s">
        <v>74</v>
      </c>
      <c r="H1910" t="s">
        <v>74</v>
      </c>
      <c r="I1910" t="s">
        <v>19929</v>
      </c>
      <c r="J1910" t="s">
        <v>19928</v>
      </c>
      <c r="K1910" t="s">
        <v>74</v>
      </c>
      <c r="L1910" t="s">
        <v>74</v>
      </c>
      <c r="M1910" t="s">
        <v>78</v>
      </c>
      <c r="N1910" t="s">
        <v>79</v>
      </c>
      <c r="O1910" t="s">
        <v>74</v>
      </c>
      <c r="P1910" t="s">
        <v>74</v>
      </c>
      <c r="Q1910" t="s">
        <v>74</v>
      </c>
      <c r="R1910" t="s">
        <v>74</v>
      </c>
      <c r="S1910" t="s">
        <v>74</v>
      </c>
      <c r="T1910" t="s">
        <v>19927</v>
      </c>
      <c r="U1910" t="s">
        <v>19926</v>
      </c>
      <c r="V1910" t="s">
        <v>19925</v>
      </c>
      <c r="W1910" t="s">
        <v>19924</v>
      </c>
      <c r="X1910" t="s">
        <v>19923</v>
      </c>
      <c r="Y1910" t="s">
        <v>19922</v>
      </c>
      <c r="Z1910" t="s">
        <v>19921</v>
      </c>
      <c r="AA1910" t="s">
        <v>74</v>
      </c>
      <c r="AB1910" t="s">
        <v>74</v>
      </c>
      <c r="AC1910" t="s">
        <v>74</v>
      </c>
      <c r="AD1910" t="s">
        <v>74</v>
      </c>
      <c r="AE1910" t="s">
        <v>74</v>
      </c>
      <c r="AF1910" t="s">
        <v>74</v>
      </c>
      <c r="AG1910">
        <v>98</v>
      </c>
      <c r="AH1910">
        <v>0</v>
      </c>
      <c r="AI1910">
        <v>0</v>
      </c>
      <c r="AJ1910">
        <v>0</v>
      </c>
      <c r="AK1910">
        <v>7</v>
      </c>
      <c r="AL1910" t="s">
        <v>19920</v>
      </c>
      <c r="AM1910" t="s">
        <v>19919</v>
      </c>
      <c r="AN1910" t="s">
        <v>19918</v>
      </c>
      <c r="AO1910" t="s">
        <v>19917</v>
      </c>
      <c r="AP1910" t="s">
        <v>19916</v>
      </c>
      <c r="AQ1910" t="s">
        <v>74</v>
      </c>
      <c r="AR1910" t="s">
        <v>19915</v>
      </c>
      <c r="AS1910" t="s">
        <v>19914</v>
      </c>
      <c r="AT1910" t="s">
        <v>124</v>
      </c>
      <c r="AU1910">
        <v>2019</v>
      </c>
      <c r="AV1910">
        <v>11</v>
      </c>
      <c r="AW1910">
        <v>2</v>
      </c>
      <c r="AX1910" t="s">
        <v>74</v>
      </c>
      <c r="AY1910" t="s">
        <v>74</v>
      </c>
      <c r="AZ1910" t="s">
        <v>74</v>
      </c>
      <c r="BA1910" t="s">
        <v>74</v>
      </c>
      <c r="BB1910">
        <v>420</v>
      </c>
      <c r="BC1910">
        <v>454</v>
      </c>
      <c r="BD1910" t="s">
        <v>74</v>
      </c>
      <c r="BE1910" t="s">
        <v>74</v>
      </c>
      <c r="BF1910" t="s">
        <v>74</v>
      </c>
      <c r="BG1910" t="s">
        <v>74</v>
      </c>
      <c r="BH1910" t="s">
        <v>74</v>
      </c>
      <c r="BI1910">
        <v>35</v>
      </c>
      <c r="BJ1910" t="s">
        <v>291</v>
      </c>
      <c r="BK1910" t="s">
        <v>313</v>
      </c>
      <c r="BL1910" t="s">
        <v>100</v>
      </c>
      <c r="BM1910" t="s">
        <v>19913</v>
      </c>
      <c r="BN1910" t="s">
        <v>74</v>
      </c>
      <c r="BO1910" t="s">
        <v>74</v>
      </c>
      <c r="BP1910" t="s">
        <v>74</v>
      </c>
      <c r="BQ1910" t="s">
        <v>74</v>
      </c>
      <c r="BR1910" t="s">
        <v>102</v>
      </c>
      <c r="BS1910" t="s">
        <v>19912</v>
      </c>
      <c r="BT1910" t="str">
        <f>HYPERLINK("https%3A%2F%2Fwww.webofscience.com%2Fwos%2Fwoscc%2Ffull-record%2FWOS:000683346000017","View Full Record in Web of Science")</f>
        <v>View Full Record in Web of Science</v>
      </c>
    </row>
    <row r="1911" spans="1:72" x14ac:dyDescent="0.25">
      <c r="A1911" t="s">
        <v>72</v>
      </c>
      <c r="B1911" t="s">
        <v>19911</v>
      </c>
      <c r="C1911" t="s">
        <v>74</v>
      </c>
      <c r="D1911" t="s">
        <v>74</v>
      </c>
      <c r="E1911" t="s">
        <v>74</v>
      </c>
      <c r="F1911" t="s">
        <v>19910</v>
      </c>
      <c r="G1911" t="s">
        <v>74</v>
      </c>
      <c r="H1911" t="s">
        <v>74</v>
      </c>
      <c r="I1911" t="s">
        <v>19909</v>
      </c>
      <c r="J1911" t="s">
        <v>1266</v>
      </c>
      <c r="K1911" t="s">
        <v>74</v>
      </c>
      <c r="L1911" t="s">
        <v>74</v>
      </c>
      <c r="M1911" t="s">
        <v>78</v>
      </c>
      <c r="N1911" t="s">
        <v>79</v>
      </c>
      <c r="O1911" t="s">
        <v>74</v>
      </c>
      <c r="P1911" t="s">
        <v>74</v>
      </c>
      <c r="Q1911" t="s">
        <v>74</v>
      </c>
      <c r="R1911" t="s">
        <v>74</v>
      </c>
      <c r="S1911" t="s">
        <v>74</v>
      </c>
      <c r="T1911" t="s">
        <v>19908</v>
      </c>
      <c r="U1911" t="s">
        <v>19907</v>
      </c>
      <c r="V1911" t="s">
        <v>19906</v>
      </c>
      <c r="W1911" t="s">
        <v>19905</v>
      </c>
      <c r="X1911" t="s">
        <v>19904</v>
      </c>
      <c r="Y1911" t="s">
        <v>19903</v>
      </c>
      <c r="Z1911" t="s">
        <v>19902</v>
      </c>
      <c r="AA1911" t="s">
        <v>74</v>
      </c>
      <c r="AB1911" t="s">
        <v>74</v>
      </c>
      <c r="AC1911" t="s">
        <v>19901</v>
      </c>
      <c r="AD1911" t="s">
        <v>19900</v>
      </c>
      <c r="AE1911" t="s">
        <v>19899</v>
      </c>
      <c r="AF1911" t="s">
        <v>74</v>
      </c>
      <c r="AG1911">
        <v>77</v>
      </c>
      <c r="AH1911">
        <v>1</v>
      </c>
      <c r="AI1911">
        <v>2</v>
      </c>
      <c r="AJ1911">
        <v>5</v>
      </c>
      <c r="AK1911">
        <v>10</v>
      </c>
      <c r="AL1911" t="s">
        <v>332</v>
      </c>
      <c r="AM1911" t="s">
        <v>333</v>
      </c>
      <c r="AN1911" t="s">
        <v>334</v>
      </c>
      <c r="AO1911" t="s">
        <v>1277</v>
      </c>
      <c r="AP1911" t="s">
        <v>1278</v>
      </c>
      <c r="AQ1911" t="s">
        <v>74</v>
      </c>
      <c r="AR1911" t="s">
        <v>1279</v>
      </c>
      <c r="AS1911" t="s">
        <v>1280</v>
      </c>
      <c r="AT1911" t="s">
        <v>8352</v>
      </c>
      <c r="AU1911">
        <v>2025</v>
      </c>
      <c r="AV1911">
        <v>61</v>
      </c>
      <c r="AW1911">
        <v>9</v>
      </c>
      <c r="AX1911" t="s">
        <v>74</v>
      </c>
      <c r="AY1911" t="s">
        <v>74</v>
      </c>
      <c r="AZ1911" t="s">
        <v>74</v>
      </c>
      <c r="BA1911" t="s">
        <v>74</v>
      </c>
      <c r="BB1911">
        <v>2590</v>
      </c>
      <c r="BC1911">
        <v>2615</v>
      </c>
      <c r="BD1911" t="s">
        <v>74</v>
      </c>
      <c r="BE1911" t="s">
        <v>19898</v>
      </c>
      <c r="BF1911" t="str">
        <f>HYPERLINK("http://dx.doi.org/10.1080/1540496X.2025.2456547","http://dx.doi.org/10.1080/1540496X.2025.2456547")</f>
        <v>http://dx.doi.org/10.1080/1540496X.2025.2456547</v>
      </c>
      <c r="BG1911" t="s">
        <v>74</v>
      </c>
      <c r="BH1911" t="s">
        <v>417</v>
      </c>
      <c r="BI1911">
        <v>26</v>
      </c>
      <c r="BJ1911" t="s">
        <v>1283</v>
      </c>
      <c r="BK1911" t="s">
        <v>99</v>
      </c>
      <c r="BL1911" t="s">
        <v>1284</v>
      </c>
      <c r="BM1911" t="s">
        <v>19897</v>
      </c>
      <c r="BN1911" t="s">
        <v>74</v>
      </c>
      <c r="BO1911" t="s">
        <v>74</v>
      </c>
      <c r="BP1911" t="s">
        <v>74</v>
      </c>
      <c r="BQ1911" t="s">
        <v>74</v>
      </c>
      <c r="BR1911" t="s">
        <v>102</v>
      </c>
      <c r="BS1911" t="s">
        <v>19896</v>
      </c>
      <c r="BT1911" t="str">
        <f>HYPERLINK("https%3A%2F%2Fwww.webofscience.com%2Fwos%2Fwoscc%2Ffull-record%2FWOS:001417916100001","View Full Record in Web of Science")</f>
        <v>View Full Record in Web of Science</v>
      </c>
    </row>
    <row r="1912" spans="1:72" x14ac:dyDescent="0.25">
      <c r="A1912" t="s">
        <v>72</v>
      </c>
      <c r="B1912" t="s">
        <v>19895</v>
      </c>
      <c r="C1912" t="s">
        <v>74</v>
      </c>
      <c r="D1912" t="s">
        <v>74</v>
      </c>
      <c r="E1912" t="s">
        <v>74</v>
      </c>
      <c r="F1912" t="s">
        <v>19894</v>
      </c>
      <c r="G1912" t="s">
        <v>74</v>
      </c>
      <c r="H1912" t="s">
        <v>74</v>
      </c>
      <c r="I1912" t="s">
        <v>19893</v>
      </c>
      <c r="J1912" t="s">
        <v>19892</v>
      </c>
      <c r="K1912" t="s">
        <v>74</v>
      </c>
      <c r="L1912" t="s">
        <v>74</v>
      </c>
      <c r="M1912" t="s">
        <v>78</v>
      </c>
      <c r="N1912" t="s">
        <v>79</v>
      </c>
      <c r="O1912" t="s">
        <v>74</v>
      </c>
      <c r="P1912" t="s">
        <v>74</v>
      </c>
      <c r="Q1912" t="s">
        <v>74</v>
      </c>
      <c r="R1912" t="s">
        <v>74</v>
      </c>
      <c r="S1912" t="s">
        <v>74</v>
      </c>
      <c r="T1912" t="s">
        <v>19891</v>
      </c>
      <c r="U1912" t="s">
        <v>19890</v>
      </c>
      <c r="V1912" t="s">
        <v>19889</v>
      </c>
      <c r="W1912" t="s">
        <v>19888</v>
      </c>
      <c r="X1912" t="s">
        <v>19887</v>
      </c>
      <c r="Y1912" t="s">
        <v>19886</v>
      </c>
      <c r="Z1912" t="s">
        <v>19885</v>
      </c>
      <c r="AA1912" t="s">
        <v>74</v>
      </c>
      <c r="AB1912" t="s">
        <v>74</v>
      </c>
      <c r="AC1912" t="s">
        <v>19884</v>
      </c>
      <c r="AD1912" t="s">
        <v>19883</v>
      </c>
      <c r="AE1912" t="s">
        <v>19882</v>
      </c>
      <c r="AF1912" t="s">
        <v>74</v>
      </c>
      <c r="AG1912">
        <v>35</v>
      </c>
      <c r="AH1912">
        <v>1</v>
      </c>
      <c r="AI1912">
        <v>1</v>
      </c>
      <c r="AJ1912">
        <v>3</v>
      </c>
      <c r="AK1912">
        <v>7</v>
      </c>
      <c r="AL1912" t="s">
        <v>332</v>
      </c>
      <c r="AM1912" t="s">
        <v>333</v>
      </c>
      <c r="AN1912" t="s">
        <v>334</v>
      </c>
      <c r="AO1912" t="s">
        <v>19881</v>
      </c>
      <c r="AP1912" t="s">
        <v>19880</v>
      </c>
      <c r="AQ1912" t="s">
        <v>74</v>
      </c>
      <c r="AR1912" t="s">
        <v>19879</v>
      </c>
      <c r="AS1912" t="s">
        <v>19878</v>
      </c>
      <c r="AT1912" t="s">
        <v>1693</v>
      </c>
      <c r="AU1912">
        <v>2025</v>
      </c>
      <c r="AV1912">
        <v>17</v>
      </c>
      <c r="AW1912">
        <v>2</v>
      </c>
      <c r="AX1912" t="s">
        <v>74</v>
      </c>
      <c r="AY1912" t="s">
        <v>74</v>
      </c>
      <c r="AZ1912" t="s">
        <v>74</v>
      </c>
      <c r="BA1912" t="s">
        <v>74</v>
      </c>
      <c r="BB1912">
        <v>143</v>
      </c>
      <c r="BC1912">
        <v>160</v>
      </c>
      <c r="BD1912" t="s">
        <v>74</v>
      </c>
      <c r="BE1912" t="s">
        <v>19877</v>
      </c>
      <c r="BF1912" t="str">
        <f>HYPERLINK("http://dx.doi.org/10.1080/19439342.2024.2394478","http://dx.doi.org/10.1080/19439342.2024.2394478")</f>
        <v>http://dx.doi.org/10.1080/19439342.2024.2394478</v>
      </c>
      <c r="BG1912" t="s">
        <v>74</v>
      </c>
      <c r="BH1912" t="s">
        <v>393</v>
      </c>
      <c r="BI1912">
        <v>18</v>
      </c>
      <c r="BJ1912" t="s">
        <v>1137</v>
      </c>
      <c r="BK1912" t="s">
        <v>99</v>
      </c>
      <c r="BL1912" t="s">
        <v>1137</v>
      </c>
      <c r="BM1912" t="s">
        <v>19876</v>
      </c>
      <c r="BN1912" t="s">
        <v>74</v>
      </c>
      <c r="BO1912" t="s">
        <v>74</v>
      </c>
      <c r="BP1912" t="s">
        <v>74</v>
      </c>
      <c r="BQ1912" t="s">
        <v>74</v>
      </c>
      <c r="BR1912" t="s">
        <v>102</v>
      </c>
      <c r="BS1912" t="s">
        <v>19875</v>
      </c>
      <c r="BT1912" t="str">
        <f>HYPERLINK("https%3A%2F%2Fwww.webofscience.com%2Fwos%2Fwoscc%2Ffull-record%2FWOS:001296301900001","View Full Record in Web of Science")</f>
        <v>View Full Record in Web of Science</v>
      </c>
    </row>
    <row r="1913" spans="1:72" x14ac:dyDescent="0.25">
      <c r="A1913" t="s">
        <v>8303</v>
      </c>
      <c r="B1913" t="s">
        <v>19874</v>
      </c>
      <c r="C1913" t="s">
        <v>74</v>
      </c>
      <c r="D1913" t="s">
        <v>74</v>
      </c>
      <c r="E1913" t="s">
        <v>74</v>
      </c>
      <c r="F1913" t="s">
        <v>19874</v>
      </c>
      <c r="G1913" t="s">
        <v>74</v>
      </c>
      <c r="H1913" t="s">
        <v>74</v>
      </c>
      <c r="I1913" t="s">
        <v>19873</v>
      </c>
      <c r="J1913" t="s">
        <v>19872</v>
      </c>
      <c r="K1913" t="s">
        <v>19871</v>
      </c>
      <c r="L1913" t="s">
        <v>74</v>
      </c>
      <c r="M1913" t="s">
        <v>78</v>
      </c>
      <c r="N1913" t="s">
        <v>19870</v>
      </c>
      <c r="O1913" t="s">
        <v>74</v>
      </c>
      <c r="P1913" t="s">
        <v>74</v>
      </c>
      <c r="Q1913" t="s">
        <v>74</v>
      </c>
      <c r="R1913" t="s">
        <v>74</v>
      </c>
      <c r="S1913" t="s">
        <v>74</v>
      </c>
      <c r="T1913" t="s">
        <v>74</v>
      </c>
      <c r="U1913" t="s">
        <v>19869</v>
      </c>
      <c r="V1913" t="s">
        <v>74</v>
      </c>
      <c r="W1913" t="s">
        <v>74</v>
      </c>
      <c r="X1913" t="s">
        <v>74</v>
      </c>
      <c r="Y1913" t="s">
        <v>74</v>
      </c>
      <c r="Z1913" t="s">
        <v>74</v>
      </c>
      <c r="AA1913" t="s">
        <v>74</v>
      </c>
      <c r="AB1913" t="s">
        <v>74</v>
      </c>
      <c r="AC1913" t="s">
        <v>74</v>
      </c>
      <c r="AD1913" t="s">
        <v>74</v>
      </c>
      <c r="AE1913" t="s">
        <v>74</v>
      </c>
      <c r="AF1913" t="s">
        <v>74</v>
      </c>
      <c r="AG1913">
        <v>197</v>
      </c>
      <c r="AH1913">
        <v>6</v>
      </c>
      <c r="AI1913">
        <v>7</v>
      </c>
      <c r="AJ1913">
        <v>0</v>
      </c>
      <c r="AK1913">
        <v>1</v>
      </c>
      <c r="AL1913" t="s">
        <v>19689</v>
      </c>
      <c r="AM1913" t="s">
        <v>333</v>
      </c>
      <c r="AN1913" t="s">
        <v>19688</v>
      </c>
      <c r="AO1913" t="s">
        <v>74</v>
      </c>
      <c r="AP1913" t="s">
        <v>74</v>
      </c>
      <c r="AQ1913" t="s">
        <v>19868</v>
      </c>
      <c r="AR1913" t="s">
        <v>19867</v>
      </c>
      <c r="AS1913" t="s">
        <v>74</v>
      </c>
      <c r="AT1913" t="s">
        <v>74</v>
      </c>
      <c r="AU1913">
        <v>2012</v>
      </c>
      <c r="AV1913">
        <v>17</v>
      </c>
      <c r="AW1913" t="s">
        <v>74</v>
      </c>
      <c r="AX1913" t="s">
        <v>74</v>
      </c>
      <c r="AY1913" t="s">
        <v>74</v>
      </c>
      <c r="AZ1913" t="s">
        <v>74</v>
      </c>
      <c r="BA1913" t="s">
        <v>74</v>
      </c>
      <c r="BB1913">
        <v>1</v>
      </c>
      <c r="BC1913">
        <v>215</v>
      </c>
      <c r="BD1913" t="s">
        <v>74</v>
      </c>
      <c r="BE1913" t="s">
        <v>74</v>
      </c>
      <c r="BF1913" t="s">
        <v>74</v>
      </c>
      <c r="BG1913" t="s">
        <v>74</v>
      </c>
      <c r="BH1913" t="s">
        <v>74</v>
      </c>
      <c r="BI1913">
        <v>215</v>
      </c>
      <c r="BJ1913" t="s">
        <v>19866</v>
      </c>
      <c r="BK1913" t="s">
        <v>8314</v>
      </c>
      <c r="BL1913" t="s">
        <v>19865</v>
      </c>
      <c r="BM1913" t="s">
        <v>19864</v>
      </c>
      <c r="BN1913" t="s">
        <v>74</v>
      </c>
      <c r="BO1913" t="s">
        <v>74</v>
      </c>
      <c r="BP1913" t="s">
        <v>74</v>
      </c>
      <c r="BQ1913" t="s">
        <v>74</v>
      </c>
      <c r="BR1913" t="s">
        <v>102</v>
      </c>
      <c r="BS1913" t="s">
        <v>19863</v>
      </c>
      <c r="BT1913" t="str">
        <f>HYPERLINK("https%3A%2F%2Fwww.webofscience.com%2Fwos%2Fwoscc%2Ffull-record%2FWOS:000306131800009","View Full Record in Web of Science")</f>
        <v>View Full Record in Web of Science</v>
      </c>
    </row>
    <row r="1914" spans="1:72" x14ac:dyDescent="0.25">
      <c r="A1914" t="s">
        <v>132</v>
      </c>
      <c r="B1914" t="s">
        <v>19862</v>
      </c>
      <c r="C1914" t="s">
        <v>74</v>
      </c>
      <c r="D1914" t="s">
        <v>74</v>
      </c>
      <c r="E1914" t="s">
        <v>19861</v>
      </c>
      <c r="F1914" t="s">
        <v>19860</v>
      </c>
      <c r="G1914" t="s">
        <v>74</v>
      </c>
      <c r="H1914" t="s">
        <v>74</v>
      </c>
      <c r="I1914" t="s">
        <v>19859</v>
      </c>
      <c r="J1914" t="s">
        <v>19858</v>
      </c>
      <c r="K1914" t="s">
        <v>19857</v>
      </c>
      <c r="L1914" t="s">
        <v>74</v>
      </c>
      <c r="M1914" t="s">
        <v>78</v>
      </c>
      <c r="N1914" t="s">
        <v>138</v>
      </c>
      <c r="O1914" t="s">
        <v>19856</v>
      </c>
      <c r="P1914" t="s">
        <v>19855</v>
      </c>
      <c r="Q1914" t="s">
        <v>19854</v>
      </c>
      <c r="R1914" t="s">
        <v>19853</v>
      </c>
      <c r="S1914" t="s">
        <v>74</v>
      </c>
      <c r="T1914" t="s">
        <v>74</v>
      </c>
      <c r="U1914" t="s">
        <v>74</v>
      </c>
      <c r="V1914" t="s">
        <v>74</v>
      </c>
      <c r="W1914" t="s">
        <v>19852</v>
      </c>
      <c r="X1914" t="s">
        <v>19851</v>
      </c>
      <c r="Y1914" t="s">
        <v>19850</v>
      </c>
      <c r="Z1914" t="s">
        <v>74</v>
      </c>
      <c r="AA1914" t="s">
        <v>19849</v>
      </c>
      <c r="AB1914" t="s">
        <v>74</v>
      </c>
      <c r="AC1914" t="s">
        <v>74</v>
      </c>
      <c r="AD1914" t="s">
        <v>74</v>
      </c>
      <c r="AE1914" t="s">
        <v>74</v>
      </c>
      <c r="AF1914" t="s">
        <v>74</v>
      </c>
      <c r="AG1914">
        <v>9</v>
      </c>
      <c r="AH1914">
        <v>1</v>
      </c>
      <c r="AI1914">
        <v>1</v>
      </c>
      <c r="AJ1914">
        <v>2</v>
      </c>
      <c r="AK1914">
        <v>14</v>
      </c>
      <c r="AL1914" t="s">
        <v>19848</v>
      </c>
      <c r="AM1914" t="s">
        <v>15157</v>
      </c>
      <c r="AN1914" t="s">
        <v>19847</v>
      </c>
      <c r="AO1914" t="s">
        <v>19846</v>
      </c>
      <c r="AP1914" t="s">
        <v>74</v>
      </c>
      <c r="AQ1914" t="s">
        <v>19845</v>
      </c>
      <c r="AR1914" t="s">
        <v>19844</v>
      </c>
      <c r="AS1914" t="s">
        <v>74</v>
      </c>
      <c r="AT1914" t="s">
        <v>74</v>
      </c>
      <c r="AU1914">
        <v>2015</v>
      </c>
      <c r="AV1914" t="s">
        <v>74</v>
      </c>
      <c r="AW1914" t="s">
        <v>74</v>
      </c>
      <c r="AX1914" t="s">
        <v>74</v>
      </c>
      <c r="AY1914" t="s">
        <v>74</v>
      </c>
      <c r="AZ1914" t="s">
        <v>74</v>
      </c>
      <c r="BA1914" t="s">
        <v>74</v>
      </c>
      <c r="BB1914">
        <v>69</v>
      </c>
      <c r="BC1914">
        <v>94</v>
      </c>
      <c r="BD1914" t="s">
        <v>74</v>
      </c>
      <c r="BE1914" t="s">
        <v>19843</v>
      </c>
      <c r="BF1914" t="str">
        <f>HYPERLINK("http://dx.doi.org/10.1007/978-4-431-55254-3_5","http://dx.doi.org/10.1007/978-4-431-55254-3_5")</f>
        <v>http://dx.doi.org/10.1007/978-4-431-55254-3_5</v>
      </c>
      <c r="BG1914" t="s">
        <v>74</v>
      </c>
      <c r="BH1914" t="s">
        <v>74</v>
      </c>
      <c r="BI1914">
        <v>26</v>
      </c>
      <c r="BJ1914" t="s">
        <v>19842</v>
      </c>
      <c r="BK1914" t="s">
        <v>183</v>
      </c>
      <c r="BL1914" t="s">
        <v>1406</v>
      </c>
      <c r="BM1914" t="s">
        <v>19841</v>
      </c>
      <c r="BN1914" t="s">
        <v>74</v>
      </c>
      <c r="BO1914" t="s">
        <v>74</v>
      </c>
      <c r="BP1914" t="s">
        <v>74</v>
      </c>
      <c r="BQ1914" t="s">
        <v>74</v>
      </c>
      <c r="BR1914" t="s">
        <v>102</v>
      </c>
      <c r="BS1914" t="s">
        <v>19840</v>
      </c>
      <c r="BT1914" t="str">
        <f>HYPERLINK("https%3A%2F%2Fwww.webofscience.com%2Fwos%2Fwoscc%2Ffull-record%2FWOS:000358515900005","View Full Record in Web of Science")</f>
        <v>View Full Record in Web of Science</v>
      </c>
    </row>
    <row r="1915" spans="1:72" x14ac:dyDescent="0.25">
      <c r="A1915" t="s">
        <v>72</v>
      </c>
      <c r="B1915" t="s">
        <v>19839</v>
      </c>
      <c r="C1915" t="s">
        <v>74</v>
      </c>
      <c r="D1915" t="s">
        <v>74</v>
      </c>
      <c r="E1915" t="s">
        <v>74</v>
      </c>
      <c r="F1915" t="s">
        <v>19838</v>
      </c>
      <c r="G1915" t="s">
        <v>74</v>
      </c>
      <c r="H1915" t="s">
        <v>74</v>
      </c>
      <c r="I1915" t="s">
        <v>19837</v>
      </c>
      <c r="J1915" t="s">
        <v>11333</v>
      </c>
      <c r="K1915" t="s">
        <v>74</v>
      </c>
      <c r="L1915" t="s">
        <v>74</v>
      </c>
      <c r="M1915" t="s">
        <v>78</v>
      </c>
      <c r="N1915" t="s">
        <v>79</v>
      </c>
      <c r="O1915" t="s">
        <v>74</v>
      </c>
      <c r="P1915" t="s">
        <v>74</v>
      </c>
      <c r="Q1915" t="s">
        <v>74</v>
      </c>
      <c r="R1915" t="s">
        <v>74</v>
      </c>
      <c r="S1915" t="s">
        <v>74</v>
      </c>
      <c r="T1915" t="s">
        <v>19836</v>
      </c>
      <c r="U1915" t="s">
        <v>19835</v>
      </c>
      <c r="V1915" t="s">
        <v>19834</v>
      </c>
      <c r="W1915" t="s">
        <v>19833</v>
      </c>
      <c r="X1915" t="s">
        <v>19832</v>
      </c>
      <c r="Y1915" t="s">
        <v>19831</v>
      </c>
      <c r="Z1915" t="s">
        <v>19830</v>
      </c>
      <c r="AA1915" t="s">
        <v>19829</v>
      </c>
      <c r="AB1915" t="s">
        <v>19828</v>
      </c>
      <c r="AC1915" t="s">
        <v>74</v>
      </c>
      <c r="AD1915" t="s">
        <v>74</v>
      </c>
      <c r="AE1915" t="s">
        <v>74</v>
      </c>
      <c r="AF1915" t="s">
        <v>74</v>
      </c>
      <c r="AG1915">
        <v>71</v>
      </c>
      <c r="AH1915">
        <v>38</v>
      </c>
      <c r="AI1915">
        <v>48</v>
      </c>
      <c r="AJ1915">
        <v>1</v>
      </c>
      <c r="AK1915">
        <v>30</v>
      </c>
      <c r="AL1915" t="s">
        <v>89</v>
      </c>
      <c r="AM1915" t="s">
        <v>1497</v>
      </c>
      <c r="AN1915" t="s">
        <v>1498</v>
      </c>
      <c r="AO1915" t="s">
        <v>11343</v>
      </c>
      <c r="AP1915" t="s">
        <v>11344</v>
      </c>
      <c r="AQ1915" t="s">
        <v>74</v>
      </c>
      <c r="AR1915" t="s">
        <v>11345</v>
      </c>
      <c r="AS1915" t="s">
        <v>11346</v>
      </c>
      <c r="AT1915" t="s">
        <v>74</v>
      </c>
      <c r="AU1915">
        <v>2017</v>
      </c>
      <c r="AV1915">
        <v>11</v>
      </c>
      <c r="AW1915">
        <v>1</v>
      </c>
      <c r="AX1915" t="s">
        <v>74</v>
      </c>
      <c r="AY1915" t="s">
        <v>74</v>
      </c>
      <c r="AZ1915" t="s">
        <v>74</v>
      </c>
      <c r="BA1915" t="s">
        <v>74</v>
      </c>
      <c r="BB1915">
        <v>22</v>
      </c>
      <c r="BC1915">
        <v>40</v>
      </c>
      <c r="BD1915" t="s">
        <v>74</v>
      </c>
      <c r="BE1915" t="s">
        <v>19827</v>
      </c>
      <c r="BF1915" t="str">
        <f>HYPERLINK("http://dx.doi.org/10.1108/JABS-11-2015-0191","http://dx.doi.org/10.1108/JABS-11-2015-0191")</f>
        <v>http://dx.doi.org/10.1108/JABS-11-2015-0191</v>
      </c>
      <c r="BG1915" t="s">
        <v>74</v>
      </c>
      <c r="BH1915" t="s">
        <v>74</v>
      </c>
      <c r="BI1915">
        <v>19</v>
      </c>
      <c r="BJ1915" t="s">
        <v>418</v>
      </c>
      <c r="BK1915" t="s">
        <v>313</v>
      </c>
      <c r="BL1915" t="s">
        <v>100</v>
      </c>
      <c r="BM1915" t="s">
        <v>19826</v>
      </c>
      <c r="BN1915" t="s">
        <v>74</v>
      </c>
      <c r="BO1915" t="s">
        <v>74</v>
      </c>
      <c r="BP1915" t="s">
        <v>74</v>
      </c>
      <c r="BQ1915" t="s">
        <v>74</v>
      </c>
      <c r="BR1915" t="s">
        <v>102</v>
      </c>
      <c r="BS1915" t="s">
        <v>19825</v>
      </c>
      <c r="BT1915" t="str">
        <f>HYPERLINK("https%3A%2F%2Fwww.webofscience.com%2Fwos%2Fwoscc%2Ffull-record%2FWOS:000396452200003","View Full Record in Web of Science")</f>
        <v>View Full Record in Web of Science</v>
      </c>
    </row>
    <row r="1916" spans="1:72" x14ac:dyDescent="0.25">
      <c r="A1916" t="s">
        <v>72</v>
      </c>
      <c r="B1916" t="s">
        <v>19824</v>
      </c>
      <c r="C1916" t="s">
        <v>74</v>
      </c>
      <c r="D1916" t="s">
        <v>74</v>
      </c>
      <c r="E1916" t="s">
        <v>74</v>
      </c>
      <c r="F1916" t="s">
        <v>19823</v>
      </c>
      <c r="G1916" t="s">
        <v>74</v>
      </c>
      <c r="H1916" t="s">
        <v>74</v>
      </c>
      <c r="I1916" t="s">
        <v>19822</v>
      </c>
      <c r="J1916" t="s">
        <v>19821</v>
      </c>
      <c r="K1916" t="s">
        <v>74</v>
      </c>
      <c r="L1916" t="s">
        <v>74</v>
      </c>
      <c r="M1916" t="s">
        <v>78</v>
      </c>
      <c r="N1916" t="s">
        <v>79</v>
      </c>
      <c r="O1916" t="s">
        <v>74</v>
      </c>
      <c r="P1916" t="s">
        <v>74</v>
      </c>
      <c r="Q1916" t="s">
        <v>74</v>
      </c>
      <c r="R1916" t="s">
        <v>74</v>
      </c>
      <c r="S1916" t="s">
        <v>74</v>
      </c>
      <c r="T1916" t="s">
        <v>19820</v>
      </c>
      <c r="U1916" t="s">
        <v>2945</v>
      </c>
      <c r="V1916" t="s">
        <v>19819</v>
      </c>
      <c r="W1916" t="s">
        <v>19818</v>
      </c>
      <c r="X1916" t="s">
        <v>19817</v>
      </c>
      <c r="Y1916" t="s">
        <v>19816</v>
      </c>
      <c r="Z1916" t="s">
        <v>19815</v>
      </c>
      <c r="AA1916" t="s">
        <v>19814</v>
      </c>
      <c r="AB1916" t="s">
        <v>19813</v>
      </c>
      <c r="AC1916" t="s">
        <v>74</v>
      </c>
      <c r="AD1916" t="s">
        <v>74</v>
      </c>
      <c r="AE1916" t="s">
        <v>74</v>
      </c>
      <c r="AF1916" t="s">
        <v>74</v>
      </c>
      <c r="AG1916">
        <v>65</v>
      </c>
      <c r="AH1916">
        <v>2</v>
      </c>
      <c r="AI1916">
        <v>3</v>
      </c>
      <c r="AJ1916">
        <v>0</v>
      </c>
      <c r="AK1916">
        <v>8</v>
      </c>
      <c r="AL1916" t="s">
        <v>503</v>
      </c>
      <c r="AM1916" t="s">
        <v>151</v>
      </c>
      <c r="AN1916" t="s">
        <v>504</v>
      </c>
      <c r="AO1916" t="s">
        <v>19812</v>
      </c>
      <c r="AP1916" t="s">
        <v>19811</v>
      </c>
      <c r="AQ1916" t="s">
        <v>74</v>
      </c>
      <c r="AR1916" t="s">
        <v>19810</v>
      </c>
      <c r="AS1916" t="s">
        <v>19809</v>
      </c>
      <c r="AT1916" t="s">
        <v>1652</v>
      </c>
      <c r="AU1916">
        <v>2023</v>
      </c>
      <c r="AV1916">
        <v>87</v>
      </c>
      <c r="AW1916" t="s">
        <v>74</v>
      </c>
      <c r="AX1916" t="s">
        <v>3828</v>
      </c>
      <c r="AY1916" t="s">
        <v>74</v>
      </c>
      <c r="AZ1916" t="s">
        <v>74</v>
      </c>
      <c r="BA1916" t="s">
        <v>74</v>
      </c>
      <c r="BB1916" t="s">
        <v>74</v>
      </c>
      <c r="BC1916" t="s">
        <v>74</v>
      </c>
      <c r="BD1916">
        <v>101561</v>
      </c>
      <c r="BE1916" t="s">
        <v>19808</v>
      </c>
      <c r="BF1916" t="str">
        <f>HYPERLINK("http://dx.doi.org/10.1016/j.seps.2023.101561","http://dx.doi.org/10.1016/j.seps.2023.101561")</f>
        <v>http://dx.doi.org/10.1016/j.seps.2023.101561</v>
      </c>
      <c r="BG1916" t="s">
        <v>74</v>
      </c>
      <c r="BH1916" t="s">
        <v>6418</v>
      </c>
      <c r="BI1916">
        <v>10</v>
      </c>
      <c r="BJ1916" t="s">
        <v>19807</v>
      </c>
      <c r="BK1916" t="s">
        <v>2623</v>
      </c>
      <c r="BL1916" t="s">
        <v>5170</v>
      </c>
      <c r="BM1916" t="s">
        <v>19806</v>
      </c>
      <c r="BN1916" t="s">
        <v>74</v>
      </c>
      <c r="BO1916" t="s">
        <v>74</v>
      </c>
      <c r="BP1916" t="s">
        <v>74</v>
      </c>
      <c r="BQ1916" t="s">
        <v>74</v>
      </c>
      <c r="BR1916" t="s">
        <v>102</v>
      </c>
      <c r="BS1916" t="s">
        <v>19805</v>
      </c>
      <c r="BT1916" t="str">
        <f>HYPERLINK("https%3A%2F%2Fwww.webofscience.com%2Fwos%2Fwoscc%2Ffull-record%2FWOS:001015099000001","View Full Record in Web of Science")</f>
        <v>View Full Record in Web of Science</v>
      </c>
    </row>
    <row r="1917" spans="1:72" x14ac:dyDescent="0.25">
      <c r="A1917" t="s">
        <v>72</v>
      </c>
      <c r="B1917" t="s">
        <v>19804</v>
      </c>
      <c r="C1917" t="s">
        <v>74</v>
      </c>
      <c r="D1917" t="s">
        <v>74</v>
      </c>
      <c r="E1917" t="s">
        <v>74</v>
      </c>
      <c r="F1917" t="s">
        <v>19803</v>
      </c>
      <c r="G1917" t="s">
        <v>74</v>
      </c>
      <c r="H1917" t="s">
        <v>74</v>
      </c>
      <c r="I1917" t="s">
        <v>19802</v>
      </c>
      <c r="J1917" t="s">
        <v>19801</v>
      </c>
      <c r="K1917" t="s">
        <v>74</v>
      </c>
      <c r="L1917" t="s">
        <v>74</v>
      </c>
      <c r="M1917" t="s">
        <v>78</v>
      </c>
      <c r="N1917" t="s">
        <v>79</v>
      </c>
      <c r="O1917" t="s">
        <v>74</v>
      </c>
      <c r="P1917" t="s">
        <v>74</v>
      </c>
      <c r="Q1917" t="s">
        <v>74</v>
      </c>
      <c r="R1917" t="s">
        <v>74</v>
      </c>
      <c r="S1917" t="s">
        <v>74</v>
      </c>
      <c r="T1917" t="s">
        <v>19800</v>
      </c>
      <c r="U1917" t="s">
        <v>19799</v>
      </c>
      <c r="V1917" t="s">
        <v>19798</v>
      </c>
      <c r="W1917" t="s">
        <v>19797</v>
      </c>
      <c r="X1917" t="s">
        <v>19796</v>
      </c>
      <c r="Y1917" t="s">
        <v>19795</v>
      </c>
      <c r="Z1917" t="s">
        <v>19794</v>
      </c>
      <c r="AA1917" t="s">
        <v>74</v>
      </c>
      <c r="AB1917" t="s">
        <v>74</v>
      </c>
      <c r="AC1917" t="s">
        <v>19793</v>
      </c>
      <c r="AD1917" t="s">
        <v>9224</v>
      </c>
      <c r="AE1917" t="s">
        <v>19792</v>
      </c>
      <c r="AF1917" t="s">
        <v>74</v>
      </c>
      <c r="AG1917">
        <v>67</v>
      </c>
      <c r="AH1917">
        <v>76</v>
      </c>
      <c r="AI1917">
        <v>85</v>
      </c>
      <c r="AJ1917">
        <v>57</v>
      </c>
      <c r="AK1917">
        <v>1188</v>
      </c>
      <c r="AL1917" t="s">
        <v>89</v>
      </c>
      <c r="AM1917" t="s">
        <v>1497</v>
      </c>
      <c r="AN1917" t="s">
        <v>1498</v>
      </c>
      <c r="AO1917" t="s">
        <v>19791</v>
      </c>
      <c r="AP1917" t="s">
        <v>19790</v>
      </c>
      <c r="AQ1917" t="s">
        <v>74</v>
      </c>
      <c r="AR1917" t="s">
        <v>19789</v>
      </c>
      <c r="AS1917" t="s">
        <v>19788</v>
      </c>
      <c r="AT1917" t="s">
        <v>7902</v>
      </c>
      <c r="AU1917">
        <v>2019</v>
      </c>
      <c r="AV1917">
        <v>119</v>
      </c>
      <c r="AW1917">
        <v>7</v>
      </c>
      <c r="AX1917" t="s">
        <v>74</v>
      </c>
      <c r="AY1917" t="s">
        <v>74</v>
      </c>
      <c r="AZ1917" t="s">
        <v>441</v>
      </c>
      <c r="BA1917" t="s">
        <v>74</v>
      </c>
      <c r="BB1917">
        <v>1535</v>
      </c>
      <c r="BC1917">
        <v>1563</v>
      </c>
      <c r="BD1917" t="s">
        <v>74</v>
      </c>
      <c r="BE1917" t="s">
        <v>19787</v>
      </c>
      <c r="BF1917" t="str">
        <f>HYPERLINK("http://dx.doi.org/10.1108/IMDS-08-2018-0374","http://dx.doi.org/10.1108/IMDS-08-2018-0374")</f>
        <v>http://dx.doi.org/10.1108/IMDS-08-2018-0374</v>
      </c>
      <c r="BG1917" t="s">
        <v>74</v>
      </c>
      <c r="BH1917" t="s">
        <v>74</v>
      </c>
      <c r="BI1917">
        <v>29</v>
      </c>
      <c r="BJ1917" t="s">
        <v>19786</v>
      </c>
      <c r="BK1917" t="s">
        <v>2623</v>
      </c>
      <c r="BL1917" t="s">
        <v>981</v>
      </c>
      <c r="BM1917" t="s">
        <v>19785</v>
      </c>
      <c r="BN1917" t="s">
        <v>74</v>
      </c>
      <c r="BO1917" t="s">
        <v>74</v>
      </c>
      <c r="BP1917" t="s">
        <v>74</v>
      </c>
      <c r="BQ1917" t="s">
        <v>74</v>
      </c>
      <c r="BR1917" t="s">
        <v>102</v>
      </c>
      <c r="BS1917" t="s">
        <v>19784</v>
      </c>
      <c r="BT1917" t="str">
        <f>HYPERLINK("https%3A%2F%2Fwww.webofscience.com%2Fwos%2Fwoscc%2Ffull-record%2FWOS:000486511800007","View Full Record in Web of Science")</f>
        <v>View Full Record in Web of Science</v>
      </c>
    </row>
    <row r="1918" spans="1:72" x14ac:dyDescent="0.25">
      <c r="A1918" t="s">
        <v>72</v>
      </c>
      <c r="B1918" t="s">
        <v>19783</v>
      </c>
      <c r="C1918" t="s">
        <v>74</v>
      </c>
      <c r="D1918" t="s">
        <v>74</v>
      </c>
      <c r="E1918" t="s">
        <v>74</v>
      </c>
      <c r="F1918" t="s">
        <v>19782</v>
      </c>
      <c r="G1918" t="s">
        <v>74</v>
      </c>
      <c r="H1918" t="s">
        <v>74</v>
      </c>
      <c r="I1918" t="s">
        <v>19781</v>
      </c>
      <c r="J1918" t="s">
        <v>7220</v>
      </c>
      <c r="K1918" t="s">
        <v>74</v>
      </c>
      <c r="L1918" t="s">
        <v>74</v>
      </c>
      <c r="M1918" t="s">
        <v>78</v>
      </c>
      <c r="N1918" t="s">
        <v>372</v>
      </c>
      <c r="O1918" t="s">
        <v>74</v>
      </c>
      <c r="P1918" t="s">
        <v>74</v>
      </c>
      <c r="Q1918" t="s">
        <v>74</v>
      </c>
      <c r="R1918" t="s">
        <v>74</v>
      </c>
      <c r="S1918" t="s">
        <v>74</v>
      </c>
      <c r="T1918" t="s">
        <v>19780</v>
      </c>
      <c r="U1918" t="s">
        <v>19779</v>
      </c>
      <c r="V1918" t="s">
        <v>19778</v>
      </c>
      <c r="W1918" t="s">
        <v>19777</v>
      </c>
      <c r="X1918" t="s">
        <v>19776</v>
      </c>
      <c r="Y1918" t="s">
        <v>19775</v>
      </c>
      <c r="Z1918" t="s">
        <v>19774</v>
      </c>
      <c r="AA1918" t="s">
        <v>19773</v>
      </c>
      <c r="AB1918" t="s">
        <v>74</v>
      </c>
      <c r="AC1918" t="s">
        <v>74</v>
      </c>
      <c r="AD1918" t="s">
        <v>74</v>
      </c>
      <c r="AE1918" t="s">
        <v>74</v>
      </c>
      <c r="AF1918" t="s">
        <v>74</v>
      </c>
      <c r="AG1918">
        <v>51</v>
      </c>
      <c r="AH1918">
        <v>0</v>
      </c>
      <c r="AI1918">
        <v>0</v>
      </c>
      <c r="AJ1918">
        <v>0</v>
      </c>
      <c r="AK1918">
        <v>0</v>
      </c>
      <c r="AL1918" t="s">
        <v>89</v>
      </c>
      <c r="AM1918" t="s">
        <v>90</v>
      </c>
      <c r="AN1918" t="s">
        <v>91</v>
      </c>
      <c r="AO1918" t="s">
        <v>7230</v>
      </c>
      <c r="AP1918" t="s">
        <v>7231</v>
      </c>
      <c r="AQ1918" t="s">
        <v>74</v>
      </c>
      <c r="AR1918" t="s">
        <v>7232</v>
      </c>
      <c r="AS1918" t="s">
        <v>7233</v>
      </c>
      <c r="AT1918" t="s">
        <v>6531</v>
      </c>
      <c r="AU1918">
        <v>2025</v>
      </c>
      <c r="AV1918" t="s">
        <v>74</v>
      </c>
      <c r="AW1918" t="s">
        <v>74</v>
      </c>
      <c r="AX1918" t="s">
        <v>74</v>
      </c>
      <c r="AY1918" t="s">
        <v>74</v>
      </c>
      <c r="AZ1918" t="s">
        <v>74</v>
      </c>
      <c r="BA1918" t="s">
        <v>74</v>
      </c>
      <c r="BB1918" t="s">
        <v>74</v>
      </c>
      <c r="BC1918" t="s">
        <v>74</v>
      </c>
      <c r="BD1918" t="s">
        <v>74</v>
      </c>
      <c r="BE1918" t="s">
        <v>19772</v>
      </c>
      <c r="BF1918" t="str">
        <f>HYPERLINK("http://dx.doi.org/10.1108/JEAS-01-2025-0013","http://dx.doi.org/10.1108/JEAS-01-2025-0013")</f>
        <v>http://dx.doi.org/10.1108/JEAS-01-2025-0013</v>
      </c>
      <c r="BG1918" t="s">
        <v>74</v>
      </c>
      <c r="BH1918" t="s">
        <v>5030</v>
      </c>
      <c r="BI1918">
        <v>23</v>
      </c>
      <c r="BJ1918" t="s">
        <v>291</v>
      </c>
      <c r="BK1918" t="s">
        <v>313</v>
      </c>
      <c r="BL1918" t="s">
        <v>100</v>
      </c>
      <c r="BM1918" t="s">
        <v>19771</v>
      </c>
      <c r="BN1918" t="s">
        <v>74</v>
      </c>
      <c r="BO1918" t="s">
        <v>74</v>
      </c>
      <c r="BP1918" t="s">
        <v>74</v>
      </c>
      <c r="BQ1918" t="s">
        <v>74</v>
      </c>
      <c r="BR1918" t="s">
        <v>102</v>
      </c>
      <c r="BS1918" t="s">
        <v>19770</v>
      </c>
      <c r="BT1918" t="str">
        <f>HYPERLINK("https%3A%2F%2Fwww.webofscience.com%2Fwos%2Fwoscc%2Ffull-record%2FWOS:001561714100001","View Full Record in Web of Science")</f>
        <v>View Full Record in Web of Science</v>
      </c>
    </row>
    <row r="1919" spans="1:72" x14ac:dyDescent="0.25">
      <c r="A1919" t="s">
        <v>72</v>
      </c>
      <c r="B1919" t="s">
        <v>19769</v>
      </c>
      <c r="C1919" t="s">
        <v>74</v>
      </c>
      <c r="D1919" t="s">
        <v>74</v>
      </c>
      <c r="E1919" t="s">
        <v>74</v>
      </c>
      <c r="F1919" t="s">
        <v>19768</v>
      </c>
      <c r="G1919" t="s">
        <v>74</v>
      </c>
      <c r="H1919" t="s">
        <v>74</v>
      </c>
      <c r="I1919" t="s">
        <v>19767</v>
      </c>
      <c r="J1919" t="s">
        <v>3231</v>
      </c>
      <c r="K1919" t="s">
        <v>74</v>
      </c>
      <c r="L1919" t="s">
        <v>74</v>
      </c>
      <c r="M1919" t="s">
        <v>78</v>
      </c>
      <c r="N1919" t="s">
        <v>79</v>
      </c>
      <c r="O1919" t="s">
        <v>74</v>
      </c>
      <c r="P1919" t="s">
        <v>74</v>
      </c>
      <c r="Q1919" t="s">
        <v>74</v>
      </c>
      <c r="R1919" t="s">
        <v>74</v>
      </c>
      <c r="S1919" t="s">
        <v>74</v>
      </c>
      <c r="T1919" t="s">
        <v>19766</v>
      </c>
      <c r="U1919" t="s">
        <v>19765</v>
      </c>
      <c r="V1919" t="s">
        <v>19764</v>
      </c>
      <c r="W1919" t="s">
        <v>19763</v>
      </c>
      <c r="X1919" t="s">
        <v>19762</v>
      </c>
      <c r="Y1919" t="s">
        <v>19761</v>
      </c>
      <c r="Z1919" t="s">
        <v>19760</v>
      </c>
      <c r="AA1919" t="s">
        <v>19759</v>
      </c>
      <c r="AB1919" t="s">
        <v>19758</v>
      </c>
      <c r="AC1919" t="s">
        <v>19757</v>
      </c>
      <c r="AD1919" t="s">
        <v>19756</v>
      </c>
      <c r="AE1919" t="s">
        <v>19755</v>
      </c>
      <c r="AF1919" t="s">
        <v>74</v>
      </c>
      <c r="AG1919">
        <v>46</v>
      </c>
      <c r="AH1919">
        <v>16</v>
      </c>
      <c r="AI1919">
        <v>18</v>
      </c>
      <c r="AJ1919">
        <v>5</v>
      </c>
      <c r="AK1919">
        <v>13</v>
      </c>
      <c r="AL1919" t="s">
        <v>575</v>
      </c>
      <c r="AM1919" t="s">
        <v>576</v>
      </c>
      <c r="AN1919" t="s">
        <v>577</v>
      </c>
      <c r="AO1919" t="s">
        <v>74</v>
      </c>
      <c r="AP1919" t="s">
        <v>3243</v>
      </c>
      <c r="AQ1919" t="s">
        <v>74</v>
      </c>
      <c r="AR1919" t="s">
        <v>3244</v>
      </c>
      <c r="AS1919" t="s">
        <v>3245</v>
      </c>
      <c r="AT1919" t="s">
        <v>1540</v>
      </c>
      <c r="AU1919">
        <v>2020</v>
      </c>
      <c r="AV1919">
        <v>12</v>
      </c>
      <c r="AW1919">
        <v>9</v>
      </c>
      <c r="AX1919" t="s">
        <v>74</v>
      </c>
      <c r="AY1919" t="s">
        <v>74</v>
      </c>
      <c r="AZ1919" t="s">
        <v>74</v>
      </c>
      <c r="BA1919" t="s">
        <v>74</v>
      </c>
      <c r="BB1919" t="s">
        <v>74</v>
      </c>
      <c r="BC1919" t="s">
        <v>74</v>
      </c>
      <c r="BD1919">
        <v>3741</v>
      </c>
      <c r="BE1919" t="s">
        <v>19754</v>
      </c>
      <c r="BF1919" t="str">
        <f>HYPERLINK("http://dx.doi.org/10.3390/su12093741","http://dx.doi.org/10.3390/su12093741")</f>
        <v>http://dx.doi.org/10.3390/su12093741</v>
      </c>
      <c r="BG1919" t="s">
        <v>74</v>
      </c>
      <c r="BH1919" t="s">
        <v>74</v>
      </c>
      <c r="BI1919">
        <v>34</v>
      </c>
      <c r="BJ1919" t="s">
        <v>3247</v>
      </c>
      <c r="BK1919" t="s">
        <v>2623</v>
      </c>
      <c r="BL1919" t="s">
        <v>3248</v>
      </c>
      <c r="BM1919" t="s">
        <v>16481</v>
      </c>
      <c r="BN1919" t="s">
        <v>74</v>
      </c>
      <c r="BO1919" t="s">
        <v>916</v>
      </c>
      <c r="BP1919" t="s">
        <v>74</v>
      </c>
      <c r="BQ1919" t="s">
        <v>74</v>
      </c>
      <c r="BR1919" t="s">
        <v>102</v>
      </c>
      <c r="BS1919" t="s">
        <v>19753</v>
      </c>
      <c r="BT1919" t="str">
        <f>HYPERLINK("https%3A%2F%2Fwww.webofscience.com%2Fwos%2Fwoscc%2Ffull-record%2FWOS:000537476200239","View Full Record in Web of Science")</f>
        <v>View Full Record in Web of Science</v>
      </c>
    </row>
    <row r="1920" spans="1:72" x14ac:dyDescent="0.25">
      <c r="A1920" t="s">
        <v>72</v>
      </c>
      <c r="B1920" t="s">
        <v>19752</v>
      </c>
      <c r="C1920" t="s">
        <v>74</v>
      </c>
      <c r="D1920" t="s">
        <v>74</v>
      </c>
      <c r="E1920" t="s">
        <v>74</v>
      </c>
      <c r="F1920" t="s">
        <v>19751</v>
      </c>
      <c r="G1920" t="s">
        <v>74</v>
      </c>
      <c r="H1920" t="s">
        <v>74</v>
      </c>
      <c r="I1920" t="s">
        <v>19750</v>
      </c>
      <c r="J1920" t="s">
        <v>19749</v>
      </c>
      <c r="K1920" t="s">
        <v>74</v>
      </c>
      <c r="L1920" t="s">
        <v>74</v>
      </c>
      <c r="M1920" t="s">
        <v>78</v>
      </c>
      <c r="N1920" t="s">
        <v>2355</v>
      </c>
      <c r="O1920" t="s">
        <v>74</v>
      </c>
      <c r="P1920" t="s">
        <v>74</v>
      </c>
      <c r="Q1920" t="s">
        <v>74</v>
      </c>
      <c r="R1920" t="s">
        <v>74</v>
      </c>
      <c r="S1920" t="s">
        <v>74</v>
      </c>
      <c r="T1920" t="s">
        <v>74</v>
      </c>
      <c r="U1920" t="s">
        <v>74</v>
      </c>
      <c r="V1920" t="s">
        <v>74</v>
      </c>
      <c r="W1920" t="s">
        <v>74</v>
      </c>
      <c r="X1920" t="s">
        <v>74</v>
      </c>
      <c r="Y1920" t="s">
        <v>74</v>
      </c>
      <c r="Z1920" t="s">
        <v>74</v>
      </c>
      <c r="AA1920" t="s">
        <v>74</v>
      </c>
      <c r="AB1920" t="s">
        <v>74</v>
      </c>
      <c r="AC1920" t="s">
        <v>74</v>
      </c>
      <c r="AD1920" t="s">
        <v>74</v>
      </c>
      <c r="AE1920" t="s">
        <v>74</v>
      </c>
      <c r="AF1920" t="s">
        <v>74</v>
      </c>
      <c r="AG1920">
        <v>1</v>
      </c>
      <c r="AH1920">
        <v>0</v>
      </c>
      <c r="AI1920">
        <v>0</v>
      </c>
      <c r="AJ1920">
        <v>0</v>
      </c>
      <c r="AK1920">
        <v>25</v>
      </c>
      <c r="AL1920" t="s">
        <v>2551</v>
      </c>
      <c r="AM1920" t="s">
        <v>231</v>
      </c>
      <c r="AN1920" t="s">
        <v>2552</v>
      </c>
      <c r="AO1920" t="s">
        <v>19748</v>
      </c>
      <c r="AP1920" t="s">
        <v>19747</v>
      </c>
      <c r="AQ1920" t="s">
        <v>74</v>
      </c>
      <c r="AR1920" t="s">
        <v>19746</v>
      </c>
      <c r="AS1920" t="s">
        <v>19745</v>
      </c>
      <c r="AT1920" t="s">
        <v>848</v>
      </c>
      <c r="AU1920">
        <v>2014</v>
      </c>
      <c r="AV1920">
        <v>38</v>
      </c>
      <c r="AW1920">
        <v>4</v>
      </c>
      <c r="AX1920" t="s">
        <v>74</v>
      </c>
      <c r="AY1920" t="s">
        <v>74</v>
      </c>
      <c r="AZ1920" t="s">
        <v>74</v>
      </c>
      <c r="BA1920" t="s">
        <v>74</v>
      </c>
      <c r="BB1920">
        <v>993</v>
      </c>
      <c r="BC1920">
        <v>993</v>
      </c>
      <c r="BD1920" t="s">
        <v>74</v>
      </c>
      <c r="BE1920" t="s">
        <v>19744</v>
      </c>
      <c r="BF1920" t="str">
        <f>HYPERLINK("http://dx.doi.org/10.1093/cje/beu026","http://dx.doi.org/10.1093/cje/beu026")</f>
        <v>http://dx.doi.org/10.1093/cje/beu026</v>
      </c>
      <c r="BG1920" t="s">
        <v>74</v>
      </c>
      <c r="BH1920" t="s">
        <v>74</v>
      </c>
      <c r="BI1920">
        <v>1</v>
      </c>
      <c r="BJ1920" t="s">
        <v>291</v>
      </c>
      <c r="BK1920" t="s">
        <v>99</v>
      </c>
      <c r="BL1920" t="s">
        <v>100</v>
      </c>
      <c r="BM1920" t="s">
        <v>19743</v>
      </c>
      <c r="BN1920" t="s">
        <v>74</v>
      </c>
      <c r="BO1920" t="s">
        <v>1205</v>
      </c>
      <c r="BP1920" t="s">
        <v>74</v>
      </c>
      <c r="BQ1920" t="s">
        <v>74</v>
      </c>
      <c r="BR1920" t="s">
        <v>102</v>
      </c>
      <c r="BS1920" t="s">
        <v>19742</v>
      </c>
      <c r="BT1920" t="str">
        <f>HYPERLINK("https%3A%2F%2Fwww.webofscience.com%2Fwos%2Fwoscc%2Ffull-record%2FWOS:000339122300015","View Full Record in Web of Science")</f>
        <v>View Full Record in Web of Science</v>
      </c>
    </row>
    <row r="1921" spans="1:72" x14ac:dyDescent="0.25">
      <c r="A1921" t="s">
        <v>72</v>
      </c>
      <c r="B1921" t="s">
        <v>19741</v>
      </c>
      <c r="C1921" t="s">
        <v>74</v>
      </c>
      <c r="D1921" t="s">
        <v>74</v>
      </c>
      <c r="E1921" t="s">
        <v>74</v>
      </c>
      <c r="F1921" t="s">
        <v>19740</v>
      </c>
      <c r="G1921" t="s">
        <v>74</v>
      </c>
      <c r="H1921" t="s">
        <v>74</v>
      </c>
      <c r="I1921" t="s">
        <v>19739</v>
      </c>
      <c r="J1921" t="s">
        <v>19738</v>
      </c>
      <c r="K1921" t="s">
        <v>74</v>
      </c>
      <c r="L1921" t="s">
        <v>74</v>
      </c>
      <c r="M1921" t="s">
        <v>78</v>
      </c>
      <c r="N1921" t="s">
        <v>79</v>
      </c>
      <c r="O1921" t="s">
        <v>74</v>
      </c>
      <c r="P1921" t="s">
        <v>74</v>
      </c>
      <c r="Q1921" t="s">
        <v>74</v>
      </c>
      <c r="R1921" t="s">
        <v>74</v>
      </c>
      <c r="S1921" t="s">
        <v>74</v>
      </c>
      <c r="T1921" t="s">
        <v>19737</v>
      </c>
      <c r="U1921" t="s">
        <v>19736</v>
      </c>
      <c r="V1921" t="s">
        <v>19735</v>
      </c>
      <c r="W1921" t="s">
        <v>19734</v>
      </c>
      <c r="X1921" t="s">
        <v>19733</v>
      </c>
      <c r="Y1921" t="s">
        <v>19732</v>
      </c>
      <c r="Z1921" t="s">
        <v>19731</v>
      </c>
      <c r="AA1921" t="s">
        <v>19730</v>
      </c>
      <c r="AB1921" t="s">
        <v>19729</v>
      </c>
      <c r="AC1921" t="s">
        <v>19728</v>
      </c>
      <c r="AD1921" t="s">
        <v>19727</v>
      </c>
      <c r="AE1921" t="s">
        <v>19726</v>
      </c>
      <c r="AF1921" t="s">
        <v>74</v>
      </c>
      <c r="AG1921">
        <v>50</v>
      </c>
      <c r="AH1921">
        <v>55</v>
      </c>
      <c r="AI1921">
        <v>83</v>
      </c>
      <c r="AJ1921">
        <v>1</v>
      </c>
      <c r="AK1921">
        <v>63</v>
      </c>
      <c r="AL1921" t="s">
        <v>5449</v>
      </c>
      <c r="AM1921" t="s">
        <v>5450</v>
      </c>
      <c r="AN1921" t="s">
        <v>5451</v>
      </c>
      <c r="AO1921" t="s">
        <v>19725</v>
      </c>
      <c r="AP1921" t="s">
        <v>19724</v>
      </c>
      <c r="AQ1921" t="s">
        <v>74</v>
      </c>
      <c r="AR1921" t="s">
        <v>19723</v>
      </c>
      <c r="AS1921" t="s">
        <v>19722</v>
      </c>
      <c r="AT1921" t="s">
        <v>4759</v>
      </c>
      <c r="AU1921">
        <v>2017</v>
      </c>
      <c r="AV1921">
        <v>36</v>
      </c>
      <c r="AW1921">
        <v>6</v>
      </c>
      <c r="AX1921" t="s">
        <v>74</v>
      </c>
      <c r="AY1921" t="s">
        <v>74</v>
      </c>
      <c r="AZ1921" t="s">
        <v>74</v>
      </c>
      <c r="BA1921" t="s">
        <v>74</v>
      </c>
      <c r="BB1921">
        <v>815</v>
      </c>
      <c r="BC1921">
        <v>837</v>
      </c>
      <c r="BD1921" t="s">
        <v>74</v>
      </c>
      <c r="BE1921" t="s">
        <v>19721</v>
      </c>
      <c r="BF1921" t="str">
        <f>HYPERLINK("http://dx.doi.org/10.1287/mksc.2017.1027","http://dx.doi.org/10.1287/mksc.2017.1027")</f>
        <v>http://dx.doi.org/10.1287/mksc.2017.1027</v>
      </c>
      <c r="BG1921" t="s">
        <v>74</v>
      </c>
      <c r="BH1921" t="s">
        <v>74</v>
      </c>
      <c r="BI1921">
        <v>23</v>
      </c>
      <c r="BJ1921" t="s">
        <v>418</v>
      </c>
      <c r="BK1921" t="s">
        <v>99</v>
      </c>
      <c r="BL1921" t="s">
        <v>100</v>
      </c>
      <c r="BM1921" t="s">
        <v>19720</v>
      </c>
      <c r="BN1921" t="s">
        <v>74</v>
      </c>
      <c r="BO1921" t="s">
        <v>74</v>
      </c>
      <c r="BP1921" t="s">
        <v>74</v>
      </c>
      <c r="BQ1921" t="s">
        <v>74</v>
      </c>
      <c r="BR1921" t="s">
        <v>102</v>
      </c>
      <c r="BS1921" t="s">
        <v>19719</v>
      </c>
      <c r="BT1921" t="str">
        <f>HYPERLINK("https%3A%2F%2Fwww.webofscience.com%2Fwos%2Fwoscc%2Ffull-record%2FWOS:000423123200003","View Full Record in Web of Science")</f>
        <v>View Full Record in Web of Science</v>
      </c>
    </row>
    <row r="1922" spans="1:72" x14ac:dyDescent="0.25">
      <c r="A1922" t="s">
        <v>72</v>
      </c>
      <c r="B1922" t="s">
        <v>19718</v>
      </c>
      <c r="C1922" t="s">
        <v>74</v>
      </c>
      <c r="D1922" t="s">
        <v>74</v>
      </c>
      <c r="E1922" t="s">
        <v>74</v>
      </c>
      <c r="F1922" t="s">
        <v>19717</v>
      </c>
      <c r="G1922" t="s">
        <v>74</v>
      </c>
      <c r="H1922" t="s">
        <v>74</v>
      </c>
      <c r="I1922" t="s">
        <v>19716</v>
      </c>
      <c r="J1922" t="s">
        <v>19715</v>
      </c>
      <c r="K1922" t="s">
        <v>74</v>
      </c>
      <c r="L1922" t="s">
        <v>74</v>
      </c>
      <c r="M1922" t="s">
        <v>78</v>
      </c>
      <c r="N1922" t="s">
        <v>79</v>
      </c>
      <c r="O1922" t="s">
        <v>74</v>
      </c>
      <c r="P1922" t="s">
        <v>74</v>
      </c>
      <c r="Q1922" t="s">
        <v>74</v>
      </c>
      <c r="R1922" t="s">
        <v>74</v>
      </c>
      <c r="S1922" t="s">
        <v>74</v>
      </c>
      <c r="T1922" t="s">
        <v>19714</v>
      </c>
      <c r="U1922" t="s">
        <v>19713</v>
      </c>
      <c r="V1922" t="s">
        <v>19712</v>
      </c>
      <c r="W1922" t="s">
        <v>19711</v>
      </c>
      <c r="X1922" t="s">
        <v>19710</v>
      </c>
      <c r="Y1922" t="s">
        <v>19709</v>
      </c>
      <c r="Z1922" t="s">
        <v>19708</v>
      </c>
      <c r="AA1922" t="s">
        <v>19707</v>
      </c>
      <c r="AB1922" t="s">
        <v>19706</v>
      </c>
      <c r="AC1922" t="s">
        <v>74</v>
      </c>
      <c r="AD1922" t="s">
        <v>74</v>
      </c>
      <c r="AE1922" t="s">
        <v>74</v>
      </c>
      <c r="AF1922" t="s">
        <v>74</v>
      </c>
      <c r="AG1922">
        <v>65</v>
      </c>
      <c r="AH1922">
        <v>7</v>
      </c>
      <c r="AI1922">
        <v>7</v>
      </c>
      <c r="AJ1922">
        <v>2</v>
      </c>
      <c r="AK1922">
        <v>12</v>
      </c>
      <c r="AL1922" t="s">
        <v>3380</v>
      </c>
      <c r="AM1922" t="s">
        <v>3381</v>
      </c>
      <c r="AN1922" t="s">
        <v>3382</v>
      </c>
      <c r="AO1922" t="s">
        <v>19705</v>
      </c>
      <c r="AP1922" t="s">
        <v>19704</v>
      </c>
      <c r="AQ1922" t="s">
        <v>74</v>
      </c>
      <c r="AR1922" t="s">
        <v>19703</v>
      </c>
      <c r="AS1922" t="s">
        <v>19702</v>
      </c>
      <c r="AT1922" t="s">
        <v>19701</v>
      </c>
      <c r="AU1922">
        <v>2024</v>
      </c>
      <c r="AV1922">
        <v>15</v>
      </c>
      <c r="AW1922">
        <v>1</v>
      </c>
      <c r="AX1922" t="s">
        <v>74</v>
      </c>
      <c r="AY1922" t="s">
        <v>74</v>
      </c>
      <c r="AZ1922" t="s">
        <v>74</v>
      </c>
      <c r="BA1922" t="s">
        <v>74</v>
      </c>
      <c r="BB1922">
        <v>43</v>
      </c>
      <c r="BC1922">
        <v>67</v>
      </c>
      <c r="BD1922" t="s">
        <v>74</v>
      </c>
      <c r="BE1922" t="s">
        <v>19700</v>
      </c>
      <c r="BF1922" t="str">
        <f>HYPERLINK("http://dx.doi.org/10.1086/717770","http://dx.doi.org/10.1086/717770")</f>
        <v>http://dx.doi.org/10.1086/717770</v>
      </c>
      <c r="BG1922" t="s">
        <v>74</v>
      </c>
      <c r="BH1922" t="s">
        <v>1981</v>
      </c>
      <c r="BI1922">
        <v>25</v>
      </c>
      <c r="BJ1922" t="s">
        <v>2045</v>
      </c>
      <c r="BK1922" t="s">
        <v>99</v>
      </c>
      <c r="BL1922" t="s">
        <v>2045</v>
      </c>
      <c r="BM1922" t="s">
        <v>19699</v>
      </c>
      <c r="BN1922" t="s">
        <v>74</v>
      </c>
      <c r="BO1922" t="s">
        <v>74</v>
      </c>
      <c r="BP1922" t="s">
        <v>74</v>
      </c>
      <c r="BQ1922" t="s">
        <v>74</v>
      </c>
      <c r="BR1922" t="s">
        <v>102</v>
      </c>
      <c r="BS1922" t="s">
        <v>19698</v>
      </c>
      <c r="BT1922" t="str">
        <f>HYPERLINK("https%3A%2F%2Fwww.webofscience.com%2Fwos%2Fwoscc%2Ffull-record%2FWOS:001197185600003","View Full Record in Web of Science")</f>
        <v>View Full Record in Web of Science</v>
      </c>
    </row>
    <row r="1923" spans="1:72" x14ac:dyDescent="0.25">
      <c r="A1923" t="s">
        <v>8303</v>
      </c>
      <c r="B1923" t="s">
        <v>19697</v>
      </c>
      <c r="C1923" t="s">
        <v>74</v>
      </c>
      <c r="D1923" t="s">
        <v>19696</v>
      </c>
      <c r="E1923" t="s">
        <v>74</v>
      </c>
      <c r="F1923" t="s">
        <v>19695</v>
      </c>
      <c r="G1923" t="s">
        <v>74</v>
      </c>
      <c r="H1923" t="s">
        <v>74</v>
      </c>
      <c r="I1923" t="s">
        <v>19694</v>
      </c>
      <c r="J1923" t="s">
        <v>19693</v>
      </c>
      <c r="K1923" t="s">
        <v>19692</v>
      </c>
      <c r="L1923" t="s">
        <v>74</v>
      </c>
      <c r="M1923" t="s">
        <v>78</v>
      </c>
      <c r="N1923" t="s">
        <v>6023</v>
      </c>
      <c r="O1923" t="s">
        <v>74</v>
      </c>
      <c r="P1923" t="s">
        <v>74</v>
      </c>
      <c r="Q1923" t="s">
        <v>74</v>
      </c>
      <c r="R1923" t="s">
        <v>74</v>
      </c>
      <c r="S1923" t="s">
        <v>74</v>
      </c>
      <c r="T1923" t="s">
        <v>74</v>
      </c>
      <c r="U1923" t="s">
        <v>8288</v>
      </c>
      <c r="V1923" t="s">
        <v>74</v>
      </c>
      <c r="W1923" t="s">
        <v>19691</v>
      </c>
      <c r="X1923" t="s">
        <v>2166</v>
      </c>
      <c r="Y1923" t="s">
        <v>19690</v>
      </c>
      <c r="Z1923" t="s">
        <v>74</v>
      </c>
      <c r="AA1923" t="s">
        <v>74</v>
      </c>
      <c r="AB1923" t="s">
        <v>74</v>
      </c>
      <c r="AC1923" t="s">
        <v>74</v>
      </c>
      <c r="AD1923" t="s">
        <v>74</v>
      </c>
      <c r="AE1923" t="s">
        <v>74</v>
      </c>
      <c r="AF1923" t="s">
        <v>74</v>
      </c>
      <c r="AG1923">
        <v>57</v>
      </c>
      <c r="AH1923">
        <v>0</v>
      </c>
      <c r="AI1923">
        <v>0</v>
      </c>
      <c r="AJ1923">
        <v>0</v>
      </c>
      <c r="AK1923">
        <v>3</v>
      </c>
      <c r="AL1923" t="s">
        <v>19689</v>
      </c>
      <c r="AM1923" t="s">
        <v>333</v>
      </c>
      <c r="AN1923" t="s">
        <v>19688</v>
      </c>
      <c r="AO1923" t="s">
        <v>74</v>
      </c>
      <c r="AP1923" t="s">
        <v>74</v>
      </c>
      <c r="AQ1923" t="s">
        <v>19687</v>
      </c>
      <c r="AR1923" t="s">
        <v>19686</v>
      </c>
      <c r="AS1923" t="s">
        <v>74</v>
      </c>
      <c r="AT1923" t="s">
        <v>74</v>
      </c>
      <c r="AU1923">
        <v>2014</v>
      </c>
      <c r="AV1923">
        <v>38</v>
      </c>
      <c r="AW1923" t="s">
        <v>74</v>
      </c>
      <c r="AX1923" t="s">
        <v>74</v>
      </c>
      <c r="AY1923" t="s">
        <v>74</v>
      </c>
      <c r="AZ1923" t="s">
        <v>74</v>
      </c>
      <c r="BA1923" t="s">
        <v>74</v>
      </c>
      <c r="BB1923">
        <v>91</v>
      </c>
      <c r="BC1923">
        <v>111</v>
      </c>
      <c r="BD1923" t="s">
        <v>74</v>
      </c>
      <c r="BE1923" t="s">
        <v>74</v>
      </c>
      <c r="BF1923" t="s">
        <v>74</v>
      </c>
      <c r="BG1923" t="s">
        <v>74</v>
      </c>
      <c r="BH1923" t="s">
        <v>74</v>
      </c>
      <c r="BI1923">
        <v>21</v>
      </c>
      <c r="BJ1923" t="s">
        <v>11289</v>
      </c>
      <c r="BK1923" t="s">
        <v>8314</v>
      </c>
      <c r="BL1923" t="s">
        <v>2282</v>
      </c>
      <c r="BM1923" t="s">
        <v>19685</v>
      </c>
      <c r="BN1923" t="s">
        <v>74</v>
      </c>
      <c r="BO1923" t="s">
        <v>74</v>
      </c>
      <c r="BP1923" t="s">
        <v>74</v>
      </c>
      <c r="BQ1923" t="s">
        <v>74</v>
      </c>
      <c r="BR1923" t="s">
        <v>102</v>
      </c>
      <c r="BS1923" t="s">
        <v>19684</v>
      </c>
      <c r="BT1923" t="str">
        <f>HYPERLINK("https%3A%2F%2Fwww.webofscience.com%2Fwos%2Fwoscc%2Ffull-record%2FWOS:000340168000005","View Full Record in Web of Science")</f>
        <v>View Full Record in Web of Science</v>
      </c>
    </row>
    <row r="1924" spans="1:72" x14ac:dyDescent="0.25">
      <c r="A1924" t="s">
        <v>72</v>
      </c>
      <c r="B1924" t="s">
        <v>19683</v>
      </c>
      <c r="C1924" t="s">
        <v>74</v>
      </c>
      <c r="D1924" t="s">
        <v>74</v>
      </c>
      <c r="E1924" t="s">
        <v>74</v>
      </c>
      <c r="F1924" t="s">
        <v>19682</v>
      </c>
      <c r="G1924" t="s">
        <v>74</v>
      </c>
      <c r="H1924" t="s">
        <v>74</v>
      </c>
      <c r="I1924" t="s">
        <v>19681</v>
      </c>
      <c r="J1924" t="s">
        <v>2071</v>
      </c>
      <c r="K1924" t="s">
        <v>74</v>
      </c>
      <c r="L1924" t="s">
        <v>74</v>
      </c>
      <c r="M1924" t="s">
        <v>78</v>
      </c>
      <c r="N1924" t="s">
        <v>79</v>
      </c>
      <c r="O1924" t="s">
        <v>74</v>
      </c>
      <c r="P1924" t="s">
        <v>74</v>
      </c>
      <c r="Q1924" t="s">
        <v>74</v>
      </c>
      <c r="R1924" t="s">
        <v>74</v>
      </c>
      <c r="S1924" t="s">
        <v>74</v>
      </c>
      <c r="T1924" t="s">
        <v>19680</v>
      </c>
      <c r="U1924" t="s">
        <v>19679</v>
      </c>
      <c r="V1924" t="s">
        <v>19678</v>
      </c>
      <c r="W1924" t="s">
        <v>19677</v>
      </c>
      <c r="X1924" t="s">
        <v>19676</v>
      </c>
      <c r="Y1924" t="s">
        <v>19675</v>
      </c>
      <c r="Z1924" t="s">
        <v>19674</v>
      </c>
      <c r="AA1924" t="s">
        <v>19673</v>
      </c>
      <c r="AB1924" t="s">
        <v>19672</v>
      </c>
      <c r="AC1924" t="s">
        <v>19671</v>
      </c>
      <c r="AD1924" t="s">
        <v>19670</v>
      </c>
      <c r="AE1924" t="s">
        <v>19669</v>
      </c>
      <c r="AF1924" t="s">
        <v>74</v>
      </c>
      <c r="AG1924">
        <v>38</v>
      </c>
      <c r="AH1924">
        <v>21</v>
      </c>
      <c r="AI1924">
        <v>31</v>
      </c>
      <c r="AJ1924">
        <v>0</v>
      </c>
      <c r="AK1924">
        <v>43</v>
      </c>
      <c r="AL1924" t="s">
        <v>332</v>
      </c>
      <c r="AM1924" t="s">
        <v>333</v>
      </c>
      <c r="AN1924" t="s">
        <v>334</v>
      </c>
      <c r="AO1924" t="s">
        <v>2078</v>
      </c>
      <c r="AP1924" t="s">
        <v>2079</v>
      </c>
      <c r="AQ1924" t="s">
        <v>74</v>
      </c>
      <c r="AR1924" t="s">
        <v>2080</v>
      </c>
      <c r="AS1924" t="s">
        <v>2081</v>
      </c>
      <c r="AT1924" t="s">
        <v>8848</v>
      </c>
      <c r="AU1924">
        <v>2019</v>
      </c>
      <c r="AV1924">
        <v>36</v>
      </c>
      <c r="AW1924">
        <v>3</v>
      </c>
      <c r="AX1924" t="s">
        <v>74</v>
      </c>
      <c r="AY1924" t="s">
        <v>74</v>
      </c>
      <c r="AZ1924" t="s">
        <v>74</v>
      </c>
      <c r="BA1924" t="s">
        <v>74</v>
      </c>
      <c r="BB1924">
        <v>390</v>
      </c>
      <c r="BC1924">
        <v>407</v>
      </c>
      <c r="BD1924" t="s">
        <v>74</v>
      </c>
      <c r="BE1924" t="s">
        <v>19668</v>
      </c>
      <c r="BF1924" t="str">
        <f>HYPERLINK("http://dx.doi.org/10.1080/0376835X.2018.1498766","http://dx.doi.org/10.1080/0376835X.2018.1498766")</f>
        <v>http://dx.doi.org/10.1080/0376835X.2018.1498766</v>
      </c>
      <c r="BG1924" t="s">
        <v>74</v>
      </c>
      <c r="BH1924" t="s">
        <v>74</v>
      </c>
      <c r="BI1924">
        <v>18</v>
      </c>
      <c r="BJ1924" t="s">
        <v>2084</v>
      </c>
      <c r="BK1924" t="s">
        <v>99</v>
      </c>
      <c r="BL1924" t="s">
        <v>2085</v>
      </c>
      <c r="BM1924" t="s">
        <v>19667</v>
      </c>
      <c r="BN1924" t="s">
        <v>74</v>
      </c>
      <c r="BO1924" t="s">
        <v>74</v>
      </c>
      <c r="BP1924" t="s">
        <v>74</v>
      </c>
      <c r="BQ1924" t="s">
        <v>74</v>
      </c>
      <c r="BR1924" t="s">
        <v>102</v>
      </c>
      <c r="BS1924" t="s">
        <v>19666</v>
      </c>
      <c r="BT1924" t="str">
        <f>HYPERLINK("https%3A%2F%2Fwww.webofscience.com%2Fwos%2Fwoscc%2Ffull-record%2FWOS:000470882500008","View Full Record in Web of Science")</f>
        <v>View Full Record in Web of Science</v>
      </c>
    </row>
    <row r="1925" spans="1:72" x14ac:dyDescent="0.25">
      <c r="A1925" t="s">
        <v>72</v>
      </c>
      <c r="B1925" t="s">
        <v>19665</v>
      </c>
      <c r="C1925" t="s">
        <v>74</v>
      </c>
      <c r="D1925" t="s">
        <v>74</v>
      </c>
      <c r="E1925" t="s">
        <v>74</v>
      </c>
      <c r="F1925" t="s">
        <v>19664</v>
      </c>
      <c r="G1925" t="s">
        <v>74</v>
      </c>
      <c r="H1925" t="s">
        <v>74</v>
      </c>
      <c r="I1925" t="s">
        <v>19663</v>
      </c>
      <c r="J1925" t="s">
        <v>8730</v>
      </c>
      <c r="K1925" t="s">
        <v>74</v>
      </c>
      <c r="L1925" t="s">
        <v>74</v>
      </c>
      <c r="M1925" t="s">
        <v>78</v>
      </c>
      <c r="N1925" t="s">
        <v>79</v>
      </c>
      <c r="O1925" t="s">
        <v>74</v>
      </c>
      <c r="P1925" t="s">
        <v>74</v>
      </c>
      <c r="Q1925" t="s">
        <v>74</v>
      </c>
      <c r="R1925" t="s">
        <v>74</v>
      </c>
      <c r="S1925" t="s">
        <v>74</v>
      </c>
      <c r="T1925" t="s">
        <v>19662</v>
      </c>
      <c r="U1925" t="s">
        <v>19661</v>
      </c>
      <c r="V1925" t="s">
        <v>19660</v>
      </c>
      <c r="W1925" t="s">
        <v>19659</v>
      </c>
      <c r="X1925" t="s">
        <v>19658</v>
      </c>
      <c r="Y1925" t="s">
        <v>19657</v>
      </c>
      <c r="Z1925" t="s">
        <v>19656</v>
      </c>
      <c r="AA1925" t="s">
        <v>19655</v>
      </c>
      <c r="AB1925" t="s">
        <v>19654</v>
      </c>
      <c r="AC1925" t="s">
        <v>19653</v>
      </c>
      <c r="AD1925" t="s">
        <v>19652</v>
      </c>
      <c r="AE1925" t="s">
        <v>19651</v>
      </c>
      <c r="AF1925" t="s">
        <v>74</v>
      </c>
      <c r="AG1925">
        <v>86</v>
      </c>
      <c r="AH1925">
        <v>10</v>
      </c>
      <c r="AI1925">
        <v>12</v>
      </c>
      <c r="AJ1925">
        <v>0</v>
      </c>
      <c r="AK1925">
        <v>14</v>
      </c>
      <c r="AL1925" t="s">
        <v>503</v>
      </c>
      <c r="AM1925" t="s">
        <v>151</v>
      </c>
      <c r="AN1925" t="s">
        <v>504</v>
      </c>
      <c r="AO1925" t="s">
        <v>8738</v>
      </c>
      <c r="AP1925" t="s">
        <v>8739</v>
      </c>
      <c r="AQ1925" t="s">
        <v>74</v>
      </c>
      <c r="AR1925" t="s">
        <v>8740</v>
      </c>
      <c r="AS1925" t="s">
        <v>8741</v>
      </c>
      <c r="AT1925" t="s">
        <v>124</v>
      </c>
      <c r="AU1925">
        <v>2023</v>
      </c>
      <c r="AV1925">
        <v>15</v>
      </c>
      <c r="AW1925">
        <v>4</v>
      </c>
      <c r="AX1925" t="s">
        <v>74</v>
      </c>
      <c r="AY1925" t="s">
        <v>74</v>
      </c>
      <c r="AZ1925" t="s">
        <v>74</v>
      </c>
      <c r="BA1925" t="s">
        <v>74</v>
      </c>
      <c r="BB1925">
        <v>22</v>
      </c>
      <c r="BC1925">
        <v>34</v>
      </c>
      <c r="BD1925" t="s">
        <v>74</v>
      </c>
      <c r="BE1925" t="s">
        <v>19650</v>
      </c>
      <c r="BF1925" t="str">
        <f>HYPERLINK("http://dx.doi.org/10.1016/j.tncr.2023.08.002","http://dx.doi.org/10.1016/j.tncr.2023.08.002")</f>
        <v>http://dx.doi.org/10.1016/j.tncr.2023.08.002</v>
      </c>
      <c r="BG1925" t="s">
        <v>74</v>
      </c>
      <c r="BH1925" t="s">
        <v>1524</v>
      </c>
      <c r="BI1925">
        <v>13</v>
      </c>
      <c r="BJ1925" t="s">
        <v>1453</v>
      </c>
      <c r="BK1925" t="s">
        <v>313</v>
      </c>
      <c r="BL1925" t="s">
        <v>100</v>
      </c>
      <c r="BM1925" t="s">
        <v>19649</v>
      </c>
      <c r="BN1925" t="s">
        <v>74</v>
      </c>
      <c r="BO1925" t="s">
        <v>212</v>
      </c>
      <c r="BP1925" t="s">
        <v>74</v>
      </c>
      <c r="BQ1925" t="s">
        <v>74</v>
      </c>
      <c r="BR1925" t="s">
        <v>102</v>
      </c>
      <c r="BS1925" t="s">
        <v>19648</v>
      </c>
      <c r="BT1925" t="str">
        <f>HYPERLINK("https%3A%2F%2Fwww.webofscience.com%2Fwos%2Fwoscc%2Ffull-record%2FWOS:001137779900001","View Full Record in Web of Science")</f>
        <v>View Full Record in Web of Science</v>
      </c>
    </row>
    <row r="1926" spans="1:72" x14ac:dyDescent="0.25">
      <c r="A1926" t="s">
        <v>72</v>
      </c>
      <c r="B1926" t="s">
        <v>19647</v>
      </c>
      <c r="C1926" t="s">
        <v>74</v>
      </c>
      <c r="D1926" t="s">
        <v>74</v>
      </c>
      <c r="E1926" t="s">
        <v>74</v>
      </c>
      <c r="F1926" t="s">
        <v>19646</v>
      </c>
      <c r="G1926" t="s">
        <v>74</v>
      </c>
      <c r="H1926" t="s">
        <v>74</v>
      </c>
      <c r="I1926" t="s">
        <v>19645</v>
      </c>
      <c r="J1926" t="s">
        <v>19644</v>
      </c>
      <c r="K1926" t="s">
        <v>74</v>
      </c>
      <c r="L1926" t="s">
        <v>74</v>
      </c>
      <c r="M1926" t="s">
        <v>78</v>
      </c>
      <c r="N1926" t="s">
        <v>79</v>
      </c>
      <c r="O1926" t="s">
        <v>74</v>
      </c>
      <c r="P1926" t="s">
        <v>74</v>
      </c>
      <c r="Q1926" t="s">
        <v>74</v>
      </c>
      <c r="R1926" t="s">
        <v>74</v>
      </c>
      <c r="S1926" t="s">
        <v>74</v>
      </c>
      <c r="T1926" t="s">
        <v>19643</v>
      </c>
      <c r="U1926" t="s">
        <v>19642</v>
      </c>
      <c r="V1926" t="s">
        <v>19641</v>
      </c>
      <c r="W1926" t="s">
        <v>19640</v>
      </c>
      <c r="X1926" t="s">
        <v>19639</v>
      </c>
      <c r="Y1926" t="s">
        <v>19638</v>
      </c>
      <c r="Z1926" t="s">
        <v>19637</v>
      </c>
      <c r="AA1926" t="s">
        <v>19636</v>
      </c>
      <c r="AB1926" t="s">
        <v>19635</v>
      </c>
      <c r="AC1926" t="s">
        <v>74</v>
      </c>
      <c r="AD1926" t="s">
        <v>74</v>
      </c>
      <c r="AE1926" t="s">
        <v>74</v>
      </c>
      <c r="AF1926" t="s">
        <v>74</v>
      </c>
      <c r="AG1926">
        <v>33</v>
      </c>
      <c r="AH1926">
        <v>4</v>
      </c>
      <c r="AI1926">
        <v>7</v>
      </c>
      <c r="AJ1926">
        <v>0</v>
      </c>
      <c r="AK1926">
        <v>6</v>
      </c>
      <c r="AL1926" t="s">
        <v>332</v>
      </c>
      <c r="AM1926" t="s">
        <v>333</v>
      </c>
      <c r="AN1926" t="s">
        <v>334</v>
      </c>
      <c r="AO1926" t="s">
        <v>19634</v>
      </c>
      <c r="AP1926" t="s">
        <v>19633</v>
      </c>
      <c r="AQ1926" t="s">
        <v>74</v>
      </c>
      <c r="AR1926" t="s">
        <v>19632</v>
      </c>
      <c r="AS1926" t="s">
        <v>19631</v>
      </c>
      <c r="AT1926" t="s">
        <v>74</v>
      </c>
      <c r="AU1926">
        <v>2016</v>
      </c>
      <c r="AV1926">
        <v>24</v>
      </c>
      <c r="AW1926">
        <v>4</v>
      </c>
      <c r="AX1926" t="s">
        <v>74</v>
      </c>
      <c r="AY1926" t="s">
        <v>74</v>
      </c>
      <c r="AZ1926" t="s">
        <v>74</v>
      </c>
      <c r="BA1926" t="s">
        <v>74</v>
      </c>
      <c r="BB1926">
        <v>410</v>
      </c>
      <c r="BC1926">
        <v>427</v>
      </c>
      <c r="BD1926" t="s">
        <v>74</v>
      </c>
      <c r="BE1926" t="s">
        <v>19630</v>
      </c>
      <c r="BF1926" t="str">
        <f>HYPERLINK("http://dx.doi.org/10.1080/10705422.2016.1233476","http://dx.doi.org/10.1080/10705422.2016.1233476")</f>
        <v>http://dx.doi.org/10.1080/10705422.2016.1233476</v>
      </c>
      <c r="BG1926" t="s">
        <v>74</v>
      </c>
      <c r="BH1926" t="s">
        <v>74</v>
      </c>
      <c r="BI1926">
        <v>18</v>
      </c>
      <c r="BJ1926" t="s">
        <v>2045</v>
      </c>
      <c r="BK1926" t="s">
        <v>313</v>
      </c>
      <c r="BL1926" t="s">
        <v>2045</v>
      </c>
      <c r="BM1926" t="s">
        <v>19629</v>
      </c>
      <c r="BN1926" t="s">
        <v>74</v>
      </c>
      <c r="BO1926" t="s">
        <v>74</v>
      </c>
      <c r="BP1926" t="s">
        <v>74</v>
      </c>
      <c r="BQ1926" t="s">
        <v>74</v>
      </c>
      <c r="BR1926" t="s">
        <v>102</v>
      </c>
      <c r="BS1926" t="s">
        <v>19628</v>
      </c>
      <c r="BT1926" t="str">
        <f>HYPERLINK("https%3A%2F%2Fwww.webofscience.com%2Fwos%2Fwoscc%2Ffull-record%2FWOS:000390145900004","View Full Record in Web of Science")</f>
        <v>View Full Record in Web of Science</v>
      </c>
    </row>
    <row r="1927" spans="1:72" x14ac:dyDescent="0.25">
      <c r="A1927" t="s">
        <v>72</v>
      </c>
      <c r="B1927" t="s">
        <v>19627</v>
      </c>
      <c r="C1927" t="s">
        <v>74</v>
      </c>
      <c r="D1927" t="s">
        <v>74</v>
      </c>
      <c r="E1927" t="s">
        <v>74</v>
      </c>
      <c r="F1927" t="s">
        <v>19626</v>
      </c>
      <c r="G1927" t="s">
        <v>74</v>
      </c>
      <c r="H1927" t="s">
        <v>74</v>
      </c>
      <c r="I1927" t="s">
        <v>19625</v>
      </c>
      <c r="J1927" t="s">
        <v>2214</v>
      </c>
      <c r="K1927" t="s">
        <v>74</v>
      </c>
      <c r="L1927" t="s">
        <v>74</v>
      </c>
      <c r="M1927" t="s">
        <v>78</v>
      </c>
      <c r="N1927" t="s">
        <v>79</v>
      </c>
      <c r="O1927" t="s">
        <v>74</v>
      </c>
      <c r="P1927" t="s">
        <v>74</v>
      </c>
      <c r="Q1927" t="s">
        <v>74</v>
      </c>
      <c r="R1927" t="s">
        <v>74</v>
      </c>
      <c r="S1927" t="s">
        <v>74</v>
      </c>
      <c r="T1927" t="s">
        <v>19624</v>
      </c>
      <c r="U1927" t="s">
        <v>19623</v>
      </c>
      <c r="V1927" t="s">
        <v>19622</v>
      </c>
      <c r="W1927" t="s">
        <v>19621</v>
      </c>
      <c r="X1927" t="s">
        <v>8568</v>
      </c>
      <c r="Y1927" t="s">
        <v>19620</v>
      </c>
      <c r="Z1927" t="s">
        <v>19619</v>
      </c>
      <c r="AA1927" t="s">
        <v>19618</v>
      </c>
      <c r="AB1927" t="s">
        <v>74</v>
      </c>
      <c r="AC1927" t="s">
        <v>74</v>
      </c>
      <c r="AD1927" t="s">
        <v>74</v>
      </c>
      <c r="AE1927" t="s">
        <v>74</v>
      </c>
      <c r="AF1927" t="s">
        <v>74</v>
      </c>
      <c r="AG1927">
        <v>47</v>
      </c>
      <c r="AH1927">
        <v>0</v>
      </c>
      <c r="AI1927">
        <v>1</v>
      </c>
      <c r="AJ1927">
        <v>0</v>
      </c>
      <c r="AK1927">
        <v>4</v>
      </c>
      <c r="AL1927" t="s">
        <v>2223</v>
      </c>
      <c r="AM1927" t="s">
        <v>2224</v>
      </c>
      <c r="AN1927" t="s">
        <v>2225</v>
      </c>
      <c r="AO1927" t="s">
        <v>2226</v>
      </c>
      <c r="AP1927" t="s">
        <v>74</v>
      </c>
      <c r="AQ1927" t="s">
        <v>74</v>
      </c>
      <c r="AR1927" t="s">
        <v>2227</v>
      </c>
      <c r="AS1927" t="s">
        <v>2228</v>
      </c>
      <c r="AT1927" t="s">
        <v>74</v>
      </c>
      <c r="AU1927">
        <v>2022</v>
      </c>
      <c r="AV1927">
        <v>23</v>
      </c>
      <c r="AW1927">
        <v>3</v>
      </c>
      <c r="AX1927" t="s">
        <v>74</v>
      </c>
      <c r="AY1927" t="s">
        <v>74</v>
      </c>
      <c r="AZ1927" t="s">
        <v>74</v>
      </c>
      <c r="BA1927" t="s">
        <v>74</v>
      </c>
      <c r="BB1927">
        <v>1588</v>
      </c>
      <c r="BC1927">
        <v>1599</v>
      </c>
      <c r="BD1927" t="s">
        <v>74</v>
      </c>
      <c r="BE1927" t="s">
        <v>19617</v>
      </c>
      <c r="BF1927" t="str">
        <f>HYPERLINK("http://dx.doi.org/10.33736/ijbs.5185.2022","http://dx.doi.org/10.33736/ijbs.5185.2022")</f>
        <v>http://dx.doi.org/10.33736/ijbs.5185.2022</v>
      </c>
      <c r="BG1927" t="s">
        <v>74</v>
      </c>
      <c r="BH1927" t="s">
        <v>74</v>
      </c>
      <c r="BI1927">
        <v>12</v>
      </c>
      <c r="BJ1927" t="s">
        <v>418</v>
      </c>
      <c r="BK1927" t="s">
        <v>313</v>
      </c>
      <c r="BL1927" t="s">
        <v>100</v>
      </c>
      <c r="BM1927" t="s">
        <v>19616</v>
      </c>
      <c r="BN1927" t="s">
        <v>74</v>
      </c>
      <c r="BO1927" t="s">
        <v>212</v>
      </c>
      <c r="BP1927" t="s">
        <v>74</v>
      </c>
      <c r="BQ1927" t="s">
        <v>74</v>
      </c>
      <c r="BR1927" t="s">
        <v>102</v>
      </c>
      <c r="BS1927" t="s">
        <v>19615</v>
      </c>
      <c r="BT1927" t="str">
        <f>HYPERLINK("https%3A%2F%2Fwww.webofscience.com%2Fwos%2Fwoscc%2Ffull-record%2FWOS:000926105700015","View Full Record in Web of Science")</f>
        <v>View Full Record in Web of Science</v>
      </c>
    </row>
    <row r="1928" spans="1:72" x14ac:dyDescent="0.25">
      <c r="A1928" t="s">
        <v>72</v>
      </c>
      <c r="B1928" t="s">
        <v>19614</v>
      </c>
      <c r="C1928" t="s">
        <v>74</v>
      </c>
      <c r="D1928" t="s">
        <v>74</v>
      </c>
      <c r="E1928" t="s">
        <v>74</v>
      </c>
      <c r="F1928" t="s">
        <v>19613</v>
      </c>
      <c r="G1928" t="s">
        <v>74</v>
      </c>
      <c r="H1928" t="s">
        <v>74</v>
      </c>
      <c r="I1928" t="s">
        <v>19612</v>
      </c>
      <c r="J1928" t="s">
        <v>424</v>
      </c>
      <c r="K1928" t="s">
        <v>74</v>
      </c>
      <c r="L1928" t="s">
        <v>74</v>
      </c>
      <c r="M1928" t="s">
        <v>78</v>
      </c>
      <c r="N1928" t="s">
        <v>79</v>
      </c>
      <c r="O1928" t="s">
        <v>74</v>
      </c>
      <c r="P1928" t="s">
        <v>74</v>
      </c>
      <c r="Q1928" t="s">
        <v>74</v>
      </c>
      <c r="R1928" t="s">
        <v>74</v>
      </c>
      <c r="S1928" t="s">
        <v>74</v>
      </c>
      <c r="T1928" t="s">
        <v>19611</v>
      </c>
      <c r="U1928" t="s">
        <v>19610</v>
      </c>
      <c r="V1928" t="s">
        <v>19609</v>
      </c>
      <c r="W1928" t="s">
        <v>19608</v>
      </c>
      <c r="X1928" t="s">
        <v>19607</v>
      </c>
      <c r="Y1928" t="s">
        <v>19606</v>
      </c>
      <c r="Z1928" t="s">
        <v>19605</v>
      </c>
      <c r="AA1928" t="s">
        <v>19604</v>
      </c>
      <c r="AB1928" t="s">
        <v>19603</v>
      </c>
      <c r="AC1928" t="s">
        <v>19602</v>
      </c>
      <c r="AD1928" t="s">
        <v>19601</v>
      </c>
      <c r="AE1928" t="s">
        <v>19600</v>
      </c>
      <c r="AF1928" t="s">
        <v>74</v>
      </c>
      <c r="AG1928">
        <v>74</v>
      </c>
      <c r="AH1928">
        <v>1</v>
      </c>
      <c r="AI1928">
        <v>2</v>
      </c>
      <c r="AJ1928">
        <v>4</v>
      </c>
      <c r="AK1928">
        <v>6</v>
      </c>
      <c r="AL1928" t="s">
        <v>89</v>
      </c>
      <c r="AM1928" t="s">
        <v>90</v>
      </c>
      <c r="AN1928" t="s">
        <v>91</v>
      </c>
      <c r="AO1928" t="s">
        <v>436</v>
      </c>
      <c r="AP1928" t="s">
        <v>437</v>
      </c>
      <c r="AQ1928" t="s">
        <v>74</v>
      </c>
      <c r="AR1928" t="s">
        <v>438</v>
      </c>
      <c r="AS1928" t="s">
        <v>439</v>
      </c>
      <c r="AT1928" t="s">
        <v>19599</v>
      </c>
      <c r="AU1928">
        <v>2025</v>
      </c>
      <c r="AV1928">
        <v>43</v>
      </c>
      <c r="AW1928">
        <v>7</v>
      </c>
      <c r="AX1928" t="s">
        <v>74</v>
      </c>
      <c r="AY1928" t="s">
        <v>74</v>
      </c>
      <c r="AZ1928" t="s">
        <v>74</v>
      </c>
      <c r="BA1928" t="s">
        <v>74</v>
      </c>
      <c r="BB1928">
        <v>1413</v>
      </c>
      <c r="BC1928">
        <v>1440</v>
      </c>
      <c r="BD1928" t="s">
        <v>74</v>
      </c>
      <c r="BE1928" t="s">
        <v>19598</v>
      </c>
      <c r="BF1928" t="str">
        <f>HYPERLINK("http://dx.doi.org/10.1108/IJBM-09-2024-0579","http://dx.doi.org/10.1108/IJBM-09-2024-0579")</f>
        <v>http://dx.doi.org/10.1108/IJBM-09-2024-0579</v>
      </c>
      <c r="BG1928" t="s">
        <v>74</v>
      </c>
      <c r="BH1928" t="s">
        <v>2781</v>
      </c>
      <c r="BI1928">
        <v>28</v>
      </c>
      <c r="BJ1928" t="s">
        <v>418</v>
      </c>
      <c r="BK1928" t="s">
        <v>99</v>
      </c>
      <c r="BL1928" t="s">
        <v>100</v>
      </c>
      <c r="BM1928" t="s">
        <v>19597</v>
      </c>
      <c r="BN1928" t="s">
        <v>74</v>
      </c>
      <c r="BO1928" t="s">
        <v>74</v>
      </c>
      <c r="BP1928" t="s">
        <v>74</v>
      </c>
      <c r="BQ1928" t="s">
        <v>74</v>
      </c>
      <c r="BR1928" t="s">
        <v>102</v>
      </c>
      <c r="BS1928" t="s">
        <v>19596</v>
      </c>
      <c r="BT1928" t="str">
        <f>HYPERLINK("https%3A%2F%2Fwww.webofscience.com%2Fwos%2Fwoscc%2Ffull-record%2FWOS:001450030100001","View Full Record in Web of Science")</f>
        <v>View Full Record in Web of Science</v>
      </c>
    </row>
    <row r="1929" spans="1:72" x14ac:dyDescent="0.25">
      <c r="A1929" t="s">
        <v>72</v>
      </c>
      <c r="B1929" t="s">
        <v>19595</v>
      </c>
      <c r="C1929" t="s">
        <v>74</v>
      </c>
      <c r="D1929" t="s">
        <v>74</v>
      </c>
      <c r="E1929" t="s">
        <v>74</v>
      </c>
      <c r="F1929" t="s">
        <v>19594</v>
      </c>
      <c r="G1929" t="s">
        <v>74</v>
      </c>
      <c r="H1929" t="s">
        <v>74</v>
      </c>
      <c r="I1929" t="s">
        <v>19593</v>
      </c>
      <c r="J1929" t="s">
        <v>12549</v>
      </c>
      <c r="K1929" t="s">
        <v>74</v>
      </c>
      <c r="L1929" t="s">
        <v>74</v>
      </c>
      <c r="M1929" t="s">
        <v>78</v>
      </c>
      <c r="N1929" t="s">
        <v>1766</v>
      </c>
      <c r="O1929" t="s">
        <v>74</v>
      </c>
      <c r="P1929" t="s">
        <v>74</v>
      </c>
      <c r="Q1929" t="s">
        <v>74</v>
      </c>
      <c r="R1929" t="s">
        <v>74</v>
      </c>
      <c r="S1929" t="s">
        <v>74</v>
      </c>
      <c r="T1929" t="s">
        <v>19592</v>
      </c>
      <c r="U1929" t="s">
        <v>19591</v>
      </c>
      <c r="V1929" t="s">
        <v>19590</v>
      </c>
      <c r="W1929" t="s">
        <v>19589</v>
      </c>
      <c r="X1929" t="s">
        <v>11237</v>
      </c>
      <c r="Y1929" t="s">
        <v>19588</v>
      </c>
      <c r="Z1929" t="s">
        <v>19587</v>
      </c>
      <c r="AA1929" t="s">
        <v>19586</v>
      </c>
      <c r="AB1929" t="s">
        <v>19585</v>
      </c>
      <c r="AC1929" t="s">
        <v>11237</v>
      </c>
      <c r="AD1929" t="s">
        <v>11237</v>
      </c>
      <c r="AE1929" t="s">
        <v>19584</v>
      </c>
      <c r="AF1929" t="s">
        <v>74</v>
      </c>
      <c r="AG1929">
        <v>56</v>
      </c>
      <c r="AH1929">
        <v>17</v>
      </c>
      <c r="AI1929">
        <v>24</v>
      </c>
      <c r="AJ1929">
        <v>3</v>
      </c>
      <c r="AK1929">
        <v>28</v>
      </c>
      <c r="AL1929" t="s">
        <v>575</v>
      </c>
      <c r="AM1929" t="s">
        <v>576</v>
      </c>
      <c r="AN1929" t="s">
        <v>3242</v>
      </c>
      <c r="AO1929" t="s">
        <v>12562</v>
      </c>
      <c r="AP1929" t="s">
        <v>12563</v>
      </c>
      <c r="AQ1929" t="s">
        <v>74</v>
      </c>
      <c r="AR1929" t="s">
        <v>12564</v>
      </c>
      <c r="AS1929" t="s">
        <v>12565</v>
      </c>
      <c r="AT1929" t="s">
        <v>1652</v>
      </c>
      <c r="AU1929">
        <v>2022</v>
      </c>
      <c r="AV1929">
        <v>15</v>
      </c>
      <c r="AW1929">
        <v>6</v>
      </c>
      <c r="AX1929" t="s">
        <v>74</v>
      </c>
      <c r="AY1929" t="s">
        <v>74</v>
      </c>
      <c r="AZ1929" t="s">
        <v>74</v>
      </c>
      <c r="BA1929" t="s">
        <v>74</v>
      </c>
      <c r="BB1929" t="s">
        <v>74</v>
      </c>
      <c r="BC1929" t="s">
        <v>74</v>
      </c>
      <c r="BD1929">
        <v>270</v>
      </c>
      <c r="BE1929" t="s">
        <v>19583</v>
      </c>
      <c r="BF1929" t="str">
        <f>HYPERLINK("http://dx.doi.org/10.3390/jrfm15060270","http://dx.doi.org/10.3390/jrfm15060270")</f>
        <v>http://dx.doi.org/10.3390/jrfm15060270</v>
      </c>
      <c r="BG1929" t="s">
        <v>74</v>
      </c>
      <c r="BH1929" t="s">
        <v>74</v>
      </c>
      <c r="BI1929">
        <v>15</v>
      </c>
      <c r="BJ1929" t="s">
        <v>268</v>
      </c>
      <c r="BK1929" t="s">
        <v>313</v>
      </c>
      <c r="BL1929" t="s">
        <v>100</v>
      </c>
      <c r="BM1929" t="s">
        <v>19582</v>
      </c>
      <c r="BN1929" t="s">
        <v>74</v>
      </c>
      <c r="BO1929" t="s">
        <v>466</v>
      </c>
      <c r="BP1929" t="s">
        <v>74</v>
      </c>
      <c r="BQ1929" t="s">
        <v>74</v>
      </c>
      <c r="BR1929" t="s">
        <v>102</v>
      </c>
      <c r="BS1929" t="s">
        <v>19581</v>
      </c>
      <c r="BT1929" t="str">
        <f>HYPERLINK("https%3A%2F%2Fwww.webofscience.com%2Fwos%2Fwoscc%2Ffull-record%2FWOS:000818167900001","View Full Record in Web of Science")</f>
        <v>View Full Record in Web of Science</v>
      </c>
    </row>
    <row r="1930" spans="1:72" x14ac:dyDescent="0.25">
      <c r="A1930" t="s">
        <v>72</v>
      </c>
      <c r="B1930" t="s">
        <v>19580</v>
      </c>
      <c r="C1930" t="s">
        <v>74</v>
      </c>
      <c r="D1930" t="s">
        <v>74</v>
      </c>
      <c r="E1930" t="s">
        <v>74</v>
      </c>
      <c r="F1930" t="s">
        <v>19579</v>
      </c>
      <c r="G1930" t="s">
        <v>74</v>
      </c>
      <c r="H1930" t="s">
        <v>74</v>
      </c>
      <c r="I1930" t="s">
        <v>19578</v>
      </c>
      <c r="J1930" t="s">
        <v>19577</v>
      </c>
      <c r="K1930" t="s">
        <v>74</v>
      </c>
      <c r="L1930" t="s">
        <v>74</v>
      </c>
      <c r="M1930" t="s">
        <v>78</v>
      </c>
      <c r="N1930" t="s">
        <v>79</v>
      </c>
      <c r="O1930" t="s">
        <v>74</v>
      </c>
      <c r="P1930" t="s">
        <v>74</v>
      </c>
      <c r="Q1930" t="s">
        <v>74</v>
      </c>
      <c r="R1930" t="s">
        <v>74</v>
      </c>
      <c r="S1930" t="s">
        <v>74</v>
      </c>
      <c r="T1930" t="s">
        <v>19576</v>
      </c>
      <c r="U1930" t="s">
        <v>19575</v>
      </c>
      <c r="V1930" t="s">
        <v>19574</v>
      </c>
      <c r="W1930" t="s">
        <v>19573</v>
      </c>
      <c r="X1930" t="s">
        <v>19572</v>
      </c>
      <c r="Y1930" t="s">
        <v>19571</v>
      </c>
      <c r="Z1930" t="s">
        <v>19570</v>
      </c>
      <c r="AA1930" t="s">
        <v>19569</v>
      </c>
      <c r="AB1930" t="s">
        <v>19568</v>
      </c>
      <c r="AC1930" t="s">
        <v>74</v>
      </c>
      <c r="AD1930" t="s">
        <v>74</v>
      </c>
      <c r="AE1930" t="s">
        <v>74</v>
      </c>
      <c r="AF1930" t="s">
        <v>74</v>
      </c>
      <c r="AG1930">
        <v>63</v>
      </c>
      <c r="AH1930">
        <v>0</v>
      </c>
      <c r="AI1930">
        <v>0</v>
      </c>
      <c r="AJ1930">
        <v>1</v>
      </c>
      <c r="AK1930">
        <v>13</v>
      </c>
      <c r="AL1930" t="s">
        <v>19567</v>
      </c>
      <c r="AM1930" t="s">
        <v>1953</v>
      </c>
      <c r="AN1930" t="s">
        <v>19566</v>
      </c>
      <c r="AO1930" t="s">
        <v>19565</v>
      </c>
      <c r="AP1930" t="s">
        <v>19564</v>
      </c>
      <c r="AQ1930" t="s">
        <v>74</v>
      </c>
      <c r="AR1930" t="s">
        <v>19563</v>
      </c>
      <c r="AS1930" t="s">
        <v>19562</v>
      </c>
      <c r="AT1930" t="s">
        <v>1652</v>
      </c>
      <c r="AU1930">
        <v>2021</v>
      </c>
      <c r="AV1930">
        <v>8</v>
      </c>
      <c r="AW1930" t="s">
        <v>74</v>
      </c>
      <c r="AX1930" t="s">
        <v>74</v>
      </c>
      <c r="AY1930" t="s">
        <v>74</v>
      </c>
      <c r="AZ1930" t="s">
        <v>441</v>
      </c>
      <c r="BA1930" t="s">
        <v>74</v>
      </c>
      <c r="BB1930">
        <v>219</v>
      </c>
      <c r="BC1930">
        <v>238</v>
      </c>
      <c r="BD1930" t="s">
        <v>74</v>
      </c>
      <c r="BE1930" t="s">
        <v>19561</v>
      </c>
      <c r="BF1930" t="str">
        <f>HYPERLINK("http://dx.doi.org/10.26414/A2371","http://dx.doi.org/10.26414/A2371")</f>
        <v>http://dx.doi.org/10.26414/A2371</v>
      </c>
      <c r="BG1930" t="s">
        <v>74</v>
      </c>
      <c r="BH1930" t="s">
        <v>74</v>
      </c>
      <c r="BI1930">
        <v>20</v>
      </c>
      <c r="BJ1930" t="s">
        <v>291</v>
      </c>
      <c r="BK1930" t="s">
        <v>313</v>
      </c>
      <c r="BL1930" t="s">
        <v>100</v>
      </c>
      <c r="BM1930" t="s">
        <v>19560</v>
      </c>
      <c r="BN1930" t="s">
        <v>74</v>
      </c>
      <c r="BO1930" t="s">
        <v>212</v>
      </c>
      <c r="BP1930" t="s">
        <v>74</v>
      </c>
      <c r="BQ1930" t="s">
        <v>74</v>
      </c>
      <c r="BR1930" t="s">
        <v>102</v>
      </c>
      <c r="BS1930" t="s">
        <v>19559</v>
      </c>
      <c r="BT1930" t="str">
        <f>HYPERLINK("https%3A%2F%2Fwww.webofscience.com%2Fwos%2Fwoscc%2Ffull-record%2FWOS:000662231400002","View Full Record in Web of Science")</f>
        <v>View Full Record in Web of Science</v>
      </c>
    </row>
    <row r="1931" spans="1:72" x14ac:dyDescent="0.25">
      <c r="A1931" t="s">
        <v>72</v>
      </c>
      <c r="B1931" t="s">
        <v>19558</v>
      </c>
      <c r="C1931" t="s">
        <v>74</v>
      </c>
      <c r="D1931" t="s">
        <v>74</v>
      </c>
      <c r="E1931" t="s">
        <v>74</v>
      </c>
      <c r="F1931" t="s">
        <v>19557</v>
      </c>
      <c r="G1931" t="s">
        <v>74</v>
      </c>
      <c r="H1931" t="s">
        <v>74</v>
      </c>
      <c r="I1931" t="s">
        <v>19556</v>
      </c>
      <c r="J1931" t="s">
        <v>515</v>
      </c>
      <c r="K1931" t="s">
        <v>74</v>
      </c>
      <c r="L1931" t="s">
        <v>74</v>
      </c>
      <c r="M1931" t="s">
        <v>78</v>
      </c>
      <c r="N1931" t="s">
        <v>79</v>
      </c>
      <c r="O1931" t="s">
        <v>74</v>
      </c>
      <c r="P1931" t="s">
        <v>74</v>
      </c>
      <c r="Q1931" t="s">
        <v>74</v>
      </c>
      <c r="R1931" t="s">
        <v>74</v>
      </c>
      <c r="S1931" t="s">
        <v>74</v>
      </c>
      <c r="T1931" t="s">
        <v>19555</v>
      </c>
      <c r="U1931" t="s">
        <v>19554</v>
      </c>
      <c r="V1931" t="s">
        <v>19553</v>
      </c>
      <c r="W1931" t="s">
        <v>19552</v>
      </c>
      <c r="X1931" t="s">
        <v>19551</v>
      </c>
      <c r="Y1931" t="s">
        <v>19550</v>
      </c>
      <c r="Z1931" t="s">
        <v>19549</v>
      </c>
      <c r="AA1931" t="s">
        <v>19548</v>
      </c>
      <c r="AB1931" t="s">
        <v>19547</v>
      </c>
      <c r="AC1931" t="s">
        <v>74</v>
      </c>
      <c r="AD1931" t="s">
        <v>74</v>
      </c>
      <c r="AE1931" t="s">
        <v>74</v>
      </c>
      <c r="AF1931" t="s">
        <v>74</v>
      </c>
      <c r="AG1931">
        <v>103</v>
      </c>
      <c r="AH1931">
        <v>38</v>
      </c>
      <c r="AI1931">
        <v>42</v>
      </c>
      <c r="AJ1931">
        <v>2</v>
      </c>
      <c r="AK1931">
        <v>87</v>
      </c>
      <c r="AL1931" t="s">
        <v>230</v>
      </c>
      <c r="AM1931" t="s">
        <v>231</v>
      </c>
      <c r="AN1931" t="s">
        <v>232</v>
      </c>
      <c r="AO1931" t="s">
        <v>528</v>
      </c>
      <c r="AP1931" t="s">
        <v>529</v>
      </c>
      <c r="AQ1931" t="s">
        <v>74</v>
      </c>
      <c r="AR1931" t="s">
        <v>530</v>
      </c>
      <c r="AS1931" t="s">
        <v>531</v>
      </c>
      <c r="AT1931" t="s">
        <v>208</v>
      </c>
      <c r="AU1931">
        <v>2021</v>
      </c>
      <c r="AV1931">
        <v>81</v>
      </c>
      <c r="AW1931" t="s">
        <v>74</v>
      </c>
      <c r="AX1931" t="s">
        <v>74</v>
      </c>
      <c r="AY1931" t="s">
        <v>74</v>
      </c>
      <c r="AZ1931" t="s">
        <v>74</v>
      </c>
      <c r="BA1931" t="s">
        <v>74</v>
      </c>
      <c r="BB1931">
        <v>269</v>
      </c>
      <c r="BC1931">
        <v>280</v>
      </c>
      <c r="BD1931" t="s">
        <v>74</v>
      </c>
      <c r="BE1931" t="s">
        <v>19546</v>
      </c>
      <c r="BF1931" t="str">
        <f>HYPERLINK("http://dx.doi.org/10.1016/j.jrurstud.2020.10.035","http://dx.doi.org/10.1016/j.jrurstud.2020.10.035")</f>
        <v>http://dx.doi.org/10.1016/j.jrurstud.2020.10.035</v>
      </c>
      <c r="BG1931" t="s">
        <v>74</v>
      </c>
      <c r="BH1931" t="s">
        <v>11556</v>
      </c>
      <c r="BI1931">
        <v>12</v>
      </c>
      <c r="BJ1931" t="s">
        <v>533</v>
      </c>
      <c r="BK1931" t="s">
        <v>99</v>
      </c>
      <c r="BL1931" t="s">
        <v>534</v>
      </c>
      <c r="BM1931" t="s">
        <v>19545</v>
      </c>
      <c r="BN1931" t="s">
        <v>74</v>
      </c>
      <c r="BO1931" t="s">
        <v>1696</v>
      </c>
      <c r="BP1931" t="s">
        <v>74</v>
      </c>
      <c r="BQ1931" t="s">
        <v>74</v>
      </c>
      <c r="BR1931" t="s">
        <v>102</v>
      </c>
      <c r="BS1931" t="s">
        <v>19544</v>
      </c>
      <c r="BT1931" t="str">
        <f>HYPERLINK("https%3A%2F%2Fwww.webofscience.com%2Fwos%2Fwoscc%2Ffull-record%2FWOS:000609218200009","View Full Record in Web of Science")</f>
        <v>View Full Record in Web of Science</v>
      </c>
    </row>
    <row r="1932" spans="1:72" x14ac:dyDescent="0.25">
      <c r="A1932" t="s">
        <v>72</v>
      </c>
      <c r="B1932" t="s">
        <v>19543</v>
      </c>
      <c r="C1932" t="s">
        <v>74</v>
      </c>
      <c r="D1932" t="s">
        <v>74</v>
      </c>
      <c r="E1932" t="s">
        <v>74</v>
      </c>
      <c r="F1932" t="s">
        <v>19542</v>
      </c>
      <c r="G1932" t="s">
        <v>74</v>
      </c>
      <c r="H1932" t="s">
        <v>74</v>
      </c>
      <c r="I1932" t="s">
        <v>19541</v>
      </c>
      <c r="J1932" t="s">
        <v>1902</v>
      </c>
      <c r="K1932" t="s">
        <v>74</v>
      </c>
      <c r="L1932" t="s">
        <v>74</v>
      </c>
      <c r="M1932" t="s">
        <v>78</v>
      </c>
      <c r="N1932" t="s">
        <v>79</v>
      </c>
      <c r="O1932" t="s">
        <v>74</v>
      </c>
      <c r="P1932" t="s">
        <v>74</v>
      </c>
      <c r="Q1932" t="s">
        <v>74</v>
      </c>
      <c r="R1932" t="s">
        <v>74</v>
      </c>
      <c r="S1932" t="s">
        <v>74</v>
      </c>
      <c r="T1932" t="s">
        <v>19540</v>
      </c>
      <c r="U1932" t="s">
        <v>19539</v>
      </c>
      <c r="V1932" t="s">
        <v>19538</v>
      </c>
      <c r="W1932" t="s">
        <v>19537</v>
      </c>
      <c r="X1932" t="s">
        <v>13022</v>
      </c>
      <c r="Y1932" t="s">
        <v>19536</v>
      </c>
      <c r="Z1932" t="s">
        <v>19535</v>
      </c>
      <c r="AA1932" t="s">
        <v>19534</v>
      </c>
      <c r="AB1932" t="s">
        <v>19533</v>
      </c>
      <c r="AC1932" t="s">
        <v>74</v>
      </c>
      <c r="AD1932" t="s">
        <v>74</v>
      </c>
      <c r="AE1932" t="s">
        <v>74</v>
      </c>
      <c r="AF1932" t="s">
        <v>74</v>
      </c>
      <c r="AG1932">
        <v>78</v>
      </c>
      <c r="AH1932">
        <v>15</v>
      </c>
      <c r="AI1932">
        <v>16</v>
      </c>
      <c r="AJ1932">
        <v>1</v>
      </c>
      <c r="AK1932">
        <v>7</v>
      </c>
      <c r="AL1932" t="s">
        <v>89</v>
      </c>
      <c r="AM1932" t="s">
        <v>90</v>
      </c>
      <c r="AN1932" t="s">
        <v>91</v>
      </c>
      <c r="AO1932" t="s">
        <v>1910</v>
      </c>
      <c r="AP1932" t="s">
        <v>1911</v>
      </c>
      <c r="AQ1932" t="s">
        <v>74</v>
      </c>
      <c r="AR1932" t="s">
        <v>1912</v>
      </c>
      <c r="AS1932" t="s">
        <v>1913</v>
      </c>
      <c r="AT1932" t="s">
        <v>11974</v>
      </c>
      <c r="AU1932">
        <v>2024</v>
      </c>
      <c r="AV1932">
        <v>16</v>
      </c>
      <c r="AW1932">
        <v>2</v>
      </c>
      <c r="AX1932" t="s">
        <v>74</v>
      </c>
      <c r="AY1932" t="s">
        <v>74</v>
      </c>
      <c r="AZ1932" t="s">
        <v>74</v>
      </c>
      <c r="BA1932" t="s">
        <v>74</v>
      </c>
      <c r="BB1932">
        <v>176</v>
      </c>
      <c r="BC1932">
        <v>193</v>
      </c>
      <c r="BD1932" t="s">
        <v>74</v>
      </c>
      <c r="BE1932" t="s">
        <v>19532</v>
      </c>
      <c r="BF1932" t="str">
        <f>HYPERLINK("http://dx.doi.org/10.1108/JFEP-07-2023-0186","http://dx.doi.org/10.1108/JFEP-07-2023-0186")</f>
        <v>http://dx.doi.org/10.1108/JFEP-07-2023-0186</v>
      </c>
      <c r="BG1932" t="s">
        <v>74</v>
      </c>
      <c r="BH1932" t="s">
        <v>3535</v>
      </c>
      <c r="BI1932">
        <v>18</v>
      </c>
      <c r="BJ1932" t="s">
        <v>291</v>
      </c>
      <c r="BK1932" t="s">
        <v>313</v>
      </c>
      <c r="BL1932" t="s">
        <v>100</v>
      </c>
      <c r="BM1932" t="s">
        <v>11976</v>
      </c>
      <c r="BN1932" t="s">
        <v>74</v>
      </c>
      <c r="BO1932" t="s">
        <v>74</v>
      </c>
      <c r="BP1932" t="s">
        <v>74</v>
      </c>
      <c r="BQ1932" t="s">
        <v>74</v>
      </c>
      <c r="BR1932" t="s">
        <v>102</v>
      </c>
      <c r="BS1932" t="s">
        <v>19531</v>
      </c>
      <c r="BT1932" t="str">
        <f>HYPERLINK("https%3A%2F%2Fwww.webofscience.com%2Fwos%2Fwoscc%2Ffull-record%2FWOS:001106530600001","View Full Record in Web of Science")</f>
        <v>View Full Record in Web of Science</v>
      </c>
    </row>
    <row r="1933" spans="1:72" x14ac:dyDescent="0.25">
      <c r="A1933" t="s">
        <v>72</v>
      </c>
      <c r="B1933" t="s">
        <v>19530</v>
      </c>
      <c r="C1933" t="s">
        <v>74</v>
      </c>
      <c r="D1933" t="s">
        <v>74</v>
      </c>
      <c r="E1933" t="s">
        <v>74</v>
      </c>
      <c r="F1933" t="s">
        <v>19529</v>
      </c>
      <c r="G1933" t="s">
        <v>74</v>
      </c>
      <c r="H1933" t="s">
        <v>74</v>
      </c>
      <c r="I1933" t="s">
        <v>19528</v>
      </c>
      <c r="J1933" t="s">
        <v>1878</v>
      </c>
      <c r="K1933" t="s">
        <v>74</v>
      </c>
      <c r="L1933" t="s">
        <v>74</v>
      </c>
      <c r="M1933" t="s">
        <v>78</v>
      </c>
      <c r="N1933" t="s">
        <v>79</v>
      </c>
      <c r="O1933" t="s">
        <v>74</v>
      </c>
      <c r="P1933" t="s">
        <v>74</v>
      </c>
      <c r="Q1933" t="s">
        <v>74</v>
      </c>
      <c r="R1933" t="s">
        <v>74</v>
      </c>
      <c r="S1933" t="s">
        <v>74</v>
      </c>
      <c r="T1933" t="s">
        <v>19527</v>
      </c>
      <c r="U1933" t="s">
        <v>19526</v>
      </c>
      <c r="V1933" t="s">
        <v>19525</v>
      </c>
      <c r="W1933" t="s">
        <v>19524</v>
      </c>
      <c r="X1933" t="s">
        <v>19523</v>
      </c>
      <c r="Y1933" t="s">
        <v>19522</v>
      </c>
      <c r="Z1933" t="s">
        <v>19521</v>
      </c>
      <c r="AA1933" t="s">
        <v>19520</v>
      </c>
      <c r="AB1933" t="s">
        <v>74</v>
      </c>
      <c r="AC1933" t="s">
        <v>74</v>
      </c>
      <c r="AD1933" t="s">
        <v>74</v>
      </c>
      <c r="AE1933" t="s">
        <v>74</v>
      </c>
      <c r="AF1933" t="s">
        <v>74</v>
      </c>
      <c r="AG1933">
        <v>37</v>
      </c>
      <c r="AH1933">
        <v>0</v>
      </c>
      <c r="AI1933">
        <v>1</v>
      </c>
      <c r="AJ1933">
        <v>0</v>
      </c>
      <c r="AK1933">
        <v>4</v>
      </c>
      <c r="AL1933" t="s">
        <v>1889</v>
      </c>
      <c r="AM1933" t="s">
        <v>1890</v>
      </c>
      <c r="AN1933" t="s">
        <v>1891</v>
      </c>
      <c r="AO1933" t="s">
        <v>1892</v>
      </c>
      <c r="AP1933" t="s">
        <v>1893</v>
      </c>
      <c r="AQ1933" t="s">
        <v>74</v>
      </c>
      <c r="AR1933" t="s">
        <v>1894</v>
      </c>
      <c r="AS1933" t="s">
        <v>1895</v>
      </c>
      <c r="AT1933" t="s">
        <v>1652</v>
      </c>
      <c r="AU1933">
        <v>2025</v>
      </c>
      <c r="AV1933">
        <v>12</v>
      </c>
      <c r="AW1933">
        <v>2</v>
      </c>
      <c r="AX1933" t="s">
        <v>74</v>
      </c>
      <c r="AY1933" t="s">
        <v>74</v>
      </c>
      <c r="AZ1933" t="s">
        <v>74</v>
      </c>
      <c r="BA1933" t="s">
        <v>74</v>
      </c>
      <c r="BB1933" t="s">
        <v>74</v>
      </c>
      <c r="BC1933" t="s">
        <v>74</v>
      </c>
      <c r="BD1933">
        <v>2350009</v>
      </c>
      <c r="BE1933" t="s">
        <v>19519</v>
      </c>
      <c r="BF1933" t="str">
        <f>HYPERLINK("http://dx.doi.org/10.1142/S2424786323500093","http://dx.doi.org/10.1142/S2424786323500093")</f>
        <v>http://dx.doi.org/10.1142/S2424786323500093</v>
      </c>
      <c r="BG1933" t="s">
        <v>74</v>
      </c>
      <c r="BH1933" t="s">
        <v>13995</v>
      </c>
      <c r="BI1933">
        <v>17</v>
      </c>
      <c r="BJ1933" t="s">
        <v>268</v>
      </c>
      <c r="BK1933" t="s">
        <v>313</v>
      </c>
      <c r="BL1933" t="s">
        <v>100</v>
      </c>
      <c r="BM1933" t="s">
        <v>19518</v>
      </c>
      <c r="BN1933" t="s">
        <v>74</v>
      </c>
      <c r="BO1933" t="s">
        <v>74</v>
      </c>
      <c r="BP1933" t="s">
        <v>74</v>
      </c>
      <c r="BQ1933" t="s">
        <v>74</v>
      </c>
      <c r="BR1933" t="s">
        <v>102</v>
      </c>
      <c r="BS1933" t="s">
        <v>19517</v>
      </c>
      <c r="BT1933" t="str">
        <f>HYPERLINK("https%3A%2F%2Fwww.webofscience.com%2Fwos%2Fwoscc%2Ffull-record%2FWOS:001014894000001","View Full Record in Web of Science")</f>
        <v>View Full Record in Web of Science</v>
      </c>
    </row>
    <row r="1934" spans="1:72" x14ac:dyDescent="0.25">
      <c r="A1934" t="s">
        <v>72</v>
      </c>
      <c r="B1934" t="s">
        <v>19516</v>
      </c>
      <c r="C1934" t="s">
        <v>74</v>
      </c>
      <c r="D1934" t="s">
        <v>74</v>
      </c>
      <c r="E1934" t="s">
        <v>74</v>
      </c>
      <c r="F1934" t="s">
        <v>19515</v>
      </c>
      <c r="G1934" t="s">
        <v>74</v>
      </c>
      <c r="H1934" t="s">
        <v>74</v>
      </c>
      <c r="I1934" t="s">
        <v>19514</v>
      </c>
      <c r="J1934" t="s">
        <v>4208</v>
      </c>
      <c r="K1934" t="s">
        <v>74</v>
      </c>
      <c r="L1934" t="s">
        <v>74</v>
      </c>
      <c r="M1934" t="s">
        <v>78</v>
      </c>
      <c r="N1934" t="s">
        <v>79</v>
      </c>
      <c r="O1934" t="s">
        <v>74</v>
      </c>
      <c r="P1934" t="s">
        <v>74</v>
      </c>
      <c r="Q1934" t="s">
        <v>74</v>
      </c>
      <c r="R1934" t="s">
        <v>74</v>
      </c>
      <c r="S1934" t="s">
        <v>74</v>
      </c>
      <c r="T1934" t="s">
        <v>74</v>
      </c>
      <c r="U1934" t="s">
        <v>19513</v>
      </c>
      <c r="V1934" t="s">
        <v>19512</v>
      </c>
      <c r="W1934" t="s">
        <v>19511</v>
      </c>
      <c r="X1934" t="s">
        <v>19510</v>
      </c>
      <c r="Y1934" t="s">
        <v>19509</v>
      </c>
      <c r="Z1934" t="s">
        <v>19508</v>
      </c>
      <c r="AA1934" t="s">
        <v>19507</v>
      </c>
      <c r="AB1934" t="s">
        <v>19506</v>
      </c>
      <c r="AC1934" t="s">
        <v>74</v>
      </c>
      <c r="AD1934" t="s">
        <v>74</v>
      </c>
      <c r="AE1934" t="s">
        <v>74</v>
      </c>
      <c r="AF1934" t="s">
        <v>74</v>
      </c>
      <c r="AG1934">
        <v>39</v>
      </c>
      <c r="AH1934">
        <v>15</v>
      </c>
      <c r="AI1934">
        <v>19</v>
      </c>
      <c r="AJ1934">
        <v>2</v>
      </c>
      <c r="AK1934">
        <v>26</v>
      </c>
      <c r="AL1934" t="s">
        <v>4218</v>
      </c>
      <c r="AM1934" t="s">
        <v>4219</v>
      </c>
      <c r="AN1934" t="s">
        <v>4220</v>
      </c>
      <c r="AO1934" t="s">
        <v>4221</v>
      </c>
      <c r="AP1934" t="s">
        <v>74</v>
      </c>
      <c r="AQ1934" t="s">
        <v>74</v>
      </c>
      <c r="AR1934" t="s">
        <v>4208</v>
      </c>
      <c r="AS1934" t="s">
        <v>4222</v>
      </c>
      <c r="AT1934" t="s">
        <v>19505</v>
      </c>
      <c r="AU1934">
        <v>2021</v>
      </c>
      <c r="AV1934">
        <v>16</v>
      </c>
      <c r="AW1934">
        <v>12</v>
      </c>
      <c r="AX1934" t="s">
        <v>74</v>
      </c>
      <c r="AY1934" t="s">
        <v>74</v>
      </c>
      <c r="AZ1934" t="s">
        <v>74</v>
      </c>
      <c r="BA1934" t="s">
        <v>74</v>
      </c>
      <c r="BB1934" t="s">
        <v>74</v>
      </c>
      <c r="BC1934" t="s">
        <v>74</v>
      </c>
      <c r="BD1934" t="s">
        <v>19504</v>
      </c>
      <c r="BE1934" t="s">
        <v>19503</v>
      </c>
      <c r="BF1934" t="str">
        <f>HYPERLINK("http://dx.doi.org/10.1371/journal.pone.0261337","http://dx.doi.org/10.1371/journal.pone.0261337")</f>
        <v>http://dx.doi.org/10.1371/journal.pone.0261337</v>
      </c>
      <c r="BG1934" t="s">
        <v>74</v>
      </c>
      <c r="BH1934" t="s">
        <v>74</v>
      </c>
      <c r="BI1934">
        <v>19</v>
      </c>
      <c r="BJ1934" t="s">
        <v>559</v>
      </c>
      <c r="BK1934" t="s">
        <v>2623</v>
      </c>
      <c r="BL1934" t="s">
        <v>560</v>
      </c>
      <c r="BM1934" t="s">
        <v>19502</v>
      </c>
      <c r="BN1934">
        <v>34936670</v>
      </c>
      <c r="BO1934" t="s">
        <v>916</v>
      </c>
      <c r="BP1934" t="s">
        <v>74</v>
      </c>
      <c r="BQ1934" t="s">
        <v>74</v>
      </c>
      <c r="BR1934" t="s">
        <v>102</v>
      </c>
      <c r="BS1934" t="s">
        <v>19501</v>
      </c>
      <c r="BT1934" t="str">
        <f>HYPERLINK("https%3A%2F%2Fwww.webofscience.com%2Fwos%2Fwoscc%2Ffull-record%2FWOS:000755251000027","View Full Record in Web of Science")</f>
        <v>View Full Record in Web of Science</v>
      </c>
    </row>
    <row r="1935" spans="1:72" x14ac:dyDescent="0.25">
      <c r="A1935" t="s">
        <v>72</v>
      </c>
      <c r="B1935" t="s">
        <v>19500</v>
      </c>
      <c r="C1935" t="s">
        <v>74</v>
      </c>
      <c r="D1935" t="s">
        <v>74</v>
      </c>
      <c r="E1935" t="s">
        <v>74</v>
      </c>
      <c r="F1935" t="s">
        <v>19499</v>
      </c>
      <c r="G1935" t="s">
        <v>74</v>
      </c>
      <c r="H1935" t="s">
        <v>74</v>
      </c>
      <c r="I1935" t="s">
        <v>19498</v>
      </c>
      <c r="J1935" t="s">
        <v>5958</v>
      </c>
      <c r="K1935" t="s">
        <v>74</v>
      </c>
      <c r="L1935" t="s">
        <v>74</v>
      </c>
      <c r="M1935" t="s">
        <v>78</v>
      </c>
      <c r="N1935" t="s">
        <v>19497</v>
      </c>
      <c r="O1935" t="s">
        <v>74</v>
      </c>
      <c r="P1935" t="s">
        <v>74</v>
      </c>
      <c r="Q1935" t="s">
        <v>74</v>
      </c>
      <c r="R1935" t="s">
        <v>74</v>
      </c>
      <c r="S1935" t="s">
        <v>74</v>
      </c>
      <c r="T1935" t="s">
        <v>19496</v>
      </c>
      <c r="U1935" t="s">
        <v>19495</v>
      </c>
      <c r="V1935" t="s">
        <v>19494</v>
      </c>
      <c r="W1935" t="s">
        <v>19493</v>
      </c>
      <c r="X1935" t="s">
        <v>19492</v>
      </c>
      <c r="Y1935" t="s">
        <v>19491</v>
      </c>
      <c r="Z1935" t="s">
        <v>19490</v>
      </c>
      <c r="AA1935" t="s">
        <v>74</v>
      </c>
      <c r="AB1935" t="s">
        <v>74</v>
      </c>
      <c r="AC1935" t="s">
        <v>19489</v>
      </c>
      <c r="AD1935" t="s">
        <v>19488</v>
      </c>
      <c r="AE1935" t="s">
        <v>19487</v>
      </c>
      <c r="AF1935" t="s">
        <v>74</v>
      </c>
      <c r="AG1935">
        <v>136</v>
      </c>
      <c r="AH1935">
        <v>7</v>
      </c>
      <c r="AI1935">
        <v>10</v>
      </c>
      <c r="AJ1935">
        <v>5</v>
      </c>
      <c r="AK1935">
        <v>57</v>
      </c>
      <c r="AL1935" t="s">
        <v>1216</v>
      </c>
      <c r="AM1935" t="s">
        <v>283</v>
      </c>
      <c r="AN1935" t="s">
        <v>1217</v>
      </c>
      <c r="AO1935" t="s">
        <v>5971</v>
      </c>
      <c r="AP1935" t="s">
        <v>74</v>
      </c>
      <c r="AQ1935" t="s">
        <v>74</v>
      </c>
      <c r="AR1935" t="s">
        <v>5972</v>
      </c>
      <c r="AS1935" t="s">
        <v>5973</v>
      </c>
      <c r="AT1935" t="s">
        <v>5248</v>
      </c>
      <c r="AU1935">
        <v>2022</v>
      </c>
      <c r="AV1935">
        <v>13</v>
      </c>
      <c r="AW1935" t="s">
        <v>74</v>
      </c>
      <c r="AX1935" t="s">
        <v>74</v>
      </c>
      <c r="AY1935" t="s">
        <v>74</v>
      </c>
      <c r="AZ1935" t="s">
        <v>74</v>
      </c>
      <c r="BA1935" t="s">
        <v>74</v>
      </c>
      <c r="BB1935" t="s">
        <v>74</v>
      </c>
      <c r="BC1935" t="s">
        <v>74</v>
      </c>
      <c r="BD1935">
        <v>857193</v>
      </c>
      <c r="BE1935" t="s">
        <v>19486</v>
      </c>
      <c r="BF1935" t="str">
        <f>HYPERLINK("http://dx.doi.org/10.3389/fpsyg.2022.857193","http://dx.doi.org/10.3389/fpsyg.2022.857193")</f>
        <v>http://dx.doi.org/10.3389/fpsyg.2022.857193</v>
      </c>
      <c r="BG1935" t="s">
        <v>74</v>
      </c>
      <c r="BH1935" t="s">
        <v>74</v>
      </c>
      <c r="BI1935">
        <v>16</v>
      </c>
      <c r="BJ1935" t="s">
        <v>2992</v>
      </c>
      <c r="BK1935" t="s">
        <v>99</v>
      </c>
      <c r="BL1935" t="s">
        <v>2993</v>
      </c>
      <c r="BM1935" t="s">
        <v>19485</v>
      </c>
      <c r="BN1935">
        <v>35558710</v>
      </c>
      <c r="BO1935" t="s">
        <v>916</v>
      </c>
      <c r="BP1935" t="s">
        <v>74</v>
      </c>
      <c r="BQ1935" t="s">
        <v>74</v>
      </c>
      <c r="BR1935" t="s">
        <v>102</v>
      </c>
      <c r="BS1935" t="s">
        <v>19484</v>
      </c>
      <c r="BT1935" t="str">
        <f>HYPERLINK("https%3A%2F%2Fwww.webofscience.com%2Fwos%2Fwoscc%2Ffull-record%2FWOS:000793724200001","View Full Record in Web of Science")</f>
        <v>View Full Record in Web of Science</v>
      </c>
    </row>
    <row r="1936" spans="1:72" x14ac:dyDescent="0.25">
      <c r="A1936" t="s">
        <v>72</v>
      </c>
      <c r="B1936" t="s">
        <v>19483</v>
      </c>
      <c r="C1936" t="s">
        <v>74</v>
      </c>
      <c r="D1936" t="s">
        <v>74</v>
      </c>
      <c r="E1936" t="s">
        <v>74</v>
      </c>
      <c r="F1936" t="s">
        <v>19482</v>
      </c>
      <c r="G1936" t="s">
        <v>74</v>
      </c>
      <c r="H1936" t="s">
        <v>74</v>
      </c>
      <c r="I1936" t="s">
        <v>19481</v>
      </c>
      <c r="J1936" t="s">
        <v>1290</v>
      </c>
      <c r="K1936" t="s">
        <v>74</v>
      </c>
      <c r="L1936" t="s">
        <v>74</v>
      </c>
      <c r="M1936" t="s">
        <v>78</v>
      </c>
      <c r="N1936" t="s">
        <v>79</v>
      </c>
      <c r="O1936" t="s">
        <v>74</v>
      </c>
      <c r="P1936" t="s">
        <v>74</v>
      </c>
      <c r="Q1936" t="s">
        <v>74</v>
      </c>
      <c r="R1936" t="s">
        <v>74</v>
      </c>
      <c r="S1936" t="s">
        <v>74</v>
      </c>
      <c r="T1936" t="s">
        <v>19480</v>
      </c>
      <c r="U1936" t="s">
        <v>74</v>
      </c>
      <c r="V1936" t="s">
        <v>19479</v>
      </c>
      <c r="W1936" t="s">
        <v>19478</v>
      </c>
      <c r="X1936" t="s">
        <v>19477</v>
      </c>
      <c r="Y1936" t="s">
        <v>19476</v>
      </c>
      <c r="Z1936" t="s">
        <v>19475</v>
      </c>
      <c r="AA1936" t="s">
        <v>19474</v>
      </c>
      <c r="AB1936" t="s">
        <v>19473</v>
      </c>
      <c r="AC1936" t="s">
        <v>74</v>
      </c>
      <c r="AD1936" t="s">
        <v>74</v>
      </c>
      <c r="AE1936" t="s">
        <v>74</v>
      </c>
      <c r="AF1936" t="s">
        <v>74</v>
      </c>
      <c r="AG1936">
        <v>46</v>
      </c>
      <c r="AH1936">
        <v>15</v>
      </c>
      <c r="AI1936">
        <v>21</v>
      </c>
      <c r="AJ1936">
        <v>1</v>
      </c>
      <c r="AK1936">
        <v>9</v>
      </c>
      <c r="AL1936" t="s">
        <v>575</v>
      </c>
      <c r="AM1936" t="s">
        <v>576</v>
      </c>
      <c r="AN1936" t="s">
        <v>3242</v>
      </c>
      <c r="AO1936" t="s">
        <v>1299</v>
      </c>
      <c r="AP1936" t="s">
        <v>74</v>
      </c>
      <c r="AQ1936" t="s">
        <v>74</v>
      </c>
      <c r="AR1936" t="s">
        <v>1300</v>
      </c>
      <c r="AS1936" t="s">
        <v>1301</v>
      </c>
      <c r="AT1936" t="s">
        <v>1652</v>
      </c>
      <c r="AU1936">
        <v>2020</v>
      </c>
      <c r="AV1936">
        <v>8</v>
      </c>
      <c r="AW1936">
        <v>2</v>
      </c>
      <c r="AX1936" t="s">
        <v>74</v>
      </c>
      <c r="AY1936" t="s">
        <v>74</v>
      </c>
      <c r="AZ1936" t="s">
        <v>74</v>
      </c>
      <c r="BA1936" t="s">
        <v>74</v>
      </c>
      <c r="BB1936" t="s">
        <v>74</v>
      </c>
      <c r="BC1936" t="s">
        <v>74</v>
      </c>
      <c r="BD1936">
        <v>28</v>
      </c>
      <c r="BE1936" t="s">
        <v>19472</v>
      </c>
      <c r="BF1936" t="str">
        <f>HYPERLINK("http://dx.doi.org/10.3390/ijfs8020028","http://dx.doi.org/10.3390/ijfs8020028")</f>
        <v>http://dx.doi.org/10.3390/ijfs8020028</v>
      </c>
      <c r="BG1936" t="s">
        <v>74</v>
      </c>
      <c r="BH1936" t="s">
        <v>74</v>
      </c>
      <c r="BI1936">
        <v>13</v>
      </c>
      <c r="BJ1936" t="s">
        <v>268</v>
      </c>
      <c r="BK1936" t="s">
        <v>313</v>
      </c>
      <c r="BL1936" t="s">
        <v>100</v>
      </c>
      <c r="BM1936" t="s">
        <v>19471</v>
      </c>
      <c r="BN1936" t="s">
        <v>74</v>
      </c>
      <c r="BO1936" t="s">
        <v>916</v>
      </c>
      <c r="BP1936" t="s">
        <v>74</v>
      </c>
      <c r="BQ1936" t="s">
        <v>74</v>
      </c>
      <c r="BR1936" t="s">
        <v>102</v>
      </c>
      <c r="BS1936" t="s">
        <v>19470</v>
      </c>
      <c r="BT1936" t="str">
        <f>HYPERLINK("https%3A%2F%2Fwww.webofscience.com%2Fwos%2Fwoscc%2Ffull-record%2FWOS:000551224700018","View Full Record in Web of Science")</f>
        <v>View Full Record in Web of Science</v>
      </c>
    </row>
    <row r="1937" spans="1:72" x14ac:dyDescent="0.25">
      <c r="A1937" t="s">
        <v>72</v>
      </c>
      <c r="B1937" t="s">
        <v>19469</v>
      </c>
      <c r="C1937" t="s">
        <v>74</v>
      </c>
      <c r="D1937" t="s">
        <v>74</v>
      </c>
      <c r="E1937" t="s">
        <v>74</v>
      </c>
      <c r="F1937" t="s">
        <v>19468</v>
      </c>
      <c r="G1937" t="s">
        <v>74</v>
      </c>
      <c r="H1937" t="s">
        <v>74</v>
      </c>
      <c r="I1937" t="s">
        <v>19467</v>
      </c>
      <c r="J1937" t="s">
        <v>6283</v>
      </c>
      <c r="K1937" t="s">
        <v>74</v>
      </c>
      <c r="L1937" t="s">
        <v>74</v>
      </c>
      <c r="M1937" t="s">
        <v>78</v>
      </c>
      <c r="N1937" t="s">
        <v>79</v>
      </c>
      <c r="O1937" t="s">
        <v>74</v>
      </c>
      <c r="P1937" t="s">
        <v>74</v>
      </c>
      <c r="Q1937" t="s">
        <v>74</v>
      </c>
      <c r="R1937" t="s">
        <v>74</v>
      </c>
      <c r="S1937" t="s">
        <v>74</v>
      </c>
      <c r="T1937" t="s">
        <v>19466</v>
      </c>
      <c r="U1937" t="s">
        <v>19465</v>
      </c>
      <c r="V1937" t="s">
        <v>19464</v>
      </c>
      <c r="W1937" t="s">
        <v>19463</v>
      </c>
      <c r="X1937" t="s">
        <v>19462</v>
      </c>
      <c r="Y1937" t="s">
        <v>19461</v>
      </c>
      <c r="Z1937" t="s">
        <v>19460</v>
      </c>
      <c r="AA1937" t="s">
        <v>19459</v>
      </c>
      <c r="AB1937" t="s">
        <v>19458</v>
      </c>
      <c r="AC1937" t="s">
        <v>74</v>
      </c>
      <c r="AD1937" t="s">
        <v>74</v>
      </c>
      <c r="AE1937" t="s">
        <v>74</v>
      </c>
      <c r="AF1937" t="s">
        <v>74</v>
      </c>
      <c r="AG1937">
        <v>86</v>
      </c>
      <c r="AH1937">
        <v>3</v>
      </c>
      <c r="AI1937">
        <v>3</v>
      </c>
      <c r="AJ1937">
        <v>17</v>
      </c>
      <c r="AK1937">
        <v>22</v>
      </c>
      <c r="AL1937" t="s">
        <v>479</v>
      </c>
      <c r="AM1937" t="s">
        <v>480</v>
      </c>
      <c r="AN1937" t="s">
        <v>481</v>
      </c>
      <c r="AO1937" t="s">
        <v>6293</v>
      </c>
      <c r="AP1937" t="s">
        <v>6294</v>
      </c>
      <c r="AQ1937" t="s">
        <v>74</v>
      </c>
      <c r="AR1937" t="s">
        <v>6295</v>
      </c>
      <c r="AS1937" t="s">
        <v>6296</v>
      </c>
      <c r="AT1937" t="s">
        <v>891</v>
      </c>
      <c r="AU1937">
        <v>2025</v>
      </c>
      <c r="AV1937">
        <v>33</v>
      </c>
      <c r="AW1937" t="s">
        <v>74</v>
      </c>
      <c r="AX1937" t="s">
        <v>74</v>
      </c>
      <c r="AY1937">
        <v>1</v>
      </c>
      <c r="AZ1937" t="s">
        <v>74</v>
      </c>
      <c r="BA1937" t="s">
        <v>74</v>
      </c>
      <c r="BB1937">
        <v>48</v>
      </c>
      <c r="BC1937">
        <v>76</v>
      </c>
      <c r="BD1937" t="s">
        <v>74</v>
      </c>
      <c r="BE1937" t="s">
        <v>19457</v>
      </c>
      <c r="BF1937" t="str">
        <f>HYPERLINK("http://dx.doi.org/10.1002/sd.3553","http://dx.doi.org/10.1002/sd.3553")</f>
        <v>http://dx.doi.org/10.1002/sd.3553</v>
      </c>
      <c r="BG1937" t="s">
        <v>74</v>
      </c>
      <c r="BH1937" t="s">
        <v>7657</v>
      </c>
      <c r="BI1937">
        <v>29</v>
      </c>
      <c r="BJ1937" t="s">
        <v>6299</v>
      </c>
      <c r="BK1937" t="s">
        <v>99</v>
      </c>
      <c r="BL1937" t="s">
        <v>6300</v>
      </c>
      <c r="BM1937" t="s">
        <v>19456</v>
      </c>
      <c r="BN1937" t="s">
        <v>74</v>
      </c>
      <c r="BO1937" t="s">
        <v>1205</v>
      </c>
      <c r="BP1937" t="s">
        <v>74</v>
      </c>
      <c r="BQ1937" t="s">
        <v>74</v>
      </c>
      <c r="BR1937" t="s">
        <v>102</v>
      </c>
      <c r="BS1937" t="s">
        <v>19455</v>
      </c>
      <c r="BT1937" t="str">
        <f>HYPERLINK("https%3A%2F%2Fwww.webofscience.com%2Fwos%2Fwoscc%2Ffull-record%2FWOS:001506298900001","View Full Record in Web of Science")</f>
        <v>View Full Record in Web of Science</v>
      </c>
    </row>
    <row r="1938" spans="1:72" x14ac:dyDescent="0.25">
      <c r="A1938" t="s">
        <v>72</v>
      </c>
      <c r="B1938" t="s">
        <v>19454</v>
      </c>
      <c r="C1938" t="s">
        <v>74</v>
      </c>
      <c r="D1938" t="s">
        <v>74</v>
      </c>
      <c r="E1938" t="s">
        <v>74</v>
      </c>
      <c r="F1938" t="s">
        <v>19453</v>
      </c>
      <c r="G1938" t="s">
        <v>74</v>
      </c>
      <c r="H1938" t="s">
        <v>74</v>
      </c>
      <c r="I1938" t="s">
        <v>19452</v>
      </c>
      <c r="J1938" t="s">
        <v>2117</v>
      </c>
      <c r="K1938" t="s">
        <v>74</v>
      </c>
      <c r="L1938" t="s">
        <v>74</v>
      </c>
      <c r="M1938" t="s">
        <v>78</v>
      </c>
      <c r="N1938" t="s">
        <v>79</v>
      </c>
      <c r="O1938" t="s">
        <v>74</v>
      </c>
      <c r="P1938" t="s">
        <v>74</v>
      </c>
      <c r="Q1938" t="s">
        <v>74</v>
      </c>
      <c r="R1938" t="s">
        <v>74</v>
      </c>
      <c r="S1938" t="s">
        <v>74</v>
      </c>
      <c r="T1938" t="s">
        <v>19451</v>
      </c>
      <c r="U1938" t="s">
        <v>19450</v>
      </c>
      <c r="V1938" t="s">
        <v>19449</v>
      </c>
      <c r="W1938" t="s">
        <v>19448</v>
      </c>
      <c r="X1938" t="s">
        <v>19447</v>
      </c>
      <c r="Y1938" t="s">
        <v>19446</v>
      </c>
      <c r="Z1938" t="s">
        <v>19445</v>
      </c>
      <c r="AA1938" t="s">
        <v>74</v>
      </c>
      <c r="AB1938" t="s">
        <v>74</v>
      </c>
      <c r="AC1938" t="s">
        <v>19444</v>
      </c>
      <c r="AD1938" t="s">
        <v>19443</v>
      </c>
      <c r="AE1938" t="s">
        <v>19442</v>
      </c>
      <c r="AF1938" t="s">
        <v>74</v>
      </c>
      <c r="AG1938">
        <v>36</v>
      </c>
      <c r="AH1938">
        <v>0</v>
      </c>
      <c r="AI1938">
        <v>0</v>
      </c>
      <c r="AJ1938">
        <v>5</v>
      </c>
      <c r="AK1938">
        <v>5</v>
      </c>
      <c r="AL1938" t="s">
        <v>201</v>
      </c>
      <c r="AM1938" t="s">
        <v>202</v>
      </c>
      <c r="AN1938" t="s">
        <v>203</v>
      </c>
      <c r="AO1938" t="s">
        <v>2127</v>
      </c>
      <c r="AP1938" t="s">
        <v>2128</v>
      </c>
      <c r="AQ1938" t="s">
        <v>74</v>
      </c>
      <c r="AR1938" t="s">
        <v>2129</v>
      </c>
      <c r="AS1938" t="s">
        <v>2130</v>
      </c>
      <c r="AT1938" t="s">
        <v>605</v>
      </c>
      <c r="AU1938">
        <v>2026</v>
      </c>
      <c r="AV1938">
        <v>71</v>
      </c>
      <c r="AW1938" t="s">
        <v>74</v>
      </c>
      <c r="AX1938" t="s">
        <v>74</v>
      </c>
      <c r="AY1938" t="s">
        <v>74</v>
      </c>
      <c r="AZ1938" t="s">
        <v>74</v>
      </c>
      <c r="BA1938" t="s">
        <v>74</v>
      </c>
      <c r="BB1938" t="s">
        <v>74</v>
      </c>
      <c r="BC1938" t="s">
        <v>74</v>
      </c>
      <c r="BD1938">
        <v>101424</v>
      </c>
      <c r="BE1938" t="s">
        <v>19441</v>
      </c>
      <c r="BF1938" t="str">
        <f>HYPERLINK("http://dx.doi.org/10.1016/j.ememar.2025.101424","http://dx.doi.org/10.1016/j.ememar.2025.101424")</f>
        <v>http://dx.doi.org/10.1016/j.ememar.2025.101424</v>
      </c>
      <c r="BG1938" t="s">
        <v>74</v>
      </c>
      <c r="BH1938" t="s">
        <v>488</v>
      </c>
      <c r="BI1938">
        <v>18</v>
      </c>
      <c r="BJ1938" t="s">
        <v>210</v>
      </c>
      <c r="BK1938" t="s">
        <v>99</v>
      </c>
      <c r="BL1938" t="s">
        <v>100</v>
      </c>
      <c r="BM1938" t="s">
        <v>19440</v>
      </c>
      <c r="BN1938" t="s">
        <v>74</v>
      </c>
      <c r="BO1938" t="s">
        <v>74</v>
      </c>
      <c r="BP1938" t="s">
        <v>74</v>
      </c>
      <c r="BQ1938" t="s">
        <v>74</v>
      </c>
      <c r="BR1938" t="s">
        <v>102</v>
      </c>
      <c r="BS1938" t="s">
        <v>19439</v>
      </c>
      <c r="BT1938" t="str">
        <f>HYPERLINK("https%3A%2F%2Fwww.webofscience.com%2Fwos%2Fwoscc%2Ffull-record%2FWOS:001640539200001","View Full Record in Web of Science")</f>
        <v>View Full Record in Web of Science</v>
      </c>
    </row>
    <row r="1939" spans="1:72" x14ac:dyDescent="0.25">
      <c r="A1939" t="s">
        <v>72</v>
      </c>
      <c r="B1939" t="s">
        <v>19438</v>
      </c>
      <c r="C1939" t="s">
        <v>74</v>
      </c>
      <c r="D1939" t="s">
        <v>74</v>
      </c>
      <c r="E1939" t="s">
        <v>74</v>
      </c>
      <c r="F1939" t="s">
        <v>19437</v>
      </c>
      <c r="G1939" t="s">
        <v>74</v>
      </c>
      <c r="H1939" t="s">
        <v>74</v>
      </c>
      <c r="I1939" t="s">
        <v>19436</v>
      </c>
      <c r="J1939" t="s">
        <v>8546</v>
      </c>
      <c r="K1939" t="s">
        <v>74</v>
      </c>
      <c r="L1939" t="s">
        <v>74</v>
      </c>
      <c r="M1939" t="s">
        <v>78</v>
      </c>
      <c r="N1939" t="s">
        <v>79</v>
      </c>
      <c r="O1939" t="s">
        <v>74</v>
      </c>
      <c r="P1939" t="s">
        <v>74</v>
      </c>
      <c r="Q1939" t="s">
        <v>74</v>
      </c>
      <c r="R1939" t="s">
        <v>74</v>
      </c>
      <c r="S1939" t="s">
        <v>74</v>
      </c>
      <c r="T1939" t="s">
        <v>19435</v>
      </c>
      <c r="U1939" t="s">
        <v>19434</v>
      </c>
      <c r="V1939" t="s">
        <v>19433</v>
      </c>
      <c r="W1939" t="s">
        <v>19432</v>
      </c>
      <c r="X1939" t="s">
        <v>19431</v>
      </c>
      <c r="Y1939" t="s">
        <v>19430</v>
      </c>
      <c r="Z1939" t="s">
        <v>19429</v>
      </c>
      <c r="AA1939" t="s">
        <v>19428</v>
      </c>
      <c r="AB1939" t="s">
        <v>19427</v>
      </c>
      <c r="AC1939" t="s">
        <v>74</v>
      </c>
      <c r="AD1939" t="s">
        <v>74</v>
      </c>
      <c r="AE1939" t="s">
        <v>74</v>
      </c>
      <c r="AF1939" t="s">
        <v>74</v>
      </c>
      <c r="AG1939">
        <v>64</v>
      </c>
      <c r="AH1939">
        <v>7</v>
      </c>
      <c r="AI1939">
        <v>15</v>
      </c>
      <c r="AJ1939">
        <v>1</v>
      </c>
      <c r="AK1939">
        <v>17</v>
      </c>
      <c r="AL1939" t="s">
        <v>332</v>
      </c>
      <c r="AM1939" t="s">
        <v>333</v>
      </c>
      <c r="AN1939" t="s">
        <v>334</v>
      </c>
      <c r="AO1939" t="s">
        <v>8553</v>
      </c>
      <c r="AP1939" t="s">
        <v>8554</v>
      </c>
      <c r="AQ1939" t="s">
        <v>74</v>
      </c>
      <c r="AR1939" t="s">
        <v>8555</v>
      </c>
      <c r="AS1939" t="s">
        <v>8556</v>
      </c>
      <c r="AT1939" t="s">
        <v>2206</v>
      </c>
      <c r="AU1939">
        <v>2024</v>
      </c>
      <c r="AV1939">
        <v>14</v>
      </c>
      <c r="AW1939">
        <v>2</v>
      </c>
      <c r="AX1939" t="s">
        <v>74</v>
      </c>
      <c r="AY1939" t="s">
        <v>74</v>
      </c>
      <c r="AZ1939" t="s">
        <v>74</v>
      </c>
      <c r="BA1939" t="s">
        <v>74</v>
      </c>
      <c r="BB1939">
        <v>430</v>
      </c>
      <c r="BC1939">
        <v>443</v>
      </c>
      <c r="BD1939" t="s">
        <v>74</v>
      </c>
      <c r="BE1939" t="s">
        <v>19426</v>
      </c>
      <c r="BF1939" t="str">
        <f>HYPERLINK("http://dx.doi.org/10.1080/20430795.2022.2105792","http://dx.doi.org/10.1080/20430795.2022.2105792")</f>
        <v>http://dx.doi.org/10.1080/20430795.2022.2105792</v>
      </c>
      <c r="BG1939" t="s">
        <v>74</v>
      </c>
      <c r="BH1939" t="s">
        <v>126</v>
      </c>
      <c r="BI1939">
        <v>14</v>
      </c>
      <c r="BJ1939" t="s">
        <v>8558</v>
      </c>
      <c r="BK1939" t="s">
        <v>313</v>
      </c>
      <c r="BL1939" t="s">
        <v>650</v>
      </c>
      <c r="BM1939" t="s">
        <v>19425</v>
      </c>
      <c r="BN1939" t="s">
        <v>74</v>
      </c>
      <c r="BO1939" t="s">
        <v>74</v>
      </c>
      <c r="BP1939" t="s">
        <v>74</v>
      </c>
      <c r="BQ1939" t="s">
        <v>74</v>
      </c>
      <c r="BR1939" t="s">
        <v>102</v>
      </c>
      <c r="BS1939" t="s">
        <v>19424</v>
      </c>
      <c r="BT1939" t="str">
        <f>HYPERLINK("https%3A%2F%2Fwww.webofscience.com%2Fwos%2Fwoscc%2Ffull-record%2FWOS:000834564000001","View Full Record in Web of Science")</f>
        <v>View Full Record in Web of Science</v>
      </c>
    </row>
    <row r="1940" spans="1:72" x14ac:dyDescent="0.25">
      <c r="A1940" t="s">
        <v>72</v>
      </c>
      <c r="B1940" t="s">
        <v>19423</v>
      </c>
      <c r="C1940" t="s">
        <v>74</v>
      </c>
      <c r="D1940" t="s">
        <v>74</v>
      </c>
      <c r="E1940" t="s">
        <v>74</v>
      </c>
      <c r="F1940" t="s">
        <v>19422</v>
      </c>
      <c r="G1940" t="s">
        <v>74</v>
      </c>
      <c r="H1940" t="s">
        <v>74</v>
      </c>
      <c r="I1940" t="s">
        <v>19421</v>
      </c>
      <c r="J1940" t="s">
        <v>5098</v>
      </c>
      <c r="K1940" t="s">
        <v>74</v>
      </c>
      <c r="L1940" t="s">
        <v>74</v>
      </c>
      <c r="M1940" t="s">
        <v>78</v>
      </c>
      <c r="N1940" t="s">
        <v>79</v>
      </c>
      <c r="O1940" t="s">
        <v>74</v>
      </c>
      <c r="P1940" t="s">
        <v>74</v>
      </c>
      <c r="Q1940" t="s">
        <v>74</v>
      </c>
      <c r="R1940" t="s">
        <v>74</v>
      </c>
      <c r="S1940" t="s">
        <v>74</v>
      </c>
      <c r="T1940" t="s">
        <v>19420</v>
      </c>
      <c r="U1940" t="s">
        <v>74</v>
      </c>
      <c r="V1940" t="s">
        <v>19419</v>
      </c>
      <c r="W1940" t="s">
        <v>19418</v>
      </c>
      <c r="X1940" t="s">
        <v>19417</v>
      </c>
      <c r="Y1940" t="s">
        <v>19416</v>
      </c>
      <c r="Z1940" t="s">
        <v>19415</v>
      </c>
      <c r="AA1940" t="s">
        <v>19414</v>
      </c>
      <c r="AB1940" t="s">
        <v>19413</v>
      </c>
      <c r="AC1940" t="s">
        <v>74</v>
      </c>
      <c r="AD1940" t="s">
        <v>74</v>
      </c>
      <c r="AE1940" t="s">
        <v>74</v>
      </c>
      <c r="AF1940" t="s">
        <v>74</v>
      </c>
      <c r="AG1940">
        <v>28</v>
      </c>
      <c r="AH1940">
        <v>21</v>
      </c>
      <c r="AI1940">
        <v>23</v>
      </c>
      <c r="AJ1940">
        <v>0</v>
      </c>
      <c r="AK1940">
        <v>2</v>
      </c>
      <c r="AL1940" t="s">
        <v>479</v>
      </c>
      <c r="AM1940" t="s">
        <v>480</v>
      </c>
      <c r="AN1940" t="s">
        <v>481</v>
      </c>
      <c r="AO1940" t="s">
        <v>5108</v>
      </c>
      <c r="AP1940" t="s">
        <v>74</v>
      </c>
      <c r="AQ1940" t="s">
        <v>74</v>
      </c>
      <c r="AR1940" t="s">
        <v>5109</v>
      </c>
      <c r="AS1940" t="s">
        <v>5110</v>
      </c>
      <c r="AT1940" t="s">
        <v>891</v>
      </c>
      <c r="AU1940">
        <v>2017</v>
      </c>
      <c r="AV1940">
        <v>83</v>
      </c>
      <c r="AW1940">
        <v>1</v>
      </c>
      <c r="AX1940" t="s">
        <v>74</v>
      </c>
      <c r="AY1940" t="s">
        <v>74</v>
      </c>
      <c r="AZ1940" t="s">
        <v>74</v>
      </c>
      <c r="BA1940" t="s">
        <v>74</v>
      </c>
      <c r="BB1940" t="s">
        <v>74</v>
      </c>
      <c r="BC1940" t="s">
        <v>74</v>
      </c>
      <c r="BD1940">
        <v>7</v>
      </c>
      <c r="BE1940" t="s">
        <v>74</v>
      </c>
      <c r="BF1940" t="s">
        <v>74</v>
      </c>
      <c r="BG1940" t="s">
        <v>74</v>
      </c>
      <c r="BH1940" t="s">
        <v>74</v>
      </c>
      <c r="BI1940">
        <v>15</v>
      </c>
      <c r="BJ1940" t="s">
        <v>364</v>
      </c>
      <c r="BK1940" t="s">
        <v>313</v>
      </c>
      <c r="BL1940" t="s">
        <v>365</v>
      </c>
      <c r="BM1940" t="s">
        <v>19412</v>
      </c>
      <c r="BN1940" t="s">
        <v>74</v>
      </c>
      <c r="BO1940" t="s">
        <v>74</v>
      </c>
      <c r="BP1940" t="s">
        <v>74</v>
      </c>
      <c r="BQ1940" t="s">
        <v>74</v>
      </c>
      <c r="BR1940" t="s">
        <v>102</v>
      </c>
      <c r="BS1940" t="s">
        <v>19411</v>
      </c>
      <c r="BT1940" t="str">
        <f>HYPERLINK("https%3A%2F%2Fwww.webofscience.com%2Fwos%2Fwoscc%2Ffull-record%2FWOS:000447058900007","View Full Record in Web of Science")</f>
        <v>View Full Record in Web of Science</v>
      </c>
    </row>
    <row r="1941" spans="1:72" x14ac:dyDescent="0.25">
      <c r="A1941" t="s">
        <v>72</v>
      </c>
      <c r="B1941" t="s">
        <v>19410</v>
      </c>
      <c r="C1941" t="s">
        <v>74</v>
      </c>
      <c r="D1941" t="s">
        <v>74</v>
      </c>
      <c r="E1941" t="s">
        <v>74</v>
      </c>
      <c r="F1941" t="s">
        <v>19409</v>
      </c>
      <c r="G1941" t="s">
        <v>74</v>
      </c>
      <c r="H1941" t="s">
        <v>74</v>
      </c>
      <c r="I1941" t="s">
        <v>19408</v>
      </c>
      <c r="J1941" t="s">
        <v>5812</v>
      </c>
      <c r="K1941" t="s">
        <v>74</v>
      </c>
      <c r="L1941" t="s">
        <v>74</v>
      </c>
      <c r="M1941" t="s">
        <v>78</v>
      </c>
      <c r="N1941" t="s">
        <v>79</v>
      </c>
      <c r="O1941" t="s">
        <v>74</v>
      </c>
      <c r="P1941" t="s">
        <v>74</v>
      </c>
      <c r="Q1941" t="s">
        <v>74</v>
      </c>
      <c r="R1941" t="s">
        <v>74</v>
      </c>
      <c r="S1941" t="s">
        <v>74</v>
      </c>
      <c r="T1941" t="s">
        <v>19407</v>
      </c>
      <c r="U1941" t="s">
        <v>19406</v>
      </c>
      <c r="V1941" t="s">
        <v>19405</v>
      </c>
      <c r="W1941" t="s">
        <v>19404</v>
      </c>
      <c r="X1941" t="s">
        <v>19403</v>
      </c>
      <c r="Y1941" t="s">
        <v>19402</v>
      </c>
      <c r="Z1941" t="s">
        <v>19401</v>
      </c>
      <c r="AA1941" t="s">
        <v>19400</v>
      </c>
      <c r="AB1941" t="s">
        <v>19399</v>
      </c>
      <c r="AC1941" t="s">
        <v>19398</v>
      </c>
      <c r="AD1941" t="s">
        <v>19397</v>
      </c>
      <c r="AE1941" t="s">
        <v>19396</v>
      </c>
      <c r="AF1941" t="s">
        <v>74</v>
      </c>
      <c r="AG1941">
        <v>68</v>
      </c>
      <c r="AH1941">
        <v>15</v>
      </c>
      <c r="AI1941">
        <v>21</v>
      </c>
      <c r="AJ1941">
        <v>0</v>
      </c>
      <c r="AK1941">
        <v>22</v>
      </c>
      <c r="AL1941" t="s">
        <v>332</v>
      </c>
      <c r="AM1941" t="s">
        <v>333</v>
      </c>
      <c r="AN1941" t="s">
        <v>334</v>
      </c>
      <c r="AO1941" t="s">
        <v>5820</v>
      </c>
      <c r="AP1941" t="s">
        <v>5821</v>
      </c>
      <c r="AQ1941" t="s">
        <v>74</v>
      </c>
      <c r="AR1941" t="s">
        <v>5822</v>
      </c>
      <c r="AS1941" t="s">
        <v>5823</v>
      </c>
      <c r="AT1941" t="s">
        <v>2487</v>
      </c>
      <c r="AU1941">
        <v>2021</v>
      </c>
      <c r="AV1941">
        <v>34</v>
      </c>
      <c r="AW1941">
        <v>1</v>
      </c>
      <c r="AX1941" t="s">
        <v>74</v>
      </c>
      <c r="AY1941" t="s">
        <v>74</v>
      </c>
      <c r="AZ1941" t="s">
        <v>74</v>
      </c>
      <c r="BA1941" t="s">
        <v>74</v>
      </c>
      <c r="BB1941">
        <v>1146</v>
      </c>
      <c r="BC1941">
        <v>1169</v>
      </c>
      <c r="BD1941" t="s">
        <v>74</v>
      </c>
      <c r="BE1941" t="s">
        <v>19395</v>
      </c>
      <c r="BF1941" t="str">
        <f>HYPERLINK("http://dx.doi.org/10.1080/1331677X.2020.1819853","http://dx.doi.org/10.1080/1331677X.2020.1819853")</f>
        <v>http://dx.doi.org/10.1080/1331677X.2020.1819853</v>
      </c>
      <c r="BG1941" t="s">
        <v>74</v>
      </c>
      <c r="BH1941" t="s">
        <v>745</v>
      </c>
      <c r="BI1941">
        <v>24</v>
      </c>
      <c r="BJ1941" t="s">
        <v>291</v>
      </c>
      <c r="BK1941" t="s">
        <v>99</v>
      </c>
      <c r="BL1941" t="s">
        <v>100</v>
      </c>
      <c r="BM1941" t="s">
        <v>19394</v>
      </c>
      <c r="BN1941" t="s">
        <v>74</v>
      </c>
      <c r="BO1941" t="s">
        <v>270</v>
      </c>
      <c r="BP1941" t="s">
        <v>74</v>
      </c>
      <c r="BQ1941" t="s">
        <v>74</v>
      </c>
      <c r="BR1941" t="s">
        <v>102</v>
      </c>
      <c r="BS1941" t="s">
        <v>19393</v>
      </c>
      <c r="BT1941" t="str">
        <f>HYPERLINK("https%3A%2F%2Fwww.webofscience.com%2Fwos%2Fwoscc%2Ffull-record%2FWOS:000571321000001","View Full Record in Web of Science")</f>
        <v>View Full Record in Web of Science</v>
      </c>
    </row>
    <row r="1942" spans="1:72" x14ac:dyDescent="0.25">
      <c r="A1942" t="s">
        <v>72</v>
      </c>
      <c r="B1942" t="s">
        <v>19392</v>
      </c>
      <c r="C1942" t="s">
        <v>74</v>
      </c>
      <c r="D1942" t="s">
        <v>74</v>
      </c>
      <c r="E1942" t="s">
        <v>74</v>
      </c>
      <c r="F1942" t="s">
        <v>19391</v>
      </c>
      <c r="G1942" t="s">
        <v>74</v>
      </c>
      <c r="H1942" t="s">
        <v>74</v>
      </c>
      <c r="I1942" t="s">
        <v>19390</v>
      </c>
      <c r="J1942" t="s">
        <v>19389</v>
      </c>
      <c r="K1942" t="s">
        <v>74</v>
      </c>
      <c r="L1942" t="s">
        <v>74</v>
      </c>
      <c r="M1942" t="s">
        <v>78</v>
      </c>
      <c r="N1942" t="s">
        <v>79</v>
      </c>
      <c r="O1942" t="s">
        <v>74</v>
      </c>
      <c r="P1942" t="s">
        <v>74</v>
      </c>
      <c r="Q1942" t="s">
        <v>74</v>
      </c>
      <c r="R1942" t="s">
        <v>74</v>
      </c>
      <c r="S1942" t="s">
        <v>74</v>
      </c>
      <c r="T1942" t="s">
        <v>19388</v>
      </c>
      <c r="U1942" t="s">
        <v>19387</v>
      </c>
      <c r="V1942" t="s">
        <v>19386</v>
      </c>
      <c r="W1942" t="s">
        <v>19385</v>
      </c>
      <c r="X1942" t="s">
        <v>19384</v>
      </c>
      <c r="Y1942" t="s">
        <v>19383</v>
      </c>
      <c r="Z1942" t="s">
        <v>19382</v>
      </c>
      <c r="AA1942" t="s">
        <v>74</v>
      </c>
      <c r="AB1942" t="s">
        <v>74</v>
      </c>
      <c r="AC1942" t="s">
        <v>74</v>
      </c>
      <c r="AD1942" t="s">
        <v>74</v>
      </c>
      <c r="AE1942" t="s">
        <v>74</v>
      </c>
      <c r="AF1942" t="s">
        <v>74</v>
      </c>
      <c r="AG1942">
        <v>43</v>
      </c>
      <c r="AH1942">
        <v>0</v>
      </c>
      <c r="AI1942">
        <v>0</v>
      </c>
      <c r="AJ1942">
        <v>0</v>
      </c>
      <c r="AK1942">
        <v>0</v>
      </c>
      <c r="AL1942" t="s">
        <v>19381</v>
      </c>
      <c r="AM1942" t="s">
        <v>19380</v>
      </c>
      <c r="AN1942" t="s">
        <v>19379</v>
      </c>
      <c r="AO1942" t="s">
        <v>74</v>
      </c>
      <c r="AP1942" t="s">
        <v>19378</v>
      </c>
      <c r="AQ1942" t="s">
        <v>74</v>
      </c>
      <c r="AR1942" t="s">
        <v>19377</v>
      </c>
      <c r="AS1942" t="s">
        <v>19376</v>
      </c>
      <c r="AT1942" t="s">
        <v>74</v>
      </c>
      <c r="AU1942">
        <v>2021</v>
      </c>
      <c r="AV1942">
        <v>20</v>
      </c>
      <c r="AW1942">
        <v>3</v>
      </c>
      <c r="AX1942" t="s">
        <v>74</v>
      </c>
      <c r="AY1942" t="s">
        <v>74</v>
      </c>
      <c r="AZ1942" t="s">
        <v>74</v>
      </c>
      <c r="BA1942" t="s">
        <v>74</v>
      </c>
      <c r="BB1942" t="s">
        <v>74</v>
      </c>
      <c r="BC1942" t="s">
        <v>74</v>
      </c>
      <c r="BD1942" t="s">
        <v>74</v>
      </c>
      <c r="BE1942" t="s">
        <v>19375</v>
      </c>
      <c r="BF1942" t="str">
        <f>HYPERLINK("http://dx.doi.org/10.14395/hid.945194","http://dx.doi.org/10.14395/hid.945194")</f>
        <v>http://dx.doi.org/10.14395/hid.945194</v>
      </c>
      <c r="BG1942" t="s">
        <v>74</v>
      </c>
      <c r="BH1942" t="s">
        <v>74</v>
      </c>
      <c r="BI1942">
        <v>28</v>
      </c>
      <c r="BJ1942" t="s">
        <v>9799</v>
      </c>
      <c r="BK1942" t="s">
        <v>313</v>
      </c>
      <c r="BL1942" t="s">
        <v>9799</v>
      </c>
      <c r="BM1942" t="s">
        <v>19374</v>
      </c>
      <c r="BN1942" t="s">
        <v>74</v>
      </c>
      <c r="BO1942" t="s">
        <v>212</v>
      </c>
      <c r="BP1942" t="s">
        <v>74</v>
      </c>
      <c r="BQ1942" t="s">
        <v>74</v>
      </c>
      <c r="BR1942" t="s">
        <v>102</v>
      </c>
      <c r="BS1942" t="s">
        <v>19373</v>
      </c>
      <c r="BT1942" t="str">
        <f>HYPERLINK("https%3A%2F%2Fwww.webofscience.com%2Fwos%2Fwoscc%2Ffull-record%2FWOS:001633078100002","View Full Record in Web of Science")</f>
        <v>View Full Record in Web of Science</v>
      </c>
    </row>
    <row r="1943" spans="1:72" x14ac:dyDescent="0.25">
      <c r="A1943" t="s">
        <v>72</v>
      </c>
      <c r="B1943" t="s">
        <v>6280</v>
      </c>
      <c r="C1943" t="s">
        <v>74</v>
      </c>
      <c r="D1943" t="s">
        <v>74</v>
      </c>
      <c r="E1943" t="s">
        <v>74</v>
      </c>
      <c r="F1943" t="s">
        <v>6281</v>
      </c>
      <c r="G1943" t="s">
        <v>74</v>
      </c>
      <c r="H1943" t="s">
        <v>74</v>
      </c>
      <c r="I1943" t="s">
        <v>19372</v>
      </c>
      <c r="J1943" t="s">
        <v>6437</v>
      </c>
      <c r="K1943" t="s">
        <v>74</v>
      </c>
      <c r="L1943" t="s">
        <v>74</v>
      </c>
      <c r="M1943" t="s">
        <v>78</v>
      </c>
      <c r="N1943" t="s">
        <v>79</v>
      </c>
      <c r="O1943" t="s">
        <v>74</v>
      </c>
      <c r="P1943" t="s">
        <v>74</v>
      </c>
      <c r="Q1943" t="s">
        <v>74</v>
      </c>
      <c r="R1943" t="s">
        <v>74</v>
      </c>
      <c r="S1943" t="s">
        <v>74</v>
      </c>
      <c r="T1943" t="s">
        <v>19371</v>
      </c>
      <c r="U1943" t="s">
        <v>19370</v>
      </c>
      <c r="V1943" t="s">
        <v>19369</v>
      </c>
      <c r="W1943" t="s">
        <v>19368</v>
      </c>
      <c r="X1943" t="s">
        <v>19367</v>
      </c>
      <c r="Y1943" t="s">
        <v>19366</v>
      </c>
      <c r="Z1943" t="s">
        <v>6290</v>
      </c>
      <c r="AA1943" t="s">
        <v>6291</v>
      </c>
      <c r="AB1943" t="s">
        <v>6292</v>
      </c>
      <c r="AC1943" t="s">
        <v>74</v>
      </c>
      <c r="AD1943" t="s">
        <v>74</v>
      </c>
      <c r="AE1943" t="s">
        <v>74</v>
      </c>
      <c r="AF1943" t="s">
        <v>74</v>
      </c>
      <c r="AG1943">
        <v>52</v>
      </c>
      <c r="AH1943">
        <v>7</v>
      </c>
      <c r="AI1943">
        <v>8</v>
      </c>
      <c r="AJ1943">
        <v>0</v>
      </c>
      <c r="AK1943">
        <v>10</v>
      </c>
      <c r="AL1943" t="s">
        <v>479</v>
      </c>
      <c r="AM1943" t="s">
        <v>480</v>
      </c>
      <c r="AN1943" t="s">
        <v>481</v>
      </c>
      <c r="AO1943" t="s">
        <v>6446</v>
      </c>
      <c r="AP1943" t="s">
        <v>6447</v>
      </c>
      <c r="AQ1943" t="s">
        <v>74</v>
      </c>
      <c r="AR1943" t="s">
        <v>6448</v>
      </c>
      <c r="AS1943" t="s">
        <v>6449</v>
      </c>
      <c r="AT1943" t="s">
        <v>848</v>
      </c>
      <c r="AU1943">
        <v>2021</v>
      </c>
      <c r="AV1943">
        <v>50</v>
      </c>
      <c r="AW1943">
        <v>2</v>
      </c>
      <c r="AX1943" t="s">
        <v>74</v>
      </c>
      <c r="AY1943" t="s">
        <v>74</v>
      </c>
      <c r="AZ1943" t="s">
        <v>74</v>
      </c>
      <c r="BA1943" t="s">
        <v>74</v>
      </c>
      <c r="BB1943" t="s">
        <v>74</v>
      </c>
      <c r="BC1943" t="s">
        <v>74</v>
      </c>
      <c r="BD1943" t="s">
        <v>19365</v>
      </c>
      <c r="BE1943" t="s">
        <v>19364</v>
      </c>
      <c r="BF1943" t="str">
        <f>HYPERLINK("http://dx.doi.org/10.1111/ecno.12182","http://dx.doi.org/10.1111/ecno.12182")</f>
        <v>http://dx.doi.org/10.1111/ecno.12182</v>
      </c>
      <c r="BG1943" t="s">
        <v>74</v>
      </c>
      <c r="BH1943" t="s">
        <v>7236</v>
      </c>
      <c r="BI1943">
        <v>16</v>
      </c>
      <c r="BJ1943" t="s">
        <v>291</v>
      </c>
      <c r="BK1943" t="s">
        <v>313</v>
      </c>
      <c r="BL1943" t="s">
        <v>100</v>
      </c>
      <c r="BM1943" t="s">
        <v>19363</v>
      </c>
      <c r="BN1943" t="s">
        <v>74</v>
      </c>
      <c r="BO1943" t="s">
        <v>74</v>
      </c>
      <c r="BP1943" t="s">
        <v>74</v>
      </c>
      <c r="BQ1943" t="s">
        <v>74</v>
      </c>
      <c r="BR1943" t="s">
        <v>102</v>
      </c>
      <c r="BS1943" t="s">
        <v>19362</v>
      </c>
      <c r="BT1943" t="str">
        <f>HYPERLINK("https%3A%2F%2Fwww.webofscience.com%2Fwos%2Fwoscc%2Ffull-record%2FWOS:000599653600001","View Full Record in Web of Science")</f>
        <v>View Full Record in Web of Science</v>
      </c>
    </row>
    <row r="1944" spans="1:72" x14ac:dyDescent="0.25">
      <c r="A1944" t="s">
        <v>72</v>
      </c>
      <c r="B1944" t="s">
        <v>19361</v>
      </c>
      <c r="C1944" t="s">
        <v>74</v>
      </c>
      <c r="D1944" t="s">
        <v>74</v>
      </c>
      <c r="E1944" t="s">
        <v>74</v>
      </c>
      <c r="F1944" t="s">
        <v>19360</v>
      </c>
      <c r="G1944" t="s">
        <v>74</v>
      </c>
      <c r="H1944" t="s">
        <v>74</v>
      </c>
      <c r="I1944" t="s">
        <v>19359</v>
      </c>
      <c r="J1944" t="s">
        <v>493</v>
      </c>
      <c r="K1944" t="s">
        <v>74</v>
      </c>
      <c r="L1944" t="s">
        <v>74</v>
      </c>
      <c r="M1944" t="s">
        <v>78</v>
      </c>
      <c r="N1944" t="s">
        <v>79</v>
      </c>
      <c r="O1944" t="s">
        <v>74</v>
      </c>
      <c r="P1944" t="s">
        <v>74</v>
      </c>
      <c r="Q1944" t="s">
        <v>74</v>
      </c>
      <c r="R1944" t="s">
        <v>74</v>
      </c>
      <c r="S1944" t="s">
        <v>74</v>
      </c>
      <c r="T1944" t="s">
        <v>19358</v>
      </c>
      <c r="U1944" t="s">
        <v>19357</v>
      </c>
      <c r="V1944" t="s">
        <v>19356</v>
      </c>
      <c r="W1944" t="s">
        <v>19355</v>
      </c>
      <c r="X1944" t="s">
        <v>19354</v>
      </c>
      <c r="Y1944" t="s">
        <v>19353</v>
      </c>
      <c r="Z1944" t="s">
        <v>19352</v>
      </c>
      <c r="AA1944" t="s">
        <v>19351</v>
      </c>
      <c r="AB1944" t="s">
        <v>19350</v>
      </c>
      <c r="AC1944" t="s">
        <v>74</v>
      </c>
      <c r="AD1944" t="s">
        <v>74</v>
      </c>
      <c r="AE1944" t="s">
        <v>74</v>
      </c>
      <c r="AF1944" t="s">
        <v>74</v>
      </c>
      <c r="AG1944">
        <v>55</v>
      </c>
      <c r="AH1944">
        <v>4</v>
      </c>
      <c r="AI1944">
        <v>5</v>
      </c>
      <c r="AJ1944">
        <v>3</v>
      </c>
      <c r="AK1944">
        <v>14</v>
      </c>
      <c r="AL1944" t="s">
        <v>503</v>
      </c>
      <c r="AM1944" t="s">
        <v>151</v>
      </c>
      <c r="AN1944" t="s">
        <v>504</v>
      </c>
      <c r="AO1944" t="s">
        <v>505</v>
      </c>
      <c r="AP1944" t="s">
        <v>506</v>
      </c>
      <c r="AQ1944" t="s">
        <v>74</v>
      </c>
      <c r="AR1944" t="s">
        <v>507</v>
      </c>
      <c r="AS1944" t="s">
        <v>508</v>
      </c>
      <c r="AT1944" t="s">
        <v>12748</v>
      </c>
      <c r="AU1944">
        <v>2022</v>
      </c>
      <c r="AV1944">
        <v>44</v>
      </c>
      <c r="AW1944">
        <v>5</v>
      </c>
      <c r="AX1944" t="s">
        <v>74</v>
      </c>
      <c r="AY1944" t="s">
        <v>74</v>
      </c>
      <c r="AZ1944" t="s">
        <v>74</v>
      </c>
      <c r="BA1944" t="s">
        <v>74</v>
      </c>
      <c r="BB1944">
        <v>981</v>
      </c>
      <c r="BC1944">
        <v>999</v>
      </c>
      <c r="BD1944" t="s">
        <v>74</v>
      </c>
      <c r="BE1944" t="s">
        <v>19349</v>
      </c>
      <c r="BF1944" t="str">
        <f>HYPERLINK("http://dx.doi.org/10.1016/j.jpolmod.2022.09.018","http://dx.doi.org/10.1016/j.jpolmod.2022.09.018")</f>
        <v>http://dx.doi.org/10.1016/j.jpolmod.2022.09.018</v>
      </c>
      <c r="BG1944" t="s">
        <v>74</v>
      </c>
      <c r="BH1944" t="s">
        <v>74</v>
      </c>
      <c r="BI1944">
        <v>19</v>
      </c>
      <c r="BJ1944" t="s">
        <v>291</v>
      </c>
      <c r="BK1944" t="s">
        <v>99</v>
      </c>
      <c r="BL1944" t="s">
        <v>100</v>
      </c>
      <c r="BM1944" t="s">
        <v>19348</v>
      </c>
      <c r="BN1944" t="s">
        <v>74</v>
      </c>
      <c r="BO1944" t="s">
        <v>74</v>
      </c>
      <c r="BP1944" t="s">
        <v>74</v>
      </c>
      <c r="BQ1944" t="s">
        <v>74</v>
      </c>
      <c r="BR1944" t="s">
        <v>102</v>
      </c>
      <c r="BS1944" t="s">
        <v>19347</v>
      </c>
      <c r="BT1944" t="str">
        <f>HYPERLINK("https%3A%2F%2Fwww.webofscience.com%2Fwos%2Fwoscc%2Ffull-record%2FWOS:000895164400007","View Full Record in Web of Science")</f>
        <v>View Full Record in Web of Science</v>
      </c>
    </row>
    <row r="1945" spans="1:72" x14ac:dyDescent="0.25">
      <c r="A1945" t="s">
        <v>72</v>
      </c>
      <c r="B1945" t="s">
        <v>19346</v>
      </c>
      <c r="C1945" t="s">
        <v>74</v>
      </c>
      <c r="D1945" t="s">
        <v>74</v>
      </c>
      <c r="E1945" t="s">
        <v>74</v>
      </c>
      <c r="F1945" t="s">
        <v>19345</v>
      </c>
      <c r="G1945" t="s">
        <v>74</v>
      </c>
      <c r="H1945" t="s">
        <v>74</v>
      </c>
      <c r="I1945" t="s">
        <v>19344</v>
      </c>
      <c r="J1945" t="s">
        <v>4500</v>
      </c>
      <c r="K1945" t="s">
        <v>74</v>
      </c>
      <c r="L1945" t="s">
        <v>74</v>
      </c>
      <c r="M1945" t="s">
        <v>78</v>
      </c>
      <c r="N1945" t="s">
        <v>79</v>
      </c>
      <c r="O1945" t="s">
        <v>74</v>
      </c>
      <c r="P1945" t="s">
        <v>74</v>
      </c>
      <c r="Q1945" t="s">
        <v>74</v>
      </c>
      <c r="R1945" t="s">
        <v>74</v>
      </c>
      <c r="S1945" t="s">
        <v>74</v>
      </c>
      <c r="T1945" t="s">
        <v>74</v>
      </c>
      <c r="U1945" t="s">
        <v>19343</v>
      </c>
      <c r="V1945" t="s">
        <v>19342</v>
      </c>
      <c r="W1945" t="s">
        <v>19341</v>
      </c>
      <c r="X1945" t="s">
        <v>19340</v>
      </c>
      <c r="Y1945" t="s">
        <v>19339</v>
      </c>
      <c r="Z1945" t="s">
        <v>19338</v>
      </c>
      <c r="AA1945" t="s">
        <v>74</v>
      </c>
      <c r="AB1945" t="s">
        <v>19337</v>
      </c>
      <c r="AC1945" t="s">
        <v>74</v>
      </c>
      <c r="AD1945" t="s">
        <v>74</v>
      </c>
      <c r="AE1945" t="s">
        <v>74</v>
      </c>
      <c r="AF1945" t="s">
        <v>74</v>
      </c>
      <c r="AG1945">
        <v>35</v>
      </c>
      <c r="AH1945">
        <v>8</v>
      </c>
      <c r="AI1945">
        <v>9</v>
      </c>
      <c r="AJ1945">
        <v>0</v>
      </c>
      <c r="AK1945">
        <v>2</v>
      </c>
      <c r="AL1945" t="s">
        <v>479</v>
      </c>
      <c r="AM1945" t="s">
        <v>480</v>
      </c>
      <c r="AN1945" t="s">
        <v>481</v>
      </c>
      <c r="AO1945" t="s">
        <v>4509</v>
      </c>
      <c r="AP1945" t="s">
        <v>4510</v>
      </c>
      <c r="AQ1945" t="s">
        <v>74</v>
      </c>
      <c r="AR1945" t="s">
        <v>4511</v>
      </c>
      <c r="AS1945" t="s">
        <v>4512</v>
      </c>
      <c r="AT1945" t="s">
        <v>891</v>
      </c>
      <c r="AU1945">
        <v>2020</v>
      </c>
      <c r="AV1945">
        <v>20</v>
      </c>
      <c r="AW1945">
        <v>4</v>
      </c>
      <c r="AX1945" t="s">
        <v>74</v>
      </c>
      <c r="AY1945" t="s">
        <v>74</v>
      </c>
      <c r="AZ1945" t="s">
        <v>74</v>
      </c>
      <c r="BA1945" t="s">
        <v>74</v>
      </c>
      <c r="BB1945" t="s">
        <v>74</v>
      </c>
      <c r="BC1945" t="s">
        <v>74</v>
      </c>
      <c r="BD1945" t="s">
        <v>19336</v>
      </c>
      <c r="BE1945" t="s">
        <v>19335</v>
      </c>
      <c r="BF1945" t="str">
        <f>HYPERLINK("http://dx.doi.org/10.1002/pa.2161","http://dx.doi.org/10.1002/pa.2161")</f>
        <v>http://dx.doi.org/10.1002/pa.2161</v>
      </c>
      <c r="BG1945" t="s">
        <v>74</v>
      </c>
      <c r="BH1945" t="s">
        <v>341</v>
      </c>
      <c r="BI1945">
        <v>5</v>
      </c>
      <c r="BJ1945" t="s">
        <v>3868</v>
      </c>
      <c r="BK1945" t="s">
        <v>313</v>
      </c>
      <c r="BL1945" t="s">
        <v>3868</v>
      </c>
      <c r="BM1945" t="s">
        <v>19334</v>
      </c>
      <c r="BN1945" t="s">
        <v>74</v>
      </c>
      <c r="BO1945" t="s">
        <v>74</v>
      </c>
      <c r="BP1945" t="s">
        <v>74</v>
      </c>
      <c r="BQ1945" t="s">
        <v>74</v>
      </c>
      <c r="BR1945" t="s">
        <v>102</v>
      </c>
      <c r="BS1945" t="s">
        <v>19333</v>
      </c>
      <c r="BT1945" t="str">
        <f>HYPERLINK("https%3A%2F%2Fwww.webofscience.com%2Fwos%2Fwoscc%2Ffull-record%2FWOS:000530899600001","View Full Record in Web of Science")</f>
        <v>View Full Record in Web of Science</v>
      </c>
    </row>
    <row r="1946" spans="1:72" x14ac:dyDescent="0.25">
      <c r="A1946" t="s">
        <v>72</v>
      </c>
      <c r="B1946" t="s">
        <v>19332</v>
      </c>
      <c r="C1946" t="s">
        <v>74</v>
      </c>
      <c r="D1946" t="s">
        <v>74</v>
      </c>
      <c r="E1946" t="s">
        <v>74</v>
      </c>
      <c r="F1946" t="s">
        <v>19331</v>
      </c>
      <c r="G1946" t="s">
        <v>74</v>
      </c>
      <c r="H1946" t="s">
        <v>74</v>
      </c>
      <c r="I1946" t="s">
        <v>19330</v>
      </c>
      <c r="J1946" t="s">
        <v>19329</v>
      </c>
      <c r="K1946" t="s">
        <v>74</v>
      </c>
      <c r="L1946" t="s">
        <v>74</v>
      </c>
      <c r="M1946" t="s">
        <v>78</v>
      </c>
      <c r="N1946" t="s">
        <v>79</v>
      </c>
      <c r="O1946" t="s">
        <v>74</v>
      </c>
      <c r="P1946" t="s">
        <v>74</v>
      </c>
      <c r="Q1946" t="s">
        <v>74</v>
      </c>
      <c r="R1946" t="s">
        <v>74</v>
      </c>
      <c r="S1946" t="s">
        <v>74</v>
      </c>
      <c r="T1946" t="s">
        <v>19328</v>
      </c>
      <c r="U1946" t="s">
        <v>19327</v>
      </c>
      <c r="V1946" t="s">
        <v>19326</v>
      </c>
      <c r="W1946" t="s">
        <v>19325</v>
      </c>
      <c r="X1946" t="s">
        <v>19324</v>
      </c>
      <c r="Y1946" t="s">
        <v>19323</v>
      </c>
      <c r="Z1946" t="s">
        <v>19322</v>
      </c>
      <c r="AA1946" t="s">
        <v>19321</v>
      </c>
      <c r="AB1946" t="s">
        <v>19320</v>
      </c>
      <c r="AC1946" t="s">
        <v>74</v>
      </c>
      <c r="AD1946" t="s">
        <v>74</v>
      </c>
      <c r="AE1946" t="s">
        <v>74</v>
      </c>
      <c r="AF1946" t="s">
        <v>74</v>
      </c>
      <c r="AG1946">
        <v>45</v>
      </c>
      <c r="AH1946">
        <v>16</v>
      </c>
      <c r="AI1946">
        <v>26</v>
      </c>
      <c r="AJ1946">
        <v>0</v>
      </c>
      <c r="AK1946">
        <v>15</v>
      </c>
      <c r="AL1946" t="s">
        <v>19319</v>
      </c>
      <c r="AM1946" t="s">
        <v>19318</v>
      </c>
      <c r="AN1946" t="s">
        <v>19317</v>
      </c>
      <c r="AO1946" t="s">
        <v>19316</v>
      </c>
      <c r="AP1946" t="s">
        <v>74</v>
      </c>
      <c r="AQ1946" t="s">
        <v>74</v>
      </c>
      <c r="AR1946" t="s">
        <v>19315</v>
      </c>
      <c r="AS1946" t="s">
        <v>19314</v>
      </c>
      <c r="AT1946" t="s">
        <v>74</v>
      </c>
      <c r="AU1946">
        <v>2019</v>
      </c>
      <c r="AV1946" t="s">
        <v>74</v>
      </c>
      <c r="AW1946">
        <v>29</v>
      </c>
      <c r="AX1946" t="s">
        <v>74</v>
      </c>
      <c r="AY1946" t="s">
        <v>74</v>
      </c>
      <c r="AZ1946" t="s">
        <v>74</v>
      </c>
      <c r="BA1946" t="s">
        <v>74</v>
      </c>
      <c r="BB1946">
        <v>69</v>
      </c>
      <c r="BC1946">
        <v>94</v>
      </c>
      <c r="BD1946" t="s">
        <v>74</v>
      </c>
      <c r="BE1946" t="s">
        <v>19313</v>
      </c>
      <c r="BF1946" t="str">
        <f>HYPERLINK("http://dx.doi.org/10.3917/jie.029.0069","http://dx.doi.org/10.3917/jie.029.0069")</f>
        <v>http://dx.doi.org/10.3917/jie.029.0069</v>
      </c>
      <c r="BG1946" t="s">
        <v>74</v>
      </c>
      <c r="BH1946" t="s">
        <v>74</v>
      </c>
      <c r="BI1946">
        <v>26</v>
      </c>
      <c r="BJ1946" t="s">
        <v>583</v>
      </c>
      <c r="BK1946" t="s">
        <v>313</v>
      </c>
      <c r="BL1946" t="s">
        <v>100</v>
      </c>
      <c r="BM1946" t="s">
        <v>19312</v>
      </c>
      <c r="BN1946" t="s">
        <v>74</v>
      </c>
      <c r="BO1946" t="s">
        <v>466</v>
      </c>
      <c r="BP1946" t="s">
        <v>74</v>
      </c>
      <c r="BQ1946" t="s">
        <v>74</v>
      </c>
      <c r="BR1946" t="s">
        <v>102</v>
      </c>
      <c r="BS1946" t="s">
        <v>19311</v>
      </c>
      <c r="BT1946" t="str">
        <f>HYPERLINK("https%3A%2F%2Fwww.webofscience.com%2Fwos%2Fwoscc%2Ffull-record%2FWOS:000467960000004","View Full Record in Web of Science")</f>
        <v>View Full Record in Web of Science</v>
      </c>
    </row>
    <row r="1947" spans="1:72" x14ac:dyDescent="0.25">
      <c r="A1947" t="s">
        <v>72</v>
      </c>
      <c r="B1947" t="s">
        <v>19310</v>
      </c>
      <c r="C1947" t="s">
        <v>74</v>
      </c>
      <c r="D1947" t="s">
        <v>74</v>
      </c>
      <c r="E1947" t="s">
        <v>74</v>
      </c>
      <c r="F1947" t="s">
        <v>19309</v>
      </c>
      <c r="G1947" t="s">
        <v>74</v>
      </c>
      <c r="H1947" t="s">
        <v>74</v>
      </c>
      <c r="I1947" t="s">
        <v>19308</v>
      </c>
      <c r="J1947" t="s">
        <v>3896</v>
      </c>
      <c r="K1947" t="s">
        <v>74</v>
      </c>
      <c r="L1947" t="s">
        <v>74</v>
      </c>
      <c r="M1947" t="s">
        <v>78</v>
      </c>
      <c r="N1947" t="s">
        <v>79</v>
      </c>
      <c r="O1947" t="s">
        <v>74</v>
      </c>
      <c r="P1947" t="s">
        <v>74</v>
      </c>
      <c r="Q1947" t="s">
        <v>74</v>
      </c>
      <c r="R1947" t="s">
        <v>74</v>
      </c>
      <c r="S1947" t="s">
        <v>74</v>
      </c>
      <c r="T1947" t="s">
        <v>19307</v>
      </c>
      <c r="U1947" t="s">
        <v>14083</v>
      </c>
      <c r="V1947" t="s">
        <v>19306</v>
      </c>
      <c r="W1947" t="s">
        <v>19305</v>
      </c>
      <c r="X1947" t="s">
        <v>19304</v>
      </c>
      <c r="Y1947" t="s">
        <v>19303</v>
      </c>
      <c r="Z1947" t="s">
        <v>19302</v>
      </c>
      <c r="AA1947" t="s">
        <v>19301</v>
      </c>
      <c r="AB1947" t="s">
        <v>19300</v>
      </c>
      <c r="AC1947" t="s">
        <v>74</v>
      </c>
      <c r="AD1947" t="s">
        <v>74</v>
      </c>
      <c r="AE1947" t="s">
        <v>74</v>
      </c>
      <c r="AF1947" t="s">
        <v>74</v>
      </c>
      <c r="AG1947">
        <v>25</v>
      </c>
      <c r="AH1947">
        <v>26</v>
      </c>
      <c r="AI1947">
        <v>44</v>
      </c>
      <c r="AJ1947">
        <v>13</v>
      </c>
      <c r="AK1947">
        <v>56</v>
      </c>
      <c r="AL1947" t="s">
        <v>3861</v>
      </c>
      <c r="AM1947" t="s">
        <v>2016</v>
      </c>
      <c r="AN1947" t="s">
        <v>3862</v>
      </c>
      <c r="AO1947" t="s">
        <v>3907</v>
      </c>
      <c r="AP1947" t="s">
        <v>3908</v>
      </c>
      <c r="AQ1947" t="s">
        <v>74</v>
      </c>
      <c r="AR1947" t="s">
        <v>3909</v>
      </c>
      <c r="AS1947" t="s">
        <v>3910</v>
      </c>
      <c r="AT1947" t="s">
        <v>1159</v>
      </c>
      <c r="AU1947">
        <v>2023</v>
      </c>
      <c r="AV1947">
        <v>22</v>
      </c>
      <c r="AW1947">
        <v>4</v>
      </c>
      <c r="AX1947" t="s">
        <v>74</v>
      </c>
      <c r="AY1947" t="s">
        <v>74</v>
      </c>
      <c r="AZ1947" t="s">
        <v>74</v>
      </c>
      <c r="BA1947" t="s">
        <v>74</v>
      </c>
      <c r="BB1947">
        <v>640</v>
      </c>
      <c r="BC1947">
        <v>657</v>
      </c>
      <c r="BD1947" t="s">
        <v>19299</v>
      </c>
      <c r="BE1947" t="s">
        <v>19298</v>
      </c>
      <c r="BF1947" t="str">
        <f>HYPERLINK("http://dx.doi.org/10.1017/S1474747222000154","http://dx.doi.org/10.1017/S1474747222000154")</f>
        <v>http://dx.doi.org/10.1017/S1474747222000154</v>
      </c>
      <c r="BG1947" t="s">
        <v>74</v>
      </c>
      <c r="BH1947" t="s">
        <v>11288</v>
      </c>
      <c r="BI1947">
        <v>18</v>
      </c>
      <c r="BJ1947" t="s">
        <v>210</v>
      </c>
      <c r="BK1947" t="s">
        <v>99</v>
      </c>
      <c r="BL1947" t="s">
        <v>100</v>
      </c>
      <c r="BM1947" t="s">
        <v>19297</v>
      </c>
      <c r="BN1947" t="s">
        <v>74</v>
      </c>
      <c r="BO1947" t="s">
        <v>270</v>
      </c>
      <c r="BP1947" t="s">
        <v>74</v>
      </c>
      <c r="BQ1947" t="s">
        <v>74</v>
      </c>
      <c r="BR1947" t="s">
        <v>102</v>
      </c>
      <c r="BS1947" t="s">
        <v>19296</v>
      </c>
      <c r="BT1947" t="str">
        <f>HYPERLINK("https%3A%2F%2Fwww.webofscience.com%2Fwos%2Fwoscc%2Ffull-record%2FWOS:000912855500001","View Full Record in Web of Science")</f>
        <v>View Full Record in Web of Science</v>
      </c>
    </row>
    <row r="1948" spans="1:72" x14ac:dyDescent="0.25">
      <c r="A1948" t="s">
        <v>72</v>
      </c>
      <c r="B1948" t="s">
        <v>19295</v>
      </c>
      <c r="C1948" t="s">
        <v>74</v>
      </c>
      <c r="D1948" t="s">
        <v>74</v>
      </c>
      <c r="E1948" t="s">
        <v>74</v>
      </c>
      <c r="F1948" t="s">
        <v>19294</v>
      </c>
      <c r="G1948" t="s">
        <v>74</v>
      </c>
      <c r="H1948" t="s">
        <v>74</v>
      </c>
      <c r="I1948" t="s">
        <v>19293</v>
      </c>
      <c r="J1948" t="s">
        <v>1245</v>
      </c>
      <c r="K1948" t="s">
        <v>74</v>
      </c>
      <c r="L1948" t="s">
        <v>74</v>
      </c>
      <c r="M1948" t="s">
        <v>78</v>
      </c>
      <c r="N1948" t="s">
        <v>79</v>
      </c>
      <c r="O1948" t="s">
        <v>74</v>
      </c>
      <c r="P1948" t="s">
        <v>74</v>
      </c>
      <c r="Q1948" t="s">
        <v>74</v>
      </c>
      <c r="R1948" t="s">
        <v>74</v>
      </c>
      <c r="S1948" t="s">
        <v>74</v>
      </c>
      <c r="T1948" t="s">
        <v>19292</v>
      </c>
      <c r="U1948" t="s">
        <v>74</v>
      </c>
      <c r="V1948" t="s">
        <v>19291</v>
      </c>
      <c r="W1948" t="s">
        <v>19290</v>
      </c>
      <c r="X1948" t="s">
        <v>74</v>
      </c>
      <c r="Y1948" t="s">
        <v>19289</v>
      </c>
      <c r="Z1948" t="s">
        <v>19288</v>
      </c>
      <c r="AA1948" t="s">
        <v>19287</v>
      </c>
      <c r="AB1948" t="s">
        <v>19286</v>
      </c>
      <c r="AC1948" t="s">
        <v>19285</v>
      </c>
      <c r="AD1948" t="s">
        <v>8936</v>
      </c>
      <c r="AE1948" t="s">
        <v>19284</v>
      </c>
      <c r="AF1948" t="s">
        <v>74</v>
      </c>
      <c r="AG1948">
        <v>31</v>
      </c>
      <c r="AH1948">
        <v>1</v>
      </c>
      <c r="AI1948">
        <v>3</v>
      </c>
      <c r="AJ1948">
        <v>0</v>
      </c>
      <c r="AK1948">
        <v>5</v>
      </c>
      <c r="AL1948" t="s">
        <v>1254</v>
      </c>
      <c r="AM1948" t="s">
        <v>1255</v>
      </c>
      <c r="AN1948" t="s">
        <v>1256</v>
      </c>
      <c r="AO1948" t="s">
        <v>1257</v>
      </c>
      <c r="AP1948" t="s">
        <v>1258</v>
      </c>
      <c r="AQ1948" t="s">
        <v>74</v>
      </c>
      <c r="AR1948" t="s">
        <v>1259</v>
      </c>
      <c r="AS1948" t="s">
        <v>1260</v>
      </c>
      <c r="AT1948" t="s">
        <v>74</v>
      </c>
      <c r="AU1948">
        <v>2023</v>
      </c>
      <c r="AV1948">
        <v>6</v>
      </c>
      <c r="AW1948">
        <v>53</v>
      </c>
      <c r="AX1948" t="s">
        <v>74</v>
      </c>
      <c r="AY1948" t="s">
        <v>74</v>
      </c>
      <c r="AZ1948" t="s">
        <v>74</v>
      </c>
      <c r="BA1948" t="s">
        <v>74</v>
      </c>
      <c r="BB1948">
        <v>318</v>
      </c>
      <c r="BC1948">
        <v>333</v>
      </c>
      <c r="BD1948" t="s">
        <v>74</v>
      </c>
      <c r="BE1948" t="s">
        <v>19283</v>
      </c>
      <c r="BF1948" t="str">
        <f>HYPERLINK("http://dx.doi.org/10.55643/fcaptp.6.53.2023.4222","http://dx.doi.org/10.55643/fcaptp.6.53.2023.4222")</f>
        <v>http://dx.doi.org/10.55643/fcaptp.6.53.2023.4222</v>
      </c>
      <c r="BG1948" t="s">
        <v>74</v>
      </c>
      <c r="BH1948" t="s">
        <v>74</v>
      </c>
      <c r="BI1948">
        <v>16</v>
      </c>
      <c r="BJ1948" t="s">
        <v>268</v>
      </c>
      <c r="BK1948" t="s">
        <v>313</v>
      </c>
      <c r="BL1948" t="s">
        <v>100</v>
      </c>
      <c r="BM1948" t="s">
        <v>19282</v>
      </c>
      <c r="BN1948" t="s">
        <v>74</v>
      </c>
      <c r="BO1948" t="s">
        <v>212</v>
      </c>
      <c r="BP1948" t="s">
        <v>74</v>
      </c>
      <c r="BQ1948" t="s">
        <v>74</v>
      </c>
      <c r="BR1948" t="s">
        <v>102</v>
      </c>
      <c r="BS1948" t="s">
        <v>19281</v>
      </c>
      <c r="BT1948" t="str">
        <f>HYPERLINK("https%3A%2F%2Fwww.webofscience.com%2Fwos%2Fwoscc%2Ffull-record%2FWOS:001161435400016","View Full Record in Web of Science")</f>
        <v>View Full Record in Web of Science</v>
      </c>
    </row>
    <row r="1949" spans="1:72" x14ac:dyDescent="0.25">
      <c r="A1949" t="s">
        <v>72</v>
      </c>
      <c r="B1949" t="s">
        <v>19280</v>
      </c>
      <c r="C1949" t="s">
        <v>74</v>
      </c>
      <c r="D1949" t="s">
        <v>74</v>
      </c>
      <c r="E1949" t="s">
        <v>74</v>
      </c>
      <c r="F1949" t="s">
        <v>19279</v>
      </c>
      <c r="G1949" t="s">
        <v>74</v>
      </c>
      <c r="H1949" t="s">
        <v>74</v>
      </c>
      <c r="I1949" t="s">
        <v>19278</v>
      </c>
      <c r="J1949" t="s">
        <v>19277</v>
      </c>
      <c r="K1949" t="s">
        <v>74</v>
      </c>
      <c r="L1949" t="s">
        <v>74</v>
      </c>
      <c r="M1949" t="s">
        <v>78</v>
      </c>
      <c r="N1949" t="s">
        <v>79</v>
      </c>
      <c r="O1949" t="s">
        <v>74</v>
      </c>
      <c r="P1949" t="s">
        <v>74</v>
      </c>
      <c r="Q1949" t="s">
        <v>74</v>
      </c>
      <c r="R1949" t="s">
        <v>74</v>
      </c>
      <c r="S1949" t="s">
        <v>74</v>
      </c>
      <c r="T1949" t="s">
        <v>19276</v>
      </c>
      <c r="U1949" t="s">
        <v>74</v>
      </c>
      <c r="V1949" t="s">
        <v>19275</v>
      </c>
      <c r="W1949" t="s">
        <v>19274</v>
      </c>
      <c r="X1949" t="s">
        <v>19273</v>
      </c>
      <c r="Y1949" t="s">
        <v>19272</v>
      </c>
      <c r="Z1949" t="s">
        <v>19271</v>
      </c>
      <c r="AA1949" t="s">
        <v>74</v>
      </c>
      <c r="AB1949" t="s">
        <v>74</v>
      </c>
      <c r="AC1949" t="s">
        <v>74</v>
      </c>
      <c r="AD1949" t="s">
        <v>74</v>
      </c>
      <c r="AE1949" t="s">
        <v>74</v>
      </c>
      <c r="AF1949" t="s">
        <v>74</v>
      </c>
      <c r="AG1949">
        <v>4</v>
      </c>
      <c r="AH1949">
        <v>0</v>
      </c>
      <c r="AI1949">
        <v>3</v>
      </c>
      <c r="AJ1949">
        <v>0</v>
      </c>
      <c r="AK1949">
        <v>2</v>
      </c>
      <c r="AL1949" t="s">
        <v>19270</v>
      </c>
      <c r="AM1949" t="s">
        <v>600</v>
      </c>
      <c r="AN1949" t="s">
        <v>19269</v>
      </c>
      <c r="AO1949" t="s">
        <v>19268</v>
      </c>
      <c r="AP1949" t="s">
        <v>19267</v>
      </c>
      <c r="AQ1949" t="s">
        <v>74</v>
      </c>
      <c r="AR1949" t="s">
        <v>19266</v>
      </c>
      <c r="AS1949" t="s">
        <v>19265</v>
      </c>
      <c r="AT1949" t="s">
        <v>74</v>
      </c>
      <c r="AU1949">
        <v>2019</v>
      </c>
      <c r="AV1949">
        <v>6</v>
      </c>
      <c r="AW1949">
        <v>2</v>
      </c>
      <c r="AX1949" t="s">
        <v>74</v>
      </c>
      <c r="AY1949" t="s">
        <v>74</v>
      </c>
      <c r="AZ1949" t="s">
        <v>74</v>
      </c>
      <c r="BA1949" t="s">
        <v>74</v>
      </c>
      <c r="BB1949">
        <v>60</v>
      </c>
      <c r="BC1949">
        <v>81</v>
      </c>
      <c r="BD1949" t="s">
        <v>74</v>
      </c>
      <c r="BE1949" t="s">
        <v>19264</v>
      </c>
      <c r="BF1949" t="str">
        <f>HYPERLINK("http://dx.doi.org/10.21684/2412-2343-2019-6-2-60-81","http://dx.doi.org/10.21684/2412-2343-2019-6-2-60-81")</f>
        <v>http://dx.doi.org/10.21684/2412-2343-2019-6-2-60-81</v>
      </c>
      <c r="BG1949" t="s">
        <v>74</v>
      </c>
      <c r="BH1949" t="s">
        <v>74</v>
      </c>
      <c r="BI1949">
        <v>22</v>
      </c>
      <c r="BJ1949" t="s">
        <v>182</v>
      </c>
      <c r="BK1949" t="s">
        <v>313</v>
      </c>
      <c r="BL1949" t="s">
        <v>184</v>
      </c>
      <c r="BM1949" t="s">
        <v>19263</v>
      </c>
      <c r="BN1949" t="s">
        <v>74</v>
      </c>
      <c r="BO1949" t="s">
        <v>916</v>
      </c>
      <c r="BP1949" t="s">
        <v>74</v>
      </c>
      <c r="BQ1949" t="s">
        <v>74</v>
      </c>
      <c r="BR1949" t="s">
        <v>102</v>
      </c>
      <c r="BS1949" t="s">
        <v>19262</v>
      </c>
      <c r="BT1949" t="str">
        <f>HYPERLINK("https%3A%2F%2Fwww.webofscience.com%2Fwos%2Fwoscc%2Ffull-record%2FWOS:000486146300003","View Full Record in Web of Science")</f>
        <v>View Full Record in Web of Science</v>
      </c>
    </row>
    <row r="1950" spans="1:72" x14ac:dyDescent="0.25">
      <c r="A1950" t="s">
        <v>72</v>
      </c>
      <c r="B1950" t="s">
        <v>19261</v>
      </c>
      <c r="C1950" t="s">
        <v>74</v>
      </c>
      <c r="D1950" t="s">
        <v>74</v>
      </c>
      <c r="E1950" t="s">
        <v>74</v>
      </c>
      <c r="F1950" t="s">
        <v>19260</v>
      </c>
      <c r="G1950" t="s">
        <v>74</v>
      </c>
      <c r="H1950" t="s">
        <v>74</v>
      </c>
      <c r="I1950" t="s">
        <v>19259</v>
      </c>
      <c r="J1950" t="s">
        <v>3835</v>
      </c>
      <c r="K1950" t="s">
        <v>74</v>
      </c>
      <c r="L1950" t="s">
        <v>74</v>
      </c>
      <c r="M1950" t="s">
        <v>78</v>
      </c>
      <c r="N1950" t="s">
        <v>79</v>
      </c>
      <c r="O1950" t="s">
        <v>74</v>
      </c>
      <c r="P1950" t="s">
        <v>74</v>
      </c>
      <c r="Q1950" t="s">
        <v>74</v>
      </c>
      <c r="R1950" t="s">
        <v>74</v>
      </c>
      <c r="S1950" t="s">
        <v>74</v>
      </c>
      <c r="T1950" t="s">
        <v>19258</v>
      </c>
      <c r="U1950" t="s">
        <v>74</v>
      </c>
      <c r="V1950" t="s">
        <v>19257</v>
      </c>
      <c r="W1950" t="s">
        <v>19256</v>
      </c>
      <c r="X1950" t="s">
        <v>19255</v>
      </c>
      <c r="Y1950" t="s">
        <v>19254</v>
      </c>
      <c r="Z1950" t="s">
        <v>19253</v>
      </c>
      <c r="AA1950" t="s">
        <v>74</v>
      </c>
      <c r="AB1950" t="s">
        <v>74</v>
      </c>
      <c r="AC1950" t="s">
        <v>74</v>
      </c>
      <c r="AD1950" t="s">
        <v>74</v>
      </c>
      <c r="AE1950" t="s">
        <v>74</v>
      </c>
      <c r="AF1950" t="s">
        <v>74</v>
      </c>
      <c r="AG1950">
        <v>35</v>
      </c>
      <c r="AH1950">
        <v>38</v>
      </c>
      <c r="AI1950">
        <v>43</v>
      </c>
      <c r="AJ1950">
        <v>0</v>
      </c>
      <c r="AK1950">
        <v>25</v>
      </c>
      <c r="AL1950" t="s">
        <v>3097</v>
      </c>
      <c r="AM1950" t="s">
        <v>3098</v>
      </c>
      <c r="AN1950" t="s">
        <v>3099</v>
      </c>
      <c r="AO1950" t="s">
        <v>3839</v>
      </c>
      <c r="AP1950" t="s">
        <v>3840</v>
      </c>
      <c r="AQ1950" t="s">
        <v>74</v>
      </c>
      <c r="AR1950" t="s">
        <v>3841</v>
      </c>
      <c r="AS1950" t="s">
        <v>3842</v>
      </c>
      <c r="AT1950" t="s">
        <v>124</v>
      </c>
      <c r="AU1950">
        <v>2014</v>
      </c>
      <c r="AV1950">
        <v>13</v>
      </c>
      <c r="AW1950">
        <v>4</v>
      </c>
      <c r="AX1950" t="s">
        <v>74</v>
      </c>
      <c r="AY1950" t="s">
        <v>74</v>
      </c>
      <c r="AZ1950" t="s">
        <v>74</v>
      </c>
      <c r="BA1950" t="s">
        <v>74</v>
      </c>
      <c r="BB1950">
        <v>397</v>
      </c>
      <c r="BC1950">
        <v>451</v>
      </c>
      <c r="BD1950" t="s">
        <v>74</v>
      </c>
      <c r="BE1950" t="s">
        <v>19252</v>
      </c>
      <c r="BF1950" t="str">
        <f>HYPERLINK("http://dx.doi.org/10.1515/rne-2015-0020","http://dx.doi.org/10.1515/rne-2015-0020")</f>
        <v>http://dx.doi.org/10.1515/rne-2015-0020</v>
      </c>
      <c r="BG1950" t="s">
        <v>74</v>
      </c>
      <c r="BH1950" t="s">
        <v>74</v>
      </c>
      <c r="BI1950">
        <v>55</v>
      </c>
      <c r="BJ1950" t="s">
        <v>291</v>
      </c>
      <c r="BK1950" t="s">
        <v>99</v>
      </c>
      <c r="BL1950" t="s">
        <v>100</v>
      </c>
      <c r="BM1950" t="s">
        <v>19251</v>
      </c>
      <c r="BN1950" t="s">
        <v>74</v>
      </c>
      <c r="BO1950" t="s">
        <v>74</v>
      </c>
      <c r="BP1950" t="s">
        <v>74</v>
      </c>
      <c r="BQ1950" t="s">
        <v>74</v>
      </c>
      <c r="BR1950" t="s">
        <v>102</v>
      </c>
      <c r="BS1950" t="s">
        <v>19250</v>
      </c>
      <c r="BT1950" t="str">
        <f>HYPERLINK("https%3A%2F%2Fwww.webofscience.com%2Fwos%2Fwoscc%2Ffull-record%2FWOS:000209703600001","View Full Record in Web of Science")</f>
        <v>View Full Record in Web of Science</v>
      </c>
    </row>
    <row r="1951" spans="1:72" x14ac:dyDescent="0.25">
      <c r="A1951" t="s">
        <v>72</v>
      </c>
      <c r="B1951" t="s">
        <v>19249</v>
      </c>
      <c r="C1951" t="s">
        <v>74</v>
      </c>
      <c r="D1951" t="s">
        <v>74</v>
      </c>
      <c r="E1951" t="s">
        <v>74</v>
      </c>
      <c r="F1951" t="s">
        <v>19248</v>
      </c>
      <c r="G1951" t="s">
        <v>74</v>
      </c>
      <c r="H1951" t="s">
        <v>74</v>
      </c>
      <c r="I1951" t="s">
        <v>19247</v>
      </c>
      <c r="J1951" t="s">
        <v>274</v>
      </c>
      <c r="K1951" t="s">
        <v>74</v>
      </c>
      <c r="L1951" t="s">
        <v>74</v>
      </c>
      <c r="M1951" t="s">
        <v>78</v>
      </c>
      <c r="N1951" t="s">
        <v>79</v>
      </c>
      <c r="O1951" t="s">
        <v>74</v>
      </c>
      <c r="P1951" t="s">
        <v>74</v>
      </c>
      <c r="Q1951" t="s">
        <v>74</v>
      </c>
      <c r="R1951" t="s">
        <v>74</v>
      </c>
      <c r="S1951" t="s">
        <v>74</v>
      </c>
      <c r="T1951" t="s">
        <v>19246</v>
      </c>
      <c r="U1951" t="s">
        <v>74</v>
      </c>
      <c r="V1951" t="s">
        <v>19245</v>
      </c>
      <c r="W1951" t="s">
        <v>19244</v>
      </c>
      <c r="X1951" t="s">
        <v>19243</v>
      </c>
      <c r="Y1951" t="s">
        <v>19242</v>
      </c>
      <c r="Z1951" t="s">
        <v>5531</v>
      </c>
      <c r="AA1951" t="s">
        <v>74</v>
      </c>
      <c r="AB1951" t="s">
        <v>19241</v>
      </c>
      <c r="AC1951" t="s">
        <v>74</v>
      </c>
      <c r="AD1951" t="s">
        <v>74</v>
      </c>
      <c r="AE1951" t="s">
        <v>74</v>
      </c>
      <c r="AF1951" t="s">
        <v>74</v>
      </c>
      <c r="AG1951">
        <v>11</v>
      </c>
      <c r="AH1951">
        <v>1</v>
      </c>
      <c r="AI1951">
        <v>1</v>
      </c>
      <c r="AJ1951">
        <v>0</v>
      </c>
      <c r="AK1951">
        <v>2</v>
      </c>
      <c r="AL1951" t="s">
        <v>282</v>
      </c>
      <c r="AM1951" t="s">
        <v>283</v>
      </c>
      <c r="AN1951" t="s">
        <v>284</v>
      </c>
      <c r="AO1951" t="s">
        <v>285</v>
      </c>
      <c r="AP1951" t="s">
        <v>286</v>
      </c>
      <c r="AQ1951" t="s">
        <v>74</v>
      </c>
      <c r="AR1951" t="s">
        <v>287</v>
      </c>
      <c r="AS1951" t="s">
        <v>288</v>
      </c>
      <c r="AT1951" t="s">
        <v>208</v>
      </c>
      <c r="AU1951">
        <v>2024</v>
      </c>
      <c r="AV1951">
        <v>234</v>
      </c>
      <c r="AW1951" t="s">
        <v>74</v>
      </c>
      <c r="AX1951" t="s">
        <v>74</v>
      </c>
      <c r="AY1951" t="s">
        <v>74</v>
      </c>
      <c r="AZ1951" t="s">
        <v>74</v>
      </c>
      <c r="BA1951" t="s">
        <v>74</v>
      </c>
      <c r="BB1951" t="s">
        <v>74</v>
      </c>
      <c r="BC1951" t="s">
        <v>74</v>
      </c>
      <c r="BD1951">
        <v>111425</v>
      </c>
      <c r="BE1951" t="s">
        <v>19240</v>
      </c>
      <c r="BF1951" t="str">
        <f>HYPERLINK("http://dx.doi.org/10.1016/j.econlet.2023.111425","http://dx.doi.org/10.1016/j.econlet.2023.111425")</f>
        <v>http://dx.doi.org/10.1016/j.econlet.2023.111425</v>
      </c>
      <c r="BG1951" t="s">
        <v>74</v>
      </c>
      <c r="BH1951" t="s">
        <v>3535</v>
      </c>
      <c r="BI1951">
        <v>6</v>
      </c>
      <c r="BJ1951" t="s">
        <v>291</v>
      </c>
      <c r="BK1951" t="s">
        <v>99</v>
      </c>
      <c r="BL1951" t="s">
        <v>100</v>
      </c>
      <c r="BM1951" t="s">
        <v>19239</v>
      </c>
      <c r="BN1951" t="s">
        <v>74</v>
      </c>
      <c r="BO1951" t="s">
        <v>74</v>
      </c>
      <c r="BP1951" t="s">
        <v>74</v>
      </c>
      <c r="BQ1951" t="s">
        <v>74</v>
      </c>
      <c r="BR1951" t="s">
        <v>102</v>
      </c>
      <c r="BS1951" t="s">
        <v>19238</v>
      </c>
      <c r="BT1951" t="str">
        <f>HYPERLINK("https%3A%2F%2Fwww.webofscience.com%2Fwos%2Fwoscc%2Ffull-record%2FWOS:001125969100001","View Full Record in Web of Science")</f>
        <v>View Full Record in Web of Science</v>
      </c>
    </row>
    <row r="1952" spans="1:72" x14ac:dyDescent="0.25">
      <c r="A1952" t="s">
        <v>72</v>
      </c>
      <c r="B1952" t="s">
        <v>19237</v>
      </c>
      <c r="C1952" t="s">
        <v>74</v>
      </c>
      <c r="D1952" t="s">
        <v>74</v>
      </c>
      <c r="E1952" t="s">
        <v>74</v>
      </c>
      <c r="F1952" t="s">
        <v>19236</v>
      </c>
      <c r="G1952" t="s">
        <v>74</v>
      </c>
      <c r="H1952" t="s">
        <v>74</v>
      </c>
      <c r="I1952" t="s">
        <v>19235</v>
      </c>
      <c r="J1952" t="s">
        <v>18594</v>
      </c>
      <c r="K1952" t="s">
        <v>74</v>
      </c>
      <c r="L1952" t="s">
        <v>74</v>
      </c>
      <c r="M1952" t="s">
        <v>78</v>
      </c>
      <c r="N1952" t="s">
        <v>79</v>
      </c>
      <c r="O1952" t="s">
        <v>74</v>
      </c>
      <c r="P1952" t="s">
        <v>74</v>
      </c>
      <c r="Q1952" t="s">
        <v>74</v>
      </c>
      <c r="R1952" t="s">
        <v>74</v>
      </c>
      <c r="S1952" t="s">
        <v>74</v>
      </c>
      <c r="T1952" t="s">
        <v>19234</v>
      </c>
      <c r="U1952" t="s">
        <v>19233</v>
      </c>
      <c r="V1952" t="s">
        <v>19232</v>
      </c>
      <c r="W1952" t="s">
        <v>19231</v>
      </c>
      <c r="X1952" t="s">
        <v>19230</v>
      </c>
      <c r="Y1952" t="s">
        <v>19229</v>
      </c>
      <c r="Z1952" t="s">
        <v>19228</v>
      </c>
      <c r="AA1952" t="s">
        <v>74</v>
      </c>
      <c r="AB1952" t="s">
        <v>74</v>
      </c>
      <c r="AC1952" t="s">
        <v>74</v>
      </c>
      <c r="AD1952" t="s">
        <v>74</v>
      </c>
      <c r="AE1952" t="s">
        <v>74</v>
      </c>
      <c r="AF1952" t="s">
        <v>74</v>
      </c>
      <c r="AG1952">
        <v>68</v>
      </c>
      <c r="AH1952">
        <v>0</v>
      </c>
      <c r="AI1952">
        <v>0</v>
      </c>
      <c r="AJ1952">
        <v>0</v>
      </c>
      <c r="AK1952">
        <v>2</v>
      </c>
      <c r="AL1952" t="s">
        <v>332</v>
      </c>
      <c r="AM1952" t="s">
        <v>333</v>
      </c>
      <c r="AN1952" t="s">
        <v>334</v>
      </c>
      <c r="AO1952" t="s">
        <v>18584</v>
      </c>
      <c r="AP1952" t="s">
        <v>18583</v>
      </c>
      <c r="AQ1952" t="s">
        <v>74</v>
      </c>
      <c r="AR1952" t="s">
        <v>18582</v>
      </c>
      <c r="AS1952" t="s">
        <v>18581</v>
      </c>
      <c r="AT1952" t="s">
        <v>1427</v>
      </c>
      <c r="AU1952">
        <v>2023</v>
      </c>
      <c r="AV1952">
        <v>51</v>
      </c>
      <c r="AW1952">
        <v>1</v>
      </c>
      <c r="AX1952" t="s">
        <v>74</v>
      </c>
      <c r="AY1952" t="s">
        <v>74</v>
      </c>
      <c r="AZ1952" t="s">
        <v>441</v>
      </c>
      <c r="BA1952" t="s">
        <v>74</v>
      </c>
      <c r="BB1952">
        <v>18</v>
      </c>
      <c r="BC1952">
        <v>32</v>
      </c>
      <c r="BD1952">
        <v>2104239</v>
      </c>
      <c r="BE1952" t="s">
        <v>19227</v>
      </c>
      <c r="BF1952" t="str">
        <f>HYPERLINK("http://dx.doi.org/10.1080/13600818.2022.2104239","http://dx.doi.org/10.1080/13600818.2022.2104239")</f>
        <v>http://dx.doi.org/10.1080/13600818.2022.2104239</v>
      </c>
      <c r="BG1952" t="s">
        <v>74</v>
      </c>
      <c r="BH1952" t="s">
        <v>126</v>
      </c>
      <c r="BI1952">
        <v>15</v>
      </c>
      <c r="BJ1952" t="s">
        <v>1137</v>
      </c>
      <c r="BK1952" t="s">
        <v>313</v>
      </c>
      <c r="BL1952" t="s">
        <v>1137</v>
      </c>
      <c r="BM1952" t="s">
        <v>19226</v>
      </c>
      <c r="BN1952" t="s">
        <v>74</v>
      </c>
      <c r="BO1952" t="s">
        <v>74</v>
      </c>
      <c r="BP1952" t="s">
        <v>74</v>
      </c>
      <c r="BQ1952" t="s">
        <v>74</v>
      </c>
      <c r="BR1952" t="s">
        <v>102</v>
      </c>
      <c r="BS1952" t="s">
        <v>19225</v>
      </c>
      <c r="BT1952" t="str">
        <f>HYPERLINK("https%3A%2F%2Fwww.webofscience.com%2Fwos%2Fwoscc%2Ffull-record%2FWOS:000830641500001","View Full Record in Web of Science")</f>
        <v>View Full Record in Web of Science</v>
      </c>
    </row>
    <row r="1953" spans="1:72" x14ac:dyDescent="0.25">
      <c r="A1953" t="s">
        <v>72</v>
      </c>
      <c r="B1953" t="s">
        <v>19224</v>
      </c>
      <c r="C1953" t="s">
        <v>74</v>
      </c>
      <c r="D1953" t="s">
        <v>74</v>
      </c>
      <c r="E1953" t="s">
        <v>74</v>
      </c>
      <c r="F1953" t="s">
        <v>19223</v>
      </c>
      <c r="G1953" t="s">
        <v>74</v>
      </c>
      <c r="H1953" t="s">
        <v>74</v>
      </c>
      <c r="I1953" t="s">
        <v>19222</v>
      </c>
      <c r="J1953" t="s">
        <v>246</v>
      </c>
      <c r="K1953" t="s">
        <v>74</v>
      </c>
      <c r="L1953" t="s">
        <v>74</v>
      </c>
      <c r="M1953" t="s">
        <v>78</v>
      </c>
      <c r="N1953" t="s">
        <v>79</v>
      </c>
      <c r="O1953" t="s">
        <v>74</v>
      </c>
      <c r="P1953" t="s">
        <v>74</v>
      </c>
      <c r="Q1953" t="s">
        <v>74</v>
      </c>
      <c r="R1953" t="s">
        <v>74</v>
      </c>
      <c r="S1953" t="s">
        <v>74</v>
      </c>
      <c r="T1953" t="s">
        <v>19221</v>
      </c>
      <c r="U1953" t="s">
        <v>74</v>
      </c>
      <c r="V1953" t="s">
        <v>19220</v>
      </c>
      <c r="W1953" t="s">
        <v>19219</v>
      </c>
      <c r="X1953" t="s">
        <v>19218</v>
      </c>
      <c r="Y1953" t="s">
        <v>19217</v>
      </c>
      <c r="Z1953" t="s">
        <v>19216</v>
      </c>
      <c r="AA1953" t="s">
        <v>19215</v>
      </c>
      <c r="AB1953" t="s">
        <v>19214</v>
      </c>
      <c r="AC1953" t="s">
        <v>74</v>
      </c>
      <c r="AD1953" t="s">
        <v>74</v>
      </c>
      <c r="AE1953" t="s">
        <v>74</v>
      </c>
      <c r="AF1953" t="s">
        <v>74</v>
      </c>
      <c r="AG1953">
        <v>13</v>
      </c>
      <c r="AH1953">
        <v>5</v>
      </c>
      <c r="AI1953">
        <v>7</v>
      </c>
      <c r="AJ1953">
        <v>14</v>
      </c>
      <c r="AK1953">
        <v>44</v>
      </c>
      <c r="AL1953" t="s">
        <v>259</v>
      </c>
      <c r="AM1953" t="s">
        <v>260</v>
      </c>
      <c r="AN1953" t="s">
        <v>261</v>
      </c>
      <c r="AO1953" t="s">
        <v>262</v>
      </c>
      <c r="AP1953" t="s">
        <v>263</v>
      </c>
      <c r="AQ1953" t="s">
        <v>74</v>
      </c>
      <c r="AR1953" t="s">
        <v>264</v>
      </c>
      <c r="AS1953" t="s">
        <v>265</v>
      </c>
      <c r="AT1953" t="s">
        <v>124</v>
      </c>
      <c r="AU1953">
        <v>2024</v>
      </c>
      <c r="AV1953">
        <v>70</v>
      </c>
      <c r="AW1953" t="s">
        <v>74</v>
      </c>
      <c r="AX1953" t="s">
        <v>74</v>
      </c>
      <c r="AY1953" t="s">
        <v>74</v>
      </c>
      <c r="AZ1953" t="s">
        <v>74</v>
      </c>
      <c r="BA1953" t="s">
        <v>74</v>
      </c>
      <c r="BB1953" t="s">
        <v>74</v>
      </c>
      <c r="BC1953" t="s">
        <v>74</v>
      </c>
      <c r="BD1953">
        <v>106226</v>
      </c>
      <c r="BE1953" t="s">
        <v>19213</v>
      </c>
      <c r="BF1953" t="str">
        <f>HYPERLINK("http://dx.doi.org/10.1016/j.frl.2024.106226","http://dx.doi.org/10.1016/j.frl.2024.106226")</f>
        <v>http://dx.doi.org/10.1016/j.frl.2024.106226</v>
      </c>
      <c r="BG1953" t="s">
        <v>74</v>
      </c>
      <c r="BH1953" t="s">
        <v>1136</v>
      </c>
      <c r="BI1953">
        <v>6</v>
      </c>
      <c r="BJ1953" t="s">
        <v>268</v>
      </c>
      <c r="BK1953" t="s">
        <v>99</v>
      </c>
      <c r="BL1953" t="s">
        <v>100</v>
      </c>
      <c r="BM1953" t="s">
        <v>19212</v>
      </c>
      <c r="BN1953" t="s">
        <v>74</v>
      </c>
      <c r="BO1953" t="s">
        <v>270</v>
      </c>
      <c r="BP1953" t="s">
        <v>74</v>
      </c>
      <c r="BQ1953" t="s">
        <v>74</v>
      </c>
      <c r="BR1953" t="s">
        <v>102</v>
      </c>
      <c r="BS1953" t="s">
        <v>19211</v>
      </c>
      <c r="BT1953" t="str">
        <f>HYPERLINK("https%3A%2F%2Fwww.webofscience.com%2Fwos%2Fwoscc%2Ffull-record%2FWOS:001344778100001","View Full Record in Web of Science")</f>
        <v>View Full Record in Web of Science</v>
      </c>
    </row>
    <row r="1954" spans="1:72" x14ac:dyDescent="0.25">
      <c r="A1954" t="s">
        <v>72</v>
      </c>
      <c r="B1954" t="s">
        <v>19210</v>
      </c>
      <c r="C1954" t="s">
        <v>74</v>
      </c>
      <c r="D1954" t="s">
        <v>74</v>
      </c>
      <c r="E1954" t="s">
        <v>74</v>
      </c>
      <c r="F1954" t="s">
        <v>19209</v>
      </c>
      <c r="G1954" t="s">
        <v>74</v>
      </c>
      <c r="H1954" t="s">
        <v>74</v>
      </c>
      <c r="I1954" t="s">
        <v>19208</v>
      </c>
      <c r="J1954" t="s">
        <v>7274</v>
      </c>
      <c r="K1954" t="s">
        <v>74</v>
      </c>
      <c r="L1954" t="s">
        <v>74</v>
      </c>
      <c r="M1954" t="s">
        <v>78</v>
      </c>
      <c r="N1954" t="s">
        <v>79</v>
      </c>
      <c r="O1954" t="s">
        <v>74</v>
      </c>
      <c r="P1954" t="s">
        <v>74</v>
      </c>
      <c r="Q1954" t="s">
        <v>74</v>
      </c>
      <c r="R1954" t="s">
        <v>74</v>
      </c>
      <c r="S1954" t="s">
        <v>74</v>
      </c>
      <c r="T1954" t="s">
        <v>19207</v>
      </c>
      <c r="U1954" t="s">
        <v>19206</v>
      </c>
      <c r="V1954" t="s">
        <v>19205</v>
      </c>
      <c r="W1954" t="s">
        <v>19204</v>
      </c>
      <c r="X1954" t="s">
        <v>19203</v>
      </c>
      <c r="Y1954" t="s">
        <v>19202</v>
      </c>
      <c r="Z1954" t="s">
        <v>19201</v>
      </c>
      <c r="AA1954" t="s">
        <v>74</v>
      </c>
      <c r="AB1954" t="s">
        <v>19200</v>
      </c>
      <c r="AC1954" t="s">
        <v>19199</v>
      </c>
      <c r="AD1954" t="s">
        <v>19198</v>
      </c>
      <c r="AE1954" t="s">
        <v>74</v>
      </c>
      <c r="AF1954" t="s">
        <v>74</v>
      </c>
      <c r="AG1954">
        <v>58</v>
      </c>
      <c r="AH1954">
        <v>9</v>
      </c>
      <c r="AI1954">
        <v>9</v>
      </c>
      <c r="AJ1954">
        <v>1</v>
      </c>
      <c r="AK1954">
        <v>13</v>
      </c>
      <c r="AL1954" t="s">
        <v>2551</v>
      </c>
      <c r="AM1954" t="s">
        <v>231</v>
      </c>
      <c r="AN1954" t="s">
        <v>2552</v>
      </c>
      <c r="AO1954" t="s">
        <v>7284</v>
      </c>
      <c r="AP1954" t="s">
        <v>7285</v>
      </c>
      <c r="AQ1954" t="s">
        <v>74</v>
      </c>
      <c r="AR1954" t="s">
        <v>7286</v>
      </c>
      <c r="AS1954" t="s">
        <v>7287</v>
      </c>
      <c r="AT1954" t="s">
        <v>19197</v>
      </c>
      <c r="AU1954">
        <v>2022</v>
      </c>
      <c r="AV1954">
        <v>36</v>
      </c>
      <c r="AW1954">
        <v>3</v>
      </c>
      <c r="AX1954" t="s">
        <v>74</v>
      </c>
      <c r="AY1954" t="s">
        <v>74</v>
      </c>
      <c r="AZ1954" t="s">
        <v>74</v>
      </c>
      <c r="BA1954" t="s">
        <v>74</v>
      </c>
      <c r="BB1954">
        <v>734</v>
      </c>
      <c r="BC1954">
        <v>756</v>
      </c>
      <c r="BD1954" t="s">
        <v>74</v>
      </c>
      <c r="BE1954" t="s">
        <v>19196</v>
      </c>
      <c r="BF1954" t="str">
        <f>HYPERLINK("http://dx.doi.org/10.1093/wber/lhac007","http://dx.doi.org/10.1093/wber/lhac007")</f>
        <v>http://dx.doi.org/10.1093/wber/lhac007</v>
      </c>
      <c r="BG1954" t="s">
        <v>74</v>
      </c>
      <c r="BH1954" t="s">
        <v>2328</v>
      </c>
      <c r="BI1954">
        <v>23</v>
      </c>
      <c r="BJ1954" t="s">
        <v>7291</v>
      </c>
      <c r="BK1954" t="s">
        <v>99</v>
      </c>
      <c r="BL1954" t="s">
        <v>7292</v>
      </c>
      <c r="BM1954" t="s">
        <v>19195</v>
      </c>
      <c r="BN1954">
        <v>39220372</v>
      </c>
      <c r="BO1954" t="s">
        <v>1696</v>
      </c>
      <c r="BP1954" t="s">
        <v>74</v>
      </c>
      <c r="BQ1954" t="s">
        <v>74</v>
      </c>
      <c r="BR1954" t="s">
        <v>102</v>
      </c>
      <c r="BS1954" t="s">
        <v>19194</v>
      </c>
      <c r="BT1954" t="str">
        <f>HYPERLINK("https%3A%2F%2Fwww.webofscience.com%2Fwos%2Fwoscc%2Ffull-record%2FWOS:000796710300001","View Full Record in Web of Science")</f>
        <v>View Full Record in Web of Science</v>
      </c>
    </row>
    <row r="1955" spans="1:72" x14ac:dyDescent="0.25">
      <c r="A1955" t="s">
        <v>72</v>
      </c>
      <c r="B1955" t="s">
        <v>19193</v>
      </c>
      <c r="C1955" t="s">
        <v>74</v>
      </c>
      <c r="D1955" t="s">
        <v>74</v>
      </c>
      <c r="E1955" t="s">
        <v>74</v>
      </c>
      <c r="F1955" t="s">
        <v>19192</v>
      </c>
      <c r="G1955" t="s">
        <v>74</v>
      </c>
      <c r="H1955" t="s">
        <v>74</v>
      </c>
      <c r="I1955" t="s">
        <v>19191</v>
      </c>
      <c r="J1955" t="s">
        <v>5480</v>
      </c>
      <c r="K1955" t="s">
        <v>74</v>
      </c>
      <c r="L1955" t="s">
        <v>74</v>
      </c>
      <c r="M1955" t="s">
        <v>78</v>
      </c>
      <c r="N1955" t="s">
        <v>79</v>
      </c>
      <c r="O1955" t="s">
        <v>74</v>
      </c>
      <c r="P1955" t="s">
        <v>74</v>
      </c>
      <c r="Q1955" t="s">
        <v>74</v>
      </c>
      <c r="R1955" t="s">
        <v>74</v>
      </c>
      <c r="S1955" t="s">
        <v>74</v>
      </c>
      <c r="T1955" t="s">
        <v>19190</v>
      </c>
      <c r="U1955" t="s">
        <v>74</v>
      </c>
      <c r="V1955" t="s">
        <v>19189</v>
      </c>
      <c r="W1955" t="s">
        <v>19188</v>
      </c>
      <c r="X1955" t="s">
        <v>19187</v>
      </c>
      <c r="Y1955" t="s">
        <v>19186</v>
      </c>
      <c r="Z1955" t="s">
        <v>74</v>
      </c>
      <c r="AA1955" t="s">
        <v>19185</v>
      </c>
      <c r="AB1955" t="s">
        <v>19184</v>
      </c>
      <c r="AC1955" t="s">
        <v>74</v>
      </c>
      <c r="AD1955" t="s">
        <v>74</v>
      </c>
      <c r="AE1955" t="s">
        <v>74</v>
      </c>
      <c r="AF1955" t="s">
        <v>74</v>
      </c>
      <c r="AG1955">
        <v>53</v>
      </c>
      <c r="AH1955">
        <v>0</v>
      </c>
      <c r="AI1955">
        <v>0</v>
      </c>
      <c r="AJ1955">
        <v>0</v>
      </c>
      <c r="AK1955">
        <v>0</v>
      </c>
      <c r="AL1955" t="s">
        <v>5488</v>
      </c>
      <c r="AM1955" t="s">
        <v>1356</v>
      </c>
      <c r="AN1955" t="s">
        <v>5489</v>
      </c>
      <c r="AO1955" t="s">
        <v>5490</v>
      </c>
      <c r="AP1955" t="s">
        <v>5491</v>
      </c>
      <c r="AQ1955" t="s">
        <v>74</v>
      </c>
      <c r="AR1955" t="s">
        <v>5492</v>
      </c>
      <c r="AS1955" t="s">
        <v>5493</v>
      </c>
      <c r="AT1955" t="s">
        <v>74</v>
      </c>
      <c r="AU1955">
        <v>2025</v>
      </c>
      <c r="AV1955">
        <v>20</v>
      </c>
      <c r="AW1955">
        <v>3</v>
      </c>
      <c r="AX1955" t="s">
        <v>74</v>
      </c>
      <c r="AY1955" t="s">
        <v>74</v>
      </c>
      <c r="AZ1955" t="s">
        <v>74</v>
      </c>
      <c r="BA1955" t="s">
        <v>74</v>
      </c>
      <c r="BB1955" t="s">
        <v>74</v>
      </c>
      <c r="BC1955" t="s">
        <v>74</v>
      </c>
      <c r="BD1955" t="s">
        <v>74</v>
      </c>
      <c r="BE1955" t="s">
        <v>19183</v>
      </c>
      <c r="BF1955" t="str">
        <f>HYPERLINK("http://dx.doi.org/10.21511/bbs.20(3).2025.04","http://dx.doi.org/10.21511/bbs.20(3).2025.04")</f>
        <v>http://dx.doi.org/10.21511/bbs.20(3).2025.04</v>
      </c>
      <c r="BG1955" t="s">
        <v>74</v>
      </c>
      <c r="BH1955" t="s">
        <v>74</v>
      </c>
      <c r="BI1955">
        <v>14</v>
      </c>
      <c r="BJ1955" t="s">
        <v>210</v>
      </c>
      <c r="BK1955" t="s">
        <v>313</v>
      </c>
      <c r="BL1955" t="s">
        <v>100</v>
      </c>
      <c r="BM1955" t="s">
        <v>19182</v>
      </c>
      <c r="BN1955" t="s">
        <v>74</v>
      </c>
      <c r="BO1955" t="s">
        <v>212</v>
      </c>
      <c r="BP1955" t="s">
        <v>74</v>
      </c>
      <c r="BQ1955" t="s">
        <v>74</v>
      </c>
      <c r="BR1955" t="s">
        <v>102</v>
      </c>
      <c r="BS1955" t="s">
        <v>19181</v>
      </c>
      <c r="BT1955" t="str">
        <f>HYPERLINK("https%3A%2F%2Fwww.webofscience.com%2Fwos%2Fwoscc%2Ffull-record%2FWOS:001594053300003","View Full Record in Web of Science")</f>
        <v>View Full Record in Web of Science</v>
      </c>
    </row>
    <row r="1956" spans="1:72" x14ac:dyDescent="0.25">
      <c r="A1956" t="s">
        <v>72</v>
      </c>
      <c r="B1956" t="s">
        <v>19180</v>
      </c>
      <c r="C1956" t="s">
        <v>74</v>
      </c>
      <c r="D1956" t="s">
        <v>74</v>
      </c>
      <c r="E1956" t="s">
        <v>74</v>
      </c>
      <c r="F1956" t="s">
        <v>19179</v>
      </c>
      <c r="G1956" t="s">
        <v>74</v>
      </c>
      <c r="H1956" t="s">
        <v>74</v>
      </c>
      <c r="I1956" t="s">
        <v>19178</v>
      </c>
      <c r="J1956" t="s">
        <v>14166</v>
      </c>
      <c r="K1956" t="s">
        <v>74</v>
      </c>
      <c r="L1956" t="s">
        <v>74</v>
      </c>
      <c r="M1956" t="s">
        <v>78</v>
      </c>
      <c r="N1956" t="s">
        <v>1766</v>
      </c>
      <c r="O1956" t="s">
        <v>74</v>
      </c>
      <c r="P1956" t="s">
        <v>74</v>
      </c>
      <c r="Q1956" t="s">
        <v>74</v>
      </c>
      <c r="R1956" t="s">
        <v>74</v>
      </c>
      <c r="S1956" t="s">
        <v>74</v>
      </c>
      <c r="T1956" t="s">
        <v>19177</v>
      </c>
      <c r="U1956" t="s">
        <v>19176</v>
      </c>
      <c r="V1956" t="s">
        <v>19175</v>
      </c>
      <c r="W1956" t="s">
        <v>19174</v>
      </c>
      <c r="X1956" t="s">
        <v>19173</v>
      </c>
      <c r="Y1956" t="s">
        <v>19172</v>
      </c>
      <c r="Z1956" t="s">
        <v>19171</v>
      </c>
      <c r="AA1956" t="s">
        <v>74</v>
      </c>
      <c r="AB1956" t="s">
        <v>74</v>
      </c>
      <c r="AC1956" t="s">
        <v>74</v>
      </c>
      <c r="AD1956" t="s">
        <v>74</v>
      </c>
      <c r="AE1956" t="s">
        <v>74</v>
      </c>
      <c r="AF1956" t="s">
        <v>74</v>
      </c>
      <c r="AG1956">
        <v>124</v>
      </c>
      <c r="AH1956">
        <v>0</v>
      </c>
      <c r="AI1956">
        <v>1</v>
      </c>
      <c r="AJ1956">
        <v>0</v>
      </c>
      <c r="AK1956">
        <v>0</v>
      </c>
      <c r="AL1956" t="s">
        <v>6030</v>
      </c>
      <c r="AM1956" t="s">
        <v>6031</v>
      </c>
      <c r="AN1956" t="s">
        <v>14172</v>
      </c>
      <c r="AO1956" t="s">
        <v>14173</v>
      </c>
      <c r="AP1956" t="s">
        <v>14174</v>
      </c>
      <c r="AQ1956" t="s">
        <v>74</v>
      </c>
      <c r="AR1956" t="s">
        <v>14175</v>
      </c>
      <c r="AS1956" t="s">
        <v>14176</v>
      </c>
      <c r="AT1956" t="s">
        <v>19170</v>
      </c>
      <c r="AU1956">
        <v>2025</v>
      </c>
      <c r="AV1956">
        <v>17</v>
      </c>
      <c r="AW1956">
        <v>1</v>
      </c>
      <c r="AX1956" t="s">
        <v>74</v>
      </c>
      <c r="AY1956" t="s">
        <v>74</v>
      </c>
      <c r="AZ1956" t="s">
        <v>74</v>
      </c>
      <c r="BA1956" t="s">
        <v>74</v>
      </c>
      <c r="BB1956">
        <v>243</v>
      </c>
      <c r="BC1956">
        <v>266</v>
      </c>
      <c r="BD1956" t="s">
        <v>74</v>
      </c>
      <c r="BE1956" t="s">
        <v>19169</v>
      </c>
      <c r="BF1956" t="str">
        <f>HYPERLINK("http://dx.doi.org/10.1146/annurev-financial-082123-105552","http://dx.doi.org/10.1146/annurev-financial-082123-105552")</f>
        <v>http://dx.doi.org/10.1146/annurev-financial-082123-105552</v>
      </c>
      <c r="BG1956" t="s">
        <v>74</v>
      </c>
      <c r="BH1956" t="s">
        <v>74</v>
      </c>
      <c r="BI1956">
        <v>24</v>
      </c>
      <c r="BJ1956" t="s">
        <v>210</v>
      </c>
      <c r="BK1956" t="s">
        <v>99</v>
      </c>
      <c r="BL1956" t="s">
        <v>100</v>
      </c>
      <c r="BM1956" t="s">
        <v>19168</v>
      </c>
      <c r="BN1956" t="s">
        <v>74</v>
      </c>
      <c r="BO1956" t="s">
        <v>270</v>
      </c>
      <c r="BP1956" t="s">
        <v>74</v>
      </c>
      <c r="BQ1956" t="s">
        <v>74</v>
      </c>
      <c r="BR1956" t="s">
        <v>102</v>
      </c>
      <c r="BS1956" t="s">
        <v>19167</v>
      </c>
      <c r="BT1956" t="str">
        <f>HYPERLINK("https%3A%2F%2Fwww.webofscience.com%2Fwos%2Fwoscc%2Ffull-record%2FWOS:001655341700001","View Full Record in Web of Science")</f>
        <v>View Full Record in Web of Science</v>
      </c>
    </row>
    <row r="1957" spans="1:72" x14ac:dyDescent="0.25">
      <c r="A1957" t="s">
        <v>72</v>
      </c>
      <c r="B1957" t="s">
        <v>19166</v>
      </c>
      <c r="C1957" t="s">
        <v>74</v>
      </c>
      <c r="D1957" t="s">
        <v>74</v>
      </c>
      <c r="E1957" t="s">
        <v>74</v>
      </c>
      <c r="F1957" t="s">
        <v>19165</v>
      </c>
      <c r="G1957" t="s">
        <v>74</v>
      </c>
      <c r="H1957" t="s">
        <v>74</v>
      </c>
      <c r="I1957" t="s">
        <v>19164</v>
      </c>
      <c r="J1957" t="s">
        <v>1468</v>
      </c>
      <c r="K1957" t="s">
        <v>74</v>
      </c>
      <c r="L1957" t="s">
        <v>74</v>
      </c>
      <c r="M1957" t="s">
        <v>78</v>
      </c>
      <c r="N1957" t="s">
        <v>79</v>
      </c>
      <c r="O1957" t="s">
        <v>74</v>
      </c>
      <c r="P1957" t="s">
        <v>74</v>
      </c>
      <c r="Q1957" t="s">
        <v>74</v>
      </c>
      <c r="R1957" t="s">
        <v>74</v>
      </c>
      <c r="S1957" t="s">
        <v>74</v>
      </c>
      <c r="T1957" t="s">
        <v>19163</v>
      </c>
      <c r="U1957" t="s">
        <v>19162</v>
      </c>
      <c r="V1957" t="s">
        <v>19161</v>
      </c>
      <c r="W1957" t="s">
        <v>19160</v>
      </c>
      <c r="X1957" t="s">
        <v>19159</v>
      </c>
      <c r="Y1957" t="s">
        <v>19158</v>
      </c>
      <c r="Z1957" t="s">
        <v>19157</v>
      </c>
      <c r="AA1957" t="s">
        <v>19156</v>
      </c>
      <c r="AB1957" t="s">
        <v>19155</v>
      </c>
      <c r="AC1957" t="s">
        <v>19154</v>
      </c>
      <c r="AD1957" t="s">
        <v>19154</v>
      </c>
      <c r="AE1957" t="s">
        <v>19153</v>
      </c>
      <c r="AF1957" t="s">
        <v>74</v>
      </c>
      <c r="AG1957">
        <v>70</v>
      </c>
      <c r="AH1957">
        <v>19</v>
      </c>
      <c r="AI1957">
        <v>21</v>
      </c>
      <c r="AJ1957">
        <v>0</v>
      </c>
      <c r="AK1957">
        <v>10</v>
      </c>
      <c r="AL1957" t="s">
        <v>479</v>
      </c>
      <c r="AM1957" t="s">
        <v>480</v>
      </c>
      <c r="AN1957" t="s">
        <v>481</v>
      </c>
      <c r="AO1957" t="s">
        <v>1480</v>
      </c>
      <c r="AP1957" t="s">
        <v>1481</v>
      </c>
      <c r="AQ1957" t="s">
        <v>74</v>
      </c>
      <c r="AR1957" t="s">
        <v>1482</v>
      </c>
      <c r="AS1957" t="s">
        <v>1483</v>
      </c>
      <c r="AT1957" t="s">
        <v>743</v>
      </c>
      <c r="AU1957">
        <v>2023</v>
      </c>
      <c r="AV1957">
        <v>31</v>
      </c>
      <c r="AW1957">
        <v>2</v>
      </c>
      <c r="AX1957" t="s">
        <v>74</v>
      </c>
      <c r="AY1957" t="s">
        <v>74</v>
      </c>
      <c r="AZ1957" t="s">
        <v>74</v>
      </c>
      <c r="BA1957" t="s">
        <v>74</v>
      </c>
      <c r="BB1957">
        <v>363</v>
      </c>
      <c r="BC1957">
        <v>401</v>
      </c>
      <c r="BD1957" t="s">
        <v>74</v>
      </c>
      <c r="BE1957" t="s">
        <v>19152</v>
      </c>
      <c r="BF1957" t="str">
        <f>HYPERLINK("http://dx.doi.org/10.1111/ecot.12341","http://dx.doi.org/10.1111/ecot.12341")</f>
        <v>http://dx.doi.org/10.1111/ecot.12341</v>
      </c>
      <c r="BG1957" t="s">
        <v>74</v>
      </c>
      <c r="BH1957" t="s">
        <v>126</v>
      </c>
      <c r="BI1957">
        <v>39</v>
      </c>
      <c r="BJ1957" t="s">
        <v>291</v>
      </c>
      <c r="BK1957" t="s">
        <v>99</v>
      </c>
      <c r="BL1957" t="s">
        <v>100</v>
      </c>
      <c r="BM1957" t="s">
        <v>19151</v>
      </c>
      <c r="BN1957" t="s">
        <v>74</v>
      </c>
      <c r="BO1957" t="s">
        <v>466</v>
      </c>
      <c r="BP1957" t="s">
        <v>74</v>
      </c>
      <c r="BQ1957" t="s">
        <v>74</v>
      </c>
      <c r="BR1957" t="s">
        <v>102</v>
      </c>
      <c r="BS1957" t="s">
        <v>19150</v>
      </c>
      <c r="BT1957" t="str">
        <f>HYPERLINK("https%3A%2F%2Fwww.webofscience.com%2Fwos%2Fwoscc%2Ffull-record%2FWOS:000819857100001","View Full Record in Web of Science")</f>
        <v>View Full Record in Web of Science</v>
      </c>
    </row>
    <row r="1958" spans="1:72" x14ac:dyDescent="0.25">
      <c r="A1958" t="s">
        <v>72</v>
      </c>
      <c r="B1958" t="s">
        <v>19149</v>
      </c>
      <c r="C1958" t="s">
        <v>74</v>
      </c>
      <c r="D1958" t="s">
        <v>74</v>
      </c>
      <c r="E1958" t="s">
        <v>74</v>
      </c>
      <c r="F1958" t="s">
        <v>19148</v>
      </c>
      <c r="G1958" t="s">
        <v>74</v>
      </c>
      <c r="H1958" t="s">
        <v>74</v>
      </c>
      <c r="I1958" t="s">
        <v>19147</v>
      </c>
      <c r="J1958" t="s">
        <v>3439</v>
      </c>
      <c r="K1958" t="s">
        <v>74</v>
      </c>
      <c r="L1958" t="s">
        <v>74</v>
      </c>
      <c r="M1958" t="s">
        <v>78</v>
      </c>
      <c r="N1958" t="s">
        <v>1766</v>
      </c>
      <c r="O1958" t="s">
        <v>74</v>
      </c>
      <c r="P1958" t="s">
        <v>74</v>
      </c>
      <c r="Q1958" t="s">
        <v>74</v>
      </c>
      <c r="R1958" t="s">
        <v>74</v>
      </c>
      <c r="S1958" t="s">
        <v>74</v>
      </c>
      <c r="T1958" t="s">
        <v>19146</v>
      </c>
      <c r="U1958" t="s">
        <v>19145</v>
      </c>
      <c r="V1958" t="s">
        <v>19144</v>
      </c>
      <c r="W1958" t="s">
        <v>19143</v>
      </c>
      <c r="X1958" t="s">
        <v>19142</v>
      </c>
      <c r="Y1958" t="s">
        <v>19141</v>
      </c>
      <c r="Z1958" t="s">
        <v>19140</v>
      </c>
      <c r="AA1958" t="s">
        <v>19139</v>
      </c>
      <c r="AB1958" t="s">
        <v>74</v>
      </c>
      <c r="AC1958" t="s">
        <v>19138</v>
      </c>
      <c r="AD1958" t="s">
        <v>19137</v>
      </c>
      <c r="AE1958" t="s">
        <v>19136</v>
      </c>
      <c r="AF1958" t="s">
        <v>74</v>
      </c>
      <c r="AG1958">
        <v>112</v>
      </c>
      <c r="AH1958">
        <v>0</v>
      </c>
      <c r="AI1958">
        <v>0</v>
      </c>
      <c r="AJ1958">
        <v>0</v>
      </c>
      <c r="AK1958">
        <v>0</v>
      </c>
      <c r="AL1958" t="s">
        <v>823</v>
      </c>
      <c r="AM1958" t="s">
        <v>333</v>
      </c>
      <c r="AN1958" t="s">
        <v>824</v>
      </c>
      <c r="AO1958" t="s">
        <v>3443</v>
      </c>
      <c r="AP1958" t="s">
        <v>74</v>
      </c>
      <c r="AQ1958" t="s">
        <v>74</v>
      </c>
      <c r="AR1958" t="s">
        <v>3444</v>
      </c>
      <c r="AS1958" t="s">
        <v>3445</v>
      </c>
      <c r="AT1958" t="s">
        <v>2970</v>
      </c>
      <c r="AU1958">
        <v>2025</v>
      </c>
      <c r="AV1958">
        <v>13</v>
      </c>
      <c r="AW1958">
        <v>1</v>
      </c>
      <c r="AX1958" t="s">
        <v>74</v>
      </c>
      <c r="AY1958" t="s">
        <v>74</v>
      </c>
      <c r="AZ1958" t="s">
        <v>74</v>
      </c>
      <c r="BA1958" t="s">
        <v>74</v>
      </c>
      <c r="BB1958" t="s">
        <v>74</v>
      </c>
      <c r="BC1958" t="s">
        <v>74</v>
      </c>
      <c r="BD1958">
        <v>2527858</v>
      </c>
      <c r="BE1958" t="s">
        <v>19135</v>
      </c>
      <c r="BF1958" t="str">
        <f>HYPERLINK("http://dx.doi.org/10.1080/23322039.2025.2527858","http://dx.doi.org/10.1080/23322039.2025.2527858")</f>
        <v>http://dx.doi.org/10.1080/23322039.2025.2527858</v>
      </c>
      <c r="BG1958" t="s">
        <v>74</v>
      </c>
      <c r="BH1958" t="s">
        <v>74</v>
      </c>
      <c r="BI1958">
        <v>26</v>
      </c>
      <c r="BJ1958" t="s">
        <v>291</v>
      </c>
      <c r="BK1958" t="s">
        <v>313</v>
      </c>
      <c r="BL1958" t="s">
        <v>100</v>
      </c>
      <c r="BM1958" t="s">
        <v>19134</v>
      </c>
      <c r="BN1958" t="s">
        <v>74</v>
      </c>
      <c r="BO1958" t="s">
        <v>916</v>
      </c>
      <c r="BP1958" t="s">
        <v>74</v>
      </c>
      <c r="BQ1958" t="s">
        <v>74</v>
      </c>
      <c r="BR1958" t="s">
        <v>102</v>
      </c>
      <c r="BS1958" t="s">
        <v>19133</v>
      </c>
      <c r="BT1958" t="str">
        <f>HYPERLINK("https%3A%2F%2Fwww.webofscience.com%2Fwos%2Fwoscc%2Ffull-record%2FWOS:001544166000001","View Full Record in Web of Science")</f>
        <v>View Full Record in Web of Science</v>
      </c>
    </row>
    <row r="1959" spans="1:72" x14ac:dyDescent="0.25">
      <c r="A1959" t="s">
        <v>72</v>
      </c>
      <c r="B1959" t="s">
        <v>19132</v>
      </c>
      <c r="C1959" t="s">
        <v>74</v>
      </c>
      <c r="D1959" t="s">
        <v>74</v>
      </c>
      <c r="E1959" t="s">
        <v>74</v>
      </c>
      <c r="F1959" t="s">
        <v>19131</v>
      </c>
      <c r="G1959" t="s">
        <v>74</v>
      </c>
      <c r="H1959" t="s">
        <v>74</v>
      </c>
      <c r="I1959" t="s">
        <v>19130</v>
      </c>
      <c r="J1959" t="s">
        <v>19129</v>
      </c>
      <c r="K1959" t="s">
        <v>74</v>
      </c>
      <c r="L1959" t="s">
        <v>74</v>
      </c>
      <c r="M1959" t="s">
        <v>78</v>
      </c>
      <c r="N1959" t="s">
        <v>79</v>
      </c>
      <c r="O1959" t="s">
        <v>74</v>
      </c>
      <c r="P1959" t="s">
        <v>74</v>
      </c>
      <c r="Q1959" t="s">
        <v>74</v>
      </c>
      <c r="R1959" t="s">
        <v>74</v>
      </c>
      <c r="S1959" t="s">
        <v>74</v>
      </c>
      <c r="T1959" t="s">
        <v>19128</v>
      </c>
      <c r="U1959" t="s">
        <v>19127</v>
      </c>
      <c r="V1959" t="s">
        <v>19126</v>
      </c>
      <c r="W1959" t="s">
        <v>19125</v>
      </c>
      <c r="X1959" t="s">
        <v>19124</v>
      </c>
      <c r="Y1959" t="s">
        <v>19123</v>
      </c>
      <c r="Z1959" t="s">
        <v>19122</v>
      </c>
      <c r="AA1959" t="s">
        <v>74</v>
      </c>
      <c r="AB1959" t="s">
        <v>74</v>
      </c>
      <c r="AC1959" t="s">
        <v>74</v>
      </c>
      <c r="AD1959" t="s">
        <v>74</v>
      </c>
      <c r="AE1959" t="s">
        <v>74</v>
      </c>
      <c r="AF1959" t="s">
        <v>74</v>
      </c>
      <c r="AG1959">
        <v>38</v>
      </c>
      <c r="AH1959">
        <v>1</v>
      </c>
      <c r="AI1959">
        <v>1</v>
      </c>
      <c r="AJ1959">
        <v>0</v>
      </c>
      <c r="AK1959">
        <v>17</v>
      </c>
      <c r="AL1959" t="s">
        <v>332</v>
      </c>
      <c r="AM1959" t="s">
        <v>333</v>
      </c>
      <c r="AN1959" t="s">
        <v>334</v>
      </c>
      <c r="AO1959" t="s">
        <v>19121</v>
      </c>
      <c r="AP1959" t="s">
        <v>74</v>
      </c>
      <c r="AQ1959" t="s">
        <v>74</v>
      </c>
      <c r="AR1959" t="s">
        <v>19120</v>
      </c>
      <c r="AS1959" t="s">
        <v>19119</v>
      </c>
      <c r="AT1959" t="s">
        <v>2970</v>
      </c>
      <c r="AU1959">
        <v>2022</v>
      </c>
      <c r="AV1959">
        <v>9</v>
      </c>
      <c r="AW1959">
        <v>1</v>
      </c>
      <c r="AX1959" t="s">
        <v>74</v>
      </c>
      <c r="AY1959" t="s">
        <v>74</v>
      </c>
      <c r="AZ1959" t="s">
        <v>74</v>
      </c>
      <c r="BA1959" t="s">
        <v>74</v>
      </c>
      <c r="BB1959">
        <v>122</v>
      </c>
      <c r="BC1959">
        <v>135</v>
      </c>
      <c r="BD1959" t="s">
        <v>74</v>
      </c>
      <c r="BE1959" t="s">
        <v>19118</v>
      </c>
      <c r="BF1959" t="str">
        <f>HYPERLINK("http://dx.doi.org/10.1080/2330443X.2022.2086191","http://dx.doi.org/10.1080/2330443X.2022.2086191")</f>
        <v>http://dx.doi.org/10.1080/2330443X.2022.2086191</v>
      </c>
      <c r="BG1959" t="s">
        <v>74</v>
      </c>
      <c r="BH1959" t="s">
        <v>126</v>
      </c>
      <c r="BI1959">
        <v>14</v>
      </c>
      <c r="BJ1959" t="s">
        <v>4949</v>
      </c>
      <c r="BK1959" t="s">
        <v>313</v>
      </c>
      <c r="BL1959" t="s">
        <v>4950</v>
      </c>
      <c r="BM1959" t="s">
        <v>19117</v>
      </c>
      <c r="BN1959" t="s">
        <v>74</v>
      </c>
      <c r="BO1959" t="s">
        <v>916</v>
      </c>
      <c r="BP1959" t="s">
        <v>74</v>
      </c>
      <c r="BQ1959" t="s">
        <v>74</v>
      </c>
      <c r="BR1959" t="s">
        <v>102</v>
      </c>
      <c r="BS1959" t="s">
        <v>19116</v>
      </c>
      <c r="BT1959" t="str">
        <f>HYPERLINK("https%3A%2F%2Fwww.webofscience.com%2Fwos%2Fwoscc%2Ffull-record%2FWOS:000823825700001","View Full Record in Web of Science")</f>
        <v>View Full Record in Web of Science</v>
      </c>
    </row>
    <row r="1960" spans="1:72" x14ac:dyDescent="0.25">
      <c r="A1960" t="s">
        <v>72</v>
      </c>
      <c r="B1960" t="s">
        <v>19115</v>
      </c>
      <c r="C1960" t="s">
        <v>74</v>
      </c>
      <c r="D1960" t="s">
        <v>74</v>
      </c>
      <c r="E1960" t="s">
        <v>74</v>
      </c>
      <c r="F1960" t="s">
        <v>19114</v>
      </c>
      <c r="G1960" t="s">
        <v>74</v>
      </c>
      <c r="H1960" t="s">
        <v>74</v>
      </c>
      <c r="I1960" t="s">
        <v>19113</v>
      </c>
      <c r="J1960" t="s">
        <v>2809</v>
      </c>
      <c r="K1960" t="s">
        <v>74</v>
      </c>
      <c r="L1960" t="s">
        <v>74</v>
      </c>
      <c r="M1960" t="s">
        <v>78</v>
      </c>
      <c r="N1960" t="s">
        <v>2335</v>
      </c>
      <c r="O1960" t="s">
        <v>74</v>
      </c>
      <c r="P1960" t="s">
        <v>74</v>
      </c>
      <c r="Q1960" t="s">
        <v>74</v>
      </c>
      <c r="R1960" t="s">
        <v>74</v>
      </c>
      <c r="S1960" t="s">
        <v>74</v>
      </c>
      <c r="T1960" t="s">
        <v>74</v>
      </c>
      <c r="U1960" t="s">
        <v>74</v>
      </c>
      <c r="V1960" t="s">
        <v>19112</v>
      </c>
      <c r="W1960" t="s">
        <v>74</v>
      </c>
      <c r="X1960" t="s">
        <v>74</v>
      </c>
      <c r="Y1960" t="s">
        <v>74</v>
      </c>
      <c r="Z1960" t="s">
        <v>19111</v>
      </c>
      <c r="AA1960" t="s">
        <v>74</v>
      </c>
      <c r="AB1960" t="s">
        <v>74</v>
      </c>
      <c r="AC1960" t="s">
        <v>74</v>
      </c>
      <c r="AD1960" t="s">
        <v>74</v>
      </c>
      <c r="AE1960" t="s">
        <v>74</v>
      </c>
      <c r="AF1960" t="s">
        <v>74</v>
      </c>
      <c r="AG1960">
        <v>0</v>
      </c>
      <c r="AH1960">
        <v>0</v>
      </c>
      <c r="AI1960">
        <v>1</v>
      </c>
      <c r="AJ1960">
        <v>0</v>
      </c>
      <c r="AK1960">
        <v>10</v>
      </c>
      <c r="AL1960" t="s">
        <v>5317</v>
      </c>
      <c r="AM1960" t="s">
        <v>480</v>
      </c>
      <c r="AN1960" t="s">
        <v>481</v>
      </c>
      <c r="AO1960" t="s">
        <v>2816</v>
      </c>
      <c r="AP1960" t="s">
        <v>2817</v>
      </c>
      <c r="AQ1960" t="s">
        <v>74</v>
      </c>
      <c r="AR1960" t="s">
        <v>2818</v>
      </c>
      <c r="AS1960" t="s">
        <v>2819</v>
      </c>
      <c r="AT1960" t="s">
        <v>17887</v>
      </c>
      <c r="AU1960">
        <v>2015</v>
      </c>
      <c r="AV1960">
        <v>49</v>
      </c>
      <c r="AW1960">
        <v>1</v>
      </c>
      <c r="AX1960" t="s">
        <v>74</v>
      </c>
      <c r="AY1960" t="s">
        <v>74</v>
      </c>
      <c r="AZ1960" t="s">
        <v>441</v>
      </c>
      <c r="BA1960" t="s">
        <v>74</v>
      </c>
      <c r="BB1960">
        <v>299</v>
      </c>
      <c r="BC1960">
        <v>302</v>
      </c>
      <c r="BD1960" t="s">
        <v>74</v>
      </c>
      <c r="BE1960" t="s">
        <v>19110</v>
      </c>
      <c r="BF1960" t="str">
        <f>HYPERLINK("http://dx.doi.org/10.1111/joca.12063","http://dx.doi.org/10.1111/joca.12063")</f>
        <v>http://dx.doi.org/10.1111/joca.12063</v>
      </c>
      <c r="BG1960" t="s">
        <v>74</v>
      </c>
      <c r="BH1960" t="s">
        <v>74</v>
      </c>
      <c r="BI1960">
        <v>4</v>
      </c>
      <c r="BJ1960" t="s">
        <v>1453</v>
      </c>
      <c r="BK1960" t="s">
        <v>99</v>
      </c>
      <c r="BL1960" t="s">
        <v>100</v>
      </c>
      <c r="BM1960" t="s">
        <v>19109</v>
      </c>
      <c r="BN1960" t="s">
        <v>74</v>
      </c>
      <c r="BO1960" t="s">
        <v>74</v>
      </c>
      <c r="BP1960" t="s">
        <v>74</v>
      </c>
      <c r="BQ1960" t="s">
        <v>74</v>
      </c>
      <c r="BR1960" t="s">
        <v>102</v>
      </c>
      <c r="BS1960" t="s">
        <v>19108</v>
      </c>
      <c r="BT1960" t="str">
        <f>HYPERLINK("https%3A%2F%2Fwww.webofscience.com%2Fwos%2Fwoscc%2Ffull-record%2FWOS:000351219200012","View Full Record in Web of Science")</f>
        <v>View Full Record in Web of Science</v>
      </c>
    </row>
    <row r="1961" spans="1:72" x14ac:dyDescent="0.25">
      <c r="A1961" t="s">
        <v>72</v>
      </c>
      <c r="B1961" t="s">
        <v>19107</v>
      </c>
      <c r="C1961" t="s">
        <v>74</v>
      </c>
      <c r="D1961" t="s">
        <v>74</v>
      </c>
      <c r="E1961" t="s">
        <v>74</v>
      </c>
      <c r="F1961" t="s">
        <v>19106</v>
      </c>
      <c r="G1961" t="s">
        <v>74</v>
      </c>
      <c r="H1961" t="s">
        <v>74</v>
      </c>
      <c r="I1961" t="s">
        <v>19105</v>
      </c>
      <c r="J1961" t="s">
        <v>19104</v>
      </c>
      <c r="K1961" t="s">
        <v>74</v>
      </c>
      <c r="L1961" t="s">
        <v>74</v>
      </c>
      <c r="M1961" t="s">
        <v>78</v>
      </c>
      <c r="N1961" t="s">
        <v>79</v>
      </c>
      <c r="O1961" t="s">
        <v>74</v>
      </c>
      <c r="P1961" t="s">
        <v>74</v>
      </c>
      <c r="Q1961" t="s">
        <v>74</v>
      </c>
      <c r="R1961" t="s">
        <v>74</v>
      </c>
      <c r="S1961" t="s">
        <v>74</v>
      </c>
      <c r="T1961" t="s">
        <v>19103</v>
      </c>
      <c r="U1961" t="s">
        <v>19102</v>
      </c>
      <c r="V1961" t="s">
        <v>19101</v>
      </c>
      <c r="W1961" t="s">
        <v>19100</v>
      </c>
      <c r="X1961" t="s">
        <v>19099</v>
      </c>
      <c r="Y1961" t="s">
        <v>19098</v>
      </c>
      <c r="Z1961" t="s">
        <v>19097</v>
      </c>
      <c r="AA1961" t="s">
        <v>19096</v>
      </c>
      <c r="AB1961" t="s">
        <v>19095</v>
      </c>
      <c r="AC1961" t="s">
        <v>19094</v>
      </c>
      <c r="AD1961" t="s">
        <v>19094</v>
      </c>
      <c r="AE1961" t="s">
        <v>19093</v>
      </c>
      <c r="AF1961" t="s">
        <v>74</v>
      </c>
      <c r="AG1961">
        <v>72</v>
      </c>
      <c r="AH1961">
        <v>4</v>
      </c>
      <c r="AI1961">
        <v>8</v>
      </c>
      <c r="AJ1961">
        <v>11</v>
      </c>
      <c r="AK1961">
        <v>28</v>
      </c>
      <c r="AL1961" t="s">
        <v>89</v>
      </c>
      <c r="AM1961" t="s">
        <v>90</v>
      </c>
      <c r="AN1961" t="s">
        <v>91</v>
      </c>
      <c r="AO1961" t="s">
        <v>19092</v>
      </c>
      <c r="AP1961" t="s">
        <v>19091</v>
      </c>
      <c r="AQ1961" t="s">
        <v>74</v>
      </c>
      <c r="AR1961" t="s">
        <v>19090</v>
      </c>
      <c r="AS1961" t="s">
        <v>19089</v>
      </c>
      <c r="AT1961" t="s">
        <v>12419</v>
      </c>
      <c r="AU1961">
        <v>2024</v>
      </c>
      <c r="AV1961">
        <v>27</v>
      </c>
      <c r="AW1961">
        <v>9</v>
      </c>
      <c r="AX1961" t="s">
        <v>74</v>
      </c>
      <c r="AY1961" t="s">
        <v>74</v>
      </c>
      <c r="AZ1961" t="s">
        <v>74</v>
      </c>
      <c r="BA1961" t="s">
        <v>74</v>
      </c>
      <c r="BB1961">
        <v>562</v>
      </c>
      <c r="BC1961">
        <v>581</v>
      </c>
      <c r="BD1961" t="s">
        <v>74</v>
      </c>
      <c r="BE1961" t="s">
        <v>19088</v>
      </c>
      <c r="BF1961" t="str">
        <f>HYPERLINK("http://dx.doi.org/10.1108/EJIM-04-2024-0462","http://dx.doi.org/10.1108/EJIM-04-2024-0462")</f>
        <v>http://dx.doi.org/10.1108/EJIM-04-2024-0462</v>
      </c>
      <c r="BG1961" t="s">
        <v>74</v>
      </c>
      <c r="BH1961" t="s">
        <v>74</v>
      </c>
      <c r="BI1961">
        <v>20</v>
      </c>
      <c r="BJ1961" t="s">
        <v>98</v>
      </c>
      <c r="BK1961" t="s">
        <v>99</v>
      </c>
      <c r="BL1961" t="s">
        <v>100</v>
      </c>
      <c r="BM1961" t="s">
        <v>19087</v>
      </c>
      <c r="BN1961" t="s">
        <v>74</v>
      </c>
      <c r="BO1961" t="s">
        <v>1205</v>
      </c>
      <c r="BP1961" t="s">
        <v>74</v>
      </c>
      <c r="BQ1961" t="s">
        <v>74</v>
      </c>
      <c r="BR1961" t="s">
        <v>102</v>
      </c>
      <c r="BS1961" t="s">
        <v>19086</v>
      </c>
      <c r="BT1961" t="str">
        <f>HYPERLINK("https%3A%2F%2Fwww.webofscience.com%2Fwos%2Fwoscc%2Ffull-record%2FWOS:001373471000001","View Full Record in Web of Science")</f>
        <v>View Full Record in Web of Science</v>
      </c>
    </row>
    <row r="1962" spans="1:72" x14ac:dyDescent="0.25">
      <c r="A1962" t="s">
        <v>132</v>
      </c>
      <c r="B1962" t="s">
        <v>19085</v>
      </c>
      <c r="C1962" t="s">
        <v>74</v>
      </c>
      <c r="D1962" t="s">
        <v>74</v>
      </c>
      <c r="E1962" t="s">
        <v>134</v>
      </c>
      <c r="F1962" t="s">
        <v>19084</v>
      </c>
      <c r="G1962" t="s">
        <v>74</v>
      </c>
      <c r="H1962" t="s">
        <v>74</v>
      </c>
      <c r="I1962" t="s">
        <v>19083</v>
      </c>
      <c r="J1962" t="s">
        <v>19082</v>
      </c>
      <c r="K1962" t="s">
        <v>74</v>
      </c>
      <c r="L1962" t="s">
        <v>74</v>
      </c>
      <c r="M1962" t="s">
        <v>78</v>
      </c>
      <c r="N1962" t="s">
        <v>138</v>
      </c>
      <c r="O1962" t="s">
        <v>19081</v>
      </c>
      <c r="P1962" t="s">
        <v>19080</v>
      </c>
      <c r="Q1962" t="s">
        <v>19079</v>
      </c>
      <c r="R1962" t="s">
        <v>74</v>
      </c>
      <c r="S1962" t="s">
        <v>74</v>
      </c>
      <c r="T1962" t="s">
        <v>19078</v>
      </c>
      <c r="U1962" t="s">
        <v>19077</v>
      </c>
      <c r="V1962" t="s">
        <v>19076</v>
      </c>
      <c r="W1962" t="s">
        <v>19075</v>
      </c>
      <c r="X1962" t="s">
        <v>19074</v>
      </c>
      <c r="Y1962" t="s">
        <v>19073</v>
      </c>
      <c r="Z1962" t="s">
        <v>19072</v>
      </c>
      <c r="AA1962" t="s">
        <v>19071</v>
      </c>
      <c r="AB1962" t="s">
        <v>74</v>
      </c>
      <c r="AC1962" t="s">
        <v>19070</v>
      </c>
      <c r="AD1962" t="s">
        <v>19070</v>
      </c>
      <c r="AE1962" t="s">
        <v>19069</v>
      </c>
      <c r="AF1962" t="s">
        <v>74</v>
      </c>
      <c r="AG1962">
        <v>36</v>
      </c>
      <c r="AH1962">
        <v>5</v>
      </c>
      <c r="AI1962">
        <v>6</v>
      </c>
      <c r="AJ1962">
        <v>0</v>
      </c>
      <c r="AK1962">
        <v>4</v>
      </c>
      <c r="AL1962" t="s">
        <v>150</v>
      </c>
      <c r="AM1962" t="s">
        <v>151</v>
      </c>
      <c r="AN1962" t="s">
        <v>1560</v>
      </c>
      <c r="AO1962" t="s">
        <v>74</v>
      </c>
      <c r="AP1962" t="s">
        <v>74</v>
      </c>
      <c r="AQ1962" t="s">
        <v>19068</v>
      </c>
      <c r="AR1962" t="s">
        <v>74</v>
      </c>
      <c r="AS1962" t="s">
        <v>74</v>
      </c>
      <c r="AT1962" t="s">
        <v>74</v>
      </c>
      <c r="AU1962">
        <v>2015</v>
      </c>
      <c r="AV1962" t="s">
        <v>74</v>
      </c>
      <c r="AW1962" t="s">
        <v>74</v>
      </c>
      <c r="AX1962" t="s">
        <v>74</v>
      </c>
      <c r="AY1962" t="s">
        <v>74</v>
      </c>
      <c r="AZ1962" t="s">
        <v>74</v>
      </c>
      <c r="BA1962" t="s">
        <v>74</v>
      </c>
      <c r="BB1962" t="s">
        <v>74</v>
      </c>
      <c r="BC1962" t="s">
        <v>74</v>
      </c>
      <c r="BD1962" t="s">
        <v>74</v>
      </c>
      <c r="BE1962" t="s">
        <v>19067</v>
      </c>
      <c r="BF1962" t="str">
        <f>HYPERLINK("http://dx.doi.org/10.1145/3151470.3151473","http://dx.doi.org/10.1145/3151470.3151473")</f>
        <v>http://dx.doi.org/10.1145/3151470.3151473</v>
      </c>
      <c r="BG1962" t="s">
        <v>74</v>
      </c>
      <c r="BH1962" t="s">
        <v>74</v>
      </c>
      <c r="BI1962">
        <v>8</v>
      </c>
      <c r="BJ1962" t="s">
        <v>2843</v>
      </c>
      <c r="BK1962" t="s">
        <v>156</v>
      </c>
      <c r="BL1962" t="s">
        <v>157</v>
      </c>
      <c r="BM1962" t="s">
        <v>19066</v>
      </c>
      <c r="BN1962" t="s">
        <v>74</v>
      </c>
      <c r="BO1962" t="s">
        <v>1696</v>
      </c>
      <c r="BP1962" t="s">
        <v>74</v>
      </c>
      <c r="BQ1962" t="s">
        <v>74</v>
      </c>
      <c r="BR1962" t="s">
        <v>102</v>
      </c>
      <c r="BS1962" t="s">
        <v>19065</v>
      </c>
      <c r="BT1962" t="str">
        <f>HYPERLINK("https%3A%2F%2Fwww.webofscience.com%2Fwos%2Fwoscc%2Ffull-record%2FWOS:000455712000005","View Full Record in Web of Science")</f>
        <v>View Full Record in Web of Science</v>
      </c>
    </row>
    <row r="1963" spans="1:72" x14ac:dyDescent="0.25">
      <c r="A1963" t="s">
        <v>72</v>
      </c>
      <c r="B1963" t="s">
        <v>19064</v>
      </c>
      <c r="C1963" t="s">
        <v>74</v>
      </c>
      <c r="D1963" t="s">
        <v>74</v>
      </c>
      <c r="E1963" t="s">
        <v>74</v>
      </c>
      <c r="F1963" t="s">
        <v>19063</v>
      </c>
      <c r="G1963" t="s">
        <v>74</v>
      </c>
      <c r="H1963" t="s">
        <v>74</v>
      </c>
      <c r="I1963" t="s">
        <v>19062</v>
      </c>
      <c r="J1963" t="s">
        <v>2137</v>
      </c>
      <c r="K1963" t="s">
        <v>74</v>
      </c>
      <c r="L1963" t="s">
        <v>74</v>
      </c>
      <c r="M1963" t="s">
        <v>78</v>
      </c>
      <c r="N1963" t="s">
        <v>79</v>
      </c>
      <c r="O1963" t="s">
        <v>74</v>
      </c>
      <c r="P1963" t="s">
        <v>74</v>
      </c>
      <c r="Q1963" t="s">
        <v>74</v>
      </c>
      <c r="R1963" t="s">
        <v>74</v>
      </c>
      <c r="S1963" t="s">
        <v>74</v>
      </c>
      <c r="T1963" t="s">
        <v>19061</v>
      </c>
      <c r="U1963" t="s">
        <v>19060</v>
      </c>
      <c r="V1963" t="s">
        <v>19059</v>
      </c>
      <c r="W1963" t="s">
        <v>19058</v>
      </c>
      <c r="X1963" t="s">
        <v>19057</v>
      </c>
      <c r="Y1963" t="s">
        <v>19056</v>
      </c>
      <c r="Z1963" t="s">
        <v>19055</v>
      </c>
      <c r="AA1963" t="s">
        <v>19054</v>
      </c>
      <c r="AB1963" t="s">
        <v>19053</v>
      </c>
      <c r="AC1963" t="s">
        <v>74</v>
      </c>
      <c r="AD1963" t="s">
        <v>74</v>
      </c>
      <c r="AE1963" t="s">
        <v>74</v>
      </c>
      <c r="AF1963" t="s">
        <v>74</v>
      </c>
      <c r="AG1963">
        <v>54</v>
      </c>
      <c r="AH1963">
        <v>14</v>
      </c>
      <c r="AI1963">
        <v>16</v>
      </c>
      <c r="AJ1963">
        <v>3</v>
      </c>
      <c r="AK1963">
        <v>21</v>
      </c>
      <c r="AL1963" t="s">
        <v>2145</v>
      </c>
      <c r="AM1963" t="s">
        <v>151</v>
      </c>
      <c r="AN1963" t="s">
        <v>2146</v>
      </c>
      <c r="AO1963" t="s">
        <v>2147</v>
      </c>
      <c r="AP1963" t="s">
        <v>2148</v>
      </c>
      <c r="AQ1963" t="s">
        <v>74</v>
      </c>
      <c r="AR1963" t="s">
        <v>2149</v>
      </c>
      <c r="AS1963" t="s">
        <v>2150</v>
      </c>
      <c r="AT1963" t="s">
        <v>74</v>
      </c>
      <c r="AU1963">
        <v>2021</v>
      </c>
      <c r="AV1963">
        <v>32</v>
      </c>
      <c r="AW1963">
        <v>2</v>
      </c>
      <c r="AX1963" t="s">
        <v>74</v>
      </c>
      <c r="AY1963" t="s">
        <v>74</v>
      </c>
      <c r="AZ1963" t="s">
        <v>74</v>
      </c>
      <c r="BA1963" t="s">
        <v>74</v>
      </c>
      <c r="BB1963">
        <v>266</v>
      </c>
      <c r="BC1963">
        <v>279</v>
      </c>
      <c r="BD1963" t="s">
        <v>74</v>
      </c>
      <c r="BE1963" t="s">
        <v>19052</v>
      </c>
      <c r="BF1963" t="str">
        <f>HYPERLINK("http://dx.doi.org/10.1891/JFCP-19-00002","http://dx.doi.org/10.1891/JFCP-19-00002")</f>
        <v>http://dx.doi.org/10.1891/JFCP-19-00002</v>
      </c>
      <c r="BG1963" t="s">
        <v>74</v>
      </c>
      <c r="BH1963" t="s">
        <v>74</v>
      </c>
      <c r="BI1963">
        <v>14</v>
      </c>
      <c r="BJ1963" t="s">
        <v>1453</v>
      </c>
      <c r="BK1963" t="s">
        <v>313</v>
      </c>
      <c r="BL1963" t="s">
        <v>100</v>
      </c>
      <c r="BM1963" t="s">
        <v>19051</v>
      </c>
      <c r="BN1963" t="s">
        <v>74</v>
      </c>
      <c r="BO1963" t="s">
        <v>74</v>
      </c>
      <c r="BP1963" t="s">
        <v>74</v>
      </c>
      <c r="BQ1963" t="s">
        <v>74</v>
      </c>
      <c r="BR1963" t="s">
        <v>102</v>
      </c>
      <c r="BS1963" t="s">
        <v>19050</v>
      </c>
      <c r="BT1963" t="str">
        <f>HYPERLINK("https%3A%2F%2Fwww.webofscience.com%2Fwos%2Fwoscc%2Ffull-record%2FWOS:000699755700007","View Full Record in Web of Science")</f>
        <v>View Full Record in Web of Science</v>
      </c>
    </row>
    <row r="1964" spans="1:72" x14ac:dyDescent="0.25">
      <c r="A1964" t="s">
        <v>132</v>
      </c>
      <c r="B1964" t="s">
        <v>19049</v>
      </c>
      <c r="C1964" t="s">
        <v>74</v>
      </c>
      <c r="D1964" t="s">
        <v>74</v>
      </c>
      <c r="E1964" t="s">
        <v>1551</v>
      </c>
      <c r="F1964" t="s">
        <v>19048</v>
      </c>
      <c r="G1964" t="s">
        <v>74</v>
      </c>
      <c r="H1964" t="s">
        <v>74</v>
      </c>
      <c r="I1964" t="s">
        <v>19047</v>
      </c>
      <c r="J1964" t="s">
        <v>19046</v>
      </c>
      <c r="K1964" t="s">
        <v>74</v>
      </c>
      <c r="L1964" t="s">
        <v>74</v>
      </c>
      <c r="M1964" t="s">
        <v>78</v>
      </c>
      <c r="N1964" t="s">
        <v>138</v>
      </c>
      <c r="O1964" t="s">
        <v>19045</v>
      </c>
      <c r="P1964" t="s">
        <v>19044</v>
      </c>
      <c r="Q1964" t="s">
        <v>19043</v>
      </c>
      <c r="R1964" t="s">
        <v>19042</v>
      </c>
      <c r="S1964" t="s">
        <v>74</v>
      </c>
      <c r="T1964" t="s">
        <v>19041</v>
      </c>
      <c r="U1964" t="s">
        <v>19040</v>
      </c>
      <c r="V1964" t="s">
        <v>19039</v>
      </c>
      <c r="W1964" t="s">
        <v>19038</v>
      </c>
      <c r="X1964" t="s">
        <v>19037</v>
      </c>
      <c r="Y1964" t="s">
        <v>19036</v>
      </c>
      <c r="Z1964" t="s">
        <v>19035</v>
      </c>
      <c r="AA1964" t="s">
        <v>74</v>
      </c>
      <c r="AB1964" t="s">
        <v>19034</v>
      </c>
      <c r="AC1964" t="s">
        <v>19033</v>
      </c>
      <c r="AD1964" t="s">
        <v>19033</v>
      </c>
      <c r="AE1964" t="s">
        <v>19032</v>
      </c>
      <c r="AF1964" t="s">
        <v>74</v>
      </c>
      <c r="AG1964">
        <v>47</v>
      </c>
      <c r="AH1964">
        <v>15</v>
      </c>
      <c r="AI1964">
        <v>26</v>
      </c>
      <c r="AJ1964">
        <v>0</v>
      </c>
      <c r="AK1964">
        <v>4</v>
      </c>
      <c r="AL1964" t="s">
        <v>150</v>
      </c>
      <c r="AM1964" t="s">
        <v>151</v>
      </c>
      <c r="AN1964" t="s">
        <v>1560</v>
      </c>
      <c r="AO1964" t="s">
        <v>74</v>
      </c>
      <c r="AP1964" t="s">
        <v>74</v>
      </c>
      <c r="AQ1964" t="s">
        <v>19031</v>
      </c>
      <c r="AR1964" t="s">
        <v>74</v>
      </c>
      <c r="AS1964" t="s">
        <v>74</v>
      </c>
      <c r="AT1964" t="s">
        <v>74</v>
      </c>
      <c r="AU1964">
        <v>2019</v>
      </c>
      <c r="AV1964" t="s">
        <v>74</v>
      </c>
      <c r="AW1964" t="s">
        <v>74</v>
      </c>
      <c r="AX1964" t="s">
        <v>74</v>
      </c>
      <c r="AY1964" t="s">
        <v>74</v>
      </c>
      <c r="AZ1964" t="s">
        <v>74</v>
      </c>
      <c r="BA1964" t="s">
        <v>74</v>
      </c>
      <c r="BB1964" t="s">
        <v>74</v>
      </c>
      <c r="BC1964" t="s">
        <v>74</v>
      </c>
      <c r="BD1964" t="s">
        <v>74</v>
      </c>
      <c r="BE1964" t="s">
        <v>19030</v>
      </c>
      <c r="BF1964" t="str">
        <f>HYPERLINK("http://dx.doi.org/10.1145/3290605.3300490","http://dx.doi.org/10.1145/3290605.3300490")</f>
        <v>http://dx.doi.org/10.1145/3290605.3300490</v>
      </c>
      <c r="BG1964" t="s">
        <v>74</v>
      </c>
      <c r="BH1964" t="s">
        <v>74</v>
      </c>
      <c r="BI1964">
        <v>12</v>
      </c>
      <c r="BJ1964" t="s">
        <v>19029</v>
      </c>
      <c r="BK1964" t="s">
        <v>156</v>
      </c>
      <c r="BL1964" t="s">
        <v>157</v>
      </c>
      <c r="BM1964" t="s">
        <v>19028</v>
      </c>
      <c r="BN1964" t="s">
        <v>74</v>
      </c>
      <c r="BO1964" t="s">
        <v>74</v>
      </c>
      <c r="BP1964" t="s">
        <v>74</v>
      </c>
      <c r="BQ1964" t="s">
        <v>74</v>
      </c>
      <c r="BR1964" t="s">
        <v>102</v>
      </c>
      <c r="BS1964" t="s">
        <v>19027</v>
      </c>
      <c r="BT1964" t="str">
        <f>HYPERLINK("https%3A%2F%2Fwww.webofscience.com%2Fwos%2Fwoscc%2Ffull-record%2FWOS:000474467903031","View Full Record in Web of Science")</f>
        <v>View Full Record in Web of Science</v>
      </c>
    </row>
    <row r="1965" spans="1:72" x14ac:dyDescent="0.25">
      <c r="A1965" t="s">
        <v>72</v>
      </c>
      <c r="B1965" t="s">
        <v>19026</v>
      </c>
      <c r="C1965" t="s">
        <v>74</v>
      </c>
      <c r="D1965" t="s">
        <v>74</v>
      </c>
      <c r="E1965" t="s">
        <v>74</v>
      </c>
      <c r="F1965" t="s">
        <v>19025</v>
      </c>
      <c r="G1965" t="s">
        <v>74</v>
      </c>
      <c r="H1965" t="s">
        <v>74</v>
      </c>
      <c r="I1965" t="s">
        <v>19024</v>
      </c>
      <c r="J1965" t="s">
        <v>18344</v>
      </c>
      <c r="K1965" t="s">
        <v>74</v>
      </c>
      <c r="L1965" t="s">
        <v>74</v>
      </c>
      <c r="M1965" t="s">
        <v>78</v>
      </c>
      <c r="N1965" t="s">
        <v>79</v>
      </c>
      <c r="O1965" t="s">
        <v>74</v>
      </c>
      <c r="P1965" t="s">
        <v>74</v>
      </c>
      <c r="Q1965" t="s">
        <v>74</v>
      </c>
      <c r="R1965" t="s">
        <v>74</v>
      </c>
      <c r="S1965" t="s">
        <v>74</v>
      </c>
      <c r="T1965" t="s">
        <v>19023</v>
      </c>
      <c r="U1965" t="s">
        <v>19022</v>
      </c>
      <c r="V1965" t="s">
        <v>19021</v>
      </c>
      <c r="W1965" t="s">
        <v>19020</v>
      </c>
      <c r="X1965" t="s">
        <v>19019</v>
      </c>
      <c r="Y1965" t="s">
        <v>19018</v>
      </c>
      <c r="Z1965" t="s">
        <v>19017</v>
      </c>
      <c r="AA1965" t="s">
        <v>19016</v>
      </c>
      <c r="AB1965" t="s">
        <v>19015</v>
      </c>
      <c r="AC1965" t="s">
        <v>74</v>
      </c>
      <c r="AD1965" t="s">
        <v>74</v>
      </c>
      <c r="AE1965" t="s">
        <v>74</v>
      </c>
      <c r="AF1965" t="s">
        <v>74</v>
      </c>
      <c r="AG1965">
        <v>40</v>
      </c>
      <c r="AH1965">
        <v>17</v>
      </c>
      <c r="AI1965">
        <v>20</v>
      </c>
      <c r="AJ1965">
        <v>3</v>
      </c>
      <c r="AK1965">
        <v>14</v>
      </c>
      <c r="AL1965" t="s">
        <v>89</v>
      </c>
      <c r="AM1965" t="s">
        <v>90</v>
      </c>
      <c r="AN1965" t="s">
        <v>91</v>
      </c>
      <c r="AO1965" t="s">
        <v>18354</v>
      </c>
      <c r="AP1965" t="s">
        <v>18355</v>
      </c>
      <c r="AQ1965" t="s">
        <v>74</v>
      </c>
      <c r="AR1965" t="s">
        <v>18356</v>
      </c>
      <c r="AS1965" t="s">
        <v>18357</v>
      </c>
      <c r="AT1965" t="s">
        <v>16081</v>
      </c>
      <c r="AU1965">
        <v>2021</v>
      </c>
      <c r="AV1965">
        <v>37</v>
      </c>
      <c r="AW1965">
        <v>3</v>
      </c>
      <c r="AX1965" t="s">
        <v>74</v>
      </c>
      <c r="AY1965" t="s">
        <v>74</v>
      </c>
      <c r="AZ1965" t="s">
        <v>74</v>
      </c>
      <c r="BA1965" t="s">
        <v>74</v>
      </c>
      <c r="BB1965">
        <v>486</v>
      </c>
      <c r="BC1965">
        <v>505</v>
      </c>
      <c r="BD1965" t="s">
        <v>74</v>
      </c>
      <c r="BE1965" t="s">
        <v>19014</v>
      </c>
      <c r="BF1965" t="str">
        <f>HYPERLINK("http://dx.doi.org/10.1108/IJOES-02-2021-0040","http://dx.doi.org/10.1108/IJOES-02-2021-0040")</f>
        <v>http://dx.doi.org/10.1108/IJOES-02-2021-0040</v>
      </c>
      <c r="BG1965" t="s">
        <v>74</v>
      </c>
      <c r="BH1965" t="s">
        <v>11242</v>
      </c>
      <c r="BI1965">
        <v>20</v>
      </c>
      <c r="BJ1965" t="s">
        <v>291</v>
      </c>
      <c r="BK1965" t="s">
        <v>313</v>
      </c>
      <c r="BL1965" t="s">
        <v>100</v>
      </c>
      <c r="BM1965" t="s">
        <v>19013</v>
      </c>
      <c r="BN1965" t="s">
        <v>74</v>
      </c>
      <c r="BO1965" t="s">
        <v>74</v>
      </c>
      <c r="BP1965" t="s">
        <v>74</v>
      </c>
      <c r="BQ1965" t="s">
        <v>74</v>
      </c>
      <c r="BR1965" t="s">
        <v>102</v>
      </c>
      <c r="BS1965" t="s">
        <v>19012</v>
      </c>
      <c r="BT1965" t="str">
        <f>HYPERLINK("https%3A%2F%2Fwww.webofscience.com%2Fwos%2Fwoscc%2Ffull-record%2FWOS:000669545600001","View Full Record in Web of Science")</f>
        <v>View Full Record in Web of Science</v>
      </c>
    </row>
    <row r="1966" spans="1:72" x14ac:dyDescent="0.25">
      <c r="A1966" t="s">
        <v>72</v>
      </c>
      <c r="B1966" t="s">
        <v>19011</v>
      </c>
      <c r="C1966" t="s">
        <v>74</v>
      </c>
      <c r="D1966" t="s">
        <v>74</v>
      </c>
      <c r="E1966" t="s">
        <v>74</v>
      </c>
      <c r="F1966" t="s">
        <v>19010</v>
      </c>
      <c r="G1966" t="s">
        <v>74</v>
      </c>
      <c r="H1966" t="s">
        <v>74</v>
      </c>
      <c r="I1966" t="s">
        <v>19009</v>
      </c>
      <c r="J1966" t="s">
        <v>19008</v>
      </c>
      <c r="K1966" t="s">
        <v>74</v>
      </c>
      <c r="L1966" t="s">
        <v>74</v>
      </c>
      <c r="M1966" t="s">
        <v>78</v>
      </c>
      <c r="N1966" t="s">
        <v>79</v>
      </c>
      <c r="O1966" t="s">
        <v>74</v>
      </c>
      <c r="P1966" t="s">
        <v>74</v>
      </c>
      <c r="Q1966" t="s">
        <v>74</v>
      </c>
      <c r="R1966" t="s">
        <v>74</v>
      </c>
      <c r="S1966" t="s">
        <v>74</v>
      </c>
      <c r="T1966" t="s">
        <v>19007</v>
      </c>
      <c r="U1966" t="s">
        <v>19006</v>
      </c>
      <c r="V1966" t="s">
        <v>19005</v>
      </c>
      <c r="W1966" t="s">
        <v>19004</v>
      </c>
      <c r="X1966" t="s">
        <v>19003</v>
      </c>
      <c r="Y1966" t="s">
        <v>19002</v>
      </c>
      <c r="Z1966" t="s">
        <v>19001</v>
      </c>
      <c r="AA1966" t="s">
        <v>19000</v>
      </c>
      <c r="AB1966" t="s">
        <v>74</v>
      </c>
      <c r="AC1966" t="s">
        <v>18999</v>
      </c>
      <c r="AD1966" t="s">
        <v>18998</v>
      </c>
      <c r="AE1966" t="s">
        <v>18997</v>
      </c>
      <c r="AF1966" t="s">
        <v>74</v>
      </c>
      <c r="AG1966">
        <v>36</v>
      </c>
      <c r="AH1966">
        <v>0</v>
      </c>
      <c r="AI1966">
        <v>0</v>
      </c>
      <c r="AJ1966">
        <v>0</v>
      </c>
      <c r="AK1966">
        <v>0</v>
      </c>
      <c r="AL1966" t="s">
        <v>18996</v>
      </c>
      <c r="AM1966" t="s">
        <v>18995</v>
      </c>
      <c r="AN1966" t="s">
        <v>18994</v>
      </c>
      <c r="AO1966" t="s">
        <v>18993</v>
      </c>
      <c r="AP1966" t="s">
        <v>18992</v>
      </c>
      <c r="AQ1966" t="s">
        <v>74</v>
      </c>
      <c r="AR1966" t="s">
        <v>18991</v>
      </c>
      <c r="AS1966" t="s">
        <v>18990</v>
      </c>
      <c r="AT1966" t="s">
        <v>1652</v>
      </c>
      <c r="AU1966">
        <v>2025</v>
      </c>
      <c r="AV1966">
        <v>16</v>
      </c>
      <c r="AW1966">
        <v>1</v>
      </c>
      <c r="AX1966" t="s">
        <v>74</v>
      </c>
      <c r="AY1966" t="s">
        <v>74</v>
      </c>
      <c r="AZ1966" t="s">
        <v>74</v>
      </c>
      <c r="BA1966" t="s">
        <v>74</v>
      </c>
      <c r="BB1966">
        <v>1</v>
      </c>
      <c r="BC1966">
        <v>21</v>
      </c>
      <c r="BD1966" t="s">
        <v>74</v>
      </c>
      <c r="BE1966" t="s">
        <v>18989</v>
      </c>
      <c r="BF1966" t="str">
        <f>HYPERLINK("http://dx.doi.org/10.32372/ChJS.16-01-01","http://dx.doi.org/10.32372/ChJS.16-01-01")</f>
        <v>http://dx.doi.org/10.32372/ChJS.16-01-01</v>
      </c>
      <c r="BG1966" t="s">
        <v>74</v>
      </c>
      <c r="BH1966" t="s">
        <v>74</v>
      </c>
      <c r="BI1966">
        <v>21</v>
      </c>
      <c r="BJ1966" t="s">
        <v>8335</v>
      </c>
      <c r="BK1966" t="s">
        <v>313</v>
      </c>
      <c r="BL1966" t="s">
        <v>8262</v>
      </c>
      <c r="BM1966" t="s">
        <v>18988</v>
      </c>
      <c r="BN1966" t="s">
        <v>74</v>
      </c>
      <c r="BO1966" t="s">
        <v>74</v>
      </c>
      <c r="BP1966" t="s">
        <v>74</v>
      </c>
      <c r="BQ1966" t="s">
        <v>74</v>
      </c>
      <c r="BR1966" t="s">
        <v>102</v>
      </c>
      <c r="BS1966" t="s">
        <v>18987</v>
      </c>
      <c r="BT1966" t="str">
        <f>HYPERLINK("https%3A%2F%2Fwww.webofscience.com%2Fwos%2Fwoscc%2Ffull-record%2FWOS:001550194800001","View Full Record in Web of Science")</f>
        <v>View Full Record in Web of Science</v>
      </c>
    </row>
    <row r="1967" spans="1:72" x14ac:dyDescent="0.25">
      <c r="A1967" t="s">
        <v>72</v>
      </c>
      <c r="B1967" t="s">
        <v>18986</v>
      </c>
      <c r="C1967" t="s">
        <v>74</v>
      </c>
      <c r="D1967" t="s">
        <v>74</v>
      </c>
      <c r="E1967" t="s">
        <v>74</v>
      </c>
      <c r="F1967" t="s">
        <v>18985</v>
      </c>
      <c r="G1967" t="s">
        <v>74</v>
      </c>
      <c r="H1967" t="s">
        <v>74</v>
      </c>
      <c r="I1967" t="s">
        <v>18984</v>
      </c>
      <c r="J1967" t="s">
        <v>855</v>
      </c>
      <c r="K1967" t="s">
        <v>74</v>
      </c>
      <c r="L1967" t="s">
        <v>74</v>
      </c>
      <c r="M1967" t="s">
        <v>78</v>
      </c>
      <c r="N1967" t="s">
        <v>79</v>
      </c>
      <c r="O1967" t="s">
        <v>74</v>
      </c>
      <c r="P1967" t="s">
        <v>74</v>
      </c>
      <c r="Q1967" t="s">
        <v>74</v>
      </c>
      <c r="R1967" t="s">
        <v>74</v>
      </c>
      <c r="S1967" t="s">
        <v>74</v>
      </c>
      <c r="T1967" t="s">
        <v>18983</v>
      </c>
      <c r="U1967" t="s">
        <v>74</v>
      </c>
      <c r="V1967" t="s">
        <v>18982</v>
      </c>
      <c r="W1967" t="s">
        <v>18981</v>
      </c>
      <c r="X1967" t="s">
        <v>74</v>
      </c>
      <c r="Y1967" t="s">
        <v>18980</v>
      </c>
      <c r="Z1967" t="s">
        <v>74</v>
      </c>
      <c r="AA1967" t="s">
        <v>74</v>
      </c>
      <c r="AB1967" t="s">
        <v>74</v>
      </c>
      <c r="AC1967" t="s">
        <v>74</v>
      </c>
      <c r="AD1967" t="s">
        <v>74</v>
      </c>
      <c r="AE1967" t="s">
        <v>74</v>
      </c>
      <c r="AF1967" t="s">
        <v>74</v>
      </c>
      <c r="AG1967">
        <v>85</v>
      </c>
      <c r="AH1967">
        <v>0</v>
      </c>
      <c r="AI1967">
        <v>0</v>
      </c>
      <c r="AJ1967">
        <v>0</v>
      </c>
      <c r="AK1967">
        <v>4</v>
      </c>
      <c r="AL1967" t="s">
        <v>862</v>
      </c>
      <c r="AM1967" t="s">
        <v>863</v>
      </c>
      <c r="AN1967" t="s">
        <v>864</v>
      </c>
      <c r="AO1967" t="s">
        <v>865</v>
      </c>
      <c r="AP1967" t="s">
        <v>866</v>
      </c>
      <c r="AQ1967" t="s">
        <v>74</v>
      </c>
      <c r="AR1967" t="s">
        <v>867</v>
      </c>
      <c r="AS1967" t="s">
        <v>867</v>
      </c>
      <c r="AT1967" t="s">
        <v>868</v>
      </c>
      <c r="AU1967">
        <v>2022</v>
      </c>
      <c r="AV1967">
        <v>45</v>
      </c>
      <c r="AW1967" t="s">
        <v>74</v>
      </c>
      <c r="AX1967" t="s">
        <v>74</v>
      </c>
      <c r="AY1967" t="s">
        <v>74</v>
      </c>
      <c r="AZ1967" t="s">
        <v>74</v>
      </c>
      <c r="BA1967" t="s">
        <v>74</v>
      </c>
      <c r="BB1967">
        <v>17</v>
      </c>
      <c r="BC1967">
        <v>41</v>
      </c>
      <c r="BD1967" t="s">
        <v>18979</v>
      </c>
      <c r="BE1967" t="s">
        <v>18978</v>
      </c>
      <c r="BF1967" t="str">
        <f>HYPERLINK("http://dx.doi.org/10.3138/topia-2022-0015","http://dx.doi.org/10.3138/topia-2022-0015")</f>
        <v>http://dx.doi.org/10.3138/topia-2022-0015</v>
      </c>
      <c r="BG1967" t="s">
        <v>74</v>
      </c>
      <c r="BH1967" t="s">
        <v>2328</v>
      </c>
      <c r="BI1967">
        <v>25</v>
      </c>
      <c r="BJ1967" t="s">
        <v>870</v>
      </c>
      <c r="BK1967" t="s">
        <v>871</v>
      </c>
      <c r="BL1967" t="s">
        <v>870</v>
      </c>
      <c r="BM1967" t="s">
        <v>872</v>
      </c>
      <c r="BN1967" t="s">
        <v>74</v>
      </c>
      <c r="BO1967" t="s">
        <v>74</v>
      </c>
      <c r="BP1967" t="s">
        <v>74</v>
      </c>
      <c r="BQ1967" t="s">
        <v>74</v>
      </c>
      <c r="BR1967" t="s">
        <v>102</v>
      </c>
      <c r="BS1967" t="s">
        <v>18977</v>
      </c>
      <c r="BT1967" t="str">
        <f>HYPERLINK("https%3A%2F%2Fwww.webofscience.com%2Fwos%2Fwoscc%2Ffull-record%2FWOS:000847534200001","View Full Record in Web of Science")</f>
        <v>View Full Record in Web of Science</v>
      </c>
    </row>
    <row r="1968" spans="1:72" x14ac:dyDescent="0.25">
      <c r="A1968" t="s">
        <v>72</v>
      </c>
      <c r="B1968" t="s">
        <v>18976</v>
      </c>
      <c r="C1968" t="s">
        <v>74</v>
      </c>
      <c r="D1968" t="s">
        <v>74</v>
      </c>
      <c r="E1968" t="s">
        <v>74</v>
      </c>
      <c r="F1968" t="s">
        <v>18975</v>
      </c>
      <c r="G1968" t="s">
        <v>74</v>
      </c>
      <c r="H1968" t="s">
        <v>74</v>
      </c>
      <c r="I1968" t="s">
        <v>18974</v>
      </c>
      <c r="J1968" t="s">
        <v>2117</v>
      </c>
      <c r="K1968" t="s">
        <v>74</v>
      </c>
      <c r="L1968" t="s">
        <v>74</v>
      </c>
      <c r="M1968" t="s">
        <v>78</v>
      </c>
      <c r="N1968" t="s">
        <v>79</v>
      </c>
      <c r="O1968" t="s">
        <v>74</v>
      </c>
      <c r="P1968" t="s">
        <v>74</v>
      </c>
      <c r="Q1968" t="s">
        <v>74</v>
      </c>
      <c r="R1968" t="s">
        <v>74</v>
      </c>
      <c r="S1968" t="s">
        <v>74</v>
      </c>
      <c r="T1968" t="s">
        <v>18973</v>
      </c>
      <c r="U1968" t="s">
        <v>18972</v>
      </c>
      <c r="V1968" t="s">
        <v>18971</v>
      </c>
      <c r="W1968" t="s">
        <v>18970</v>
      </c>
      <c r="X1968" t="s">
        <v>734</v>
      </c>
      <c r="Y1968" t="s">
        <v>18969</v>
      </c>
      <c r="Z1968" t="s">
        <v>18968</v>
      </c>
      <c r="AA1968" t="s">
        <v>74</v>
      </c>
      <c r="AB1968" t="s">
        <v>74</v>
      </c>
      <c r="AC1968" t="s">
        <v>18967</v>
      </c>
      <c r="AD1968" t="s">
        <v>18967</v>
      </c>
      <c r="AE1968" t="s">
        <v>18966</v>
      </c>
      <c r="AF1968" t="s">
        <v>74</v>
      </c>
      <c r="AG1968">
        <v>28</v>
      </c>
      <c r="AH1968">
        <v>21</v>
      </c>
      <c r="AI1968">
        <v>22</v>
      </c>
      <c r="AJ1968">
        <v>0</v>
      </c>
      <c r="AK1968">
        <v>32</v>
      </c>
      <c r="AL1968" t="s">
        <v>201</v>
      </c>
      <c r="AM1968" t="s">
        <v>202</v>
      </c>
      <c r="AN1968" t="s">
        <v>203</v>
      </c>
      <c r="AO1968" t="s">
        <v>2127</v>
      </c>
      <c r="AP1968" t="s">
        <v>2128</v>
      </c>
      <c r="AQ1968" t="s">
        <v>74</v>
      </c>
      <c r="AR1968" t="s">
        <v>2129</v>
      </c>
      <c r="AS1968" t="s">
        <v>2130</v>
      </c>
      <c r="AT1968" t="s">
        <v>124</v>
      </c>
      <c r="AU1968">
        <v>2015</v>
      </c>
      <c r="AV1968">
        <v>25</v>
      </c>
      <c r="AW1968" t="s">
        <v>74</v>
      </c>
      <c r="AX1968" t="s">
        <v>74</v>
      </c>
      <c r="AY1968" t="s">
        <v>74</v>
      </c>
      <c r="AZ1968" t="s">
        <v>74</v>
      </c>
      <c r="BA1968" t="s">
        <v>74</v>
      </c>
      <c r="BB1968">
        <v>92</v>
      </c>
      <c r="BC1968">
        <v>124</v>
      </c>
      <c r="BD1968" t="s">
        <v>74</v>
      </c>
      <c r="BE1968" t="s">
        <v>18965</v>
      </c>
      <c r="BF1968" t="str">
        <f>HYPERLINK("http://dx.doi.org/10.1016/j.ememar.2015.05.002","http://dx.doi.org/10.1016/j.ememar.2015.05.002")</f>
        <v>http://dx.doi.org/10.1016/j.ememar.2015.05.002</v>
      </c>
      <c r="BG1968" t="s">
        <v>74</v>
      </c>
      <c r="BH1968" t="s">
        <v>74</v>
      </c>
      <c r="BI1968">
        <v>33</v>
      </c>
      <c r="BJ1968" t="s">
        <v>210</v>
      </c>
      <c r="BK1968" t="s">
        <v>99</v>
      </c>
      <c r="BL1968" t="s">
        <v>100</v>
      </c>
      <c r="BM1968" t="s">
        <v>18964</v>
      </c>
      <c r="BN1968" t="s">
        <v>74</v>
      </c>
      <c r="BO1968" t="s">
        <v>74</v>
      </c>
      <c r="BP1968" t="s">
        <v>74</v>
      </c>
      <c r="BQ1968" t="s">
        <v>74</v>
      </c>
      <c r="BR1968" t="s">
        <v>102</v>
      </c>
      <c r="BS1968" t="s">
        <v>18963</v>
      </c>
      <c r="BT1968" t="str">
        <f>HYPERLINK("https%3A%2F%2Fwww.webofscience.com%2Fwos%2Fwoscc%2Ffull-record%2FWOS:000367121100006","View Full Record in Web of Science")</f>
        <v>View Full Record in Web of Science</v>
      </c>
    </row>
    <row r="1969" spans="1:72" x14ac:dyDescent="0.25">
      <c r="A1969" t="s">
        <v>72</v>
      </c>
      <c r="B1969" t="s">
        <v>18962</v>
      </c>
      <c r="C1969" t="s">
        <v>74</v>
      </c>
      <c r="D1969" t="s">
        <v>74</v>
      </c>
      <c r="E1969" t="s">
        <v>74</v>
      </c>
      <c r="F1969" t="s">
        <v>18961</v>
      </c>
      <c r="G1969" t="s">
        <v>74</v>
      </c>
      <c r="H1969" t="s">
        <v>74</v>
      </c>
      <c r="I1969" t="s">
        <v>18960</v>
      </c>
      <c r="J1969" t="s">
        <v>18959</v>
      </c>
      <c r="K1969" t="s">
        <v>74</v>
      </c>
      <c r="L1969" t="s">
        <v>74</v>
      </c>
      <c r="M1969" t="s">
        <v>78</v>
      </c>
      <c r="N1969" t="s">
        <v>79</v>
      </c>
      <c r="O1969" t="s">
        <v>74</v>
      </c>
      <c r="P1969" t="s">
        <v>74</v>
      </c>
      <c r="Q1969" t="s">
        <v>74</v>
      </c>
      <c r="R1969" t="s">
        <v>74</v>
      </c>
      <c r="S1969" t="s">
        <v>74</v>
      </c>
      <c r="T1969" t="s">
        <v>74</v>
      </c>
      <c r="U1969" t="s">
        <v>18958</v>
      </c>
      <c r="V1969" t="s">
        <v>18957</v>
      </c>
      <c r="W1969" t="s">
        <v>18956</v>
      </c>
      <c r="X1969" t="s">
        <v>18955</v>
      </c>
      <c r="Y1969" t="s">
        <v>18954</v>
      </c>
      <c r="Z1969" t="s">
        <v>18953</v>
      </c>
      <c r="AA1969" t="s">
        <v>18952</v>
      </c>
      <c r="AB1969" t="s">
        <v>18951</v>
      </c>
      <c r="AC1969" t="s">
        <v>18950</v>
      </c>
      <c r="AD1969" t="s">
        <v>18949</v>
      </c>
      <c r="AE1969" t="s">
        <v>18948</v>
      </c>
      <c r="AF1969" t="s">
        <v>74</v>
      </c>
      <c r="AG1969">
        <v>37</v>
      </c>
      <c r="AH1969">
        <v>0</v>
      </c>
      <c r="AI1969">
        <v>0</v>
      </c>
      <c r="AJ1969">
        <v>1</v>
      </c>
      <c r="AK1969">
        <v>4</v>
      </c>
      <c r="AL1969" t="s">
        <v>18947</v>
      </c>
      <c r="AM1969" t="s">
        <v>2661</v>
      </c>
      <c r="AN1969" t="s">
        <v>18946</v>
      </c>
      <c r="AO1969" t="s">
        <v>18945</v>
      </c>
      <c r="AP1969" t="s">
        <v>18944</v>
      </c>
      <c r="AQ1969" t="s">
        <v>74</v>
      </c>
      <c r="AR1969" t="s">
        <v>18943</v>
      </c>
      <c r="AS1969" t="s">
        <v>18942</v>
      </c>
      <c r="AT1969" t="s">
        <v>605</v>
      </c>
      <c r="AU1969">
        <v>2025</v>
      </c>
      <c r="AV1969">
        <v>76</v>
      </c>
      <c r="AW1969">
        <v>3</v>
      </c>
      <c r="AX1969" t="s">
        <v>74</v>
      </c>
      <c r="AY1969" t="s">
        <v>74</v>
      </c>
      <c r="AZ1969" t="s">
        <v>74</v>
      </c>
      <c r="BA1969" t="s">
        <v>74</v>
      </c>
      <c r="BB1969">
        <v>256</v>
      </c>
      <c r="BC1969">
        <v>262</v>
      </c>
      <c r="BD1969" t="s">
        <v>74</v>
      </c>
      <c r="BE1969" t="s">
        <v>18941</v>
      </c>
      <c r="BF1969" t="str">
        <f>HYPERLINK("http://dx.doi.org/10.1176/appi.ps.20240210","http://dx.doi.org/10.1176/appi.ps.20240210")</f>
        <v>http://dx.doi.org/10.1176/appi.ps.20240210</v>
      </c>
      <c r="BG1969" t="s">
        <v>74</v>
      </c>
      <c r="BH1969" t="s">
        <v>74</v>
      </c>
      <c r="BI1969">
        <v>7</v>
      </c>
      <c r="BJ1969" t="s">
        <v>18940</v>
      </c>
      <c r="BK1969" t="s">
        <v>2623</v>
      </c>
      <c r="BL1969" t="s">
        <v>18939</v>
      </c>
      <c r="BM1969" t="s">
        <v>18938</v>
      </c>
      <c r="BN1969">
        <v>39529498</v>
      </c>
      <c r="BO1969" t="s">
        <v>74</v>
      </c>
      <c r="BP1969" t="s">
        <v>74</v>
      </c>
      <c r="BQ1969" t="s">
        <v>74</v>
      </c>
      <c r="BR1969" t="s">
        <v>102</v>
      </c>
      <c r="BS1969" t="s">
        <v>18937</v>
      </c>
      <c r="BT1969" t="str">
        <f>HYPERLINK("https%3A%2F%2Fwww.webofscience.com%2Fwos%2Fwoscc%2Ffull-record%2FWOS:001465635400007","View Full Record in Web of Science")</f>
        <v>View Full Record in Web of Science</v>
      </c>
    </row>
    <row r="1970" spans="1:72" x14ac:dyDescent="0.25">
      <c r="A1970" t="s">
        <v>72</v>
      </c>
      <c r="B1970" t="s">
        <v>18936</v>
      </c>
      <c r="C1970" t="s">
        <v>74</v>
      </c>
      <c r="D1970" t="s">
        <v>74</v>
      </c>
      <c r="E1970" t="s">
        <v>74</v>
      </c>
      <c r="F1970" t="s">
        <v>18935</v>
      </c>
      <c r="G1970" t="s">
        <v>74</v>
      </c>
      <c r="H1970" t="s">
        <v>74</v>
      </c>
      <c r="I1970" t="s">
        <v>18934</v>
      </c>
      <c r="J1970" t="s">
        <v>4208</v>
      </c>
      <c r="K1970" t="s">
        <v>74</v>
      </c>
      <c r="L1970" t="s">
        <v>74</v>
      </c>
      <c r="M1970" t="s">
        <v>78</v>
      </c>
      <c r="N1970" t="s">
        <v>79</v>
      </c>
      <c r="O1970" t="s">
        <v>74</v>
      </c>
      <c r="P1970" t="s">
        <v>74</v>
      </c>
      <c r="Q1970" t="s">
        <v>74</v>
      </c>
      <c r="R1970" t="s">
        <v>74</v>
      </c>
      <c r="S1970" t="s">
        <v>74</v>
      </c>
      <c r="T1970" t="s">
        <v>74</v>
      </c>
      <c r="U1970" t="s">
        <v>18933</v>
      </c>
      <c r="V1970" t="s">
        <v>18932</v>
      </c>
      <c r="W1970" t="s">
        <v>18931</v>
      </c>
      <c r="X1970" t="s">
        <v>18930</v>
      </c>
      <c r="Y1970" t="s">
        <v>18929</v>
      </c>
      <c r="Z1970" t="s">
        <v>18928</v>
      </c>
      <c r="AA1970" t="s">
        <v>18927</v>
      </c>
      <c r="AB1970" t="s">
        <v>18926</v>
      </c>
      <c r="AC1970" t="s">
        <v>18925</v>
      </c>
      <c r="AD1970" t="s">
        <v>18924</v>
      </c>
      <c r="AE1970" t="s">
        <v>18923</v>
      </c>
      <c r="AF1970" t="s">
        <v>74</v>
      </c>
      <c r="AG1970">
        <v>46</v>
      </c>
      <c r="AH1970">
        <v>0</v>
      </c>
      <c r="AI1970">
        <v>0</v>
      </c>
      <c r="AJ1970">
        <v>1</v>
      </c>
      <c r="AK1970">
        <v>2</v>
      </c>
      <c r="AL1970" t="s">
        <v>4218</v>
      </c>
      <c r="AM1970" t="s">
        <v>4219</v>
      </c>
      <c r="AN1970" t="s">
        <v>4220</v>
      </c>
      <c r="AO1970" t="s">
        <v>4221</v>
      </c>
      <c r="AP1970" t="s">
        <v>74</v>
      </c>
      <c r="AQ1970" t="s">
        <v>74</v>
      </c>
      <c r="AR1970" t="s">
        <v>4208</v>
      </c>
      <c r="AS1970" t="s">
        <v>4222</v>
      </c>
      <c r="AT1970" t="s">
        <v>13687</v>
      </c>
      <c r="AU1970">
        <v>2023</v>
      </c>
      <c r="AV1970">
        <v>18</v>
      </c>
      <c r="AW1970">
        <v>9</v>
      </c>
      <c r="AX1970" t="s">
        <v>74</v>
      </c>
      <c r="AY1970" t="s">
        <v>74</v>
      </c>
      <c r="AZ1970" t="s">
        <v>74</v>
      </c>
      <c r="BA1970" t="s">
        <v>74</v>
      </c>
      <c r="BB1970" t="s">
        <v>74</v>
      </c>
      <c r="BC1970" t="s">
        <v>74</v>
      </c>
      <c r="BD1970" t="s">
        <v>18922</v>
      </c>
      <c r="BE1970" t="s">
        <v>18921</v>
      </c>
      <c r="BF1970" t="str">
        <f>HYPERLINK("http://dx.doi.org/10.1371/journal.pone.0291020","http://dx.doi.org/10.1371/journal.pone.0291020")</f>
        <v>http://dx.doi.org/10.1371/journal.pone.0291020</v>
      </c>
      <c r="BG1970" t="s">
        <v>74</v>
      </c>
      <c r="BH1970" t="s">
        <v>74</v>
      </c>
      <c r="BI1970">
        <v>20</v>
      </c>
      <c r="BJ1970" t="s">
        <v>559</v>
      </c>
      <c r="BK1970" t="s">
        <v>128</v>
      </c>
      <c r="BL1970" t="s">
        <v>560</v>
      </c>
      <c r="BM1970" t="s">
        <v>18920</v>
      </c>
      <c r="BN1970">
        <v>37656687</v>
      </c>
      <c r="BO1970" t="s">
        <v>916</v>
      </c>
      <c r="BP1970" t="s">
        <v>74</v>
      </c>
      <c r="BQ1970" t="s">
        <v>74</v>
      </c>
      <c r="BR1970" t="s">
        <v>102</v>
      </c>
      <c r="BS1970" t="s">
        <v>18919</v>
      </c>
      <c r="BT1970" t="str">
        <f>HYPERLINK("https%3A%2F%2Fwww.webofscience.com%2Fwos%2Fwoscc%2Ffull-record%2FWOS:001066578500005","View Full Record in Web of Science")</f>
        <v>View Full Record in Web of Science</v>
      </c>
    </row>
    <row r="1971" spans="1:72" x14ac:dyDescent="0.25">
      <c r="A1971" t="s">
        <v>72</v>
      </c>
      <c r="B1971" t="s">
        <v>18918</v>
      </c>
      <c r="C1971" t="s">
        <v>74</v>
      </c>
      <c r="D1971" t="s">
        <v>74</v>
      </c>
      <c r="E1971" t="s">
        <v>74</v>
      </c>
      <c r="F1971" t="s">
        <v>18917</v>
      </c>
      <c r="G1971" t="s">
        <v>74</v>
      </c>
      <c r="H1971" t="s">
        <v>74</v>
      </c>
      <c r="I1971" t="s">
        <v>18916</v>
      </c>
      <c r="J1971" t="s">
        <v>18915</v>
      </c>
      <c r="K1971" t="s">
        <v>74</v>
      </c>
      <c r="L1971" t="s">
        <v>74</v>
      </c>
      <c r="M1971" t="s">
        <v>78</v>
      </c>
      <c r="N1971" t="s">
        <v>79</v>
      </c>
      <c r="O1971" t="s">
        <v>74</v>
      </c>
      <c r="P1971" t="s">
        <v>74</v>
      </c>
      <c r="Q1971" t="s">
        <v>74</v>
      </c>
      <c r="R1971" t="s">
        <v>74</v>
      </c>
      <c r="S1971" t="s">
        <v>74</v>
      </c>
      <c r="T1971" t="s">
        <v>18914</v>
      </c>
      <c r="U1971" t="s">
        <v>18913</v>
      </c>
      <c r="V1971" t="s">
        <v>18912</v>
      </c>
      <c r="W1971" t="s">
        <v>18911</v>
      </c>
      <c r="X1971" t="s">
        <v>18910</v>
      </c>
      <c r="Y1971" t="s">
        <v>18909</v>
      </c>
      <c r="Z1971" t="s">
        <v>74</v>
      </c>
      <c r="AA1971" t="s">
        <v>18908</v>
      </c>
      <c r="AB1971" t="s">
        <v>18907</v>
      </c>
      <c r="AC1971" t="s">
        <v>74</v>
      </c>
      <c r="AD1971" t="s">
        <v>74</v>
      </c>
      <c r="AE1971" t="s">
        <v>74</v>
      </c>
      <c r="AF1971" t="s">
        <v>74</v>
      </c>
      <c r="AG1971">
        <v>85</v>
      </c>
      <c r="AH1971">
        <v>4</v>
      </c>
      <c r="AI1971">
        <v>7</v>
      </c>
      <c r="AJ1971">
        <v>2</v>
      </c>
      <c r="AK1971">
        <v>25</v>
      </c>
      <c r="AL1971" t="s">
        <v>4605</v>
      </c>
      <c r="AM1971" t="s">
        <v>4280</v>
      </c>
      <c r="AN1971" t="s">
        <v>4606</v>
      </c>
      <c r="AO1971" t="s">
        <v>18906</v>
      </c>
      <c r="AP1971" t="s">
        <v>18905</v>
      </c>
      <c r="AQ1971" t="s">
        <v>74</v>
      </c>
      <c r="AR1971" t="s">
        <v>18904</v>
      </c>
      <c r="AS1971" t="s">
        <v>18903</v>
      </c>
      <c r="AT1971" t="s">
        <v>4611</v>
      </c>
      <c r="AU1971">
        <v>2023</v>
      </c>
      <c r="AV1971">
        <v>18</v>
      </c>
      <c r="AW1971">
        <v>3</v>
      </c>
      <c r="AX1971" t="s">
        <v>74</v>
      </c>
      <c r="AY1971" t="s">
        <v>74</v>
      </c>
      <c r="AZ1971" t="s">
        <v>74</v>
      </c>
      <c r="BA1971" t="s">
        <v>74</v>
      </c>
      <c r="BB1971">
        <v>24</v>
      </c>
      <c r="BC1971">
        <v>43</v>
      </c>
      <c r="BD1971" t="s">
        <v>74</v>
      </c>
      <c r="BE1971" t="s">
        <v>18902</v>
      </c>
      <c r="BF1971" t="str">
        <f>HYPERLINK("http://dx.doi.org/10.2478/sbe-2023-0043","http://dx.doi.org/10.2478/sbe-2023-0043")</f>
        <v>http://dx.doi.org/10.2478/sbe-2023-0043</v>
      </c>
      <c r="BG1971" t="s">
        <v>74</v>
      </c>
      <c r="BH1971" t="s">
        <v>74</v>
      </c>
      <c r="BI1971">
        <v>20</v>
      </c>
      <c r="BJ1971" t="s">
        <v>291</v>
      </c>
      <c r="BK1971" t="s">
        <v>313</v>
      </c>
      <c r="BL1971" t="s">
        <v>100</v>
      </c>
      <c r="BM1971" t="s">
        <v>18901</v>
      </c>
      <c r="BN1971" t="s">
        <v>74</v>
      </c>
      <c r="BO1971" t="s">
        <v>916</v>
      </c>
      <c r="BP1971" t="s">
        <v>74</v>
      </c>
      <c r="BQ1971" t="s">
        <v>74</v>
      </c>
      <c r="BR1971" t="s">
        <v>102</v>
      </c>
      <c r="BS1971" t="s">
        <v>18900</v>
      </c>
      <c r="BT1971" t="str">
        <f>HYPERLINK("https%3A%2F%2Fwww.webofscience.com%2Fwos%2Fwoscc%2Ffull-record%2FWOS:001141117800016","View Full Record in Web of Science")</f>
        <v>View Full Record in Web of Science</v>
      </c>
    </row>
    <row r="1972" spans="1:72" x14ac:dyDescent="0.25">
      <c r="A1972" t="s">
        <v>72</v>
      </c>
      <c r="B1972" t="s">
        <v>18899</v>
      </c>
      <c r="C1972" t="s">
        <v>74</v>
      </c>
      <c r="D1972" t="s">
        <v>74</v>
      </c>
      <c r="E1972" t="s">
        <v>74</v>
      </c>
      <c r="F1972" t="s">
        <v>18898</v>
      </c>
      <c r="G1972" t="s">
        <v>74</v>
      </c>
      <c r="H1972" t="s">
        <v>74</v>
      </c>
      <c r="I1972" t="s">
        <v>18897</v>
      </c>
      <c r="J1972" t="s">
        <v>8835</v>
      </c>
      <c r="K1972" t="s">
        <v>74</v>
      </c>
      <c r="L1972" t="s">
        <v>74</v>
      </c>
      <c r="M1972" t="s">
        <v>78</v>
      </c>
      <c r="N1972" t="s">
        <v>79</v>
      </c>
      <c r="O1972" t="s">
        <v>74</v>
      </c>
      <c r="P1972" t="s">
        <v>74</v>
      </c>
      <c r="Q1972" t="s">
        <v>74</v>
      </c>
      <c r="R1972" t="s">
        <v>74</v>
      </c>
      <c r="S1972" t="s">
        <v>74</v>
      </c>
      <c r="T1972" t="s">
        <v>18896</v>
      </c>
      <c r="U1972" t="s">
        <v>74</v>
      </c>
      <c r="V1972" t="s">
        <v>18895</v>
      </c>
      <c r="W1972" t="s">
        <v>18894</v>
      </c>
      <c r="X1972" t="s">
        <v>18893</v>
      </c>
      <c r="Y1972" t="s">
        <v>18892</v>
      </c>
      <c r="Z1972" t="s">
        <v>18891</v>
      </c>
      <c r="AA1972" t="s">
        <v>18890</v>
      </c>
      <c r="AB1972" t="s">
        <v>18889</v>
      </c>
      <c r="AC1972" t="s">
        <v>74</v>
      </c>
      <c r="AD1972" t="s">
        <v>74</v>
      </c>
      <c r="AE1972" t="s">
        <v>74</v>
      </c>
      <c r="AF1972" t="s">
        <v>74</v>
      </c>
      <c r="AG1972">
        <v>35</v>
      </c>
      <c r="AH1972">
        <v>28</v>
      </c>
      <c r="AI1972">
        <v>37</v>
      </c>
      <c r="AJ1972">
        <v>0</v>
      </c>
      <c r="AK1972">
        <v>23</v>
      </c>
      <c r="AL1972" t="s">
        <v>332</v>
      </c>
      <c r="AM1972" t="s">
        <v>333</v>
      </c>
      <c r="AN1972" t="s">
        <v>334</v>
      </c>
      <c r="AO1972" t="s">
        <v>8844</v>
      </c>
      <c r="AP1972" t="s">
        <v>8845</v>
      </c>
      <c r="AQ1972" t="s">
        <v>74</v>
      </c>
      <c r="AR1972" t="s">
        <v>8846</v>
      </c>
      <c r="AS1972" t="s">
        <v>8847</v>
      </c>
      <c r="AT1972" t="s">
        <v>74</v>
      </c>
      <c r="AU1972">
        <v>2016</v>
      </c>
      <c r="AV1972">
        <v>9</v>
      </c>
      <c r="AW1972">
        <v>3</v>
      </c>
      <c r="AX1972" t="s">
        <v>74</v>
      </c>
      <c r="AY1972" t="s">
        <v>74</v>
      </c>
      <c r="AZ1972" t="s">
        <v>74</v>
      </c>
      <c r="BA1972" t="s">
        <v>74</v>
      </c>
      <c r="BB1972">
        <v>303</v>
      </c>
      <c r="BC1972">
        <v>320</v>
      </c>
      <c r="BD1972" t="s">
        <v>74</v>
      </c>
      <c r="BE1972" t="s">
        <v>18888</v>
      </c>
      <c r="BF1972" t="str">
        <f>HYPERLINK("http://dx.doi.org/10.1080/17520843.2016.1173716","http://dx.doi.org/10.1080/17520843.2016.1173716")</f>
        <v>http://dx.doi.org/10.1080/17520843.2016.1173716</v>
      </c>
      <c r="BG1972" t="s">
        <v>74</v>
      </c>
      <c r="BH1972" t="s">
        <v>74</v>
      </c>
      <c r="BI1972">
        <v>18</v>
      </c>
      <c r="BJ1972" t="s">
        <v>291</v>
      </c>
      <c r="BK1972" t="s">
        <v>313</v>
      </c>
      <c r="BL1972" t="s">
        <v>100</v>
      </c>
      <c r="BM1972" t="s">
        <v>18887</v>
      </c>
      <c r="BN1972" t="s">
        <v>74</v>
      </c>
      <c r="BO1972" t="s">
        <v>74</v>
      </c>
      <c r="BP1972" t="s">
        <v>74</v>
      </c>
      <c r="BQ1972" t="s">
        <v>74</v>
      </c>
      <c r="BR1972" t="s">
        <v>102</v>
      </c>
      <c r="BS1972" t="s">
        <v>18886</v>
      </c>
      <c r="BT1972" t="str">
        <f>HYPERLINK("https%3A%2F%2Fwww.webofscience.com%2Fwos%2Fwoscc%2Ffull-record%2FWOS:000450841500005","View Full Record in Web of Science")</f>
        <v>View Full Record in Web of Science</v>
      </c>
    </row>
    <row r="1973" spans="1:72" x14ac:dyDescent="0.25">
      <c r="A1973" t="s">
        <v>72</v>
      </c>
      <c r="B1973" t="s">
        <v>18885</v>
      </c>
      <c r="C1973" t="s">
        <v>74</v>
      </c>
      <c r="D1973" t="s">
        <v>74</v>
      </c>
      <c r="E1973" t="s">
        <v>74</v>
      </c>
      <c r="F1973" t="s">
        <v>18884</v>
      </c>
      <c r="G1973" t="s">
        <v>74</v>
      </c>
      <c r="H1973" t="s">
        <v>74</v>
      </c>
      <c r="I1973" t="s">
        <v>18883</v>
      </c>
      <c r="J1973" t="s">
        <v>107</v>
      </c>
      <c r="K1973" t="s">
        <v>74</v>
      </c>
      <c r="L1973" t="s">
        <v>74</v>
      </c>
      <c r="M1973" t="s">
        <v>78</v>
      </c>
      <c r="N1973" t="s">
        <v>79</v>
      </c>
      <c r="O1973" t="s">
        <v>74</v>
      </c>
      <c r="P1973" t="s">
        <v>74</v>
      </c>
      <c r="Q1973" t="s">
        <v>74</v>
      </c>
      <c r="R1973" t="s">
        <v>74</v>
      </c>
      <c r="S1973" t="s">
        <v>74</v>
      </c>
      <c r="T1973" t="s">
        <v>18882</v>
      </c>
      <c r="U1973" t="s">
        <v>18881</v>
      </c>
      <c r="V1973" t="s">
        <v>18880</v>
      </c>
      <c r="W1973" t="s">
        <v>18879</v>
      </c>
      <c r="X1973" t="s">
        <v>18878</v>
      </c>
      <c r="Y1973" t="s">
        <v>18877</v>
      </c>
      <c r="Z1973" t="s">
        <v>18876</v>
      </c>
      <c r="AA1973" t="s">
        <v>74</v>
      </c>
      <c r="AB1973" t="s">
        <v>74</v>
      </c>
      <c r="AC1973" t="s">
        <v>74</v>
      </c>
      <c r="AD1973" t="s">
        <v>74</v>
      </c>
      <c r="AE1973" t="s">
        <v>74</v>
      </c>
      <c r="AF1973" t="s">
        <v>74</v>
      </c>
      <c r="AG1973">
        <v>80</v>
      </c>
      <c r="AH1973">
        <v>2</v>
      </c>
      <c r="AI1973">
        <v>3</v>
      </c>
      <c r="AJ1973">
        <v>2</v>
      </c>
      <c r="AK1973">
        <v>25</v>
      </c>
      <c r="AL1973" t="s">
        <v>117</v>
      </c>
      <c r="AM1973" t="s">
        <v>118</v>
      </c>
      <c r="AN1973" t="s">
        <v>119</v>
      </c>
      <c r="AO1973" t="s">
        <v>120</v>
      </c>
      <c r="AP1973" t="s">
        <v>121</v>
      </c>
      <c r="AQ1973" t="s">
        <v>74</v>
      </c>
      <c r="AR1973" t="s">
        <v>122</v>
      </c>
      <c r="AS1973" t="s">
        <v>123</v>
      </c>
      <c r="AT1973" t="s">
        <v>891</v>
      </c>
      <c r="AU1973">
        <v>2023</v>
      </c>
      <c r="AV1973">
        <v>30</v>
      </c>
      <c r="AW1973">
        <v>51</v>
      </c>
      <c r="AX1973" t="s">
        <v>74</v>
      </c>
      <c r="AY1973" t="s">
        <v>74</v>
      </c>
      <c r="AZ1973" t="s">
        <v>74</v>
      </c>
      <c r="BA1973" t="s">
        <v>74</v>
      </c>
      <c r="BB1973">
        <v>111481</v>
      </c>
      <c r="BC1973">
        <v>111497</v>
      </c>
      <c r="BD1973" t="s">
        <v>74</v>
      </c>
      <c r="BE1973" t="s">
        <v>18875</v>
      </c>
      <c r="BF1973" t="str">
        <f>HYPERLINK("http://dx.doi.org/10.1007/s11356-023-30199-z","http://dx.doi.org/10.1007/s11356-023-30199-z")</f>
        <v>http://dx.doi.org/10.1007/s11356-023-30199-z</v>
      </c>
      <c r="BG1973" t="s">
        <v>74</v>
      </c>
      <c r="BH1973" t="s">
        <v>2417</v>
      </c>
      <c r="BI1973">
        <v>17</v>
      </c>
      <c r="BJ1973" t="s">
        <v>127</v>
      </c>
      <c r="BK1973" t="s">
        <v>128</v>
      </c>
      <c r="BL1973" t="s">
        <v>129</v>
      </c>
      <c r="BM1973" t="s">
        <v>18874</v>
      </c>
      <c r="BN1973">
        <v>37816960</v>
      </c>
      <c r="BO1973" t="s">
        <v>74</v>
      </c>
      <c r="BP1973" t="s">
        <v>74</v>
      </c>
      <c r="BQ1973" t="s">
        <v>74</v>
      </c>
      <c r="BR1973" t="s">
        <v>102</v>
      </c>
      <c r="BS1973" t="s">
        <v>18873</v>
      </c>
      <c r="BT1973" t="str">
        <f>HYPERLINK("https%3A%2F%2Fwww.webofscience.com%2Fwos%2Fwoscc%2Ffull-record%2FWOS:001081599900003","View Full Record in Web of Science")</f>
        <v>View Full Record in Web of Science</v>
      </c>
    </row>
    <row r="1974" spans="1:72" x14ac:dyDescent="0.25">
      <c r="A1974" t="s">
        <v>72</v>
      </c>
      <c r="B1974" t="s">
        <v>18872</v>
      </c>
      <c r="C1974" t="s">
        <v>74</v>
      </c>
      <c r="D1974" t="s">
        <v>74</v>
      </c>
      <c r="E1974" t="s">
        <v>74</v>
      </c>
      <c r="F1974" t="s">
        <v>18871</v>
      </c>
      <c r="G1974" t="s">
        <v>74</v>
      </c>
      <c r="H1974" t="s">
        <v>74</v>
      </c>
      <c r="I1974" t="s">
        <v>18870</v>
      </c>
      <c r="J1974" t="s">
        <v>1510</v>
      </c>
      <c r="K1974" t="s">
        <v>74</v>
      </c>
      <c r="L1974" t="s">
        <v>74</v>
      </c>
      <c r="M1974" t="s">
        <v>78</v>
      </c>
      <c r="N1974" t="s">
        <v>79</v>
      </c>
      <c r="O1974" t="s">
        <v>74</v>
      </c>
      <c r="P1974" t="s">
        <v>74</v>
      </c>
      <c r="Q1974" t="s">
        <v>74</v>
      </c>
      <c r="R1974" t="s">
        <v>74</v>
      </c>
      <c r="S1974" t="s">
        <v>74</v>
      </c>
      <c r="T1974" t="s">
        <v>18869</v>
      </c>
      <c r="U1974" t="s">
        <v>74</v>
      </c>
      <c r="V1974" t="s">
        <v>18868</v>
      </c>
      <c r="W1974" t="s">
        <v>18867</v>
      </c>
      <c r="X1974" t="s">
        <v>18866</v>
      </c>
      <c r="Y1974" t="s">
        <v>18865</v>
      </c>
      <c r="Z1974" t="s">
        <v>18864</v>
      </c>
      <c r="AA1974" t="s">
        <v>18863</v>
      </c>
      <c r="AB1974" t="s">
        <v>18862</v>
      </c>
      <c r="AC1974" t="s">
        <v>74</v>
      </c>
      <c r="AD1974" t="s">
        <v>74</v>
      </c>
      <c r="AE1974" t="s">
        <v>74</v>
      </c>
      <c r="AF1974" t="s">
        <v>74</v>
      </c>
      <c r="AG1974">
        <v>29</v>
      </c>
      <c r="AH1974">
        <v>5</v>
      </c>
      <c r="AI1974">
        <v>6</v>
      </c>
      <c r="AJ1974">
        <v>0</v>
      </c>
      <c r="AK1974">
        <v>10</v>
      </c>
      <c r="AL1974" t="s">
        <v>89</v>
      </c>
      <c r="AM1974" t="s">
        <v>1497</v>
      </c>
      <c r="AN1974" t="s">
        <v>1498</v>
      </c>
      <c r="AO1974" t="s">
        <v>1519</v>
      </c>
      <c r="AP1974" t="s">
        <v>1520</v>
      </c>
      <c r="AQ1974" t="s">
        <v>74</v>
      </c>
      <c r="AR1974" t="s">
        <v>1521</v>
      </c>
      <c r="AS1974" t="s">
        <v>1522</v>
      </c>
      <c r="AT1974" t="s">
        <v>18861</v>
      </c>
      <c r="AU1974">
        <v>2021</v>
      </c>
      <c r="AV1974">
        <v>48</v>
      </c>
      <c r="AW1974">
        <v>4</v>
      </c>
      <c r="AX1974" t="s">
        <v>74</v>
      </c>
      <c r="AY1974" t="s">
        <v>74</v>
      </c>
      <c r="AZ1974" t="s">
        <v>74</v>
      </c>
      <c r="BA1974" t="s">
        <v>74</v>
      </c>
      <c r="BB1974">
        <v>602</v>
      </c>
      <c r="BC1974">
        <v>621</v>
      </c>
      <c r="BD1974" t="s">
        <v>74</v>
      </c>
      <c r="BE1974" t="s">
        <v>18860</v>
      </c>
      <c r="BF1974" t="str">
        <f>HYPERLINK("http://dx.doi.org/10.1108/IJSE-04-2020-0205","http://dx.doi.org/10.1108/IJSE-04-2020-0205")</f>
        <v>http://dx.doi.org/10.1108/IJSE-04-2020-0205</v>
      </c>
      <c r="BG1974" t="s">
        <v>74</v>
      </c>
      <c r="BH1974" t="s">
        <v>11376</v>
      </c>
      <c r="BI1974">
        <v>20</v>
      </c>
      <c r="BJ1974" t="s">
        <v>291</v>
      </c>
      <c r="BK1974" t="s">
        <v>313</v>
      </c>
      <c r="BL1974" t="s">
        <v>100</v>
      </c>
      <c r="BM1974" t="s">
        <v>18859</v>
      </c>
      <c r="BN1974" t="s">
        <v>74</v>
      </c>
      <c r="BO1974" t="s">
        <v>74</v>
      </c>
      <c r="BP1974" t="s">
        <v>74</v>
      </c>
      <c r="BQ1974" t="s">
        <v>74</v>
      </c>
      <c r="BR1974" t="s">
        <v>102</v>
      </c>
      <c r="BS1974" t="s">
        <v>18858</v>
      </c>
      <c r="BT1974" t="str">
        <f>HYPERLINK("https%3A%2F%2Fwww.webofscience.com%2Fwos%2Fwoscc%2Ffull-record%2FWOS:000619614400001","View Full Record in Web of Science")</f>
        <v>View Full Record in Web of Science</v>
      </c>
    </row>
    <row r="1975" spans="1:72" x14ac:dyDescent="0.25">
      <c r="A1975" t="s">
        <v>72</v>
      </c>
      <c r="B1975" t="s">
        <v>5014</v>
      </c>
      <c r="C1975" t="s">
        <v>74</v>
      </c>
      <c r="D1975" t="s">
        <v>74</v>
      </c>
      <c r="E1975" t="s">
        <v>74</v>
      </c>
      <c r="F1975" t="s">
        <v>5015</v>
      </c>
      <c r="G1975" t="s">
        <v>74</v>
      </c>
      <c r="H1975" t="s">
        <v>74</v>
      </c>
      <c r="I1975" t="s">
        <v>18857</v>
      </c>
      <c r="J1975" t="s">
        <v>3579</v>
      </c>
      <c r="K1975" t="s">
        <v>74</v>
      </c>
      <c r="L1975" t="s">
        <v>74</v>
      </c>
      <c r="M1975" t="s">
        <v>78</v>
      </c>
      <c r="N1975" t="s">
        <v>372</v>
      </c>
      <c r="O1975" t="s">
        <v>74</v>
      </c>
      <c r="P1975" t="s">
        <v>74</v>
      </c>
      <c r="Q1975" t="s">
        <v>74</v>
      </c>
      <c r="R1975" t="s">
        <v>74</v>
      </c>
      <c r="S1975" t="s">
        <v>74</v>
      </c>
      <c r="T1975" t="s">
        <v>18856</v>
      </c>
      <c r="U1975" t="s">
        <v>74</v>
      </c>
      <c r="V1975" t="s">
        <v>18855</v>
      </c>
      <c r="W1975" t="s">
        <v>18854</v>
      </c>
      <c r="X1975" t="s">
        <v>18853</v>
      </c>
      <c r="Y1975" t="s">
        <v>18852</v>
      </c>
      <c r="Z1975" t="s">
        <v>18851</v>
      </c>
      <c r="AA1975" t="s">
        <v>74</v>
      </c>
      <c r="AB1975" t="s">
        <v>74</v>
      </c>
      <c r="AC1975" t="s">
        <v>74</v>
      </c>
      <c r="AD1975" t="s">
        <v>74</v>
      </c>
      <c r="AE1975" t="s">
        <v>74</v>
      </c>
      <c r="AF1975" t="s">
        <v>74</v>
      </c>
      <c r="AG1975">
        <v>17</v>
      </c>
      <c r="AH1975">
        <v>0</v>
      </c>
      <c r="AI1975">
        <v>0</v>
      </c>
      <c r="AJ1975">
        <v>2</v>
      </c>
      <c r="AK1975">
        <v>2</v>
      </c>
      <c r="AL1975" t="s">
        <v>3588</v>
      </c>
      <c r="AM1975" t="s">
        <v>410</v>
      </c>
      <c r="AN1975" t="s">
        <v>3589</v>
      </c>
      <c r="AO1975" t="s">
        <v>3590</v>
      </c>
      <c r="AP1975" t="s">
        <v>3591</v>
      </c>
      <c r="AQ1975" t="s">
        <v>74</v>
      </c>
      <c r="AR1975" t="s">
        <v>3592</v>
      </c>
      <c r="AS1975" t="s">
        <v>3593</v>
      </c>
      <c r="AT1975" t="s">
        <v>18850</v>
      </c>
      <c r="AU1975">
        <v>2025</v>
      </c>
      <c r="AV1975" t="s">
        <v>74</v>
      </c>
      <c r="AW1975" t="s">
        <v>74</v>
      </c>
      <c r="AX1975" t="s">
        <v>74</v>
      </c>
      <c r="AY1975" t="s">
        <v>74</v>
      </c>
      <c r="AZ1975" t="s">
        <v>74</v>
      </c>
      <c r="BA1975" t="s">
        <v>74</v>
      </c>
      <c r="BB1975" t="s">
        <v>74</v>
      </c>
      <c r="BC1975" t="s">
        <v>74</v>
      </c>
      <c r="BD1975" t="s">
        <v>74</v>
      </c>
      <c r="BE1975" t="s">
        <v>18849</v>
      </c>
      <c r="BF1975" t="str">
        <f>HYPERLINK("http://dx.doi.org/10.1007/s40847-025-00468-3","http://dx.doi.org/10.1007/s40847-025-00468-3")</f>
        <v>http://dx.doi.org/10.1007/s40847-025-00468-3</v>
      </c>
      <c r="BG1975" t="s">
        <v>74</v>
      </c>
      <c r="BH1975" t="s">
        <v>3411</v>
      </c>
      <c r="BI1975">
        <v>15</v>
      </c>
      <c r="BJ1975" t="s">
        <v>701</v>
      </c>
      <c r="BK1975" t="s">
        <v>313</v>
      </c>
      <c r="BL1975" t="s">
        <v>702</v>
      </c>
      <c r="BM1975" t="s">
        <v>18848</v>
      </c>
      <c r="BN1975" t="s">
        <v>74</v>
      </c>
      <c r="BO1975" t="s">
        <v>74</v>
      </c>
      <c r="BP1975" t="s">
        <v>74</v>
      </c>
      <c r="BQ1975" t="s">
        <v>74</v>
      </c>
      <c r="BR1975" t="s">
        <v>102</v>
      </c>
      <c r="BS1975" t="s">
        <v>18847</v>
      </c>
      <c r="BT1975" t="str">
        <f>HYPERLINK("https%3A%2F%2Fwww.webofscience.com%2Fwos%2Fwoscc%2Ffull-record%2FWOS:001571240400001","View Full Record in Web of Science")</f>
        <v>View Full Record in Web of Science</v>
      </c>
    </row>
    <row r="1976" spans="1:72" x14ac:dyDescent="0.25">
      <c r="A1976" t="s">
        <v>72</v>
      </c>
      <c r="B1976" t="s">
        <v>18846</v>
      </c>
      <c r="C1976" t="s">
        <v>74</v>
      </c>
      <c r="D1976" t="s">
        <v>74</v>
      </c>
      <c r="E1976" t="s">
        <v>74</v>
      </c>
      <c r="F1976" t="s">
        <v>18845</v>
      </c>
      <c r="G1976" t="s">
        <v>74</v>
      </c>
      <c r="H1976" t="s">
        <v>74</v>
      </c>
      <c r="I1976" t="s">
        <v>18844</v>
      </c>
      <c r="J1976" t="s">
        <v>3439</v>
      </c>
      <c r="K1976" t="s">
        <v>74</v>
      </c>
      <c r="L1976" t="s">
        <v>74</v>
      </c>
      <c r="M1976" t="s">
        <v>78</v>
      </c>
      <c r="N1976" t="s">
        <v>79</v>
      </c>
      <c r="O1976" t="s">
        <v>74</v>
      </c>
      <c r="P1976" t="s">
        <v>74</v>
      </c>
      <c r="Q1976" t="s">
        <v>74</v>
      </c>
      <c r="R1976" t="s">
        <v>74</v>
      </c>
      <c r="S1976" t="s">
        <v>74</v>
      </c>
      <c r="T1976" t="s">
        <v>18843</v>
      </c>
      <c r="U1976" t="s">
        <v>74</v>
      </c>
      <c r="V1976" t="s">
        <v>18842</v>
      </c>
      <c r="W1976" t="s">
        <v>18841</v>
      </c>
      <c r="X1976" t="s">
        <v>74</v>
      </c>
      <c r="Y1976" t="s">
        <v>18840</v>
      </c>
      <c r="Z1976" t="s">
        <v>18839</v>
      </c>
      <c r="AA1976" t="s">
        <v>18838</v>
      </c>
      <c r="AB1976" t="s">
        <v>18837</v>
      </c>
      <c r="AC1976" t="s">
        <v>74</v>
      </c>
      <c r="AD1976" t="s">
        <v>74</v>
      </c>
      <c r="AE1976" t="s">
        <v>74</v>
      </c>
      <c r="AF1976" t="s">
        <v>74</v>
      </c>
      <c r="AG1976">
        <v>29</v>
      </c>
      <c r="AH1976">
        <v>3</v>
      </c>
      <c r="AI1976">
        <v>4</v>
      </c>
      <c r="AJ1976">
        <v>0</v>
      </c>
      <c r="AK1976">
        <v>12</v>
      </c>
      <c r="AL1976" t="s">
        <v>2481</v>
      </c>
      <c r="AM1976" t="s">
        <v>2482</v>
      </c>
      <c r="AN1976" t="s">
        <v>2483</v>
      </c>
      <c r="AO1976" t="s">
        <v>3443</v>
      </c>
      <c r="AP1976" t="s">
        <v>74</v>
      </c>
      <c r="AQ1976" t="s">
        <v>74</v>
      </c>
      <c r="AR1976" t="s">
        <v>3444</v>
      </c>
      <c r="AS1976" t="s">
        <v>3445</v>
      </c>
      <c r="AT1976" t="s">
        <v>2970</v>
      </c>
      <c r="AU1976">
        <v>2022</v>
      </c>
      <c r="AV1976">
        <v>10</v>
      </c>
      <c r="AW1976">
        <v>1</v>
      </c>
      <c r="AX1976" t="s">
        <v>74</v>
      </c>
      <c r="AY1976" t="s">
        <v>74</v>
      </c>
      <c r="AZ1976" t="s">
        <v>74</v>
      </c>
      <c r="BA1976" t="s">
        <v>74</v>
      </c>
      <c r="BB1976" t="s">
        <v>74</v>
      </c>
      <c r="BC1976" t="s">
        <v>74</v>
      </c>
      <c r="BD1976">
        <v>2039343</v>
      </c>
      <c r="BE1976" t="s">
        <v>18836</v>
      </c>
      <c r="BF1976" t="str">
        <f>HYPERLINK("http://dx.doi.org/10.1080/23322039.2022.2039343","http://dx.doi.org/10.1080/23322039.2022.2039343")</f>
        <v>http://dx.doi.org/10.1080/23322039.2022.2039343</v>
      </c>
      <c r="BG1976" t="s">
        <v>74</v>
      </c>
      <c r="BH1976" t="s">
        <v>74</v>
      </c>
      <c r="BI1976">
        <v>15</v>
      </c>
      <c r="BJ1976" t="s">
        <v>291</v>
      </c>
      <c r="BK1976" t="s">
        <v>313</v>
      </c>
      <c r="BL1976" t="s">
        <v>100</v>
      </c>
      <c r="BM1976" t="s">
        <v>18835</v>
      </c>
      <c r="BN1976" t="s">
        <v>74</v>
      </c>
      <c r="BO1976" t="s">
        <v>916</v>
      </c>
      <c r="BP1976" t="s">
        <v>74</v>
      </c>
      <c r="BQ1976" t="s">
        <v>74</v>
      </c>
      <c r="BR1976" t="s">
        <v>102</v>
      </c>
      <c r="BS1976" t="s">
        <v>18834</v>
      </c>
      <c r="BT1976" t="str">
        <f>HYPERLINK("https%3A%2F%2Fwww.webofscience.com%2Fwos%2Fwoscc%2Ffull-record%2FWOS:000756143200001","View Full Record in Web of Science")</f>
        <v>View Full Record in Web of Science</v>
      </c>
    </row>
    <row r="1977" spans="1:72" x14ac:dyDescent="0.25">
      <c r="A1977" t="s">
        <v>72</v>
      </c>
      <c r="B1977" t="s">
        <v>18833</v>
      </c>
      <c r="C1977" t="s">
        <v>74</v>
      </c>
      <c r="D1977" t="s">
        <v>74</v>
      </c>
      <c r="E1977" t="s">
        <v>74</v>
      </c>
      <c r="F1977" t="s">
        <v>18832</v>
      </c>
      <c r="G1977" t="s">
        <v>74</v>
      </c>
      <c r="H1977" t="s">
        <v>74</v>
      </c>
      <c r="I1977" t="s">
        <v>18831</v>
      </c>
      <c r="J1977" t="s">
        <v>9191</v>
      </c>
      <c r="K1977" t="s">
        <v>74</v>
      </c>
      <c r="L1977" t="s">
        <v>74</v>
      </c>
      <c r="M1977" t="s">
        <v>78</v>
      </c>
      <c r="N1977" t="s">
        <v>79</v>
      </c>
      <c r="O1977" t="s">
        <v>74</v>
      </c>
      <c r="P1977" t="s">
        <v>74</v>
      </c>
      <c r="Q1977" t="s">
        <v>74</v>
      </c>
      <c r="R1977" t="s">
        <v>74</v>
      </c>
      <c r="S1977" t="s">
        <v>74</v>
      </c>
      <c r="T1977" t="s">
        <v>18830</v>
      </c>
      <c r="U1977" t="s">
        <v>18829</v>
      </c>
      <c r="V1977" t="s">
        <v>18828</v>
      </c>
      <c r="W1977" t="s">
        <v>18827</v>
      </c>
      <c r="X1977" t="s">
        <v>18826</v>
      </c>
      <c r="Y1977" t="s">
        <v>18825</v>
      </c>
      <c r="Z1977" t="s">
        <v>18824</v>
      </c>
      <c r="AA1977" t="s">
        <v>74</v>
      </c>
      <c r="AB1977" t="s">
        <v>74</v>
      </c>
      <c r="AC1977" t="s">
        <v>18823</v>
      </c>
      <c r="AD1977" t="s">
        <v>18822</v>
      </c>
      <c r="AE1977" t="s">
        <v>18821</v>
      </c>
      <c r="AF1977" t="s">
        <v>74</v>
      </c>
      <c r="AG1977">
        <v>58</v>
      </c>
      <c r="AH1977">
        <v>29</v>
      </c>
      <c r="AI1977">
        <v>34</v>
      </c>
      <c r="AJ1977">
        <v>27</v>
      </c>
      <c r="AK1977">
        <v>250</v>
      </c>
      <c r="AL1977" t="s">
        <v>9204</v>
      </c>
      <c r="AM1977" t="s">
        <v>2016</v>
      </c>
      <c r="AN1977" t="s">
        <v>9205</v>
      </c>
      <c r="AO1977" t="s">
        <v>74</v>
      </c>
      <c r="AP1977" t="s">
        <v>9206</v>
      </c>
      <c r="AQ1977" t="s">
        <v>74</v>
      </c>
      <c r="AR1977" t="s">
        <v>9191</v>
      </c>
      <c r="AS1977" t="s">
        <v>9207</v>
      </c>
      <c r="AT1977" t="s">
        <v>1159</v>
      </c>
      <c r="AU1977">
        <v>2023</v>
      </c>
      <c r="AV1977">
        <v>9</v>
      </c>
      <c r="AW1977">
        <v>10</v>
      </c>
      <c r="AX1977" t="s">
        <v>74</v>
      </c>
      <c r="AY1977" t="s">
        <v>74</v>
      </c>
      <c r="AZ1977" t="s">
        <v>74</v>
      </c>
      <c r="BA1977" t="s">
        <v>74</v>
      </c>
      <c r="BB1977" t="s">
        <v>74</v>
      </c>
      <c r="BC1977" t="s">
        <v>74</v>
      </c>
      <c r="BD1977" t="s">
        <v>18820</v>
      </c>
      <c r="BE1977" t="s">
        <v>18819</v>
      </c>
      <c r="BF1977" t="str">
        <f>HYPERLINK("http://dx.doi.org/10.1016/j.heliyon.2023.e20800","http://dx.doi.org/10.1016/j.heliyon.2023.e20800")</f>
        <v>http://dx.doi.org/10.1016/j.heliyon.2023.e20800</v>
      </c>
      <c r="BG1977" t="s">
        <v>74</v>
      </c>
      <c r="BH1977" t="s">
        <v>2417</v>
      </c>
      <c r="BI1977">
        <v>12</v>
      </c>
      <c r="BJ1977" t="s">
        <v>559</v>
      </c>
      <c r="BK1977" t="s">
        <v>128</v>
      </c>
      <c r="BL1977" t="s">
        <v>560</v>
      </c>
      <c r="BM1977" t="s">
        <v>18818</v>
      </c>
      <c r="BN1977">
        <v>37867793</v>
      </c>
      <c r="BO1977" t="s">
        <v>916</v>
      </c>
      <c r="BP1977" t="s">
        <v>74</v>
      </c>
      <c r="BQ1977" t="s">
        <v>74</v>
      </c>
      <c r="BR1977" t="s">
        <v>102</v>
      </c>
      <c r="BS1977" t="s">
        <v>18817</v>
      </c>
      <c r="BT1977" t="str">
        <f>HYPERLINK("https%3A%2F%2Fwww.webofscience.com%2Fwos%2Fwoscc%2Ffull-record%2FWOS:001113761200001","View Full Record in Web of Science")</f>
        <v>View Full Record in Web of Science</v>
      </c>
    </row>
    <row r="1978" spans="1:72" x14ac:dyDescent="0.25">
      <c r="A1978" t="s">
        <v>72</v>
      </c>
      <c r="B1978" t="s">
        <v>18816</v>
      </c>
      <c r="C1978" t="s">
        <v>74</v>
      </c>
      <c r="D1978" t="s">
        <v>74</v>
      </c>
      <c r="E1978" t="s">
        <v>74</v>
      </c>
      <c r="F1978" t="s">
        <v>18815</v>
      </c>
      <c r="G1978" t="s">
        <v>74</v>
      </c>
      <c r="H1978" t="s">
        <v>74</v>
      </c>
      <c r="I1978" t="s">
        <v>18814</v>
      </c>
      <c r="J1978" t="s">
        <v>1963</v>
      </c>
      <c r="K1978" t="s">
        <v>74</v>
      </c>
      <c r="L1978" t="s">
        <v>74</v>
      </c>
      <c r="M1978" t="s">
        <v>78</v>
      </c>
      <c r="N1978" t="s">
        <v>79</v>
      </c>
      <c r="O1978" t="s">
        <v>74</v>
      </c>
      <c r="P1978" t="s">
        <v>74</v>
      </c>
      <c r="Q1978" t="s">
        <v>74</v>
      </c>
      <c r="R1978" t="s">
        <v>74</v>
      </c>
      <c r="S1978" t="s">
        <v>74</v>
      </c>
      <c r="T1978" t="s">
        <v>18813</v>
      </c>
      <c r="U1978" t="s">
        <v>18812</v>
      </c>
      <c r="V1978" t="s">
        <v>18811</v>
      </c>
      <c r="W1978" t="s">
        <v>18810</v>
      </c>
      <c r="X1978" t="s">
        <v>18809</v>
      </c>
      <c r="Y1978" t="s">
        <v>18808</v>
      </c>
      <c r="Z1978" t="s">
        <v>18807</v>
      </c>
      <c r="AA1978" t="s">
        <v>18806</v>
      </c>
      <c r="AB1978" t="s">
        <v>18805</v>
      </c>
      <c r="AC1978" t="s">
        <v>74</v>
      </c>
      <c r="AD1978" t="s">
        <v>74</v>
      </c>
      <c r="AE1978" t="s">
        <v>74</v>
      </c>
      <c r="AF1978" t="s">
        <v>74</v>
      </c>
      <c r="AG1978">
        <v>68</v>
      </c>
      <c r="AH1978">
        <v>12</v>
      </c>
      <c r="AI1978">
        <v>16</v>
      </c>
      <c r="AJ1978">
        <v>1</v>
      </c>
      <c r="AK1978">
        <v>5</v>
      </c>
      <c r="AL1978" t="s">
        <v>332</v>
      </c>
      <c r="AM1978" t="s">
        <v>333</v>
      </c>
      <c r="AN1978" t="s">
        <v>334</v>
      </c>
      <c r="AO1978" t="s">
        <v>1975</v>
      </c>
      <c r="AP1978" t="s">
        <v>1976</v>
      </c>
      <c r="AQ1978" t="s">
        <v>74</v>
      </c>
      <c r="AR1978" t="s">
        <v>1977</v>
      </c>
      <c r="AS1978" t="s">
        <v>1978</v>
      </c>
      <c r="AT1978" t="s">
        <v>13030</v>
      </c>
      <c r="AU1978">
        <v>2024</v>
      </c>
      <c r="AV1978">
        <v>56</v>
      </c>
      <c r="AW1978">
        <v>24</v>
      </c>
      <c r="AX1978" t="s">
        <v>74</v>
      </c>
      <c r="AY1978" t="s">
        <v>74</v>
      </c>
      <c r="AZ1978" t="s">
        <v>74</v>
      </c>
      <c r="BA1978" t="s">
        <v>74</v>
      </c>
      <c r="BB1978">
        <v>2900</v>
      </c>
      <c r="BC1978">
        <v>2914</v>
      </c>
      <c r="BD1978" t="s">
        <v>74</v>
      </c>
      <c r="BE1978" t="s">
        <v>18804</v>
      </c>
      <c r="BF1978" t="str">
        <f>HYPERLINK("http://dx.doi.org/10.1080/00036846.2023.2203456","http://dx.doi.org/10.1080/00036846.2023.2203456")</f>
        <v>http://dx.doi.org/10.1080/00036846.2023.2203456</v>
      </c>
      <c r="BG1978" t="s">
        <v>74</v>
      </c>
      <c r="BH1978" t="s">
        <v>6298</v>
      </c>
      <c r="BI1978">
        <v>15</v>
      </c>
      <c r="BJ1978" t="s">
        <v>291</v>
      </c>
      <c r="BK1978" t="s">
        <v>99</v>
      </c>
      <c r="BL1978" t="s">
        <v>100</v>
      </c>
      <c r="BM1978" t="s">
        <v>18803</v>
      </c>
      <c r="BN1978" t="s">
        <v>74</v>
      </c>
      <c r="BO1978" t="s">
        <v>74</v>
      </c>
      <c r="BP1978" t="s">
        <v>74</v>
      </c>
      <c r="BQ1978" t="s">
        <v>74</v>
      </c>
      <c r="BR1978" t="s">
        <v>102</v>
      </c>
      <c r="BS1978" t="s">
        <v>18802</v>
      </c>
      <c r="BT1978" t="str">
        <f>HYPERLINK("https%3A%2F%2Fwww.webofscience.com%2Fwos%2Fwoscc%2Ffull-record%2FWOS:000972175700001","View Full Record in Web of Science")</f>
        <v>View Full Record in Web of Science</v>
      </c>
    </row>
    <row r="1979" spans="1:72" x14ac:dyDescent="0.25">
      <c r="A1979" t="s">
        <v>72</v>
      </c>
      <c r="B1979" t="s">
        <v>18801</v>
      </c>
      <c r="C1979" t="s">
        <v>74</v>
      </c>
      <c r="D1979" t="s">
        <v>74</v>
      </c>
      <c r="E1979" t="s">
        <v>74</v>
      </c>
      <c r="F1979" t="s">
        <v>18800</v>
      </c>
      <c r="G1979" t="s">
        <v>74</v>
      </c>
      <c r="H1979" t="s">
        <v>74</v>
      </c>
      <c r="I1979" t="s">
        <v>18799</v>
      </c>
      <c r="J1979" t="s">
        <v>18798</v>
      </c>
      <c r="K1979" t="s">
        <v>74</v>
      </c>
      <c r="L1979" t="s">
        <v>74</v>
      </c>
      <c r="M1979" t="s">
        <v>78</v>
      </c>
      <c r="N1979" t="s">
        <v>79</v>
      </c>
      <c r="O1979" t="s">
        <v>74</v>
      </c>
      <c r="P1979" t="s">
        <v>74</v>
      </c>
      <c r="Q1979" t="s">
        <v>74</v>
      </c>
      <c r="R1979" t="s">
        <v>74</v>
      </c>
      <c r="S1979" t="s">
        <v>74</v>
      </c>
      <c r="T1979" t="s">
        <v>74</v>
      </c>
      <c r="U1979" t="s">
        <v>18797</v>
      </c>
      <c r="V1979" t="s">
        <v>74</v>
      </c>
      <c r="W1979" t="s">
        <v>18796</v>
      </c>
      <c r="X1979" t="s">
        <v>18795</v>
      </c>
      <c r="Y1979" t="s">
        <v>18794</v>
      </c>
      <c r="Z1979" t="s">
        <v>18793</v>
      </c>
      <c r="AA1979" t="s">
        <v>74</v>
      </c>
      <c r="AB1979" t="s">
        <v>74</v>
      </c>
      <c r="AC1979" t="s">
        <v>74</v>
      </c>
      <c r="AD1979" t="s">
        <v>74</v>
      </c>
      <c r="AE1979" t="s">
        <v>74</v>
      </c>
      <c r="AF1979" t="s">
        <v>74</v>
      </c>
      <c r="AG1979">
        <v>23</v>
      </c>
      <c r="AH1979">
        <v>0</v>
      </c>
      <c r="AI1979">
        <v>0</v>
      </c>
      <c r="AJ1979">
        <v>0</v>
      </c>
      <c r="AK1979">
        <v>0</v>
      </c>
      <c r="AL1979" t="s">
        <v>18792</v>
      </c>
      <c r="AM1979" t="s">
        <v>18791</v>
      </c>
      <c r="AN1979" t="s">
        <v>18790</v>
      </c>
      <c r="AO1979" t="s">
        <v>18789</v>
      </c>
      <c r="AP1979" t="s">
        <v>18788</v>
      </c>
      <c r="AQ1979" t="s">
        <v>74</v>
      </c>
      <c r="AR1979" t="s">
        <v>18787</v>
      </c>
      <c r="AS1979" t="s">
        <v>18786</v>
      </c>
      <c r="AT1979" t="s">
        <v>16433</v>
      </c>
      <c r="AU1979">
        <v>2025</v>
      </c>
      <c r="AV1979">
        <v>15</v>
      </c>
      <c r="AW1979">
        <v>1</v>
      </c>
      <c r="AX1979" t="s">
        <v>74</v>
      </c>
      <c r="AY1979" t="s">
        <v>74</v>
      </c>
      <c r="AZ1979" t="s">
        <v>74</v>
      </c>
      <c r="BA1979" t="s">
        <v>74</v>
      </c>
      <c r="BB1979">
        <v>65</v>
      </c>
      <c r="BC1979">
        <v>85</v>
      </c>
      <c r="BD1979" t="s">
        <v>74</v>
      </c>
      <c r="BE1979" t="s">
        <v>18785</v>
      </c>
      <c r="BF1979" t="str">
        <f>HYPERLINK("http://dx.doi.org/10.25003/RAS.15.01.0006","http://dx.doi.org/10.25003/RAS.15.01.0006")</f>
        <v>http://dx.doi.org/10.25003/RAS.15.01.0006</v>
      </c>
      <c r="BG1979" t="s">
        <v>74</v>
      </c>
      <c r="BH1979" t="s">
        <v>74</v>
      </c>
      <c r="BI1979">
        <v>21</v>
      </c>
      <c r="BJ1979" t="s">
        <v>1137</v>
      </c>
      <c r="BK1979" t="s">
        <v>313</v>
      </c>
      <c r="BL1979" t="s">
        <v>1137</v>
      </c>
      <c r="BM1979" t="s">
        <v>18784</v>
      </c>
      <c r="BN1979" t="s">
        <v>74</v>
      </c>
      <c r="BO1979" t="s">
        <v>74</v>
      </c>
      <c r="BP1979" t="s">
        <v>74</v>
      </c>
      <c r="BQ1979" t="s">
        <v>74</v>
      </c>
      <c r="BR1979" t="s">
        <v>102</v>
      </c>
      <c r="BS1979" t="s">
        <v>18783</v>
      </c>
      <c r="BT1979" t="str">
        <f>HYPERLINK("https%3A%2F%2Fwww.webofscience.com%2Fwos%2Fwoscc%2Ffull-record%2FWOS:001607380500007","View Full Record in Web of Science")</f>
        <v>View Full Record in Web of Science</v>
      </c>
    </row>
    <row r="1980" spans="1:72" x14ac:dyDescent="0.25">
      <c r="A1980" t="s">
        <v>72</v>
      </c>
      <c r="B1980" t="s">
        <v>18782</v>
      </c>
      <c r="C1980" t="s">
        <v>74</v>
      </c>
      <c r="D1980" t="s">
        <v>74</v>
      </c>
      <c r="E1980" t="s">
        <v>74</v>
      </c>
      <c r="F1980" t="s">
        <v>18781</v>
      </c>
      <c r="G1980" t="s">
        <v>74</v>
      </c>
      <c r="H1980" t="s">
        <v>74</v>
      </c>
      <c r="I1980" t="s">
        <v>18780</v>
      </c>
      <c r="J1980" t="s">
        <v>18779</v>
      </c>
      <c r="K1980" t="s">
        <v>74</v>
      </c>
      <c r="L1980" t="s">
        <v>74</v>
      </c>
      <c r="M1980" t="s">
        <v>78</v>
      </c>
      <c r="N1980" t="s">
        <v>79</v>
      </c>
      <c r="O1980" t="s">
        <v>74</v>
      </c>
      <c r="P1980" t="s">
        <v>74</v>
      </c>
      <c r="Q1980" t="s">
        <v>74</v>
      </c>
      <c r="R1980" t="s">
        <v>74</v>
      </c>
      <c r="S1980" t="s">
        <v>74</v>
      </c>
      <c r="T1980" t="s">
        <v>18778</v>
      </c>
      <c r="U1980" t="s">
        <v>18777</v>
      </c>
      <c r="V1980" t="s">
        <v>18776</v>
      </c>
      <c r="W1980" t="s">
        <v>18775</v>
      </c>
      <c r="X1980" t="s">
        <v>18774</v>
      </c>
      <c r="Y1980" t="s">
        <v>18773</v>
      </c>
      <c r="Z1980" t="s">
        <v>18772</v>
      </c>
      <c r="AA1980" t="s">
        <v>74</v>
      </c>
      <c r="AB1980" t="s">
        <v>74</v>
      </c>
      <c r="AC1980" t="s">
        <v>74</v>
      </c>
      <c r="AD1980" t="s">
        <v>74</v>
      </c>
      <c r="AE1980" t="s">
        <v>74</v>
      </c>
      <c r="AF1980" t="s">
        <v>74</v>
      </c>
      <c r="AG1980">
        <v>103</v>
      </c>
      <c r="AH1980">
        <v>36</v>
      </c>
      <c r="AI1980">
        <v>40</v>
      </c>
      <c r="AJ1980">
        <v>5</v>
      </c>
      <c r="AK1980">
        <v>27</v>
      </c>
      <c r="AL1980" t="s">
        <v>230</v>
      </c>
      <c r="AM1980" t="s">
        <v>231</v>
      </c>
      <c r="AN1980" t="s">
        <v>232</v>
      </c>
      <c r="AO1980" t="s">
        <v>18771</v>
      </c>
      <c r="AP1980" t="s">
        <v>18770</v>
      </c>
      <c r="AQ1980" t="s">
        <v>74</v>
      </c>
      <c r="AR1980" t="s">
        <v>18769</v>
      </c>
      <c r="AS1980" t="s">
        <v>18768</v>
      </c>
      <c r="AT1980" t="s">
        <v>1652</v>
      </c>
      <c r="AU1980">
        <v>2023</v>
      </c>
      <c r="AV1980">
        <v>209</v>
      </c>
      <c r="AW1980" t="s">
        <v>74</v>
      </c>
      <c r="AX1980" t="s">
        <v>74</v>
      </c>
      <c r="AY1980" t="s">
        <v>74</v>
      </c>
      <c r="AZ1980" t="s">
        <v>74</v>
      </c>
      <c r="BA1980" t="s">
        <v>74</v>
      </c>
      <c r="BB1980">
        <v>481</v>
      </c>
      <c r="BC1980">
        <v>490</v>
      </c>
      <c r="BD1980" t="s">
        <v>74</v>
      </c>
      <c r="BE1980" t="s">
        <v>18767</v>
      </c>
      <c r="BF1980" t="str">
        <f>HYPERLINK("http://dx.doi.org/10.1016/j.renene.2023.04.009","http://dx.doi.org/10.1016/j.renene.2023.04.009")</f>
        <v>http://dx.doi.org/10.1016/j.renene.2023.04.009</v>
      </c>
      <c r="BG1980" t="s">
        <v>74</v>
      </c>
      <c r="BH1980" t="s">
        <v>6298</v>
      </c>
      <c r="BI1980">
        <v>10</v>
      </c>
      <c r="BJ1980" t="s">
        <v>13274</v>
      </c>
      <c r="BK1980" t="s">
        <v>128</v>
      </c>
      <c r="BL1980" t="s">
        <v>13275</v>
      </c>
      <c r="BM1980" t="s">
        <v>18766</v>
      </c>
      <c r="BN1980" t="s">
        <v>74</v>
      </c>
      <c r="BO1980" t="s">
        <v>74</v>
      </c>
      <c r="BP1980" t="s">
        <v>74</v>
      </c>
      <c r="BQ1980" t="s">
        <v>74</v>
      </c>
      <c r="BR1980" t="s">
        <v>102</v>
      </c>
      <c r="BS1980" t="s">
        <v>18765</v>
      </c>
      <c r="BT1980" t="str">
        <f>HYPERLINK("https%3A%2F%2Fwww.webofscience.com%2Fwos%2Fwoscc%2Ffull-record%2FWOS:000984688400001","View Full Record in Web of Science")</f>
        <v>View Full Record in Web of Science</v>
      </c>
    </row>
    <row r="1981" spans="1:72" x14ac:dyDescent="0.25">
      <c r="A1981" t="s">
        <v>132</v>
      </c>
      <c r="B1981" t="s">
        <v>17060</v>
      </c>
      <c r="C1981" t="s">
        <v>74</v>
      </c>
      <c r="D1981" t="s">
        <v>18764</v>
      </c>
      <c r="E1981" t="s">
        <v>74</v>
      </c>
      <c r="F1981" t="s">
        <v>17061</v>
      </c>
      <c r="G1981" t="s">
        <v>74</v>
      </c>
      <c r="H1981" t="s">
        <v>74</v>
      </c>
      <c r="I1981" t="s">
        <v>18763</v>
      </c>
      <c r="J1981" t="s">
        <v>18762</v>
      </c>
      <c r="K1981" t="s">
        <v>18761</v>
      </c>
      <c r="L1981" t="s">
        <v>74</v>
      </c>
      <c r="M1981" t="s">
        <v>78</v>
      </c>
      <c r="N1981" t="s">
        <v>138</v>
      </c>
      <c r="O1981" t="s">
        <v>18760</v>
      </c>
      <c r="P1981" t="s">
        <v>18759</v>
      </c>
      <c r="Q1981" t="s">
        <v>18758</v>
      </c>
      <c r="R1981" t="s">
        <v>74</v>
      </c>
      <c r="S1981" t="s">
        <v>18757</v>
      </c>
      <c r="T1981" t="s">
        <v>18756</v>
      </c>
      <c r="U1981" t="s">
        <v>18755</v>
      </c>
      <c r="V1981" t="s">
        <v>18754</v>
      </c>
      <c r="W1981" t="s">
        <v>18753</v>
      </c>
      <c r="X1981" t="s">
        <v>11237</v>
      </c>
      <c r="Y1981" t="s">
        <v>18752</v>
      </c>
      <c r="Z1981" t="s">
        <v>17068</v>
      </c>
      <c r="AA1981" t="s">
        <v>15792</v>
      </c>
      <c r="AB1981" t="s">
        <v>74</v>
      </c>
      <c r="AC1981" t="s">
        <v>74</v>
      </c>
      <c r="AD1981" t="s">
        <v>74</v>
      </c>
      <c r="AE1981" t="s">
        <v>74</v>
      </c>
      <c r="AF1981" t="s">
        <v>74</v>
      </c>
      <c r="AG1981">
        <v>44</v>
      </c>
      <c r="AH1981">
        <v>0</v>
      </c>
      <c r="AI1981">
        <v>0</v>
      </c>
      <c r="AJ1981">
        <v>0</v>
      </c>
      <c r="AK1981">
        <v>5</v>
      </c>
      <c r="AL1981" t="s">
        <v>3651</v>
      </c>
      <c r="AM1981" t="s">
        <v>3652</v>
      </c>
      <c r="AN1981" t="s">
        <v>3653</v>
      </c>
      <c r="AO1981" t="s">
        <v>18751</v>
      </c>
      <c r="AP1981" t="s">
        <v>18750</v>
      </c>
      <c r="AQ1981" t="s">
        <v>18749</v>
      </c>
      <c r="AR1981" t="s">
        <v>18748</v>
      </c>
      <c r="AS1981" t="s">
        <v>74</v>
      </c>
      <c r="AT1981" t="s">
        <v>74</v>
      </c>
      <c r="AU1981">
        <v>2018</v>
      </c>
      <c r="AV1981" t="s">
        <v>74</v>
      </c>
      <c r="AW1981" t="s">
        <v>74</v>
      </c>
      <c r="AX1981" t="s">
        <v>74</v>
      </c>
      <c r="AY1981" t="s">
        <v>74</v>
      </c>
      <c r="AZ1981" t="s">
        <v>74</v>
      </c>
      <c r="BA1981" t="s">
        <v>74</v>
      </c>
      <c r="BB1981">
        <v>155</v>
      </c>
      <c r="BC1981">
        <v>161</v>
      </c>
      <c r="BD1981" t="s">
        <v>74</v>
      </c>
      <c r="BE1981" t="s">
        <v>74</v>
      </c>
      <c r="BF1981" t="s">
        <v>74</v>
      </c>
      <c r="BG1981" t="s">
        <v>74</v>
      </c>
      <c r="BH1981" t="s">
        <v>74</v>
      </c>
      <c r="BI1981">
        <v>7</v>
      </c>
      <c r="BJ1981" t="s">
        <v>583</v>
      </c>
      <c r="BK1981" t="s">
        <v>183</v>
      </c>
      <c r="BL1981" t="s">
        <v>100</v>
      </c>
      <c r="BM1981" t="s">
        <v>18747</v>
      </c>
      <c r="BN1981" t="s">
        <v>74</v>
      </c>
      <c r="BO1981" t="s">
        <v>74</v>
      </c>
      <c r="BP1981" t="s">
        <v>74</v>
      </c>
      <c r="BQ1981" t="s">
        <v>74</v>
      </c>
      <c r="BR1981" t="s">
        <v>102</v>
      </c>
      <c r="BS1981" t="s">
        <v>18746</v>
      </c>
      <c r="BT1981" t="str">
        <f>HYPERLINK("https%3A%2F%2Fwww.webofscience.com%2Fwos%2Fwoscc%2Ffull-record%2FWOS:000461863300019","View Full Record in Web of Science")</f>
        <v>View Full Record in Web of Science</v>
      </c>
    </row>
    <row r="1982" spans="1:72" x14ac:dyDescent="0.25">
      <c r="A1982" t="s">
        <v>72</v>
      </c>
      <c r="B1982" t="s">
        <v>18745</v>
      </c>
      <c r="C1982" t="s">
        <v>74</v>
      </c>
      <c r="D1982" t="s">
        <v>74</v>
      </c>
      <c r="E1982" t="s">
        <v>74</v>
      </c>
      <c r="F1982" t="s">
        <v>18744</v>
      </c>
      <c r="G1982" t="s">
        <v>74</v>
      </c>
      <c r="H1982" t="s">
        <v>74</v>
      </c>
      <c r="I1982" t="s">
        <v>18743</v>
      </c>
      <c r="J1982" t="s">
        <v>3579</v>
      </c>
      <c r="K1982" t="s">
        <v>74</v>
      </c>
      <c r="L1982" t="s">
        <v>74</v>
      </c>
      <c r="M1982" t="s">
        <v>78</v>
      </c>
      <c r="N1982" t="s">
        <v>79</v>
      </c>
      <c r="O1982" t="s">
        <v>74</v>
      </c>
      <c r="P1982" t="s">
        <v>74</v>
      </c>
      <c r="Q1982" t="s">
        <v>74</v>
      </c>
      <c r="R1982" t="s">
        <v>74</v>
      </c>
      <c r="S1982" t="s">
        <v>74</v>
      </c>
      <c r="T1982" t="s">
        <v>18742</v>
      </c>
      <c r="U1982" t="s">
        <v>74</v>
      </c>
      <c r="V1982" t="s">
        <v>18741</v>
      </c>
      <c r="W1982" t="s">
        <v>18740</v>
      </c>
      <c r="X1982" t="s">
        <v>18739</v>
      </c>
      <c r="Y1982" t="s">
        <v>18738</v>
      </c>
      <c r="Z1982" t="s">
        <v>18737</v>
      </c>
      <c r="AA1982" t="s">
        <v>74</v>
      </c>
      <c r="AB1982" t="s">
        <v>74</v>
      </c>
      <c r="AC1982" t="s">
        <v>74</v>
      </c>
      <c r="AD1982" t="s">
        <v>74</v>
      </c>
      <c r="AE1982" t="s">
        <v>74</v>
      </c>
      <c r="AF1982" t="s">
        <v>74</v>
      </c>
      <c r="AG1982">
        <v>35</v>
      </c>
      <c r="AH1982">
        <v>4</v>
      </c>
      <c r="AI1982">
        <v>5</v>
      </c>
      <c r="AJ1982">
        <v>1</v>
      </c>
      <c r="AK1982">
        <v>9</v>
      </c>
      <c r="AL1982" t="s">
        <v>3588</v>
      </c>
      <c r="AM1982" t="s">
        <v>410</v>
      </c>
      <c r="AN1982" t="s">
        <v>3589</v>
      </c>
      <c r="AO1982" t="s">
        <v>3590</v>
      </c>
      <c r="AP1982" t="s">
        <v>3591</v>
      </c>
      <c r="AQ1982" t="s">
        <v>74</v>
      </c>
      <c r="AR1982" t="s">
        <v>3592</v>
      </c>
      <c r="AS1982" t="s">
        <v>3593</v>
      </c>
      <c r="AT1982" t="s">
        <v>743</v>
      </c>
      <c r="AU1982">
        <v>2024</v>
      </c>
      <c r="AV1982">
        <v>26</v>
      </c>
      <c r="AW1982">
        <v>1</v>
      </c>
      <c r="AX1982" t="s">
        <v>74</v>
      </c>
      <c r="AY1982" t="s">
        <v>74</v>
      </c>
      <c r="AZ1982" t="s">
        <v>74</v>
      </c>
      <c r="BA1982" t="s">
        <v>74</v>
      </c>
      <c r="BB1982">
        <v>77</v>
      </c>
      <c r="BC1982">
        <v>101</v>
      </c>
      <c r="BD1982" t="s">
        <v>74</v>
      </c>
      <c r="BE1982" t="s">
        <v>18736</v>
      </c>
      <c r="BF1982" t="str">
        <f>HYPERLINK("http://dx.doi.org/10.1007/s40847-023-00253-0","http://dx.doi.org/10.1007/s40847-023-00253-0")</f>
        <v>http://dx.doi.org/10.1007/s40847-023-00253-0</v>
      </c>
      <c r="BG1982" t="s">
        <v>74</v>
      </c>
      <c r="BH1982" t="s">
        <v>13995</v>
      </c>
      <c r="BI1982">
        <v>25</v>
      </c>
      <c r="BJ1982" t="s">
        <v>701</v>
      </c>
      <c r="BK1982" t="s">
        <v>313</v>
      </c>
      <c r="BL1982" t="s">
        <v>702</v>
      </c>
      <c r="BM1982" t="s">
        <v>18735</v>
      </c>
      <c r="BN1982" t="s">
        <v>74</v>
      </c>
      <c r="BO1982" t="s">
        <v>74</v>
      </c>
      <c r="BP1982" t="s">
        <v>74</v>
      </c>
      <c r="BQ1982" t="s">
        <v>74</v>
      </c>
      <c r="BR1982" t="s">
        <v>102</v>
      </c>
      <c r="BS1982" t="s">
        <v>18734</v>
      </c>
      <c r="BT1982" t="str">
        <f>HYPERLINK("https%3A%2F%2Fwww.webofscience.com%2Fwos%2Fwoscc%2Ffull-record%2FWOS:001003176700001","View Full Record in Web of Science")</f>
        <v>View Full Record in Web of Science</v>
      </c>
    </row>
    <row r="1983" spans="1:72" x14ac:dyDescent="0.25">
      <c r="A1983" t="s">
        <v>72</v>
      </c>
      <c r="B1983" t="s">
        <v>18733</v>
      </c>
      <c r="C1983" t="s">
        <v>74</v>
      </c>
      <c r="D1983" t="s">
        <v>74</v>
      </c>
      <c r="E1983" t="s">
        <v>74</v>
      </c>
      <c r="F1983" t="s">
        <v>18732</v>
      </c>
      <c r="G1983" t="s">
        <v>74</v>
      </c>
      <c r="H1983" t="s">
        <v>74</v>
      </c>
      <c r="I1983" t="s">
        <v>18731</v>
      </c>
      <c r="J1983" t="s">
        <v>107</v>
      </c>
      <c r="K1983" t="s">
        <v>74</v>
      </c>
      <c r="L1983" t="s">
        <v>74</v>
      </c>
      <c r="M1983" t="s">
        <v>78</v>
      </c>
      <c r="N1983" t="s">
        <v>79</v>
      </c>
      <c r="O1983" t="s">
        <v>74</v>
      </c>
      <c r="P1983" t="s">
        <v>74</v>
      </c>
      <c r="Q1983" t="s">
        <v>74</v>
      </c>
      <c r="R1983" t="s">
        <v>74</v>
      </c>
      <c r="S1983" t="s">
        <v>74</v>
      </c>
      <c r="T1983" t="s">
        <v>18730</v>
      </c>
      <c r="U1983" t="s">
        <v>18729</v>
      </c>
      <c r="V1983" t="s">
        <v>18728</v>
      </c>
      <c r="W1983" t="s">
        <v>18727</v>
      </c>
      <c r="X1983" t="s">
        <v>18726</v>
      </c>
      <c r="Y1983" t="s">
        <v>18725</v>
      </c>
      <c r="Z1983" t="s">
        <v>18724</v>
      </c>
      <c r="AA1983" t="s">
        <v>74</v>
      </c>
      <c r="AB1983" t="s">
        <v>18723</v>
      </c>
      <c r="AC1983" t="s">
        <v>18722</v>
      </c>
      <c r="AD1983" t="s">
        <v>18721</v>
      </c>
      <c r="AE1983" t="s">
        <v>18720</v>
      </c>
      <c r="AF1983" t="s">
        <v>74</v>
      </c>
      <c r="AG1983">
        <v>64</v>
      </c>
      <c r="AH1983">
        <v>2</v>
      </c>
      <c r="AI1983">
        <v>2</v>
      </c>
      <c r="AJ1983">
        <v>3</v>
      </c>
      <c r="AK1983">
        <v>47</v>
      </c>
      <c r="AL1983" t="s">
        <v>117</v>
      </c>
      <c r="AM1983" t="s">
        <v>118</v>
      </c>
      <c r="AN1983" t="s">
        <v>119</v>
      </c>
      <c r="AO1983" t="s">
        <v>120</v>
      </c>
      <c r="AP1983" t="s">
        <v>121</v>
      </c>
      <c r="AQ1983" t="s">
        <v>74</v>
      </c>
      <c r="AR1983" t="s">
        <v>122</v>
      </c>
      <c r="AS1983" t="s">
        <v>123</v>
      </c>
      <c r="AT1983" t="s">
        <v>237</v>
      </c>
      <c r="AU1983">
        <v>2023</v>
      </c>
      <c r="AV1983">
        <v>30</v>
      </c>
      <c r="AW1983">
        <v>6</v>
      </c>
      <c r="AX1983" t="s">
        <v>74</v>
      </c>
      <c r="AY1983" t="s">
        <v>74</v>
      </c>
      <c r="AZ1983" t="s">
        <v>74</v>
      </c>
      <c r="BA1983" t="s">
        <v>74</v>
      </c>
      <c r="BB1983">
        <v>16579</v>
      </c>
      <c r="BC1983">
        <v>16596</v>
      </c>
      <c r="BD1983" t="s">
        <v>74</v>
      </c>
      <c r="BE1983" t="s">
        <v>18719</v>
      </c>
      <c r="BF1983" t="str">
        <f>HYPERLINK("http://dx.doi.org/10.1007/s11356-022-23306-z","http://dx.doi.org/10.1007/s11356-022-23306-z")</f>
        <v>http://dx.doi.org/10.1007/s11356-022-23306-z</v>
      </c>
      <c r="BG1983" t="s">
        <v>74</v>
      </c>
      <c r="BH1983" t="s">
        <v>3050</v>
      </c>
      <c r="BI1983">
        <v>18</v>
      </c>
      <c r="BJ1983" t="s">
        <v>127</v>
      </c>
      <c r="BK1983" t="s">
        <v>128</v>
      </c>
      <c r="BL1983" t="s">
        <v>129</v>
      </c>
      <c r="BM1983" t="s">
        <v>18718</v>
      </c>
      <c r="BN1983">
        <v>36190638</v>
      </c>
      <c r="BO1983" t="s">
        <v>74</v>
      </c>
      <c r="BP1983" t="s">
        <v>74</v>
      </c>
      <c r="BQ1983" t="s">
        <v>74</v>
      </c>
      <c r="BR1983" t="s">
        <v>102</v>
      </c>
      <c r="BS1983" t="s">
        <v>18717</v>
      </c>
      <c r="BT1983" t="str">
        <f>HYPERLINK("https%3A%2F%2Fwww.webofscience.com%2Fwos%2Fwoscc%2Ffull-record%2FWOS:000863555900005","View Full Record in Web of Science")</f>
        <v>View Full Record in Web of Science</v>
      </c>
    </row>
    <row r="1984" spans="1:72" x14ac:dyDescent="0.25">
      <c r="A1984" t="s">
        <v>72</v>
      </c>
      <c r="B1984" t="s">
        <v>18716</v>
      </c>
      <c r="C1984" t="s">
        <v>74</v>
      </c>
      <c r="D1984" t="s">
        <v>74</v>
      </c>
      <c r="E1984" t="s">
        <v>74</v>
      </c>
      <c r="F1984" t="s">
        <v>18715</v>
      </c>
      <c r="G1984" t="s">
        <v>74</v>
      </c>
      <c r="H1984" t="s">
        <v>74</v>
      </c>
      <c r="I1984" t="s">
        <v>18714</v>
      </c>
      <c r="J1984" t="s">
        <v>6882</v>
      </c>
      <c r="K1984" t="s">
        <v>74</v>
      </c>
      <c r="L1984" t="s">
        <v>74</v>
      </c>
      <c r="M1984" t="s">
        <v>78</v>
      </c>
      <c r="N1984" t="s">
        <v>79</v>
      </c>
      <c r="O1984" t="s">
        <v>74</v>
      </c>
      <c r="P1984" t="s">
        <v>74</v>
      </c>
      <c r="Q1984" t="s">
        <v>74</v>
      </c>
      <c r="R1984" t="s">
        <v>74</v>
      </c>
      <c r="S1984" t="s">
        <v>74</v>
      </c>
      <c r="T1984" t="s">
        <v>18713</v>
      </c>
      <c r="U1984" t="s">
        <v>74</v>
      </c>
      <c r="V1984" t="s">
        <v>18712</v>
      </c>
      <c r="W1984" t="s">
        <v>18711</v>
      </c>
      <c r="X1984" t="s">
        <v>18710</v>
      </c>
      <c r="Y1984" t="s">
        <v>18709</v>
      </c>
      <c r="Z1984" t="s">
        <v>18708</v>
      </c>
      <c r="AA1984" t="s">
        <v>18707</v>
      </c>
      <c r="AB1984" t="s">
        <v>18706</v>
      </c>
      <c r="AC1984" t="s">
        <v>18705</v>
      </c>
      <c r="AD1984" t="s">
        <v>18704</v>
      </c>
      <c r="AE1984" t="s">
        <v>18703</v>
      </c>
      <c r="AF1984" t="s">
        <v>74</v>
      </c>
      <c r="AG1984">
        <v>37</v>
      </c>
      <c r="AH1984">
        <v>30</v>
      </c>
      <c r="AI1984">
        <v>39</v>
      </c>
      <c r="AJ1984">
        <v>5</v>
      </c>
      <c r="AK1984">
        <v>74</v>
      </c>
      <c r="AL1984" t="s">
        <v>230</v>
      </c>
      <c r="AM1984" t="s">
        <v>231</v>
      </c>
      <c r="AN1984" t="s">
        <v>232</v>
      </c>
      <c r="AO1984" t="s">
        <v>6893</v>
      </c>
      <c r="AP1984" t="s">
        <v>6894</v>
      </c>
      <c r="AQ1984" t="s">
        <v>74</v>
      </c>
      <c r="AR1984" t="s">
        <v>6895</v>
      </c>
      <c r="AS1984" t="s">
        <v>6896</v>
      </c>
      <c r="AT1984" t="s">
        <v>4780</v>
      </c>
      <c r="AU1984">
        <v>2021</v>
      </c>
      <c r="AV1984">
        <v>169</v>
      </c>
      <c r="AW1984" t="s">
        <v>74</v>
      </c>
      <c r="AX1984" t="s">
        <v>74</v>
      </c>
      <c r="AY1984" t="s">
        <v>74</v>
      </c>
      <c r="AZ1984" t="s">
        <v>74</v>
      </c>
      <c r="BA1984" t="s">
        <v>74</v>
      </c>
      <c r="BB1984" t="s">
        <v>74</v>
      </c>
      <c r="BC1984" t="s">
        <v>74</v>
      </c>
      <c r="BD1984">
        <v>114486</v>
      </c>
      <c r="BE1984" t="s">
        <v>18702</v>
      </c>
      <c r="BF1984" t="str">
        <f>HYPERLINK("http://dx.doi.org/10.1016/j.eswa.2020.114486","http://dx.doi.org/10.1016/j.eswa.2020.114486")</f>
        <v>http://dx.doi.org/10.1016/j.eswa.2020.114486</v>
      </c>
      <c r="BG1984" t="s">
        <v>74</v>
      </c>
      <c r="BH1984" t="s">
        <v>11556</v>
      </c>
      <c r="BI1984">
        <v>15</v>
      </c>
      <c r="BJ1984" t="s">
        <v>6898</v>
      </c>
      <c r="BK1984" t="s">
        <v>2623</v>
      </c>
      <c r="BL1984" t="s">
        <v>6899</v>
      </c>
      <c r="BM1984" t="s">
        <v>18701</v>
      </c>
      <c r="BN1984" t="s">
        <v>74</v>
      </c>
      <c r="BO1984" t="s">
        <v>1696</v>
      </c>
      <c r="BP1984" t="s">
        <v>74</v>
      </c>
      <c r="BQ1984" t="s">
        <v>74</v>
      </c>
      <c r="BR1984" t="s">
        <v>102</v>
      </c>
      <c r="BS1984" t="s">
        <v>18700</v>
      </c>
      <c r="BT1984" t="str">
        <f>HYPERLINK("https%3A%2F%2Fwww.webofscience.com%2Fwos%2Fwoscc%2Ffull-record%2FWOS:000623569100004","View Full Record in Web of Science")</f>
        <v>View Full Record in Web of Science</v>
      </c>
    </row>
    <row r="1985" spans="1:72" x14ac:dyDescent="0.25">
      <c r="A1985" t="s">
        <v>132</v>
      </c>
      <c r="B1985" t="s">
        <v>18699</v>
      </c>
      <c r="C1985" t="s">
        <v>74</v>
      </c>
      <c r="D1985" t="s">
        <v>18698</v>
      </c>
      <c r="E1985" t="s">
        <v>74</v>
      </c>
      <c r="F1985" t="s">
        <v>18697</v>
      </c>
      <c r="G1985" t="s">
        <v>74</v>
      </c>
      <c r="H1985" t="s">
        <v>74</v>
      </c>
      <c r="I1985" t="s">
        <v>18696</v>
      </c>
      <c r="J1985" t="s">
        <v>18695</v>
      </c>
      <c r="K1985" t="s">
        <v>74</v>
      </c>
      <c r="L1985" t="s">
        <v>74</v>
      </c>
      <c r="M1985" t="s">
        <v>78</v>
      </c>
      <c r="N1985" t="s">
        <v>138</v>
      </c>
      <c r="O1985" t="s">
        <v>18694</v>
      </c>
      <c r="P1985" t="s">
        <v>18693</v>
      </c>
      <c r="Q1985" t="s">
        <v>3421</v>
      </c>
      <c r="R1985" t="s">
        <v>18692</v>
      </c>
      <c r="S1985" t="s">
        <v>74</v>
      </c>
      <c r="T1985" t="s">
        <v>18691</v>
      </c>
      <c r="U1985" t="s">
        <v>74</v>
      </c>
      <c r="V1985" t="s">
        <v>18690</v>
      </c>
      <c r="W1985" t="s">
        <v>18689</v>
      </c>
      <c r="X1985" t="s">
        <v>18688</v>
      </c>
      <c r="Y1985" t="s">
        <v>18687</v>
      </c>
      <c r="Z1985" t="s">
        <v>18686</v>
      </c>
      <c r="AA1985" t="s">
        <v>18685</v>
      </c>
      <c r="AB1985" t="s">
        <v>74</v>
      </c>
      <c r="AC1985" t="s">
        <v>74</v>
      </c>
      <c r="AD1985" t="s">
        <v>74</v>
      </c>
      <c r="AE1985" t="s">
        <v>74</v>
      </c>
      <c r="AF1985" t="s">
        <v>74</v>
      </c>
      <c r="AG1985">
        <v>15</v>
      </c>
      <c r="AH1985">
        <v>0</v>
      </c>
      <c r="AI1985">
        <v>0</v>
      </c>
      <c r="AJ1985">
        <v>1</v>
      </c>
      <c r="AK1985">
        <v>5</v>
      </c>
      <c r="AL1985" t="s">
        <v>177</v>
      </c>
      <c r="AM1985" t="s">
        <v>178</v>
      </c>
      <c r="AN1985" t="s">
        <v>179</v>
      </c>
      <c r="AO1985" t="s">
        <v>74</v>
      </c>
      <c r="AP1985" t="s">
        <v>74</v>
      </c>
      <c r="AQ1985" t="s">
        <v>18684</v>
      </c>
      <c r="AR1985" t="s">
        <v>74</v>
      </c>
      <c r="AS1985" t="s">
        <v>74</v>
      </c>
      <c r="AT1985" t="s">
        <v>74</v>
      </c>
      <c r="AU1985">
        <v>2017</v>
      </c>
      <c r="AV1985" t="s">
        <v>74</v>
      </c>
      <c r="AW1985" t="s">
        <v>74</v>
      </c>
      <c r="AX1985" t="s">
        <v>74</v>
      </c>
      <c r="AY1985" t="s">
        <v>74</v>
      </c>
      <c r="AZ1985" t="s">
        <v>74</v>
      </c>
      <c r="BA1985" t="s">
        <v>74</v>
      </c>
      <c r="BB1985">
        <v>375</v>
      </c>
      <c r="BC1985">
        <v>383</v>
      </c>
      <c r="BD1985" t="s">
        <v>74</v>
      </c>
      <c r="BE1985" t="s">
        <v>74</v>
      </c>
      <c r="BF1985" t="s">
        <v>74</v>
      </c>
      <c r="BG1985" t="s">
        <v>74</v>
      </c>
      <c r="BH1985" t="s">
        <v>74</v>
      </c>
      <c r="BI1985">
        <v>9</v>
      </c>
      <c r="BJ1985" t="s">
        <v>268</v>
      </c>
      <c r="BK1985" t="s">
        <v>183</v>
      </c>
      <c r="BL1985" t="s">
        <v>100</v>
      </c>
      <c r="BM1985" t="s">
        <v>18683</v>
      </c>
      <c r="BN1985" t="s">
        <v>74</v>
      </c>
      <c r="BO1985" t="s">
        <v>74</v>
      </c>
      <c r="BP1985" t="s">
        <v>74</v>
      </c>
      <c r="BQ1985" t="s">
        <v>74</v>
      </c>
      <c r="BR1985" t="s">
        <v>102</v>
      </c>
      <c r="BS1985" t="s">
        <v>18682</v>
      </c>
      <c r="BT1985" t="str">
        <f>HYPERLINK("https%3A%2F%2Fwww.webofscience.com%2Fwos%2Fwoscc%2Ffull-record%2FWOS:000418110700046","View Full Record in Web of Science")</f>
        <v>View Full Record in Web of Science</v>
      </c>
    </row>
    <row r="1986" spans="1:72" x14ac:dyDescent="0.25">
      <c r="A1986" t="s">
        <v>72</v>
      </c>
      <c r="B1986" t="s">
        <v>18681</v>
      </c>
      <c r="C1986" t="s">
        <v>74</v>
      </c>
      <c r="D1986" t="s">
        <v>74</v>
      </c>
      <c r="E1986" t="s">
        <v>74</v>
      </c>
      <c r="F1986" t="s">
        <v>18680</v>
      </c>
      <c r="G1986" t="s">
        <v>74</v>
      </c>
      <c r="H1986" t="s">
        <v>74</v>
      </c>
      <c r="I1986" t="s">
        <v>18679</v>
      </c>
      <c r="J1986" t="s">
        <v>9470</v>
      </c>
      <c r="K1986" t="s">
        <v>74</v>
      </c>
      <c r="L1986" t="s">
        <v>74</v>
      </c>
      <c r="M1986" t="s">
        <v>78</v>
      </c>
      <c r="N1986" t="s">
        <v>79</v>
      </c>
      <c r="O1986" t="s">
        <v>74</v>
      </c>
      <c r="P1986" t="s">
        <v>74</v>
      </c>
      <c r="Q1986" t="s">
        <v>74</v>
      </c>
      <c r="R1986" t="s">
        <v>74</v>
      </c>
      <c r="S1986" t="s">
        <v>74</v>
      </c>
      <c r="T1986" t="s">
        <v>18678</v>
      </c>
      <c r="U1986" t="s">
        <v>74</v>
      </c>
      <c r="V1986" t="s">
        <v>18677</v>
      </c>
      <c r="W1986" t="s">
        <v>18676</v>
      </c>
      <c r="X1986" t="s">
        <v>18675</v>
      </c>
      <c r="Y1986" t="s">
        <v>18674</v>
      </c>
      <c r="Z1986" t="s">
        <v>18673</v>
      </c>
      <c r="AA1986" t="s">
        <v>18672</v>
      </c>
      <c r="AB1986" t="s">
        <v>18671</v>
      </c>
      <c r="AC1986" t="s">
        <v>74</v>
      </c>
      <c r="AD1986" t="s">
        <v>74</v>
      </c>
      <c r="AE1986" t="s">
        <v>74</v>
      </c>
      <c r="AF1986" t="s">
        <v>74</v>
      </c>
      <c r="AG1986">
        <v>23</v>
      </c>
      <c r="AH1986">
        <v>21</v>
      </c>
      <c r="AI1986">
        <v>29</v>
      </c>
      <c r="AJ1986">
        <v>1</v>
      </c>
      <c r="AK1986">
        <v>34</v>
      </c>
      <c r="AL1986" t="s">
        <v>1889</v>
      </c>
      <c r="AM1986" t="s">
        <v>1890</v>
      </c>
      <c r="AN1986" t="s">
        <v>1891</v>
      </c>
      <c r="AO1986" t="s">
        <v>9478</v>
      </c>
      <c r="AP1986" t="s">
        <v>9479</v>
      </c>
      <c r="AQ1986" t="s">
        <v>74</v>
      </c>
      <c r="AR1986" t="s">
        <v>9480</v>
      </c>
      <c r="AS1986" t="s">
        <v>9481</v>
      </c>
      <c r="AT1986" t="s">
        <v>605</v>
      </c>
      <c r="AU1986">
        <v>2020</v>
      </c>
      <c r="AV1986">
        <v>65</v>
      </c>
      <c r="AW1986">
        <v>1</v>
      </c>
      <c r="AX1986" t="s">
        <v>74</v>
      </c>
      <c r="AY1986" t="s">
        <v>74</v>
      </c>
      <c r="AZ1986" t="s">
        <v>441</v>
      </c>
      <c r="BA1986" t="s">
        <v>74</v>
      </c>
      <c r="BB1986">
        <v>193</v>
      </c>
      <c r="BC1986">
        <v>216</v>
      </c>
      <c r="BD1986" t="s">
        <v>74</v>
      </c>
      <c r="BE1986" t="s">
        <v>18670</v>
      </c>
      <c r="BF1986" t="str">
        <f>HYPERLINK("http://dx.doi.org/10.1142/S0217590817460031","http://dx.doi.org/10.1142/S0217590817460031")</f>
        <v>http://dx.doi.org/10.1142/S0217590817460031</v>
      </c>
      <c r="BG1986" t="s">
        <v>74</v>
      </c>
      <c r="BH1986" t="s">
        <v>74</v>
      </c>
      <c r="BI1986">
        <v>24</v>
      </c>
      <c r="BJ1986" t="s">
        <v>291</v>
      </c>
      <c r="BK1986" t="s">
        <v>99</v>
      </c>
      <c r="BL1986" t="s">
        <v>100</v>
      </c>
      <c r="BM1986" t="s">
        <v>18669</v>
      </c>
      <c r="BN1986" t="s">
        <v>74</v>
      </c>
      <c r="BO1986" t="s">
        <v>74</v>
      </c>
      <c r="BP1986" t="s">
        <v>74</v>
      </c>
      <c r="BQ1986" t="s">
        <v>74</v>
      </c>
      <c r="BR1986" t="s">
        <v>102</v>
      </c>
      <c r="BS1986" t="s">
        <v>18668</v>
      </c>
      <c r="BT1986" t="str">
        <f>HYPERLINK("https%3A%2F%2Fwww.webofscience.com%2Fwos%2Fwoscc%2Ffull-record%2FWOS:000522158700008","View Full Record in Web of Science")</f>
        <v>View Full Record in Web of Science</v>
      </c>
    </row>
    <row r="1987" spans="1:72" x14ac:dyDescent="0.25">
      <c r="A1987" t="s">
        <v>72</v>
      </c>
      <c r="B1987" t="s">
        <v>18667</v>
      </c>
      <c r="C1987" t="s">
        <v>74</v>
      </c>
      <c r="D1987" t="s">
        <v>74</v>
      </c>
      <c r="E1987" t="s">
        <v>74</v>
      </c>
      <c r="F1987" t="s">
        <v>18666</v>
      </c>
      <c r="G1987" t="s">
        <v>74</v>
      </c>
      <c r="H1987" t="s">
        <v>74</v>
      </c>
      <c r="I1987" t="s">
        <v>18665</v>
      </c>
      <c r="J1987" t="s">
        <v>18664</v>
      </c>
      <c r="K1987" t="s">
        <v>74</v>
      </c>
      <c r="L1987" t="s">
        <v>74</v>
      </c>
      <c r="M1987" t="s">
        <v>78</v>
      </c>
      <c r="N1987" t="s">
        <v>79</v>
      </c>
      <c r="O1987" t="s">
        <v>74</v>
      </c>
      <c r="P1987" t="s">
        <v>74</v>
      </c>
      <c r="Q1987" t="s">
        <v>74</v>
      </c>
      <c r="R1987" t="s">
        <v>74</v>
      </c>
      <c r="S1987" t="s">
        <v>74</v>
      </c>
      <c r="T1987" t="s">
        <v>74</v>
      </c>
      <c r="U1987" t="s">
        <v>18663</v>
      </c>
      <c r="V1987" t="s">
        <v>18662</v>
      </c>
      <c r="W1987" t="s">
        <v>18661</v>
      </c>
      <c r="X1987" t="s">
        <v>18660</v>
      </c>
      <c r="Y1987" t="s">
        <v>18659</v>
      </c>
      <c r="Z1987" t="s">
        <v>18658</v>
      </c>
      <c r="AA1987" t="s">
        <v>18657</v>
      </c>
      <c r="AB1987" t="s">
        <v>18656</v>
      </c>
      <c r="AC1987" t="s">
        <v>18655</v>
      </c>
      <c r="AD1987" t="s">
        <v>18654</v>
      </c>
      <c r="AE1987" t="s">
        <v>18653</v>
      </c>
      <c r="AF1987" t="s">
        <v>74</v>
      </c>
      <c r="AG1987">
        <v>94</v>
      </c>
      <c r="AH1987">
        <v>28</v>
      </c>
      <c r="AI1987">
        <v>37</v>
      </c>
      <c r="AJ1987">
        <v>0</v>
      </c>
      <c r="AK1987">
        <v>22</v>
      </c>
      <c r="AL1987" t="s">
        <v>2551</v>
      </c>
      <c r="AM1987" t="s">
        <v>231</v>
      </c>
      <c r="AN1987" t="s">
        <v>2552</v>
      </c>
      <c r="AO1987" t="s">
        <v>18652</v>
      </c>
      <c r="AP1987" t="s">
        <v>18651</v>
      </c>
      <c r="AQ1987" t="s">
        <v>74</v>
      </c>
      <c r="AR1987" t="s">
        <v>18650</v>
      </c>
      <c r="AS1987" t="s">
        <v>18649</v>
      </c>
      <c r="AT1987" t="s">
        <v>743</v>
      </c>
      <c r="AU1987">
        <v>2020</v>
      </c>
      <c r="AV1987">
        <v>29</v>
      </c>
      <c r="AW1987">
        <v>2</v>
      </c>
      <c r="AX1987" t="s">
        <v>74</v>
      </c>
      <c r="AY1987" t="s">
        <v>74</v>
      </c>
      <c r="AZ1987" t="s">
        <v>74</v>
      </c>
      <c r="BA1987" t="s">
        <v>74</v>
      </c>
      <c r="BB1987">
        <v>395</v>
      </c>
      <c r="BC1987">
        <v>421</v>
      </c>
      <c r="BD1987" t="s">
        <v>74</v>
      </c>
      <c r="BE1987" t="s">
        <v>18648</v>
      </c>
      <c r="BF1987" t="str">
        <f>HYPERLINK("http://dx.doi.org/10.1093/icc/dtz049","http://dx.doi.org/10.1093/icc/dtz049")</f>
        <v>http://dx.doi.org/10.1093/icc/dtz049</v>
      </c>
      <c r="BG1987" t="s">
        <v>74</v>
      </c>
      <c r="BH1987" t="s">
        <v>74</v>
      </c>
      <c r="BI1987">
        <v>27</v>
      </c>
      <c r="BJ1987" t="s">
        <v>6512</v>
      </c>
      <c r="BK1987" t="s">
        <v>99</v>
      </c>
      <c r="BL1987" t="s">
        <v>100</v>
      </c>
      <c r="BM1987" t="s">
        <v>18647</v>
      </c>
      <c r="BN1987" t="s">
        <v>74</v>
      </c>
      <c r="BO1987" t="s">
        <v>18646</v>
      </c>
      <c r="BP1987" t="s">
        <v>74</v>
      </c>
      <c r="BQ1987" t="s">
        <v>74</v>
      </c>
      <c r="BR1987" t="s">
        <v>102</v>
      </c>
      <c r="BS1987" t="s">
        <v>18645</v>
      </c>
      <c r="BT1987" t="str">
        <f>HYPERLINK("https%3A%2F%2Fwww.webofscience.com%2Fwos%2Fwoscc%2Ffull-record%2FWOS:000558991000008","View Full Record in Web of Science")</f>
        <v>View Full Record in Web of Science</v>
      </c>
    </row>
    <row r="1988" spans="1:72" x14ac:dyDescent="0.25">
      <c r="A1988" t="s">
        <v>72</v>
      </c>
      <c r="B1988" t="s">
        <v>18644</v>
      </c>
      <c r="C1988" t="s">
        <v>74</v>
      </c>
      <c r="D1988" t="s">
        <v>74</v>
      </c>
      <c r="E1988" t="s">
        <v>74</v>
      </c>
      <c r="F1988" t="s">
        <v>18643</v>
      </c>
      <c r="G1988" t="s">
        <v>74</v>
      </c>
      <c r="H1988" t="s">
        <v>74</v>
      </c>
      <c r="I1988" t="s">
        <v>18642</v>
      </c>
      <c r="J1988" t="s">
        <v>18641</v>
      </c>
      <c r="K1988" t="s">
        <v>74</v>
      </c>
      <c r="L1988" t="s">
        <v>74</v>
      </c>
      <c r="M1988" t="s">
        <v>78</v>
      </c>
      <c r="N1988" t="s">
        <v>79</v>
      </c>
      <c r="O1988" t="s">
        <v>74</v>
      </c>
      <c r="P1988" t="s">
        <v>74</v>
      </c>
      <c r="Q1988" t="s">
        <v>74</v>
      </c>
      <c r="R1988" t="s">
        <v>74</v>
      </c>
      <c r="S1988" t="s">
        <v>74</v>
      </c>
      <c r="T1988" t="s">
        <v>18640</v>
      </c>
      <c r="U1988" t="s">
        <v>18639</v>
      </c>
      <c r="V1988" t="s">
        <v>18638</v>
      </c>
      <c r="W1988" t="s">
        <v>18637</v>
      </c>
      <c r="X1988" t="s">
        <v>18636</v>
      </c>
      <c r="Y1988" t="s">
        <v>18635</v>
      </c>
      <c r="Z1988" t="s">
        <v>18634</v>
      </c>
      <c r="AA1988" t="s">
        <v>18633</v>
      </c>
      <c r="AB1988" t="s">
        <v>18632</v>
      </c>
      <c r="AC1988" t="s">
        <v>74</v>
      </c>
      <c r="AD1988" t="s">
        <v>74</v>
      </c>
      <c r="AE1988" t="s">
        <v>74</v>
      </c>
      <c r="AF1988" t="s">
        <v>74</v>
      </c>
      <c r="AG1988">
        <v>11</v>
      </c>
      <c r="AH1988">
        <v>0</v>
      </c>
      <c r="AI1988">
        <v>0</v>
      </c>
      <c r="AJ1988">
        <v>2</v>
      </c>
      <c r="AK1988">
        <v>5</v>
      </c>
      <c r="AL1988" t="s">
        <v>18631</v>
      </c>
      <c r="AM1988" t="s">
        <v>13703</v>
      </c>
      <c r="AN1988" t="s">
        <v>18630</v>
      </c>
      <c r="AO1988" t="s">
        <v>18629</v>
      </c>
      <c r="AP1988" t="s">
        <v>18628</v>
      </c>
      <c r="AQ1988" t="s">
        <v>74</v>
      </c>
      <c r="AR1988" t="s">
        <v>18627</v>
      </c>
      <c r="AS1988" t="s">
        <v>18626</v>
      </c>
      <c r="AT1988" t="s">
        <v>124</v>
      </c>
      <c r="AU1988">
        <v>2022</v>
      </c>
      <c r="AV1988">
        <v>16</v>
      </c>
      <c r="AW1988">
        <v>12</v>
      </c>
      <c r="AX1988" t="s">
        <v>74</v>
      </c>
      <c r="AY1988" t="s">
        <v>74</v>
      </c>
      <c r="AZ1988" t="s">
        <v>74</v>
      </c>
      <c r="BA1988" t="s">
        <v>74</v>
      </c>
      <c r="BB1988" t="s">
        <v>18625</v>
      </c>
      <c r="BC1988" t="s">
        <v>18624</v>
      </c>
      <c r="BD1988" t="s">
        <v>74</v>
      </c>
      <c r="BE1988" t="s">
        <v>18623</v>
      </c>
      <c r="BF1988" t="str">
        <f>HYPERLINK("http://dx.doi.org/10.7860/JCDR/2022/59068.17285","http://dx.doi.org/10.7860/JCDR/2022/59068.17285")</f>
        <v>http://dx.doi.org/10.7860/JCDR/2022/59068.17285</v>
      </c>
      <c r="BG1988" t="s">
        <v>74</v>
      </c>
      <c r="BH1988" t="s">
        <v>74</v>
      </c>
      <c r="BI1988">
        <v>4</v>
      </c>
      <c r="BJ1988" t="s">
        <v>2756</v>
      </c>
      <c r="BK1988" t="s">
        <v>313</v>
      </c>
      <c r="BL1988" t="s">
        <v>2757</v>
      </c>
      <c r="BM1988" t="s">
        <v>18622</v>
      </c>
      <c r="BN1988" t="s">
        <v>74</v>
      </c>
      <c r="BO1988" t="s">
        <v>212</v>
      </c>
      <c r="BP1988" t="s">
        <v>74</v>
      </c>
      <c r="BQ1988" t="s">
        <v>74</v>
      </c>
      <c r="BR1988" t="s">
        <v>102</v>
      </c>
      <c r="BS1988" t="s">
        <v>18621</v>
      </c>
      <c r="BT1988" t="str">
        <f>HYPERLINK("https%3A%2F%2Fwww.webofscience.com%2Fwos%2Fwoscc%2Ffull-record%2FWOS:000905326200002","View Full Record in Web of Science")</f>
        <v>View Full Record in Web of Science</v>
      </c>
    </row>
    <row r="1989" spans="1:72" x14ac:dyDescent="0.25">
      <c r="A1989" t="s">
        <v>132</v>
      </c>
      <c r="B1989" t="s">
        <v>18620</v>
      </c>
      <c r="C1989" t="s">
        <v>74</v>
      </c>
      <c r="D1989" t="s">
        <v>18619</v>
      </c>
      <c r="E1989" t="s">
        <v>74</v>
      </c>
      <c r="F1989" t="s">
        <v>18618</v>
      </c>
      <c r="G1989" t="s">
        <v>74</v>
      </c>
      <c r="H1989" t="s">
        <v>74</v>
      </c>
      <c r="I1989" t="s">
        <v>18617</v>
      </c>
      <c r="J1989" t="s">
        <v>18616</v>
      </c>
      <c r="K1989" t="s">
        <v>2425</v>
      </c>
      <c r="L1989" t="s">
        <v>74</v>
      </c>
      <c r="M1989" t="s">
        <v>78</v>
      </c>
      <c r="N1989" t="s">
        <v>138</v>
      </c>
      <c r="O1989" t="s">
        <v>18615</v>
      </c>
      <c r="P1989" t="s">
        <v>18614</v>
      </c>
      <c r="Q1989" t="s">
        <v>18613</v>
      </c>
      <c r="R1989" t="s">
        <v>18612</v>
      </c>
      <c r="S1989" t="s">
        <v>74</v>
      </c>
      <c r="T1989" t="s">
        <v>18611</v>
      </c>
      <c r="U1989" t="s">
        <v>18610</v>
      </c>
      <c r="V1989" t="s">
        <v>18609</v>
      </c>
      <c r="W1989" t="s">
        <v>18608</v>
      </c>
      <c r="X1989" t="s">
        <v>18607</v>
      </c>
      <c r="Y1989" t="s">
        <v>18606</v>
      </c>
      <c r="Z1989" t="s">
        <v>18605</v>
      </c>
      <c r="AA1989" t="s">
        <v>18604</v>
      </c>
      <c r="AB1989" t="s">
        <v>18603</v>
      </c>
      <c r="AC1989" t="s">
        <v>74</v>
      </c>
      <c r="AD1989" t="s">
        <v>74</v>
      </c>
      <c r="AE1989" t="s">
        <v>74</v>
      </c>
      <c r="AF1989" t="s">
        <v>74</v>
      </c>
      <c r="AG1989">
        <v>73</v>
      </c>
      <c r="AH1989">
        <v>2</v>
      </c>
      <c r="AI1989">
        <v>3</v>
      </c>
      <c r="AJ1989">
        <v>0</v>
      </c>
      <c r="AK1989">
        <v>0</v>
      </c>
      <c r="AL1989" t="s">
        <v>1062</v>
      </c>
      <c r="AM1989" t="s">
        <v>667</v>
      </c>
      <c r="AN1989" t="s">
        <v>668</v>
      </c>
      <c r="AO1989" t="s">
        <v>2437</v>
      </c>
      <c r="AP1989" t="s">
        <v>2438</v>
      </c>
      <c r="AQ1989" t="s">
        <v>18602</v>
      </c>
      <c r="AR1989" t="s">
        <v>2440</v>
      </c>
      <c r="AS1989" t="s">
        <v>74</v>
      </c>
      <c r="AT1989" t="s">
        <v>74</v>
      </c>
      <c r="AU1989">
        <v>2019</v>
      </c>
      <c r="AV1989">
        <v>11747</v>
      </c>
      <c r="AW1989" t="s">
        <v>74</v>
      </c>
      <c r="AX1989" t="s">
        <v>74</v>
      </c>
      <c r="AY1989" t="s">
        <v>74</v>
      </c>
      <c r="AZ1989" t="s">
        <v>74</v>
      </c>
      <c r="BA1989" t="s">
        <v>74</v>
      </c>
      <c r="BB1989">
        <v>744</v>
      </c>
      <c r="BC1989">
        <v>767</v>
      </c>
      <c r="BD1989" t="s">
        <v>74</v>
      </c>
      <c r="BE1989" t="s">
        <v>18601</v>
      </c>
      <c r="BF1989" t="str">
        <f>HYPERLINK("http://dx.doi.org/10.1007/978-3-030-29384-0_45","http://dx.doi.org/10.1007/978-3-030-29384-0_45")</f>
        <v>http://dx.doi.org/10.1007/978-3-030-29384-0_45</v>
      </c>
      <c r="BG1989" t="s">
        <v>74</v>
      </c>
      <c r="BH1989" t="s">
        <v>74</v>
      </c>
      <c r="BI1989">
        <v>24</v>
      </c>
      <c r="BJ1989" t="s">
        <v>18600</v>
      </c>
      <c r="BK1989" t="s">
        <v>156</v>
      </c>
      <c r="BL1989" t="s">
        <v>981</v>
      </c>
      <c r="BM1989" t="s">
        <v>18599</v>
      </c>
      <c r="BN1989" t="s">
        <v>74</v>
      </c>
      <c r="BO1989" t="s">
        <v>1696</v>
      </c>
      <c r="BP1989" t="s">
        <v>74</v>
      </c>
      <c r="BQ1989" t="s">
        <v>74</v>
      </c>
      <c r="BR1989" t="s">
        <v>102</v>
      </c>
      <c r="BS1989" t="s">
        <v>18598</v>
      </c>
      <c r="BT1989" t="str">
        <f>HYPERLINK("https%3A%2F%2Fwww.webofscience.com%2Fwos%2Fwoscc%2Ffull-record%2FWOS:000702138200045","View Full Record in Web of Science")</f>
        <v>View Full Record in Web of Science</v>
      </c>
    </row>
    <row r="1990" spans="1:72" x14ac:dyDescent="0.25">
      <c r="A1990" t="s">
        <v>72</v>
      </c>
      <c r="B1990" t="s">
        <v>18597</v>
      </c>
      <c r="C1990" t="s">
        <v>74</v>
      </c>
      <c r="D1990" t="s">
        <v>74</v>
      </c>
      <c r="E1990" t="s">
        <v>74</v>
      </c>
      <c r="F1990" t="s">
        <v>18596</v>
      </c>
      <c r="G1990" t="s">
        <v>74</v>
      </c>
      <c r="H1990" t="s">
        <v>74</v>
      </c>
      <c r="I1990" t="s">
        <v>18595</v>
      </c>
      <c r="J1990" t="s">
        <v>18594</v>
      </c>
      <c r="K1990" t="s">
        <v>74</v>
      </c>
      <c r="L1990" t="s">
        <v>74</v>
      </c>
      <c r="M1990" t="s">
        <v>78</v>
      </c>
      <c r="N1990" t="s">
        <v>79</v>
      </c>
      <c r="O1990" t="s">
        <v>74</v>
      </c>
      <c r="P1990" t="s">
        <v>74</v>
      </c>
      <c r="Q1990" t="s">
        <v>74</v>
      </c>
      <c r="R1990" t="s">
        <v>74</v>
      </c>
      <c r="S1990" t="s">
        <v>74</v>
      </c>
      <c r="T1990" t="s">
        <v>18593</v>
      </c>
      <c r="U1990" t="s">
        <v>18592</v>
      </c>
      <c r="V1990" t="s">
        <v>18591</v>
      </c>
      <c r="W1990" t="s">
        <v>18590</v>
      </c>
      <c r="X1990" t="s">
        <v>18589</v>
      </c>
      <c r="Y1990" t="s">
        <v>18588</v>
      </c>
      <c r="Z1990" t="s">
        <v>18587</v>
      </c>
      <c r="AA1990" t="s">
        <v>18586</v>
      </c>
      <c r="AB1990" t="s">
        <v>18585</v>
      </c>
      <c r="AC1990" t="s">
        <v>74</v>
      </c>
      <c r="AD1990" t="s">
        <v>74</v>
      </c>
      <c r="AE1990" t="s">
        <v>74</v>
      </c>
      <c r="AF1990" t="s">
        <v>74</v>
      </c>
      <c r="AG1990">
        <v>56</v>
      </c>
      <c r="AH1990">
        <v>34</v>
      </c>
      <c r="AI1990">
        <v>43</v>
      </c>
      <c r="AJ1990">
        <v>0</v>
      </c>
      <c r="AK1990">
        <v>13</v>
      </c>
      <c r="AL1990" t="s">
        <v>332</v>
      </c>
      <c r="AM1990" t="s">
        <v>333</v>
      </c>
      <c r="AN1990" t="s">
        <v>334</v>
      </c>
      <c r="AO1990" t="s">
        <v>18584</v>
      </c>
      <c r="AP1990" t="s">
        <v>18583</v>
      </c>
      <c r="AQ1990" t="s">
        <v>74</v>
      </c>
      <c r="AR1990" t="s">
        <v>18582</v>
      </c>
      <c r="AS1990" t="s">
        <v>18581</v>
      </c>
      <c r="AT1990" t="s">
        <v>74</v>
      </c>
      <c r="AU1990">
        <v>2019</v>
      </c>
      <c r="AV1990">
        <v>47</v>
      </c>
      <c r="AW1990">
        <v>3</v>
      </c>
      <c r="AX1990" t="s">
        <v>74</v>
      </c>
      <c r="AY1990" t="s">
        <v>74</v>
      </c>
      <c r="AZ1990" t="s">
        <v>74</v>
      </c>
      <c r="BA1990" t="s">
        <v>74</v>
      </c>
      <c r="BB1990">
        <v>319</v>
      </c>
      <c r="BC1990">
        <v>335</v>
      </c>
      <c r="BD1990" t="s">
        <v>74</v>
      </c>
      <c r="BE1990" t="s">
        <v>18580</v>
      </c>
      <c r="BF1990" t="str">
        <f>HYPERLINK("http://dx.doi.org/10.1080/13600818.2019.1575349","http://dx.doi.org/10.1080/13600818.2019.1575349")</f>
        <v>http://dx.doi.org/10.1080/13600818.2019.1575349</v>
      </c>
      <c r="BG1990" t="s">
        <v>74</v>
      </c>
      <c r="BH1990" t="s">
        <v>74</v>
      </c>
      <c r="BI1990">
        <v>17</v>
      </c>
      <c r="BJ1990" t="s">
        <v>1137</v>
      </c>
      <c r="BK1990" t="s">
        <v>313</v>
      </c>
      <c r="BL1990" t="s">
        <v>1137</v>
      </c>
      <c r="BM1990" t="s">
        <v>18579</v>
      </c>
      <c r="BN1990" t="s">
        <v>74</v>
      </c>
      <c r="BO1990" t="s">
        <v>74</v>
      </c>
      <c r="BP1990" t="s">
        <v>74</v>
      </c>
      <c r="BQ1990" t="s">
        <v>74</v>
      </c>
      <c r="BR1990" t="s">
        <v>102</v>
      </c>
      <c r="BS1990" t="s">
        <v>18578</v>
      </c>
      <c r="BT1990" t="str">
        <f>HYPERLINK("https%3A%2F%2Fwww.webofscience.com%2Fwos%2Fwoscc%2Ffull-record%2FWOS:000474880700005","View Full Record in Web of Science")</f>
        <v>View Full Record in Web of Science</v>
      </c>
    </row>
    <row r="1991" spans="1:72" x14ac:dyDescent="0.25">
      <c r="A1991" t="s">
        <v>72</v>
      </c>
      <c r="B1991" t="s">
        <v>18577</v>
      </c>
      <c r="C1991" t="s">
        <v>74</v>
      </c>
      <c r="D1991" t="s">
        <v>74</v>
      </c>
      <c r="E1991" t="s">
        <v>74</v>
      </c>
      <c r="F1991" t="s">
        <v>18576</v>
      </c>
      <c r="G1991" t="s">
        <v>74</v>
      </c>
      <c r="H1991" t="s">
        <v>74</v>
      </c>
      <c r="I1991" t="s">
        <v>18575</v>
      </c>
      <c r="J1991" t="s">
        <v>1902</v>
      </c>
      <c r="K1991" t="s">
        <v>74</v>
      </c>
      <c r="L1991" t="s">
        <v>74</v>
      </c>
      <c r="M1991" t="s">
        <v>78</v>
      </c>
      <c r="N1991" t="s">
        <v>79</v>
      </c>
      <c r="O1991" t="s">
        <v>74</v>
      </c>
      <c r="P1991" t="s">
        <v>74</v>
      </c>
      <c r="Q1991" t="s">
        <v>74</v>
      </c>
      <c r="R1991" t="s">
        <v>74</v>
      </c>
      <c r="S1991" t="s">
        <v>74</v>
      </c>
      <c r="T1991" t="s">
        <v>18574</v>
      </c>
      <c r="U1991" t="s">
        <v>18573</v>
      </c>
      <c r="V1991" t="s">
        <v>18572</v>
      </c>
      <c r="W1991" t="s">
        <v>18571</v>
      </c>
      <c r="X1991" t="s">
        <v>74</v>
      </c>
      <c r="Y1991" t="s">
        <v>18570</v>
      </c>
      <c r="Z1991" t="s">
        <v>18569</v>
      </c>
      <c r="AA1991" t="s">
        <v>18568</v>
      </c>
      <c r="AB1991" t="s">
        <v>74</v>
      </c>
      <c r="AC1991" t="s">
        <v>74</v>
      </c>
      <c r="AD1991" t="s">
        <v>74</v>
      </c>
      <c r="AE1991" t="s">
        <v>74</v>
      </c>
      <c r="AF1991" t="s">
        <v>74</v>
      </c>
      <c r="AG1991">
        <v>51</v>
      </c>
      <c r="AH1991">
        <v>10</v>
      </c>
      <c r="AI1991">
        <v>10</v>
      </c>
      <c r="AJ1991">
        <v>0</v>
      </c>
      <c r="AK1991">
        <v>3</v>
      </c>
      <c r="AL1991" t="s">
        <v>89</v>
      </c>
      <c r="AM1991" t="s">
        <v>1497</v>
      </c>
      <c r="AN1991" t="s">
        <v>1498</v>
      </c>
      <c r="AO1991" t="s">
        <v>1910</v>
      </c>
      <c r="AP1991" t="s">
        <v>1911</v>
      </c>
      <c r="AQ1991" t="s">
        <v>74</v>
      </c>
      <c r="AR1991" t="s">
        <v>1912</v>
      </c>
      <c r="AS1991" t="s">
        <v>1913</v>
      </c>
      <c r="AT1991" t="s">
        <v>18567</v>
      </c>
      <c r="AU1991">
        <v>2023</v>
      </c>
      <c r="AV1991">
        <v>15</v>
      </c>
      <c r="AW1991">
        <v>1</v>
      </c>
      <c r="AX1991" t="s">
        <v>74</v>
      </c>
      <c r="AY1991" t="s">
        <v>74</v>
      </c>
      <c r="AZ1991" t="s">
        <v>74</v>
      </c>
      <c r="BA1991" t="s">
        <v>74</v>
      </c>
      <c r="BB1991">
        <v>1</v>
      </c>
      <c r="BC1991">
        <v>15</v>
      </c>
      <c r="BD1991" t="s">
        <v>74</v>
      </c>
      <c r="BE1991" t="s">
        <v>18566</v>
      </c>
      <c r="BF1991" t="str">
        <f>HYPERLINK("http://dx.doi.org/10.1108/JFEP-06-2022-0152","http://dx.doi.org/10.1108/JFEP-06-2022-0152")</f>
        <v>http://dx.doi.org/10.1108/JFEP-06-2022-0152</v>
      </c>
      <c r="BG1991" t="s">
        <v>74</v>
      </c>
      <c r="BH1991" t="s">
        <v>3050</v>
      </c>
      <c r="BI1991">
        <v>15</v>
      </c>
      <c r="BJ1991" t="s">
        <v>291</v>
      </c>
      <c r="BK1991" t="s">
        <v>313</v>
      </c>
      <c r="BL1991" t="s">
        <v>100</v>
      </c>
      <c r="BM1991" t="s">
        <v>18565</v>
      </c>
      <c r="BN1991" t="s">
        <v>74</v>
      </c>
      <c r="BO1991" t="s">
        <v>74</v>
      </c>
      <c r="BP1991" t="s">
        <v>74</v>
      </c>
      <c r="BQ1991" t="s">
        <v>74</v>
      </c>
      <c r="BR1991" t="s">
        <v>102</v>
      </c>
      <c r="BS1991" t="s">
        <v>18564</v>
      </c>
      <c r="BT1991" t="str">
        <f>HYPERLINK("https%3A%2F%2Fwww.webofscience.com%2Fwos%2Fwoscc%2Ffull-record%2FWOS:000874424800001","View Full Record in Web of Science")</f>
        <v>View Full Record in Web of Science</v>
      </c>
    </row>
    <row r="1992" spans="1:72" x14ac:dyDescent="0.25">
      <c r="A1992" t="s">
        <v>72</v>
      </c>
      <c r="B1992" t="s">
        <v>18563</v>
      </c>
      <c r="C1992" t="s">
        <v>74</v>
      </c>
      <c r="D1992" t="s">
        <v>74</v>
      </c>
      <c r="E1992" t="s">
        <v>74</v>
      </c>
      <c r="F1992" t="s">
        <v>18562</v>
      </c>
      <c r="G1992" t="s">
        <v>74</v>
      </c>
      <c r="H1992" t="s">
        <v>74</v>
      </c>
      <c r="I1992" t="s">
        <v>18561</v>
      </c>
      <c r="J1992" t="s">
        <v>13438</v>
      </c>
      <c r="K1992" t="s">
        <v>74</v>
      </c>
      <c r="L1992" t="s">
        <v>74</v>
      </c>
      <c r="M1992" t="s">
        <v>78</v>
      </c>
      <c r="N1992" t="s">
        <v>79</v>
      </c>
      <c r="O1992" t="s">
        <v>74</v>
      </c>
      <c r="P1992" t="s">
        <v>74</v>
      </c>
      <c r="Q1992" t="s">
        <v>74</v>
      </c>
      <c r="R1992" t="s">
        <v>74</v>
      </c>
      <c r="S1992" t="s">
        <v>74</v>
      </c>
      <c r="T1992" t="s">
        <v>18560</v>
      </c>
      <c r="U1992" t="s">
        <v>18559</v>
      </c>
      <c r="V1992" t="s">
        <v>18558</v>
      </c>
      <c r="W1992" t="s">
        <v>18557</v>
      </c>
      <c r="X1992" t="s">
        <v>18556</v>
      </c>
      <c r="Y1992" t="s">
        <v>18555</v>
      </c>
      <c r="Z1992" t="s">
        <v>18554</v>
      </c>
      <c r="AA1992" t="s">
        <v>74</v>
      </c>
      <c r="AB1992" t="s">
        <v>74</v>
      </c>
      <c r="AC1992" t="s">
        <v>74</v>
      </c>
      <c r="AD1992" t="s">
        <v>74</v>
      </c>
      <c r="AE1992" t="s">
        <v>74</v>
      </c>
      <c r="AF1992" t="s">
        <v>74</v>
      </c>
      <c r="AG1992">
        <v>51</v>
      </c>
      <c r="AH1992">
        <v>0</v>
      </c>
      <c r="AI1992">
        <v>0</v>
      </c>
      <c r="AJ1992">
        <v>0</v>
      </c>
      <c r="AK1992">
        <v>0</v>
      </c>
      <c r="AL1992" t="s">
        <v>13445</v>
      </c>
      <c r="AM1992" t="s">
        <v>7167</v>
      </c>
      <c r="AN1992" t="s">
        <v>13446</v>
      </c>
      <c r="AO1992" t="s">
        <v>13447</v>
      </c>
      <c r="AP1992" t="s">
        <v>13448</v>
      </c>
      <c r="AQ1992" t="s">
        <v>74</v>
      </c>
      <c r="AR1992" t="s">
        <v>13449</v>
      </c>
      <c r="AS1992" t="s">
        <v>13450</v>
      </c>
      <c r="AT1992" t="s">
        <v>74</v>
      </c>
      <c r="AU1992">
        <v>2023</v>
      </c>
      <c r="AV1992" t="s">
        <v>74</v>
      </c>
      <c r="AW1992">
        <v>58</v>
      </c>
      <c r="AX1992" t="s">
        <v>74</v>
      </c>
      <c r="AY1992" t="s">
        <v>74</v>
      </c>
      <c r="AZ1992" t="s">
        <v>74</v>
      </c>
      <c r="BA1992" t="s">
        <v>74</v>
      </c>
      <c r="BB1992">
        <v>103</v>
      </c>
      <c r="BC1992">
        <v>121</v>
      </c>
      <c r="BD1992" t="s">
        <v>74</v>
      </c>
      <c r="BE1992" t="s">
        <v>74</v>
      </c>
      <c r="BF1992" t="s">
        <v>74</v>
      </c>
      <c r="BG1992" t="s">
        <v>74</v>
      </c>
      <c r="BH1992" t="s">
        <v>74</v>
      </c>
      <c r="BI1992">
        <v>19</v>
      </c>
      <c r="BJ1992" t="s">
        <v>291</v>
      </c>
      <c r="BK1992" t="s">
        <v>313</v>
      </c>
      <c r="BL1992" t="s">
        <v>100</v>
      </c>
      <c r="BM1992" t="s">
        <v>18553</v>
      </c>
      <c r="BN1992" t="s">
        <v>74</v>
      </c>
      <c r="BO1992" t="s">
        <v>74</v>
      </c>
      <c r="BP1992" t="s">
        <v>74</v>
      </c>
      <c r="BQ1992" t="s">
        <v>74</v>
      </c>
      <c r="BR1992" t="s">
        <v>102</v>
      </c>
      <c r="BS1992" t="s">
        <v>18552</v>
      </c>
      <c r="BT1992" t="str">
        <f>HYPERLINK("https%3A%2F%2Fwww.webofscience.com%2Fwos%2Fwoscc%2Ffull-record%2FWOS:001130747300005","View Full Record in Web of Science")</f>
        <v>View Full Record in Web of Science</v>
      </c>
    </row>
    <row r="1993" spans="1:72" x14ac:dyDescent="0.25">
      <c r="A1993" t="s">
        <v>72</v>
      </c>
      <c r="B1993" t="s">
        <v>18551</v>
      </c>
      <c r="C1993" t="s">
        <v>74</v>
      </c>
      <c r="D1993" t="s">
        <v>74</v>
      </c>
      <c r="E1993" t="s">
        <v>74</v>
      </c>
      <c r="F1993" t="s">
        <v>18550</v>
      </c>
      <c r="G1993" t="s">
        <v>74</v>
      </c>
      <c r="H1993" t="s">
        <v>74</v>
      </c>
      <c r="I1993" t="s">
        <v>18549</v>
      </c>
      <c r="J1993" t="s">
        <v>18548</v>
      </c>
      <c r="K1993" t="s">
        <v>74</v>
      </c>
      <c r="L1993" t="s">
        <v>74</v>
      </c>
      <c r="M1993" t="s">
        <v>78</v>
      </c>
      <c r="N1993" t="s">
        <v>79</v>
      </c>
      <c r="O1993" t="s">
        <v>74</v>
      </c>
      <c r="P1993" t="s">
        <v>74</v>
      </c>
      <c r="Q1993" t="s">
        <v>74</v>
      </c>
      <c r="R1993" t="s">
        <v>74</v>
      </c>
      <c r="S1993" t="s">
        <v>74</v>
      </c>
      <c r="T1993" t="s">
        <v>18547</v>
      </c>
      <c r="U1993" t="s">
        <v>18546</v>
      </c>
      <c r="V1993" t="s">
        <v>18545</v>
      </c>
      <c r="W1993" t="s">
        <v>18544</v>
      </c>
      <c r="X1993" t="s">
        <v>18543</v>
      </c>
      <c r="Y1993" t="s">
        <v>18542</v>
      </c>
      <c r="Z1993" t="s">
        <v>18541</v>
      </c>
      <c r="AA1993" t="s">
        <v>74</v>
      </c>
      <c r="AB1993" t="s">
        <v>74</v>
      </c>
      <c r="AC1993" t="s">
        <v>74</v>
      </c>
      <c r="AD1993" t="s">
        <v>74</v>
      </c>
      <c r="AE1993" t="s">
        <v>74</v>
      </c>
      <c r="AF1993" t="s">
        <v>74</v>
      </c>
      <c r="AG1993">
        <v>51</v>
      </c>
      <c r="AH1993">
        <v>0</v>
      </c>
      <c r="AI1993">
        <v>1</v>
      </c>
      <c r="AJ1993">
        <v>0</v>
      </c>
      <c r="AK1993">
        <v>0</v>
      </c>
      <c r="AL1993" t="s">
        <v>332</v>
      </c>
      <c r="AM1993" t="s">
        <v>333</v>
      </c>
      <c r="AN1993" t="s">
        <v>334</v>
      </c>
      <c r="AO1993" t="s">
        <v>18540</v>
      </c>
      <c r="AP1993" t="s">
        <v>18539</v>
      </c>
      <c r="AQ1993" t="s">
        <v>74</v>
      </c>
      <c r="AR1993" t="s">
        <v>18538</v>
      </c>
      <c r="AS1993" t="s">
        <v>18537</v>
      </c>
      <c r="AT1993" t="s">
        <v>74</v>
      </c>
      <c r="AU1993">
        <v>2020</v>
      </c>
      <c r="AV1993">
        <v>38</v>
      </c>
      <c r="AW1993">
        <v>4</v>
      </c>
      <c r="AX1993" t="s">
        <v>74</v>
      </c>
      <c r="AY1993" t="s">
        <v>74</v>
      </c>
      <c r="AZ1993" t="s">
        <v>74</v>
      </c>
      <c r="BA1993" t="s">
        <v>74</v>
      </c>
      <c r="BB1993">
        <v>541</v>
      </c>
      <c r="BC1993">
        <v>559</v>
      </c>
      <c r="BD1993" t="s">
        <v>74</v>
      </c>
      <c r="BE1993" t="s">
        <v>18536</v>
      </c>
      <c r="BF1993" t="str">
        <f>HYPERLINK("http://dx.doi.org/10.1080/02589001.2020.1825648","http://dx.doi.org/10.1080/02589001.2020.1825648")</f>
        <v>http://dx.doi.org/10.1080/02589001.2020.1825648</v>
      </c>
      <c r="BG1993" t="s">
        <v>74</v>
      </c>
      <c r="BH1993" t="s">
        <v>74</v>
      </c>
      <c r="BI1993">
        <v>19</v>
      </c>
      <c r="BJ1993" t="s">
        <v>1674</v>
      </c>
      <c r="BK1993" t="s">
        <v>313</v>
      </c>
      <c r="BL1993" t="s">
        <v>1674</v>
      </c>
      <c r="BM1993" t="s">
        <v>18535</v>
      </c>
      <c r="BN1993" t="s">
        <v>74</v>
      </c>
      <c r="BO1993" t="s">
        <v>74</v>
      </c>
      <c r="BP1993" t="s">
        <v>74</v>
      </c>
      <c r="BQ1993" t="s">
        <v>74</v>
      </c>
      <c r="BR1993" t="s">
        <v>102</v>
      </c>
      <c r="BS1993" t="s">
        <v>18534</v>
      </c>
      <c r="BT1993" t="str">
        <f>HYPERLINK("https%3A%2F%2Fwww.webofscience.com%2Fwos%2Fwoscc%2Ffull-record%2FWOS:000616266500002","View Full Record in Web of Science")</f>
        <v>View Full Record in Web of Science</v>
      </c>
    </row>
    <row r="1994" spans="1:72" x14ac:dyDescent="0.25">
      <c r="A1994" t="s">
        <v>72</v>
      </c>
      <c r="B1994" t="s">
        <v>18533</v>
      </c>
      <c r="C1994" t="s">
        <v>74</v>
      </c>
      <c r="D1994" t="s">
        <v>74</v>
      </c>
      <c r="E1994" t="s">
        <v>74</v>
      </c>
      <c r="F1994" t="s">
        <v>18532</v>
      </c>
      <c r="G1994" t="s">
        <v>74</v>
      </c>
      <c r="H1994" t="s">
        <v>74</v>
      </c>
      <c r="I1994" t="s">
        <v>18531</v>
      </c>
      <c r="J1994" t="s">
        <v>12150</v>
      </c>
      <c r="K1994" t="s">
        <v>74</v>
      </c>
      <c r="L1994" t="s">
        <v>74</v>
      </c>
      <c r="M1994" t="s">
        <v>78</v>
      </c>
      <c r="N1994" t="s">
        <v>79</v>
      </c>
      <c r="O1994" t="s">
        <v>74</v>
      </c>
      <c r="P1994" t="s">
        <v>74</v>
      </c>
      <c r="Q1994" t="s">
        <v>74</v>
      </c>
      <c r="R1994" t="s">
        <v>74</v>
      </c>
      <c r="S1994" t="s">
        <v>74</v>
      </c>
      <c r="T1994" t="s">
        <v>18530</v>
      </c>
      <c r="U1994" t="s">
        <v>18529</v>
      </c>
      <c r="V1994" t="s">
        <v>18528</v>
      </c>
      <c r="W1994" t="s">
        <v>18527</v>
      </c>
      <c r="X1994" t="s">
        <v>8641</v>
      </c>
      <c r="Y1994" t="s">
        <v>18526</v>
      </c>
      <c r="Z1994" t="s">
        <v>8643</v>
      </c>
      <c r="AA1994" t="s">
        <v>18525</v>
      </c>
      <c r="AB1994" t="s">
        <v>18524</v>
      </c>
      <c r="AC1994" t="s">
        <v>74</v>
      </c>
      <c r="AD1994" t="s">
        <v>74</v>
      </c>
      <c r="AE1994" t="s">
        <v>74</v>
      </c>
      <c r="AF1994" t="s">
        <v>74</v>
      </c>
      <c r="AG1994">
        <v>63</v>
      </c>
      <c r="AH1994">
        <v>46</v>
      </c>
      <c r="AI1994">
        <v>57</v>
      </c>
      <c r="AJ1994">
        <v>8</v>
      </c>
      <c r="AK1994">
        <v>95</v>
      </c>
      <c r="AL1994" t="s">
        <v>89</v>
      </c>
      <c r="AM1994" t="s">
        <v>90</v>
      </c>
      <c r="AN1994" t="s">
        <v>91</v>
      </c>
      <c r="AO1994" t="s">
        <v>12161</v>
      </c>
      <c r="AP1994" t="s">
        <v>12162</v>
      </c>
      <c r="AQ1994" t="s">
        <v>74</v>
      </c>
      <c r="AR1994" t="s">
        <v>12163</v>
      </c>
      <c r="AS1994" t="s">
        <v>12164</v>
      </c>
      <c r="AT1994" t="s">
        <v>7131</v>
      </c>
      <c r="AU1994">
        <v>2023</v>
      </c>
      <c r="AV1994">
        <v>36</v>
      </c>
      <c r="AW1994">
        <v>3</v>
      </c>
      <c r="AX1994" t="s">
        <v>74</v>
      </c>
      <c r="AY1994" t="s">
        <v>74</v>
      </c>
      <c r="AZ1994" t="s">
        <v>74</v>
      </c>
      <c r="BA1994" t="s">
        <v>74</v>
      </c>
      <c r="BB1994">
        <v>996</v>
      </c>
      <c r="BC1994">
        <v>1019</v>
      </c>
      <c r="BD1994" t="s">
        <v>74</v>
      </c>
      <c r="BE1994" t="s">
        <v>18523</v>
      </c>
      <c r="BF1994" t="str">
        <f>HYPERLINK("http://dx.doi.org/10.1108/ITP-11-2021-0906","http://dx.doi.org/10.1108/ITP-11-2021-0906")</f>
        <v>http://dx.doi.org/10.1108/ITP-11-2021-0906</v>
      </c>
      <c r="BG1994" t="s">
        <v>74</v>
      </c>
      <c r="BH1994" t="s">
        <v>1091</v>
      </c>
      <c r="BI1994">
        <v>24</v>
      </c>
      <c r="BJ1994" t="s">
        <v>2351</v>
      </c>
      <c r="BK1994" t="s">
        <v>99</v>
      </c>
      <c r="BL1994" t="s">
        <v>2351</v>
      </c>
      <c r="BM1994" t="s">
        <v>18522</v>
      </c>
      <c r="BN1994" t="s">
        <v>74</v>
      </c>
      <c r="BO1994" t="s">
        <v>74</v>
      </c>
      <c r="BP1994" t="s">
        <v>74</v>
      </c>
      <c r="BQ1994" t="s">
        <v>74</v>
      </c>
      <c r="BR1994" t="s">
        <v>102</v>
      </c>
      <c r="BS1994" t="s">
        <v>18521</v>
      </c>
      <c r="BT1994" t="str">
        <f>HYPERLINK("https%3A%2F%2Fwww.webofscience.com%2Fwos%2Fwoscc%2Ffull-record%2FWOS:000788832000001","View Full Record in Web of Science")</f>
        <v>View Full Record in Web of Science</v>
      </c>
    </row>
    <row r="1995" spans="1:72" x14ac:dyDescent="0.25">
      <c r="A1995" t="s">
        <v>72</v>
      </c>
      <c r="B1995" t="s">
        <v>18520</v>
      </c>
      <c r="C1995" t="s">
        <v>74</v>
      </c>
      <c r="D1995" t="s">
        <v>74</v>
      </c>
      <c r="E1995" t="s">
        <v>74</v>
      </c>
      <c r="F1995" t="s">
        <v>18519</v>
      </c>
      <c r="G1995" t="s">
        <v>74</v>
      </c>
      <c r="H1995" t="s">
        <v>74</v>
      </c>
      <c r="I1995" t="s">
        <v>18518</v>
      </c>
      <c r="J1995" t="s">
        <v>1878</v>
      </c>
      <c r="K1995" t="s">
        <v>74</v>
      </c>
      <c r="L1995" t="s">
        <v>74</v>
      </c>
      <c r="M1995" t="s">
        <v>78</v>
      </c>
      <c r="N1995" t="s">
        <v>79</v>
      </c>
      <c r="O1995" t="s">
        <v>74</v>
      </c>
      <c r="P1995" t="s">
        <v>74</v>
      </c>
      <c r="Q1995" t="s">
        <v>74</v>
      </c>
      <c r="R1995" t="s">
        <v>74</v>
      </c>
      <c r="S1995" t="s">
        <v>74</v>
      </c>
      <c r="T1995" t="s">
        <v>18517</v>
      </c>
      <c r="U1995" t="s">
        <v>18516</v>
      </c>
      <c r="V1995" t="s">
        <v>18515</v>
      </c>
      <c r="W1995" t="s">
        <v>18514</v>
      </c>
      <c r="X1995" t="s">
        <v>4129</v>
      </c>
      <c r="Y1995" t="s">
        <v>18513</v>
      </c>
      <c r="Z1995" t="s">
        <v>18512</v>
      </c>
      <c r="AA1995" t="s">
        <v>18511</v>
      </c>
      <c r="AB1995" t="s">
        <v>74</v>
      </c>
      <c r="AC1995" t="s">
        <v>74</v>
      </c>
      <c r="AD1995" t="s">
        <v>74</v>
      </c>
      <c r="AE1995" t="s">
        <v>74</v>
      </c>
      <c r="AF1995" t="s">
        <v>74</v>
      </c>
      <c r="AG1995">
        <v>60</v>
      </c>
      <c r="AH1995">
        <v>8</v>
      </c>
      <c r="AI1995">
        <v>11</v>
      </c>
      <c r="AJ1995">
        <v>1</v>
      </c>
      <c r="AK1995">
        <v>19</v>
      </c>
      <c r="AL1995" t="s">
        <v>1889</v>
      </c>
      <c r="AM1995" t="s">
        <v>1890</v>
      </c>
      <c r="AN1995" t="s">
        <v>1891</v>
      </c>
      <c r="AO1995" t="s">
        <v>1892</v>
      </c>
      <c r="AP1995" t="s">
        <v>1893</v>
      </c>
      <c r="AQ1995" t="s">
        <v>74</v>
      </c>
      <c r="AR1995" t="s">
        <v>1894</v>
      </c>
      <c r="AS1995" t="s">
        <v>1895</v>
      </c>
      <c r="AT1995" t="s">
        <v>124</v>
      </c>
      <c r="AU1995">
        <v>2020</v>
      </c>
      <c r="AV1995">
        <v>7</v>
      </c>
      <c r="AW1995">
        <v>4</v>
      </c>
      <c r="AX1995" t="s">
        <v>74</v>
      </c>
      <c r="AY1995" t="s">
        <v>74</v>
      </c>
      <c r="AZ1995" t="s">
        <v>74</v>
      </c>
      <c r="BA1995" t="s">
        <v>74</v>
      </c>
      <c r="BB1995" t="s">
        <v>74</v>
      </c>
      <c r="BC1995" t="s">
        <v>74</v>
      </c>
      <c r="BD1995">
        <v>2050038</v>
      </c>
      <c r="BE1995" t="s">
        <v>18510</v>
      </c>
      <c r="BF1995" t="str">
        <f>HYPERLINK("http://dx.doi.org/10.1142/S2424786320500383","http://dx.doi.org/10.1142/S2424786320500383")</f>
        <v>http://dx.doi.org/10.1142/S2424786320500383</v>
      </c>
      <c r="BG1995" t="s">
        <v>74</v>
      </c>
      <c r="BH1995" t="s">
        <v>74</v>
      </c>
      <c r="BI1995">
        <v>17</v>
      </c>
      <c r="BJ1995" t="s">
        <v>268</v>
      </c>
      <c r="BK1995" t="s">
        <v>313</v>
      </c>
      <c r="BL1995" t="s">
        <v>100</v>
      </c>
      <c r="BM1995" t="s">
        <v>18509</v>
      </c>
      <c r="BN1995" t="s">
        <v>74</v>
      </c>
      <c r="BO1995" t="s">
        <v>74</v>
      </c>
      <c r="BP1995" t="s">
        <v>74</v>
      </c>
      <c r="BQ1995" t="s">
        <v>74</v>
      </c>
      <c r="BR1995" t="s">
        <v>102</v>
      </c>
      <c r="BS1995" t="s">
        <v>18508</v>
      </c>
      <c r="BT1995" t="str">
        <f>HYPERLINK("https%3A%2F%2Fwww.webofscience.com%2Fwos%2Fwoscc%2Ffull-record%2FWOS:000617169600004","View Full Record in Web of Science")</f>
        <v>View Full Record in Web of Science</v>
      </c>
    </row>
    <row r="1996" spans="1:72" x14ac:dyDescent="0.25">
      <c r="A1996" t="s">
        <v>72</v>
      </c>
      <c r="B1996" t="s">
        <v>18507</v>
      </c>
      <c r="C1996" t="s">
        <v>74</v>
      </c>
      <c r="D1996" t="s">
        <v>74</v>
      </c>
      <c r="E1996" t="s">
        <v>74</v>
      </c>
      <c r="F1996" t="s">
        <v>18506</v>
      </c>
      <c r="G1996" t="s">
        <v>74</v>
      </c>
      <c r="H1996" t="s">
        <v>74</v>
      </c>
      <c r="I1996" t="s">
        <v>18505</v>
      </c>
      <c r="J1996" t="s">
        <v>6713</v>
      </c>
      <c r="K1996" t="s">
        <v>74</v>
      </c>
      <c r="L1996" t="s">
        <v>74</v>
      </c>
      <c r="M1996" t="s">
        <v>78</v>
      </c>
      <c r="N1996" t="s">
        <v>79</v>
      </c>
      <c r="O1996" t="s">
        <v>74</v>
      </c>
      <c r="P1996" t="s">
        <v>74</v>
      </c>
      <c r="Q1996" t="s">
        <v>74</v>
      </c>
      <c r="R1996" t="s">
        <v>74</v>
      </c>
      <c r="S1996" t="s">
        <v>74</v>
      </c>
      <c r="T1996" t="s">
        <v>18504</v>
      </c>
      <c r="U1996" t="s">
        <v>18503</v>
      </c>
      <c r="V1996" t="s">
        <v>18502</v>
      </c>
      <c r="W1996" t="s">
        <v>18501</v>
      </c>
      <c r="X1996" t="s">
        <v>18500</v>
      </c>
      <c r="Y1996" t="s">
        <v>18499</v>
      </c>
      <c r="Z1996" t="s">
        <v>18498</v>
      </c>
      <c r="AA1996" t="s">
        <v>74</v>
      </c>
      <c r="AB1996" t="s">
        <v>74</v>
      </c>
      <c r="AC1996" t="s">
        <v>18497</v>
      </c>
      <c r="AD1996" t="s">
        <v>18497</v>
      </c>
      <c r="AE1996" t="s">
        <v>18496</v>
      </c>
      <c r="AF1996" t="s">
        <v>74</v>
      </c>
      <c r="AG1996">
        <v>41</v>
      </c>
      <c r="AH1996">
        <v>10</v>
      </c>
      <c r="AI1996">
        <v>12</v>
      </c>
      <c r="AJ1996">
        <v>0</v>
      </c>
      <c r="AK1996">
        <v>14</v>
      </c>
      <c r="AL1996" t="s">
        <v>4485</v>
      </c>
      <c r="AM1996" t="s">
        <v>6724</v>
      </c>
      <c r="AN1996" t="s">
        <v>6725</v>
      </c>
      <c r="AO1996" t="s">
        <v>6726</v>
      </c>
      <c r="AP1996" t="s">
        <v>6727</v>
      </c>
      <c r="AQ1996" t="s">
        <v>74</v>
      </c>
      <c r="AR1996" t="s">
        <v>6728</v>
      </c>
      <c r="AS1996" t="s">
        <v>6729</v>
      </c>
      <c r="AT1996" t="s">
        <v>848</v>
      </c>
      <c r="AU1996">
        <v>2022</v>
      </c>
      <c r="AV1996">
        <v>46</v>
      </c>
      <c r="AW1996">
        <v>6</v>
      </c>
      <c r="AX1996" t="s">
        <v>74</v>
      </c>
      <c r="AY1996" t="s">
        <v>74</v>
      </c>
      <c r="AZ1996" t="s">
        <v>74</v>
      </c>
      <c r="BA1996" t="s">
        <v>74</v>
      </c>
      <c r="BB1996" t="s">
        <v>74</v>
      </c>
      <c r="BC1996" t="s">
        <v>74</v>
      </c>
      <c r="BD1996">
        <v>102314</v>
      </c>
      <c r="BE1996" t="s">
        <v>18495</v>
      </c>
      <c r="BF1996" t="str">
        <f>HYPERLINK("http://dx.doi.org/10.1016/j.telpol.2022.102314","http://dx.doi.org/10.1016/j.telpol.2022.102314")</f>
        <v>http://dx.doi.org/10.1016/j.telpol.2022.102314</v>
      </c>
      <c r="BG1996" t="s">
        <v>74</v>
      </c>
      <c r="BH1996" t="s">
        <v>12980</v>
      </c>
      <c r="BI1996">
        <v>24</v>
      </c>
      <c r="BJ1996" t="s">
        <v>6731</v>
      </c>
      <c r="BK1996" t="s">
        <v>2623</v>
      </c>
      <c r="BL1996" t="s">
        <v>6731</v>
      </c>
      <c r="BM1996" t="s">
        <v>18494</v>
      </c>
      <c r="BN1996" t="s">
        <v>74</v>
      </c>
      <c r="BO1996" t="s">
        <v>74</v>
      </c>
      <c r="BP1996" t="s">
        <v>74</v>
      </c>
      <c r="BQ1996" t="s">
        <v>74</v>
      </c>
      <c r="BR1996" t="s">
        <v>102</v>
      </c>
      <c r="BS1996" t="s">
        <v>18493</v>
      </c>
      <c r="BT1996" t="str">
        <f>HYPERLINK("https%3A%2F%2Fwww.webofscience.com%2Fwos%2Fwoscc%2Ffull-record%2FWOS:000806784000001","View Full Record in Web of Science")</f>
        <v>View Full Record in Web of Science</v>
      </c>
    </row>
    <row r="1997" spans="1:72" x14ac:dyDescent="0.25">
      <c r="A1997" t="s">
        <v>72</v>
      </c>
      <c r="B1997" t="s">
        <v>18492</v>
      </c>
      <c r="C1997" t="s">
        <v>74</v>
      </c>
      <c r="D1997" t="s">
        <v>74</v>
      </c>
      <c r="E1997" t="s">
        <v>74</v>
      </c>
      <c r="F1997" t="s">
        <v>18491</v>
      </c>
      <c r="G1997" t="s">
        <v>74</v>
      </c>
      <c r="H1997" t="s">
        <v>74</v>
      </c>
      <c r="I1997" t="s">
        <v>18490</v>
      </c>
      <c r="J1997" t="s">
        <v>13564</v>
      </c>
      <c r="K1997" t="s">
        <v>74</v>
      </c>
      <c r="L1997" t="s">
        <v>74</v>
      </c>
      <c r="M1997" t="s">
        <v>78</v>
      </c>
      <c r="N1997" t="s">
        <v>79</v>
      </c>
      <c r="O1997" t="s">
        <v>74</v>
      </c>
      <c r="P1997" t="s">
        <v>74</v>
      </c>
      <c r="Q1997" t="s">
        <v>74</v>
      </c>
      <c r="R1997" t="s">
        <v>74</v>
      </c>
      <c r="S1997" t="s">
        <v>74</v>
      </c>
      <c r="T1997" t="s">
        <v>18489</v>
      </c>
      <c r="U1997" t="s">
        <v>18488</v>
      </c>
      <c r="V1997" t="s">
        <v>18487</v>
      </c>
      <c r="W1997" t="s">
        <v>18486</v>
      </c>
      <c r="X1997" t="s">
        <v>18485</v>
      </c>
      <c r="Y1997" t="s">
        <v>18484</v>
      </c>
      <c r="Z1997" t="s">
        <v>18483</v>
      </c>
      <c r="AA1997" t="s">
        <v>18482</v>
      </c>
      <c r="AB1997" t="s">
        <v>74</v>
      </c>
      <c r="AC1997" t="s">
        <v>18481</v>
      </c>
      <c r="AD1997" t="s">
        <v>18480</v>
      </c>
      <c r="AE1997" t="s">
        <v>18479</v>
      </c>
      <c r="AF1997" t="s">
        <v>74</v>
      </c>
      <c r="AG1997">
        <v>117</v>
      </c>
      <c r="AH1997">
        <v>0</v>
      </c>
      <c r="AI1997">
        <v>0</v>
      </c>
      <c r="AJ1997">
        <v>5</v>
      </c>
      <c r="AK1997">
        <v>7</v>
      </c>
      <c r="AL1997" t="s">
        <v>201</v>
      </c>
      <c r="AM1997" t="s">
        <v>202</v>
      </c>
      <c r="AN1997" t="s">
        <v>203</v>
      </c>
      <c r="AO1997" t="s">
        <v>13571</v>
      </c>
      <c r="AP1997" t="s">
        <v>13572</v>
      </c>
      <c r="AQ1997" t="s">
        <v>74</v>
      </c>
      <c r="AR1997" t="s">
        <v>13573</v>
      </c>
      <c r="AS1997" t="s">
        <v>13574</v>
      </c>
      <c r="AT1997" t="s">
        <v>1652</v>
      </c>
      <c r="AU1997">
        <v>2025</v>
      </c>
      <c r="AV1997">
        <v>66</v>
      </c>
      <c r="AW1997" t="s">
        <v>74</v>
      </c>
      <c r="AX1997" t="s">
        <v>74</v>
      </c>
      <c r="AY1997" t="s">
        <v>74</v>
      </c>
      <c r="AZ1997" t="s">
        <v>74</v>
      </c>
      <c r="BA1997" t="s">
        <v>74</v>
      </c>
      <c r="BB1997" t="s">
        <v>74</v>
      </c>
      <c r="BC1997" t="s">
        <v>74</v>
      </c>
      <c r="BD1997">
        <v>101121</v>
      </c>
      <c r="BE1997" t="s">
        <v>18478</v>
      </c>
      <c r="BF1997" t="str">
        <f>HYPERLINK("http://dx.doi.org/10.1016/j.gfj.2025.101121","http://dx.doi.org/10.1016/j.gfj.2025.101121")</f>
        <v>http://dx.doi.org/10.1016/j.gfj.2025.101121</v>
      </c>
      <c r="BG1997" t="s">
        <v>74</v>
      </c>
      <c r="BH1997" t="s">
        <v>2359</v>
      </c>
      <c r="BI1997">
        <v>35</v>
      </c>
      <c r="BJ1997" t="s">
        <v>268</v>
      </c>
      <c r="BK1997" t="s">
        <v>99</v>
      </c>
      <c r="BL1997" t="s">
        <v>100</v>
      </c>
      <c r="BM1997" t="s">
        <v>18477</v>
      </c>
      <c r="BN1997" t="s">
        <v>74</v>
      </c>
      <c r="BO1997" t="s">
        <v>270</v>
      </c>
      <c r="BP1997" t="s">
        <v>74</v>
      </c>
      <c r="BQ1997" t="s">
        <v>74</v>
      </c>
      <c r="BR1997" t="s">
        <v>102</v>
      </c>
      <c r="BS1997" t="s">
        <v>18476</v>
      </c>
      <c r="BT1997" t="str">
        <f>HYPERLINK("https%3A%2F%2Fwww.webofscience.com%2Fwos%2Fwoscc%2Ffull-record%2FWOS:001497038700001","View Full Record in Web of Science")</f>
        <v>View Full Record in Web of Science</v>
      </c>
    </row>
    <row r="1998" spans="1:72" x14ac:dyDescent="0.25">
      <c r="A1998" t="s">
        <v>72</v>
      </c>
      <c r="B1998" t="s">
        <v>18475</v>
      </c>
      <c r="C1998" t="s">
        <v>74</v>
      </c>
      <c r="D1998" t="s">
        <v>74</v>
      </c>
      <c r="E1998" t="s">
        <v>74</v>
      </c>
      <c r="F1998" t="s">
        <v>18474</v>
      </c>
      <c r="G1998" t="s">
        <v>74</v>
      </c>
      <c r="H1998" t="s">
        <v>74</v>
      </c>
      <c r="I1998" t="s">
        <v>18473</v>
      </c>
      <c r="J1998" t="s">
        <v>4306</v>
      </c>
      <c r="K1998" t="s">
        <v>74</v>
      </c>
      <c r="L1998" t="s">
        <v>74</v>
      </c>
      <c r="M1998" t="s">
        <v>78</v>
      </c>
      <c r="N1998" t="s">
        <v>79</v>
      </c>
      <c r="O1998" t="s">
        <v>74</v>
      </c>
      <c r="P1998" t="s">
        <v>74</v>
      </c>
      <c r="Q1998" t="s">
        <v>74</v>
      </c>
      <c r="R1998" t="s">
        <v>74</v>
      </c>
      <c r="S1998" t="s">
        <v>74</v>
      </c>
      <c r="T1998" t="s">
        <v>18472</v>
      </c>
      <c r="U1998" t="s">
        <v>18471</v>
      </c>
      <c r="V1998" t="s">
        <v>18470</v>
      </c>
      <c r="W1998" t="s">
        <v>18469</v>
      </c>
      <c r="X1998" t="s">
        <v>18468</v>
      </c>
      <c r="Y1998" t="s">
        <v>18467</v>
      </c>
      <c r="Z1998" t="s">
        <v>18466</v>
      </c>
      <c r="AA1998" t="s">
        <v>18465</v>
      </c>
      <c r="AB1998" t="s">
        <v>18464</v>
      </c>
      <c r="AC1998" t="s">
        <v>74</v>
      </c>
      <c r="AD1998" t="s">
        <v>74</v>
      </c>
      <c r="AE1998" t="s">
        <v>74</v>
      </c>
      <c r="AF1998" t="s">
        <v>74</v>
      </c>
      <c r="AG1998">
        <v>72</v>
      </c>
      <c r="AH1998">
        <v>23</v>
      </c>
      <c r="AI1998">
        <v>27</v>
      </c>
      <c r="AJ1998">
        <v>3</v>
      </c>
      <c r="AK1998">
        <v>63</v>
      </c>
      <c r="AL1998" t="s">
        <v>503</v>
      </c>
      <c r="AM1998" t="s">
        <v>151</v>
      </c>
      <c r="AN1998" t="s">
        <v>504</v>
      </c>
      <c r="AO1998" t="s">
        <v>4315</v>
      </c>
      <c r="AP1998" t="s">
        <v>4316</v>
      </c>
      <c r="AQ1998" t="s">
        <v>74</v>
      </c>
      <c r="AR1998" t="s">
        <v>4317</v>
      </c>
      <c r="AS1998" t="s">
        <v>4318</v>
      </c>
      <c r="AT1998" t="s">
        <v>237</v>
      </c>
      <c r="AU1998">
        <v>2023</v>
      </c>
      <c r="AV1998">
        <v>187</v>
      </c>
      <c r="AW1998" t="s">
        <v>74</v>
      </c>
      <c r="AX1998" t="s">
        <v>74</v>
      </c>
      <c r="AY1998" t="s">
        <v>74</v>
      </c>
      <c r="AZ1998" t="s">
        <v>74</v>
      </c>
      <c r="BA1998" t="s">
        <v>74</v>
      </c>
      <c r="BB1998" t="s">
        <v>74</v>
      </c>
      <c r="BC1998" t="s">
        <v>74</v>
      </c>
      <c r="BD1998">
        <v>122194</v>
      </c>
      <c r="BE1998" t="s">
        <v>18463</v>
      </c>
      <c r="BF1998" t="str">
        <f>HYPERLINK("http://dx.doi.org/10.1016/j.techfore.2022.122194","http://dx.doi.org/10.1016/j.techfore.2022.122194")</f>
        <v>http://dx.doi.org/10.1016/j.techfore.2022.122194</v>
      </c>
      <c r="BG1998" t="s">
        <v>74</v>
      </c>
      <c r="BH1998" t="s">
        <v>5112</v>
      </c>
      <c r="BI1998">
        <v>11</v>
      </c>
      <c r="BJ1998" t="s">
        <v>1627</v>
      </c>
      <c r="BK1998" t="s">
        <v>99</v>
      </c>
      <c r="BL1998" t="s">
        <v>1406</v>
      </c>
      <c r="BM1998" t="s">
        <v>18462</v>
      </c>
      <c r="BN1998" t="s">
        <v>74</v>
      </c>
      <c r="BO1998" t="s">
        <v>74</v>
      </c>
      <c r="BP1998" t="s">
        <v>74</v>
      </c>
      <c r="BQ1998" t="s">
        <v>74</v>
      </c>
      <c r="BR1998" t="s">
        <v>102</v>
      </c>
      <c r="BS1998" t="s">
        <v>18461</v>
      </c>
      <c r="BT1998" t="str">
        <f>HYPERLINK("https%3A%2F%2Fwww.webofscience.com%2Fwos%2Fwoscc%2Ffull-record%2FWOS:000899554100003","View Full Record in Web of Science")</f>
        <v>View Full Record in Web of Science</v>
      </c>
    </row>
    <row r="1999" spans="1:72" x14ac:dyDescent="0.25">
      <c r="A1999" t="s">
        <v>72</v>
      </c>
      <c r="B1999" t="s">
        <v>18460</v>
      </c>
      <c r="C1999" t="s">
        <v>74</v>
      </c>
      <c r="D1999" t="s">
        <v>74</v>
      </c>
      <c r="E1999" t="s">
        <v>74</v>
      </c>
      <c r="F1999" t="s">
        <v>18459</v>
      </c>
      <c r="G1999" t="s">
        <v>74</v>
      </c>
      <c r="H1999" t="s">
        <v>74</v>
      </c>
      <c r="I1999" t="s">
        <v>18458</v>
      </c>
      <c r="J1999" t="s">
        <v>3439</v>
      </c>
      <c r="K1999" t="s">
        <v>74</v>
      </c>
      <c r="L1999" t="s">
        <v>74</v>
      </c>
      <c r="M1999" t="s">
        <v>78</v>
      </c>
      <c r="N1999" t="s">
        <v>79</v>
      </c>
      <c r="O1999" t="s">
        <v>74</v>
      </c>
      <c r="P1999" t="s">
        <v>74</v>
      </c>
      <c r="Q1999" t="s">
        <v>74</v>
      </c>
      <c r="R1999" t="s">
        <v>74</v>
      </c>
      <c r="S1999" t="s">
        <v>74</v>
      </c>
      <c r="T1999" t="s">
        <v>18457</v>
      </c>
      <c r="U1999" t="s">
        <v>74</v>
      </c>
      <c r="V1999" t="s">
        <v>18456</v>
      </c>
      <c r="W1999" t="s">
        <v>18455</v>
      </c>
      <c r="X1999" t="s">
        <v>18454</v>
      </c>
      <c r="Y1999" t="s">
        <v>18453</v>
      </c>
      <c r="Z1999" t="s">
        <v>18452</v>
      </c>
      <c r="AA1999" t="s">
        <v>74</v>
      </c>
      <c r="AB1999" t="s">
        <v>74</v>
      </c>
      <c r="AC1999" t="s">
        <v>74</v>
      </c>
      <c r="AD1999" t="s">
        <v>74</v>
      </c>
      <c r="AE1999" t="s">
        <v>74</v>
      </c>
      <c r="AF1999" t="s">
        <v>74</v>
      </c>
      <c r="AG1999">
        <v>37</v>
      </c>
      <c r="AH1999">
        <v>3</v>
      </c>
      <c r="AI1999">
        <v>6</v>
      </c>
      <c r="AJ1999">
        <v>1</v>
      </c>
      <c r="AK1999">
        <v>7</v>
      </c>
      <c r="AL1999" t="s">
        <v>2481</v>
      </c>
      <c r="AM1999" t="s">
        <v>2482</v>
      </c>
      <c r="AN1999" t="s">
        <v>2483</v>
      </c>
      <c r="AO1999" t="s">
        <v>3443</v>
      </c>
      <c r="AP1999" t="s">
        <v>74</v>
      </c>
      <c r="AQ1999" t="s">
        <v>74</v>
      </c>
      <c r="AR1999" t="s">
        <v>3444</v>
      </c>
      <c r="AS1999" t="s">
        <v>3445</v>
      </c>
      <c r="AT1999" t="s">
        <v>2970</v>
      </c>
      <c r="AU1999">
        <v>2022</v>
      </c>
      <c r="AV1999">
        <v>10</v>
      </c>
      <c r="AW1999">
        <v>1</v>
      </c>
      <c r="AX1999" t="s">
        <v>74</v>
      </c>
      <c r="AY1999" t="s">
        <v>74</v>
      </c>
      <c r="AZ1999" t="s">
        <v>74</v>
      </c>
      <c r="BA1999" t="s">
        <v>74</v>
      </c>
      <c r="BB1999" t="s">
        <v>74</v>
      </c>
      <c r="BC1999" t="s">
        <v>74</v>
      </c>
      <c r="BD1999">
        <v>2136237</v>
      </c>
      <c r="BE1999" t="s">
        <v>18451</v>
      </c>
      <c r="BF1999" t="str">
        <f>HYPERLINK("http://dx.doi.org/10.1080/23322039.2022.2136237","http://dx.doi.org/10.1080/23322039.2022.2136237")</f>
        <v>http://dx.doi.org/10.1080/23322039.2022.2136237</v>
      </c>
      <c r="BG1999" t="s">
        <v>74</v>
      </c>
      <c r="BH1999" t="s">
        <v>74</v>
      </c>
      <c r="BI1999">
        <v>29</v>
      </c>
      <c r="BJ1999" t="s">
        <v>291</v>
      </c>
      <c r="BK1999" t="s">
        <v>313</v>
      </c>
      <c r="BL1999" t="s">
        <v>100</v>
      </c>
      <c r="BM1999" t="s">
        <v>18450</v>
      </c>
      <c r="BN1999" t="s">
        <v>74</v>
      </c>
      <c r="BO1999" t="s">
        <v>916</v>
      </c>
      <c r="BP1999" t="s">
        <v>74</v>
      </c>
      <c r="BQ1999" t="s">
        <v>74</v>
      </c>
      <c r="BR1999" t="s">
        <v>102</v>
      </c>
      <c r="BS1999" t="s">
        <v>18449</v>
      </c>
      <c r="BT1999" t="str">
        <f>HYPERLINK("https%3A%2F%2Fwww.webofscience.com%2Fwos%2Fwoscc%2Ffull-record%2FWOS:000871631900001","View Full Record in Web of Science")</f>
        <v>View Full Record in Web of Science</v>
      </c>
    </row>
    <row r="2000" spans="1:72" x14ac:dyDescent="0.25">
      <c r="A2000" t="s">
        <v>72</v>
      </c>
      <c r="B2000" t="s">
        <v>18448</v>
      </c>
      <c r="C2000" t="s">
        <v>74</v>
      </c>
      <c r="D2000" t="s">
        <v>74</v>
      </c>
      <c r="E2000" t="s">
        <v>74</v>
      </c>
      <c r="F2000" t="s">
        <v>18447</v>
      </c>
      <c r="G2000" t="s">
        <v>74</v>
      </c>
      <c r="H2000" t="s">
        <v>74</v>
      </c>
      <c r="I2000" t="s">
        <v>18446</v>
      </c>
      <c r="J2000" t="s">
        <v>18445</v>
      </c>
      <c r="K2000" t="s">
        <v>74</v>
      </c>
      <c r="L2000" t="s">
        <v>74</v>
      </c>
      <c r="M2000" t="s">
        <v>78</v>
      </c>
      <c r="N2000" t="s">
        <v>79</v>
      </c>
      <c r="O2000" t="s">
        <v>74</v>
      </c>
      <c r="P2000" t="s">
        <v>74</v>
      </c>
      <c r="Q2000" t="s">
        <v>74</v>
      </c>
      <c r="R2000" t="s">
        <v>74</v>
      </c>
      <c r="S2000" t="s">
        <v>74</v>
      </c>
      <c r="T2000" t="s">
        <v>18444</v>
      </c>
      <c r="U2000" t="s">
        <v>18443</v>
      </c>
      <c r="V2000" t="s">
        <v>18442</v>
      </c>
      <c r="W2000" t="s">
        <v>18441</v>
      </c>
      <c r="X2000" t="s">
        <v>18440</v>
      </c>
      <c r="Y2000" t="s">
        <v>18439</v>
      </c>
      <c r="Z2000" t="s">
        <v>18438</v>
      </c>
      <c r="AA2000" t="s">
        <v>18437</v>
      </c>
      <c r="AB2000" t="s">
        <v>18436</v>
      </c>
      <c r="AC2000" t="s">
        <v>74</v>
      </c>
      <c r="AD2000" t="s">
        <v>74</v>
      </c>
      <c r="AE2000" t="s">
        <v>74</v>
      </c>
      <c r="AF2000" t="s">
        <v>74</v>
      </c>
      <c r="AG2000">
        <v>85</v>
      </c>
      <c r="AH2000">
        <v>2</v>
      </c>
      <c r="AI2000">
        <v>2</v>
      </c>
      <c r="AJ2000">
        <v>2</v>
      </c>
      <c r="AK2000">
        <v>13</v>
      </c>
      <c r="AL2000" t="s">
        <v>2371</v>
      </c>
      <c r="AM2000" t="s">
        <v>2372</v>
      </c>
      <c r="AN2000" t="s">
        <v>2373</v>
      </c>
      <c r="AO2000" t="s">
        <v>18435</v>
      </c>
      <c r="AP2000" t="s">
        <v>18434</v>
      </c>
      <c r="AQ2000" t="s">
        <v>74</v>
      </c>
      <c r="AR2000" t="s">
        <v>18433</v>
      </c>
      <c r="AS2000" t="s">
        <v>18432</v>
      </c>
      <c r="AT2000" t="s">
        <v>74</v>
      </c>
      <c r="AU2000">
        <v>2023</v>
      </c>
      <c r="AV2000">
        <v>50</v>
      </c>
      <c r="AW2000">
        <v>4</v>
      </c>
      <c r="AX2000" t="s">
        <v>74</v>
      </c>
      <c r="AY2000" t="s">
        <v>74</v>
      </c>
      <c r="AZ2000" t="s">
        <v>74</v>
      </c>
      <c r="BA2000" t="s">
        <v>74</v>
      </c>
      <c r="BB2000" t="s">
        <v>74</v>
      </c>
      <c r="BC2000" t="s">
        <v>74</v>
      </c>
      <c r="BD2000" t="s">
        <v>74</v>
      </c>
      <c r="BE2000" t="s">
        <v>18431</v>
      </c>
      <c r="BF2000" t="str">
        <f>HYPERLINK("http://dx.doi.org/10.1504/IJESB.2023.134687","http://dx.doi.org/10.1504/IJESB.2023.134687")</f>
        <v>http://dx.doi.org/10.1504/IJESB.2023.134687</v>
      </c>
      <c r="BG2000" t="s">
        <v>74</v>
      </c>
      <c r="BH2000" t="s">
        <v>74</v>
      </c>
      <c r="BI2000">
        <v>24</v>
      </c>
      <c r="BJ2000" t="s">
        <v>98</v>
      </c>
      <c r="BK2000" t="s">
        <v>313</v>
      </c>
      <c r="BL2000" t="s">
        <v>100</v>
      </c>
      <c r="BM2000" t="s">
        <v>18430</v>
      </c>
      <c r="BN2000" t="s">
        <v>74</v>
      </c>
      <c r="BO2000" t="s">
        <v>74</v>
      </c>
      <c r="BP2000" t="s">
        <v>74</v>
      </c>
      <c r="BQ2000" t="s">
        <v>74</v>
      </c>
      <c r="BR2000" t="s">
        <v>102</v>
      </c>
      <c r="BS2000" t="s">
        <v>18429</v>
      </c>
      <c r="BT2000" t="str">
        <f>HYPERLINK("https%3A%2F%2Fwww.webofscience.com%2Fwos%2Fwoscc%2Ffull-record%2FWOS:001215702100002","View Full Record in Web of Science")</f>
        <v>View Full Record in Web of Science</v>
      </c>
    </row>
    <row r="2001" spans="1:72" x14ac:dyDescent="0.25">
      <c r="A2001" t="s">
        <v>72</v>
      </c>
      <c r="B2001" t="s">
        <v>18428</v>
      </c>
      <c r="C2001" t="s">
        <v>74</v>
      </c>
      <c r="D2001" t="s">
        <v>74</v>
      </c>
      <c r="E2001" t="s">
        <v>74</v>
      </c>
      <c r="F2001" t="s">
        <v>18427</v>
      </c>
      <c r="G2001" t="s">
        <v>74</v>
      </c>
      <c r="H2001" t="s">
        <v>74</v>
      </c>
      <c r="I2001" t="s">
        <v>18426</v>
      </c>
      <c r="J2001" t="s">
        <v>18425</v>
      </c>
      <c r="K2001" t="s">
        <v>74</v>
      </c>
      <c r="L2001" t="s">
        <v>74</v>
      </c>
      <c r="M2001" t="s">
        <v>78</v>
      </c>
      <c r="N2001" t="s">
        <v>2335</v>
      </c>
      <c r="O2001" t="s">
        <v>74</v>
      </c>
      <c r="P2001" t="s">
        <v>74</v>
      </c>
      <c r="Q2001" t="s">
        <v>74</v>
      </c>
      <c r="R2001" t="s">
        <v>74</v>
      </c>
      <c r="S2001" t="s">
        <v>74</v>
      </c>
      <c r="T2001" t="s">
        <v>18424</v>
      </c>
      <c r="U2001" t="s">
        <v>1946</v>
      </c>
      <c r="V2001" t="s">
        <v>18423</v>
      </c>
      <c r="W2001" t="s">
        <v>18422</v>
      </c>
      <c r="X2001" t="s">
        <v>18421</v>
      </c>
      <c r="Y2001" t="s">
        <v>18420</v>
      </c>
      <c r="Z2001" t="s">
        <v>18419</v>
      </c>
      <c r="AA2001" t="s">
        <v>74</v>
      </c>
      <c r="AB2001" t="s">
        <v>74</v>
      </c>
      <c r="AC2001" t="s">
        <v>74</v>
      </c>
      <c r="AD2001" t="s">
        <v>74</v>
      </c>
      <c r="AE2001" t="s">
        <v>74</v>
      </c>
      <c r="AF2001" t="s">
        <v>74</v>
      </c>
      <c r="AG2001">
        <v>13</v>
      </c>
      <c r="AH2001">
        <v>2</v>
      </c>
      <c r="AI2001">
        <v>3</v>
      </c>
      <c r="AJ2001">
        <v>0</v>
      </c>
      <c r="AK2001">
        <v>5</v>
      </c>
      <c r="AL2001" t="s">
        <v>18418</v>
      </c>
      <c r="AM2001" t="s">
        <v>18417</v>
      </c>
      <c r="AN2001" t="s">
        <v>18416</v>
      </c>
      <c r="AO2001" t="s">
        <v>18415</v>
      </c>
      <c r="AP2001" t="s">
        <v>18414</v>
      </c>
      <c r="AQ2001" t="s">
        <v>74</v>
      </c>
      <c r="AR2001" t="s">
        <v>18413</v>
      </c>
      <c r="AS2001" t="s">
        <v>18412</v>
      </c>
      <c r="AT2001" t="s">
        <v>891</v>
      </c>
      <c r="AU2001">
        <v>2014</v>
      </c>
      <c r="AV2001">
        <v>25</v>
      </c>
      <c r="AW2001">
        <v>4</v>
      </c>
      <c r="AX2001" t="s">
        <v>74</v>
      </c>
      <c r="AY2001" t="s">
        <v>74</v>
      </c>
      <c r="AZ2001" t="s">
        <v>74</v>
      </c>
      <c r="BA2001" t="s">
        <v>74</v>
      </c>
      <c r="BB2001">
        <v>1718</v>
      </c>
      <c r="BC2001">
        <v>1722</v>
      </c>
      <c r="BD2001" t="s">
        <v>74</v>
      </c>
      <c r="BE2001" t="s">
        <v>18411</v>
      </c>
      <c r="BF2001" t="str">
        <f>HYPERLINK("http://dx.doi.org/10.1353/hpu.2014.0169","http://dx.doi.org/10.1353/hpu.2014.0169")</f>
        <v>http://dx.doi.org/10.1353/hpu.2014.0169</v>
      </c>
      <c r="BG2001" t="s">
        <v>74</v>
      </c>
      <c r="BH2001" t="s">
        <v>74</v>
      </c>
      <c r="BI2001">
        <v>5</v>
      </c>
      <c r="BJ2001" t="s">
        <v>7701</v>
      </c>
      <c r="BK2001" t="s">
        <v>99</v>
      </c>
      <c r="BL2001" t="s">
        <v>7702</v>
      </c>
      <c r="BM2001" t="s">
        <v>18410</v>
      </c>
      <c r="BN2001">
        <v>25418237</v>
      </c>
      <c r="BO2001" t="s">
        <v>74</v>
      </c>
      <c r="BP2001" t="s">
        <v>74</v>
      </c>
      <c r="BQ2001" t="s">
        <v>74</v>
      </c>
      <c r="BR2001" t="s">
        <v>102</v>
      </c>
      <c r="BS2001" t="s">
        <v>18409</v>
      </c>
      <c r="BT2001" t="str">
        <f>HYPERLINK("https%3A%2F%2Fwww.webofscience.com%2Fwos%2Fwoscc%2Ffull-record%2FWOS:000345732200019","View Full Record in Web of Science")</f>
        <v>View Full Record in Web of Science</v>
      </c>
    </row>
    <row r="2002" spans="1:72" x14ac:dyDescent="0.25">
      <c r="A2002" t="s">
        <v>132</v>
      </c>
      <c r="B2002" t="s">
        <v>34376</v>
      </c>
      <c r="C2002" t="s">
        <v>74</v>
      </c>
      <c r="D2002" t="s">
        <v>8654</v>
      </c>
      <c r="E2002" t="s">
        <v>74</v>
      </c>
      <c r="F2002" t="s">
        <v>34377</v>
      </c>
      <c r="G2002" t="s">
        <v>74</v>
      </c>
      <c r="H2002" t="s">
        <v>74</v>
      </c>
      <c r="I2002" t="s">
        <v>34378</v>
      </c>
      <c r="J2002" t="s">
        <v>8657</v>
      </c>
      <c r="K2002" t="s">
        <v>8658</v>
      </c>
      <c r="L2002" t="s">
        <v>74</v>
      </c>
      <c r="M2002" t="s">
        <v>78</v>
      </c>
      <c r="N2002" t="s">
        <v>138</v>
      </c>
      <c r="O2002" t="s">
        <v>8659</v>
      </c>
      <c r="P2002" t="s">
        <v>8660</v>
      </c>
      <c r="Q2002" t="s">
        <v>1550</v>
      </c>
      <c r="R2002" t="s">
        <v>8661</v>
      </c>
      <c r="S2002" t="s">
        <v>74</v>
      </c>
      <c r="T2002" t="s">
        <v>34379</v>
      </c>
      <c r="U2002" t="s">
        <v>34380</v>
      </c>
      <c r="V2002" t="s">
        <v>34381</v>
      </c>
      <c r="W2002" t="s">
        <v>34382</v>
      </c>
      <c r="X2002" t="s">
        <v>27156</v>
      </c>
      <c r="Y2002" t="s">
        <v>34383</v>
      </c>
      <c r="Z2002" t="s">
        <v>34384</v>
      </c>
      <c r="AA2002" t="s">
        <v>34385</v>
      </c>
      <c r="AB2002" t="s">
        <v>74</v>
      </c>
      <c r="AC2002" t="s">
        <v>34386</v>
      </c>
      <c r="AD2002" t="s">
        <v>27151</v>
      </c>
      <c r="AE2002" t="s">
        <v>34387</v>
      </c>
      <c r="AF2002" t="s">
        <v>74</v>
      </c>
      <c r="AG2002">
        <v>48</v>
      </c>
      <c r="AH2002">
        <v>0</v>
      </c>
      <c r="AI2002">
        <v>0</v>
      </c>
      <c r="AJ2002">
        <v>1</v>
      </c>
      <c r="AK2002">
        <v>10</v>
      </c>
      <c r="AL2002" t="s">
        <v>4605</v>
      </c>
      <c r="AM2002" t="s">
        <v>4280</v>
      </c>
      <c r="AN2002" t="s">
        <v>8671</v>
      </c>
      <c r="AO2002" t="s">
        <v>8672</v>
      </c>
      <c r="AP2002" t="s">
        <v>74</v>
      </c>
      <c r="AQ2002" t="s">
        <v>8673</v>
      </c>
      <c r="AR2002" t="s">
        <v>8674</v>
      </c>
      <c r="AS2002" t="s">
        <v>74</v>
      </c>
      <c r="AT2002" t="s">
        <v>74</v>
      </c>
      <c r="AU2002">
        <v>2020</v>
      </c>
      <c r="AV2002" t="s">
        <v>74</v>
      </c>
      <c r="AW2002" t="s">
        <v>74</v>
      </c>
      <c r="AX2002" t="s">
        <v>74</v>
      </c>
      <c r="AY2002" t="s">
        <v>74</v>
      </c>
      <c r="AZ2002" t="s">
        <v>74</v>
      </c>
      <c r="BA2002" t="s">
        <v>74</v>
      </c>
      <c r="BB2002">
        <v>430</v>
      </c>
      <c r="BC2002">
        <v>444</v>
      </c>
      <c r="BD2002" t="s">
        <v>74</v>
      </c>
      <c r="BE2002" t="s">
        <v>34388</v>
      </c>
      <c r="BF2002" t="str">
        <f>HYPERLINK("http://dx.doi.org/10.2478/9788366675162-045","http://dx.doi.org/10.2478/9788366675162-045")</f>
        <v>http://dx.doi.org/10.2478/9788366675162-045</v>
      </c>
      <c r="BG2002" t="s">
        <v>74</v>
      </c>
      <c r="BH2002" t="s">
        <v>74</v>
      </c>
      <c r="BI2002">
        <v>15</v>
      </c>
      <c r="BJ2002" t="s">
        <v>8676</v>
      </c>
      <c r="BK2002" t="s">
        <v>183</v>
      </c>
      <c r="BL2002" t="s">
        <v>7292</v>
      </c>
      <c r="BM2002" t="s">
        <v>8677</v>
      </c>
      <c r="BN2002" t="s">
        <v>74</v>
      </c>
      <c r="BO2002" t="s">
        <v>74</v>
      </c>
      <c r="BP2002" t="s">
        <v>74</v>
      </c>
      <c r="BQ2002" t="s">
        <v>74</v>
      </c>
      <c r="BR2002" t="s">
        <v>102</v>
      </c>
      <c r="BS2002" t="s">
        <v>34389</v>
      </c>
      <c r="BT2002" t="str">
        <f>HYPERLINK("https%3A%2F%2Fwww.webofscience.com%2Fwos%2Fwoscc%2Ffull-record%2FWOS:000763773400044","View Full Record in Web of Science")</f>
        <v>View Full Record in Web of Science</v>
      </c>
    </row>
    <row r="2003" spans="1:72" x14ac:dyDescent="0.25">
      <c r="A2003" t="s">
        <v>72</v>
      </c>
      <c r="B2003" t="s">
        <v>34390</v>
      </c>
      <c r="C2003" t="s">
        <v>74</v>
      </c>
      <c r="D2003" t="s">
        <v>74</v>
      </c>
      <c r="E2003" t="s">
        <v>74</v>
      </c>
      <c r="F2003" t="s">
        <v>34391</v>
      </c>
      <c r="G2003" t="s">
        <v>74</v>
      </c>
      <c r="H2003" t="s">
        <v>74</v>
      </c>
      <c r="I2003" t="s">
        <v>34392</v>
      </c>
      <c r="J2003" t="s">
        <v>12840</v>
      </c>
      <c r="K2003" t="s">
        <v>74</v>
      </c>
      <c r="L2003" t="s">
        <v>74</v>
      </c>
      <c r="M2003" t="s">
        <v>298</v>
      </c>
      <c r="N2003" t="s">
        <v>79</v>
      </c>
      <c r="O2003" t="s">
        <v>74</v>
      </c>
      <c r="P2003" t="s">
        <v>74</v>
      </c>
      <c r="Q2003" t="s">
        <v>74</v>
      </c>
      <c r="R2003" t="s">
        <v>74</v>
      </c>
      <c r="S2003" t="s">
        <v>74</v>
      </c>
      <c r="T2003" t="s">
        <v>34393</v>
      </c>
      <c r="U2003" t="s">
        <v>34394</v>
      </c>
      <c r="V2003" t="s">
        <v>34395</v>
      </c>
      <c r="W2003" t="s">
        <v>34396</v>
      </c>
      <c r="X2003" t="s">
        <v>34397</v>
      </c>
      <c r="Y2003" t="s">
        <v>34398</v>
      </c>
      <c r="Z2003" t="s">
        <v>34399</v>
      </c>
      <c r="AA2003" t="s">
        <v>74</v>
      </c>
      <c r="AB2003" t="s">
        <v>34400</v>
      </c>
      <c r="AC2003" t="s">
        <v>74</v>
      </c>
      <c r="AD2003" t="s">
        <v>74</v>
      </c>
      <c r="AE2003" t="s">
        <v>74</v>
      </c>
      <c r="AF2003" t="s">
        <v>74</v>
      </c>
      <c r="AG2003">
        <v>66</v>
      </c>
      <c r="AH2003">
        <v>1</v>
      </c>
      <c r="AI2003">
        <v>7</v>
      </c>
      <c r="AJ2003">
        <v>0</v>
      </c>
      <c r="AK2003">
        <v>21</v>
      </c>
      <c r="AL2003" t="s">
        <v>12847</v>
      </c>
      <c r="AM2003" t="s">
        <v>12848</v>
      </c>
      <c r="AN2003" t="s">
        <v>12849</v>
      </c>
      <c r="AO2003" t="s">
        <v>12850</v>
      </c>
      <c r="AP2003" t="s">
        <v>12851</v>
      </c>
      <c r="AQ2003" t="s">
        <v>74</v>
      </c>
      <c r="AR2003" t="s">
        <v>12840</v>
      </c>
      <c r="AS2003" t="s">
        <v>12852</v>
      </c>
      <c r="AT2003" t="s">
        <v>74</v>
      </c>
      <c r="AU2003">
        <v>2018</v>
      </c>
      <c r="AV2003" t="s">
        <v>74</v>
      </c>
      <c r="AW2003">
        <v>81</v>
      </c>
      <c r="AX2003" t="s">
        <v>74</v>
      </c>
      <c r="AY2003" t="s">
        <v>74</v>
      </c>
      <c r="AZ2003" t="s">
        <v>74</v>
      </c>
      <c r="BA2003" t="s">
        <v>74</v>
      </c>
      <c r="BB2003">
        <v>405</v>
      </c>
      <c r="BC2003">
        <v>439</v>
      </c>
      <c r="BD2003" t="s">
        <v>74</v>
      </c>
      <c r="BE2003" t="s">
        <v>34401</v>
      </c>
      <c r="BF2003" t="str">
        <f>HYPERLINK("http://dx.doi.org/10.18800/derechopucp.201802.013","http://dx.doi.org/10.18800/derechopucp.201802.013")</f>
        <v>http://dx.doi.org/10.18800/derechopucp.201802.013</v>
      </c>
      <c r="BG2003" t="s">
        <v>74</v>
      </c>
      <c r="BH2003" t="s">
        <v>74</v>
      </c>
      <c r="BI2003">
        <v>35</v>
      </c>
      <c r="BJ2003" t="s">
        <v>182</v>
      </c>
      <c r="BK2003" t="s">
        <v>313</v>
      </c>
      <c r="BL2003" t="s">
        <v>184</v>
      </c>
      <c r="BM2003" t="s">
        <v>34402</v>
      </c>
      <c r="BN2003" t="s">
        <v>74</v>
      </c>
      <c r="BO2003" t="s">
        <v>916</v>
      </c>
      <c r="BP2003" t="s">
        <v>74</v>
      </c>
      <c r="BQ2003" t="s">
        <v>74</v>
      </c>
      <c r="BR2003" t="s">
        <v>102</v>
      </c>
      <c r="BS2003" t="s">
        <v>34403</v>
      </c>
      <c r="BT2003" t="str">
        <f>HYPERLINK("https%3A%2F%2Fwww.webofscience.com%2Fwos%2Fwoscc%2Ffull-record%2FWOS:000451719800013","View Full Record in Web of Science")</f>
        <v>View Full Record in Web of Science</v>
      </c>
    </row>
    <row r="2004" spans="1:72" x14ac:dyDescent="0.25">
      <c r="A2004" t="s">
        <v>72</v>
      </c>
      <c r="B2004" t="s">
        <v>34404</v>
      </c>
      <c r="C2004" t="s">
        <v>74</v>
      </c>
      <c r="D2004" t="s">
        <v>74</v>
      </c>
      <c r="E2004" t="s">
        <v>74</v>
      </c>
      <c r="F2004" t="s">
        <v>34405</v>
      </c>
      <c r="G2004" t="s">
        <v>74</v>
      </c>
      <c r="H2004" t="s">
        <v>74</v>
      </c>
      <c r="I2004" t="s">
        <v>34406</v>
      </c>
      <c r="J2004" t="s">
        <v>4472</v>
      </c>
      <c r="K2004" t="s">
        <v>74</v>
      </c>
      <c r="L2004" t="s">
        <v>74</v>
      </c>
      <c r="M2004" t="s">
        <v>78</v>
      </c>
      <c r="N2004" t="s">
        <v>79</v>
      </c>
      <c r="O2004" t="s">
        <v>74</v>
      </c>
      <c r="P2004" t="s">
        <v>74</v>
      </c>
      <c r="Q2004" t="s">
        <v>74</v>
      </c>
      <c r="R2004" t="s">
        <v>74</v>
      </c>
      <c r="S2004" t="s">
        <v>74</v>
      </c>
      <c r="T2004" t="s">
        <v>34407</v>
      </c>
      <c r="U2004" t="s">
        <v>34408</v>
      </c>
      <c r="V2004" t="s">
        <v>34409</v>
      </c>
      <c r="W2004" t="s">
        <v>34410</v>
      </c>
      <c r="X2004" t="s">
        <v>3960</v>
      </c>
      <c r="Y2004" t="s">
        <v>34411</v>
      </c>
      <c r="Z2004" t="s">
        <v>34412</v>
      </c>
      <c r="AA2004" t="s">
        <v>34413</v>
      </c>
      <c r="AB2004" t="s">
        <v>34414</v>
      </c>
      <c r="AC2004" t="s">
        <v>74</v>
      </c>
      <c r="AD2004" t="s">
        <v>74</v>
      </c>
      <c r="AE2004" t="s">
        <v>74</v>
      </c>
      <c r="AF2004" t="s">
        <v>74</v>
      </c>
      <c r="AG2004">
        <v>89</v>
      </c>
      <c r="AH2004">
        <v>4</v>
      </c>
      <c r="AI2004">
        <v>8</v>
      </c>
      <c r="AJ2004">
        <v>0</v>
      </c>
      <c r="AK2004">
        <v>4</v>
      </c>
      <c r="AL2004" t="s">
        <v>4485</v>
      </c>
      <c r="AM2004" t="s">
        <v>6724</v>
      </c>
      <c r="AN2004" t="s">
        <v>6725</v>
      </c>
      <c r="AO2004" t="s">
        <v>4487</v>
      </c>
      <c r="AP2004" t="s">
        <v>4488</v>
      </c>
      <c r="AQ2004" t="s">
        <v>74</v>
      </c>
      <c r="AR2004" t="s">
        <v>4489</v>
      </c>
      <c r="AS2004" t="s">
        <v>4490</v>
      </c>
      <c r="AT2004" t="s">
        <v>289</v>
      </c>
      <c r="AU2004">
        <v>2023</v>
      </c>
      <c r="AV2004">
        <v>74</v>
      </c>
      <c r="AW2004" t="s">
        <v>74</v>
      </c>
      <c r="AX2004" t="s">
        <v>74</v>
      </c>
      <c r="AY2004" t="s">
        <v>74</v>
      </c>
      <c r="AZ2004" t="s">
        <v>74</v>
      </c>
      <c r="BA2004" t="s">
        <v>74</v>
      </c>
      <c r="BB2004" t="s">
        <v>74</v>
      </c>
      <c r="BC2004" t="s">
        <v>74</v>
      </c>
      <c r="BD2004">
        <v>102312</v>
      </c>
      <c r="BE2004" t="s">
        <v>34415</v>
      </c>
      <c r="BF2004" t="str">
        <f>HYPERLINK("http://dx.doi.org/10.1016/j.techsoc.2023.102312","http://dx.doi.org/10.1016/j.techsoc.2023.102312")</f>
        <v>http://dx.doi.org/10.1016/j.techsoc.2023.102312</v>
      </c>
      <c r="BG2004" t="s">
        <v>74</v>
      </c>
      <c r="BH2004" t="s">
        <v>700</v>
      </c>
      <c r="BI2004">
        <v>8</v>
      </c>
      <c r="BJ2004" t="s">
        <v>4492</v>
      </c>
      <c r="BK2004" t="s">
        <v>99</v>
      </c>
      <c r="BL2004" t="s">
        <v>4494</v>
      </c>
      <c r="BM2004" t="s">
        <v>34416</v>
      </c>
      <c r="BN2004" t="s">
        <v>74</v>
      </c>
      <c r="BO2004" t="s">
        <v>74</v>
      </c>
      <c r="BP2004" t="s">
        <v>74</v>
      </c>
      <c r="BQ2004" t="s">
        <v>74</v>
      </c>
      <c r="BR2004" t="s">
        <v>102</v>
      </c>
      <c r="BS2004" t="s">
        <v>34417</v>
      </c>
      <c r="BT2004" t="str">
        <f>HYPERLINK("https%3A%2F%2Fwww.webofscience.com%2Fwos%2Fwoscc%2Ffull-record%2FWOS:001047809900001","View Full Record in Web of Science")</f>
        <v>View Full Record in Web of Science</v>
      </c>
    </row>
    <row r="2005" spans="1:72" x14ac:dyDescent="0.25">
      <c r="A2005" t="s">
        <v>72</v>
      </c>
      <c r="B2005" t="s">
        <v>34418</v>
      </c>
      <c r="C2005" t="s">
        <v>74</v>
      </c>
      <c r="D2005" t="s">
        <v>74</v>
      </c>
      <c r="E2005" t="s">
        <v>74</v>
      </c>
      <c r="F2005" t="s">
        <v>34419</v>
      </c>
      <c r="G2005" t="s">
        <v>74</v>
      </c>
      <c r="H2005" t="s">
        <v>74</v>
      </c>
      <c r="I2005" t="s">
        <v>34420</v>
      </c>
      <c r="J2005" t="s">
        <v>1510</v>
      </c>
      <c r="K2005" t="s">
        <v>74</v>
      </c>
      <c r="L2005" t="s">
        <v>74</v>
      </c>
      <c r="M2005" t="s">
        <v>78</v>
      </c>
      <c r="N2005" t="s">
        <v>79</v>
      </c>
      <c r="O2005" t="s">
        <v>74</v>
      </c>
      <c r="P2005" t="s">
        <v>74</v>
      </c>
      <c r="Q2005" t="s">
        <v>74</v>
      </c>
      <c r="R2005" t="s">
        <v>74</v>
      </c>
      <c r="S2005" t="s">
        <v>74</v>
      </c>
      <c r="T2005" t="s">
        <v>34421</v>
      </c>
      <c r="U2005" t="s">
        <v>8565</v>
      </c>
      <c r="V2005" t="s">
        <v>34422</v>
      </c>
      <c r="W2005" t="s">
        <v>34423</v>
      </c>
      <c r="X2005" t="s">
        <v>74</v>
      </c>
      <c r="Y2005" t="s">
        <v>34424</v>
      </c>
      <c r="Z2005" t="s">
        <v>34425</v>
      </c>
      <c r="AA2005" t="s">
        <v>34426</v>
      </c>
      <c r="AB2005" t="s">
        <v>6163</v>
      </c>
      <c r="AC2005" t="s">
        <v>74</v>
      </c>
      <c r="AD2005" t="s">
        <v>74</v>
      </c>
      <c r="AE2005" t="s">
        <v>74</v>
      </c>
      <c r="AF2005" t="s">
        <v>74</v>
      </c>
      <c r="AG2005">
        <v>49</v>
      </c>
      <c r="AH2005">
        <v>9</v>
      </c>
      <c r="AI2005">
        <v>11</v>
      </c>
      <c r="AJ2005">
        <v>0</v>
      </c>
      <c r="AK2005">
        <v>7</v>
      </c>
      <c r="AL2005" t="s">
        <v>89</v>
      </c>
      <c r="AM2005" t="s">
        <v>1497</v>
      </c>
      <c r="AN2005" t="s">
        <v>1498</v>
      </c>
      <c r="AO2005" t="s">
        <v>1519</v>
      </c>
      <c r="AP2005" t="s">
        <v>1520</v>
      </c>
      <c r="AQ2005" t="s">
        <v>74</v>
      </c>
      <c r="AR2005" t="s">
        <v>1521</v>
      </c>
      <c r="AS2005" t="s">
        <v>1522</v>
      </c>
      <c r="AT2005" t="s">
        <v>17652</v>
      </c>
      <c r="AU2005">
        <v>2020</v>
      </c>
      <c r="AV2005">
        <v>47</v>
      </c>
      <c r="AW2005">
        <v>7</v>
      </c>
      <c r="AX2005" t="s">
        <v>74</v>
      </c>
      <c r="AY2005" t="s">
        <v>74</v>
      </c>
      <c r="AZ2005" t="s">
        <v>74</v>
      </c>
      <c r="BA2005" t="s">
        <v>74</v>
      </c>
      <c r="BB2005">
        <v>809</v>
      </c>
      <c r="BC2005">
        <v>829</v>
      </c>
      <c r="BD2005" t="s">
        <v>74</v>
      </c>
      <c r="BE2005" t="s">
        <v>34427</v>
      </c>
      <c r="BF2005" t="str">
        <f>HYPERLINK("http://dx.doi.org/10.1108/IJSE-10-2019-0612","http://dx.doi.org/10.1108/IJSE-10-2019-0612")</f>
        <v>http://dx.doi.org/10.1108/IJSE-10-2019-0612</v>
      </c>
      <c r="BG2005" t="s">
        <v>74</v>
      </c>
      <c r="BH2005" t="s">
        <v>960</v>
      </c>
      <c r="BI2005">
        <v>21</v>
      </c>
      <c r="BJ2005" t="s">
        <v>291</v>
      </c>
      <c r="BK2005" t="s">
        <v>313</v>
      </c>
      <c r="BL2005" t="s">
        <v>100</v>
      </c>
      <c r="BM2005" t="s">
        <v>34428</v>
      </c>
      <c r="BN2005" t="s">
        <v>74</v>
      </c>
      <c r="BO2005" t="s">
        <v>74</v>
      </c>
      <c r="BP2005" t="s">
        <v>74</v>
      </c>
      <c r="BQ2005" t="s">
        <v>74</v>
      </c>
      <c r="BR2005" t="s">
        <v>102</v>
      </c>
      <c r="BS2005" t="s">
        <v>34429</v>
      </c>
      <c r="BT2005" t="str">
        <f>HYPERLINK("https%3A%2F%2Fwww.webofscience.com%2Fwos%2Fwoscc%2Ffull-record%2FWOS:000541862800001","View Full Record in Web of Science")</f>
        <v>View Full Record in Web of Science</v>
      </c>
    </row>
    <row r="2006" spans="1:72" x14ac:dyDescent="0.25">
      <c r="A2006" t="s">
        <v>72</v>
      </c>
      <c r="B2006" t="s">
        <v>34430</v>
      </c>
      <c r="C2006" t="s">
        <v>74</v>
      </c>
      <c r="D2006" t="s">
        <v>74</v>
      </c>
      <c r="E2006" t="s">
        <v>74</v>
      </c>
      <c r="F2006" t="s">
        <v>34431</v>
      </c>
      <c r="G2006" t="s">
        <v>74</v>
      </c>
      <c r="H2006" t="s">
        <v>74</v>
      </c>
      <c r="I2006" t="s">
        <v>34432</v>
      </c>
      <c r="J2006" t="s">
        <v>34433</v>
      </c>
      <c r="K2006" t="s">
        <v>74</v>
      </c>
      <c r="L2006" t="s">
        <v>74</v>
      </c>
      <c r="M2006" t="s">
        <v>78</v>
      </c>
      <c r="N2006" t="s">
        <v>372</v>
      </c>
      <c r="O2006" t="s">
        <v>74</v>
      </c>
      <c r="P2006" t="s">
        <v>74</v>
      </c>
      <c r="Q2006" t="s">
        <v>74</v>
      </c>
      <c r="R2006" t="s">
        <v>74</v>
      </c>
      <c r="S2006" t="s">
        <v>74</v>
      </c>
      <c r="T2006" t="s">
        <v>34434</v>
      </c>
      <c r="U2006" t="s">
        <v>34435</v>
      </c>
      <c r="V2006" t="s">
        <v>34436</v>
      </c>
      <c r="W2006" t="s">
        <v>34437</v>
      </c>
      <c r="X2006" t="s">
        <v>34438</v>
      </c>
      <c r="Y2006" t="s">
        <v>34439</v>
      </c>
      <c r="Z2006" t="s">
        <v>34440</v>
      </c>
      <c r="AA2006" t="s">
        <v>34441</v>
      </c>
      <c r="AB2006" t="s">
        <v>34442</v>
      </c>
      <c r="AC2006" t="s">
        <v>34443</v>
      </c>
      <c r="AD2006" t="s">
        <v>34444</v>
      </c>
      <c r="AE2006" t="s">
        <v>34445</v>
      </c>
      <c r="AF2006" t="s">
        <v>74</v>
      </c>
      <c r="AG2006">
        <v>75</v>
      </c>
      <c r="AH2006">
        <v>4</v>
      </c>
      <c r="AI2006">
        <v>4</v>
      </c>
      <c r="AJ2006">
        <v>1</v>
      </c>
      <c r="AK2006">
        <v>3</v>
      </c>
      <c r="AL2006" t="s">
        <v>332</v>
      </c>
      <c r="AM2006" t="s">
        <v>333</v>
      </c>
      <c r="AN2006" t="s">
        <v>334</v>
      </c>
      <c r="AO2006" t="s">
        <v>34446</v>
      </c>
      <c r="AP2006" t="s">
        <v>34447</v>
      </c>
      <c r="AQ2006" t="s">
        <v>74</v>
      </c>
      <c r="AR2006" t="s">
        <v>34448</v>
      </c>
      <c r="AS2006" t="s">
        <v>34449</v>
      </c>
      <c r="AT2006" t="s">
        <v>34450</v>
      </c>
      <c r="AU2006">
        <v>2024</v>
      </c>
      <c r="AV2006" t="s">
        <v>74</v>
      </c>
      <c r="AW2006" t="s">
        <v>74</v>
      </c>
      <c r="AX2006" t="s">
        <v>74</v>
      </c>
      <c r="AY2006" t="s">
        <v>74</v>
      </c>
      <c r="AZ2006" t="s">
        <v>74</v>
      </c>
      <c r="BA2006" t="s">
        <v>74</v>
      </c>
      <c r="BB2006" t="s">
        <v>74</v>
      </c>
      <c r="BC2006" t="s">
        <v>74</v>
      </c>
      <c r="BD2006" t="s">
        <v>74</v>
      </c>
      <c r="BE2006" t="s">
        <v>34451</v>
      </c>
      <c r="BF2006" t="str">
        <f>HYPERLINK("http://dx.doi.org/10.1080/19407963.2024.2371391","http://dx.doi.org/10.1080/19407963.2024.2371391")</f>
        <v>http://dx.doi.org/10.1080/19407963.2024.2371391</v>
      </c>
      <c r="BG2006" t="s">
        <v>74</v>
      </c>
      <c r="BH2006" t="s">
        <v>2524</v>
      </c>
      <c r="BI2006">
        <v>24</v>
      </c>
      <c r="BJ2006" t="s">
        <v>15096</v>
      </c>
      <c r="BK2006" t="s">
        <v>313</v>
      </c>
      <c r="BL2006" t="s">
        <v>365</v>
      </c>
      <c r="BM2006" t="s">
        <v>34452</v>
      </c>
      <c r="BN2006" t="s">
        <v>74</v>
      </c>
      <c r="BO2006" t="s">
        <v>74</v>
      </c>
      <c r="BP2006" t="s">
        <v>74</v>
      </c>
      <c r="BQ2006" t="s">
        <v>74</v>
      </c>
      <c r="BR2006" t="s">
        <v>102</v>
      </c>
      <c r="BS2006" t="s">
        <v>34453</v>
      </c>
      <c r="BT2006" t="str">
        <f>HYPERLINK("https%3A%2F%2Fwww.webofscience.com%2Fwos%2Fwoscc%2Ffull-record%2FWOS:001261621000001","View Full Record in Web of Science")</f>
        <v>View Full Record in Web of Science</v>
      </c>
    </row>
    <row r="2007" spans="1:72" x14ac:dyDescent="0.25">
      <c r="A2007" t="s">
        <v>72</v>
      </c>
      <c r="B2007" t="s">
        <v>34454</v>
      </c>
      <c r="C2007" t="s">
        <v>74</v>
      </c>
      <c r="D2007" t="s">
        <v>74</v>
      </c>
      <c r="E2007" t="s">
        <v>74</v>
      </c>
      <c r="F2007" t="s">
        <v>34455</v>
      </c>
      <c r="G2007" t="s">
        <v>74</v>
      </c>
      <c r="H2007" t="s">
        <v>74</v>
      </c>
      <c r="I2007" t="s">
        <v>34456</v>
      </c>
      <c r="J2007" t="s">
        <v>8942</v>
      </c>
      <c r="K2007" t="s">
        <v>74</v>
      </c>
      <c r="L2007" t="s">
        <v>74</v>
      </c>
      <c r="M2007" t="s">
        <v>78</v>
      </c>
      <c r="N2007" t="s">
        <v>79</v>
      </c>
      <c r="O2007" t="s">
        <v>74</v>
      </c>
      <c r="P2007" t="s">
        <v>74</v>
      </c>
      <c r="Q2007" t="s">
        <v>74</v>
      </c>
      <c r="R2007" t="s">
        <v>74</v>
      </c>
      <c r="S2007" t="s">
        <v>74</v>
      </c>
      <c r="T2007" t="s">
        <v>34457</v>
      </c>
      <c r="U2007" t="s">
        <v>74</v>
      </c>
      <c r="V2007" t="s">
        <v>34458</v>
      </c>
      <c r="W2007" t="s">
        <v>34459</v>
      </c>
      <c r="X2007" t="s">
        <v>10983</v>
      </c>
      <c r="Y2007" t="s">
        <v>34460</v>
      </c>
      <c r="Z2007" t="s">
        <v>34461</v>
      </c>
      <c r="AA2007" t="s">
        <v>74</v>
      </c>
      <c r="AB2007" t="s">
        <v>34462</v>
      </c>
      <c r="AC2007" t="s">
        <v>74</v>
      </c>
      <c r="AD2007" t="s">
        <v>74</v>
      </c>
      <c r="AE2007" t="s">
        <v>74</v>
      </c>
      <c r="AF2007" t="s">
        <v>74</v>
      </c>
      <c r="AG2007">
        <v>73</v>
      </c>
      <c r="AH2007">
        <v>1</v>
      </c>
      <c r="AI2007">
        <v>1</v>
      </c>
      <c r="AJ2007">
        <v>3</v>
      </c>
      <c r="AK2007">
        <v>7</v>
      </c>
      <c r="AL2007" t="s">
        <v>89</v>
      </c>
      <c r="AM2007" t="s">
        <v>90</v>
      </c>
      <c r="AN2007" t="s">
        <v>91</v>
      </c>
      <c r="AO2007" t="s">
        <v>8952</v>
      </c>
      <c r="AP2007" t="s">
        <v>8953</v>
      </c>
      <c r="AQ2007" t="s">
        <v>74</v>
      </c>
      <c r="AR2007" t="s">
        <v>8954</v>
      </c>
      <c r="AS2007" t="s">
        <v>8955</v>
      </c>
      <c r="AT2007" t="s">
        <v>34463</v>
      </c>
      <c r="AU2007">
        <v>2025</v>
      </c>
      <c r="AV2007">
        <v>16</v>
      </c>
      <c r="AW2007">
        <v>2</v>
      </c>
      <c r="AX2007" t="s">
        <v>74</v>
      </c>
      <c r="AY2007" t="s">
        <v>74</v>
      </c>
      <c r="AZ2007" t="s">
        <v>74</v>
      </c>
      <c r="BA2007" t="s">
        <v>74</v>
      </c>
      <c r="BB2007">
        <v>237</v>
      </c>
      <c r="BC2007">
        <v>254</v>
      </c>
      <c r="BD2007" t="s">
        <v>74</v>
      </c>
      <c r="BE2007" t="s">
        <v>34464</v>
      </c>
      <c r="BF2007" t="str">
        <f>HYPERLINK("http://dx.doi.org/10.1108/AJEMS-02-2023-0071","http://dx.doi.org/10.1108/AJEMS-02-2023-0071")</f>
        <v>http://dx.doi.org/10.1108/AJEMS-02-2023-0071</v>
      </c>
      <c r="BG2007" t="s">
        <v>74</v>
      </c>
      <c r="BH2007" t="s">
        <v>1136</v>
      </c>
      <c r="BI2007">
        <v>18</v>
      </c>
      <c r="BJ2007" t="s">
        <v>291</v>
      </c>
      <c r="BK2007" t="s">
        <v>313</v>
      </c>
      <c r="BL2007" t="s">
        <v>100</v>
      </c>
      <c r="BM2007" t="s">
        <v>34465</v>
      </c>
      <c r="BN2007" t="s">
        <v>74</v>
      </c>
      <c r="BO2007" t="s">
        <v>74</v>
      </c>
      <c r="BP2007" t="s">
        <v>74</v>
      </c>
      <c r="BQ2007" t="s">
        <v>74</v>
      </c>
      <c r="BR2007" t="s">
        <v>102</v>
      </c>
      <c r="BS2007" t="s">
        <v>34466</v>
      </c>
      <c r="BT2007" t="str">
        <f>HYPERLINK("https%3A%2F%2Fwww.webofscience.com%2Fwos%2Fwoscc%2Ffull-record%2FWOS:001336134000001","View Full Record in Web of Science")</f>
        <v>View Full Record in Web of Science</v>
      </c>
    </row>
    <row r="2008" spans="1:72" x14ac:dyDescent="0.25">
      <c r="A2008" t="s">
        <v>72</v>
      </c>
      <c r="B2008" t="s">
        <v>34467</v>
      </c>
      <c r="C2008" t="s">
        <v>74</v>
      </c>
      <c r="D2008" t="s">
        <v>74</v>
      </c>
      <c r="E2008" t="s">
        <v>74</v>
      </c>
      <c r="F2008" t="s">
        <v>34468</v>
      </c>
      <c r="G2008" t="s">
        <v>74</v>
      </c>
      <c r="H2008" t="s">
        <v>74</v>
      </c>
      <c r="I2008" t="s">
        <v>34469</v>
      </c>
      <c r="J2008" t="s">
        <v>3439</v>
      </c>
      <c r="K2008" t="s">
        <v>74</v>
      </c>
      <c r="L2008" t="s">
        <v>74</v>
      </c>
      <c r="M2008" t="s">
        <v>78</v>
      </c>
      <c r="N2008" t="s">
        <v>79</v>
      </c>
      <c r="O2008" t="s">
        <v>74</v>
      </c>
      <c r="P2008" t="s">
        <v>74</v>
      </c>
      <c r="Q2008" t="s">
        <v>74</v>
      </c>
      <c r="R2008" t="s">
        <v>74</v>
      </c>
      <c r="S2008" t="s">
        <v>74</v>
      </c>
      <c r="T2008" t="s">
        <v>34470</v>
      </c>
      <c r="U2008" t="s">
        <v>34471</v>
      </c>
      <c r="V2008" t="s">
        <v>34472</v>
      </c>
      <c r="W2008" t="s">
        <v>34473</v>
      </c>
      <c r="X2008" t="s">
        <v>34474</v>
      </c>
      <c r="Y2008" t="s">
        <v>34475</v>
      </c>
      <c r="Z2008" t="s">
        <v>34476</v>
      </c>
      <c r="AA2008" t="s">
        <v>34477</v>
      </c>
      <c r="AB2008" t="s">
        <v>74</v>
      </c>
      <c r="AC2008" t="s">
        <v>74</v>
      </c>
      <c r="AD2008" t="s">
        <v>74</v>
      </c>
      <c r="AE2008" t="s">
        <v>74</v>
      </c>
      <c r="AF2008" t="s">
        <v>74</v>
      </c>
      <c r="AG2008">
        <v>136</v>
      </c>
      <c r="AH2008">
        <v>0</v>
      </c>
      <c r="AI2008">
        <v>0</v>
      </c>
      <c r="AJ2008">
        <v>1</v>
      </c>
      <c r="AK2008">
        <v>1</v>
      </c>
      <c r="AL2008" t="s">
        <v>823</v>
      </c>
      <c r="AM2008" t="s">
        <v>333</v>
      </c>
      <c r="AN2008" t="s">
        <v>824</v>
      </c>
      <c r="AO2008" t="s">
        <v>3443</v>
      </c>
      <c r="AP2008" t="s">
        <v>74</v>
      </c>
      <c r="AQ2008" t="s">
        <v>74</v>
      </c>
      <c r="AR2008" t="s">
        <v>3444</v>
      </c>
      <c r="AS2008" t="s">
        <v>3445</v>
      </c>
      <c r="AT2008" t="s">
        <v>2970</v>
      </c>
      <c r="AU2008">
        <v>2025</v>
      </c>
      <c r="AV2008">
        <v>13</v>
      </c>
      <c r="AW2008">
        <v>1</v>
      </c>
      <c r="AX2008" t="s">
        <v>74</v>
      </c>
      <c r="AY2008" t="s">
        <v>74</v>
      </c>
      <c r="AZ2008" t="s">
        <v>74</v>
      </c>
      <c r="BA2008" t="s">
        <v>74</v>
      </c>
      <c r="BB2008" t="s">
        <v>74</v>
      </c>
      <c r="BC2008" t="s">
        <v>74</v>
      </c>
      <c r="BD2008">
        <v>2587236</v>
      </c>
      <c r="BE2008" t="s">
        <v>34478</v>
      </c>
      <c r="BF2008" t="str">
        <f>HYPERLINK("http://dx.doi.org/10.1080/23322039.2025.2587236","http://dx.doi.org/10.1080/23322039.2025.2587236")</f>
        <v>http://dx.doi.org/10.1080/23322039.2025.2587236</v>
      </c>
      <c r="BG2008" t="s">
        <v>74</v>
      </c>
      <c r="BH2008" t="s">
        <v>74</v>
      </c>
      <c r="BI2008">
        <v>22</v>
      </c>
      <c r="BJ2008" t="s">
        <v>291</v>
      </c>
      <c r="BK2008" t="s">
        <v>313</v>
      </c>
      <c r="BL2008" t="s">
        <v>100</v>
      </c>
      <c r="BM2008" t="s">
        <v>34479</v>
      </c>
      <c r="BN2008" t="s">
        <v>74</v>
      </c>
      <c r="BO2008" t="s">
        <v>315</v>
      </c>
      <c r="BP2008" t="s">
        <v>74</v>
      </c>
      <c r="BQ2008" t="s">
        <v>74</v>
      </c>
      <c r="BR2008" t="s">
        <v>102</v>
      </c>
      <c r="BS2008" t="s">
        <v>34480</v>
      </c>
      <c r="BT2008" t="str">
        <f>HYPERLINK("https%3A%2F%2Fwww.webofscience.com%2Fwos%2Fwoscc%2Ffull-record%2FWOS:001618273400001","View Full Record in Web of Science")</f>
        <v>View Full Record in Web of Science</v>
      </c>
    </row>
    <row r="2009" spans="1:72" x14ac:dyDescent="0.25">
      <c r="A2009" t="s">
        <v>72</v>
      </c>
      <c r="B2009" t="s">
        <v>9709</v>
      </c>
      <c r="C2009" t="s">
        <v>74</v>
      </c>
      <c r="D2009" t="s">
        <v>74</v>
      </c>
      <c r="E2009" t="s">
        <v>74</v>
      </c>
      <c r="F2009" t="s">
        <v>9710</v>
      </c>
      <c r="G2009" t="s">
        <v>74</v>
      </c>
      <c r="H2009" t="s">
        <v>74</v>
      </c>
      <c r="I2009" t="s">
        <v>34481</v>
      </c>
      <c r="J2009" t="s">
        <v>34482</v>
      </c>
      <c r="K2009" t="s">
        <v>74</v>
      </c>
      <c r="L2009" t="s">
        <v>74</v>
      </c>
      <c r="M2009" t="s">
        <v>78</v>
      </c>
      <c r="N2009" t="s">
        <v>79</v>
      </c>
      <c r="O2009" t="s">
        <v>74</v>
      </c>
      <c r="P2009" t="s">
        <v>74</v>
      </c>
      <c r="Q2009" t="s">
        <v>74</v>
      </c>
      <c r="R2009" t="s">
        <v>74</v>
      </c>
      <c r="S2009" t="s">
        <v>74</v>
      </c>
      <c r="T2009" t="s">
        <v>34483</v>
      </c>
      <c r="U2009" t="s">
        <v>34484</v>
      </c>
      <c r="V2009" t="s">
        <v>34485</v>
      </c>
      <c r="W2009" t="s">
        <v>34486</v>
      </c>
      <c r="X2009" t="s">
        <v>9716</v>
      </c>
      <c r="Y2009" t="s">
        <v>34487</v>
      </c>
      <c r="Z2009" t="s">
        <v>13232</v>
      </c>
      <c r="AA2009" t="s">
        <v>34488</v>
      </c>
      <c r="AB2009" t="s">
        <v>13234</v>
      </c>
      <c r="AC2009" t="s">
        <v>74</v>
      </c>
      <c r="AD2009" t="s">
        <v>74</v>
      </c>
      <c r="AE2009" t="s">
        <v>74</v>
      </c>
      <c r="AF2009" t="s">
        <v>74</v>
      </c>
      <c r="AG2009">
        <v>42</v>
      </c>
      <c r="AH2009">
        <v>7</v>
      </c>
      <c r="AI2009">
        <v>8</v>
      </c>
      <c r="AJ2009">
        <v>0</v>
      </c>
      <c r="AK2009">
        <v>17</v>
      </c>
      <c r="AL2009" t="s">
        <v>34489</v>
      </c>
      <c r="AM2009" t="s">
        <v>34490</v>
      </c>
      <c r="AN2009" t="s">
        <v>34491</v>
      </c>
      <c r="AO2009" t="s">
        <v>34492</v>
      </c>
      <c r="AP2009" t="s">
        <v>74</v>
      </c>
      <c r="AQ2009" t="s">
        <v>74</v>
      </c>
      <c r="AR2009" t="s">
        <v>34493</v>
      </c>
      <c r="AS2009" t="s">
        <v>34494</v>
      </c>
      <c r="AT2009" t="s">
        <v>1159</v>
      </c>
      <c r="AU2009">
        <v>2021</v>
      </c>
      <c r="AV2009">
        <v>6</v>
      </c>
      <c r="AW2009">
        <v>5</v>
      </c>
      <c r="AX2009" t="s">
        <v>74</v>
      </c>
      <c r="AY2009" t="s">
        <v>74</v>
      </c>
      <c r="AZ2009" t="s">
        <v>74</v>
      </c>
      <c r="BA2009" t="s">
        <v>74</v>
      </c>
      <c r="BB2009">
        <v>1423</v>
      </c>
      <c r="BC2009">
        <v>1438</v>
      </c>
      <c r="BD2009" t="s">
        <v>74</v>
      </c>
      <c r="BE2009" t="s">
        <v>34495</v>
      </c>
      <c r="BF2009" t="str">
        <f>HYPERLINK("http://dx.doi.org/10.33889/IJMEMS.2021.6.5.086","http://dx.doi.org/10.33889/IJMEMS.2021.6.5.086")</f>
        <v>http://dx.doi.org/10.33889/IJMEMS.2021.6.5.086</v>
      </c>
      <c r="BG2009" t="s">
        <v>74</v>
      </c>
      <c r="BH2009" t="s">
        <v>74</v>
      </c>
      <c r="BI2009">
        <v>16</v>
      </c>
      <c r="BJ2009" t="s">
        <v>34496</v>
      </c>
      <c r="BK2009" t="s">
        <v>313</v>
      </c>
      <c r="BL2009" t="s">
        <v>34497</v>
      </c>
      <c r="BM2009" t="s">
        <v>34498</v>
      </c>
      <c r="BN2009" t="s">
        <v>74</v>
      </c>
      <c r="BO2009" t="s">
        <v>916</v>
      </c>
      <c r="BP2009" t="s">
        <v>74</v>
      </c>
      <c r="BQ2009" t="s">
        <v>74</v>
      </c>
      <c r="BR2009" t="s">
        <v>102</v>
      </c>
      <c r="BS2009" t="s">
        <v>34499</v>
      </c>
      <c r="BT2009" t="str">
        <f>HYPERLINK("https%3A%2F%2Fwww.webofscience.com%2Fwos%2Fwoscc%2Ffull-record%2FWOS:000704339200014","View Full Record in Web of Science")</f>
        <v>View Full Record in Web of Science</v>
      </c>
    </row>
    <row r="2010" spans="1:72" x14ac:dyDescent="0.25">
      <c r="A2010" t="s">
        <v>72</v>
      </c>
      <c r="B2010" t="s">
        <v>34500</v>
      </c>
      <c r="C2010" t="s">
        <v>74</v>
      </c>
      <c r="D2010" t="s">
        <v>74</v>
      </c>
      <c r="E2010" t="s">
        <v>74</v>
      </c>
      <c r="F2010" t="s">
        <v>34501</v>
      </c>
      <c r="G2010" t="s">
        <v>74</v>
      </c>
      <c r="H2010" t="s">
        <v>74</v>
      </c>
      <c r="I2010" t="s">
        <v>34502</v>
      </c>
      <c r="J2010" t="s">
        <v>320</v>
      </c>
      <c r="K2010" t="s">
        <v>74</v>
      </c>
      <c r="L2010" t="s">
        <v>74</v>
      </c>
      <c r="M2010" t="s">
        <v>78</v>
      </c>
      <c r="N2010" t="s">
        <v>79</v>
      </c>
      <c r="O2010" t="s">
        <v>74</v>
      </c>
      <c r="P2010" t="s">
        <v>74</v>
      </c>
      <c r="Q2010" t="s">
        <v>74</v>
      </c>
      <c r="R2010" t="s">
        <v>74</v>
      </c>
      <c r="S2010" t="s">
        <v>74</v>
      </c>
      <c r="T2010" t="s">
        <v>34503</v>
      </c>
      <c r="U2010" t="s">
        <v>74</v>
      </c>
      <c r="V2010" t="s">
        <v>34504</v>
      </c>
      <c r="W2010" t="s">
        <v>34505</v>
      </c>
      <c r="X2010" t="s">
        <v>34506</v>
      </c>
      <c r="Y2010" t="s">
        <v>34507</v>
      </c>
      <c r="Z2010" t="s">
        <v>34508</v>
      </c>
      <c r="AA2010" t="s">
        <v>34509</v>
      </c>
      <c r="AB2010" t="s">
        <v>34510</v>
      </c>
      <c r="AC2010" t="s">
        <v>74</v>
      </c>
      <c r="AD2010" t="s">
        <v>74</v>
      </c>
      <c r="AE2010" t="s">
        <v>74</v>
      </c>
      <c r="AF2010" t="s">
        <v>74</v>
      </c>
      <c r="AG2010">
        <v>57</v>
      </c>
      <c r="AH2010">
        <v>11</v>
      </c>
      <c r="AI2010">
        <v>15</v>
      </c>
      <c r="AJ2010">
        <v>3</v>
      </c>
      <c r="AK2010">
        <v>20</v>
      </c>
      <c r="AL2010" t="s">
        <v>332</v>
      </c>
      <c r="AM2010" t="s">
        <v>333</v>
      </c>
      <c r="AN2010" t="s">
        <v>334</v>
      </c>
      <c r="AO2010" t="s">
        <v>335</v>
      </c>
      <c r="AP2010" t="s">
        <v>336</v>
      </c>
      <c r="AQ2010" t="s">
        <v>74</v>
      </c>
      <c r="AR2010" t="s">
        <v>337</v>
      </c>
      <c r="AS2010" t="s">
        <v>338</v>
      </c>
      <c r="AT2010" t="s">
        <v>6450</v>
      </c>
      <c r="AU2010">
        <v>2023</v>
      </c>
      <c r="AV2010">
        <v>30</v>
      </c>
      <c r="AW2010">
        <v>5</v>
      </c>
      <c r="AX2010" t="s">
        <v>74</v>
      </c>
      <c r="AY2010" t="s">
        <v>74</v>
      </c>
      <c r="AZ2010" t="s">
        <v>74</v>
      </c>
      <c r="BA2010" t="s">
        <v>74</v>
      </c>
      <c r="BB2010">
        <v>1639</v>
      </c>
      <c r="BC2010">
        <v>1659</v>
      </c>
      <c r="BD2010" t="s">
        <v>74</v>
      </c>
      <c r="BE2010" t="s">
        <v>34511</v>
      </c>
      <c r="BF2010" t="str">
        <f>HYPERLINK("http://dx.doi.org/10.1080/09692290.2023.2225142","http://dx.doi.org/10.1080/09692290.2023.2225142")</f>
        <v>http://dx.doi.org/10.1080/09692290.2023.2225142</v>
      </c>
      <c r="BG2010" t="s">
        <v>74</v>
      </c>
      <c r="BH2010" t="s">
        <v>13995</v>
      </c>
      <c r="BI2010">
        <v>21</v>
      </c>
      <c r="BJ2010" t="s">
        <v>342</v>
      </c>
      <c r="BK2010" t="s">
        <v>99</v>
      </c>
      <c r="BL2010" t="s">
        <v>343</v>
      </c>
      <c r="BM2010" t="s">
        <v>34512</v>
      </c>
      <c r="BN2010" t="s">
        <v>74</v>
      </c>
      <c r="BO2010" t="s">
        <v>270</v>
      </c>
      <c r="BP2010" t="s">
        <v>74</v>
      </c>
      <c r="BQ2010" t="s">
        <v>74</v>
      </c>
      <c r="BR2010" t="s">
        <v>102</v>
      </c>
      <c r="BS2010" t="s">
        <v>34513</v>
      </c>
      <c r="BT2010" t="str">
        <f>HYPERLINK("https%3A%2F%2Fwww.webofscience.com%2Fwos%2Fwoscc%2Ffull-record%2FWOS:001013525900001","View Full Record in Web of Science")</f>
        <v>View Full Record in Web of Science</v>
      </c>
    </row>
    <row r="2011" spans="1:72" x14ac:dyDescent="0.25">
      <c r="A2011" t="s">
        <v>72</v>
      </c>
      <c r="B2011" t="s">
        <v>34514</v>
      </c>
      <c r="C2011" t="s">
        <v>74</v>
      </c>
      <c r="D2011" t="s">
        <v>74</v>
      </c>
      <c r="E2011" t="s">
        <v>74</v>
      </c>
      <c r="F2011" t="s">
        <v>34515</v>
      </c>
      <c r="G2011" t="s">
        <v>74</v>
      </c>
      <c r="H2011" t="s">
        <v>74</v>
      </c>
      <c r="I2011" t="s">
        <v>34516</v>
      </c>
      <c r="J2011" t="s">
        <v>34517</v>
      </c>
      <c r="K2011" t="s">
        <v>74</v>
      </c>
      <c r="L2011" t="s">
        <v>74</v>
      </c>
      <c r="M2011" t="s">
        <v>78</v>
      </c>
      <c r="N2011" t="s">
        <v>79</v>
      </c>
      <c r="O2011" t="s">
        <v>74</v>
      </c>
      <c r="P2011" t="s">
        <v>74</v>
      </c>
      <c r="Q2011" t="s">
        <v>74</v>
      </c>
      <c r="R2011" t="s">
        <v>74</v>
      </c>
      <c r="S2011" t="s">
        <v>74</v>
      </c>
      <c r="T2011" t="s">
        <v>34518</v>
      </c>
      <c r="U2011" t="s">
        <v>74</v>
      </c>
      <c r="V2011" t="s">
        <v>34519</v>
      </c>
      <c r="W2011" t="s">
        <v>34520</v>
      </c>
      <c r="X2011" t="s">
        <v>34521</v>
      </c>
      <c r="Y2011" t="s">
        <v>34522</v>
      </c>
      <c r="Z2011" t="s">
        <v>34523</v>
      </c>
      <c r="AA2011" t="s">
        <v>74</v>
      </c>
      <c r="AB2011" t="s">
        <v>74</v>
      </c>
      <c r="AC2011" t="s">
        <v>74</v>
      </c>
      <c r="AD2011" t="s">
        <v>74</v>
      </c>
      <c r="AE2011" t="s">
        <v>74</v>
      </c>
      <c r="AF2011" t="s">
        <v>74</v>
      </c>
      <c r="AG2011">
        <v>22</v>
      </c>
      <c r="AH2011">
        <v>5</v>
      </c>
      <c r="AI2011">
        <v>5</v>
      </c>
      <c r="AJ2011">
        <v>3</v>
      </c>
      <c r="AK2011">
        <v>4</v>
      </c>
      <c r="AL2011" t="s">
        <v>201</v>
      </c>
      <c r="AM2011" t="s">
        <v>202</v>
      </c>
      <c r="AN2011" t="s">
        <v>203</v>
      </c>
      <c r="AO2011" t="s">
        <v>74</v>
      </c>
      <c r="AP2011" t="s">
        <v>34524</v>
      </c>
      <c r="AQ2011" t="s">
        <v>74</v>
      </c>
      <c r="AR2011" t="s">
        <v>34525</v>
      </c>
      <c r="AS2011" t="s">
        <v>34526</v>
      </c>
      <c r="AT2011" t="s">
        <v>605</v>
      </c>
      <c r="AU2011">
        <v>2024</v>
      </c>
      <c r="AV2011">
        <v>13</v>
      </c>
      <c r="AW2011" t="s">
        <v>74</v>
      </c>
      <c r="AX2011" t="s">
        <v>74</v>
      </c>
      <c r="AY2011" t="s">
        <v>74</v>
      </c>
      <c r="AZ2011" t="s">
        <v>74</v>
      </c>
      <c r="BA2011" t="s">
        <v>74</v>
      </c>
      <c r="BB2011" t="s">
        <v>74</v>
      </c>
      <c r="BC2011" t="s">
        <v>74</v>
      </c>
      <c r="BD2011">
        <v>100114</v>
      </c>
      <c r="BE2011" t="s">
        <v>34527</v>
      </c>
      <c r="BF2011" t="str">
        <f>HYPERLINK("http://dx.doi.org/10.1016/j.teler.2023.100114","http://dx.doi.org/10.1016/j.teler.2023.100114")</f>
        <v>http://dx.doi.org/10.1016/j.teler.2023.100114</v>
      </c>
      <c r="BG2011" t="s">
        <v>74</v>
      </c>
      <c r="BH2011" t="s">
        <v>239</v>
      </c>
      <c r="BI2011">
        <v>7</v>
      </c>
      <c r="BJ2011" t="s">
        <v>2351</v>
      </c>
      <c r="BK2011" t="s">
        <v>313</v>
      </c>
      <c r="BL2011" t="s">
        <v>2351</v>
      </c>
      <c r="BM2011" t="s">
        <v>34528</v>
      </c>
      <c r="BN2011" t="s">
        <v>74</v>
      </c>
      <c r="BO2011" t="s">
        <v>212</v>
      </c>
      <c r="BP2011" t="s">
        <v>74</v>
      </c>
      <c r="BQ2011" t="s">
        <v>74</v>
      </c>
      <c r="BR2011" t="s">
        <v>102</v>
      </c>
      <c r="BS2011" t="s">
        <v>34529</v>
      </c>
      <c r="BT2011" t="str">
        <f>HYPERLINK("https%3A%2F%2Fwww.webofscience.com%2Fwos%2Fwoscc%2Ffull-record%2FWOS:001390969100001","View Full Record in Web of Science")</f>
        <v>View Full Record in Web of Science</v>
      </c>
    </row>
    <row r="2012" spans="1:72" x14ac:dyDescent="0.25">
      <c r="A2012" t="s">
        <v>72</v>
      </c>
      <c r="B2012" t="s">
        <v>34530</v>
      </c>
      <c r="C2012" t="s">
        <v>74</v>
      </c>
      <c r="D2012" t="s">
        <v>74</v>
      </c>
      <c r="E2012" t="s">
        <v>74</v>
      </c>
      <c r="F2012" t="s">
        <v>34531</v>
      </c>
      <c r="G2012" t="s">
        <v>74</v>
      </c>
      <c r="H2012" t="s">
        <v>74</v>
      </c>
      <c r="I2012" t="s">
        <v>34532</v>
      </c>
      <c r="J2012" t="s">
        <v>34533</v>
      </c>
      <c r="K2012" t="s">
        <v>74</v>
      </c>
      <c r="L2012" t="s">
        <v>74</v>
      </c>
      <c r="M2012" t="s">
        <v>298</v>
      </c>
      <c r="N2012" t="s">
        <v>79</v>
      </c>
      <c r="O2012" t="s">
        <v>74</v>
      </c>
      <c r="P2012" t="s">
        <v>74</v>
      </c>
      <c r="Q2012" t="s">
        <v>74</v>
      </c>
      <c r="R2012" t="s">
        <v>74</v>
      </c>
      <c r="S2012" t="s">
        <v>74</v>
      </c>
      <c r="T2012" t="s">
        <v>34534</v>
      </c>
      <c r="U2012" t="s">
        <v>74</v>
      </c>
      <c r="V2012" t="s">
        <v>34535</v>
      </c>
      <c r="W2012" t="s">
        <v>34536</v>
      </c>
      <c r="X2012" t="s">
        <v>34537</v>
      </c>
      <c r="Y2012" t="s">
        <v>34538</v>
      </c>
      <c r="Z2012" t="s">
        <v>34539</v>
      </c>
      <c r="AA2012" t="s">
        <v>74</v>
      </c>
      <c r="AB2012" t="s">
        <v>34540</v>
      </c>
      <c r="AC2012" t="s">
        <v>74</v>
      </c>
      <c r="AD2012" t="s">
        <v>74</v>
      </c>
      <c r="AE2012" t="s">
        <v>74</v>
      </c>
      <c r="AF2012" t="s">
        <v>74</v>
      </c>
      <c r="AG2012">
        <v>36</v>
      </c>
      <c r="AH2012">
        <v>0</v>
      </c>
      <c r="AI2012">
        <v>3</v>
      </c>
      <c r="AJ2012">
        <v>0</v>
      </c>
      <c r="AK2012">
        <v>15</v>
      </c>
      <c r="AL2012" t="s">
        <v>34541</v>
      </c>
      <c r="AM2012" t="s">
        <v>34542</v>
      </c>
      <c r="AN2012" t="s">
        <v>34543</v>
      </c>
      <c r="AO2012" t="s">
        <v>34544</v>
      </c>
      <c r="AP2012" t="s">
        <v>74</v>
      </c>
      <c r="AQ2012" t="s">
        <v>74</v>
      </c>
      <c r="AR2012" t="s">
        <v>34545</v>
      </c>
      <c r="AS2012" t="s">
        <v>34546</v>
      </c>
      <c r="AT2012" t="s">
        <v>16433</v>
      </c>
      <c r="AU2012">
        <v>2021</v>
      </c>
      <c r="AV2012">
        <v>40</v>
      </c>
      <c r="AW2012">
        <v>71</v>
      </c>
      <c r="AX2012" t="s">
        <v>74</v>
      </c>
      <c r="AY2012" t="s">
        <v>74</v>
      </c>
      <c r="AZ2012" t="s">
        <v>74</v>
      </c>
      <c r="BA2012" t="s">
        <v>74</v>
      </c>
      <c r="BB2012">
        <v>219</v>
      </c>
      <c r="BC2012">
        <v>252</v>
      </c>
      <c r="BD2012" t="s">
        <v>74</v>
      </c>
      <c r="BE2012" t="s">
        <v>34547</v>
      </c>
      <c r="BF2012" t="str">
        <f>HYPERLINK("http://dx.doi.org/10.19053/01203053.v40.n71.2021.11466","http://dx.doi.org/10.19053/01203053.v40.n71.2021.11466")</f>
        <v>http://dx.doi.org/10.19053/01203053.v40.n71.2021.11466</v>
      </c>
      <c r="BG2012" t="s">
        <v>74</v>
      </c>
      <c r="BH2012" t="s">
        <v>74</v>
      </c>
      <c r="BI2012">
        <v>34</v>
      </c>
      <c r="BJ2012" t="s">
        <v>291</v>
      </c>
      <c r="BK2012" t="s">
        <v>313</v>
      </c>
      <c r="BL2012" t="s">
        <v>100</v>
      </c>
      <c r="BM2012" t="s">
        <v>34548</v>
      </c>
      <c r="BN2012" t="s">
        <v>74</v>
      </c>
      <c r="BO2012" t="s">
        <v>916</v>
      </c>
      <c r="BP2012" t="s">
        <v>74</v>
      </c>
      <c r="BQ2012" t="s">
        <v>74</v>
      </c>
      <c r="BR2012" t="s">
        <v>102</v>
      </c>
      <c r="BS2012" t="s">
        <v>34549</v>
      </c>
      <c r="BT2012" t="str">
        <f>HYPERLINK("https%3A%2F%2Fwww.webofscience.com%2Fwos%2Fwoscc%2Ffull-record%2FWOS:000656719300009","View Full Record in Web of Science")</f>
        <v>View Full Record in Web of Science</v>
      </c>
    </row>
    <row r="2013" spans="1:72" x14ac:dyDescent="0.25">
      <c r="A2013" t="s">
        <v>72</v>
      </c>
      <c r="B2013" t="s">
        <v>34550</v>
      </c>
      <c r="C2013" t="s">
        <v>74</v>
      </c>
      <c r="D2013" t="s">
        <v>74</v>
      </c>
      <c r="E2013" t="s">
        <v>74</v>
      </c>
      <c r="F2013" t="s">
        <v>34551</v>
      </c>
      <c r="G2013" t="s">
        <v>74</v>
      </c>
      <c r="H2013" t="s">
        <v>74</v>
      </c>
      <c r="I2013" t="s">
        <v>34552</v>
      </c>
      <c r="J2013" t="s">
        <v>34553</v>
      </c>
      <c r="K2013" t="s">
        <v>74</v>
      </c>
      <c r="L2013" t="s">
        <v>74</v>
      </c>
      <c r="M2013" t="s">
        <v>78</v>
      </c>
      <c r="N2013" t="s">
        <v>79</v>
      </c>
      <c r="O2013" t="s">
        <v>74</v>
      </c>
      <c r="P2013" t="s">
        <v>74</v>
      </c>
      <c r="Q2013" t="s">
        <v>74</v>
      </c>
      <c r="R2013" t="s">
        <v>74</v>
      </c>
      <c r="S2013" t="s">
        <v>74</v>
      </c>
      <c r="T2013" t="s">
        <v>34554</v>
      </c>
      <c r="U2013" t="s">
        <v>74</v>
      </c>
      <c r="V2013" t="s">
        <v>34555</v>
      </c>
      <c r="W2013" t="s">
        <v>34556</v>
      </c>
      <c r="X2013" t="s">
        <v>34557</v>
      </c>
      <c r="Y2013" t="s">
        <v>34558</v>
      </c>
      <c r="Z2013" t="s">
        <v>34559</v>
      </c>
      <c r="AA2013" t="s">
        <v>34560</v>
      </c>
      <c r="AB2013" t="s">
        <v>34561</v>
      </c>
      <c r="AC2013" t="s">
        <v>74</v>
      </c>
      <c r="AD2013" t="s">
        <v>74</v>
      </c>
      <c r="AE2013" t="s">
        <v>74</v>
      </c>
      <c r="AF2013" t="s">
        <v>74</v>
      </c>
      <c r="AG2013">
        <v>59</v>
      </c>
      <c r="AH2013">
        <v>0</v>
      </c>
      <c r="AI2013">
        <v>0</v>
      </c>
      <c r="AJ2013">
        <v>2</v>
      </c>
      <c r="AK2013">
        <v>2</v>
      </c>
      <c r="AL2013" t="s">
        <v>89</v>
      </c>
      <c r="AM2013" t="s">
        <v>90</v>
      </c>
      <c r="AN2013" t="s">
        <v>91</v>
      </c>
      <c r="AO2013" t="s">
        <v>34562</v>
      </c>
      <c r="AP2013" t="s">
        <v>74</v>
      </c>
      <c r="AQ2013" t="s">
        <v>74</v>
      </c>
      <c r="AR2013" t="s">
        <v>34563</v>
      </c>
      <c r="AS2013" t="s">
        <v>34564</v>
      </c>
      <c r="AT2013" t="s">
        <v>23220</v>
      </c>
      <c r="AU2013">
        <v>2025</v>
      </c>
      <c r="AV2013">
        <v>19</v>
      </c>
      <c r="AW2013">
        <v>3</v>
      </c>
      <c r="AX2013" t="s">
        <v>74</v>
      </c>
      <c r="AY2013" t="s">
        <v>74</v>
      </c>
      <c r="AZ2013" t="s">
        <v>74</v>
      </c>
      <c r="BA2013" t="s">
        <v>74</v>
      </c>
      <c r="BB2013">
        <v>183</v>
      </c>
      <c r="BC2013">
        <v>200</v>
      </c>
      <c r="BD2013" t="s">
        <v>74</v>
      </c>
      <c r="BE2013" t="s">
        <v>34565</v>
      </c>
      <c r="BF2013" t="str">
        <f>HYPERLINK("http://dx.doi.org/10.1108/JET-01-2025-0007","http://dx.doi.org/10.1108/JET-01-2025-0007")</f>
        <v>http://dx.doi.org/10.1108/JET-01-2025-0007</v>
      </c>
      <c r="BG2013" t="s">
        <v>74</v>
      </c>
      <c r="BH2013" t="s">
        <v>12078</v>
      </c>
      <c r="BI2013">
        <v>18</v>
      </c>
      <c r="BJ2013" t="s">
        <v>30281</v>
      </c>
      <c r="BK2013" t="s">
        <v>313</v>
      </c>
      <c r="BL2013" t="s">
        <v>30281</v>
      </c>
      <c r="BM2013" t="s">
        <v>34566</v>
      </c>
      <c r="BN2013" t="s">
        <v>74</v>
      </c>
      <c r="BO2013" t="s">
        <v>74</v>
      </c>
      <c r="BP2013" t="s">
        <v>74</v>
      </c>
      <c r="BQ2013" t="s">
        <v>74</v>
      </c>
      <c r="BR2013" t="s">
        <v>102</v>
      </c>
      <c r="BS2013" t="s">
        <v>34567</v>
      </c>
      <c r="BT2013" t="str">
        <f>HYPERLINK("https%3A%2F%2Fwww.webofscience.com%2Fwos%2Fwoscc%2Ffull-record%2FWOS:001589734200001","View Full Record in Web of Science")</f>
        <v>View Full Record in Web of Science</v>
      </c>
    </row>
    <row r="2014" spans="1:72" x14ac:dyDescent="0.25">
      <c r="A2014" t="s">
        <v>72</v>
      </c>
      <c r="B2014" t="s">
        <v>34568</v>
      </c>
      <c r="C2014" t="s">
        <v>74</v>
      </c>
      <c r="D2014" t="s">
        <v>74</v>
      </c>
      <c r="E2014" t="s">
        <v>74</v>
      </c>
      <c r="F2014" t="s">
        <v>34569</v>
      </c>
      <c r="G2014" t="s">
        <v>74</v>
      </c>
      <c r="H2014" t="s">
        <v>74</v>
      </c>
      <c r="I2014" t="s">
        <v>34570</v>
      </c>
      <c r="J2014" t="s">
        <v>2809</v>
      </c>
      <c r="K2014" t="s">
        <v>74</v>
      </c>
      <c r="L2014" t="s">
        <v>74</v>
      </c>
      <c r="M2014" t="s">
        <v>78</v>
      </c>
      <c r="N2014" t="s">
        <v>79</v>
      </c>
      <c r="O2014" t="s">
        <v>74</v>
      </c>
      <c r="P2014" t="s">
        <v>74</v>
      </c>
      <c r="Q2014" t="s">
        <v>74</v>
      </c>
      <c r="R2014" t="s">
        <v>74</v>
      </c>
      <c r="S2014" t="s">
        <v>74</v>
      </c>
      <c r="T2014" t="s">
        <v>34571</v>
      </c>
      <c r="U2014" t="s">
        <v>34572</v>
      </c>
      <c r="V2014" t="s">
        <v>34573</v>
      </c>
      <c r="W2014" t="s">
        <v>34574</v>
      </c>
      <c r="X2014" t="s">
        <v>34575</v>
      </c>
      <c r="Y2014" t="s">
        <v>34576</v>
      </c>
      <c r="Z2014" t="s">
        <v>34577</v>
      </c>
      <c r="AA2014" t="s">
        <v>34578</v>
      </c>
      <c r="AB2014" t="s">
        <v>34579</v>
      </c>
      <c r="AC2014" t="s">
        <v>34580</v>
      </c>
      <c r="AD2014" t="s">
        <v>19652</v>
      </c>
      <c r="AE2014" t="s">
        <v>34580</v>
      </c>
      <c r="AF2014" t="s">
        <v>74</v>
      </c>
      <c r="AG2014">
        <v>61</v>
      </c>
      <c r="AH2014">
        <v>1</v>
      </c>
      <c r="AI2014">
        <v>1</v>
      </c>
      <c r="AJ2014">
        <v>4</v>
      </c>
      <c r="AK2014">
        <v>27</v>
      </c>
      <c r="AL2014" t="s">
        <v>479</v>
      </c>
      <c r="AM2014" t="s">
        <v>480</v>
      </c>
      <c r="AN2014" t="s">
        <v>481</v>
      </c>
      <c r="AO2014" t="s">
        <v>2816</v>
      </c>
      <c r="AP2014" t="s">
        <v>2817</v>
      </c>
      <c r="AQ2014" t="s">
        <v>74</v>
      </c>
      <c r="AR2014" t="s">
        <v>2818</v>
      </c>
      <c r="AS2014" t="s">
        <v>2819</v>
      </c>
      <c r="AT2014" t="s">
        <v>848</v>
      </c>
      <c r="AU2014">
        <v>2023</v>
      </c>
      <c r="AV2014">
        <v>57</v>
      </c>
      <c r="AW2014">
        <v>3</v>
      </c>
      <c r="AX2014" t="s">
        <v>74</v>
      </c>
      <c r="AY2014" t="s">
        <v>74</v>
      </c>
      <c r="AZ2014" t="s">
        <v>74</v>
      </c>
      <c r="BA2014" t="s">
        <v>74</v>
      </c>
      <c r="BB2014">
        <v>1066</v>
      </c>
      <c r="BC2014">
        <v>1088</v>
      </c>
      <c r="BD2014" t="s">
        <v>74</v>
      </c>
      <c r="BE2014" t="s">
        <v>34581</v>
      </c>
      <c r="BF2014" t="str">
        <f>HYPERLINK("http://dx.doi.org/10.1111/joca.12533","http://dx.doi.org/10.1111/joca.12533")</f>
        <v>http://dx.doi.org/10.1111/joca.12533</v>
      </c>
      <c r="BG2014" t="s">
        <v>74</v>
      </c>
      <c r="BH2014" t="s">
        <v>6418</v>
      </c>
      <c r="BI2014">
        <v>23</v>
      </c>
      <c r="BJ2014" t="s">
        <v>1453</v>
      </c>
      <c r="BK2014" t="s">
        <v>99</v>
      </c>
      <c r="BL2014" t="s">
        <v>100</v>
      </c>
      <c r="BM2014" t="s">
        <v>34582</v>
      </c>
      <c r="BN2014" t="s">
        <v>74</v>
      </c>
      <c r="BO2014" t="s">
        <v>270</v>
      </c>
      <c r="BP2014" t="s">
        <v>74</v>
      </c>
      <c r="BQ2014" t="s">
        <v>74</v>
      </c>
      <c r="BR2014" t="s">
        <v>102</v>
      </c>
      <c r="BS2014" t="s">
        <v>34583</v>
      </c>
      <c r="BT2014" t="str">
        <f>HYPERLINK("https%3A%2F%2Fwww.webofscience.com%2Fwos%2Fwoscc%2Ffull-record%2FWOS:000981879400001","View Full Record in Web of Science")</f>
        <v>View Full Record in Web of Science</v>
      </c>
    </row>
    <row r="2015" spans="1:72" x14ac:dyDescent="0.25">
      <c r="A2015" t="s">
        <v>132</v>
      </c>
      <c r="B2015" t="s">
        <v>34584</v>
      </c>
      <c r="C2015" t="s">
        <v>74</v>
      </c>
      <c r="D2015" t="s">
        <v>34585</v>
      </c>
      <c r="E2015" t="s">
        <v>74</v>
      </c>
      <c r="F2015" t="s">
        <v>34586</v>
      </c>
      <c r="G2015" t="s">
        <v>74</v>
      </c>
      <c r="H2015" t="s">
        <v>74</v>
      </c>
      <c r="I2015" t="s">
        <v>34587</v>
      </c>
      <c r="J2015" t="s">
        <v>34588</v>
      </c>
      <c r="K2015" t="s">
        <v>74</v>
      </c>
      <c r="L2015" t="s">
        <v>74</v>
      </c>
      <c r="M2015" t="s">
        <v>78</v>
      </c>
      <c r="N2015" t="s">
        <v>138</v>
      </c>
      <c r="O2015" t="s">
        <v>34589</v>
      </c>
      <c r="P2015" t="s">
        <v>34590</v>
      </c>
      <c r="Q2015" t="s">
        <v>14006</v>
      </c>
      <c r="R2015" t="s">
        <v>34591</v>
      </c>
      <c r="S2015" t="s">
        <v>74</v>
      </c>
      <c r="T2015" t="s">
        <v>34592</v>
      </c>
      <c r="U2015" t="s">
        <v>74</v>
      </c>
      <c r="V2015" t="s">
        <v>34593</v>
      </c>
      <c r="W2015" t="s">
        <v>34594</v>
      </c>
      <c r="X2015" t="s">
        <v>25259</v>
      </c>
      <c r="Y2015" t="s">
        <v>34595</v>
      </c>
      <c r="Z2015" t="s">
        <v>74</v>
      </c>
      <c r="AA2015" t="s">
        <v>74</v>
      </c>
      <c r="AB2015" t="s">
        <v>74</v>
      </c>
      <c r="AC2015" t="s">
        <v>74</v>
      </c>
      <c r="AD2015" t="s">
        <v>74</v>
      </c>
      <c r="AE2015" t="s">
        <v>74</v>
      </c>
      <c r="AF2015" t="s">
        <v>74</v>
      </c>
      <c r="AG2015">
        <v>37</v>
      </c>
      <c r="AH2015">
        <v>0</v>
      </c>
      <c r="AI2015">
        <v>0</v>
      </c>
      <c r="AJ2015">
        <v>0</v>
      </c>
      <c r="AK2015">
        <v>4</v>
      </c>
      <c r="AL2015" t="s">
        <v>25257</v>
      </c>
      <c r="AM2015" t="s">
        <v>25256</v>
      </c>
      <c r="AN2015" t="s">
        <v>25255</v>
      </c>
      <c r="AO2015" t="s">
        <v>74</v>
      </c>
      <c r="AP2015" t="s">
        <v>74</v>
      </c>
      <c r="AQ2015" t="s">
        <v>34596</v>
      </c>
      <c r="AR2015" t="s">
        <v>74</v>
      </c>
      <c r="AS2015" t="s">
        <v>74</v>
      </c>
      <c r="AT2015" t="s">
        <v>74</v>
      </c>
      <c r="AU2015">
        <v>2016</v>
      </c>
      <c r="AV2015" t="s">
        <v>74</v>
      </c>
      <c r="AW2015" t="s">
        <v>74</v>
      </c>
      <c r="AX2015" t="s">
        <v>74</v>
      </c>
      <c r="AY2015" t="s">
        <v>74</v>
      </c>
      <c r="AZ2015" t="s">
        <v>74</v>
      </c>
      <c r="BA2015" t="s">
        <v>74</v>
      </c>
      <c r="BB2015">
        <v>109</v>
      </c>
      <c r="BC2015">
        <v>115</v>
      </c>
      <c r="BD2015" t="s">
        <v>74</v>
      </c>
      <c r="BE2015" t="s">
        <v>74</v>
      </c>
      <c r="BF2015" t="s">
        <v>74</v>
      </c>
      <c r="BG2015" t="s">
        <v>74</v>
      </c>
      <c r="BH2015" t="s">
        <v>74</v>
      </c>
      <c r="BI2015">
        <v>7</v>
      </c>
      <c r="BJ2015" t="s">
        <v>268</v>
      </c>
      <c r="BK2015" t="s">
        <v>183</v>
      </c>
      <c r="BL2015" t="s">
        <v>100</v>
      </c>
      <c r="BM2015" t="s">
        <v>34597</v>
      </c>
      <c r="BN2015" t="s">
        <v>74</v>
      </c>
      <c r="BO2015" t="s">
        <v>74</v>
      </c>
      <c r="BP2015" t="s">
        <v>74</v>
      </c>
      <c r="BQ2015" t="s">
        <v>74</v>
      </c>
      <c r="BR2015" t="s">
        <v>102</v>
      </c>
      <c r="BS2015" t="s">
        <v>34598</v>
      </c>
      <c r="BT2015" t="str">
        <f>HYPERLINK("https%3A%2F%2Fwww.webofscience.com%2Fwos%2Fwoscc%2Ffull-record%2FWOS:000386326900019","View Full Record in Web of Science")</f>
        <v>View Full Record in Web of Science</v>
      </c>
    </row>
    <row r="2016" spans="1:72" x14ac:dyDescent="0.25">
      <c r="A2016" t="s">
        <v>72</v>
      </c>
      <c r="B2016" t="s">
        <v>34599</v>
      </c>
      <c r="C2016" t="s">
        <v>74</v>
      </c>
      <c r="D2016" t="s">
        <v>74</v>
      </c>
      <c r="E2016" t="s">
        <v>74</v>
      </c>
      <c r="F2016" t="s">
        <v>34600</v>
      </c>
      <c r="G2016" t="s">
        <v>74</v>
      </c>
      <c r="H2016" t="s">
        <v>74</v>
      </c>
      <c r="I2016" t="s">
        <v>34601</v>
      </c>
      <c r="J2016" t="s">
        <v>31622</v>
      </c>
      <c r="K2016" t="s">
        <v>74</v>
      </c>
      <c r="L2016" t="s">
        <v>74</v>
      </c>
      <c r="M2016" t="s">
        <v>78</v>
      </c>
      <c r="N2016" t="s">
        <v>372</v>
      </c>
      <c r="O2016" t="s">
        <v>74</v>
      </c>
      <c r="P2016" t="s">
        <v>74</v>
      </c>
      <c r="Q2016" t="s">
        <v>74</v>
      </c>
      <c r="R2016" t="s">
        <v>74</v>
      </c>
      <c r="S2016" t="s">
        <v>74</v>
      </c>
      <c r="T2016" t="s">
        <v>34602</v>
      </c>
      <c r="U2016" t="s">
        <v>34603</v>
      </c>
      <c r="V2016" t="s">
        <v>34604</v>
      </c>
      <c r="W2016" t="s">
        <v>34605</v>
      </c>
      <c r="X2016" t="s">
        <v>34606</v>
      </c>
      <c r="Y2016" t="s">
        <v>34607</v>
      </c>
      <c r="Z2016" t="s">
        <v>34608</v>
      </c>
      <c r="AA2016" t="s">
        <v>34609</v>
      </c>
      <c r="AB2016" t="s">
        <v>34610</v>
      </c>
      <c r="AC2016" t="s">
        <v>34611</v>
      </c>
      <c r="AD2016" t="s">
        <v>34611</v>
      </c>
      <c r="AE2016" t="s">
        <v>34612</v>
      </c>
      <c r="AF2016" t="s">
        <v>74</v>
      </c>
      <c r="AG2016">
        <v>56</v>
      </c>
      <c r="AH2016">
        <v>3</v>
      </c>
      <c r="AI2016">
        <v>4</v>
      </c>
      <c r="AJ2016">
        <v>2</v>
      </c>
      <c r="AK2016">
        <v>15</v>
      </c>
      <c r="AL2016" t="s">
        <v>757</v>
      </c>
      <c r="AM2016" t="s">
        <v>758</v>
      </c>
      <c r="AN2016" t="s">
        <v>759</v>
      </c>
      <c r="AO2016" t="s">
        <v>31612</v>
      </c>
      <c r="AP2016" t="s">
        <v>31611</v>
      </c>
      <c r="AQ2016" t="s">
        <v>74</v>
      </c>
      <c r="AR2016" t="s">
        <v>31610</v>
      </c>
      <c r="AS2016" t="s">
        <v>31609</v>
      </c>
      <c r="AT2016" t="s">
        <v>34613</v>
      </c>
      <c r="AU2016">
        <v>2024</v>
      </c>
      <c r="AV2016" t="s">
        <v>74</v>
      </c>
      <c r="AW2016" t="s">
        <v>74</v>
      </c>
      <c r="AX2016" t="s">
        <v>74</v>
      </c>
      <c r="AY2016" t="s">
        <v>74</v>
      </c>
      <c r="AZ2016" t="s">
        <v>74</v>
      </c>
      <c r="BA2016" t="s">
        <v>74</v>
      </c>
      <c r="BB2016" t="s">
        <v>74</v>
      </c>
      <c r="BC2016" t="s">
        <v>74</v>
      </c>
      <c r="BD2016" t="s">
        <v>74</v>
      </c>
      <c r="BE2016" t="s">
        <v>34614</v>
      </c>
      <c r="BF2016" t="str">
        <f>HYPERLINK("http://dx.doi.org/10.1177/14657503241230946","http://dx.doi.org/10.1177/14657503241230946")</f>
        <v>http://dx.doi.org/10.1177/14657503241230946</v>
      </c>
      <c r="BG2016" t="s">
        <v>74</v>
      </c>
      <c r="BH2016" t="s">
        <v>1239</v>
      </c>
      <c r="BI2016">
        <v>13</v>
      </c>
      <c r="BJ2016" t="s">
        <v>418</v>
      </c>
      <c r="BK2016" t="s">
        <v>313</v>
      </c>
      <c r="BL2016" t="s">
        <v>100</v>
      </c>
      <c r="BM2016" t="s">
        <v>34615</v>
      </c>
      <c r="BN2016" t="s">
        <v>74</v>
      </c>
      <c r="BO2016" t="s">
        <v>466</v>
      </c>
      <c r="BP2016" t="s">
        <v>74</v>
      </c>
      <c r="BQ2016" t="s">
        <v>74</v>
      </c>
      <c r="BR2016" t="s">
        <v>102</v>
      </c>
      <c r="BS2016" t="s">
        <v>34616</v>
      </c>
      <c r="BT2016" t="str">
        <f>HYPERLINK("https%3A%2F%2Fwww.webofscience.com%2Fwos%2Fwoscc%2Ffull-record%2FWOS:001163137300001","View Full Record in Web of Science")</f>
        <v>View Full Record in Web of Science</v>
      </c>
    </row>
    <row r="2017" spans="1:72" x14ac:dyDescent="0.25">
      <c r="A2017" t="s">
        <v>132</v>
      </c>
      <c r="B2017" t="s">
        <v>34617</v>
      </c>
      <c r="C2017" t="s">
        <v>74</v>
      </c>
      <c r="D2017" t="s">
        <v>34618</v>
      </c>
      <c r="E2017" t="s">
        <v>74</v>
      </c>
      <c r="F2017" t="s">
        <v>34619</v>
      </c>
      <c r="G2017" t="s">
        <v>74</v>
      </c>
      <c r="H2017" t="s">
        <v>74</v>
      </c>
      <c r="I2017" t="s">
        <v>34620</v>
      </c>
      <c r="J2017" t="s">
        <v>34621</v>
      </c>
      <c r="K2017" t="s">
        <v>34622</v>
      </c>
      <c r="L2017" t="s">
        <v>74</v>
      </c>
      <c r="M2017" t="s">
        <v>78</v>
      </c>
      <c r="N2017" t="s">
        <v>138</v>
      </c>
      <c r="O2017" t="s">
        <v>34623</v>
      </c>
      <c r="P2017" t="s">
        <v>34624</v>
      </c>
      <c r="Q2017" t="s">
        <v>34625</v>
      </c>
      <c r="R2017" t="s">
        <v>74</v>
      </c>
      <c r="S2017" t="s">
        <v>74</v>
      </c>
      <c r="T2017" t="s">
        <v>34626</v>
      </c>
      <c r="U2017" t="s">
        <v>74</v>
      </c>
      <c r="V2017" t="s">
        <v>34627</v>
      </c>
      <c r="W2017" t="s">
        <v>34628</v>
      </c>
      <c r="X2017" t="s">
        <v>34629</v>
      </c>
      <c r="Y2017" t="s">
        <v>34630</v>
      </c>
      <c r="Z2017" t="s">
        <v>34631</v>
      </c>
      <c r="AA2017" t="s">
        <v>34632</v>
      </c>
      <c r="AB2017" t="s">
        <v>34633</v>
      </c>
      <c r="AC2017" t="s">
        <v>74</v>
      </c>
      <c r="AD2017" t="s">
        <v>74</v>
      </c>
      <c r="AE2017" t="s">
        <v>74</v>
      </c>
      <c r="AF2017" t="s">
        <v>74</v>
      </c>
      <c r="AG2017">
        <v>38</v>
      </c>
      <c r="AH2017">
        <v>0</v>
      </c>
      <c r="AI2017">
        <v>0</v>
      </c>
      <c r="AJ2017">
        <v>1</v>
      </c>
      <c r="AK2017">
        <v>1</v>
      </c>
      <c r="AL2017" t="s">
        <v>1062</v>
      </c>
      <c r="AM2017" t="s">
        <v>667</v>
      </c>
      <c r="AN2017" t="s">
        <v>668</v>
      </c>
      <c r="AO2017" t="s">
        <v>34634</v>
      </c>
      <c r="AP2017" t="s">
        <v>34635</v>
      </c>
      <c r="AQ2017" t="s">
        <v>34636</v>
      </c>
      <c r="AR2017" t="s">
        <v>34637</v>
      </c>
      <c r="AS2017" t="s">
        <v>74</v>
      </c>
      <c r="AT2017" t="s">
        <v>74</v>
      </c>
      <c r="AU2017">
        <v>2023</v>
      </c>
      <c r="AV2017">
        <v>499</v>
      </c>
      <c r="AW2017" t="s">
        <v>74</v>
      </c>
      <c r="AX2017" t="s">
        <v>74</v>
      </c>
      <c r="AY2017" t="s">
        <v>74</v>
      </c>
      <c r="AZ2017" t="s">
        <v>74</v>
      </c>
      <c r="BA2017" t="s">
        <v>74</v>
      </c>
      <c r="BB2017">
        <v>430</v>
      </c>
      <c r="BC2017">
        <v>445</v>
      </c>
      <c r="BD2017" t="s">
        <v>74</v>
      </c>
      <c r="BE2017" t="s">
        <v>34638</v>
      </c>
      <c r="BF2017" t="str">
        <f>HYPERLINK("http://dx.doi.org/10.1007/978-3-031-34896-9_26","http://dx.doi.org/10.1007/978-3-031-34896-9_26")</f>
        <v>http://dx.doi.org/10.1007/978-3-031-34896-9_26</v>
      </c>
      <c r="BG2017" t="s">
        <v>74</v>
      </c>
      <c r="BH2017" t="s">
        <v>74</v>
      </c>
      <c r="BI2017">
        <v>16</v>
      </c>
      <c r="BJ2017" t="s">
        <v>34639</v>
      </c>
      <c r="BK2017" t="s">
        <v>1069</v>
      </c>
      <c r="BL2017" t="s">
        <v>34640</v>
      </c>
      <c r="BM2017" t="s">
        <v>34641</v>
      </c>
      <c r="BN2017" t="s">
        <v>74</v>
      </c>
      <c r="BO2017" t="s">
        <v>74</v>
      </c>
      <c r="BP2017" t="s">
        <v>74</v>
      </c>
      <c r="BQ2017" t="s">
        <v>74</v>
      </c>
      <c r="BR2017" t="s">
        <v>102</v>
      </c>
      <c r="BS2017" t="s">
        <v>34642</v>
      </c>
      <c r="BT2017" t="str">
        <f>HYPERLINK("https%3A%2F%2Fwww.webofscience.com%2Fwos%2Fwoscc%2Ffull-record%2FWOS:001447391100026","View Full Record in Web of Science")</f>
        <v>View Full Record in Web of Science</v>
      </c>
    </row>
    <row r="2018" spans="1:72" x14ac:dyDescent="0.25">
      <c r="A2018" t="s">
        <v>72</v>
      </c>
      <c r="B2018" t="s">
        <v>34643</v>
      </c>
      <c r="C2018" t="s">
        <v>74</v>
      </c>
      <c r="D2018" t="s">
        <v>74</v>
      </c>
      <c r="E2018" t="s">
        <v>74</v>
      </c>
      <c r="F2018" t="s">
        <v>34644</v>
      </c>
      <c r="G2018" t="s">
        <v>74</v>
      </c>
      <c r="H2018" t="s">
        <v>74</v>
      </c>
      <c r="I2018" t="s">
        <v>34645</v>
      </c>
      <c r="J2018" t="s">
        <v>34646</v>
      </c>
      <c r="K2018" t="s">
        <v>74</v>
      </c>
      <c r="L2018" t="s">
        <v>74</v>
      </c>
      <c r="M2018" t="s">
        <v>298</v>
      </c>
      <c r="N2018" t="s">
        <v>79</v>
      </c>
      <c r="O2018" t="s">
        <v>74</v>
      </c>
      <c r="P2018" t="s">
        <v>74</v>
      </c>
      <c r="Q2018" t="s">
        <v>74</v>
      </c>
      <c r="R2018" t="s">
        <v>74</v>
      </c>
      <c r="S2018" t="s">
        <v>74</v>
      </c>
      <c r="T2018" t="s">
        <v>34647</v>
      </c>
      <c r="U2018" t="s">
        <v>74</v>
      </c>
      <c r="V2018" t="s">
        <v>34648</v>
      </c>
      <c r="W2018" t="s">
        <v>34649</v>
      </c>
      <c r="X2018" t="s">
        <v>74</v>
      </c>
      <c r="Y2018" t="s">
        <v>34650</v>
      </c>
      <c r="Z2018" t="s">
        <v>34651</v>
      </c>
      <c r="AA2018" t="s">
        <v>34652</v>
      </c>
      <c r="AB2018" t="s">
        <v>34653</v>
      </c>
      <c r="AC2018" t="s">
        <v>74</v>
      </c>
      <c r="AD2018" t="s">
        <v>74</v>
      </c>
      <c r="AE2018" t="s">
        <v>74</v>
      </c>
      <c r="AF2018" t="s">
        <v>74</v>
      </c>
      <c r="AG2018">
        <v>59</v>
      </c>
      <c r="AH2018">
        <v>0</v>
      </c>
      <c r="AI2018">
        <v>1</v>
      </c>
      <c r="AJ2018">
        <v>0</v>
      </c>
      <c r="AK2018">
        <v>5</v>
      </c>
      <c r="AL2018" t="s">
        <v>34654</v>
      </c>
      <c r="AM2018" t="s">
        <v>34655</v>
      </c>
      <c r="AN2018" t="s">
        <v>34656</v>
      </c>
      <c r="AO2018" t="s">
        <v>34657</v>
      </c>
      <c r="AP2018" t="s">
        <v>34658</v>
      </c>
      <c r="AQ2018" t="s">
        <v>74</v>
      </c>
      <c r="AR2018" t="s">
        <v>34659</v>
      </c>
      <c r="AS2018" t="s">
        <v>34660</v>
      </c>
      <c r="AT2018" t="s">
        <v>363</v>
      </c>
      <c r="AU2018">
        <v>2023</v>
      </c>
      <c r="AV2018">
        <v>36</v>
      </c>
      <c r="AW2018">
        <v>2</v>
      </c>
      <c r="AX2018" t="s">
        <v>74</v>
      </c>
      <c r="AY2018" t="s">
        <v>74</v>
      </c>
      <c r="AZ2018" t="s">
        <v>74</v>
      </c>
      <c r="BA2018" t="s">
        <v>74</v>
      </c>
      <c r="BB2018" t="s">
        <v>74</v>
      </c>
      <c r="BC2018" t="s">
        <v>74</v>
      </c>
      <c r="BD2018" t="s">
        <v>74</v>
      </c>
      <c r="BE2018" t="s">
        <v>34661</v>
      </c>
      <c r="BF2018" t="str">
        <f>HYPERLINK("http://dx.doi.org/10.18845/tm.v36i2.6107","http://dx.doi.org/10.18845/tm.v36i2.6107")</f>
        <v>http://dx.doi.org/10.18845/tm.v36i2.6107</v>
      </c>
      <c r="BG2018" t="s">
        <v>74</v>
      </c>
      <c r="BH2018" t="s">
        <v>74</v>
      </c>
      <c r="BI2018">
        <v>170</v>
      </c>
      <c r="BJ2018" t="s">
        <v>559</v>
      </c>
      <c r="BK2018" t="s">
        <v>313</v>
      </c>
      <c r="BL2018" t="s">
        <v>560</v>
      </c>
      <c r="BM2018" t="s">
        <v>34662</v>
      </c>
      <c r="BN2018" t="s">
        <v>74</v>
      </c>
      <c r="BO2018" t="s">
        <v>916</v>
      </c>
      <c r="BP2018" t="s">
        <v>74</v>
      </c>
      <c r="BQ2018" t="s">
        <v>74</v>
      </c>
      <c r="BR2018" t="s">
        <v>102</v>
      </c>
      <c r="BS2018" t="s">
        <v>34663</v>
      </c>
      <c r="BT2018" t="str">
        <f>HYPERLINK("https%3A%2F%2Fwww.webofscience.com%2Fwos%2Fwoscc%2Ffull-record%2FWOS:001235034900008","View Full Record in Web of Science")</f>
        <v>View Full Record in Web of Science</v>
      </c>
    </row>
    <row r="2019" spans="1:72" x14ac:dyDescent="0.25">
      <c r="A2019" t="s">
        <v>72</v>
      </c>
      <c r="B2019" t="s">
        <v>34664</v>
      </c>
      <c r="C2019" t="s">
        <v>74</v>
      </c>
      <c r="D2019" t="s">
        <v>74</v>
      </c>
      <c r="E2019" t="s">
        <v>74</v>
      </c>
      <c r="F2019" t="s">
        <v>34665</v>
      </c>
      <c r="G2019" t="s">
        <v>74</v>
      </c>
      <c r="H2019" t="s">
        <v>74</v>
      </c>
      <c r="I2019" t="s">
        <v>34666</v>
      </c>
      <c r="J2019" t="s">
        <v>19928</v>
      </c>
      <c r="K2019" t="s">
        <v>74</v>
      </c>
      <c r="L2019" t="s">
        <v>74</v>
      </c>
      <c r="M2019" t="s">
        <v>78</v>
      </c>
      <c r="N2019" t="s">
        <v>79</v>
      </c>
      <c r="O2019" t="s">
        <v>74</v>
      </c>
      <c r="P2019" t="s">
        <v>74</v>
      </c>
      <c r="Q2019" t="s">
        <v>74</v>
      </c>
      <c r="R2019" t="s">
        <v>74</v>
      </c>
      <c r="S2019" t="s">
        <v>74</v>
      </c>
      <c r="T2019" t="s">
        <v>34667</v>
      </c>
      <c r="U2019" t="s">
        <v>34668</v>
      </c>
      <c r="V2019" t="s">
        <v>34669</v>
      </c>
      <c r="W2019" t="s">
        <v>34670</v>
      </c>
      <c r="X2019" t="s">
        <v>34671</v>
      </c>
      <c r="Y2019" t="s">
        <v>34672</v>
      </c>
      <c r="Z2019" t="s">
        <v>34673</v>
      </c>
      <c r="AA2019" t="s">
        <v>34674</v>
      </c>
      <c r="AB2019" t="s">
        <v>34675</v>
      </c>
      <c r="AC2019" t="s">
        <v>74</v>
      </c>
      <c r="AD2019" t="s">
        <v>74</v>
      </c>
      <c r="AE2019" t="s">
        <v>74</v>
      </c>
      <c r="AF2019" t="s">
        <v>74</v>
      </c>
      <c r="AG2019">
        <v>52</v>
      </c>
      <c r="AH2019">
        <v>3</v>
      </c>
      <c r="AI2019">
        <v>3</v>
      </c>
      <c r="AJ2019">
        <v>0</v>
      </c>
      <c r="AK2019">
        <v>1</v>
      </c>
      <c r="AL2019" t="s">
        <v>19920</v>
      </c>
      <c r="AM2019" t="s">
        <v>19919</v>
      </c>
      <c r="AN2019" t="s">
        <v>19918</v>
      </c>
      <c r="AO2019" t="s">
        <v>19917</v>
      </c>
      <c r="AP2019" t="s">
        <v>19916</v>
      </c>
      <c r="AQ2019" t="s">
        <v>74</v>
      </c>
      <c r="AR2019" t="s">
        <v>19915</v>
      </c>
      <c r="AS2019" t="s">
        <v>19914</v>
      </c>
      <c r="AT2019" t="s">
        <v>1652</v>
      </c>
      <c r="AU2019">
        <v>2023</v>
      </c>
      <c r="AV2019">
        <v>15</v>
      </c>
      <c r="AW2019">
        <v>1</v>
      </c>
      <c r="AX2019" t="s">
        <v>74</v>
      </c>
      <c r="AY2019" t="s">
        <v>74</v>
      </c>
      <c r="AZ2019" t="s">
        <v>74</v>
      </c>
      <c r="BA2019" t="s">
        <v>74</v>
      </c>
      <c r="BB2019">
        <v>133</v>
      </c>
      <c r="BC2019">
        <v>150</v>
      </c>
      <c r="BD2019" t="s">
        <v>74</v>
      </c>
      <c r="BE2019" t="s">
        <v>74</v>
      </c>
      <c r="BF2019" t="s">
        <v>74</v>
      </c>
      <c r="BG2019" t="s">
        <v>74</v>
      </c>
      <c r="BH2019" t="s">
        <v>74</v>
      </c>
      <c r="BI2019">
        <v>18</v>
      </c>
      <c r="BJ2019" t="s">
        <v>291</v>
      </c>
      <c r="BK2019" t="s">
        <v>313</v>
      </c>
      <c r="BL2019" t="s">
        <v>100</v>
      </c>
      <c r="BM2019" t="s">
        <v>34676</v>
      </c>
      <c r="BN2019" t="s">
        <v>74</v>
      </c>
      <c r="BO2019" t="s">
        <v>74</v>
      </c>
      <c r="BP2019" t="s">
        <v>74</v>
      </c>
      <c r="BQ2019" t="s">
        <v>74</v>
      </c>
      <c r="BR2019" t="s">
        <v>102</v>
      </c>
      <c r="BS2019" t="s">
        <v>34677</v>
      </c>
      <c r="BT2019" t="str">
        <f>HYPERLINK("https%3A%2F%2Fwww.webofscience.com%2Fwos%2Fwoscc%2Ffull-record%2FWOS:001043838900008","View Full Record in Web of Science")</f>
        <v>View Full Record in Web of Science</v>
      </c>
    </row>
    <row r="2020" spans="1:72" x14ac:dyDescent="0.25">
      <c r="A2020" t="s">
        <v>72</v>
      </c>
      <c r="B2020" t="s">
        <v>34678</v>
      </c>
      <c r="C2020" t="s">
        <v>74</v>
      </c>
      <c r="D2020" t="s">
        <v>74</v>
      </c>
      <c r="E2020" t="s">
        <v>74</v>
      </c>
      <c r="F2020" t="s">
        <v>34679</v>
      </c>
      <c r="G2020" t="s">
        <v>74</v>
      </c>
      <c r="H2020" t="s">
        <v>74</v>
      </c>
      <c r="I2020" t="s">
        <v>34680</v>
      </c>
      <c r="J2020" t="s">
        <v>11879</v>
      </c>
      <c r="K2020" t="s">
        <v>74</v>
      </c>
      <c r="L2020" t="s">
        <v>74</v>
      </c>
      <c r="M2020" t="s">
        <v>78</v>
      </c>
      <c r="N2020" t="s">
        <v>79</v>
      </c>
      <c r="O2020" t="s">
        <v>74</v>
      </c>
      <c r="P2020" t="s">
        <v>74</v>
      </c>
      <c r="Q2020" t="s">
        <v>74</v>
      </c>
      <c r="R2020" t="s">
        <v>74</v>
      </c>
      <c r="S2020" t="s">
        <v>74</v>
      </c>
      <c r="T2020" t="s">
        <v>34681</v>
      </c>
      <c r="U2020" t="s">
        <v>34682</v>
      </c>
      <c r="V2020" t="s">
        <v>34683</v>
      </c>
      <c r="W2020" t="s">
        <v>34684</v>
      </c>
      <c r="X2020" t="s">
        <v>34685</v>
      </c>
      <c r="Y2020" t="s">
        <v>34686</v>
      </c>
      <c r="Z2020" t="s">
        <v>34687</v>
      </c>
      <c r="AA2020" t="s">
        <v>74</v>
      </c>
      <c r="AB2020" t="s">
        <v>74</v>
      </c>
      <c r="AC2020" t="s">
        <v>74</v>
      </c>
      <c r="AD2020" t="s">
        <v>74</v>
      </c>
      <c r="AE2020" t="s">
        <v>74</v>
      </c>
      <c r="AF2020" t="s">
        <v>74</v>
      </c>
      <c r="AG2020">
        <v>27</v>
      </c>
      <c r="AH2020">
        <v>0</v>
      </c>
      <c r="AI2020">
        <v>0</v>
      </c>
      <c r="AJ2020">
        <v>0</v>
      </c>
      <c r="AK2020">
        <v>0</v>
      </c>
      <c r="AL2020" t="s">
        <v>201</v>
      </c>
      <c r="AM2020" t="s">
        <v>202</v>
      </c>
      <c r="AN2020" t="s">
        <v>203</v>
      </c>
      <c r="AO2020" t="s">
        <v>11889</v>
      </c>
      <c r="AP2020" t="s">
        <v>11890</v>
      </c>
      <c r="AQ2020" t="s">
        <v>74</v>
      </c>
      <c r="AR2020" t="s">
        <v>11891</v>
      </c>
      <c r="AS2020" t="s">
        <v>11892</v>
      </c>
      <c r="AT2020" t="s">
        <v>124</v>
      </c>
      <c r="AU2020">
        <v>2025</v>
      </c>
      <c r="AV2020">
        <v>25</v>
      </c>
      <c r="AW2020" t="s">
        <v>74</v>
      </c>
      <c r="AX2020" t="s">
        <v>74</v>
      </c>
      <c r="AY2020">
        <v>2</v>
      </c>
      <c r="AZ2020" t="s">
        <v>74</v>
      </c>
      <c r="BA2020" t="s">
        <v>74</v>
      </c>
      <c r="BB2020">
        <v>146</v>
      </c>
      <c r="BC2020">
        <v>155</v>
      </c>
      <c r="BD2020" t="s">
        <v>74</v>
      </c>
      <c r="BE2020" t="s">
        <v>34688</v>
      </c>
      <c r="BF2020" t="str">
        <f>HYPERLINK("http://dx.doi.org/10.1016/j.bir.2025.08.008","http://dx.doi.org/10.1016/j.bir.2025.08.008")</f>
        <v>http://dx.doi.org/10.1016/j.bir.2025.08.008</v>
      </c>
      <c r="BG2020" t="s">
        <v>74</v>
      </c>
      <c r="BH2020" t="s">
        <v>2044</v>
      </c>
      <c r="BI2020">
        <v>10</v>
      </c>
      <c r="BJ2020" t="s">
        <v>210</v>
      </c>
      <c r="BK2020" t="s">
        <v>99</v>
      </c>
      <c r="BL2020" t="s">
        <v>100</v>
      </c>
      <c r="BM2020" t="s">
        <v>12665</v>
      </c>
      <c r="BN2020" t="s">
        <v>74</v>
      </c>
      <c r="BO2020" t="s">
        <v>916</v>
      </c>
      <c r="BP2020" t="s">
        <v>74</v>
      </c>
      <c r="BQ2020" t="s">
        <v>74</v>
      </c>
      <c r="BR2020" t="s">
        <v>102</v>
      </c>
      <c r="BS2020" t="s">
        <v>34689</v>
      </c>
      <c r="BT2020" t="str">
        <f>HYPERLINK("https%3A%2F%2Fwww.webofscience.com%2Fwos%2Fwoscc%2Ffull-record%2FWOS:001637944900006","View Full Record in Web of Science")</f>
        <v>View Full Record in Web of Science</v>
      </c>
    </row>
    <row r="2021" spans="1:72" x14ac:dyDescent="0.25">
      <c r="A2021" t="s">
        <v>72</v>
      </c>
      <c r="B2021" t="s">
        <v>34690</v>
      </c>
      <c r="C2021" t="s">
        <v>74</v>
      </c>
      <c r="D2021" t="s">
        <v>74</v>
      </c>
      <c r="E2021" t="s">
        <v>74</v>
      </c>
      <c r="F2021" t="s">
        <v>34691</v>
      </c>
      <c r="G2021" t="s">
        <v>74</v>
      </c>
      <c r="H2021" t="s">
        <v>74</v>
      </c>
      <c r="I2021" t="s">
        <v>34692</v>
      </c>
      <c r="J2021" t="s">
        <v>34693</v>
      </c>
      <c r="K2021" t="s">
        <v>74</v>
      </c>
      <c r="L2021" t="s">
        <v>74</v>
      </c>
      <c r="M2021" t="s">
        <v>78</v>
      </c>
      <c r="N2021" t="s">
        <v>79</v>
      </c>
      <c r="O2021" t="s">
        <v>74</v>
      </c>
      <c r="P2021" t="s">
        <v>74</v>
      </c>
      <c r="Q2021" t="s">
        <v>74</v>
      </c>
      <c r="R2021" t="s">
        <v>74</v>
      </c>
      <c r="S2021" t="s">
        <v>74</v>
      </c>
      <c r="T2021" t="s">
        <v>34694</v>
      </c>
      <c r="U2021" t="s">
        <v>34695</v>
      </c>
      <c r="V2021" t="s">
        <v>34696</v>
      </c>
      <c r="W2021" t="s">
        <v>34697</v>
      </c>
      <c r="X2021" t="s">
        <v>34698</v>
      </c>
      <c r="Y2021" t="s">
        <v>34699</v>
      </c>
      <c r="Z2021" t="s">
        <v>34700</v>
      </c>
      <c r="AA2021" t="s">
        <v>34701</v>
      </c>
      <c r="AB2021" t="s">
        <v>34702</v>
      </c>
      <c r="AC2021" t="s">
        <v>74</v>
      </c>
      <c r="AD2021" t="s">
        <v>74</v>
      </c>
      <c r="AE2021" t="s">
        <v>74</v>
      </c>
      <c r="AF2021" t="s">
        <v>74</v>
      </c>
      <c r="AG2021">
        <v>50</v>
      </c>
      <c r="AH2021">
        <v>0</v>
      </c>
      <c r="AI2021">
        <v>0</v>
      </c>
      <c r="AJ2021">
        <v>1</v>
      </c>
      <c r="AK2021">
        <v>5</v>
      </c>
      <c r="AL2021" t="s">
        <v>34703</v>
      </c>
      <c r="AM2021" t="s">
        <v>34704</v>
      </c>
      <c r="AN2021" t="s">
        <v>34705</v>
      </c>
      <c r="AO2021" t="s">
        <v>34706</v>
      </c>
      <c r="AP2021" t="s">
        <v>74</v>
      </c>
      <c r="AQ2021" t="s">
        <v>74</v>
      </c>
      <c r="AR2021" t="s">
        <v>34707</v>
      </c>
      <c r="AS2021" t="s">
        <v>34708</v>
      </c>
      <c r="AT2021" t="s">
        <v>74</v>
      </c>
      <c r="AU2021">
        <v>2023</v>
      </c>
      <c r="AV2021">
        <v>27</v>
      </c>
      <c r="AW2021">
        <v>2</v>
      </c>
      <c r="AX2021" t="s">
        <v>74</v>
      </c>
      <c r="AY2021" t="s">
        <v>74</v>
      </c>
      <c r="AZ2021" t="s">
        <v>74</v>
      </c>
      <c r="BA2021" t="s">
        <v>74</v>
      </c>
      <c r="BB2021">
        <v>120</v>
      </c>
      <c r="BC2021">
        <v>135</v>
      </c>
      <c r="BD2021" t="s">
        <v>74</v>
      </c>
      <c r="BE2021" t="s">
        <v>34709</v>
      </c>
      <c r="BF2021" t="str">
        <f>HYPERLINK("http://dx.doi.org/10.17512/pjms.2023.27.2.08","http://dx.doi.org/10.17512/pjms.2023.27.2.08")</f>
        <v>http://dx.doi.org/10.17512/pjms.2023.27.2.08</v>
      </c>
      <c r="BG2021" t="s">
        <v>74</v>
      </c>
      <c r="BH2021" t="s">
        <v>74</v>
      </c>
      <c r="BI2021">
        <v>16</v>
      </c>
      <c r="BJ2021" t="s">
        <v>583</v>
      </c>
      <c r="BK2021" t="s">
        <v>313</v>
      </c>
      <c r="BL2021" t="s">
        <v>100</v>
      </c>
      <c r="BM2021" t="s">
        <v>34710</v>
      </c>
      <c r="BN2021" t="s">
        <v>74</v>
      </c>
      <c r="BO2021" t="s">
        <v>212</v>
      </c>
      <c r="BP2021" t="s">
        <v>74</v>
      </c>
      <c r="BQ2021" t="s">
        <v>74</v>
      </c>
      <c r="BR2021" t="s">
        <v>102</v>
      </c>
      <c r="BS2021" t="s">
        <v>34711</v>
      </c>
      <c r="BT2021" t="str">
        <f>HYPERLINK("https%3A%2F%2Fwww.webofscience.com%2Fwos%2Fwoscc%2Ffull-record%2FWOS:001021498600008","View Full Record in Web of Science")</f>
        <v>View Full Record in Web of Science</v>
      </c>
    </row>
    <row r="2022" spans="1:72" x14ac:dyDescent="0.25">
      <c r="A2022" t="s">
        <v>72</v>
      </c>
      <c r="B2022" t="s">
        <v>12895</v>
      </c>
      <c r="C2022" t="s">
        <v>74</v>
      </c>
      <c r="D2022" t="s">
        <v>74</v>
      </c>
      <c r="E2022" t="s">
        <v>74</v>
      </c>
      <c r="F2022" t="s">
        <v>12896</v>
      </c>
      <c r="G2022" t="s">
        <v>74</v>
      </c>
      <c r="H2022" t="s">
        <v>74</v>
      </c>
      <c r="I2022" t="s">
        <v>34712</v>
      </c>
      <c r="J2022" t="s">
        <v>2763</v>
      </c>
      <c r="K2022" t="s">
        <v>74</v>
      </c>
      <c r="L2022" t="s">
        <v>74</v>
      </c>
      <c r="M2022" t="s">
        <v>78</v>
      </c>
      <c r="N2022" t="s">
        <v>79</v>
      </c>
      <c r="O2022" t="s">
        <v>74</v>
      </c>
      <c r="P2022" t="s">
        <v>74</v>
      </c>
      <c r="Q2022" t="s">
        <v>74</v>
      </c>
      <c r="R2022" t="s">
        <v>74</v>
      </c>
      <c r="S2022" t="s">
        <v>74</v>
      </c>
      <c r="T2022" t="s">
        <v>34713</v>
      </c>
      <c r="U2022" t="s">
        <v>34714</v>
      </c>
      <c r="V2022" t="s">
        <v>34715</v>
      </c>
      <c r="W2022" t="s">
        <v>34716</v>
      </c>
      <c r="X2022" t="s">
        <v>12902</v>
      </c>
      <c r="Y2022" t="s">
        <v>34717</v>
      </c>
      <c r="Z2022" t="s">
        <v>34718</v>
      </c>
      <c r="AA2022" t="s">
        <v>12905</v>
      </c>
      <c r="AB2022" t="s">
        <v>12906</v>
      </c>
      <c r="AC2022" t="s">
        <v>34719</v>
      </c>
      <c r="AD2022" t="s">
        <v>34720</v>
      </c>
      <c r="AE2022" t="s">
        <v>34721</v>
      </c>
      <c r="AF2022" t="s">
        <v>74</v>
      </c>
      <c r="AG2022">
        <v>46</v>
      </c>
      <c r="AH2022">
        <v>12</v>
      </c>
      <c r="AI2022">
        <v>16</v>
      </c>
      <c r="AJ2022">
        <v>0</v>
      </c>
      <c r="AK2022">
        <v>19</v>
      </c>
      <c r="AL2022" t="s">
        <v>479</v>
      </c>
      <c r="AM2022" t="s">
        <v>480</v>
      </c>
      <c r="AN2022" t="s">
        <v>481</v>
      </c>
      <c r="AO2022" t="s">
        <v>2776</v>
      </c>
      <c r="AP2022" t="s">
        <v>2777</v>
      </c>
      <c r="AQ2022" t="s">
        <v>74</v>
      </c>
      <c r="AR2022" t="s">
        <v>2778</v>
      </c>
      <c r="AS2022" t="s">
        <v>2779</v>
      </c>
      <c r="AT2022" t="s">
        <v>1540</v>
      </c>
      <c r="AU2022">
        <v>2022</v>
      </c>
      <c r="AV2022">
        <v>26</v>
      </c>
      <c r="AW2022">
        <v>2</v>
      </c>
      <c r="AX2022" t="s">
        <v>74</v>
      </c>
      <c r="AY2022" t="s">
        <v>74</v>
      </c>
      <c r="AZ2022" t="s">
        <v>74</v>
      </c>
      <c r="BA2022" t="s">
        <v>74</v>
      </c>
      <c r="BB2022">
        <v>985</v>
      </c>
      <c r="BC2022">
        <v>1009</v>
      </c>
      <c r="BD2022" t="s">
        <v>74</v>
      </c>
      <c r="BE2022" t="s">
        <v>34722</v>
      </c>
      <c r="BF2022" t="str">
        <f>HYPERLINK("http://dx.doi.org/10.1111/rode.12848","http://dx.doi.org/10.1111/rode.12848")</f>
        <v>http://dx.doi.org/10.1111/rode.12848</v>
      </c>
      <c r="BG2022" t="s">
        <v>74</v>
      </c>
      <c r="BH2022" t="s">
        <v>2730</v>
      </c>
      <c r="BI2022">
        <v>25</v>
      </c>
      <c r="BJ2022" t="s">
        <v>701</v>
      </c>
      <c r="BK2022" t="s">
        <v>99</v>
      </c>
      <c r="BL2022" t="s">
        <v>702</v>
      </c>
      <c r="BM2022" t="s">
        <v>34723</v>
      </c>
      <c r="BN2022" t="s">
        <v>74</v>
      </c>
      <c r="BO2022" t="s">
        <v>270</v>
      </c>
      <c r="BP2022" t="s">
        <v>74</v>
      </c>
      <c r="BQ2022" t="s">
        <v>74</v>
      </c>
      <c r="BR2022" t="s">
        <v>102</v>
      </c>
      <c r="BS2022" t="s">
        <v>34724</v>
      </c>
      <c r="BT2022" t="str">
        <f>HYPERLINK("https%3A%2F%2Fwww.webofscience.com%2Fwos%2Fwoscc%2Ffull-record%2FWOS:000726948400001","View Full Record in Web of Science")</f>
        <v>View Full Record in Web of Science</v>
      </c>
    </row>
    <row r="2023" spans="1:72" x14ac:dyDescent="0.25">
      <c r="A2023" t="s">
        <v>72</v>
      </c>
      <c r="B2023" t="s">
        <v>34725</v>
      </c>
      <c r="C2023" t="s">
        <v>74</v>
      </c>
      <c r="D2023" t="s">
        <v>74</v>
      </c>
      <c r="E2023" t="s">
        <v>74</v>
      </c>
      <c r="F2023" t="s">
        <v>34726</v>
      </c>
      <c r="G2023" t="s">
        <v>74</v>
      </c>
      <c r="H2023" t="s">
        <v>74</v>
      </c>
      <c r="I2023" t="s">
        <v>34727</v>
      </c>
      <c r="J2023" t="s">
        <v>2809</v>
      </c>
      <c r="K2023" t="s">
        <v>74</v>
      </c>
      <c r="L2023" t="s">
        <v>74</v>
      </c>
      <c r="M2023" t="s">
        <v>78</v>
      </c>
      <c r="N2023" t="s">
        <v>2335</v>
      </c>
      <c r="O2023" t="s">
        <v>74</v>
      </c>
      <c r="P2023" t="s">
        <v>74</v>
      </c>
      <c r="Q2023" t="s">
        <v>74</v>
      </c>
      <c r="R2023" t="s">
        <v>74</v>
      </c>
      <c r="S2023" t="s">
        <v>74</v>
      </c>
      <c r="T2023" t="s">
        <v>34728</v>
      </c>
      <c r="U2023" t="s">
        <v>34729</v>
      </c>
      <c r="V2023" t="s">
        <v>34730</v>
      </c>
      <c r="W2023" t="s">
        <v>34731</v>
      </c>
      <c r="X2023" t="s">
        <v>34732</v>
      </c>
      <c r="Y2023" t="s">
        <v>34733</v>
      </c>
      <c r="Z2023" t="s">
        <v>34734</v>
      </c>
      <c r="AA2023" t="s">
        <v>74</v>
      </c>
      <c r="AB2023" t="s">
        <v>34735</v>
      </c>
      <c r="AC2023" t="s">
        <v>74</v>
      </c>
      <c r="AD2023" t="s">
        <v>74</v>
      </c>
      <c r="AE2023" t="s">
        <v>74</v>
      </c>
      <c r="AF2023" t="s">
        <v>74</v>
      </c>
      <c r="AG2023">
        <v>93</v>
      </c>
      <c r="AH2023">
        <v>21</v>
      </c>
      <c r="AI2023">
        <v>24</v>
      </c>
      <c r="AJ2023">
        <v>0</v>
      </c>
      <c r="AK2023">
        <v>13</v>
      </c>
      <c r="AL2023" t="s">
        <v>479</v>
      </c>
      <c r="AM2023" t="s">
        <v>480</v>
      </c>
      <c r="AN2023" t="s">
        <v>481</v>
      </c>
      <c r="AO2023" t="s">
        <v>2816</v>
      </c>
      <c r="AP2023" t="s">
        <v>2817</v>
      </c>
      <c r="AQ2023" t="s">
        <v>74</v>
      </c>
      <c r="AR2023" t="s">
        <v>2818</v>
      </c>
      <c r="AS2023" t="s">
        <v>2819</v>
      </c>
      <c r="AT2023" t="s">
        <v>1652</v>
      </c>
      <c r="AU2023">
        <v>2022</v>
      </c>
      <c r="AV2023">
        <v>56</v>
      </c>
      <c r="AW2023">
        <v>2</v>
      </c>
      <c r="AX2023" t="s">
        <v>74</v>
      </c>
      <c r="AY2023" t="s">
        <v>74</v>
      </c>
      <c r="AZ2023" t="s">
        <v>74</v>
      </c>
      <c r="BA2023" t="s">
        <v>74</v>
      </c>
      <c r="BB2023">
        <v>938</v>
      </c>
      <c r="BC2023">
        <v>956</v>
      </c>
      <c r="BD2023" t="s">
        <v>74</v>
      </c>
      <c r="BE2023" t="s">
        <v>34736</v>
      </c>
      <c r="BF2023" t="str">
        <f>HYPERLINK("http://dx.doi.org/10.1111/joca.12417","http://dx.doi.org/10.1111/joca.12417")</f>
        <v>http://dx.doi.org/10.1111/joca.12417</v>
      </c>
      <c r="BG2023" t="s">
        <v>74</v>
      </c>
      <c r="BH2023" t="s">
        <v>4651</v>
      </c>
      <c r="BI2023">
        <v>19</v>
      </c>
      <c r="BJ2023" t="s">
        <v>1453</v>
      </c>
      <c r="BK2023" t="s">
        <v>99</v>
      </c>
      <c r="BL2023" t="s">
        <v>100</v>
      </c>
      <c r="BM2023" t="s">
        <v>34737</v>
      </c>
      <c r="BN2023" t="s">
        <v>74</v>
      </c>
      <c r="BO2023" t="s">
        <v>74</v>
      </c>
      <c r="BP2023" t="s">
        <v>74</v>
      </c>
      <c r="BQ2023" t="s">
        <v>74</v>
      </c>
      <c r="BR2023" t="s">
        <v>102</v>
      </c>
      <c r="BS2023" t="s">
        <v>34738</v>
      </c>
      <c r="BT2023" t="str">
        <f>HYPERLINK("https%3A%2F%2Fwww.webofscience.com%2Fwos%2Fwoscc%2Ffull-record%2FWOS:000707359100001","View Full Record in Web of Science")</f>
        <v>View Full Record in Web of Science</v>
      </c>
    </row>
    <row r="2024" spans="1:72" x14ac:dyDescent="0.25">
      <c r="A2024" t="s">
        <v>72</v>
      </c>
      <c r="B2024" t="s">
        <v>34739</v>
      </c>
      <c r="C2024" t="s">
        <v>74</v>
      </c>
      <c r="D2024" t="s">
        <v>74</v>
      </c>
      <c r="E2024" t="s">
        <v>74</v>
      </c>
      <c r="F2024" t="s">
        <v>34740</v>
      </c>
      <c r="G2024" t="s">
        <v>74</v>
      </c>
      <c r="H2024" t="s">
        <v>74</v>
      </c>
      <c r="I2024" t="s">
        <v>34741</v>
      </c>
      <c r="J2024" t="s">
        <v>34742</v>
      </c>
      <c r="K2024" t="s">
        <v>74</v>
      </c>
      <c r="L2024" t="s">
        <v>74</v>
      </c>
      <c r="M2024" t="s">
        <v>78</v>
      </c>
      <c r="N2024" t="s">
        <v>79</v>
      </c>
      <c r="O2024" t="s">
        <v>74</v>
      </c>
      <c r="P2024" t="s">
        <v>74</v>
      </c>
      <c r="Q2024" t="s">
        <v>74</v>
      </c>
      <c r="R2024" t="s">
        <v>74</v>
      </c>
      <c r="S2024" t="s">
        <v>74</v>
      </c>
      <c r="T2024" t="s">
        <v>34743</v>
      </c>
      <c r="U2024" t="s">
        <v>74</v>
      </c>
      <c r="V2024" t="s">
        <v>34744</v>
      </c>
      <c r="W2024" t="s">
        <v>34745</v>
      </c>
      <c r="X2024" t="s">
        <v>34746</v>
      </c>
      <c r="Y2024" t="s">
        <v>34747</v>
      </c>
      <c r="Z2024" t="s">
        <v>22112</v>
      </c>
      <c r="AA2024" t="s">
        <v>74</v>
      </c>
      <c r="AB2024" t="s">
        <v>74</v>
      </c>
      <c r="AC2024" t="s">
        <v>34580</v>
      </c>
      <c r="AD2024" t="s">
        <v>19652</v>
      </c>
      <c r="AE2024" t="s">
        <v>34748</v>
      </c>
      <c r="AF2024" t="s">
        <v>74</v>
      </c>
      <c r="AG2024">
        <v>32</v>
      </c>
      <c r="AH2024">
        <v>1</v>
      </c>
      <c r="AI2024">
        <v>1</v>
      </c>
      <c r="AJ2024">
        <v>1</v>
      </c>
      <c r="AK2024">
        <v>1</v>
      </c>
      <c r="AL2024" t="s">
        <v>479</v>
      </c>
      <c r="AM2024" t="s">
        <v>480</v>
      </c>
      <c r="AN2024" t="s">
        <v>481</v>
      </c>
      <c r="AO2024" t="s">
        <v>34749</v>
      </c>
      <c r="AP2024" t="s">
        <v>74</v>
      </c>
      <c r="AQ2024" t="s">
        <v>74</v>
      </c>
      <c r="AR2024" t="s">
        <v>34750</v>
      </c>
      <c r="AS2024" t="s">
        <v>34751</v>
      </c>
      <c r="AT2024" t="s">
        <v>605</v>
      </c>
      <c r="AU2024">
        <v>2024</v>
      </c>
      <c r="AV2024">
        <v>16</v>
      </c>
      <c r="AW2024">
        <v>1</v>
      </c>
      <c r="AX2024" t="s">
        <v>74</v>
      </c>
      <c r="AY2024" t="s">
        <v>74</v>
      </c>
      <c r="AZ2024" t="s">
        <v>74</v>
      </c>
      <c r="BA2024" t="s">
        <v>74</v>
      </c>
      <c r="BB2024">
        <v>8</v>
      </c>
      <c r="BC2024">
        <v>23</v>
      </c>
      <c r="BD2024" t="s">
        <v>74</v>
      </c>
      <c r="BE2024" t="s">
        <v>34752</v>
      </c>
      <c r="BF2024" t="str">
        <f>HYPERLINK("http://dx.doi.org/10.1002/pop4.394","http://dx.doi.org/10.1002/pop4.394")</f>
        <v>http://dx.doi.org/10.1002/pop4.394</v>
      </c>
      <c r="BG2024" t="s">
        <v>74</v>
      </c>
      <c r="BH2024" t="s">
        <v>1239</v>
      </c>
      <c r="BI2024">
        <v>16</v>
      </c>
      <c r="BJ2024" t="s">
        <v>2045</v>
      </c>
      <c r="BK2024" t="s">
        <v>313</v>
      </c>
      <c r="BL2024" t="s">
        <v>2045</v>
      </c>
      <c r="BM2024" t="s">
        <v>34753</v>
      </c>
      <c r="BN2024" t="s">
        <v>74</v>
      </c>
      <c r="BO2024" t="s">
        <v>74</v>
      </c>
      <c r="BP2024" t="s">
        <v>74</v>
      </c>
      <c r="BQ2024" t="s">
        <v>74</v>
      </c>
      <c r="BR2024" t="s">
        <v>102</v>
      </c>
      <c r="BS2024" t="s">
        <v>34754</v>
      </c>
      <c r="BT2024" t="str">
        <f>HYPERLINK("https%3A%2F%2Fwww.webofscience.com%2Fwos%2Fwoscc%2Ffull-record%2FWOS:001172920500001","View Full Record in Web of Science")</f>
        <v>View Full Record in Web of Science</v>
      </c>
    </row>
    <row r="2025" spans="1:72" x14ac:dyDescent="0.25">
      <c r="A2025" t="s">
        <v>72</v>
      </c>
      <c r="B2025" t="s">
        <v>34755</v>
      </c>
      <c r="C2025" t="s">
        <v>74</v>
      </c>
      <c r="D2025" t="s">
        <v>74</v>
      </c>
      <c r="E2025" t="s">
        <v>74</v>
      </c>
      <c r="F2025" t="s">
        <v>34756</v>
      </c>
      <c r="G2025" t="s">
        <v>74</v>
      </c>
      <c r="H2025" t="s">
        <v>74</v>
      </c>
      <c r="I2025" t="s">
        <v>34757</v>
      </c>
      <c r="J2025" t="s">
        <v>4657</v>
      </c>
      <c r="K2025" t="s">
        <v>74</v>
      </c>
      <c r="L2025" t="s">
        <v>74</v>
      </c>
      <c r="M2025" t="s">
        <v>78</v>
      </c>
      <c r="N2025" t="s">
        <v>79</v>
      </c>
      <c r="O2025" t="s">
        <v>74</v>
      </c>
      <c r="P2025" t="s">
        <v>74</v>
      </c>
      <c r="Q2025" t="s">
        <v>74</v>
      </c>
      <c r="R2025" t="s">
        <v>74</v>
      </c>
      <c r="S2025" t="s">
        <v>74</v>
      </c>
      <c r="T2025" t="s">
        <v>34758</v>
      </c>
      <c r="U2025" t="s">
        <v>34759</v>
      </c>
      <c r="V2025" t="s">
        <v>34760</v>
      </c>
      <c r="W2025" t="s">
        <v>34761</v>
      </c>
      <c r="X2025" t="s">
        <v>74</v>
      </c>
      <c r="Y2025" t="s">
        <v>34762</v>
      </c>
      <c r="Z2025" t="s">
        <v>34763</v>
      </c>
      <c r="AA2025" t="s">
        <v>34764</v>
      </c>
      <c r="AB2025" t="s">
        <v>34765</v>
      </c>
      <c r="AC2025" t="s">
        <v>34766</v>
      </c>
      <c r="AD2025" t="s">
        <v>34766</v>
      </c>
      <c r="AE2025" t="s">
        <v>34767</v>
      </c>
      <c r="AF2025" t="s">
        <v>74</v>
      </c>
      <c r="AG2025">
        <v>62</v>
      </c>
      <c r="AH2025">
        <v>7</v>
      </c>
      <c r="AI2025">
        <v>8</v>
      </c>
      <c r="AJ2025">
        <v>0</v>
      </c>
      <c r="AK2025">
        <v>3</v>
      </c>
      <c r="AL2025" t="s">
        <v>4666</v>
      </c>
      <c r="AM2025" t="s">
        <v>995</v>
      </c>
      <c r="AN2025" t="s">
        <v>4025</v>
      </c>
      <c r="AO2025" t="s">
        <v>74</v>
      </c>
      <c r="AP2025" t="s">
        <v>4667</v>
      </c>
      <c r="AQ2025" t="s">
        <v>74</v>
      </c>
      <c r="AR2025" t="s">
        <v>4668</v>
      </c>
      <c r="AS2025" t="s">
        <v>4669</v>
      </c>
      <c r="AT2025" t="s">
        <v>2557</v>
      </c>
      <c r="AU2025">
        <v>2025</v>
      </c>
      <c r="AV2025">
        <v>6</v>
      </c>
      <c r="AW2025">
        <v>1</v>
      </c>
      <c r="AX2025" t="s">
        <v>74</v>
      </c>
      <c r="AY2025" t="s">
        <v>74</v>
      </c>
      <c r="AZ2025" t="s">
        <v>74</v>
      </c>
      <c r="BA2025" t="s">
        <v>74</v>
      </c>
      <c r="BB2025" t="s">
        <v>74</v>
      </c>
      <c r="BC2025" t="s">
        <v>74</v>
      </c>
      <c r="BD2025">
        <v>164</v>
      </c>
      <c r="BE2025" t="s">
        <v>34768</v>
      </c>
      <c r="BF2025" t="str">
        <f>HYPERLINK("http://dx.doi.org/10.1007/s43621-025-00972-w","http://dx.doi.org/10.1007/s43621-025-00972-w")</f>
        <v>http://dx.doi.org/10.1007/s43621-025-00972-w</v>
      </c>
      <c r="BG2025" t="s">
        <v>74</v>
      </c>
      <c r="BH2025" t="s">
        <v>74</v>
      </c>
      <c r="BI2025">
        <v>19</v>
      </c>
      <c r="BJ2025" t="s">
        <v>3247</v>
      </c>
      <c r="BK2025" t="s">
        <v>313</v>
      </c>
      <c r="BL2025" t="s">
        <v>3248</v>
      </c>
      <c r="BM2025" t="s">
        <v>34769</v>
      </c>
      <c r="BN2025" t="s">
        <v>74</v>
      </c>
      <c r="BO2025" t="s">
        <v>212</v>
      </c>
      <c r="BP2025" t="s">
        <v>74</v>
      </c>
      <c r="BQ2025" t="s">
        <v>74</v>
      </c>
      <c r="BR2025" t="s">
        <v>102</v>
      </c>
      <c r="BS2025" t="s">
        <v>34770</v>
      </c>
      <c r="BT2025" t="str">
        <f>HYPERLINK("https%3A%2F%2Fwww.webofscience.com%2Fwos%2Fwoscc%2Ffull-record%2FWOS:001444343700001","View Full Record in Web of Science")</f>
        <v>View Full Record in Web of Science</v>
      </c>
    </row>
    <row r="2026" spans="1:72" x14ac:dyDescent="0.25">
      <c r="A2026" t="s">
        <v>72</v>
      </c>
      <c r="B2026" t="s">
        <v>34771</v>
      </c>
      <c r="C2026" t="s">
        <v>74</v>
      </c>
      <c r="D2026" t="s">
        <v>74</v>
      </c>
      <c r="E2026" t="s">
        <v>74</v>
      </c>
      <c r="F2026" t="s">
        <v>34772</v>
      </c>
      <c r="G2026" t="s">
        <v>74</v>
      </c>
      <c r="H2026" t="s">
        <v>74</v>
      </c>
      <c r="I2026" t="s">
        <v>34773</v>
      </c>
      <c r="J2026" t="s">
        <v>107</v>
      </c>
      <c r="K2026" t="s">
        <v>74</v>
      </c>
      <c r="L2026" t="s">
        <v>74</v>
      </c>
      <c r="M2026" t="s">
        <v>78</v>
      </c>
      <c r="N2026" t="s">
        <v>79</v>
      </c>
      <c r="O2026" t="s">
        <v>74</v>
      </c>
      <c r="P2026" t="s">
        <v>74</v>
      </c>
      <c r="Q2026" t="s">
        <v>74</v>
      </c>
      <c r="R2026" t="s">
        <v>74</v>
      </c>
      <c r="S2026" t="s">
        <v>74</v>
      </c>
      <c r="T2026" t="s">
        <v>34774</v>
      </c>
      <c r="U2026" t="s">
        <v>34775</v>
      </c>
      <c r="V2026" t="s">
        <v>34776</v>
      </c>
      <c r="W2026" t="s">
        <v>34777</v>
      </c>
      <c r="X2026" t="s">
        <v>34778</v>
      </c>
      <c r="Y2026" t="s">
        <v>34779</v>
      </c>
      <c r="Z2026" t="s">
        <v>34780</v>
      </c>
      <c r="AA2026" t="s">
        <v>34781</v>
      </c>
      <c r="AB2026" t="s">
        <v>74</v>
      </c>
      <c r="AC2026" t="s">
        <v>34782</v>
      </c>
      <c r="AD2026" t="s">
        <v>34783</v>
      </c>
      <c r="AE2026" t="s">
        <v>34784</v>
      </c>
      <c r="AF2026" t="s">
        <v>74</v>
      </c>
      <c r="AG2026">
        <v>97</v>
      </c>
      <c r="AH2026">
        <v>17</v>
      </c>
      <c r="AI2026">
        <v>18</v>
      </c>
      <c r="AJ2026">
        <v>0</v>
      </c>
      <c r="AK2026">
        <v>31</v>
      </c>
      <c r="AL2026" t="s">
        <v>117</v>
      </c>
      <c r="AM2026" t="s">
        <v>118</v>
      </c>
      <c r="AN2026" t="s">
        <v>119</v>
      </c>
      <c r="AO2026" t="s">
        <v>120</v>
      </c>
      <c r="AP2026" t="s">
        <v>121</v>
      </c>
      <c r="AQ2026" t="s">
        <v>74</v>
      </c>
      <c r="AR2026" t="s">
        <v>122</v>
      </c>
      <c r="AS2026" t="s">
        <v>123</v>
      </c>
      <c r="AT2026" t="s">
        <v>1159</v>
      </c>
      <c r="AU2026">
        <v>2022</v>
      </c>
      <c r="AV2026">
        <v>29</v>
      </c>
      <c r="AW2026">
        <v>47</v>
      </c>
      <c r="AX2026" t="s">
        <v>74</v>
      </c>
      <c r="AY2026" t="s">
        <v>74</v>
      </c>
      <c r="AZ2026" t="s">
        <v>74</v>
      </c>
      <c r="BA2026" t="s">
        <v>74</v>
      </c>
      <c r="BB2026">
        <v>71923</v>
      </c>
      <c r="BC2026">
        <v>71935</v>
      </c>
      <c r="BD2026" t="s">
        <v>74</v>
      </c>
      <c r="BE2026" t="s">
        <v>34785</v>
      </c>
      <c r="BF2026" t="str">
        <f>HYPERLINK("http://dx.doi.org/10.1007/s11356-022-20139-8","http://dx.doi.org/10.1007/s11356-022-20139-8")</f>
        <v>http://dx.doi.org/10.1007/s11356-022-20139-8</v>
      </c>
      <c r="BG2026" t="s">
        <v>74</v>
      </c>
      <c r="BH2026" t="s">
        <v>1091</v>
      </c>
      <c r="BI2026">
        <v>13</v>
      </c>
      <c r="BJ2026" t="s">
        <v>127</v>
      </c>
      <c r="BK2026" t="s">
        <v>128</v>
      </c>
      <c r="BL2026" t="s">
        <v>129</v>
      </c>
      <c r="BM2026" t="s">
        <v>34786</v>
      </c>
      <c r="BN2026">
        <v>35608761</v>
      </c>
      <c r="BO2026" t="s">
        <v>74</v>
      </c>
      <c r="BP2026" t="s">
        <v>74</v>
      </c>
      <c r="BQ2026" t="s">
        <v>74</v>
      </c>
      <c r="BR2026" t="s">
        <v>102</v>
      </c>
      <c r="BS2026" t="s">
        <v>34787</v>
      </c>
      <c r="BT2026" t="str">
        <f>HYPERLINK("https%3A%2F%2Fwww.webofscience.com%2Fwos%2Fwoscc%2Ffull-record%2FWOS:000801072300018","View Full Record in Web of Science")</f>
        <v>View Full Record in Web of Science</v>
      </c>
    </row>
    <row r="2027" spans="1:72" x14ac:dyDescent="0.25">
      <c r="A2027" t="s">
        <v>72</v>
      </c>
      <c r="B2027" t="s">
        <v>34788</v>
      </c>
      <c r="C2027" t="s">
        <v>74</v>
      </c>
      <c r="D2027" t="s">
        <v>74</v>
      </c>
      <c r="E2027" t="s">
        <v>74</v>
      </c>
      <c r="F2027" t="s">
        <v>34789</v>
      </c>
      <c r="G2027" t="s">
        <v>74</v>
      </c>
      <c r="H2027" t="s">
        <v>74</v>
      </c>
      <c r="I2027" t="s">
        <v>34790</v>
      </c>
      <c r="J2027" t="s">
        <v>34791</v>
      </c>
      <c r="K2027" t="s">
        <v>74</v>
      </c>
      <c r="L2027" t="s">
        <v>74</v>
      </c>
      <c r="M2027" t="s">
        <v>78</v>
      </c>
      <c r="N2027" t="s">
        <v>79</v>
      </c>
      <c r="O2027" t="s">
        <v>74</v>
      </c>
      <c r="P2027" t="s">
        <v>74</v>
      </c>
      <c r="Q2027" t="s">
        <v>74</v>
      </c>
      <c r="R2027" t="s">
        <v>74</v>
      </c>
      <c r="S2027" t="s">
        <v>74</v>
      </c>
      <c r="T2027" t="s">
        <v>34792</v>
      </c>
      <c r="U2027" t="s">
        <v>34793</v>
      </c>
      <c r="V2027" t="s">
        <v>34794</v>
      </c>
      <c r="W2027" t="s">
        <v>34795</v>
      </c>
      <c r="X2027" t="s">
        <v>34796</v>
      </c>
      <c r="Y2027" t="s">
        <v>34797</v>
      </c>
      <c r="Z2027" t="s">
        <v>34798</v>
      </c>
      <c r="AA2027" t="s">
        <v>74</v>
      </c>
      <c r="AB2027" t="s">
        <v>74</v>
      </c>
      <c r="AC2027" t="s">
        <v>74</v>
      </c>
      <c r="AD2027" t="s">
        <v>74</v>
      </c>
      <c r="AE2027" t="s">
        <v>74</v>
      </c>
      <c r="AF2027" t="s">
        <v>74</v>
      </c>
      <c r="AG2027">
        <v>70</v>
      </c>
      <c r="AH2027">
        <v>2</v>
      </c>
      <c r="AI2027">
        <v>3</v>
      </c>
      <c r="AJ2027">
        <v>4</v>
      </c>
      <c r="AK2027">
        <v>17</v>
      </c>
      <c r="AL2027" t="s">
        <v>34799</v>
      </c>
      <c r="AM2027" t="s">
        <v>34800</v>
      </c>
      <c r="AN2027" t="s">
        <v>34801</v>
      </c>
      <c r="AO2027" t="s">
        <v>34802</v>
      </c>
      <c r="AP2027" t="s">
        <v>34803</v>
      </c>
      <c r="AQ2027" t="s">
        <v>74</v>
      </c>
      <c r="AR2027" t="s">
        <v>34804</v>
      </c>
      <c r="AS2027" t="s">
        <v>34805</v>
      </c>
      <c r="AT2027" t="s">
        <v>74</v>
      </c>
      <c r="AU2027">
        <v>2025</v>
      </c>
      <c r="AV2027">
        <v>21</v>
      </c>
      <c r="AW2027">
        <v>1</v>
      </c>
      <c r="AX2027" t="s">
        <v>74</v>
      </c>
      <c r="AY2027" t="s">
        <v>74</v>
      </c>
      <c r="AZ2027" t="s">
        <v>74</v>
      </c>
      <c r="BA2027" t="s">
        <v>74</v>
      </c>
      <c r="BB2027">
        <v>21</v>
      </c>
      <c r="BC2027">
        <v>37</v>
      </c>
      <c r="BD2027" t="s">
        <v>74</v>
      </c>
      <c r="BE2027" t="s">
        <v>34806</v>
      </c>
      <c r="BF2027" t="str">
        <f>HYPERLINK("http://dx.doi.org/10.18089/tms.20250102","http://dx.doi.org/10.18089/tms.20250102")</f>
        <v>http://dx.doi.org/10.18089/tms.20250102</v>
      </c>
      <c r="BG2027" t="s">
        <v>74</v>
      </c>
      <c r="BH2027" t="s">
        <v>74</v>
      </c>
      <c r="BI2027">
        <v>17</v>
      </c>
      <c r="BJ2027" t="s">
        <v>15096</v>
      </c>
      <c r="BK2027" t="s">
        <v>313</v>
      </c>
      <c r="BL2027" t="s">
        <v>365</v>
      </c>
      <c r="BM2027" t="s">
        <v>34807</v>
      </c>
      <c r="BN2027" t="s">
        <v>74</v>
      </c>
      <c r="BO2027" t="s">
        <v>212</v>
      </c>
      <c r="BP2027" t="s">
        <v>74</v>
      </c>
      <c r="BQ2027" t="s">
        <v>74</v>
      </c>
      <c r="BR2027" t="s">
        <v>102</v>
      </c>
      <c r="BS2027" t="s">
        <v>34808</v>
      </c>
      <c r="BT2027" t="str">
        <f>HYPERLINK("https%3A%2F%2Fwww.webofscience.com%2Fwos%2Fwoscc%2Ffull-record%2FWOS:001390088500002","View Full Record in Web of Science")</f>
        <v>View Full Record in Web of Science</v>
      </c>
    </row>
    <row r="2028" spans="1:72" x14ac:dyDescent="0.25">
      <c r="A2028" t="s">
        <v>72</v>
      </c>
      <c r="B2028" t="s">
        <v>34809</v>
      </c>
      <c r="C2028" t="s">
        <v>74</v>
      </c>
      <c r="D2028" t="s">
        <v>74</v>
      </c>
      <c r="E2028" t="s">
        <v>74</v>
      </c>
      <c r="F2028" t="s">
        <v>34810</v>
      </c>
      <c r="G2028" t="s">
        <v>74</v>
      </c>
      <c r="H2028" t="s">
        <v>74</v>
      </c>
      <c r="I2028" t="s">
        <v>34811</v>
      </c>
      <c r="J2028" t="s">
        <v>19577</v>
      </c>
      <c r="K2028" t="s">
        <v>74</v>
      </c>
      <c r="L2028" t="s">
        <v>74</v>
      </c>
      <c r="M2028" t="s">
        <v>78</v>
      </c>
      <c r="N2028" t="s">
        <v>79</v>
      </c>
      <c r="O2028" t="s">
        <v>74</v>
      </c>
      <c r="P2028" t="s">
        <v>74</v>
      </c>
      <c r="Q2028" t="s">
        <v>74</v>
      </c>
      <c r="R2028" t="s">
        <v>74</v>
      </c>
      <c r="S2028" t="s">
        <v>74</v>
      </c>
      <c r="T2028" t="s">
        <v>34812</v>
      </c>
      <c r="U2028" t="s">
        <v>74</v>
      </c>
      <c r="V2028" t="s">
        <v>34813</v>
      </c>
      <c r="W2028" t="s">
        <v>34814</v>
      </c>
      <c r="X2028" t="s">
        <v>19572</v>
      </c>
      <c r="Y2028" t="s">
        <v>34815</v>
      </c>
      <c r="Z2028" t="s">
        <v>34816</v>
      </c>
      <c r="AA2028" t="s">
        <v>34817</v>
      </c>
      <c r="AB2028" t="s">
        <v>74</v>
      </c>
      <c r="AC2028" t="s">
        <v>74</v>
      </c>
      <c r="AD2028" t="s">
        <v>74</v>
      </c>
      <c r="AE2028" t="s">
        <v>74</v>
      </c>
      <c r="AF2028" t="s">
        <v>74</v>
      </c>
      <c r="AG2028">
        <v>13</v>
      </c>
      <c r="AH2028">
        <v>2</v>
      </c>
      <c r="AI2028">
        <v>4</v>
      </c>
      <c r="AJ2028">
        <v>1</v>
      </c>
      <c r="AK2028">
        <v>15</v>
      </c>
      <c r="AL2028" t="s">
        <v>19567</v>
      </c>
      <c r="AM2028" t="s">
        <v>1953</v>
      </c>
      <c r="AN2028" t="s">
        <v>19566</v>
      </c>
      <c r="AO2028" t="s">
        <v>19565</v>
      </c>
      <c r="AP2028" t="s">
        <v>19564</v>
      </c>
      <c r="AQ2028" t="s">
        <v>74</v>
      </c>
      <c r="AR2028" t="s">
        <v>19563</v>
      </c>
      <c r="AS2028" t="s">
        <v>19562</v>
      </c>
      <c r="AT2028" t="s">
        <v>1652</v>
      </c>
      <c r="AU2028">
        <v>2021</v>
      </c>
      <c r="AV2028">
        <v>8</v>
      </c>
      <c r="AW2028" t="s">
        <v>74</v>
      </c>
      <c r="AX2028" t="s">
        <v>74</v>
      </c>
      <c r="AY2028" t="s">
        <v>74</v>
      </c>
      <c r="AZ2028" t="s">
        <v>441</v>
      </c>
      <c r="BA2028" t="s">
        <v>74</v>
      </c>
      <c r="BB2028">
        <v>277</v>
      </c>
      <c r="BC2028">
        <v>299</v>
      </c>
      <c r="BD2028" t="s">
        <v>74</v>
      </c>
      <c r="BE2028" t="s">
        <v>34818</v>
      </c>
      <c r="BF2028" t="str">
        <f>HYPERLINK("http://dx.doi.org/10.26414/A2376","http://dx.doi.org/10.26414/A2376")</f>
        <v>http://dx.doi.org/10.26414/A2376</v>
      </c>
      <c r="BG2028" t="s">
        <v>74</v>
      </c>
      <c r="BH2028" t="s">
        <v>74</v>
      </c>
      <c r="BI2028">
        <v>23</v>
      </c>
      <c r="BJ2028" t="s">
        <v>291</v>
      </c>
      <c r="BK2028" t="s">
        <v>313</v>
      </c>
      <c r="BL2028" t="s">
        <v>100</v>
      </c>
      <c r="BM2028" t="s">
        <v>19560</v>
      </c>
      <c r="BN2028" t="s">
        <v>74</v>
      </c>
      <c r="BO2028" t="s">
        <v>212</v>
      </c>
      <c r="BP2028" t="s">
        <v>74</v>
      </c>
      <c r="BQ2028" t="s">
        <v>74</v>
      </c>
      <c r="BR2028" t="s">
        <v>102</v>
      </c>
      <c r="BS2028" t="s">
        <v>34819</v>
      </c>
      <c r="BT2028" t="str">
        <f>HYPERLINK("https%3A%2F%2Fwww.webofscience.com%2Fwos%2Fwoscc%2Ffull-record%2FWOS:000662231400005","View Full Record in Web of Science")</f>
        <v>View Full Record in Web of Science</v>
      </c>
    </row>
    <row r="2029" spans="1:72" x14ac:dyDescent="0.25">
      <c r="A2029" t="s">
        <v>72</v>
      </c>
      <c r="B2029" t="s">
        <v>34820</v>
      </c>
      <c r="C2029" t="s">
        <v>74</v>
      </c>
      <c r="D2029" t="s">
        <v>74</v>
      </c>
      <c r="E2029" t="s">
        <v>74</v>
      </c>
      <c r="F2029" t="s">
        <v>34821</v>
      </c>
      <c r="G2029" t="s">
        <v>74</v>
      </c>
      <c r="H2029" t="s">
        <v>74</v>
      </c>
      <c r="I2029" t="s">
        <v>34822</v>
      </c>
      <c r="J2029" t="s">
        <v>34823</v>
      </c>
      <c r="K2029" t="s">
        <v>74</v>
      </c>
      <c r="L2029" t="s">
        <v>74</v>
      </c>
      <c r="M2029" t="s">
        <v>78</v>
      </c>
      <c r="N2029" t="s">
        <v>79</v>
      </c>
      <c r="O2029" t="s">
        <v>74</v>
      </c>
      <c r="P2029" t="s">
        <v>74</v>
      </c>
      <c r="Q2029" t="s">
        <v>74</v>
      </c>
      <c r="R2029" t="s">
        <v>74</v>
      </c>
      <c r="S2029" t="s">
        <v>74</v>
      </c>
      <c r="T2029" t="s">
        <v>34824</v>
      </c>
      <c r="U2029" t="s">
        <v>34825</v>
      </c>
      <c r="V2029" t="s">
        <v>34826</v>
      </c>
      <c r="W2029" t="s">
        <v>34827</v>
      </c>
      <c r="X2029" t="s">
        <v>17449</v>
      </c>
      <c r="Y2029" t="s">
        <v>34828</v>
      </c>
      <c r="Z2029" t="s">
        <v>34829</v>
      </c>
      <c r="AA2029" t="s">
        <v>34830</v>
      </c>
      <c r="AB2029" t="s">
        <v>74</v>
      </c>
      <c r="AC2029" t="s">
        <v>74</v>
      </c>
      <c r="AD2029" t="s">
        <v>74</v>
      </c>
      <c r="AE2029" t="s">
        <v>74</v>
      </c>
      <c r="AF2029" t="s">
        <v>74</v>
      </c>
      <c r="AG2029">
        <v>51</v>
      </c>
      <c r="AH2029">
        <v>1</v>
      </c>
      <c r="AI2029">
        <v>1</v>
      </c>
      <c r="AJ2029">
        <v>0</v>
      </c>
      <c r="AK2029">
        <v>4</v>
      </c>
      <c r="AL2029" t="s">
        <v>25169</v>
      </c>
      <c r="AM2029" t="s">
        <v>25168</v>
      </c>
      <c r="AN2029" t="s">
        <v>25167</v>
      </c>
      <c r="AO2029" t="s">
        <v>34831</v>
      </c>
      <c r="AP2029" t="s">
        <v>34832</v>
      </c>
      <c r="AQ2029" t="s">
        <v>74</v>
      </c>
      <c r="AR2029" t="s">
        <v>34833</v>
      </c>
      <c r="AS2029" t="s">
        <v>34834</v>
      </c>
      <c r="AT2029" t="s">
        <v>74</v>
      </c>
      <c r="AU2029">
        <v>2023</v>
      </c>
      <c r="AV2029">
        <v>32</v>
      </c>
      <c r="AW2029">
        <v>1</v>
      </c>
      <c r="AX2029" t="s">
        <v>74</v>
      </c>
      <c r="AY2029" t="s">
        <v>74</v>
      </c>
      <c r="AZ2029" t="s">
        <v>74</v>
      </c>
      <c r="BA2029" t="s">
        <v>74</v>
      </c>
      <c r="BB2029" t="s">
        <v>74</v>
      </c>
      <c r="BC2029" t="s">
        <v>74</v>
      </c>
      <c r="BD2029">
        <v>8437</v>
      </c>
      <c r="BE2029" t="s">
        <v>34835</v>
      </c>
      <c r="BF2029" t="str">
        <f>HYPERLINK("http://dx.doi.org/10.15304/rge.32.1.8437","http://dx.doi.org/10.15304/rge.32.1.8437")</f>
        <v>http://dx.doi.org/10.15304/rge.32.1.8437</v>
      </c>
      <c r="BG2029" t="s">
        <v>74</v>
      </c>
      <c r="BH2029" t="s">
        <v>74</v>
      </c>
      <c r="BI2029">
        <v>35</v>
      </c>
      <c r="BJ2029" t="s">
        <v>291</v>
      </c>
      <c r="BK2029" t="s">
        <v>313</v>
      </c>
      <c r="BL2029" t="s">
        <v>100</v>
      </c>
      <c r="BM2029" t="s">
        <v>34836</v>
      </c>
      <c r="BN2029" t="s">
        <v>74</v>
      </c>
      <c r="BO2029" t="s">
        <v>74</v>
      </c>
      <c r="BP2029" t="s">
        <v>74</v>
      </c>
      <c r="BQ2029" t="s">
        <v>74</v>
      </c>
      <c r="BR2029" t="s">
        <v>102</v>
      </c>
      <c r="BS2029" t="s">
        <v>34837</v>
      </c>
      <c r="BT2029" t="str">
        <f>HYPERLINK("https%3A%2F%2Fwww.webofscience.com%2Fwos%2Fwoscc%2Ffull-record%2FWOS:001110135000005","View Full Record in Web of Science")</f>
        <v>View Full Record in Web of Science</v>
      </c>
    </row>
    <row r="2030" spans="1:72" x14ac:dyDescent="0.25">
      <c r="A2030" t="s">
        <v>72</v>
      </c>
      <c r="B2030" t="s">
        <v>34838</v>
      </c>
      <c r="C2030" t="s">
        <v>74</v>
      </c>
      <c r="D2030" t="s">
        <v>74</v>
      </c>
      <c r="E2030" t="s">
        <v>74</v>
      </c>
      <c r="F2030" t="s">
        <v>34839</v>
      </c>
      <c r="G2030" t="s">
        <v>74</v>
      </c>
      <c r="H2030" t="s">
        <v>74</v>
      </c>
      <c r="I2030" t="s">
        <v>34840</v>
      </c>
      <c r="J2030" t="s">
        <v>10469</v>
      </c>
      <c r="K2030" t="s">
        <v>74</v>
      </c>
      <c r="L2030" t="s">
        <v>74</v>
      </c>
      <c r="M2030" t="s">
        <v>78</v>
      </c>
      <c r="N2030" t="s">
        <v>79</v>
      </c>
      <c r="O2030" t="s">
        <v>74</v>
      </c>
      <c r="P2030" t="s">
        <v>74</v>
      </c>
      <c r="Q2030" t="s">
        <v>74</v>
      </c>
      <c r="R2030" t="s">
        <v>74</v>
      </c>
      <c r="S2030" t="s">
        <v>74</v>
      </c>
      <c r="T2030" t="s">
        <v>34841</v>
      </c>
      <c r="U2030" t="s">
        <v>34842</v>
      </c>
      <c r="V2030" t="s">
        <v>34843</v>
      </c>
      <c r="W2030" t="s">
        <v>34844</v>
      </c>
      <c r="X2030" t="s">
        <v>34845</v>
      </c>
      <c r="Y2030" t="s">
        <v>34846</v>
      </c>
      <c r="Z2030" t="s">
        <v>24404</v>
      </c>
      <c r="AA2030" t="s">
        <v>34847</v>
      </c>
      <c r="AB2030" t="s">
        <v>74</v>
      </c>
      <c r="AC2030" t="s">
        <v>74</v>
      </c>
      <c r="AD2030" t="s">
        <v>74</v>
      </c>
      <c r="AE2030" t="s">
        <v>74</v>
      </c>
      <c r="AF2030" t="s">
        <v>74</v>
      </c>
      <c r="AG2030">
        <v>34</v>
      </c>
      <c r="AH2030">
        <v>11</v>
      </c>
      <c r="AI2030">
        <v>19</v>
      </c>
      <c r="AJ2030">
        <v>0</v>
      </c>
      <c r="AK2030">
        <v>12</v>
      </c>
      <c r="AL2030" t="s">
        <v>332</v>
      </c>
      <c r="AM2030" t="s">
        <v>333</v>
      </c>
      <c r="AN2030" t="s">
        <v>334</v>
      </c>
      <c r="AO2030" t="s">
        <v>10477</v>
      </c>
      <c r="AP2030" t="s">
        <v>10478</v>
      </c>
      <c r="AQ2030" t="s">
        <v>74</v>
      </c>
      <c r="AR2030" t="s">
        <v>10479</v>
      </c>
      <c r="AS2030" t="s">
        <v>10480</v>
      </c>
      <c r="AT2030" t="s">
        <v>74</v>
      </c>
      <c r="AU2030">
        <v>2017</v>
      </c>
      <c r="AV2030">
        <v>27</v>
      </c>
      <c r="AW2030">
        <v>7</v>
      </c>
      <c r="AX2030" t="s">
        <v>74</v>
      </c>
      <c r="AY2030" t="s">
        <v>74</v>
      </c>
      <c r="AZ2030" t="s">
        <v>74</v>
      </c>
      <c r="BA2030" t="s">
        <v>74</v>
      </c>
      <c r="BB2030">
        <v>1006</v>
      </c>
      <c r="BC2030">
        <v>1019</v>
      </c>
      <c r="BD2030" t="s">
        <v>74</v>
      </c>
      <c r="BE2030" t="s">
        <v>34848</v>
      </c>
      <c r="BF2030" t="str">
        <f>HYPERLINK("http://dx.doi.org/10.1080/09614524.2017.1355353","http://dx.doi.org/10.1080/09614524.2017.1355353")</f>
        <v>http://dx.doi.org/10.1080/09614524.2017.1355353</v>
      </c>
      <c r="BG2030" t="s">
        <v>74</v>
      </c>
      <c r="BH2030" t="s">
        <v>74</v>
      </c>
      <c r="BI2030">
        <v>14</v>
      </c>
      <c r="BJ2030" t="s">
        <v>1137</v>
      </c>
      <c r="BK2030" t="s">
        <v>313</v>
      </c>
      <c r="BL2030" t="s">
        <v>1137</v>
      </c>
      <c r="BM2030" t="s">
        <v>34849</v>
      </c>
      <c r="BN2030" t="s">
        <v>74</v>
      </c>
      <c r="BO2030" t="s">
        <v>74</v>
      </c>
      <c r="BP2030" t="s">
        <v>74</v>
      </c>
      <c r="BQ2030" t="s">
        <v>74</v>
      </c>
      <c r="BR2030" t="s">
        <v>102</v>
      </c>
      <c r="BS2030" t="s">
        <v>34850</v>
      </c>
      <c r="BT2030" t="str">
        <f>HYPERLINK("https%3A%2F%2Fwww.webofscience.com%2Fwos%2Fwoscc%2Ffull-record%2FWOS:000413808600010","View Full Record in Web of Science")</f>
        <v>View Full Record in Web of Science</v>
      </c>
    </row>
    <row r="2031" spans="1:72" x14ac:dyDescent="0.25">
      <c r="A2031" t="s">
        <v>72</v>
      </c>
      <c r="B2031" t="s">
        <v>34851</v>
      </c>
      <c r="C2031" t="s">
        <v>74</v>
      </c>
      <c r="D2031" t="s">
        <v>74</v>
      </c>
      <c r="E2031" t="s">
        <v>74</v>
      </c>
      <c r="F2031" t="s">
        <v>34852</v>
      </c>
      <c r="G2031" t="s">
        <v>74</v>
      </c>
      <c r="H2031" t="s">
        <v>74</v>
      </c>
      <c r="I2031" t="s">
        <v>34853</v>
      </c>
      <c r="J2031" t="s">
        <v>34854</v>
      </c>
      <c r="K2031" t="s">
        <v>74</v>
      </c>
      <c r="L2031" t="s">
        <v>74</v>
      </c>
      <c r="M2031" t="s">
        <v>78</v>
      </c>
      <c r="N2031" t="s">
        <v>79</v>
      </c>
      <c r="O2031" t="s">
        <v>74</v>
      </c>
      <c r="P2031" t="s">
        <v>74</v>
      </c>
      <c r="Q2031" t="s">
        <v>74</v>
      </c>
      <c r="R2031" t="s">
        <v>74</v>
      </c>
      <c r="S2031" t="s">
        <v>74</v>
      </c>
      <c r="T2031" t="s">
        <v>34855</v>
      </c>
      <c r="U2031" t="s">
        <v>34856</v>
      </c>
      <c r="V2031" t="s">
        <v>34857</v>
      </c>
      <c r="W2031" t="s">
        <v>34858</v>
      </c>
      <c r="X2031" t="s">
        <v>34859</v>
      </c>
      <c r="Y2031" t="s">
        <v>34860</v>
      </c>
      <c r="Z2031" t="s">
        <v>34861</v>
      </c>
      <c r="AA2031" t="s">
        <v>34862</v>
      </c>
      <c r="AB2031" t="s">
        <v>34863</v>
      </c>
      <c r="AC2031" t="s">
        <v>34864</v>
      </c>
      <c r="AD2031" t="s">
        <v>34865</v>
      </c>
      <c r="AE2031" t="s">
        <v>34866</v>
      </c>
      <c r="AF2031" t="s">
        <v>74</v>
      </c>
      <c r="AG2031">
        <v>50</v>
      </c>
      <c r="AH2031">
        <v>6</v>
      </c>
      <c r="AI2031">
        <v>8</v>
      </c>
      <c r="AJ2031">
        <v>0</v>
      </c>
      <c r="AK2031">
        <v>8</v>
      </c>
      <c r="AL2031" t="s">
        <v>4485</v>
      </c>
      <c r="AM2031" t="s">
        <v>231</v>
      </c>
      <c r="AN2031" t="s">
        <v>4486</v>
      </c>
      <c r="AO2031" t="s">
        <v>34867</v>
      </c>
      <c r="AP2031" t="s">
        <v>74</v>
      </c>
      <c r="AQ2031" t="s">
        <v>74</v>
      </c>
      <c r="AR2031" t="s">
        <v>34868</v>
      </c>
      <c r="AS2031" t="s">
        <v>34869</v>
      </c>
      <c r="AT2031" t="s">
        <v>124</v>
      </c>
      <c r="AU2031">
        <v>2019</v>
      </c>
      <c r="AV2031">
        <v>9</v>
      </c>
      <c r="AW2031" t="s">
        <v>74</v>
      </c>
      <c r="AX2031" t="s">
        <v>74</v>
      </c>
      <c r="AY2031" t="s">
        <v>74</v>
      </c>
      <c r="AZ2031" t="s">
        <v>74</v>
      </c>
      <c r="BA2031" t="s">
        <v>74</v>
      </c>
      <c r="BB2031" t="s">
        <v>74</v>
      </c>
      <c r="BC2031" t="s">
        <v>74</v>
      </c>
      <c r="BD2031">
        <v>100467</v>
      </c>
      <c r="BE2031" t="s">
        <v>34870</v>
      </c>
      <c r="BF2031" t="str">
        <f>HYPERLINK("http://dx.doi.org/10.1016/j.ssmph.2019.100467","http://dx.doi.org/10.1016/j.ssmph.2019.100467")</f>
        <v>http://dx.doi.org/10.1016/j.ssmph.2019.100467</v>
      </c>
      <c r="BG2031" t="s">
        <v>74</v>
      </c>
      <c r="BH2031" t="s">
        <v>74</v>
      </c>
      <c r="BI2031">
        <v>12</v>
      </c>
      <c r="BJ2031" t="s">
        <v>7080</v>
      </c>
      <c r="BK2031" t="s">
        <v>2623</v>
      </c>
      <c r="BL2031" t="s">
        <v>7080</v>
      </c>
      <c r="BM2031" t="s">
        <v>34871</v>
      </c>
      <c r="BN2031">
        <v>31463356</v>
      </c>
      <c r="BO2031" t="s">
        <v>916</v>
      </c>
      <c r="BP2031" t="s">
        <v>74</v>
      </c>
      <c r="BQ2031" t="s">
        <v>74</v>
      </c>
      <c r="BR2031" t="s">
        <v>102</v>
      </c>
      <c r="BS2031" t="s">
        <v>34872</v>
      </c>
      <c r="BT2031" t="str">
        <f>HYPERLINK("https%3A%2F%2Fwww.webofscience.com%2Fwos%2Fwoscc%2Ffull-record%2FWOS:000498893900027","View Full Record in Web of Science")</f>
        <v>View Full Record in Web of Science</v>
      </c>
    </row>
    <row r="2032" spans="1:72" x14ac:dyDescent="0.25">
      <c r="A2032" t="s">
        <v>72</v>
      </c>
      <c r="B2032" t="s">
        <v>34873</v>
      </c>
      <c r="C2032" t="s">
        <v>74</v>
      </c>
      <c r="D2032" t="s">
        <v>74</v>
      </c>
      <c r="E2032" t="s">
        <v>74</v>
      </c>
      <c r="F2032" t="s">
        <v>34874</v>
      </c>
      <c r="G2032" t="s">
        <v>74</v>
      </c>
      <c r="H2032" t="s">
        <v>74</v>
      </c>
      <c r="I2032" t="s">
        <v>34875</v>
      </c>
      <c r="J2032" t="s">
        <v>2763</v>
      </c>
      <c r="K2032" t="s">
        <v>74</v>
      </c>
      <c r="L2032" t="s">
        <v>74</v>
      </c>
      <c r="M2032" t="s">
        <v>78</v>
      </c>
      <c r="N2032" t="s">
        <v>372</v>
      </c>
      <c r="O2032" t="s">
        <v>74</v>
      </c>
      <c r="P2032" t="s">
        <v>74</v>
      </c>
      <c r="Q2032" t="s">
        <v>74</v>
      </c>
      <c r="R2032" t="s">
        <v>74</v>
      </c>
      <c r="S2032" t="s">
        <v>74</v>
      </c>
      <c r="T2032" t="s">
        <v>74</v>
      </c>
      <c r="U2032" t="s">
        <v>34876</v>
      </c>
      <c r="V2032" t="s">
        <v>34877</v>
      </c>
      <c r="W2032" t="s">
        <v>34878</v>
      </c>
      <c r="X2032" t="s">
        <v>74</v>
      </c>
      <c r="Y2032" t="s">
        <v>34879</v>
      </c>
      <c r="Z2032" t="s">
        <v>25539</v>
      </c>
      <c r="AA2032" t="s">
        <v>74</v>
      </c>
      <c r="AB2032" t="s">
        <v>74</v>
      </c>
      <c r="AC2032" t="s">
        <v>74</v>
      </c>
      <c r="AD2032" t="s">
        <v>74</v>
      </c>
      <c r="AE2032" t="s">
        <v>74</v>
      </c>
      <c r="AF2032" t="s">
        <v>74</v>
      </c>
      <c r="AG2032">
        <v>63</v>
      </c>
      <c r="AH2032">
        <v>0</v>
      </c>
      <c r="AI2032">
        <v>0</v>
      </c>
      <c r="AJ2032">
        <v>2</v>
      </c>
      <c r="AK2032">
        <v>2</v>
      </c>
      <c r="AL2032" t="s">
        <v>479</v>
      </c>
      <c r="AM2032" t="s">
        <v>480</v>
      </c>
      <c r="AN2032" t="s">
        <v>481</v>
      </c>
      <c r="AO2032" t="s">
        <v>2776</v>
      </c>
      <c r="AP2032" t="s">
        <v>2777</v>
      </c>
      <c r="AQ2032" t="s">
        <v>74</v>
      </c>
      <c r="AR2032" t="s">
        <v>2778</v>
      </c>
      <c r="AS2032" t="s">
        <v>2779</v>
      </c>
      <c r="AT2032" t="s">
        <v>34880</v>
      </c>
      <c r="AU2032">
        <v>2025</v>
      </c>
      <c r="AV2032" t="s">
        <v>74</v>
      </c>
      <c r="AW2032" t="s">
        <v>74</v>
      </c>
      <c r="AX2032" t="s">
        <v>74</v>
      </c>
      <c r="AY2032" t="s">
        <v>74</v>
      </c>
      <c r="AZ2032" t="s">
        <v>74</v>
      </c>
      <c r="BA2032" t="s">
        <v>74</v>
      </c>
      <c r="BB2032" t="s">
        <v>74</v>
      </c>
      <c r="BC2032" t="s">
        <v>74</v>
      </c>
      <c r="BD2032" t="s">
        <v>74</v>
      </c>
      <c r="BE2032" t="s">
        <v>34881</v>
      </c>
      <c r="BF2032" t="str">
        <f>HYPERLINK("http://dx.doi.org/10.1111/rode.70056","http://dx.doi.org/10.1111/rode.70056")</f>
        <v>http://dx.doi.org/10.1111/rode.70056</v>
      </c>
      <c r="BG2032" t="s">
        <v>74</v>
      </c>
      <c r="BH2032" t="s">
        <v>3411</v>
      </c>
      <c r="BI2032">
        <v>16</v>
      </c>
      <c r="BJ2032" t="s">
        <v>701</v>
      </c>
      <c r="BK2032" t="s">
        <v>99</v>
      </c>
      <c r="BL2032" t="s">
        <v>702</v>
      </c>
      <c r="BM2032" t="s">
        <v>34882</v>
      </c>
      <c r="BN2032" t="s">
        <v>74</v>
      </c>
      <c r="BO2032" t="s">
        <v>74</v>
      </c>
      <c r="BP2032" t="s">
        <v>74</v>
      </c>
      <c r="BQ2032" t="s">
        <v>74</v>
      </c>
      <c r="BR2032" t="s">
        <v>102</v>
      </c>
      <c r="BS2032" t="s">
        <v>34883</v>
      </c>
      <c r="BT2032" t="str">
        <f>HYPERLINK("https%3A%2F%2Fwww.webofscience.com%2Fwos%2Fwoscc%2Ffull-record%2FWOS:001574112300001","View Full Record in Web of Science")</f>
        <v>View Full Record in Web of Science</v>
      </c>
    </row>
    <row r="2033" spans="1:72" x14ac:dyDescent="0.25">
      <c r="A2033" t="s">
        <v>72</v>
      </c>
      <c r="B2033" t="s">
        <v>34884</v>
      </c>
      <c r="C2033" t="s">
        <v>74</v>
      </c>
      <c r="D2033" t="s">
        <v>74</v>
      </c>
      <c r="E2033" t="s">
        <v>74</v>
      </c>
      <c r="F2033" t="s">
        <v>34885</v>
      </c>
      <c r="G2033" t="s">
        <v>74</v>
      </c>
      <c r="H2033" t="s">
        <v>74</v>
      </c>
      <c r="I2033" t="s">
        <v>34886</v>
      </c>
      <c r="J2033" t="s">
        <v>320</v>
      </c>
      <c r="K2033" t="s">
        <v>74</v>
      </c>
      <c r="L2033" t="s">
        <v>74</v>
      </c>
      <c r="M2033" t="s">
        <v>78</v>
      </c>
      <c r="N2033" t="s">
        <v>79</v>
      </c>
      <c r="O2033" t="s">
        <v>74</v>
      </c>
      <c r="P2033" t="s">
        <v>74</v>
      </c>
      <c r="Q2033" t="s">
        <v>74</v>
      </c>
      <c r="R2033" t="s">
        <v>74</v>
      </c>
      <c r="S2033" t="s">
        <v>74</v>
      </c>
      <c r="T2033" t="s">
        <v>34887</v>
      </c>
      <c r="U2033" t="s">
        <v>34888</v>
      </c>
      <c r="V2033" t="s">
        <v>34889</v>
      </c>
      <c r="W2033" t="s">
        <v>34890</v>
      </c>
      <c r="X2033" t="s">
        <v>34891</v>
      </c>
      <c r="Y2033" t="s">
        <v>34892</v>
      </c>
      <c r="Z2033" t="s">
        <v>34893</v>
      </c>
      <c r="AA2033" t="s">
        <v>34894</v>
      </c>
      <c r="AB2033" t="s">
        <v>74</v>
      </c>
      <c r="AC2033" t="s">
        <v>74</v>
      </c>
      <c r="AD2033" t="s">
        <v>74</v>
      </c>
      <c r="AE2033" t="s">
        <v>74</v>
      </c>
      <c r="AF2033" t="s">
        <v>74</v>
      </c>
      <c r="AG2033">
        <v>67</v>
      </c>
      <c r="AH2033">
        <v>47</v>
      </c>
      <c r="AI2033">
        <v>56</v>
      </c>
      <c r="AJ2033">
        <v>0</v>
      </c>
      <c r="AK2033">
        <v>37</v>
      </c>
      <c r="AL2033" t="s">
        <v>332</v>
      </c>
      <c r="AM2033" t="s">
        <v>333</v>
      </c>
      <c r="AN2033" t="s">
        <v>334</v>
      </c>
      <c r="AO2033" t="s">
        <v>335</v>
      </c>
      <c r="AP2033" t="s">
        <v>336</v>
      </c>
      <c r="AQ2033" t="s">
        <v>74</v>
      </c>
      <c r="AR2033" t="s">
        <v>337</v>
      </c>
      <c r="AS2033" t="s">
        <v>338</v>
      </c>
      <c r="AT2033" t="s">
        <v>6450</v>
      </c>
      <c r="AU2033">
        <v>2019</v>
      </c>
      <c r="AV2033">
        <v>26</v>
      </c>
      <c r="AW2033">
        <v>5</v>
      </c>
      <c r="AX2033" t="s">
        <v>74</v>
      </c>
      <c r="AY2033" t="s">
        <v>74</v>
      </c>
      <c r="AZ2033" t="s">
        <v>441</v>
      </c>
      <c r="BA2033" t="s">
        <v>74</v>
      </c>
      <c r="BB2033">
        <v>839</v>
      </c>
      <c r="BC2033">
        <v>862</v>
      </c>
      <c r="BD2033" t="s">
        <v>74</v>
      </c>
      <c r="BE2033" t="s">
        <v>34895</v>
      </c>
      <c r="BF2033" t="str">
        <f>HYPERLINK("http://dx.doi.org/10.1080/09692290.2019.1607766","http://dx.doi.org/10.1080/09692290.2019.1607766")</f>
        <v>http://dx.doi.org/10.1080/09692290.2019.1607766</v>
      </c>
      <c r="BG2033" t="s">
        <v>74</v>
      </c>
      <c r="BH2033" t="s">
        <v>74</v>
      </c>
      <c r="BI2033">
        <v>24</v>
      </c>
      <c r="BJ2033" t="s">
        <v>342</v>
      </c>
      <c r="BK2033" t="s">
        <v>99</v>
      </c>
      <c r="BL2033" t="s">
        <v>343</v>
      </c>
      <c r="BM2033" t="s">
        <v>34896</v>
      </c>
      <c r="BN2033" t="s">
        <v>74</v>
      </c>
      <c r="BO2033" t="s">
        <v>74</v>
      </c>
      <c r="BP2033" t="s">
        <v>74</v>
      </c>
      <c r="BQ2033" t="s">
        <v>74</v>
      </c>
      <c r="BR2033" t="s">
        <v>102</v>
      </c>
      <c r="BS2033" t="s">
        <v>34897</v>
      </c>
      <c r="BT2033" t="str">
        <f>HYPERLINK("https%3A%2F%2Fwww.webofscience.com%2Fwos%2Fwoscc%2Ffull-record%2FWOS:000486058800004","View Full Record in Web of Science")</f>
        <v>View Full Record in Web of Science</v>
      </c>
    </row>
    <row r="2034" spans="1:72" x14ac:dyDescent="0.25">
      <c r="A2034" t="s">
        <v>72</v>
      </c>
      <c r="B2034" t="s">
        <v>34898</v>
      </c>
      <c r="C2034" t="s">
        <v>74</v>
      </c>
      <c r="D2034" t="s">
        <v>74</v>
      </c>
      <c r="E2034" t="s">
        <v>74</v>
      </c>
      <c r="F2034" t="s">
        <v>34899</v>
      </c>
      <c r="G2034" t="s">
        <v>74</v>
      </c>
      <c r="H2034" t="s">
        <v>74</v>
      </c>
      <c r="I2034" t="s">
        <v>34900</v>
      </c>
      <c r="J2034" t="s">
        <v>4539</v>
      </c>
      <c r="K2034" t="s">
        <v>74</v>
      </c>
      <c r="L2034" t="s">
        <v>74</v>
      </c>
      <c r="M2034" t="s">
        <v>78</v>
      </c>
      <c r="N2034" t="s">
        <v>79</v>
      </c>
      <c r="O2034" t="s">
        <v>74</v>
      </c>
      <c r="P2034" t="s">
        <v>74</v>
      </c>
      <c r="Q2034" t="s">
        <v>74</v>
      </c>
      <c r="R2034" t="s">
        <v>74</v>
      </c>
      <c r="S2034" t="s">
        <v>74</v>
      </c>
      <c r="T2034" t="s">
        <v>34901</v>
      </c>
      <c r="U2034" t="s">
        <v>34902</v>
      </c>
      <c r="V2034" t="s">
        <v>34903</v>
      </c>
      <c r="W2034" t="s">
        <v>34904</v>
      </c>
      <c r="X2034" t="s">
        <v>34905</v>
      </c>
      <c r="Y2034" t="s">
        <v>34906</v>
      </c>
      <c r="Z2034" t="s">
        <v>34907</v>
      </c>
      <c r="AA2034" t="s">
        <v>74</v>
      </c>
      <c r="AB2034" t="s">
        <v>34908</v>
      </c>
      <c r="AC2034" t="s">
        <v>74</v>
      </c>
      <c r="AD2034" t="s">
        <v>74</v>
      </c>
      <c r="AE2034" t="s">
        <v>74</v>
      </c>
      <c r="AF2034" t="s">
        <v>74</v>
      </c>
      <c r="AG2034">
        <v>77</v>
      </c>
      <c r="AH2034">
        <v>9</v>
      </c>
      <c r="AI2034">
        <v>10</v>
      </c>
      <c r="AJ2034">
        <v>0</v>
      </c>
      <c r="AK2034">
        <v>19</v>
      </c>
      <c r="AL2034" t="s">
        <v>479</v>
      </c>
      <c r="AM2034" t="s">
        <v>480</v>
      </c>
      <c r="AN2034" t="s">
        <v>481</v>
      </c>
      <c r="AO2034" t="s">
        <v>4548</v>
      </c>
      <c r="AP2034" t="s">
        <v>4549</v>
      </c>
      <c r="AQ2034" t="s">
        <v>74</v>
      </c>
      <c r="AR2034" t="s">
        <v>4550</v>
      </c>
      <c r="AS2034" t="s">
        <v>4551</v>
      </c>
      <c r="AT2034" t="s">
        <v>891</v>
      </c>
      <c r="AU2034">
        <v>2014</v>
      </c>
      <c r="AV2034">
        <v>32</v>
      </c>
      <c r="AW2034">
        <v>6</v>
      </c>
      <c r="AX2034" t="s">
        <v>74</v>
      </c>
      <c r="AY2034" t="s">
        <v>74</v>
      </c>
      <c r="AZ2034" t="s">
        <v>74</v>
      </c>
      <c r="BA2034" t="s">
        <v>74</v>
      </c>
      <c r="BB2034">
        <v>733</v>
      </c>
      <c r="BC2034">
        <v>753</v>
      </c>
      <c r="BD2034" t="s">
        <v>74</v>
      </c>
      <c r="BE2034" t="s">
        <v>34909</v>
      </c>
      <c r="BF2034" t="str">
        <f>HYPERLINK("http://dx.doi.org/10.1111/dpr.12087","http://dx.doi.org/10.1111/dpr.12087")</f>
        <v>http://dx.doi.org/10.1111/dpr.12087</v>
      </c>
      <c r="BG2034" t="s">
        <v>74</v>
      </c>
      <c r="BH2034" t="s">
        <v>74</v>
      </c>
      <c r="BI2034">
        <v>21</v>
      </c>
      <c r="BJ2034" t="s">
        <v>1137</v>
      </c>
      <c r="BK2034" t="s">
        <v>99</v>
      </c>
      <c r="BL2034" t="s">
        <v>1137</v>
      </c>
      <c r="BM2034" t="s">
        <v>34910</v>
      </c>
      <c r="BN2034" t="s">
        <v>74</v>
      </c>
      <c r="BO2034" t="s">
        <v>74</v>
      </c>
      <c r="BP2034" t="s">
        <v>74</v>
      </c>
      <c r="BQ2034" t="s">
        <v>74</v>
      </c>
      <c r="BR2034" t="s">
        <v>102</v>
      </c>
      <c r="BS2034" t="s">
        <v>34911</v>
      </c>
      <c r="BT2034" t="str">
        <f>HYPERLINK("https%3A%2F%2Fwww.webofscience.com%2Fwos%2Fwoscc%2Ffull-record%2FWOS:000342755600005","View Full Record in Web of Science")</f>
        <v>View Full Record in Web of Science</v>
      </c>
    </row>
    <row r="2035" spans="1:72" x14ac:dyDescent="0.25">
      <c r="A2035" t="s">
        <v>72</v>
      </c>
      <c r="B2035" t="s">
        <v>34912</v>
      </c>
      <c r="C2035" t="s">
        <v>74</v>
      </c>
      <c r="D2035" t="s">
        <v>74</v>
      </c>
      <c r="E2035" t="s">
        <v>74</v>
      </c>
      <c r="F2035" t="s">
        <v>34913</v>
      </c>
      <c r="G2035" t="s">
        <v>74</v>
      </c>
      <c r="H2035" t="s">
        <v>74</v>
      </c>
      <c r="I2035" t="s">
        <v>34914</v>
      </c>
      <c r="J2035" t="s">
        <v>1510</v>
      </c>
      <c r="K2035" t="s">
        <v>74</v>
      </c>
      <c r="L2035" t="s">
        <v>74</v>
      </c>
      <c r="M2035" t="s">
        <v>78</v>
      </c>
      <c r="N2035" t="s">
        <v>79</v>
      </c>
      <c r="O2035" t="s">
        <v>74</v>
      </c>
      <c r="P2035" t="s">
        <v>74</v>
      </c>
      <c r="Q2035" t="s">
        <v>74</v>
      </c>
      <c r="R2035" t="s">
        <v>74</v>
      </c>
      <c r="S2035" t="s">
        <v>74</v>
      </c>
      <c r="T2035" t="s">
        <v>34915</v>
      </c>
      <c r="U2035" t="s">
        <v>34916</v>
      </c>
      <c r="V2035" t="s">
        <v>34917</v>
      </c>
      <c r="W2035" t="s">
        <v>34918</v>
      </c>
      <c r="X2035" t="s">
        <v>34919</v>
      </c>
      <c r="Y2035" t="s">
        <v>34920</v>
      </c>
      <c r="Z2035" t="s">
        <v>34921</v>
      </c>
      <c r="AA2035" t="s">
        <v>74</v>
      </c>
      <c r="AB2035" t="s">
        <v>34922</v>
      </c>
      <c r="AC2035" t="s">
        <v>74</v>
      </c>
      <c r="AD2035" t="s">
        <v>74</v>
      </c>
      <c r="AE2035" t="s">
        <v>74</v>
      </c>
      <c r="AF2035" t="s">
        <v>74</v>
      </c>
      <c r="AG2035">
        <v>58</v>
      </c>
      <c r="AH2035">
        <v>8</v>
      </c>
      <c r="AI2035">
        <v>13</v>
      </c>
      <c r="AJ2035">
        <v>0</v>
      </c>
      <c r="AK2035">
        <v>20</v>
      </c>
      <c r="AL2035" t="s">
        <v>89</v>
      </c>
      <c r="AM2035" t="s">
        <v>1497</v>
      </c>
      <c r="AN2035" t="s">
        <v>1498</v>
      </c>
      <c r="AO2035" t="s">
        <v>1519</v>
      </c>
      <c r="AP2035" t="s">
        <v>1520</v>
      </c>
      <c r="AQ2035" t="s">
        <v>74</v>
      </c>
      <c r="AR2035" t="s">
        <v>1521</v>
      </c>
      <c r="AS2035" t="s">
        <v>1522</v>
      </c>
      <c r="AT2035" t="s">
        <v>34923</v>
      </c>
      <c r="AU2035">
        <v>2023</v>
      </c>
      <c r="AV2035">
        <v>50</v>
      </c>
      <c r="AW2035">
        <v>3</v>
      </c>
      <c r="AX2035" t="s">
        <v>74</v>
      </c>
      <c r="AY2035" t="s">
        <v>74</v>
      </c>
      <c r="AZ2035" t="s">
        <v>74</v>
      </c>
      <c r="BA2035" t="s">
        <v>74</v>
      </c>
      <c r="BB2035">
        <v>377</v>
      </c>
      <c r="BC2035">
        <v>397</v>
      </c>
      <c r="BD2035" t="s">
        <v>74</v>
      </c>
      <c r="BE2035" t="s">
        <v>34924</v>
      </c>
      <c r="BF2035" t="str">
        <f>HYPERLINK("http://dx.doi.org/10.1108/IJSE-12-2021-0764","http://dx.doi.org/10.1108/IJSE-12-2021-0764")</f>
        <v>http://dx.doi.org/10.1108/IJSE-12-2021-0764</v>
      </c>
      <c r="BG2035" t="s">
        <v>74</v>
      </c>
      <c r="BH2035" t="s">
        <v>5112</v>
      </c>
      <c r="BI2035">
        <v>21</v>
      </c>
      <c r="BJ2035" t="s">
        <v>291</v>
      </c>
      <c r="BK2035" t="s">
        <v>313</v>
      </c>
      <c r="BL2035" t="s">
        <v>100</v>
      </c>
      <c r="BM2035" t="s">
        <v>34925</v>
      </c>
      <c r="BN2035" t="s">
        <v>74</v>
      </c>
      <c r="BO2035" t="s">
        <v>74</v>
      </c>
      <c r="BP2035" t="s">
        <v>74</v>
      </c>
      <c r="BQ2035" t="s">
        <v>74</v>
      </c>
      <c r="BR2035" t="s">
        <v>102</v>
      </c>
      <c r="BS2035" t="s">
        <v>34926</v>
      </c>
      <c r="BT2035" t="str">
        <f>HYPERLINK("https%3A%2F%2Fwww.webofscience.com%2Fwos%2Fwoscc%2Ffull-record%2FWOS:000884492700001","View Full Record in Web of Science")</f>
        <v>View Full Record in Web of Science</v>
      </c>
    </row>
    <row r="2036" spans="1:72" x14ac:dyDescent="0.25">
      <c r="A2036" t="s">
        <v>72</v>
      </c>
      <c r="B2036" t="s">
        <v>34927</v>
      </c>
      <c r="C2036" t="s">
        <v>74</v>
      </c>
      <c r="D2036" t="s">
        <v>74</v>
      </c>
      <c r="E2036" t="s">
        <v>74</v>
      </c>
      <c r="F2036" t="s">
        <v>34928</v>
      </c>
      <c r="G2036" t="s">
        <v>74</v>
      </c>
      <c r="H2036" t="s">
        <v>74</v>
      </c>
      <c r="I2036" t="s">
        <v>34929</v>
      </c>
      <c r="J2036" t="s">
        <v>34930</v>
      </c>
      <c r="K2036" t="s">
        <v>74</v>
      </c>
      <c r="L2036" t="s">
        <v>74</v>
      </c>
      <c r="M2036" t="s">
        <v>78</v>
      </c>
      <c r="N2036" t="s">
        <v>79</v>
      </c>
      <c r="O2036" t="s">
        <v>74</v>
      </c>
      <c r="P2036" t="s">
        <v>74</v>
      </c>
      <c r="Q2036" t="s">
        <v>74</v>
      </c>
      <c r="R2036" t="s">
        <v>74</v>
      </c>
      <c r="S2036" t="s">
        <v>74</v>
      </c>
      <c r="T2036" t="s">
        <v>34931</v>
      </c>
      <c r="U2036" t="s">
        <v>74</v>
      </c>
      <c r="V2036" t="s">
        <v>34932</v>
      </c>
      <c r="W2036" t="s">
        <v>34933</v>
      </c>
      <c r="X2036" t="s">
        <v>34934</v>
      </c>
      <c r="Y2036" t="s">
        <v>34935</v>
      </c>
      <c r="Z2036" t="s">
        <v>34936</v>
      </c>
      <c r="AA2036" t="s">
        <v>34937</v>
      </c>
      <c r="AB2036" t="s">
        <v>34938</v>
      </c>
      <c r="AC2036" t="s">
        <v>74</v>
      </c>
      <c r="AD2036" t="s">
        <v>74</v>
      </c>
      <c r="AE2036" t="s">
        <v>74</v>
      </c>
      <c r="AF2036" t="s">
        <v>74</v>
      </c>
      <c r="AG2036">
        <v>58</v>
      </c>
      <c r="AH2036">
        <v>0</v>
      </c>
      <c r="AI2036">
        <v>0</v>
      </c>
      <c r="AJ2036">
        <v>5</v>
      </c>
      <c r="AK2036">
        <v>23</v>
      </c>
      <c r="AL2036" t="s">
        <v>34939</v>
      </c>
      <c r="AM2036" t="s">
        <v>34940</v>
      </c>
      <c r="AN2036" t="s">
        <v>34941</v>
      </c>
      <c r="AO2036" t="s">
        <v>34942</v>
      </c>
      <c r="AP2036" t="s">
        <v>34943</v>
      </c>
      <c r="AQ2036" t="s">
        <v>74</v>
      </c>
      <c r="AR2036" t="s">
        <v>34944</v>
      </c>
      <c r="AS2036" t="s">
        <v>34945</v>
      </c>
      <c r="AT2036" t="s">
        <v>208</v>
      </c>
      <c r="AU2036">
        <v>2023</v>
      </c>
      <c r="AV2036">
        <v>15</v>
      </c>
      <c r="AW2036">
        <v>1</v>
      </c>
      <c r="AX2036" t="s">
        <v>74</v>
      </c>
      <c r="AY2036" t="s">
        <v>74</v>
      </c>
      <c r="AZ2036" t="s">
        <v>74</v>
      </c>
      <c r="BA2036" t="s">
        <v>74</v>
      </c>
      <c r="BB2036">
        <v>27</v>
      </c>
      <c r="BC2036">
        <v>39</v>
      </c>
      <c r="BD2036" t="s">
        <v>74</v>
      </c>
      <c r="BE2036" t="s">
        <v>34946</v>
      </c>
      <c r="BF2036" t="str">
        <f>HYPERLINK("http://dx.doi.org/10.21002/icmr.v15i1.1166","http://dx.doi.org/10.21002/icmr.v15i1.1166")</f>
        <v>http://dx.doi.org/10.21002/icmr.v15i1.1166</v>
      </c>
      <c r="BG2036" t="s">
        <v>74</v>
      </c>
      <c r="BH2036" t="s">
        <v>74</v>
      </c>
      <c r="BI2036">
        <v>14</v>
      </c>
      <c r="BJ2036" t="s">
        <v>291</v>
      </c>
      <c r="BK2036" t="s">
        <v>313</v>
      </c>
      <c r="BL2036" t="s">
        <v>100</v>
      </c>
      <c r="BM2036" t="s">
        <v>34947</v>
      </c>
      <c r="BN2036" t="s">
        <v>74</v>
      </c>
      <c r="BO2036" t="s">
        <v>212</v>
      </c>
      <c r="BP2036" t="s">
        <v>74</v>
      </c>
      <c r="BQ2036" t="s">
        <v>74</v>
      </c>
      <c r="BR2036" t="s">
        <v>102</v>
      </c>
      <c r="BS2036" t="s">
        <v>34948</v>
      </c>
      <c r="BT2036" t="str">
        <f>HYPERLINK("https%3A%2F%2Fwww.webofscience.com%2Fwos%2Fwoscc%2Ffull-record%2FWOS:001091172600002","View Full Record in Web of Science")</f>
        <v>View Full Record in Web of Science</v>
      </c>
    </row>
    <row r="2037" spans="1:72" x14ac:dyDescent="0.25">
      <c r="A2037" t="s">
        <v>72</v>
      </c>
      <c r="B2037" t="s">
        <v>15858</v>
      </c>
      <c r="C2037" t="s">
        <v>74</v>
      </c>
      <c r="D2037" t="s">
        <v>74</v>
      </c>
      <c r="E2037" t="s">
        <v>74</v>
      </c>
      <c r="F2037" t="s">
        <v>15859</v>
      </c>
      <c r="G2037" t="s">
        <v>74</v>
      </c>
      <c r="H2037" t="s">
        <v>74</v>
      </c>
      <c r="I2037" t="s">
        <v>34949</v>
      </c>
      <c r="J2037" t="s">
        <v>24263</v>
      </c>
      <c r="K2037" t="s">
        <v>74</v>
      </c>
      <c r="L2037" t="s">
        <v>74</v>
      </c>
      <c r="M2037" t="s">
        <v>78</v>
      </c>
      <c r="N2037" t="s">
        <v>79</v>
      </c>
      <c r="O2037" t="s">
        <v>74</v>
      </c>
      <c r="P2037" t="s">
        <v>74</v>
      </c>
      <c r="Q2037" t="s">
        <v>74</v>
      </c>
      <c r="R2037" t="s">
        <v>74</v>
      </c>
      <c r="S2037" t="s">
        <v>74</v>
      </c>
      <c r="T2037" t="s">
        <v>34950</v>
      </c>
      <c r="U2037" t="s">
        <v>34951</v>
      </c>
      <c r="V2037" t="s">
        <v>34952</v>
      </c>
      <c r="W2037" t="s">
        <v>34953</v>
      </c>
      <c r="X2037" t="s">
        <v>1417</v>
      </c>
      <c r="Y2037" t="s">
        <v>34954</v>
      </c>
      <c r="Z2037" t="s">
        <v>15866</v>
      </c>
      <c r="AA2037" t="s">
        <v>74</v>
      </c>
      <c r="AB2037" t="s">
        <v>74</v>
      </c>
      <c r="AC2037" t="s">
        <v>34955</v>
      </c>
      <c r="AD2037" t="s">
        <v>34955</v>
      </c>
      <c r="AE2037" t="s">
        <v>34956</v>
      </c>
      <c r="AF2037" t="s">
        <v>74</v>
      </c>
      <c r="AG2037">
        <v>104</v>
      </c>
      <c r="AH2037">
        <v>16</v>
      </c>
      <c r="AI2037">
        <v>21</v>
      </c>
      <c r="AJ2037">
        <v>1</v>
      </c>
      <c r="AK2037">
        <v>7</v>
      </c>
      <c r="AL2037" t="s">
        <v>230</v>
      </c>
      <c r="AM2037" t="s">
        <v>231</v>
      </c>
      <c r="AN2037" t="s">
        <v>232</v>
      </c>
      <c r="AO2037" t="s">
        <v>24265</v>
      </c>
      <c r="AP2037" t="s">
        <v>24264</v>
      </c>
      <c r="AQ2037" t="s">
        <v>74</v>
      </c>
      <c r="AR2037" t="s">
        <v>24263</v>
      </c>
      <c r="AS2037" t="s">
        <v>24262</v>
      </c>
      <c r="AT2037" t="s">
        <v>124</v>
      </c>
      <c r="AU2037">
        <v>2020</v>
      </c>
      <c r="AV2037">
        <v>117</v>
      </c>
      <c r="AW2037" t="s">
        <v>74</v>
      </c>
      <c r="AX2037" t="s">
        <v>74</v>
      </c>
      <c r="AY2037" t="s">
        <v>74</v>
      </c>
      <c r="AZ2037" t="s">
        <v>74</v>
      </c>
      <c r="BA2037" t="s">
        <v>74</v>
      </c>
      <c r="BB2037">
        <v>234</v>
      </c>
      <c r="BC2037">
        <v>245</v>
      </c>
      <c r="BD2037" t="s">
        <v>74</v>
      </c>
      <c r="BE2037" t="s">
        <v>34957</v>
      </c>
      <c r="BF2037" t="str">
        <f>HYPERLINK("http://dx.doi.org/10.1016/j.geoforum.2020.10.009","http://dx.doi.org/10.1016/j.geoforum.2020.10.009")</f>
        <v>http://dx.doi.org/10.1016/j.geoforum.2020.10.009</v>
      </c>
      <c r="BG2037" t="s">
        <v>74</v>
      </c>
      <c r="BH2037" t="s">
        <v>74</v>
      </c>
      <c r="BI2037">
        <v>12</v>
      </c>
      <c r="BJ2037" t="s">
        <v>20950</v>
      </c>
      <c r="BK2037" t="s">
        <v>99</v>
      </c>
      <c r="BL2037" t="s">
        <v>20950</v>
      </c>
      <c r="BM2037" t="s">
        <v>34958</v>
      </c>
      <c r="BN2037" t="s">
        <v>74</v>
      </c>
      <c r="BO2037" t="s">
        <v>74</v>
      </c>
      <c r="BP2037" t="s">
        <v>74</v>
      </c>
      <c r="BQ2037" t="s">
        <v>74</v>
      </c>
      <c r="BR2037" t="s">
        <v>102</v>
      </c>
      <c r="BS2037" t="s">
        <v>34959</v>
      </c>
      <c r="BT2037" t="str">
        <f>HYPERLINK("https%3A%2F%2Fwww.webofscience.com%2Fwos%2Fwoscc%2Ffull-record%2FWOS:000592912200025","View Full Record in Web of Science")</f>
        <v>View Full Record in Web of Science</v>
      </c>
    </row>
    <row r="2038" spans="1:72" x14ac:dyDescent="0.25">
      <c r="A2038" t="s">
        <v>72</v>
      </c>
      <c r="B2038" t="s">
        <v>34960</v>
      </c>
      <c r="C2038" t="s">
        <v>74</v>
      </c>
      <c r="D2038" t="s">
        <v>74</v>
      </c>
      <c r="E2038" t="s">
        <v>74</v>
      </c>
      <c r="F2038" t="s">
        <v>34961</v>
      </c>
      <c r="G2038" t="s">
        <v>74</v>
      </c>
      <c r="H2038" t="s">
        <v>74</v>
      </c>
      <c r="I2038" t="s">
        <v>34962</v>
      </c>
      <c r="J2038" t="s">
        <v>8598</v>
      </c>
      <c r="K2038" t="s">
        <v>74</v>
      </c>
      <c r="L2038" t="s">
        <v>74</v>
      </c>
      <c r="M2038" t="s">
        <v>78</v>
      </c>
      <c r="N2038" t="s">
        <v>79</v>
      </c>
      <c r="O2038" t="s">
        <v>74</v>
      </c>
      <c r="P2038" t="s">
        <v>74</v>
      </c>
      <c r="Q2038" t="s">
        <v>74</v>
      </c>
      <c r="R2038" t="s">
        <v>74</v>
      </c>
      <c r="S2038" t="s">
        <v>74</v>
      </c>
      <c r="T2038" t="s">
        <v>34963</v>
      </c>
      <c r="U2038" t="s">
        <v>34964</v>
      </c>
      <c r="V2038" t="s">
        <v>34965</v>
      </c>
      <c r="W2038" t="s">
        <v>34966</v>
      </c>
      <c r="X2038" t="s">
        <v>11237</v>
      </c>
      <c r="Y2038" t="s">
        <v>34967</v>
      </c>
      <c r="Z2038" t="s">
        <v>34968</v>
      </c>
      <c r="AA2038" t="s">
        <v>34969</v>
      </c>
      <c r="AB2038" t="s">
        <v>34970</v>
      </c>
      <c r="AC2038" t="s">
        <v>34971</v>
      </c>
      <c r="AD2038" t="s">
        <v>34971</v>
      </c>
      <c r="AE2038" t="s">
        <v>34972</v>
      </c>
      <c r="AF2038" t="s">
        <v>74</v>
      </c>
      <c r="AG2038">
        <v>70</v>
      </c>
      <c r="AH2038">
        <v>0</v>
      </c>
      <c r="AI2038">
        <v>0</v>
      </c>
      <c r="AJ2038">
        <v>1</v>
      </c>
      <c r="AK2038">
        <v>4</v>
      </c>
      <c r="AL2038" t="s">
        <v>8606</v>
      </c>
      <c r="AM2038" t="s">
        <v>1840</v>
      </c>
      <c r="AN2038" t="s">
        <v>8607</v>
      </c>
      <c r="AO2038" t="s">
        <v>8608</v>
      </c>
      <c r="AP2038" t="s">
        <v>8609</v>
      </c>
      <c r="AQ2038" t="s">
        <v>74</v>
      </c>
      <c r="AR2038" t="s">
        <v>8610</v>
      </c>
      <c r="AS2038" t="s">
        <v>8611</v>
      </c>
      <c r="AT2038" t="s">
        <v>74</v>
      </c>
      <c r="AU2038">
        <v>2023</v>
      </c>
      <c r="AV2038">
        <v>32</v>
      </c>
      <c r="AW2038">
        <v>6</v>
      </c>
      <c r="AX2038" t="s">
        <v>74</v>
      </c>
      <c r="AY2038" t="s">
        <v>74</v>
      </c>
      <c r="AZ2038" t="s">
        <v>74</v>
      </c>
      <c r="BA2038" t="s">
        <v>74</v>
      </c>
      <c r="BB2038">
        <v>699</v>
      </c>
      <c r="BC2038">
        <v>723</v>
      </c>
      <c r="BD2038" t="s">
        <v>74</v>
      </c>
      <c r="BE2038" t="s">
        <v>34973</v>
      </c>
      <c r="BF2038" t="str">
        <f>HYPERLINK("http://dx.doi.org/10.18267/j.pep.845","http://dx.doi.org/10.18267/j.pep.845")</f>
        <v>http://dx.doi.org/10.18267/j.pep.845</v>
      </c>
      <c r="BG2038" t="s">
        <v>74</v>
      </c>
      <c r="BH2038" t="s">
        <v>74</v>
      </c>
      <c r="BI2038">
        <v>25</v>
      </c>
      <c r="BJ2038" t="s">
        <v>291</v>
      </c>
      <c r="BK2038" t="s">
        <v>99</v>
      </c>
      <c r="BL2038" t="s">
        <v>100</v>
      </c>
      <c r="BM2038" t="s">
        <v>34974</v>
      </c>
      <c r="BN2038" t="s">
        <v>74</v>
      </c>
      <c r="BO2038" t="s">
        <v>212</v>
      </c>
      <c r="BP2038" t="s">
        <v>74</v>
      </c>
      <c r="BQ2038" t="s">
        <v>74</v>
      </c>
      <c r="BR2038" t="s">
        <v>102</v>
      </c>
      <c r="BS2038" t="s">
        <v>34975</v>
      </c>
      <c r="BT2038" t="str">
        <f>HYPERLINK("https%3A%2F%2Fwww.webofscience.com%2Fwos%2Fwoscc%2Ffull-record%2FWOS:001129012400002","View Full Record in Web of Science")</f>
        <v>View Full Record in Web of Science</v>
      </c>
    </row>
    <row r="2039" spans="1:72" x14ac:dyDescent="0.25">
      <c r="A2039" t="s">
        <v>72</v>
      </c>
      <c r="B2039" t="s">
        <v>34976</v>
      </c>
      <c r="C2039" t="s">
        <v>74</v>
      </c>
      <c r="D2039" t="s">
        <v>74</v>
      </c>
      <c r="E2039" t="s">
        <v>74</v>
      </c>
      <c r="F2039" t="s">
        <v>34977</v>
      </c>
      <c r="G2039" t="s">
        <v>74</v>
      </c>
      <c r="H2039" t="s">
        <v>74</v>
      </c>
      <c r="I2039" t="s">
        <v>34978</v>
      </c>
      <c r="J2039" t="s">
        <v>5899</v>
      </c>
      <c r="K2039" t="s">
        <v>74</v>
      </c>
      <c r="L2039" t="s">
        <v>74</v>
      </c>
      <c r="M2039" t="s">
        <v>78</v>
      </c>
      <c r="N2039" t="s">
        <v>79</v>
      </c>
      <c r="O2039" t="s">
        <v>74</v>
      </c>
      <c r="P2039" t="s">
        <v>74</v>
      </c>
      <c r="Q2039" t="s">
        <v>74</v>
      </c>
      <c r="R2039" t="s">
        <v>74</v>
      </c>
      <c r="S2039" t="s">
        <v>74</v>
      </c>
      <c r="T2039" t="s">
        <v>34979</v>
      </c>
      <c r="U2039" t="s">
        <v>34980</v>
      </c>
      <c r="V2039" t="s">
        <v>34981</v>
      </c>
      <c r="W2039" t="s">
        <v>34982</v>
      </c>
      <c r="X2039" t="s">
        <v>13042</v>
      </c>
      <c r="Y2039" t="s">
        <v>34983</v>
      </c>
      <c r="Z2039" t="s">
        <v>34984</v>
      </c>
      <c r="AA2039" t="s">
        <v>74</v>
      </c>
      <c r="AB2039" t="s">
        <v>74</v>
      </c>
      <c r="AC2039" t="s">
        <v>74</v>
      </c>
      <c r="AD2039" t="s">
        <v>74</v>
      </c>
      <c r="AE2039" t="s">
        <v>74</v>
      </c>
      <c r="AF2039" t="s">
        <v>74</v>
      </c>
      <c r="AG2039">
        <v>65</v>
      </c>
      <c r="AH2039">
        <v>4</v>
      </c>
      <c r="AI2039">
        <v>6</v>
      </c>
      <c r="AJ2039">
        <v>0</v>
      </c>
      <c r="AK2039">
        <v>13</v>
      </c>
      <c r="AL2039" t="s">
        <v>332</v>
      </c>
      <c r="AM2039" t="s">
        <v>333</v>
      </c>
      <c r="AN2039" t="s">
        <v>334</v>
      </c>
      <c r="AO2039" t="s">
        <v>5911</v>
      </c>
      <c r="AP2039" t="s">
        <v>5912</v>
      </c>
      <c r="AQ2039" t="s">
        <v>74</v>
      </c>
      <c r="AR2039" t="s">
        <v>5913</v>
      </c>
      <c r="AS2039" t="s">
        <v>5914</v>
      </c>
      <c r="AT2039" t="s">
        <v>7234</v>
      </c>
      <c r="AU2039">
        <v>2023</v>
      </c>
      <c r="AV2039">
        <v>49</v>
      </c>
      <c r="AW2039">
        <v>17</v>
      </c>
      <c r="AX2039" t="s">
        <v>74</v>
      </c>
      <c r="AY2039" t="s">
        <v>74</v>
      </c>
      <c r="AZ2039" t="s">
        <v>74</v>
      </c>
      <c r="BA2039" t="s">
        <v>74</v>
      </c>
      <c r="BB2039">
        <v>4407</v>
      </c>
      <c r="BC2039">
        <v>4434</v>
      </c>
      <c r="BD2039" t="s">
        <v>74</v>
      </c>
      <c r="BE2039" t="s">
        <v>34985</v>
      </c>
      <c r="BF2039" t="str">
        <f>HYPERLINK("http://dx.doi.org/10.1080/1369183X.2023.2191155","http://dx.doi.org/10.1080/1369183X.2023.2191155")</f>
        <v>http://dx.doi.org/10.1080/1369183X.2023.2191155</v>
      </c>
      <c r="BG2039" t="s">
        <v>74</v>
      </c>
      <c r="BH2039" t="s">
        <v>3595</v>
      </c>
      <c r="BI2039">
        <v>28</v>
      </c>
      <c r="BJ2039" t="s">
        <v>5917</v>
      </c>
      <c r="BK2039" t="s">
        <v>99</v>
      </c>
      <c r="BL2039" t="s">
        <v>5917</v>
      </c>
      <c r="BM2039" t="s">
        <v>34986</v>
      </c>
      <c r="BN2039" t="s">
        <v>74</v>
      </c>
      <c r="BO2039" t="s">
        <v>270</v>
      </c>
      <c r="BP2039" t="s">
        <v>74</v>
      </c>
      <c r="BQ2039" t="s">
        <v>74</v>
      </c>
      <c r="BR2039" t="s">
        <v>102</v>
      </c>
      <c r="BS2039" t="s">
        <v>34987</v>
      </c>
      <c r="BT2039" t="str">
        <f>HYPERLINK("https%3A%2F%2Fwww.webofscience.com%2Fwos%2Fwoscc%2Ffull-record%2FWOS:000968145500001","View Full Record in Web of Science")</f>
        <v>View Full Record in Web of Science</v>
      </c>
    </row>
    <row r="2040" spans="1:72" x14ac:dyDescent="0.25">
      <c r="A2040" t="s">
        <v>72</v>
      </c>
      <c r="B2040" t="s">
        <v>34988</v>
      </c>
      <c r="C2040" t="s">
        <v>74</v>
      </c>
      <c r="D2040" t="s">
        <v>74</v>
      </c>
      <c r="E2040" t="s">
        <v>74</v>
      </c>
      <c r="F2040" t="s">
        <v>34989</v>
      </c>
      <c r="G2040" t="s">
        <v>74</v>
      </c>
      <c r="H2040" t="s">
        <v>74</v>
      </c>
      <c r="I2040" t="s">
        <v>34990</v>
      </c>
      <c r="J2040" t="s">
        <v>10871</v>
      </c>
      <c r="K2040" t="s">
        <v>74</v>
      </c>
      <c r="L2040" t="s">
        <v>74</v>
      </c>
      <c r="M2040" t="s">
        <v>78</v>
      </c>
      <c r="N2040" t="s">
        <v>79</v>
      </c>
      <c r="O2040" t="s">
        <v>74</v>
      </c>
      <c r="P2040" t="s">
        <v>74</v>
      </c>
      <c r="Q2040" t="s">
        <v>74</v>
      </c>
      <c r="R2040" t="s">
        <v>74</v>
      </c>
      <c r="S2040" t="s">
        <v>74</v>
      </c>
      <c r="T2040" t="s">
        <v>34991</v>
      </c>
      <c r="U2040" t="s">
        <v>34992</v>
      </c>
      <c r="V2040" t="s">
        <v>34993</v>
      </c>
      <c r="W2040" t="s">
        <v>34994</v>
      </c>
      <c r="X2040" t="s">
        <v>34995</v>
      </c>
      <c r="Y2040" t="s">
        <v>34996</v>
      </c>
      <c r="Z2040" t="s">
        <v>33965</v>
      </c>
      <c r="AA2040" t="s">
        <v>34997</v>
      </c>
      <c r="AB2040" t="s">
        <v>34998</v>
      </c>
      <c r="AC2040" t="s">
        <v>74</v>
      </c>
      <c r="AD2040" t="s">
        <v>74</v>
      </c>
      <c r="AE2040" t="s">
        <v>74</v>
      </c>
      <c r="AF2040" t="s">
        <v>74</v>
      </c>
      <c r="AG2040">
        <v>29</v>
      </c>
      <c r="AH2040">
        <v>68</v>
      </c>
      <c r="AI2040">
        <v>87</v>
      </c>
      <c r="AJ2040">
        <v>8</v>
      </c>
      <c r="AK2040">
        <v>103</v>
      </c>
      <c r="AL2040" t="s">
        <v>823</v>
      </c>
      <c r="AM2040" t="s">
        <v>333</v>
      </c>
      <c r="AN2040" t="s">
        <v>824</v>
      </c>
      <c r="AO2040" t="s">
        <v>10884</v>
      </c>
      <c r="AP2040" t="s">
        <v>10885</v>
      </c>
      <c r="AQ2040" t="s">
        <v>74</v>
      </c>
      <c r="AR2040" t="s">
        <v>10886</v>
      </c>
      <c r="AS2040" t="s">
        <v>10887</v>
      </c>
      <c r="AT2040" t="s">
        <v>1427</v>
      </c>
      <c r="AU2040">
        <v>2022</v>
      </c>
      <c r="AV2040">
        <v>31</v>
      </c>
      <c r="AW2040">
        <v>1</v>
      </c>
      <c r="AX2040" t="s">
        <v>74</v>
      </c>
      <c r="AY2040" t="s">
        <v>74</v>
      </c>
      <c r="AZ2040" t="s">
        <v>441</v>
      </c>
      <c r="BA2040" t="s">
        <v>74</v>
      </c>
      <c r="BB2040">
        <v>112</v>
      </c>
      <c r="BC2040">
        <v>127</v>
      </c>
      <c r="BD2040" t="s">
        <v>74</v>
      </c>
      <c r="BE2040" t="s">
        <v>34999</v>
      </c>
      <c r="BF2040" t="str">
        <f>HYPERLINK("http://dx.doi.org/10.1080/0960085X.2021.1978342","http://dx.doi.org/10.1080/0960085X.2021.1978342")</f>
        <v>http://dx.doi.org/10.1080/0960085X.2021.1978342</v>
      </c>
      <c r="BG2040" t="s">
        <v>74</v>
      </c>
      <c r="BH2040" t="s">
        <v>10889</v>
      </c>
      <c r="BI2040">
        <v>16</v>
      </c>
      <c r="BJ2040" t="s">
        <v>10890</v>
      </c>
      <c r="BK2040" t="s">
        <v>2623</v>
      </c>
      <c r="BL2040" t="s">
        <v>10891</v>
      </c>
      <c r="BM2040" t="s">
        <v>10892</v>
      </c>
      <c r="BN2040" t="s">
        <v>74</v>
      </c>
      <c r="BO2040" t="s">
        <v>1205</v>
      </c>
      <c r="BP2040" t="s">
        <v>74</v>
      </c>
      <c r="BQ2040" t="s">
        <v>74</v>
      </c>
      <c r="BR2040" t="s">
        <v>102</v>
      </c>
      <c r="BS2040" t="s">
        <v>35000</v>
      </c>
      <c r="BT2040" t="str">
        <f>HYPERLINK("https%3A%2F%2Fwww.webofscience.com%2Fwos%2Fwoscc%2Ffull-record%2FWOS:000700488900001","View Full Record in Web of Science")</f>
        <v>View Full Record in Web of Science</v>
      </c>
    </row>
    <row r="2041" spans="1:72" x14ac:dyDescent="0.25">
      <c r="A2041" t="s">
        <v>72</v>
      </c>
      <c r="B2041" t="s">
        <v>35001</v>
      </c>
      <c r="C2041" t="s">
        <v>74</v>
      </c>
      <c r="D2041" t="s">
        <v>74</v>
      </c>
      <c r="E2041" t="s">
        <v>74</v>
      </c>
      <c r="F2041" t="s">
        <v>35002</v>
      </c>
      <c r="G2041" t="s">
        <v>74</v>
      </c>
      <c r="H2041" t="s">
        <v>74</v>
      </c>
      <c r="I2041" t="s">
        <v>35003</v>
      </c>
      <c r="J2041" t="s">
        <v>3439</v>
      </c>
      <c r="K2041" t="s">
        <v>74</v>
      </c>
      <c r="L2041" t="s">
        <v>74</v>
      </c>
      <c r="M2041" t="s">
        <v>78</v>
      </c>
      <c r="N2041" t="s">
        <v>79</v>
      </c>
      <c r="O2041" t="s">
        <v>74</v>
      </c>
      <c r="P2041" t="s">
        <v>74</v>
      </c>
      <c r="Q2041" t="s">
        <v>74</v>
      </c>
      <c r="R2041" t="s">
        <v>74</v>
      </c>
      <c r="S2041" t="s">
        <v>74</v>
      </c>
      <c r="T2041" t="s">
        <v>35004</v>
      </c>
      <c r="U2041" t="s">
        <v>35005</v>
      </c>
      <c r="V2041" t="s">
        <v>35006</v>
      </c>
      <c r="W2041" t="s">
        <v>35007</v>
      </c>
      <c r="X2041" t="s">
        <v>35008</v>
      </c>
      <c r="Y2041" t="s">
        <v>35009</v>
      </c>
      <c r="Z2041" t="s">
        <v>35010</v>
      </c>
      <c r="AA2041" t="s">
        <v>35011</v>
      </c>
      <c r="AB2041" t="s">
        <v>35012</v>
      </c>
      <c r="AC2041" t="s">
        <v>74</v>
      </c>
      <c r="AD2041" t="s">
        <v>74</v>
      </c>
      <c r="AE2041" t="s">
        <v>74</v>
      </c>
      <c r="AF2041" t="s">
        <v>74</v>
      </c>
      <c r="AG2041">
        <v>21</v>
      </c>
      <c r="AH2041">
        <v>7</v>
      </c>
      <c r="AI2041">
        <v>7</v>
      </c>
      <c r="AJ2041">
        <v>0</v>
      </c>
      <c r="AK2041">
        <v>3</v>
      </c>
      <c r="AL2041" t="s">
        <v>2481</v>
      </c>
      <c r="AM2041" t="s">
        <v>2482</v>
      </c>
      <c r="AN2041" t="s">
        <v>2483</v>
      </c>
      <c r="AO2041" t="s">
        <v>3443</v>
      </c>
      <c r="AP2041" t="s">
        <v>74</v>
      </c>
      <c r="AQ2041" t="s">
        <v>74</v>
      </c>
      <c r="AR2041" t="s">
        <v>3444</v>
      </c>
      <c r="AS2041" t="s">
        <v>3445</v>
      </c>
      <c r="AT2041" t="s">
        <v>2487</v>
      </c>
      <c r="AU2041">
        <v>2020</v>
      </c>
      <c r="AV2041">
        <v>8</v>
      </c>
      <c r="AW2041">
        <v>1</v>
      </c>
      <c r="AX2041" t="s">
        <v>74</v>
      </c>
      <c r="AY2041" t="s">
        <v>74</v>
      </c>
      <c r="AZ2041" t="s">
        <v>74</v>
      </c>
      <c r="BA2041" t="s">
        <v>74</v>
      </c>
      <c r="BB2041" t="s">
        <v>74</v>
      </c>
      <c r="BC2041" t="s">
        <v>74</v>
      </c>
      <c r="BD2041">
        <v>1762286</v>
      </c>
      <c r="BE2041" t="s">
        <v>35013</v>
      </c>
      <c r="BF2041" t="str">
        <f>HYPERLINK("http://dx.doi.org/10.1080/23322039.2020.1762286","http://dx.doi.org/10.1080/23322039.2020.1762286")</f>
        <v>http://dx.doi.org/10.1080/23322039.2020.1762286</v>
      </c>
      <c r="BG2041" t="s">
        <v>74</v>
      </c>
      <c r="BH2041" t="s">
        <v>74</v>
      </c>
      <c r="BI2041">
        <v>22</v>
      </c>
      <c r="BJ2041" t="s">
        <v>291</v>
      </c>
      <c r="BK2041" t="s">
        <v>313</v>
      </c>
      <c r="BL2041" t="s">
        <v>100</v>
      </c>
      <c r="BM2041" t="s">
        <v>35014</v>
      </c>
      <c r="BN2041" t="s">
        <v>74</v>
      </c>
      <c r="BO2041" t="s">
        <v>916</v>
      </c>
      <c r="BP2041" t="s">
        <v>74</v>
      </c>
      <c r="BQ2041" t="s">
        <v>74</v>
      </c>
      <c r="BR2041" t="s">
        <v>102</v>
      </c>
      <c r="BS2041" t="s">
        <v>35015</v>
      </c>
      <c r="BT2041" t="str">
        <f>HYPERLINK("https%3A%2F%2Fwww.webofscience.com%2Fwos%2Fwoscc%2Ffull-record%2FWOS:000532592100001","View Full Record in Web of Science")</f>
        <v>View Full Record in Web of Science</v>
      </c>
    </row>
    <row r="2042" spans="1:72" x14ac:dyDescent="0.25">
      <c r="A2042" t="s">
        <v>132</v>
      </c>
      <c r="B2042" t="s">
        <v>35016</v>
      </c>
      <c r="C2042" t="s">
        <v>74</v>
      </c>
      <c r="D2042" t="s">
        <v>74</v>
      </c>
      <c r="E2042" t="s">
        <v>134</v>
      </c>
      <c r="F2042" t="s">
        <v>35017</v>
      </c>
      <c r="G2042" t="s">
        <v>74</v>
      </c>
      <c r="H2042" t="s">
        <v>74</v>
      </c>
      <c r="I2042" t="s">
        <v>35018</v>
      </c>
      <c r="J2042" t="s">
        <v>35019</v>
      </c>
      <c r="K2042" t="s">
        <v>74</v>
      </c>
      <c r="L2042" t="s">
        <v>74</v>
      </c>
      <c r="M2042" t="s">
        <v>78</v>
      </c>
      <c r="N2042" t="s">
        <v>138</v>
      </c>
      <c r="O2042" t="s">
        <v>35020</v>
      </c>
      <c r="P2042" t="s">
        <v>35021</v>
      </c>
      <c r="Q2042" t="s">
        <v>1550</v>
      </c>
      <c r="R2042" t="s">
        <v>35022</v>
      </c>
      <c r="S2042" t="s">
        <v>74</v>
      </c>
      <c r="T2042" t="s">
        <v>35023</v>
      </c>
      <c r="U2042" t="s">
        <v>74</v>
      </c>
      <c r="V2042" t="s">
        <v>35024</v>
      </c>
      <c r="W2042" t="s">
        <v>35025</v>
      </c>
      <c r="X2042" t="s">
        <v>74</v>
      </c>
      <c r="Y2042" t="s">
        <v>35026</v>
      </c>
      <c r="Z2042" t="s">
        <v>35027</v>
      </c>
      <c r="AA2042" t="s">
        <v>35028</v>
      </c>
      <c r="AB2042" t="s">
        <v>35029</v>
      </c>
      <c r="AC2042" t="s">
        <v>74</v>
      </c>
      <c r="AD2042" t="s">
        <v>74</v>
      </c>
      <c r="AE2042" t="s">
        <v>74</v>
      </c>
      <c r="AF2042" t="s">
        <v>74</v>
      </c>
      <c r="AG2042">
        <v>34</v>
      </c>
      <c r="AH2042">
        <v>2</v>
      </c>
      <c r="AI2042">
        <v>2</v>
      </c>
      <c r="AJ2042">
        <v>0</v>
      </c>
      <c r="AK2042">
        <v>2</v>
      </c>
      <c r="AL2042" t="s">
        <v>150</v>
      </c>
      <c r="AM2042" t="s">
        <v>151</v>
      </c>
      <c r="AN2042" t="s">
        <v>1560</v>
      </c>
      <c r="AO2042" t="s">
        <v>74</v>
      </c>
      <c r="AP2042" t="s">
        <v>74</v>
      </c>
      <c r="AQ2042" t="s">
        <v>35030</v>
      </c>
      <c r="AR2042" t="s">
        <v>74</v>
      </c>
      <c r="AS2042" t="s">
        <v>74</v>
      </c>
      <c r="AT2042" t="s">
        <v>74</v>
      </c>
      <c r="AU2042">
        <v>2022</v>
      </c>
      <c r="AV2042" t="s">
        <v>74</v>
      </c>
      <c r="AW2042" t="s">
        <v>74</v>
      </c>
      <c r="AX2042" t="s">
        <v>74</v>
      </c>
      <c r="AY2042" t="s">
        <v>74</v>
      </c>
      <c r="AZ2042" t="s">
        <v>74</v>
      </c>
      <c r="BA2042" t="s">
        <v>74</v>
      </c>
      <c r="BB2042">
        <v>103</v>
      </c>
      <c r="BC2042">
        <v>108</v>
      </c>
      <c r="BD2042" t="s">
        <v>74</v>
      </c>
      <c r="BE2042" t="s">
        <v>35031</v>
      </c>
      <c r="BF2042" t="str">
        <f>HYPERLINK("http://dx.doi.org/10.1145/3537693.3537701","http://dx.doi.org/10.1145/3537693.3537701")</f>
        <v>http://dx.doi.org/10.1145/3537693.3537701</v>
      </c>
      <c r="BG2042" t="s">
        <v>74</v>
      </c>
      <c r="BH2042" t="s">
        <v>74</v>
      </c>
      <c r="BI2042">
        <v>6</v>
      </c>
      <c r="BJ2042" t="s">
        <v>35032</v>
      </c>
      <c r="BK2042" t="s">
        <v>1069</v>
      </c>
      <c r="BL2042" t="s">
        <v>17710</v>
      </c>
      <c r="BM2042" t="s">
        <v>35033</v>
      </c>
      <c r="BN2042" t="s">
        <v>74</v>
      </c>
      <c r="BO2042" t="s">
        <v>74</v>
      </c>
      <c r="BP2042" t="s">
        <v>74</v>
      </c>
      <c r="BQ2042" t="s">
        <v>74</v>
      </c>
      <c r="BR2042" t="s">
        <v>102</v>
      </c>
      <c r="BS2042" t="s">
        <v>35034</v>
      </c>
      <c r="BT2042" t="str">
        <f>HYPERLINK("https%3A%2F%2Fwww.webofscience.com%2Fwos%2Fwoscc%2Ffull-record%2FWOS:001066237600017","View Full Record in Web of Science")</f>
        <v>View Full Record in Web of Science</v>
      </c>
    </row>
    <row r="2043" spans="1:72" x14ac:dyDescent="0.25">
      <c r="A2043" t="s">
        <v>72</v>
      </c>
      <c r="B2043" t="s">
        <v>35035</v>
      </c>
      <c r="C2043" t="s">
        <v>74</v>
      </c>
      <c r="D2043" t="s">
        <v>74</v>
      </c>
      <c r="E2043" t="s">
        <v>74</v>
      </c>
      <c r="F2043" t="s">
        <v>35036</v>
      </c>
      <c r="G2043" t="s">
        <v>74</v>
      </c>
      <c r="H2043" t="s">
        <v>74</v>
      </c>
      <c r="I2043" t="s">
        <v>35037</v>
      </c>
      <c r="J2043" t="s">
        <v>8087</v>
      </c>
      <c r="K2043" t="s">
        <v>74</v>
      </c>
      <c r="L2043" t="s">
        <v>74</v>
      </c>
      <c r="M2043" t="s">
        <v>78</v>
      </c>
      <c r="N2043" t="s">
        <v>79</v>
      </c>
      <c r="O2043" t="s">
        <v>74</v>
      </c>
      <c r="P2043" t="s">
        <v>74</v>
      </c>
      <c r="Q2043" t="s">
        <v>74</v>
      </c>
      <c r="R2043" t="s">
        <v>74</v>
      </c>
      <c r="S2043" t="s">
        <v>74</v>
      </c>
      <c r="T2043" t="s">
        <v>35038</v>
      </c>
      <c r="U2043" t="s">
        <v>35039</v>
      </c>
      <c r="V2043" t="s">
        <v>35040</v>
      </c>
      <c r="W2043" t="s">
        <v>35041</v>
      </c>
      <c r="X2043" t="s">
        <v>10117</v>
      </c>
      <c r="Y2043" t="s">
        <v>35042</v>
      </c>
      <c r="Z2043" t="s">
        <v>35043</v>
      </c>
      <c r="AA2043" t="s">
        <v>15403</v>
      </c>
      <c r="AB2043" t="s">
        <v>15404</v>
      </c>
      <c r="AC2043" t="s">
        <v>74</v>
      </c>
      <c r="AD2043" t="s">
        <v>74</v>
      </c>
      <c r="AE2043" t="s">
        <v>74</v>
      </c>
      <c r="AF2043" t="s">
        <v>74</v>
      </c>
      <c r="AG2043">
        <v>77</v>
      </c>
      <c r="AH2043">
        <v>17</v>
      </c>
      <c r="AI2043">
        <v>19</v>
      </c>
      <c r="AJ2043">
        <v>6</v>
      </c>
      <c r="AK2043">
        <v>136</v>
      </c>
      <c r="AL2043" t="s">
        <v>479</v>
      </c>
      <c r="AM2043" t="s">
        <v>480</v>
      </c>
      <c r="AN2043" t="s">
        <v>481</v>
      </c>
      <c r="AO2043" t="s">
        <v>8097</v>
      </c>
      <c r="AP2043" t="s">
        <v>8098</v>
      </c>
      <c r="AQ2043" t="s">
        <v>74</v>
      </c>
      <c r="AR2043" t="s">
        <v>8099</v>
      </c>
      <c r="AS2043" t="s">
        <v>8100</v>
      </c>
      <c r="AT2043" t="s">
        <v>605</v>
      </c>
      <c r="AU2043">
        <v>2023</v>
      </c>
      <c r="AV2043">
        <v>47</v>
      </c>
      <c r="AW2043">
        <v>2</v>
      </c>
      <c r="AX2043" t="s">
        <v>74</v>
      </c>
      <c r="AY2043" t="s">
        <v>74</v>
      </c>
      <c r="AZ2043" t="s">
        <v>74</v>
      </c>
      <c r="BA2043" t="s">
        <v>74</v>
      </c>
      <c r="BB2043">
        <v>784</v>
      </c>
      <c r="BC2043">
        <v>800</v>
      </c>
      <c r="BD2043" t="s">
        <v>74</v>
      </c>
      <c r="BE2043" t="s">
        <v>35044</v>
      </c>
      <c r="BF2043" t="str">
        <f>HYPERLINK("http://dx.doi.org/10.1111/ijcs.12871","http://dx.doi.org/10.1111/ijcs.12871")</f>
        <v>http://dx.doi.org/10.1111/ijcs.12871</v>
      </c>
      <c r="BG2043" t="s">
        <v>74</v>
      </c>
      <c r="BH2043" t="s">
        <v>6014</v>
      </c>
      <c r="BI2043">
        <v>17</v>
      </c>
      <c r="BJ2043" t="s">
        <v>418</v>
      </c>
      <c r="BK2043" t="s">
        <v>99</v>
      </c>
      <c r="BL2043" t="s">
        <v>100</v>
      </c>
      <c r="BM2043" t="s">
        <v>35045</v>
      </c>
      <c r="BN2043" t="s">
        <v>74</v>
      </c>
      <c r="BO2043" t="s">
        <v>270</v>
      </c>
      <c r="BP2043" t="s">
        <v>74</v>
      </c>
      <c r="BQ2043" t="s">
        <v>74</v>
      </c>
      <c r="BR2043" t="s">
        <v>102</v>
      </c>
      <c r="BS2043" t="s">
        <v>35046</v>
      </c>
      <c r="BT2043" t="str">
        <f>HYPERLINK("https%3A%2F%2Fwww.webofscience.com%2Fwos%2Fwoscc%2Ffull-record%2FWOS:000859966000001","View Full Record in Web of Science")</f>
        <v>View Full Record in Web of Science</v>
      </c>
    </row>
    <row r="2044" spans="1:72" x14ac:dyDescent="0.25">
      <c r="A2044" t="s">
        <v>72</v>
      </c>
      <c r="B2044" t="s">
        <v>35047</v>
      </c>
      <c r="C2044" t="s">
        <v>74</v>
      </c>
      <c r="D2044" t="s">
        <v>74</v>
      </c>
      <c r="E2044" t="s">
        <v>74</v>
      </c>
      <c r="F2044" t="s">
        <v>35048</v>
      </c>
      <c r="G2044" t="s">
        <v>74</v>
      </c>
      <c r="H2044" t="s">
        <v>74</v>
      </c>
      <c r="I2044" t="s">
        <v>35049</v>
      </c>
      <c r="J2044" t="s">
        <v>4842</v>
      </c>
      <c r="K2044" t="s">
        <v>74</v>
      </c>
      <c r="L2044" t="s">
        <v>74</v>
      </c>
      <c r="M2044" t="s">
        <v>78</v>
      </c>
      <c r="N2044" t="s">
        <v>79</v>
      </c>
      <c r="O2044" t="s">
        <v>74</v>
      </c>
      <c r="P2044" t="s">
        <v>74</v>
      </c>
      <c r="Q2044" t="s">
        <v>74</v>
      </c>
      <c r="R2044" t="s">
        <v>74</v>
      </c>
      <c r="S2044" t="s">
        <v>74</v>
      </c>
      <c r="T2044" t="s">
        <v>35050</v>
      </c>
      <c r="U2044" t="s">
        <v>35051</v>
      </c>
      <c r="V2044" t="s">
        <v>35052</v>
      </c>
      <c r="W2044" t="s">
        <v>35053</v>
      </c>
      <c r="X2044" t="s">
        <v>74</v>
      </c>
      <c r="Y2044" t="s">
        <v>35054</v>
      </c>
      <c r="Z2044" t="s">
        <v>35055</v>
      </c>
      <c r="AA2044" t="s">
        <v>35056</v>
      </c>
      <c r="AB2044" t="s">
        <v>35057</v>
      </c>
      <c r="AC2044" t="s">
        <v>74</v>
      </c>
      <c r="AD2044" t="s">
        <v>74</v>
      </c>
      <c r="AE2044" t="s">
        <v>74</v>
      </c>
      <c r="AF2044" t="s">
        <v>74</v>
      </c>
      <c r="AG2044">
        <v>63</v>
      </c>
      <c r="AH2044">
        <v>9</v>
      </c>
      <c r="AI2044">
        <v>12</v>
      </c>
      <c r="AJ2044">
        <v>2</v>
      </c>
      <c r="AK2044">
        <v>16</v>
      </c>
      <c r="AL2044" t="s">
        <v>823</v>
      </c>
      <c r="AM2044" t="s">
        <v>333</v>
      </c>
      <c r="AN2044" t="s">
        <v>824</v>
      </c>
      <c r="AO2044" t="s">
        <v>4853</v>
      </c>
      <c r="AP2044" t="s">
        <v>74</v>
      </c>
      <c r="AQ2044" t="s">
        <v>74</v>
      </c>
      <c r="AR2044" t="s">
        <v>4854</v>
      </c>
      <c r="AS2044" t="s">
        <v>4855</v>
      </c>
      <c r="AT2044" t="s">
        <v>35058</v>
      </c>
      <c r="AU2044">
        <v>2023</v>
      </c>
      <c r="AV2044">
        <v>10</v>
      </c>
      <c r="AW2044">
        <v>3</v>
      </c>
      <c r="AX2044" t="s">
        <v>74</v>
      </c>
      <c r="AY2044" t="s">
        <v>74</v>
      </c>
      <c r="AZ2044" t="s">
        <v>74</v>
      </c>
      <c r="BA2044" t="s">
        <v>74</v>
      </c>
      <c r="BB2044" t="s">
        <v>74</v>
      </c>
      <c r="BC2044" t="s">
        <v>74</v>
      </c>
      <c r="BD2044">
        <v>2256079</v>
      </c>
      <c r="BE2044" t="s">
        <v>35059</v>
      </c>
      <c r="BF2044" t="str">
        <f>HYPERLINK("http://dx.doi.org/10.1080/23311975.2023.2256079","http://dx.doi.org/10.1080/23311975.2023.2256079")</f>
        <v>http://dx.doi.org/10.1080/23311975.2023.2256079</v>
      </c>
      <c r="BG2044" t="s">
        <v>74</v>
      </c>
      <c r="BH2044" t="s">
        <v>74</v>
      </c>
      <c r="BI2044">
        <v>20</v>
      </c>
      <c r="BJ2044" t="s">
        <v>418</v>
      </c>
      <c r="BK2044" t="s">
        <v>313</v>
      </c>
      <c r="BL2044" t="s">
        <v>100</v>
      </c>
      <c r="BM2044" t="s">
        <v>35060</v>
      </c>
      <c r="BN2044" t="s">
        <v>74</v>
      </c>
      <c r="BO2044" t="s">
        <v>916</v>
      </c>
      <c r="BP2044" t="s">
        <v>74</v>
      </c>
      <c r="BQ2044" t="s">
        <v>74</v>
      </c>
      <c r="BR2044" t="s">
        <v>102</v>
      </c>
      <c r="BS2044" t="s">
        <v>35061</v>
      </c>
      <c r="BT2044" t="str">
        <f>HYPERLINK("https%3A%2F%2Fwww.webofscience.com%2Fwos%2Fwoscc%2Ffull-record%2FWOS:001076498100001","View Full Record in Web of Science")</f>
        <v>View Full Record in Web of Science</v>
      </c>
    </row>
    <row r="2045" spans="1:72" x14ac:dyDescent="0.25">
      <c r="A2045" t="s">
        <v>72</v>
      </c>
      <c r="B2045" t="s">
        <v>35062</v>
      </c>
      <c r="C2045" t="s">
        <v>74</v>
      </c>
      <c r="D2045" t="s">
        <v>74</v>
      </c>
      <c r="E2045" t="s">
        <v>74</v>
      </c>
      <c r="F2045" t="s">
        <v>35063</v>
      </c>
      <c r="G2045" t="s">
        <v>74</v>
      </c>
      <c r="H2045" t="s">
        <v>74</v>
      </c>
      <c r="I2045" t="s">
        <v>35064</v>
      </c>
      <c r="J2045" t="s">
        <v>3231</v>
      </c>
      <c r="K2045" t="s">
        <v>74</v>
      </c>
      <c r="L2045" t="s">
        <v>74</v>
      </c>
      <c r="M2045" t="s">
        <v>78</v>
      </c>
      <c r="N2045" t="s">
        <v>79</v>
      </c>
      <c r="O2045" t="s">
        <v>74</v>
      </c>
      <c r="P2045" t="s">
        <v>74</v>
      </c>
      <c r="Q2045" t="s">
        <v>74</v>
      </c>
      <c r="R2045" t="s">
        <v>74</v>
      </c>
      <c r="S2045" t="s">
        <v>74</v>
      </c>
      <c r="T2045" t="s">
        <v>35065</v>
      </c>
      <c r="U2045" t="s">
        <v>35066</v>
      </c>
      <c r="V2045" t="s">
        <v>35067</v>
      </c>
      <c r="W2045" t="s">
        <v>35068</v>
      </c>
      <c r="X2045" t="s">
        <v>21314</v>
      </c>
      <c r="Y2045" t="s">
        <v>35069</v>
      </c>
      <c r="Z2045" t="s">
        <v>35070</v>
      </c>
      <c r="AA2045" t="s">
        <v>35071</v>
      </c>
      <c r="AB2045" t="s">
        <v>35072</v>
      </c>
      <c r="AC2045" t="s">
        <v>35073</v>
      </c>
      <c r="AD2045" t="s">
        <v>35074</v>
      </c>
      <c r="AE2045" t="s">
        <v>35075</v>
      </c>
      <c r="AF2045" t="s">
        <v>74</v>
      </c>
      <c r="AG2045">
        <v>171</v>
      </c>
      <c r="AH2045">
        <v>21</v>
      </c>
      <c r="AI2045">
        <v>26</v>
      </c>
      <c r="AJ2045">
        <v>16</v>
      </c>
      <c r="AK2045">
        <v>158</v>
      </c>
      <c r="AL2045" t="s">
        <v>575</v>
      </c>
      <c r="AM2045" t="s">
        <v>576</v>
      </c>
      <c r="AN2045" t="s">
        <v>3242</v>
      </c>
      <c r="AO2045" t="s">
        <v>74</v>
      </c>
      <c r="AP2045" t="s">
        <v>3243</v>
      </c>
      <c r="AQ2045" t="s">
        <v>74</v>
      </c>
      <c r="AR2045" t="s">
        <v>3244</v>
      </c>
      <c r="AS2045" t="s">
        <v>3245</v>
      </c>
      <c r="AT2045" t="s">
        <v>891</v>
      </c>
      <c r="AU2045">
        <v>2022</v>
      </c>
      <c r="AV2045">
        <v>14</v>
      </c>
      <c r="AW2045">
        <v>22</v>
      </c>
      <c r="AX2045" t="s">
        <v>74</v>
      </c>
      <c r="AY2045" t="s">
        <v>74</v>
      </c>
      <c r="AZ2045" t="s">
        <v>74</v>
      </c>
      <c r="BA2045" t="s">
        <v>74</v>
      </c>
      <c r="BB2045" t="s">
        <v>74</v>
      </c>
      <c r="BC2045" t="s">
        <v>74</v>
      </c>
      <c r="BD2045">
        <v>14708</v>
      </c>
      <c r="BE2045" t="s">
        <v>35076</v>
      </c>
      <c r="BF2045" t="str">
        <f>HYPERLINK("http://dx.doi.org/10.3390/su142214708","http://dx.doi.org/10.3390/su142214708")</f>
        <v>http://dx.doi.org/10.3390/su142214708</v>
      </c>
      <c r="BG2045" t="s">
        <v>74</v>
      </c>
      <c r="BH2045" t="s">
        <v>74</v>
      </c>
      <c r="BI2045">
        <v>23</v>
      </c>
      <c r="BJ2045" t="s">
        <v>3247</v>
      </c>
      <c r="BK2045" t="s">
        <v>2623</v>
      </c>
      <c r="BL2045" t="s">
        <v>3248</v>
      </c>
      <c r="BM2045" t="s">
        <v>35077</v>
      </c>
      <c r="BN2045" t="s">
        <v>74</v>
      </c>
      <c r="BO2045" t="s">
        <v>916</v>
      </c>
      <c r="BP2045" t="s">
        <v>74</v>
      </c>
      <c r="BQ2045" t="s">
        <v>74</v>
      </c>
      <c r="BR2045" t="s">
        <v>102</v>
      </c>
      <c r="BS2045" t="s">
        <v>35078</v>
      </c>
      <c r="BT2045" t="str">
        <f>HYPERLINK("https%3A%2F%2Fwww.webofscience.com%2Fwos%2Fwoscc%2Ffull-record%2FWOS:000887657300001","View Full Record in Web of Science")</f>
        <v>View Full Record in Web of Science</v>
      </c>
    </row>
    <row r="2046" spans="1:72" x14ac:dyDescent="0.25">
      <c r="A2046" t="s">
        <v>72</v>
      </c>
      <c r="B2046" t="s">
        <v>35079</v>
      </c>
      <c r="C2046" t="s">
        <v>74</v>
      </c>
      <c r="D2046" t="s">
        <v>74</v>
      </c>
      <c r="E2046" t="s">
        <v>74</v>
      </c>
      <c r="F2046" t="s">
        <v>35080</v>
      </c>
      <c r="G2046" t="s">
        <v>74</v>
      </c>
      <c r="H2046" t="s">
        <v>74</v>
      </c>
      <c r="I2046" t="s">
        <v>35081</v>
      </c>
      <c r="J2046" t="s">
        <v>35082</v>
      </c>
      <c r="K2046" t="s">
        <v>74</v>
      </c>
      <c r="L2046" t="s">
        <v>74</v>
      </c>
      <c r="M2046" t="s">
        <v>78</v>
      </c>
      <c r="N2046" t="s">
        <v>79</v>
      </c>
      <c r="O2046" t="s">
        <v>74</v>
      </c>
      <c r="P2046" t="s">
        <v>74</v>
      </c>
      <c r="Q2046" t="s">
        <v>74</v>
      </c>
      <c r="R2046" t="s">
        <v>74</v>
      </c>
      <c r="S2046" t="s">
        <v>74</v>
      </c>
      <c r="T2046" t="s">
        <v>35083</v>
      </c>
      <c r="U2046" t="s">
        <v>74</v>
      </c>
      <c r="V2046" t="s">
        <v>35084</v>
      </c>
      <c r="W2046" t="s">
        <v>35085</v>
      </c>
      <c r="X2046" t="s">
        <v>74</v>
      </c>
      <c r="Y2046" t="s">
        <v>35086</v>
      </c>
      <c r="Z2046" t="s">
        <v>74</v>
      </c>
      <c r="AA2046" t="s">
        <v>35087</v>
      </c>
      <c r="AB2046" t="s">
        <v>74</v>
      </c>
      <c r="AC2046" t="s">
        <v>74</v>
      </c>
      <c r="AD2046" t="s">
        <v>74</v>
      </c>
      <c r="AE2046" t="s">
        <v>74</v>
      </c>
      <c r="AF2046" t="s">
        <v>74</v>
      </c>
      <c r="AG2046">
        <v>25</v>
      </c>
      <c r="AH2046">
        <v>0</v>
      </c>
      <c r="AI2046">
        <v>0</v>
      </c>
      <c r="AJ2046">
        <v>0</v>
      </c>
      <c r="AK2046">
        <v>11</v>
      </c>
      <c r="AL2046" t="s">
        <v>35088</v>
      </c>
      <c r="AM2046" t="s">
        <v>35089</v>
      </c>
      <c r="AN2046" t="s">
        <v>35090</v>
      </c>
      <c r="AO2046" t="s">
        <v>35091</v>
      </c>
      <c r="AP2046" t="s">
        <v>35092</v>
      </c>
      <c r="AQ2046" t="s">
        <v>74</v>
      </c>
      <c r="AR2046" t="s">
        <v>35093</v>
      </c>
      <c r="AS2046" t="s">
        <v>35094</v>
      </c>
      <c r="AT2046" t="s">
        <v>29065</v>
      </c>
      <c r="AU2046">
        <v>2019</v>
      </c>
      <c r="AV2046">
        <v>15</v>
      </c>
      <c r="AW2046" t="s">
        <v>74</v>
      </c>
      <c r="AX2046" t="s">
        <v>74</v>
      </c>
      <c r="AY2046" t="s">
        <v>74</v>
      </c>
      <c r="AZ2046" t="s">
        <v>74</v>
      </c>
      <c r="BA2046" t="s">
        <v>74</v>
      </c>
      <c r="BB2046">
        <v>61</v>
      </c>
      <c r="BC2046">
        <v>75</v>
      </c>
      <c r="BD2046" t="s">
        <v>74</v>
      </c>
      <c r="BE2046" t="s">
        <v>74</v>
      </c>
      <c r="BF2046" t="s">
        <v>74</v>
      </c>
      <c r="BG2046" t="s">
        <v>74</v>
      </c>
      <c r="BH2046" t="s">
        <v>74</v>
      </c>
      <c r="BI2046">
        <v>15</v>
      </c>
      <c r="BJ2046" t="s">
        <v>418</v>
      </c>
      <c r="BK2046" t="s">
        <v>313</v>
      </c>
      <c r="BL2046" t="s">
        <v>100</v>
      </c>
      <c r="BM2046" t="s">
        <v>35095</v>
      </c>
      <c r="BN2046" t="s">
        <v>74</v>
      </c>
      <c r="BO2046" t="s">
        <v>74</v>
      </c>
      <c r="BP2046" t="s">
        <v>74</v>
      </c>
      <c r="BQ2046" t="s">
        <v>74</v>
      </c>
      <c r="BR2046" t="s">
        <v>102</v>
      </c>
      <c r="BS2046" t="s">
        <v>35096</v>
      </c>
      <c r="BT2046" t="str">
        <f>HYPERLINK("https%3A%2F%2Fwww.webofscience.com%2Fwos%2Fwoscc%2Ffull-record%2FWOS:000594395300007","View Full Record in Web of Science")</f>
        <v>View Full Record in Web of Science</v>
      </c>
    </row>
    <row r="2047" spans="1:72" x14ac:dyDescent="0.25">
      <c r="A2047" t="s">
        <v>72</v>
      </c>
      <c r="B2047" t="s">
        <v>35097</v>
      </c>
      <c r="C2047" t="s">
        <v>74</v>
      </c>
      <c r="D2047" t="s">
        <v>74</v>
      </c>
      <c r="E2047" t="s">
        <v>74</v>
      </c>
      <c r="F2047" t="s">
        <v>35098</v>
      </c>
      <c r="G2047" t="s">
        <v>74</v>
      </c>
      <c r="H2047" t="s">
        <v>74</v>
      </c>
      <c r="I2047" t="s">
        <v>35099</v>
      </c>
      <c r="J2047" t="s">
        <v>17444</v>
      </c>
      <c r="K2047" t="s">
        <v>74</v>
      </c>
      <c r="L2047" t="s">
        <v>74</v>
      </c>
      <c r="M2047" t="s">
        <v>78</v>
      </c>
      <c r="N2047" t="s">
        <v>79</v>
      </c>
      <c r="O2047" t="s">
        <v>74</v>
      </c>
      <c r="P2047" t="s">
        <v>74</v>
      </c>
      <c r="Q2047" t="s">
        <v>74</v>
      </c>
      <c r="R2047" t="s">
        <v>74</v>
      </c>
      <c r="S2047" t="s">
        <v>74</v>
      </c>
      <c r="T2047" t="s">
        <v>35100</v>
      </c>
      <c r="U2047" t="s">
        <v>74</v>
      </c>
      <c r="V2047" t="s">
        <v>35101</v>
      </c>
      <c r="W2047" t="s">
        <v>35102</v>
      </c>
      <c r="X2047" t="s">
        <v>74</v>
      </c>
      <c r="Y2047" t="s">
        <v>35103</v>
      </c>
      <c r="Z2047" t="s">
        <v>35104</v>
      </c>
      <c r="AA2047" t="s">
        <v>74</v>
      </c>
      <c r="AB2047" t="s">
        <v>74</v>
      </c>
      <c r="AC2047" t="s">
        <v>74</v>
      </c>
      <c r="AD2047" t="s">
        <v>74</v>
      </c>
      <c r="AE2047" t="s">
        <v>74</v>
      </c>
      <c r="AF2047" t="s">
        <v>74</v>
      </c>
      <c r="AG2047">
        <v>23</v>
      </c>
      <c r="AH2047">
        <v>17</v>
      </c>
      <c r="AI2047">
        <v>27</v>
      </c>
      <c r="AJ2047">
        <v>0</v>
      </c>
      <c r="AK2047">
        <v>6</v>
      </c>
      <c r="AL2047" t="s">
        <v>89</v>
      </c>
      <c r="AM2047" t="s">
        <v>1497</v>
      </c>
      <c r="AN2047" t="s">
        <v>1498</v>
      </c>
      <c r="AO2047" t="s">
        <v>17454</v>
      </c>
      <c r="AP2047" t="s">
        <v>17455</v>
      </c>
      <c r="AQ2047" t="s">
        <v>74</v>
      </c>
      <c r="AR2047" t="s">
        <v>17456</v>
      </c>
      <c r="AS2047" t="s">
        <v>17457</v>
      </c>
      <c r="AT2047" t="s">
        <v>74</v>
      </c>
      <c r="AU2047">
        <v>2012</v>
      </c>
      <c r="AV2047">
        <v>38</v>
      </c>
      <c r="AW2047">
        <v>10</v>
      </c>
      <c r="AX2047" t="s">
        <v>74</v>
      </c>
      <c r="AY2047" t="s">
        <v>74</v>
      </c>
      <c r="AZ2047" t="s">
        <v>74</v>
      </c>
      <c r="BA2047" t="s">
        <v>74</v>
      </c>
      <c r="BB2047">
        <v>993</v>
      </c>
      <c r="BC2047">
        <v>1004</v>
      </c>
      <c r="BD2047" t="s">
        <v>74</v>
      </c>
      <c r="BE2047" t="s">
        <v>35105</v>
      </c>
      <c r="BF2047" t="str">
        <f>HYPERLINK("http://dx.doi.org/10.1108/03074351211255182","http://dx.doi.org/10.1108/03074351211255182")</f>
        <v>http://dx.doi.org/10.1108/03074351211255182</v>
      </c>
      <c r="BG2047" t="s">
        <v>74</v>
      </c>
      <c r="BH2047" t="s">
        <v>74</v>
      </c>
      <c r="BI2047">
        <v>12</v>
      </c>
      <c r="BJ2047" t="s">
        <v>268</v>
      </c>
      <c r="BK2047" t="s">
        <v>99</v>
      </c>
      <c r="BL2047" t="s">
        <v>100</v>
      </c>
      <c r="BM2047" t="s">
        <v>35106</v>
      </c>
      <c r="BN2047" t="s">
        <v>74</v>
      </c>
      <c r="BO2047" t="s">
        <v>74</v>
      </c>
      <c r="BP2047" t="s">
        <v>74</v>
      </c>
      <c r="BQ2047" t="s">
        <v>74</v>
      </c>
      <c r="BR2047" t="s">
        <v>102</v>
      </c>
      <c r="BS2047" t="s">
        <v>35107</v>
      </c>
      <c r="BT2047" t="str">
        <f>HYPERLINK("https%3A%2F%2Fwww.webofscience.com%2Fwos%2Fwoscc%2Ffull-record%2FWOS:000210933200005","View Full Record in Web of Science")</f>
        <v>View Full Record in Web of Science</v>
      </c>
    </row>
    <row r="2048" spans="1:72" x14ac:dyDescent="0.25">
      <c r="A2048" t="s">
        <v>72</v>
      </c>
      <c r="B2048" t="s">
        <v>35108</v>
      </c>
      <c r="C2048" t="s">
        <v>74</v>
      </c>
      <c r="D2048" t="s">
        <v>74</v>
      </c>
      <c r="E2048" t="s">
        <v>74</v>
      </c>
      <c r="F2048" t="s">
        <v>35109</v>
      </c>
      <c r="G2048" t="s">
        <v>74</v>
      </c>
      <c r="H2048" t="s">
        <v>74</v>
      </c>
      <c r="I2048" t="s">
        <v>35110</v>
      </c>
      <c r="J2048" t="s">
        <v>24588</v>
      </c>
      <c r="K2048" t="s">
        <v>74</v>
      </c>
      <c r="L2048" t="s">
        <v>74</v>
      </c>
      <c r="M2048" t="s">
        <v>78</v>
      </c>
      <c r="N2048" t="s">
        <v>372</v>
      </c>
      <c r="O2048" t="s">
        <v>74</v>
      </c>
      <c r="P2048" t="s">
        <v>74</v>
      </c>
      <c r="Q2048" t="s">
        <v>74</v>
      </c>
      <c r="R2048" t="s">
        <v>74</v>
      </c>
      <c r="S2048" t="s">
        <v>74</v>
      </c>
      <c r="T2048" t="s">
        <v>35111</v>
      </c>
      <c r="U2048" t="s">
        <v>35112</v>
      </c>
      <c r="V2048" t="s">
        <v>35113</v>
      </c>
      <c r="W2048" t="s">
        <v>35114</v>
      </c>
      <c r="X2048" t="s">
        <v>35115</v>
      </c>
      <c r="Y2048" t="s">
        <v>35116</v>
      </c>
      <c r="Z2048" t="s">
        <v>35117</v>
      </c>
      <c r="AA2048" t="s">
        <v>35118</v>
      </c>
      <c r="AB2048" t="s">
        <v>35119</v>
      </c>
      <c r="AC2048" t="s">
        <v>35120</v>
      </c>
      <c r="AD2048" t="s">
        <v>26664</v>
      </c>
      <c r="AE2048" t="s">
        <v>35121</v>
      </c>
      <c r="AF2048" t="s">
        <v>74</v>
      </c>
      <c r="AG2048">
        <v>41</v>
      </c>
      <c r="AH2048">
        <v>0</v>
      </c>
      <c r="AI2048">
        <v>0</v>
      </c>
      <c r="AJ2048">
        <v>0</v>
      </c>
      <c r="AK2048">
        <v>0</v>
      </c>
      <c r="AL2048" t="s">
        <v>757</v>
      </c>
      <c r="AM2048" t="s">
        <v>758</v>
      </c>
      <c r="AN2048" t="s">
        <v>759</v>
      </c>
      <c r="AO2048" t="s">
        <v>24578</v>
      </c>
      <c r="AP2048" t="s">
        <v>24577</v>
      </c>
      <c r="AQ2048" t="s">
        <v>74</v>
      </c>
      <c r="AR2048" t="s">
        <v>24576</v>
      </c>
      <c r="AS2048" t="s">
        <v>24575</v>
      </c>
      <c r="AT2048" t="s">
        <v>35122</v>
      </c>
      <c r="AU2048">
        <v>2025</v>
      </c>
      <c r="AV2048" t="s">
        <v>74</v>
      </c>
      <c r="AW2048" t="s">
        <v>74</v>
      </c>
      <c r="AX2048" t="s">
        <v>74</v>
      </c>
      <c r="AY2048" t="s">
        <v>74</v>
      </c>
      <c r="AZ2048" t="s">
        <v>74</v>
      </c>
      <c r="BA2048" t="s">
        <v>74</v>
      </c>
      <c r="BB2048" t="s">
        <v>74</v>
      </c>
      <c r="BC2048" t="s">
        <v>74</v>
      </c>
      <c r="BD2048" t="s">
        <v>74</v>
      </c>
      <c r="BE2048" t="s">
        <v>35123</v>
      </c>
      <c r="BF2048" t="str">
        <f>HYPERLINK("http://dx.doi.org/10.1177/09763996251346601","http://dx.doi.org/10.1177/09763996251346601")</f>
        <v>http://dx.doi.org/10.1177/09763996251346601</v>
      </c>
      <c r="BG2048" t="s">
        <v>74</v>
      </c>
      <c r="BH2048" t="s">
        <v>7657</v>
      </c>
      <c r="BI2048">
        <v>21</v>
      </c>
      <c r="BJ2048" t="s">
        <v>1674</v>
      </c>
      <c r="BK2048" t="s">
        <v>313</v>
      </c>
      <c r="BL2048" t="s">
        <v>1674</v>
      </c>
      <c r="BM2048" t="s">
        <v>35124</v>
      </c>
      <c r="BN2048" t="s">
        <v>74</v>
      </c>
      <c r="BO2048" t="s">
        <v>74</v>
      </c>
      <c r="BP2048" t="s">
        <v>74</v>
      </c>
      <c r="BQ2048" t="s">
        <v>74</v>
      </c>
      <c r="BR2048" t="s">
        <v>102</v>
      </c>
      <c r="BS2048" t="s">
        <v>35125</v>
      </c>
      <c r="BT2048" t="str">
        <f>HYPERLINK("https%3A%2F%2Fwww.webofscience.com%2Fwos%2Fwoscc%2Ffull-record%2FWOS:001507964600001","View Full Record in Web of Science")</f>
        <v>View Full Record in Web of Science</v>
      </c>
    </row>
    <row r="2049" spans="1:72" x14ac:dyDescent="0.25">
      <c r="A2049" t="s">
        <v>72</v>
      </c>
      <c r="B2049" t="s">
        <v>35126</v>
      </c>
      <c r="C2049" t="s">
        <v>74</v>
      </c>
      <c r="D2049" t="s">
        <v>74</v>
      </c>
      <c r="E2049" t="s">
        <v>74</v>
      </c>
      <c r="F2049" t="s">
        <v>35127</v>
      </c>
      <c r="G2049" t="s">
        <v>74</v>
      </c>
      <c r="H2049" t="s">
        <v>74</v>
      </c>
      <c r="I2049" t="s">
        <v>35128</v>
      </c>
      <c r="J2049" t="s">
        <v>4956</v>
      </c>
      <c r="K2049" t="s">
        <v>74</v>
      </c>
      <c r="L2049" t="s">
        <v>74</v>
      </c>
      <c r="M2049" t="s">
        <v>78</v>
      </c>
      <c r="N2049" t="s">
        <v>79</v>
      </c>
      <c r="O2049" t="s">
        <v>74</v>
      </c>
      <c r="P2049" t="s">
        <v>74</v>
      </c>
      <c r="Q2049" t="s">
        <v>74</v>
      </c>
      <c r="R2049" t="s">
        <v>74</v>
      </c>
      <c r="S2049" t="s">
        <v>74</v>
      </c>
      <c r="T2049" t="s">
        <v>35129</v>
      </c>
      <c r="U2049" t="s">
        <v>35130</v>
      </c>
      <c r="V2049" t="s">
        <v>35131</v>
      </c>
      <c r="W2049" t="s">
        <v>35132</v>
      </c>
      <c r="X2049" t="s">
        <v>35133</v>
      </c>
      <c r="Y2049" t="s">
        <v>35134</v>
      </c>
      <c r="Z2049" t="s">
        <v>35135</v>
      </c>
      <c r="AA2049" t="s">
        <v>35136</v>
      </c>
      <c r="AB2049" t="s">
        <v>74</v>
      </c>
      <c r="AC2049" t="s">
        <v>74</v>
      </c>
      <c r="AD2049" t="s">
        <v>74</v>
      </c>
      <c r="AE2049" t="s">
        <v>74</v>
      </c>
      <c r="AF2049" t="s">
        <v>74</v>
      </c>
      <c r="AG2049">
        <v>130</v>
      </c>
      <c r="AH2049">
        <v>0</v>
      </c>
      <c r="AI2049">
        <v>0</v>
      </c>
      <c r="AJ2049">
        <v>1</v>
      </c>
      <c r="AK2049">
        <v>1</v>
      </c>
      <c r="AL2049" t="s">
        <v>230</v>
      </c>
      <c r="AM2049" t="s">
        <v>231</v>
      </c>
      <c r="AN2049" t="s">
        <v>232</v>
      </c>
      <c r="AO2049" t="s">
        <v>4966</v>
      </c>
      <c r="AP2049" t="s">
        <v>4967</v>
      </c>
      <c r="AQ2049" t="s">
        <v>74</v>
      </c>
      <c r="AR2049" t="s">
        <v>4968</v>
      </c>
      <c r="AS2049" t="s">
        <v>4969</v>
      </c>
      <c r="AT2049" t="s">
        <v>743</v>
      </c>
      <c r="AU2049">
        <v>2026</v>
      </c>
      <c r="AV2049">
        <v>200</v>
      </c>
      <c r="AW2049" t="s">
        <v>74</v>
      </c>
      <c r="AX2049" t="s">
        <v>74</v>
      </c>
      <c r="AY2049" t="s">
        <v>74</v>
      </c>
      <c r="AZ2049" t="s">
        <v>74</v>
      </c>
      <c r="BA2049" t="s">
        <v>74</v>
      </c>
      <c r="BB2049" t="s">
        <v>74</v>
      </c>
      <c r="BC2049" t="s">
        <v>74</v>
      </c>
      <c r="BD2049">
        <v>107268</v>
      </c>
      <c r="BE2049" t="s">
        <v>35137</v>
      </c>
      <c r="BF2049" t="str">
        <f>HYPERLINK("http://dx.doi.org/10.1016/j.worlddev.2025.107268","http://dx.doi.org/10.1016/j.worlddev.2025.107268")</f>
        <v>http://dx.doi.org/10.1016/j.worlddev.2025.107268</v>
      </c>
      <c r="BG2049" t="s">
        <v>74</v>
      </c>
      <c r="BH2049" t="s">
        <v>74</v>
      </c>
      <c r="BI2049">
        <v>20</v>
      </c>
      <c r="BJ2049" t="s">
        <v>701</v>
      </c>
      <c r="BK2049" t="s">
        <v>99</v>
      </c>
      <c r="BL2049" t="s">
        <v>702</v>
      </c>
      <c r="BM2049" t="s">
        <v>35138</v>
      </c>
      <c r="BN2049" t="s">
        <v>74</v>
      </c>
      <c r="BO2049" t="s">
        <v>74</v>
      </c>
      <c r="BP2049" t="s">
        <v>74</v>
      </c>
      <c r="BQ2049" t="s">
        <v>74</v>
      </c>
      <c r="BR2049" t="s">
        <v>102</v>
      </c>
      <c r="BS2049" t="s">
        <v>35139</v>
      </c>
      <c r="BT2049" t="str">
        <f>HYPERLINK("https%3A%2F%2Fwww.webofscience.com%2Fwos%2Fwoscc%2Ffull-record%2FWOS:001636673900001","View Full Record in Web of Science")</f>
        <v>View Full Record in Web of Science</v>
      </c>
    </row>
    <row r="2050" spans="1:72" x14ac:dyDescent="0.25">
      <c r="A2050" t="s">
        <v>132</v>
      </c>
      <c r="B2050" t="s">
        <v>35140</v>
      </c>
      <c r="C2050" t="s">
        <v>74</v>
      </c>
      <c r="D2050" t="s">
        <v>35141</v>
      </c>
      <c r="E2050" t="s">
        <v>74</v>
      </c>
      <c r="F2050" t="s">
        <v>35142</v>
      </c>
      <c r="G2050" t="s">
        <v>74</v>
      </c>
      <c r="H2050" t="s">
        <v>74</v>
      </c>
      <c r="I2050" t="s">
        <v>35143</v>
      </c>
      <c r="J2050" t="s">
        <v>35144</v>
      </c>
      <c r="K2050" t="s">
        <v>74</v>
      </c>
      <c r="L2050" t="s">
        <v>74</v>
      </c>
      <c r="M2050" t="s">
        <v>78</v>
      </c>
      <c r="N2050" t="s">
        <v>138</v>
      </c>
      <c r="O2050" t="s">
        <v>35145</v>
      </c>
      <c r="P2050" t="s">
        <v>35146</v>
      </c>
      <c r="Q2050" t="s">
        <v>35147</v>
      </c>
      <c r="R2050" t="s">
        <v>35148</v>
      </c>
      <c r="S2050" t="s">
        <v>74</v>
      </c>
      <c r="T2050" t="s">
        <v>35149</v>
      </c>
      <c r="U2050" t="s">
        <v>8579</v>
      </c>
      <c r="V2050" t="s">
        <v>35150</v>
      </c>
      <c r="W2050" t="s">
        <v>35151</v>
      </c>
      <c r="X2050" t="s">
        <v>35152</v>
      </c>
      <c r="Y2050" t="s">
        <v>35153</v>
      </c>
      <c r="Z2050" t="s">
        <v>35154</v>
      </c>
      <c r="AA2050" t="s">
        <v>35155</v>
      </c>
      <c r="AB2050" t="s">
        <v>35156</v>
      </c>
      <c r="AC2050" t="s">
        <v>74</v>
      </c>
      <c r="AD2050" t="s">
        <v>74</v>
      </c>
      <c r="AE2050" t="s">
        <v>74</v>
      </c>
      <c r="AF2050" t="s">
        <v>74</v>
      </c>
      <c r="AG2050">
        <v>23</v>
      </c>
      <c r="AH2050">
        <v>0</v>
      </c>
      <c r="AI2050">
        <v>0</v>
      </c>
      <c r="AJ2050">
        <v>0</v>
      </c>
      <c r="AK2050">
        <v>3</v>
      </c>
      <c r="AL2050" t="s">
        <v>11756</v>
      </c>
      <c r="AM2050" t="s">
        <v>11757</v>
      </c>
      <c r="AN2050" t="s">
        <v>16910</v>
      </c>
      <c r="AO2050" t="s">
        <v>74</v>
      </c>
      <c r="AP2050" t="s">
        <v>74</v>
      </c>
      <c r="AQ2050" t="s">
        <v>74</v>
      </c>
      <c r="AR2050" t="s">
        <v>74</v>
      </c>
      <c r="AS2050" t="s">
        <v>74</v>
      </c>
      <c r="AT2050" t="s">
        <v>74</v>
      </c>
      <c r="AU2050">
        <v>2022</v>
      </c>
      <c r="AV2050" t="s">
        <v>74</v>
      </c>
      <c r="AW2050" t="s">
        <v>74</v>
      </c>
      <c r="AX2050" t="s">
        <v>74</v>
      </c>
      <c r="AY2050" t="s">
        <v>74</v>
      </c>
      <c r="AZ2050" t="s">
        <v>74</v>
      </c>
      <c r="BA2050" t="s">
        <v>74</v>
      </c>
      <c r="BB2050">
        <v>854</v>
      </c>
      <c r="BC2050">
        <v>869</v>
      </c>
      <c r="BD2050" t="s">
        <v>74</v>
      </c>
      <c r="BE2050" t="s">
        <v>74</v>
      </c>
      <c r="BF2050" t="s">
        <v>74</v>
      </c>
      <c r="BG2050" t="s">
        <v>74</v>
      </c>
      <c r="BH2050" t="s">
        <v>74</v>
      </c>
      <c r="BI2050">
        <v>16</v>
      </c>
      <c r="BJ2050" t="s">
        <v>35157</v>
      </c>
      <c r="BK2050" t="s">
        <v>183</v>
      </c>
      <c r="BL2050" t="s">
        <v>702</v>
      </c>
      <c r="BM2050" t="s">
        <v>35158</v>
      </c>
      <c r="BN2050" t="s">
        <v>74</v>
      </c>
      <c r="BO2050" t="s">
        <v>74</v>
      </c>
      <c r="BP2050" t="s">
        <v>74</v>
      </c>
      <c r="BQ2050" t="s">
        <v>74</v>
      </c>
      <c r="BR2050" t="s">
        <v>102</v>
      </c>
      <c r="BS2050" t="s">
        <v>35159</v>
      </c>
      <c r="BT2050" t="str">
        <f>HYPERLINK("https%3A%2F%2Fwww.webofscience.com%2Fwos%2Fwoscc%2Ffull-record%2FWOS:000838669300057","View Full Record in Web of Science")</f>
        <v>View Full Record in Web of Science</v>
      </c>
    </row>
    <row r="2051" spans="1:72" x14ac:dyDescent="0.25">
      <c r="A2051" t="s">
        <v>72</v>
      </c>
      <c r="B2051" t="s">
        <v>35160</v>
      </c>
      <c r="C2051" t="s">
        <v>74</v>
      </c>
      <c r="D2051" t="s">
        <v>74</v>
      </c>
      <c r="E2051" t="s">
        <v>74</v>
      </c>
      <c r="F2051" t="s">
        <v>35161</v>
      </c>
      <c r="G2051" t="s">
        <v>74</v>
      </c>
      <c r="H2051" t="s">
        <v>74</v>
      </c>
      <c r="I2051" t="s">
        <v>35162</v>
      </c>
      <c r="J2051" t="s">
        <v>14135</v>
      </c>
      <c r="K2051" t="s">
        <v>74</v>
      </c>
      <c r="L2051" t="s">
        <v>74</v>
      </c>
      <c r="M2051" t="s">
        <v>78</v>
      </c>
      <c r="N2051" t="s">
        <v>79</v>
      </c>
      <c r="O2051" t="s">
        <v>74</v>
      </c>
      <c r="P2051" t="s">
        <v>74</v>
      </c>
      <c r="Q2051" t="s">
        <v>74</v>
      </c>
      <c r="R2051" t="s">
        <v>74</v>
      </c>
      <c r="S2051" t="s">
        <v>74</v>
      </c>
      <c r="T2051" t="s">
        <v>74</v>
      </c>
      <c r="U2051" t="s">
        <v>35163</v>
      </c>
      <c r="V2051" t="s">
        <v>35164</v>
      </c>
      <c r="W2051" t="s">
        <v>35165</v>
      </c>
      <c r="X2051" t="s">
        <v>16197</v>
      </c>
      <c r="Y2051" t="s">
        <v>35166</v>
      </c>
      <c r="Z2051" t="s">
        <v>35167</v>
      </c>
      <c r="AA2051" t="s">
        <v>74</v>
      </c>
      <c r="AB2051" t="s">
        <v>74</v>
      </c>
      <c r="AC2051" t="s">
        <v>74</v>
      </c>
      <c r="AD2051" t="s">
        <v>74</v>
      </c>
      <c r="AE2051" t="s">
        <v>74</v>
      </c>
      <c r="AF2051" t="s">
        <v>74</v>
      </c>
      <c r="AG2051">
        <v>101</v>
      </c>
      <c r="AH2051">
        <v>4</v>
      </c>
      <c r="AI2051">
        <v>4</v>
      </c>
      <c r="AJ2051">
        <v>0</v>
      </c>
      <c r="AK2051">
        <v>11</v>
      </c>
      <c r="AL2051" t="s">
        <v>479</v>
      </c>
      <c r="AM2051" t="s">
        <v>480</v>
      </c>
      <c r="AN2051" t="s">
        <v>481</v>
      </c>
      <c r="AO2051" t="s">
        <v>14142</v>
      </c>
      <c r="AP2051" t="s">
        <v>14143</v>
      </c>
      <c r="AQ2051" t="s">
        <v>74</v>
      </c>
      <c r="AR2051" t="s">
        <v>14144</v>
      </c>
      <c r="AS2051" t="s">
        <v>14145</v>
      </c>
      <c r="AT2051" t="s">
        <v>208</v>
      </c>
      <c r="AU2051">
        <v>2023</v>
      </c>
      <c r="AV2051">
        <v>54</v>
      </c>
      <c r="AW2051">
        <v>1</v>
      </c>
      <c r="AX2051" t="s">
        <v>74</v>
      </c>
      <c r="AY2051" t="s">
        <v>74</v>
      </c>
      <c r="AZ2051" t="s">
        <v>74</v>
      </c>
      <c r="BA2051" t="s">
        <v>74</v>
      </c>
      <c r="BB2051">
        <v>87</v>
      </c>
      <c r="BC2051">
        <v>116</v>
      </c>
      <c r="BD2051" t="s">
        <v>74</v>
      </c>
      <c r="BE2051" t="s">
        <v>35168</v>
      </c>
      <c r="BF2051" t="str">
        <f>HYPERLINK("http://dx.doi.org/10.1111/dech.12747","http://dx.doi.org/10.1111/dech.12747")</f>
        <v>http://dx.doi.org/10.1111/dech.12747</v>
      </c>
      <c r="BG2051" t="s">
        <v>74</v>
      </c>
      <c r="BH2051" t="s">
        <v>7904</v>
      </c>
      <c r="BI2051">
        <v>30</v>
      </c>
      <c r="BJ2051" t="s">
        <v>1137</v>
      </c>
      <c r="BK2051" t="s">
        <v>99</v>
      </c>
      <c r="BL2051" t="s">
        <v>1137</v>
      </c>
      <c r="BM2051" t="s">
        <v>35169</v>
      </c>
      <c r="BN2051" t="s">
        <v>74</v>
      </c>
      <c r="BO2051" t="s">
        <v>74</v>
      </c>
      <c r="BP2051" t="s">
        <v>74</v>
      </c>
      <c r="BQ2051" t="s">
        <v>74</v>
      </c>
      <c r="BR2051" t="s">
        <v>102</v>
      </c>
      <c r="BS2051" t="s">
        <v>35170</v>
      </c>
      <c r="BT2051" t="str">
        <f>HYPERLINK("https%3A%2F%2Fwww.webofscience.com%2Fwos%2Fwoscc%2Ffull-record%2FWOS:000897797700001","View Full Record in Web of Science")</f>
        <v>View Full Record in Web of Science</v>
      </c>
    </row>
    <row r="2052" spans="1:72" x14ac:dyDescent="0.25">
      <c r="A2052" t="s">
        <v>72</v>
      </c>
      <c r="B2052" t="s">
        <v>35171</v>
      </c>
      <c r="C2052" t="s">
        <v>74</v>
      </c>
      <c r="D2052" t="s">
        <v>74</v>
      </c>
      <c r="E2052" t="s">
        <v>74</v>
      </c>
      <c r="F2052" t="s">
        <v>35172</v>
      </c>
      <c r="G2052" t="s">
        <v>74</v>
      </c>
      <c r="H2052" t="s">
        <v>74</v>
      </c>
      <c r="I2052" t="s">
        <v>35173</v>
      </c>
      <c r="J2052" t="s">
        <v>35174</v>
      </c>
      <c r="K2052" t="s">
        <v>74</v>
      </c>
      <c r="L2052" t="s">
        <v>74</v>
      </c>
      <c r="M2052" t="s">
        <v>78</v>
      </c>
      <c r="N2052" t="s">
        <v>79</v>
      </c>
      <c r="O2052" t="s">
        <v>74</v>
      </c>
      <c r="P2052" t="s">
        <v>74</v>
      </c>
      <c r="Q2052" t="s">
        <v>74</v>
      </c>
      <c r="R2052" t="s">
        <v>74</v>
      </c>
      <c r="S2052" t="s">
        <v>74</v>
      </c>
      <c r="T2052" t="s">
        <v>35175</v>
      </c>
      <c r="U2052" t="s">
        <v>35176</v>
      </c>
      <c r="V2052" t="s">
        <v>35177</v>
      </c>
      <c r="W2052" t="s">
        <v>35178</v>
      </c>
      <c r="X2052" t="s">
        <v>74</v>
      </c>
      <c r="Y2052" t="s">
        <v>35179</v>
      </c>
      <c r="Z2052" t="s">
        <v>35180</v>
      </c>
      <c r="AA2052" t="s">
        <v>35181</v>
      </c>
      <c r="AB2052" t="s">
        <v>74</v>
      </c>
      <c r="AC2052" t="s">
        <v>74</v>
      </c>
      <c r="AD2052" t="s">
        <v>74</v>
      </c>
      <c r="AE2052" t="s">
        <v>74</v>
      </c>
      <c r="AF2052" t="s">
        <v>74</v>
      </c>
      <c r="AG2052">
        <v>80</v>
      </c>
      <c r="AH2052">
        <v>3</v>
      </c>
      <c r="AI2052">
        <v>4</v>
      </c>
      <c r="AJ2052">
        <v>2</v>
      </c>
      <c r="AK2052">
        <v>2</v>
      </c>
      <c r="AL2052" t="s">
        <v>35182</v>
      </c>
      <c r="AM2052" t="s">
        <v>9793</v>
      </c>
      <c r="AN2052" t="s">
        <v>35183</v>
      </c>
      <c r="AO2052" t="s">
        <v>35184</v>
      </c>
      <c r="AP2052" t="s">
        <v>74</v>
      </c>
      <c r="AQ2052" t="s">
        <v>74</v>
      </c>
      <c r="AR2052" t="s">
        <v>35185</v>
      </c>
      <c r="AS2052" t="s">
        <v>35186</v>
      </c>
      <c r="AT2052" t="s">
        <v>698</v>
      </c>
      <c r="AU2052">
        <v>2024</v>
      </c>
      <c r="AV2052">
        <v>16</v>
      </c>
      <c r="AW2052">
        <v>3</v>
      </c>
      <c r="AX2052" t="s">
        <v>74</v>
      </c>
      <c r="AY2052" t="s">
        <v>74</v>
      </c>
      <c r="AZ2052" t="s">
        <v>74</v>
      </c>
      <c r="BA2052" t="s">
        <v>74</v>
      </c>
      <c r="BB2052">
        <v>43</v>
      </c>
      <c r="BC2052">
        <v>66</v>
      </c>
      <c r="BD2052" t="s">
        <v>74</v>
      </c>
      <c r="BE2052" t="s">
        <v>35187</v>
      </c>
      <c r="BF2052" t="str">
        <f>HYPERLINK("http://dx.doi.org/10.55188/ijifsd.v16i3.901","http://dx.doi.org/10.55188/ijifsd.v16i3.901")</f>
        <v>http://dx.doi.org/10.55188/ijifsd.v16i3.901</v>
      </c>
      <c r="BG2052" t="s">
        <v>74</v>
      </c>
      <c r="BH2052" t="s">
        <v>74</v>
      </c>
      <c r="BI2052">
        <v>24</v>
      </c>
      <c r="BJ2052" t="s">
        <v>268</v>
      </c>
      <c r="BK2052" t="s">
        <v>313</v>
      </c>
      <c r="BL2052" t="s">
        <v>100</v>
      </c>
      <c r="BM2052" t="s">
        <v>35188</v>
      </c>
      <c r="BN2052" t="s">
        <v>74</v>
      </c>
      <c r="BO2052" t="s">
        <v>270</v>
      </c>
      <c r="BP2052" t="s">
        <v>74</v>
      </c>
      <c r="BQ2052" t="s">
        <v>74</v>
      </c>
      <c r="BR2052" t="s">
        <v>102</v>
      </c>
      <c r="BS2052" t="s">
        <v>35189</v>
      </c>
      <c r="BT2052" t="str">
        <f>HYPERLINK("https%3A%2F%2Fwww.webofscience.com%2Fwos%2Fwoscc%2Ffull-record%2FWOS:001455800400001","View Full Record in Web of Science")</f>
        <v>View Full Record in Web of Science</v>
      </c>
    </row>
    <row r="2053" spans="1:72" x14ac:dyDescent="0.25">
      <c r="A2053" t="s">
        <v>72</v>
      </c>
      <c r="B2053" t="s">
        <v>35190</v>
      </c>
      <c r="C2053" t="s">
        <v>74</v>
      </c>
      <c r="D2053" t="s">
        <v>74</v>
      </c>
      <c r="E2053" t="s">
        <v>74</v>
      </c>
      <c r="F2053" t="s">
        <v>35191</v>
      </c>
      <c r="G2053" t="s">
        <v>74</v>
      </c>
      <c r="H2053" t="s">
        <v>74</v>
      </c>
      <c r="I2053" t="s">
        <v>35192</v>
      </c>
      <c r="J2053" t="s">
        <v>9470</v>
      </c>
      <c r="K2053" t="s">
        <v>74</v>
      </c>
      <c r="L2053" t="s">
        <v>74</v>
      </c>
      <c r="M2053" t="s">
        <v>78</v>
      </c>
      <c r="N2053" t="s">
        <v>372</v>
      </c>
      <c r="O2053" t="s">
        <v>74</v>
      </c>
      <c r="P2053" t="s">
        <v>74</v>
      </c>
      <c r="Q2053" t="s">
        <v>74</v>
      </c>
      <c r="R2053" t="s">
        <v>74</v>
      </c>
      <c r="S2053" t="s">
        <v>74</v>
      </c>
      <c r="T2053" t="s">
        <v>35193</v>
      </c>
      <c r="U2053" t="s">
        <v>35194</v>
      </c>
      <c r="V2053" t="s">
        <v>35195</v>
      </c>
      <c r="W2053" t="s">
        <v>35196</v>
      </c>
      <c r="X2053" t="s">
        <v>35197</v>
      </c>
      <c r="Y2053" t="s">
        <v>35198</v>
      </c>
      <c r="Z2053" t="s">
        <v>74</v>
      </c>
      <c r="AA2053" t="s">
        <v>35199</v>
      </c>
      <c r="AB2053" t="s">
        <v>35200</v>
      </c>
      <c r="AC2053" t="s">
        <v>74</v>
      </c>
      <c r="AD2053" t="s">
        <v>74</v>
      </c>
      <c r="AE2053" t="s">
        <v>74</v>
      </c>
      <c r="AF2053" t="s">
        <v>74</v>
      </c>
      <c r="AG2053">
        <v>85</v>
      </c>
      <c r="AH2053">
        <v>0</v>
      </c>
      <c r="AI2053">
        <v>0</v>
      </c>
      <c r="AJ2053">
        <v>1</v>
      </c>
      <c r="AK2053">
        <v>7</v>
      </c>
      <c r="AL2053" t="s">
        <v>1889</v>
      </c>
      <c r="AM2053" t="s">
        <v>1890</v>
      </c>
      <c r="AN2053" t="s">
        <v>1891</v>
      </c>
      <c r="AO2053" t="s">
        <v>9478</v>
      </c>
      <c r="AP2053" t="s">
        <v>9479</v>
      </c>
      <c r="AQ2053" t="s">
        <v>74</v>
      </c>
      <c r="AR2053" t="s">
        <v>9480</v>
      </c>
      <c r="AS2053" t="s">
        <v>9481</v>
      </c>
      <c r="AT2053" t="s">
        <v>35201</v>
      </c>
      <c r="AU2053">
        <v>2024</v>
      </c>
      <c r="AV2053" t="s">
        <v>74</v>
      </c>
      <c r="AW2053" t="s">
        <v>74</v>
      </c>
      <c r="AX2053" t="s">
        <v>74</v>
      </c>
      <c r="AY2053" t="s">
        <v>74</v>
      </c>
      <c r="AZ2053" t="s">
        <v>74</v>
      </c>
      <c r="BA2053" t="s">
        <v>74</v>
      </c>
      <c r="BB2053" t="s">
        <v>74</v>
      </c>
      <c r="BC2053" t="s">
        <v>74</v>
      </c>
      <c r="BD2053" t="s">
        <v>74</v>
      </c>
      <c r="BE2053" t="s">
        <v>35202</v>
      </c>
      <c r="BF2053" t="str">
        <f>HYPERLINK("http://dx.doi.org/10.1142/S021759082443001X","http://dx.doi.org/10.1142/S021759082443001X")</f>
        <v>http://dx.doi.org/10.1142/S021759082443001X</v>
      </c>
      <c r="BG2053" t="s">
        <v>74</v>
      </c>
      <c r="BH2053" t="s">
        <v>1981</v>
      </c>
      <c r="BI2053">
        <v>30</v>
      </c>
      <c r="BJ2053" t="s">
        <v>291</v>
      </c>
      <c r="BK2053" t="s">
        <v>99</v>
      </c>
      <c r="BL2053" t="s">
        <v>100</v>
      </c>
      <c r="BM2053" t="s">
        <v>35203</v>
      </c>
      <c r="BN2053" t="s">
        <v>74</v>
      </c>
      <c r="BO2053" t="s">
        <v>74</v>
      </c>
      <c r="BP2053" t="s">
        <v>74</v>
      </c>
      <c r="BQ2053" t="s">
        <v>74</v>
      </c>
      <c r="BR2053" t="s">
        <v>102</v>
      </c>
      <c r="BS2053" t="s">
        <v>35204</v>
      </c>
      <c r="BT2053" t="str">
        <f>HYPERLINK("https%3A%2F%2Fwww.webofscience.com%2Fwos%2Fwoscc%2Ffull-record%2FWOS:001180537700001","View Full Record in Web of Science")</f>
        <v>View Full Record in Web of Science</v>
      </c>
    </row>
    <row r="2054" spans="1:72" x14ac:dyDescent="0.25">
      <c r="A2054" t="s">
        <v>72</v>
      </c>
      <c r="B2054" t="s">
        <v>35205</v>
      </c>
      <c r="C2054" t="s">
        <v>74</v>
      </c>
      <c r="D2054" t="s">
        <v>74</v>
      </c>
      <c r="E2054" t="s">
        <v>74</v>
      </c>
      <c r="F2054" t="s">
        <v>35206</v>
      </c>
      <c r="G2054" t="s">
        <v>74</v>
      </c>
      <c r="H2054" t="s">
        <v>74</v>
      </c>
      <c r="I2054" t="s">
        <v>35207</v>
      </c>
      <c r="J2054" t="s">
        <v>35208</v>
      </c>
      <c r="K2054" t="s">
        <v>74</v>
      </c>
      <c r="L2054" t="s">
        <v>74</v>
      </c>
      <c r="M2054" t="s">
        <v>78</v>
      </c>
      <c r="N2054" t="s">
        <v>79</v>
      </c>
      <c r="O2054" t="s">
        <v>74</v>
      </c>
      <c r="P2054" t="s">
        <v>74</v>
      </c>
      <c r="Q2054" t="s">
        <v>74</v>
      </c>
      <c r="R2054" t="s">
        <v>74</v>
      </c>
      <c r="S2054" t="s">
        <v>74</v>
      </c>
      <c r="T2054" t="s">
        <v>35209</v>
      </c>
      <c r="U2054" t="s">
        <v>35210</v>
      </c>
      <c r="V2054" t="s">
        <v>35211</v>
      </c>
      <c r="W2054" t="s">
        <v>35212</v>
      </c>
      <c r="X2054" t="s">
        <v>35213</v>
      </c>
      <c r="Y2054" t="s">
        <v>35214</v>
      </c>
      <c r="Z2054" t="s">
        <v>35215</v>
      </c>
      <c r="AA2054" t="s">
        <v>35216</v>
      </c>
      <c r="AB2054" t="s">
        <v>35217</v>
      </c>
      <c r="AC2054" t="s">
        <v>35218</v>
      </c>
      <c r="AD2054" t="s">
        <v>35219</v>
      </c>
      <c r="AE2054" t="s">
        <v>35220</v>
      </c>
      <c r="AF2054" t="s">
        <v>74</v>
      </c>
      <c r="AG2054">
        <v>51</v>
      </c>
      <c r="AH2054">
        <v>1</v>
      </c>
      <c r="AI2054">
        <v>1</v>
      </c>
      <c r="AJ2054">
        <v>0</v>
      </c>
      <c r="AK2054">
        <v>10</v>
      </c>
      <c r="AL2054" t="s">
        <v>994</v>
      </c>
      <c r="AM2054" t="s">
        <v>995</v>
      </c>
      <c r="AN2054" t="s">
        <v>2061</v>
      </c>
      <c r="AO2054" t="s">
        <v>35221</v>
      </c>
      <c r="AP2054" t="s">
        <v>35222</v>
      </c>
      <c r="AQ2054" t="s">
        <v>74</v>
      </c>
      <c r="AR2054" t="s">
        <v>35223</v>
      </c>
      <c r="AS2054" t="s">
        <v>35224</v>
      </c>
      <c r="AT2054" t="s">
        <v>1540</v>
      </c>
      <c r="AU2054">
        <v>2023</v>
      </c>
      <c r="AV2054">
        <v>43</v>
      </c>
      <c r="AW2054">
        <v>2</v>
      </c>
      <c r="AX2054" t="s">
        <v>74</v>
      </c>
      <c r="AY2054" t="s">
        <v>74</v>
      </c>
      <c r="AZ2054" t="s">
        <v>74</v>
      </c>
      <c r="BA2054" t="s">
        <v>74</v>
      </c>
      <c r="BB2054">
        <v>337</v>
      </c>
      <c r="BC2054">
        <v>358</v>
      </c>
      <c r="BD2054">
        <v>2610183221106923</v>
      </c>
      <c r="BE2054" t="s">
        <v>35225</v>
      </c>
      <c r="BF2054" t="str">
        <f>HYPERLINK("http://dx.doi.org/10.1177/02610183221106923","http://dx.doi.org/10.1177/02610183221106923")</f>
        <v>http://dx.doi.org/10.1177/02610183221106923</v>
      </c>
      <c r="BG2054" t="s">
        <v>74</v>
      </c>
      <c r="BH2054" t="s">
        <v>1802</v>
      </c>
      <c r="BI2054">
        <v>22</v>
      </c>
      <c r="BJ2054" t="s">
        <v>4492</v>
      </c>
      <c r="BK2054" t="s">
        <v>99</v>
      </c>
      <c r="BL2054" t="s">
        <v>4494</v>
      </c>
      <c r="BM2054" t="s">
        <v>35226</v>
      </c>
      <c r="BN2054" t="s">
        <v>74</v>
      </c>
      <c r="BO2054" t="s">
        <v>74</v>
      </c>
      <c r="BP2054" t="s">
        <v>74</v>
      </c>
      <c r="BQ2054" t="s">
        <v>74</v>
      </c>
      <c r="BR2054" t="s">
        <v>102</v>
      </c>
      <c r="BS2054" t="s">
        <v>35227</v>
      </c>
      <c r="BT2054" t="str">
        <f>HYPERLINK("https%3A%2F%2Fwww.webofscience.com%2Fwos%2Fwoscc%2Ffull-record%2FWOS:000814897100001","View Full Record in Web of Science")</f>
        <v>View Full Record in Web of Science</v>
      </c>
    </row>
    <row r="2055" spans="1:72" x14ac:dyDescent="0.25">
      <c r="A2055" t="s">
        <v>72</v>
      </c>
      <c r="B2055" t="s">
        <v>35228</v>
      </c>
      <c r="C2055" t="s">
        <v>74</v>
      </c>
      <c r="D2055" t="s">
        <v>74</v>
      </c>
      <c r="E2055" t="s">
        <v>74</v>
      </c>
      <c r="F2055" t="s">
        <v>35229</v>
      </c>
      <c r="G2055" t="s">
        <v>74</v>
      </c>
      <c r="H2055" t="s">
        <v>74</v>
      </c>
      <c r="I2055" t="s">
        <v>35230</v>
      </c>
      <c r="J2055" t="s">
        <v>3439</v>
      </c>
      <c r="K2055" t="s">
        <v>74</v>
      </c>
      <c r="L2055" t="s">
        <v>74</v>
      </c>
      <c r="M2055" t="s">
        <v>78</v>
      </c>
      <c r="N2055" t="s">
        <v>79</v>
      </c>
      <c r="O2055" t="s">
        <v>74</v>
      </c>
      <c r="P2055" t="s">
        <v>74</v>
      </c>
      <c r="Q2055" t="s">
        <v>74</v>
      </c>
      <c r="R2055" t="s">
        <v>74</v>
      </c>
      <c r="S2055" t="s">
        <v>74</v>
      </c>
      <c r="T2055" t="s">
        <v>35231</v>
      </c>
      <c r="U2055" t="s">
        <v>35232</v>
      </c>
      <c r="V2055" t="s">
        <v>35233</v>
      </c>
      <c r="W2055" t="s">
        <v>35234</v>
      </c>
      <c r="X2055" t="s">
        <v>35235</v>
      </c>
      <c r="Y2055" t="s">
        <v>35236</v>
      </c>
      <c r="Z2055" t="s">
        <v>35237</v>
      </c>
      <c r="AA2055" t="s">
        <v>35238</v>
      </c>
      <c r="AB2055" t="s">
        <v>35239</v>
      </c>
      <c r="AC2055" t="s">
        <v>74</v>
      </c>
      <c r="AD2055" t="s">
        <v>74</v>
      </c>
      <c r="AE2055" t="s">
        <v>74</v>
      </c>
      <c r="AF2055" t="s">
        <v>74</v>
      </c>
      <c r="AG2055">
        <v>38</v>
      </c>
      <c r="AH2055">
        <v>2</v>
      </c>
      <c r="AI2055">
        <v>2</v>
      </c>
      <c r="AJ2055">
        <v>0</v>
      </c>
      <c r="AK2055">
        <v>1</v>
      </c>
      <c r="AL2055" t="s">
        <v>2481</v>
      </c>
      <c r="AM2055" t="s">
        <v>2482</v>
      </c>
      <c r="AN2055" t="s">
        <v>2483</v>
      </c>
      <c r="AO2055" t="s">
        <v>3443</v>
      </c>
      <c r="AP2055" t="s">
        <v>74</v>
      </c>
      <c r="AQ2055" t="s">
        <v>74</v>
      </c>
      <c r="AR2055" t="s">
        <v>3444</v>
      </c>
      <c r="AS2055" t="s">
        <v>3445</v>
      </c>
      <c r="AT2055" t="s">
        <v>33921</v>
      </c>
      <c r="AU2055">
        <v>2023</v>
      </c>
      <c r="AV2055">
        <v>11</v>
      </c>
      <c r="AW2055">
        <v>2</v>
      </c>
      <c r="AX2055" t="s">
        <v>74</v>
      </c>
      <c r="AY2055" t="s">
        <v>74</v>
      </c>
      <c r="AZ2055" t="s">
        <v>74</v>
      </c>
      <c r="BA2055" t="s">
        <v>74</v>
      </c>
      <c r="BB2055" t="s">
        <v>74</v>
      </c>
      <c r="BC2055" t="s">
        <v>74</v>
      </c>
      <c r="BD2055">
        <v>2223416</v>
      </c>
      <c r="BE2055" t="s">
        <v>35240</v>
      </c>
      <c r="BF2055" t="str">
        <f>HYPERLINK("http://dx.doi.org/10.1080/23322039.2023.2223416","http://dx.doi.org/10.1080/23322039.2023.2223416")</f>
        <v>http://dx.doi.org/10.1080/23322039.2023.2223416</v>
      </c>
      <c r="BG2055" t="s">
        <v>74</v>
      </c>
      <c r="BH2055" t="s">
        <v>74</v>
      </c>
      <c r="BI2055">
        <v>11</v>
      </c>
      <c r="BJ2055" t="s">
        <v>291</v>
      </c>
      <c r="BK2055" t="s">
        <v>313</v>
      </c>
      <c r="BL2055" t="s">
        <v>100</v>
      </c>
      <c r="BM2055" t="s">
        <v>35241</v>
      </c>
      <c r="BN2055" t="s">
        <v>74</v>
      </c>
      <c r="BO2055" t="s">
        <v>916</v>
      </c>
      <c r="BP2055" t="s">
        <v>74</v>
      </c>
      <c r="BQ2055" t="s">
        <v>74</v>
      </c>
      <c r="BR2055" t="s">
        <v>102</v>
      </c>
      <c r="BS2055" t="s">
        <v>35242</v>
      </c>
      <c r="BT2055" t="str">
        <f>HYPERLINK("https%3A%2F%2Fwww.webofscience.com%2Fwos%2Fwoscc%2Ffull-record%2FWOS:001028199200001","View Full Record in Web of Science")</f>
        <v>View Full Record in Web of Science</v>
      </c>
    </row>
    <row r="2056" spans="1:72" x14ac:dyDescent="0.25">
      <c r="A2056" t="s">
        <v>72</v>
      </c>
      <c r="B2056" t="s">
        <v>35243</v>
      </c>
      <c r="C2056" t="s">
        <v>74</v>
      </c>
      <c r="D2056" t="s">
        <v>74</v>
      </c>
      <c r="E2056" t="s">
        <v>74</v>
      </c>
      <c r="F2056" t="s">
        <v>35244</v>
      </c>
      <c r="G2056" t="s">
        <v>74</v>
      </c>
      <c r="H2056" t="s">
        <v>74</v>
      </c>
      <c r="I2056" t="s">
        <v>35245</v>
      </c>
      <c r="J2056" t="s">
        <v>35246</v>
      </c>
      <c r="K2056" t="s">
        <v>74</v>
      </c>
      <c r="L2056" t="s">
        <v>74</v>
      </c>
      <c r="M2056" t="s">
        <v>78</v>
      </c>
      <c r="N2056" t="s">
        <v>1766</v>
      </c>
      <c r="O2056" t="s">
        <v>74</v>
      </c>
      <c r="P2056" t="s">
        <v>74</v>
      </c>
      <c r="Q2056" t="s">
        <v>74</v>
      </c>
      <c r="R2056" t="s">
        <v>74</v>
      </c>
      <c r="S2056" t="s">
        <v>74</v>
      </c>
      <c r="T2056" t="s">
        <v>35247</v>
      </c>
      <c r="U2056" t="s">
        <v>35248</v>
      </c>
      <c r="V2056" t="s">
        <v>35249</v>
      </c>
      <c r="W2056" t="s">
        <v>35250</v>
      </c>
      <c r="X2056" t="s">
        <v>35251</v>
      </c>
      <c r="Y2056" t="s">
        <v>35252</v>
      </c>
      <c r="Z2056" t="s">
        <v>35253</v>
      </c>
      <c r="AA2056" t="s">
        <v>35254</v>
      </c>
      <c r="AB2056" t="s">
        <v>35255</v>
      </c>
      <c r="AC2056" t="s">
        <v>35256</v>
      </c>
      <c r="AD2056" t="s">
        <v>35256</v>
      </c>
      <c r="AE2056" t="s">
        <v>35257</v>
      </c>
      <c r="AF2056" t="s">
        <v>74</v>
      </c>
      <c r="AG2056">
        <v>35</v>
      </c>
      <c r="AH2056">
        <v>4</v>
      </c>
      <c r="AI2056">
        <v>5</v>
      </c>
      <c r="AJ2056">
        <v>1</v>
      </c>
      <c r="AK2056">
        <v>25</v>
      </c>
      <c r="AL2056" t="s">
        <v>332</v>
      </c>
      <c r="AM2056" t="s">
        <v>333</v>
      </c>
      <c r="AN2056" t="s">
        <v>334</v>
      </c>
      <c r="AO2056" t="s">
        <v>35258</v>
      </c>
      <c r="AP2056" t="s">
        <v>35259</v>
      </c>
      <c r="AQ2056" t="s">
        <v>74</v>
      </c>
      <c r="AR2056" t="s">
        <v>35260</v>
      </c>
      <c r="AS2056" t="s">
        <v>35261</v>
      </c>
      <c r="AT2056" t="s">
        <v>936</v>
      </c>
      <c r="AU2056">
        <v>2024</v>
      </c>
      <c r="AV2056">
        <v>27</v>
      </c>
      <c r="AW2056">
        <v>3</v>
      </c>
      <c r="AX2056" t="s">
        <v>74</v>
      </c>
      <c r="AY2056" t="s">
        <v>74</v>
      </c>
      <c r="AZ2056" t="s">
        <v>74</v>
      </c>
      <c r="BA2056" t="s">
        <v>74</v>
      </c>
      <c r="BB2056">
        <v>505</v>
      </c>
      <c r="BC2056">
        <v>518</v>
      </c>
      <c r="BD2056" t="s">
        <v>74</v>
      </c>
      <c r="BE2056" t="s">
        <v>35262</v>
      </c>
      <c r="BF2056" t="str">
        <f>HYPERLINK("http://dx.doi.org/10.1080/13691457.2023.2236326","http://dx.doi.org/10.1080/13691457.2023.2236326")</f>
        <v>http://dx.doi.org/10.1080/13691457.2023.2236326</v>
      </c>
      <c r="BG2056" t="s">
        <v>74</v>
      </c>
      <c r="BH2056" t="s">
        <v>700</v>
      </c>
      <c r="BI2056">
        <v>14</v>
      </c>
      <c r="BJ2056" t="s">
        <v>2045</v>
      </c>
      <c r="BK2056" t="s">
        <v>99</v>
      </c>
      <c r="BL2056" t="s">
        <v>2045</v>
      </c>
      <c r="BM2056" t="s">
        <v>35263</v>
      </c>
      <c r="BN2056" t="s">
        <v>74</v>
      </c>
      <c r="BO2056" t="s">
        <v>270</v>
      </c>
      <c r="BP2056" t="s">
        <v>74</v>
      </c>
      <c r="BQ2056" t="s">
        <v>74</v>
      </c>
      <c r="BR2056" t="s">
        <v>102</v>
      </c>
      <c r="BS2056" t="s">
        <v>35264</v>
      </c>
      <c r="BT2056" t="str">
        <f>HYPERLINK("https%3A%2F%2Fwww.webofscience.com%2Fwos%2Fwoscc%2Ffull-record%2FWOS:001037350300001","View Full Record in Web of Science")</f>
        <v>View Full Record in Web of Science</v>
      </c>
    </row>
    <row r="2057" spans="1:72" x14ac:dyDescent="0.25">
      <c r="A2057" t="s">
        <v>72</v>
      </c>
      <c r="B2057" t="s">
        <v>35265</v>
      </c>
      <c r="C2057" t="s">
        <v>74</v>
      </c>
      <c r="D2057" t="s">
        <v>74</v>
      </c>
      <c r="E2057" t="s">
        <v>74</v>
      </c>
      <c r="F2057" t="s">
        <v>35266</v>
      </c>
      <c r="G2057" t="s">
        <v>74</v>
      </c>
      <c r="H2057" t="s">
        <v>74</v>
      </c>
      <c r="I2057" t="s">
        <v>35267</v>
      </c>
      <c r="J2057" t="s">
        <v>8087</v>
      </c>
      <c r="K2057" t="s">
        <v>74</v>
      </c>
      <c r="L2057" t="s">
        <v>74</v>
      </c>
      <c r="M2057" t="s">
        <v>78</v>
      </c>
      <c r="N2057" t="s">
        <v>79</v>
      </c>
      <c r="O2057" t="s">
        <v>74</v>
      </c>
      <c r="P2057" t="s">
        <v>74</v>
      </c>
      <c r="Q2057" t="s">
        <v>74</v>
      </c>
      <c r="R2057" t="s">
        <v>74</v>
      </c>
      <c r="S2057" t="s">
        <v>74</v>
      </c>
      <c r="T2057" t="s">
        <v>35268</v>
      </c>
      <c r="U2057" t="s">
        <v>35269</v>
      </c>
      <c r="V2057" t="s">
        <v>35270</v>
      </c>
      <c r="W2057" t="s">
        <v>35271</v>
      </c>
      <c r="X2057" t="s">
        <v>35272</v>
      </c>
      <c r="Y2057" t="s">
        <v>35273</v>
      </c>
      <c r="Z2057" t="s">
        <v>35274</v>
      </c>
      <c r="AA2057" t="s">
        <v>74</v>
      </c>
      <c r="AB2057" t="s">
        <v>35275</v>
      </c>
      <c r="AC2057" t="s">
        <v>74</v>
      </c>
      <c r="AD2057" t="s">
        <v>74</v>
      </c>
      <c r="AE2057" t="s">
        <v>74</v>
      </c>
      <c r="AF2057" t="s">
        <v>74</v>
      </c>
      <c r="AG2057">
        <v>64</v>
      </c>
      <c r="AH2057">
        <v>5</v>
      </c>
      <c r="AI2057">
        <v>11</v>
      </c>
      <c r="AJ2057">
        <v>0</v>
      </c>
      <c r="AK2057">
        <v>35</v>
      </c>
      <c r="AL2057" t="s">
        <v>479</v>
      </c>
      <c r="AM2057" t="s">
        <v>480</v>
      </c>
      <c r="AN2057" t="s">
        <v>481</v>
      </c>
      <c r="AO2057" t="s">
        <v>8097</v>
      </c>
      <c r="AP2057" t="s">
        <v>8098</v>
      </c>
      <c r="AQ2057" t="s">
        <v>74</v>
      </c>
      <c r="AR2057" t="s">
        <v>8099</v>
      </c>
      <c r="AS2057" t="s">
        <v>8100</v>
      </c>
      <c r="AT2057" t="s">
        <v>605</v>
      </c>
      <c r="AU2057">
        <v>2014</v>
      </c>
      <c r="AV2057">
        <v>38</v>
      </c>
      <c r="AW2057">
        <v>2</v>
      </c>
      <c r="AX2057" t="s">
        <v>74</v>
      </c>
      <c r="AY2057" t="s">
        <v>74</v>
      </c>
      <c r="AZ2057" t="s">
        <v>74</v>
      </c>
      <c r="BA2057" t="s">
        <v>74</v>
      </c>
      <c r="BB2057">
        <v>192</v>
      </c>
      <c r="BC2057">
        <v>199</v>
      </c>
      <c r="BD2057" t="s">
        <v>74</v>
      </c>
      <c r="BE2057" t="s">
        <v>35276</v>
      </c>
      <c r="BF2057" t="str">
        <f>HYPERLINK("http://dx.doi.org/10.1111/ijcs.12082","http://dx.doi.org/10.1111/ijcs.12082")</f>
        <v>http://dx.doi.org/10.1111/ijcs.12082</v>
      </c>
      <c r="BG2057" t="s">
        <v>74</v>
      </c>
      <c r="BH2057" t="s">
        <v>74</v>
      </c>
      <c r="BI2057">
        <v>8</v>
      </c>
      <c r="BJ2057" t="s">
        <v>418</v>
      </c>
      <c r="BK2057" t="s">
        <v>99</v>
      </c>
      <c r="BL2057" t="s">
        <v>100</v>
      </c>
      <c r="BM2057" t="s">
        <v>35277</v>
      </c>
      <c r="BN2057" t="s">
        <v>74</v>
      </c>
      <c r="BO2057" t="s">
        <v>74</v>
      </c>
      <c r="BP2057" t="s">
        <v>74</v>
      </c>
      <c r="BQ2057" t="s">
        <v>74</v>
      </c>
      <c r="BR2057" t="s">
        <v>102</v>
      </c>
      <c r="BS2057" t="s">
        <v>35278</v>
      </c>
      <c r="BT2057" t="str">
        <f>HYPERLINK("https%3A%2F%2Fwww.webofscience.com%2Fwos%2Fwoscc%2Ffull-record%2FWOS:000331452400008","View Full Record in Web of Science")</f>
        <v>View Full Record in Web of Science</v>
      </c>
    </row>
    <row r="2058" spans="1:72" x14ac:dyDescent="0.25">
      <c r="A2058" t="s">
        <v>72</v>
      </c>
      <c r="B2058" t="s">
        <v>11071</v>
      </c>
      <c r="C2058" t="s">
        <v>74</v>
      </c>
      <c r="D2058" t="s">
        <v>74</v>
      </c>
      <c r="E2058" t="s">
        <v>74</v>
      </c>
      <c r="F2058" t="s">
        <v>11072</v>
      </c>
      <c r="G2058" t="s">
        <v>74</v>
      </c>
      <c r="H2058" t="s">
        <v>74</v>
      </c>
      <c r="I2058" t="s">
        <v>35279</v>
      </c>
      <c r="J2058" t="s">
        <v>4638</v>
      </c>
      <c r="K2058" t="s">
        <v>74</v>
      </c>
      <c r="L2058" t="s">
        <v>74</v>
      </c>
      <c r="M2058" t="s">
        <v>78</v>
      </c>
      <c r="N2058" t="s">
        <v>1766</v>
      </c>
      <c r="O2058" t="s">
        <v>74</v>
      </c>
      <c r="P2058" t="s">
        <v>74</v>
      </c>
      <c r="Q2058" t="s">
        <v>74</v>
      </c>
      <c r="R2058" t="s">
        <v>74</v>
      </c>
      <c r="S2058" t="s">
        <v>74</v>
      </c>
      <c r="T2058" t="s">
        <v>35280</v>
      </c>
      <c r="U2058" t="s">
        <v>35281</v>
      </c>
      <c r="V2058" t="s">
        <v>35282</v>
      </c>
      <c r="W2058" t="s">
        <v>35283</v>
      </c>
      <c r="X2058" t="s">
        <v>11079</v>
      </c>
      <c r="Y2058" t="s">
        <v>35284</v>
      </c>
      <c r="Z2058" t="s">
        <v>74</v>
      </c>
      <c r="AA2058" t="s">
        <v>12018</v>
      </c>
      <c r="AB2058" t="s">
        <v>12019</v>
      </c>
      <c r="AC2058" t="s">
        <v>74</v>
      </c>
      <c r="AD2058" t="s">
        <v>74</v>
      </c>
      <c r="AE2058" t="s">
        <v>74</v>
      </c>
      <c r="AF2058" t="s">
        <v>74</v>
      </c>
      <c r="AG2058">
        <v>78</v>
      </c>
      <c r="AH2058">
        <v>227</v>
      </c>
      <c r="AI2058">
        <v>332</v>
      </c>
      <c r="AJ2058">
        <v>12</v>
      </c>
      <c r="AK2058">
        <v>277</v>
      </c>
      <c r="AL2058" t="s">
        <v>332</v>
      </c>
      <c r="AM2058" t="s">
        <v>333</v>
      </c>
      <c r="AN2058" t="s">
        <v>334</v>
      </c>
      <c r="AO2058" t="s">
        <v>4646</v>
      </c>
      <c r="AP2058" t="s">
        <v>4647</v>
      </c>
      <c r="AQ2058" t="s">
        <v>74</v>
      </c>
      <c r="AR2058" t="s">
        <v>4648</v>
      </c>
      <c r="AS2058" t="s">
        <v>4649</v>
      </c>
      <c r="AT2058" t="s">
        <v>5028</v>
      </c>
      <c r="AU2058">
        <v>2021</v>
      </c>
      <c r="AV2058">
        <v>50</v>
      </c>
      <c r="AW2058">
        <v>4</v>
      </c>
      <c r="AX2058" t="s">
        <v>74</v>
      </c>
      <c r="AY2058" t="s">
        <v>74</v>
      </c>
      <c r="AZ2058" t="s">
        <v>74</v>
      </c>
      <c r="BA2058" t="s">
        <v>74</v>
      </c>
      <c r="BB2058">
        <v>457</v>
      </c>
      <c r="BC2058">
        <v>479</v>
      </c>
      <c r="BD2058" t="s">
        <v>74</v>
      </c>
      <c r="BE2058" t="s">
        <v>35285</v>
      </c>
      <c r="BF2058" t="str">
        <f>HYPERLINK("http://dx.doi.org/10.1080/07360932.2020.1715238","http://dx.doi.org/10.1080/07360932.2020.1715238")</f>
        <v>http://dx.doi.org/10.1080/07360932.2020.1715238</v>
      </c>
      <c r="BG2058" t="s">
        <v>74</v>
      </c>
      <c r="BH2058" t="s">
        <v>9265</v>
      </c>
      <c r="BI2058">
        <v>23</v>
      </c>
      <c r="BJ2058" t="s">
        <v>291</v>
      </c>
      <c r="BK2058" t="s">
        <v>313</v>
      </c>
      <c r="BL2058" t="s">
        <v>100</v>
      </c>
      <c r="BM2058" t="s">
        <v>35286</v>
      </c>
      <c r="BN2058" t="s">
        <v>74</v>
      </c>
      <c r="BO2058" t="s">
        <v>74</v>
      </c>
      <c r="BP2058" t="s">
        <v>74</v>
      </c>
      <c r="BQ2058" t="s">
        <v>74</v>
      </c>
      <c r="BR2058" t="s">
        <v>102</v>
      </c>
      <c r="BS2058" t="s">
        <v>35287</v>
      </c>
      <c r="BT2058" t="str">
        <f>HYPERLINK("https%3A%2F%2Fwww.webofscience.com%2Fwos%2Fwoscc%2Ffull-record%2FWOS:000509326400001","View Full Record in Web of Science")</f>
        <v>View Full Record in Web of Science</v>
      </c>
    </row>
    <row r="2059" spans="1:72" x14ac:dyDescent="0.25">
      <c r="A2059" t="s">
        <v>72</v>
      </c>
      <c r="B2059" t="s">
        <v>35288</v>
      </c>
      <c r="C2059" t="s">
        <v>74</v>
      </c>
      <c r="D2059" t="s">
        <v>74</v>
      </c>
      <c r="E2059" t="s">
        <v>74</v>
      </c>
      <c r="F2059" t="s">
        <v>35289</v>
      </c>
      <c r="G2059" t="s">
        <v>74</v>
      </c>
      <c r="H2059" t="s">
        <v>74</v>
      </c>
      <c r="I2059" t="s">
        <v>35290</v>
      </c>
      <c r="J2059" t="s">
        <v>13601</v>
      </c>
      <c r="K2059" t="s">
        <v>74</v>
      </c>
      <c r="L2059" t="s">
        <v>74</v>
      </c>
      <c r="M2059" t="s">
        <v>78</v>
      </c>
      <c r="N2059" t="s">
        <v>1766</v>
      </c>
      <c r="O2059" t="s">
        <v>74</v>
      </c>
      <c r="P2059" t="s">
        <v>74</v>
      </c>
      <c r="Q2059" t="s">
        <v>74</v>
      </c>
      <c r="R2059" t="s">
        <v>74</v>
      </c>
      <c r="S2059" t="s">
        <v>74</v>
      </c>
      <c r="T2059" t="s">
        <v>35291</v>
      </c>
      <c r="U2059" t="s">
        <v>35292</v>
      </c>
      <c r="V2059" t="s">
        <v>35293</v>
      </c>
      <c r="W2059" t="s">
        <v>35294</v>
      </c>
      <c r="X2059" t="s">
        <v>35295</v>
      </c>
      <c r="Y2059" t="s">
        <v>35296</v>
      </c>
      <c r="Z2059" t="s">
        <v>12730</v>
      </c>
      <c r="AA2059" t="s">
        <v>35297</v>
      </c>
      <c r="AB2059" t="s">
        <v>74</v>
      </c>
      <c r="AC2059" t="s">
        <v>74</v>
      </c>
      <c r="AD2059" t="s">
        <v>74</v>
      </c>
      <c r="AE2059" t="s">
        <v>74</v>
      </c>
      <c r="AF2059" t="s">
        <v>74</v>
      </c>
      <c r="AG2059">
        <v>82</v>
      </c>
      <c r="AH2059">
        <v>0</v>
      </c>
      <c r="AI2059">
        <v>0</v>
      </c>
      <c r="AJ2059">
        <v>0</v>
      </c>
      <c r="AK2059">
        <v>0</v>
      </c>
      <c r="AL2059" t="s">
        <v>21649</v>
      </c>
      <c r="AM2059" t="s">
        <v>21648</v>
      </c>
      <c r="AN2059" t="s">
        <v>21647</v>
      </c>
      <c r="AO2059" t="s">
        <v>13608</v>
      </c>
      <c r="AP2059" t="s">
        <v>74</v>
      </c>
      <c r="AQ2059" t="s">
        <v>74</v>
      </c>
      <c r="AR2059" t="s">
        <v>13609</v>
      </c>
      <c r="AS2059" t="s">
        <v>13610</v>
      </c>
      <c r="AT2059" t="s">
        <v>4611</v>
      </c>
      <c r="AU2059">
        <v>2024</v>
      </c>
      <c r="AV2059">
        <v>14</v>
      </c>
      <c r="AW2059">
        <v>2</v>
      </c>
      <c r="AX2059" t="s">
        <v>74</v>
      </c>
      <c r="AY2059" t="s">
        <v>74</v>
      </c>
      <c r="AZ2059" t="s">
        <v>74</v>
      </c>
      <c r="BA2059" t="s">
        <v>74</v>
      </c>
      <c r="BB2059">
        <v>21</v>
      </c>
      <c r="BC2059">
        <v>54</v>
      </c>
      <c r="BD2059" t="s">
        <v>74</v>
      </c>
      <c r="BE2059" t="s">
        <v>74</v>
      </c>
      <c r="BF2059" t="s">
        <v>74</v>
      </c>
      <c r="BG2059" t="s">
        <v>74</v>
      </c>
      <c r="BH2059" t="s">
        <v>74</v>
      </c>
      <c r="BI2059">
        <v>34</v>
      </c>
      <c r="BJ2059" t="s">
        <v>268</v>
      </c>
      <c r="BK2059" t="s">
        <v>313</v>
      </c>
      <c r="BL2059" t="s">
        <v>100</v>
      </c>
      <c r="BM2059" t="s">
        <v>27501</v>
      </c>
      <c r="BN2059" t="s">
        <v>74</v>
      </c>
      <c r="BO2059" t="s">
        <v>74</v>
      </c>
      <c r="BP2059" t="s">
        <v>74</v>
      </c>
      <c r="BQ2059" t="s">
        <v>74</v>
      </c>
      <c r="BR2059" t="s">
        <v>102</v>
      </c>
      <c r="BS2059" t="s">
        <v>35298</v>
      </c>
      <c r="BT2059" t="str">
        <f>HYPERLINK("https%3A%2F%2Fwww.webofscience.com%2Fwos%2Fwoscc%2Ffull-record%2FWOS:001412689600002","View Full Record in Web of Science")</f>
        <v>View Full Record in Web of Science</v>
      </c>
    </row>
    <row r="2060" spans="1:72" x14ac:dyDescent="0.25">
      <c r="A2060" t="s">
        <v>72</v>
      </c>
      <c r="B2060" t="s">
        <v>35299</v>
      </c>
      <c r="C2060" t="s">
        <v>74</v>
      </c>
      <c r="D2060" t="s">
        <v>74</v>
      </c>
      <c r="E2060" t="s">
        <v>74</v>
      </c>
      <c r="F2060" t="s">
        <v>35300</v>
      </c>
      <c r="G2060" t="s">
        <v>74</v>
      </c>
      <c r="H2060" t="s">
        <v>74</v>
      </c>
      <c r="I2060" t="s">
        <v>35301</v>
      </c>
      <c r="J2060" t="s">
        <v>4618</v>
      </c>
      <c r="K2060" t="s">
        <v>74</v>
      </c>
      <c r="L2060" t="s">
        <v>74</v>
      </c>
      <c r="M2060" t="s">
        <v>78</v>
      </c>
      <c r="N2060" t="s">
        <v>79</v>
      </c>
      <c r="O2060" t="s">
        <v>74</v>
      </c>
      <c r="P2060" t="s">
        <v>74</v>
      </c>
      <c r="Q2060" t="s">
        <v>74</v>
      </c>
      <c r="R2060" t="s">
        <v>74</v>
      </c>
      <c r="S2060" t="s">
        <v>74</v>
      </c>
      <c r="T2060" t="s">
        <v>35302</v>
      </c>
      <c r="U2060" t="s">
        <v>4348</v>
      </c>
      <c r="V2060" t="s">
        <v>35303</v>
      </c>
      <c r="W2060" t="s">
        <v>35304</v>
      </c>
      <c r="X2060" t="s">
        <v>35305</v>
      </c>
      <c r="Y2060" t="s">
        <v>35306</v>
      </c>
      <c r="Z2060" t="s">
        <v>35307</v>
      </c>
      <c r="AA2060" t="s">
        <v>35308</v>
      </c>
      <c r="AB2060" t="s">
        <v>74</v>
      </c>
      <c r="AC2060" t="s">
        <v>74</v>
      </c>
      <c r="AD2060" t="s">
        <v>74</v>
      </c>
      <c r="AE2060" t="s">
        <v>74</v>
      </c>
      <c r="AF2060" t="s">
        <v>74</v>
      </c>
      <c r="AG2060">
        <v>62</v>
      </c>
      <c r="AH2060">
        <v>2</v>
      </c>
      <c r="AI2060">
        <v>2</v>
      </c>
      <c r="AJ2060">
        <v>5</v>
      </c>
      <c r="AK2060">
        <v>18</v>
      </c>
      <c r="AL2060" t="s">
        <v>89</v>
      </c>
      <c r="AM2060" t="s">
        <v>90</v>
      </c>
      <c r="AN2060" t="s">
        <v>91</v>
      </c>
      <c r="AO2060" t="s">
        <v>4627</v>
      </c>
      <c r="AP2060" t="s">
        <v>4628</v>
      </c>
      <c r="AQ2060" t="s">
        <v>74</v>
      </c>
      <c r="AR2060" t="s">
        <v>4629</v>
      </c>
      <c r="AS2060" t="s">
        <v>4630</v>
      </c>
      <c r="AT2060" t="s">
        <v>74</v>
      </c>
      <c r="AU2060">
        <v>2024</v>
      </c>
      <c r="AV2060">
        <v>17</v>
      </c>
      <c r="AW2060">
        <v>4</v>
      </c>
      <c r="AX2060" t="s">
        <v>74</v>
      </c>
      <c r="AY2060" t="s">
        <v>74</v>
      </c>
      <c r="AZ2060" t="s">
        <v>74</v>
      </c>
      <c r="BA2060" t="s">
        <v>74</v>
      </c>
      <c r="BB2060">
        <v>730</v>
      </c>
      <c r="BC2060">
        <v>745</v>
      </c>
      <c r="BD2060" t="s">
        <v>74</v>
      </c>
      <c r="BE2060" t="s">
        <v>35309</v>
      </c>
      <c r="BF2060" t="str">
        <f>HYPERLINK("http://dx.doi.org/10.1108/IMEFM-04-2024-0195","http://dx.doi.org/10.1108/IMEFM-04-2024-0195")</f>
        <v>http://dx.doi.org/10.1108/IMEFM-04-2024-0195</v>
      </c>
      <c r="BG2060" t="s">
        <v>74</v>
      </c>
      <c r="BH2060" t="s">
        <v>2524</v>
      </c>
      <c r="BI2060">
        <v>16</v>
      </c>
      <c r="BJ2060" t="s">
        <v>4632</v>
      </c>
      <c r="BK2060" t="s">
        <v>99</v>
      </c>
      <c r="BL2060" t="s">
        <v>100</v>
      </c>
      <c r="BM2060" t="s">
        <v>35310</v>
      </c>
      <c r="BN2060" t="s">
        <v>74</v>
      </c>
      <c r="BO2060" t="s">
        <v>212</v>
      </c>
      <c r="BP2060" t="s">
        <v>74</v>
      </c>
      <c r="BQ2060" t="s">
        <v>74</v>
      </c>
      <c r="BR2060" t="s">
        <v>102</v>
      </c>
      <c r="BS2060" t="s">
        <v>35311</v>
      </c>
      <c r="BT2060" t="str">
        <f>HYPERLINK("https%3A%2F%2Fwww.webofscience.com%2Fwos%2Fwoscc%2Ffull-record%2FWOS:001264231100001","View Full Record in Web of Science")</f>
        <v>View Full Record in Web of Science</v>
      </c>
    </row>
    <row r="2061" spans="1:72" x14ac:dyDescent="0.25">
      <c r="A2061" t="s">
        <v>72</v>
      </c>
      <c r="B2061" t="s">
        <v>35312</v>
      </c>
      <c r="C2061" t="s">
        <v>74</v>
      </c>
      <c r="D2061" t="s">
        <v>74</v>
      </c>
      <c r="E2061" t="s">
        <v>74</v>
      </c>
      <c r="F2061" t="s">
        <v>35313</v>
      </c>
      <c r="G2061" t="s">
        <v>74</v>
      </c>
      <c r="H2061" t="s">
        <v>74</v>
      </c>
      <c r="I2061" t="s">
        <v>35314</v>
      </c>
      <c r="J2061" t="s">
        <v>7119</v>
      </c>
      <c r="K2061" t="s">
        <v>74</v>
      </c>
      <c r="L2061" t="s">
        <v>74</v>
      </c>
      <c r="M2061" t="s">
        <v>78</v>
      </c>
      <c r="N2061" t="s">
        <v>79</v>
      </c>
      <c r="O2061" t="s">
        <v>74</v>
      </c>
      <c r="P2061" t="s">
        <v>74</v>
      </c>
      <c r="Q2061" t="s">
        <v>74</v>
      </c>
      <c r="R2061" t="s">
        <v>74</v>
      </c>
      <c r="S2061" t="s">
        <v>74</v>
      </c>
      <c r="T2061" t="s">
        <v>35315</v>
      </c>
      <c r="U2061" t="s">
        <v>35316</v>
      </c>
      <c r="V2061" t="s">
        <v>35317</v>
      </c>
      <c r="W2061" t="s">
        <v>35318</v>
      </c>
      <c r="X2061" t="s">
        <v>2476</v>
      </c>
      <c r="Y2061" t="s">
        <v>35319</v>
      </c>
      <c r="Z2061" t="s">
        <v>35320</v>
      </c>
      <c r="AA2061" t="s">
        <v>35321</v>
      </c>
      <c r="AB2061" t="s">
        <v>35322</v>
      </c>
      <c r="AC2061" t="s">
        <v>74</v>
      </c>
      <c r="AD2061" t="s">
        <v>74</v>
      </c>
      <c r="AE2061" t="s">
        <v>74</v>
      </c>
      <c r="AF2061" t="s">
        <v>74</v>
      </c>
      <c r="AG2061">
        <v>44</v>
      </c>
      <c r="AH2061">
        <v>13</v>
      </c>
      <c r="AI2061">
        <v>14</v>
      </c>
      <c r="AJ2061">
        <v>1</v>
      </c>
      <c r="AK2061">
        <v>26</v>
      </c>
      <c r="AL2061" t="s">
        <v>89</v>
      </c>
      <c r="AM2061" t="s">
        <v>1497</v>
      </c>
      <c r="AN2061" t="s">
        <v>1498</v>
      </c>
      <c r="AO2061" t="s">
        <v>7128</v>
      </c>
      <c r="AP2061" t="s">
        <v>74</v>
      </c>
      <c r="AQ2061" t="s">
        <v>74</v>
      </c>
      <c r="AR2061" t="s">
        <v>7129</v>
      </c>
      <c r="AS2061" t="s">
        <v>7130</v>
      </c>
      <c r="AT2061" t="s">
        <v>74</v>
      </c>
      <c r="AU2061">
        <v>2020</v>
      </c>
      <c r="AV2061">
        <v>12</v>
      </c>
      <c r="AW2061">
        <v>2</v>
      </c>
      <c r="AX2061" t="s">
        <v>74</v>
      </c>
      <c r="AY2061" t="s">
        <v>74</v>
      </c>
      <c r="AZ2061" t="s">
        <v>74</v>
      </c>
      <c r="BA2061" t="s">
        <v>74</v>
      </c>
      <c r="BB2061">
        <v>225</v>
      </c>
      <c r="BC2061">
        <v>242</v>
      </c>
      <c r="BD2061" t="s">
        <v>74</v>
      </c>
      <c r="BE2061" t="s">
        <v>35323</v>
      </c>
      <c r="BF2061" t="str">
        <f>HYPERLINK("http://dx.doi.org/10.1108/QRFM-02-2019-0024","http://dx.doi.org/10.1108/QRFM-02-2019-0024")</f>
        <v>http://dx.doi.org/10.1108/QRFM-02-2019-0024</v>
      </c>
      <c r="BG2061" t="s">
        <v>74</v>
      </c>
      <c r="BH2061" t="s">
        <v>74</v>
      </c>
      <c r="BI2061">
        <v>18</v>
      </c>
      <c r="BJ2061" t="s">
        <v>268</v>
      </c>
      <c r="BK2061" t="s">
        <v>313</v>
      </c>
      <c r="BL2061" t="s">
        <v>100</v>
      </c>
      <c r="BM2061" t="s">
        <v>35324</v>
      </c>
      <c r="BN2061" t="s">
        <v>74</v>
      </c>
      <c r="BO2061" t="s">
        <v>74</v>
      </c>
      <c r="BP2061" t="s">
        <v>74</v>
      </c>
      <c r="BQ2061" t="s">
        <v>74</v>
      </c>
      <c r="BR2061" t="s">
        <v>102</v>
      </c>
      <c r="BS2061" t="s">
        <v>35325</v>
      </c>
      <c r="BT2061" t="str">
        <f>HYPERLINK("https%3A%2F%2Fwww.webofscience.com%2Fwos%2Fwoscc%2Ffull-record%2FWOS:000531471300005","View Full Record in Web of Science")</f>
        <v>View Full Record in Web of Science</v>
      </c>
    </row>
    <row r="2062" spans="1:72" x14ac:dyDescent="0.25">
      <c r="A2062" t="s">
        <v>72</v>
      </c>
      <c r="B2062" t="s">
        <v>35326</v>
      </c>
      <c r="C2062" t="s">
        <v>74</v>
      </c>
      <c r="D2062" t="s">
        <v>74</v>
      </c>
      <c r="E2062" t="s">
        <v>74</v>
      </c>
      <c r="F2062" t="s">
        <v>35327</v>
      </c>
      <c r="G2062" t="s">
        <v>74</v>
      </c>
      <c r="H2062" t="s">
        <v>74</v>
      </c>
      <c r="I2062" t="s">
        <v>35328</v>
      </c>
      <c r="J2062" t="s">
        <v>8855</v>
      </c>
      <c r="K2062" t="s">
        <v>74</v>
      </c>
      <c r="L2062" t="s">
        <v>74</v>
      </c>
      <c r="M2062" t="s">
        <v>78</v>
      </c>
      <c r="N2062" t="s">
        <v>8856</v>
      </c>
      <c r="O2062" t="s">
        <v>74</v>
      </c>
      <c r="P2062" t="s">
        <v>74</v>
      </c>
      <c r="Q2062" t="s">
        <v>74</v>
      </c>
      <c r="R2062" t="s">
        <v>74</v>
      </c>
      <c r="S2062" t="s">
        <v>74</v>
      </c>
      <c r="T2062" t="s">
        <v>35329</v>
      </c>
      <c r="U2062" t="s">
        <v>74</v>
      </c>
      <c r="V2062" t="s">
        <v>35330</v>
      </c>
      <c r="W2062" t="s">
        <v>35331</v>
      </c>
      <c r="X2062" t="s">
        <v>35332</v>
      </c>
      <c r="Y2062" t="s">
        <v>35333</v>
      </c>
      <c r="Z2062" t="s">
        <v>35334</v>
      </c>
      <c r="AA2062" t="s">
        <v>74</v>
      </c>
      <c r="AB2062" t="s">
        <v>35335</v>
      </c>
      <c r="AC2062" t="s">
        <v>35336</v>
      </c>
      <c r="AD2062" t="s">
        <v>35336</v>
      </c>
      <c r="AE2062" t="s">
        <v>35337</v>
      </c>
      <c r="AF2062" t="s">
        <v>74</v>
      </c>
      <c r="AG2062">
        <v>20</v>
      </c>
      <c r="AH2062">
        <v>0</v>
      </c>
      <c r="AI2062">
        <v>0</v>
      </c>
      <c r="AJ2062">
        <v>1</v>
      </c>
      <c r="AK2062">
        <v>1</v>
      </c>
      <c r="AL2062" t="s">
        <v>201</v>
      </c>
      <c r="AM2062" t="s">
        <v>202</v>
      </c>
      <c r="AN2062" t="s">
        <v>203</v>
      </c>
      <c r="AO2062" t="s">
        <v>8866</v>
      </c>
      <c r="AP2062" t="s">
        <v>74</v>
      </c>
      <c r="AQ2062" t="s">
        <v>74</v>
      </c>
      <c r="AR2062" t="s">
        <v>8867</v>
      </c>
      <c r="AS2062" t="s">
        <v>8868</v>
      </c>
      <c r="AT2062" t="s">
        <v>1652</v>
      </c>
      <c r="AU2062">
        <v>2025</v>
      </c>
      <c r="AV2062">
        <v>60</v>
      </c>
      <c r="AW2062" t="s">
        <v>74</v>
      </c>
      <c r="AX2062" t="s">
        <v>74</v>
      </c>
      <c r="AY2062" t="s">
        <v>74</v>
      </c>
      <c r="AZ2062" t="s">
        <v>74</v>
      </c>
      <c r="BA2062" t="s">
        <v>74</v>
      </c>
      <c r="BB2062" t="s">
        <v>74</v>
      </c>
      <c r="BC2062" t="s">
        <v>74</v>
      </c>
      <c r="BD2062">
        <v>111633</v>
      </c>
      <c r="BE2062" t="s">
        <v>35338</v>
      </c>
      <c r="BF2062" t="str">
        <f>HYPERLINK("http://dx.doi.org/10.1016/j.dib.2025.111633","http://dx.doi.org/10.1016/j.dib.2025.111633")</f>
        <v>http://dx.doi.org/10.1016/j.dib.2025.111633</v>
      </c>
      <c r="BG2062" t="s">
        <v>74</v>
      </c>
      <c r="BH2062" t="s">
        <v>2359</v>
      </c>
      <c r="BI2062">
        <v>17</v>
      </c>
      <c r="BJ2062" t="s">
        <v>559</v>
      </c>
      <c r="BK2062" t="s">
        <v>313</v>
      </c>
      <c r="BL2062" t="s">
        <v>560</v>
      </c>
      <c r="BM2062" t="s">
        <v>35339</v>
      </c>
      <c r="BN2062">
        <v>40486241</v>
      </c>
      <c r="BO2062" t="s">
        <v>916</v>
      </c>
      <c r="BP2062" t="s">
        <v>74</v>
      </c>
      <c r="BQ2062" t="s">
        <v>74</v>
      </c>
      <c r="BR2062" t="s">
        <v>102</v>
      </c>
      <c r="BS2062" t="s">
        <v>35340</v>
      </c>
      <c r="BT2062" t="str">
        <f>HYPERLINK("https%3A%2F%2Fwww.webofscience.com%2Fwos%2Fwoscc%2Ffull-record%2FWOS:001502015700007","View Full Record in Web of Science")</f>
        <v>View Full Record in Web of Science</v>
      </c>
    </row>
    <row r="2063" spans="1:72" x14ac:dyDescent="0.25">
      <c r="A2063" t="s">
        <v>72</v>
      </c>
      <c r="B2063" t="s">
        <v>35341</v>
      </c>
      <c r="C2063" t="s">
        <v>74</v>
      </c>
      <c r="D2063" t="s">
        <v>74</v>
      </c>
      <c r="E2063" t="s">
        <v>74</v>
      </c>
      <c r="F2063" t="s">
        <v>35342</v>
      </c>
      <c r="G2063" t="s">
        <v>74</v>
      </c>
      <c r="H2063" t="s">
        <v>74</v>
      </c>
      <c r="I2063" t="s">
        <v>35343</v>
      </c>
      <c r="J2063" t="s">
        <v>190</v>
      </c>
      <c r="K2063" t="s">
        <v>74</v>
      </c>
      <c r="L2063" t="s">
        <v>74</v>
      </c>
      <c r="M2063" t="s">
        <v>78</v>
      </c>
      <c r="N2063" t="s">
        <v>79</v>
      </c>
      <c r="O2063" t="s">
        <v>74</v>
      </c>
      <c r="P2063" t="s">
        <v>74</v>
      </c>
      <c r="Q2063" t="s">
        <v>74</v>
      </c>
      <c r="R2063" t="s">
        <v>74</v>
      </c>
      <c r="S2063" t="s">
        <v>74</v>
      </c>
      <c r="T2063" t="s">
        <v>35344</v>
      </c>
      <c r="U2063" t="s">
        <v>35345</v>
      </c>
      <c r="V2063" t="s">
        <v>35346</v>
      </c>
      <c r="W2063" t="s">
        <v>35347</v>
      </c>
      <c r="X2063" t="s">
        <v>35348</v>
      </c>
      <c r="Y2063" t="s">
        <v>35349</v>
      </c>
      <c r="Z2063" t="s">
        <v>35350</v>
      </c>
      <c r="AA2063" t="s">
        <v>74</v>
      </c>
      <c r="AB2063" t="s">
        <v>74</v>
      </c>
      <c r="AC2063" t="s">
        <v>35351</v>
      </c>
      <c r="AD2063" t="s">
        <v>8707</v>
      </c>
      <c r="AE2063" t="s">
        <v>35352</v>
      </c>
      <c r="AF2063" t="s">
        <v>74</v>
      </c>
      <c r="AG2063">
        <v>64</v>
      </c>
      <c r="AH2063">
        <v>0</v>
      </c>
      <c r="AI2063">
        <v>0</v>
      </c>
      <c r="AJ2063">
        <v>18</v>
      </c>
      <c r="AK2063">
        <v>18</v>
      </c>
      <c r="AL2063" t="s">
        <v>201</v>
      </c>
      <c r="AM2063" t="s">
        <v>202</v>
      </c>
      <c r="AN2063" t="s">
        <v>203</v>
      </c>
      <c r="AO2063" t="s">
        <v>204</v>
      </c>
      <c r="AP2063" t="s">
        <v>205</v>
      </c>
      <c r="AQ2063" t="s">
        <v>74</v>
      </c>
      <c r="AR2063" t="s">
        <v>206</v>
      </c>
      <c r="AS2063" t="s">
        <v>207</v>
      </c>
      <c r="AT2063" t="s">
        <v>698</v>
      </c>
      <c r="AU2063">
        <v>2025</v>
      </c>
      <c r="AV2063">
        <v>102</v>
      </c>
      <c r="AW2063" t="s">
        <v>74</v>
      </c>
      <c r="AX2063" t="s">
        <v>74</v>
      </c>
      <c r="AY2063" t="s">
        <v>74</v>
      </c>
      <c r="AZ2063" t="s">
        <v>74</v>
      </c>
      <c r="BA2063" t="s">
        <v>74</v>
      </c>
      <c r="BB2063" t="s">
        <v>74</v>
      </c>
      <c r="BC2063" t="s">
        <v>74</v>
      </c>
      <c r="BD2063">
        <v>104351</v>
      </c>
      <c r="BE2063" t="s">
        <v>35353</v>
      </c>
      <c r="BF2063" t="str">
        <f>HYPERLINK("http://dx.doi.org/10.1016/j.iref.2025.104351","http://dx.doi.org/10.1016/j.iref.2025.104351")</f>
        <v>http://dx.doi.org/10.1016/j.iref.2025.104351</v>
      </c>
      <c r="BG2063" t="s">
        <v>74</v>
      </c>
      <c r="BH2063" t="s">
        <v>3389</v>
      </c>
      <c r="BI2063">
        <v>17</v>
      </c>
      <c r="BJ2063" t="s">
        <v>210</v>
      </c>
      <c r="BK2063" t="s">
        <v>99</v>
      </c>
      <c r="BL2063" t="s">
        <v>100</v>
      </c>
      <c r="BM2063" t="s">
        <v>35354</v>
      </c>
      <c r="BN2063" t="s">
        <v>74</v>
      </c>
      <c r="BO2063" t="s">
        <v>212</v>
      </c>
      <c r="BP2063" t="s">
        <v>74</v>
      </c>
      <c r="BQ2063" t="s">
        <v>74</v>
      </c>
      <c r="BR2063" t="s">
        <v>102</v>
      </c>
      <c r="BS2063" t="s">
        <v>35355</v>
      </c>
      <c r="BT2063" t="str">
        <f>HYPERLINK("https%3A%2F%2Fwww.webofscience.com%2Fwos%2Fwoscc%2Ffull-record%2FWOS:001526918100002","View Full Record in Web of Science")</f>
        <v>View Full Record in Web of Science</v>
      </c>
    </row>
    <row r="2064" spans="1:72" x14ac:dyDescent="0.25">
      <c r="A2064" t="s">
        <v>72</v>
      </c>
      <c r="B2064" t="s">
        <v>35356</v>
      </c>
      <c r="C2064" t="s">
        <v>74</v>
      </c>
      <c r="D2064" t="s">
        <v>74</v>
      </c>
      <c r="E2064" t="s">
        <v>74</v>
      </c>
      <c r="F2064" t="s">
        <v>35357</v>
      </c>
      <c r="G2064" t="s">
        <v>74</v>
      </c>
      <c r="H2064" t="s">
        <v>74</v>
      </c>
      <c r="I2064" t="s">
        <v>35358</v>
      </c>
      <c r="J2064" t="s">
        <v>2809</v>
      </c>
      <c r="K2064" t="s">
        <v>74</v>
      </c>
      <c r="L2064" t="s">
        <v>74</v>
      </c>
      <c r="M2064" t="s">
        <v>78</v>
      </c>
      <c r="N2064" t="s">
        <v>79</v>
      </c>
      <c r="O2064" t="s">
        <v>74</v>
      </c>
      <c r="P2064" t="s">
        <v>74</v>
      </c>
      <c r="Q2064" t="s">
        <v>74</v>
      </c>
      <c r="R2064" t="s">
        <v>74</v>
      </c>
      <c r="S2064" t="s">
        <v>74</v>
      </c>
      <c r="T2064" t="s">
        <v>74</v>
      </c>
      <c r="U2064" t="s">
        <v>8579</v>
      </c>
      <c r="V2064" t="s">
        <v>35359</v>
      </c>
      <c r="W2064" t="s">
        <v>35360</v>
      </c>
      <c r="X2064" t="s">
        <v>35361</v>
      </c>
      <c r="Y2064" t="s">
        <v>35362</v>
      </c>
      <c r="Z2064" t="s">
        <v>35363</v>
      </c>
      <c r="AA2064" t="s">
        <v>35364</v>
      </c>
      <c r="AB2064" t="s">
        <v>35365</v>
      </c>
      <c r="AC2064" t="s">
        <v>74</v>
      </c>
      <c r="AD2064" t="s">
        <v>74</v>
      </c>
      <c r="AE2064" t="s">
        <v>74</v>
      </c>
      <c r="AF2064" t="s">
        <v>74</v>
      </c>
      <c r="AG2064">
        <v>35</v>
      </c>
      <c r="AH2064">
        <v>31</v>
      </c>
      <c r="AI2064">
        <v>39</v>
      </c>
      <c r="AJ2064">
        <v>3</v>
      </c>
      <c r="AK2064">
        <v>43</v>
      </c>
      <c r="AL2064" t="s">
        <v>479</v>
      </c>
      <c r="AM2064" t="s">
        <v>480</v>
      </c>
      <c r="AN2064" t="s">
        <v>481</v>
      </c>
      <c r="AO2064" t="s">
        <v>2816</v>
      </c>
      <c r="AP2064" t="s">
        <v>2817</v>
      </c>
      <c r="AQ2064" t="s">
        <v>74</v>
      </c>
      <c r="AR2064" t="s">
        <v>2818</v>
      </c>
      <c r="AS2064" t="s">
        <v>2819</v>
      </c>
      <c r="AT2064" t="s">
        <v>29065</v>
      </c>
      <c r="AU2064">
        <v>2019</v>
      </c>
      <c r="AV2064">
        <v>53</v>
      </c>
      <c r="AW2064">
        <v>4</v>
      </c>
      <c r="AX2064" t="s">
        <v>74</v>
      </c>
      <c r="AY2064" t="s">
        <v>74</v>
      </c>
      <c r="AZ2064" t="s">
        <v>74</v>
      </c>
      <c r="BA2064" t="s">
        <v>74</v>
      </c>
      <c r="BB2064">
        <v>1725</v>
      </c>
      <c r="BC2064">
        <v>1747</v>
      </c>
      <c r="BD2064" t="s">
        <v>74</v>
      </c>
      <c r="BE2064" t="s">
        <v>35366</v>
      </c>
      <c r="BF2064" t="str">
        <f>HYPERLINK("http://dx.doi.org/10.1111/joca.12259","http://dx.doi.org/10.1111/joca.12259")</f>
        <v>http://dx.doi.org/10.1111/joca.12259</v>
      </c>
      <c r="BG2064" t="s">
        <v>74</v>
      </c>
      <c r="BH2064" t="s">
        <v>8650</v>
      </c>
      <c r="BI2064">
        <v>23</v>
      </c>
      <c r="BJ2064" t="s">
        <v>1453</v>
      </c>
      <c r="BK2064" t="s">
        <v>99</v>
      </c>
      <c r="BL2064" t="s">
        <v>100</v>
      </c>
      <c r="BM2064" t="s">
        <v>35367</v>
      </c>
      <c r="BN2064" t="s">
        <v>74</v>
      </c>
      <c r="BO2064" t="s">
        <v>74</v>
      </c>
      <c r="BP2064" t="s">
        <v>74</v>
      </c>
      <c r="BQ2064" t="s">
        <v>74</v>
      </c>
      <c r="BR2064" t="s">
        <v>102</v>
      </c>
      <c r="BS2064" t="s">
        <v>35368</v>
      </c>
      <c r="BT2064" t="str">
        <f>HYPERLINK("https%3A%2F%2Fwww.webofscience.com%2Fwos%2Fwoscc%2Ffull-record%2FWOS:000473984500001","View Full Record in Web of Science")</f>
        <v>View Full Record in Web of Science</v>
      </c>
    </row>
    <row r="2065" spans="1:72" x14ac:dyDescent="0.25">
      <c r="A2065" t="s">
        <v>72</v>
      </c>
      <c r="B2065" t="s">
        <v>35369</v>
      </c>
      <c r="C2065" t="s">
        <v>74</v>
      </c>
      <c r="D2065" t="s">
        <v>74</v>
      </c>
      <c r="E2065" t="s">
        <v>74</v>
      </c>
      <c r="F2065" t="s">
        <v>35370</v>
      </c>
      <c r="G2065" t="s">
        <v>74</v>
      </c>
      <c r="H2065" t="s">
        <v>74</v>
      </c>
      <c r="I2065" t="s">
        <v>35371</v>
      </c>
      <c r="J2065" t="s">
        <v>3579</v>
      </c>
      <c r="K2065" t="s">
        <v>74</v>
      </c>
      <c r="L2065" t="s">
        <v>74</v>
      </c>
      <c r="M2065" t="s">
        <v>78</v>
      </c>
      <c r="N2065" t="s">
        <v>79</v>
      </c>
      <c r="O2065" t="s">
        <v>74</v>
      </c>
      <c r="P2065" t="s">
        <v>74</v>
      </c>
      <c r="Q2065" t="s">
        <v>74</v>
      </c>
      <c r="R2065" t="s">
        <v>74</v>
      </c>
      <c r="S2065" t="s">
        <v>74</v>
      </c>
      <c r="T2065" t="s">
        <v>35372</v>
      </c>
      <c r="U2065" t="s">
        <v>74</v>
      </c>
      <c r="V2065" t="s">
        <v>35373</v>
      </c>
      <c r="W2065" t="s">
        <v>35374</v>
      </c>
      <c r="X2065" t="s">
        <v>35375</v>
      </c>
      <c r="Y2065" t="s">
        <v>35376</v>
      </c>
      <c r="Z2065" t="s">
        <v>35377</v>
      </c>
      <c r="AA2065" t="s">
        <v>35378</v>
      </c>
      <c r="AB2065" t="s">
        <v>35379</v>
      </c>
      <c r="AC2065" t="s">
        <v>74</v>
      </c>
      <c r="AD2065" t="s">
        <v>74</v>
      </c>
      <c r="AE2065" t="s">
        <v>35380</v>
      </c>
      <c r="AF2065" t="s">
        <v>74</v>
      </c>
      <c r="AG2065">
        <v>61</v>
      </c>
      <c r="AH2065">
        <v>1</v>
      </c>
      <c r="AI2065">
        <v>2</v>
      </c>
      <c r="AJ2065">
        <v>0</v>
      </c>
      <c r="AK2065">
        <v>2</v>
      </c>
      <c r="AL2065" t="s">
        <v>3588</v>
      </c>
      <c r="AM2065" t="s">
        <v>410</v>
      </c>
      <c r="AN2065" t="s">
        <v>3589</v>
      </c>
      <c r="AO2065" t="s">
        <v>3590</v>
      </c>
      <c r="AP2065" t="s">
        <v>3591</v>
      </c>
      <c r="AQ2065" t="s">
        <v>74</v>
      </c>
      <c r="AR2065" t="s">
        <v>3592</v>
      </c>
      <c r="AS2065" t="s">
        <v>3593</v>
      </c>
      <c r="AT2065" t="s">
        <v>124</v>
      </c>
      <c r="AU2065">
        <v>2024</v>
      </c>
      <c r="AV2065">
        <v>26</v>
      </c>
      <c r="AW2065">
        <v>3</v>
      </c>
      <c r="AX2065" t="s">
        <v>74</v>
      </c>
      <c r="AY2065" t="s">
        <v>74</v>
      </c>
      <c r="AZ2065" t="s">
        <v>74</v>
      </c>
      <c r="BA2065" t="s">
        <v>74</v>
      </c>
      <c r="BB2065">
        <v>888</v>
      </c>
      <c r="BC2065">
        <v>906</v>
      </c>
      <c r="BD2065" t="s">
        <v>74</v>
      </c>
      <c r="BE2065" t="s">
        <v>35381</v>
      </c>
      <c r="BF2065" t="str">
        <f>HYPERLINK("http://dx.doi.org/10.1007/s40847-023-00302-8","http://dx.doi.org/10.1007/s40847-023-00302-8")</f>
        <v>http://dx.doi.org/10.1007/s40847-023-00302-8</v>
      </c>
      <c r="BG2065" t="s">
        <v>74</v>
      </c>
      <c r="BH2065" t="s">
        <v>239</v>
      </c>
      <c r="BI2065">
        <v>19</v>
      </c>
      <c r="BJ2065" t="s">
        <v>701</v>
      </c>
      <c r="BK2065" t="s">
        <v>313</v>
      </c>
      <c r="BL2065" t="s">
        <v>702</v>
      </c>
      <c r="BM2065" t="s">
        <v>35382</v>
      </c>
      <c r="BN2065" t="s">
        <v>74</v>
      </c>
      <c r="BO2065" t="s">
        <v>74</v>
      </c>
      <c r="BP2065" t="s">
        <v>74</v>
      </c>
      <c r="BQ2065" t="s">
        <v>74</v>
      </c>
      <c r="BR2065" t="s">
        <v>102</v>
      </c>
      <c r="BS2065" t="s">
        <v>35383</v>
      </c>
      <c r="BT2065" t="str">
        <f>HYPERLINK("https%3A%2F%2Fwww.webofscience.com%2Fwos%2Fwoscc%2Ffull-record%2FWOS:001139069000001","View Full Record in Web of Science")</f>
        <v>View Full Record in Web of Science</v>
      </c>
    </row>
    <row r="2066" spans="1:72" x14ac:dyDescent="0.25">
      <c r="A2066" t="s">
        <v>72</v>
      </c>
      <c r="B2066" t="s">
        <v>35384</v>
      </c>
      <c r="C2066" t="s">
        <v>74</v>
      </c>
      <c r="D2066" t="s">
        <v>74</v>
      </c>
      <c r="E2066" t="s">
        <v>74</v>
      </c>
      <c r="F2066" t="s">
        <v>35385</v>
      </c>
      <c r="G2066" t="s">
        <v>74</v>
      </c>
      <c r="H2066" t="s">
        <v>74</v>
      </c>
      <c r="I2066" t="s">
        <v>35386</v>
      </c>
      <c r="J2066" t="s">
        <v>35387</v>
      </c>
      <c r="K2066" t="s">
        <v>74</v>
      </c>
      <c r="L2066" t="s">
        <v>74</v>
      </c>
      <c r="M2066" t="s">
        <v>78</v>
      </c>
      <c r="N2066" t="s">
        <v>79</v>
      </c>
      <c r="O2066" t="s">
        <v>74</v>
      </c>
      <c r="P2066" t="s">
        <v>74</v>
      </c>
      <c r="Q2066" t="s">
        <v>74</v>
      </c>
      <c r="R2066" t="s">
        <v>74</v>
      </c>
      <c r="S2066" t="s">
        <v>74</v>
      </c>
      <c r="T2066" t="s">
        <v>35388</v>
      </c>
      <c r="U2066" t="s">
        <v>35389</v>
      </c>
      <c r="V2066" t="s">
        <v>35390</v>
      </c>
      <c r="W2066" t="s">
        <v>35391</v>
      </c>
      <c r="X2066" t="s">
        <v>35392</v>
      </c>
      <c r="Y2066" t="s">
        <v>35393</v>
      </c>
      <c r="Z2066" t="s">
        <v>35394</v>
      </c>
      <c r="AA2066" t="s">
        <v>74</v>
      </c>
      <c r="AB2066" t="s">
        <v>35395</v>
      </c>
      <c r="AC2066" t="s">
        <v>74</v>
      </c>
      <c r="AD2066" t="s">
        <v>74</v>
      </c>
      <c r="AE2066" t="s">
        <v>74</v>
      </c>
      <c r="AF2066" t="s">
        <v>74</v>
      </c>
      <c r="AG2066">
        <v>31</v>
      </c>
      <c r="AH2066">
        <v>1</v>
      </c>
      <c r="AI2066">
        <v>5</v>
      </c>
      <c r="AJ2066">
        <v>0</v>
      </c>
      <c r="AK2066">
        <v>9</v>
      </c>
      <c r="AL2066" t="s">
        <v>35396</v>
      </c>
      <c r="AM2066" t="s">
        <v>35397</v>
      </c>
      <c r="AN2066" t="s">
        <v>35398</v>
      </c>
      <c r="AO2066" t="s">
        <v>35399</v>
      </c>
      <c r="AP2066" t="s">
        <v>74</v>
      </c>
      <c r="AQ2066" t="s">
        <v>74</v>
      </c>
      <c r="AR2066" t="s">
        <v>35400</v>
      </c>
      <c r="AS2066" t="s">
        <v>35401</v>
      </c>
      <c r="AT2066" t="s">
        <v>74</v>
      </c>
      <c r="AU2066">
        <v>2023</v>
      </c>
      <c r="AV2066">
        <v>8</v>
      </c>
      <c r="AW2066">
        <v>1</v>
      </c>
      <c r="AX2066" t="s">
        <v>74</v>
      </c>
      <c r="AY2066" t="s">
        <v>74</v>
      </c>
      <c r="AZ2066" t="s">
        <v>74</v>
      </c>
      <c r="BA2066" t="s">
        <v>74</v>
      </c>
      <c r="BB2066">
        <v>105</v>
      </c>
      <c r="BC2066">
        <v>120</v>
      </c>
      <c r="BD2066" t="s">
        <v>74</v>
      </c>
      <c r="BE2066" t="s">
        <v>35402</v>
      </c>
      <c r="BF2066" t="str">
        <f>HYPERLINK("http://dx.doi.org/10.51847/vvtUToogGy","http://dx.doi.org/10.51847/vvtUToogGy")</f>
        <v>http://dx.doi.org/10.51847/vvtUToogGy</v>
      </c>
      <c r="BG2066" t="s">
        <v>74</v>
      </c>
      <c r="BH2066" t="s">
        <v>74</v>
      </c>
      <c r="BI2066">
        <v>16</v>
      </c>
      <c r="BJ2066" t="s">
        <v>35403</v>
      </c>
      <c r="BK2066" t="s">
        <v>313</v>
      </c>
      <c r="BL2066" t="s">
        <v>2993</v>
      </c>
      <c r="BM2066" t="s">
        <v>35404</v>
      </c>
      <c r="BN2066" t="s">
        <v>74</v>
      </c>
      <c r="BO2066" t="s">
        <v>270</v>
      </c>
      <c r="BP2066" t="s">
        <v>74</v>
      </c>
      <c r="BQ2066" t="s">
        <v>74</v>
      </c>
      <c r="BR2066" t="s">
        <v>102</v>
      </c>
      <c r="BS2066" t="s">
        <v>35405</v>
      </c>
      <c r="BT2066" t="str">
        <f>HYPERLINK("https%3A%2F%2Fwww.webofscience.com%2Fwos%2Fwoscc%2Ffull-record%2FWOS:000970123200008","View Full Record in Web of Science")</f>
        <v>View Full Record in Web of Science</v>
      </c>
    </row>
    <row r="2067" spans="1:72" x14ac:dyDescent="0.25">
      <c r="A2067" t="s">
        <v>72</v>
      </c>
      <c r="B2067" t="s">
        <v>35406</v>
      </c>
      <c r="C2067" t="s">
        <v>74</v>
      </c>
      <c r="D2067" t="s">
        <v>74</v>
      </c>
      <c r="E2067" t="s">
        <v>74</v>
      </c>
      <c r="F2067" t="s">
        <v>35407</v>
      </c>
      <c r="G2067" t="s">
        <v>74</v>
      </c>
      <c r="H2067" t="s">
        <v>74</v>
      </c>
      <c r="I2067" t="s">
        <v>35408</v>
      </c>
      <c r="J2067" t="s">
        <v>656</v>
      </c>
      <c r="K2067" t="s">
        <v>74</v>
      </c>
      <c r="L2067" t="s">
        <v>74</v>
      </c>
      <c r="M2067" t="s">
        <v>78</v>
      </c>
      <c r="N2067" t="s">
        <v>79</v>
      </c>
      <c r="O2067" t="s">
        <v>74</v>
      </c>
      <c r="P2067" t="s">
        <v>74</v>
      </c>
      <c r="Q2067" t="s">
        <v>74</v>
      </c>
      <c r="R2067" t="s">
        <v>74</v>
      </c>
      <c r="S2067" t="s">
        <v>74</v>
      </c>
      <c r="T2067" t="s">
        <v>35409</v>
      </c>
      <c r="U2067" t="s">
        <v>35410</v>
      </c>
      <c r="V2067" t="s">
        <v>35411</v>
      </c>
      <c r="W2067" t="s">
        <v>35412</v>
      </c>
      <c r="X2067" t="s">
        <v>35413</v>
      </c>
      <c r="Y2067" t="s">
        <v>25433</v>
      </c>
      <c r="Z2067" t="s">
        <v>35414</v>
      </c>
      <c r="AA2067" t="s">
        <v>74</v>
      </c>
      <c r="AB2067" t="s">
        <v>35415</v>
      </c>
      <c r="AC2067" t="s">
        <v>74</v>
      </c>
      <c r="AD2067" t="s">
        <v>74</v>
      </c>
      <c r="AE2067" t="s">
        <v>74</v>
      </c>
      <c r="AF2067" t="s">
        <v>74</v>
      </c>
      <c r="AG2067">
        <v>39</v>
      </c>
      <c r="AH2067">
        <v>87</v>
      </c>
      <c r="AI2067">
        <v>124</v>
      </c>
      <c r="AJ2067">
        <v>2</v>
      </c>
      <c r="AK2067">
        <v>45</v>
      </c>
      <c r="AL2067" t="s">
        <v>1062</v>
      </c>
      <c r="AM2067" t="s">
        <v>667</v>
      </c>
      <c r="AN2067" t="s">
        <v>668</v>
      </c>
      <c r="AO2067" t="s">
        <v>669</v>
      </c>
      <c r="AP2067" t="s">
        <v>670</v>
      </c>
      <c r="AQ2067" t="s">
        <v>74</v>
      </c>
      <c r="AR2067" t="s">
        <v>671</v>
      </c>
      <c r="AS2067" t="s">
        <v>672</v>
      </c>
      <c r="AT2067" t="s">
        <v>1652</v>
      </c>
      <c r="AU2067">
        <v>2019</v>
      </c>
      <c r="AV2067">
        <v>40</v>
      </c>
      <c r="AW2067">
        <v>2</v>
      </c>
      <c r="AX2067" t="s">
        <v>74</v>
      </c>
      <c r="AY2067" t="s">
        <v>74</v>
      </c>
      <c r="AZ2067" t="s">
        <v>74</v>
      </c>
      <c r="BA2067" t="s">
        <v>74</v>
      </c>
      <c r="BB2067">
        <v>194</v>
      </c>
      <c r="BC2067">
        <v>208</v>
      </c>
      <c r="BD2067" t="s">
        <v>74</v>
      </c>
      <c r="BE2067" t="s">
        <v>35416</v>
      </c>
      <c r="BF2067" t="str">
        <f>HYPERLINK("http://dx.doi.org/10.1007/s10834-018-9595-2","http://dx.doi.org/10.1007/s10834-018-9595-2")</f>
        <v>http://dx.doi.org/10.1007/s10834-018-9595-2</v>
      </c>
      <c r="BG2067" t="s">
        <v>74</v>
      </c>
      <c r="BH2067" t="s">
        <v>74</v>
      </c>
      <c r="BI2067">
        <v>15</v>
      </c>
      <c r="BJ2067" t="s">
        <v>675</v>
      </c>
      <c r="BK2067" t="s">
        <v>99</v>
      </c>
      <c r="BL2067" t="s">
        <v>676</v>
      </c>
      <c r="BM2067" t="s">
        <v>35417</v>
      </c>
      <c r="BN2067" t="s">
        <v>74</v>
      </c>
      <c r="BO2067" t="s">
        <v>74</v>
      </c>
      <c r="BP2067" t="s">
        <v>74</v>
      </c>
      <c r="BQ2067" t="s">
        <v>74</v>
      </c>
      <c r="BR2067" t="s">
        <v>102</v>
      </c>
      <c r="BS2067" t="s">
        <v>35418</v>
      </c>
      <c r="BT2067" t="str">
        <f>HYPERLINK("https%3A%2F%2Fwww.webofscience.com%2Fwos%2Fwoscc%2Ffull-record%2FWOS:000467658200005","View Full Record in Web of Science")</f>
        <v>View Full Record in Web of Science</v>
      </c>
    </row>
    <row r="2068" spans="1:72" x14ac:dyDescent="0.25">
      <c r="A2068" t="s">
        <v>72</v>
      </c>
      <c r="B2068" t="s">
        <v>35419</v>
      </c>
      <c r="C2068" t="s">
        <v>74</v>
      </c>
      <c r="D2068" t="s">
        <v>74</v>
      </c>
      <c r="E2068" t="s">
        <v>74</v>
      </c>
      <c r="F2068" t="s">
        <v>35420</v>
      </c>
      <c r="G2068" t="s">
        <v>74</v>
      </c>
      <c r="H2068" t="s">
        <v>74</v>
      </c>
      <c r="I2068" t="s">
        <v>35421</v>
      </c>
      <c r="J2068" t="s">
        <v>2309</v>
      </c>
      <c r="K2068" t="s">
        <v>74</v>
      </c>
      <c r="L2068" t="s">
        <v>74</v>
      </c>
      <c r="M2068" t="s">
        <v>78</v>
      </c>
      <c r="N2068" t="s">
        <v>79</v>
      </c>
      <c r="O2068" t="s">
        <v>74</v>
      </c>
      <c r="P2068" t="s">
        <v>74</v>
      </c>
      <c r="Q2068" t="s">
        <v>74</v>
      </c>
      <c r="R2068" t="s">
        <v>74</v>
      </c>
      <c r="S2068" t="s">
        <v>74</v>
      </c>
      <c r="T2068" t="s">
        <v>74</v>
      </c>
      <c r="U2068" t="s">
        <v>35422</v>
      </c>
      <c r="V2068" t="s">
        <v>35423</v>
      </c>
      <c r="W2068" t="s">
        <v>35424</v>
      </c>
      <c r="X2068" t="s">
        <v>35425</v>
      </c>
      <c r="Y2068" t="s">
        <v>35426</v>
      </c>
      <c r="Z2068" t="s">
        <v>14053</v>
      </c>
      <c r="AA2068" t="s">
        <v>74</v>
      </c>
      <c r="AB2068" t="s">
        <v>35427</v>
      </c>
      <c r="AC2068" t="s">
        <v>74</v>
      </c>
      <c r="AD2068" t="s">
        <v>74</v>
      </c>
      <c r="AE2068" t="s">
        <v>74</v>
      </c>
      <c r="AF2068" t="s">
        <v>74</v>
      </c>
      <c r="AG2068">
        <v>57</v>
      </c>
      <c r="AH2068">
        <v>59</v>
      </c>
      <c r="AI2068">
        <v>69</v>
      </c>
      <c r="AJ2068">
        <v>20</v>
      </c>
      <c r="AK2068">
        <v>204</v>
      </c>
      <c r="AL2068" t="s">
        <v>332</v>
      </c>
      <c r="AM2068" t="s">
        <v>333</v>
      </c>
      <c r="AN2068" t="s">
        <v>334</v>
      </c>
      <c r="AO2068" t="s">
        <v>2322</v>
      </c>
      <c r="AP2068" t="s">
        <v>2323</v>
      </c>
      <c r="AQ2068" t="s">
        <v>74</v>
      </c>
      <c r="AR2068" t="s">
        <v>2324</v>
      </c>
      <c r="AS2068" t="s">
        <v>2325</v>
      </c>
      <c r="AT2068" t="s">
        <v>11149</v>
      </c>
      <c r="AU2068">
        <v>2021</v>
      </c>
      <c r="AV2068">
        <v>57</v>
      </c>
      <c r="AW2068">
        <v>10</v>
      </c>
      <c r="AX2068" t="s">
        <v>74</v>
      </c>
      <c r="AY2068" t="s">
        <v>74</v>
      </c>
      <c r="AZ2068" t="s">
        <v>74</v>
      </c>
      <c r="BA2068" t="s">
        <v>74</v>
      </c>
      <c r="BB2068">
        <v>1739</v>
      </c>
      <c r="BC2068">
        <v>1754</v>
      </c>
      <c r="BD2068" t="s">
        <v>74</v>
      </c>
      <c r="BE2068" t="s">
        <v>35428</v>
      </c>
      <c r="BF2068" t="str">
        <f>HYPERLINK("http://dx.doi.org/10.1080/00220388.2021.1919631","http://dx.doi.org/10.1080/00220388.2021.1919631")</f>
        <v>http://dx.doi.org/10.1080/00220388.2021.1919631</v>
      </c>
      <c r="BG2068" t="s">
        <v>74</v>
      </c>
      <c r="BH2068" t="s">
        <v>4575</v>
      </c>
      <c r="BI2068">
        <v>16</v>
      </c>
      <c r="BJ2068" t="s">
        <v>701</v>
      </c>
      <c r="BK2068" t="s">
        <v>99</v>
      </c>
      <c r="BL2068" t="s">
        <v>702</v>
      </c>
      <c r="BM2068" t="s">
        <v>35429</v>
      </c>
      <c r="BN2068" t="s">
        <v>74</v>
      </c>
      <c r="BO2068" t="s">
        <v>1205</v>
      </c>
      <c r="BP2068" t="s">
        <v>74</v>
      </c>
      <c r="BQ2068" t="s">
        <v>74</v>
      </c>
      <c r="BR2068" t="s">
        <v>102</v>
      </c>
      <c r="BS2068" t="s">
        <v>35430</v>
      </c>
      <c r="BT2068" t="str">
        <f>HYPERLINK("https%3A%2F%2Fwww.webofscience.com%2Fwos%2Fwoscc%2Ffull-record%2FWOS:000651245800001","View Full Record in Web of Science")</f>
        <v>View Full Record in Web of Science</v>
      </c>
    </row>
    <row r="2069" spans="1:72" x14ac:dyDescent="0.25">
      <c r="A2069" t="s">
        <v>72</v>
      </c>
      <c r="B2069" t="s">
        <v>35431</v>
      </c>
      <c r="C2069" t="s">
        <v>74</v>
      </c>
      <c r="D2069" t="s">
        <v>74</v>
      </c>
      <c r="E2069" t="s">
        <v>74</v>
      </c>
      <c r="F2069" t="s">
        <v>35432</v>
      </c>
      <c r="G2069" t="s">
        <v>74</v>
      </c>
      <c r="H2069" t="s">
        <v>74</v>
      </c>
      <c r="I2069" t="s">
        <v>35433</v>
      </c>
      <c r="J2069" t="s">
        <v>35434</v>
      </c>
      <c r="K2069" t="s">
        <v>74</v>
      </c>
      <c r="L2069" t="s">
        <v>74</v>
      </c>
      <c r="M2069" t="s">
        <v>78</v>
      </c>
      <c r="N2069" t="s">
        <v>79</v>
      </c>
      <c r="O2069" t="s">
        <v>74</v>
      </c>
      <c r="P2069" t="s">
        <v>74</v>
      </c>
      <c r="Q2069" t="s">
        <v>74</v>
      </c>
      <c r="R2069" t="s">
        <v>74</v>
      </c>
      <c r="S2069" t="s">
        <v>74</v>
      </c>
      <c r="T2069" t="s">
        <v>35435</v>
      </c>
      <c r="U2069" t="s">
        <v>35436</v>
      </c>
      <c r="V2069" t="s">
        <v>35437</v>
      </c>
      <c r="W2069" t="s">
        <v>35438</v>
      </c>
      <c r="X2069" t="s">
        <v>35439</v>
      </c>
      <c r="Y2069" t="s">
        <v>35440</v>
      </c>
      <c r="Z2069" t="s">
        <v>35441</v>
      </c>
      <c r="AA2069" t="s">
        <v>35442</v>
      </c>
      <c r="AB2069" t="s">
        <v>35443</v>
      </c>
      <c r="AC2069" t="s">
        <v>74</v>
      </c>
      <c r="AD2069" t="s">
        <v>74</v>
      </c>
      <c r="AE2069" t="s">
        <v>74</v>
      </c>
      <c r="AF2069" t="s">
        <v>74</v>
      </c>
      <c r="AG2069">
        <v>49</v>
      </c>
      <c r="AH2069">
        <v>1</v>
      </c>
      <c r="AI2069">
        <v>1</v>
      </c>
      <c r="AJ2069">
        <v>0</v>
      </c>
      <c r="AK2069">
        <v>0</v>
      </c>
      <c r="AL2069" t="s">
        <v>35444</v>
      </c>
      <c r="AM2069" t="s">
        <v>35445</v>
      </c>
      <c r="AN2069" t="s">
        <v>35446</v>
      </c>
      <c r="AO2069" t="s">
        <v>35447</v>
      </c>
      <c r="AP2069" t="s">
        <v>74</v>
      </c>
      <c r="AQ2069" t="s">
        <v>74</v>
      </c>
      <c r="AR2069" t="s">
        <v>35448</v>
      </c>
      <c r="AS2069" t="s">
        <v>35449</v>
      </c>
      <c r="AT2069" t="s">
        <v>74</v>
      </c>
      <c r="AU2069">
        <v>2025</v>
      </c>
      <c r="AV2069">
        <v>13</v>
      </c>
      <c r="AW2069">
        <v>1</v>
      </c>
      <c r="AX2069" t="s">
        <v>74</v>
      </c>
      <c r="AY2069" t="s">
        <v>74</v>
      </c>
      <c r="AZ2069" t="s">
        <v>74</v>
      </c>
      <c r="BA2069" t="s">
        <v>74</v>
      </c>
      <c r="BB2069" t="s">
        <v>74</v>
      </c>
      <c r="BC2069" t="s">
        <v>74</v>
      </c>
      <c r="BD2069">
        <v>1130538</v>
      </c>
      <c r="BE2069" t="s">
        <v>35450</v>
      </c>
      <c r="BF2069" t="str">
        <f>HYPERLINK("http://dx.doi.org/10.13044/j.sdewes.d13.0538","http://dx.doi.org/10.13044/j.sdewes.d13.0538")</f>
        <v>http://dx.doi.org/10.13044/j.sdewes.d13.0538</v>
      </c>
      <c r="BG2069" t="s">
        <v>74</v>
      </c>
      <c r="BH2069" t="s">
        <v>74</v>
      </c>
      <c r="BI2069">
        <v>21</v>
      </c>
      <c r="BJ2069" t="s">
        <v>127</v>
      </c>
      <c r="BK2069" t="s">
        <v>313</v>
      </c>
      <c r="BL2069" t="s">
        <v>129</v>
      </c>
      <c r="BM2069" t="s">
        <v>35451</v>
      </c>
      <c r="BN2069" t="s">
        <v>74</v>
      </c>
      <c r="BO2069" t="s">
        <v>212</v>
      </c>
      <c r="BP2069" t="s">
        <v>74</v>
      </c>
      <c r="BQ2069" t="s">
        <v>74</v>
      </c>
      <c r="BR2069" t="s">
        <v>102</v>
      </c>
      <c r="BS2069" t="s">
        <v>35452</v>
      </c>
      <c r="BT2069" t="str">
        <f>HYPERLINK("https%3A%2F%2Fwww.webofscience.com%2Fwos%2Fwoscc%2Ffull-record%2FWOS:001409356300002","View Full Record in Web of Science")</f>
        <v>View Full Record in Web of Science</v>
      </c>
    </row>
    <row r="2070" spans="1:72" x14ac:dyDescent="0.25">
      <c r="A2070" t="s">
        <v>72</v>
      </c>
      <c r="B2070" t="s">
        <v>35453</v>
      </c>
      <c r="C2070" t="s">
        <v>74</v>
      </c>
      <c r="D2070" t="s">
        <v>74</v>
      </c>
      <c r="E2070" t="s">
        <v>74</v>
      </c>
      <c r="F2070" t="s">
        <v>35454</v>
      </c>
      <c r="G2070" t="s">
        <v>74</v>
      </c>
      <c r="H2070" t="s">
        <v>74</v>
      </c>
      <c r="I2070" t="s">
        <v>35455</v>
      </c>
      <c r="J2070" t="s">
        <v>3231</v>
      </c>
      <c r="K2070" t="s">
        <v>74</v>
      </c>
      <c r="L2070" t="s">
        <v>74</v>
      </c>
      <c r="M2070" t="s">
        <v>78</v>
      </c>
      <c r="N2070" t="s">
        <v>79</v>
      </c>
      <c r="O2070" t="s">
        <v>74</v>
      </c>
      <c r="P2070" t="s">
        <v>74</v>
      </c>
      <c r="Q2070" t="s">
        <v>74</v>
      </c>
      <c r="R2070" t="s">
        <v>74</v>
      </c>
      <c r="S2070" t="s">
        <v>74</v>
      </c>
      <c r="T2070" t="s">
        <v>35456</v>
      </c>
      <c r="U2070" t="s">
        <v>35457</v>
      </c>
      <c r="V2070" t="s">
        <v>35458</v>
      </c>
      <c r="W2070" t="s">
        <v>35459</v>
      </c>
      <c r="X2070" t="s">
        <v>35460</v>
      </c>
      <c r="Y2070" t="s">
        <v>35461</v>
      </c>
      <c r="Z2070" t="s">
        <v>35462</v>
      </c>
      <c r="AA2070" t="s">
        <v>74</v>
      </c>
      <c r="AB2070" t="s">
        <v>35463</v>
      </c>
      <c r="AC2070" t="s">
        <v>35464</v>
      </c>
      <c r="AD2070" t="s">
        <v>35464</v>
      </c>
      <c r="AE2070" t="s">
        <v>35465</v>
      </c>
      <c r="AF2070" t="s">
        <v>74</v>
      </c>
      <c r="AG2070">
        <v>37</v>
      </c>
      <c r="AH2070">
        <v>8</v>
      </c>
      <c r="AI2070">
        <v>10</v>
      </c>
      <c r="AJ2070">
        <v>1</v>
      </c>
      <c r="AK2070">
        <v>86</v>
      </c>
      <c r="AL2070" t="s">
        <v>575</v>
      </c>
      <c r="AM2070" t="s">
        <v>576</v>
      </c>
      <c r="AN2070" t="s">
        <v>3242</v>
      </c>
      <c r="AO2070" t="s">
        <v>74</v>
      </c>
      <c r="AP2070" t="s">
        <v>3243</v>
      </c>
      <c r="AQ2070" t="s">
        <v>74</v>
      </c>
      <c r="AR2070" t="s">
        <v>3244</v>
      </c>
      <c r="AS2070" t="s">
        <v>3245</v>
      </c>
      <c r="AT2070" t="s">
        <v>743</v>
      </c>
      <c r="AU2070">
        <v>2018</v>
      </c>
      <c r="AV2070">
        <v>10</v>
      </c>
      <c r="AW2070">
        <v>4</v>
      </c>
      <c r="AX2070" t="s">
        <v>74</v>
      </c>
      <c r="AY2070" t="s">
        <v>74</v>
      </c>
      <c r="AZ2070" t="s">
        <v>74</v>
      </c>
      <c r="BA2070" t="s">
        <v>74</v>
      </c>
      <c r="BB2070" t="s">
        <v>74</v>
      </c>
      <c r="BC2070" t="s">
        <v>74</v>
      </c>
      <c r="BD2070">
        <v>1200</v>
      </c>
      <c r="BE2070" t="s">
        <v>35466</v>
      </c>
      <c r="BF2070" t="str">
        <f>HYPERLINK("http://dx.doi.org/10.3390/su10041200","http://dx.doi.org/10.3390/su10041200")</f>
        <v>http://dx.doi.org/10.3390/su10041200</v>
      </c>
      <c r="BG2070" t="s">
        <v>74</v>
      </c>
      <c r="BH2070" t="s">
        <v>74</v>
      </c>
      <c r="BI2070">
        <v>16</v>
      </c>
      <c r="BJ2070" t="s">
        <v>3247</v>
      </c>
      <c r="BK2070" t="s">
        <v>2623</v>
      </c>
      <c r="BL2070" t="s">
        <v>3248</v>
      </c>
      <c r="BM2070" t="s">
        <v>35467</v>
      </c>
      <c r="BN2070" t="s">
        <v>74</v>
      </c>
      <c r="BO2070" t="s">
        <v>916</v>
      </c>
      <c r="BP2070" t="s">
        <v>74</v>
      </c>
      <c r="BQ2070" t="s">
        <v>74</v>
      </c>
      <c r="BR2070" t="s">
        <v>102</v>
      </c>
      <c r="BS2070" t="s">
        <v>35468</v>
      </c>
      <c r="BT2070" t="str">
        <f>HYPERLINK("https%3A%2F%2Fwww.webofscience.com%2Fwos%2Fwoscc%2Ffull-record%2FWOS:000435188000304","View Full Record in Web of Science")</f>
        <v>View Full Record in Web of Science</v>
      </c>
    </row>
    <row r="2071" spans="1:72" x14ac:dyDescent="0.25">
      <c r="A2071" t="s">
        <v>72</v>
      </c>
      <c r="B2071" t="s">
        <v>35469</v>
      </c>
      <c r="C2071" t="s">
        <v>74</v>
      </c>
      <c r="D2071" t="s">
        <v>74</v>
      </c>
      <c r="E2071" t="s">
        <v>74</v>
      </c>
      <c r="F2071" t="s">
        <v>35470</v>
      </c>
      <c r="G2071" t="s">
        <v>74</v>
      </c>
      <c r="H2071" t="s">
        <v>74</v>
      </c>
      <c r="I2071" t="s">
        <v>35471</v>
      </c>
      <c r="J2071" t="s">
        <v>5480</v>
      </c>
      <c r="K2071" t="s">
        <v>74</v>
      </c>
      <c r="L2071" t="s">
        <v>74</v>
      </c>
      <c r="M2071" t="s">
        <v>78</v>
      </c>
      <c r="N2071" t="s">
        <v>79</v>
      </c>
      <c r="O2071" t="s">
        <v>74</v>
      </c>
      <c r="P2071" t="s">
        <v>74</v>
      </c>
      <c r="Q2071" t="s">
        <v>74</v>
      </c>
      <c r="R2071" t="s">
        <v>74</v>
      </c>
      <c r="S2071" t="s">
        <v>74</v>
      </c>
      <c r="T2071" t="s">
        <v>35472</v>
      </c>
      <c r="U2071" t="s">
        <v>14863</v>
      </c>
      <c r="V2071" t="s">
        <v>35473</v>
      </c>
      <c r="W2071" t="s">
        <v>35474</v>
      </c>
      <c r="X2071" t="s">
        <v>74</v>
      </c>
      <c r="Y2071" t="s">
        <v>35475</v>
      </c>
      <c r="Z2071" t="s">
        <v>74</v>
      </c>
      <c r="AA2071" t="s">
        <v>35476</v>
      </c>
      <c r="AB2071" t="s">
        <v>35477</v>
      </c>
      <c r="AC2071" t="s">
        <v>74</v>
      </c>
      <c r="AD2071" t="s">
        <v>74</v>
      </c>
      <c r="AE2071" t="s">
        <v>74</v>
      </c>
      <c r="AF2071" t="s">
        <v>74</v>
      </c>
      <c r="AG2071">
        <v>44</v>
      </c>
      <c r="AH2071">
        <v>0</v>
      </c>
      <c r="AI2071">
        <v>0</v>
      </c>
      <c r="AJ2071">
        <v>0</v>
      </c>
      <c r="AK2071">
        <v>0</v>
      </c>
      <c r="AL2071" t="s">
        <v>5488</v>
      </c>
      <c r="AM2071" t="s">
        <v>1356</v>
      </c>
      <c r="AN2071" t="s">
        <v>5489</v>
      </c>
      <c r="AO2071" t="s">
        <v>5490</v>
      </c>
      <c r="AP2071" t="s">
        <v>5491</v>
      </c>
      <c r="AQ2071" t="s">
        <v>74</v>
      </c>
      <c r="AR2071" t="s">
        <v>5492</v>
      </c>
      <c r="AS2071" t="s">
        <v>5493</v>
      </c>
      <c r="AT2071" t="s">
        <v>74</v>
      </c>
      <c r="AU2071">
        <v>2025</v>
      </c>
      <c r="AV2071">
        <v>20</v>
      </c>
      <c r="AW2071">
        <v>3</v>
      </c>
      <c r="AX2071" t="s">
        <v>74</v>
      </c>
      <c r="AY2071" t="s">
        <v>74</v>
      </c>
      <c r="AZ2071" t="s">
        <v>74</v>
      </c>
      <c r="BA2071" t="s">
        <v>74</v>
      </c>
      <c r="BB2071" t="s">
        <v>74</v>
      </c>
      <c r="BC2071" t="s">
        <v>74</v>
      </c>
      <c r="BD2071" t="s">
        <v>74</v>
      </c>
      <c r="BE2071" t="s">
        <v>35478</v>
      </c>
      <c r="BF2071" t="str">
        <f>HYPERLINK("http://dx.doi.org/10.21511/bbs.20(3).2025.07","http://dx.doi.org/10.21511/bbs.20(3).2025.07")</f>
        <v>http://dx.doi.org/10.21511/bbs.20(3).2025.07</v>
      </c>
      <c r="BG2071" t="s">
        <v>74</v>
      </c>
      <c r="BH2071" t="s">
        <v>74</v>
      </c>
      <c r="BI2071">
        <v>15</v>
      </c>
      <c r="BJ2071" t="s">
        <v>210</v>
      </c>
      <c r="BK2071" t="s">
        <v>313</v>
      </c>
      <c r="BL2071" t="s">
        <v>100</v>
      </c>
      <c r="BM2071" t="s">
        <v>19182</v>
      </c>
      <c r="BN2071" t="s">
        <v>74</v>
      </c>
      <c r="BO2071" t="s">
        <v>212</v>
      </c>
      <c r="BP2071" t="s">
        <v>74</v>
      </c>
      <c r="BQ2071" t="s">
        <v>74</v>
      </c>
      <c r="BR2071" t="s">
        <v>102</v>
      </c>
      <c r="BS2071" t="s">
        <v>35479</v>
      </c>
      <c r="BT2071" t="str">
        <f>HYPERLINK("https%3A%2F%2Fwww.webofscience.com%2Fwos%2Fwoscc%2Ffull-record%2FWOS:001594053300006","View Full Record in Web of Science")</f>
        <v>View Full Record in Web of Science</v>
      </c>
    </row>
    <row r="2072" spans="1:72" x14ac:dyDescent="0.25">
      <c r="A2072" t="s">
        <v>72</v>
      </c>
      <c r="B2072" t="s">
        <v>35480</v>
      </c>
      <c r="C2072" t="s">
        <v>74</v>
      </c>
      <c r="D2072" t="s">
        <v>74</v>
      </c>
      <c r="E2072" t="s">
        <v>74</v>
      </c>
      <c r="F2072" t="s">
        <v>35481</v>
      </c>
      <c r="G2072" t="s">
        <v>74</v>
      </c>
      <c r="H2072" t="s">
        <v>74</v>
      </c>
      <c r="I2072" t="s">
        <v>35482</v>
      </c>
      <c r="J2072" t="s">
        <v>5078</v>
      </c>
      <c r="K2072" t="s">
        <v>74</v>
      </c>
      <c r="L2072" t="s">
        <v>74</v>
      </c>
      <c r="M2072" t="s">
        <v>78</v>
      </c>
      <c r="N2072" t="s">
        <v>79</v>
      </c>
      <c r="O2072" t="s">
        <v>74</v>
      </c>
      <c r="P2072" t="s">
        <v>74</v>
      </c>
      <c r="Q2072" t="s">
        <v>74</v>
      </c>
      <c r="R2072" t="s">
        <v>74</v>
      </c>
      <c r="S2072" t="s">
        <v>74</v>
      </c>
      <c r="T2072" t="s">
        <v>35483</v>
      </c>
      <c r="U2072" t="s">
        <v>35484</v>
      </c>
      <c r="V2072" t="s">
        <v>35485</v>
      </c>
      <c r="W2072" t="s">
        <v>35486</v>
      </c>
      <c r="X2072" t="s">
        <v>35487</v>
      </c>
      <c r="Y2072" t="s">
        <v>35488</v>
      </c>
      <c r="Z2072" t="s">
        <v>11269</v>
      </c>
      <c r="AA2072" t="s">
        <v>35489</v>
      </c>
      <c r="AB2072" t="s">
        <v>4314</v>
      </c>
      <c r="AC2072" t="s">
        <v>74</v>
      </c>
      <c r="AD2072" t="s">
        <v>74</v>
      </c>
      <c r="AE2072" t="s">
        <v>74</v>
      </c>
      <c r="AF2072" t="s">
        <v>74</v>
      </c>
      <c r="AG2072">
        <v>85</v>
      </c>
      <c r="AH2072">
        <v>8</v>
      </c>
      <c r="AI2072">
        <v>10</v>
      </c>
      <c r="AJ2072">
        <v>1</v>
      </c>
      <c r="AK2072">
        <v>19</v>
      </c>
      <c r="AL2072" t="s">
        <v>385</v>
      </c>
      <c r="AM2072" t="s">
        <v>151</v>
      </c>
      <c r="AN2072" t="s">
        <v>386</v>
      </c>
      <c r="AO2072" t="s">
        <v>74</v>
      </c>
      <c r="AP2072" t="s">
        <v>5087</v>
      </c>
      <c r="AQ2072" t="s">
        <v>74</v>
      </c>
      <c r="AR2072" t="s">
        <v>5088</v>
      </c>
      <c r="AS2072" t="s">
        <v>5089</v>
      </c>
      <c r="AT2072" t="s">
        <v>35490</v>
      </c>
      <c r="AU2072">
        <v>2024</v>
      </c>
      <c r="AV2072">
        <v>10</v>
      </c>
      <c r="AW2072">
        <v>1</v>
      </c>
      <c r="AX2072" t="s">
        <v>74</v>
      </c>
      <c r="AY2072" t="s">
        <v>74</v>
      </c>
      <c r="AZ2072" t="s">
        <v>74</v>
      </c>
      <c r="BA2072" t="s">
        <v>74</v>
      </c>
      <c r="BB2072" t="s">
        <v>74</v>
      </c>
      <c r="BC2072" t="s">
        <v>74</v>
      </c>
      <c r="BD2072">
        <v>11</v>
      </c>
      <c r="BE2072" t="s">
        <v>35491</v>
      </c>
      <c r="BF2072" t="str">
        <f>HYPERLINK("http://dx.doi.org/10.1186/s40854-023-00553-8","http://dx.doi.org/10.1186/s40854-023-00553-8")</f>
        <v>http://dx.doi.org/10.1186/s40854-023-00553-8</v>
      </c>
      <c r="BG2072" t="s">
        <v>74</v>
      </c>
      <c r="BH2072" t="s">
        <v>74</v>
      </c>
      <c r="BI2072">
        <v>21</v>
      </c>
      <c r="BJ2072" t="s">
        <v>5092</v>
      </c>
      <c r="BK2072" t="s">
        <v>99</v>
      </c>
      <c r="BL2072" t="s">
        <v>2024</v>
      </c>
      <c r="BM2072" t="s">
        <v>35492</v>
      </c>
      <c r="BN2072" t="s">
        <v>74</v>
      </c>
      <c r="BO2072" t="s">
        <v>916</v>
      </c>
      <c r="BP2072" t="s">
        <v>74</v>
      </c>
      <c r="BQ2072" t="s">
        <v>74</v>
      </c>
      <c r="BR2072" t="s">
        <v>102</v>
      </c>
      <c r="BS2072" t="s">
        <v>35493</v>
      </c>
      <c r="BT2072" t="str">
        <f>HYPERLINK("https%3A%2F%2Fwww.webofscience.com%2Fwos%2Fwoscc%2Ffull-record%2FWOS:001136884500001","View Full Record in Web of Science")</f>
        <v>View Full Record in Web of Science</v>
      </c>
    </row>
    <row r="2073" spans="1:72" x14ac:dyDescent="0.25">
      <c r="A2073" t="s">
        <v>72</v>
      </c>
      <c r="B2073" t="s">
        <v>35494</v>
      </c>
      <c r="C2073" t="s">
        <v>74</v>
      </c>
      <c r="D2073" t="s">
        <v>74</v>
      </c>
      <c r="E2073" t="s">
        <v>74</v>
      </c>
      <c r="F2073" t="s">
        <v>35495</v>
      </c>
      <c r="G2073" t="s">
        <v>74</v>
      </c>
      <c r="H2073" t="s">
        <v>74</v>
      </c>
      <c r="I2073" t="s">
        <v>35496</v>
      </c>
      <c r="J2073" t="s">
        <v>35497</v>
      </c>
      <c r="K2073" t="s">
        <v>74</v>
      </c>
      <c r="L2073" t="s">
        <v>74</v>
      </c>
      <c r="M2073" t="s">
        <v>298</v>
      </c>
      <c r="N2073" t="s">
        <v>79</v>
      </c>
      <c r="O2073" t="s">
        <v>74</v>
      </c>
      <c r="P2073" t="s">
        <v>74</v>
      </c>
      <c r="Q2073" t="s">
        <v>74</v>
      </c>
      <c r="R2073" t="s">
        <v>74</v>
      </c>
      <c r="S2073" t="s">
        <v>74</v>
      </c>
      <c r="T2073" t="s">
        <v>35498</v>
      </c>
      <c r="U2073" t="s">
        <v>8579</v>
      </c>
      <c r="V2073" t="s">
        <v>35499</v>
      </c>
      <c r="W2073" t="s">
        <v>35500</v>
      </c>
      <c r="X2073" t="s">
        <v>20702</v>
      </c>
      <c r="Y2073" t="s">
        <v>35501</v>
      </c>
      <c r="Z2073" t="s">
        <v>35502</v>
      </c>
      <c r="AA2073" t="s">
        <v>27181</v>
      </c>
      <c r="AB2073" t="s">
        <v>74</v>
      </c>
      <c r="AC2073" t="s">
        <v>74</v>
      </c>
      <c r="AD2073" t="s">
        <v>74</v>
      </c>
      <c r="AE2073" t="s">
        <v>74</v>
      </c>
      <c r="AF2073" t="s">
        <v>74</v>
      </c>
      <c r="AG2073">
        <v>34</v>
      </c>
      <c r="AH2073">
        <v>1</v>
      </c>
      <c r="AI2073">
        <v>1</v>
      </c>
      <c r="AJ2073">
        <v>3</v>
      </c>
      <c r="AK2073">
        <v>42</v>
      </c>
      <c r="AL2073" t="s">
        <v>35503</v>
      </c>
      <c r="AM2073" t="s">
        <v>16016</v>
      </c>
      <c r="AN2073" t="s">
        <v>35504</v>
      </c>
      <c r="AO2073" t="s">
        <v>35505</v>
      </c>
      <c r="AP2073" t="s">
        <v>35506</v>
      </c>
      <c r="AQ2073" t="s">
        <v>74</v>
      </c>
      <c r="AR2073" t="s">
        <v>35507</v>
      </c>
      <c r="AS2073" t="s">
        <v>35508</v>
      </c>
      <c r="AT2073" t="s">
        <v>723</v>
      </c>
      <c r="AU2073">
        <v>2021</v>
      </c>
      <c r="AV2073">
        <v>40</v>
      </c>
      <c r="AW2073">
        <v>83</v>
      </c>
      <c r="AX2073" t="s">
        <v>74</v>
      </c>
      <c r="AY2073" t="s">
        <v>74</v>
      </c>
      <c r="AZ2073" t="s">
        <v>74</v>
      </c>
      <c r="BA2073" t="s">
        <v>74</v>
      </c>
      <c r="BB2073">
        <v>431</v>
      </c>
      <c r="BC2073">
        <v>457</v>
      </c>
      <c r="BD2073" t="s">
        <v>74</v>
      </c>
      <c r="BE2073" t="s">
        <v>35509</v>
      </c>
      <c r="BF2073" t="str">
        <f>HYPERLINK("http://dx.doi.org/10.15446/cuad.econ.v40n83.83247","http://dx.doi.org/10.15446/cuad.econ.v40n83.83247")</f>
        <v>http://dx.doi.org/10.15446/cuad.econ.v40n83.83247</v>
      </c>
      <c r="BG2073" t="s">
        <v>74</v>
      </c>
      <c r="BH2073" t="s">
        <v>74</v>
      </c>
      <c r="BI2073">
        <v>27</v>
      </c>
      <c r="BJ2073" t="s">
        <v>291</v>
      </c>
      <c r="BK2073" t="s">
        <v>313</v>
      </c>
      <c r="BL2073" t="s">
        <v>100</v>
      </c>
      <c r="BM2073" t="s">
        <v>35510</v>
      </c>
      <c r="BN2073" t="s">
        <v>74</v>
      </c>
      <c r="BO2073" t="s">
        <v>212</v>
      </c>
      <c r="BP2073" t="s">
        <v>74</v>
      </c>
      <c r="BQ2073" t="s">
        <v>74</v>
      </c>
      <c r="BR2073" t="s">
        <v>102</v>
      </c>
      <c r="BS2073" t="s">
        <v>35511</v>
      </c>
      <c r="BT2073" t="str">
        <f>HYPERLINK("https%3A%2F%2Fwww.webofscience.com%2Fwos%2Fwoscc%2Ffull-record%2FWOS:000711979400004","View Full Record in Web of Science")</f>
        <v>View Full Record in Web of Science</v>
      </c>
    </row>
    <row r="2074" spans="1:72" x14ac:dyDescent="0.25">
      <c r="A2074" t="s">
        <v>72</v>
      </c>
      <c r="B2074" t="s">
        <v>35512</v>
      </c>
      <c r="C2074" t="s">
        <v>74</v>
      </c>
      <c r="D2074" t="s">
        <v>74</v>
      </c>
      <c r="E2074" t="s">
        <v>74</v>
      </c>
      <c r="F2074" t="s">
        <v>35513</v>
      </c>
      <c r="G2074" t="s">
        <v>74</v>
      </c>
      <c r="H2074" t="s">
        <v>74</v>
      </c>
      <c r="I2074" t="s">
        <v>35514</v>
      </c>
      <c r="J2074" t="s">
        <v>9616</v>
      </c>
      <c r="K2074" t="s">
        <v>74</v>
      </c>
      <c r="L2074" t="s">
        <v>74</v>
      </c>
      <c r="M2074" t="s">
        <v>78</v>
      </c>
      <c r="N2074" t="s">
        <v>79</v>
      </c>
      <c r="O2074" t="s">
        <v>74</v>
      </c>
      <c r="P2074" t="s">
        <v>74</v>
      </c>
      <c r="Q2074" t="s">
        <v>74</v>
      </c>
      <c r="R2074" t="s">
        <v>74</v>
      </c>
      <c r="S2074" t="s">
        <v>74</v>
      </c>
      <c r="T2074" t="s">
        <v>35515</v>
      </c>
      <c r="U2074" t="s">
        <v>35516</v>
      </c>
      <c r="V2074" t="s">
        <v>35517</v>
      </c>
      <c r="W2074" t="s">
        <v>35518</v>
      </c>
      <c r="X2074" t="s">
        <v>11237</v>
      </c>
      <c r="Y2074" t="s">
        <v>19588</v>
      </c>
      <c r="Z2074" t="s">
        <v>35519</v>
      </c>
      <c r="AA2074" t="s">
        <v>35520</v>
      </c>
      <c r="AB2074" t="s">
        <v>35521</v>
      </c>
      <c r="AC2074" t="s">
        <v>74</v>
      </c>
      <c r="AD2074" t="s">
        <v>74</v>
      </c>
      <c r="AE2074" t="s">
        <v>74</v>
      </c>
      <c r="AF2074" t="s">
        <v>74</v>
      </c>
      <c r="AG2074">
        <v>74</v>
      </c>
      <c r="AH2074">
        <v>0</v>
      </c>
      <c r="AI2074">
        <v>1</v>
      </c>
      <c r="AJ2074">
        <v>2</v>
      </c>
      <c r="AK2074">
        <v>13</v>
      </c>
      <c r="AL2074" t="s">
        <v>575</v>
      </c>
      <c r="AM2074" t="s">
        <v>576</v>
      </c>
      <c r="AN2074" t="s">
        <v>3242</v>
      </c>
      <c r="AO2074" t="s">
        <v>74</v>
      </c>
      <c r="AP2074" t="s">
        <v>9626</v>
      </c>
      <c r="AQ2074" t="s">
        <v>74</v>
      </c>
      <c r="AR2074" t="s">
        <v>9616</v>
      </c>
      <c r="AS2074" t="s">
        <v>9627</v>
      </c>
      <c r="AT2074" t="s">
        <v>237</v>
      </c>
      <c r="AU2074">
        <v>2023</v>
      </c>
      <c r="AV2074">
        <v>11</v>
      </c>
      <c r="AW2074">
        <v>2</v>
      </c>
      <c r="AX2074" t="s">
        <v>74</v>
      </c>
      <c r="AY2074" t="s">
        <v>74</v>
      </c>
      <c r="AZ2074" t="s">
        <v>74</v>
      </c>
      <c r="BA2074" t="s">
        <v>74</v>
      </c>
      <c r="BB2074" t="s">
        <v>74</v>
      </c>
      <c r="BC2074" t="s">
        <v>74</v>
      </c>
      <c r="BD2074">
        <v>33</v>
      </c>
      <c r="BE2074" t="s">
        <v>35522</v>
      </c>
      <c r="BF2074" t="str">
        <f>HYPERLINK("http://dx.doi.org/10.3390/economies11020033","http://dx.doi.org/10.3390/economies11020033")</f>
        <v>http://dx.doi.org/10.3390/economies11020033</v>
      </c>
      <c r="BG2074" t="s">
        <v>74</v>
      </c>
      <c r="BH2074" t="s">
        <v>74</v>
      </c>
      <c r="BI2074">
        <v>17</v>
      </c>
      <c r="BJ2074" t="s">
        <v>291</v>
      </c>
      <c r="BK2074" t="s">
        <v>313</v>
      </c>
      <c r="BL2074" t="s">
        <v>100</v>
      </c>
      <c r="BM2074" t="s">
        <v>35523</v>
      </c>
      <c r="BN2074" t="s">
        <v>74</v>
      </c>
      <c r="BO2074" t="s">
        <v>916</v>
      </c>
      <c r="BP2074" t="s">
        <v>74</v>
      </c>
      <c r="BQ2074" t="s">
        <v>74</v>
      </c>
      <c r="BR2074" t="s">
        <v>102</v>
      </c>
      <c r="BS2074" t="s">
        <v>35524</v>
      </c>
      <c r="BT2074" t="str">
        <f>HYPERLINK("https%3A%2F%2Fwww.webofscience.com%2Fwos%2Fwoscc%2Ffull-record%2FWOS:000938603000001","View Full Record in Web of Science")</f>
        <v>View Full Record in Web of Science</v>
      </c>
    </row>
    <row r="2075" spans="1:72" x14ac:dyDescent="0.25">
      <c r="A2075" t="s">
        <v>72</v>
      </c>
      <c r="B2075" t="s">
        <v>11071</v>
      </c>
      <c r="C2075" t="s">
        <v>74</v>
      </c>
      <c r="D2075" t="s">
        <v>74</v>
      </c>
      <c r="E2075" t="s">
        <v>74</v>
      </c>
      <c r="F2075" t="s">
        <v>11072</v>
      </c>
      <c r="G2075" t="s">
        <v>74</v>
      </c>
      <c r="H2075" t="s">
        <v>74</v>
      </c>
      <c r="I2075" t="s">
        <v>35525</v>
      </c>
      <c r="J2075" t="s">
        <v>35526</v>
      </c>
      <c r="K2075" t="s">
        <v>74</v>
      </c>
      <c r="L2075" t="s">
        <v>74</v>
      </c>
      <c r="M2075" t="s">
        <v>78</v>
      </c>
      <c r="N2075" t="s">
        <v>79</v>
      </c>
      <c r="O2075" t="s">
        <v>74</v>
      </c>
      <c r="P2075" t="s">
        <v>74</v>
      </c>
      <c r="Q2075" t="s">
        <v>74</v>
      </c>
      <c r="R2075" t="s">
        <v>74</v>
      </c>
      <c r="S2075" t="s">
        <v>74</v>
      </c>
      <c r="T2075" t="s">
        <v>35527</v>
      </c>
      <c r="U2075" t="s">
        <v>74</v>
      </c>
      <c r="V2075" t="s">
        <v>35528</v>
      </c>
      <c r="W2075" t="s">
        <v>35529</v>
      </c>
      <c r="X2075" t="s">
        <v>11079</v>
      </c>
      <c r="Y2075" t="s">
        <v>35530</v>
      </c>
      <c r="Z2075" t="s">
        <v>12317</v>
      </c>
      <c r="AA2075" t="s">
        <v>11082</v>
      </c>
      <c r="AB2075" t="s">
        <v>74</v>
      </c>
      <c r="AC2075" t="s">
        <v>74</v>
      </c>
      <c r="AD2075" t="s">
        <v>74</v>
      </c>
      <c r="AE2075" t="s">
        <v>74</v>
      </c>
      <c r="AF2075" t="s">
        <v>74</v>
      </c>
      <c r="AG2075">
        <v>41</v>
      </c>
      <c r="AH2075">
        <v>1</v>
      </c>
      <c r="AI2075">
        <v>4</v>
      </c>
      <c r="AJ2075">
        <v>5</v>
      </c>
      <c r="AK2075">
        <v>11</v>
      </c>
      <c r="AL2075" t="s">
        <v>89</v>
      </c>
      <c r="AM2075" t="s">
        <v>90</v>
      </c>
      <c r="AN2075" t="s">
        <v>91</v>
      </c>
      <c r="AO2075" t="s">
        <v>35531</v>
      </c>
      <c r="AP2075" t="s">
        <v>35532</v>
      </c>
      <c r="AQ2075" t="s">
        <v>74</v>
      </c>
      <c r="AR2075" t="s">
        <v>35533</v>
      </c>
      <c r="AS2075" t="s">
        <v>35534</v>
      </c>
      <c r="AT2075" t="s">
        <v>35535</v>
      </c>
      <c r="AU2075">
        <v>2025</v>
      </c>
      <c r="AV2075">
        <v>18</v>
      </c>
      <c r="AW2075">
        <v>1</v>
      </c>
      <c r="AX2075" t="s">
        <v>74</v>
      </c>
      <c r="AY2075" t="s">
        <v>74</v>
      </c>
      <c r="AZ2075" t="s">
        <v>74</v>
      </c>
      <c r="BA2075" t="s">
        <v>74</v>
      </c>
      <c r="BB2075">
        <v>109</v>
      </c>
      <c r="BC2075">
        <v>129</v>
      </c>
      <c r="BD2075" t="s">
        <v>74</v>
      </c>
      <c r="BE2075" t="s">
        <v>35536</v>
      </c>
      <c r="BF2075" t="str">
        <f>HYPERLINK("http://dx.doi.org/10.1108/JCEFTS-05-2024-0035","http://dx.doi.org/10.1108/JCEFTS-05-2024-0035")</f>
        <v>http://dx.doi.org/10.1108/JCEFTS-05-2024-0035</v>
      </c>
      <c r="BG2075" t="s">
        <v>74</v>
      </c>
      <c r="BH2075" t="s">
        <v>1737</v>
      </c>
      <c r="BI2075">
        <v>21</v>
      </c>
      <c r="BJ2075" t="s">
        <v>291</v>
      </c>
      <c r="BK2075" t="s">
        <v>313</v>
      </c>
      <c r="BL2075" t="s">
        <v>100</v>
      </c>
      <c r="BM2075" t="s">
        <v>35537</v>
      </c>
      <c r="BN2075" t="s">
        <v>74</v>
      </c>
      <c r="BO2075" t="s">
        <v>74</v>
      </c>
      <c r="BP2075" t="s">
        <v>74</v>
      </c>
      <c r="BQ2075" t="s">
        <v>74</v>
      </c>
      <c r="BR2075" t="s">
        <v>102</v>
      </c>
      <c r="BS2075" t="s">
        <v>35538</v>
      </c>
      <c r="BT2075" t="str">
        <f>HYPERLINK("https%3A%2F%2Fwww.webofscience.com%2Fwos%2Fwoscc%2Ffull-record%2FWOS:001390182100001","View Full Record in Web of Science")</f>
        <v>View Full Record in Web of Science</v>
      </c>
    </row>
    <row r="2076" spans="1:72" x14ac:dyDescent="0.25">
      <c r="A2076" t="s">
        <v>72</v>
      </c>
      <c r="B2076" t="s">
        <v>35539</v>
      </c>
      <c r="C2076" t="s">
        <v>74</v>
      </c>
      <c r="D2076" t="s">
        <v>74</v>
      </c>
      <c r="E2076" t="s">
        <v>74</v>
      </c>
      <c r="F2076" t="s">
        <v>35540</v>
      </c>
      <c r="G2076" t="s">
        <v>74</v>
      </c>
      <c r="H2076" t="s">
        <v>74</v>
      </c>
      <c r="I2076" t="s">
        <v>35541</v>
      </c>
      <c r="J2076" t="s">
        <v>35542</v>
      </c>
      <c r="K2076" t="s">
        <v>74</v>
      </c>
      <c r="L2076" t="s">
        <v>74</v>
      </c>
      <c r="M2076" t="s">
        <v>78</v>
      </c>
      <c r="N2076" t="s">
        <v>79</v>
      </c>
      <c r="O2076" t="s">
        <v>74</v>
      </c>
      <c r="P2076" t="s">
        <v>74</v>
      </c>
      <c r="Q2076" t="s">
        <v>74</v>
      </c>
      <c r="R2076" t="s">
        <v>74</v>
      </c>
      <c r="S2076" t="s">
        <v>74</v>
      </c>
      <c r="T2076" t="s">
        <v>74</v>
      </c>
      <c r="U2076" t="s">
        <v>35543</v>
      </c>
      <c r="V2076" t="s">
        <v>35544</v>
      </c>
      <c r="W2076" t="s">
        <v>35545</v>
      </c>
      <c r="X2076" t="s">
        <v>18930</v>
      </c>
      <c r="Y2076" t="s">
        <v>35546</v>
      </c>
      <c r="Z2076" t="s">
        <v>18928</v>
      </c>
      <c r="AA2076" t="s">
        <v>35547</v>
      </c>
      <c r="AB2076" t="s">
        <v>35548</v>
      </c>
      <c r="AC2076" t="s">
        <v>74</v>
      </c>
      <c r="AD2076" t="s">
        <v>74</v>
      </c>
      <c r="AE2076" t="s">
        <v>74</v>
      </c>
      <c r="AF2076" t="s">
        <v>74</v>
      </c>
      <c r="AG2076">
        <v>59</v>
      </c>
      <c r="AH2076">
        <v>7</v>
      </c>
      <c r="AI2076">
        <v>16</v>
      </c>
      <c r="AJ2076">
        <v>1</v>
      </c>
      <c r="AK2076">
        <v>11</v>
      </c>
      <c r="AL2076" t="s">
        <v>479</v>
      </c>
      <c r="AM2076" t="s">
        <v>480</v>
      </c>
      <c r="AN2076" t="s">
        <v>481</v>
      </c>
      <c r="AO2076" t="s">
        <v>35549</v>
      </c>
      <c r="AP2076" t="s">
        <v>35550</v>
      </c>
      <c r="AQ2076" t="s">
        <v>74</v>
      </c>
      <c r="AR2076" t="s">
        <v>35551</v>
      </c>
      <c r="AS2076" t="s">
        <v>35552</v>
      </c>
      <c r="AT2076" t="s">
        <v>891</v>
      </c>
      <c r="AU2076">
        <v>2021</v>
      </c>
      <c r="AV2076">
        <v>35</v>
      </c>
      <c r="AW2076">
        <v>2</v>
      </c>
      <c r="AX2076" t="s">
        <v>74</v>
      </c>
      <c r="AY2076" t="s">
        <v>74</v>
      </c>
      <c r="AZ2076" t="s">
        <v>74</v>
      </c>
      <c r="BA2076" t="s">
        <v>74</v>
      </c>
      <c r="BB2076">
        <v>123</v>
      </c>
      <c r="BC2076">
        <v>135</v>
      </c>
      <c r="BD2076" t="s">
        <v>74</v>
      </c>
      <c r="BE2076" t="s">
        <v>35553</v>
      </c>
      <c r="BF2076" t="str">
        <f>HYPERLINK("http://dx.doi.org/10.1111/apel.12330","http://dx.doi.org/10.1111/apel.12330")</f>
        <v>http://dx.doi.org/10.1111/apel.12330</v>
      </c>
      <c r="BG2076" t="s">
        <v>74</v>
      </c>
      <c r="BH2076" t="s">
        <v>11151</v>
      </c>
      <c r="BI2076">
        <v>13</v>
      </c>
      <c r="BJ2076" t="s">
        <v>291</v>
      </c>
      <c r="BK2076" t="s">
        <v>99</v>
      </c>
      <c r="BL2076" t="s">
        <v>100</v>
      </c>
      <c r="BM2076" t="s">
        <v>35554</v>
      </c>
      <c r="BN2076" t="s">
        <v>74</v>
      </c>
      <c r="BO2076" t="s">
        <v>74</v>
      </c>
      <c r="BP2076" t="s">
        <v>74</v>
      </c>
      <c r="BQ2076" t="s">
        <v>74</v>
      </c>
      <c r="BR2076" t="s">
        <v>102</v>
      </c>
      <c r="BS2076" t="s">
        <v>35555</v>
      </c>
      <c r="BT2076" t="str">
        <f>HYPERLINK("https%3A%2F%2Fwww.webofscience.com%2Fwos%2Fwoscc%2Ffull-record%2FWOS:000672097100001","View Full Record in Web of Science")</f>
        <v>View Full Record in Web of Science</v>
      </c>
    </row>
    <row r="2077" spans="1:72" x14ac:dyDescent="0.25">
      <c r="A2077" t="s">
        <v>72</v>
      </c>
      <c r="B2077" t="s">
        <v>35556</v>
      </c>
      <c r="C2077" t="s">
        <v>74</v>
      </c>
      <c r="D2077" t="s">
        <v>74</v>
      </c>
      <c r="E2077" t="s">
        <v>74</v>
      </c>
      <c r="F2077" t="s">
        <v>35557</v>
      </c>
      <c r="G2077" t="s">
        <v>74</v>
      </c>
      <c r="H2077" t="s">
        <v>74</v>
      </c>
      <c r="I2077" t="s">
        <v>35558</v>
      </c>
      <c r="J2077" t="s">
        <v>7064</v>
      </c>
      <c r="K2077" t="s">
        <v>74</v>
      </c>
      <c r="L2077" t="s">
        <v>74</v>
      </c>
      <c r="M2077" t="s">
        <v>78</v>
      </c>
      <c r="N2077" t="s">
        <v>79</v>
      </c>
      <c r="O2077" t="s">
        <v>74</v>
      </c>
      <c r="P2077" t="s">
        <v>74</v>
      </c>
      <c r="Q2077" t="s">
        <v>74</v>
      </c>
      <c r="R2077" t="s">
        <v>74</v>
      </c>
      <c r="S2077" t="s">
        <v>74</v>
      </c>
      <c r="T2077" t="s">
        <v>35559</v>
      </c>
      <c r="U2077" t="s">
        <v>1369</v>
      </c>
      <c r="V2077" t="s">
        <v>35560</v>
      </c>
      <c r="W2077" t="s">
        <v>35561</v>
      </c>
      <c r="X2077" t="s">
        <v>35562</v>
      </c>
      <c r="Y2077" t="s">
        <v>35563</v>
      </c>
      <c r="Z2077" t="s">
        <v>21098</v>
      </c>
      <c r="AA2077" t="s">
        <v>35564</v>
      </c>
      <c r="AB2077" t="s">
        <v>35565</v>
      </c>
      <c r="AC2077" t="s">
        <v>74</v>
      </c>
      <c r="AD2077" t="s">
        <v>74</v>
      </c>
      <c r="AE2077" t="s">
        <v>74</v>
      </c>
      <c r="AF2077" t="s">
        <v>74</v>
      </c>
      <c r="AG2077">
        <v>48</v>
      </c>
      <c r="AH2077">
        <v>3</v>
      </c>
      <c r="AI2077">
        <v>3</v>
      </c>
      <c r="AJ2077">
        <v>1</v>
      </c>
      <c r="AK2077">
        <v>3</v>
      </c>
      <c r="AL2077" t="s">
        <v>8503</v>
      </c>
      <c r="AM2077" t="s">
        <v>995</v>
      </c>
      <c r="AN2077" t="s">
        <v>8504</v>
      </c>
      <c r="AO2077" t="s">
        <v>74</v>
      </c>
      <c r="AP2077" t="s">
        <v>7076</v>
      </c>
      <c r="AQ2077" t="s">
        <v>74</v>
      </c>
      <c r="AR2077" t="s">
        <v>7064</v>
      </c>
      <c r="AS2077" t="s">
        <v>7077</v>
      </c>
      <c r="AT2077" t="s">
        <v>35566</v>
      </c>
      <c r="AU2077">
        <v>2024</v>
      </c>
      <c r="AV2077">
        <v>24</v>
      </c>
      <c r="AW2077">
        <v>1</v>
      </c>
      <c r="AX2077" t="s">
        <v>74</v>
      </c>
      <c r="AY2077" t="s">
        <v>74</v>
      </c>
      <c r="AZ2077" t="s">
        <v>74</v>
      </c>
      <c r="BA2077" t="s">
        <v>74</v>
      </c>
      <c r="BB2077" t="s">
        <v>74</v>
      </c>
      <c r="BC2077" t="s">
        <v>74</v>
      </c>
      <c r="BD2077">
        <v>1316</v>
      </c>
      <c r="BE2077" t="s">
        <v>35567</v>
      </c>
      <c r="BF2077" t="str">
        <f>HYPERLINK("http://dx.doi.org/10.1186/s12889-024-18715-3","http://dx.doi.org/10.1186/s12889-024-18715-3")</f>
        <v>http://dx.doi.org/10.1186/s12889-024-18715-3</v>
      </c>
      <c r="BG2077" t="s">
        <v>74</v>
      </c>
      <c r="BH2077" t="s">
        <v>74</v>
      </c>
      <c r="BI2077">
        <v>13</v>
      </c>
      <c r="BJ2077" t="s">
        <v>7080</v>
      </c>
      <c r="BK2077" t="s">
        <v>128</v>
      </c>
      <c r="BL2077" t="s">
        <v>7080</v>
      </c>
      <c r="BM2077" t="s">
        <v>35568</v>
      </c>
      <c r="BN2077">
        <v>38750450</v>
      </c>
      <c r="BO2077" t="s">
        <v>916</v>
      </c>
      <c r="BP2077" t="s">
        <v>74</v>
      </c>
      <c r="BQ2077" t="s">
        <v>74</v>
      </c>
      <c r="BR2077" t="s">
        <v>102</v>
      </c>
      <c r="BS2077" t="s">
        <v>35569</v>
      </c>
      <c r="BT2077" t="str">
        <f>HYPERLINK("https%3A%2F%2Fwww.webofscience.com%2Fwos%2Fwoscc%2Ffull-record%2FWOS:001224135300006","View Full Record in Web of Science")</f>
        <v>View Full Record in Web of Science</v>
      </c>
    </row>
    <row r="2078" spans="1:72" x14ac:dyDescent="0.25">
      <c r="A2078" t="s">
        <v>72</v>
      </c>
      <c r="B2078" t="s">
        <v>35570</v>
      </c>
      <c r="C2078" t="s">
        <v>74</v>
      </c>
      <c r="D2078" t="s">
        <v>74</v>
      </c>
      <c r="E2078" t="s">
        <v>74</v>
      </c>
      <c r="F2078" t="s">
        <v>35571</v>
      </c>
      <c r="G2078" t="s">
        <v>74</v>
      </c>
      <c r="H2078" t="s">
        <v>74</v>
      </c>
      <c r="I2078" t="s">
        <v>35572</v>
      </c>
      <c r="J2078" t="s">
        <v>8598</v>
      </c>
      <c r="K2078" t="s">
        <v>74</v>
      </c>
      <c r="L2078" t="s">
        <v>74</v>
      </c>
      <c r="M2078" t="s">
        <v>78</v>
      </c>
      <c r="N2078" t="s">
        <v>79</v>
      </c>
      <c r="O2078" t="s">
        <v>74</v>
      </c>
      <c r="P2078" t="s">
        <v>74</v>
      </c>
      <c r="Q2078" t="s">
        <v>74</v>
      </c>
      <c r="R2078" t="s">
        <v>74</v>
      </c>
      <c r="S2078" t="s">
        <v>74</v>
      </c>
      <c r="T2078" t="s">
        <v>35573</v>
      </c>
      <c r="U2078" t="s">
        <v>35574</v>
      </c>
      <c r="V2078" t="s">
        <v>35575</v>
      </c>
      <c r="W2078" t="s">
        <v>35576</v>
      </c>
      <c r="X2078" t="s">
        <v>74</v>
      </c>
      <c r="Y2078" t="s">
        <v>35577</v>
      </c>
      <c r="Z2078" t="s">
        <v>35578</v>
      </c>
      <c r="AA2078" t="s">
        <v>35579</v>
      </c>
      <c r="AB2078" t="s">
        <v>35580</v>
      </c>
      <c r="AC2078" t="s">
        <v>74</v>
      </c>
      <c r="AD2078" t="s">
        <v>74</v>
      </c>
      <c r="AE2078" t="s">
        <v>74</v>
      </c>
      <c r="AF2078" t="s">
        <v>74</v>
      </c>
      <c r="AG2078">
        <v>114</v>
      </c>
      <c r="AH2078">
        <v>1</v>
      </c>
      <c r="AI2078">
        <v>1</v>
      </c>
      <c r="AJ2078">
        <v>2</v>
      </c>
      <c r="AK2078">
        <v>3</v>
      </c>
      <c r="AL2078" t="s">
        <v>8606</v>
      </c>
      <c r="AM2078" t="s">
        <v>1840</v>
      </c>
      <c r="AN2078" t="s">
        <v>8607</v>
      </c>
      <c r="AO2078" t="s">
        <v>8608</v>
      </c>
      <c r="AP2078" t="s">
        <v>8609</v>
      </c>
      <c r="AQ2078" t="s">
        <v>74</v>
      </c>
      <c r="AR2078" t="s">
        <v>8610</v>
      </c>
      <c r="AS2078" t="s">
        <v>8611</v>
      </c>
      <c r="AT2078" t="s">
        <v>74</v>
      </c>
      <c r="AU2078">
        <v>2025</v>
      </c>
      <c r="AV2078">
        <v>34</v>
      </c>
      <c r="AW2078">
        <v>1</v>
      </c>
      <c r="AX2078" t="s">
        <v>74</v>
      </c>
      <c r="AY2078" t="s">
        <v>74</v>
      </c>
      <c r="AZ2078" t="s">
        <v>74</v>
      </c>
      <c r="BA2078" t="s">
        <v>74</v>
      </c>
      <c r="BB2078">
        <v>98</v>
      </c>
      <c r="BC2078">
        <v>136</v>
      </c>
      <c r="BD2078" t="s">
        <v>74</v>
      </c>
      <c r="BE2078" t="s">
        <v>35581</v>
      </c>
      <c r="BF2078" t="str">
        <f>HYPERLINK("http://dx.doi.org/10.18267/j.pep.886","http://dx.doi.org/10.18267/j.pep.886")</f>
        <v>http://dx.doi.org/10.18267/j.pep.886</v>
      </c>
      <c r="BG2078" t="s">
        <v>74</v>
      </c>
      <c r="BH2078" t="s">
        <v>74</v>
      </c>
      <c r="BI2078">
        <v>39</v>
      </c>
      <c r="BJ2078" t="s">
        <v>291</v>
      </c>
      <c r="BK2078" t="s">
        <v>99</v>
      </c>
      <c r="BL2078" t="s">
        <v>100</v>
      </c>
      <c r="BM2078" t="s">
        <v>35582</v>
      </c>
      <c r="BN2078" t="s">
        <v>74</v>
      </c>
      <c r="BO2078" t="s">
        <v>212</v>
      </c>
      <c r="BP2078" t="s">
        <v>74</v>
      </c>
      <c r="BQ2078" t="s">
        <v>74</v>
      </c>
      <c r="BR2078" t="s">
        <v>102</v>
      </c>
      <c r="BS2078" t="s">
        <v>35583</v>
      </c>
      <c r="BT2078" t="str">
        <f>HYPERLINK("https%3A%2F%2Fwww.webofscience.com%2Fwos%2Fwoscc%2Ffull-record%2FWOS:001489757500005","View Full Record in Web of Science")</f>
        <v>View Full Record in Web of Science</v>
      </c>
    </row>
    <row r="2079" spans="1:72" x14ac:dyDescent="0.25">
      <c r="A2079" t="s">
        <v>72</v>
      </c>
      <c r="B2079" t="s">
        <v>24863</v>
      </c>
      <c r="C2079" t="s">
        <v>74</v>
      </c>
      <c r="D2079" t="s">
        <v>74</v>
      </c>
      <c r="E2079" t="s">
        <v>74</v>
      </c>
      <c r="F2079" t="s">
        <v>24862</v>
      </c>
      <c r="G2079" t="s">
        <v>74</v>
      </c>
      <c r="H2079" t="s">
        <v>74</v>
      </c>
      <c r="I2079" t="s">
        <v>35584</v>
      </c>
      <c r="J2079" t="s">
        <v>7119</v>
      </c>
      <c r="K2079" t="s">
        <v>74</v>
      </c>
      <c r="L2079" t="s">
        <v>74</v>
      </c>
      <c r="M2079" t="s">
        <v>78</v>
      </c>
      <c r="N2079" t="s">
        <v>79</v>
      </c>
      <c r="O2079" t="s">
        <v>74</v>
      </c>
      <c r="P2079" t="s">
        <v>74</v>
      </c>
      <c r="Q2079" t="s">
        <v>74</v>
      </c>
      <c r="R2079" t="s">
        <v>74</v>
      </c>
      <c r="S2079" t="s">
        <v>74</v>
      </c>
      <c r="T2079" t="s">
        <v>35585</v>
      </c>
      <c r="U2079" t="s">
        <v>35586</v>
      </c>
      <c r="V2079" t="s">
        <v>35587</v>
      </c>
      <c r="W2079" t="s">
        <v>35588</v>
      </c>
      <c r="X2079" t="s">
        <v>24857</v>
      </c>
      <c r="Y2079" t="s">
        <v>35589</v>
      </c>
      <c r="Z2079" t="s">
        <v>24855</v>
      </c>
      <c r="AA2079" t="s">
        <v>24854</v>
      </c>
      <c r="AB2079" t="s">
        <v>24853</v>
      </c>
      <c r="AC2079" t="s">
        <v>74</v>
      </c>
      <c r="AD2079" t="s">
        <v>74</v>
      </c>
      <c r="AE2079" t="s">
        <v>74</v>
      </c>
      <c r="AF2079" t="s">
        <v>74</v>
      </c>
      <c r="AG2079">
        <v>50</v>
      </c>
      <c r="AH2079">
        <v>11</v>
      </c>
      <c r="AI2079">
        <v>14</v>
      </c>
      <c r="AJ2079">
        <v>0</v>
      </c>
      <c r="AK2079">
        <v>16</v>
      </c>
      <c r="AL2079" t="s">
        <v>89</v>
      </c>
      <c r="AM2079" t="s">
        <v>90</v>
      </c>
      <c r="AN2079" t="s">
        <v>13029</v>
      </c>
      <c r="AO2079" t="s">
        <v>7128</v>
      </c>
      <c r="AP2079" t="s">
        <v>74</v>
      </c>
      <c r="AQ2079" t="s">
        <v>74</v>
      </c>
      <c r="AR2079" t="s">
        <v>7129</v>
      </c>
      <c r="AS2079" t="s">
        <v>7130</v>
      </c>
      <c r="AT2079" t="s">
        <v>31322</v>
      </c>
      <c r="AU2079">
        <v>2022</v>
      </c>
      <c r="AV2079">
        <v>14</v>
      </c>
      <c r="AW2079">
        <v>5</v>
      </c>
      <c r="AX2079" t="s">
        <v>74</v>
      </c>
      <c r="AY2079" t="s">
        <v>74</v>
      </c>
      <c r="AZ2079" t="s">
        <v>74</v>
      </c>
      <c r="BA2079" t="s">
        <v>74</v>
      </c>
      <c r="BB2079">
        <v>621</v>
      </c>
      <c r="BC2079">
        <v>636</v>
      </c>
      <c r="BD2079" t="s">
        <v>74</v>
      </c>
      <c r="BE2079" t="s">
        <v>35590</v>
      </c>
      <c r="BF2079" t="str">
        <f>HYPERLINK("http://dx.doi.org/10.1108/QRFM-10-2021-0170","http://dx.doi.org/10.1108/QRFM-10-2021-0170")</f>
        <v>http://dx.doi.org/10.1108/QRFM-10-2021-0170</v>
      </c>
      <c r="BG2079" t="s">
        <v>74</v>
      </c>
      <c r="BH2079" t="s">
        <v>767</v>
      </c>
      <c r="BI2079">
        <v>16</v>
      </c>
      <c r="BJ2079" t="s">
        <v>268</v>
      </c>
      <c r="BK2079" t="s">
        <v>313</v>
      </c>
      <c r="BL2079" t="s">
        <v>100</v>
      </c>
      <c r="BM2079" t="s">
        <v>35591</v>
      </c>
      <c r="BN2079" t="s">
        <v>74</v>
      </c>
      <c r="BO2079" t="s">
        <v>74</v>
      </c>
      <c r="BP2079" t="s">
        <v>74</v>
      </c>
      <c r="BQ2079" t="s">
        <v>74</v>
      </c>
      <c r="BR2079" t="s">
        <v>102</v>
      </c>
      <c r="BS2079" t="s">
        <v>35592</v>
      </c>
      <c r="BT2079" t="str">
        <f>HYPERLINK("https%3A%2F%2Fwww.webofscience.com%2Fwos%2Fwoscc%2Ffull-record%2FWOS:000767480200001","View Full Record in Web of Science")</f>
        <v>View Full Record in Web of Science</v>
      </c>
    </row>
    <row r="2080" spans="1:72" x14ac:dyDescent="0.25">
      <c r="A2080" t="s">
        <v>72</v>
      </c>
      <c r="B2080" t="s">
        <v>35593</v>
      </c>
      <c r="C2080" t="s">
        <v>74</v>
      </c>
      <c r="D2080" t="s">
        <v>74</v>
      </c>
      <c r="E2080" t="s">
        <v>74</v>
      </c>
      <c r="F2080" t="s">
        <v>35594</v>
      </c>
      <c r="G2080" t="s">
        <v>74</v>
      </c>
      <c r="H2080" t="s">
        <v>74</v>
      </c>
      <c r="I2080" t="s">
        <v>35595</v>
      </c>
      <c r="J2080" t="s">
        <v>5098</v>
      </c>
      <c r="K2080" t="s">
        <v>74</v>
      </c>
      <c r="L2080" t="s">
        <v>74</v>
      </c>
      <c r="M2080" t="s">
        <v>78</v>
      </c>
      <c r="N2080" t="s">
        <v>79</v>
      </c>
      <c r="O2080" t="s">
        <v>74</v>
      </c>
      <c r="P2080" t="s">
        <v>74</v>
      </c>
      <c r="Q2080" t="s">
        <v>74</v>
      </c>
      <c r="R2080" t="s">
        <v>74</v>
      </c>
      <c r="S2080" t="s">
        <v>74</v>
      </c>
      <c r="T2080" t="s">
        <v>35596</v>
      </c>
      <c r="U2080" t="s">
        <v>35597</v>
      </c>
      <c r="V2080" t="s">
        <v>35598</v>
      </c>
      <c r="W2080" t="s">
        <v>35599</v>
      </c>
      <c r="X2080" t="s">
        <v>35600</v>
      </c>
      <c r="Y2080" t="s">
        <v>35601</v>
      </c>
      <c r="Z2080" t="s">
        <v>35602</v>
      </c>
      <c r="AA2080" t="s">
        <v>35603</v>
      </c>
      <c r="AB2080" t="s">
        <v>35604</v>
      </c>
      <c r="AC2080" t="s">
        <v>74</v>
      </c>
      <c r="AD2080" t="s">
        <v>74</v>
      </c>
      <c r="AE2080" t="s">
        <v>74</v>
      </c>
      <c r="AF2080" t="s">
        <v>74</v>
      </c>
      <c r="AG2080">
        <v>81</v>
      </c>
      <c r="AH2080">
        <v>10</v>
      </c>
      <c r="AI2080">
        <v>12</v>
      </c>
      <c r="AJ2080">
        <v>0</v>
      </c>
      <c r="AK2080">
        <v>3</v>
      </c>
      <c r="AL2080" t="s">
        <v>479</v>
      </c>
      <c r="AM2080" t="s">
        <v>480</v>
      </c>
      <c r="AN2080" t="s">
        <v>481</v>
      </c>
      <c r="AO2080" t="s">
        <v>5108</v>
      </c>
      <c r="AP2080" t="s">
        <v>74</v>
      </c>
      <c r="AQ2080" t="s">
        <v>74</v>
      </c>
      <c r="AR2080" t="s">
        <v>5109</v>
      </c>
      <c r="AS2080" t="s">
        <v>5110</v>
      </c>
      <c r="AT2080" t="s">
        <v>1540</v>
      </c>
      <c r="AU2080">
        <v>2019</v>
      </c>
      <c r="AV2080">
        <v>85</v>
      </c>
      <c r="AW2080">
        <v>3</v>
      </c>
      <c r="AX2080" t="s">
        <v>74</v>
      </c>
      <c r="AY2080" t="s">
        <v>74</v>
      </c>
      <c r="AZ2080" t="s">
        <v>441</v>
      </c>
      <c r="BA2080" t="s">
        <v>74</v>
      </c>
      <c r="BB2080" t="s">
        <v>74</v>
      </c>
      <c r="BC2080" t="s">
        <v>74</v>
      </c>
      <c r="BD2080" t="s">
        <v>35605</v>
      </c>
      <c r="BE2080" t="s">
        <v>35606</v>
      </c>
      <c r="BF2080" t="str">
        <f>HYPERLINK("http://dx.doi.org/10.1002/isd2.12090","http://dx.doi.org/10.1002/isd2.12090")</f>
        <v>http://dx.doi.org/10.1002/isd2.12090</v>
      </c>
      <c r="BG2080" t="s">
        <v>74</v>
      </c>
      <c r="BH2080" t="s">
        <v>74</v>
      </c>
      <c r="BI2080">
        <v>16</v>
      </c>
      <c r="BJ2080" t="s">
        <v>364</v>
      </c>
      <c r="BK2080" t="s">
        <v>313</v>
      </c>
      <c r="BL2080" t="s">
        <v>365</v>
      </c>
      <c r="BM2080" t="s">
        <v>35607</v>
      </c>
      <c r="BN2080" t="s">
        <v>74</v>
      </c>
      <c r="BO2080" t="s">
        <v>270</v>
      </c>
      <c r="BP2080" t="s">
        <v>74</v>
      </c>
      <c r="BQ2080" t="s">
        <v>74</v>
      </c>
      <c r="BR2080" t="s">
        <v>102</v>
      </c>
      <c r="BS2080" t="s">
        <v>35608</v>
      </c>
      <c r="BT2080" t="str">
        <f>HYPERLINK("https%3A%2F%2Fwww.webofscience.com%2Fwos%2Fwoscc%2Ffull-record%2FWOS:000468314100002","View Full Record in Web of Science")</f>
        <v>View Full Record in Web of Science</v>
      </c>
    </row>
    <row r="2081" spans="1:72" x14ac:dyDescent="0.25">
      <c r="A2081" t="s">
        <v>72</v>
      </c>
      <c r="B2081" t="s">
        <v>35609</v>
      </c>
      <c r="C2081" t="s">
        <v>74</v>
      </c>
      <c r="D2081" t="s">
        <v>74</v>
      </c>
      <c r="E2081" t="s">
        <v>74</v>
      </c>
      <c r="F2081" t="s">
        <v>35610</v>
      </c>
      <c r="G2081" t="s">
        <v>74</v>
      </c>
      <c r="H2081" t="s">
        <v>74</v>
      </c>
      <c r="I2081" t="s">
        <v>35611</v>
      </c>
      <c r="J2081" t="s">
        <v>35612</v>
      </c>
      <c r="K2081" t="s">
        <v>74</v>
      </c>
      <c r="L2081" t="s">
        <v>74</v>
      </c>
      <c r="M2081" t="s">
        <v>78</v>
      </c>
      <c r="N2081" t="s">
        <v>79</v>
      </c>
      <c r="O2081" t="s">
        <v>74</v>
      </c>
      <c r="P2081" t="s">
        <v>74</v>
      </c>
      <c r="Q2081" t="s">
        <v>74</v>
      </c>
      <c r="R2081" t="s">
        <v>74</v>
      </c>
      <c r="S2081" t="s">
        <v>74</v>
      </c>
      <c r="T2081" t="s">
        <v>35613</v>
      </c>
      <c r="U2081" t="s">
        <v>74</v>
      </c>
      <c r="V2081" t="s">
        <v>35614</v>
      </c>
      <c r="W2081" t="s">
        <v>35615</v>
      </c>
      <c r="X2081" t="s">
        <v>25350</v>
      </c>
      <c r="Y2081" t="s">
        <v>35616</v>
      </c>
      <c r="Z2081" t="s">
        <v>35617</v>
      </c>
      <c r="AA2081" t="s">
        <v>74</v>
      </c>
      <c r="AB2081" t="s">
        <v>74</v>
      </c>
      <c r="AC2081" t="s">
        <v>74</v>
      </c>
      <c r="AD2081" t="s">
        <v>74</v>
      </c>
      <c r="AE2081" t="s">
        <v>74</v>
      </c>
      <c r="AF2081" t="s">
        <v>74</v>
      </c>
      <c r="AG2081">
        <v>31</v>
      </c>
      <c r="AH2081">
        <v>11</v>
      </c>
      <c r="AI2081">
        <v>14</v>
      </c>
      <c r="AJ2081">
        <v>0</v>
      </c>
      <c r="AK2081">
        <v>7</v>
      </c>
      <c r="AL2081" t="s">
        <v>2343</v>
      </c>
      <c r="AM2081" t="s">
        <v>2344</v>
      </c>
      <c r="AN2081" t="s">
        <v>2345</v>
      </c>
      <c r="AO2081" t="s">
        <v>35618</v>
      </c>
      <c r="AP2081" t="s">
        <v>35619</v>
      </c>
      <c r="AQ2081" t="s">
        <v>74</v>
      </c>
      <c r="AR2081" t="s">
        <v>35620</v>
      </c>
      <c r="AS2081" t="s">
        <v>35621</v>
      </c>
      <c r="AT2081" t="s">
        <v>25329</v>
      </c>
      <c r="AU2081">
        <v>2020</v>
      </c>
      <c r="AV2081">
        <v>56</v>
      </c>
      <c r="AW2081">
        <v>2</v>
      </c>
      <c r="AX2081" t="s">
        <v>74</v>
      </c>
      <c r="AY2081" t="s">
        <v>74</v>
      </c>
      <c r="AZ2081" t="s">
        <v>74</v>
      </c>
      <c r="BA2081" t="s">
        <v>74</v>
      </c>
      <c r="BB2081">
        <v>214</v>
      </c>
      <c r="BC2081">
        <v>223</v>
      </c>
      <c r="BD2081" t="s">
        <v>74</v>
      </c>
      <c r="BE2081" t="s">
        <v>35622</v>
      </c>
      <c r="BF2081" t="str">
        <f>HYPERLINK("http://dx.doi.org/10.1080/10826084.2020.1853776","http://dx.doi.org/10.1080/10826084.2020.1853776")</f>
        <v>http://dx.doi.org/10.1080/10826084.2020.1853776</v>
      </c>
      <c r="BG2081" t="s">
        <v>74</v>
      </c>
      <c r="BH2081" t="s">
        <v>14147</v>
      </c>
      <c r="BI2081">
        <v>10</v>
      </c>
      <c r="BJ2081" t="s">
        <v>35623</v>
      </c>
      <c r="BK2081" t="s">
        <v>2623</v>
      </c>
      <c r="BL2081" t="s">
        <v>35623</v>
      </c>
      <c r="BM2081" t="s">
        <v>35624</v>
      </c>
      <c r="BN2081">
        <v>33300413</v>
      </c>
      <c r="BO2081" t="s">
        <v>74</v>
      </c>
      <c r="BP2081" t="s">
        <v>74</v>
      </c>
      <c r="BQ2081" t="s">
        <v>74</v>
      </c>
      <c r="BR2081" t="s">
        <v>102</v>
      </c>
      <c r="BS2081" t="s">
        <v>35625</v>
      </c>
      <c r="BT2081" t="str">
        <f>HYPERLINK("https%3A%2F%2Fwww.webofscience.com%2Fwos%2Fwoscc%2Ffull-record%2FWOS:000597362900001","View Full Record in Web of Science")</f>
        <v>View Full Record in Web of Science</v>
      </c>
    </row>
    <row r="2082" spans="1:72" x14ac:dyDescent="0.25">
      <c r="A2082" t="s">
        <v>72</v>
      </c>
      <c r="B2082" t="s">
        <v>35626</v>
      </c>
      <c r="C2082" t="s">
        <v>74</v>
      </c>
      <c r="D2082" t="s">
        <v>74</v>
      </c>
      <c r="E2082" t="s">
        <v>74</v>
      </c>
      <c r="F2082" t="s">
        <v>35627</v>
      </c>
      <c r="G2082" t="s">
        <v>74</v>
      </c>
      <c r="H2082" t="s">
        <v>74</v>
      </c>
      <c r="I2082" t="s">
        <v>35628</v>
      </c>
      <c r="J2082" t="s">
        <v>1765</v>
      </c>
      <c r="K2082" t="s">
        <v>74</v>
      </c>
      <c r="L2082" t="s">
        <v>74</v>
      </c>
      <c r="M2082" t="s">
        <v>78</v>
      </c>
      <c r="N2082" t="s">
        <v>79</v>
      </c>
      <c r="O2082" t="s">
        <v>74</v>
      </c>
      <c r="P2082" t="s">
        <v>74</v>
      </c>
      <c r="Q2082" t="s">
        <v>74</v>
      </c>
      <c r="R2082" t="s">
        <v>74</v>
      </c>
      <c r="S2082" t="s">
        <v>74</v>
      </c>
      <c r="T2082" t="s">
        <v>35629</v>
      </c>
      <c r="U2082" t="s">
        <v>35630</v>
      </c>
      <c r="V2082" t="s">
        <v>35631</v>
      </c>
      <c r="W2082" t="s">
        <v>35632</v>
      </c>
      <c r="X2082" t="s">
        <v>35633</v>
      </c>
      <c r="Y2082" t="s">
        <v>35634</v>
      </c>
      <c r="Z2082" t="s">
        <v>35635</v>
      </c>
      <c r="AA2082" t="s">
        <v>74</v>
      </c>
      <c r="AB2082" t="s">
        <v>35636</v>
      </c>
      <c r="AC2082" t="s">
        <v>35637</v>
      </c>
      <c r="AD2082" t="s">
        <v>35638</v>
      </c>
      <c r="AE2082" t="s">
        <v>35639</v>
      </c>
      <c r="AF2082" t="s">
        <v>74</v>
      </c>
      <c r="AG2082">
        <v>46</v>
      </c>
      <c r="AH2082">
        <v>17</v>
      </c>
      <c r="AI2082">
        <v>21</v>
      </c>
      <c r="AJ2082">
        <v>1</v>
      </c>
      <c r="AK2082">
        <v>18</v>
      </c>
      <c r="AL2082" t="s">
        <v>575</v>
      </c>
      <c r="AM2082" t="s">
        <v>576</v>
      </c>
      <c r="AN2082" t="s">
        <v>3242</v>
      </c>
      <c r="AO2082" t="s">
        <v>74</v>
      </c>
      <c r="AP2082" t="s">
        <v>1775</v>
      </c>
      <c r="AQ2082" t="s">
        <v>74</v>
      </c>
      <c r="AR2082" t="s">
        <v>1765</v>
      </c>
      <c r="AS2082" t="s">
        <v>1776</v>
      </c>
      <c r="AT2082" t="s">
        <v>289</v>
      </c>
      <c r="AU2082">
        <v>2020</v>
      </c>
      <c r="AV2082">
        <v>11</v>
      </c>
      <c r="AW2082">
        <v>8</v>
      </c>
      <c r="AX2082" t="s">
        <v>74</v>
      </c>
      <c r="AY2082" t="s">
        <v>74</v>
      </c>
      <c r="AZ2082" t="s">
        <v>74</v>
      </c>
      <c r="BA2082" t="s">
        <v>74</v>
      </c>
      <c r="BB2082" t="s">
        <v>74</v>
      </c>
      <c r="BC2082" t="s">
        <v>74</v>
      </c>
      <c r="BD2082">
        <v>383</v>
      </c>
      <c r="BE2082" t="s">
        <v>35640</v>
      </c>
      <c r="BF2082" t="str">
        <f>HYPERLINK("http://dx.doi.org/10.3390/info11080383","http://dx.doi.org/10.3390/info11080383")</f>
        <v>http://dx.doi.org/10.3390/info11080383</v>
      </c>
      <c r="BG2082" t="s">
        <v>74</v>
      </c>
      <c r="BH2082" t="s">
        <v>74</v>
      </c>
      <c r="BI2082">
        <v>20</v>
      </c>
      <c r="BJ2082" t="s">
        <v>1779</v>
      </c>
      <c r="BK2082" t="s">
        <v>313</v>
      </c>
      <c r="BL2082" t="s">
        <v>157</v>
      </c>
      <c r="BM2082" t="s">
        <v>35641</v>
      </c>
      <c r="BN2082" t="s">
        <v>74</v>
      </c>
      <c r="BO2082" t="s">
        <v>916</v>
      </c>
      <c r="BP2082" t="s">
        <v>74</v>
      </c>
      <c r="BQ2082" t="s">
        <v>74</v>
      </c>
      <c r="BR2082" t="s">
        <v>102</v>
      </c>
      <c r="BS2082" t="s">
        <v>35642</v>
      </c>
      <c r="BT2082" t="str">
        <f>HYPERLINK("https%3A%2F%2Fwww.webofscience.com%2Fwos%2Fwoscc%2Ffull-record%2FWOS:000578844400001","View Full Record in Web of Science")</f>
        <v>View Full Record in Web of Science</v>
      </c>
    </row>
    <row r="2083" spans="1:72" x14ac:dyDescent="0.25">
      <c r="A2083" t="s">
        <v>72</v>
      </c>
      <c r="B2083" t="s">
        <v>35643</v>
      </c>
      <c r="C2083" t="s">
        <v>74</v>
      </c>
      <c r="D2083" t="s">
        <v>74</v>
      </c>
      <c r="E2083" t="s">
        <v>74</v>
      </c>
      <c r="F2083" t="s">
        <v>35644</v>
      </c>
      <c r="G2083" t="s">
        <v>74</v>
      </c>
      <c r="H2083" t="s">
        <v>74</v>
      </c>
      <c r="I2083" t="s">
        <v>35645</v>
      </c>
      <c r="J2083" t="s">
        <v>1719</v>
      </c>
      <c r="K2083" t="s">
        <v>74</v>
      </c>
      <c r="L2083" t="s">
        <v>74</v>
      </c>
      <c r="M2083" t="s">
        <v>78</v>
      </c>
      <c r="N2083" t="s">
        <v>79</v>
      </c>
      <c r="O2083" t="s">
        <v>74</v>
      </c>
      <c r="P2083" t="s">
        <v>74</v>
      </c>
      <c r="Q2083" t="s">
        <v>74</v>
      </c>
      <c r="R2083" t="s">
        <v>74</v>
      </c>
      <c r="S2083" t="s">
        <v>74</v>
      </c>
      <c r="T2083" t="s">
        <v>35646</v>
      </c>
      <c r="U2083" t="s">
        <v>35647</v>
      </c>
      <c r="V2083" t="s">
        <v>35648</v>
      </c>
      <c r="W2083" t="s">
        <v>35649</v>
      </c>
      <c r="X2083" t="s">
        <v>74</v>
      </c>
      <c r="Y2083" t="s">
        <v>35650</v>
      </c>
      <c r="Z2083" t="s">
        <v>35651</v>
      </c>
      <c r="AA2083" t="s">
        <v>35652</v>
      </c>
      <c r="AB2083" t="s">
        <v>35653</v>
      </c>
      <c r="AC2083" t="s">
        <v>74</v>
      </c>
      <c r="AD2083" t="s">
        <v>74</v>
      </c>
      <c r="AE2083" t="s">
        <v>74</v>
      </c>
      <c r="AF2083" t="s">
        <v>74</v>
      </c>
      <c r="AG2083">
        <v>86</v>
      </c>
      <c r="AH2083">
        <v>30</v>
      </c>
      <c r="AI2083">
        <v>33</v>
      </c>
      <c r="AJ2083">
        <v>0</v>
      </c>
      <c r="AK2083">
        <v>30</v>
      </c>
      <c r="AL2083" t="s">
        <v>332</v>
      </c>
      <c r="AM2083" t="s">
        <v>333</v>
      </c>
      <c r="AN2083" t="s">
        <v>334</v>
      </c>
      <c r="AO2083" t="s">
        <v>1732</v>
      </c>
      <c r="AP2083" t="s">
        <v>1733</v>
      </c>
      <c r="AQ2083" t="s">
        <v>74</v>
      </c>
      <c r="AR2083" t="s">
        <v>1734</v>
      </c>
      <c r="AS2083" t="s">
        <v>1735</v>
      </c>
      <c r="AT2083" t="s">
        <v>5472</v>
      </c>
      <c r="AU2083">
        <v>2019</v>
      </c>
      <c r="AV2083">
        <v>5</v>
      </c>
      <c r="AW2083">
        <v>3</v>
      </c>
      <c r="AX2083" t="s">
        <v>74</v>
      </c>
      <c r="AY2083" t="s">
        <v>74</v>
      </c>
      <c r="AZ2083" t="s">
        <v>441</v>
      </c>
      <c r="BA2083" t="s">
        <v>74</v>
      </c>
      <c r="BB2083">
        <v>274</v>
      </c>
      <c r="BC2083">
        <v>302</v>
      </c>
      <c r="BD2083" t="s">
        <v>74</v>
      </c>
      <c r="BE2083" t="s">
        <v>35654</v>
      </c>
      <c r="BF2083" t="str">
        <f>HYPERLINK("http://dx.doi.org/10.1080/23322373.2019.1652023","http://dx.doi.org/10.1080/23322373.2019.1652023")</f>
        <v>http://dx.doi.org/10.1080/23322373.2019.1652023</v>
      </c>
      <c r="BG2083" t="s">
        <v>74</v>
      </c>
      <c r="BH2083" t="s">
        <v>74</v>
      </c>
      <c r="BI2083">
        <v>29</v>
      </c>
      <c r="BJ2083" t="s">
        <v>583</v>
      </c>
      <c r="BK2083" t="s">
        <v>313</v>
      </c>
      <c r="BL2083" t="s">
        <v>100</v>
      </c>
      <c r="BM2083" t="s">
        <v>35655</v>
      </c>
      <c r="BN2083" t="s">
        <v>74</v>
      </c>
      <c r="BO2083" t="s">
        <v>74</v>
      </c>
      <c r="BP2083" t="s">
        <v>74</v>
      </c>
      <c r="BQ2083" t="s">
        <v>74</v>
      </c>
      <c r="BR2083" t="s">
        <v>102</v>
      </c>
      <c r="BS2083" t="s">
        <v>35656</v>
      </c>
      <c r="BT2083" t="str">
        <f>HYPERLINK("https%3A%2F%2Fwww.webofscience.com%2Fwos%2Fwoscc%2Ffull-record%2FWOS:000492778700004","View Full Record in Web of Science")</f>
        <v>View Full Record in Web of Science</v>
      </c>
    </row>
    <row r="2084" spans="1:72" x14ac:dyDescent="0.25">
      <c r="A2084" t="s">
        <v>72</v>
      </c>
      <c r="B2084" t="s">
        <v>35657</v>
      </c>
      <c r="C2084" t="s">
        <v>74</v>
      </c>
      <c r="D2084" t="s">
        <v>74</v>
      </c>
      <c r="E2084" t="s">
        <v>74</v>
      </c>
      <c r="F2084" t="s">
        <v>35658</v>
      </c>
      <c r="G2084" t="s">
        <v>74</v>
      </c>
      <c r="H2084" t="s">
        <v>74</v>
      </c>
      <c r="I2084" t="s">
        <v>35659</v>
      </c>
      <c r="J2084" t="s">
        <v>11879</v>
      </c>
      <c r="K2084" t="s">
        <v>74</v>
      </c>
      <c r="L2084" t="s">
        <v>74</v>
      </c>
      <c r="M2084" t="s">
        <v>78</v>
      </c>
      <c r="N2084" t="s">
        <v>79</v>
      </c>
      <c r="O2084" t="s">
        <v>74</v>
      </c>
      <c r="P2084" t="s">
        <v>74</v>
      </c>
      <c r="Q2084" t="s">
        <v>74</v>
      </c>
      <c r="R2084" t="s">
        <v>74</v>
      </c>
      <c r="S2084" t="s">
        <v>74</v>
      </c>
      <c r="T2084" t="s">
        <v>35660</v>
      </c>
      <c r="U2084" t="s">
        <v>74</v>
      </c>
      <c r="V2084" t="s">
        <v>35661</v>
      </c>
      <c r="W2084" t="s">
        <v>35662</v>
      </c>
      <c r="X2084" t="s">
        <v>35663</v>
      </c>
      <c r="Y2084" t="s">
        <v>35664</v>
      </c>
      <c r="Z2084" t="s">
        <v>35665</v>
      </c>
      <c r="AA2084" t="s">
        <v>35666</v>
      </c>
      <c r="AB2084" t="s">
        <v>35667</v>
      </c>
      <c r="AC2084" t="s">
        <v>74</v>
      </c>
      <c r="AD2084" t="s">
        <v>74</v>
      </c>
      <c r="AE2084" t="s">
        <v>74</v>
      </c>
      <c r="AF2084" t="s">
        <v>74</v>
      </c>
      <c r="AG2084">
        <v>52</v>
      </c>
      <c r="AH2084">
        <v>12</v>
      </c>
      <c r="AI2084">
        <v>18</v>
      </c>
      <c r="AJ2084">
        <v>2</v>
      </c>
      <c r="AK2084">
        <v>16</v>
      </c>
      <c r="AL2084" t="s">
        <v>201</v>
      </c>
      <c r="AM2084" t="s">
        <v>202</v>
      </c>
      <c r="AN2084" t="s">
        <v>203</v>
      </c>
      <c r="AO2084" t="s">
        <v>11889</v>
      </c>
      <c r="AP2084" t="s">
        <v>11890</v>
      </c>
      <c r="AQ2084" t="s">
        <v>74</v>
      </c>
      <c r="AR2084" t="s">
        <v>11891</v>
      </c>
      <c r="AS2084" t="s">
        <v>11892</v>
      </c>
      <c r="AT2084" t="s">
        <v>1540</v>
      </c>
      <c r="AU2084">
        <v>2023</v>
      </c>
      <c r="AV2084">
        <v>23</v>
      </c>
      <c r="AW2084">
        <v>3</v>
      </c>
      <c r="AX2084" t="s">
        <v>74</v>
      </c>
      <c r="AY2084" t="s">
        <v>74</v>
      </c>
      <c r="AZ2084" t="s">
        <v>74</v>
      </c>
      <c r="BA2084" t="s">
        <v>74</v>
      </c>
      <c r="BB2084">
        <v>709</v>
      </c>
      <c r="BC2084">
        <v>722</v>
      </c>
      <c r="BD2084" t="s">
        <v>74</v>
      </c>
      <c r="BE2084" t="s">
        <v>35668</v>
      </c>
      <c r="BF2084" t="str">
        <f>HYPERLINK("http://dx.doi.org/10.1016/j.bir.2023.01.011","http://dx.doi.org/10.1016/j.bir.2023.01.011")</f>
        <v>http://dx.doi.org/10.1016/j.bir.2023.01.011</v>
      </c>
      <c r="BG2084" t="s">
        <v>74</v>
      </c>
      <c r="BH2084" t="s">
        <v>6418</v>
      </c>
      <c r="BI2084">
        <v>14</v>
      </c>
      <c r="BJ2084" t="s">
        <v>210</v>
      </c>
      <c r="BK2084" t="s">
        <v>99</v>
      </c>
      <c r="BL2084" t="s">
        <v>100</v>
      </c>
      <c r="BM2084" t="s">
        <v>35669</v>
      </c>
      <c r="BN2084" t="s">
        <v>74</v>
      </c>
      <c r="BO2084" t="s">
        <v>212</v>
      </c>
      <c r="BP2084" t="s">
        <v>74</v>
      </c>
      <c r="BQ2084" t="s">
        <v>74</v>
      </c>
      <c r="BR2084" t="s">
        <v>102</v>
      </c>
      <c r="BS2084" t="s">
        <v>35670</v>
      </c>
      <c r="BT2084" t="str">
        <f>HYPERLINK("https%3A%2F%2Fwww.webofscience.com%2Fwos%2Fwoscc%2Ffull-record%2FWOS:001013338400001","View Full Record in Web of Science")</f>
        <v>View Full Record in Web of Science</v>
      </c>
    </row>
    <row r="2085" spans="1:72" x14ac:dyDescent="0.25">
      <c r="A2085" t="s">
        <v>72</v>
      </c>
      <c r="B2085" t="s">
        <v>21056</v>
      </c>
      <c r="C2085" t="s">
        <v>74</v>
      </c>
      <c r="D2085" t="s">
        <v>74</v>
      </c>
      <c r="E2085" t="s">
        <v>74</v>
      </c>
      <c r="F2085" t="s">
        <v>21055</v>
      </c>
      <c r="G2085" t="s">
        <v>74</v>
      </c>
      <c r="H2085" t="s">
        <v>74</v>
      </c>
      <c r="I2085" t="s">
        <v>35671</v>
      </c>
      <c r="J2085" t="s">
        <v>35672</v>
      </c>
      <c r="K2085" t="s">
        <v>74</v>
      </c>
      <c r="L2085" t="s">
        <v>74</v>
      </c>
      <c r="M2085" t="s">
        <v>78</v>
      </c>
      <c r="N2085" t="s">
        <v>79</v>
      </c>
      <c r="O2085" t="s">
        <v>74</v>
      </c>
      <c r="P2085" t="s">
        <v>74</v>
      </c>
      <c r="Q2085" t="s">
        <v>74</v>
      </c>
      <c r="R2085" t="s">
        <v>74</v>
      </c>
      <c r="S2085" t="s">
        <v>74</v>
      </c>
      <c r="T2085" t="s">
        <v>35673</v>
      </c>
      <c r="U2085" t="s">
        <v>35674</v>
      </c>
      <c r="V2085" t="s">
        <v>35675</v>
      </c>
      <c r="W2085" t="s">
        <v>35676</v>
      </c>
      <c r="X2085" t="s">
        <v>74</v>
      </c>
      <c r="Y2085" t="s">
        <v>35677</v>
      </c>
      <c r="Z2085" t="s">
        <v>3515</v>
      </c>
      <c r="AA2085" t="s">
        <v>21049</v>
      </c>
      <c r="AB2085" t="s">
        <v>21048</v>
      </c>
      <c r="AC2085" t="s">
        <v>35678</v>
      </c>
      <c r="AD2085" t="s">
        <v>35678</v>
      </c>
      <c r="AE2085" t="s">
        <v>35679</v>
      </c>
      <c r="AF2085" t="s">
        <v>74</v>
      </c>
      <c r="AG2085">
        <v>104</v>
      </c>
      <c r="AH2085">
        <v>17</v>
      </c>
      <c r="AI2085">
        <v>29</v>
      </c>
      <c r="AJ2085">
        <v>2</v>
      </c>
      <c r="AK2085">
        <v>38</v>
      </c>
      <c r="AL2085" t="s">
        <v>35680</v>
      </c>
      <c r="AM2085" t="s">
        <v>35681</v>
      </c>
      <c r="AN2085" t="s">
        <v>35682</v>
      </c>
      <c r="AO2085" t="s">
        <v>35683</v>
      </c>
      <c r="AP2085" t="s">
        <v>35684</v>
      </c>
      <c r="AQ2085" t="s">
        <v>74</v>
      </c>
      <c r="AR2085" t="s">
        <v>35685</v>
      </c>
      <c r="AS2085" t="s">
        <v>35686</v>
      </c>
      <c r="AT2085" t="s">
        <v>20759</v>
      </c>
      <c r="AU2085">
        <v>2021</v>
      </c>
      <c r="AV2085">
        <v>10</v>
      </c>
      <c r="AW2085">
        <v>2</v>
      </c>
      <c r="AX2085" t="s">
        <v>74</v>
      </c>
      <c r="AY2085" t="s">
        <v>74</v>
      </c>
      <c r="AZ2085" t="s">
        <v>74</v>
      </c>
      <c r="BA2085" t="s">
        <v>74</v>
      </c>
      <c r="BB2085">
        <v>148</v>
      </c>
      <c r="BC2085">
        <v>159</v>
      </c>
      <c r="BD2085" t="s">
        <v>74</v>
      </c>
      <c r="BE2085" t="s">
        <v>35687</v>
      </c>
      <c r="BF2085" t="str">
        <f>HYPERLINK("http://dx.doi.org/10.5530/jscires.10.2.29","http://dx.doi.org/10.5530/jscires.10.2.29")</f>
        <v>http://dx.doi.org/10.5530/jscires.10.2.29</v>
      </c>
      <c r="BG2085" t="s">
        <v>74</v>
      </c>
      <c r="BH2085" t="s">
        <v>74</v>
      </c>
      <c r="BI2085">
        <v>12</v>
      </c>
      <c r="BJ2085" t="s">
        <v>2351</v>
      </c>
      <c r="BK2085" t="s">
        <v>313</v>
      </c>
      <c r="BL2085" t="s">
        <v>2351</v>
      </c>
      <c r="BM2085" t="s">
        <v>35688</v>
      </c>
      <c r="BN2085" t="s">
        <v>74</v>
      </c>
      <c r="BO2085" t="s">
        <v>270</v>
      </c>
      <c r="BP2085" t="s">
        <v>74</v>
      </c>
      <c r="BQ2085" t="s">
        <v>74</v>
      </c>
      <c r="BR2085" t="s">
        <v>102</v>
      </c>
      <c r="BS2085" t="s">
        <v>35689</v>
      </c>
      <c r="BT2085" t="str">
        <f>HYPERLINK("https%3A%2F%2Fwww.webofscience.com%2Fwos%2Fwoscc%2Ffull-record%2FWOS:000709612000002","View Full Record in Web of Science")</f>
        <v>View Full Record in Web of Science</v>
      </c>
    </row>
    <row r="2086" spans="1:72" x14ac:dyDescent="0.25">
      <c r="A2086" t="s">
        <v>72</v>
      </c>
      <c r="B2086" t="s">
        <v>35690</v>
      </c>
      <c r="C2086" t="s">
        <v>74</v>
      </c>
      <c r="D2086" t="s">
        <v>74</v>
      </c>
      <c r="E2086" t="s">
        <v>74</v>
      </c>
      <c r="F2086" t="s">
        <v>35691</v>
      </c>
      <c r="G2086" t="s">
        <v>74</v>
      </c>
      <c r="H2086" t="s">
        <v>74</v>
      </c>
      <c r="I2086" t="s">
        <v>35692</v>
      </c>
      <c r="J2086" t="s">
        <v>35693</v>
      </c>
      <c r="K2086" t="s">
        <v>74</v>
      </c>
      <c r="L2086" t="s">
        <v>74</v>
      </c>
      <c r="M2086" t="s">
        <v>78</v>
      </c>
      <c r="N2086" t="s">
        <v>372</v>
      </c>
      <c r="O2086" t="s">
        <v>74</v>
      </c>
      <c r="P2086" t="s">
        <v>74</v>
      </c>
      <c r="Q2086" t="s">
        <v>74</v>
      </c>
      <c r="R2086" t="s">
        <v>74</v>
      </c>
      <c r="S2086" t="s">
        <v>74</v>
      </c>
      <c r="T2086" t="s">
        <v>35694</v>
      </c>
      <c r="U2086" t="s">
        <v>35695</v>
      </c>
      <c r="V2086" t="s">
        <v>35696</v>
      </c>
      <c r="W2086" t="s">
        <v>35697</v>
      </c>
      <c r="X2086" t="s">
        <v>35698</v>
      </c>
      <c r="Y2086" t="s">
        <v>35699</v>
      </c>
      <c r="Z2086" t="s">
        <v>34299</v>
      </c>
      <c r="AA2086" t="s">
        <v>35700</v>
      </c>
      <c r="AB2086" t="s">
        <v>34297</v>
      </c>
      <c r="AC2086" t="s">
        <v>74</v>
      </c>
      <c r="AD2086" t="s">
        <v>74</v>
      </c>
      <c r="AE2086" t="s">
        <v>74</v>
      </c>
      <c r="AF2086" t="s">
        <v>74</v>
      </c>
      <c r="AG2086">
        <v>106</v>
      </c>
      <c r="AH2086">
        <v>1</v>
      </c>
      <c r="AI2086">
        <v>3</v>
      </c>
      <c r="AJ2086">
        <v>7</v>
      </c>
      <c r="AK2086">
        <v>14</v>
      </c>
      <c r="AL2086" t="s">
        <v>89</v>
      </c>
      <c r="AM2086" t="s">
        <v>90</v>
      </c>
      <c r="AN2086" t="s">
        <v>91</v>
      </c>
      <c r="AO2086" t="s">
        <v>35701</v>
      </c>
      <c r="AP2086" t="s">
        <v>35702</v>
      </c>
      <c r="AQ2086" t="s">
        <v>74</v>
      </c>
      <c r="AR2086" t="s">
        <v>35703</v>
      </c>
      <c r="AS2086" t="s">
        <v>35704</v>
      </c>
      <c r="AT2086" t="s">
        <v>35705</v>
      </c>
      <c r="AU2086">
        <v>2025</v>
      </c>
      <c r="AV2086" t="s">
        <v>74</v>
      </c>
      <c r="AW2086" t="s">
        <v>74</v>
      </c>
      <c r="AX2086" t="s">
        <v>74</v>
      </c>
      <c r="AY2086" t="s">
        <v>74</v>
      </c>
      <c r="AZ2086" t="s">
        <v>74</v>
      </c>
      <c r="BA2086" t="s">
        <v>74</v>
      </c>
      <c r="BB2086" t="s">
        <v>74</v>
      </c>
      <c r="BC2086" t="s">
        <v>74</v>
      </c>
      <c r="BD2086" t="s">
        <v>74</v>
      </c>
      <c r="BE2086" t="s">
        <v>35706</v>
      </c>
      <c r="BF2086" t="str">
        <f>HYPERLINK("http://dx.doi.org/10.1108/TQM-07-2024-0259","http://dx.doi.org/10.1108/TQM-07-2024-0259")</f>
        <v>http://dx.doi.org/10.1108/TQM-07-2024-0259</v>
      </c>
      <c r="BG2086" t="s">
        <v>74</v>
      </c>
      <c r="BH2086" t="s">
        <v>1485</v>
      </c>
      <c r="BI2086">
        <v>28</v>
      </c>
      <c r="BJ2086" t="s">
        <v>583</v>
      </c>
      <c r="BK2086" t="s">
        <v>313</v>
      </c>
      <c r="BL2086" t="s">
        <v>100</v>
      </c>
      <c r="BM2086" t="s">
        <v>35707</v>
      </c>
      <c r="BN2086" t="s">
        <v>74</v>
      </c>
      <c r="BO2086" t="s">
        <v>74</v>
      </c>
      <c r="BP2086" t="s">
        <v>74</v>
      </c>
      <c r="BQ2086" t="s">
        <v>74</v>
      </c>
      <c r="BR2086" t="s">
        <v>102</v>
      </c>
      <c r="BS2086" t="s">
        <v>35708</v>
      </c>
      <c r="BT2086" t="str">
        <f>HYPERLINK("https%3A%2F%2Fwww.webofscience.com%2Fwos%2Fwoscc%2Ffull-record%2FWOS:001459154000001","View Full Record in Web of Science")</f>
        <v>View Full Record in Web of Science</v>
      </c>
    </row>
    <row r="2087" spans="1:72" x14ac:dyDescent="0.25">
      <c r="A2087" t="s">
        <v>72</v>
      </c>
      <c r="B2087" t="s">
        <v>35709</v>
      </c>
      <c r="C2087" t="s">
        <v>74</v>
      </c>
      <c r="D2087" t="s">
        <v>74</v>
      </c>
      <c r="E2087" t="s">
        <v>74</v>
      </c>
      <c r="F2087" t="s">
        <v>35710</v>
      </c>
      <c r="G2087" t="s">
        <v>74</v>
      </c>
      <c r="H2087" t="s">
        <v>74</v>
      </c>
      <c r="I2087" t="s">
        <v>35711</v>
      </c>
      <c r="J2087" t="s">
        <v>3493</v>
      </c>
      <c r="K2087" t="s">
        <v>74</v>
      </c>
      <c r="L2087" t="s">
        <v>74</v>
      </c>
      <c r="M2087" t="s">
        <v>78</v>
      </c>
      <c r="N2087" t="s">
        <v>79</v>
      </c>
      <c r="O2087" t="s">
        <v>74</v>
      </c>
      <c r="P2087" t="s">
        <v>74</v>
      </c>
      <c r="Q2087" t="s">
        <v>74</v>
      </c>
      <c r="R2087" t="s">
        <v>74</v>
      </c>
      <c r="S2087" t="s">
        <v>74</v>
      </c>
      <c r="T2087" t="s">
        <v>35712</v>
      </c>
      <c r="U2087" t="s">
        <v>35713</v>
      </c>
      <c r="V2087" t="s">
        <v>35714</v>
      </c>
      <c r="W2087" t="s">
        <v>35715</v>
      </c>
      <c r="X2087" t="s">
        <v>35716</v>
      </c>
      <c r="Y2087" t="s">
        <v>35717</v>
      </c>
      <c r="Z2087" t="s">
        <v>35718</v>
      </c>
      <c r="AA2087" t="s">
        <v>23175</v>
      </c>
      <c r="AB2087" t="s">
        <v>74</v>
      </c>
      <c r="AC2087" t="s">
        <v>74</v>
      </c>
      <c r="AD2087" t="s">
        <v>74</v>
      </c>
      <c r="AE2087" t="s">
        <v>74</v>
      </c>
      <c r="AF2087" t="s">
        <v>74</v>
      </c>
      <c r="AG2087">
        <v>53</v>
      </c>
      <c r="AH2087">
        <v>249</v>
      </c>
      <c r="AI2087">
        <v>353</v>
      </c>
      <c r="AJ2087">
        <v>2</v>
      </c>
      <c r="AK2087">
        <v>154</v>
      </c>
      <c r="AL2087" t="s">
        <v>201</v>
      </c>
      <c r="AM2087" t="s">
        <v>202</v>
      </c>
      <c r="AN2087" t="s">
        <v>203</v>
      </c>
      <c r="AO2087" t="s">
        <v>3500</v>
      </c>
      <c r="AP2087" t="s">
        <v>3501</v>
      </c>
      <c r="AQ2087" t="s">
        <v>74</v>
      </c>
      <c r="AR2087" t="s">
        <v>3502</v>
      </c>
      <c r="AS2087" t="s">
        <v>3503</v>
      </c>
      <c r="AT2087" t="s">
        <v>1159</v>
      </c>
      <c r="AU2087">
        <v>2013</v>
      </c>
      <c r="AV2087">
        <v>37</v>
      </c>
      <c r="AW2087">
        <v>10</v>
      </c>
      <c r="AX2087" t="s">
        <v>74</v>
      </c>
      <c r="AY2087" t="s">
        <v>74</v>
      </c>
      <c r="AZ2087" t="s">
        <v>74</v>
      </c>
      <c r="BA2087" t="s">
        <v>74</v>
      </c>
      <c r="BB2087">
        <v>3904</v>
      </c>
      <c r="BC2087">
        <v>3923</v>
      </c>
      <c r="BD2087" t="s">
        <v>74</v>
      </c>
      <c r="BE2087" t="s">
        <v>35719</v>
      </c>
      <c r="BF2087" t="str">
        <f>HYPERLINK("http://dx.doi.org/10.1016/j.jbankfin.2013.07.014","http://dx.doi.org/10.1016/j.jbankfin.2013.07.014")</f>
        <v>http://dx.doi.org/10.1016/j.jbankfin.2013.07.014</v>
      </c>
      <c r="BG2087" t="s">
        <v>74</v>
      </c>
      <c r="BH2087" t="s">
        <v>74</v>
      </c>
      <c r="BI2087">
        <v>20</v>
      </c>
      <c r="BJ2087" t="s">
        <v>210</v>
      </c>
      <c r="BK2087" t="s">
        <v>99</v>
      </c>
      <c r="BL2087" t="s">
        <v>100</v>
      </c>
      <c r="BM2087" t="s">
        <v>35720</v>
      </c>
      <c r="BN2087" t="s">
        <v>74</v>
      </c>
      <c r="BO2087" t="s">
        <v>74</v>
      </c>
      <c r="BP2087" t="s">
        <v>74</v>
      </c>
      <c r="BQ2087" t="s">
        <v>74</v>
      </c>
      <c r="BR2087" t="s">
        <v>102</v>
      </c>
      <c r="BS2087" t="s">
        <v>35721</v>
      </c>
      <c r="BT2087" t="str">
        <f>HYPERLINK("https%3A%2F%2Fwww.webofscience.com%2Fwos%2Fwoscc%2Ffull-record%2FWOS:000323809400014","View Full Record in Web of Science")</f>
        <v>View Full Record in Web of Science</v>
      </c>
    </row>
    <row r="2088" spans="1:72" x14ac:dyDescent="0.25">
      <c r="A2088" t="s">
        <v>72</v>
      </c>
      <c r="B2088" t="s">
        <v>35722</v>
      </c>
      <c r="C2088" t="s">
        <v>74</v>
      </c>
      <c r="D2088" t="s">
        <v>74</v>
      </c>
      <c r="E2088" t="s">
        <v>74</v>
      </c>
      <c r="F2088" t="s">
        <v>35723</v>
      </c>
      <c r="G2088" t="s">
        <v>74</v>
      </c>
      <c r="H2088" t="s">
        <v>74</v>
      </c>
      <c r="I2088" t="s">
        <v>35724</v>
      </c>
      <c r="J2088" t="s">
        <v>35725</v>
      </c>
      <c r="K2088" t="s">
        <v>74</v>
      </c>
      <c r="L2088" t="s">
        <v>74</v>
      </c>
      <c r="M2088" t="s">
        <v>78</v>
      </c>
      <c r="N2088" t="s">
        <v>79</v>
      </c>
      <c r="O2088" t="s">
        <v>74</v>
      </c>
      <c r="P2088" t="s">
        <v>74</v>
      </c>
      <c r="Q2088" t="s">
        <v>74</v>
      </c>
      <c r="R2088" t="s">
        <v>74</v>
      </c>
      <c r="S2088" t="s">
        <v>74</v>
      </c>
      <c r="T2088" t="s">
        <v>35726</v>
      </c>
      <c r="U2088" t="s">
        <v>35727</v>
      </c>
      <c r="V2088" t="s">
        <v>35728</v>
      </c>
      <c r="W2088" t="s">
        <v>35729</v>
      </c>
      <c r="X2088" t="s">
        <v>35730</v>
      </c>
      <c r="Y2088" t="s">
        <v>35731</v>
      </c>
      <c r="Z2088" t="s">
        <v>35732</v>
      </c>
      <c r="AA2088" t="s">
        <v>74</v>
      </c>
      <c r="AB2088" t="s">
        <v>74</v>
      </c>
      <c r="AC2088" t="s">
        <v>35733</v>
      </c>
      <c r="AD2088" t="s">
        <v>35734</v>
      </c>
      <c r="AE2088" t="s">
        <v>35735</v>
      </c>
      <c r="AF2088" t="s">
        <v>74</v>
      </c>
      <c r="AG2088">
        <v>57</v>
      </c>
      <c r="AH2088">
        <v>0</v>
      </c>
      <c r="AI2088">
        <v>0</v>
      </c>
      <c r="AJ2088">
        <v>2</v>
      </c>
      <c r="AK2088">
        <v>2</v>
      </c>
      <c r="AL2088" t="s">
        <v>479</v>
      </c>
      <c r="AM2088" t="s">
        <v>480</v>
      </c>
      <c r="AN2088" t="s">
        <v>481</v>
      </c>
      <c r="AO2088" t="s">
        <v>35736</v>
      </c>
      <c r="AP2088" t="s">
        <v>35737</v>
      </c>
      <c r="AQ2088" t="s">
        <v>74</v>
      </c>
      <c r="AR2088" t="s">
        <v>35738</v>
      </c>
      <c r="AS2088" t="s">
        <v>35739</v>
      </c>
      <c r="AT2088" t="s">
        <v>124</v>
      </c>
      <c r="AU2088">
        <v>2025</v>
      </c>
      <c r="AV2088">
        <v>93</v>
      </c>
      <c r="AW2088">
        <v>4</v>
      </c>
      <c r="AX2088" t="s">
        <v>74</v>
      </c>
      <c r="AY2088" t="s">
        <v>74</v>
      </c>
      <c r="AZ2088" t="s">
        <v>74</v>
      </c>
      <c r="BA2088" t="s">
        <v>74</v>
      </c>
      <c r="BB2088">
        <v>357</v>
      </c>
      <c r="BC2088">
        <v>373</v>
      </c>
      <c r="BD2088" t="s">
        <v>74</v>
      </c>
      <c r="BE2088" t="s">
        <v>35740</v>
      </c>
      <c r="BF2088" t="str">
        <f>HYPERLINK("http://dx.doi.org/10.1111/saje.70001","http://dx.doi.org/10.1111/saje.70001")</f>
        <v>http://dx.doi.org/10.1111/saje.70001</v>
      </c>
      <c r="BG2088" t="s">
        <v>74</v>
      </c>
      <c r="BH2088" t="s">
        <v>3389</v>
      </c>
      <c r="BI2088">
        <v>17</v>
      </c>
      <c r="BJ2088" t="s">
        <v>291</v>
      </c>
      <c r="BK2088" t="s">
        <v>99</v>
      </c>
      <c r="BL2088" t="s">
        <v>100</v>
      </c>
      <c r="BM2088" t="s">
        <v>35741</v>
      </c>
      <c r="BN2088" t="s">
        <v>74</v>
      </c>
      <c r="BO2088" t="s">
        <v>1205</v>
      </c>
      <c r="BP2088" t="s">
        <v>74</v>
      </c>
      <c r="BQ2088" t="s">
        <v>74</v>
      </c>
      <c r="BR2088" t="s">
        <v>102</v>
      </c>
      <c r="BS2088" t="s">
        <v>35742</v>
      </c>
      <c r="BT2088" t="str">
        <f>HYPERLINK("https%3A%2F%2Fwww.webofscience.com%2Fwos%2Fwoscc%2Ffull-record%2FWOS:001522635200001","View Full Record in Web of Science")</f>
        <v>View Full Record in Web of Science</v>
      </c>
    </row>
    <row r="2089" spans="1:72" x14ac:dyDescent="0.25">
      <c r="A2089" t="s">
        <v>72</v>
      </c>
      <c r="B2089" t="s">
        <v>35743</v>
      </c>
      <c r="C2089" t="s">
        <v>74</v>
      </c>
      <c r="D2089" t="s">
        <v>74</v>
      </c>
      <c r="E2089" t="s">
        <v>74</v>
      </c>
      <c r="F2089" t="s">
        <v>35744</v>
      </c>
      <c r="G2089" t="s">
        <v>74</v>
      </c>
      <c r="H2089" t="s">
        <v>74</v>
      </c>
      <c r="I2089" t="s">
        <v>35745</v>
      </c>
      <c r="J2089" t="s">
        <v>35746</v>
      </c>
      <c r="K2089" t="s">
        <v>74</v>
      </c>
      <c r="L2089" t="s">
        <v>74</v>
      </c>
      <c r="M2089" t="s">
        <v>78</v>
      </c>
      <c r="N2089" t="s">
        <v>372</v>
      </c>
      <c r="O2089" t="s">
        <v>74</v>
      </c>
      <c r="P2089" t="s">
        <v>74</v>
      </c>
      <c r="Q2089" t="s">
        <v>74</v>
      </c>
      <c r="R2089" t="s">
        <v>74</v>
      </c>
      <c r="S2089" t="s">
        <v>74</v>
      </c>
      <c r="T2089" t="s">
        <v>35747</v>
      </c>
      <c r="U2089" t="s">
        <v>74</v>
      </c>
      <c r="V2089" t="s">
        <v>35748</v>
      </c>
      <c r="W2089" t="s">
        <v>35749</v>
      </c>
      <c r="X2089" t="s">
        <v>35750</v>
      </c>
      <c r="Y2089" t="s">
        <v>35751</v>
      </c>
      <c r="Z2089" t="s">
        <v>35752</v>
      </c>
      <c r="AA2089" t="s">
        <v>35753</v>
      </c>
      <c r="AB2089" t="s">
        <v>74</v>
      </c>
      <c r="AC2089" t="s">
        <v>74</v>
      </c>
      <c r="AD2089" t="s">
        <v>74</v>
      </c>
      <c r="AE2089" t="s">
        <v>74</v>
      </c>
      <c r="AF2089" t="s">
        <v>74</v>
      </c>
      <c r="AG2089">
        <v>28</v>
      </c>
      <c r="AH2089">
        <v>0</v>
      </c>
      <c r="AI2089">
        <v>0</v>
      </c>
      <c r="AJ2089">
        <v>0</v>
      </c>
      <c r="AK2089">
        <v>0</v>
      </c>
      <c r="AL2089" t="s">
        <v>89</v>
      </c>
      <c r="AM2089" t="s">
        <v>90</v>
      </c>
      <c r="AN2089" t="s">
        <v>91</v>
      </c>
      <c r="AO2089" t="s">
        <v>35754</v>
      </c>
      <c r="AP2089" t="s">
        <v>35755</v>
      </c>
      <c r="AQ2089" t="s">
        <v>74</v>
      </c>
      <c r="AR2089" t="s">
        <v>35756</v>
      </c>
      <c r="AS2089" t="s">
        <v>35757</v>
      </c>
      <c r="AT2089" t="s">
        <v>3888</v>
      </c>
      <c r="AU2089">
        <v>2025</v>
      </c>
      <c r="AV2089" t="s">
        <v>74</v>
      </c>
      <c r="AW2089" t="s">
        <v>74</v>
      </c>
      <c r="AX2089" t="s">
        <v>74</v>
      </c>
      <c r="AY2089" t="s">
        <v>74</v>
      </c>
      <c r="AZ2089" t="s">
        <v>74</v>
      </c>
      <c r="BA2089" t="s">
        <v>74</v>
      </c>
      <c r="BB2089" t="s">
        <v>74</v>
      </c>
      <c r="BC2089" t="s">
        <v>74</v>
      </c>
      <c r="BD2089" t="s">
        <v>74</v>
      </c>
      <c r="BE2089" t="s">
        <v>35758</v>
      </c>
      <c r="BF2089" t="str">
        <f>HYPERLINK("http://dx.doi.org/10.1108/IGDR-12-2024-0213","http://dx.doi.org/10.1108/IGDR-12-2024-0213")</f>
        <v>http://dx.doi.org/10.1108/IGDR-12-2024-0213</v>
      </c>
      <c r="BG2089" t="s">
        <v>74</v>
      </c>
      <c r="BH2089" t="s">
        <v>488</v>
      </c>
      <c r="BI2089">
        <v>18</v>
      </c>
      <c r="BJ2089" t="s">
        <v>1137</v>
      </c>
      <c r="BK2089" t="s">
        <v>313</v>
      </c>
      <c r="BL2089" t="s">
        <v>1137</v>
      </c>
      <c r="BM2089" t="s">
        <v>35759</v>
      </c>
      <c r="BN2089" t="s">
        <v>74</v>
      </c>
      <c r="BO2089" t="s">
        <v>74</v>
      </c>
      <c r="BP2089" t="s">
        <v>74</v>
      </c>
      <c r="BQ2089" t="s">
        <v>74</v>
      </c>
      <c r="BR2089" t="s">
        <v>102</v>
      </c>
      <c r="BS2089" t="s">
        <v>35760</v>
      </c>
      <c r="BT2089" t="str">
        <f>HYPERLINK("https%3A%2F%2Fwww.webofscience.com%2Fwos%2Fwoscc%2Ffull-record%2FWOS:001641882800001","View Full Record in Web of Science")</f>
        <v>View Full Record in Web of Science</v>
      </c>
    </row>
    <row r="2090" spans="1:72" x14ac:dyDescent="0.25">
      <c r="A2090" t="s">
        <v>72</v>
      </c>
      <c r="B2090" t="s">
        <v>35761</v>
      </c>
      <c r="C2090" t="s">
        <v>74</v>
      </c>
      <c r="D2090" t="s">
        <v>74</v>
      </c>
      <c r="E2090" t="s">
        <v>74</v>
      </c>
      <c r="F2090" t="s">
        <v>35762</v>
      </c>
      <c r="G2090" t="s">
        <v>74</v>
      </c>
      <c r="H2090" t="s">
        <v>74</v>
      </c>
      <c r="I2090" t="s">
        <v>35763</v>
      </c>
      <c r="J2090" t="s">
        <v>2896</v>
      </c>
      <c r="K2090" t="s">
        <v>74</v>
      </c>
      <c r="L2090" t="s">
        <v>74</v>
      </c>
      <c r="M2090" t="s">
        <v>78</v>
      </c>
      <c r="N2090" t="s">
        <v>79</v>
      </c>
      <c r="O2090" t="s">
        <v>74</v>
      </c>
      <c r="P2090" t="s">
        <v>74</v>
      </c>
      <c r="Q2090" t="s">
        <v>74</v>
      </c>
      <c r="R2090" t="s">
        <v>74</v>
      </c>
      <c r="S2090" t="s">
        <v>74</v>
      </c>
      <c r="T2090" t="s">
        <v>35764</v>
      </c>
      <c r="U2090" t="s">
        <v>35765</v>
      </c>
      <c r="V2090" t="s">
        <v>35766</v>
      </c>
      <c r="W2090" t="s">
        <v>35767</v>
      </c>
      <c r="X2090" t="s">
        <v>33667</v>
      </c>
      <c r="Y2090" t="s">
        <v>35768</v>
      </c>
      <c r="Z2090" t="s">
        <v>35769</v>
      </c>
      <c r="AA2090" t="s">
        <v>35770</v>
      </c>
      <c r="AB2090" t="s">
        <v>35771</v>
      </c>
      <c r="AC2090" t="s">
        <v>35772</v>
      </c>
      <c r="AD2090" t="s">
        <v>35772</v>
      </c>
      <c r="AE2090" t="s">
        <v>35773</v>
      </c>
      <c r="AF2090" t="s">
        <v>74</v>
      </c>
      <c r="AG2090">
        <v>86</v>
      </c>
      <c r="AH2090">
        <v>1</v>
      </c>
      <c r="AI2090">
        <v>2</v>
      </c>
      <c r="AJ2090">
        <v>0</v>
      </c>
      <c r="AK2090">
        <v>15</v>
      </c>
      <c r="AL2090" t="s">
        <v>2907</v>
      </c>
      <c r="AM2090" t="s">
        <v>2908</v>
      </c>
      <c r="AN2090" t="s">
        <v>2909</v>
      </c>
      <c r="AO2090" t="s">
        <v>2910</v>
      </c>
      <c r="AP2090" t="s">
        <v>12978</v>
      </c>
      <c r="AQ2090" t="s">
        <v>74</v>
      </c>
      <c r="AR2090" t="s">
        <v>2911</v>
      </c>
      <c r="AS2090" t="s">
        <v>2912</v>
      </c>
      <c r="AT2090" t="s">
        <v>289</v>
      </c>
      <c r="AU2090">
        <v>2024</v>
      </c>
      <c r="AV2090">
        <v>36</v>
      </c>
      <c r="AW2090">
        <v>4</v>
      </c>
      <c r="AX2090" t="s">
        <v>74</v>
      </c>
      <c r="AY2090" t="s">
        <v>74</v>
      </c>
      <c r="AZ2090" t="s">
        <v>74</v>
      </c>
      <c r="BA2090" t="s">
        <v>74</v>
      </c>
      <c r="BB2090">
        <v>897</v>
      </c>
      <c r="BC2090">
        <v>924</v>
      </c>
      <c r="BD2090" t="s">
        <v>74</v>
      </c>
      <c r="BE2090" t="s">
        <v>35774</v>
      </c>
      <c r="BF2090" t="str">
        <f>HYPERLINK("http://dx.doi.org/10.1057/s41287-023-00616-7","http://dx.doi.org/10.1057/s41287-023-00616-7")</f>
        <v>http://dx.doi.org/10.1057/s41287-023-00616-7</v>
      </c>
      <c r="BG2090" t="s">
        <v>74</v>
      </c>
      <c r="BH2090" t="s">
        <v>239</v>
      </c>
      <c r="BI2090">
        <v>28</v>
      </c>
      <c r="BJ2090" t="s">
        <v>1137</v>
      </c>
      <c r="BK2090" t="s">
        <v>99</v>
      </c>
      <c r="BL2090" t="s">
        <v>1137</v>
      </c>
      <c r="BM2090" t="s">
        <v>35775</v>
      </c>
      <c r="BN2090" t="s">
        <v>74</v>
      </c>
      <c r="BO2090" t="s">
        <v>1205</v>
      </c>
      <c r="BP2090" t="s">
        <v>74</v>
      </c>
      <c r="BQ2090" t="s">
        <v>74</v>
      </c>
      <c r="BR2090" t="s">
        <v>102</v>
      </c>
      <c r="BS2090" t="s">
        <v>35776</v>
      </c>
      <c r="BT2090" t="str">
        <f>HYPERLINK("https%3A%2F%2Fwww.webofscience.com%2Fwos%2Fwoscc%2Ffull-record%2FWOS:001140818500003","View Full Record in Web of Science")</f>
        <v>View Full Record in Web of Science</v>
      </c>
    </row>
    <row r="2091" spans="1:72" x14ac:dyDescent="0.25">
      <c r="A2091" t="s">
        <v>72</v>
      </c>
      <c r="B2091" t="s">
        <v>35777</v>
      </c>
      <c r="C2091" t="s">
        <v>74</v>
      </c>
      <c r="D2091" t="s">
        <v>74</v>
      </c>
      <c r="E2091" t="s">
        <v>74</v>
      </c>
      <c r="F2091" t="s">
        <v>35778</v>
      </c>
      <c r="G2091" t="s">
        <v>74</v>
      </c>
      <c r="H2091" t="s">
        <v>74</v>
      </c>
      <c r="I2091" t="s">
        <v>35779</v>
      </c>
      <c r="J2091" t="s">
        <v>3439</v>
      </c>
      <c r="K2091" t="s">
        <v>74</v>
      </c>
      <c r="L2091" t="s">
        <v>74</v>
      </c>
      <c r="M2091" t="s">
        <v>78</v>
      </c>
      <c r="N2091" t="s">
        <v>79</v>
      </c>
      <c r="O2091" t="s">
        <v>74</v>
      </c>
      <c r="P2091" t="s">
        <v>74</v>
      </c>
      <c r="Q2091" t="s">
        <v>74</v>
      </c>
      <c r="R2091" t="s">
        <v>74</v>
      </c>
      <c r="S2091" t="s">
        <v>74</v>
      </c>
      <c r="T2091" t="s">
        <v>35780</v>
      </c>
      <c r="U2091" t="s">
        <v>35781</v>
      </c>
      <c r="V2091" t="s">
        <v>35782</v>
      </c>
      <c r="W2091" t="s">
        <v>35783</v>
      </c>
      <c r="X2091" t="s">
        <v>35784</v>
      </c>
      <c r="Y2091" t="s">
        <v>35785</v>
      </c>
      <c r="Z2091" t="s">
        <v>35786</v>
      </c>
      <c r="AA2091" t="s">
        <v>35787</v>
      </c>
      <c r="AB2091" t="s">
        <v>35788</v>
      </c>
      <c r="AC2091" t="s">
        <v>74</v>
      </c>
      <c r="AD2091" t="s">
        <v>74</v>
      </c>
      <c r="AE2091" t="s">
        <v>74</v>
      </c>
      <c r="AF2091" t="s">
        <v>74</v>
      </c>
      <c r="AG2091">
        <v>70</v>
      </c>
      <c r="AH2091">
        <v>0</v>
      </c>
      <c r="AI2091">
        <v>0</v>
      </c>
      <c r="AJ2091">
        <v>1</v>
      </c>
      <c r="AK2091">
        <v>1</v>
      </c>
      <c r="AL2091" t="s">
        <v>823</v>
      </c>
      <c r="AM2091" t="s">
        <v>333</v>
      </c>
      <c r="AN2091" t="s">
        <v>824</v>
      </c>
      <c r="AO2091" t="s">
        <v>3443</v>
      </c>
      <c r="AP2091" t="s">
        <v>74</v>
      </c>
      <c r="AQ2091" t="s">
        <v>74</v>
      </c>
      <c r="AR2091" t="s">
        <v>3444</v>
      </c>
      <c r="AS2091" t="s">
        <v>3445</v>
      </c>
      <c r="AT2091" t="s">
        <v>2970</v>
      </c>
      <c r="AU2091">
        <v>2025</v>
      </c>
      <c r="AV2091">
        <v>13</v>
      </c>
      <c r="AW2091">
        <v>1</v>
      </c>
      <c r="AX2091" t="s">
        <v>74</v>
      </c>
      <c r="AY2091" t="s">
        <v>74</v>
      </c>
      <c r="AZ2091" t="s">
        <v>74</v>
      </c>
      <c r="BA2091" t="s">
        <v>74</v>
      </c>
      <c r="BB2091" t="s">
        <v>74</v>
      </c>
      <c r="BC2091" t="s">
        <v>74</v>
      </c>
      <c r="BD2091">
        <v>2535488</v>
      </c>
      <c r="BE2091" t="s">
        <v>35789</v>
      </c>
      <c r="BF2091" t="str">
        <f>HYPERLINK("http://dx.doi.org/10.1080/23322039.2025.2535488","http://dx.doi.org/10.1080/23322039.2025.2535488")</f>
        <v>http://dx.doi.org/10.1080/23322039.2025.2535488</v>
      </c>
      <c r="BG2091" t="s">
        <v>74</v>
      </c>
      <c r="BH2091" t="s">
        <v>74</v>
      </c>
      <c r="BI2091">
        <v>19</v>
      </c>
      <c r="BJ2091" t="s">
        <v>291</v>
      </c>
      <c r="BK2091" t="s">
        <v>313</v>
      </c>
      <c r="BL2091" t="s">
        <v>100</v>
      </c>
      <c r="BM2091" t="s">
        <v>35790</v>
      </c>
      <c r="BN2091" t="s">
        <v>74</v>
      </c>
      <c r="BO2091" t="s">
        <v>916</v>
      </c>
      <c r="BP2091" t="s">
        <v>74</v>
      </c>
      <c r="BQ2091" t="s">
        <v>74</v>
      </c>
      <c r="BR2091" t="s">
        <v>102</v>
      </c>
      <c r="BS2091" t="s">
        <v>35791</v>
      </c>
      <c r="BT2091" t="str">
        <f>HYPERLINK("https%3A%2F%2Fwww.webofscience.com%2Fwos%2Fwoscc%2Ffull-record%2FWOS:001538597600001","View Full Record in Web of Science")</f>
        <v>View Full Record in Web of Science</v>
      </c>
    </row>
    <row r="2092" spans="1:72" x14ac:dyDescent="0.25">
      <c r="A2092" t="s">
        <v>132</v>
      </c>
      <c r="B2092" t="s">
        <v>35792</v>
      </c>
      <c r="C2092" t="s">
        <v>74</v>
      </c>
      <c r="D2092" t="s">
        <v>631</v>
      </c>
      <c r="E2092" t="s">
        <v>74</v>
      </c>
      <c r="F2092" t="s">
        <v>35793</v>
      </c>
      <c r="G2092" t="s">
        <v>74</v>
      </c>
      <c r="H2092" t="s">
        <v>74</v>
      </c>
      <c r="I2092" t="s">
        <v>35794</v>
      </c>
      <c r="J2092" t="s">
        <v>1569</v>
      </c>
      <c r="K2092" t="s">
        <v>74</v>
      </c>
      <c r="L2092" t="s">
        <v>74</v>
      </c>
      <c r="M2092" t="s">
        <v>78</v>
      </c>
      <c r="N2092" t="s">
        <v>138</v>
      </c>
      <c r="O2092" t="s">
        <v>1570</v>
      </c>
      <c r="P2092" t="s">
        <v>1571</v>
      </c>
      <c r="Q2092" t="s">
        <v>637</v>
      </c>
      <c r="R2092" t="s">
        <v>638</v>
      </c>
      <c r="S2092" t="s">
        <v>74</v>
      </c>
      <c r="T2092" t="s">
        <v>35795</v>
      </c>
      <c r="U2092" t="s">
        <v>74</v>
      </c>
      <c r="V2092" t="s">
        <v>35796</v>
      </c>
      <c r="W2092" t="s">
        <v>35797</v>
      </c>
      <c r="X2092" t="s">
        <v>35798</v>
      </c>
      <c r="Y2092" t="s">
        <v>35799</v>
      </c>
      <c r="Z2092" t="s">
        <v>35800</v>
      </c>
      <c r="AA2092" t="s">
        <v>35801</v>
      </c>
      <c r="AB2092" t="s">
        <v>74</v>
      </c>
      <c r="AC2092" t="s">
        <v>74</v>
      </c>
      <c r="AD2092" t="s">
        <v>74</v>
      </c>
      <c r="AE2092" t="s">
        <v>74</v>
      </c>
      <c r="AF2092" t="s">
        <v>74</v>
      </c>
      <c r="AG2092">
        <v>34</v>
      </c>
      <c r="AH2092">
        <v>2</v>
      </c>
      <c r="AI2092">
        <v>2</v>
      </c>
      <c r="AJ2092">
        <v>0</v>
      </c>
      <c r="AK2092">
        <v>6</v>
      </c>
      <c r="AL2092" t="s">
        <v>645</v>
      </c>
      <c r="AM2092" t="s">
        <v>646</v>
      </c>
      <c r="AN2092" t="s">
        <v>647</v>
      </c>
      <c r="AO2092" t="s">
        <v>74</v>
      </c>
      <c r="AP2092" t="s">
        <v>74</v>
      </c>
      <c r="AQ2092" t="s">
        <v>1580</v>
      </c>
      <c r="AR2092" t="s">
        <v>74</v>
      </c>
      <c r="AS2092" t="s">
        <v>74</v>
      </c>
      <c r="AT2092" t="s">
        <v>74</v>
      </c>
      <c r="AU2092">
        <v>2016</v>
      </c>
      <c r="AV2092" t="s">
        <v>74</v>
      </c>
      <c r="AW2092" t="s">
        <v>74</v>
      </c>
      <c r="AX2092" t="s">
        <v>74</v>
      </c>
      <c r="AY2092" t="s">
        <v>74</v>
      </c>
      <c r="AZ2092" t="s">
        <v>74</v>
      </c>
      <c r="BA2092" t="s">
        <v>74</v>
      </c>
      <c r="BB2092">
        <v>4384</v>
      </c>
      <c r="BC2092">
        <v>4394</v>
      </c>
      <c r="BD2092" t="s">
        <v>74</v>
      </c>
      <c r="BE2092" t="s">
        <v>74</v>
      </c>
      <c r="BF2092" t="s">
        <v>74</v>
      </c>
      <c r="BG2092" t="s">
        <v>74</v>
      </c>
      <c r="BH2092" t="s">
        <v>74</v>
      </c>
      <c r="BI2092">
        <v>11</v>
      </c>
      <c r="BJ2092" t="s">
        <v>1453</v>
      </c>
      <c r="BK2092" t="s">
        <v>183</v>
      </c>
      <c r="BL2092" t="s">
        <v>100</v>
      </c>
      <c r="BM2092" t="s">
        <v>1581</v>
      </c>
      <c r="BN2092" t="s">
        <v>74</v>
      </c>
      <c r="BO2092" t="s">
        <v>74</v>
      </c>
      <c r="BP2092" t="s">
        <v>74</v>
      </c>
      <c r="BQ2092" t="s">
        <v>74</v>
      </c>
      <c r="BR2092" t="s">
        <v>102</v>
      </c>
      <c r="BS2092" t="s">
        <v>35802</v>
      </c>
      <c r="BT2092" t="str">
        <f>HYPERLINK("https%3A%2F%2Fwww.webofscience.com%2Fwos%2Fwoscc%2Ffull-record%2FWOS:000392785700438","View Full Record in Web of Science")</f>
        <v>View Full Record in Web of Science</v>
      </c>
    </row>
    <row r="2093" spans="1:72" x14ac:dyDescent="0.25">
      <c r="A2093" t="s">
        <v>72</v>
      </c>
      <c r="B2093" t="s">
        <v>35803</v>
      </c>
      <c r="C2093" t="s">
        <v>74</v>
      </c>
      <c r="D2093" t="s">
        <v>74</v>
      </c>
      <c r="E2093" t="s">
        <v>74</v>
      </c>
      <c r="F2093" t="s">
        <v>35804</v>
      </c>
      <c r="G2093" t="s">
        <v>74</v>
      </c>
      <c r="H2093" t="s">
        <v>74</v>
      </c>
      <c r="I2093" t="s">
        <v>35805</v>
      </c>
      <c r="J2093" t="s">
        <v>2137</v>
      </c>
      <c r="K2093" t="s">
        <v>74</v>
      </c>
      <c r="L2093" t="s">
        <v>74</v>
      </c>
      <c r="M2093" t="s">
        <v>78</v>
      </c>
      <c r="N2093" t="s">
        <v>79</v>
      </c>
      <c r="O2093" t="s">
        <v>74</v>
      </c>
      <c r="P2093" t="s">
        <v>74</v>
      </c>
      <c r="Q2093" t="s">
        <v>74</v>
      </c>
      <c r="R2093" t="s">
        <v>74</v>
      </c>
      <c r="S2093" t="s">
        <v>74</v>
      </c>
      <c r="T2093" t="s">
        <v>35806</v>
      </c>
      <c r="U2093" t="s">
        <v>35807</v>
      </c>
      <c r="V2093" t="s">
        <v>35808</v>
      </c>
      <c r="W2093" t="s">
        <v>35809</v>
      </c>
      <c r="X2093" t="s">
        <v>35810</v>
      </c>
      <c r="Y2093" t="s">
        <v>35811</v>
      </c>
      <c r="Z2093" t="s">
        <v>35812</v>
      </c>
      <c r="AA2093" t="s">
        <v>74</v>
      </c>
      <c r="AB2093" t="s">
        <v>9292</v>
      </c>
      <c r="AC2093" t="s">
        <v>74</v>
      </c>
      <c r="AD2093" t="s">
        <v>74</v>
      </c>
      <c r="AE2093" t="s">
        <v>74</v>
      </c>
      <c r="AF2093" t="s">
        <v>74</v>
      </c>
      <c r="AG2093">
        <v>54</v>
      </c>
      <c r="AH2093">
        <v>8</v>
      </c>
      <c r="AI2093">
        <v>11</v>
      </c>
      <c r="AJ2093">
        <v>1</v>
      </c>
      <c r="AK2093">
        <v>8</v>
      </c>
      <c r="AL2093" t="s">
        <v>2145</v>
      </c>
      <c r="AM2093" t="s">
        <v>151</v>
      </c>
      <c r="AN2093" t="s">
        <v>2146</v>
      </c>
      <c r="AO2093" t="s">
        <v>2147</v>
      </c>
      <c r="AP2093" t="s">
        <v>2148</v>
      </c>
      <c r="AQ2093" t="s">
        <v>74</v>
      </c>
      <c r="AR2093" t="s">
        <v>2149</v>
      </c>
      <c r="AS2093" t="s">
        <v>2150</v>
      </c>
      <c r="AT2093" t="s">
        <v>74</v>
      </c>
      <c r="AU2093">
        <v>2021</v>
      </c>
      <c r="AV2093">
        <v>32</v>
      </c>
      <c r="AW2093">
        <v>3</v>
      </c>
      <c r="AX2093" t="s">
        <v>74</v>
      </c>
      <c r="AY2093" t="s">
        <v>74</v>
      </c>
      <c r="AZ2093" t="s">
        <v>74</v>
      </c>
      <c r="BA2093" t="s">
        <v>74</v>
      </c>
      <c r="BB2093">
        <v>402</v>
      </c>
      <c r="BC2093">
        <v>416</v>
      </c>
      <c r="BD2093" t="s">
        <v>74</v>
      </c>
      <c r="BE2093" t="s">
        <v>35813</v>
      </c>
      <c r="BF2093" t="str">
        <f>HYPERLINK("http://dx.doi.org/10.1891/JFCP-19-00076","http://dx.doi.org/10.1891/JFCP-19-00076")</f>
        <v>http://dx.doi.org/10.1891/JFCP-19-00076</v>
      </c>
      <c r="BG2093" t="s">
        <v>74</v>
      </c>
      <c r="BH2093" t="s">
        <v>74</v>
      </c>
      <c r="BI2093">
        <v>15</v>
      </c>
      <c r="BJ2093" t="s">
        <v>1453</v>
      </c>
      <c r="BK2093" t="s">
        <v>313</v>
      </c>
      <c r="BL2093" t="s">
        <v>100</v>
      </c>
      <c r="BM2093" t="s">
        <v>35814</v>
      </c>
      <c r="BN2093" t="s">
        <v>74</v>
      </c>
      <c r="BO2093" t="s">
        <v>74</v>
      </c>
      <c r="BP2093" t="s">
        <v>74</v>
      </c>
      <c r="BQ2093" t="s">
        <v>74</v>
      </c>
      <c r="BR2093" t="s">
        <v>102</v>
      </c>
      <c r="BS2093" t="s">
        <v>35815</v>
      </c>
      <c r="BT2093" t="str">
        <f>HYPERLINK("https%3A%2F%2Fwww.webofscience.com%2Fwos%2Fwoscc%2Ffull-record%2FWOS:000732524900004","View Full Record in Web of Science")</f>
        <v>View Full Record in Web of Science</v>
      </c>
    </row>
    <row r="2094" spans="1:72" x14ac:dyDescent="0.25">
      <c r="A2094" t="s">
        <v>72</v>
      </c>
      <c r="B2094" t="s">
        <v>35816</v>
      </c>
      <c r="C2094" t="s">
        <v>74</v>
      </c>
      <c r="D2094" t="s">
        <v>74</v>
      </c>
      <c r="E2094" t="s">
        <v>74</v>
      </c>
      <c r="F2094" t="s">
        <v>35817</v>
      </c>
      <c r="G2094" t="s">
        <v>74</v>
      </c>
      <c r="H2094" t="s">
        <v>74</v>
      </c>
      <c r="I2094" t="s">
        <v>35818</v>
      </c>
      <c r="J2094" t="s">
        <v>1765</v>
      </c>
      <c r="K2094" t="s">
        <v>74</v>
      </c>
      <c r="L2094" t="s">
        <v>74</v>
      </c>
      <c r="M2094" t="s">
        <v>78</v>
      </c>
      <c r="N2094" t="s">
        <v>79</v>
      </c>
      <c r="O2094" t="s">
        <v>74</v>
      </c>
      <c r="P2094" t="s">
        <v>74</v>
      </c>
      <c r="Q2094" t="s">
        <v>74</v>
      </c>
      <c r="R2094" t="s">
        <v>74</v>
      </c>
      <c r="S2094" t="s">
        <v>74</v>
      </c>
      <c r="T2094" t="s">
        <v>35819</v>
      </c>
      <c r="U2094" t="s">
        <v>74</v>
      </c>
      <c r="V2094" t="s">
        <v>35820</v>
      </c>
      <c r="W2094" t="s">
        <v>35821</v>
      </c>
      <c r="X2094" t="s">
        <v>35822</v>
      </c>
      <c r="Y2094" t="s">
        <v>35823</v>
      </c>
      <c r="Z2094" t="s">
        <v>35824</v>
      </c>
      <c r="AA2094" t="s">
        <v>35825</v>
      </c>
      <c r="AB2094" t="s">
        <v>35826</v>
      </c>
      <c r="AC2094" t="s">
        <v>74</v>
      </c>
      <c r="AD2094" t="s">
        <v>74</v>
      </c>
      <c r="AE2094" t="s">
        <v>74</v>
      </c>
      <c r="AF2094" t="s">
        <v>74</v>
      </c>
      <c r="AG2094">
        <v>72</v>
      </c>
      <c r="AH2094">
        <v>9</v>
      </c>
      <c r="AI2094">
        <v>11</v>
      </c>
      <c r="AJ2094">
        <v>1</v>
      </c>
      <c r="AK2094">
        <v>5</v>
      </c>
      <c r="AL2094" t="s">
        <v>575</v>
      </c>
      <c r="AM2094" t="s">
        <v>576</v>
      </c>
      <c r="AN2094" t="s">
        <v>3242</v>
      </c>
      <c r="AO2094" t="s">
        <v>74</v>
      </c>
      <c r="AP2094" t="s">
        <v>1775</v>
      </c>
      <c r="AQ2094" t="s">
        <v>74</v>
      </c>
      <c r="AR2094" t="s">
        <v>1765</v>
      </c>
      <c r="AS2094" t="s">
        <v>1776</v>
      </c>
      <c r="AT2094" t="s">
        <v>1652</v>
      </c>
      <c r="AU2094">
        <v>2020</v>
      </c>
      <c r="AV2094">
        <v>11</v>
      </c>
      <c r="AW2094">
        <v>6</v>
      </c>
      <c r="AX2094" t="s">
        <v>74</v>
      </c>
      <c r="AY2094" t="s">
        <v>74</v>
      </c>
      <c r="AZ2094" t="s">
        <v>74</v>
      </c>
      <c r="BA2094" t="s">
        <v>74</v>
      </c>
      <c r="BB2094" t="s">
        <v>74</v>
      </c>
      <c r="BC2094" t="s">
        <v>74</v>
      </c>
      <c r="BD2094">
        <v>309</v>
      </c>
      <c r="BE2094" t="s">
        <v>35827</v>
      </c>
      <c r="BF2094" t="str">
        <f>HYPERLINK("http://dx.doi.org/10.3390/info11060309","http://dx.doi.org/10.3390/info11060309")</f>
        <v>http://dx.doi.org/10.3390/info11060309</v>
      </c>
      <c r="BG2094" t="s">
        <v>74</v>
      </c>
      <c r="BH2094" t="s">
        <v>74</v>
      </c>
      <c r="BI2094">
        <v>24</v>
      </c>
      <c r="BJ2094" t="s">
        <v>1779</v>
      </c>
      <c r="BK2094" t="s">
        <v>313</v>
      </c>
      <c r="BL2094" t="s">
        <v>157</v>
      </c>
      <c r="BM2094" t="s">
        <v>35828</v>
      </c>
      <c r="BN2094" t="s">
        <v>74</v>
      </c>
      <c r="BO2094" t="s">
        <v>916</v>
      </c>
      <c r="BP2094" t="s">
        <v>74</v>
      </c>
      <c r="BQ2094" t="s">
        <v>74</v>
      </c>
      <c r="BR2094" t="s">
        <v>102</v>
      </c>
      <c r="BS2094" t="s">
        <v>35829</v>
      </c>
      <c r="BT2094" t="str">
        <f>HYPERLINK("https%3A%2F%2Fwww.webofscience.com%2Fwos%2Fwoscc%2Ffull-record%2FWOS:000551236800050","View Full Record in Web of Science")</f>
        <v>View Full Record in Web of Science</v>
      </c>
    </row>
    <row r="2095" spans="1:72" x14ac:dyDescent="0.25">
      <c r="A2095" t="s">
        <v>72</v>
      </c>
      <c r="B2095" t="s">
        <v>35830</v>
      </c>
      <c r="C2095" t="s">
        <v>74</v>
      </c>
      <c r="D2095" t="s">
        <v>74</v>
      </c>
      <c r="E2095" t="s">
        <v>74</v>
      </c>
      <c r="F2095" t="s">
        <v>35831</v>
      </c>
      <c r="G2095" t="s">
        <v>74</v>
      </c>
      <c r="H2095" t="s">
        <v>74</v>
      </c>
      <c r="I2095" t="s">
        <v>35832</v>
      </c>
      <c r="J2095" t="s">
        <v>35833</v>
      </c>
      <c r="K2095" t="s">
        <v>74</v>
      </c>
      <c r="L2095" t="s">
        <v>74</v>
      </c>
      <c r="M2095" t="s">
        <v>78</v>
      </c>
      <c r="N2095" t="s">
        <v>79</v>
      </c>
      <c r="O2095" t="s">
        <v>74</v>
      </c>
      <c r="P2095" t="s">
        <v>74</v>
      </c>
      <c r="Q2095" t="s">
        <v>74</v>
      </c>
      <c r="R2095" t="s">
        <v>74</v>
      </c>
      <c r="S2095" t="s">
        <v>74</v>
      </c>
      <c r="T2095" t="s">
        <v>74</v>
      </c>
      <c r="U2095" t="s">
        <v>35834</v>
      </c>
      <c r="V2095" t="s">
        <v>35835</v>
      </c>
      <c r="W2095" t="s">
        <v>35836</v>
      </c>
      <c r="X2095" t="s">
        <v>35837</v>
      </c>
      <c r="Y2095" t="s">
        <v>35838</v>
      </c>
      <c r="Z2095" t="s">
        <v>74</v>
      </c>
      <c r="AA2095" t="s">
        <v>74</v>
      </c>
      <c r="AB2095" t="s">
        <v>35839</v>
      </c>
      <c r="AC2095" t="s">
        <v>35840</v>
      </c>
      <c r="AD2095" t="s">
        <v>35840</v>
      </c>
      <c r="AE2095" t="s">
        <v>35841</v>
      </c>
      <c r="AF2095" t="s">
        <v>74</v>
      </c>
      <c r="AG2095">
        <v>39</v>
      </c>
      <c r="AH2095">
        <v>12</v>
      </c>
      <c r="AI2095">
        <v>15</v>
      </c>
      <c r="AJ2095">
        <v>0</v>
      </c>
      <c r="AK2095">
        <v>15</v>
      </c>
      <c r="AL2095" t="s">
        <v>3380</v>
      </c>
      <c r="AM2095" t="s">
        <v>3381</v>
      </c>
      <c r="AN2095" t="s">
        <v>3382</v>
      </c>
      <c r="AO2095" t="s">
        <v>35842</v>
      </c>
      <c r="AP2095" t="s">
        <v>35843</v>
      </c>
      <c r="AQ2095" t="s">
        <v>74</v>
      </c>
      <c r="AR2095" t="s">
        <v>35833</v>
      </c>
      <c r="AS2095" t="s">
        <v>35844</v>
      </c>
      <c r="AT2095" t="s">
        <v>3136</v>
      </c>
      <c r="AU2095">
        <v>2018</v>
      </c>
      <c r="AV2095">
        <v>44</v>
      </c>
      <c r="AW2095">
        <v>1</v>
      </c>
      <c r="AX2095" t="s">
        <v>74</v>
      </c>
      <c r="AY2095" t="s">
        <v>74</v>
      </c>
      <c r="AZ2095" t="s">
        <v>74</v>
      </c>
      <c r="BA2095" t="s">
        <v>74</v>
      </c>
      <c r="BB2095">
        <v>83</v>
      </c>
      <c r="BC2095">
        <v>105</v>
      </c>
      <c r="BD2095" t="s">
        <v>74</v>
      </c>
      <c r="BE2095" t="s">
        <v>35845</v>
      </c>
      <c r="BF2095" t="str">
        <f>HYPERLINK("http://dx.doi.org/10.1086/698278","http://dx.doi.org/10.1086/698278")</f>
        <v>http://dx.doi.org/10.1086/698278</v>
      </c>
      <c r="BG2095" t="s">
        <v>74</v>
      </c>
      <c r="BH2095" t="s">
        <v>74</v>
      </c>
      <c r="BI2095">
        <v>23</v>
      </c>
      <c r="BJ2095" t="s">
        <v>4761</v>
      </c>
      <c r="BK2095" t="s">
        <v>99</v>
      </c>
      <c r="BL2095" t="s">
        <v>4761</v>
      </c>
      <c r="BM2095" t="s">
        <v>35846</v>
      </c>
      <c r="BN2095" t="s">
        <v>74</v>
      </c>
      <c r="BO2095" t="s">
        <v>74</v>
      </c>
      <c r="BP2095" t="s">
        <v>74</v>
      </c>
      <c r="BQ2095" t="s">
        <v>74</v>
      </c>
      <c r="BR2095" t="s">
        <v>102</v>
      </c>
      <c r="BS2095" t="s">
        <v>35847</v>
      </c>
      <c r="BT2095" t="str">
        <f>HYPERLINK("https%3A%2F%2Fwww.webofscience.com%2Fwos%2Fwoscc%2Ffull-record%2FWOS:000441455900005","View Full Record in Web of Science")</f>
        <v>View Full Record in Web of Science</v>
      </c>
    </row>
    <row r="2096" spans="1:72" x14ac:dyDescent="0.25">
      <c r="A2096" t="s">
        <v>72</v>
      </c>
      <c r="B2096" t="s">
        <v>35848</v>
      </c>
      <c r="C2096" t="s">
        <v>74</v>
      </c>
      <c r="D2096" t="s">
        <v>74</v>
      </c>
      <c r="E2096" t="s">
        <v>74</v>
      </c>
      <c r="F2096" t="s">
        <v>35849</v>
      </c>
      <c r="G2096" t="s">
        <v>74</v>
      </c>
      <c r="H2096" t="s">
        <v>74</v>
      </c>
      <c r="I2096" t="s">
        <v>35850</v>
      </c>
      <c r="J2096" t="s">
        <v>2943</v>
      </c>
      <c r="K2096" t="s">
        <v>74</v>
      </c>
      <c r="L2096" t="s">
        <v>74</v>
      </c>
      <c r="M2096" t="s">
        <v>78</v>
      </c>
      <c r="N2096" t="s">
        <v>1766</v>
      </c>
      <c r="O2096" t="s">
        <v>74</v>
      </c>
      <c r="P2096" t="s">
        <v>74</v>
      </c>
      <c r="Q2096" t="s">
        <v>74</v>
      </c>
      <c r="R2096" t="s">
        <v>74</v>
      </c>
      <c r="S2096" t="s">
        <v>74</v>
      </c>
      <c r="T2096" t="s">
        <v>35851</v>
      </c>
      <c r="U2096" t="s">
        <v>74</v>
      </c>
      <c r="V2096" t="s">
        <v>35852</v>
      </c>
      <c r="W2096" t="s">
        <v>35853</v>
      </c>
      <c r="X2096" t="s">
        <v>74</v>
      </c>
      <c r="Y2096" t="s">
        <v>35854</v>
      </c>
      <c r="Z2096" t="s">
        <v>35855</v>
      </c>
      <c r="AA2096" t="s">
        <v>35856</v>
      </c>
      <c r="AB2096" t="s">
        <v>35857</v>
      </c>
      <c r="AC2096" t="s">
        <v>74</v>
      </c>
      <c r="AD2096" t="s">
        <v>74</v>
      </c>
      <c r="AE2096" t="s">
        <v>74</v>
      </c>
      <c r="AF2096" t="s">
        <v>74</v>
      </c>
      <c r="AG2096">
        <v>53</v>
      </c>
      <c r="AH2096">
        <v>1</v>
      </c>
      <c r="AI2096">
        <v>1</v>
      </c>
      <c r="AJ2096">
        <v>5</v>
      </c>
      <c r="AK2096">
        <v>8</v>
      </c>
      <c r="AL2096" t="s">
        <v>385</v>
      </c>
      <c r="AM2096" t="s">
        <v>151</v>
      </c>
      <c r="AN2096" t="s">
        <v>386</v>
      </c>
      <c r="AO2096" t="s">
        <v>2952</v>
      </c>
      <c r="AP2096" t="s">
        <v>2953</v>
      </c>
      <c r="AQ2096" t="s">
        <v>74</v>
      </c>
      <c r="AR2096" t="s">
        <v>2954</v>
      </c>
      <c r="AS2096" t="s">
        <v>2955</v>
      </c>
      <c r="AT2096" t="s">
        <v>16891</v>
      </c>
      <c r="AU2096">
        <v>2025</v>
      </c>
      <c r="AV2096">
        <v>11</v>
      </c>
      <c r="AW2096">
        <v>1</v>
      </c>
      <c r="AX2096" t="s">
        <v>74</v>
      </c>
      <c r="AY2096" t="s">
        <v>74</v>
      </c>
      <c r="AZ2096" t="s">
        <v>74</v>
      </c>
      <c r="BA2096" t="s">
        <v>74</v>
      </c>
      <c r="BB2096" t="s">
        <v>74</v>
      </c>
      <c r="BC2096" t="s">
        <v>74</v>
      </c>
      <c r="BD2096">
        <v>131</v>
      </c>
      <c r="BE2096" t="s">
        <v>35858</v>
      </c>
      <c r="BF2096" t="str">
        <f>HYPERLINK("http://dx.doi.org/10.1186/s43093-025-00549-z","http://dx.doi.org/10.1186/s43093-025-00549-z")</f>
        <v>http://dx.doi.org/10.1186/s43093-025-00549-z</v>
      </c>
      <c r="BG2096" t="s">
        <v>74</v>
      </c>
      <c r="BH2096" t="s">
        <v>74</v>
      </c>
      <c r="BI2096">
        <v>17</v>
      </c>
      <c r="BJ2096" t="s">
        <v>418</v>
      </c>
      <c r="BK2096" t="s">
        <v>313</v>
      </c>
      <c r="BL2096" t="s">
        <v>100</v>
      </c>
      <c r="BM2096" t="s">
        <v>35859</v>
      </c>
      <c r="BN2096" t="s">
        <v>74</v>
      </c>
      <c r="BO2096" t="s">
        <v>212</v>
      </c>
      <c r="BP2096" t="s">
        <v>74</v>
      </c>
      <c r="BQ2096" t="s">
        <v>74</v>
      </c>
      <c r="BR2096" t="s">
        <v>102</v>
      </c>
      <c r="BS2096" t="s">
        <v>35860</v>
      </c>
      <c r="BT2096" t="str">
        <f>HYPERLINK("https%3A%2F%2Fwww.webofscience.com%2Fwos%2Fwoscc%2Ffull-record%2FWOS:001501135200001","View Full Record in Web of Science")</f>
        <v>View Full Record in Web of Science</v>
      </c>
    </row>
    <row r="2097" spans="1:72" x14ac:dyDescent="0.25">
      <c r="A2097" t="s">
        <v>72</v>
      </c>
      <c r="B2097" t="s">
        <v>35861</v>
      </c>
      <c r="C2097" t="s">
        <v>74</v>
      </c>
      <c r="D2097" t="s">
        <v>74</v>
      </c>
      <c r="E2097" t="s">
        <v>74</v>
      </c>
      <c r="F2097" t="s">
        <v>35862</v>
      </c>
      <c r="G2097" t="s">
        <v>74</v>
      </c>
      <c r="H2097" t="s">
        <v>74</v>
      </c>
      <c r="I2097" t="s">
        <v>35863</v>
      </c>
      <c r="J2097" t="s">
        <v>2309</v>
      </c>
      <c r="K2097" t="s">
        <v>74</v>
      </c>
      <c r="L2097" t="s">
        <v>74</v>
      </c>
      <c r="M2097" t="s">
        <v>78</v>
      </c>
      <c r="N2097" t="s">
        <v>79</v>
      </c>
      <c r="O2097" t="s">
        <v>74</v>
      </c>
      <c r="P2097" t="s">
        <v>74</v>
      </c>
      <c r="Q2097" t="s">
        <v>74</v>
      </c>
      <c r="R2097" t="s">
        <v>74</v>
      </c>
      <c r="S2097" t="s">
        <v>74</v>
      </c>
      <c r="T2097" t="s">
        <v>35864</v>
      </c>
      <c r="U2097" t="s">
        <v>35865</v>
      </c>
      <c r="V2097" t="s">
        <v>35866</v>
      </c>
      <c r="W2097" t="s">
        <v>35867</v>
      </c>
      <c r="X2097" t="s">
        <v>35868</v>
      </c>
      <c r="Y2097" t="s">
        <v>35869</v>
      </c>
      <c r="Z2097" t="s">
        <v>35870</v>
      </c>
      <c r="AA2097" t="s">
        <v>74</v>
      </c>
      <c r="AB2097" t="s">
        <v>74</v>
      </c>
      <c r="AC2097" t="s">
        <v>74</v>
      </c>
      <c r="AD2097" t="s">
        <v>74</v>
      </c>
      <c r="AE2097" t="s">
        <v>35871</v>
      </c>
      <c r="AF2097" t="s">
        <v>74</v>
      </c>
      <c r="AG2097">
        <v>107</v>
      </c>
      <c r="AH2097">
        <v>2</v>
      </c>
      <c r="AI2097">
        <v>2</v>
      </c>
      <c r="AJ2097">
        <v>5</v>
      </c>
      <c r="AK2097">
        <v>8</v>
      </c>
      <c r="AL2097" t="s">
        <v>332</v>
      </c>
      <c r="AM2097" t="s">
        <v>333</v>
      </c>
      <c r="AN2097" t="s">
        <v>334</v>
      </c>
      <c r="AO2097" t="s">
        <v>2322</v>
      </c>
      <c r="AP2097" t="s">
        <v>2323</v>
      </c>
      <c r="AQ2097" t="s">
        <v>74</v>
      </c>
      <c r="AR2097" t="s">
        <v>2324</v>
      </c>
      <c r="AS2097" t="s">
        <v>2325</v>
      </c>
      <c r="AT2097" t="s">
        <v>1427</v>
      </c>
      <c r="AU2097">
        <v>2025</v>
      </c>
      <c r="AV2097">
        <v>61</v>
      </c>
      <c r="AW2097">
        <v>1</v>
      </c>
      <c r="AX2097" t="s">
        <v>74</v>
      </c>
      <c r="AY2097" t="s">
        <v>74</v>
      </c>
      <c r="AZ2097" t="s">
        <v>74</v>
      </c>
      <c r="BA2097" t="s">
        <v>74</v>
      </c>
      <c r="BB2097">
        <v>133</v>
      </c>
      <c r="BC2097">
        <v>151</v>
      </c>
      <c r="BD2097" t="s">
        <v>74</v>
      </c>
      <c r="BE2097" t="s">
        <v>35872</v>
      </c>
      <c r="BF2097" t="str">
        <f>HYPERLINK("http://dx.doi.org/10.1080/00220388.2024.2398448","http://dx.doi.org/10.1080/00220388.2024.2398448")</f>
        <v>http://dx.doi.org/10.1080/00220388.2024.2398448</v>
      </c>
      <c r="BG2097" t="s">
        <v>74</v>
      </c>
      <c r="BH2097" t="s">
        <v>9389</v>
      </c>
      <c r="BI2097">
        <v>19</v>
      </c>
      <c r="BJ2097" t="s">
        <v>701</v>
      </c>
      <c r="BK2097" t="s">
        <v>99</v>
      </c>
      <c r="BL2097" t="s">
        <v>702</v>
      </c>
      <c r="BM2097" t="s">
        <v>35873</v>
      </c>
      <c r="BN2097" t="s">
        <v>74</v>
      </c>
      <c r="BO2097" t="s">
        <v>74</v>
      </c>
      <c r="BP2097" t="s">
        <v>74</v>
      </c>
      <c r="BQ2097" t="s">
        <v>74</v>
      </c>
      <c r="BR2097" t="s">
        <v>102</v>
      </c>
      <c r="BS2097" t="s">
        <v>35874</v>
      </c>
      <c r="BT2097" t="str">
        <f>HYPERLINK("https%3A%2F%2Fwww.webofscience.com%2Fwos%2Fwoscc%2Ffull-record%2FWOS:001316009400001","View Full Record in Web of Science")</f>
        <v>View Full Record in Web of Science</v>
      </c>
    </row>
    <row r="2098" spans="1:72" x14ac:dyDescent="0.25">
      <c r="A2098" t="s">
        <v>72</v>
      </c>
      <c r="B2098" t="s">
        <v>35875</v>
      </c>
      <c r="C2098" t="s">
        <v>74</v>
      </c>
      <c r="D2098" t="s">
        <v>74</v>
      </c>
      <c r="E2098" t="s">
        <v>74</v>
      </c>
      <c r="F2098" t="s">
        <v>35876</v>
      </c>
      <c r="G2098" t="s">
        <v>74</v>
      </c>
      <c r="H2098" t="s">
        <v>74</v>
      </c>
      <c r="I2098" t="s">
        <v>35877</v>
      </c>
      <c r="J2098" t="s">
        <v>9470</v>
      </c>
      <c r="K2098" t="s">
        <v>74</v>
      </c>
      <c r="L2098" t="s">
        <v>74</v>
      </c>
      <c r="M2098" t="s">
        <v>78</v>
      </c>
      <c r="N2098" t="s">
        <v>79</v>
      </c>
      <c r="O2098" t="s">
        <v>74</v>
      </c>
      <c r="P2098" t="s">
        <v>74</v>
      </c>
      <c r="Q2098" t="s">
        <v>74</v>
      </c>
      <c r="R2098" t="s">
        <v>74</v>
      </c>
      <c r="S2098" t="s">
        <v>74</v>
      </c>
      <c r="T2098" t="s">
        <v>35878</v>
      </c>
      <c r="U2098" t="s">
        <v>35879</v>
      </c>
      <c r="V2098" t="s">
        <v>35880</v>
      </c>
      <c r="W2098" t="s">
        <v>35881</v>
      </c>
      <c r="X2098" t="s">
        <v>25767</v>
      </c>
      <c r="Y2098" t="s">
        <v>35882</v>
      </c>
      <c r="Z2098" t="s">
        <v>35883</v>
      </c>
      <c r="AA2098" t="s">
        <v>35884</v>
      </c>
      <c r="AB2098" t="s">
        <v>35885</v>
      </c>
      <c r="AC2098" t="s">
        <v>35886</v>
      </c>
      <c r="AD2098" t="s">
        <v>35886</v>
      </c>
      <c r="AE2098" t="s">
        <v>35887</v>
      </c>
      <c r="AF2098" t="s">
        <v>74</v>
      </c>
      <c r="AG2098">
        <v>41</v>
      </c>
      <c r="AH2098">
        <v>9</v>
      </c>
      <c r="AI2098">
        <v>12</v>
      </c>
      <c r="AJ2098">
        <v>2</v>
      </c>
      <c r="AK2098">
        <v>47</v>
      </c>
      <c r="AL2098" t="s">
        <v>1889</v>
      </c>
      <c r="AM2098" t="s">
        <v>1890</v>
      </c>
      <c r="AN2098" t="s">
        <v>1891</v>
      </c>
      <c r="AO2098" t="s">
        <v>9478</v>
      </c>
      <c r="AP2098" t="s">
        <v>9479</v>
      </c>
      <c r="AQ2098" t="s">
        <v>74</v>
      </c>
      <c r="AR2098" t="s">
        <v>9480</v>
      </c>
      <c r="AS2098" t="s">
        <v>9481</v>
      </c>
      <c r="AT2098" t="s">
        <v>1652</v>
      </c>
      <c r="AU2098">
        <v>2023</v>
      </c>
      <c r="AV2098">
        <v>68</v>
      </c>
      <c r="AW2098">
        <v>4</v>
      </c>
      <c r="AX2098" t="s">
        <v>74</v>
      </c>
      <c r="AY2098" t="s">
        <v>74</v>
      </c>
      <c r="AZ2098" t="s">
        <v>74</v>
      </c>
      <c r="BA2098" t="s">
        <v>74</v>
      </c>
      <c r="BB2098">
        <v>1375</v>
      </c>
      <c r="BC2098">
        <v>1391</v>
      </c>
      <c r="BD2098" t="s">
        <v>74</v>
      </c>
      <c r="BE2098" t="s">
        <v>35888</v>
      </c>
      <c r="BF2098" t="str">
        <f>HYPERLINK("http://dx.doi.org/10.1142/S0217590822440027","http://dx.doi.org/10.1142/S0217590822440027")</f>
        <v>http://dx.doi.org/10.1142/S0217590822440027</v>
      </c>
      <c r="BG2098" t="s">
        <v>74</v>
      </c>
      <c r="BH2098" t="s">
        <v>2730</v>
      </c>
      <c r="BI2098">
        <v>17</v>
      </c>
      <c r="BJ2098" t="s">
        <v>291</v>
      </c>
      <c r="BK2098" t="s">
        <v>99</v>
      </c>
      <c r="BL2098" t="s">
        <v>100</v>
      </c>
      <c r="BM2098" t="s">
        <v>35889</v>
      </c>
      <c r="BN2098" t="s">
        <v>74</v>
      </c>
      <c r="BO2098" t="s">
        <v>74</v>
      </c>
      <c r="BP2098" t="s">
        <v>74</v>
      </c>
      <c r="BQ2098" t="s">
        <v>74</v>
      </c>
      <c r="BR2098" t="s">
        <v>102</v>
      </c>
      <c r="BS2098" t="s">
        <v>35890</v>
      </c>
      <c r="BT2098" t="str">
        <f>HYPERLINK("https%3A%2F%2Fwww.webofscience.com%2Fwos%2Fwoscc%2Ffull-record%2FWOS:000729548000004","View Full Record in Web of Science")</f>
        <v>View Full Record in Web of Science</v>
      </c>
    </row>
    <row r="2099" spans="1:72" x14ac:dyDescent="0.25">
      <c r="A2099" t="s">
        <v>72</v>
      </c>
      <c r="B2099" t="s">
        <v>35891</v>
      </c>
      <c r="C2099" t="s">
        <v>74</v>
      </c>
      <c r="D2099" t="s">
        <v>74</v>
      </c>
      <c r="E2099" t="s">
        <v>74</v>
      </c>
      <c r="F2099" t="s">
        <v>35892</v>
      </c>
      <c r="G2099" t="s">
        <v>74</v>
      </c>
      <c r="H2099" t="s">
        <v>74</v>
      </c>
      <c r="I2099" t="s">
        <v>35893</v>
      </c>
      <c r="J2099" t="s">
        <v>9896</v>
      </c>
      <c r="K2099" t="s">
        <v>74</v>
      </c>
      <c r="L2099" t="s">
        <v>74</v>
      </c>
      <c r="M2099" t="s">
        <v>78</v>
      </c>
      <c r="N2099" t="s">
        <v>79</v>
      </c>
      <c r="O2099" t="s">
        <v>74</v>
      </c>
      <c r="P2099" t="s">
        <v>74</v>
      </c>
      <c r="Q2099" t="s">
        <v>74</v>
      </c>
      <c r="R2099" t="s">
        <v>74</v>
      </c>
      <c r="S2099" t="s">
        <v>74</v>
      </c>
      <c r="T2099" t="s">
        <v>35894</v>
      </c>
      <c r="U2099" t="s">
        <v>74</v>
      </c>
      <c r="V2099" t="s">
        <v>35895</v>
      </c>
      <c r="W2099" t="s">
        <v>35896</v>
      </c>
      <c r="X2099" t="s">
        <v>35897</v>
      </c>
      <c r="Y2099" t="s">
        <v>35898</v>
      </c>
      <c r="Z2099" t="s">
        <v>35899</v>
      </c>
      <c r="AA2099" t="s">
        <v>35900</v>
      </c>
      <c r="AB2099" t="s">
        <v>35901</v>
      </c>
      <c r="AC2099" t="s">
        <v>74</v>
      </c>
      <c r="AD2099" t="s">
        <v>74</v>
      </c>
      <c r="AE2099" t="s">
        <v>74</v>
      </c>
      <c r="AF2099" t="s">
        <v>74</v>
      </c>
      <c r="AG2099">
        <v>32</v>
      </c>
      <c r="AH2099">
        <v>16</v>
      </c>
      <c r="AI2099">
        <v>21</v>
      </c>
      <c r="AJ2099">
        <v>0</v>
      </c>
      <c r="AK2099">
        <v>9</v>
      </c>
      <c r="AL2099" t="s">
        <v>89</v>
      </c>
      <c r="AM2099" t="s">
        <v>1497</v>
      </c>
      <c r="AN2099" t="s">
        <v>1498</v>
      </c>
      <c r="AO2099" t="s">
        <v>9905</v>
      </c>
      <c r="AP2099" t="s">
        <v>9906</v>
      </c>
      <c r="AQ2099" t="s">
        <v>74</v>
      </c>
      <c r="AR2099" t="s">
        <v>9907</v>
      </c>
      <c r="AS2099" t="s">
        <v>9908</v>
      </c>
      <c r="AT2099" t="s">
        <v>1816</v>
      </c>
      <c r="AU2099">
        <v>2019</v>
      </c>
      <c r="AV2099">
        <v>79</v>
      </c>
      <c r="AW2099">
        <v>5</v>
      </c>
      <c r="AX2099" t="s">
        <v>74</v>
      </c>
      <c r="AY2099" t="s">
        <v>74</v>
      </c>
      <c r="AZ2099" t="s">
        <v>74</v>
      </c>
      <c r="BA2099" t="s">
        <v>74</v>
      </c>
      <c r="BB2099">
        <v>633</v>
      </c>
      <c r="BC2099">
        <v>645</v>
      </c>
      <c r="BD2099" t="s">
        <v>74</v>
      </c>
      <c r="BE2099" t="s">
        <v>35902</v>
      </c>
      <c r="BF2099" t="str">
        <f>HYPERLINK("http://dx.doi.org/10.1108/AFR-10-2018-0091","http://dx.doi.org/10.1108/AFR-10-2018-0091")</f>
        <v>http://dx.doi.org/10.1108/AFR-10-2018-0091</v>
      </c>
      <c r="BG2099" t="s">
        <v>74</v>
      </c>
      <c r="BH2099" t="s">
        <v>74</v>
      </c>
      <c r="BI2099">
        <v>13</v>
      </c>
      <c r="BJ2099" t="s">
        <v>5151</v>
      </c>
      <c r="BK2099" t="s">
        <v>313</v>
      </c>
      <c r="BL2099" t="s">
        <v>5152</v>
      </c>
      <c r="BM2099" t="s">
        <v>35903</v>
      </c>
      <c r="BN2099" t="s">
        <v>74</v>
      </c>
      <c r="BO2099" t="s">
        <v>74</v>
      </c>
      <c r="BP2099" t="s">
        <v>74</v>
      </c>
      <c r="BQ2099" t="s">
        <v>74</v>
      </c>
      <c r="BR2099" t="s">
        <v>102</v>
      </c>
      <c r="BS2099" t="s">
        <v>35904</v>
      </c>
      <c r="BT2099" t="str">
        <f>HYPERLINK("https%3A%2F%2Fwww.webofscience.com%2Fwos%2Fwoscc%2Ffull-record%2FWOS:000487034400005","View Full Record in Web of Science")</f>
        <v>View Full Record in Web of Science</v>
      </c>
    </row>
    <row r="2100" spans="1:72" x14ac:dyDescent="0.25">
      <c r="A2100" t="s">
        <v>72</v>
      </c>
      <c r="B2100" t="s">
        <v>35905</v>
      </c>
      <c r="C2100" t="s">
        <v>74</v>
      </c>
      <c r="D2100" t="s">
        <v>74</v>
      </c>
      <c r="E2100" t="s">
        <v>74</v>
      </c>
      <c r="F2100" t="s">
        <v>35906</v>
      </c>
      <c r="G2100" t="s">
        <v>74</v>
      </c>
      <c r="H2100" t="s">
        <v>74</v>
      </c>
      <c r="I2100" t="s">
        <v>35907</v>
      </c>
      <c r="J2100" t="s">
        <v>4306</v>
      </c>
      <c r="K2100" t="s">
        <v>74</v>
      </c>
      <c r="L2100" t="s">
        <v>74</v>
      </c>
      <c r="M2100" t="s">
        <v>78</v>
      </c>
      <c r="N2100" t="s">
        <v>79</v>
      </c>
      <c r="O2100" t="s">
        <v>74</v>
      </c>
      <c r="P2100" t="s">
        <v>74</v>
      </c>
      <c r="Q2100" t="s">
        <v>74</v>
      </c>
      <c r="R2100" t="s">
        <v>74</v>
      </c>
      <c r="S2100" t="s">
        <v>74</v>
      </c>
      <c r="T2100" t="s">
        <v>35908</v>
      </c>
      <c r="U2100" t="s">
        <v>35909</v>
      </c>
      <c r="V2100" t="s">
        <v>35910</v>
      </c>
      <c r="W2100" t="s">
        <v>35911</v>
      </c>
      <c r="X2100" t="s">
        <v>35912</v>
      </c>
      <c r="Y2100" t="s">
        <v>35913</v>
      </c>
      <c r="Z2100" t="s">
        <v>35914</v>
      </c>
      <c r="AA2100" t="s">
        <v>35915</v>
      </c>
      <c r="AB2100" t="s">
        <v>35916</v>
      </c>
      <c r="AC2100" t="s">
        <v>35917</v>
      </c>
      <c r="AD2100" t="s">
        <v>35918</v>
      </c>
      <c r="AE2100" t="s">
        <v>35919</v>
      </c>
      <c r="AF2100" t="s">
        <v>74</v>
      </c>
      <c r="AG2100">
        <v>96</v>
      </c>
      <c r="AH2100">
        <v>1</v>
      </c>
      <c r="AI2100">
        <v>2</v>
      </c>
      <c r="AJ2100">
        <v>3</v>
      </c>
      <c r="AK2100">
        <v>44</v>
      </c>
      <c r="AL2100" t="s">
        <v>503</v>
      </c>
      <c r="AM2100" t="s">
        <v>151</v>
      </c>
      <c r="AN2100" t="s">
        <v>504</v>
      </c>
      <c r="AO2100" t="s">
        <v>4315</v>
      </c>
      <c r="AP2100" t="s">
        <v>4316</v>
      </c>
      <c r="AQ2100" t="s">
        <v>74</v>
      </c>
      <c r="AR2100" t="s">
        <v>4317</v>
      </c>
      <c r="AS2100" t="s">
        <v>4318</v>
      </c>
      <c r="AT2100" t="s">
        <v>1159</v>
      </c>
      <c r="AU2100">
        <v>2024</v>
      </c>
      <c r="AV2100">
        <v>207</v>
      </c>
      <c r="AW2100" t="s">
        <v>74</v>
      </c>
      <c r="AX2100" t="s">
        <v>74</v>
      </c>
      <c r="AY2100" t="s">
        <v>74</v>
      </c>
      <c r="AZ2100" t="s">
        <v>74</v>
      </c>
      <c r="BA2100" t="s">
        <v>74</v>
      </c>
      <c r="BB2100" t="s">
        <v>74</v>
      </c>
      <c r="BC2100" t="s">
        <v>74</v>
      </c>
      <c r="BD2100">
        <v>123637</v>
      </c>
      <c r="BE2100" t="s">
        <v>35920</v>
      </c>
      <c r="BF2100" t="str">
        <f>HYPERLINK("http://dx.doi.org/10.1016/j.techfore.2024.123637","http://dx.doi.org/10.1016/j.techfore.2024.123637")</f>
        <v>http://dx.doi.org/10.1016/j.techfore.2024.123637</v>
      </c>
      <c r="BG2100" t="s">
        <v>74</v>
      </c>
      <c r="BH2100" t="s">
        <v>393</v>
      </c>
      <c r="BI2100">
        <v>10</v>
      </c>
      <c r="BJ2100" t="s">
        <v>1627</v>
      </c>
      <c r="BK2100" t="s">
        <v>99</v>
      </c>
      <c r="BL2100" t="s">
        <v>1406</v>
      </c>
      <c r="BM2100" t="s">
        <v>35921</v>
      </c>
      <c r="BN2100" t="s">
        <v>74</v>
      </c>
      <c r="BO2100" t="s">
        <v>74</v>
      </c>
      <c r="BP2100" t="s">
        <v>74</v>
      </c>
      <c r="BQ2100" t="s">
        <v>74</v>
      </c>
      <c r="BR2100" t="s">
        <v>102</v>
      </c>
      <c r="BS2100" t="s">
        <v>35922</v>
      </c>
      <c r="BT2100" t="str">
        <f>HYPERLINK("https%3A%2F%2Fwww.webofscience.com%2Fwos%2Fwoscc%2Ffull-record%2FWOS:001290445500001","View Full Record in Web of Science")</f>
        <v>View Full Record in Web of Science</v>
      </c>
    </row>
    <row r="2101" spans="1:72" x14ac:dyDescent="0.25">
      <c r="A2101" t="s">
        <v>72</v>
      </c>
      <c r="B2101" t="s">
        <v>35923</v>
      </c>
      <c r="C2101" t="s">
        <v>74</v>
      </c>
      <c r="D2101" t="s">
        <v>74</v>
      </c>
      <c r="E2101" t="s">
        <v>74</v>
      </c>
      <c r="F2101" t="s">
        <v>35924</v>
      </c>
      <c r="G2101" t="s">
        <v>74</v>
      </c>
      <c r="H2101" t="s">
        <v>74</v>
      </c>
      <c r="I2101" t="s">
        <v>35925</v>
      </c>
      <c r="J2101" t="s">
        <v>1245</v>
      </c>
      <c r="K2101" t="s">
        <v>74</v>
      </c>
      <c r="L2101" t="s">
        <v>74</v>
      </c>
      <c r="M2101" t="s">
        <v>78</v>
      </c>
      <c r="N2101" t="s">
        <v>79</v>
      </c>
      <c r="O2101" t="s">
        <v>74</v>
      </c>
      <c r="P2101" t="s">
        <v>74</v>
      </c>
      <c r="Q2101" t="s">
        <v>74</v>
      </c>
      <c r="R2101" t="s">
        <v>74</v>
      </c>
      <c r="S2101" t="s">
        <v>74</v>
      </c>
      <c r="T2101" t="s">
        <v>35926</v>
      </c>
      <c r="U2101" t="s">
        <v>74</v>
      </c>
      <c r="V2101" t="s">
        <v>35927</v>
      </c>
      <c r="W2101" t="s">
        <v>35928</v>
      </c>
      <c r="X2101" t="s">
        <v>35929</v>
      </c>
      <c r="Y2101" t="s">
        <v>35930</v>
      </c>
      <c r="Z2101" t="s">
        <v>35931</v>
      </c>
      <c r="AA2101" t="s">
        <v>74</v>
      </c>
      <c r="AB2101" t="s">
        <v>35932</v>
      </c>
      <c r="AC2101" t="s">
        <v>74</v>
      </c>
      <c r="AD2101" t="s">
        <v>74</v>
      </c>
      <c r="AE2101" t="s">
        <v>74</v>
      </c>
      <c r="AF2101" t="s">
        <v>74</v>
      </c>
      <c r="AG2101">
        <v>29</v>
      </c>
      <c r="AH2101">
        <v>2</v>
      </c>
      <c r="AI2101">
        <v>2</v>
      </c>
      <c r="AJ2101">
        <v>3</v>
      </c>
      <c r="AK2101">
        <v>17</v>
      </c>
      <c r="AL2101" t="s">
        <v>1254</v>
      </c>
      <c r="AM2101" t="s">
        <v>1255</v>
      </c>
      <c r="AN2101" t="s">
        <v>1256</v>
      </c>
      <c r="AO2101" t="s">
        <v>1257</v>
      </c>
      <c r="AP2101" t="s">
        <v>1258</v>
      </c>
      <c r="AQ2101" t="s">
        <v>74</v>
      </c>
      <c r="AR2101" t="s">
        <v>1259</v>
      </c>
      <c r="AS2101" t="s">
        <v>1260</v>
      </c>
      <c r="AT2101" t="s">
        <v>74</v>
      </c>
      <c r="AU2101">
        <v>2022</v>
      </c>
      <c r="AV2101">
        <v>5</v>
      </c>
      <c r="AW2101">
        <v>46</v>
      </c>
      <c r="AX2101" t="s">
        <v>74</v>
      </c>
      <c r="AY2101" t="s">
        <v>74</v>
      </c>
      <c r="AZ2101" t="s">
        <v>74</v>
      </c>
      <c r="BA2101" t="s">
        <v>74</v>
      </c>
      <c r="BB2101">
        <v>8</v>
      </c>
      <c r="BC2101">
        <v>18</v>
      </c>
      <c r="BD2101" t="s">
        <v>74</v>
      </c>
      <c r="BE2101" t="s">
        <v>35933</v>
      </c>
      <c r="BF2101" t="str">
        <f>HYPERLINK("http://dx.doi.org/10.55643/fcaptp.5.46.2022.3877","http://dx.doi.org/10.55643/fcaptp.5.46.2022.3877")</f>
        <v>http://dx.doi.org/10.55643/fcaptp.5.46.2022.3877</v>
      </c>
      <c r="BG2101" t="s">
        <v>74</v>
      </c>
      <c r="BH2101" t="s">
        <v>74</v>
      </c>
      <c r="BI2101">
        <v>10</v>
      </c>
      <c r="BJ2101" t="s">
        <v>268</v>
      </c>
      <c r="BK2101" t="s">
        <v>313</v>
      </c>
      <c r="BL2101" t="s">
        <v>100</v>
      </c>
      <c r="BM2101" t="s">
        <v>35934</v>
      </c>
      <c r="BN2101" t="s">
        <v>74</v>
      </c>
      <c r="BO2101" t="s">
        <v>916</v>
      </c>
      <c r="BP2101" t="s">
        <v>74</v>
      </c>
      <c r="BQ2101" t="s">
        <v>74</v>
      </c>
      <c r="BR2101" t="s">
        <v>102</v>
      </c>
      <c r="BS2101" t="s">
        <v>35935</v>
      </c>
      <c r="BT2101" t="str">
        <f>HYPERLINK("https%3A%2F%2Fwww.webofscience.com%2Fwos%2Fwoscc%2Ffull-record%2FWOS:000895553700001","View Full Record in Web of Science")</f>
        <v>View Full Record in Web of Science</v>
      </c>
    </row>
    <row r="2102" spans="1:72" x14ac:dyDescent="0.25">
      <c r="A2102" t="s">
        <v>72</v>
      </c>
      <c r="B2102" t="s">
        <v>35936</v>
      </c>
      <c r="C2102" t="s">
        <v>74</v>
      </c>
      <c r="D2102" t="s">
        <v>74</v>
      </c>
      <c r="E2102" t="s">
        <v>74</v>
      </c>
      <c r="F2102" t="s">
        <v>35937</v>
      </c>
      <c r="G2102" t="s">
        <v>74</v>
      </c>
      <c r="H2102" t="s">
        <v>74</v>
      </c>
      <c r="I2102" t="s">
        <v>35938</v>
      </c>
      <c r="J2102" t="s">
        <v>11879</v>
      </c>
      <c r="K2102" t="s">
        <v>74</v>
      </c>
      <c r="L2102" t="s">
        <v>74</v>
      </c>
      <c r="M2102" t="s">
        <v>78</v>
      </c>
      <c r="N2102" t="s">
        <v>79</v>
      </c>
      <c r="O2102" t="s">
        <v>74</v>
      </c>
      <c r="P2102" t="s">
        <v>74</v>
      </c>
      <c r="Q2102" t="s">
        <v>74</v>
      </c>
      <c r="R2102" t="s">
        <v>74</v>
      </c>
      <c r="S2102" t="s">
        <v>74</v>
      </c>
      <c r="T2102" t="s">
        <v>35939</v>
      </c>
      <c r="U2102" t="s">
        <v>35940</v>
      </c>
      <c r="V2102" t="s">
        <v>35941</v>
      </c>
      <c r="W2102" t="s">
        <v>35942</v>
      </c>
      <c r="X2102" t="s">
        <v>35943</v>
      </c>
      <c r="Y2102" t="s">
        <v>35944</v>
      </c>
      <c r="Z2102" t="s">
        <v>35945</v>
      </c>
      <c r="AA2102" t="s">
        <v>35946</v>
      </c>
      <c r="AB2102" t="s">
        <v>35947</v>
      </c>
      <c r="AC2102" t="s">
        <v>35948</v>
      </c>
      <c r="AD2102" t="s">
        <v>19883</v>
      </c>
      <c r="AE2102" t="s">
        <v>35949</v>
      </c>
      <c r="AF2102" t="s">
        <v>74</v>
      </c>
      <c r="AG2102">
        <v>42</v>
      </c>
      <c r="AH2102">
        <v>24</v>
      </c>
      <c r="AI2102">
        <v>36</v>
      </c>
      <c r="AJ2102">
        <v>14</v>
      </c>
      <c r="AK2102">
        <v>68</v>
      </c>
      <c r="AL2102" t="s">
        <v>201</v>
      </c>
      <c r="AM2102" t="s">
        <v>202</v>
      </c>
      <c r="AN2102" t="s">
        <v>203</v>
      </c>
      <c r="AO2102" t="s">
        <v>11889</v>
      </c>
      <c r="AP2102" t="s">
        <v>11890</v>
      </c>
      <c r="AQ2102" t="s">
        <v>74</v>
      </c>
      <c r="AR2102" t="s">
        <v>11891</v>
      </c>
      <c r="AS2102" t="s">
        <v>11892</v>
      </c>
      <c r="AT2102" t="s">
        <v>698</v>
      </c>
      <c r="AU2102">
        <v>2023</v>
      </c>
      <c r="AV2102">
        <v>23</v>
      </c>
      <c r="AW2102">
        <v>5</v>
      </c>
      <c r="AX2102" t="s">
        <v>74</v>
      </c>
      <c r="AY2102" t="s">
        <v>74</v>
      </c>
      <c r="AZ2102" t="s">
        <v>74</v>
      </c>
      <c r="BA2102" t="s">
        <v>74</v>
      </c>
      <c r="BB2102">
        <v>1078</v>
      </c>
      <c r="BC2102">
        <v>1097</v>
      </c>
      <c r="BD2102" t="s">
        <v>74</v>
      </c>
      <c r="BE2102" t="s">
        <v>35950</v>
      </c>
      <c r="BF2102" t="str">
        <f>HYPERLINK("http://dx.doi.org/10.1016/j.bir.2023.06.001","http://dx.doi.org/10.1016/j.bir.2023.06.001")</f>
        <v>http://dx.doi.org/10.1016/j.bir.2023.06.001</v>
      </c>
      <c r="BG2102" t="s">
        <v>74</v>
      </c>
      <c r="BH2102" t="s">
        <v>5567</v>
      </c>
      <c r="BI2102">
        <v>20</v>
      </c>
      <c r="BJ2102" t="s">
        <v>210</v>
      </c>
      <c r="BK2102" t="s">
        <v>99</v>
      </c>
      <c r="BL2102" t="s">
        <v>100</v>
      </c>
      <c r="BM2102" t="s">
        <v>35951</v>
      </c>
      <c r="BN2102" t="s">
        <v>74</v>
      </c>
      <c r="BO2102" t="s">
        <v>212</v>
      </c>
      <c r="BP2102" t="s">
        <v>74</v>
      </c>
      <c r="BQ2102" t="s">
        <v>74</v>
      </c>
      <c r="BR2102" t="s">
        <v>102</v>
      </c>
      <c r="BS2102" t="s">
        <v>35952</v>
      </c>
      <c r="BT2102" t="str">
        <f>HYPERLINK("https%3A%2F%2Fwww.webofscience.com%2Fwos%2Fwoscc%2Ffull-record%2FWOS:001078661400001","View Full Record in Web of Science")</f>
        <v>View Full Record in Web of Science</v>
      </c>
    </row>
    <row r="2103" spans="1:72" x14ac:dyDescent="0.25">
      <c r="A2103" t="s">
        <v>72</v>
      </c>
      <c r="B2103" t="s">
        <v>35953</v>
      </c>
      <c r="C2103" t="s">
        <v>74</v>
      </c>
      <c r="D2103" t="s">
        <v>74</v>
      </c>
      <c r="E2103" t="s">
        <v>74</v>
      </c>
      <c r="F2103" t="s">
        <v>35954</v>
      </c>
      <c r="G2103" t="s">
        <v>74</v>
      </c>
      <c r="H2103" t="s">
        <v>74</v>
      </c>
      <c r="I2103" t="s">
        <v>35955</v>
      </c>
      <c r="J2103" t="s">
        <v>35956</v>
      </c>
      <c r="K2103" t="s">
        <v>74</v>
      </c>
      <c r="L2103" t="s">
        <v>74</v>
      </c>
      <c r="M2103" t="s">
        <v>78</v>
      </c>
      <c r="N2103" t="s">
        <v>79</v>
      </c>
      <c r="O2103" t="s">
        <v>74</v>
      </c>
      <c r="P2103" t="s">
        <v>74</v>
      </c>
      <c r="Q2103" t="s">
        <v>74</v>
      </c>
      <c r="R2103" t="s">
        <v>74</v>
      </c>
      <c r="S2103" t="s">
        <v>74</v>
      </c>
      <c r="T2103" t="s">
        <v>35957</v>
      </c>
      <c r="U2103" t="s">
        <v>35958</v>
      </c>
      <c r="V2103" t="s">
        <v>35959</v>
      </c>
      <c r="W2103" t="s">
        <v>35960</v>
      </c>
      <c r="X2103" t="s">
        <v>35961</v>
      </c>
      <c r="Y2103" t="s">
        <v>35962</v>
      </c>
      <c r="Z2103" t="s">
        <v>35963</v>
      </c>
      <c r="AA2103" t="s">
        <v>35964</v>
      </c>
      <c r="AB2103" t="s">
        <v>35965</v>
      </c>
      <c r="AC2103" t="s">
        <v>74</v>
      </c>
      <c r="AD2103" t="s">
        <v>74</v>
      </c>
      <c r="AE2103" t="s">
        <v>74</v>
      </c>
      <c r="AF2103" t="s">
        <v>74</v>
      </c>
      <c r="AG2103">
        <v>101</v>
      </c>
      <c r="AH2103">
        <v>27</v>
      </c>
      <c r="AI2103">
        <v>34</v>
      </c>
      <c r="AJ2103">
        <v>5</v>
      </c>
      <c r="AK2103">
        <v>76</v>
      </c>
      <c r="AL2103" t="s">
        <v>201</v>
      </c>
      <c r="AM2103" t="s">
        <v>202</v>
      </c>
      <c r="AN2103" t="s">
        <v>203</v>
      </c>
      <c r="AO2103" t="s">
        <v>35966</v>
      </c>
      <c r="AP2103" t="s">
        <v>35967</v>
      </c>
      <c r="AQ2103" t="s">
        <v>74</v>
      </c>
      <c r="AR2103" t="s">
        <v>35968</v>
      </c>
      <c r="AS2103" t="s">
        <v>35969</v>
      </c>
      <c r="AT2103" t="s">
        <v>208</v>
      </c>
      <c r="AU2103">
        <v>2021</v>
      </c>
      <c r="AV2103">
        <v>36</v>
      </c>
      <c r="AW2103">
        <v>1</v>
      </c>
      <c r="AX2103" t="s">
        <v>74</v>
      </c>
      <c r="AY2103" t="s">
        <v>74</v>
      </c>
      <c r="AZ2103" t="s">
        <v>74</v>
      </c>
      <c r="BA2103" t="s">
        <v>74</v>
      </c>
      <c r="BB2103" t="s">
        <v>74</v>
      </c>
      <c r="BC2103" t="s">
        <v>74</v>
      </c>
      <c r="BD2103">
        <v>106065</v>
      </c>
      <c r="BE2103" t="s">
        <v>35970</v>
      </c>
      <c r="BF2103" t="str">
        <f>HYPERLINK("http://dx.doi.org/10.1016/j.jbusvent.2020.106065","http://dx.doi.org/10.1016/j.jbusvent.2020.106065")</f>
        <v>http://dx.doi.org/10.1016/j.jbusvent.2020.106065</v>
      </c>
      <c r="BG2103" t="s">
        <v>74</v>
      </c>
      <c r="BH2103" t="s">
        <v>74</v>
      </c>
      <c r="BI2103">
        <v>18</v>
      </c>
      <c r="BJ2103" t="s">
        <v>418</v>
      </c>
      <c r="BK2103" t="s">
        <v>99</v>
      </c>
      <c r="BL2103" t="s">
        <v>100</v>
      </c>
      <c r="BM2103" t="s">
        <v>35971</v>
      </c>
      <c r="BN2103" t="s">
        <v>74</v>
      </c>
      <c r="BO2103" t="s">
        <v>74</v>
      </c>
      <c r="BP2103" t="s">
        <v>74</v>
      </c>
      <c r="BQ2103" t="s">
        <v>74</v>
      </c>
      <c r="BR2103" t="s">
        <v>102</v>
      </c>
      <c r="BS2103" t="s">
        <v>35972</v>
      </c>
      <c r="BT2103" t="str">
        <f>HYPERLINK("https%3A%2F%2Fwww.webofscience.com%2Fwos%2Fwoscc%2Ffull-record%2FWOS:000600921000007","View Full Record in Web of Science")</f>
        <v>View Full Record in Web of Science</v>
      </c>
    </row>
    <row r="2104" spans="1:72" x14ac:dyDescent="0.25">
      <c r="A2104" t="s">
        <v>72</v>
      </c>
      <c r="B2104" t="s">
        <v>35973</v>
      </c>
      <c r="C2104" t="s">
        <v>74</v>
      </c>
      <c r="D2104" t="s">
        <v>74</v>
      </c>
      <c r="E2104" t="s">
        <v>74</v>
      </c>
      <c r="F2104" t="s">
        <v>35974</v>
      </c>
      <c r="G2104" t="s">
        <v>74</v>
      </c>
      <c r="H2104" t="s">
        <v>74</v>
      </c>
      <c r="I2104" t="s">
        <v>35975</v>
      </c>
      <c r="J2104" t="s">
        <v>1266</v>
      </c>
      <c r="K2104" t="s">
        <v>74</v>
      </c>
      <c r="L2104" t="s">
        <v>74</v>
      </c>
      <c r="M2104" t="s">
        <v>78</v>
      </c>
      <c r="N2104" t="s">
        <v>79</v>
      </c>
      <c r="O2104" t="s">
        <v>74</v>
      </c>
      <c r="P2104" t="s">
        <v>74</v>
      </c>
      <c r="Q2104" t="s">
        <v>74</v>
      </c>
      <c r="R2104" t="s">
        <v>74</v>
      </c>
      <c r="S2104" t="s">
        <v>74</v>
      </c>
      <c r="T2104" t="s">
        <v>35976</v>
      </c>
      <c r="U2104" t="s">
        <v>35977</v>
      </c>
      <c r="V2104" t="s">
        <v>35978</v>
      </c>
      <c r="W2104" t="s">
        <v>35979</v>
      </c>
      <c r="X2104" t="s">
        <v>35460</v>
      </c>
      <c r="Y2104" t="s">
        <v>35461</v>
      </c>
      <c r="Z2104" t="s">
        <v>35980</v>
      </c>
      <c r="AA2104" t="s">
        <v>74</v>
      </c>
      <c r="AB2104" t="s">
        <v>74</v>
      </c>
      <c r="AC2104" t="s">
        <v>35981</v>
      </c>
      <c r="AD2104" t="s">
        <v>35982</v>
      </c>
      <c r="AE2104" t="s">
        <v>35983</v>
      </c>
      <c r="AF2104" t="s">
        <v>74</v>
      </c>
      <c r="AG2104">
        <v>32</v>
      </c>
      <c r="AH2104">
        <v>20</v>
      </c>
      <c r="AI2104">
        <v>23</v>
      </c>
      <c r="AJ2104">
        <v>0</v>
      </c>
      <c r="AK2104">
        <v>79</v>
      </c>
      <c r="AL2104" t="s">
        <v>332</v>
      </c>
      <c r="AM2104" t="s">
        <v>333</v>
      </c>
      <c r="AN2104" t="s">
        <v>334</v>
      </c>
      <c r="AO2104" t="s">
        <v>1277</v>
      </c>
      <c r="AP2104" t="s">
        <v>1278</v>
      </c>
      <c r="AQ2104" t="s">
        <v>74</v>
      </c>
      <c r="AR2104" t="s">
        <v>1279</v>
      </c>
      <c r="AS2104" t="s">
        <v>1280</v>
      </c>
      <c r="AT2104" t="s">
        <v>13627</v>
      </c>
      <c r="AU2104">
        <v>2019</v>
      </c>
      <c r="AV2104">
        <v>55</v>
      </c>
      <c r="AW2104">
        <v>5</v>
      </c>
      <c r="AX2104" t="s">
        <v>74</v>
      </c>
      <c r="AY2104" t="s">
        <v>74</v>
      </c>
      <c r="AZ2104" t="s">
        <v>74</v>
      </c>
      <c r="BA2104" t="s">
        <v>74</v>
      </c>
      <c r="BB2104">
        <v>980</v>
      </c>
      <c r="BC2104">
        <v>997</v>
      </c>
      <c r="BD2104" t="s">
        <v>74</v>
      </c>
      <c r="BE2104" t="s">
        <v>35984</v>
      </c>
      <c r="BF2104" t="str">
        <f>HYPERLINK("http://dx.doi.org/10.1080/1540496X.2018.1518779","http://dx.doi.org/10.1080/1540496X.2018.1518779")</f>
        <v>http://dx.doi.org/10.1080/1540496X.2018.1518779</v>
      </c>
      <c r="BG2104" t="s">
        <v>74</v>
      </c>
      <c r="BH2104" t="s">
        <v>74</v>
      </c>
      <c r="BI2104">
        <v>18</v>
      </c>
      <c r="BJ2104" t="s">
        <v>1283</v>
      </c>
      <c r="BK2104" t="s">
        <v>99</v>
      </c>
      <c r="BL2104" t="s">
        <v>1284</v>
      </c>
      <c r="BM2104" t="s">
        <v>35985</v>
      </c>
      <c r="BN2104" t="s">
        <v>74</v>
      </c>
      <c r="BO2104" t="s">
        <v>74</v>
      </c>
      <c r="BP2104" t="s">
        <v>74</v>
      </c>
      <c r="BQ2104" t="s">
        <v>74</v>
      </c>
      <c r="BR2104" t="s">
        <v>102</v>
      </c>
      <c r="BS2104" t="s">
        <v>35986</v>
      </c>
      <c r="BT2104" t="str">
        <f>HYPERLINK("https%3A%2F%2Fwww.webofscience.com%2Fwos%2Fwoscc%2Ffull-record%2FWOS:000454101200002","View Full Record in Web of Science")</f>
        <v>View Full Record in Web of Science</v>
      </c>
    </row>
    <row r="2105" spans="1:72" x14ac:dyDescent="0.25">
      <c r="A2105" t="s">
        <v>72</v>
      </c>
      <c r="B2105" t="s">
        <v>35987</v>
      </c>
      <c r="C2105" t="s">
        <v>74</v>
      </c>
      <c r="D2105" t="s">
        <v>74</v>
      </c>
      <c r="E2105" t="s">
        <v>74</v>
      </c>
      <c r="F2105" t="s">
        <v>35988</v>
      </c>
      <c r="G2105" t="s">
        <v>74</v>
      </c>
      <c r="H2105" t="s">
        <v>74</v>
      </c>
      <c r="I2105" t="s">
        <v>35989</v>
      </c>
      <c r="J2105" t="s">
        <v>2117</v>
      </c>
      <c r="K2105" t="s">
        <v>74</v>
      </c>
      <c r="L2105" t="s">
        <v>74</v>
      </c>
      <c r="M2105" t="s">
        <v>78</v>
      </c>
      <c r="N2105" t="s">
        <v>79</v>
      </c>
      <c r="O2105" t="s">
        <v>74</v>
      </c>
      <c r="P2105" t="s">
        <v>74</v>
      </c>
      <c r="Q2105" t="s">
        <v>74</v>
      </c>
      <c r="R2105" t="s">
        <v>74</v>
      </c>
      <c r="S2105" t="s">
        <v>74</v>
      </c>
      <c r="T2105" t="s">
        <v>35990</v>
      </c>
      <c r="U2105" t="s">
        <v>35991</v>
      </c>
      <c r="V2105" t="s">
        <v>35992</v>
      </c>
      <c r="W2105" t="s">
        <v>35993</v>
      </c>
      <c r="X2105" t="s">
        <v>35994</v>
      </c>
      <c r="Y2105" t="s">
        <v>12773</v>
      </c>
      <c r="Z2105" t="s">
        <v>35995</v>
      </c>
      <c r="AA2105" t="s">
        <v>35996</v>
      </c>
      <c r="AB2105" t="s">
        <v>35997</v>
      </c>
      <c r="AC2105" t="s">
        <v>74</v>
      </c>
      <c r="AD2105" t="s">
        <v>74</v>
      </c>
      <c r="AE2105" t="s">
        <v>74</v>
      </c>
      <c r="AF2105" t="s">
        <v>74</v>
      </c>
      <c r="AG2105">
        <v>76</v>
      </c>
      <c r="AH2105">
        <v>62</v>
      </c>
      <c r="AI2105">
        <v>80</v>
      </c>
      <c r="AJ2105">
        <v>6</v>
      </c>
      <c r="AK2105">
        <v>98</v>
      </c>
      <c r="AL2105" t="s">
        <v>201</v>
      </c>
      <c r="AM2105" t="s">
        <v>202</v>
      </c>
      <c r="AN2105" t="s">
        <v>203</v>
      </c>
      <c r="AO2105" t="s">
        <v>2127</v>
      </c>
      <c r="AP2105" t="s">
        <v>2128</v>
      </c>
      <c r="AQ2105" t="s">
        <v>74</v>
      </c>
      <c r="AR2105" t="s">
        <v>2129</v>
      </c>
      <c r="AS2105" t="s">
        <v>2130</v>
      </c>
      <c r="AT2105" t="s">
        <v>1652</v>
      </c>
      <c r="AU2105">
        <v>2022</v>
      </c>
      <c r="AV2105">
        <v>51</v>
      </c>
      <c r="AW2105" t="s">
        <v>74</v>
      </c>
      <c r="AX2105" t="s">
        <v>3828</v>
      </c>
      <c r="AY2105" t="s">
        <v>74</v>
      </c>
      <c r="AZ2105" t="s">
        <v>74</v>
      </c>
      <c r="BA2105" t="s">
        <v>74</v>
      </c>
      <c r="BB2105" t="s">
        <v>74</v>
      </c>
      <c r="BC2105" t="s">
        <v>74</v>
      </c>
      <c r="BD2105">
        <v>100842</v>
      </c>
      <c r="BE2105" t="s">
        <v>35998</v>
      </c>
      <c r="BF2105" t="str">
        <f>HYPERLINK("http://dx.doi.org/10.1016/j.ememar.2021.100842","http://dx.doi.org/10.1016/j.ememar.2021.100842")</f>
        <v>http://dx.doi.org/10.1016/j.ememar.2021.100842</v>
      </c>
      <c r="BG2105" t="s">
        <v>74</v>
      </c>
      <c r="BH2105" t="s">
        <v>1091</v>
      </c>
      <c r="BI2105">
        <v>23</v>
      </c>
      <c r="BJ2105" t="s">
        <v>210</v>
      </c>
      <c r="BK2105" t="s">
        <v>99</v>
      </c>
      <c r="BL2105" t="s">
        <v>100</v>
      </c>
      <c r="BM2105" t="s">
        <v>28077</v>
      </c>
      <c r="BN2105" t="s">
        <v>74</v>
      </c>
      <c r="BO2105" t="s">
        <v>74</v>
      </c>
      <c r="BP2105" t="s">
        <v>74</v>
      </c>
      <c r="BQ2105" t="s">
        <v>74</v>
      </c>
      <c r="BR2105" t="s">
        <v>102</v>
      </c>
      <c r="BS2105" t="s">
        <v>35999</v>
      </c>
      <c r="BT2105" t="str">
        <f>HYPERLINK("https%3A%2F%2Fwww.webofscience.com%2Fwos%2Fwoscc%2Ffull-record%2FWOS:000836540200001","View Full Record in Web of Science")</f>
        <v>View Full Record in Web of Science</v>
      </c>
    </row>
    <row r="2106" spans="1:72" x14ac:dyDescent="0.25">
      <c r="A2106" t="s">
        <v>72</v>
      </c>
      <c r="B2106" t="s">
        <v>36000</v>
      </c>
      <c r="C2106" t="s">
        <v>74</v>
      </c>
      <c r="D2106" t="s">
        <v>74</v>
      </c>
      <c r="E2106" t="s">
        <v>74</v>
      </c>
      <c r="F2106" t="s">
        <v>36001</v>
      </c>
      <c r="G2106" t="s">
        <v>74</v>
      </c>
      <c r="H2106" t="s">
        <v>74</v>
      </c>
      <c r="I2106" t="s">
        <v>36002</v>
      </c>
      <c r="J2106" t="s">
        <v>7910</v>
      </c>
      <c r="K2106" t="s">
        <v>74</v>
      </c>
      <c r="L2106" t="s">
        <v>74</v>
      </c>
      <c r="M2106" t="s">
        <v>78</v>
      </c>
      <c r="N2106" t="s">
        <v>372</v>
      </c>
      <c r="O2106" t="s">
        <v>74</v>
      </c>
      <c r="P2106" t="s">
        <v>74</v>
      </c>
      <c r="Q2106" t="s">
        <v>74</v>
      </c>
      <c r="R2106" t="s">
        <v>74</v>
      </c>
      <c r="S2106" t="s">
        <v>74</v>
      </c>
      <c r="T2106" t="s">
        <v>36003</v>
      </c>
      <c r="U2106" t="s">
        <v>36004</v>
      </c>
      <c r="V2106" t="s">
        <v>36005</v>
      </c>
      <c r="W2106" t="s">
        <v>36006</v>
      </c>
      <c r="X2106" t="s">
        <v>74</v>
      </c>
      <c r="Y2106" t="s">
        <v>36007</v>
      </c>
      <c r="Z2106" t="s">
        <v>36008</v>
      </c>
      <c r="AA2106" t="s">
        <v>36009</v>
      </c>
      <c r="AB2106" t="s">
        <v>36010</v>
      </c>
      <c r="AC2106" t="s">
        <v>74</v>
      </c>
      <c r="AD2106" t="s">
        <v>74</v>
      </c>
      <c r="AE2106" t="s">
        <v>74</v>
      </c>
      <c r="AF2106" t="s">
        <v>74</v>
      </c>
      <c r="AG2106">
        <v>95</v>
      </c>
      <c r="AH2106">
        <v>2</v>
      </c>
      <c r="AI2106">
        <v>2</v>
      </c>
      <c r="AJ2106">
        <v>1</v>
      </c>
      <c r="AK2106">
        <v>12</v>
      </c>
      <c r="AL2106" t="s">
        <v>994</v>
      </c>
      <c r="AM2106" t="s">
        <v>995</v>
      </c>
      <c r="AN2106" t="s">
        <v>2061</v>
      </c>
      <c r="AO2106" t="s">
        <v>7920</v>
      </c>
      <c r="AP2106" t="s">
        <v>7921</v>
      </c>
      <c r="AQ2106" t="s">
        <v>74</v>
      </c>
      <c r="AR2106" t="s">
        <v>7922</v>
      </c>
      <c r="AS2106" t="s">
        <v>7923</v>
      </c>
      <c r="AT2106" t="s">
        <v>36011</v>
      </c>
      <c r="AU2106">
        <v>2022</v>
      </c>
      <c r="AV2106" t="s">
        <v>74</v>
      </c>
      <c r="AW2106" t="s">
        <v>74</v>
      </c>
      <c r="AX2106" t="s">
        <v>74</v>
      </c>
      <c r="AY2106" t="s">
        <v>74</v>
      </c>
      <c r="AZ2106" t="s">
        <v>74</v>
      </c>
      <c r="BA2106" t="s">
        <v>74</v>
      </c>
      <c r="BB2106" t="s">
        <v>74</v>
      </c>
      <c r="BC2106" t="s">
        <v>74</v>
      </c>
      <c r="BD2106" t="s">
        <v>74</v>
      </c>
      <c r="BE2106" t="s">
        <v>36012</v>
      </c>
      <c r="BF2106" t="str">
        <f>HYPERLINK("http://dx.doi.org/10.1177/09721509221135927","http://dx.doi.org/10.1177/09721509221135927")</f>
        <v>http://dx.doi.org/10.1177/09721509221135927</v>
      </c>
      <c r="BG2106" t="s">
        <v>74</v>
      </c>
      <c r="BH2106" t="s">
        <v>7904</v>
      </c>
      <c r="BI2106">
        <v>23</v>
      </c>
      <c r="BJ2106" t="s">
        <v>98</v>
      </c>
      <c r="BK2106" t="s">
        <v>313</v>
      </c>
      <c r="BL2106" t="s">
        <v>100</v>
      </c>
      <c r="BM2106" t="s">
        <v>36013</v>
      </c>
      <c r="BN2106" t="s">
        <v>74</v>
      </c>
      <c r="BO2106" t="s">
        <v>74</v>
      </c>
      <c r="BP2106" t="s">
        <v>74</v>
      </c>
      <c r="BQ2106" t="s">
        <v>74</v>
      </c>
      <c r="BR2106" t="s">
        <v>102</v>
      </c>
      <c r="BS2106" t="s">
        <v>36014</v>
      </c>
      <c r="BT2106" t="str">
        <f>HYPERLINK("https%3A%2F%2Fwww.webofscience.com%2Fwos%2Fwoscc%2Ffull-record%2FWOS:000897138700001","View Full Record in Web of Science")</f>
        <v>View Full Record in Web of Science</v>
      </c>
    </row>
    <row r="2107" spans="1:72" x14ac:dyDescent="0.25">
      <c r="A2107" t="s">
        <v>72</v>
      </c>
      <c r="B2107" t="s">
        <v>36015</v>
      </c>
      <c r="C2107" t="s">
        <v>74</v>
      </c>
      <c r="D2107" t="s">
        <v>74</v>
      </c>
      <c r="E2107" t="s">
        <v>74</v>
      </c>
      <c r="F2107" t="s">
        <v>36016</v>
      </c>
      <c r="G2107" t="s">
        <v>74</v>
      </c>
      <c r="H2107" t="s">
        <v>74</v>
      </c>
      <c r="I2107" t="s">
        <v>36017</v>
      </c>
      <c r="J2107" t="s">
        <v>36018</v>
      </c>
      <c r="K2107" t="s">
        <v>74</v>
      </c>
      <c r="L2107" t="s">
        <v>74</v>
      </c>
      <c r="M2107" t="s">
        <v>78</v>
      </c>
      <c r="N2107" t="s">
        <v>2335</v>
      </c>
      <c r="O2107" t="s">
        <v>74</v>
      </c>
      <c r="P2107" t="s">
        <v>74</v>
      </c>
      <c r="Q2107" t="s">
        <v>74</v>
      </c>
      <c r="R2107" t="s">
        <v>74</v>
      </c>
      <c r="S2107" t="s">
        <v>74</v>
      </c>
      <c r="T2107" t="s">
        <v>74</v>
      </c>
      <c r="U2107" t="s">
        <v>74</v>
      </c>
      <c r="V2107" t="s">
        <v>74</v>
      </c>
      <c r="W2107" t="s">
        <v>74</v>
      </c>
      <c r="X2107" t="s">
        <v>74</v>
      </c>
      <c r="Y2107" t="s">
        <v>74</v>
      </c>
      <c r="Z2107" t="s">
        <v>74</v>
      </c>
      <c r="AA2107" t="s">
        <v>74</v>
      </c>
      <c r="AB2107" t="s">
        <v>74</v>
      </c>
      <c r="AC2107" t="s">
        <v>74</v>
      </c>
      <c r="AD2107" t="s">
        <v>74</v>
      </c>
      <c r="AE2107" t="s">
        <v>74</v>
      </c>
      <c r="AF2107" t="s">
        <v>74</v>
      </c>
      <c r="AG2107">
        <v>0</v>
      </c>
      <c r="AH2107">
        <v>0</v>
      </c>
      <c r="AI2107">
        <v>0</v>
      </c>
      <c r="AJ2107">
        <v>0</v>
      </c>
      <c r="AK2107">
        <v>31</v>
      </c>
      <c r="AL2107" t="s">
        <v>36019</v>
      </c>
      <c r="AM2107" t="s">
        <v>2016</v>
      </c>
      <c r="AN2107" t="s">
        <v>36020</v>
      </c>
      <c r="AO2107" t="s">
        <v>36021</v>
      </c>
      <c r="AP2107" t="s">
        <v>74</v>
      </c>
      <c r="AQ2107" t="s">
        <v>74</v>
      </c>
      <c r="AR2107" t="s">
        <v>36019</v>
      </c>
      <c r="AS2107" t="s">
        <v>36022</v>
      </c>
      <c r="AT2107" t="s">
        <v>4759</v>
      </c>
      <c r="AU2107">
        <v>2017</v>
      </c>
      <c r="AV2107">
        <v>120</v>
      </c>
      <c r="AW2107">
        <v>6</v>
      </c>
      <c r="AX2107" t="s">
        <v>74</v>
      </c>
      <c r="AY2107" t="s">
        <v>74</v>
      </c>
      <c r="AZ2107" t="s">
        <v>74</v>
      </c>
      <c r="BA2107" t="s">
        <v>74</v>
      </c>
      <c r="BB2107">
        <v>24</v>
      </c>
      <c r="BC2107">
        <v>24</v>
      </c>
      <c r="BD2107" t="s">
        <v>74</v>
      </c>
      <c r="BE2107" t="s">
        <v>74</v>
      </c>
      <c r="BF2107" t="s">
        <v>74</v>
      </c>
      <c r="BG2107" t="s">
        <v>74</v>
      </c>
      <c r="BH2107" t="s">
        <v>74</v>
      </c>
      <c r="BI2107">
        <v>1</v>
      </c>
      <c r="BJ2107" t="s">
        <v>559</v>
      </c>
      <c r="BK2107" t="s">
        <v>128</v>
      </c>
      <c r="BL2107" t="s">
        <v>560</v>
      </c>
      <c r="BM2107" t="s">
        <v>36023</v>
      </c>
      <c r="BN2107" t="s">
        <v>74</v>
      </c>
      <c r="BO2107" t="s">
        <v>74</v>
      </c>
      <c r="BP2107" t="s">
        <v>74</v>
      </c>
      <c r="BQ2107" t="s">
        <v>74</v>
      </c>
      <c r="BR2107" t="s">
        <v>102</v>
      </c>
      <c r="BS2107" t="s">
        <v>36024</v>
      </c>
      <c r="BT2107" t="str">
        <f>HYPERLINK("https%3A%2F%2Fwww.webofscience.com%2Fwos%2Fwoscc%2Ffull-record%2FWOS:000414118100014","View Full Record in Web of Science")</f>
        <v>View Full Record in Web of Science</v>
      </c>
    </row>
    <row r="2108" spans="1:72" x14ac:dyDescent="0.25">
      <c r="A2108" t="s">
        <v>72</v>
      </c>
      <c r="B2108" t="s">
        <v>36025</v>
      </c>
      <c r="C2108" t="s">
        <v>74</v>
      </c>
      <c r="D2108" t="s">
        <v>74</v>
      </c>
      <c r="E2108" t="s">
        <v>74</v>
      </c>
      <c r="F2108" t="s">
        <v>36026</v>
      </c>
      <c r="G2108" t="s">
        <v>74</v>
      </c>
      <c r="H2108" t="s">
        <v>74</v>
      </c>
      <c r="I2108" t="s">
        <v>36027</v>
      </c>
      <c r="J2108" t="s">
        <v>36028</v>
      </c>
      <c r="K2108" t="s">
        <v>74</v>
      </c>
      <c r="L2108" t="s">
        <v>74</v>
      </c>
      <c r="M2108" t="s">
        <v>78</v>
      </c>
      <c r="N2108" t="s">
        <v>79</v>
      </c>
      <c r="O2108" t="s">
        <v>74</v>
      </c>
      <c r="P2108" t="s">
        <v>74</v>
      </c>
      <c r="Q2108" t="s">
        <v>74</v>
      </c>
      <c r="R2108" t="s">
        <v>74</v>
      </c>
      <c r="S2108" t="s">
        <v>74</v>
      </c>
      <c r="T2108" t="s">
        <v>36029</v>
      </c>
      <c r="U2108" t="s">
        <v>36030</v>
      </c>
      <c r="V2108" t="s">
        <v>36031</v>
      </c>
      <c r="W2108" t="s">
        <v>36032</v>
      </c>
      <c r="X2108" t="s">
        <v>36033</v>
      </c>
      <c r="Y2108" t="s">
        <v>36034</v>
      </c>
      <c r="Z2108" t="s">
        <v>36035</v>
      </c>
      <c r="AA2108" t="s">
        <v>74</v>
      </c>
      <c r="AB2108" t="s">
        <v>74</v>
      </c>
      <c r="AC2108" t="s">
        <v>36036</v>
      </c>
      <c r="AD2108" t="s">
        <v>36037</v>
      </c>
      <c r="AE2108" t="s">
        <v>36038</v>
      </c>
      <c r="AF2108" t="s">
        <v>74</v>
      </c>
      <c r="AG2108">
        <v>44</v>
      </c>
      <c r="AH2108">
        <v>1</v>
      </c>
      <c r="AI2108">
        <v>1</v>
      </c>
      <c r="AJ2108">
        <v>7</v>
      </c>
      <c r="AK2108">
        <v>12</v>
      </c>
      <c r="AL2108" t="s">
        <v>36039</v>
      </c>
      <c r="AM2108" t="s">
        <v>36040</v>
      </c>
      <c r="AN2108" t="s">
        <v>36041</v>
      </c>
      <c r="AO2108" t="s">
        <v>36042</v>
      </c>
      <c r="AP2108" t="s">
        <v>36043</v>
      </c>
      <c r="AQ2108" t="s">
        <v>74</v>
      </c>
      <c r="AR2108" t="s">
        <v>36044</v>
      </c>
      <c r="AS2108" t="s">
        <v>36045</v>
      </c>
      <c r="AT2108" t="s">
        <v>74</v>
      </c>
      <c r="AU2108">
        <v>2025</v>
      </c>
      <c r="AV2108">
        <v>34</v>
      </c>
      <c r="AW2108">
        <v>2</v>
      </c>
      <c r="AX2108" t="s">
        <v>74</v>
      </c>
      <c r="AY2108" t="s">
        <v>74</v>
      </c>
      <c r="AZ2108" t="s">
        <v>74</v>
      </c>
      <c r="BA2108" t="s">
        <v>74</v>
      </c>
      <c r="BB2108">
        <v>1607</v>
      </c>
      <c r="BC2108">
        <v>1619</v>
      </c>
      <c r="BD2108" t="s">
        <v>74</v>
      </c>
      <c r="BE2108" t="s">
        <v>36046</v>
      </c>
      <c r="BF2108" t="str">
        <f>HYPERLINK("http://dx.doi.org/10.15244/pjoes/188046","http://dx.doi.org/10.15244/pjoes/188046")</f>
        <v>http://dx.doi.org/10.15244/pjoes/188046</v>
      </c>
      <c r="BG2108" t="s">
        <v>74</v>
      </c>
      <c r="BH2108" t="s">
        <v>74</v>
      </c>
      <c r="BI2108">
        <v>13</v>
      </c>
      <c r="BJ2108" t="s">
        <v>127</v>
      </c>
      <c r="BK2108" t="s">
        <v>128</v>
      </c>
      <c r="BL2108" t="s">
        <v>129</v>
      </c>
      <c r="BM2108" t="s">
        <v>36047</v>
      </c>
      <c r="BN2108" t="s">
        <v>74</v>
      </c>
      <c r="BO2108" t="s">
        <v>212</v>
      </c>
      <c r="BP2108" t="s">
        <v>74</v>
      </c>
      <c r="BQ2108" t="s">
        <v>74</v>
      </c>
      <c r="BR2108" t="s">
        <v>102</v>
      </c>
      <c r="BS2108" t="s">
        <v>36048</v>
      </c>
      <c r="BT2108" t="str">
        <f>HYPERLINK("https%3A%2F%2Fwww.webofscience.com%2Fwos%2Fwoscc%2Ffull-record%2FWOS:001394188400043","View Full Record in Web of Science")</f>
        <v>View Full Record in Web of Science</v>
      </c>
    </row>
    <row r="2109" spans="1:72" x14ac:dyDescent="0.25">
      <c r="A2109" t="s">
        <v>72</v>
      </c>
      <c r="B2109" t="s">
        <v>36049</v>
      </c>
      <c r="C2109" t="s">
        <v>74</v>
      </c>
      <c r="D2109" t="s">
        <v>74</v>
      </c>
      <c r="E2109" t="s">
        <v>74</v>
      </c>
      <c r="F2109" t="s">
        <v>36050</v>
      </c>
      <c r="G2109" t="s">
        <v>74</v>
      </c>
      <c r="H2109" t="s">
        <v>74</v>
      </c>
      <c r="I2109" t="s">
        <v>36051</v>
      </c>
      <c r="J2109" t="s">
        <v>26105</v>
      </c>
      <c r="K2109" t="s">
        <v>74</v>
      </c>
      <c r="L2109" t="s">
        <v>74</v>
      </c>
      <c r="M2109" t="s">
        <v>78</v>
      </c>
      <c r="N2109" t="s">
        <v>79</v>
      </c>
      <c r="O2109" t="s">
        <v>74</v>
      </c>
      <c r="P2109" t="s">
        <v>74</v>
      </c>
      <c r="Q2109" t="s">
        <v>74</v>
      </c>
      <c r="R2109" t="s">
        <v>74</v>
      </c>
      <c r="S2109" t="s">
        <v>74</v>
      </c>
      <c r="T2109" t="s">
        <v>74</v>
      </c>
      <c r="U2109" t="s">
        <v>74</v>
      </c>
      <c r="V2109" t="s">
        <v>36052</v>
      </c>
      <c r="W2109" t="s">
        <v>36053</v>
      </c>
      <c r="X2109" t="s">
        <v>36054</v>
      </c>
      <c r="Y2109" t="s">
        <v>36055</v>
      </c>
      <c r="Z2109" t="s">
        <v>36056</v>
      </c>
      <c r="AA2109" t="s">
        <v>74</v>
      </c>
      <c r="AB2109" t="s">
        <v>74</v>
      </c>
      <c r="AC2109" t="s">
        <v>74</v>
      </c>
      <c r="AD2109" t="s">
        <v>74</v>
      </c>
      <c r="AE2109" t="s">
        <v>74</v>
      </c>
      <c r="AF2109" t="s">
        <v>74</v>
      </c>
      <c r="AG2109">
        <v>16</v>
      </c>
      <c r="AH2109">
        <v>34</v>
      </c>
      <c r="AI2109">
        <v>39</v>
      </c>
      <c r="AJ2109">
        <v>6</v>
      </c>
      <c r="AK2109">
        <v>188</v>
      </c>
      <c r="AL2109" t="s">
        <v>479</v>
      </c>
      <c r="AM2109" t="s">
        <v>480</v>
      </c>
      <c r="AN2109" t="s">
        <v>481</v>
      </c>
      <c r="AO2109" t="s">
        <v>26107</v>
      </c>
      <c r="AP2109" t="s">
        <v>26106</v>
      </c>
      <c r="AQ2109" t="s">
        <v>74</v>
      </c>
      <c r="AR2109" t="s">
        <v>26105</v>
      </c>
      <c r="AS2109" t="s">
        <v>26104</v>
      </c>
      <c r="AT2109" t="s">
        <v>17887</v>
      </c>
      <c r="AU2109">
        <v>2017</v>
      </c>
      <c r="AV2109">
        <v>33</v>
      </c>
      <c r="AW2109">
        <v>2</v>
      </c>
      <c r="AX2109" t="s">
        <v>74</v>
      </c>
      <c r="AY2109" t="s">
        <v>74</v>
      </c>
      <c r="AZ2109" t="s">
        <v>74</v>
      </c>
      <c r="BA2109" t="s">
        <v>74</v>
      </c>
      <c r="BB2109">
        <v>279</v>
      </c>
      <c r="BC2109">
        <v>285</v>
      </c>
      <c r="BD2109" t="s">
        <v>74</v>
      </c>
      <c r="BE2109" t="s">
        <v>36057</v>
      </c>
      <c r="BF2109" t="str">
        <f>HYPERLINK("http://dx.doi.org/10.1002/agr.21503","http://dx.doi.org/10.1002/agr.21503")</f>
        <v>http://dx.doi.org/10.1002/agr.21503</v>
      </c>
      <c r="BG2109" t="s">
        <v>74</v>
      </c>
      <c r="BH2109" t="s">
        <v>74</v>
      </c>
      <c r="BI2109">
        <v>7</v>
      </c>
      <c r="BJ2109" t="s">
        <v>26102</v>
      </c>
      <c r="BK2109" t="s">
        <v>2623</v>
      </c>
      <c r="BL2109" t="s">
        <v>26101</v>
      </c>
      <c r="BM2109" t="s">
        <v>36058</v>
      </c>
      <c r="BN2109" t="s">
        <v>74</v>
      </c>
      <c r="BO2109" t="s">
        <v>74</v>
      </c>
      <c r="BP2109" t="s">
        <v>74</v>
      </c>
      <c r="BQ2109" t="s">
        <v>74</v>
      </c>
      <c r="BR2109" t="s">
        <v>102</v>
      </c>
      <c r="BS2109" t="s">
        <v>36059</v>
      </c>
      <c r="BT2109" t="str">
        <f>HYPERLINK("https%3A%2F%2Fwww.webofscience.com%2Fwos%2Fwoscc%2Ffull-record%2FWOS:000399944900011","View Full Record in Web of Science")</f>
        <v>View Full Record in Web of Science</v>
      </c>
    </row>
    <row r="2110" spans="1:72" x14ac:dyDescent="0.25">
      <c r="A2110" t="s">
        <v>72</v>
      </c>
      <c r="B2110" t="s">
        <v>36060</v>
      </c>
      <c r="C2110" t="s">
        <v>74</v>
      </c>
      <c r="D2110" t="s">
        <v>74</v>
      </c>
      <c r="E2110" t="s">
        <v>74</v>
      </c>
      <c r="F2110" t="s">
        <v>36061</v>
      </c>
      <c r="G2110" t="s">
        <v>74</v>
      </c>
      <c r="H2110" t="s">
        <v>74</v>
      </c>
      <c r="I2110" t="s">
        <v>36062</v>
      </c>
      <c r="J2110" t="s">
        <v>17640</v>
      </c>
      <c r="K2110" t="s">
        <v>74</v>
      </c>
      <c r="L2110" t="s">
        <v>74</v>
      </c>
      <c r="M2110" t="s">
        <v>78</v>
      </c>
      <c r="N2110" t="s">
        <v>1766</v>
      </c>
      <c r="O2110" t="s">
        <v>74</v>
      </c>
      <c r="P2110" t="s">
        <v>74</v>
      </c>
      <c r="Q2110" t="s">
        <v>74</v>
      </c>
      <c r="R2110" t="s">
        <v>74</v>
      </c>
      <c r="S2110" t="s">
        <v>74</v>
      </c>
      <c r="T2110" t="s">
        <v>74</v>
      </c>
      <c r="U2110" t="s">
        <v>36063</v>
      </c>
      <c r="V2110" t="s">
        <v>36064</v>
      </c>
      <c r="W2110" t="s">
        <v>36065</v>
      </c>
      <c r="X2110" t="s">
        <v>36066</v>
      </c>
      <c r="Y2110" t="s">
        <v>36067</v>
      </c>
      <c r="Z2110" t="s">
        <v>36068</v>
      </c>
      <c r="AA2110" t="s">
        <v>74</v>
      </c>
      <c r="AB2110" t="s">
        <v>74</v>
      </c>
      <c r="AC2110" t="s">
        <v>74</v>
      </c>
      <c r="AD2110" t="s">
        <v>74</v>
      </c>
      <c r="AE2110" t="s">
        <v>74</v>
      </c>
      <c r="AF2110" t="s">
        <v>74</v>
      </c>
      <c r="AG2110">
        <v>142</v>
      </c>
      <c r="AH2110">
        <v>0</v>
      </c>
      <c r="AI2110">
        <v>0</v>
      </c>
      <c r="AJ2110">
        <v>8</v>
      </c>
      <c r="AK2110">
        <v>8</v>
      </c>
      <c r="AL2110" t="s">
        <v>4666</v>
      </c>
      <c r="AM2110" t="s">
        <v>995</v>
      </c>
      <c r="AN2110" t="s">
        <v>4025</v>
      </c>
      <c r="AO2110" t="s">
        <v>74</v>
      </c>
      <c r="AP2110" t="s">
        <v>17649</v>
      </c>
      <c r="AQ2110" t="s">
        <v>74</v>
      </c>
      <c r="AR2110" t="s">
        <v>17650</v>
      </c>
      <c r="AS2110" t="s">
        <v>17651</v>
      </c>
      <c r="AT2110" t="s">
        <v>11018</v>
      </c>
      <c r="AU2110">
        <v>2025</v>
      </c>
      <c r="AV2110">
        <v>12</v>
      </c>
      <c r="AW2110">
        <v>1</v>
      </c>
      <c r="AX2110" t="s">
        <v>74</v>
      </c>
      <c r="AY2110" t="s">
        <v>74</v>
      </c>
      <c r="AZ2110" t="s">
        <v>74</v>
      </c>
      <c r="BA2110" t="s">
        <v>74</v>
      </c>
      <c r="BB2110" t="s">
        <v>74</v>
      </c>
      <c r="BC2110" t="s">
        <v>74</v>
      </c>
      <c r="BD2110">
        <v>1792</v>
      </c>
      <c r="BE2110" t="s">
        <v>36069</v>
      </c>
      <c r="BF2110" t="str">
        <f>HYPERLINK("http://dx.doi.org/10.1057/s41599-025-06077-z","http://dx.doi.org/10.1057/s41599-025-06077-z")</f>
        <v>http://dx.doi.org/10.1057/s41599-025-06077-z</v>
      </c>
      <c r="BG2110" t="s">
        <v>74</v>
      </c>
      <c r="BH2110" t="s">
        <v>74</v>
      </c>
      <c r="BI2110">
        <v>29</v>
      </c>
      <c r="BJ2110" t="s">
        <v>17654</v>
      </c>
      <c r="BK2110" t="s">
        <v>871</v>
      </c>
      <c r="BL2110" t="s">
        <v>17655</v>
      </c>
      <c r="BM2110" t="s">
        <v>36070</v>
      </c>
      <c r="BN2110" t="s">
        <v>74</v>
      </c>
      <c r="BO2110" t="s">
        <v>212</v>
      </c>
      <c r="BP2110" t="s">
        <v>74</v>
      </c>
      <c r="BQ2110" t="s">
        <v>74</v>
      </c>
      <c r="BR2110" t="s">
        <v>102</v>
      </c>
      <c r="BS2110" t="s">
        <v>36071</v>
      </c>
      <c r="BT2110" t="str">
        <f>HYPERLINK("https%3A%2F%2Fwww.webofscience.com%2Fwos%2Fwoscc%2Ffull-record%2FWOS:001619814900010","View Full Record in Web of Science")</f>
        <v>View Full Record in Web of Science</v>
      </c>
    </row>
    <row r="2111" spans="1:72" x14ac:dyDescent="0.25">
      <c r="A2111" t="s">
        <v>72</v>
      </c>
      <c r="B2111" t="s">
        <v>36072</v>
      </c>
      <c r="C2111" t="s">
        <v>74</v>
      </c>
      <c r="D2111" t="s">
        <v>74</v>
      </c>
      <c r="E2111" t="s">
        <v>74</v>
      </c>
      <c r="F2111" t="s">
        <v>36073</v>
      </c>
      <c r="G2111" t="s">
        <v>74</v>
      </c>
      <c r="H2111" t="s">
        <v>74</v>
      </c>
      <c r="I2111" t="s">
        <v>36074</v>
      </c>
      <c r="J2111" t="s">
        <v>107</v>
      </c>
      <c r="K2111" t="s">
        <v>74</v>
      </c>
      <c r="L2111" t="s">
        <v>74</v>
      </c>
      <c r="M2111" t="s">
        <v>78</v>
      </c>
      <c r="N2111" t="s">
        <v>79</v>
      </c>
      <c r="O2111" t="s">
        <v>74</v>
      </c>
      <c r="P2111" t="s">
        <v>74</v>
      </c>
      <c r="Q2111" t="s">
        <v>74</v>
      </c>
      <c r="R2111" t="s">
        <v>74</v>
      </c>
      <c r="S2111" t="s">
        <v>74</v>
      </c>
      <c r="T2111" t="s">
        <v>36075</v>
      </c>
      <c r="U2111" t="s">
        <v>36076</v>
      </c>
      <c r="V2111" t="s">
        <v>36077</v>
      </c>
      <c r="W2111" t="s">
        <v>36078</v>
      </c>
      <c r="X2111" t="s">
        <v>36079</v>
      </c>
      <c r="Y2111" t="s">
        <v>36080</v>
      </c>
      <c r="Z2111" t="s">
        <v>36081</v>
      </c>
      <c r="AA2111" t="s">
        <v>36082</v>
      </c>
      <c r="AB2111" t="s">
        <v>36083</v>
      </c>
      <c r="AC2111" t="s">
        <v>74</v>
      </c>
      <c r="AD2111" t="s">
        <v>74</v>
      </c>
      <c r="AE2111" t="s">
        <v>74</v>
      </c>
      <c r="AF2111" t="s">
        <v>74</v>
      </c>
      <c r="AG2111">
        <v>107</v>
      </c>
      <c r="AH2111">
        <v>15</v>
      </c>
      <c r="AI2111">
        <v>15</v>
      </c>
      <c r="AJ2111">
        <v>5</v>
      </c>
      <c r="AK2111">
        <v>108</v>
      </c>
      <c r="AL2111" t="s">
        <v>117</v>
      </c>
      <c r="AM2111" t="s">
        <v>118</v>
      </c>
      <c r="AN2111" t="s">
        <v>119</v>
      </c>
      <c r="AO2111" t="s">
        <v>120</v>
      </c>
      <c r="AP2111" t="s">
        <v>121</v>
      </c>
      <c r="AQ2111" t="s">
        <v>74</v>
      </c>
      <c r="AR2111" t="s">
        <v>122</v>
      </c>
      <c r="AS2111" t="s">
        <v>123</v>
      </c>
      <c r="AT2111" t="s">
        <v>1540</v>
      </c>
      <c r="AU2111">
        <v>2023</v>
      </c>
      <c r="AV2111">
        <v>30</v>
      </c>
      <c r="AW2111">
        <v>24</v>
      </c>
      <c r="AX2111" t="s">
        <v>74</v>
      </c>
      <c r="AY2111" t="s">
        <v>74</v>
      </c>
      <c r="AZ2111" t="s">
        <v>74</v>
      </c>
      <c r="BA2111" t="s">
        <v>74</v>
      </c>
      <c r="BB2111">
        <v>65041</v>
      </c>
      <c r="BC2111">
        <v>65058</v>
      </c>
      <c r="BD2111" t="s">
        <v>74</v>
      </c>
      <c r="BE2111" t="s">
        <v>36084</v>
      </c>
      <c r="BF2111" t="str">
        <f>HYPERLINK("http://dx.doi.org/10.1007/s11356-023-26929-y","http://dx.doi.org/10.1007/s11356-023-26929-y")</f>
        <v>http://dx.doi.org/10.1007/s11356-023-26929-y</v>
      </c>
      <c r="BG2111" t="s">
        <v>74</v>
      </c>
      <c r="BH2111" t="s">
        <v>6298</v>
      </c>
      <c r="BI2111">
        <v>18</v>
      </c>
      <c r="BJ2111" t="s">
        <v>127</v>
      </c>
      <c r="BK2111" t="s">
        <v>128</v>
      </c>
      <c r="BL2111" t="s">
        <v>129</v>
      </c>
      <c r="BM2111" t="s">
        <v>36085</v>
      </c>
      <c r="BN2111">
        <v>37072594</v>
      </c>
      <c r="BO2111" t="s">
        <v>74</v>
      </c>
      <c r="BP2111" t="s">
        <v>74</v>
      </c>
      <c r="BQ2111" t="s">
        <v>74</v>
      </c>
      <c r="BR2111" t="s">
        <v>102</v>
      </c>
      <c r="BS2111" t="s">
        <v>36086</v>
      </c>
      <c r="BT2111" t="str">
        <f>HYPERLINK("https%3A%2F%2Fwww.webofscience.com%2Fwos%2Fwoscc%2Ffull-record%2FWOS:000974932900001","View Full Record in Web of Science")</f>
        <v>View Full Record in Web of Science</v>
      </c>
    </row>
    <row r="2112" spans="1:72" x14ac:dyDescent="0.25">
      <c r="A2112" t="s">
        <v>72</v>
      </c>
      <c r="B2112" t="s">
        <v>36087</v>
      </c>
      <c r="C2112" t="s">
        <v>74</v>
      </c>
      <c r="D2112" t="s">
        <v>74</v>
      </c>
      <c r="E2112" t="s">
        <v>74</v>
      </c>
      <c r="F2112" t="s">
        <v>36088</v>
      </c>
      <c r="G2112" t="s">
        <v>74</v>
      </c>
      <c r="H2112" t="s">
        <v>74</v>
      </c>
      <c r="I2112" t="s">
        <v>36089</v>
      </c>
      <c r="J2112" t="s">
        <v>4956</v>
      </c>
      <c r="K2112" t="s">
        <v>74</v>
      </c>
      <c r="L2112" t="s">
        <v>74</v>
      </c>
      <c r="M2112" t="s">
        <v>78</v>
      </c>
      <c r="N2112" t="s">
        <v>79</v>
      </c>
      <c r="O2112" t="s">
        <v>74</v>
      </c>
      <c r="P2112" t="s">
        <v>74</v>
      </c>
      <c r="Q2112" t="s">
        <v>74</v>
      </c>
      <c r="R2112" t="s">
        <v>74</v>
      </c>
      <c r="S2112" t="s">
        <v>74</v>
      </c>
      <c r="T2112" t="s">
        <v>36090</v>
      </c>
      <c r="U2112" t="s">
        <v>36091</v>
      </c>
      <c r="V2112" t="s">
        <v>36092</v>
      </c>
      <c r="W2112" t="s">
        <v>36093</v>
      </c>
      <c r="X2112" t="s">
        <v>36094</v>
      </c>
      <c r="Y2112" t="s">
        <v>36095</v>
      </c>
      <c r="Z2112" t="s">
        <v>74</v>
      </c>
      <c r="AA2112" t="s">
        <v>14475</v>
      </c>
      <c r="AB2112" t="s">
        <v>36096</v>
      </c>
      <c r="AC2112" t="s">
        <v>74</v>
      </c>
      <c r="AD2112" t="s">
        <v>74</v>
      </c>
      <c r="AE2112" t="s">
        <v>74</v>
      </c>
      <c r="AF2112" t="s">
        <v>74</v>
      </c>
      <c r="AG2112">
        <v>54</v>
      </c>
      <c r="AH2112">
        <v>83</v>
      </c>
      <c r="AI2112">
        <v>130</v>
      </c>
      <c r="AJ2112">
        <v>1</v>
      </c>
      <c r="AK2112">
        <v>88</v>
      </c>
      <c r="AL2112" t="s">
        <v>230</v>
      </c>
      <c r="AM2112" t="s">
        <v>231</v>
      </c>
      <c r="AN2112" t="s">
        <v>232</v>
      </c>
      <c r="AO2112" t="s">
        <v>4966</v>
      </c>
      <c r="AP2112" t="s">
        <v>74</v>
      </c>
      <c r="AQ2112" t="s">
        <v>74</v>
      </c>
      <c r="AR2112" t="s">
        <v>4968</v>
      </c>
      <c r="AS2112" t="s">
        <v>4969</v>
      </c>
      <c r="AT2112" t="s">
        <v>743</v>
      </c>
      <c r="AU2112">
        <v>2013</v>
      </c>
      <c r="AV2112">
        <v>44</v>
      </c>
      <c r="AW2112" t="s">
        <v>74</v>
      </c>
      <c r="AX2112" t="s">
        <v>74</v>
      </c>
      <c r="AY2112" t="s">
        <v>74</v>
      </c>
      <c r="AZ2112" t="s">
        <v>74</v>
      </c>
      <c r="BA2112" t="s">
        <v>74</v>
      </c>
      <c r="BB2112">
        <v>267</v>
      </c>
      <c r="BC2112">
        <v>280</v>
      </c>
      <c r="BD2112" t="s">
        <v>74</v>
      </c>
      <c r="BE2112" t="s">
        <v>36097</v>
      </c>
      <c r="BF2112" t="str">
        <f>HYPERLINK("http://dx.doi.org/10.1016/j.worlddev.2012.11.002","http://dx.doi.org/10.1016/j.worlddev.2012.11.002")</f>
        <v>http://dx.doi.org/10.1016/j.worlddev.2012.11.002</v>
      </c>
      <c r="BG2112" t="s">
        <v>74</v>
      </c>
      <c r="BH2112" t="s">
        <v>74</v>
      </c>
      <c r="BI2112">
        <v>14</v>
      </c>
      <c r="BJ2112" t="s">
        <v>701</v>
      </c>
      <c r="BK2112" t="s">
        <v>99</v>
      </c>
      <c r="BL2112" t="s">
        <v>702</v>
      </c>
      <c r="BM2112" t="s">
        <v>36098</v>
      </c>
      <c r="BN2112" t="s">
        <v>74</v>
      </c>
      <c r="BO2112" t="s">
        <v>74</v>
      </c>
      <c r="BP2112" t="s">
        <v>74</v>
      </c>
      <c r="BQ2112" t="s">
        <v>74</v>
      </c>
      <c r="BR2112" t="s">
        <v>102</v>
      </c>
      <c r="BS2112" t="s">
        <v>36099</v>
      </c>
      <c r="BT2112" t="str">
        <f>HYPERLINK("https%3A%2F%2Fwww.webofscience.com%2Fwos%2Fwoscc%2Ffull-record%2FWOS:000317149000019","View Full Record in Web of Science")</f>
        <v>View Full Record in Web of Science</v>
      </c>
    </row>
    <row r="2113" spans="1:72" x14ac:dyDescent="0.25">
      <c r="A2113" t="s">
        <v>72</v>
      </c>
      <c r="B2113" t="s">
        <v>36100</v>
      </c>
      <c r="C2113" t="s">
        <v>74</v>
      </c>
      <c r="D2113" t="s">
        <v>74</v>
      </c>
      <c r="E2113" t="s">
        <v>74</v>
      </c>
      <c r="F2113" t="s">
        <v>36101</v>
      </c>
      <c r="G2113" t="s">
        <v>74</v>
      </c>
      <c r="H2113" t="s">
        <v>74</v>
      </c>
      <c r="I2113" t="s">
        <v>36102</v>
      </c>
      <c r="J2113" t="s">
        <v>3231</v>
      </c>
      <c r="K2113" t="s">
        <v>74</v>
      </c>
      <c r="L2113" t="s">
        <v>74</v>
      </c>
      <c r="M2113" t="s">
        <v>78</v>
      </c>
      <c r="N2113" t="s">
        <v>79</v>
      </c>
      <c r="O2113" t="s">
        <v>74</v>
      </c>
      <c r="P2113" t="s">
        <v>74</v>
      </c>
      <c r="Q2113" t="s">
        <v>74</v>
      </c>
      <c r="R2113" t="s">
        <v>74</v>
      </c>
      <c r="S2113" t="s">
        <v>74</v>
      </c>
      <c r="T2113" t="s">
        <v>36103</v>
      </c>
      <c r="U2113" t="s">
        <v>36104</v>
      </c>
      <c r="V2113" t="s">
        <v>36105</v>
      </c>
      <c r="W2113" t="s">
        <v>36106</v>
      </c>
      <c r="X2113" t="s">
        <v>36107</v>
      </c>
      <c r="Y2113" t="s">
        <v>36108</v>
      </c>
      <c r="Z2113" t="s">
        <v>36109</v>
      </c>
      <c r="AA2113" t="s">
        <v>36110</v>
      </c>
      <c r="AB2113" t="s">
        <v>36111</v>
      </c>
      <c r="AC2113" t="s">
        <v>36112</v>
      </c>
      <c r="AD2113" t="s">
        <v>36113</v>
      </c>
      <c r="AE2113" t="s">
        <v>36114</v>
      </c>
      <c r="AF2113" t="s">
        <v>74</v>
      </c>
      <c r="AG2113">
        <v>68</v>
      </c>
      <c r="AH2113">
        <v>14</v>
      </c>
      <c r="AI2113">
        <v>14</v>
      </c>
      <c r="AJ2113">
        <v>6</v>
      </c>
      <c r="AK2113">
        <v>84</v>
      </c>
      <c r="AL2113" t="s">
        <v>575</v>
      </c>
      <c r="AM2113" t="s">
        <v>576</v>
      </c>
      <c r="AN2113" t="s">
        <v>3242</v>
      </c>
      <c r="AO2113" t="s">
        <v>74</v>
      </c>
      <c r="AP2113" t="s">
        <v>3243</v>
      </c>
      <c r="AQ2113" t="s">
        <v>74</v>
      </c>
      <c r="AR2113" t="s">
        <v>3244</v>
      </c>
      <c r="AS2113" t="s">
        <v>3245</v>
      </c>
      <c r="AT2113" t="s">
        <v>124</v>
      </c>
      <c r="AU2113">
        <v>2022</v>
      </c>
      <c r="AV2113">
        <v>14</v>
      </c>
      <c r="AW2113">
        <v>23</v>
      </c>
      <c r="AX2113" t="s">
        <v>74</v>
      </c>
      <c r="AY2113" t="s">
        <v>74</v>
      </c>
      <c r="AZ2113" t="s">
        <v>74</v>
      </c>
      <c r="BA2113" t="s">
        <v>74</v>
      </c>
      <c r="BB2113" t="s">
        <v>74</v>
      </c>
      <c r="BC2113" t="s">
        <v>74</v>
      </c>
      <c r="BD2113">
        <v>16032</v>
      </c>
      <c r="BE2113" t="s">
        <v>36115</v>
      </c>
      <c r="BF2113" t="str">
        <f>HYPERLINK("http://dx.doi.org/10.3390/su142316032","http://dx.doi.org/10.3390/su142316032")</f>
        <v>http://dx.doi.org/10.3390/su142316032</v>
      </c>
      <c r="BG2113" t="s">
        <v>74</v>
      </c>
      <c r="BH2113" t="s">
        <v>74</v>
      </c>
      <c r="BI2113">
        <v>17</v>
      </c>
      <c r="BJ2113" t="s">
        <v>3247</v>
      </c>
      <c r="BK2113" t="s">
        <v>2623</v>
      </c>
      <c r="BL2113" t="s">
        <v>3248</v>
      </c>
      <c r="BM2113" t="s">
        <v>36116</v>
      </c>
      <c r="BN2113" t="s">
        <v>74</v>
      </c>
      <c r="BO2113" t="s">
        <v>916</v>
      </c>
      <c r="BP2113" t="s">
        <v>74</v>
      </c>
      <c r="BQ2113" t="s">
        <v>74</v>
      </c>
      <c r="BR2113" t="s">
        <v>102</v>
      </c>
      <c r="BS2113" t="s">
        <v>36117</v>
      </c>
      <c r="BT2113" t="str">
        <f>HYPERLINK("https%3A%2F%2Fwww.webofscience.com%2Fwos%2Fwoscc%2Ffull-record%2FWOS:000896377000001","View Full Record in Web of Science")</f>
        <v>View Full Record in Web of Science</v>
      </c>
    </row>
    <row r="2114" spans="1:72" x14ac:dyDescent="0.25">
      <c r="A2114" t="s">
        <v>72</v>
      </c>
      <c r="B2114" t="s">
        <v>36118</v>
      </c>
      <c r="C2114" t="s">
        <v>74</v>
      </c>
      <c r="D2114" t="s">
        <v>74</v>
      </c>
      <c r="E2114" t="s">
        <v>74</v>
      </c>
      <c r="F2114" t="s">
        <v>36119</v>
      </c>
      <c r="G2114" t="s">
        <v>74</v>
      </c>
      <c r="H2114" t="s">
        <v>74</v>
      </c>
      <c r="I2114" t="s">
        <v>36120</v>
      </c>
      <c r="J2114" t="s">
        <v>2137</v>
      </c>
      <c r="K2114" t="s">
        <v>74</v>
      </c>
      <c r="L2114" t="s">
        <v>74</v>
      </c>
      <c r="M2114" t="s">
        <v>78</v>
      </c>
      <c r="N2114" t="s">
        <v>79</v>
      </c>
      <c r="O2114" t="s">
        <v>74</v>
      </c>
      <c r="P2114" t="s">
        <v>74</v>
      </c>
      <c r="Q2114" t="s">
        <v>74</v>
      </c>
      <c r="R2114" t="s">
        <v>74</v>
      </c>
      <c r="S2114" t="s">
        <v>74</v>
      </c>
      <c r="T2114" t="s">
        <v>36121</v>
      </c>
      <c r="U2114" t="s">
        <v>36122</v>
      </c>
      <c r="V2114" t="s">
        <v>36123</v>
      </c>
      <c r="W2114" t="s">
        <v>36124</v>
      </c>
      <c r="X2114" t="s">
        <v>36125</v>
      </c>
      <c r="Y2114" t="s">
        <v>36126</v>
      </c>
      <c r="Z2114" t="s">
        <v>36127</v>
      </c>
      <c r="AA2114" t="s">
        <v>36128</v>
      </c>
      <c r="AB2114" t="s">
        <v>36129</v>
      </c>
      <c r="AC2114" t="s">
        <v>36130</v>
      </c>
      <c r="AD2114" t="s">
        <v>36130</v>
      </c>
      <c r="AE2114" t="s">
        <v>36131</v>
      </c>
      <c r="AF2114" t="s">
        <v>74</v>
      </c>
      <c r="AG2114">
        <v>77</v>
      </c>
      <c r="AH2114">
        <v>11</v>
      </c>
      <c r="AI2114">
        <v>16</v>
      </c>
      <c r="AJ2114">
        <v>6</v>
      </c>
      <c r="AK2114">
        <v>31</v>
      </c>
      <c r="AL2114" t="s">
        <v>2145</v>
      </c>
      <c r="AM2114" t="s">
        <v>151</v>
      </c>
      <c r="AN2114" t="s">
        <v>2146</v>
      </c>
      <c r="AO2114" t="s">
        <v>2147</v>
      </c>
      <c r="AP2114" t="s">
        <v>2148</v>
      </c>
      <c r="AQ2114" t="s">
        <v>74</v>
      </c>
      <c r="AR2114" t="s">
        <v>2149</v>
      </c>
      <c r="AS2114" t="s">
        <v>2150</v>
      </c>
      <c r="AT2114" t="s">
        <v>74</v>
      </c>
      <c r="AU2114">
        <v>2021</v>
      </c>
      <c r="AV2114">
        <v>32</v>
      </c>
      <c r="AW2114">
        <v>1</v>
      </c>
      <c r="AX2114" t="s">
        <v>74</v>
      </c>
      <c r="AY2114" t="s">
        <v>74</v>
      </c>
      <c r="AZ2114" t="s">
        <v>74</v>
      </c>
      <c r="BA2114" t="s">
        <v>74</v>
      </c>
      <c r="BB2114">
        <v>116</v>
      </c>
      <c r="BC2114">
        <v>130</v>
      </c>
      <c r="BD2114" t="s">
        <v>74</v>
      </c>
      <c r="BE2114" t="s">
        <v>36132</v>
      </c>
      <c r="BF2114" t="str">
        <f>HYPERLINK("http://dx.doi.org/10.1891/JFCP-19-00023","http://dx.doi.org/10.1891/JFCP-19-00023")</f>
        <v>http://dx.doi.org/10.1891/JFCP-19-00023</v>
      </c>
      <c r="BG2114" t="s">
        <v>74</v>
      </c>
      <c r="BH2114" t="s">
        <v>74</v>
      </c>
      <c r="BI2114">
        <v>15</v>
      </c>
      <c r="BJ2114" t="s">
        <v>1453</v>
      </c>
      <c r="BK2114" t="s">
        <v>313</v>
      </c>
      <c r="BL2114" t="s">
        <v>100</v>
      </c>
      <c r="BM2114" t="s">
        <v>36133</v>
      </c>
      <c r="BN2114" t="s">
        <v>74</v>
      </c>
      <c r="BO2114" t="s">
        <v>74</v>
      </c>
      <c r="BP2114" t="s">
        <v>74</v>
      </c>
      <c r="BQ2114" t="s">
        <v>74</v>
      </c>
      <c r="BR2114" t="s">
        <v>102</v>
      </c>
      <c r="BS2114" t="s">
        <v>36134</v>
      </c>
      <c r="BT2114" t="str">
        <f>HYPERLINK("https%3A%2F%2Fwww.webofscience.com%2Fwos%2Fwoscc%2Ffull-record%2FWOS:000659298600008","View Full Record in Web of Science")</f>
        <v>View Full Record in Web of Science</v>
      </c>
    </row>
    <row r="2115" spans="1:72" x14ac:dyDescent="0.25">
      <c r="A2115" t="s">
        <v>72</v>
      </c>
      <c r="B2115" t="s">
        <v>36135</v>
      </c>
      <c r="C2115" t="s">
        <v>74</v>
      </c>
      <c r="D2115" t="s">
        <v>74</v>
      </c>
      <c r="E2115" t="s">
        <v>74</v>
      </c>
      <c r="F2115" t="s">
        <v>36136</v>
      </c>
      <c r="G2115" t="s">
        <v>74</v>
      </c>
      <c r="H2115" t="s">
        <v>74</v>
      </c>
      <c r="I2115" t="s">
        <v>36137</v>
      </c>
      <c r="J2115" t="s">
        <v>6306</v>
      </c>
      <c r="K2115" t="s">
        <v>74</v>
      </c>
      <c r="L2115" t="s">
        <v>74</v>
      </c>
      <c r="M2115" t="s">
        <v>78</v>
      </c>
      <c r="N2115" t="s">
        <v>79</v>
      </c>
      <c r="O2115" t="s">
        <v>74</v>
      </c>
      <c r="P2115" t="s">
        <v>74</v>
      </c>
      <c r="Q2115" t="s">
        <v>74</v>
      </c>
      <c r="R2115" t="s">
        <v>74</v>
      </c>
      <c r="S2115" t="s">
        <v>74</v>
      </c>
      <c r="T2115" t="s">
        <v>36138</v>
      </c>
      <c r="U2115" t="s">
        <v>74</v>
      </c>
      <c r="V2115" t="s">
        <v>36139</v>
      </c>
      <c r="W2115" t="s">
        <v>36140</v>
      </c>
      <c r="X2115" t="s">
        <v>36141</v>
      </c>
      <c r="Y2115" t="s">
        <v>36142</v>
      </c>
      <c r="Z2115" t="s">
        <v>36143</v>
      </c>
      <c r="AA2115" t="s">
        <v>36144</v>
      </c>
      <c r="AB2115" t="s">
        <v>74</v>
      </c>
      <c r="AC2115" t="s">
        <v>36145</v>
      </c>
      <c r="AD2115" t="s">
        <v>17529</v>
      </c>
      <c r="AE2115" t="s">
        <v>36146</v>
      </c>
      <c r="AF2115" t="s">
        <v>74</v>
      </c>
      <c r="AG2115">
        <v>45</v>
      </c>
      <c r="AH2115">
        <v>61</v>
      </c>
      <c r="AI2115">
        <v>82</v>
      </c>
      <c r="AJ2115">
        <v>10</v>
      </c>
      <c r="AK2115">
        <v>157</v>
      </c>
      <c r="AL2115" t="s">
        <v>575</v>
      </c>
      <c r="AM2115" t="s">
        <v>576</v>
      </c>
      <c r="AN2115" t="s">
        <v>3242</v>
      </c>
      <c r="AO2115" t="s">
        <v>74</v>
      </c>
      <c r="AP2115" t="s">
        <v>6319</v>
      </c>
      <c r="AQ2115" t="s">
        <v>74</v>
      </c>
      <c r="AR2115" t="s">
        <v>6306</v>
      </c>
      <c r="AS2115" t="s">
        <v>6320</v>
      </c>
      <c r="AT2115" t="s">
        <v>1540</v>
      </c>
      <c r="AU2115">
        <v>2021</v>
      </c>
      <c r="AV2115">
        <v>9</v>
      </c>
      <c r="AW2115">
        <v>5</v>
      </c>
      <c r="AX2115" t="s">
        <v>74</v>
      </c>
      <c r="AY2115" t="s">
        <v>74</v>
      </c>
      <c r="AZ2115" t="s">
        <v>74</v>
      </c>
      <c r="BA2115" t="s">
        <v>74</v>
      </c>
      <c r="BB2115" t="s">
        <v>74</v>
      </c>
      <c r="BC2115" t="s">
        <v>74</v>
      </c>
      <c r="BD2115">
        <v>99</v>
      </c>
      <c r="BE2115" t="s">
        <v>36147</v>
      </c>
      <c r="BF2115" t="str">
        <f>HYPERLINK("http://dx.doi.org/10.3390/risks9050099","http://dx.doi.org/10.3390/risks9050099")</f>
        <v>http://dx.doi.org/10.3390/risks9050099</v>
      </c>
      <c r="BG2115" t="s">
        <v>74</v>
      </c>
      <c r="BH2115" t="s">
        <v>74</v>
      </c>
      <c r="BI2115">
        <v>27</v>
      </c>
      <c r="BJ2115" t="s">
        <v>268</v>
      </c>
      <c r="BK2115" t="s">
        <v>313</v>
      </c>
      <c r="BL2115" t="s">
        <v>100</v>
      </c>
      <c r="BM2115" t="s">
        <v>36148</v>
      </c>
      <c r="BN2115" t="s">
        <v>74</v>
      </c>
      <c r="BO2115" t="s">
        <v>916</v>
      </c>
      <c r="BP2115" t="s">
        <v>74</v>
      </c>
      <c r="BQ2115" t="s">
        <v>74</v>
      </c>
      <c r="BR2115" t="s">
        <v>102</v>
      </c>
      <c r="BS2115" t="s">
        <v>36149</v>
      </c>
      <c r="BT2115" t="str">
        <f>HYPERLINK("https%3A%2F%2Fwww.webofscience.com%2Fwos%2Fwoscc%2Ffull-record%2FWOS:000654476700001","View Full Record in Web of Science")</f>
        <v>View Full Record in Web of Science</v>
      </c>
    </row>
    <row r="2116" spans="1:72" x14ac:dyDescent="0.25">
      <c r="A2116" t="s">
        <v>72</v>
      </c>
      <c r="B2116" t="s">
        <v>36150</v>
      </c>
      <c r="C2116" t="s">
        <v>74</v>
      </c>
      <c r="D2116" t="s">
        <v>74</v>
      </c>
      <c r="E2116" t="s">
        <v>74</v>
      </c>
      <c r="F2116" t="s">
        <v>36151</v>
      </c>
      <c r="G2116" t="s">
        <v>74</v>
      </c>
      <c r="H2116" t="s">
        <v>74</v>
      </c>
      <c r="I2116" t="s">
        <v>36152</v>
      </c>
      <c r="J2116" t="s">
        <v>2137</v>
      </c>
      <c r="K2116" t="s">
        <v>74</v>
      </c>
      <c r="L2116" t="s">
        <v>74</v>
      </c>
      <c r="M2116" t="s">
        <v>78</v>
      </c>
      <c r="N2116" t="s">
        <v>79</v>
      </c>
      <c r="O2116" t="s">
        <v>74</v>
      </c>
      <c r="P2116" t="s">
        <v>74</v>
      </c>
      <c r="Q2116" t="s">
        <v>74</v>
      </c>
      <c r="R2116" t="s">
        <v>74</v>
      </c>
      <c r="S2116" t="s">
        <v>74</v>
      </c>
      <c r="T2116" t="s">
        <v>36153</v>
      </c>
      <c r="U2116" t="s">
        <v>36154</v>
      </c>
      <c r="V2116" t="s">
        <v>36155</v>
      </c>
      <c r="W2116" t="s">
        <v>36156</v>
      </c>
      <c r="X2116" t="s">
        <v>74</v>
      </c>
      <c r="Y2116" t="s">
        <v>36157</v>
      </c>
      <c r="Z2116" t="s">
        <v>36158</v>
      </c>
      <c r="AA2116" t="s">
        <v>36159</v>
      </c>
      <c r="AB2116" t="s">
        <v>36160</v>
      </c>
      <c r="AC2116" t="s">
        <v>74</v>
      </c>
      <c r="AD2116" t="s">
        <v>74</v>
      </c>
      <c r="AE2116" t="s">
        <v>74</v>
      </c>
      <c r="AF2116" t="s">
        <v>74</v>
      </c>
      <c r="AG2116">
        <v>90</v>
      </c>
      <c r="AH2116">
        <v>2</v>
      </c>
      <c r="AI2116">
        <v>2</v>
      </c>
      <c r="AJ2116">
        <v>2</v>
      </c>
      <c r="AK2116">
        <v>9</v>
      </c>
      <c r="AL2116" t="s">
        <v>2145</v>
      </c>
      <c r="AM2116" t="s">
        <v>151</v>
      </c>
      <c r="AN2116" t="s">
        <v>2146</v>
      </c>
      <c r="AO2116" t="s">
        <v>2147</v>
      </c>
      <c r="AP2116" t="s">
        <v>2148</v>
      </c>
      <c r="AQ2116" t="s">
        <v>74</v>
      </c>
      <c r="AR2116" t="s">
        <v>2149</v>
      </c>
      <c r="AS2116" t="s">
        <v>2150</v>
      </c>
      <c r="AT2116" t="s">
        <v>74</v>
      </c>
      <c r="AU2116">
        <v>2024</v>
      </c>
      <c r="AV2116">
        <v>35</v>
      </c>
      <c r="AW2116">
        <v>3</v>
      </c>
      <c r="AX2116" t="s">
        <v>74</v>
      </c>
      <c r="AY2116" t="s">
        <v>74</v>
      </c>
      <c r="AZ2116" t="s">
        <v>74</v>
      </c>
      <c r="BA2116" t="s">
        <v>74</v>
      </c>
      <c r="BB2116">
        <v>337</v>
      </c>
      <c r="BC2116">
        <v>351</v>
      </c>
      <c r="BD2116" t="s">
        <v>74</v>
      </c>
      <c r="BE2116" t="s">
        <v>36161</v>
      </c>
      <c r="BF2116" t="str">
        <f>HYPERLINK("http://dx.doi.org/10.1891/JFCP-2022-0021","http://dx.doi.org/10.1891/JFCP-2022-0021")</f>
        <v>http://dx.doi.org/10.1891/JFCP-2022-0021</v>
      </c>
      <c r="BG2116" t="s">
        <v>74</v>
      </c>
      <c r="BH2116" t="s">
        <v>74</v>
      </c>
      <c r="BI2116">
        <v>15</v>
      </c>
      <c r="BJ2116" t="s">
        <v>1453</v>
      </c>
      <c r="BK2116" t="s">
        <v>313</v>
      </c>
      <c r="BL2116" t="s">
        <v>100</v>
      </c>
      <c r="BM2116" t="s">
        <v>36162</v>
      </c>
      <c r="BN2116" t="s">
        <v>74</v>
      </c>
      <c r="BO2116" t="s">
        <v>74</v>
      </c>
      <c r="BP2116" t="s">
        <v>74</v>
      </c>
      <c r="BQ2116" t="s">
        <v>74</v>
      </c>
      <c r="BR2116" t="s">
        <v>102</v>
      </c>
      <c r="BS2116" t="s">
        <v>36163</v>
      </c>
      <c r="BT2116" t="str">
        <f>HYPERLINK("https%3A%2F%2Fwww.webofscience.com%2Fwos%2Fwoscc%2Ffull-record%2FWOS:001389818900003","View Full Record in Web of Science")</f>
        <v>View Full Record in Web of Science</v>
      </c>
    </row>
    <row r="2117" spans="1:72" x14ac:dyDescent="0.25">
      <c r="A2117" t="s">
        <v>72</v>
      </c>
      <c r="B2117" t="s">
        <v>36164</v>
      </c>
      <c r="C2117" t="s">
        <v>74</v>
      </c>
      <c r="D2117" t="s">
        <v>74</v>
      </c>
      <c r="E2117" t="s">
        <v>74</v>
      </c>
      <c r="F2117" t="s">
        <v>36165</v>
      </c>
      <c r="G2117" t="s">
        <v>74</v>
      </c>
      <c r="H2117" t="s">
        <v>74</v>
      </c>
      <c r="I2117" t="s">
        <v>36166</v>
      </c>
      <c r="J2117" t="s">
        <v>7274</v>
      </c>
      <c r="K2117" t="s">
        <v>74</v>
      </c>
      <c r="L2117" t="s">
        <v>74</v>
      </c>
      <c r="M2117" t="s">
        <v>78</v>
      </c>
      <c r="N2117" t="s">
        <v>79</v>
      </c>
      <c r="O2117" t="s">
        <v>74</v>
      </c>
      <c r="P2117" t="s">
        <v>74</v>
      </c>
      <c r="Q2117" t="s">
        <v>74</v>
      </c>
      <c r="R2117" t="s">
        <v>74</v>
      </c>
      <c r="S2117" t="s">
        <v>74</v>
      </c>
      <c r="T2117" t="s">
        <v>74</v>
      </c>
      <c r="U2117" t="s">
        <v>36167</v>
      </c>
      <c r="V2117" t="s">
        <v>36168</v>
      </c>
      <c r="W2117" t="s">
        <v>36169</v>
      </c>
      <c r="X2117" t="s">
        <v>36170</v>
      </c>
      <c r="Y2117" t="s">
        <v>36171</v>
      </c>
      <c r="Z2117" t="s">
        <v>36172</v>
      </c>
      <c r="AA2117" t="s">
        <v>74</v>
      </c>
      <c r="AB2117" t="s">
        <v>74</v>
      </c>
      <c r="AC2117" t="s">
        <v>36173</v>
      </c>
      <c r="AD2117" t="s">
        <v>3482</v>
      </c>
      <c r="AE2117" t="s">
        <v>74</v>
      </c>
      <c r="AF2117" t="s">
        <v>74</v>
      </c>
      <c r="AG2117">
        <v>23</v>
      </c>
      <c r="AH2117">
        <v>25</v>
      </c>
      <c r="AI2117">
        <v>36</v>
      </c>
      <c r="AJ2117">
        <v>1</v>
      </c>
      <c r="AK2117">
        <v>27</v>
      </c>
      <c r="AL2117" t="s">
        <v>2551</v>
      </c>
      <c r="AM2117" t="s">
        <v>231</v>
      </c>
      <c r="AN2117" t="s">
        <v>2552</v>
      </c>
      <c r="AO2117" t="s">
        <v>7284</v>
      </c>
      <c r="AP2117" t="s">
        <v>7285</v>
      </c>
      <c r="AQ2117" t="s">
        <v>74</v>
      </c>
      <c r="AR2117" t="s">
        <v>7286</v>
      </c>
      <c r="AS2117" t="s">
        <v>7287</v>
      </c>
      <c r="AT2117" t="s">
        <v>74</v>
      </c>
      <c r="AU2117">
        <v>2011</v>
      </c>
      <c r="AV2117">
        <v>25</v>
      </c>
      <c r="AW2117">
        <v>3</v>
      </c>
      <c r="AX2117" t="s">
        <v>74</v>
      </c>
      <c r="AY2117" t="s">
        <v>74</v>
      </c>
      <c r="AZ2117" t="s">
        <v>74</v>
      </c>
      <c r="BA2117" t="s">
        <v>74</v>
      </c>
      <c r="BB2117">
        <v>456</v>
      </c>
      <c r="BC2117">
        <v>485</v>
      </c>
      <c r="BD2117" t="s">
        <v>74</v>
      </c>
      <c r="BE2117" t="s">
        <v>36174</v>
      </c>
      <c r="BF2117" t="str">
        <f>HYPERLINK("http://dx.doi.org/10.1093/wber/lhr023","http://dx.doi.org/10.1093/wber/lhr023")</f>
        <v>http://dx.doi.org/10.1093/wber/lhr023</v>
      </c>
      <c r="BG2117" t="s">
        <v>74</v>
      </c>
      <c r="BH2117" t="s">
        <v>74</v>
      </c>
      <c r="BI2117">
        <v>30</v>
      </c>
      <c r="BJ2117" t="s">
        <v>7291</v>
      </c>
      <c r="BK2117" t="s">
        <v>99</v>
      </c>
      <c r="BL2117" t="s">
        <v>7292</v>
      </c>
      <c r="BM2117" t="s">
        <v>36175</v>
      </c>
      <c r="BN2117" t="s">
        <v>74</v>
      </c>
      <c r="BO2117" t="s">
        <v>3694</v>
      </c>
      <c r="BP2117" t="s">
        <v>74</v>
      </c>
      <c r="BQ2117" t="s">
        <v>74</v>
      </c>
      <c r="BR2117" t="s">
        <v>102</v>
      </c>
      <c r="BS2117" t="s">
        <v>36176</v>
      </c>
      <c r="BT2117" t="str">
        <f>HYPERLINK("https%3A%2F%2Fwww.webofscience.com%2Fwos%2Fwoscc%2Ffull-record%2FWOS:000296162400005","View Full Record in Web of Science")</f>
        <v>View Full Record in Web of Science</v>
      </c>
    </row>
    <row r="2118" spans="1:72" x14ac:dyDescent="0.25">
      <c r="A2118" t="s">
        <v>72</v>
      </c>
      <c r="B2118" t="s">
        <v>36177</v>
      </c>
      <c r="C2118" t="s">
        <v>74</v>
      </c>
      <c r="D2118" t="s">
        <v>74</v>
      </c>
      <c r="E2118" t="s">
        <v>74</v>
      </c>
      <c r="F2118" t="s">
        <v>36178</v>
      </c>
      <c r="G2118" t="s">
        <v>74</v>
      </c>
      <c r="H2118" t="s">
        <v>74</v>
      </c>
      <c r="I2118" t="s">
        <v>36179</v>
      </c>
      <c r="J2118" t="s">
        <v>25407</v>
      </c>
      <c r="K2118" t="s">
        <v>74</v>
      </c>
      <c r="L2118" t="s">
        <v>74</v>
      </c>
      <c r="M2118" t="s">
        <v>78</v>
      </c>
      <c r="N2118" t="s">
        <v>79</v>
      </c>
      <c r="O2118" t="s">
        <v>74</v>
      </c>
      <c r="P2118" t="s">
        <v>74</v>
      </c>
      <c r="Q2118" t="s">
        <v>74</v>
      </c>
      <c r="R2118" t="s">
        <v>74</v>
      </c>
      <c r="S2118" t="s">
        <v>74</v>
      </c>
      <c r="T2118" t="s">
        <v>36180</v>
      </c>
      <c r="U2118" t="s">
        <v>36181</v>
      </c>
      <c r="V2118" t="s">
        <v>36182</v>
      </c>
      <c r="W2118" t="s">
        <v>36183</v>
      </c>
      <c r="X2118" t="s">
        <v>36184</v>
      </c>
      <c r="Y2118" t="s">
        <v>36185</v>
      </c>
      <c r="Z2118" t="s">
        <v>36186</v>
      </c>
      <c r="AA2118" t="s">
        <v>36187</v>
      </c>
      <c r="AB2118" t="s">
        <v>36188</v>
      </c>
      <c r="AC2118" t="s">
        <v>74</v>
      </c>
      <c r="AD2118" t="s">
        <v>74</v>
      </c>
      <c r="AE2118" t="s">
        <v>74</v>
      </c>
      <c r="AF2118" t="s">
        <v>74</v>
      </c>
      <c r="AG2118">
        <v>32</v>
      </c>
      <c r="AH2118">
        <v>18</v>
      </c>
      <c r="AI2118">
        <v>19</v>
      </c>
      <c r="AJ2118">
        <v>2</v>
      </c>
      <c r="AK2118">
        <v>22</v>
      </c>
      <c r="AL2118" t="s">
        <v>89</v>
      </c>
      <c r="AM2118" t="s">
        <v>90</v>
      </c>
      <c r="AN2118" t="s">
        <v>91</v>
      </c>
      <c r="AO2118" t="s">
        <v>25394</v>
      </c>
      <c r="AP2118" t="s">
        <v>25393</v>
      </c>
      <c r="AQ2118" t="s">
        <v>74</v>
      </c>
      <c r="AR2118" t="s">
        <v>25392</v>
      </c>
      <c r="AS2118" t="s">
        <v>25391</v>
      </c>
      <c r="AT2118" t="s">
        <v>32815</v>
      </c>
      <c r="AU2118">
        <v>2024</v>
      </c>
      <c r="AV2118">
        <v>14</v>
      </c>
      <c r="AW2118">
        <v>2</v>
      </c>
      <c r="AX2118" t="s">
        <v>74</v>
      </c>
      <c r="AY2118" t="s">
        <v>74</v>
      </c>
      <c r="AZ2118" t="s">
        <v>74</v>
      </c>
      <c r="BA2118" t="s">
        <v>74</v>
      </c>
      <c r="BB2118">
        <v>352</v>
      </c>
      <c r="BC2118">
        <v>362</v>
      </c>
      <c r="BD2118" t="s">
        <v>74</v>
      </c>
      <c r="BE2118" t="s">
        <v>36189</v>
      </c>
      <c r="BF2118" t="str">
        <f>HYPERLINK("http://dx.doi.org/10.1108/CFRI-08-2021-0174","http://dx.doi.org/10.1108/CFRI-08-2021-0174")</f>
        <v>http://dx.doi.org/10.1108/CFRI-08-2021-0174</v>
      </c>
      <c r="BG2118" t="s">
        <v>74</v>
      </c>
      <c r="BH2118" t="s">
        <v>4651</v>
      </c>
      <c r="BI2118">
        <v>11</v>
      </c>
      <c r="BJ2118" t="s">
        <v>268</v>
      </c>
      <c r="BK2118" t="s">
        <v>313</v>
      </c>
      <c r="BL2118" t="s">
        <v>100</v>
      </c>
      <c r="BM2118" t="s">
        <v>36190</v>
      </c>
      <c r="BN2118" t="s">
        <v>74</v>
      </c>
      <c r="BO2118" t="s">
        <v>74</v>
      </c>
      <c r="BP2118" t="s">
        <v>74</v>
      </c>
      <c r="BQ2118" t="s">
        <v>74</v>
      </c>
      <c r="BR2118" t="s">
        <v>102</v>
      </c>
      <c r="BS2118" t="s">
        <v>36191</v>
      </c>
      <c r="BT2118" t="str">
        <f>HYPERLINK("https%3A%2F%2Fwww.webofscience.com%2Fwos%2Fwoscc%2Ffull-record%2FWOS:000711066600001","View Full Record in Web of Science")</f>
        <v>View Full Record in Web of Science</v>
      </c>
    </row>
    <row r="2119" spans="1:72" x14ac:dyDescent="0.25">
      <c r="A2119" t="s">
        <v>72</v>
      </c>
      <c r="B2119" t="s">
        <v>36192</v>
      </c>
      <c r="C2119" t="s">
        <v>74</v>
      </c>
      <c r="D2119" t="s">
        <v>74</v>
      </c>
      <c r="E2119" t="s">
        <v>74</v>
      </c>
      <c r="F2119" t="s">
        <v>36193</v>
      </c>
      <c r="G2119" t="s">
        <v>74</v>
      </c>
      <c r="H2119" t="s">
        <v>74</v>
      </c>
      <c r="I2119" t="s">
        <v>36194</v>
      </c>
      <c r="J2119" t="s">
        <v>515</v>
      </c>
      <c r="K2119" t="s">
        <v>74</v>
      </c>
      <c r="L2119" t="s">
        <v>74</v>
      </c>
      <c r="M2119" t="s">
        <v>78</v>
      </c>
      <c r="N2119" t="s">
        <v>79</v>
      </c>
      <c r="O2119" t="s">
        <v>74</v>
      </c>
      <c r="P2119" t="s">
        <v>74</v>
      </c>
      <c r="Q2119" t="s">
        <v>74</v>
      </c>
      <c r="R2119" t="s">
        <v>74</v>
      </c>
      <c r="S2119" t="s">
        <v>74</v>
      </c>
      <c r="T2119" t="s">
        <v>36195</v>
      </c>
      <c r="U2119" t="s">
        <v>36196</v>
      </c>
      <c r="V2119" t="s">
        <v>36197</v>
      </c>
      <c r="W2119" t="s">
        <v>36198</v>
      </c>
      <c r="X2119" t="s">
        <v>7713</v>
      </c>
      <c r="Y2119" t="s">
        <v>36199</v>
      </c>
      <c r="Z2119" t="s">
        <v>36200</v>
      </c>
      <c r="AA2119" t="s">
        <v>16578</v>
      </c>
      <c r="AB2119" t="s">
        <v>36201</v>
      </c>
      <c r="AC2119" t="s">
        <v>74</v>
      </c>
      <c r="AD2119" t="s">
        <v>74</v>
      </c>
      <c r="AE2119" t="s">
        <v>74</v>
      </c>
      <c r="AF2119" t="s">
        <v>74</v>
      </c>
      <c r="AG2119">
        <v>80</v>
      </c>
      <c r="AH2119">
        <v>0</v>
      </c>
      <c r="AI2119">
        <v>0</v>
      </c>
      <c r="AJ2119">
        <v>3</v>
      </c>
      <c r="AK2119">
        <v>3</v>
      </c>
      <c r="AL2119" t="s">
        <v>230</v>
      </c>
      <c r="AM2119" t="s">
        <v>231</v>
      </c>
      <c r="AN2119" t="s">
        <v>232</v>
      </c>
      <c r="AO2119" t="s">
        <v>528</v>
      </c>
      <c r="AP2119" t="s">
        <v>529</v>
      </c>
      <c r="AQ2119" t="s">
        <v>74</v>
      </c>
      <c r="AR2119" t="s">
        <v>530</v>
      </c>
      <c r="AS2119" t="s">
        <v>531</v>
      </c>
      <c r="AT2119" t="s">
        <v>124</v>
      </c>
      <c r="AU2119">
        <v>2025</v>
      </c>
      <c r="AV2119">
        <v>120</v>
      </c>
      <c r="AW2119" t="s">
        <v>74</v>
      </c>
      <c r="AX2119" t="s">
        <v>74</v>
      </c>
      <c r="AY2119" t="s">
        <v>74</v>
      </c>
      <c r="AZ2119" t="s">
        <v>74</v>
      </c>
      <c r="BA2119" t="s">
        <v>74</v>
      </c>
      <c r="BB2119" t="s">
        <v>74</v>
      </c>
      <c r="BC2119" t="s">
        <v>74</v>
      </c>
      <c r="BD2119">
        <v>103888</v>
      </c>
      <c r="BE2119" t="s">
        <v>36202</v>
      </c>
      <c r="BF2119" t="str">
        <f>HYPERLINK("http://dx.doi.org/10.1016/j.jrurstud.2025.103888","http://dx.doi.org/10.1016/j.jrurstud.2025.103888")</f>
        <v>http://dx.doi.org/10.1016/j.jrurstud.2025.103888</v>
      </c>
      <c r="BG2119" t="s">
        <v>74</v>
      </c>
      <c r="BH2119" t="s">
        <v>3411</v>
      </c>
      <c r="BI2119">
        <v>23</v>
      </c>
      <c r="BJ2119" t="s">
        <v>533</v>
      </c>
      <c r="BK2119" t="s">
        <v>99</v>
      </c>
      <c r="BL2119" t="s">
        <v>534</v>
      </c>
      <c r="BM2119" t="s">
        <v>36203</v>
      </c>
      <c r="BN2119" t="s">
        <v>74</v>
      </c>
      <c r="BO2119" t="s">
        <v>270</v>
      </c>
      <c r="BP2119" t="s">
        <v>74</v>
      </c>
      <c r="BQ2119" t="s">
        <v>74</v>
      </c>
      <c r="BR2119" t="s">
        <v>102</v>
      </c>
      <c r="BS2119" t="s">
        <v>36204</v>
      </c>
      <c r="BT2119" t="str">
        <f>HYPERLINK("https%3A%2F%2Fwww.webofscience.com%2Fwos%2Fwoscc%2Ffull-record%2FWOS:001578788800001","View Full Record in Web of Science")</f>
        <v>View Full Record in Web of Science</v>
      </c>
    </row>
    <row r="2120" spans="1:72" x14ac:dyDescent="0.25">
      <c r="A2120" t="s">
        <v>72</v>
      </c>
      <c r="B2120" t="s">
        <v>36205</v>
      </c>
      <c r="C2120" t="s">
        <v>74</v>
      </c>
      <c r="D2120" t="s">
        <v>74</v>
      </c>
      <c r="E2120" t="s">
        <v>74</v>
      </c>
      <c r="F2120" t="s">
        <v>36206</v>
      </c>
      <c r="G2120" t="s">
        <v>74</v>
      </c>
      <c r="H2120" t="s">
        <v>74</v>
      </c>
      <c r="I2120" t="s">
        <v>36207</v>
      </c>
      <c r="J2120" t="s">
        <v>18377</v>
      </c>
      <c r="K2120" t="s">
        <v>74</v>
      </c>
      <c r="L2120" t="s">
        <v>74</v>
      </c>
      <c r="M2120" t="s">
        <v>78</v>
      </c>
      <c r="N2120" t="s">
        <v>79</v>
      </c>
      <c r="O2120" t="s">
        <v>74</v>
      </c>
      <c r="P2120" t="s">
        <v>74</v>
      </c>
      <c r="Q2120" t="s">
        <v>74</v>
      </c>
      <c r="R2120" t="s">
        <v>74</v>
      </c>
      <c r="S2120" t="s">
        <v>74</v>
      </c>
      <c r="T2120" t="s">
        <v>36208</v>
      </c>
      <c r="U2120" t="s">
        <v>36209</v>
      </c>
      <c r="V2120" t="s">
        <v>36210</v>
      </c>
      <c r="W2120" t="s">
        <v>36211</v>
      </c>
      <c r="X2120" t="s">
        <v>36212</v>
      </c>
      <c r="Y2120" t="s">
        <v>35811</v>
      </c>
      <c r="Z2120" t="s">
        <v>36213</v>
      </c>
      <c r="AA2120" t="s">
        <v>14670</v>
      </c>
      <c r="AB2120" t="s">
        <v>9292</v>
      </c>
      <c r="AC2120" t="s">
        <v>74</v>
      </c>
      <c r="AD2120" t="s">
        <v>74</v>
      </c>
      <c r="AE2120" t="s">
        <v>74</v>
      </c>
      <c r="AF2120" t="s">
        <v>74</v>
      </c>
      <c r="AG2120">
        <v>51</v>
      </c>
      <c r="AH2120">
        <v>0</v>
      </c>
      <c r="AI2120">
        <v>0</v>
      </c>
      <c r="AJ2120">
        <v>2</v>
      </c>
      <c r="AK2120">
        <v>2</v>
      </c>
      <c r="AL2120" t="s">
        <v>479</v>
      </c>
      <c r="AM2120" t="s">
        <v>480</v>
      </c>
      <c r="AN2120" t="s">
        <v>481</v>
      </c>
      <c r="AO2120" t="s">
        <v>18386</v>
      </c>
      <c r="AP2120" t="s">
        <v>18387</v>
      </c>
      <c r="AQ2120" t="s">
        <v>74</v>
      </c>
      <c r="AR2120" t="s">
        <v>18388</v>
      </c>
      <c r="AS2120" t="s">
        <v>18389</v>
      </c>
      <c r="AT2120" t="s">
        <v>8756</v>
      </c>
      <c r="AU2120">
        <v>2025</v>
      </c>
      <c r="AV2120">
        <v>54</v>
      </c>
      <c r="AW2120">
        <v>1</v>
      </c>
      <c r="AX2120" t="s">
        <v>74</v>
      </c>
      <c r="AY2120" t="s">
        <v>74</v>
      </c>
      <c r="AZ2120" t="s">
        <v>74</v>
      </c>
      <c r="BA2120" t="s">
        <v>74</v>
      </c>
      <c r="BB2120" t="s">
        <v>74</v>
      </c>
      <c r="BC2120" t="s">
        <v>74</v>
      </c>
      <c r="BD2120" t="s">
        <v>20393</v>
      </c>
      <c r="BE2120" t="s">
        <v>36214</v>
      </c>
      <c r="BF2120" t="str">
        <f>HYPERLINK("http://dx.doi.org/10.1002/fcsr.70025","http://dx.doi.org/10.1002/fcsr.70025")</f>
        <v>http://dx.doi.org/10.1002/fcsr.70025</v>
      </c>
      <c r="BG2120" t="s">
        <v>74</v>
      </c>
      <c r="BH2120" t="s">
        <v>74</v>
      </c>
      <c r="BI2120">
        <v>22</v>
      </c>
      <c r="BJ2120" t="s">
        <v>18391</v>
      </c>
      <c r="BK2120" t="s">
        <v>313</v>
      </c>
      <c r="BL2120" t="s">
        <v>18391</v>
      </c>
      <c r="BM2120" t="s">
        <v>36215</v>
      </c>
      <c r="BN2120" t="s">
        <v>74</v>
      </c>
      <c r="BO2120" t="s">
        <v>74</v>
      </c>
      <c r="BP2120" t="s">
        <v>74</v>
      </c>
      <c r="BQ2120" t="s">
        <v>74</v>
      </c>
      <c r="BR2120" t="s">
        <v>102</v>
      </c>
      <c r="BS2120" t="s">
        <v>36216</v>
      </c>
      <c r="BT2120" t="str">
        <f>HYPERLINK("https%3A%2F%2Fwww.webofscience.com%2Fwos%2Fwoscc%2Ffull-record%2FWOS:001550515600001","View Full Record in Web of Science")</f>
        <v>View Full Record in Web of Science</v>
      </c>
    </row>
    <row r="2121" spans="1:72" x14ac:dyDescent="0.25">
      <c r="A2121" t="s">
        <v>72</v>
      </c>
      <c r="B2121" t="s">
        <v>36217</v>
      </c>
      <c r="C2121" t="s">
        <v>74</v>
      </c>
      <c r="D2121" t="s">
        <v>74</v>
      </c>
      <c r="E2121" t="s">
        <v>74</v>
      </c>
      <c r="F2121" t="s">
        <v>36218</v>
      </c>
      <c r="G2121" t="s">
        <v>74</v>
      </c>
      <c r="H2121" t="s">
        <v>74</v>
      </c>
      <c r="I2121" t="s">
        <v>36219</v>
      </c>
      <c r="J2121" t="s">
        <v>2763</v>
      </c>
      <c r="K2121" t="s">
        <v>74</v>
      </c>
      <c r="L2121" t="s">
        <v>74</v>
      </c>
      <c r="M2121" t="s">
        <v>78</v>
      </c>
      <c r="N2121" t="s">
        <v>79</v>
      </c>
      <c r="O2121" t="s">
        <v>74</v>
      </c>
      <c r="P2121" t="s">
        <v>74</v>
      </c>
      <c r="Q2121" t="s">
        <v>74</v>
      </c>
      <c r="R2121" t="s">
        <v>74</v>
      </c>
      <c r="S2121" t="s">
        <v>74</v>
      </c>
      <c r="T2121" t="s">
        <v>36220</v>
      </c>
      <c r="U2121" t="s">
        <v>36221</v>
      </c>
      <c r="V2121" t="s">
        <v>36222</v>
      </c>
      <c r="W2121" t="s">
        <v>36223</v>
      </c>
      <c r="X2121" t="s">
        <v>6388</v>
      </c>
      <c r="Y2121" t="s">
        <v>36224</v>
      </c>
      <c r="Z2121" t="s">
        <v>36225</v>
      </c>
      <c r="AA2121" t="s">
        <v>74</v>
      </c>
      <c r="AB2121" t="s">
        <v>36226</v>
      </c>
      <c r="AC2121" t="s">
        <v>36227</v>
      </c>
      <c r="AD2121" t="s">
        <v>36228</v>
      </c>
      <c r="AE2121" t="s">
        <v>36229</v>
      </c>
      <c r="AF2121" t="s">
        <v>74</v>
      </c>
      <c r="AG2121">
        <v>74</v>
      </c>
      <c r="AH2121">
        <v>9</v>
      </c>
      <c r="AI2121">
        <v>10</v>
      </c>
      <c r="AJ2121">
        <v>1</v>
      </c>
      <c r="AK2121">
        <v>24</v>
      </c>
      <c r="AL2121" t="s">
        <v>479</v>
      </c>
      <c r="AM2121" t="s">
        <v>480</v>
      </c>
      <c r="AN2121" t="s">
        <v>481</v>
      </c>
      <c r="AO2121" t="s">
        <v>2776</v>
      </c>
      <c r="AP2121" t="s">
        <v>2777</v>
      </c>
      <c r="AQ2121" t="s">
        <v>74</v>
      </c>
      <c r="AR2121" t="s">
        <v>2778</v>
      </c>
      <c r="AS2121" t="s">
        <v>2779</v>
      </c>
      <c r="AT2121" t="s">
        <v>289</v>
      </c>
      <c r="AU2121">
        <v>2020</v>
      </c>
      <c r="AV2121">
        <v>24</v>
      </c>
      <c r="AW2121">
        <v>3</v>
      </c>
      <c r="AX2121" t="s">
        <v>74</v>
      </c>
      <c r="AY2121" t="s">
        <v>74</v>
      </c>
      <c r="AZ2121" t="s">
        <v>441</v>
      </c>
      <c r="BA2121" t="s">
        <v>74</v>
      </c>
      <c r="BB2121">
        <v>726</v>
      </c>
      <c r="BC2121">
        <v>749</v>
      </c>
      <c r="BD2121" t="s">
        <v>74</v>
      </c>
      <c r="BE2121" t="s">
        <v>36230</v>
      </c>
      <c r="BF2121" t="str">
        <f>HYPERLINK("http://dx.doi.org/10.1111/rode.12607","http://dx.doi.org/10.1111/rode.12607")</f>
        <v>http://dx.doi.org/10.1111/rode.12607</v>
      </c>
      <c r="BG2121" t="s">
        <v>74</v>
      </c>
      <c r="BH2121" t="s">
        <v>8650</v>
      </c>
      <c r="BI2121">
        <v>24</v>
      </c>
      <c r="BJ2121" t="s">
        <v>701</v>
      </c>
      <c r="BK2121" t="s">
        <v>99</v>
      </c>
      <c r="BL2121" t="s">
        <v>702</v>
      </c>
      <c r="BM2121" t="s">
        <v>36231</v>
      </c>
      <c r="BN2121" t="s">
        <v>74</v>
      </c>
      <c r="BO2121" t="s">
        <v>270</v>
      </c>
      <c r="BP2121" t="s">
        <v>74</v>
      </c>
      <c r="BQ2121" t="s">
        <v>74</v>
      </c>
      <c r="BR2121" t="s">
        <v>102</v>
      </c>
      <c r="BS2121" t="s">
        <v>36232</v>
      </c>
      <c r="BT2121" t="str">
        <f>HYPERLINK("https%3A%2F%2Fwww.webofscience.com%2Fwos%2Fwoscc%2Ffull-record%2FWOS:000477524900001","View Full Record in Web of Science")</f>
        <v>View Full Record in Web of Science</v>
      </c>
    </row>
    <row r="2122" spans="1:72" x14ac:dyDescent="0.25">
      <c r="A2122" t="s">
        <v>72</v>
      </c>
      <c r="B2122" t="s">
        <v>36233</v>
      </c>
      <c r="C2122" t="s">
        <v>74</v>
      </c>
      <c r="D2122" t="s">
        <v>74</v>
      </c>
      <c r="E2122" t="s">
        <v>74</v>
      </c>
      <c r="F2122" t="s">
        <v>36234</v>
      </c>
      <c r="G2122" t="s">
        <v>74</v>
      </c>
      <c r="H2122" t="s">
        <v>74</v>
      </c>
      <c r="I2122" t="s">
        <v>36235</v>
      </c>
      <c r="J2122" t="s">
        <v>11879</v>
      </c>
      <c r="K2122" t="s">
        <v>74</v>
      </c>
      <c r="L2122" t="s">
        <v>74</v>
      </c>
      <c r="M2122" t="s">
        <v>78</v>
      </c>
      <c r="N2122" t="s">
        <v>79</v>
      </c>
      <c r="O2122" t="s">
        <v>74</v>
      </c>
      <c r="P2122" t="s">
        <v>74</v>
      </c>
      <c r="Q2122" t="s">
        <v>74</v>
      </c>
      <c r="R2122" t="s">
        <v>74</v>
      </c>
      <c r="S2122" t="s">
        <v>74</v>
      </c>
      <c r="T2122" t="s">
        <v>36236</v>
      </c>
      <c r="U2122" t="s">
        <v>36237</v>
      </c>
      <c r="V2122" t="s">
        <v>36238</v>
      </c>
      <c r="W2122" t="s">
        <v>36239</v>
      </c>
      <c r="X2122" t="s">
        <v>36240</v>
      </c>
      <c r="Y2122" t="s">
        <v>36241</v>
      </c>
      <c r="Z2122" t="s">
        <v>36242</v>
      </c>
      <c r="AA2122" t="s">
        <v>36243</v>
      </c>
      <c r="AB2122" t="s">
        <v>36244</v>
      </c>
      <c r="AC2122" t="s">
        <v>74</v>
      </c>
      <c r="AD2122" t="s">
        <v>74</v>
      </c>
      <c r="AE2122" t="s">
        <v>74</v>
      </c>
      <c r="AF2122" t="s">
        <v>74</v>
      </c>
      <c r="AG2122">
        <v>94</v>
      </c>
      <c r="AH2122">
        <v>92</v>
      </c>
      <c r="AI2122">
        <v>145</v>
      </c>
      <c r="AJ2122">
        <v>29</v>
      </c>
      <c r="AK2122">
        <v>141</v>
      </c>
      <c r="AL2122" t="s">
        <v>201</v>
      </c>
      <c r="AM2122" t="s">
        <v>202</v>
      </c>
      <c r="AN2122" t="s">
        <v>203</v>
      </c>
      <c r="AO2122" t="s">
        <v>11889</v>
      </c>
      <c r="AP2122" t="s">
        <v>11890</v>
      </c>
      <c r="AQ2122" t="s">
        <v>74</v>
      </c>
      <c r="AR2122" t="s">
        <v>11891</v>
      </c>
      <c r="AS2122" t="s">
        <v>11892</v>
      </c>
      <c r="AT2122" t="s">
        <v>208</v>
      </c>
      <c r="AU2122">
        <v>2023</v>
      </c>
      <c r="AV2122">
        <v>23</v>
      </c>
      <c r="AW2122">
        <v>1</v>
      </c>
      <c r="AX2122" t="s">
        <v>74</v>
      </c>
      <c r="AY2122" t="s">
        <v>74</v>
      </c>
      <c r="AZ2122" t="s">
        <v>74</v>
      </c>
      <c r="BA2122" t="s">
        <v>74</v>
      </c>
      <c r="BB2122">
        <v>169</v>
      </c>
      <c r="BC2122">
        <v>183</v>
      </c>
      <c r="BD2122" t="s">
        <v>74</v>
      </c>
      <c r="BE2122" t="s">
        <v>36245</v>
      </c>
      <c r="BF2122" t="str">
        <f>HYPERLINK("http://dx.doi.org/10.1016/j.bir.2022.09.012","http://dx.doi.org/10.1016/j.bir.2022.09.012")</f>
        <v>http://dx.doi.org/10.1016/j.bir.2022.09.012</v>
      </c>
      <c r="BG2122" t="s">
        <v>74</v>
      </c>
      <c r="BH2122" t="s">
        <v>9145</v>
      </c>
      <c r="BI2122">
        <v>15</v>
      </c>
      <c r="BJ2122" t="s">
        <v>210</v>
      </c>
      <c r="BK2122" t="s">
        <v>99</v>
      </c>
      <c r="BL2122" t="s">
        <v>100</v>
      </c>
      <c r="BM2122" t="s">
        <v>36246</v>
      </c>
      <c r="BN2122" t="s">
        <v>74</v>
      </c>
      <c r="BO2122" t="s">
        <v>916</v>
      </c>
      <c r="BP2122" t="s">
        <v>74</v>
      </c>
      <c r="BQ2122" t="s">
        <v>74</v>
      </c>
      <c r="BR2122" t="s">
        <v>102</v>
      </c>
      <c r="BS2122" t="s">
        <v>36247</v>
      </c>
      <c r="BT2122" t="str">
        <f>HYPERLINK("https%3A%2F%2Fwww.webofscience.com%2Fwos%2Fwoscc%2Ffull-record%2FWOS:000949708200001","View Full Record in Web of Science")</f>
        <v>View Full Record in Web of Science</v>
      </c>
    </row>
    <row r="2123" spans="1:72" x14ac:dyDescent="0.25">
      <c r="A2123" t="s">
        <v>132</v>
      </c>
      <c r="B2123" t="s">
        <v>36248</v>
      </c>
      <c r="C2123" t="s">
        <v>74</v>
      </c>
      <c r="D2123" t="s">
        <v>74</v>
      </c>
      <c r="E2123" t="s">
        <v>771</v>
      </c>
      <c r="F2123" t="s">
        <v>36249</v>
      </c>
      <c r="G2123" t="s">
        <v>74</v>
      </c>
      <c r="H2123" t="s">
        <v>74</v>
      </c>
      <c r="I2123" t="s">
        <v>36250</v>
      </c>
      <c r="J2123" t="s">
        <v>36251</v>
      </c>
      <c r="K2123" t="s">
        <v>74</v>
      </c>
      <c r="L2123" t="s">
        <v>74</v>
      </c>
      <c r="M2123" t="s">
        <v>78</v>
      </c>
      <c r="N2123" t="s">
        <v>138</v>
      </c>
      <c r="O2123" t="s">
        <v>36252</v>
      </c>
      <c r="P2123" t="s">
        <v>36253</v>
      </c>
      <c r="Q2123" t="s">
        <v>36254</v>
      </c>
      <c r="R2123" t="s">
        <v>9759</v>
      </c>
      <c r="S2123" t="s">
        <v>74</v>
      </c>
      <c r="T2123" t="s">
        <v>36255</v>
      </c>
      <c r="U2123" t="s">
        <v>74</v>
      </c>
      <c r="V2123" t="s">
        <v>36256</v>
      </c>
      <c r="W2123" t="s">
        <v>36257</v>
      </c>
      <c r="X2123" t="s">
        <v>74</v>
      </c>
      <c r="Y2123" t="s">
        <v>36258</v>
      </c>
      <c r="Z2123" t="s">
        <v>36259</v>
      </c>
      <c r="AA2123" t="s">
        <v>36260</v>
      </c>
      <c r="AB2123" t="s">
        <v>36261</v>
      </c>
      <c r="AC2123" t="s">
        <v>36262</v>
      </c>
      <c r="AD2123" t="s">
        <v>36263</v>
      </c>
      <c r="AE2123" t="s">
        <v>36264</v>
      </c>
      <c r="AF2123" t="s">
        <v>74</v>
      </c>
      <c r="AG2123">
        <v>11</v>
      </c>
      <c r="AH2123">
        <v>2</v>
      </c>
      <c r="AI2123">
        <v>3</v>
      </c>
      <c r="AJ2123">
        <v>0</v>
      </c>
      <c r="AK2123">
        <v>3</v>
      </c>
      <c r="AL2123" t="s">
        <v>771</v>
      </c>
      <c r="AM2123" t="s">
        <v>151</v>
      </c>
      <c r="AN2123" t="s">
        <v>785</v>
      </c>
      <c r="AO2123" t="s">
        <v>74</v>
      </c>
      <c r="AP2123" t="s">
        <v>74</v>
      </c>
      <c r="AQ2123" t="s">
        <v>36265</v>
      </c>
      <c r="AR2123" t="s">
        <v>74</v>
      </c>
      <c r="AS2123" t="s">
        <v>74</v>
      </c>
      <c r="AT2123" t="s">
        <v>74</v>
      </c>
      <c r="AU2123">
        <v>2018</v>
      </c>
      <c r="AV2123" t="s">
        <v>74</v>
      </c>
      <c r="AW2123" t="s">
        <v>74</v>
      </c>
      <c r="AX2123" t="s">
        <v>74</v>
      </c>
      <c r="AY2123" t="s">
        <v>74</v>
      </c>
      <c r="AZ2123" t="s">
        <v>74</v>
      </c>
      <c r="BA2123" t="s">
        <v>74</v>
      </c>
      <c r="BB2123">
        <v>6</v>
      </c>
      <c r="BC2123">
        <v>11</v>
      </c>
      <c r="BD2123" t="s">
        <v>74</v>
      </c>
      <c r="BE2123" t="s">
        <v>36266</v>
      </c>
      <c r="BF2123" t="str">
        <f>HYPERLINK("http://dx.doi.org/10.1109/IC-AIAI.2018.00008","http://dx.doi.org/10.1109/IC-AIAI.2018.00008")</f>
        <v>http://dx.doi.org/10.1109/IC-AIAI.2018.00008</v>
      </c>
      <c r="BG2123" t="s">
        <v>74</v>
      </c>
      <c r="BH2123" t="s">
        <v>74</v>
      </c>
      <c r="BI2123">
        <v>6</v>
      </c>
      <c r="BJ2123" t="s">
        <v>1759</v>
      </c>
      <c r="BK2123" t="s">
        <v>156</v>
      </c>
      <c r="BL2123" t="s">
        <v>157</v>
      </c>
      <c r="BM2123" t="s">
        <v>36267</v>
      </c>
      <c r="BN2123" t="s">
        <v>74</v>
      </c>
      <c r="BO2123" t="s">
        <v>74</v>
      </c>
      <c r="BP2123" t="s">
        <v>74</v>
      </c>
      <c r="BQ2123" t="s">
        <v>74</v>
      </c>
      <c r="BR2123" t="s">
        <v>102</v>
      </c>
      <c r="BS2123" t="s">
        <v>36268</v>
      </c>
      <c r="BT2123" t="str">
        <f>HYPERLINK("https%3A%2F%2Fwww.webofscience.com%2Fwos%2Fwoscc%2Ffull-record%2FWOS:000469060800002","View Full Record in Web of Science")</f>
        <v>View Full Record in Web of Science</v>
      </c>
    </row>
    <row r="2124" spans="1:72" x14ac:dyDescent="0.25">
      <c r="A2124" t="s">
        <v>72</v>
      </c>
      <c r="B2124" t="s">
        <v>36269</v>
      </c>
      <c r="C2124" t="s">
        <v>74</v>
      </c>
      <c r="D2124" t="s">
        <v>74</v>
      </c>
      <c r="E2124" t="s">
        <v>74</v>
      </c>
      <c r="F2124" t="s">
        <v>36270</v>
      </c>
      <c r="G2124" t="s">
        <v>74</v>
      </c>
      <c r="H2124" t="s">
        <v>74</v>
      </c>
      <c r="I2124" t="s">
        <v>36271</v>
      </c>
      <c r="J2124" t="s">
        <v>3439</v>
      </c>
      <c r="K2124" t="s">
        <v>74</v>
      </c>
      <c r="L2124" t="s">
        <v>74</v>
      </c>
      <c r="M2124" t="s">
        <v>78</v>
      </c>
      <c r="N2124" t="s">
        <v>79</v>
      </c>
      <c r="O2124" t="s">
        <v>74</v>
      </c>
      <c r="P2124" t="s">
        <v>74</v>
      </c>
      <c r="Q2124" t="s">
        <v>74</v>
      </c>
      <c r="R2124" t="s">
        <v>74</v>
      </c>
      <c r="S2124" t="s">
        <v>74</v>
      </c>
      <c r="T2124" t="s">
        <v>36272</v>
      </c>
      <c r="U2124" t="s">
        <v>36273</v>
      </c>
      <c r="V2124" t="s">
        <v>36274</v>
      </c>
      <c r="W2124" t="s">
        <v>36275</v>
      </c>
      <c r="X2124" t="s">
        <v>7393</v>
      </c>
      <c r="Y2124" t="s">
        <v>36276</v>
      </c>
      <c r="Z2124" t="s">
        <v>36277</v>
      </c>
      <c r="AA2124" t="s">
        <v>74</v>
      </c>
      <c r="AB2124" t="s">
        <v>74</v>
      </c>
      <c r="AC2124" t="s">
        <v>74</v>
      </c>
      <c r="AD2124" t="s">
        <v>74</v>
      </c>
      <c r="AE2124" t="s">
        <v>74</v>
      </c>
      <c r="AF2124" t="s">
        <v>74</v>
      </c>
      <c r="AG2124">
        <v>80</v>
      </c>
      <c r="AH2124">
        <v>20</v>
      </c>
      <c r="AI2124">
        <v>28</v>
      </c>
      <c r="AJ2124">
        <v>2</v>
      </c>
      <c r="AK2124">
        <v>16</v>
      </c>
      <c r="AL2124" t="s">
        <v>2481</v>
      </c>
      <c r="AM2124" t="s">
        <v>2482</v>
      </c>
      <c r="AN2124" t="s">
        <v>2483</v>
      </c>
      <c r="AO2124" t="s">
        <v>3443</v>
      </c>
      <c r="AP2124" t="s">
        <v>74</v>
      </c>
      <c r="AQ2124" t="s">
        <v>74</v>
      </c>
      <c r="AR2124" t="s">
        <v>3444</v>
      </c>
      <c r="AS2124" t="s">
        <v>3445</v>
      </c>
      <c r="AT2124" t="s">
        <v>2970</v>
      </c>
      <c r="AU2124">
        <v>2022</v>
      </c>
      <c r="AV2124">
        <v>10</v>
      </c>
      <c r="AW2124">
        <v>1</v>
      </c>
      <c r="AX2124" t="s">
        <v>74</v>
      </c>
      <c r="AY2124" t="s">
        <v>74</v>
      </c>
      <c r="AZ2124" t="s">
        <v>74</v>
      </c>
      <c r="BA2124" t="s">
        <v>74</v>
      </c>
      <c r="BB2124" t="s">
        <v>74</v>
      </c>
      <c r="BC2124" t="s">
        <v>74</v>
      </c>
      <c r="BD2124">
        <v>2040126</v>
      </c>
      <c r="BE2124" t="s">
        <v>36278</v>
      </c>
      <c r="BF2124" t="str">
        <f>HYPERLINK("http://dx.doi.org/10.1080/23322039.2022.2040126","http://dx.doi.org/10.1080/23322039.2022.2040126")</f>
        <v>http://dx.doi.org/10.1080/23322039.2022.2040126</v>
      </c>
      <c r="BG2124" t="s">
        <v>74</v>
      </c>
      <c r="BH2124" t="s">
        <v>74</v>
      </c>
      <c r="BI2124">
        <v>14</v>
      </c>
      <c r="BJ2124" t="s">
        <v>291</v>
      </c>
      <c r="BK2124" t="s">
        <v>313</v>
      </c>
      <c r="BL2124" t="s">
        <v>100</v>
      </c>
      <c r="BM2124" t="s">
        <v>36279</v>
      </c>
      <c r="BN2124" t="s">
        <v>74</v>
      </c>
      <c r="BO2124" t="s">
        <v>916</v>
      </c>
      <c r="BP2124" t="s">
        <v>74</v>
      </c>
      <c r="BQ2124" t="s">
        <v>74</v>
      </c>
      <c r="BR2124" t="s">
        <v>102</v>
      </c>
      <c r="BS2124" t="s">
        <v>36280</v>
      </c>
      <c r="BT2124" t="str">
        <f>HYPERLINK("https%3A%2F%2Fwww.webofscience.com%2Fwos%2Fwoscc%2Ffull-record%2FWOS:000758003800001","View Full Record in Web of Science")</f>
        <v>View Full Record in Web of Science</v>
      </c>
    </row>
    <row r="2125" spans="1:72" x14ac:dyDescent="0.25">
      <c r="A2125" t="s">
        <v>72</v>
      </c>
      <c r="B2125" t="s">
        <v>36281</v>
      </c>
      <c r="C2125" t="s">
        <v>74</v>
      </c>
      <c r="D2125" t="s">
        <v>74</v>
      </c>
      <c r="E2125" t="s">
        <v>74</v>
      </c>
      <c r="F2125" t="s">
        <v>36282</v>
      </c>
      <c r="G2125" t="s">
        <v>74</v>
      </c>
      <c r="H2125" t="s">
        <v>74</v>
      </c>
      <c r="I2125" t="s">
        <v>36283</v>
      </c>
      <c r="J2125" t="s">
        <v>11879</v>
      </c>
      <c r="K2125" t="s">
        <v>74</v>
      </c>
      <c r="L2125" t="s">
        <v>74</v>
      </c>
      <c r="M2125" t="s">
        <v>78</v>
      </c>
      <c r="N2125" t="s">
        <v>79</v>
      </c>
      <c r="O2125" t="s">
        <v>74</v>
      </c>
      <c r="P2125" t="s">
        <v>74</v>
      </c>
      <c r="Q2125" t="s">
        <v>74</v>
      </c>
      <c r="R2125" t="s">
        <v>74</v>
      </c>
      <c r="S2125" t="s">
        <v>74</v>
      </c>
      <c r="T2125" t="s">
        <v>36284</v>
      </c>
      <c r="U2125" t="s">
        <v>36285</v>
      </c>
      <c r="V2125" t="s">
        <v>36286</v>
      </c>
      <c r="W2125" t="s">
        <v>36287</v>
      </c>
      <c r="X2125" t="s">
        <v>36288</v>
      </c>
      <c r="Y2125" t="s">
        <v>36289</v>
      </c>
      <c r="Z2125" t="s">
        <v>36290</v>
      </c>
      <c r="AA2125" t="s">
        <v>36291</v>
      </c>
      <c r="AB2125" t="s">
        <v>74</v>
      </c>
      <c r="AC2125" t="s">
        <v>36292</v>
      </c>
      <c r="AD2125" t="s">
        <v>36293</v>
      </c>
      <c r="AE2125" t="s">
        <v>36294</v>
      </c>
      <c r="AF2125" t="s">
        <v>74</v>
      </c>
      <c r="AG2125">
        <v>25</v>
      </c>
      <c r="AH2125">
        <v>0</v>
      </c>
      <c r="AI2125">
        <v>0</v>
      </c>
      <c r="AJ2125">
        <v>2</v>
      </c>
      <c r="AK2125">
        <v>2</v>
      </c>
      <c r="AL2125" t="s">
        <v>201</v>
      </c>
      <c r="AM2125" t="s">
        <v>202</v>
      </c>
      <c r="AN2125" t="s">
        <v>203</v>
      </c>
      <c r="AO2125" t="s">
        <v>11889</v>
      </c>
      <c r="AP2125" t="s">
        <v>11890</v>
      </c>
      <c r="AQ2125" t="s">
        <v>74</v>
      </c>
      <c r="AR2125" t="s">
        <v>11891</v>
      </c>
      <c r="AS2125" t="s">
        <v>11892</v>
      </c>
      <c r="AT2125" t="s">
        <v>698</v>
      </c>
      <c r="AU2125">
        <v>2025</v>
      </c>
      <c r="AV2125">
        <v>25</v>
      </c>
      <c r="AW2125">
        <v>5</v>
      </c>
      <c r="AX2125" t="s">
        <v>74</v>
      </c>
      <c r="AY2125" t="s">
        <v>74</v>
      </c>
      <c r="AZ2125" t="s">
        <v>74</v>
      </c>
      <c r="BA2125" t="s">
        <v>74</v>
      </c>
      <c r="BB2125">
        <v>999</v>
      </c>
      <c r="BC2125">
        <v>1011</v>
      </c>
      <c r="BD2125" t="s">
        <v>74</v>
      </c>
      <c r="BE2125" t="s">
        <v>36295</v>
      </c>
      <c r="BF2125" t="str">
        <f>HYPERLINK("http://dx.doi.org/10.1016/j.bir.2025.05.013","http://dx.doi.org/10.1016/j.bir.2025.05.013")</f>
        <v>http://dx.doi.org/10.1016/j.bir.2025.05.013</v>
      </c>
      <c r="BG2125" t="s">
        <v>74</v>
      </c>
      <c r="BH2125" t="s">
        <v>5030</v>
      </c>
      <c r="BI2125">
        <v>13</v>
      </c>
      <c r="BJ2125" t="s">
        <v>210</v>
      </c>
      <c r="BK2125" t="s">
        <v>99</v>
      </c>
      <c r="BL2125" t="s">
        <v>100</v>
      </c>
      <c r="BM2125" t="s">
        <v>36296</v>
      </c>
      <c r="BN2125" t="s">
        <v>74</v>
      </c>
      <c r="BO2125" t="s">
        <v>916</v>
      </c>
      <c r="BP2125" t="s">
        <v>74</v>
      </c>
      <c r="BQ2125" t="s">
        <v>74</v>
      </c>
      <c r="BR2125" t="s">
        <v>102</v>
      </c>
      <c r="BS2125" t="s">
        <v>36297</v>
      </c>
      <c r="BT2125" t="str">
        <f>HYPERLINK("https%3A%2F%2Fwww.webofscience.com%2Fwos%2Fwoscc%2Ffull-record%2FWOS:001571592800008","View Full Record in Web of Science")</f>
        <v>View Full Record in Web of Science</v>
      </c>
    </row>
    <row r="2126" spans="1:72" x14ac:dyDescent="0.25">
      <c r="A2126" t="s">
        <v>72</v>
      </c>
      <c r="B2126" t="s">
        <v>36298</v>
      </c>
      <c r="C2126" t="s">
        <v>74</v>
      </c>
      <c r="D2126" t="s">
        <v>74</v>
      </c>
      <c r="E2126" t="s">
        <v>74</v>
      </c>
      <c r="F2126" t="s">
        <v>36299</v>
      </c>
      <c r="G2126" t="s">
        <v>74</v>
      </c>
      <c r="H2126" t="s">
        <v>74</v>
      </c>
      <c r="I2126" t="s">
        <v>36300</v>
      </c>
      <c r="J2126" t="s">
        <v>10806</v>
      </c>
      <c r="K2126" t="s">
        <v>74</v>
      </c>
      <c r="L2126" t="s">
        <v>74</v>
      </c>
      <c r="M2126" t="s">
        <v>78</v>
      </c>
      <c r="N2126" t="s">
        <v>3795</v>
      </c>
      <c r="O2126" t="s">
        <v>36301</v>
      </c>
      <c r="P2126" t="s">
        <v>36302</v>
      </c>
      <c r="Q2126" t="s">
        <v>10831</v>
      </c>
      <c r="R2126" t="s">
        <v>74</v>
      </c>
      <c r="S2126" t="s">
        <v>74</v>
      </c>
      <c r="T2126" t="s">
        <v>36303</v>
      </c>
      <c r="U2126" t="s">
        <v>36304</v>
      </c>
      <c r="V2126" t="s">
        <v>36305</v>
      </c>
      <c r="W2126" t="s">
        <v>36306</v>
      </c>
      <c r="X2126" t="s">
        <v>36307</v>
      </c>
      <c r="Y2126" t="s">
        <v>36308</v>
      </c>
      <c r="Z2126" t="s">
        <v>36309</v>
      </c>
      <c r="AA2126" t="s">
        <v>14670</v>
      </c>
      <c r="AB2126" t="s">
        <v>74</v>
      </c>
      <c r="AC2126" t="s">
        <v>36310</v>
      </c>
      <c r="AD2126" t="s">
        <v>36311</v>
      </c>
      <c r="AE2126" t="s">
        <v>36312</v>
      </c>
      <c r="AF2126" t="s">
        <v>74</v>
      </c>
      <c r="AG2126">
        <v>39</v>
      </c>
      <c r="AH2126">
        <v>637</v>
      </c>
      <c r="AI2126">
        <v>706</v>
      </c>
      <c r="AJ2126">
        <v>95</v>
      </c>
      <c r="AK2126">
        <v>1885</v>
      </c>
      <c r="AL2126" t="s">
        <v>201</v>
      </c>
      <c r="AM2126" t="s">
        <v>202</v>
      </c>
      <c r="AN2126" t="s">
        <v>203</v>
      </c>
      <c r="AO2126" t="s">
        <v>10818</v>
      </c>
      <c r="AP2126" t="s">
        <v>10819</v>
      </c>
      <c r="AQ2126" t="s">
        <v>74</v>
      </c>
      <c r="AR2126" t="s">
        <v>10820</v>
      </c>
      <c r="AS2126" t="s">
        <v>10821</v>
      </c>
      <c r="AT2126" t="s">
        <v>605</v>
      </c>
      <c r="AU2126">
        <v>2020</v>
      </c>
      <c r="AV2126">
        <v>86</v>
      </c>
      <c r="AW2126" t="s">
        <v>74</v>
      </c>
      <c r="AX2126" t="s">
        <v>74</v>
      </c>
      <c r="AY2126" t="s">
        <v>74</v>
      </c>
      <c r="AZ2126" t="s">
        <v>74</v>
      </c>
      <c r="BA2126" t="s">
        <v>74</v>
      </c>
      <c r="BB2126">
        <v>317</v>
      </c>
      <c r="BC2126">
        <v>326</v>
      </c>
      <c r="BD2126" t="s">
        <v>74</v>
      </c>
      <c r="BE2126" t="s">
        <v>36313</v>
      </c>
      <c r="BF2126" t="str">
        <f>HYPERLINK("http://dx.doi.org/10.1016/j.econmod.2019.09.027","http://dx.doi.org/10.1016/j.econmod.2019.09.027")</f>
        <v>http://dx.doi.org/10.1016/j.econmod.2019.09.027</v>
      </c>
      <c r="BG2126" t="s">
        <v>74</v>
      </c>
      <c r="BH2126" t="s">
        <v>74</v>
      </c>
      <c r="BI2126">
        <v>10</v>
      </c>
      <c r="BJ2126" t="s">
        <v>291</v>
      </c>
      <c r="BK2126" t="s">
        <v>4493</v>
      </c>
      <c r="BL2126" t="s">
        <v>100</v>
      </c>
      <c r="BM2126" t="s">
        <v>36314</v>
      </c>
      <c r="BN2126" t="s">
        <v>74</v>
      </c>
      <c r="BO2126" t="s">
        <v>74</v>
      </c>
      <c r="BP2126" t="s">
        <v>74</v>
      </c>
      <c r="BQ2126" t="s">
        <v>74</v>
      </c>
      <c r="BR2126" t="s">
        <v>102</v>
      </c>
      <c r="BS2126" t="s">
        <v>36315</v>
      </c>
      <c r="BT2126" t="str">
        <f>HYPERLINK("https%3A%2F%2Fwww.webofscience.com%2Fwos%2Fwoscc%2Ffull-record%2FWOS:000517850800025","View Full Record in Web of Science")</f>
        <v>View Full Record in Web of Science</v>
      </c>
    </row>
    <row r="2127" spans="1:72" x14ac:dyDescent="0.25">
      <c r="A2127" t="s">
        <v>72</v>
      </c>
      <c r="B2127" t="s">
        <v>36316</v>
      </c>
      <c r="C2127" t="s">
        <v>74</v>
      </c>
      <c r="D2127" t="s">
        <v>74</v>
      </c>
      <c r="E2127" t="s">
        <v>74</v>
      </c>
      <c r="F2127" t="s">
        <v>36317</v>
      </c>
      <c r="G2127" t="s">
        <v>74</v>
      </c>
      <c r="H2127" t="s">
        <v>74</v>
      </c>
      <c r="I2127" t="s">
        <v>36318</v>
      </c>
      <c r="J2127" t="s">
        <v>36319</v>
      </c>
      <c r="K2127" t="s">
        <v>74</v>
      </c>
      <c r="L2127" t="s">
        <v>74</v>
      </c>
      <c r="M2127" t="s">
        <v>78</v>
      </c>
      <c r="N2127" t="s">
        <v>79</v>
      </c>
      <c r="O2127" t="s">
        <v>74</v>
      </c>
      <c r="P2127" t="s">
        <v>74</v>
      </c>
      <c r="Q2127" t="s">
        <v>74</v>
      </c>
      <c r="R2127" t="s">
        <v>74</v>
      </c>
      <c r="S2127" t="s">
        <v>74</v>
      </c>
      <c r="T2127" t="s">
        <v>36320</v>
      </c>
      <c r="U2127" t="s">
        <v>74</v>
      </c>
      <c r="V2127" t="s">
        <v>36321</v>
      </c>
      <c r="W2127" t="s">
        <v>36322</v>
      </c>
      <c r="X2127" t="s">
        <v>74</v>
      </c>
      <c r="Y2127" t="s">
        <v>36323</v>
      </c>
      <c r="Z2127" t="s">
        <v>36324</v>
      </c>
      <c r="AA2127" t="s">
        <v>36325</v>
      </c>
      <c r="AB2127" t="s">
        <v>74</v>
      </c>
      <c r="AC2127" t="s">
        <v>36326</v>
      </c>
      <c r="AD2127" t="s">
        <v>36326</v>
      </c>
      <c r="AE2127" t="s">
        <v>36327</v>
      </c>
      <c r="AF2127" t="s">
        <v>74</v>
      </c>
      <c r="AG2127">
        <v>28</v>
      </c>
      <c r="AH2127">
        <v>6</v>
      </c>
      <c r="AI2127">
        <v>8</v>
      </c>
      <c r="AJ2127">
        <v>3</v>
      </c>
      <c r="AK2127">
        <v>15</v>
      </c>
      <c r="AL2127" t="s">
        <v>23579</v>
      </c>
      <c r="AM2127" t="s">
        <v>23578</v>
      </c>
      <c r="AN2127" t="s">
        <v>23577</v>
      </c>
      <c r="AO2127" t="s">
        <v>36328</v>
      </c>
      <c r="AP2127" t="s">
        <v>74</v>
      </c>
      <c r="AQ2127" t="s">
        <v>74</v>
      </c>
      <c r="AR2127" t="s">
        <v>36329</v>
      </c>
      <c r="AS2127" t="s">
        <v>36330</v>
      </c>
      <c r="AT2127" t="s">
        <v>74</v>
      </c>
      <c r="AU2127">
        <v>2022</v>
      </c>
      <c r="AV2127">
        <v>44</v>
      </c>
      <c r="AW2127">
        <v>1</v>
      </c>
      <c r="AX2127" t="s">
        <v>74</v>
      </c>
      <c r="AY2127" t="s">
        <v>74</v>
      </c>
      <c r="AZ2127" t="s">
        <v>74</v>
      </c>
      <c r="BA2127" t="s">
        <v>74</v>
      </c>
      <c r="BB2127">
        <v>89</v>
      </c>
      <c r="BC2127">
        <v>99</v>
      </c>
      <c r="BD2127" t="s">
        <v>74</v>
      </c>
      <c r="BE2127" t="s">
        <v>36331</v>
      </c>
      <c r="BF2127" t="str">
        <f>HYPERLINK("http://dx.doi.org/10.17576/islamiyyat-2022-4401-8","http://dx.doi.org/10.17576/islamiyyat-2022-4401-8")</f>
        <v>http://dx.doi.org/10.17576/islamiyyat-2022-4401-8</v>
      </c>
      <c r="BG2127" t="s">
        <v>74</v>
      </c>
      <c r="BH2127" t="s">
        <v>74</v>
      </c>
      <c r="BI2127">
        <v>11</v>
      </c>
      <c r="BJ2127" t="s">
        <v>9799</v>
      </c>
      <c r="BK2127" t="s">
        <v>313</v>
      </c>
      <c r="BL2127" t="s">
        <v>9799</v>
      </c>
      <c r="BM2127" t="s">
        <v>36332</v>
      </c>
      <c r="BN2127" t="s">
        <v>74</v>
      </c>
      <c r="BO2127" t="s">
        <v>212</v>
      </c>
      <c r="BP2127" t="s">
        <v>74</v>
      </c>
      <c r="BQ2127" t="s">
        <v>74</v>
      </c>
      <c r="BR2127" t="s">
        <v>102</v>
      </c>
      <c r="BS2127" t="s">
        <v>36333</v>
      </c>
      <c r="BT2127" t="str">
        <f>HYPERLINK("https%3A%2F%2Fwww.webofscience.com%2Fwos%2Fwoscc%2Ffull-record%2FWOS:000824870300008","View Full Record in Web of Science")</f>
        <v>View Full Record in Web of Science</v>
      </c>
    </row>
    <row r="2128" spans="1:72" x14ac:dyDescent="0.25">
      <c r="A2128" t="s">
        <v>72</v>
      </c>
      <c r="B2128" t="s">
        <v>36334</v>
      </c>
      <c r="C2128" t="s">
        <v>74</v>
      </c>
      <c r="D2128" t="s">
        <v>74</v>
      </c>
      <c r="E2128" t="s">
        <v>74</v>
      </c>
      <c r="F2128" t="s">
        <v>36335</v>
      </c>
      <c r="G2128" t="s">
        <v>74</v>
      </c>
      <c r="H2128" t="s">
        <v>74</v>
      </c>
      <c r="I2128" t="s">
        <v>36336</v>
      </c>
      <c r="J2128" t="s">
        <v>10303</v>
      </c>
      <c r="K2128" t="s">
        <v>74</v>
      </c>
      <c r="L2128" t="s">
        <v>74</v>
      </c>
      <c r="M2128" t="s">
        <v>78</v>
      </c>
      <c r="N2128" t="s">
        <v>79</v>
      </c>
      <c r="O2128" t="s">
        <v>74</v>
      </c>
      <c r="P2128" t="s">
        <v>74</v>
      </c>
      <c r="Q2128" t="s">
        <v>74</v>
      </c>
      <c r="R2128" t="s">
        <v>74</v>
      </c>
      <c r="S2128" t="s">
        <v>74</v>
      </c>
      <c r="T2128" t="s">
        <v>36337</v>
      </c>
      <c r="U2128" t="s">
        <v>36338</v>
      </c>
      <c r="V2128" t="s">
        <v>36339</v>
      </c>
      <c r="W2128" t="s">
        <v>36340</v>
      </c>
      <c r="X2128" t="s">
        <v>36341</v>
      </c>
      <c r="Y2128" t="s">
        <v>36342</v>
      </c>
      <c r="Z2128" t="s">
        <v>36343</v>
      </c>
      <c r="AA2128" t="s">
        <v>36344</v>
      </c>
      <c r="AB2128" t="s">
        <v>36345</v>
      </c>
      <c r="AC2128" t="s">
        <v>74</v>
      </c>
      <c r="AD2128" t="s">
        <v>74</v>
      </c>
      <c r="AE2128" t="s">
        <v>74</v>
      </c>
      <c r="AF2128" t="s">
        <v>74</v>
      </c>
      <c r="AG2128">
        <v>96</v>
      </c>
      <c r="AH2128">
        <v>546</v>
      </c>
      <c r="AI2128">
        <v>704</v>
      </c>
      <c r="AJ2128">
        <v>7</v>
      </c>
      <c r="AK2128">
        <v>429</v>
      </c>
      <c r="AL2128" t="s">
        <v>230</v>
      </c>
      <c r="AM2128" t="s">
        <v>231</v>
      </c>
      <c r="AN2128" t="s">
        <v>232</v>
      </c>
      <c r="AO2128" t="s">
        <v>10312</v>
      </c>
      <c r="AP2128" t="s">
        <v>10313</v>
      </c>
      <c r="AQ2128" t="s">
        <v>74</v>
      </c>
      <c r="AR2128" t="s">
        <v>10314</v>
      </c>
      <c r="AS2128" t="s">
        <v>10315</v>
      </c>
      <c r="AT2128" t="s">
        <v>698</v>
      </c>
      <c r="AU2128">
        <v>2015</v>
      </c>
      <c r="AV2128">
        <v>50</v>
      </c>
      <c r="AW2128" t="s">
        <v>74</v>
      </c>
      <c r="AX2128" t="s">
        <v>74</v>
      </c>
      <c r="AY2128" t="s">
        <v>74</v>
      </c>
      <c r="AZ2128" t="s">
        <v>74</v>
      </c>
      <c r="BA2128" t="s">
        <v>74</v>
      </c>
      <c r="BB2128">
        <v>418</v>
      </c>
      <c r="BC2128">
        <v>430</v>
      </c>
      <c r="BD2128" t="s">
        <v>74</v>
      </c>
      <c r="BE2128" t="s">
        <v>36346</v>
      </c>
      <c r="BF2128" t="str">
        <f>HYPERLINK("http://dx.doi.org/10.1016/j.chb.2015.04.024","http://dx.doi.org/10.1016/j.chb.2015.04.024")</f>
        <v>http://dx.doi.org/10.1016/j.chb.2015.04.024</v>
      </c>
      <c r="BG2128" t="s">
        <v>74</v>
      </c>
      <c r="BH2128" t="s">
        <v>74</v>
      </c>
      <c r="BI2128">
        <v>13</v>
      </c>
      <c r="BJ2128" t="s">
        <v>10317</v>
      </c>
      <c r="BK2128" t="s">
        <v>99</v>
      </c>
      <c r="BL2128" t="s">
        <v>2993</v>
      </c>
      <c r="BM2128" t="s">
        <v>36347</v>
      </c>
      <c r="BN2128" t="s">
        <v>74</v>
      </c>
      <c r="BO2128" t="s">
        <v>74</v>
      </c>
      <c r="BP2128" t="s">
        <v>74</v>
      </c>
      <c r="BQ2128" t="s">
        <v>74</v>
      </c>
      <c r="BR2128" t="s">
        <v>102</v>
      </c>
      <c r="BS2128" t="s">
        <v>36348</v>
      </c>
      <c r="BT2128" t="str">
        <f>HYPERLINK("https%3A%2F%2Fwww.webofscience.com%2Fwos%2Fwoscc%2Ffull-record%2FWOS:000356549400042","View Full Record in Web of Science")</f>
        <v>View Full Record in Web of Science</v>
      </c>
    </row>
    <row r="2129" spans="1:72" x14ac:dyDescent="0.25">
      <c r="A2129" t="s">
        <v>72</v>
      </c>
      <c r="B2129" t="s">
        <v>36349</v>
      </c>
      <c r="C2129" t="s">
        <v>74</v>
      </c>
      <c r="D2129" t="s">
        <v>74</v>
      </c>
      <c r="E2129" t="s">
        <v>74</v>
      </c>
      <c r="F2129" t="s">
        <v>36350</v>
      </c>
      <c r="G2129" t="s">
        <v>74</v>
      </c>
      <c r="H2129" t="s">
        <v>74</v>
      </c>
      <c r="I2129" t="s">
        <v>36351</v>
      </c>
      <c r="J2129" t="s">
        <v>1412</v>
      </c>
      <c r="K2129" t="s">
        <v>74</v>
      </c>
      <c r="L2129" t="s">
        <v>74</v>
      </c>
      <c r="M2129" t="s">
        <v>78</v>
      </c>
      <c r="N2129" t="s">
        <v>79</v>
      </c>
      <c r="O2129" t="s">
        <v>74</v>
      </c>
      <c r="P2129" t="s">
        <v>74</v>
      </c>
      <c r="Q2129" t="s">
        <v>74</v>
      </c>
      <c r="R2129" t="s">
        <v>74</v>
      </c>
      <c r="S2129" t="s">
        <v>74</v>
      </c>
      <c r="T2129" t="s">
        <v>36352</v>
      </c>
      <c r="U2129" t="s">
        <v>36353</v>
      </c>
      <c r="V2129" t="s">
        <v>36354</v>
      </c>
      <c r="W2129" t="s">
        <v>36355</v>
      </c>
      <c r="X2129" t="s">
        <v>36356</v>
      </c>
      <c r="Y2129" t="s">
        <v>36357</v>
      </c>
      <c r="Z2129" t="s">
        <v>36358</v>
      </c>
      <c r="AA2129" t="s">
        <v>36359</v>
      </c>
      <c r="AB2129" t="s">
        <v>74</v>
      </c>
      <c r="AC2129" t="s">
        <v>74</v>
      </c>
      <c r="AD2129" t="s">
        <v>74</v>
      </c>
      <c r="AE2129" t="s">
        <v>74</v>
      </c>
      <c r="AF2129" t="s">
        <v>74</v>
      </c>
      <c r="AG2129">
        <v>61</v>
      </c>
      <c r="AH2129">
        <v>0</v>
      </c>
      <c r="AI2129">
        <v>0</v>
      </c>
      <c r="AJ2129">
        <v>8</v>
      </c>
      <c r="AK2129">
        <v>9</v>
      </c>
      <c r="AL2129" t="s">
        <v>332</v>
      </c>
      <c r="AM2129" t="s">
        <v>333</v>
      </c>
      <c r="AN2129" t="s">
        <v>334</v>
      </c>
      <c r="AO2129" t="s">
        <v>1423</v>
      </c>
      <c r="AP2129" t="s">
        <v>1424</v>
      </c>
      <c r="AQ2129" t="s">
        <v>74</v>
      </c>
      <c r="AR2129" t="s">
        <v>1425</v>
      </c>
      <c r="AS2129" t="s">
        <v>1426</v>
      </c>
      <c r="AT2129" t="s">
        <v>5028</v>
      </c>
      <c r="AU2129">
        <v>2025</v>
      </c>
      <c r="AV2129">
        <v>31</v>
      </c>
      <c r="AW2129">
        <v>4</v>
      </c>
      <c r="AX2129" t="s">
        <v>74</v>
      </c>
      <c r="AY2129" t="s">
        <v>74</v>
      </c>
      <c r="AZ2129" t="s">
        <v>74</v>
      </c>
      <c r="BA2129" t="s">
        <v>74</v>
      </c>
      <c r="BB2129">
        <v>1318</v>
      </c>
      <c r="BC2129">
        <v>1335</v>
      </c>
      <c r="BD2129" t="s">
        <v>74</v>
      </c>
      <c r="BE2129" t="s">
        <v>36360</v>
      </c>
      <c r="BF2129" t="str">
        <f>HYPERLINK("http://dx.doi.org/10.1080/02681102.2025.2483695","http://dx.doi.org/10.1080/02681102.2025.2483695")</f>
        <v>http://dx.doi.org/10.1080/02681102.2025.2483695</v>
      </c>
      <c r="BG2129" t="s">
        <v>74</v>
      </c>
      <c r="BH2129" t="s">
        <v>1485</v>
      </c>
      <c r="BI2129">
        <v>18</v>
      </c>
      <c r="BJ2129" t="s">
        <v>1429</v>
      </c>
      <c r="BK2129" t="s">
        <v>99</v>
      </c>
      <c r="BL2129" t="s">
        <v>1429</v>
      </c>
      <c r="BM2129" t="s">
        <v>36361</v>
      </c>
      <c r="BN2129" t="s">
        <v>74</v>
      </c>
      <c r="BO2129" t="s">
        <v>74</v>
      </c>
      <c r="BP2129" t="s">
        <v>74</v>
      </c>
      <c r="BQ2129" t="s">
        <v>74</v>
      </c>
      <c r="BR2129" t="s">
        <v>102</v>
      </c>
      <c r="BS2129" t="s">
        <v>36362</v>
      </c>
      <c r="BT2129" t="str">
        <f>HYPERLINK("https%3A%2F%2Fwww.webofscience.com%2Fwos%2Fwoscc%2Ffull-record%2FWOS:001462170300001","View Full Record in Web of Science")</f>
        <v>View Full Record in Web of Science</v>
      </c>
    </row>
    <row r="2130" spans="1:72" x14ac:dyDescent="0.25">
      <c r="A2130" t="s">
        <v>72</v>
      </c>
      <c r="B2130" t="s">
        <v>11071</v>
      </c>
      <c r="C2130" t="s">
        <v>74</v>
      </c>
      <c r="D2130" t="s">
        <v>74</v>
      </c>
      <c r="E2130" t="s">
        <v>74</v>
      </c>
      <c r="F2130" t="s">
        <v>11072</v>
      </c>
      <c r="G2130" t="s">
        <v>74</v>
      </c>
      <c r="H2130" t="s">
        <v>74</v>
      </c>
      <c r="I2130" t="s">
        <v>36363</v>
      </c>
      <c r="J2130" t="s">
        <v>11074</v>
      </c>
      <c r="K2130" t="s">
        <v>74</v>
      </c>
      <c r="L2130" t="s">
        <v>74</v>
      </c>
      <c r="M2130" t="s">
        <v>78</v>
      </c>
      <c r="N2130" t="s">
        <v>79</v>
      </c>
      <c r="O2130" t="s">
        <v>74</v>
      </c>
      <c r="P2130" t="s">
        <v>74</v>
      </c>
      <c r="Q2130" t="s">
        <v>74</v>
      </c>
      <c r="R2130" t="s">
        <v>74</v>
      </c>
      <c r="S2130" t="s">
        <v>74</v>
      </c>
      <c r="T2130" t="s">
        <v>36364</v>
      </c>
      <c r="U2130" t="s">
        <v>36365</v>
      </c>
      <c r="V2130" t="s">
        <v>36366</v>
      </c>
      <c r="W2130" t="s">
        <v>11324</v>
      </c>
      <c r="X2130" t="s">
        <v>11079</v>
      </c>
      <c r="Y2130" t="s">
        <v>11325</v>
      </c>
      <c r="Z2130" t="s">
        <v>11081</v>
      </c>
      <c r="AA2130" t="s">
        <v>11082</v>
      </c>
      <c r="AB2130" t="s">
        <v>74</v>
      </c>
      <c r="AC2130" t="s">
        <v>74</v>
      </c>
      <c r="AD2130" t="s">
        <v>74</v>
      </c>
      <c r="AE2130" t="s">
        <v>74</v>
      </c>
      <c r="AF2130" t="s">
        <v>74</v>
      </c>
      <c r="AG2130">
        <v>59</v>
      </c>
      <c r="AH2130">
        <v>52</v>
      </c>
      <c r="AI2130">
        <v>65</v>
      </c>
      <c r="AJ2130">
        <v>8</v>
      </c>
      <c r="AK2130">
        <v>212</v>
      </c>
      <c r="AL2130" t="s">
        <v>89</v>
      </c>
      <c r="AM2130" t="s">
        <v>1497</v>
      </c>
      <c r="AN2130" t="s">
        <v>1498</v>
      </c>
      <c r="AO2130" t="s">
        <v>11083</v>
      </c>
      <c r="AP2130" t="s">
        <v>11084</v>
      </c>
      <c r="AQ2130" t="s">
        <v>74</v>
      </c>
      <c r="AR2130" t="s">
        <v>11085</v>
      </c>
      <c r="AS2130" t="s">
        <v>11086</v>
      </c>
      <c r="AT2130" t="s">
        <v>74</v>
      </c>
      <c r="AU2130">
        <v>2020</v>
      </c>
      <c r="AV2130">
        <v>22</v>
      </c>
      <c r="AW2130">
        <v>2</v>
      </c>
      <c r="AX2130" t="s">
        <v>74</v>
      </c>
      <c r="AY2130" t="s">
        <v>74</v>
      </c>
      <c r="AZ2130" t="s">
        <v>74</v>
      </c>
      <c r="BA2130" t="s">
        <v>74</v>
      </c>
      <c r="BB2130">
        <v>135</v>
      </c>
      <c r="BC2130">
        <v>151</v>
      </c>
      <c r="BD2130" t="s">
        <v>74</v>
      </c>
      <c r="BE2130" t="s">
        <v>36367</v>
      </c>
      <c r="BF2130" t="str">
        <f>HYPERLINK("http://dx.doi.org/10.1108/DPRG-12-2019-0104","http://dx.doi.org/10.1108/DPRG-12-2019-0104")</f>
        <v>http://dx.doi.org/10.1108/DPRG-12-2019-0104</v>
      </c>
      <c r="BG2130" t="s">
        <v>74</v>
      </c>
      <c r="BH2130" t="s">
        <v>341</v>
      </c>
      <c r="BI2130">
        <v>17</v>
      </c>
      <c r="BJ2130" t="s">
        <v>2351</v>
      </c>
      <c r="BK2130" t="s">
        <v>313</v>
      </c>
      <c r="BL2130" t="s">
        <v>2351</v>
      </c>
      <c r="BM2130" t="s">
        <v>36368</v>
      </c>
      <c r="BN2130" t="s">
        <v>74</v>
      </c>
      <c r="BO2130" t="s">
        <v>74</v>
      </c>
      <c r="BP2130" t="s">
        <v>74</v>
      </c>
      <c r="BQ2130" t="s">
        <v>74</v>
      </c>
      <c r="BR2130" t="s">
        <v>102</v>
      </c>
      <c r="BS2130" t="s">
        <v>36369</v>
      </c>
      <c r="BT2130" t="str">
        <f>HYPERLINK("https%3A%2F%2Fwww.webofscience.com%2Fwos%2Fwoscc%2Ffull-record%2FWOS:000534306400001","View Full Record in Web of Science")</f>
        <v>View Full Record in Web of Science</v>
      </c>
    </row>
    <row r="2131" spans="1:72" x14ac:dyDescent="0.25">
      <c r="A2131" t="s">
        <v>72</v>
      </c>
      <c r="B2131" t="s">
        <v>36370</v>
      </c>
      <c r="C2131" t="s">
        <v>74</v>
      </c>
      <c r="D2131" t="s">
        <v>74</v>
      </c>
      <c r="E2131" t="s">
        <v>74</v>
      </c>
      <c r="F2131" t="s">
        <v>36371</v>
      </c>
      <c r="G2131" t="s">
        <v>74</v>
      </c>
      <c r="H2131" t="s">
        <v>74</v>
      </c>
      <c r="I2131" t="s">
        <v>36372</v>
      </c>
      <c r="J2131" t="s">
        <v>36373</v>
      </c>
      <c r="K2131" t="s">
        <v>74</v>
      </c>
      <c r="L2131" t="s">
        <v>74</v>
      </c>
      <c r="M2131" t="s">
        <v>78</v>
      </c>
      <c r="N2131" t="s">
        <v>79</v>
      </c>
      <c r="O2131" t="s">
        <v>74</v>
      </c>
      <c r="P2131" t="s">
        <v>74</v>
      </c>
      <c r="Q2131" t="s">
        <v>74</v>
      </c>
      <c r="R2131" t="s">
        <v>74</v>
      </c>
      <c r="S2131" t="s">
        <v>74</v>
      </c>
      <c r="T2131" t="s">
        <v>36374</v>
      </c>
      <c r="U2131" t="s">
        <v>2964</v>
      </c>
      <c r="V2131" t="s">
        <v>36375</v>
      </c>
      <c r="W2131" t="s">
        <v>36376</v>
      </c>
      <c r="X2131" t="s">
        <v>36377</v>
      </c>
      <c r="Y2131" t="s">
        <v>36378</v>
      </c>
      <c r="Z2131" t="s">
        <v>36379</v>
      </c>
      <c r="AA2131" t="s">
        <v>36380</v>
      </c>
      <c r="AB2131" t="s">
        <v>74</v>
      </c>
      <c r="AC2131" t="s">
        <v>74</v>
      </c>
      <c r="AD2131" t="s">
        <v>74</v>
      </c>
      <c r="AE2131" t="s">
        <v>74</v>
      </c>
      <c r="AF2131" t="s">
        <v>74</v>
      </c>
      <c r="AG2131">
        <v>27</v>
      </c>
      <c r="AH2131">
        <v>0</v>
      </c>
      <c r="AI2131">
        <v>0</v>
      </c>
      <c r="AJ2131">
        <v>0</v>
      </c>
      <c r="AK2131">
        <v>0</v>
      </c>
      <c r="AL2131" t="s">
        <v>36381</v>
      </c>
      <c r="AM2131" t="s">
        <v>36382</v>
      </c>
      <c r="AN2131" t="s">
        <v>36383</v>
      </c>
      <c r="AO2131" t="s">
        <v>36384</v>
      </c>
      <c r="AP2131" t="s">
        <v>36385</v>
      </c>
      <c r="AQ2131" t="s">
        <v>74</v>
      </c>
      <c r="AR2131" t="s">
        <v>36386</v>
      </c>
      <c r="AS2131" t="s">
        <v>36387</v>
      </c>
      <c r="AT2131" t="s">
        <v>74</v>
      </c>
      <c r="AU2131">
        <v>2025</v>
      </c>
      <c r="AV2131">
        <v>21</v>
      </c>
      <c r="AW2131">
        <v>4</v>
      </c>
      <c r="AX2131" t="s">
        <v>74</v>
      </c>
      <c r="AY2131" t="s">
        <v>74</v>
      </c>
      <c r="AZ2131" t="s">
        <v>74</v>
      </c>
      <c r="BA2131" t="s">
        <v>74</v>
      </c>
      <c r="BB2131" t="s">
        <v>74</v>
      </c>
      <c r="BC2131" t="s">
        <v>74</v>
      </c>
      <c r="BD2131" t="s">
        <v>74</v>
      </c>
      <c r="BE2131" t="s">
        <v>36388</v>
      </c>
      <c r="BF2131" t="str">
        <f>HYPERLINK("http://dx.doi.org/10.14254/1800-5845/2025.21-4.1","http://dx.doi.org/10.14254/1800-5845/2025.21-4.1")</f>
        <v>http://dx.doi.org/10.14254/1800-5845/2025.21-4.1</v>
      </c>
      <c r="BG2131" t="s">
        <v>74</v>
      </c>
      <c r="BH2131" t="s">
        <v>74</v>
      </c>
      <c r="BI2131">
        <v>14</v>
      </c>
      <c r="BJ2131" t="s">
        <v>291</v>
      </c>
      <c r="BK2131" t="s">
        <v>313</v>
      </c>
      <c r="BL2131" t="s">
        <v>100</v>
      </c>
      <c r="BM2131" t="s">
        <v>36389</v>
      </c>
      <c r="BN2131" t="s">
        <v>74</v>
      </c>
      <c r="BO2131" t="s">
        <v>212</v>
      </c>
      <c r="BP2131" t="s">
        <v>74</v>
      </c>
      <c r="BQ2131" t="s">
        <v>74</v>
      </c>
      <c r="BR2131" t="s">
        <v>102</v>
      </c>
      <c r="BS2131" t="s">
        <v>36390</v>
      </c>
      <c r="BT2131" t="str">
        <f>HYPERLINK("https%3A%2F%2Fwww.webofscience.com%2Fwos%2Fwoscc%2Ffull-record%2FWOS:001591579400001","View Full Record in Web of Science")</f>
        <v>View Full Record in Web of Science</v>
      </c>
    </row>
    <row r="2132" spans="1:72" x14ac:dyDescent="0.25">
      <c r="A2132" t="s">
        <v>72</v>
      </c>
      <c r="B2132" t="s">
        <v>36391</v>
      </c>
      <c r="C2132" t="s">
        <v>74</v>
      </c>
      <c r="D2132" t="s">
        <v>74</v>
      </c>
      <c r="E2132" t="s">
        <v>74</v>
      </c>
      <c r="F2132" t="s">
        <v>36392</v>
      </c>
      <c r="G2132" t="s">
        <v>74</v>
      </c>
      <c r="H2132" t="s">
        <v>74</v>
      </c>
      <c r="I2132" t="s">
        <v>36393</v>
      </c>
      <c r="J2132" t="s">
        <v>35956</v>
      </c>
      <c r="K2132" t="s">
        <v>74</v>
      </c>
      <c r="L2132" t="s">
        <v>74</v>
      </c>
      <c r="M2132" t="s">
        <v>78</v>
      </c>
      <c r="N2132" t="s">
        <v>79</v>
      </c>
      <c r="O2132" t="s">
        <v>74</v>
      </c>
      <c r="P2132" t="s">
        <v>74</v>
      </c>
      <c r="Q2132" t="s">
        <v>74</v>
      </c>
      <c r="R2132" t="s">
        <v>74</v>
      </c>
      <c r="S2132" t="s">
        <v>74</v>
      </c>
      <c r="T2132" t="s">
        <v>74</v>
      </c>
      <c r="U2132" t="s">
        <v>36394</v>
      </c>
      <c r="V2132" t="s">
        <v>36395</v>
      </c>
      <c r="W2132" t="s">
        <v>36396</v>
      </c>
      <c r="X2132" t="s">
        <v>36397</v>
      </c>
      <c r="Y2132" t="s">
        <v>36398</v>
      </c>
      <c r="Z2132" t="s">
        <v>36399</v>
      </c>
      <c r="AA2132" t="s">
        <v>74</v>
      </c>
      <c r="AB2132" t="s">
        <v>36400</v>
      </c>
      <c r="AC2132" t="s">
        <v>74</v>
      </c>
      <c r="AD2132" t="s">
        <v>74</v>
      </c>
      <c r="AE2132" t="s">
        <v>74</v>
      </c>
      <c r="AF2132" t="s">
        <v>74</v>
      </c>
      <c r="AG2132">
        <v>89</v>
      </c>
      <c r="AH2132">
        <v>37</v>
      </c>
      <c r="AI2132">
        <v>52</v>
      </c>
      <c r="AJ2132">
        <v>4</v>
      </c>
      <c r="AK2132">
        <v>93</v>
      </c>
      <c r="AL2132" t="s">
        <v>201</v>
      </c>
      <c r="AM2132" t="s">
        <v>202</v>
      </c>
      <c r="AN2132" t="s">
        <v>203</v>
      </c>
      <c r="AO2132" t="s">
        <v>35966</v>
      </c>
      <c r="AP2132" t="s">
        <v>35967</v>
      </c>
      <c r="AQ2132" t="s">
        <v>74</v>
      </c>
      <c r="AR2132" t="s">
        <v>35968</v>
      </c>
      <c r="AS2132" t="s">
        <v>35969</v>
      </c>
      <c r="AT2132" t="s">
        <v>848</v>
      </c>
      <c r="AU2132">
        <v>2018</v>
      </c>
      <c r="AV2132">
        <v>33</v>
      </c>
      <c r="AW2132">
        <v>4</v>
      </c>
      <c r="AX2132" t="s">
        <v>74</v>
      </c>
      <c r="AY2132" t="s">
        <v>74</v>
      </c>
      <c r="AZ2132" t="s">
        <v>74</v>
      </c>
      <c r="BA2132" t="s">
        <v>74</v>
      </c>
      <c r="BB2132">
        <v>395</v>
      </c>
      <c r="BC2132">
        <v>415</v>
      </c>
      <c r="BD2132" t="s">
        <v>74</v>
      </c>
      <c r="BE2132" t="s">
        <v>36401</v>
      </c>
      <c r="BF2132" t="str">
        <f>HYPERLINK("http://dx.doi.org/10.1016/j.jbusvent.2018.02.002","http://dx.doi.org/10.1016/j.jbusvent.2018.02.002")</f>
        <v>http://dx.doi.org/10.1016/j.jbusvent.2018.02.002</v>
      </c>
      <c r="BG2132" t="s">
        <v>74</v>
      </c>
      <c r="BH2132" t="s">
        <v>74</v>
      </c>
      <c r="BI2132">
        <v>21</v>
      </c>
      <c r="BJ2132" t="s">
        <v>418</v>
      </c>
      <c r="BK2132" t="s">
        <v>99</v>
      </c>
      <c r="BL2132" t="s">
        <v>100</v>
      </c>
      <c r="BM2132" t="s">
        <v>36402</v>
      </c>
      <c r="BN2132" t="s">
        <v>74</v>
      </c>
      <c r="BO2132" t="s">
        <v>1696</v>
      </c>
      <c r="BP2132" t="s">
        <v>74</v>
      </c>
      <c r="BQ2132" t="s">
        <v>74</v>
      </c>
      <c r="BR2132" t="s">
        <v>102</v>
      </c>
      <c r="BS2132" t="s">
        <v>36403</v>
      </c>
      <c r="BT2132" t="str">
        <f>HYPERLINK("https%3A%2F%2Fwww.webofscience.com%2Fwos%2Fwoscc%2Ffull-record%2FWOS:000438325600001","View Full Record in Web of Science")</f>
        <v>View Full Record in Web of Science</v>
      </c>
    </row>
    <row r="2133" spans="1:72" x14ac:dyDescent="0.25">
      <c r="A2133" t="s">
        <v>72</v>
      </c>
      <c r="B2133" t="s">
        <v>36404</v>
      </c>
      <c r="C2133" t="s">
        <v>74</v>
      </c>
      <c r="D2133" t="s">
        <v>74</v>
      </c>
      <c r="E2133" t="s">
        <v>74</v>
      </c>
      <c r="F2133" t="s">
        <v>36405</v>
      </c>
      <c r="G2133" t="s">
        <v>74</v>
      </c>
      <c r="H2133" t="s">
        <v>74</v>
      </c>
      <c r="I2133" t="s">
        <v>36406</v>
      </c>
      <c r="J2133" t="s">
        <v>4700</v>
      </c>
      <c r="K2133" t="s">
        <v>74</v>
      </c>
      <c r="L2133" t="s">
        <v>74</v>
      </c>
      <c r="M2133" t="s">
        <v>78</v>
      </c>
      <c r="N2133" t="s">
        <v>79</v>
      </c>
      <c r="O2133" t="s">
        <v>74</v>
      </c>
      <c r="P2133" t="s">
        <v>74</v>
      </c>
      <c r="Q2133" t="s">
        <v>74</v>
      </c>
      <c r="R2133" t="s">
        <v>74</v>
      </c>
      <c r="S2133" t="s">
        <v>74</v>
      </c>
      <c r="T2133" t="s">
        <v>36407</v>
      </c>
      <c r="U2133" t="s">
        <v>36408</v>
      </c>
      <c r="V2133" t="s">
        <v>36409</v>
      </c>
      <c r="W2133" t="s">
        <v>36410</v>
      </c>
      <c r="X2133" t="s">
        <v>36411</v>
      </c>
      <c r="Y2133" t="s">
        <v>36412</v>
      </c>
      <c r="Z2133" t="s">
        <v>36413</v>
      </c>
      <c r="AA2133" t="s">
        <v>36414</v>
      </c>
      <c r="AB2133" t="s">
        <v>74</v>
      </c>
      <c r="AC2133" t="s">
        <v>74</v>
      </c>
      <c r="AD2133" t="s">
        <v>74</v>
      </c>
      <c r="AE2133" t="s">
        <v>74</v>
      </c>
      <c r="AF2133" t="s">
        <v>74</v>
      </c>
      <c r="AG2133">
        <v>55</v>
      </c>
      <c r="AH2133">
        <v>0</v>
      </c>
      <c r="AI2133">
        <v>0</v>
      </c>
      <c r="AJ2133">
        <v>2</v>
      </c>
      <c r="AK2133">
        <v>2</v>
      </c>
      <c r="AL2133" t="s">
        <v>332</v>
      </c>
      <c r="AM2133" t="s">
        <v>333</v>
      </c>
      <c r="AN2133" t="s">
        <v>334</v>
      </c>
      <c r="AO2133" t="s">
        <v>4711</v>
      </c>
      <c r="AP2133" t="s">
        <v>4712</v>
      </c>
      <c r="AQ2133" t="s">
        <v>74</v>
      </c>
      <c r="AR2133" t="s">
        <v>4713</v>
      </c>
      <c r="AS2133" t="s">
        <v>4714</v>
      </c>
      <c r="AT2133" t="s">
        <v>26706</v>
      </c>
      <c r="AU2133">
        <v>2025</v>
      </c>
      <c r="AV2133">
        <v>17</v>
      </c>
      <c r="AW2133">
        <v>6</v>
      </c>
      <c r="AX2133" t="s">
        <v>74</v>
      </c>
      <c r="AY2133" t="s">
        <v>74</v>
      </c>
      <c r="AZ2133" t="s">
        <v>74</v>
      </c>
      <c r="BA2133" t="s">
        <v>74</v>
      </c>
      <c r="BB2133">
        <v>889</v>
      </c>
      <c r="BC2133">
        <v>899</v>
      </c>
      <c r="BD2133" t="s">
        <v>74</v>
      </c>
      <c r="BE2133" t="s">
        <v>36415</v>
      </c>
      <c r="BF2133" t="str">
        <f>HYPERLINK("http://dx.doi.org/10.1080/20421338.2025.2552006","http://dx.doi.org/10.1080/20421338.2025.2552006")</f>
        <v>http://dx.doi.org/10.1080/20421338.2025.2552006</v>
      </c>
      <c r="BG2133" t="s">
        <v>74</v>
      </c>
      <c r="BH2133" t="s">
        <v>12078</v>
      </c>
      <c r="BI2133">
        <v>11</v>
      </c>
      <c r="BJ2133" t="s">
        <v>559</v>
      </c>
      <c r="BK2133" t="s">
        <v>313</v>
      </c>
      <c r="BL2133" t="s">
        <v>560</v>
      </c>
      <c r="BM2133" t="s">
        <v>36416</v>
      </c>
      <c r="BN2133" t="s">
        <v>74</v>
      </c>
      <c r="BO2133" t="s">
        <v>270</v>
      </c>
      <c r="BP2133" t="s">
        <v>74</v>
      </c>
      <c r="BQ2133" t="s">
        <v>74</v>
      </c>
      <c r="BR2133" t="s">
        <v>102</v>
      </c>
      <c r="BS2133" t="s">
        <v>36417</v>
      </c>
      <c r="BT2133" t="str">
        <f>HYPERLINK("https%3A%2F%2Fwww.webofscience.com%2Fwos%2Fwoscc%2Ffull-record%2FWOS:001587561000001","View Full Record in Web of Science")</f>
        <v>View Full Record in Web of Science</v>
      </c>
    </row>
    <row r="2134" spans="1:72" x14ac:dyDescent="0.25">
      <c r="A2134" t="s">
        <v>72</v>
      </c>
      <c r="B2134" t="s">
        <v>36418</v>
      </c>
      <c r="C2134" t="s">
        <v>74</v>
      </c>
      <c r="D2134" t="s">
        <v>74</v>
      </c>
      <c r="E2134" t="s">
        <v>74</v>
      </c>
      <c r="F2134" t="s">
        <v>36419</v>
      </c>
      <c r="G2134" t="s">
        <v>74</v>
      </c>
      <c r="H2134" t="s">
        <v>74</v>
      </c>
      <c r="I2134" t="s">
        <v>36420</v>
      </c>
      <c r="J2134" t="s">
        <v>36421</v>
      </c>
      <c r="K2134" t="s">
        <v>74</v>
      </c>
      <c r="L2134" t="s">
        <v>74</v>
      </c>
      <c r="M2134" t="s">
        <v>78</v>
      </c>
      <c r="N2134" t="s">
        <v>79</v>
      </c>
      <c r="O2134" t="s">
        <v>74</v>
      </c>
      <c r="P2134" t="s">
        <v>74</v>
      </c>
      <c r="Q2134" t="s">
        <v>74</v>
      </c>
      <c r="R2134" t="s">
        <v>74</v>
      </c>
      <c r="S2134" t="s">
        <v>74</v>
      </c>
      <c r="T2134" t="s">
        <v>36422</v>
      </c>
      <c r="U2134" t="s">
        <v>36423</v>
      </c>
      <c r="V2134" t="s">
        <v>36424</v>
      </c>
      <c r="W2134" t="s">
        <v>36425</v>
      </c>
      <c r="X2134" t="s">
        <v>36426</v>
      </c>
      <c r="Y2134" t="s">
        <v>36427</v>
      </c>
      <c r="Z2134" t="s">
        <v>36428</v>
      </c>
      <c r="AA2134" t="s">
        <v>36429</v>
      </c>
      <c r="AB2134" t="s">
        <v>74</v>
      </c>
      <c r="AC2134" t="s">
        <v>74</v>
      </c>
      <c r="AD2134" t="s">
        <v>74</v>
      </c>
      <c r="AE2134" t="s">
        <v>74</v>
      </c>
      <c r="AF2134" t="s">
        <v>74</v>
      </c>
      <c r="AG2134">
        <v>112</v>
      </c>
      <c r="AH2134">
        <v>5</v>
      </c>
      <c r="AI2134">
        <v>6</v>
      </c>
      <c r="AJ2134">
        <v>0</v>
      </c>
      <c r="AK2134">
        <v>0</v>
      </c>
      <c r="AL2134" t="s">
        <v>201</v>
      </c>
      <c r="AM2134" t="s">
        <v>202</v>
      </c>
      <c r="AN2134" t="s">
        <v>203</v>
      </c>
      <c r="AO2134" t="s">
        <v>36430</v>
      </c>
      <c r="AP2134" t="s">
        <v>36431</v>
      </c>
      <c r="AQ2134" t="s">
        <v>74</v>
      </c>
      <c r="AR2134" t="s">
        <v>36432</v>
      </c>
      <c r="AS2134" t="s">
        <v>36433</v>
      </c>
      <c r="AT2134" t="s">
        <v>891</v>
      </c>
      <c r="AU2134">
        <v>2023</v>
      </c>
      <c r="AV2134">
        <v>28</v>
      </c>
      <c r="AW2134" t="s">
        <v>74</v>
      </c>
      <c r="AX2134" t="s">
        <v>74</v>
      </c>
      <c r="AY2134" t="s">
        <v>74</v>
      </c>
      <c r="AZ2134" t="s">
        <v>74</v>
      </c>
      <c r="BA2134" t="s">
        <v>74</v>
      </c>
      <c r="BB2134" t="s">
        <v>74</v>
      </c>
      <c r="BC2134" t="s">
        <v>74</v>
      </c>
      <c r="BD2134" t="s">
        <v>36434</v>
      </c>
      <c r="BE2134" t="s">
        <v>36435</v>
      </c>
      <c r="BF2134" t="str">
        <f>HYPERLINK("http://dx.doi.org/10.1016/j.jeca.2023.e00341","http://dx.doi.org/10.1016/j.jeca.2023.e00341")</f>
        <v>http://dx.doi.org/10.1016/j.jeca.2023.e00341</v>
      </c>
      <c r="BG2134" t="s">
        <v>74</v>
      </c>
      <c r="BH2134" t="s">
        <v>74</v>
      </c>
      <c r="BI2134">
        <v>19</v>
      </c>
      <c r="BJ2134" t="s">
        <v>291</v>
      </c>
      <c r="BK2134" t="s">
        <v>313</v>
      </c>
      <c r="BL2134" t="s">
        <v>100</v>
      </c>
      <c r="BM2134" t="s">
        <v>36436</v>
      </c>
      <c r="BN2134" t="s">
        <v>74</v>
      </c>
      <c r="BO2134" t="s">
        <v>74</v>
      </c>
      <c r="BP2134" t="s">
        <v>74</v>
      </c>
      <c r="BQ2134" t="s">
        <v>74</v>
      </c>
      <c r="BR2134" t="s">
        <v>102</v>
      </c>
      <c r="BS2134" t="s">
        <v>36437</v>
      </c>
      <c r="BT2134" t="str">
        <f>HYPERLINK("https%3A%2F%2Fwww.webofscience.com%2Fwos%2Fwoscc%2Ffull-record%2FWOS:001630472700014","View Full Record in Web of Science")</f>
        <v>View Full Record in Web of Science</v>
      </c>
    </row>
    <row r="2135" spans="1:72" x14ac:dyDescent="0.25">
      <c r="A2135" t="s">
        <v>72</v>
      </c>
      <c r="B2135" t="s">
        <v>36438</v>
      </c>
      <c r="C2135" t="s">
        <v>74</v>
      </c>
      <c r="D2135" t="s">
        <v>74</v>
      </c>
      <c r="E2135" t="s">
        <v>74</v>
      </c>
      <c r="F2135" t="s">
        <v>36439</v>
      </c>
      <c r="G2135" t="s">
        <v>74</v>
      </c>
      <c r="H2135" t="s">
        <v>74</v>
      </c>
      <c r="I2135" t="s">
        <v>36440</v>
      </c>
      <c r="J2135" t="s">
        <v>424</v>
      </c>
      <c r="K2135" t="s">
        <v>74</v>
      </c>
      <c r="L2135" t="s">
        <v>74</v>
      </c>
      <c r="M2135" t="s">
        <v>78</v>
      </c>
      <c r="N2135" t="s">
        <v>79</v>
      </c>
      <c r="O2135" t="s">
        <v>74</v>
      </c>
      <c r="P2135" t="s">
        <v>74</v>
      </c>
      <c r="Q2135" t="s">
        <v>74</v>
      </c>
      <c r="R2135" t="s">
        <v>74</v>
      </c>
      <c r="S2135" t="s">
        <v>74</v>
      </c>
      <c r="T2135" t="s">
        <v>36441</v>
      </c>
      <c r="U2135" t="s">
        <v>36442</v>
      </c>
      <c r="V2135" t="s">
        <v>36443</v>
      </c>
      <c r="W2135" t="s">
        <v>36444</v>
      </c>
      <c r="X2135" t="s">
        <v>21314</v>
      </c>
      <c r="Y2135" t="s">
        <v>36445</v>
      </c>
      <c r="Z2135" t="s">
        <v>17451</v>
      </c>
      <c r="AA2135" t="s">
        <v>36446</v>
      </c>
      <c r="AB2135" t="s">
        <v>36447</v>
      </c>
      <c r="AC2135" t="s">
        <v>36448</v>
      </c>
      <c r="AD2135" t="s">
        <v>36449</v>
      </c>
      <c r="AE2135" t="s">
        <v>36450</v>
      </c>
      <c r="AF2135" t="s">
        <v>74</v>
      </c>
      <c r="AG2135">
        <v>61</v>
      </c>
      <c r="AH2135">
        <v>6</v>
      </c>
      <c r="AI2135">
        <v>6</v>
      </c>
      <c r="AJ2135">
        <v>4</v>
      </c>
      <c r="AK2135">
        <v>29</v>
      </c>
      <c r="AL2135" t="s">
        <v>89</v>
      </c>
      <c r="AM2135" t="s">
        <v>90</v>
      </c>
      <c r="AN2135" t="s">
        <v>91</v>
      </c>
      <c r="AO2135" t="s">
        <v>436</v>
      </c>
      <c r="AP2135" t="s">
        <v>437</v>
      </c>
      <c r="AQ2135" t="s">
        <v>74</v>
      </c>
      <c r="AR2135" t="s">
        <v>438</v>
      </c>
      <c r="AS2135" t="s">
        <v>439</v>
      </c>
      <c r="AT2135" t="s">
        <v>7590</v>
      </c>
      <c r="AU2135">
        <v>2024</v>
      </c>
      <c r="AV2135">
        <v>42</v>
      </c>
      <c r="AW2135">
        <v>6</v>
      </c>
      <c r="AX2135" t="s">
        <v>74</v>
      </c>
      <c r="AY2135" t="s">
        <v>74</v>
      </c>
      <c r="AZ2135" t="s">
        <v>441</v>
      </c>
      <c r="BA2135" t="s">
        <v>74</v>
      </c>
      <c r="BB2135">
        <v>1388</v>
      </c>
      <c r="BC2135">
        <v>1413</v>
      </c>
      <c r="BD2135" t="s">
        <v>74</v>
      </c>
      <c r="BE2135" t="s">
        <v>36451</v>
      </c>
      <c r="BF2135" t="str">
        <f>HYPERLINK("http://dx.doi.org/10.1108/IJBM-03-2023-0169","http://dx.doi.org/10.1108/IJBM-03-2023-0169")</f>
        <v>http://dx.doi.org/10.1108/IJBM-03-2023-0169</v>
      </c>
      <c r="BG2135" t="s">
        <v>74</v>
      </c>
      <c r="BH2135" t="s">
        <v>6256</v>
      </c>
      <c r="BI2135">
        <v>26</v>
      </c>
      <c r="BJ2135" t="s">
        <v>418</v>
      </c>
      <c r="BK2135" t="s">
        <v>99</v>
      </c>
      <c r="BL2135" t="s">
        <v>100</v>
      </c>
      <c r="BM2135" t="s">
        <v>36452</v>
      </c>
      <c r="BN2135" t="s">
        <v>74</v>
      </c>
      <c r="BO2135" t="s">
        <v>74</v>
      </c>
      <c r="BP2135" t="s">
        <v>74</v>
      </c>
      <c r="BQ2135" t="s">
        <v>74</v>
      </c>
      <c r="BR2135" t="s">
        <v>102</v>
      </c>
      <c r="BS2135" t="s">
        <v>36453</v>
      </c>
      <c r="BT2135" t="str">
        <f>HYPERLINK("https%3A%2F%2Fwww.webofscience.com%2Fwos%2Fwoscc%2Ffull-record%2FWOS:001238749200001","View Full Record in Web of Science")</f>
        <v>View Full Record in Web of Science</v>
      </c>
    </row>
    <row r="2136" spans="1:72" x14ac:dyDescent="0.25">
      <c r="A2136" t="s">
        <v>72</v>
      </c>
      <c r="B2136" t="s">
        <v>36454</v>
      </c>
      <c r="C2136" t="s">
        <v>74</v>
      </c>
      <c r="D2136" t="s">
        <v>74</v>
      </c>
      <c r="E2136" t="s">
        <v>74</v>
      </c>
      <c r="F2136" t="s">
        <v>36455</v>
      </c>
      <c r="G2136" t="s">
        <v>74</v>
      </c>
      <c r="H2136" t="s">
        <v>74</v>
      </c>
      <c r="I2136" t="s">
        <v>36456</v>
      </c>
      <c r="J2136" t="s">
        <v>36457</v>
      </c>
      <c r="K2136" t="s">
        <v>74</v>
      </c>
      <c r="L2136" t="s">
        <v>74</v>
      </c>
      <c r="M2136" t="s">
        <v>78</v>
      </c>
      <c r="N2136" t="s">
        <v>79</v>
      </c>
      <c r="O2136" t="s">
        <v>74</v>
      </c>
      <c r="P2136" t="s">
        <v>74</v>
      </c>
      <c r="Q2136" t="s">
        <v>74</v>
      </c>
      <c r="R2136" t="s">
        <v>74</v>
      </c>
      <c r="S2136" t="s">
        <v>74</v>
      </c>
      <c r="T2136" t="s">
        <v>36458</v>
      </c>
      <c r="U2136" t="s">
        <v>36459</v>
      </c>
      <c r="V2136" t="s">
        <v>36460</v>
      </c>
      <c r="W2136" t="s">
        <v>36461</v>
      </c>
      <c r="X2136" t="s">
        <v>36462</v>
      </c>
      <c r="Y2136" t="s">
        <v>36463</v>
      </c>
      <c r="Z2136" t="s">
        <v>36464</v>
      </c>
      <c r="AA2136" t="s">
        <v>74</v>
      </c>
      <c r="AB2136" t="s">
        <v>74</v>
      </c>
      <c r="AC2136" t="s">
        <v>36465</v>
      </c>
      <c r="AD2136" t="s">
        <v>9224</v>
      </c>
      <c r="AE2136" t="s">
        <v>36466</v>
      </c>
      <c r="AF2136" t="s">
        <v>74</v>
      </c>
      <c r="AG2136">
        <v>75</v>
      </c>
      <c r="AH2136">
        <v>4</v>
      </c>
      <c r="AI2136">
        <v>7</v>
      </c>
      <c r="AJ2136">
        <v>2</v>
      </c>
      <c r="AK2136">
        <v>33</v>
      </c>
      <c r="AL2136" t="s">
        <v>29383</v>
      </c>
      <c r="AM2136" t="s">
        <v>29382</v>
      </c>
      <c r="AN2136" t="s">
        <v>29381</v>
      </c>
      <c r="AO2136" t="s">
        <v>74</v>
      </c>
      <c r="AP2136" t="s">
        <v>36467</v>
      </c>
      <c r="AQ2136" t="s">
        <v>74</v>
      </c>
      <c r="AR2136" t="s">
        <v>36468</v>
      </c>
      <c r="AS2136" t="s">
        <v>36469</v>
      </c>
      <c r="AT2136" t="s">
        <v>74</v>
      </c>
      <c r="AU2136">
        <v>2022</v>
      </c>
      <c r="AV2136">
        <v>7</v>
      </c>
      <c r="AW2136">
        <v>12</v>
      </c>
      <c r="AX2136" t="s">
        <v>74</v>
      </c>
      <c r="AY2136" t="s">
        <v>74</v>
      </c>
      <c r="AZ2136" t="s">
        <v>74</v>
      </c>
      <c r="BA2136" t="s">
        <v>74</v>
      </c>
      <c r="BB2136">
        <v>20930</v>
      </c>
      <c r="BC2136">
        <v>20961</v>
      </c>
      <c r="BD2136" t="s">
        <v>74</v>
      </c>
      <c r="BE2136" t="s">
        <v>36470</v>
      </c>
      <c r="BF2136" t="str">
        <f>HYPERLINK("http://dx.doi.org/10.3934/math.20221147","http://dx.doi.org/10.3934/math.20221147")</f>
        <v>http://dx.doi.org/10.3934/math.20221147</v>
      </c>
      <c r="BG2136" t="s">
        <v>74</v>
      </c>
      <c r="BH2136" t="s">
        <v>74</v>
      </c>
      <c r="BI2136">
        <v>32</v>
      </c>
      <c r="BJ2136" t="s">
        <v>36471</v>
      </c>
      <c r="BK2136" t="s">
        <v>128</v>
      </c>
      <c r="BL2136" t="s">
        <v>8262</v>
      </c>
      <c r="BM2136" t="s">
        <v>36472</v>
      </c>
      <c r="BN2136" t="s">
        <v>74</v>
      </c>
      <c r="BO2136" t="s">
        <v>212</v>
      </c>
      <c r="BP2136" t="s">
        <v>74</v>
      </c>
      <c r="BQ2136" t="s">
        <v>74</v>
      </c>
      <c r="BR2136" t="s">
        <v>102</v>
      </c>
      <c r="BS2136" t="s">
        <v>36473</v>
      </c>
      <c r="BT2136" t="str">
        <f>HYPERLINK("https%3A%2F%2Fwww.webofscience.com%2Fwos%2Fwoscc%2Ffull-record%2FWOS:000916096100007","View Full Record in Web of Science")</f>
        <v>View Full Record in Web of Science</v>
      </c>
    </row>
    <row r="2137" spans="1:72" x14ac:dyDescent="0.25">
      <c r="A2137" t="s">
        <v>72</v>
      </c>
      <c r="B2137" t="s">
        <v>36474</v>
      </c>
      <c r="C2137" t="s">
        <v>74</v>
      </c>
      <c r="D2137" t="s">
        <v>74</v>
      </c>
      <c r="E2137" t="s">
        <v>74</v>
      </c>
      <c r="F2137" t="s">
        <v>36475</v>
      </c>
      <c r="G2137" t="s">
        <v>74</v>
      </c>
      <c r="H2137" t="s">
        <v>74</v>
      </c>
      <c r="I2137" t="s">
        <v>36476</v>
      </c>
      <c r="J2137" t="s">
        <v>1510</v>
      </c>
      <c r="K2137" t="s">
        <v>74</v>
      </c>
      <c r="L2137" t="s">
        <v>74</v>
      </c>
      <c r="M2137" t="s">
        <v>78</v>
      </c>
      <c r="N2137" t="s">
        <v>79</v>
      </c>
      <c r="O2137" t="s">
        <v>74</v>
      </c>
      <c r="P2137" t="s">
        <v>74</v>
      </c>
      <c r="Q2137" t="s">
        <v>74</v>
      </c>
      <c r="R2137" t="s">
        <v>74</v>
      </c>
      <c r="S2137" t="s">
        <v>74</v>
      </c>
      <c r="T2137" t="s">
        <v>36477</v>
      </c>
      <c r="U2137" t="s">
        <v>74</v>
      </c>
      <c r="V2137" t="s">
        <v>36478</v>
      </c>
      <c r="W2137" t="s">
        <v>36479</v>
      </c>
      <c r="X2137" t="s">
        <v>36480</v>
      </c>
      <c r="Y2137" t="s">
        <v>36481</v>
      </c>
      <c r="Z2137" t="s">
        <v>36482</v>
      </c>
      <c r="AA2137" t="s">
        <v>36483</v>
      </c>
      <c r="AB2137" t="s">
        <v>36484</v>
      </c>
      <c r="AC2137" t="s">
        <v>74</v>
      </c>
      <c r="AD2137" t="s">
        <v>74</v>
      </c>
      <c r="AE2137" t="s">
        <v>74</v>
      </c>
      <c r="AF2137" t="s">
        <v>74</v>
      </c>
      <c r="AG2137">
        <v>61</v>
      </c>
      <c r="AH2137">
        <v>9</v>
      </c>
      <c r="AI2137">
        <v>11</v>
      </c>
      <c r="AJ2137">
        <v>1</v>
      </c>
      <c r="AK2137">
        <v>5</v>
      </c>
      <c r="AL2137" t="s">
        <v>89</v>
      </c>
      <c r="AM2137" t="s">
        <v>90</v>
      </c>
      <c r="AN2137" t="s">
        <v>91</v>
      </c>
      <c r="AO2137" t="s">
        <v>1519</v>
      </c>
      <c r="AP2137" t="s">
        <v>1520</v>
      </c>
      <c r="AQ2137" t="s">
        <v>74</v>
      </c>
      <c r="AR2137" t="s">
        <v>1521</v>
      </c>
      <c r="AS2137" t="s">
        <v>1522</v>
      </c>
      <c r="AT2137" t="s">
        <v>13993</v>
      </c>
      <c r="AU2137">
        <v>2023</v>
      </c>
      <c r="AV2137">
        <v>50</v>
      </c>
      <c r="AW2137">
        <v>12</v>
      </c>
      <c r="AX2137" t="s">
        <v>74</v>
      </c>
      <c r="AY2137" t="s">
        <v>74</v>
      </c>
      <c r="AZ2137" t="s">
        <v>74</v>
      </c>
      <c r="BA2137" t="s">
        <v>74</v>
      </c>
      <c r="BB2137">
        <v>1804</v>
      </c>
      <c r="BC2137">
        <v>1817</v>
      </c>
      <c r="BD2137" t="s">
        <v>74</v>
      </c>
      <c r="BE2137" t="s">
        <v>36485</v>
      </c>
      <c r="BF2137" t="str">
        <f>HYPERLINK("http://dx.doi.org/10.1108/IJSE-01-2023-0008","http://dx.doi.org/10.1108/IJSE-01-2023-0008")</f>
        <v>http://dx.doi.org/10.1108/IJSE-01-2023-0008</v>
      </c>
      <c r="BG2137" t="s">
        <v>74</v>
      </c>
      <c r="BH2137" t="s">
        <v>700</v>
      </c>
      <c r="BI2137">
        <v>14</v>
      </c>
      <c r="BJ2137" t="s">
        <v>291</v>
      </c>
      <c r="BK2137" t="s">
        <v>313</v>
      </c>
      <c r="BL2137" t="s">
        <v>100</v>
      </c>
      <c r="BM2137" t="s">
        <v>13996</v>
      </c>
      <c r="BN2137" t="s">
        <v>74</v>
      </c>
      <c r="BO2137" t="s">
        <v>74</v>
      </c>
      <c r="BP2137" t="s">
        <v>74</v>
      </c>
      <c r="BQ2137" t="s">
        <v>74</v>
      </c>
      <c r="BR2137" t="s">
        <v>102</v>
      </c>
      <c r="BS2137" t="s">
        <v>36486</v>
      </c>
      <c r="BT2137" t="str">
        <f>HYPERLINK("https%3A%2F%2Fwww.webofscience.com%2Fwos%2Fwoscc%2Ffull-record%2FWOS:001024663200001","View Full Record in Web of Science")</f>
        <v>View Full Record in Web of Science</v>
      </c>
    </row>
    <row r="2138" spans="1:72" x14ac:dyDescent="0.25">
      <c r="A2138" t="s">
        <v>72</v>
      </c>
      <c r="B2138" t="s">
        <v>36487</v>
      </c>
      <c r="C2138" t="s">
        <v>74</v>
      </c>
      <c r="D2138" t="s">
        <v>74</v>
      </c>
      <c r="E2138" t="s">
        <v>74</v>
      </c>
      <c r="F2138" t="s">
        <v>36488</v>
      </c>
      <c r="G2138" t="s">
        <v>74</v>
      </c>
      <c r="H2138" t="s">
        <v>74</v>
      </c>
      <c r="I2138" t="s">
        <v>36489</v>
      </c>
      <c r="J2138" t="s">
        <v>17444</v>
      </c>
      <c r="K2138" t="s">
        <v>74</v>
      </c>
      <c r="L2138" t="s">
        <v>74</v>
      </c>
      <c r="M2138" t="s">
        <v>78</v>
      </c>
      <c r="N2138" t="s">
        <v>79</v>
      </c>
      <c r="O2138" t="s">
        <v>74</v>
      </c>
      <c r="P2138" t="s">
        <v>74</v>
      </c>
      <c r="Q2138" t="s">
        <v>74</v>
      </c>
      <c r="R2138" t="s">
        <v>74</v>
      </c>
      <c r="S2138" t="s">
        <v>74</v>
      </c>
      <c r="T2138" t="s">
        <v>36490</v>
      </c>
      <c r="U2138" t="s">
        <v>36491</v>
      </c>
      <c r="V2138" t="s">
        <v>36492</v>
      </c>
      <c r="W2138" t="s">
        <v>36493</v>
      </c>
      <c r="X2138" t="s">
        <v>36494</v>
      </c>
      <c r="Y2138" t="s">
        <v>36495</v>
      </c>
      <c r="Z2138" t="s">
        <v>36496</v>
      </c>
      <c r="AA2138" t="s">
        <v>36497</v>
      </c>
      <c r="AB2138" t="s">
        <v>36498</v>
      </c>
      <c r="AC2138" t="s">
        <v>74</v>
      </c>
      <c r="AD2138" t="s">
        <v>74</v>
      </c>
      <c r="AE2138" t="s">
        <v>74</v>
      </c>
      <c r="AF2138" t="s">
        <v>74</v>
      </c>
      <c r="AG2138">
        <v>38</v>
      </c>
      <c r="AH2138">
        <v>1</v>
      </c>
      <c r="AI2138">
        <v>1</v>
      </c>
      <c r="AJ2138">
        <v>1</v>
      </c>
      <c r="AK2138">
        <v>2</v>
      </c>
      <c r="AL2138" t="s">
        <v>89</v>
      </c>
      <c r="AM2138" t="s">
        <v>90</v>
      </c>
      <c r="AN2138" t="s">
        <v>91</v>
      </c>
      <c r="AO2138" t="s">
        <v>17454</v>
      </c>
      <c r="AP2138" t="s">
        <v>17455</v>
      </c>
      <c r="AQ2138" t="s">
        <v>74</v>
      </c>
      <c r="AR2138" t="s">
        <v>17456</v>
      </c>
      <c r="AS2138" t="s">
        <v>17457</v>
      </c>
      <c r="AT2138" t="s">
        <v>26438</v>
      </c>
      <c r="AU2138">
        <v>2025</v>
      </c>
      <c r="AV2138">
        <v>51</v>
      </c>
      <c r="AW2138">
        <v>11</v>
      </c>
      <c r="AX2138" t="s">
        <v>74</v>
      </c>
      <c r="AY2138" t="s">
        <v>74</v>
      </c>
      <c r="AZ2138" t="s">
        <v>74</v>
      </c>
      <c r="BA2138" t="s">
        <v>74</v>
      </c>
      <c r="BB2138">
        <v>1742</v>
      </c>
      <c r="BC2138">
        <v>1757</v>
      </c>
      <c r="BD2138" t="s">
        <v>74</v>
      </c>
      <c r="BE2138" t="s">
        <v>36499</v>
      </c>
      <c r="BF2138" t="str">
        <f>HYPERLINK("http://dx.doi.org/10.1108/MF-12-2024-0925","http://dx.doi.org/10.1108/MF-12-2024-0925")</f>
        <v>http://dx.doi.org/10.1108/MF-12-2024-0925</v>
      </c>
      <c r="BG2138" t="s">
        <v>74</v>
      </c>
      <c r="BH2138" t="s">
        <v>2781</v>
      </c>
      <c r="BI2138">
        <v>16</v>
      </c>
      <c r="BJ2138" t="s">
        <v>268</v>
      </c>
      <c r="BK2138" t="s">
        <v>313</v>
      </c>
      <c r="BL2138" t="s">
        <v>100</v>
      </c>
      <c r="BM2138" t="s">
        <v>36500</v>
      </c>
      <c r="BN2138" t="s">
        <v>74</v>
      </c>
      <c r="BO2138" t="s">
        <v>74</v>
      </c>
      <c r="BP2138" t="s">
        <v>74</v>
      </c>
      <c r="BQ2138" t="s">
        <v>74</v>
      </c>
      <c r="BR2138" t="s">
        <v>102</v>
      </c>
      <c r="BS2138" t="s">
        <v>36501</v>
      </c>
      <c r="BT2138" t="str">
        <f>HYPERLINK("https%3A%2F%2Fwww.webofscience.com%2Fwos%2Fwoscc%2Ffull-record%2FWOS:001447850400001","View Full Record in Web of Science")</f>
        <v>View Full Record in Web of Science</v>
      </c>
    </row>
    <row r="2139" spans="1:72" x14ac:dyDescent="0.25">
      <c r="A2139" t="s">
        <v>72</v>
      </c>
      <c r="B2139" t="s">
        <v>36502</v>
      </c>
      <c r="C2139" t="s">
        <v>74</v>
      </c>
      <c r="D2139" t="s">
        <v>74</v>
      </c>
      <c r="E2139" t="s">
        <v>74</v>
      </c>
      <c r="F2139" t="s">
        <v>36503</v>
      </c>
      <c r="G2139" t="s">
        <v>74</v>
      </c>
      <c r="H2139" t="s">
        <v>74</v>
      </c>
      <c r="I2139" t="s">
        <v>36504</v>
      </c>
      <c r="J2139" t="s">
        <v>36505</v>
      </c>
      <c r="K2139" t="s">
        <v>74</v>
      </c>
      <c r="L2139" t="s">
        <v>74</v>
      </c>
      <c r="M2139" t="s">
        <v>78</v>
      </c>
      <c r="N2139" t="s">
        <v>79</v>
      </c>
      <c r="O2139" t="s">
        <v>74</v>
      </c>
      <c r="P2139" t="s">
        <v>74</v>
      </c>
      <c r="Q2139" t="s">
        <v>74</v>
      </c>
      <c r="R2139" t="s">
        <v>74</v>
      </c>
      <c r="S2139" t="s">
        <v>74</v>
      </c>
      <c r="T2139" t="s">
        <v>36506</v>
      </c>
      <c r="U2139" t="s">
        <v>36507</v>
      </c>
      <c r="V2139" t="s">
        <v>36508</v>
      </c>
      <c r="W2139" t="s">
        <v>36509</v>
      </c>
      <c r="X2139" t="s">
        <v>36510</v>
      </c>
      <c r="Y2139" t="s">
        <v>36511</v>
      </c>
      <c r="Z2139" t="s">
        <v>36512</v>
      </c>
      <c r="AA2139" t="s">
        <v>36513</v>
      </c>
      <c r="AB2139" t="s">
        <v>74</v>
      </c>
      <c r="AC2139" t="s">
        <v>74</v>
      </c>
      <c r="AD2139" t="s">
        <v>74</v>
      </c>
      <c r="AE2139" t="s">
        <v>74</v>
      </c>
      <c r="AF2139" t="s">
        <v>74</v>
      </c>
      <c r="AG2139">
        <v>36</v>
      </c>
      <c r="AH2139">
        <v>1</v>
      </c>
      <c r="AI2139">
        <v>1</v>
      </c>
      <c r="AJ2139">
        <v>8</v>
      </c>
      <c r="AK2139">
        <v>8</v>
      </c>
      <c r="AL2139" t="s">
        <v>4485</v>
      </c>
      <c r="AM2139" t="s">
        <v>6724</v>
      </c>
      <c r="AN2139" t="s">
        <v>6725</v>
      </c>
      <c r="AO2139" t="s">
        <v>36514</v>
      </c>
      <c r="AP2139" t="s">
        <v>36515</v>
      </c>
      <c r="AQ2139" t="s">
        <v>74</v>
      </c>
      <c r="AR2139" t="s">
        <v>36505</v>
      </c>
      <c r="AS2139" t="s">
        <v>36516</v>
      </c>
      <c r="AT2139" t="s">
        <v>124</v>
      </c>
      <c r="AU2139">
        <v>2025</v>
      </c>
      <c r="AV2139">
        <v>167</v>
      </c>
      <c r="AW2139" t="s">
        <v>74</v>
      </c>
      <c r="AX2139" t="s">
        <v>74</v>
      </c>
      <c r="AY2139" t="s">
        <v>74</v>
      </c>
      <c r="AZ2139" t="s">
        <v>74</v>
      </c>
      <c r="BA2139" t="s">
        <v>74</v>
      </c>
      <c r="BB2139" t="s">
        <v>74</v>
      </c>
      <c r="BC2139" t="s">
        <v>74</v>
      </c>
      <c r="BD2139">
        <v>106366</v>
      </c>
      <c r="BE2139" t="s">
        <v>36517</v>
      </c>
      <c r="BF2139" t="str">
        <f>HYPERLINK("http://dx.doi.org/10.1016/j.cities.2025.106366","http://dx.doi.org/10.1016/j.cities.2025.106366")</f>
        <v>http://dx.doi.org/10.1016/j.cities.2025.106366</v>
      </c>
      <c r="BG2139" t="s">
        <v>74</v>
      </c>
      <c r="BH2139" t="s">
        <v>5030</v>
      </c>
      <c r="BI2139">
        <v>11</v>
      </c>
      <c r="BJ2139" t="s">
        <v>36518</v>
      </c>
      <c r="BK2139" t="s">
        <v>99</v>
      </c>
      <c r="BL2139" t="s">
        <v>36518</v>
      </c>
      <c r="BM2139" t="s">
        <v>36519</v>
      </c>
      <c r="BN2139" t="s">
        <v>74</v>
      </c>
      <c r="BO2139" t="s">
        <v>74</v>
      </c>
      <c r="BP2139" t="s">
        <v>74</v>
      </c>
      <c r="BQ2139" t="s">
        <v>74</v>
      </c>
      <c r="BR2139" t="s">
        <v>102</v>
      </c>
      <c r="BS2139" t="s">
        <v>36520</v>
      </c>
      <c r="BT2139" t="str">
        <f>HYPERLINK("https%3A%2F%2Fwww.webofscience.com%2Fwos%2Fwoscc%2Ffull-record%2FWOS:001562372400001","View Full Record in Web of Science")</f>
        <v>View Full Record in Web of Science</v>
      </c>
    </row>
    <row r="2140" spans="1:72" x14ac:dyDescent="0.25">
      <c r="A2140" t="s">
        <v>72</v>
      </c>
      <c r="B2140" t="s">
        <v>36521</v>
      </c>
      <c r="C2140" t="s">
        <v>74</v>
      </c>
      <c r="D2140" t="s">
        <v>74</v>
      </c>
      <c r="E2140" t="s">
        <v>74</v>
      </c>
      <c r="F2140" t="s">
        <v>36522</v>
      </c>
      <c r="G2140" t="s">
        <v>74</v>
      </c>
      <c r="H2140" t="s">
        <v>74</v>
      </c>
      <c r="I2140" t="s">
        <v>36523</v>
      </c>
      <c r="J2140" t="s">
        <v>23346</v>
      </c>
      <c r="K2140" t="s">
        <v>74</v>
      </c>
      <c r="L2140" t="s">
        <v>74</v>
      </c>
      <c r="M2140" t="s">
        <v>78</v>
      </c>
      <c r="N2140" t="s">
        <v>79</v>
      </c>
      <c r="O2140" t="s">
        <v>74</v>
      </c>
      <c r="P2140" t="s">
        <v>74</v>
      </c>
      <c r="Q2140" t="s">
        <v>74</v>
      </c>
      <c r="R2140" t="s">
        <v>74</v>
      </c>
      <c r="S2140" t="s">
        <v>74</v>
      </c>
      <c r="T2140" t="s">
        <v>36524</v>
      </c>
      <c r="U2140" t="s">
        <v>36525</v>
      </c>
      <c r="V2140" t="s">
        <v>36526</v>
      </c>
      <c r="W2140" t="s">
        <v>36527</v>
      </c>
      <c r="X2140" t="s">
        <v>27533</v>
      </c>
      <c r="Y2140" t="s">
        <v>36528</v>
      </c>
      <c r="Z2140" t="s">
        <v>27531</v>
      </c>
      <c r="AA2140" t="s">
        <v>36529</v>
      </c>
      <c r="AB2140" t="s">
        <v>36530</v>
      </c>
      <c r="AC2140" t="s">
        <v>74</v>
      </c>
      <c r="AD2140" t="s">
        <v>74</v>
      </c>
      <c r="AE2140" t="s">
        <v>74</v>
      </c>
      <c r="AF2140" t="s">
        <v>74</v>
      </c>
      <c r="AG2140">
        <v>52</v>
      </c>
      <c r="AH2140">
        <v>18</v>
      </c>
      <c r="AI2140">
        <v>21</v>
      </c>
      <c r="AJ2140">
        <v>0</v>
      </c>
      <c r="AK2140">
        <v>28</v>
      </c>
      <c r="AL2140" t="s">
        <v>89</v>
      </c>
      <c r="AM2140" t="s">
        <v>1497</v>
      </c>
      <c r="AN2140" t="s">
        <v>1498</v>
      </c>
      <c r="AO2140" t="s">
        <v>23340</v>
      </c>
      <c r="AP2140" t="s">
        <v>23339</v>
      </c>
      <c r="AQ2140" t="s">
        <v>74</v>
      </c>
      <c r="AR2140" t="s">
        <v>23338</v>
      </c>
      <c r="AS2140" t="s">
        <v>23337</v>
      </c>
      <c r="AT2140" t="s">
        <v>36531</v>
      </c>
      <c r="AU2140">
        <v>2022</v>
      </c>
      <c r="AV2140">
        <v>18</v>
      </c>
      <c r="AW2140">
        <v>4</v>
      </c>
      <c r="AX2140" t="s">
        <v>74</v>
      </c>
      <c r="AY2140" t="s">
        <v>74</v>
      </c>
      <c r="AZ2140" t="s">
        <v>74</v>
      </c>
      <c r="BA2140" t="s">
        <v>74</v>
      </c>
      <c r="BB2140">
        <v>858</v>
      </c>
      <c r="BC2140">
        <v>874</v>
      </c>
      <c r="BD2140" t="s">
        <v>74</v>
      </c>
      <c r="BE2140" t="s">
        <v>36532</v>
      </c>
      <c r="BF2140" t="str">
        <f>HYPERLINK("http://dx.doi.org/10.1108/SRJ-03-2020-0100","http://dx.doi.org/10.1108/SRJ-03-2020-0100")</f>
        <v>http://dx.doi.org/10.1108/SRJ-03-2020-0100</v>
      </c>
      <c r="BG2140" t="s">
        <v>74</v>
      </c>
      <c r="BH2140" t="s">
        <v>11242</v>
      </c>
      <c r="BI2140">
        <v>17</v>
      </c>
      <c r="BJ2140" t="s">
        <v>583</v>
      </c>
      <c r="BK2140" t="s">
        <v>313</v>
      </c>
      <c r="BL2140" t="s">
        <v>100</v>
      </c>
      <c r="BM2140" t="s">
        <v>36533</v>
      </c>
      <c r="BN2140" t="s">
        <v>74</v>
      </c>
      <c r="BO2140" t="s">
        <v>74</v>
      </c>
      <c r="BP2140" t="s">
        <v>74</v>
      </c>
      <c r="BQ2140" t="s">
        <v>74</v>
      </c>
      <c r="BR2140" t="s">
        <v>102</v>
      </c>
      <c r="BS2140" t="s">
        <v>36534</v>
      </c>
      <c r="BT2140" t="str">
        <f>HYPERLINK("https%3A%2F%2Fwww.webofscience.com%2Fwos%2Fwoscc%2Ffull-record%2FWOS:000663061200001","View Full Record in Web of Science")</f>
        <v>View Full Record in Web of Science</v>
      </c>
    </row>
    <row r="2141" spans="1:72" x14ac:dyDescent="0.25">
      <c r="A2141" t="s">
        <v>72</v>
      </c>
      <c r="B2141" t="s">
        <v>36535</v>
      </c>
      <c r="C2141" t="s">
        <v>74</v>
      </c>
      <c r="D2141" t="s">
        <v>74</v>
      </c>
      <c r="E2141" t="s">
        <v>74</v>
      </c>
      <c r="F2141" t="s">
        <v>36536</v>
      </c>
      <c r="G2141" t="s">
        <v>74</v>
      </c>
      <c r="H2141" t="s">
        <v>74</v>
      </c>
      <c r="I2141" t="s">
        <v>36537</v>
      </c>
      <c r="J2141" t="s">
        <v>14135</v>
      </c>
      <c r="K2141" t="s">
        <v>74</v>
      </c>
      <c r="L2141" t="s">
        <v>74</v>
      </c>
      <c r="M2141" t="s">
        <v>78</v>
      </c>
      <c r="N2141" t="s">
        <v>79</v>
      </c>
      <c r="O2141" t="s">
        <v>74</v>
      </c>
      <c r="P2141" t="s">
        <v>74</v>
      </c>
      <c r="Q2141" t="s">
        <v>74</v>
      </c>
      <c r="R2141" t="s">
        <v>74</v>
      </c>
      <c r="S2141" t="s">
        <v>74</v>
      </c>
      <c r="T2141" t="s">
        <v>74</v>
      </c>
      <c r="U2141" t="s">
        <v>2073</v>
      </c>
      <c r="V2141" t="s">
        <v>36538</v>
      </c>
      <c r="W2141" t="s">
        <v>36539</v>
      </c>
      <c r="X2141" t="s">
        <v>36540</v>
      </c>
      <c r="Y2141" t="s">
        <v>36541</v>
      </c>
      <c r="Z2141" t="s">
        <v>33596</v>
      </c>
      <c r="AA2141" t="s">
        <v>74</v>
      </c>
      <c r="AB2141" t="s">
        <v>21569</v>
      </c>
      <c r="AC2141" t="s">
        <v>74</v>
      </c>
      <c r="AD2141" t="s">
        <v>74</v>
      </c>
      <c r="AE2141" t="s">
        <v>74</v>
      </c>
      <c r="AF2141" t="s">
        <v>74</v>
      </c>
      <c r="AG2141">
        <v>63</v>
      </c>
      <c r="AH2141">
        <v>173</v>
      </c>
      <c r="AI2141">
        <v>224</v>
      </c>
      <c r="AJ2141">
        <v>4</v>
      </c>
      <c r="AK2141">
        <v>79</v>
      </c>
      <c r="AL2141" t="s">
        <v>479</v>
      </c>
      <c r="AM2141" t="s">
        <v>480</v>
      </c>
      <c r="AN2141" t="s">
        <v>481</v>
      </c>
      <c r="AO2141" t="s">
        <v>14142</v>
      </c>
      <c r="AP2141" t="s">
        <v>14143</v>
      </c>
      <c r="AQ2141" t="s">
        <v>74</v>
      </c>
      <c r="AR2141" t="s">
        <v>14144</v>
      </c>
      <c r="AS2141" t="s">
        <v>14145</v>
      </c>
      <c r="AT2141" t="s">
        <v>605</v>
      </c>
      <c r="AU2141">
        <v>2018</v>
      </c>
      <c r="AV2141">
        <v>49</v>
      </c>
      <c r="AW2141">
        <v>2</v>
      </c>
      <c r="AX2141" t="s">
        <v>74</v>
      </c>
      <c r="AY2141" t="s">
        <v>74</v>
      </c>
      <c r="AZ2141" t="s">
        <v>74</v>
      </c>
      <c r="BA2141" t="s">
        <v>74</v>
      </c>
      <c r="BB2141">
        <v>461</v>
      </c>
      <c r="BC2141">
        <v>483</v>
      </c>
      <c r="BD2141" t="s">
        <v>74</v>
      </c>
      <c r="BE2141" t="s">
        <v>36542</v>
      </c>
      <c r="BF2141" t="str">
        <f>HYPERLINK("http://dx.doi.org/10.1111/dech.12368","http://dx.doi.org/10.1111/dech.12368")</f>
        <v>http://dx.doi.org/10.1111/dech.12368</v>
      </c>
      <c r="BG2141" t="s">
        <v>74</v>
      </c>
      <c r="BH2141" t="s">
        <v>74</v>
      </c>
      <c r="BI2141">
        <v>23</v>
      </c>
      <c r="BJ2141" t="s">
        <v>1137</v>
      </c>
      <c r="BK2141" t="s">
        <v>99</v>
      </c>
      <c r="BL2141" t="s">
        <v>1137</v>
      </c>
      <c r="BM2141" t="s">
        <v>36543</v>
      </c>
      <c r="BN2141" t="s">
        <v>74</v>
      </c>
      <c r="BO2141" t="s">
        <v>74</v>
      </c>
      <c r="BP2141" t="s">
        <v>74</v>
      </c>
      <c r="BQ2141" t="s">
        <v>74</v>
      </c>
      <c r="BR2141" t="s">
        <v>102</v>
      </c>
      <c r="BS2141" t="s">
        <v>36544</v>
      </c>
      <c r="BT2141" t="str">
        <f>HYPERLINK("https%3A%2F%2Fwww.webofscience.com%2Fwos%2Fwoscc%2Ffull-record%2FWOS:000427006500010","View Full Record in Web of Science")</f>
        <v>View Full Record in Web of Science</v>
      </c>
    </row>
    <row r="2142" spans="1:72" x14ac:dyDescent="0.25">
      <c r="A2142" t="s">
        <v>72</v>
      </c>
      <c r="B2142" t="s">
        <v>36545</v>
      </c>
      <c r="C2142" t="s">
        <v>74</v>
      </c>
      <c r="D2142" t="s">
        <v>74</v>
      </c>
      <c r="E2142" t="s">
        <v>74</v>
      </c>
      <c r="F2142" t="s">
        <v>36546</v>
      </c>
      <c r="G2142" t="s">
        <v>74</v>
      </c>
      <c r="H2142" t="s">
        <v>74</v>
      </c>
      <c r="I2142" t="s">
        <v>36547</v>
      </c>
      <c r="J2142" t="s">
        <v>17853</v>
      </c>
      <c r="K2142" t="s">
        <v>74</v>
      </c>
      <c r="L2142" t="s">
        <v>74</v>
      </c>
      <c r="M2142" t="s">
        <v>78</v>
      </c>
      <c r="N2142" t="s">
        <v>79</v>
      </c>
      <c r="O2142" t="s">
        <v>74</v>
      </c>
      <c r="P2142" t="s">
        <v>74</v>
      </c>
      <c r="Q2142" t="s">
        <v>74</v>
      </c>
      <c r="R2142" t="s">
        <v>74</v>
      </c>
      <c r="S2142" t="s">
        <v>74</v>
      </c>
      <c r="T2142" t="s">
        <v>36548</v>
      </c>
      <c r="U2142" t="s">
        <v>36549</v>
      </c>
      <c r="V2142" t="s">
        <v>36550</v>
      </c>
      <c r="W2142" t="s">
        <v>36551</v>
      </c>
      <c r="X2142" t="s">
        <v>74</v>
      </c>
      <c r="Y2142" t="s">
        <v>36552</v>
      </c>
      <c r="Z2142" t="s">
        <v>36553</v>
      </c>
      <c r="AA2142" t="s">
        <v>74</v>
      </c>
      <c r="AB2142" t="s">
        <v>74</v>
      </c>
      <c r="AC2142" t="s">
        <v>74</v>
      </c>
      <c r="AD2142" t="s">
        <v>74</v>
      </c>
      <c r="AE2142" t="s">
        <v>74</v>
      </c>
      <c r="AF2142" t="s">
        <v>74</v>
      </c>
      <c r="AG2142">
        <v>86</v>
      </c>
      <c r="AH2142">
        <v>0</v>
      </c>
      <c r="AI2142">
        <v>0</v>
      </c>
      <c r="AJ2142">
        <v>4</v>
      </c>
      <c r="AK2142">
        <v>4</v>
      </c>
      <c r="AL2142" t="s">
        <v>201</v>
      </c>
      <c r="AM2142" t="s">
        <v>202</v>
      </c>
      <c r="AN2142" t="s">
        <v>203</v>
      </c>
      <c r="AO2142" t="s">
        <v>17862</v>
      </c>
      <c r="AP2142" t="s">
        <v>74</v>
      </c>
      <c r="AQ2142" t="s">
        <v>74</v>
      </c>
      <c r="AR2142" t="s">
        <v>17863</v>
      </c>
      <c r="AS2142" t="s">
        <v>17864</v>
      </c>
      <c r="AT2142" t="s">
        <v>124</v>
      </c>
      <c r="AU2142">
        <v>2025</v>
      </c>
      <c r="AV2142">
        <v>10</v>
      </c>
      <c r="AW2142" t="s">
        <v>74</v>
      </c>
      <c r="AX2142" t="s">
        <v>74</v>
      </c>
      <c r="AY2142" t="s">
        <v>74</v>
      </c>
      <c r="AZ2142" t="s">
        <v>74</v>
      </c>
      <c r="BA2142" t="s">
        <v>74</v>
      </c>
      <c r="BB2142" t="s">
        <v>74</v>
      </c>
      <c r="BC2142" t="s">
        <v>74</v>
      </c>
      <c r="BD2142">
        <v>100883</v>
      </c>
      <c r="BE2142" t="s">
        <v>36554</v>
      </c>
      <c r="BF2142" t="str">
        <f>HYPERLINK("http://dx.doi.org/10.1016/j.sftr.2025.100883","http://dx.doi.org/10.1016/j.sftr.2025.100883")</f>
        <v>http://dx.doi.org/10.1016/j.sftr.2025.100883</v>
      </c>
      <c r="BG2142" t="s">
        <v>74</v>
      </c>
      <c r="BH2142" t="s">
        <v>7657</v>
      </c>
      <c r="BI2142">
        <v>17</v>
      </c>
      <c r="BJ2142" t="s">
        <v>17866</v>
      </c>
      <c r="BK2142" t="s">
        <v>313</v>
      </c>
      <c r="BL2142" t="s">
        <v>17867</v>
      </c>
      <c r="BM2142" t="s">
        <v>36555</v>
      </c>
      <c r="BN2142" t="s">
        <v>74</v>
      </c>
      <c r="BO2142" t="s">
        <v>916</v>
      </c>
      <c r="BP2142" t="s">
        <v>74</v>
      </c>
      <c r="BQ2142" t="s">
        <v>74</v>
      </c>
      <c r="BR2142" t="s">
        <v>102</v>
      </c>
      <c r="BS2142" t="s">
        <v>36556</v>
      </c>
      <c r="BT2142" t="str">
        <f>HYPERLINK("https%3A%2F%2Fwww.webofscience.com%2Fwos%2Fwoscc%2Ffull-record%2FWOS:001526958000001","View Full Record in Web of Science")</f>
        <v>View Full Record in Web of Science</v>
      </c>
    </row>
    <row r="2143" spans="1:72" x14ac:dyDescent="0.25">
      <c r="A2143" t="s">
        <v>72</v>
      </c>
      <c r="B2143" t="s">
        <v>36557</v>
      </c>
      <c r="C2143" t="s">
        <v>74</v>
      </c>
      <c r="D2143" t="s">
        <v>74</v>
      </c>
      <c r="E2143" t="s">
        <v>74</v>
      </c>
      <c r="F2143" t="s">
        <v>36558</v>
      </c>
      <c r="G2143" t="s">
        <v>74</v>
      </c>
      <c r="H2143" t="s">
        <v>74</v>
      </c>
      <c r="I2143" t="s">
        <v>36559</v>
      </c>
      <c r="J2143" t="s">
        <v>3439</v>
      </c>
      <c r="K2143" t="s">
        <v>74</v>
      </c>
      <c r="L2143" t="s">
        <v>74</v>
      </c>
      <c r="M2143" t="s">
        <v>78</v>
      </c>
      <c r="N2143" t="s">
        <v>79</v>
      </c>
      <c r="O2143" t="s">
        <v>74</v>
      </c>
      <c r="P2143" t="s">
        <v>74</v>
      </c>
      <c r="Q2143" t="s">
        <v>74</v>
      </c>
      <c r="R2143" t="s">
        <v>74</v>
      </c>
      <c r="S2143" t="s">
        <v>74</v>
      </c>
      <c r="T2143" t="s">
        <v>36560</v>
      </c>
      <c r="U2143" t="s">
        <v>36561</v>
      </c>
      <c r="V2143" t="s">
        <v>36562</v>
      </c>
      <c r="W2143" t="s">
        <v>36563</v>
      </c>
      <c r="X2143" t="s">
        <v>10117</v>
      </c>
      <c r="Y2143" t="s">
        <v>36564</v>
      </c>
      <c r="Z2143" t="s">
        <v>36565</v>
      </c>
      <c r="AA2143" t="s">
        <v>74</v>
      </c>
      <c r="AB2143" t="s">
        <v>74</v>
      </c>
      <c r="AC2143" t="s">
        <v>36566</v>
      </c>
      <c r="AD2143" t="s">
        <v>36566</v>
      </c>
      <c r="AE2143" t="s">
        <v>36567</v>
      </c>
      <c r="AF2143" t="s">
        <v>74</v>
      </c>
      <c r="AG2143">
        <v>52</v>
      </c>
      <c r="AH2143">
        <v>12</v>
      </c>
      <c r="AI2143">
        <v>13</v>
      </c>
      <c r="AJ2143">
        <v>0</v>
      </c>
      <c r="AK2143">
        <v>3</v>
      </c>
      <c r="AL2143" t="s">
        <v>2481</v>
      </c>
      <c r="AM2143" t="s">
        <v>2482</v>
      </c>
      <c r="AN2143" t="s">
        <v>2483</v>
      </c>
      <c r="AO2143" t="s">
        <v>3443</v>
      </c>
      <c r="AP2143" t="s">
        <v>74</v>
      </c>
      <c r="AQ2143" t="s">
        <v>74</v>
      </c>
      <c r="AR2143" t="s">
        <v>3444</v>
      </c>
      <c r="AS2143" t="s">
        <v>3445</v>
      </c>
      <c r="AT2143" t="s">
        <v>2487</v>
      </c>
      <c r="AU2143">
        <v>2021</v>
      </c>
      <c r="AV2143">
        <v>9</v>
      </c>
      <c r="AW2143">
        <v>1</v>
      </c>
      <c r="AX2143" t="s">
        <v>74</v>
      </c>
      <c r="AY2143" t="s">
        <v>74</v>
      </c>
      <c r="AZ2143" t="s">
        <v>74</v>
      </c>
      <c r="BA2143" t="s">
        <v>74</v>
      </c>
      <c r="BB2143" t="s">
        <v>74</v>
      </c>
      <c r="BC2143" t="s">
        <v>74</v>
      </c>
      <c r="BD2143">
        <v>1913857</v>
      </c>
      <c r="BE2143" t="s">
        <v>36568</v>
      </c>
      <c r="BF2143" t="str">
        <f>HYPERLINK("http://dx.doi.org/10.1080/23322039.2021.1913857","http://dx.doi.org/10.1080/23322039.2021.1913857")</f>
        <v>http://dx.doi.org/10.1080/23322039.2021.1913857</v>
      </c>
      <c r="BG2143" t="s">
        <v>74</v>
      </c>
      <c r="BH2143" t="s">
        <v>74</v>
      </c>
      <c r="BI2143">
        <v>18</v>
      </c>
      <c r="BJ2143" t="s">
        <v>291</v>
      </c>
      <c r="BK2143" t="s">
        <v>313</v>
      </c>
      <c r="BL2143" t="s">
        <v>100</v>
      </c>
      <c r="BM2143" t="s">
        <v>36569</v>
      </c>
      <c r="BN2143" t="s">
        <v>74</v>
      </c>
      <c r="BO2143" t="s">
        <v>916</v>
      </c>
      <c r="BP2143" t="s">
        <v>74</v>
      </c>
      <c r="BQ2143" t="s">
        <v>74</v>
      </c>
      <c r="BR2143" t="s">
        <v>102</v>
      </c>
      <c r="BS2143" t="s">
        <v>36570</v>
      </c>
      <c r="BT2143" t="str">
        <f>HYPERLINK("https%3A%2F%2Fwww.webofscience.com%2Fwos%2Fwoscc%2Ffull-record%2FWOS:000640023400001","View Full Record in Web of Science")</f>
        <v>View Full Record in Web of Science</v>
      </c>
    </row>
    <row r="2144" spans="1:72" x14ac:dyDescent="0.25">
      <c r="A2144" t="s">
        <v>72</v>
      </c>
      <c r="B2144" t="s">
        <v>36571</v>
      </c>
      <c r="C2144" t="s">
        <v>74</v>
      </c>
      <c r="D2144" t="s">
        <v>74</v>
      </c>
      <c r="E2144" t="s">
        <v>74</v>
      </c>
      <c r="F2144" t="s">
        <v>36572</v>
      </c>
      <c r="G2144" t="s">
        <v>74</v>
      </c>
      <c r="H2144" t="s">
        <v>74</v>
      </c>
      <c r="I2144" t="s">
        <v>36573</v>
      </c>
      <c r="J2144" t="s">
        <v>2137</v>
      </c>
      <c r="K2144" t="s">
        <v>74</v>
      </c>
      <c r="L2144" t="s">
        <v>74</v>
      </c>
      <c r="M2144" t="s">
        <v>78</v>
      </c>
      <c r="N2144" t="s">
        <v>79</v>
      </c>
      <c r="O2144" t="s">
        <v>74</v>
      </c>
      <c r="P2144" t="s">
        <v>74</v>
      </c>
      <c r="Q2144" t="s">
        <v>74</v>
      </c>
      <c r="R2144" t="s">
        <v>74</v>
      </c>
      <c r="S2144" t="s">
        <v>74</v>
      </c>
      <c r="T2144" t="s">
        <v>36574</v>
      </c>
      <c r="U2144" t="s">
        <v>74</v>
      </c>
      <c r="V2144" t="s">
        <v>36575</v>
      </c>
      <c r="W2144" t="s">
        <v>36576</v>
      </c>
      <c r="X2144" t="s">
        <v>36577</v>
      </c>
      <c r="Y2144" t="s">
        <v>36578</v>
      </c>
      <c r="Z2144" t="s">
        <v>36579</v>
      </c>
      <c r="AA2144" t="s">
        <v>36580</v>
      </c>
      <c r="AB2144" t="s">
        <v>36581</v>
      </c>
      <c r="AC2144" t="s">
        <v>36582</v>
      </c>
      <c r="AD2144" t="s">
        <v>36583</v>
      </c>
      <c r="AE2144" t="s">
        <v>36584</v>
      </c>
      <c r="AF2144" t="s">
        <v>74</v>
      </c>
      <c r="AG2144">
        <v>30</v>
      </c>
      <c r="AH2144">
        <v>2</v>
      </c>
      <c r="AI2144">
        <v>4</v>
      </c>
      <c r="AJ2144">
        <v>0</v>
      </c>
      <c r="AK2144">
        <v>17</v>
      </c>
      <c r="AL2144" t="s">
        <v>2145</v>
      </c>
      <c r="AM2144" t="s">
        <v>151</v>
      </c>
      <c r="AN2144" t="s">
        <v>2146</v>
      </c>
      <c r="AO2144" t="s">
        <v>2147</v>
      </c>
      <c r="AP2144" t="s">
        <v>2148</v>
      </c>
      <c r="AQ2144" t="s">
        <v>74</v>
      </c>
      <c r="AR2144" t="s">
        <v>2149</v>
      </c>
      <c r="AS2144" t="s">
        <v>2150</v>
      </c>
      <c r="AT2144" t="s">
        <v>74</v>
      </c>
      <c r="AU2144">
        <v>2019</v>
      </c>
      <c r="AV2144">
        <v>30</v>
      </c>
      <c r="AW2144">
        <v>1</v>
      </c>
      <c r="AX2144" t="s">
        <v>74</v>
      </c>
      <c r="AY2144" t="s">
        <v>74</v>
      </c>
      <c r="AZ2144" t="s">
        <v>74</v>
      </c>
      <c r="BA2144" t="s">
        <v>74</v>
      </c>
      <c r="BB2144">
        <v>56</v>
      </c>
      <c r="BC2144">
        <v>66</v>
      </c>
      <c r="BD2144" t="s">
        <v>74</v>
      </c>
      <c r="BE2144" t="s">
        <v>36585</v>
      </c>
      <c r="BF2144" t="str">
        <f>HYPERLINK("http://dx.doi.org/10.1891/1052-3073.30.1.56","http://dx.doi.org/10.1891/1052-3073.30.1.56")</f>
        <v>http://dx.doi.org/10.1891/1052-3073.30.1.56</v>
      </c>
      <c r="BG2144" t="s">
        <v>74</v>
      </c>
      <c r="BH2144" t="s">
        <v>74</v>
      </c>
      <c r="BI2144">
        <v>11</v>
      </c>
      <c r="BJ2144" t="s">
        <v>1453</v>
      </c>
      <c r="BK2144" t="s">
        <v>313</v>
      </c>
      <c r="BL2144" t="s">
        <v>100</v>
      </c>
      <c r="BM2144" t="s">
        <v>17635</v>
      </c>
      <c r="BN2144" t="s">
        <v>74</v>
      </c>
      <c r="BO2144" t="s">
        <v>1696</v>
      </c>
      <c r="BP2144" t="s">
        <v>74</v>
      </c>
      <c r="BQ2144" t="s">
        <v>74</v>
      </c>
      <c r="BR2144" t="s">
        <v>102</v>
      </c>
      <c r="BS2144" t="s">
        <v>36586</v>
      </c>
      <c r="BT2144" t="str">
        <f>HYPERLINK("https%3A%2F%2Fwww.webofscience.com%2Fwos%2Fwoscc%2Ffull-record%2FWOS:000472084100006","View Full Record in Web of Science")</f>
        <v>View Full Record in Web of Science</v>
      </c>
    </row>
    <row r="2145" spans="1:72" x14ac:dyDescent="0.25">
      <c r="A2145" t="s">
        <v>72</v>
      </c>
      <c r="B2145" t="s">
        <v>36587</v>
      </c>
      <c r="C2145" t="s">
        <v>74</v>
      </c>
      <c r="D2145" t="s">
        <v>74</v>
      </c>
      <c r="E2145" t="s">
        <v>74</v>
      </c>
      <c r="F2145" t="s">
        <v>36588</v>
      </c>
      <c r="G2145" t="s">
        <v>74</v>
      </c>
      <c r="H2145" t="s">
        <v>74</v>
      </c>
      <c r="I2145" t="s">
        <v>36589</v>
      </c>
      <c r="J2145" t="s">
        <v>2309</v>
      </c>
      <c r="K2145" t="s">
        <v>74</v>
      </c>
      <c r="L2145" t="s">
        <v>74</v>
      </c>
      <c r="M2145" t="s">
        <v>78</v>
      </c>
      <c r="N2145" t="s">
        <v>79</v>
      </c>
      <c r="O2145" t="s">
        <v>74</v>
      </c>
      <c r="P2145" t="s">
        <v>74</v>
      </c>
      <c r="Q2145" t="s">
        <v>74</v>
      </c>
      <c r="R2145" t="s">
        <v>74</v>
      </c>
      <c r="S2145" t="s">
        <v>74</v>
      </c>
      <c r="T2145" t="s">
        <v>74</v>
      </c>
      <c r="U2145" t="s">
        <v>36590</v>
      </c>
      <c r="V2145" t="s">
        <v>36591</v>
      </c>
      <c r="W2145" t="s">
        <v>36592</v>
      </c>
      <c r="X2145" t="s">
        <v>36593</v>
      </c>
      <c r="Y2145" t="s">
        <v>36594</v>
      </c>
      <c r="Z2145" t="s">
        <v>36595</v>
      </c>
      <c r="AA2145" t="s">
        <v>36596</v>
      </c>
      <c r="AB2145" t="s">
        <v>36597</v>
      </c>
      <c r="AC2145" t="s">
        <v>74</v>
      </c>
      <c r="AD2145" t="s">
        <v>74</v>
      </c>
      <c r="AE2145" t="s">
        <v>74</v>
      </c>
      <c r="AF2145" t="s">
        <v>74</v>
      </c>
      <c r="AG2145">
        <v>38</v>
      </c>
      <c r="AH2145">
        <v>120</v>
      </c>
      <c r="AI2145">
        <v>141</v>
      </c>
      <c r="AJ2145">
        <v>2</v>
      </c>
      <c r="AK2145">
        <v>75</v>
      </c>
      <c r="AL2145" t="s">
        <v>332</v>
      </c>
      <c r="AM2145" t="s">
        <v>333</v>
      </c>
      <c r="AN2145" t="s">
        <v>334</v>
      </c>
      <c r="AO2145" t="s">
        <v>2322</v>
      </c>
      <c r="AP2145" t="s">
        <v>2323</v>
      </c>
      <c r="AQ2145" t="s">
        <v>74</v>
      </c>
      <c r="AR2145" t="s">
        <v>2324</v>
      </c>
      <c r="AS2145" t="s">
        <v>2325</v>
      </c>
      <c r="AT2145" t="s">
        <v>5472</v>
      </c>
      <c r="AU2145">
        <v>2019</v>
      </c>
      <c r="AV2145">
        <v>55</v>
      </c>
      <c r="AW2145">
        <v>7</v>
      </c>
      <c r="AX2145" t="s">
        <v>74</v>
      </c>
      <c r="AY2145" t="s">
        <v>74</v>
      </c>
      <c r="AZ2145" t="s">
        <v>74</v>
      </c>
      <c r="BA2145" t="s">
        <v>74</v>
      </c>
      <c r="BB2145">
        <v>1616</v>
      </c>
      <c r="BC2145">
        <v>1631</v>
      </c>
      <c r="BD2145" t="s">
        <v>74</v>
      </c>
      <c r="BE2145" t="s">
        <v>36598</v>
      </c>
      <c r="BF2145" t="str">
        <f>HYPERLINK("http://dx.doi.org/10.1080/00220388.2017.1380798","http://dx.doi.org/10.1080/00220388.2017.1380798")</f>
        <v>http://dx.doi.org/10.1080/00220388.2017.1380798</v>
      </c>
      <c r="BG2145" t="s">
        <v>74</v>
      </c>
      <c r="BH2145" t="s">
        <v>74</v>
      </c>
      <c r="BI2145">
        <v>16</v>
      </c>
      <c r="BJ2145" t="s">
        <v>701</v>
      </c>
      <c r="BK2145" t="s">
        <v>99</v>
      </c>
      <c r="BL2145" t="s">
        <v>702</v>
      </c>
      <c r="BM2145" t="s">
        <v>36599</v>
      </c>
      <c r="BN2145" t="s">
        <v>74</v>
      </c>
      <c r="BO2145" t="s">
        <v>1696</v>
      </c>
      <c r="BP2145" t="s">
        <v>74</v>
      </c>
      <c r="BQ2145" t="s">
        <v>74</v>
      </c>
      <c r="BR2145" t="s">
        <v>102</v>
      </c>
      <c r="BS2145" t="s">
        <v>36600</v>
      </c>
      <c r="BT2145" t="str">
        <f>HYPERLINK("https%3A%2F%2Fwww.webofscience.com%2Fwos%2Fwoscc%2Ffull-record%2FWOS:000464527200016","View Full Record in Web of Science")</f>
        <v>View Full Record in Web of Science</v>
      </c>
    </row>
    <row r="2146" spans="1:72" x14ac:dyDescent="0.25">
      <c r="A2146" t="s">
        <v>72</v>
      </c>
      <c r="B2146" t="s">
        <v>36601</v>
      </c>
      <c r="C2146" t="s">
        <v>74</v>
      </c>
      <c r="D2146" t="s">
        <v>74</v>
      </c>
      <c r="E2146" t="s">
        <v>74</v>
      </c>
      <c r="F2146" t="s">
        <v>36602</v>
      </c>
      <c r="G2146" t="s">
        <v>74</v>
      </c>
      <c r="H2146" t="s">
        <v>74</v>
      </c>
      <c r="I2146" t="s">
        <v>36603</v>
      </c>
      <c r="J2146" t="s">
        <v>36604</v>
      </c>
      <c r="K2146" t="s">
        <v>74</v>
      </c>
      <c r="L2146" t="s">
        <v>74</v>
      </c>
      <c r="M2146" t="s">
        <v>78</v>
      </c>
      <c r="N2146" t="s">
        <v>79</v>
      </c>
      <c r="O2146" t="s">
        <v>74</v>
      </c>
      <c r="P2146" t="s">
        <v>74</v>
      </c>
      <c r="Q2146" t="s">
        <v>74</v>
      </c>
      <c r="R2146" t="s">
        <v>74</v>
      </c>
      <c r="S2146" t="s">
        <v>74</v>
      </c>
      <c r="T2146" t="s">
        <v>36605</v>
      </c>
      <c r="U2146" t="s">
        <v>36606</v>
      </c>
      <c r="V2146" t="s">
        <v>36607</v>
      </c>
      <c r="W2146" t="s">
        <v>36608</v>
      </c>
      <c r="X2146" t="s">
        <v>36609</v>
      </c>
      <c r="Y2146" t="s">
        <v>36610</v>
      </c>
      <c r="Z2146" t="s">
        <v>36611</v>
      </c>
      <c r="AA2146" t="s">
        <v>36612</v>
      </c>
      <c r="AB2146" t="s">
        <v>36613</v>
      </c>
      <c r="AC2146" t="s">
        <v>74</v>
      </c>
      <c r="AD2146" t="s">
        <v>74</v>
      </c>
      <c r="AE2146" t="s">
        <v>74</v>
      </c>
      <c r="AF2146" t="s">
        <v>74</v>
      </c>
      <c r="AG2146">
        <v>114</v>
      </c>
      <c r="AH2146">
        <v>2</v>
      </c>
      <c r="AI2146">
        <v>2</v>
      </c>
      <c r="AJ2146">
        <v>3</v>
      </c>
      <c r="AK2146">
        <v>4</v>
      </c>
      <c r="AL2146" t="s">
        <v>89</v>
      </c>
      <c r="AM2146" t="s">
        <v>90</v>
      </c>
      <c r="AN2146" t="s">
        <v>91</v>
      </c>
      <c r="AO2146" t="s">
        <v>36614</v>
      </c>
      <c r="AP2146" t="s">
        <v>36615</v>
      </c>
      <c r="AQ2146" t="s">
        <v>74</v>
      </c>
      <c r="AR2146" t="s">
        <v>36616</v>
      </c>
      <c r="AS2146" t="s">
        <v>36617</v>
      </c>
      <c r="AT2146" t="s">
        <v>2487</v>
      </c>
      <c r="AU2146">
        <v>2026</v>
      </c>
      <c r="AV2146">
        <v>18</v>
      </c>
      <c r="AW2146">
        <v>1</v>
      </c>
      <c r="AX2146" t="s">
        <v>74</v>
      </c>
      <c r="AY2146" t="s">
        <v>74</v>
      </c>
      <c r="AZ2146" t="s">
        <v>74</v>
      </c>
      <c r="BA2146" t="s">
        <v>74</v>
      </c>
      <c r="BB2146">
        <v>258</v>
      </c>
      <c r="BC2146">
        <v>287</v>
      </c>
      <c r="BD2146" t="s">
        <v>74</v>
      </c>
      <c r="BE2146" t="s">
        <v>36618</v>
      </c>
      <c r="BF2146" t="str">
        <f>HYPERLINK("http://dx.doi.org/10.1108/APJBA-02-2024-0111","http://dx.doi.org/10.1108/APJBA-02-2024-0111")</f>
        <v>http://dx.doi.org/10.1108/APJBA-02-2024-0111</v>
      </c>
      <c r="BG2146" t="s">
        <v>74</v>
      </c>
      <c r="BH2146" t="s">
        <v>1485</v>
      </c>
      <c r="BI2146">
        <v>30</v>
      </c>
      <c r="BJ2146" t="s">
        <v>418</v>
      </c>
      <c r="BK2146" t="s">
        <v>313</v>
      </c>
      <c r="BL2146" t="s">
        <v>100</v>
      </c>
      <c r="BM2146" t="s">
        <v>36619</v>
      </c>
      <c r="BN2146" t="s">
        <v>74</v>
      </c>
      <c r="BO2146" t="s">
        <v>74</v>
      </c>
      <c r="BP2146" t="s">
        <v>74</v>
      </c>
      <c r="BQ2146" t="s">
        <v>74</v>
      </c>
      <c r="BR2146" t="s">
        <v>102</v>
      </c>
      <c r="BS2146" t="s">
        <v>36620</v>
      </c>
      <c r="BT2146" t="str">
        <f>HYPERLINK("https%3A%2F%2Fwww.webofscience.com%2Fwos%2Fwoscc%2Ffull-record%2FWOS:001470745100001","View Full Record in Web of Science")</f>
        <v>View Full Record in Web of Science</v>
      </c>
    </row>
    <row r="2147" spans="1:72" x14ac:dyDescent="0.25">
      <c r="A2147" t="s">
        <v>132</v>
      </c>
      <c r="B2147" t="s">
        <v>36621</v>
      </c>
      <c r="C2147" t="s">
        <v>74</v>
      </c>
      <c r="D2147" t="s">
        <v>631</v>
      </c>
      <c r="E2147" t="s">
        <v>74</v>
      </c>
      <c r="F2147" t="s">
        <v>36622</v>
      </c>
      <c r="G2147" t="s">
        <v>74</v>
      </c>
      <c r="H2147" t="s">
        <v>74</v>
      </c>
      <c r="I2147" t="s">
        <v>36623</v>
      </c>
      <c r="J2147" t="s">
        <v>36624</v>
      </c>
      <c r="K2147" t="s">
        <v>74</v>
      </c>
      <c r="L2147" t="s">
        <v>74</v>
      </c>
      <c r="M2147" t="s">
        <v>78</v>
      </c>
      <c r="N2147" t="s">
        <v>138</v>
      </c>
      <c r="O2147" t="s">
        <v>36625</v>
      </c>
      <c r="P2147" t="s">
        <v>36626</v>
      </c>
      <c r="Q2147" t="s">
        <v>36627</v>
      </c>
      <c r="R2147" t="s">
        <v>74</v>
      </c>
      <c r="S2147" t="s">
        <v>74</v>
      </c>
      <c r="T2147" t="s">
        <v>36628</v>
      </c>
      <c r="U2147" t="s">
        <v>74</v>
      </c>
      <c r="V2147" t="s">
        <v>36629</v>
      </c>
      <c r="W2147" t="s">
        <v>36630</v>
      </c>
      <c r="X2147" t="s">
        <v>12810</v>
      </c>
      <c r="Y2147" t="s">
        <v>36631</v>
      </c>
      <c r="Z2147" t="s">
        <v>36632</v>
      </c>
      <c r="AA2147" t="s">
        <v>36633</v>
      </c>
      <c r="AB2147" t="s">
        <v>36634</v>
      </c>
      <c r="AC2147" t="s">
        <v>74</v>
      </c>
      <c r="AD2147" t="s">
        <v>74</v>
      </c>
      <c r="AE2147" t="s">
        <v>74</v>
      </c>
      <c r="AF2147" t="s">
        <v>74</v>
      </c>
      <c r="AG2147">
        <v>21</v>
      </c>
      <c r="AH2147">
        <v>0</v>
      </c>
      <c r="AI2147">
        <v>0</v>
      </c>
      <c r="AJ2147">
        <v>0</v>
      </c>
      <c r="AK2147">
        <v>5</v>
      </c>
      <c r="AL2147" t="s">
        <v>645</v>
      </c>
      <c r="AM2147" t="s">
        <v>646</v>
      </c>
      <c r="AN2147" t="s">
        <v>647</v>
      </c>
      <c r="AO2147" t="s">
        <v>74</v>
      </c>
      <c r="AP2147" t="s">
        <v>74</v>
      </c>
      <c r="AQ2147" t="s">
        <v>36635</v>
      </c>
      <c r="AR2147" t="s">
        <v>74</v>
      </c>
      <c r="AS2147" t="s">
        <v>74</v>
      </c>
      <c r="AT2147" t="s">
        <v>74</v>
      </c>
      <c r="AU2147">
        <v>2016</v>
      </c>
      <c r="AV2147" t="s">
        <v>74</v>
      </c>
      <c r="AW2147" t="s">
        <v>74</v>
      </c>
      <c r="AX2147" t="s">
        <v>74</v>
      </c>
      <c r="AY2147" t="s">
        <v>74</v>
      </c>
      <c r="AZ2147" t="s">
        <v>74</v>
      </c>
      <c r="BA2147" t="s">
        <v>74</v>
      </c>
      <c r="BB2147">
        <v>635</v>
      </c>
      <c r="BC2147">
        <v>649</v>
      </c>
      <c r="BD2147" t="s">
        <v>74</v>
      </c>
      <c r="BE2147" t="s">
        <v>74</v>
      </c>
      <c r="BF2147" t="s">
        <v>74</v>
      </c>
      <c r="BG2147" t="s">
        <v>74</v>
      </c>
      <c r="BH2147" t="s">
        <v>74</v>
      </c>
      <c r="BI2147">
        <v>15</v>
      </c>
      <c r="BJ2147" t="s">
        <v>364</v>
      </c>
      <c r="BK2147" t="s">
        <v>183</v>
      </c>
      <c r="BL2147" t="s">
        <v>365</v>
      </c>
      <c r="BM2147" t="s">
        <v>36636</v>
      </c>
      <c r="BN2147" t="s">
        <v>74</v>
      </c>
      <c r="BO2147" t="s">
        <v>74</v>
      </c>
      <c r="BP2147" t="s">
        <v>74</v>
      </c>
      <c r="BQ2147" t="s">
        <v>74</v>
      </c>
      <c r="BR2147" t="s">
        <v>102</v>
      </c>
      <c r="BS2147" t="s">
        <v>36637</v>
      </c>
      <c r="BT2147" t="str">
        <f>HYPERLINK("https%3A%2F%2Fwww.webofscience.com%2Fwos%2Fwoscc%2Ffull-record%2FWOS:000381172300074","View Full Record in Web of Science")</f>
        <v>View Full Record in Web of Science</v>
      </c>
    </row>
    <row r="2148" spans="1:72" x14ac:dyDescent="0.25">
      <c r="A2148" t="s">
        <v>72</v>
      </c>
      <c r="B2148" t="s">
        <v>36638</v>
      </c>
      <c r="C2148" t="s">
        <v>74</v>
      </c>
      <c r="D2148" t="s">
        <v>74</v>
      </c>
      <c r="E2148" t="s">
        <v>74</v>
      </c>
      <c r="F2148" t="s">
        <v>36639</v>
      </c>
      <c r="G2148" t="s">
        <v>74</v>
      </c>
      <c r="H2148" t="s">
        <v>74</v>
      </c>
      <c r="I2148" t="s">
        <v>36640</v>
      </c>
      <c r="J2148" t="s">
        <v>36641</v>
      </c>
      <c r="K2148" t="s">
        <v>74</v>
      </c>
      <c r="L2148" t="s">
        <v>74</v>
      </c>
      <c r="M2148" t="s">
        <v>78</v>
      </c>
      <c r="N2148" t="s">
        <v>79</v>
      </c>
      <c r="O2148" t="s">
        <v>74</v>
      </c>
      <c r="P2148" t="s">
        <v>74</v>
      </c>
      <c r="Q2148" t="s">
        <v>74</v>
      </c>
      <c r="R2148" t="s">
        <v>74</v>
      </c>
      <c r="S2148" t="s">
        <v>74</v>
      </c>
      <c r="T2148" t="s">
        <v>74</v>
      </c>
      <c r="U2148" t="s">
        <v>36642</v>
      </c>
      <c r="V2148" t="s">
        <v>36643</v>
      </c>
      <c r="W2148" t="s">
        <v>36644</v>
      </c>
      <c r="X2148" t="s">
        <v>36645</v>
      </c>
      <c r="Y2148" t="s">
        <v>36646</v>
      </c>
      <c r="Z2148" t="s">
        <v>36647</v>
      </c>
      <c r="AA2148" t="s">
        <v>74</v>
      </c>
      <c r="AB2148" t="s">
        <v>74</v>
      </c>
      <c r="AC2148" t="s">
        <v>74</v>
      </c>
      <c r="AD2148" t="s">
        <v>74</v>
      </c>
      <c r="AE2148" t="s">
        <v>74</v>
      </c>
      <c r="AF2148" t="s">
        <v>74</v>
      </c>
      <c r="AG2148">
        <v>74</v>
      </c>
      <c r="AH2148">
        <v>70</v>
      </c>
      <c r="AI2148">
        <v>102</v>
      </c>
      <c r="AJ2148">
        <v>4</v>
      </c>
      <c r="AK2148">
        <v>58</v>
      </c>
      <c r="AL2148" t="s">
        <v>479</v>
      </c>
      <c r="AM2148" t="s">
        <v>480</v>
      </c>
      <c r="AN2148" t="s">
        <v>481</v>
      </c>
      <c r="AO2148" t="s">
        <v>36648</v>
      </c>
      <c r="AP2148" t="s">
        <v>36649</v>
      </c>
      <c r="AQ2148" t="s">
        <v>74</v>
      </c>
      <c r="AR2148" t="s">
        <v>36650</v>
      </c>
      <c r="AS2148" t="s">
        <v>36651</v>
      </c>
      <c r="AT2148" t="s">
        <v>698</v>
      </c>
      <c r="AU2148">
        <v>2019</v>
      </c>
      <c r="AV2148">
        <v>36</v>
      </c>
      <c r="AW2148">
        <v>3</v>
      </c>
      <c r="AX2148" t="s">
        <v>74</v>
      </c>
      <c r="AY2148" t="s">
        <v>74</v>
      </c>
      <c r="AZ2148" t="s">
        <v>74</v>
      </c>
      <c r="BA2148" t="s">
        <v>74</v>
      </c>
      <c r="BB2148">
        <v>1634</v>
      </c>
      <c r="BC2148">
        <v>1668</v>
      </c>
      <c r="BD2148" t="s">
        <v>74</v>
      </c>
      <c r="BE2148" t="s">
        <v>36652</v>
      </c>
      <c r="BF2148" t="str">
        <f>HYPERLINK("http://dx.doi.org/10.1111/1911-3846.12469","http://dx.doi.org/10.1111/1911-3846.12469")</f>
        <v>http://dx.doi.org/10.1111/1911-3846.12469</v>
      </c>
      <c r="BG2148" t="s">
        <v>74</v>
      </c>
      <c r="BH2148" t="s">
        <v>74</v>
      </c>
      <c r="BI2148">
        <v>35</v>
      </c>
      <c r="BJ2148" t="s">
        <v>268</v>
      </c>
      <c r="BK2148" t="s">
        <v>99</v>
      </c>
      <c r="BL2148" t="s">
        <v>100</v>
      </c>
      <c r="BM2148" t="s">
        <v>36653</v>
      </c>
      <c r="BN2148" t="s">
        <v>74</v>
      </c>
      <c r="BO2148" t="s">
        <v>74</v>
      </c>
      <c r="BP2148" t="s">
        <v>74</v>
      </c>
      <c r="BQ2148" t="s">
        <v>74</v>
      </c>
      <c r="BR2148" t="s">
        <v>102</v>
      </c>
      <c r="BS2148" t="s">
        <v>36654</v>
      </c>
      <c r="BT2148" t="str">
        <f>HYPERLINK("https%3A%2F%2Fwww.webofscience.com%2Fwos%2Fwoscc%2Ffull-record%2FWOS:000485995700012","View Full Record in Web of Science")</f>
        <v>View Full Record in Web of Science</v>
      </c>
    </row>
    <row r="2149" spans="1:72" x14ac:dyDescent="0.25">
      <c r="A2149" t="s">
        <v>72</v>
      </c>
      <c r="B2149" t="s">
        <v>36655</v>
      </c>
      <c r="C2149" t="s">
        <v>74</v>
      </c>
      <c r="D2149" t="s">
        <v>74</v>
      </c>
      <c r="E2149" t="s">
        <v>74</v>
      </c>
      <c r="F2149" t="s">
        <v>36656</v>
      </c>
      <c r="G2149" t="s">
        <v>74</v>
      </c>
      <c r="H2149" t="s">
        <v>74</v>
      </c>
      <c r="I2149" t="s">
        <v>36657</v>
      </c>
      <c r="J2149" t="s">
        <v>36658</v>
      </c>
      <c r="K2149" t="s">
        <v>74</v>
      </c>
      <c r="L2149" t="s">
        <v>74</v>
      </c>
      <c r="M2149" t="s">
        <v>78</v>
      </c>
      <c r="N2149" t="s">
        <v>79</v>
      </c>
      <c r="O2149" t="s">
        <v>74</v>
      </c>
      <c r="P2149" t="s">
        <v>74</v>
      </c>
      <c r="Q2149" t="s">
        <v>74</v>
      </c>
      <c r="R2149" t="s">
        <v>74</v>
      </c>
      <c r="S2149" t="s">
        <v>74</v>
      </c>
      <c r="T2149" t="s">
        <v>36659</v>
      </c>
      <c r="U2149" t="s">
        <v>36660</v>
      </c>
      <c r="V2149" t="s">
        <v>36661</v>
      </c>
      <c r="W2149" t="s">
        <v>36662</v>
      </c>
      <c r="X2149" t="s">
        <v>36663</v>
      </c>
      <c r="Y2149" t="s">
        <v>36664</v>
      </c>
      <c r="Z2149" t="s">
        <v>36665</v>
      </c>
      <c r="AA2149" t="s">
        <v>74</v>
      </c>
      <c r="AB2149" t="s">
        <v>74</v>
      </c>
      <c r="AC2149" t="s">
        <v>74</v>
      </c>
      <c r="AD2149" t="s">
        <v>74</v>
      </c>
      <c r="AE2149" t="s">
        <v>74</v>
      </c>
      <c r="AF2149" t="s">
        <v>74</v>
      </c>
      <c r="AG2149">
        <v>112</v>
      </c>
      <c r="AH2149">
        <v>0</v>
      </c>
      <c r="AI2149">
        <v>1</v>
      </c>
      <c r="AJ2149">
        <v>9</v>
      </c>
      <c r="AK2149">
        <v>9</v>
      </c>
      <c r="AL2149" t="s">
        <v>201</v>
      </c>
      <c r="AM2149" t="s">
        <v>202</v>
      </c>
      <c r="AN2149" t="s">
        <v>203</v>
      </c>
      <c r="AO2149" t="s">
        <v>36666</v>
      </c>
      <c r="AP2149" t="s">
        <v>36667</v>
      </c>
      <c r="AQ2149" t="s">
        <v>74</v>
      </c>
      <c r="AR2149" t="s">
        <v>36668</v>
      </c>
      <c r="AS2149" t="s">
        <v>36669</v>
      </c>
      <c r="AT2149" t="s">
        <v>698</v>
      </c>
      <c r="AU2149">
        <v>2025</v>
      </c>
      <c r="AV2149">
        <v>259</v>
      </c>
      <c r="AW2149" t="s">
        <v>74</v>
      </c>
      <c r="AX2149" t="s">
        <v>74</v>
      </c>
      <c r="AY2149" t="s">
        <v>74</v>
      </c>
      <c r="AZ2149" t="s">
        <v>74</v>
      </c>
      <c r="BA2149" t="s">
        <v>74</v>
      </c>
      <c r="BB2149" t="s">
        <v>74</v>
      </c>
      <c r="BC2149" t="s">
        <v>74</v>
      </c>
      <c r="BD2149">
        <v>105334</v>
      </c>
      <c r="BE2149" t="s">
        <v>36670</v>
      </c>
      <c r="BF2149" t="str">
        <f>HYPERLINK("http://dx.doi.org/10.1016/j.actpsy.2025.105334","http://dx.doi.org/10.1016/j.actpsy.2025.105334")</f>
        <v>http://dx.doi.org/10.1016/j.actpsy.2025.105334</v>
      </c>
      <c r="BG2149" t="s">
        <v>74</v>
      </c>
      <c r="BH2149" t="s">
        <v>3411</v>
      </c>
      <c r="BI2149">
        <v>13</v>
      </c>
      <c r="BJ2149" t="s">
        <v>36671</v>
      </c>
      <c r="BK2149" t="s">
        <v>99</v>
      </c>
      <c r="BL2149" t="s">
        <v>2993</v>
      </c>
      <c r="BM2149" t="s">
        <v>36672</v>
      </c>
      <c r="BN2149">
        <v>40712394</v>
      </c>
      <c r="BO2149" t="s">
        <v>916</v>
      </c>
      <c r="BP2149" t="s">
        <v>74</v>
      </c>
      <c r="BQ2149" t="s">
        <v>74</v>
      </c>
      <c r="BR2149" t="s">
        <v>102</v>
      </c>
      <c r="BS2149" t="s">
        <v>36673</v>
      </c>
      <c r="BT2149" t="str">
        <f>HYPERLINK("https%3A%2F%2Fwww.webofscience.com%2Fwos%2Fwoscc%2Ffull-record%2FWOS:001542023500001","View Full Record in Web of Science")</f>
        <v>View Full Record in Web of Science</v>
      </c>
    </row>
    <row r="2150" spans="1:72" x14ac:dyDescent="0.25">
      <c r="A2150" t="s">
        <v>72</v>
      </c>
      <c r="B2150" t="s">
        <v>36674</v>
      </c>
      <c r="C2150" t="s">
        <v>74</v>
      </c>
      <c r="D2150" t="s">
        <v>74</v>
      </c>
      <c r="E2150" t="s">
        <v>74</v>
      </c>
      <c r="F2150" t="s">
        <v>36675</v>
      </c>
      <c r="G2150" t="s">
        <v>74</v>
      </c>
      <c r="H2150" t="s">
        <v>74</v>
      </c>
      <c r="I2150" t="s">
        <v>36676</v>
      </c>
      <c r="J2150" t="s">
        <v>3754</v>
      </c>
      <c r="K2150" t="s">
        <v>74</v>
      </c>
      <c r="L2150" t="s">
        <v>74</v>
      </c>
      <c r="M2150" t="s">
        <v>78</v>
      </c>
      <c r="N2150" t="s">
        <v>79</v>
      </c>
      <c r="O2150" t="s">
        <v>74</v>
      </c>
      <c r="P2150" t="s">
        <v>74</v>
      </c>
      <c r="Q2150" t="s">
        <v>74</v>
      </c>
      <c r="R2150" t="s">
        <v>74</v>
      </c>
      <c r="S2150" t="s">
        <v>74</v>
      </c>
      <c r="T2150" t="s">
        <v>36677</v>
      </c>
      <c r="U2150" t="s">
        <v>36678</v>
      </c>
      <c r="V2150" t="s">
        <v>36679</v>
      </c>
      <c r="W2150" t="s">
        <v>36680</v>
      </c>
      <c r="X2150" t="s">
        <v>36681</v>
      </c>
      <c r="Y2150" t="s">
        <v>36682</v>
      </c>
      <c r="Z2150" t="s">
        <v>36683</v>
      </c>
      <c r="AA2150" t="s">
        <v>36684</v>
      </c>
      <c r="AB2150" t="s">
        <v>36685</v>
      </c>
      <c r="AC2150" t="s">
        <v>74</v>
      </c>
      <c r="AD2150" t="s">
        <v>74</v>
      </c>
      <c r="AE2150" t="s">
        <v>74</v>
      </c>
      <c r="AF2150" t="s">
        <v>74</v>
      </c>
      <c r="AG2150">
        <v>49</v>
      </c>
      <c r="AH2150">
        <v>6</v>
      </c>
      <c r="AI2150">
        <v>9</v>
      </c>
      <c r="AJ2150">
        <v>1</v>
      </c>
      <c r="AK2150">
        <v>20</v>
      </c>
      <c r="AL2150" t="s">
        <v>2597</v>
      </c>
      <c r="AM2150" t="s">
        <v>2598</v>
      </c>
      <c r="AN2150" t="s">
        <v>2599</v>
      </c>
      <c r="AO2150" t="s">
        <v>3763</v>
      </c>
      <c r="AP2150" t="s">
        <v>3764</v>
      </c>
      <c r="AQ2150" t="s">
        <v>74</v>
      </c>
      <c r="AR2150" t="s">
        <v>3765</v>
      </c>
      <c r="AS2150" t="s">
        <v>3766</v>
      </c>
      <c r="AT2150" t="s">
        <v>208</v>
      </c>
      <c r="AU2150">
        <v>2018</v>
      </c>
      <c r="AV2150">
        <v>63</v>
      </c>
      <c r="AW2150">
        <v>1</v>
      </c>
      <c r="AX2150" t="s">
        <v>74</v>
      </c>
      <c r="AY2150" t="s">
        <v>74</v>
      </c>
      <c r="AZ2150" t="s">
        <v>74</v>
      </c>
      <c r="BA2150" t="s">
        <v>74</v>
      </c>
      <c r="BB2150">
        <v>67</v>
      </c>
      <c r="BC2150">
        <v>74</v>
      </c>
      <c r="BD2150" t="s">
        <v>74</v>
      </c>
      <c r="BE2150" t="s">
        <v>36686</v>
      </c>
      <c r="BF2150" t="str">
        <f>HYPERLINK("http://dx.doi.org/10.1093/sw/swx056","http://dx.doi.org/10.1093/sw/swx056")</f>
        <v>http://dx.doi.org/10.1093/sw/swx056</v>
      </c>
      <c r="BG2150" t="s">
        <v>74</v>
      </c>
      <c r="BH2150" t="s">
        <v>74</v>
      </c>
      <c r="BI2150">
        <v>8</v>
      </c>
      <c r="BJ2150" t="s">
        <v>2045</v>
      </c>
      <c r="BK2150" t="s">
        <v>99</v>
      </c>
      <c r="BL2150" t="s">
        <v>2045</v>
      </c>
      <c r="BM2150" t="s">
        <v>36687</v>
      </c>
      <c r="BN2150">
        <v>29136226</v>
      </c>
      <c r="BO2150" t="s">
        <v>74</v>
      </c>
      <c r="BP2150" t="s">
        <v>74</v>
      </c>
      <c r="BQ2150" t="s">
        <v>74</v>
      </c>
      <c r="BR2150" t="s">
        <v>102</v>
      </c>
      <c r="BS2150" t="s">
        <v>36688</v>
      </c>
      <c r="BT2150" t="str">
        <f>HYPERLINK("https%3A%2F%2Fwww.webofscience.com%2Fwos%2Fwoscc%2Ffull-record%2FWOS:000419589100008","View Full Record in Web of Science")</f>
        <v>View Full Record in Web of Science</v>
      </c>
    </row>
    <row r="2151" spans="1:72" x14ac:dyDescent="0.25">
      <c r="A2151" t="s">
        <v>72</v>
      </c>
      <c r="B2151" t="s">
        <v>36689</v>
      </c>
      <c r="C2151" t="s">
        <v>74</v>
      </c>
      <c r="D2151" t="s">
        <v>74</v>
      </c>
      <c r="E2151" t="s">
        <v>74</v>
      </c>
      <c r="F2151" t="s">
        <v>36690</v>
      </c>
      <c r="G2151" t="s">
        <v>74</v>
      </c>
      <c r="H2151" t="s">
        <v>74</v>
      </c>
      <c r="I2151" t="s">
        <v>36691</v>
      </c>
      <c r="J2151" t="s">
        <v>3231</v>
      </c>
      <c r="K2151" t="s">
        <v>74</v>
      </c>
      <c r="L2151" t="s">
        <v>74</v>
      </c>
      <c r="M2151" t="s">
        <v>78</v>
      </c>
      <c r="N2151" t="s">
        <v>79</v>
      </c>
      <c r="O2151" t="s">
        <v>74</v>
      </c>
      <c r="P2151" t="s">
        <v>74</v>
      </c>
      <c r="Q2151" t="s">
        <v>74</v>
      </c>
      <c r="R2151" t="s">
        <v>74</v>
      </c>
      <c r="S2151" t="s">
        <v>74</v>
      </c>
      <c r="T2151" t="s">
        <v>36692</v>
      </c>
      <c r="U2151" t="s">
        <v>74</v>
      </c>
      <c r="V2151" t="s">
        <v>36693</v>
      </c>
      <c r="W2151" t="s">
        <v>36694</v>
      </c>
      <c r="X2151" t="s">
        <v>24289</v>
      </c>
      <c r="Y2151" t="s">
        <v>24355</v>
      </c>
      <c r="Z2151" t="s">
        <v>36695</v>
      </c>
      <c r="AA2151" t="s">
        <v>36696</v>
      </c>
      <c r="AB2151" t="s">
        <v>36697</v>
      </c>
      <c r="AC2151" t="s">
        <v>36698</v>
      </c>
      <c r="AD2151" t="s">
        <v>36699</v>
      </c>
      <c r="AE2151" t="s">
        <v>36700</v>
      </c>
      <c r="AF2151" t="s">
        <v>74</v>
      </c>
      <c r="AG2151">
        <v>63</v>
      </c>
      <c r="AH2151">
        <v>2</v>
      </c>
      <c r="AI2151">
        <v>2</v>
      </c>
      <c r="AJ2151">
        <v>45</v>
      </c>
      <c r="AK2151">
        <v>60</v>
      </c>
      <c r="AL2151" t="s">
        <v>575</v>
      </c>
      <c r="AM2151" t="s">
        <v>576</v>
      </c>
      <c r="AN2151" t="s">
        <v>577</v>
      </c>
      <c r="AO2151" t="s">
        <v>74</v>
      </c>
      <c r="AP2151" t="s">
        <v>3243</v>
      </c>
      <c r="AQ2151" t="s">
        <v>74</v>
      </c>
      <c r="AR2151" t="s">
        <v>3244</v>
      </c>
      <c r="AS2151" t="s">
        <v>3245</v>
      </c>
      <c r="AT2151" t="s">
        <v>23533</v>
      </c>
      <c r="AU2151">
        <v>2025</v>
      </c>
      <c r="AV2151">
        <v>17</v>
      </c>
      <c r="AW2151">
        <v>8</v>
      </c>
      <c r="AX2151" t="s">
        <v>74</v>
      </c>
      <c r="AY2151" t="s">
        <v>74</v>
      </c>
      <c r="AZ2151" t="s">
        <v>74</v>
      </c>
      <c r="BA2151" t="s">
        <v>74</v>
      </c>
      <c r="BB2151" t="s">
        <v>74</v>
      </c>
      <c r="BC2151" t="s">
        <v>74</v>
      </c>
      <c r="BD2151">
        <v>3385</v>
      </c>
      <c r="BE2151" t="s">
        <v>36701</v>
      </c>
      <c r="BF2151" t="str">
        <f>HYPERLINK("http://dx.doi.org/10.3390/su17083385","http://dx.doi.org/10.3390/su17083385")</f>
        <v>http://dx.doi.org/10.3390/su17083385</v>
      </c>
      <c r="BG2151" t="s">
        <v>74</v>
      </c>
      <c r="BH2151" t="s">
        <v>74</v>
      </c>
      <c r="BI2151">
        <v>23</v>
      </c>
      <c r="BJ2151" t="s">
        <v>3247</v>
      </c>
      <c r="BK2151" t="s">
        <v>2623</v>
      </c>
      <c r="BL2151" t="s">
        <v>3248</v>
      </c>
      <c r="BM2151" t="s">
        <v>36702</v>
      </c>
      <c r="BN2151" t="s">
        <v>74</v>
      </c>
      <c r="BO2151" t="s">
        <v>212</v>
      </c>
      <c r="BP2151" t="s">
        <v>74</v>
      </c>
      <c r="BQ2151" t="s">
        <v>74</v>
      </c>
      <c r="BR2151" t="s">
        <v>102</v>
      </c>
      <c r="BS2151" t="s">
        <v>36703</v>
      </c>
      <c r="BT2151" t="str">
        <f>HYPERLINK("https%3A%2F%2Fwww.webofscience.com%2Fwos%2Fwoscc%2Ffull-record%2FWOS:001475803400001","View Full Record in Web of Science")</f>
        <v>View Full Record in Web of Science</v>
      </c>
    </row>
    <row r="2152" spans="1:72" x14ac:dyDescent="0.25">
      <c r="A2152" t="s">
        <v>72</v>
      </c>
      <c r="B2152" t="s">
        <v>36704</v>
      </c>
      <c r="C2152" t="s">
        <v>74</v>
      </c>
      <c r="D2152" t="s">
        <v>74</v>
      </c>
      <c r="E2152" t="s">
        <v>74</v>
      </c>
      <c r="F2152" t="s">
        <v>36705</v>
      </c>
      <c r="G2152" t="s">
        <v>74</v>
      </c>
      <c r="H2152" t="s">
        <v>74</v>
      </c>
      <c r="I2152" t="s">
        <v>36706</v>
      </c>
      <c r="J2152" t="s">
        <v>30522</v>
      </c>
      <c r="K2152" t="s">
        <v>74</v>
      </c>
      <c r="L2152" t="s">
        <v>74</v>
      </c>
      <c r="M2152" t="s">
        <v>78</v>
      </c>
      <c r="N2152" t="s">
        <v>79</v>
      </c>
      <c r="O2152" t="s">
        <v>74</v>
      </c>
      <c r="P2152" t="s">
        <v>74</v>
      </c>
      <c r="Q2152" t="s">
        <v>74</v>
      </c>
      <c r="R2152" t="s">
        <v>74</v>
      </c>
      <c r="S2152" t="s">
        <v>74</v>
      </c>
      <c r="T2152" t="s">
        <v>36707</v>
      </c>
      <c r="U2152" t="s">
        <v>36708</v>
      </c>
      <c r="V2152" t="s">
        <v>36709</v>
      </c>
      <c r="W2152" t="s">
        <v>36710</v>
      </c>
      <c r="X2152" t="s">
        <v>36711</v>
      </c>
      <c r="Y2152" t="s">
        <v>36712</v>
      </c>
      <c r="Z2152" t="s">
        <v>36713</v>
      </c>
      <c r="AA2152" t="s">
        <v>74</v>
      </c>
      <c r="AB2152" t="s">
        <v>74</v>
      </c>
      <c r="AC2152" t="s">
        <v>74</v>
      </c>
      <c r="AD2152" t="s">
        <v>74</v>
      </c>
      <c r="AE2152" t="s">
        <v>74</v>
      </c>
      <c r="AF2152" t="s">
        <v>74</v>
      </c>
      <c r="AG2152">
        <v>101</v>
      </c>
      <c r="AH2152">
        <v>0</v>
      </c>
      <c r="AI2152">
        <v>0</v>
      </c>
      <c r="AJ2152">
        <v>3</v>
      </c>
      <c r="AK2152">
        <v>3</v>
      </c>
      <c r="AL2152" t="s">
        <v>575</v>
      </c>
      <c r="AM2152" t="s">
        <v>576</v>
      </c>
      <c r="AN2152" t="s">
        <v>577</v>
      </c>
      <c r="AO2152" t="s">
        <v>74</v>
      </c>
      <c r="AP2152" t="s">
        <v>30515</v>
      </c>
      <c r="AQ2152" t="s">
        <v>74</v>
      </c>
      <c r="AR2152" t="s">
        <v>30514</v>
      </c>
      <c r="AS2152" t="s">
        <v>30513</v>
      </c>
      <c r="AT2152" t="s">
        <v>4947</v>
      </c>
      <c r="AU2152">
        <v>2025</v>
      </c>
      <c r="AV2152">
        <v>14</v>
      </c>
      <c r="AW2152">
        <v>8</v>
      </c>
      <c r="AX2152" t="s">
        <v>74</v>
      </c>
      <c r="AY2152" t="s">
        <v>74</v>
      </c>
      <c r="AZ2152" t="s">
        <v>74</v>
      </c>
      <c r="BA2152" t="s">
        <v>74</v>
      </c>
      <c r="BB2152" t="s">
        <v>74</v>
      </c>
      <c r="BC2152" t="s">
        <v>74</v>
      </c>
      <c r="BD2152">
        <v>502</v>
      </c>
      <c r="BE2152" t="s">
        <v>36714</v>
      </c>
      <c r="BF2152" t="str">
        <f>HYPERLINK("http://dx.doi.org/10.3390/socsci14080502","http://dx.doi.org/10.3390/socsci14080502")</f>
        <v>http://dx.doi.org/10.3390/socsci14080502</v>
      </c>
      <c r="BG2152" t="s">
        <v>74</v>
      </c>
      <c r="BH2152" t="s">
        <v>74</v>
      </c>
      <c r="BI2152">
        <v>25</v>
      </c>
      <c r="BJ2152" t="s">
        <v>364</v>
      </c>
      <c r="BK2152" t="s">
        <v>313</v>
      </c>
      <c r="BL2152" t="s">
        <v>365</v>
      </c>
      <c r="BM2152" t="s">
        <v>36715</v>
      </c>
      <c r="BN2152" t="s">
        <v>74</v>
      </c>
      <c r="BO2152" t="s">
        <v>212</v>
      </c>
      <c r="BP2152" t="s">
        <v>74</v>
      </c>
      <c r="BQ2152" t="s">
        <v>74</v>
      </c>
      <c r="BR2152" t="s">
        <v>102</v>
      </c>
      <c r="BS2152" t="s">
        <v>36716</v>
      </c>
      <c r="BT2152" t="str">
        <f>HYPERLINK("https%3A%2F%2Fwww.webofscience.com%2Fwos%2Fwoscc%2Ffull-record%2FWOS:001558218800001","View Full Record in Web of Science")</f>
        <v>View Full Record in Web of Science</v>
      </c>
    </row>
    <row r="2153" spans="1:72" x14ac:dyDescent="0.25">
      <c r="A2153" t="s">
        <v>72</v>
      </c>
      <c r="B2153" t="s">
        <v>36717</v>
      </c>
      <c r="C2153" t="s">
        <v>74</v>
      </c>
      <c r="D2153" t="s">
        <v>74</v>
      </c>
      <c r="E2153" t="s">
        <v>74</v>
      </c>
      <c r="F2153" t="s">
        <v>36718</v>
      </c>
      <c r="G2153" t="s">
        <v>74</v>
      </c>
      <c r="H2153" t="s">
        <v>74</v>
      </c>
      <c r="I2153" t="s">
        <v>36719</v>
      </c>
      <c r="J2153" t="s">
        <v>36720</v>
      </c>
      <c r="K2153" t="s">
        <v>74</v>
      </c>
      <c r="L2153" t="s">
        <v>74</v>
      </c>
      <c r="M2153" t="s">
        <v>78</v>
      </c>
      <c r="N2153" t="s">
        <v>79</v>
      </c>
      <c r="O2153" t="s">
        <v>74</v>
      </c>
      <c r="P2153" t="s">
        <v>74</v>
      </c>
      <c r="Q2153" t="s">
        <v>74</v>
      </c>
      <c r="R2153" t="s">
        <v>74</v>
      </c>
      <c r="S2153" t="s">
        <v>74</v>
      </c>
      <c r="T2153" t="s">
        <v>36721</v>
      </c>
      <c r="U2153" t="s">
        <v>36722</v>
      </c>
      <c r="V2153" t="s">
        <v>36723</v>
      </c>
      <c r="W2153" t="s">
        <v>36724</v>
      </c>
      <c r="X2153" t="s">
        <v>30782</v>
      </c>
      <c r="Y2153" t="s">
        <v>36725</v>
      </c>
      <c r="Z2153" t="s">
        <v>34734</v>
      </c>
      <c r="AA2153" t="s">
        <v>74</v>
      </c>
      <c r="AB2153" t="s">
        <v>36726</v>
      </c>
      <c r="AC2153" t="s">
        <v>74</v>
      </c>
      <c r="AD2153" t="s">
        <v>74</v>
      </c>
      <c r="AE2153" t="s">
        <v>74</v>
      </c>
      <c r="AF2153" t="s">
        <v>74</v>
      </c>
      <c r="AG2153">
        <v>34</v>
      </c>
      <c r="AH2153">
        <v>24</v>
      </c>
      <c r="AI2153">
        <v>26</v>
      </c>
      <c r="AJ2153">
        <v>2</v>
      </c>
      <c r="AK2153">
        <v>52</v>
      </c>
      <c r="AL2153" t="s">
        <v>230</v>
      </c>
      <c r="AM2153" t="s">
        <v>231</v>
      </c>
      <c r="AN2153" t="s">
        <v>232</v>
      </c>
      <c r="AO2153" t="s">
        <v>36727</v>
      </c>
      <c r="AP2153" t="s">
        <v>36728</v>
      </c>
      <c r="AQ2153" t="s">
        <v>74</v>
      </c>
      <c r="AR2153" t="s">
        <v>36729</v>
      </c>
      <c r="AS2153" t="s">
        <v>36730</v>
      </c>
      <c r="AT2153" t="s">
        <v>208</v>
      </c>
      <c r="AU2153">
        <v>2022</v>
      </c>
      <c r="AV2153">
        <v>184</v>
      </c>
      <c r="AW2153" t="s">
        <v>74</v>
      </c>
      <c r="AX2153" t="s">
        <v>74</v>
      </c>
      <c r="AY2153" t="s">
        <v>74</v>
      </c>
      <c r="AZ2153" t="s">
        <v>74</v>
      </c>
      <c r="BA2153" t="s">
        <v>74</v>
      </c>
      <c r="BB2153" t="s">
        <v>74</v>
      </c>
      <c r="BC2153" t="s">
        <v>74</v>
      </c>
      <c r="BD2153">
        <v>111224</v>
      </c>
      <c r="BE2153" t="s">
        <v>36731</v>
      </c>
      <c r="BF2153" t="str">
        <f>HYPERLINK("http://dx.doi.org/10.1016/j.paid.2021.111224","http://dx.doi.org/10.1016/j.paid.2021.111224")</f>
        <v>http://dx.doi.org/10.1016/j.paid.2021.111224</v>
      </c>
      <c r="BG2153" t="s">
        <v>74</v>
      </c>
      <c r="BH2153" t="s">
        <v>1818</v>
      </c>
      <c r="BI2153">
        <v>7</v>
      </c>
      <c r="BJ2153" t="s">
        <v>36732</v>
      </c>
      <c r="BK2153" t="s">
        <v>99</v>
      </c>
      <c r="BL2153" t="s">
        <v>2993</v>
      </c>
      <c r="BM2153" t="s">
        <v>36733</v>
      </c>
      <c r="BN2153" t="s">
        <v>74</v>
      </c>
      <c r="BO2153" t="s">
        <v>74</v>
      </c>
      <c r="BP2153" t="s">
        <v>74</v>
      </c>
      <c r="BQ2153" t="s">
        <v>74</v>
      </c>
      <c r="BR2153" t="s">
        <v>102</v>
      </c>
      <c r="BS2153" t="s">
        <v>36734</v>
      </c>
      <c r="BT2153" t="str">
        <f>HYPERLINK("https%3A%2F%2Fwww.webofscience.com%2Fwos%2Fwoscc%2Ffull-record%2FWOS:000701796500043","View Full Record in Web of Science")</f>
        <v>View Full Record in Web of Science</v>
      </c>
    </row>
    <row r="2154" spans="1:72" x14ac:dyDescent="0.25">
      <c r="A2154" t="s">
        <v>72</v>
      </c>
      <c r="B2154" t="s">
        <v>36735</v>
      </c>
      <c r="C2154" t="s">
        <v>74</v>
      </c>
      <c r="D2154" t="s">
        <v>74</v>
      </c>
      <c r="E2154" t="s">
        <v>74</v>
      </c>
      <c r="F2154" t="s">
        <v>36736</v>
      </c>
      <c r="G2154" t="s">
        <v>74</v>
      </c>
      <c r="H2154" t="s">
        <v>74</v>
      </c>
      <c r="I2154" t="s">
        <v>36737</v>
      </c>
      <c r="J2154" t="s">
        <v>34159</v>
      </c>
      <c r="K2154" t="s">
        <v>74</v>
      </c>
      <c r="L2154" t="s">
        <v>74</v>
      </c>
      <c r="M2154" t="s">
        <v>78</v>
      </c>
      <c r="N2154" t="s">
        <v>79</v>
      </c>
      <c r="O2154" t="s">
        <v>74</v>
      </c>
      <c r="P2154" t="s">
        <v>74</v>
      </c>
      <c r="Q2154" t="s">
        <v>74</v>
      </c>
      <c r="R2154" t="s">
        <v>74</v>
      </c>
      <c r="S2154" t="s">
        <v>74</v>
      </c>
      <c r="T2154" t="s">
        <v>74</v>
      </c>
      <c r="U2154" t="s">
        <v>36738</v>
      </c>
      <c r="V2154" t="s">
        <v>36739</v>
      </c>
      <c r="W2154" t="s">
        <v>36740</v>
      </c>
      <c r="X2154" t="s">
        <v>36741</v>
      </c>
      <c r="Y2154" t="s">
        <v>36742</v>
      </c>
      <c r="Z2154" t="s">
        <v>36743</v>
      </c>
      <c r="AA2154" t="s">
        <v>74</v>
      </c>
      <c r="AB2154" t="s">
        <v>36744</v>
      </c>
      <c r="AC2154" t="s">
        <v>74</v>
      </c>
      <c r="AD2154" t="s">
        <v>74</v>
      </c>
      <c r="AE2154" t="s">
        <v>74</v>
      </c>
      <c r="AF2154" t="s">
        <v>74</v>
      </c>
      <c r="AG2154">
        <v>66</v>
      </c>
      <c r="AH2154">
        <v>15</v>
      </c>
      <c r="AI2154">
        <v>18</v>
      </c>
      <c r="AJ2154">
        <v>1</v>
      </c>
      <c r="AK2154">
        <v>23</v>
      </c>
      <c r="AL2154" t="s">
        <v>757</v>
      </c>
      <c r="AM2154" t="s">
        <v>758</v>
      </c>
      <c r="AN2154" t="s">
        <v>759</v>
      </c>
      <c r="AO2154" t="s">
        <v>34148</v>
      </c>
      <c r="AP2154" t="s">
        <v>34147</v>
      </c>
      <c r="AQ2154" t="s">
        <v>74</v>
      </c>
      <c r="AR2154" t="s">
        <v>34146</v>
      </c>
      <c r="AS2154" t="s">
        <v>34145</v>
      </c>
      <c r="AT2154" t="s">
        <v>605</v>
      </c>
      <c r="AU2154">
        <v>2011</v>
      </c>
      <c r="AV2154">
        <v>43</v>
      </c>
      <c r="AW2154">
        <v>3</v>
      </c>
      <c r="AX2154" t="s">
        <v>74</v>
      </c>
      <c r="AY2154" t="s">
        <v>74</v>
      </c>
      <c r="AZ2154" t="s">
        <v>74</v>
      </c>
      <c r="BA2154" t="s">
        <v>74</v>
      </c>
      <c r="BB2154">
        <v>650</v>
      </c>
      <c r="BC2154">
        <v>665</v>
      </c>
      <c r="BD2154" t="s">
        <v>74</v>
      </c>
      <c r="BE2154" t="s">
        <v>36745</v>
      </c>
      <c r="BF2154" t="str">
        <f>HYPERLINK("http://dx.doi.org/10.1068/a43331","http://dx.doi.org/10.1068/a43331")</f>
        <v>http://dx.doi.org/10.1068/a43331</v>
      </c>
      <c r="BG2154" t="s">
        <v>74</v>
      </c>
      <c r="BH2154" t="s">
        <v>74</v>
      </c>
      <c r="BI2154">
        <v>16</v>
      </c>
      <c r="BJ2154" t="s">
        <v>34142</v>
      </c>
      <c r="BK2154" t="s">
        <v>99</v>
      </c>
      <c r="BL2154" t="s">
        <v>34141</v>
      </c>
      <c r="BM2154" t="s">
        <v>36746</v>
      </c>
      <c r="BN2154" t="s">
        <v>74</v>
      </c>
      <c r="BO2154" t="s">
        <v>74</v>
      </c>
      <c r="BP2154" t="s">
        <v>74</v>
      </c>
      <c r="BQ2154" t="s">
        <v>74</v>
      </c>
      <c r="BR2154" t="s">
        <v>102</v>
      </c>
      <c r="BS2154" t="s">
        <v>36747</v>
      </c>
      <c r="BT2154" t="str">
        <f>HYPERLINK("https%3A%2F%2Fwww.webofscience.com%2Fwos%2Fwoscc%2Ffull-record%2FWOS:000290593800011","View Full Record in Web of Science")</f>
        <v>View Full Record in Web of Science</v>
      </c>
    </row>
    <row r="2155" spans="1:72" x14ac:dyDescent="0.25">
      <c r="A2155" t="s">
        <v>72</v>
      </c>
      <c r="B2155" t="s">
        <v>36748</v>
      </c>
      <c r="C2155" t="s">
        <v>74</v>
      </c>
      <c r="D2155" t="s">
        <v>74</v>
      </c>
      <c r="E2155" t="s">
        <v>74</v>
      </c>
      <c r="F2155" t="s">
        <v>36749</v>
      </c>
      <c r="G2155" t="s">
        <v>74</v>
      </c>
      <c r="H2155" t="s">
        <v>74</v>
      </c>
      <c r="I2155" t="s">
        <v>36750</v>
      </c>
      <c r="J2155" t="s">
        <v>36751</v>
      </c>
      <c r="K2155" t="s">
        <v>74</v>
      </c>
      <c r="L2155" t="s">
        <v>74</v>
      </c>
      <c r="M2155" t="s">
        <v>78</v>
      </c>
      <c r="N2155" t="s">
        <v>79</v>
      </c>
      <c r="O2155" t="s">
        <v>74</v>
      </c>
      <c r="P2155" t="s">
        <v>74</v>
      </c>
      <c r="Q2155" t="s">
        <v>74</v>
      </c>
      <c r="R2155" t="s">
        <v>74</v>
      </c>
      <c r="S2155" t="s">
        <v>74</v>
      </c>
      <c r="T2155" t="s">
        <v>36752</v>
      </c>
      <c r="U2155" t="s">
        <v>36753</v>
      </c>
      <c r="V2155" t="s">
        <v>36754</v>
      </c>
      <c r="W2155" t="s">
        <v>36755</v>
      </c>
      <c r="X2155" t="s">
        <v>36756</v>
      </c>
      <c r="Y2155" t="s">
        <v>36757</v>
      </c>
      <c r="Z2155" t="s">
        <v>36758</v>
      </c>
      <c r="AA2155" t="s">
        <v>36759</v>
      </c>
      <c r="AB2155" t="s">
        <v>36760</v>
      </c>
      <c r="AC2155" t="s">
        <v>74</v>
      </c>
      <c r="AD2155" t="s">
        <v>74</v>
      </c>
      <c r="AE2155" t="s">
        <v>74</v>
      </c>
      <c r="AF2155" t="s">
        <v>74</v>
      </c>
      <c r="AG2155">
        <v>51</v>
      </c>
      <c r="AH2155">
        <v>0</v>
      </c>
      <c r="AI2155">
        <v>0</v>
      </c>
      <c r="AJ2155">
        <v>1</v>
      </c>
      <c r="AK2155">
        <v>1</v>
      </c>
      <c r="AL2155" t="s">
        <v>479</v>
      </c>
      <c r="AM2155" t="s">
        <v>480</v>
      </c>
      <c r="AN2155" t="s">
        <v>481</v>
      </c>
      <c r="AO2155" t="s">
        <v>36761</v>
      </c>
      <c r="AP2155" t="s">
        <v>74</v>
      </c>
      <c r="AQ2155" t="s">
        <v>74</v>
      </c>
      <c r="AR2155" t="s">
        <v>36762</v>
      </c>
      <c r="AS2155" t="s">
        <v>36763</v>
      </c>
      <c r="AT2155" t="s">
        <v>1777</v>
      </c>
      <c r="AU2155">
        <v>2025</v>
      </c>
      <c r="AV2155">
        <v>19</v>
      </c>
      <c r="AW2155">
        <v>9</v>
      </c>
      <c r="AX2155" t="s">
        <v>74</v>
      </c>
      <c r="AY2155" t="s">
        <v>74</v>
      </c>
      <c r="AZ2155" t="s">
        <v>74</v>
      </c>
      <c r="BA2155" t="s">
        <v>74</v>
      </c>
      <c r="BB2155" t="s">
        <v>74</v>
      </c>
      <c r="BC2155" t="s">
        <v>74</v>
      </c>
      <c r="BD2155" t="s">
        <v>36764</v>
      </c>
      <c r="BE2155" t="s">
        <v>36765</v>
      </c>
      <c r="BF2155" t="str">
        <f>HYPERLINK("http://dx.doi.org/10.1111/soc4.70115","http://dx.doi.org/10.1111/soc4.70115")</f>
        <v>http://dx.doi.org/10.1111/soc4.70115</v>
      </c>
      <c r="BG2155" t="s">
        <v>74</v>
      </c>
      <c r="BH2155" t="s">
        <v>74</v>
      </c>
      <c r="BI2155">
        <v>13</v>
      </c>
      <c r="BJ2155" t="s">
        <v>5129</v>
      </c>
      <c r="BK2155" t="s">
        <v>99</v>
      </c>
      <c r="BL2155" t="s">
        <v>5129</v>
      </c>
      <c r="BM2155" t="s">
        <v>36766</v>
      </c>
      <c r="BN2155" t="s">
        <v>74</v>
      </c>
      <c r="BO2155" t="s">
        <v>270</v>
      </c>
      <c r="BP2155" t="s">
        <v>74</v>
      </c>
      <c r="BQ2155" t="s">
        <v>74</v>
      </c>
      <c r="BR2155" t="s">
        <v>102</v>
      </c>
      <c r="BS2155" t="s">
        <v>36767</v>
      </c>
      <c r="BT2155" t="str">
        <f>HYPERLINK("https%3A%2F%2Fwww.webofscience.com%2Fwos%2Fwoscc%2Ffull-record%2FWOS:001564839000001","View Full Record in Web of Science")</f>
        <v>View Full Record in Web of Science</v>
      </c>
    </row>
    <row r="2156" spans="1:72" x14ac:dyDescent="0.25">
      <c r="A2156" t="s">
        <v>72</v>
      </c>
      <c r="B2156" t="s">
        <v>36768</v>
      </c>
      <c r="C2156" t="s">
        <v>74</v>
      </c>
      <c r="D2156" t="s">
        <v>74</v>
      </c>
      <c r="E2156" t="s">
        <v>74</v>
      </c>
      <c r="F2156" t="s">
        <v>36769</v>
      </c>
      <c r="G2156" t="s">
        <v>74</v>
      </c>
      <c r="H2156" t="s">
        <v>74</v>
      </c>
      <c r="I2156" t="s">
        <v>36770</v>
      </c>
      <c r="J2156" t="s">
        <v>36771</v>
      </c>
      <c r="K2156" t="s">
        <v>74</v>
      </c>
      <c r="L2156" t="s">
        <v>74</v>
      </c>
      <c r="M2156" t="s">
        <v>78</v>
      </c>
      <c r="N2156" t="s">
        <v>372</v>
      </c>
      <c r="O2156" t="s">
        <v>74</v>
      </c>
      <c r="P2156" t="s">
        <v>74</v>
      </c>
      <c r="Q2156" t="s">
        <v>74</v>
      </c>
      <c r="R2156" t="s">
        <v>74</v>
      </c>
      <c r="S2156" t="s">
        <v>74</v>
      </c>
      <c r="T2156" t="s">
        <v>36772</v>
      </c>
      <c r="U2156" t="s">
        <v>36773</v>
      </c>
      <c r="V2156" t="s">
        <v>36774</v>
      </c>
      <c r="W2156" t="s">
        <v>36775</v>
      </c>
      <c r="X2156" t="s">
        <v>21747</v>
      </c>
      <c r="Y2156" t="s">
        <v>36776</v>
      </c>
      <c r="Z2156" t="s">
        <v>36777</v>
      </c>
      <c r="AA2156" t="s">
        <v>36778</v>
      </c>
      <c r="AB2156" t="s">
        <v>36779</v>
      </c>
      <c r="AC2156" t="s">
        <v>74</v>
      </c>
      <c r="AD2156" t="s">
        <v>74</v>
      </c>
      <c r="AE2156" t="s">
        <v>74</v>
      </c>
      <c r="AF2156" t="s">
        <v>74</v>
      </c>
      <c r="AG2156">
        <v>83</v>
      </c>
      <c r="AH2156">
        <v>3</v>
      </c>
      <c r="AI2156">
        <v>4</v>
      </c>
      <c r="AJ2156">
        <v>3</v>
      </c>
      <c r="AK2156">
        <v>7</v>
      </c>
      <c r="AL2156" t="s">
        <v>332</v>
      </c>
      <c r="AM2156" t="s">
        <v>333</v>
      </c>
      <c r="AN2156" t="s">
        <v>334</v>
      </c>
      <c r="AO2156" t="s">
        <v>36780</v>
      </c>
      <c r="AP2156" t="s">
        <v>36781</v>
      </c>
      <c r="AQ2156" t="s">
        <v>74</v>
      </c>
      <c r="AR2156" t="s">
        <v>36782</v>
      </c>
      <c r="AS2156" t="s">
        <v>36783</v>
      </c>
      <c r="AT2156" t="s">
        <v>36784</v>
      </c>
      <c r="AU2156">
        <v>2025</v>
      </c>
      <c r="AV2156" t="s">
        <v>74</v>
      </c>
      <c r="AW2156" t="s">
        <v>74</v>
      </c>
      <c r="AX2156" t="s">
        <v>74</v>
      </c>
      <c r="AY2156" t="s">
        <v>74</v>
      </c>
      <c r="AZ2156" t="s">
        <v>74</v>
      </c>
      <c r="BA2156" t="s">
        <v>74</v>
      </c>
      <c r="BB2156" t="s">
        <v>74</v>
      </c>
      <c r="BC2156" t="s">
        <v>74</v>
      </c>
      <c r="BD2156" t="s">
        <v>74</v>
      </c>
      <c r="BE2156" t="s">
        <v>36785</v>
      </c>
      <c r="BF2156" t="str">
        <f>HYPERLINK("http://dx.doi.org/10.1080/10130950.2025.2452601","http://dx.doi.org/10.1080/10130950.2025.2452601")</f>
        <v>http://dx.doi.org/10.1080/10130950.2025.2452601</v>
      </c>
      <c r="BG2156" t="s">
        <v>74</v>
      </c>
      <c r="BH2156" t="s">
        <v>2781</v>
      </c>
      <c r="BI2156">
        <v>28</v>
      </c>
      <c r="BJ2156" t="s">
        <v>4761</v>
      </c>
      <c r="BK2156" t="s">
        <v>313</v>
      </c>
      <c r="BL2156" t="s">
        <v>4761</v>
      </c>
      <c r="BM2156" t="s">
        <v>36786</v>
      </c>
      <c r="BN2156" t="s">
        <v>74</v>
      </c>
      <c r="BO2156" t="s">
        <v>74</v>
      </c>
      <c r="BP2156" t="s">
        <v>74</v>
      </c>
      <c r="BQ2156" t="s">
        <v>74</v>
      </c>
      <c r="BR2156" t="s">
        <v>102</v>
      </c>
      <c r="BS2156" t="s">
        <v>36787</v>
      </c>
      <c r="BT2156" t="str">
        <f>HYPERLINK("https%3A%2F%2Fwww.webofscience.com%2Fwos%2Fwoscc%2Ffull-record%2FWOS:001445553300001","View Full Record in Web of Science")</f>
        <v>View Full Record in Web of Science</v>
      </c>
    </row>
    <row r="2157" spans="1:72" x14ac:dyDescent="0.25">
      <c r="A2157" t="s">
        <v>72</v>
      </c>
      <c r="B2157" t="s">
        <v>36788</v>
      </c>
      <c r="C2157" t="s">
        <v>74</v>
      </c>
      <c r="D2157" t="s">
        <v>74</v>
      </c>
      <c r="E2157" t="s">
        <v>74</v>
      </c>
      <c r="F2157" t="s">
        <v>36789</v>
      </c>
      <c r="G2157" t="s">
        <v>74</v>
      </c>
      <c r="H2157" t="s">
        <v>74</v>
      </c>
      <c r="I2157" t="s">
        <v>36790</v>
      </c>
      <c r="J2157" t="s">
        <v>2809</v>
      </c>
      <c r="K2157" t="s">
        <v>74</v>
      </c>
      <c r="L2157" t="s">
        <v>74</v>
      </c>
      <c r="M2157" t="s">
        <v>78</v>
      </c>
      <c r="N2157" t="s">
        <v>79</v>
      </c>
      <c r="O2157" t="s">
        <v>74</v>
      </c>
      <c r="P2157" t="s">
        <v>74</v>
      </c>
      <c r="Q2157" t="s">
        <v>74</v>
      </c>
      <c r="R2157" t="s">
        <v>74</v>
      </c>
      <c r="S2157" t="s">
        <v>74</v>
      </c>
      <c r="T2157" t="s">
        <v>74</v>
      </c>
      <c r="U2157" t="s">
        <v>74</v>
      </c>
      <c r="V2157" t="s">
        <v>36791</v>
      </c>
      <c r="W2157" t="s">
        <v>36792</v>
      </c>
      <c r="X2157" t="s">
        <v>36793</v>
      </c>
      <c r="Y2157" t="s">
        <v>36794</v>
      </c>
      <c r="Z2157" t="s">
        <v>36795</v>
      </c>
      <c r="AA2157" t="s">
        <v>74</v>
      </c>
      <c r="AB2157" t="s">
        <v>74</v>
      </c>
      <c r="AC2157" t="s">
        <v>74</v>
      </c>
      <c r="AD2157" t="s">
        <v>74</v>
      </c>
      <c r="AE2157" t="s">
        <v>74</v>
      </c>
      <c r="AF2157" t="s">
        <v>74</v>
      </c>
      <c r="AG2157">
        <v>18</v>
      </c>
      <c r="AH2157">
        <v>54</v>
      </c>
      <c r="AI2157">
        <v>88</v>
      </c>
      <c r="AJ2157">
        <v>1</v>
      </c>
      <c r="AK2157">
        <v>42</v>
      </c>
      <c r="AL2157" t="s">
        <v>5317</v>
      </c>
      <c r="AM2157" t="s">
        <v>480</v>
      </c>
      <c r="AN2157" t="s">
        <v>481</v>
      </c>
      <c r="AO2157" t="s">
        <v>2816</v>
      </c>
      <c r="AP2157" t="s">
        <v>2817</v>
      </c>
      <c r="AQ2157" t="s">
        <v>74</v>
      </c>
      <c r="AR2157" t="s">
        <v>2818</v>
      </c>
      <c r="AS2157" t="s">
        <v>2819</v>
      </c>
      <c r="AT2157" t="s">
        <v>848</v>
      </c>
      <c r="AU2157">
        <v>2013</v>
      </c>
      <c r="AV2157">
        <v>47</v>
      </c>
      <c r="AW2157">
        <v>2</v>
      </c>
      <c r="AX2157" t="s">
        <v>74</v>
      </c>
      <c r="AY2157" t="s">
        <v>74</v>
      </c>
      <c r="AZ2157" t="s">
        <v>74</v>
      </c>
      <c r="BA2157" t="s">
        <v>74</v>
      </c>
      <c r="BB2157">
        <v>243</v>
      </c>
      <c r="BC2157">
        <v>262</v>
      </c>
      <c r="BD2157" t="s">
        <v>74</v>
      </c>
      <c r="BE2157" t="s">
        <v>36796</v>
      </c>
      <c r="BF2157" t="str">
        <f>HYPERLINK("http://dx.doi.org/10.1111/joca.12010","http://dx.doi.org/10.1111/joca.12010")</f>
        <v>http://dx.doi.org/10.1111/joca.12010</v>
      </c>
      <c r="BG2157" t="s">
        <v>74</v>
      </c>
      <c r="BH2157" t="s">
        <v>74</v>
      </c>
      <c r="BI2157">
        <v>20</v>
      </c>
      <c r="BJ2157" t="s">
        <v>1453</v>
      </c>
      <c r="BK2157" t="s">
        <v>99</v>
      </c>
      <c r="BL2157" t="s">
        <v>100</v>
      </c>
      <c r="BM2157" t="s">
        <v>36797</v>
      </c>
      <c r="BN2157" t="s">
        <v>74</v>
      </c>
      <c r="BO2157" t="s">
        <v>74</v>
      </c>
      <c r="BP2157" t="s">
        <v>74</v>
      </c>
      <c r="BQ2157" t="s">
        <v>74</v>
      </c>
      <c r="BR2157" t="s">
        <v>102</v>
      </c>
      <c r="BS2157" t="s">
        <v>36798</v>
      </c>
      <c r="BT2157" t="str">
        <f>HYPERLINK("https%3A%2F%2Fwww.webofscience.com%2Fwos%2Fwoscc%2Ffull-record%2FWOS:000329852000003","View Full Record in Web of Science")</f>
        <v>View Full Record in Web of Science</v>
      </c>
    </row>
    <row r="2158" spans="1:72" x14ac:dyDescent="0.25">
      <c r="A2158" t="s">
        <v>72</v>
      </c>
      <c r="B2158" t="s">
        <v>36799</v>
      </c>
      <c r="C2158" t="s">
        <v>74</v>
      </c>
      <c r="D2158" t="s">
        <v>74</v>
      </c>
      <c r="E2158" t="s">
        <v>74</v>
      </c>
      <c r="F2158" t="s">
        <v>36800</v>
      </c>
      <c r="G2158" t="s">
        <v>74</v>
      </c>
      <c r="H2158" t="s">
        <v>74</v>
      </c>
      <c r="I2158" t="s">
        <v>36801</v>
      </c>
      <c r="J2158" t="s">
        <v>11655</v>
      </c>
      <c r="K2158" t="s">
        <v>74</v>
      </c>
      <c r="L2158" t="s">
        <v>74</v>
      </c>
      <c r="M2158" t="s">
        <v>78</v>
      </c>
      <c r="N2158" t="s">
        <v>79</v>
      </c>
      <c r="O2158" t="s">
        <v>74</v>
      </c>
      <c r="P2158" t="s">
        <v>74</v>
      </c>
      <c r="Q2158" t="s">
        <v>74</v>
      </c>
      <c r="R2158" t="s">
        <v>74</v>
      </c>
      <c r="S2158" t="s">
        <v>74</v>
      </c>
      <c r="T2158" t="s">
        <v>36802</v>
      </c>
      <c r="U2158" t="s">
        <v>36803</v>
      </c>
      <c r="V2158" t="s">
        <v>36804</v>
      </c>
      <c r="W2158" t="s">
        <v>36805</v>
      </c>
      <c r="X2158" t="s">
        <v>36806</v>
      </c>
      <c r="Y2158" t="s">
        <v>36807</v>
      </c>
      <c r="Z2158" t="s">
        <v>36808</v>
      </c>
      <c r="AA2158" t="s">
        <v>36809</v>
      </c>
      <c r="AB2158" t="s">
        <v>74</v>
      </c>
      <c r="AC2158" t="s">
        <v>74</v>
      </c>
      <c r="AD2158" t="s">
        <v>74</v>
      </c>
      <c r="AE2158" t="s">
        <v>74</v>
      </c>
      <c r="AF2158" t="s">
        <v>74</v>
      </c>
      <c r="AG2158">
        <v>103</v>
      </c>
      <c r="AH2158">
        <v>41</v>
      </c>
      <c r="AI2158">
        <v>55</v>
      </c>
      <c r="AJ2158">
        <v>5</v>
      </c>
      <c r="AK2158">
        <v>73</v>
      </c>
      <c r="AL2158" t="s">
        <v>503</v>
      </c>
      <c r="AM2158" t="s">
        <v>151</v>
      </c>
      <c r="AN2158" t="s">
        <v>504</v>
      </c>
      <c r="AO2158" t="s">
        <v>11665</v>
      </c>
      <c r="AP2158" t="s">
        <v>11666</v>
      </c>
      <c r="AQ2158" t="s">
        <v>74</v>
      </c>
      <c r="AR2158" t="s">
        <v>11667</v>
      </c>
      <c r="AS2158" t="s">
        <v>11668</v>
      </c>
      <c r="AT2158" t="s">
        <v>237</v>
      </c>
      <c r="AU2158">
        <v>2022</v>
      </c>
      <c r="AV2158">
        <v>139</v>
      </c>
      <c r="AW2158" t="s">
        <v>74</v>
      </c>
      <c r="AX2158" t="s">
        <v>74</v>
      </c>
      <c r="AY2158" t="s">
        <v>74</v>
      </c>
      <c r="AZ2158" t="s">
        <v>74</v>
      </c>
      <c r="BA2158" t="s">
        <v>74</v>
      </c>
      <c r="BB2158">
        <v>639</v>
      </c>
      <c r="BC2158">
        <v>653</v>
      </c>
      <c r="BD2158" t="s">
        <v>74</v>
      </c>
      <c r="BE2158" t="s">
        <v>36810</v>
      </c>
      <c r="BF2158" t="str">
        <f>HYPERLINK("http://dx.doi.org/10.1016/j.jbusres.2021.10.003","http://dx.doi.org/10.1016/j.jbusres.2021.10.003")</f>
        <v>http://dx.doi.org/10.1016/j.jbusres.2021.10.003</v>
      </c>
      <c r="BG2158" t="s">
        <v>74</v>
      </c>
      <c r="BH2158" t="s">
        <v>4651</v>
      </c>
      <c r="BI2158">
        <v>15</v>
      </c>
      <c r="BJ2158" t="s">
        <v>418</v>
      </c>
      <c r="BK2158" t="s">
        <v>99</v>
      </c>
      <c r="BL2158" t="s">
        <v>100</v>
      </c>
      <c r="BM2158" t="s">
        <v>36811</v>
      </c>
      <c r="BN2158" t="s">
        <v>74</v>
      </c>
      <c r="BO2158" t="s">
        <v>466</v>
      </c>
      <c r="BP2158" t="s">
        <v>74</v>
      </c>
      <c r="BQ2158" t="s">
        <v>74</v>
      </c>
      <c r="BR2158" t="s">
        <v>102</v>
      </c>
      <c r="BS2158" t="s">
        <v>36812</v>
      </c>
      <c r="BT2158" t="str">
        <f>HYPERLINK("https%3A%2F%2Fwww.webofscience.com%2Fwos%2Fwoscc%2Ffull-record%2FWOS:000712590300005","View Full Record in Web of Science")</f>
        <v>View Full Record in Web of Science</v>
      </c>
    </row>
    <row r="2159" spans="1:72" x14ac:dyDescent="0.25">
      <c r="A2159" t="s">
        <v>72</v>
      </c>
      <c r="B2159" t="s">
        <v>36813</v>
      </c>
      <c r="C2159" t="s">
        <v>74</v>
      </c>
      <c r="D2159" t="s">
        <v>74</v>
      </c>
      <c r="E2159" t="s">
        <v>74</v>
      </c>
      <c r="F2159" t="s">
        <v>36588</v>
      </c>
      <c r="G2159" t="s">
        <v>74</v>
      </c>
      <c r="H2159" t="s">
        <v>74</v>
      </c>
      <c r="I2159" t="s">
        <v>36814</v>
      </c>
      <c r="J2159" t="s">
        <v>14228</v>
      </c>
      <c r="K2159" t="s">
        <v>74</v>
      </c>
      <c r="L2159" t="s">
        <v>74</v>
      </c>
      <c r="M2159" t="s">
        <v>78</v>
      </c>
      <c r="N2159" t="s">
        <v>79</v>
      </c>
      <c r="O2159" t="s">
        <v>74</v>
      </c>
      <c r="P2159" t="s">
        <v>74</v>
      </c>
      <c r="Q2159" t="s">
        <v>74</v>
      </c>
      <c r="R2159" t="s">
        <v>74</v>
      </c>
      <c r="S2159" t="s">
        <v>74</v>
      </c>
      <c r="T2159" t="s">
        <v>36815</v>
      </c>
      <c r="U2159" t="s">
        <v>13423</v>
      </c>
      <c r="V2159" t="s">
        <v>36816</v>
      </c>
      <c r="W2159" t="s">
        <v>36817</v>
      </c>
      <c r="X2159" t="s">
        <v>36593</v>
      </c>
      <c r="Y2159" t="s">
        <v>36818</v>
      </c>
      <c r="Z2159" t="s">
        <v>36595</v>
      </c>
      <c r="AA2159" t="s">
        <v>36819</v>
      </c>
      <c r="AB2159" t="s">
        <v>36820</v>
      </c>
      <c r="AC2159" t="s">
        <v>74</v>
      </c>
      <c r="AD2159" t="s">
        <v>74</v>
      </c>
      <c r="AE2159" t="s">
        <v>74</v>
      </c>
      <c r="AF2159" t="s">
        <v>74</v>
      </c>
      <c r="AG2159">
        <v>26</v>
      </c>
      <c r="AH2159">
        <v>17</v>
      </c>
      <c r="AI2159">
        <v>28</v>
      </c>
      <c r="AJ2159">
        <v>1</v>
      </c>
      <c r="AK2159">
        <v>13</v>
      </c>
      <c r="AL2159" t="s">
        <v>332</v>
      </c>
      <c r="AM2159" t="s">
        <v>333</v>
      </c>
      <c r="AN2159" t="s">
        <v>334</v>
      </c>
      <c r="AO2159" t="s">
        <v>14237</v>
      </c>
      <c r="AP2159" t="s">
        <v>14238</v>
      </c>
      <c r="AQ2159" t="s">
        <v>74</v>
      </c>
      <c r="AR2159" t="s">
        <v>14239</v>
      </c>
      <c r="AS2159" t="s">
        <v>14240</v>
      </c>
      <c r="AT2159" t="s">
        <v>74</v>
      </c>
      <c r="AU2159">
        <v>2017</v>
      </c>
      <c r="AV2159">
        <v>24</v>
      </c>
      <c r="AW2159">
        <v>20</v>
      </c>
      <c r="AX2159" t="s">
        <v>74</v>
      </c>
      <c r="AY2159" t="s">
        <v>74</v>
      </c>
      <c r="AZ2159" t="s">
        <v>74</v>
      </c>
      <c r="BA2159" t="s">
        <v>74</v>
      </c>
      <c r="BB2159">
        <v>1494</v>
      </c>
      <c r="BC2159">
        <v>1498</v>
      </c>
      <c r="BD2159" t="s">
        <v>74</v>
      </c>
      <c r="BE2159" t="s">
        <v>36821</v>
      </c>
      <c r="BF2159" t="str">
        <f>HYPERLINK("http://dx.doi.org/10.1080/13504851.2017.1287851","http://dx.doi.org/10.1080/13504851.2017.1287851")</f>
        <v>http://dx.doi.org/10.1080/13504851.2017.1287851</v>
      </c>
      <c r="BG2159" t="s">
        <v>74</v>
      </c>
      <c r="BH2159" t="s">
        <v>74</v>
      </c>
      <c r="BI2159">
        <v>5</v>
      </c>
      <c r="BJ2159" t="s">
        <v>291</v>
      </c>
      <c r="BK2159" t="s">
        <v>99</v>
      </c>
      <c r="BL2159" t="s">
        <v>100</v>
      </c>
      <c r="BM2159" t="s">
        <v>36822</v>
      </c>
      <c r="BN2159" t="s">
        <v>74</v>
      </c>
      <c r="BO2159" t="s">
        <v>74</v>
      </c>
      <c r="BP2159" t="s">
        <v>74</v>
      </c>
      <c r="BQ2159" t="s">
        <v>74</v>
      </c>
      <c r="BR2159" t="s">
        <v>102</v>
      </c>
      <c r="BS2159" t="s">
        <v>36823</v>
      </c>
      <c r="BT2159" t="str">
        <f>HYPERLINK("https%3A%2F%2Fwww.webofscience.com%2Fwos%2Fwoscc%2Ffull-record%2FWOS:000419328000013","View Full Record in Web of Science")</f>
        <v>View Full Record in Web of Science</v>
      </c>
    </row>
    <row r="2160" spans="1:72" x14ac:dyDescent="0.25">
      <c r="A2160" t="s">
        <v>72</v>
      </c>
      <c r="B2160" t="s">
        <v>36824</v>
      </c>
      <c r="C2160" t="s">
        <v>74</v>
      </c>
      <c r="D2160" t="s">
        <v>74</v>
      </c>
      <c r="E2160" t="s">
        <v>74</v>
      </c>
      <c r="F2160" t="s">
        <v>36825</v>
      </c>
      <c r="G2160" t="s">
        <v>74</v>
      </c>
      <c r="H2160" t="s">
        <v>74</v>
      </c>
      <c r="I2160" t="s">
        <v>36826</v>
      </c>
      <c r="J2160" t="s">
        <v>2763</v>
      </c>
      <c r="K2160" t="s">
        <v>74</v>
      </c>
      <c r="L2160" t="s">
        <v>74</v>
      </c>
      <c r="M2160" t="s">
        <v>78</v>
      </c>
      <c r="N2160" t="s">
        <v>79</v>
      </c>
      <c r="O2160" t="s">
        <v>74</v>
      </c>
      <c r="P2160" t="s">
        <v>74</v>
      </c>
      <c r="Q2160" t="s">
        <v>74</v>
      </c>
      <c r="R2160" t="s">
        <v>74</v>
      </c>
      <c r="S2160" t="s">
        <v>74</v>
      </c>
      <c r="T2160" t="s">
        <v>36827</v>
      </c>
      <c r="U2160" t="s">
        <v>36828</v>
      </c>
      <c r="V2160" t="s">
        <v>36829</v>
      </c>
      <c r="W2160" t="s">
        <v>36830</v>
      </c>
      <c r="X2160" t="s">
        <v>36831</v>
      </c>
      <c r="Y2160" t="s">
        <v>36832</v>
      </c>
      <c r="Z2160" t="s">
        <v>36833</v>
      </c>
      <c r="AA2160" t="s">
        <v>36834</v>
      </c>
      <c r="AB2160" t="s">
        <v>36835</v>
      </c>
      <c r="AC2160" t="s">
        <v>36836</v>
      </c>
      <c r="AD2160" t="s">
        <v>36836</v>
      </c>
      <c r="AE2160" t="s">
        <v>36836</v>
      </c>
      <c r="AF2160" t="s">
        <v>74</v>
      </c>
      <c r="AG2160">
        <v>40</v>
      </c>
      <c r="AH2160">
        <v>3</v>
      </c>
      <c r="AI2160">
        <v>4</v>
      </c>
      <c r="AJ2160">
        <v>0</v>
      </c>
      <c r="AK2160">
        <v>5</v>
      </c>
      <c r="AL2160" t="s">
        <v>479</v>
      </c>
      <c r="AM2160" t="s">
        <v>480</v>
      </c>
      <c r="AN2160" t="s">
        <v>481</v>
      </c>
      <c r="AO2160" t="s">
        <v>2776</v>
      </c>
      <c r="AP2160" t="s">
        <v>2777</v>
      </c>
      <c r="AQ2160" t="s">
        <v>74</v>
      </c>
      <c r="AR2160" t="s">
        <v>2778</v>
      </c>
      <c r="AS2160" t="s">
        <v>2779</v>
      </c>
      <c r="AT2160" t="s">
        <v>237</v>
      </c>
      <c r="AU2160">
        <v>2025</v>
      </c>
      <c r="AV2160">
        <v>29</v>
      </c>
      <c r="AW2160">
        <v>1</v>
      </c>
      <c r="AX2160" t="s">
        <v>74</v>
      </c>
      <c r="AY2160" t="s">
        <v>74</v>
      </c>
      <c r="AZ2160" t="s">
        <v>74</v>
      </c>
      <c r="BA2160" t="s">
        <v>74</v>
      </c>
      <c r="BB2160">
        <v>64</v>
      </c>
      <c r="BC2160">
        <v>104</v>
      </c>
      <c r="BD2160" t="s">
        <v>74</v>
      </c>
      <c r="BE2160" t="s">
        <v>36837</v>
      </c>
      <c r="BF2160" t="str">
        <f>HYPERLINK("http://dx.doi.org/10.1111/rode.13053","http://dx.doi.org/10.1111/rode.13053")</f>
        <v>http://dx.doi.org/10.1111/rode.13053</v>
      </c>
      <c r="BG2160" t="s">
        <v>74</v>
      </c>
      <c r="BH2160" t="s">
        <v>5567</v>
      </c>
      <c r="BI2160">
        <v>41</v>
      </c>
      <c r="BJ2160" t="s">
        <v>701</v>
      </c>
      <c r="BK2160" t="s">
        <v>99</v>
      </c>
      <c r="BL2160" t="s">
        <v>702</v>
      </c>
      <c r="BM2160" t="s">
        <v>19985</v>
      </c>
      <c r="BN2160" t="s">
        <v>74</v>
      </c>
      <c r="BO2160" t="s">
        <v>270</v>
      </c>
      <c r="BP2160" t="s">
        <v>74</v>
      </c>
      <c r="BQ2160" t="s">
        <v>74</v>
      </c>
      <c r="BR2160" t="s">
        <v>102</v>
      </c>
      <c r="BS2160" t="s">
        <v>36838</v>
      </c>
      <c r="BT2160" t="str">
        <f>HYPERLINK("https%3A%2F%2Fwww.webofscience.com%2Fwos%2Fwoscc%2Ffull-record%2FWOS:001066664600001","View Full Record in Web of Science")</f>
        <v>View Full Record in Web of Science</v>
      </c>
    </row>
    <row r="2161" spans="1:72" x14ac:dyDescent="0.25">
      <c r="A2161" t="s">
        <v>72</v>
      </c>
      <c r="B2161" t="s">
        <v>25080</v>
      </c>
      <c r="C2161" t="s">
        <v>74</v>
      </c>
      <c r="D2161" t="s">
        <v>74</v>
      </c>
      <c r="E2161" t="s">
        <v>74</v>
      </c>
      <c r="F2161" t="s">
        <v>25079</v>
      </c>
      <c r="G2161" t="s">
        <v>74</v>
      </c>
      <c r="H2161" t="s">
        <v>74</v>
      </c>
      <c r="I2161" t="s">
        <v>36839</v>
      </c>
      <c r="J2161" t="s">
        <v>36840</v>
      </c>
      <c r="K2161" t="s">
        <v>74</v>
      </c>
      <c r="L2161" t="s">
        <v>74</v>
      </c>
      <c r="M2161" t="s">
        <v>78</v>
      </c>
      <c r="N2161" t="s">
        <v>1766</v>
      </c>
      <c r="O2161" t="s">
        <v>74</v>
      </c>
      <c r="P2161" t="s">
        <v>74</v>
      </c>
      <c r="Q2161" t="s">
        <v>74</v>
      </c>
      <c r="R2161" t="s">
        <v>74</v>
      </c>
      <c r="S2161" t="s">
        <v>74</v>
      </c>
      <c r="T2161" t="s">
        <v>36841</v>
      </c>
      <c r="U2161" t="s">
        <v>36842</v>
      </c>
      <c r="V2161" t="s">
        <v>36843</v>
      </c>
      <c r="W2161" t="s">
        <v>36844</v>
      </c>
      <c r="X2161" t="s">
        <v>8791</v>
      </c>
      <c r="Y2161" t="s">
        <v>662</v>
      </c>
      <c r="Z2161" t="s">
        <v>2926</v>
      </c>
      <c r="AA2161" t="s">
        <v>664</v>
      </c>
      <c r="AB2161" t="s">
        <v>36845</v>
      </c>
      <c r="AC2161" t="s">
        <v>74</v>
      </c>
      <c r="AD2161" t="s">
        <v>74</v>
      </c>
      <c r="AE2161" t="s">
        <v>74</v>
      </c>
      <c r="AF2161" t="s">
        <v>74</v>
      </c>
      <c r="AG2161">
        <v>59</v>
      </c>
      <c r="AH2161">
        <v>6</v>
      </c>
      <c r="AI2161">
        <v>7</v>
      </c>
      <c r="AJ2161">
        <v>0</v>
      </c>
      <c r="AK2161">
        <v>8</v>
      </c>
      <c r="AL2161" t="s">
        <v>2343</v>
      </c>
      <c r="AM2161" t="s">
        <v>2344</v>
      </c>
      <c r="AN2161" t="s">
        <v>2345</v>
      </c>
      <c r="AO2161" t="s">
        <v>36846</v>
      </c>
      <c r="AP2161" t="s">
        <v>36847</v>
      </c>
      <c r="AQ2161" t="s">
        <v>74</v>
      </c>
      <c r="AR2161" t="s">
        <v>36848</v>
      </c>
      <c r="AS2161" t="s">
        <v>36849</v>
      </c>
      <c r="AT2161" t="s">
        <v>2082</v>
      </c>
      <c r="AU2161">
        <v>2022</v>
      </c>
      <c r="AV2161">
        <v>19</v>
      </c>
      <c r="AW2161">
        <v>4</v>
      </c>
      <c r="AX2161" t="s">
        <v>74</v>
      </c>
      <c r="AY2161" t="s">
        <v>74</v>
      </c>
      <c r="AZ2161" t="s">
        <v>74</v>
      </c>
      <c r="BA2161" t="s">
        <v>74</v>
      </c>
      <c r="BB2161">
        <v>408</v>
      </c>
      <c r="BC2161">
        <v>439</v>
      </c>
      <c r="BD2161" t="s">
        <v>74</v>
      </c>
      <c r="BE2161" t="s">
        <v>36850</v>
      </c>
      <c r="BF2161" t="str">
        <f>HYPERLINK("http://dx.doi.org/10.1080/26408066.2022.2059427","http://dx.doi.org/10.1080/26408066.2022.2059427")</f>
        <v>http://dx.doi.org/10.1080/26408066.2022.2059427</v>
      </c>
      <c r="BG2161" t="s">
        <v>74</v>
      </c>
      <c r="BH2161" t="s">
        <v>12980</v>
      </c>
      <c r="BI2161">
        <v>32</v>
      </c>
      <c r="BJ2161" t="s">
        <v>2045</v>
      </c>
      <c r="BK2161" t="s">
        <v>313</v>
      </c>
      <c r="BL2161" t="s">
        <v>2045</v>
      </c>
      <c r="BM2161" t="s">
        <v>36851</v>
      </c>
      <c r="BN2161" t="s">
        <v>74</v>
      </c>
      <c r="BO2161" t="s">
        <v>74</v>
      </c>
      <c r="BP2161" t="s">
        <v>74</v>
      </c>
      <c r="BQ2161" t="s">
        <v>74</v>
      </c>
      <c r="BR2161" t="s">
        <v>102</v>
      </c>
      <c r="BS2161" t="s">
        <v>36852</v>
      </c>
      <c r="BT2161" t="str">
        <f>HYPERLINK("https%3A%2F%2Fwww.webofscience.com%2Fwos%2Fwoscc%2Ffull-record%2FWOS:000777919700001","View Full Record in Web of Science")</f>
        <v>View Full Record in Web of Science</v>
      </c>
    </row>
    <row r="2162" spans="1:72" x14ac:dyDescent="0.25">
      <c r="A2162" t="s">
        <v>72</v>
      </c>
      <c r="B2162" t="s">
        <v>36853</v>
      </c>
      <c r="C2162" t="s">
        <v>74</v>
      </c>
      <c r="D2162" t="s">
        <v>74</v>
      </c>
      <c r="E2162" t="s">
        <v>74</v>
      </c>
      <c r="F2162" t="s">
        <v>36854</v>
      </c>
      <c r="G2162" t="s">
        <v>74</v>
      </c>
      <c r="H2162" t="s">
        <v>74</v>
      </c>
      <c r="I2162" t="s">
        <v>36855</v>
      </c>
      <c r="J2162" t="s">
        <v>16127</v>
      </c>
      <c r="K2162" t="s">
        <v>74</v>
      </c>
      <c r="L2162" t="s">
        <v>74</v>
      </c>
      <c r="M2162" t="s">
        <v>78</v>
      </c>
      <c r="N2162" t="s">
        <v>79</v>
      </c>
      <c r="O2162" t="s">
        <v>74</v>
      </c>
      <c r="P2162" t="s">
        <v>74</v>
      </c>
      <c r="Q2162" t="s">
        <v>74</v>
      </c>
      <c r="R2162" t="s">
        <v>74</v>
      </c>
      <c r="S2162" t="s">
        <v>74</v>
      </c>
      <c r="T2162" t="s">
        <v>36856</v>
      </c>
      <c r="U2162" t="s">
        <v>36857</v>
      </c>
      <c r="V2162" t="s">
        <v>36858</v>
      </c>
      <c r="W2162" t="s">
        <v>36859</v>
      </c>
      <c r="X2162" t="s">
        <v>36860</v>
      </c>
      <c r="Y2162" t="s">
        <v>36861</v>
      </c>
      <c r="Z2162" t="s">
        <v>36862</v>
      </c>
      <c r="AA2162" t="s">
        <v>74</v>
      </c>
      <c r="AB2162" t="s">
        <v>74</v>
      </c>
      <c r="AC2162" t="s">
        <v>36863</v>
      </c>
      <c r="AD2162" t="s">
        <v>36864</v>
      </c>
      <c r="AE2162" t="s">
        <v>36865</v>
      </c>
      <c r="AF2162" t="s">
        <v>74</v>
      </c>
      <c r="AG2162">
        <v>27</v>
      </c>
      <c r="AH2162">
        <v>1</v>
      </c>
      <c r="AI2162">
        <v>3</v>
      </c>
      <c r="AJ2162">
        <v>3</v>
      </c>
      <c r="AK2162">
        <v>11</v>
      </c>
      <c r="AL2162" t="s">
        <v>16138</v>
      </c>
      <c r="AM2162" t="s">
        <v>16139</v>
      </c>
      <c r="AN2162" t="s">
        <v>16140</v>
      </c>
      <c r="AO2162" t="s">
        <v>16141</v>
      </c>
      <c r="AP2162" t="s">
        <v>16142</v>
      </c>
      <c r="AQ2162" t="s">
        <v>74</v>
      </c>
      <c r="AR2162" t="s">
        <v>16143</v>
      </c>
      <c r="AS2162" t="s">
        <v>16144</v>
      </c>
      <c r="AT2162" t="s">
        <v>289</v>
      </c>
      <c r="AU2162">
        <v>2024</v>
      </c>
      <c r="AV2162">
        <v>28</v>
      </c>
      <c r="AW2162">
        <v>8</v>
      </c>
      <c r="AX2162" t="s">
        <v>74</v>
      </c>
      <c r="AY2162" t="s">
        <v>74</v>
      </c>
      <c r="AZ2162" t="s">
        <v>74</v>
      </c>
      <c r="BA2162" t="s">
        <v>74</v>
      </c>
      <c r="BB2162">
        <v>77</v>
      </c>
      <c r="BC2162">
        <v>88</v>
      </c>
      <c r="BD2162" t="s">
        <v>74</v>
      </c>
      <c r="BE2162" t="s">
        <v>36866</v>
      </c>
      <c r="BF2162" t="str">
        <f>HYPERLINK("http://dx.doi.org/10.29063/ajrh2024/v28i8.8","http://dx.doi.org/10.29063/ajrh2024/v28i8.8")</f>
        <v>http://dx.doi.org/10.29063/ajrh2024/v28i8.8</v>
      </c>
      <c r="BG2162" t="s">
        <v>74</v>
      </c>
      <c r="BH2162" t="s">
        <v>74</v>
      </c>
      <c r="BI2162">
        <v>12</v>
      </c>
      <c r="BJ2162" t="s">
        <v>7080</v>
      </c>
      <c r="BK2162" t="s">
        <v>99</v>
      </c>
      <c r="BL2162" t="s">
        <v>7080</v>
      </c>
      <c r="BM2162" t="s">
        <v>36867</v>
      </c>
      <c r="BN2162">
        <v>39225449</v>
      </c>
      <c r="BO2162" t="s">
        <v>212</v>
      </c>
      <c r="BP2162" t="s">
        <v>74</v>
      </c>
      <c r="BQ2162" t="s">
        <v>74</v>
      </c>
      <c r="BR2162" t="s">
        <v>102</v>
      </c>
      <c r="BS2162" t="s">
        <v>36868</v>
      </c>
      <c r="BT2162" t="str">
        <f>HYPERLINK("https%3A%2F%2Fwww.webofscience.com%2Fwos%2Fwoscc%2Ffull-record%2FWOS:001306482600008","View Full Record in Web of Science")</f>
        <v>View Full Record in Web of Science</v>
      </c>
    </row>
    <row r="2163" spans="1:72" x14ac:dyDescent="0.25">
      <c r="A2163" t="s">
        <v>72</v>
      </c>
      <c r="B2163" t="s">
        <v>36869</v>
      </c>
      <c r="C2163" t="s">
        <v>74</v>
      </c>
      <c r="D2163" t="s">
        <v>74</v>
      </c>
      <c r="E2163" t="s">
        <v>74</v>
      </c>
      <c r="F2163" t="s">
        <v>36870</v>
      </c>
      <c r="G2163" t="s">
        <v>74</v>
      </c>
      <c r="H2163" t="s">
        <v>74</v>
      </c>
      <c r="I2163" t="s">
        <v>36871</v>
      </c>
      <c r="J2163" t="s">
        <v>20429</v>
      </c>
      <c r="K2163" t="s">
        <v>74</v>
      </c>
      <c r="L2163" t="s">
        <v>74</v>
      </c>
      <c r="M2163" t="s">
        <v>78</v>
      </c>
      <c r="N2163" t="s">
        <v>372</v>
      </c>
      <c r="O2163" t="s">
        <v>74</v>
      </c>
      <c r="P2163" t="s">
        <v>74</v>
      </c>
      <c r="Q2163" t="s">
        <v>74</v>
      </c>
      <c r="R2163" t="s">
        <v>74</v>
      </c>
      <c r="S2163" t="s">
        <v>74</v>
      </c>
      <c r="T2163" t="s">
        <v>36872</v>
      </c>
      <c r="U2163" t="s">
        <v>36873</v>
      </c>
      <c r="V2163" t="s">
        <v>36874</v>
      </c>
      <c r="W2163" t="s">
        <v>36875</v>
      </c>
      <c r="X2163" t="s">
        <v>36876</v>
      </c>
      <c r="Y2163" t="s">
        <v>36877</v>
      </c>
      <c r="Z2163" t="s">
        <v>36878</v>
      </c>
      <c r="AA2163" t="s">
        <v>36879</v>
      </c>
      <c r="AB2163" t="s">
        <v>36880</v>
      </c>
      <c r="AC2163" t="s">
        <v>74</v>
      </c>
      <c r="AD2163" t="s">
        <v>74</v>
      </c>
      <c r="AE2163" t="s">
        <v>74</v>
      </c>
      <c r="AF2163" t="s">
        <v>74</v>
      </c>
      <c r="AG2163">
        <v>55</v>
      </c>
      <c r="AH2163">
        <v>0</v>
      </c>
      <c r="AI2163">
        <v>0</v>
      </c>
      <c r="AJ2163">
        <v>3</v>
      </c>
      <c r="AK2163">
        <v>6</v>
      </c>
      <c r="AL2163" t="s">
        <v>409</v>
      </c>
      <c r="AM2163" t="s">
        <v>410</v>
      </c>
      <c r="AN2163" t="s">
        <v>411</v>
      </c>
      <c r="AO2163" t="s">
        <v>20419</v>
      </c>
      <c r="AP2163" t="s">
        <v>20418</v>
      </c>
      <c r="AQ2163" t="s">
        <v>74</v>
      </c>
      <c r="AR2163" t="s">
        <v>20417</v>
      </c>
      <c r="AS2163" t="s">
        <v>20416</v>
      </c>
      <c r="AT2163" t="s">
        <v>36881</v>
      </c>
      <c r="AU2163">
        <v>2025</v>
      </c>
      <c r="AV2163" t="s">
        <v>74</v>
      </c>
      <c r="AW2163" t="s">
        <v>74</v>
      </c>
      <c r="AX2163" t="s">
        <v>74</v>
      </c>
      <c r="AY2163" t="s">
        <v>74</v>
      </c>
      <c r="AZ2163" t="s">
        <v>74</v>
      </c>
      <c r="BA2163" t="s">
        <v>74</v>
      </c>
      <c r="BB2163" t="s">
        <v>74</v>
      </c>
      <c r="BC2163" t="s">
        <v>74</v>
      </c>
      <c r="BD2163" t="s">
        <v>74</v>
      </c>
      <c r="BE2163" t="s">
        <v>36882</v>
      </c>
      <c r="BF2163" t="str">
        <f>HYPERLINK("http://dx.doi.org/10.1177/22779752251323718","http://dx.doi.org/10.1177/22779752251323718")</f>
        <v>http://dx.doi.org/10.1177/22779752251323718</v>
      </c>
      <c r="BG2163" t="s">
        <v>74</v>
      </c>
      <c r="BH2163" t="s">
        <v>2781</v>
      </c>
      <c r="BI2163">
        <v>15</v>
      </c>
      <c r="BJ2163" t="s">
        <v>583</v>
      </c>
      <c r="BK2163" t="s">
        <v>313</v>
      </c>
      <c r="BL2163" t="s">
        <v>100</v>
      </c>
      <c r="BM2163" t="s">
        <v>36883</v>
      </c>
      <c r="BN2163" t="s">
        <v>74</v>
      </c>
      <c r="BO2163" t="s">
        <v>74</v>
      </c>
      <c r="BP2163" t="s">
        <v>74</v>
      </c>
      <c r="BQ2163" t="s">
        <v>74</v>
      </c>
      <c r="BR2163" t="s">
        <v>102</v>
      </c>
      <c r="BS2163" t="s">
        <v>36884</v>
      </c>
      <c r="BT2163" t="str">
        <f>HYPERLINK("https%3A%2F%2Fwww.webofscience.com%2Fwos%2Fwoscc%2Ffull-record%2FWOS:001454714600001","View Full Record in Web of Science")</f>
        <v>View Full Record in Web of Science</v>
      </c>
    </row>
    <row r="2164" spans="1:72" x14ac:dyDescent="0.25">
      <c r="A2164" t="s">
        <v>72</v>
      </c>
      <c r="B2164" t="s">
        <v>36885</v>
      </c>
      <c r="C2164" t="s">
        <v>74</v>
      </c>
      <c r="D2164" t="s">
        <v>74</v>
      </c>
      <c r="E2164" t="s">
        <v>74</v>
      </c>
      <c r="F2164" t="s">
        <v>36886</v>
      </c>
      <c r="G2164" t="s">
        <v>74</v>
      </c>
      <c r="H2164" t="s">
        <v>74</v>
      </c>
      <c r="I2164" t="s">
        <v>36887</v>
      </c>
      <c r="J2164" t="s">
        <v>15964</v>
      </c>
      <c r="K2164" t="s">
        <v>74</v>
      </c>
      <c r="L2164" t="s">
        <v>74</v>
      </c>
      <c r="M2164" t="s">
        <v>78</v>
      </c>
      <c r="N2164" t="s">
        <v>79</v>
      </c>
      <c r="O2164" t="s">
        <v>74</v>
      </c>
      <c r="P2164" t="s">
        <v>74</v>
      </c>
      <c r="Q2164" t="s">
        <v>74</v>
      </c>
      <c r="R2164" t="s">
        <v>74</v>
      </c>
      <c r="S2164" t="s">
        <v>74</v>
      </c>
      <c r="T2164" t="s">
        <v>36888</v>
      </c>
      <c r="U2164" t="s">
        <v>36889</v>
      </c>
      <c r="V2164" t="s">
        <v>36890</v>
      </c>
      <c r="W2164" t="s">
        <v>36891</v>
      </c>
      <c r="X2164" t="s">
        <v>36892</v>
      </c>
      <c r="Y2164" t="s">
        <v>36893</v>
      </c>
      <c r="Z2164" t="s">
        <v>36894</v>
      </c>
      <c r="AA2164" t="s">
        <v>74</v>
      </c>
      <c r="AB2164" t="s">
        <v>36895</v>
      </c>
      <c r="AC2164" t="s">
        <v>74</v>
      </c>
      <c r="AD2164" t="s">
        <v>74</v>
      </c>
      <c r="AE2164" t="s">
        <v>74</v>
      </c>
      <c r="AF2164" t="s">
        <v>74</v>
      </c>
      <c r="AG2164">
        <v>70</v>
      </c>
      <c r="AH2164">
        <v>171</v>
      </c>
      <c r="AI2164">
        <v>215</v>
      </c>
      <c r="AJ2164">
        <v>62</v>
      </c>
      <c r="AK2164">
        <v>498</v>
      </c>
      <c r="AL2164" t="s">
        <v>4485</v>
      </c>
      <c r="AM2164" t="s">
        <v>6724</v>
      </c>
      <c r="AN2164" t="s">
        <v>6725</v>
      </c>
      <c r="AO2164" t="s">
        <v>15973</v>
      </c>
      <c r="AP2164" t="s">
        <v>15974</v>
      </c>
      <c r="AQ2164" t="s">
        <v>74</v>
      </c>
      <c r="AR2164" t="s">
        <v>15975</v>
      </c>
      <c r="AS2164" t="s">
        <v>15976</v>
      </c>
      <c r="AT2164" t="s">
        <v>1652</v>
      </c>
      <c r="AU2164">
        <v>2022</v>
      </c>
      <c r="AV2164">
        <v>124</v>
      </c>
      <c r="AW2164" t="s">
        <v>74</v>
      </c>
      <c r="AX2164" t="s">
        <v>74</v>
      </c>
      <c r="AY2164" t="s">
        <v>74</v>
      </c>
      <c r="AZ2164" t="s">
        <v>74</v>
      </c>
      <c r="BA2164" t="s">
        <v>74</v>
      </c>
      <c r="BB2164" t="s">
        <v>74</v>
      </c>
      <c r="BC2164" t="s">
        <v>74</v>
      </c>
      <c r="BD2164">
        <v>102625</v>
      </c>
      <c r="BE2164" t="s">
        <v>36896</v>
      </c>
      <c r="BF2164" t="str">
        <f>HYPERLINK("http://dx.doi.org/10.1016/j.jimonfin.2022.102625","http://dx.doi.org/10.1016/j.jimonfin.2022.102625")</f>
        <v>http://dx.doi.org/10.1016/j.jimonfin.2022.102625</v>
      </c>
      <c r="BG2164" t="s">
        <v>74</v>
      </c>
      <c r="BH2164" t="s">
        <v>767</v>
      </c>
      <c r="BI2164">
        <v>13</v>
      </c>
      <c r="BJ2164" t="s">
        <v>268</v>
      </c>
      <c r="BK2164" t="s">
        <v>99</v>
      </c>
      <c r="BL2164" t="s">
        <v>100</v>
      </c>
      <c r="BM2164" t="s">
        <v>36897</v>
      </c>
      <c r="BN2164" t="s">
        <v>74</v>
      </c>
      <c r="BO2164" t="s">
        <v>1696</v>
      </c>
      <c r="BP2164" t="s">
        <v>74</v>
      </c>
      <c r="BQ2164" t="s">
        <v>74</v>
      </c>
      <c r="BR2164" t="s">
        <v>102</v>
      </c>
      <c r="BS2164" t="s">
        <v>36898</v>
      </c>
      <c r="BT2164" t="str">
        <f>HYPERLINK("https%3A%2F%2Fwww.webofscience.com%2Fwos%2Fwoscc%2Ffull-record%2FWOS:000791333600004","View Full Record in Web of Science")</f>
        <v>View Full Record in Web of Science</v>
      </c>
    </row>
    <row r="2165" spans="1:72" x14ac:dyDescent="0.25">
      <c r="A2165" t="s">
        <v>72</v>
      </c>
      <c r="B2165" t="s">
        <v>36899</v>
      </c>
      <c r="C2165" t="s">
        <v>74</v>
      </c>
      <c r="D2165" t="s">
        <v>74</v>
      </c>
      <c r="E2165" t="s">
        <v>74</v>
      </c>
      <c r="F2165" t="s">
        <v>36900</v>
      </c>
      <c r="G2165" t="s">
        <v>74</v>
      </c>
      <c r="H2165" t="s">
        <v>74</v>
      </c>
      <c r="I2165" t="s">
        <v>36901</v>
      </c>
      <c r="J2165" t="s">
        <v>1168</v>
      </c>
      <c r="K2165" t="s">
        <v>74</v>
      </c>
      <c r="L2165" t="s">
        <v>74</v>
      </c>
      <c r="M2165" t="s">
        <v>78</v>
      </c>
      <c r="N2165" t="s">
        <v>372</v>
      </c>
      <c r="O2165" t="s">
        <v>74</v>
      </c>
      <c r="P2165" t="s">
        <v>74</v>
      </c>
      <c r="Q2165" t="s">
        <v>74</v>
      </c>
      <c r="R2165" t="s">
        <v>74</v>
      </c>
      <c r="S2165" t="s">
        <v>74</v>
      </c>
      <c r="T2165" t="s">
        <v>36902</v>
      </c>
      <c r="U2165" t="s">
        <v>36903</v>
      </c>
      <c r="V2165" t="s">
        <v>36904</v>
      </c>
      <c r="W2165" t="s">
        <v>36905</v>
      </c>
      <c r="X2165" t="s">
        <v>36906</v>
      </c>
      <c r="Y2165" t="s">
        <v>36907</v>
      </c>
      <c r="Z2165" t="s">
        <v>36908</v>
      </c>
      <c r="AA2165" t="s">
        <v>36909</v>
      </c>
      <c r="AB2165" t="s">
        <v>36910</v>
      </c>
      <c r="AC2165" t="s">
        <v>74</v>
      </c>
      <c r="AD2165" t="s">
        <v>74</v>
      </c>
      <c r="AE2165" t="s">
        <v>74</v>
      </c>
      <c r="AF2165" t="s">
        <v>74</v>
      </c>
      <c r="AG2165">
        <v>122</v>
      </c>
      <c r="AH2165">
        <v>2</v>
      </c>
      <c r="AI2165">
        <v>3</v>
      </c>
      <c r="AJ2165">
        <v>4</v>
      </c>
      <c r="AK2165">
        <v>8</v>
      </c>
      <c r="AL2165" t="s">
        <v>332</v>
      </c>
      <c r="AM2165" t="s">
        <v>333</v>
      </c>
      <c r="AN2165" t="s">
        <v>334</v>
      </c>
      <c r="AO2165" t="s">
        <v>1179</v>
      </c>
      <c r="AP2165" t="s">
        <v>1180</v>
      </c>
      <c r="AQ2165" t="s">
        <v>74</v>
      </c>
      <c r="AR2165" t="s">
        <v>1181</v>
      </c>
      <c r="AS2165" t="s">
        <v>1182</v>
      </c>
      <c r="AT2165" t="s">
        <v>36911</v>
      </c>
      <c r="AU2165">
        <v>2024</v>
      </c>
      <c r="AV2165" t="s">
        <v>74</v>
      </c>
      <c r="AW2165" t="s">
        <v>74</v>
      </c>
      <c r="AX2165" t="s">
        <v>74</v>
      </c>
      <c r="AY2165" t="s">
        <v>74</v>
      </c>
      <c r="AZ2165" t="s">
        <v>74</v>
      </c>
      <c r="BA2165" t="s">
        <v>74</v>
      </c>
      <c r="BB2165" t="s">
        <v>74</v>
      </c>
      <c r="BC2165" t="s">
        <v>74</v>
      </c>
      <c r="BD2165" t="s">
        <v>74</v>
      </c>
      <c r="BE2165" t="s">
        <v>36912</v>
      </c>
      <c r="BF2165" t="str">
        <f>HYPERLINK("http://dx.doi.org/10.1080/15228916.2024.2432695","http://dx.doi.org/10.1080/15228916.2024.2432695")</f>
        <v>http://dx.doi.org/10.1080/15228916.2024.2432695</v>
      </c>
      <c r="BG2165" t="s">
        <v>74</v>
      </c>
      <c r="BH2165" t="s">
        <v>267</v>
      </c>
      <c r="BI2165">
        <v>28</v>
      </c>
      <c r="BJ2165" t="s">
        <v>418</v>
      </c>
      <c r="BK2165" t="s">
        <v>313</v>
      </c>
      <c r="BL2165" t="s">
        <v>100</v>
      </c>
      <c r="BM2165" t="s">
        <v>36913</v>
      </c>
      <c r="BN2165" t="s">
        <v>74</v>
      </c>
      <c r="BO2165" t="s">
        <v>74</v>
      </c>
      <c r="BP2165" t="s">
        <v>74</v>
      </c>
      <c r="BQ2165" t="s">
        <v>74</v>
      </c>
      <c r="BR2165" t="s">
        <v>102</v>
      </c>
      <c r="BS2165" t="s">
        <v>36914</v>
      </c>
      <c r="BT2165" t="str">
        <f>HYPERLINK("https%3A%2F%2Fwww.webofscience.com%2Fwos%2Fwoscc%2Ffull-record%2FWOS:001362653500001","View Full Record in Web of Science")</f>
        <v>View Full Record in Web of Science</v>
      </c>
    </row>
    <row r="2166" spans="1:72" x14ac:dyDescent="0.25">
      <c r="A2166" t="s">
        <v>72</v>
      </c>
      <c r="B2166" t="s">
        <v>36915</v>
      </c>
      <c r="C2166" t="s">
        <v>74</v>
      </c>
      <c r="D2166" t="s">
        <v>74</v>
      </c>
      <c r="E2166" t="s">
        <v>74</v>
      </c>
      <c r="F2166" t="s">
        <v>36916</v>
      </c>
      <c r="G2166" t="s">
        <v>74</v>
      </c>
      <c r="H2166" t="s">
        <v>74</v>
      </c>
      <c r="I2166" t="s">
        <v>36917</v>
      </c>
      <c r="J2166" t="s">
        <v>4055</v>
      </c>
      <c r="K2166" t="s">
        <v>74</v>
      </c>
      <c r="L2166" t="s">
        <v>74</v>
      </c>
      <c r="M2166" t="s">
        <v>78</v>
      </c>
      <c r="N2166" t="s">
        <v>79</v>
      </c>
      <c r="O2166" t="s">
        <v>74</v>
      </c>
      <c r="P2166" t="s">
        <v>74</v>
      </c>
      <c r="Q2166" t="s">
        <v>74</v>
      </c>
      <c r="R2166" t="s">
        <v>74</v>
      </c>
      <c r="S2166" t="s">
        <v>74</v>
      </c>
      <c r="T2166" t="s">
        <v>36918</v>
      </c>
      <c r="U2166" t="s">
        <v>36919</v>
      </c>
      <c r="V2166" t="s">
        <v>36920</v>
      </c>
      <c r="W2166" t="s">
        <v>36921</v>
      </c>
      <c r="X2166" t="s">
        <v>36922</v>
      </c>
      <c r="Y2166" t="s">
        <v>36923</v>
      </c>
      <c r="Z2166" t="s">
        <v>36924</v>
      </c>
      <c r="AA2166" t="s">
        <v>74</v>
      </c>
      <c r="AB2166" t="s">
        <v>74</v>
      </c>
      <c r="AC2166" t="s">
        <v>74</v>
      </c>
      <c r="AD2166" t="s">
        <v>74</v>
      </c>
      <c r="AE2166" t="s">
        <v>74</v>
      </c>
      <c r="AF2166" t="s">
        <v>74</v>
      </c>
      <c r="AG2166">
        <v>57</v>
      </c>
      <c r="AH2166">
        <v>7</v>
      </c>
      <c r="AI2166">
        <v>15</v>
      </c>
      <c r="AJ2166">
        <v>0</v>
      </c>
      <c r="AK2166">
        <v>12</v>
      </c>
      <c r="AL2166" t="s">
        <v>2907</v>
      </c>
      <c r="AM2166" t="s">
        <v>2908</v>
      </c>
      <c r="AN2166" t="s">
        <v>2909</v>
      </c>
      <c r="AO2166" t="s">
        <v>4064</v>
      </c>
      <c r="AP2166" t="s">
        <v>4065</v>
      </c>
      <c r="AQ2166" t="s">
        <v>74</v>
      </c>
      <c r="AR2166" t="s">
        <v>4066</v>
      </c>
      <c r="AS2166" t="s">
        <v>4067</v>
      </c>
      <c r="AT2166" t="s">
        <v>124</v>
      </c>
      <c r="AU2166">
        <v>2016</v>
      </c>
      <c r="AV2166">
        <v>21</v>
      </c>
      <c r="AW2166">
        <v>4</v>
      </c>
      <c r="AX2166" t="s">
        <v>74</v>
      </c>
      <c r="AY2166" t="s">
        <v>74</v>
      </c>
      <c r="AZ2166" t="s">
        <v>74</v>
      </c>
      <c r="BA2166" t="s">
        <v>74</v>
      </c>
      <c r="BB2166">
        <v>308</v>
      </c>
      <c r="BC2166">
        <v>324</v>
      </c>
      <c r="BD2166" t="s">
        <v>74</v>
      </c>
      <c r="BE2166" t="s">
        <v>36925</v>
      </c>
      <c r="BF2166" t="str">
        <f>HYPERLINK("http://dx.doi.org/10.1057/s41264-016-0014-1","http://dx.doi.org/10.1057/s41264-016-0014-1")</f>
        <v>http://dx.doi.org/10.1057/s41264-016-0014-1</v>
      </c>
      <c r="BG2166" t="s">
        <v>74</v>
      </c>
      <c r="BH2166" t="s">
        <v>74</v>
      </c>
      <c r="BI2166">
        <v>17</v>
      </c>
      <c r="BJ2166" t="s">
        <v>418</v>
      </c>
      <c r="BK2166" t="s">
        <v>313</v>
      </c>
      <c r="BL2166" t="s">
        <v>100</v>
      </c>
      <c r="BM2166" t="s">
        <v>36926</v>
      </c>
      <c r="BN2166" t="s">
        <v>74</v>
      </c>
      <c r="BO2166" t="s">
        <v>74</v>
      </c>
      <c r="BP2166" t="s">
        <v>74</v>
      </c>
      <c r="BQ2166" t="s">
        <v>74</v>
      </c>
      <c r="BR2166" t="s">
        <v>102</v>
      </c>
      <c r="BS2166" t="s">
        <v>36927</v>
      </c>
      <c r="BT2166" t="str">
        <f>HYPERLINK("https%3A%2F%2Fwww.webofscience.com%2Fwos%2Fwoscc%2Ffull-record%2FWOS:000391002400006","View Full Record in Web of Science")</f>
        <v>View Full Record in Web of Science</v>
      </c>
    </row>
    <row r="2167" spans="1:72" x14ac:dyDescent="0.25">
      <c r="A2167" t="s">
        <v>72</v>
      </c>
      <c r="B2167" t="s">
        <v>36928</v>
      </c>
      <c r="C2167" t="s">
        <v>74</v>
      </c>
      <c r="D2167" t="s">
        <v>74</v>
      </c>
      <c r="E2167" t="s">
        <v>74</v>
      </c>
      <c r="F2167" t="s">
        <v>36929</v>
      </c>
      <c r="G2167" t="s">
        <v>74</v>
      </c>
      <c r="H2167" t="s">
        <v>74</v>
      </c>
      <c r="I2167" t="s">
        <v>36930</v>
      </c>
      <c r="J2167" t="s">
        <v>36931</v>
      </c>
      <c r="K2167" t="s">
        <v>74</v>
      </c>
      <c r="L2167" t="s">
        <v>74</v>
      </c>
      <c r="M2167" t="s">
        <v>78</v>
      </c>
      <c r="N2167" t="s">
        <v>79</v>
      </c>
      <c r="O2167" t="s">
        <v>74</v>
      </c>
      <c r="P2167" t="s">
        <v>74</v>
      </c>
      <c r="Q2167" t="s">
        <v>74</v>
      </c>
      <c r="R2167" t="s">
        <v>74</v>
      </c>
      <c r="S2167" t="s">
        <v>74</v>
      </c>
      <c r="T2167" t="s">
        <v>36932</v>
      </c>
      <c r="U2167" t="s">
        <v>36933</v>
      </c>
      <c r="V2167" t="s">
        <v>36934</v>
      </c>
      <c r="W2167" t="s">
        <v>36935</v>
      </c>
      <c r="X2167" t="s">
        <v>36936</v>
      </c>
      <c r="Y2167" t="s">
        <v>36937</v>
      </c>
      <c r="Z2167" t="s">
        <v>36938</v>
      </c>
      <c r="AA2167" t="s">
        <v>36939</v>
      </c>
      <c r="AB2167" t="s">
        <v>36940</v>
      </c>
      <c r="AC2167" t="s">
        <v>74</v>
      </c>
      <c r="AD2167" t="s">
        <v>74</v>
      </c>
      <c r="AE2167" t="s">
        <v>74</v>
      </c>
      <c r="AF2167" t="s">
        <v>74</v>
      </c>
      <c r="AG2167">
        <v>22</v>
      </c>
      <c r="AH2167">
        <v>11</v>
      </c>
      <c r="AI2167">
        <v>12</v>
      </c>
      <c r="AJ2167">
        <v>1</v>
      </c>
      <c r="AK2167">
        <v>22</v>
      </c>
      <c r="AL2167" t="s">
        <v>823</v>
      </c>
      <c r="AM2167" t="s">
        <v>333</v>
      </c>
      <c r="AN2167" t="s">
        <v>36941</v>
      </c>
      <c r="AO2167" t="s">
        <v>36942</v>
      </c>
      <c r="AP2167" t="s">
        <v>36943</v>
      </c>
      <c r="AQ2167" t="s">
        <v>74</v>
      </c>
      <c r="AR2167" t="s">
        <v>36944</v>
      </c>
      <c r="AS2167" t="s">
        <v>36945</v>
      </c>
      <c r="AT2167" t="s">
        <v>289</v>
      </c>
      <c r="AU2167">
        <v>2014</v>
      </c>
      <c r="AV2167">
        <v>12</v>
      </c>
      <c r="AW2167">
        <v>3</v>
      </c>
      <c r="AX2167" t="s">
        <v>74</v>
      </c>
      <c r="AY2167" t="s">
        <v>74</v>
      </c>
      <c r="AZ2167" t="s">
        <v>441</v>
      </c>
      <c r="BA2167" t="s">
        <v>74</v>
      </c>
      <c r="BB2167">
        <v>263</v>
      </c>
      <c r="BC2167">
        <v>275</v>
      </c>
      <c r="BD2167" t="s">
        <v>74</v>
      </c>
      <c r="BE2167" t="s">
        <v>36946</v>
      </c>
      <c r="BF2167" t="str">
        <f>HYPERLINK("http://dx.doi.org/10.1080/14735903.2014.909640","http://dx.doi.org/10.1080/14735903.2014.909640")</f>
        <v>http://dx.doi.org/10.1080/14735903.2014.909640</v>
      </c>
      <c r="BG2167" t="s">
        <v>74</v>
      </c>
      <c r="BH2167" t="s">
        <v>74</v>
      </c>
      <c r="BI2167">
        <v>13</v>
      </c>
      <c r="BJ2167" t="s">
        <v>36947</v>
      </c>
      <c r="BK2167" t="s">
        <v>2623</v>
      </c>
      <c r="BL2167" t="s">
        <v>36948</v>
      </c>
      <c r="BM2167" t="s">
        <v>36949</v>
      </c>
      <c r="BN2167" t="s">
        <v>74</v>
      </c>
      <c r="BO2167" t="s">
        <v>74</v>
      </c>
      <c r="BP2167" t="s">
        <v>74</v>
      </c>
      <c r="BQ2167" t="s">
        <v>74</v>
      </c>
      <c r="BR2167" t="s">
        <v>102</v>
      </c>
      <c r="BS2167" t="s">
        <v>36950</v>
      </c>
      <c r="BT2167" t="str">
        <f>HYPERLINK("https%3A%2F%2Fwww.webofscience.com%2Fwos%2Fwoscc%2Ffull-record%2FWOS:000337968700006","View Full Record in Web of Science")</f>
        <v>View Full Record in Web of Science</v>
      </c>
    </row>
    <row r="2168" spans="1:72" x14ac:dyDescent="0.25">
      <c r="A2168" t="s">
        <v>72</v>
      </c>
      <c r="B2168" t="s">
        <v>36951</v>
      </c>
      <c r="C2168" t="s">
        <v>74</v>
      </c>
      <c r="D2168" t="s">
        <v>74</v>
      </c>
      <c r="E2168" t="s">
        <v>74</v>
      </c>
      <c r="F2168" t="s">
        <v>36952</v>
      </c>
      <c r="G2168" t="s">
        <v>74</v>
      </c>
      <c r="H2168" t="s">
        <v>74</v>
      </c>
      <c r="I2168" t="s">
        <v>36953</v>
      </c>
      <c r="J2168" t="s">
        <v>36954</v>
      </c>
      <c r="K2168" t="s">
        <v>74</v>
      </c>
      <c r="L2168" t="s">
        <v>74</v>
      </c>
      <c r="M2168" t="s">
        <v>78</v>
      </c>
      <c r="N2168" t="s">
        <v>79</v>
      </c>
      <c r="O2168" t="s">
        <v>74</v>
      </c>
      <c r="P2168" t="s">
        <v>74</v>
      </c>
      <c r="Q2168" t="s">
        <v>74</v>
      </c>
      <c r="R2168" t="s">
        <v>74</v>
      </c>
      <c r="S2168" t="s">
        <v>74</v>
      </c>
      <c r="T2168" t="s">
        <v>74</v>
      </c>
      <c r="U2168" t="s">
        <v>15149</v>
      </c>
      <c r="V2168" t="s">
        <v>36955</v>
      </c>
      <c r="W2168" t="s">
        <v>36956</v>
      </c>
      <c r="X2168" t="s">
        <v>33911</v>
      </c>
      <c r="Y2168" t="s">
        <v>36957</v>
      </c>
      <c r="Z2168" t="s">
        <v>33909</v>
      </c>
      <c r="AA2168" t="s">
        <v>36958</v>
      </c>
      <c r="AB2168" t="s">
        <v>36959</v>
      </c>
      <c r="AC2168" t="s">
        <v>33906</v>
      </c>
      <c r="AD2168" t="s">
        <v>33905</v>
      </c>
      <c r="AE2168" t="s">
        <v>74</v>
      </c>
      <c r="AF2168" t="s">
        <v>74</v>
      </c>
      <c r="AG2168">
        <v>65</v>
      </c>
      <c r="AH2168">
        <v>55</v>
      </c>
      <c r="AI2168">
        <v>78</v>
      </c>
      <c r="AJ2168">
        <v>0</v>
      </c>
      <c r="AK2168">
        <v>21</v>
      </c>
      <c r="AL2168" t="s">
        <v>479</v>
      </c>
      <c r="AM2168" t="s">
        <v>480</v>
      </c>
      <c r="AN2168" t="s">
        <v>481</v>
      </c>
      <c r="AO2168" t="s">
        <v>36960</v>
      </c>
      <c r="AP2168" t="s">
        <v>36961</v>
      </c>
      <c r="AQ2168" t="s">
        <v>74</v>
      </c>
      <c r="AR2168" t="s">
        <v>36962</v>
      </c>
      <c r="AS2168" t="s">
        <v>36963</v>
      </c>
      <c r="AT2168" t="s">
        <v>605</v>
      </c>
      <c r="AU2168">
        <v>2013</v>
      </c>
      <c r="AV2168">
        <v>19</v>
      </c>
      <c r="AW2168">
        <v>1</v>
      </c>
      <c r="AX2168" t="s">
        <v>74</v>
      </c>
      <c r="AY2168" t="s">
        <v>74</v>
      </c>
      <c r="AZ2168" t="s">
        <v>74</v>
      </c>
      <c r="BA2168" t="s">
        <v>74</v>
      </c>
      <c r="BB2168">
        <v>52</v>
      </c>
      <c r="BC2168">
        <v>74</v>
      </c>
      <c r="BD2168" t="s">
        <v>74</v>
      </c>
      <c r="BE2168" t="s">
        <v>36964</v>
      </c>
      <c r="BF2168" t="str">
        <f>HYPERLINK("http://dx.doi.org/10.1111/1467-9655.12003","http://dx.doi.org/10.1111/1467-9655.12003")</f>
        <v>http://dx.doi.org/10.1111/1467-9655.12003</v>
      </c>
      <c r="BG2168" t="s">
        <v>74</v>
      </c>
      <c r="BH2168" t="s">
        <v>74</v>
      </c>
      <c r="BI2168">
        <v>23</v>
      </c>
      <c r="BJ2168" t="s">
        <v>3890</v>
      </c>
      <c r="BK2168" t="s">
        <v>99</v>
      </c>
      <c r="BL2168" t="s">
        <v>3890</v>
      </c>
      <c r="BM2168" t="s">
        <v>36965</v>
      </c>
      <c r="BN2168" t="s">
        <v>74</v>
      </c>
      <c r="BO2168" t="s">
        <v>74</v>
      </c>
      <c r="BP2168" t="s">
        <v>74</v>
      </c>
      <c r="BQ2168" t="s">
        <v>74</v>
      </c>
      <c r="BR2168" t="s">
        <v>102</v>
      </c>
      <c r="BS2168" t="s">
        <v>36966</v>
      </c>
      <c r="BT2168" t="str">
        <f>HYPERLINK("https%3A%2F%2Fwww.webofscience.com%2Fwos%2Fwoscc%2Ffull-record%2FWOS:000314107600004","View Full Record in Web of Science")</f>
        <v>View Full Record in Web of Science</v>
      </c>
    </row>
    <row r="2169" spans="1:72" x14ac:dyDescent="0.25">
      <c r="A2169" t="s">
        <v>72</v>
      </c>
      <c r="B2169" t="s">
        <v>36967</v>
      </c>
      <c r="C2169" t="s">
        <v>74</v>
      </c>
      <c r="D2169" t="s">
        <v>74</v>
      </c>
      <c r="E2169" t="s">
        <v>74</v>
      </c>
      <c r="F2169" t="s">
        <v>36968</v>
      </c>
      <c r="G2169" t="s">
        <v>74</v>
      </c>
      <c r="H2169" t="s">
        <v>74</v>
      </c>
      <c r="I2169" t="s">
        <v>36969</v>
      </c>
      <c r="J2169" t="s">
        <v>217</v>
      </c>
      <c r="K2169" t="s">
        <v>74</v>
      </c>
      <c r="L2169" t="s">
        <v>74</v>
      </c>
      <c r="M2169" t="s">
        <v>78</v>
      </c>
      <c r="N2169" t="s">
        <v>79</v>
      </c>
      <c r="O2169" t="s">
        <v>74</v>
      </c>
      <c r="P2169" t="s">
        <v>74</v>
      </c>
      <c r="Q2169" t="s">
        <v>74</v>
      </c>
      <c r="R2169" t="s">
        <v>74</v>
      </c>
      <c r="S2169" t="s">
        <v>74</v>
      </c>
      <c r="T2169" t="s">
        <v>36970</v>
      </c>
      <c r="U2169" t="s">
        <v>36971</v>
      </c>
      <c r="V2169" t="s">
        <v>36972</v>
      </c>
      <c r="W2169" t="s">
        <v>36973</v>
      </c>
      <c r="X2169" t="s">
        <v>74</v>
      </c>
      <c r="Y2169" t="s">
        <v>36974</v>
      </c>
      <c r="Z2169" t="s">
        <v>36975</v>
      </c>
      <c r="AA2169" t="s">
        <v>74</v>
      </c>
      <c r="AB2169" t="s">
        <v>36976</v>
      </c>
      <c r="AC2169" t="s">
        <v>36977</v>
      </c>
      <c r="AD2169" t="s">
        <v>36977</v>
      </c>
      <c r="AE2169" t="s">
        <v>36978</v>
      </c>
      <c r="AF2169" t="s">
        <v>74</v>
      </c>
      <c r="AG2169">
        <v>64</v>
      </c>
      <c r="AH2169">
        <v>7</v>
      </c>
      <c r="AI2169">
        <v>11</v>
      </c>
      <c r="AJ2169">
        <v>1</v>
      </c>
      <c r="AK2169">
        <v>14</v>
      </c>
      <c r="AL2169" t="s">
        <v>230</v>
      </c>
      <c r="AM2169" t="s">
        <v>231</v>
      </c>
      <c r="AN2169" t="s">
        <v>232</v>
      </c>
      <c r="AO2169" t="s">
        <v>233</v>
      </c>
      <c r="AP2169" t="s">
        <v>234</v>
      </c>
      <c r="AQ2169" t="s">
        <v>74</v>
      </c>
      <c r="AR2169" t="s">
        <v>235</v>
      </c>
      <c r="AS2169" t="s">
        <v>236</v>
      </c>
      <c r="AT2169" t="s">
        <v>891</v>
      </c>
      <c r="AU2169">
        <v>2017</v>
      </c>
      <c r="AV2169">
        <v>82</v>
      </c>
      <c r="AW2169" t="s">
        <v>74</v>
      </c>
      <c r="AX2169" t="s">
        <v>74</v>
      </c>
      <c r="AY2169" t="s">
        <v>74</v>
      </c>
      <c r="AZ2169" t="s">
        <v>74</v>
      </c>
      <c r="BA2169" t="s">
        <v>74</v>
      </c>
      <c r="BB2169">
        <v>310</v>
      </c>
      <c r="BC2169">
        <v>320</v>
      </c>
      <c r="BD2169" t="s">
        <v>74</v>
      </c>
      <c r="BE2169" t="s">
        <v>36979</v>
      </c>
      <c r="BF2169" t="str">
        <f>HYPERLINK("http://dx.doi.org/10.1016/j.childyouth.2017.09.011","http://dx.doi.org/10.1016/j.childyouth.2017.09.011")</f>
        <v>http://dx.doi.org/10.1016/j.childyouth.2017.09.011</v>
      </c>
      <c r="BG2169" t="s">
        <v>74</v>
      </c>
      <c r="BH2169" t="s">
        <v>74</v>
      </c>
      <c r="BI2169">
        <v>11</v>
      </c>
      <c r="BJ2169" t="s">
        <v>240</v>
      </c>
      <c r="BK2169" t="s">
        <v>99</v>
      </c>
      <c r="BL2169" t="s">
        <v>240</v>
      </c>
      <c r="BM2169" t="s">
        <v>36980</v>
      </c>
      <c r="BN2169" t="s">
        <v>74</v>
      </c>
      <c r="BO2169" t="s">
        <v>74</v>
      </c>
      <c r="BP2169" t="s">
        <v>74</v>
      </c>
      <c r="BQ2169" t="s">
        <v>74</v>
      </c>
      <c r="BR2169" t="s">
        <v>102</v>
      </c>
      <c r="BS2169" t="s">
        <v>36981</v>
      </c>
      <c r="BT2169" t="str">
        <f>HYPERLINK("https%3A%2F%2Fwww.webofscience.com%2Fwos%2Fwoscc%2Ffull-record%2FWOS:000417964300034","View Full Record in Web of Science")</f>
        <v>View Full Record in Web of Science</v>
      </c>
    </row>
    <row r="2170" spans="1:72" x14ac:dyDescent="0.25">
      <c r="A2170" t="s">
        <v>72</v>
      </c>
      <c r="B2170" t="s">
        <v>36982</v>
      </c>
      <c r="C2170" t="s">
        <v>74</v>
      </c>
      <c r="D2170" t="s">
        <v>74</v>
      </c>
      <c r="E2170" t="s">
        <v>74</v>
      </c>
      <c r="F2170" t="s">
        <v>36983</v>
      </c>
      <c r="G2170" t="s">
        <v>74</v>
      </c>
      <c r="H2170" t="s">
        <v>74</v>
      </c>
      <c r="I2170" t="s">
        <v>36984</v>
      </c>
      <c r="J2170" t="s">
        <v>4842</v>
      </c>
      <c r="K2170" t="s">
        <v>74</v>
      </c>
      <c r="L2170" t="s">
        <v>74</v>
      </c>
      <c r="M2170" t="s">
        <v>78</v>
      </c>
      <c r="N2170" t="s">
        <v>79</v>
      </c>
      <c r="O2170" t="s">
        <v>74</v>
      </c>
      <c r="P2170" t="s">
        <v>74</v>
      </c>
      <c r="Q2170" t="s">
        <v>74</v>
      </c>
      <c r="R2170" t="s">
        <v>74</v>
      </c>
      <c r="S2170" t="s">
        <v>74</v>
      </c>
      <c r="T2170" t="s">
        <v>36985</v>
      </c>
      <c r="U2170" t="s">
        <v>36986</v>
      </c>
      <c r="V2170" t="s">
        <v>36987</v>
      </c>
      <c r="W2170" t="s">
        <v>36988</v>
      </c>
      <c r="X2170" t="s">
        <v>22766</v>
      </c>
      <c r="Y2170" t="s">
        <v>36989</v>
      </c>
      <c r="Z2170" t="s">
        <v>36990</v>
      </c>
      <c r="AA2170" t="s">
        <v>74</v>
      </c>
      <c r="AB2170" t="s">
        <v>74</v>
      </c>
      <c r="AC2170" t="s">
        <v>74</v>
      </c>
      <c r="AD2170" t="s">
        <v>74</v>
      </c>
      <c r="AE2170" t="s">
        <v>74</v>
      </c>
      <c r="AF2170" t="s">
        <v>74</v>
      </c>
      <c r="AG2170">
        <v>77</v>
      </c>
      <c r="AH2170">
        <v>3</v>
      </c>
      <c r="AI2170">
        <v>6</v>
      </c>
      <c r="AJ2170">
        <v>1</v>
      </c>
      <c r="AK2170">
        <v>13</v>
      </c>
      <c r="AL2170" t="s">
        <v>823</v>
      </c>
      <c r="AM2170" t="s">
        <v>333</v>
      </c>
      <c r="AN2170" t="s">
        <v>824</v>
      </c>
      <c r="AO2170" t="s">
        <v>4853</v>
      </c>
      <c r="AP2170" t="s">
        <v>74</v>
      </c>
      <c r="AQ2170" t="s">
        <v>74</v>
      </c>
      <c r="AR2170" t="s">
        <v>4854</v>
      </c>
      <c r="AS2170" t="s">
        <v>4855</v>
      </c>
      <c r="AT2170" t="s">
        <v>2970</v>
      </c>
      <c r="AU2170">
        <v>2024</v>
      </c>
      <c r="AV2170">
        <v>11</v>
      </c>
      <c r="AW2170">
        <v>1</v>
      </c>
      <c r="AX2170" t="s">
        <v>74</v>
      </c>
      <c r="AY2170" t="s">
        <v>74</v>
      </c>
      <c r="AZ2170" t="s">
        <v>74</v>
      </c>
      <c r="BA2170" t="s">
        <v>74</v>
      </c>
      <c r="BB2170" t="s">
        <v>74</v>
      </c>
      <c r="BC2170" t="s">
        <v>74</v>
      </c>
      <c r="BD2170">
        <v>2321787</v>
      </c>
      <c r="BE2170" t="s">
        <v>36991</v>
      </c>
      <c r="BF2170" t="str">
        <f>HYPERLINK("http://dx.doi.org/10.1080/23311975.2024.2321787","http://dx.doi.org/10.1080/23311975.2024.2321787")</f>
        <v>http://dx.doi.org/10.1080/23311975.2024.2321787</v>
      </c>
      <c r="BG2170" t="s">
        <v>74</v>
      </c>
      <c r="BH2170" t="s">
        <v>74</v>
      </c>
      <c r="BI2170">
        <v>18</v>
      </c>
      <c r="BJ2170" t="s">
        <v>418</v>
      </c>
      <c r="BK2170" t="s">
        <v>313</v>
      </c>
      <c r="BL2170" t="s">
        <v>100</v>
      </c>
      <c r="BM2170" t="s">
        <v>36992</v>
      </c>
      <c r="BN2170" t="s">
        <v>74</v>
      </c>
      <c r="BO2170" t="s">
        <v>916</v>
      </c>
      <c r="BP2170" t="s">
        <v>74</v>
      </c>
      <c r="BQ2170" t="s">
        <v>74</v>
      </c>
      <c r="BR2170" t="s">
        <v>102</v>
      </c>
      <c r="BS2170" t="s">
        <v>36993</v>
      </c>
      <c r="BT2170" t="str">
        <f>HYPERLINK("https%3A%2F%2Fwww.webofscience.com%2Fwos%2Fwoscc%2Ffull-record%2FWOS:001175445600001","View Full Record in Web of Science")</f>
        <v>View Full Record in Web of Science</v>
      </c>
    </row>
    <row r="2171" spans="1:72" x14ac:dyDescent="0.25">
      <c r="A2171" t="s">
        <v>72</v>
      </c>
      <c r="B2171" t="s">
        <v>36994</v>
      </c>
      <c r="C2171" t="s">
        <v>74</v>
      </c>
      <c r="D2171" t="s">
        <v>74</v>
      </c>
      <c r="E2171" t="s">
        <v>74</v>
      </c>
      <c r="F2171" t="s">
        <v>36995</v>
      </c>
      <c r="G2171" t="s">
        <v>74</v>
      </c>
      <c r="H2171" t="s">
        <v>74</v>
      </c>
      <c r="I2171" t="s">
        <v>36996</v>
      </c>
      <c r="J2171" t="s">
        <v>36997</v>
      </c>
      <c r="K2171" t="s">
        <v>74</v>
      </c>
      <c r="L2171" t="s">
        <v>74</v>
      </c>
      <c r="M2171" t="s">
        <v>78</v>
      </c>
      <c r="N2171" t="s">
        <v>79</v>
      </c>
      <c r="O2171" t="s">
        <v>74</v>
      </c>
      <c r="P2171" t="s">
        <v>74</v>
      </c>
      <c r="Q2171" t="s">
        <v>74</v>
      </c>
      <c r="R2171" t="s">
        <v>74</v>
      </c>
      <c r="S2171" t="s">
        <v>74</v>
      </c>
      <c r="T2171" t="s">
        <v>36998</v>
      </c>
      <c r="U2171" t="s">
        <v>36999</v>
      </c>
      <c r="V2171" t="s">
        <v>37000</v>
      </c>
      <c r="W2171" t="s">
        <v>37001</v>
      </c>
      <c r="X2171" t="s">
        <v>74</v>
      </c>
      <c r="Y2171" t="s">
        <v>37002</v>
      </c>
      <c r="Z2171" t="s">
        <v>37003</v>
      </c>
      <c r="AA2171" t="s">
        <v>37004</v>
      </c>
      <c r="AB2171" t="s">
        <v>37005</v>
      </c>
      <c r="AC2171" t="s">
        <v>74</v>
      </c>
      <c r="AD2171" t="s">
        <v>74</v>
      </c>
      <c r="AE2171" t="s">
        <v>74</v>
      </c>
      <c r="AF2171" t="s">
        <v>74</v>
      </c>
      <c r="AG2171">
        <v>82</v>
      </c>
      <c r="AH2171">
        <v>5</v>
      </c>
      <c r="AI2171">
        <v>6</v>
      </c>
      <c r="AJ2171">
        <v>6</v>
      </c>
      <c r="AK2171">
        <v>32</v>
      </c>
      <c r="AL2171" t="s">
        <v>994</v>
      </c>
      <c r="AM2171" t="s">
        <v>995</v>
      </c>
      <c r="AN2171" t="s">
        <v>2061</v>
      </c>
      <c r="AO2171" t="s">
        <v>37006</v>
      </c>
      <c r="AP2171" t="s">
        <v>37007</v>
      </c>
      <c r="AQ2171" t="s">
        <v>74</v>
      </c>
      <c r="AR2171" t="s">
        <v>37008</v>
      </c>
      <c r="AS2171" t="s">
        <v>37009</v>
      </c>
      <c r="AT2171" t="s">
        <v>698</v>
      </c>
      <c r="AU2171">
        <v>2023</v>
      </c>
      <c r="AV2171">
        <v>39</v>
      </c>
      <c r="AW2171">
        <v>3</v>
      </c>
      <c r="AX2171" t="s">
        <v>74</v>
      </c>
      <c r="AY2171" t="s">
        <v>74</v>
      </c>
      <c r="AZ2171" t="s">
        <v>74</v>
      </c>
      <c r="BA2171" t="s">
        <v>74</v>
      </c>
      <c r="BB2171">
        <v>581</v>
      </c>
      <c r="BC2171">
        <v>599</v>
      </c>
      <c r="BD2171" t="s">
        <v>74</v>
      </c>
      <c r="BE2171" t="s">
        <v>37010</v>
      </c>
      <c r="BF2171" t="str">
        <f>HYPERLINK("http://dx.doi.org/10.1177/02666669221120050","http://dx.doi.org/10.1177/02666669221120050")</f>
        <v>http://dx.doi.org/10.1177/02666669221120050</v>
      </c>
      <c r="BG2171" t="s">
        <v>74</v>
      </c>
      <c r="BH2171" t="s">
        <v>2328</v>
      </c>
      <c r="BI2171">
        <v>19</v>
      </c>
      <c r="BJ2171" t="s">
        <v>2351</v>
      </c>
      <c r="BK2171" t="s">
        <v>99</v>
      </c>
      <c r="BL2171" t="s">
        <v>2351</v>
      </c>
      <c r="BM2171" t="s">
        <v>37011</v>
      </c>
      <c r="BN2171" t="s">
        <v>74</v>
      </c>
      <c r="BO2171" t="s">
        <v>270</v>
      </c>
      <c r="BP2171" t="s">
        <v>74</v>
      </c>
      <c r="BQ2171" t="s">
        <v>74</v>
      </c>
      <c r="BR2171" t="s">
        <v>102</v>
      </c>
      <c r="BS2171" t="s">
        <v>37012</v>
      </c>
      <c r="BT2171" t="str">
        <f>HYPERLINK("https%3A%2F%2Fwww.webofscience.com%2Fwos%2Fwoscc%2Ffull-record%2FWOS:000840962300001","View Full Record in Web of Science")</f>
        <v>View Full Record in Web of Science</v>
      </c>
    </row>
    <row r="2172" spans="1:72" x14ac:dyDescent="0.25">
      <c r="A2172" t="s">
        <v>72</v>
      </c>
      <c r="B2172" t="s">
        <v>37013</v>
      </c>
      <c r="C2172" t="s">
        <v>74</v>
      </c>
      <c r="D2172" t="s">
        <v>74</v>
      </c>
      <c r="E2172" t="s">
        <v>74</v>
      </c>
      <c r="F2172" t="s">
        <v>37014</v>
      </c>
      <c r="G2172" t="s">
        <v>74</v>
      </c>
      <c r="H2172" t="s">
        <v>74</v>
      </c>
      <c r="I2172" t="s">
        <v>37015</v>
      </c>
      <c r="J2172" t="s">
        <v>9191</v>
      </c>
      <c r="K2172" t="s">
        <v>74</v>
      </c>
      <c r="L2172" t="s">
        <v>74</v>
      </c>
      <c r="M2172" t="s">
        <v>78</v>
      </c>
      <c r="N2172" t="s">
        <v>79</v>
      </c>
      <c r="O2172" t="s">
        <v>74</v>
      </c>
      <c r="P2172" t="s">
        <v>74</v>
      </c>
      <c r="Q2172" t="s">
        <v>74</v>
      </c>
      <c r="R2172" t="s">
        <v>74</v>
      </c>
      <c r="S2172" t="s">
        <v>74</v>
      </c>
      <c r="T2172" t="s">
        <v>37016</v>
      </c>
      <c r="U2172" t="s">
        <v>37017</v>
      </c>
      <c r="V2172" t="s">
        <v>37018</v>
      </c>
      <c r="W2172" t="s">
        <v>37019</v>
      </c>
      <c r="X2172" t="s">
        <v>37020</v>
      </c>
      <c r="Y2172" t="s">
        <v>37021</v>
      </c>
      <c r="Z2172" t="s">
        <v>37022</v>
      </c>
      <c r="AA2172" t="s">
        <v>37023</v>
      </c>
      <c r="AB2172" t="s">
        <v>37024</v>
      </c>
      <c r="AC2172" t="s">
        <v>37025</v>
      </c>
      <c r="AD2172" t="s">
        <v>18930</v>
      </c>
      <c r="AE2172" t="s">
        <v>37026</v>
      </c>
      <c r="AF2172" t="s">
        <v>74</v>
      </c>
      <c r="AG2172">
        <v>59</v>
      </c>
      <c r="AH2172">
        <v>12</v>
      </c>
      <c r="AI2172">
        <v>16</v>
      </c>
      <c r="AJ2172">
        <v>1</v>
      </c>
      <c r="AK2172">
        <v>4</v>
      </c>
      <c r="AL2172" t="s">
        <v>9204</v>
      </c>
      <c r="AM2172" t="s">
        <v>2016</v>
      </c>
      <c r="AN2172" t="s">
        <v>9205</v>
      </c>
      <c r="AO2172" t="s">
        <v>74</v>
      </c>
      <c r="AP2172" t="s">
        <v>9206</v>
      </c>
      <c r="AQ2172" t="s">
        <v>74</v>
      </c>
      <c r="AR2172" t="s">
        <v>9191</v>
      </c>
      <c r="AS2172" t="s">
        <v>9207</v>
      </c>
      <c r="AT2172" t="s">
        <v>124</v>
      </c>
      <c r="AU2172">
        <v>2022</v>
      </c>
      <c r="AV2172">
        <v>8</v>
      </c>
      <c r="AW2172">
        <v>12</v>
      </c>
      <c r="AX2172" t="s">
        <v>74</v>
      </c>
      <c r="AY2172" t="s">
        <v>74</v>
      </c>
      <c r="AZ2172" t="s">
        <v>74</v>
      </c>
      <c r="BA2172" t="s">
        <v>74</v>
      </c>
      <c r="BB2172" t="s">
        <v>74</v>
      </c>
      <c r="BC2172" t="s">
        <v>74</v>
      </c>
      <c r="BD2172" t="s">
        <v>37027</v>
      </c>
      <c r="BE2172" t="s">
        <v>37028</v>
      </c>
      <c r="BF2172" t="str">
        <f>HYPERLINK("http://dx.doi.org/10.1016/j.heliyon.2022.e12016","http://dx.doi.org/10.1016/j.heliyon.2022.e12016")</f>
        <v>http://dx.doi.org/10.1016/j.heliyon.2022.e12016</v>
      </c>
      <c r="BG2172" t="s">
        <v>74</v>
      </c>
      <c r="BH2172" t="s">
        <v>7904</v>
      </c>
      <c r="BI2172">
        <v>10</v>
      </c>
      <c r="BJ2172" t="s">
        <v>559</v>
      </c>
      <c r="BK2172" t="s">
        <v>128</v>
      </c>
      <c r="BL2172" t="s">
        <v>560</v>
      </c>
      <c r="BM2172" t="s">
        <v>37029</v>
      </c>
      <c r="BN2172">
        <v>36561693</v>
      </c>
      <c r="BO2172" t="s">
        <v>916</v>
      </c>
      <c r="BP2172" t="s">
        <v>74</v>
      </c>
      <c r="BQ2172" t="s">
        <v>74</v>
      </c>
      <c r="BR2172" t="s">
        <v>102</v>
      </c>
      <c r="BS2172" t="s">
        <v>37030</v>
      </c>
      <c r="BT2172" t="str">
        <f>HYPERLINK("https%3A%2F%2Fwww.webofscience.com%2Fwos%2Fwoscc%2Ffull-record%2FWOS:000933720800005","View Full Record in Web of Science")</f>
        <v>View Full Record in Web of Science</v>
      </c>
    </row>
    <row r="2173" spans="1:72" x14ac:dyDescent="0.25">
      <c r="A2173" t="s">
        <v>72</v>
      </c>
      <c r="B2173" t="s">
        <v>37031</v>
      </c>
      <c r="C2173" t="s">
        <v>74</v>
      </c>
      <c r="D2173" t="s">
        <v>74</v>
      </c>
      <c r="E2173" t="s">
        <v>74</v>
      </c>
      <c r="F2173" t="s">
        <v>37032</v>
      </c>
      <c r="G2173" t="s">
        <v>74</v>
      </c>
      <c r="H2173" t="s">
        <v>74</v>
      </c>
      <c r="I2173" t="s">
        <v>37033</v>
      </c>
      <c r="J2173" t="s">
        <v>11655</v>
      </c>
      <c r="K2173" t="s">
        <v>74</v>
      </c>
      <c r="L2173" t="s">
        <v>74</v>
      </c>
      <c r="M2173" t="s">
        <v>78</v>
      </c>
      <c r="N2173" t="s">
        <v>79</v>
      </c>
      <c r="O2173" t="s">
        <v>74</v>
      </c>
      <c r="P2173" t="s">
        <v>74</v>
      </c>
      <c r="Q2173" t="s">
        <v>74</v>
      </c>
      <c r="R2173" t="s">
        <v>74</v>
      </c>
      <c r="S2173" t="s">
        <v>74</v>
      </c>
      <c r="T2173" t="s">
        <v>37034</v>
      </c>
      <c r="U2173" t="s">
        <v>37035</v>
      </c>
      <c r="V2173" t="s">
        <v>37036</v>
      </c>
      <c r="W2173" t="s">
        <v>37037</v>
      </c>
      <c r="X2173" t="s">
        <v>37038</v>
      </c>
      <c r="Y2173" t="s">
        <v>21671</v>
      </c>
      <c r="Z2173" t="s">
        <v>37039</v>
      </c>
      <c r="AA2173" t="s">
        <v>37040</v>
      </c>
      <c r="AB2173" t="s">
        <v>37041</v>
      </c>
      <c r="AC2173" t="s">
        <v>74</v>
      </c>
      <c r="AD2173" t="s">
        <v>74</v>
      </c>
      <c r="AE2173" t="s">
        <v>74</v>
      </c>
      <c r="AF2173" t="s">
        <v>74</v>
      </c>
      <c r="AG2173">
        <v>58</v>
      </c>
      <c r="AH2173">
        <v>14</v>
      </c>
      <c r="AI2173">
        <v>19</v>
      </c>
      <c r="AJ2173">
        <v>25</v>
      </c>
      <c r="AK2173">
        <v>59</v>
      </c>
      <c r="AL2173" t="s">
        <v>503</v>
      </c>
      <c r="AM2173" t="s">
        <v>151</v>
      </c>
      <c r="AN2173" t="s">
        <v>504</v>
      </c>
      <c r="AO2173" t="s">
        <v>11665</v>
      </c>
      <c r="AP2173" t="s">
        <v>11666</v>
      </c>
      <c r="AQ2173" t="s">
        <v>74</v>
      </c>
      <c r="AR2173" t="s">
        <v>11667</v>
      </c>
      <c r="AS2173" t="s">
        <v>11668</v>
      </c>
      <c r="AT2173" t="s">
        <v>698</v>
      </c>
      <c r="AU2173">
        <v>2024</v>
      </c>
      <c r="AV2173">
        <v>182</v>
      </c>
      <c r="AW2173" t="s">
        <v>74</v>
      </c>
      <c r="AX2173" t="s">
        <v>74</v>
      </c>
      <c r="AY2173" t="s">
        <v>74</v>
      </c>
      <c r="AZ2173" t="s">
        <v>74</v>
      </c>
      <c r="BA2173" t="s">
        <v>74</v>
      </c>
      <c r="BB2173" t="s">
        <v>74</v>
      </c>
      <c r="BC2173" t="s">
        <v>74</v>
      </c>
      <c r="BD2173">
        <v>114791</v>
      </c>
      <c r="BE2173" t="s">
        <v>37042</v>
      </c>
      <c r="BF2173" t="str">
        <f>HYPERLINK("http://dx.doi.org/10.1016/j.jbusres.2024.114791","http://dx.doi.org/10.1016/j.jbusres.2024.114791")</f>
        <v>http://dx.doi.org/10.1016/j.jbusres.2024.114791</v>
      </c>
      <c r="BG2173" t="s">
        <v>74</v>
      </c>
      <c r="BH2173" t="s">
        <v>6256</v>
      </c>
      <c r="BI2173">
        <v>14</v>
      </c>
      <c r="BJ2173" t="s">
        <v>418</v>
      </c>
      <c r="BK2173" t="s">
        <v>99</v>
      </c>
      <c r="BL2173" t="s">
        <v>100</v>
      </c>
      <c r="BM2173" t="s">
        <v>37043</v>
      </c>
      <c r="BN2173" t="s">
        <v>74</v>
      </c>
      <c r="BO2173" t="s">
        <v>74</v>
      </c>
      <c r="BP2173" t="s">
        <v>74</v>
      </c>
      <c r="BQ2173" t="s">
        <v>74</v>
      </c>
      <c r="BR2173" t="s">
        <v>102</v>
      </c>
      <c r="BS2173" t="s">
        <v>37044</v>
      </c>
      <c r="BT2173" t="str">
        <f>HYPERLINK("https%3A%2F%2Fwww.webofscience.com%2Fwos%2Fwoscc%2Ffull-record%2FWOS:001261880400001","View Full Record in Web of Science")</f>
        <v>View Full Record in Web of Science</v>
      </c>
    </row>
    <row r="2174" spans="1:72" x14ac:dyDescent="0.25">
      <c r="A2174" t="s">
        <v>72</v>
      </c>
      <c r="B2174" t="s">
        <v>37045</v>
      </c>
      <c r="C2174" t="s">
        <v>74</v>
      </c>
      <c r="D2174" t="s">
        <v>74</v>
      </c>
      <c r="E2174" t="s">
        <v>74</v>
      </c>
      <c r="F2174" t="s">
        <v>37046</v>
      </c>
      <c r="G2174" t="s">
        <v>74</v>
      </c>
      <c r="H2174" t="s">
        <v>74</v>
      </c>
      <c r="I2174" t="s">
        <v>37047</v>
      </c>
      <c r="J2174" t="s">
        <v>11879</v>
      </c>
      <c r="K2174" t="s">
        <v>74</v>
      </c>
      <c r="L2174" t="s">
        <v>74</v>
      </c>
      <c r="M2174" t="s">
        <v>78</v>
      </c>
      <c r="N2174" t="s">
        <v>79</v>
      </c>
      <c r="O2174" t="s">
        <v>74</v>
      </c>
      <c r="P2174" t="s">
        <v>74</v>
      </c>
      <c r="Q2174" t="s">
        <v>74</v>
      </c>
      <c r="R2174" t="s">
        <v>74</v>
      </c>
      <c r="S2174" t="s">
        <v>74</v>
      </c>
      <c r="T2174" t="s">
        <v>37048</v>
      </c>
      <c r="U2174" t="s">
        <v>74</v>
      </c>
      <c r="V2174" t="s">
        <v>37049</v>
      </c>
      <c r="W2174" t="s">
        <v>37050</v>
      </c>
      <c r="X2174" t="s">
        <v>37051</v>
      </c>
      <c r="Y2174" t="s">
        <v>37052</v>
      </c>
      <c r="Z2174" t="s">
        <v>37053</v>
      </c>
      <c r="AA2174" t="s">
        <v>37054</v>
      </c>
      <c r="AB2174" t="s">
        <v>37055</v>
      </c>
      <c r="AC2174" t="s">
        <v>74</v>
      </c>
      <c r="AD2174" t="s">
        <v>74</v>
      </c>
      <c r="AE2174" t="s">
        <v>74</v>
      </c>
      <c r="AF2174" t="s">
        <v>74</v>
      </c>
      <c r="AG2174">
        <v>11</v>
      </c>
      <c r="AH2174">
        <v>0</v>
      </c>
      <c r="AI2174">
        <v>0</v>
      </c>
      <c r="AJ2174">
        <v>0</v>
      </c>
      <c r="AK2174">
        <v>0</v>
      </c>
      <c r="AL2174" t="s">
        <v>201</v>
      </c>
      <c r="AM2174" t="s">
        <v>202</v>
      </c>
      <c r="AN2174" t="s">
        <v>203</v>
      </c>
      <c r="AO2174" t="s">
        <v>11889</v>
      </c>
      <c r="AP2174" t="s">
        <v>11890</v>
      </c>
      <c r="AQ2174" t="s">
        <v>74</v>
      </c>
      <c r="AR2174" t="s">
        <v>11891</v>
      </c>
      <c r="AS2174" t="s">
        <v>11892</v>
      </c>
      <c r="AT2174" t="s">
        <v>1159</v>
      </c>
      <c r="AU2174">
        <v>2025</v>
      </c>
      <c r="AV2174">
        <v>25</v>
      </c>
      <c r="AW2174" t="s">
        <v>74</v>
      </c>
      <c r="AX2174" t="s">
        <v>74</v>
      </c>
      <c r="AY2174">
        <v>1</v>
      </c>
      <c r="AZ2174" t="s">
        <v>74</v>
      </c>
      <c r="BA2174" t="s">
        <v>74</v>
      </c>
      <c r="BB2174">
        <v>38</v>
      </c>
      <c r="BC2174">
        <v>44</v>
      </c>
      <c r="BD2174" t="s">
        <v>74</v>
      </c>
      <c r="BE2174" t="s">
        <v>37056</v>
      </c>
      <c r="BF2174" t="str">
        <f>HYPERLINK("http://dx.doi.org/10.1016/j.bir.2025.07.009","http://dx.doi.org/10.1016/j.bir.2025.07.009")</f>
        <v>http://dx.doi.org/10.1016/j.bir.2025.07.009</v>
      </c>
      <c r="BG2174" t="s">
        <v>74</v>
      </c>
      <c r="BH2174" t="s">
        <v>12078</v>
      </c>
      <c r="BI2174">
        <v>7</v>
      </c>
      <c r="BJ2174" t="s">
        <v>210</v>
      </c>
      <c r="BK2174" t="s">
        <v>99</v>
      </c>
      <c r="BL2174" t="s">
        <v>100</v>
      </c>
      <c r="BM2174" t="s">
        <v>37057</v>
      </c>
      <c r="BN2174" t="s">
        <v>74</v>
      </c>
      <c r="BO2174" t="s">
        <v>212</v>
      </c>
      <c r="BP2174" t="s">
        <v>74</v>
      </c>
      <c r="BQ2174" t="s">
        <v>74</v>
      </c>
      <c r="BR2174" t="s">
        <v>102</v>
      </c>
      <c r="BS2174" t="s">
        <v>37058</v>
      </c>
      <c r="BT2174" t="str">
        <f>HYPERLINK("https%3A%2F%2Fwww.webofscience.com%2Fwos%2Fwoscc%2Ffull-record%2FWOS:001600374300005","View Full Record in Web of Science")</f>
        <v>View Full Record in Web of Science</v>
      </c>
    </row>
    <row r="2175" spans="1:72" x14ac:dyDescent="0.25">
      <c r="A2175" t="s">
        <v>72</v>
      </c>
      <c r="B2175" t="s">
        <v>37059</v>
      </c>
      <c r="C2175" t="s">
        <v>74</v>
      </c>
      <c r="D2175" t="s">
        <v>74</v>
      </c>
      <c r="E2175" t="s">
        <v>74</v>
      </c>
      <c r="F2175" t="s">
        <v>37060</v>
      </c>
      <c r="G2175" t="s">
        <v>74</v>
      </c>
      <c r="H2175" t="s">
        <v>74</v>
      </c>
      <c r="I2175" t="s">
        <v>37061</v>
      </c>
      <c r="J2175" t="s">
        <v>16127</v>
      </c>
      <c r="K2175" t="s">
        <v>74</v>
      </c>
      <c r="L2175" t="s">
        <v>74</v>
      </c>
      <c r="M2175" t="s">
        <v>78</v>
      </c>
      <c r="N2175" t="s">
        <v>79</v>
      </c>
      <c r="O2175" t="s">
        <v>74</v>
      </c>
      <c r="P2175" t="s">
        <v>74</v>
      </c>
      <c r="Q2175" t="s">
        <v>74</v>
      </c>
      <c r="R2175" t="s">
        <v>74</v>
      </c>
      <c r="S2175" t="s">
        <v>74</v>
      </c>
      <c r="T2175" t="s">
        <v>37062</v>
      </c>
      <c r="U2175" t="s">
        <v>74</v>
      </c>
      <c r="V2175" t="s">
        <v>37063</v>
      </c>
      <c r="W2175" t="s">
        <v>37064</v>
      </c>
      <c r="X2175" t="s">
        <v>37065</v>
      </c>
      <c r="Y2175" t="s">
        <v>37066</v>
      </c>
      <c r="Z2175" t="s">
        <v>37067</v>
      </c>
      <c r="AA2175" t="s">
        <v>37068</v>
      </c>
      <c r="AB2175" t="s">
        <v>74</v>
      </c>
      <c r="AC2175" t="s">
        <v>74</v>
      </c>
      <c r="AD2175" t="s">
        <v>74</v>
      </c>
      <c r="AE2175" t="s">
        <v>74</v>
      </c>
      <c r="AF2175" t="s">
        <v>74</v>
      </c>
      <c r="AG2175">
        <v>32</v>
      </c>
      <c r="AH2175">
        <v>0</v>
      </c>
      <c r="AI2175">
        <v>0</v>
      </c>
      <c r="AJ2175">
        <v>0</v>
      </c>
      <c r="AK2175">
        <v>0</v>
      </c>
      <c r="AL2175" t="s">
        <v>16138</v>
      </c>
      <c r="AM2175" t="s">
        <v>16139</v>
      </c>
      <c r="AN2175" t="s">
        <v>16140</v>
      </c>
      <c r="AO2175" t="s">
        <v>16141</v>
      </c>
      <c r="AP2175" t="s">
        <v>16142</v>
      </c>
      <c r="AQ2175" t="s">
        <v>74</v>
      </c>
      <c r="AR2175" t="s">
        <v>16143</v>
      </c>
      <c r="AS2175" t="s">
        <v>16144</v>
      </c>
      <c r="AT2175" t="s">
        <v>1159</v>
      </c>
      <c r="AU2175">
        <v>2025</v>
      </c>
      <c r="AV2175">
        <v>29</v>
      </c>
      <c r="AW2175">
        <v>10</v>
      </c>
      <c r="AX2175" t="s">
        <v>74</v>
      </c>
      <c r="AY2175" t="s">
        <v>74</v>
      </c>
      <c r="AZ2175" t="s">
        <v>74</v>
      </c>
      <c r="BA2175" t="s">
        <v>74</v>
      </c>
      <c r="BB2175" t="s">
        <v>74</v>
      </c>
      <c r="BC2175" t="s">
        <v>74</v>
      </c>
      <c r="BD2175" t="s">
        <v>74</v>
      </c>
      <c r="BE2175" t="s">
        <v>74</v>
      </c>
      <c r="BF2175" t="s">
        <v>74</v>
      </c>
      <c r="BG2175" t="s">
        <v>74</v>
      </c>
      <c r="BH2175" t="s">
        <v>74</v>
      </c>
      <c r="BI2175">
        <v>8</v>
      </c>
      <c r="BJ2175" t="s">
        <v>7080</v>
      </c>
      <c r="BK2175" t="s">
        <v>99</v>
      </c>
      <c r="BL2175" t="s">
        <v>7080</v>
      </c>
      <c r="BM2175" t="s">
        <v>37069</v>
      </c>
      <c r="BN2175" t="s">
        <v>74</v>
      </c>
      <c r="BO2175" t="s">
        <v>74</v>
      </c>
      <c r="BP2175" t="s">
        <v>74</v>
      </c>
      <c r="BQ2175" t="s">
        <v>74</v>
      </c>
      <c r="BR2175" t="s">
        <v>102</v>
      </c>
      <c r="BS2175" t="s">
        <v>37070</v>
      </c>
      <c r="BT2175" t="str">
        <f>HYPERLINK("https%3A%2F%2Fwww.webofscience.com%2Fwos%2Fwoscc%2Ffull-record%2FWOS:001616022800013","View Full Record in Web of Science")</f>
        <v>View Full Record in Web of Science</v>
      </c>
    </row>
    <row r="2176" spans="1:72" x14ac:dyDescent="0.25">
      <c r="A2176" t="s">
        <v>132</v>
      </c>
      <c r="B2176" t="s">
        <v>37071</v>
      </c>
      <c r="C2176" t="s">
        <v>74</v>
      </c>
      <c r="D2176" t="s">
        <v>37072</v>
      </c>
      <c r="E2176" t="s">
        <v>74</v>
      </c>
      <c r="F2176" t="s">
        <v>37073</v>
      </c>
      <c r="G2176" t="s">
        <v>74</v>
      </c>
      <c r="H2176" t="s">
        <v>74</v>
      </c>
      <c r="I2176" t="s">
        <v>37074</v>
      </c>
      <c r="J2176" t="s">
        <v>37075</v>
      </c>
      <c r="K2176" t="s">
        <v>5767</v>
      </c>
      <c r="L2176" t="s">
        <v>74</v>
      </c>
      <c r="M2176" t="s">
        <v>78</v>
      </c>
      <c r="N2176" t="s">
        <v>138</v>
      </c>
      <c r="O2176" t="s">
        <v>37076</v>
      </c>
      <c r="P2176" t="s">
        <v>37077</v>
      </c>
      <c r="Q2176" t="s">
        <v>27273</v>
      </c>
      <c r="R2176" t="s">
        <v>37078</v>
      </c>
      <c r="S2176" t="s">
        <v>74</v>
      </c>
      <c r="T2176" t="s">
        <v>37079</v>
      </c>
      <c r="U2176" t="s">
        <v>74</v>
      </c>
      <c r="V2176" t="s">
        <v>37080</v>
      </c>
      <c r="W2176" t="s">
        <v>37081</v>
      </c>
      <c r="X2176" t="s">
        <v>37082</v>
      </c>
      <c r="Y2176" t="s">
        <v>37083</v>
      </c>
      <c r="Z2176" t="s">
        <v>37084</v>
      </c>
      <c r="AA2176" t="s">
        <v>37085</v>
      </c>
      <c r="AB2176" t="s">
        <v>37086</v>
      </c>
      <c r="AC2176" t="s">
        <v>37087</v>
      </c>
      <c r="AD2176" t="s">
        <v>37088</v>
      </c>
      <c r="AE2176" t="s">
        <v>37089</v>
      </c>
      <c r="AF2176" t="s">
        <v>74</v>
      </c>
      <c r="AG2176">
        <v>17</v>
      </c>
      <c r="AH2176">
        <v>1</v>
      </c>
      <c r="AI2176">
        <v>1</v>
      </c>
      <c r="AJ2176">
        <v>0</v>
      </c>
      <c r="AK2176">
        <v>7</v>
      </c>
      <c r="AL2176" t="s">
        <v>1062</v>
      </c>
      <c r="AM2176" t="s">
        <v>667</v>
      </c>
      <c r="AN2176" t="s">
        <v>668</v>
      </c>
      <c r="AO2176" t="s">
        <v>5780</v>
      </c>
      <c r="AP2176" t="s">
        <v>5781</v>
      </c>
      <c r="AQ2176" t="s">
        <v>37090</v>
      </c>
      <c r="AR2176" t="s">
        <v>5783</v>
      </c>
      <c r="AS2176" t="s">
        <v>74</v>
      </c>
      <c r="AT2176" t="s">
        <v>74</v>
      </c>
      <c r="AU2176">
        <v>2018</v>
      </c>
      <c r="AV2176" t="s">
        <v>74</v>
      </c>
      <c r="AW2176" t="s">
        <v>74</v>
      </c>
      <c r="AX2176" t="s">
        <v>74</v>
      </c>
      <c r="AY2176" t="s">
        <v>74</v>
      </c>
      <c r="AZ2176" t="s">
        <v>74</v>
      </c>
      <c r="BA2176" t="s">
        <v>74</v>
      </c>
      <c r="BB2176">
        <v>221</v>
      </c>
      <c r="BC2176">
        <v>246</v>
      </c>
      <c r="BD2176" t="s">
        <v>74</v>
      </c>
      <c r="BE2176" t="s">
        <v>37091</v>
      </c>
      <c r="BF2176" t="str">
        <f>HYPERLINK("http://dx.doi.org/10.1007/978-3-319-99555-7_14","http://dx.doi.org/10.1007/978-3-319-99555-7_14")</f>
        <v>http://dx.doi.org/10.1007/978-3-319-99555-7_14</v>
      </c>
      <c r="BG2176" t="s">
        <v>74</v>
      </c>
      <c r="BH2176" t="s">
        <v>74</v>
      </c>
      <c r="BI2176">
        <v>26</v>
      </c>
      <c r="BJ2176" t="s">
        <v>8676</v>
      </c>
      <c r="BK2176" t="s">
        <v>183</v>
      </c>
      <c r="BL2176" t="s">
        <v>7292</v>
      </c>
      <c r="BM2176" t="s">
        <v>37092</v>
      </c>
      <c r="BN2176" t="s">
        <v>74</v>
      </c>
      <c r="BO2176" t="s">
        <v>74</v>
      </c>
      <c r="BP2176" t="s">
        <v>74</v>
      </c>
      <c r="BQ2176" t="s">
        <v>74</v>
      </c>
      <c r="BR2176" t="s">
        <v>102</v>
      </c>
      <c r="BS2176" t="s">
        <v>37093</v>
      </c>
      <c r="BT2176" t="str">
        <f>HYPERLINK("https%3A%2F%2Fwww.webofscience.com%2Fwos%2Fwoscc%2Ffull-record%2FWOS:000455194200015","View Full Record in Web of Science")</f>
        <v>View Full Record in Web of Science</v>
      </c>
    </row>
    <row r="2177" spans="1:72" x14ac:dyDescent="0.25">
      <c r="A2177" t="s">
        <v>72</v>
      </c>
      <c r="B2177" t="s">
        <v>25693</v>
      </c>
      <c r="C2177" t="s">
        <v>74</v>
      </c>
      <c r="D2177" t="s">
        <v>74</v>
      </c>
      <c r="E2177" t="s">
        <v>74</v>
      </c>
      <c r="F2177" t="s">
        <v>25692</v>
      </c>
      <c r="G2177" t="s">
        <v>74</v>
      </c>
      <c r="H2177" t="s">
        <v>74</v>
      </c>
      <c r="I2177" t="s">
        <v>37094</v>
      </c>
      <c r="J2177" t="s">
        <v>1902</v>
      </c>
      <c r="K2177" t="s">
        <v>74</v>
      </c>
      <c r="L2177" t="s">
        <v>74</v>
      </c>
      <c r="M2177" t="s">
        <v>78</v>
      </c>
      <c r="N2177" t="s">
        <v>79</v>
      </c>
      <c r="O2177" t="s">
        <v>74</v>
      </c>
      <c r="P2177" t="s">
        <v>74</v>
      </c>
      <c r="Q2177" t="s">
        <v>74</v>
      </c>
      <c r="R2177" t="s">
        <v>74</v>
      </c>
      <c r="S2177" t="s">
        <v>74</v>
      </c>
      <c r="T2177" t="s">
        <v>37095</v>
      </c>
      <c r="U2177" t="s">
        <v>37096</v>
      </c>
      <c r="V2177" t="s">
        <v>37097</v>
      </c>
      <c r="W2177" t="s">
        <v>37098</v>
      </c>
      <c r="X2177" t="s">
        <v>3605</v>
      </c>
      <c r="Y2177" t="s">
        <v>37099</v>
      </c>
      <c r="Z2177" t="s">
        <v>9335</v>
      </c>
      <c r="AA2177" t="s">
        <v>37100</v>
      </c>
      <c r="AB2177" t="s">
        <v>37101</v>
      </c>
      <c r="AC2177" t="s">
        <v>74</v>
      </c>
      <c r="AD2177" t="s">
        <v>74</v>
      </c>
      <c r="AE2177" t="s">
        <v>74</v>
      </c>
      <c r="AF2177" t="s">
        <v>74</v>
      </c>
      <c r="AG2177">
        <v>64</v>
      </c>
      <c r="AH2177">
        <v>18</v>
      </c>
      <c r="AI2177">
        <v>24</v>
      </c>
      <c r="AJ2177">
        <v>1</v>
      </c>
      <c r="AK2177">
        <v>14</v>
      </c>
      <c r="AL2177" t="s">
        <v>89</v>
      </c>
      <c r="AM2177" t="s">
        <v>90</v>
      </c>
      <c r="AN2177" t="s">
        <v>91</v>
      </c>
      <c r="AO2177" t="s">
        <v>1910</v>
      </c>
      <c r="AP2177" t="s">
        <v>1911</v>
      </c>
      <c r="AQ2177" t="s">
        <v>74</v>
      </c>
      <c r="AR2177" t="s">
        <v>1912</v>
      </c>
      <c r="AS2177" t="s">
        <v>1913</v>
      </c>
      <c r="AT2177" t="s">
        <v>37102</v>
      </c>
      <c r="AU2177">
        <v>2022</v>
      </c>
      <c r="AV2177">
        <v>14</v>
      </c>
      <c r="AW2177">
        <v>5</v>
      </c>
      <c r="AX2177" t="s">
        <v>74</v>
      </c>
      <c r="AY2177" t="s">
        <v>74</v>
      </c>
      <c r="AZ2177" t="s">
        <v>74</v>
      </c>
      <c r="BA2177" t="s">
        <v>74</v>
      </c>
      <c r="BB2177">
        <v>674</v>
      </c>
      <c r="BC2177">
        <v>693</v>
      </c>
      <c r="BD2177" t="s">
        <v>74</v>
      </c>
      <c r="BE2177" t="s">
        <v>37103</v>
      </c>
      <c r="BF2177" t="str">
        <f>HYPERLINK("http://dx.doi.org/10.1108/JFEP-07-2021-0195","http://dx.doi.org/10.1108/JFEP-07-2021-0195")</f>
        <v>http://dx.doi.org/10.1108/JFEP-07-2021-0195</v>
      </c>
      <c r="BG2177" t="s">
        <v>74</v>
      </c>
      <c r="BH2177" t="s">
        <v>767</v>
      </c>
      <c r="BI2177">
        <v>20</v>
      </c>
      <c r="BJ2177" t="s">
        <v>291</v>
      </c>
      <c r="BK2177" t="s">
        <v>313</v>
      </c>
      <c r="BL2177" t="s">
        <v>100</v>
      </c>
      <c r="BM2177" t="s">
        <v>37104</v>
      </c>
      <c r="BN2177" t="s">
        <v>74</v>
      </c>
      <c r="BO2177" t="s">
        <v>74</v>
      </c>
      <c r="BP2177" t="s">
        <v>74</v>
      </c>
      <c r="BQ2177" t="s">
        <v>74</v>
      </c>
      <c r="BR2177" t="s">
        <v>102</v>
      </c>
      <c r="BS2177" t="s">
        <v>37105</v>
      </c>
      <c r="BT2177" t="str">
        <f>HYPERLINK("https%3A%2F%2Fwww.webofscience.com%2Fwos%2Fwoscc%2Ffull-record%2FWOS:000774025400001","View Full Record in Web of Science")</f>
        <v>View Full Record in Web of Science</v>
      </c>
    </row>
    <row r="2178" spans="1:72" x14ac:dyDescent="0.25">
      <c r="A2178" t="s">
        <v>72</v>
      </c>
      <c r="B2178" t="s">
        <v>37106</v>
      </c>
      <c r="C2178" t="s">
        <v>74</v>
      </c>
      <c r="D2178" t="s">
        <v>74</v>
      </c>
      <c r="E2178" t="s">
        <v>74</v>
      </c>
      <c r="F2178" t="s">
        <v>37107</v>
      </c>
      <c r="G2178" t="s">
        <v>74</v>
      </c>
      <c r="H2178" t="s">
        <v>74</v>
      </c>
      <c r="I2178" t="s">
        <v>37108</v>
      </c>
      <c r="J2178" t="s">
        <v>37109</v>
      </c>
      <c r="K2178" t="s">
        <v>74</v>
      </c>
      <c r="L2178" t="s">
        <v>74</v>
      </c>
      <c r="M2178" t="s">
        <v>78</v>
      </c>
      <c r="N2178" t="s">
        <v>79</v>
      </c>
      <c r="O2178" t="s">
        <v>74</v>
      </c>
      <c r="P2178" t="s">
        <v>74</v>
      </c>
      <c r="Q2178" t="s">
        <v>74</v>
      </c>
      <c r="R2178" t="s">
        <v>74</v>
      </c>
      <c r="S2178" t="s">
        <v>74</v>
      </c>
      <c r="T2178" t="s">
        <v>37110</v>
      </c>
      <c r="U2178" t="s">
        <v>37111</v>
      </c>
      <c r="V2178" t="s">
        <v>37112</v>
      </c>
      <c r="W2178" t="s">
        <v>37113</v>
      </c>
      <c r="X2178" t="s">
        <v>37114</v>
      </c>
      <c r="Y2178" t="s">
        <v>37115</v>
      </c>
      <c r="Z2178" t="s">
        <v>74</v>
      </c>
      <c r="AA2178" t="s">
        <v>74</v>
      </c>
      <c r="AB2178" t="s">
        <v>74</v>
      </c>
      <c r="AC2178" t="s">
        <v>74</v>
      </c>
      <c r="AD2178" t="s">
        <v>74</v>
      </c>
      <c r="AE2178" t="s">
        <v>74</v>
      </c>
      <c r="AF2178" t="s">
        <v>74</v>
      </c>
      <c r="AG2178">
        <v>65</v>
      </c>
      <c r="AH2178">
        <v>33</v>
      </c>
      <c r="AI2178">
        <v>40</v>
      </c>
      <c r="AJ2178">
        <v>1</v>
      </c>
      <c r="AK2178">
        <v>50</v>
      </c>
      <c r="AL2178" t="s">
        <v>409</v>
      </c>
      <c r="AM2178" t="s">
        <v>410</v>
      </c>
      <c r="AN2178" t="s">
        <v>411</v>
      </c>
      <c r="AO2178" t="s">
        <v>37116</v>
      </c>
      <c r="AP2178" t="s">
        <v>37117</v>
      </c>
      <c r="AQ2178" t="s">
        <v>74</v>
      </c>
      <c r="AR2178" t="s">
        <v>37118</v>
      </c>
      <c r="AS2178" t="s">
        <v>37119</v>
      </c>
      <c r="AT2178" t="s">
        <v>605</v>
      </c>
      <c r="AU2178">
        <v>2017</v>
      </c>
      <c r="AV2178">
        <v>33</v>
      </c>
      <c r="AW2178">
        <v>1</v>
      </c>
      <c r="AX2178" t="s">
        <v>74</v>
      </c>
      <c r="AY2178" t="s">
        <v>74</v>
      </c>
      <c r="AZ2178" t="s">
        <v>74</v>
      </c>
      <c r="BA2178" t="s">
        <v>74</v>
      </c>
      <c r="BB2178">
        <v>150</v>
      </c>
      <c r="BC2178">
        <v>173</v>
      </c>
      <c r="BD2178" t="s">
        <v>74</v>
      </c>
      <c r="BE2178" t="s">
        <v>37120</v>
      </c>
      <c r="BF2178" t="str">
        <f>HYPERLINK("http://dx.doi.org/10.1177/0169796X17692474","http://dx.doi.org/10.1177/0169796X17692474")</f>
        <v>http://dx.doi.org/10.1177/0169796X17692474</v>
      </c>
      <c r="BG2178" t="s">
        <v>74</v>
      </c>
      <c r="BH2178" t="s">
        <v>74</v>
      </c>
      <c r="BI2178">
        <v>24</v>
      </c>
      <c r="BJ2178" t="s">
        <v>1137</v>
      </c>
      <c r="BK2178" t="s">
        <v>313</v>
      </c>
      <c r="BL2178" t="s">
        <v>1137</v>
      </c>
      <c r="BM2178" t="s">
        <v>37121</v>
      </c>
      <c r="BN2178" t="s">
        <v>74</v>
      </c>
      <c r="BO2178" t="s">
        <v>270</v>
      </c>
      <c r="BP2178" t="s">
        <v>74</v>
      </c>
      <c r="BQ2178" t="s">
        <v>74</v>
      </c>
      <c r="BR2178" t="s">
        <v>102</v>
      </c>
      <c r="BS2178" t="s">
        <v>37122</v>
      </c>
      <c r="BT2178" t="str">
        <f>HYPERLINK("https%3A%2F%2Fwww.webofscience.com%2Fwos%2Fwoscc%2Ffull-record%2FWOS:000401992500007","View Full Record in Web of Science")</f>
        <v>View Full Record in Web of Science</v>
      </c>
    </row>
    <row r="2179" spans="1:72" x14ac:dyDescent="0.25">
      <c r="A2179" t="s">
        <v>72</v>
      </c>
      <c r="B2179" t="s">
        <v>37123</v>
      </c>
      <c r="C2179" t="s">
        <v>74</v>
      </c>
      <c r="D2179" t="s">
        <v>74</v>
      </c>
      <c r="E2179" t="s">
        <v>74</v>
      </c>
      <c r="F2179" t="s">
        <v>37124</v>
      </c>
      <c r="G2179" t="s">
        <v>74</v>
      </c>
      <c r="H2179" t="s">
        <v>74</v>
      </c>
      <c r="I2179" t="s">
        <v>37125</v>
      </c>
      <c r="J2179" t="s">
        <v>1510</v>
      </c>
      <c r="K2179" t="s">
        <v>74</v>
      </c>
      <c r="L2179" t="s">
        <v>74</v>
      </c>
      <c r="M2179" t="s">
        <v>78</v>
      </c>
      <c r="N2179" t="s">
        <v>79</v>
      </c>
      <c r="O2179" t="s">
        <v>74</v>
      </c>
      <c r="P2179" t="s">
        <v>74</v>
      </c>
      <c r="Q2179" t="s">
        <v>74</v>
      </c>
      <c r="R2179" t="s">
        <v>74</v>
      </c>
      <c r="S2179" t="s">
        <v>74</v>
      </c>
      <c r="T2179" t="s">
        <v>37126</v>
      </c>
      <c r="U2179" t="s">
        <v>74</v>
      </c>
      <c r="V2179" t="s">
        <v>37127</v>
      </c>
      <c r="W2179" t="s">
        <v>37128</v>
      </c>
      <c r="X2179" t="s">
        <v>3605</v>
      </c>
      <c r="Y2179" t="s">
        <v>37129</v>
      </c>
      <c r="Z2179" t="s">
        <v>37130</v>
      </c>
      <c r="AA2179" t="s">
        <v>37131</v>
      </c>
      <c r="AB2179" t="s">
        <v>37132</v>
      </c>
      <c r="AC2179" t="s">
        <v>37133</v>
      </c>
      <c r="AD2179" t="s">
        <v>37134</v>
      </c>
      <c r="AE2179" t="s">
        <v>37135</v>
      </c>
      <c r="AF2179" t="s">
        <v>74</v>
      </c>
      <c r="AG2179">
        <v>61</v>
      </c>
      <c r="AH2179">
        <v>5</v>
      </c>
      <c r="AI2179">
        <v>6</v>
      </c>
      <c r="AJ2179">
        <v>0</v>
      </c>
      <c r="AK2179">
        <v>4</v>
      </c>
      <c r="AL2179" t="s">
        <v>89</v>
      </c>
      <c r="AM2179" t="s">
        <v>1497</v>
      </c>
      <c r="AN2179" t="s">
        <v>1498</v>
      </c>
      <c r="AO2179" t="s">
        <v>1519</v>
      </c>
      <c r="AP2179" t="s">
        <v>1520</v>
      </c>
      <c r="AQ2179" t="s">
        <v>74</v>
      </c>
      <c r="AR2179" t="s">
        <v>1521</v>
      </c>
      <c r="AS2179" t="s">
        <v>1522</v>
      </c>
      <c r="AT2179" t="s">
        <v>37136</v>
      </c>
      <c r="AU2179">
        <v>2021</v>
      </c>
      <c r="AV2179">
        <v>48</v>
      </c>
      <c r="AW2179">
        <v>3</v>
      </c>
      <c r="AX2179" t="s">
        <v>74</v>
      </c>
      <c r="AY2179" t="s">
        <v>74</v>
      </c>
      <c r="AZ2179" t="s">
        <v>74</v>
      </c>
      <c r="BA2179" t="s">
        <v>74</v>
      </c>
      <c r="BB2179">
        <v>419</v>
      </c>
      <c r="BC2179">
        <v>436</v>
      </c>
      <c r="BD2179" t="s">
        <v>74</v>
      </c>
      <c r="BE2179" t="s">
        <v>37137</v>
      </c>
      <c r="BF2179" t="str">
        <f>HYPERLINK("http://dx.doi.org/10.1108/IJSE-06-2020-0392","http://dx.doi.org/10.1108/IJSE-06-2020-0392")</f>
        <v>http://dx.doi.org/10.1108/IJSE-06-2020-0392</v>
      </c>
      <c r="BG2179" t="s">
        <v>74</v>
      </c>
      <c r="BH2179" t="s">
        <v>11556</v>
      </c>
      <c r="BI2179">
        <v>18</v>
      </c>
      <c r="BJ2179" t="s">
        <v>291</v>
      </c>
      <c r="BK2179" t="s">
        <v>313</v>
      </c>
      <c r="BL2179" t="s">
        <v>100</v>
      </c>
      <c r="BM2179" t="s">
        <v>37138</v>
      </c>
      <c r="BN2179" t="s">
        <v>74</v>
      </c>
      <c r="BO2179" t="s">
        <v>74</v>
      </c>
      <c r="BP2179" t="s">
        <v>74</v>
      </c>
      <c r="BQ2179" t="s">
        <v>74</v>
      </c>
      <c r="BR2179" t="s">
        <v>102</v>
      </c>
      <c r="BS2179" t="s">
        <v>37139</v>
      </c>
      <c r="BT2179" t="str">
        <f>HYPERLINK("https%3A%2F%2Fwww.webofscience.com%2Fwos%2Fwoscc%2Ffull-record%2FWOS:000607828700001","View Full Record in Web of Science")</f>
        <v>View Full Record in Web of Science</v>
      </c>
    </row>
    <row r="2180" spans="1:72" x14ac:dyDescent="0.25">
      <c r="A2180" t="s">
        <v>72</v>
      </c>
      <c r="B2180" t="s">
        <v>37140</v>
      </c>
      <c r="C2180" t="s">
        <v>74</v>
      </c>
      <c r="D2180" t="s">
        <v>74</v>
      </c>
      <c r="E2180" t="s">
        <v>74</v>
      </c>
      <c r="F2180" t="s">
        <v>37141</v>
      </c>
      <c r="G2180" t="s">
        <v>74</v>
      </c>
      <c r="H2180" t="s">
        <v>74</v>
      </c>
      <c r="I2180" t="s">
        <v>37142</v>
      </c>
      <c r="J2180" t="s">
        <v>37143</v>
      </c>
      <c r="K2180" t="s">
        <v>74</v>
      </c>
      <c r="L2180" t="s">
        <v>74</v>
      </c>
      <c r="M2180" t="s">
        <v>78</v>
      </c>
      <c r="N2180" t="s">
        <v>79</v>
      </c>
      <c r="O2180" t="s">
        <v>74</v>
      </c>
      <c r="P2180" t="s">
        <v>74</v>
      </c>
      <c r="Q2180" t="s">
        <v>74</v>
      </c>
      <c r="R2180" t="s">
        <v>74</v>
      </c>
      <c r="S2180" t="s">
        <v>74</v>
      </c>
      <c r="T2180" t="s">
        <v>37144</v>
      </c>
      <c r="U2180" t="s">
        <v>74</v>
      </c>
      <c r="V2180" t="s">
        <v>37145</v>
      </c>
      <c r="W2180" t="s">
        <v>37146</v>
      </c>
      <c r="X2180" t="s">
        <v>37147</v>
      </c>
      <c r="Y2180" t="s">
        <v>37148</v>
      </c>
      <c r="Z2180" t="s">
        <v>37149</v>
      </c>
      <c r="AA2180" t="s">
        <v>37150</v>
      </c>
      <c r="AB2180" t="s">
        <v>37151</v>
      </c>
      <c r="AC2180" t="s">
        <v>74</v>
      </c>
      <c r="AD2180" t="s">
        <v>74</v>
      </c>
      <c r="AE2180" t="s">
        <v>74</v>
      </c>
      <c r="AF2180" t="s">
        <v>74</v>
      </c>
      <c r="AG2180">
        <v>20</v>
      </c>
      <c r="AH2180">
        <v>6</v>
      </c>
      <c r="AI2180">
        <v>9</v>
      </c>
      <c r="AJ2180">
        <v>1</v>
      </c>
      <c r="AK2180">
        <v>31</v>
      </c>
      <c r="AL2180" t="s">
        <v>3097</v>
      </c>
      <c r="AM2180" t="s">
        <v>3098</v>
      </c>
      <c r="AN2180" t="s">
        <v>3099</v>
      </c>
      <c r="AO2180" t="s">
        <v>37152</v>
      </c>
      <c r="AP2180" t="s">
        <v>37153</v>
      </c>
      <c r="AQ2180" t="s">
        <v>74</v>
      </c>
      <c r="AR2180" t="s">
        <v>37154</v>
      </c>
      <c r="AS2180" t="s">
        <v>37155</v>
      </c>
      <c r="AT2180" t="s">
        <v>1159</v>
      </c>
      <c r="AU2180">
        <v>2014</v>
      </c>
      <c r="AV2180">
        <v>14</v>
      </c>
      <c r="AW2180">
        <v>4</v>
      </c>
      <c r="AX2180" t="s">
        <v>74</v>
      </c>
      <c r="AY2180" t="s">
        <v>74</v>
      </c>
      <c r="AZ2180" t="s">
        <v>74</v>
      </c>
      <c r="BA2180" t="s">
        <v>74</v>
      </c>
      <c r="BB2180" t="s">
        <v>74</v>
      </c>
      <c r="BC2180" t="s">
        <v>74</v>
      </c>
      <c r="BD2180" t="s">
        <v>74</v>
      </c>
      <c r="BE2180" t="s">
        <v>37156</v>
      </c>
      <c r="BF2180" t="str">
        <f>HYPERLINK("http://dx.doi.org/10.1515/bejeap-2013-0145","http://dx.doi.org/10.1515/bejeap-2013-0145")</f>
        <v>http://dx.doi.org/10.1515/bejeap-2013-0145</v>
      </c>
      <c r="BG2180" t="s">
        <v>74</v>
      </c>
      <c r="BH2180" t="s">
        <v>74</v>
      </c>
      <c r="BI2180">
        <v>29</v>
      </c>
      <c r="BJ2180" t="s">
        <v>291</v>
      </c>
      <c r="BK2180" t="s">
        <v>99</v>
      </c>
      <c r="BL2180" t="s">
        <v>100</v>
      </c>
      <c r="BM2180" t="s">
        <v>37157</v>
      </c>
      <c r="BN2180" t="s">
        <v>74</v>
      </c>
      <c r="BO2180" t="s">
        <v>74</v>
      </c>
      <c r="BP2180" t="s">
        <v>74</v>
      </c>
      <c r="BQ2180" t="s">
        <v>74</v>
      </c>
      <c r="BR2180" t="s">
        <v>102</v>
      </c>
      <c r="BS2180" t="s">
        <v>37158</v>
      </c>
      <c r="BT2180" t="str">
        <f>HYPERLINK("https%3A%2F%2Fwww.webofscience.com%2Fwos%2Fwoscc%2Ffull-record%2FWOS:000345303800012","View Full Record in Web of Science")</f>
        <v>View Full Record in Web of Science</v>
      </c>
    </row>
    <row r="2181" spans="1:72" x14ac:dyDescent="0.25">
      <c r="A2181" t="s">
        <v>72</v>
      </c>
      <c r="B2181" t="s">
        <v>37159</v>
      </c>
      <c r="C2181" t="s">
        <v>74</v>
      </c>
      <c r="D2181" t="s">
        <v>74</v>
      </c>
      <c r="E2181" t="s">
        <v>74</v>
      </c>
      <c r="F2181" t="s">
        <v>37160</v>
      </c>
      <c r="G2181" t="s">
        <v>74</v>
      </c>
      <c r="H2181" t="s">
        <v>74</v>
      </c>
      <c r="I2181" t="s">
        <v>37161</v>
      </c>
      <c r="J2181" t="s">
        <v>35956</v>
      </c>
      <c r="K2181" t="s">
        <v>74</v>
      </c>
      <c r="L2181" t="s">
        <v>74</v>
      </c>
      <c r="M2181" t="s">
        <v>78</v>
      </c>
      <c r="N2181" t="s">
        <v>79</v>
      </c>
      <c r="O2181" t="s">
        <v>74</v>
      </c>
      <c r="P2181" t="s">
        <v>74</v>
      </c>
      <c r="Q2181" t="s">
        <v>74</v>
      </c>
      <c r="R2181" t="s">
        <v>74</v>
      </c>
      <c r="S2181" t="s">
        <v>74</v>
      </c>
      <c r="T2181" t="s">
        <v>74</v>
      </c>
      <c r="U2181" t="s">
        <v>37162</v>
      </c>
      <c r="V2181" t="s">
        <v>74</v>
      </c>
      <c r="W2181" t="s">
        <v>37163</v>
      </c>
      <c r="X2181" t="s">
        <v>37164</v>
      </c>
      <c r="Y2181" t="s">
        <v>37165</v>
      </c>
      <c r="Z2181" t="s">
        <v>37166</v>
      </c>
      <c r="AA2181" t="s">
        <v>37167</v>
      </c>
      <c r="AB2181" t="s">
        <v>74</v>
      </c>
      <c r="AC2181" t="s">
        <v>37168</v>
      </c>
      <c r="AD2181" t="s">
        <v>37169</v>
      </c>
      <c r="AE2181" t="s">
        <v>37170</v>
      </c>
      <c r="AF2181" t="s">
        <v>74</v>
      </c>
      <c r="AG2181">
        <v>140</v>
      </c>
      <c r="AH2181">
        <v>2</v>
      </c>
      <c r="AI2181">
        <v>2</v>
      </c>
      <c r="AJ2181">
        <v>12</v>
      </c>
      <c r="AK2181">
        <v>12</v>
      </c>
      <c r="AL2181" t="s">
        <v>201</v>
      </c>
      <c r="AM2181" t="s">
        <v>202</v>
      </c>
      <c r="AN2181" t="s">
        <v>203</v>
      </c>
      <c r="AO2181" t="s">
        <v>35966</v>
      </c>
      <c r="AP2181" t="s">
        <v>35967</v>
      </c>
      <c r="AQ2181" t="s">
        <v>74</v>
      </c>
      <c r="AR2181" t="s">
        <v>35968</v>
      </c>
      <c r="AS2181" t="s">
        <v>35969</v>
      </c>
      <c r="AT2181" t="s">
        <v>698</v>
      </c>
      <c r="AU2181">
        <v>2025</v>
      </c>
      <c r="AV2181">
        <v>40</v>
      </c>
      <c r="AW2181">
        <v>5</v>
      </c>
      <c r="AX2181" t="s">
        <v>74</v>
      </c>
      <c r="AY2181" t="s">
        <v>74</v>
      </c>
      <c r="AZ2181" t="s">
        <v>74</v>
      </c>
      <c r="BA2181" t="s">
        <v>74</v>
      </c>
      <c r="BB2181" t="s">
        <v>74</v>
      </c>
      <c r="BC2181" t="s">
        <v>74</v>
      </c>
      <c r="BD2181">
        <v>106525</v>
      </c>
      <c r="BE2181" t="s">
        <v>37171</v>
      </c>
      <c r="BF2181" t="str">
        <f>HYPERLINK("http://dx.doi.org/10.1016/j.jbusvent.2025.106525","http://dx.doi.org/10.1016/j.jbusvent.2025.106525")</f>
        <v>http://dx.doi.org/10.1016/j.jbusvent.2025.106525</v>
      </c>
      <c r="BG2181" t="s">
        <v>74</v>
      </c>
      <c r="BH2181" t="s">
        <v>3389</v>
      </c>
      <c r="BI2181">
        <v>24</v>
      </c>
      <c r="BJ2181" t="s">
        <v>418</v>
      </c>
      <c r="BK2181" t="s">
        <v>99</v>
      </c>
      <c r="BL2181" t="s">
        <v>100</v>
      </c>
      <c r="BM2181" t="s">
        <v>37172</v>
      </c>
      <c r="BN2181" t="s">
        <v>74</v>
      </c>
      <c r="BO2181" t="s">
        <v>466</v>
      </c>
      <c r="BP2181" t="s">
        <v>74</v>
      </c>
      <c r="BQ2181" t="s">
        <v>74</v>
      </c>
      <c r="BR2181" t="s">
        <v>102</v>
      </c>
      <c r="BS2181" t="s">
        <v>37173</v>
      </c>
      <c r="BT2181" t="str">
        <f>HYPERLINK("https%3A%2F%2Fwww.webofscience.com%2Fwos%2Fwoscc%2Ffull-record%2FWOS:001531381000001","View Full Record in Web of Science")</f>
        <v>View Full Record in Web of Science</v>
      </c>
    </row>
    <row r="2182" spans="1:72" x14ac:dyDescent="0.25">
      <c r="A2182" t="s">
        <v>72</v>
      </c>
      <c r="B2182" t="s">
        <v>37174</v>
      </c>
      <c r="C2182" t="s">
        <v>74</v>
      </c>
      <c r="D2182" t="s">
        <v>74</v>
      </c>
      <c r="E2182" t="s">
        <v>74</v>
      </c>
      <c r="F2182" t="s">
        <v>37175</v>
      </c>
      <c r="G2182" t="s">
        <v>74</v>
      </c>
      <c r="H2182" t="s">
        <v>74</v>
      </c>
      <c r="I2182" t="s">
        <v>37176</v>
      </c>
      <c r="J2182" t="s">
        <v>16089</v>
      </c>
      <c r="K2182" t="s">
        <v>74</v>
      </c>
      <c r="L2182" t="s">
        <v>74</v>
      </c>
      <c r="M2182" t="s">
        <v>78</v>
      </c>
      <c r="N2182" t="s">
        <v>79</v>
      </c>
      <c r="O2182" t="s">
        <v>74</v>
      </c>
      <c r="P2182" t="s">
        <v>74</v>
      </c>
      <c r="Q2182" t="s">
        <v>74</v>
      </c>
      <c r="R2182" t="s">
        <v>74</v>
      </c>
      <c r="S2182" t="s">
        <v>74</v>
      </c>
      <c r="T2182" t="s">
        <v>74</v>
      </c>
      <c r="U2182" t="s">
        <v>37177</v>
      </c>
      <c r="V2182" t="s">
        <v>37178</v>
      </c>
      <c r="W2182" t="s">
        <v>37179</v>
      </c>
      <c r="X2182" t="s">
        <v>37180</v>
      </c>
      <c r="Y2182" t="s">
        <v>37181</v>
      </c>
      <c r="Z2182" t="s">
        <v>37182</v>
      </c>
      <c r="AA2182" t="s">
        <v>37183</v>
      </c>
      <c r="AB2182" t="s">
        <v>37184</v>
      </c>
      <c r="AC2182" t="s">
        <v>74</v>
      </c>
      <c r="AD2182" t="s">
        <v>74</v>
      </c>
      <c r="AE2182" t="s">
        <v>74</v>
      </c>
      <c r="AF2182" t="s">
        <v>74</v>
      </c>
      <c r="AG2182">
        <v>48</v>
      </c>
      <c r="AH2182">
        <v>8</v>
      </c>
      <c r="AI2182">
        <v>9</v>
      </c>
      <c r="AJ2182">
        <v>0</v>
      </c>
      <c r="AK2182">
        <v>13</v>
      </c>
      <c r="AL2182" t="s">
        <v>16099</v>
      </c>
      <c r="AM2182" t="s">
        <v>16100</v>
      </c>
      <c r="AN2182" t="s">
        <v>16101</v>
      </c>
      <c r="AO2182" t="s">
        <v>16102</v>
      </c>
      <c r="AP2182" t="s">
        <v>16103</v>
      </c>
      <c r="AQ2182" t="s">
        <v>74</v>
      </c>
      <c r="AR2182" t="s">
        <v>16104</v>
      </c>
      <c r="AS2182" t="s">
        <v>16105</v>
      </c>
      <c r="AT2182" t="s">
        <v>208</v>
      </c>
      <c r="AU2182">
        <v>2019</v>
      </c>
      <c r="AV2182">
        <v>28</v>
      </c>
      <c r="AW2182">
        <v>1</v>
      </c>
      <c r="AX2182" t="s">
        <v>74</v>
      </c>
      <c r="AY2182" t="s">
        <v>74</v>
      </c>
      <c r="AZ2182" t="s">
        <v>441</v>
      </c>
      <c r="BA2182" t="s">
        <v>74</v>
      </c>
      <c r="BB2182">
        <v>59</v>
      </c>
      <c r="BC2182">
        <v>68</v>
      </c>
      <c r="BD2182" t="s">
        <v>74</v>
      </c>
      <c r="BE2182" t="s">
        <v>37185</v>
      </c>
      <c r="BF2182" t="str">
        <f>HYPERLINK("http://dx.doi.org/10.1002/jsc.2246","http://dx.doi.org/10.1002/jsc.2246")</f>
        <v>http://dx.doi.org/10.1002/jsc.2246</v>
      </c>
      <c r="BG2182" t="s">
        <v>74</v>
      </c>
      <c r="BH2182" t="s">
        <v>74</v>
      </c>
      <c r="BI2182">
        <v>10</v>
      </c>
      <c r="BJ2182" t="s">
        <v>268</v>
      </c>
      <c r="BK2182" t="s">
        <v>313</v>
      </c>
      <c r="BL2182" t="s">
        <v>100</v>
      </c>
      <c r="BM2182" t="s">
        <v>37186</v>
      </c>
      <c r="BN2182" t="s">
        <v>74</v>
      </c>
      <c r="BO2182" t="s">
        <v>74</v>
      </c>
      <c r="BP2182" t="s">
        <v>74</v>
      </c>
      <c r="BQ2182" t="s">
        <v>74</v>
      </c>
      <c r="BR2182" t="s">
        <v>102</v>
      </c>
      <c r="BS2182" t="s">
        <v>37187</v>
      </c>
      <c r="BT2182" t="str">
        <f>HYPERLINK("https%3A%2F%2Fwww.webofscience.com%2Fwos%2Fwoscc%2Ffull-record%2FWOS:000455576700006","View Full Record in Web of Science")</f>
        <v>View Full Record in Web of Science</v>
      </c>
    </row>
    <row r="2183" spans="1:72" x14ac:dyDescent="0.25">
      <c r="A2183" t="s">
        <v>72</v>
      </c>
      <c r="B2183" t="s">
        <v>37188</v>
      </c>
      <c r="C2183" t="s">
        <v>74</v>
      </c>
      <c r="D2183" t="s">
        <v>74</v>
      </c>
      <c r="E2183" t="s">
        <v>74</v>
      </c>
      <c r="F2183" t="s">
        <v>37189</v>
      </c>
      <c r="G2183" t="s">
        <v>74</v>
      </c>
      <c r="H2183" t="s">
        <v>74</v>
      </c>
      <c r="I2183" t="s">
        <v>37190</v>
      </c>
      <c r="J2183" t="s">
        <v>1902</v>
      </c>
      <c r="K2183" t="s">
        <v>74</v>
      </c>
      <c r="L2183" t="s">
        <v>74</v>
      </c>
      <c r="M2183" t="s">
        <v>78</v>
      </c>
      <c r="N2183" t="s">
        <v>79</v>
      </c>
      <c r="O2183" t="s">
        <v>74</v>
      </c>
      <c r="P2183" t="s">
        <v>74</v>
      </c>
      <c r="Q2183" t="s">
        <v>74</v>
      </c>
      <c r="R2183" t="s">
        <v>74</v>
      </c>
      <c r="S2183" t="s">
        <v>74</v>
      </c>
      <c r="T2183" t="s">
        <v>37191</v>
      </c>
      <c r="U2183" t="s">
        <v>37192</v>
      </c>
      <c r="V2183" t="s">
        <v>37193</v>
      </c>
      <c r="W2183" t="s">
        <v>37194</v>
      </c>
      <c r="X2183" t="s">
        <v>37195</v>
      </c>
      <c r="Y2183" t="s">
        <v>37196</v>
      </c>
      <c r="Z2183" t="s">
        <v>37197</v>
      </c>
      <c r="AA2183" t="s">
        <v>74</v>
      </c>
      <c r="AB2183" t="s">
        <v>74</v>
      </c>
      <c r="AC2183" t="s">
        <v>74</v>
      </c>
      <c r="AD2183" t="s">
        <v>74</v>
      </c>
      <c r="AE2183" t="s">
        <v>74</v>
      </c>
      <c r="AF2183" t="s">
        <v>74</v>
      </c>
      <c r="AG2183">
        <v>64</v>
      </c>
      <c r="AH2183">
        <v>3</v>
      </c>
      <c r="AI2183">
        <v>3</v>
      </c>
      <c r="AJ2183">
        <v>0</v>
      </c>
      <c r="AK2183">
        <v>2</v>
      </c>
      <c r="AL2183" t="s">
        <v>89</v>
      </c>
      <c r="AM2183" t="s">
        <v>90</v>
      </c>
      <c r="AN2183" t="s">
        <v>91</v>
      </c>
      <c r="AO2183" t="s">
        <v>1910</v>
      </c>
      <c r="AP2183" t="s">
        <v>1911</v>
      </c>
      <c r="AQ2183" t="s">
        <v>74</v>
      </c>
      <c r="AR2183" t="s">
        <v>1912</v>
      </c>
      <c r="AS2183" t="s">
        <v>1913</v>
      </c>
      <c r="AT2183" t="s">
        <v>1914</v>
      </c>
      <c r="AU2183">
        <v>2024</v>
      </c>
      <c r="AV2183">
        <v>16</v>
      </c>
      <c r="AW2183">
        <v>1</v>
      </c>
      <c r="AX2183" t="s">
        <v>74</v>
      </c>
      <c r="AY2183" t="s">
        <v>74</v>
      </c>
      <c r="AZ2183" t="s">
        <v>74</v>
      </c>
      <c r="BA2183" t="s">
        <v>74</v>
      </c>
      <c r="BB2183">
        <v>60</v>
      </c>
      <c r="BC2183">
        <v>79</v>
      </c>
      <c r="BD2183" t="s">
        <v>74</v>
      </c>
      <c r="BE2183" t="s">
        <v>37198</v>
      </c>
      <c r="BF2183" t="str">
        <f>HYPERLINK("http://dx.doi.org/10.1108/JFEP-05-2023-0114","http://dx.doi.org/10.1108/JFEP-05-2023-0114")</f>
        <v>http://dx.doi.org/10.1108/JFEP-05-2023-0114</v>
      </c>
      <c r="BG2183" t="s">
        <v>74</v>
      </c>
      <c r="BH2183" t="s">
        <v>3535</v>
      </c>
      <c r="BI2183">
        <v>20</v>
      </c>
      <c r="BJ2183" t="s">
        <v>291</v>
      </c>
      <c r="BK2183" t="s">
        <v>313</v>
      </c>
      <c r="BL2183" t="s">
        <v>100</v>
      </c>
      <c r="BM2183" t="s">
        <v>1916</v>
      </c>
      <c r="BN2183" t="s">
        <v>74</v>
      </c>
      <c r="BO2183" t="s">
        <v>74</v>
      </c>
      <c r="BP2183" t="s">
        <v>74</v>
      </c>
      <c r="BQ2183" t="s">
        <v>74</v>
      </c>
      <c r="BR2183" t="s">
        <v>102</v>
      </c>
      <c r="BS2183" t="s">
        <v>37199</v>
      </c>
      <c r="BT2183" t="str">
        <f>HYPERLINK("https%3A%2F%2Fwww.webofscience.com%2Fwos%2Fwoscc%2Ffull-record%2FWOS:001101106500001","View Full Record in Web of Science")</f>
        <v>View Full Record in Web of Science</v>
      </c>
    </row>
    <row r="2184" spans="1:72" x14ac:dyDescent="0.25">
      <c r="A2184" t="s">
        <v>72</v>
      </c>
      <c r="B2184" t="s">
        <v>37200</v>
      </c>
      <c r="C2184" t="s">
        <v>74</v>
      </c>
      <c r="D2184" t="s">
        <v>74</v>
      </c>
      <c r="E2184" t="s">
        <v>74</v>
      </c>
      <c r="F2184" t="s">
        <v>37201</v>
      </c>
      <c r="G2184" t="s">
        <v>74</v>
      </c>
      <c r="H2184" t="s">
        <v>74</v>
      </c>
      <c r="I2184" t="s">
        <v>37202</v>
      </c>
      <c r="J2184" t="s">
        <v>1963</v>
      </c>
      <c r="K2184" t="s">
        <v>74</v>
      </c>
      <c r="L2184" t="s">
        <v>74</v>
      </c>
      <c r="M2184" t="s">
        <v>78</v>
      </c>
      <c r="N2184" t="s">
        <v>79</v>
      </c>
      <c r="O2184" t="s">
        <v>74</v>
      </c>
      <c r="P2184" t="s">
        <v>74</v>
      </c>
      <c r="Q2184" t="s">
        <v>74</v>
      </c>
      <c r="R2184" t="s">
        <v>74</v>
      </c>
      <c r="S2184" t="s">
        <v>74</v>
      </c>
      <c r="T2184" t="s">
        <v>37203</v>
      </c>
      <c r="U2184" t="s">
        <v>37204</v>
      </c>
      <c r="V2184" t="s">
        <v>37205</v>
      </c>
      <c r="W2184" t="s">
        <v>37206</v>
      </c>
      <c r="X2184" t="s">
        <v>37207</v>
      </c>
      <c r="Y2184" t="s">
        <v>37208</v>
      </c>
      <c r="Z2184" t="s">
        <v>37209</v>
      </c>
      <c r="AA2184" t="s">
        <v>37210</v>
      </c>
      <c r="AB2184" t="s">
        <v>37211</v>
      </c>
      <c r="AC2184" t="s">
        <v>37212</v>
      </c>
      <c r="AD2184" t="s">
        <v>37212</v>
      </c>
      <c r="AE2184" t="s">
        <v>37213</v>
      </c>
      <c r="AF2184" t="s">
        <v>74</v>
      </c>
      <c r="AG2184">
        <v>68</v>
      </c>
      <c r="AH2184">
        <v>4</v>
      </c>
      <c r="AI2184">
        <v>4</v>
      </c>
      <c r="AJ2184">
        <v>1</v>
      </c>
      <c r="AK2184">
        <v>7</v>
      </c>
      <c r="AL2184" t="s">
        <v>332</v>
      </c>
      <c r="AM2184" t="s">
        <v>333</v>
      </c>
      <c r="AN2184" t="s">
        <v>334</v>
      </c>
      <c r="AO2184" t="s">
        <v>1975</v>
      </c>
      <c r="AP2184" t="s">
        <v>1976</v>
      </c>
      <c r="AQ2184" t="s">
        <v>74</v>
      </c>
      <c r="AR2184" t="s">
        <v>1977</v>
      </c>
      <c r="AS2184" t="s">
        <v>1978</v>
      </c>
      <c r="AT2184" t="s">
        <v>37214</v>
      </c>
      <c r="AU2184">
        <v>2025</v>
      </c>
      <c r="AV2184">
        <v>57</v>
      </c>
      <c r="AW2184">
        <v>30</v>
      </c>
      <c r="AX2184" t="s">
        <v>74</v>
      </c>
      <c r="AY2184" t="s">
        <v>74</v>
      </c>
      <c r="AZ2184" t="s">
        <v>74</v>
      </c>
      <c r="BA2184" t="s">
        <v>74</v>
      </c>
      <c r="BB2184">
        <v>4379</v>
      </c>
      <c r="BC2184">
        <v>4393</v>
      </c>
      <c r="BD2184" t="s">
        <v>74</v>
      </c>
      <c r="BE2184" t="s">
        <v>37215</v>
      </c>
      <c r="BF2184" t="str">
        <f>HYPERLINK("http://dx.doi.org/10.1080/00036846.2024.2360144","http://dx.doi.org/10.1080/00036846.2024.2360144")</f>
        <v>http://dx.doi.org/10.1080/00036846.2024.2360144</v>
      </c>
      <c r="BG2184" t="s">
        <v>74</v>
      </c>
      <c r="BH2184" t="s">
        <v>6256</v>
      </c>
      <c r="BI2184">
        <v>15</v>
      </c>
      <c r="BJ2184" t="s">
        <v>291</v>
      </c>
      <c r="BK2184" t="s">
        <v>99</v>
      </c>
      <c r="BL2184" t="s">
        <v>100</v>
      </c>
      <c r="BM2184" t="s">
        <v>37216</v>
      </c>
      <c r="BN2184" t="s">
        <v>74</v>
      </c>
      <c r="BO2184" t="s">
        <v>1205</v>
      </c>
      <c r="BP2184" t="s">
        <v>74</v>
      </c>
      <c r="BQ2184" t="s">
        <v>74</v>
      </c>
      <c r="BR2184" t="s">
        <v>102</v>
      </c>
      <c r="BS2184" t="s">
        <v>37217</v>
      </c>
      <c r="BT2184" t="str">
        <f>HYPERLINK("https%3A%2F%2Fwww.webofscience.com%2Fwos%2Fwoscc%2Ffull-record%2FWOS:001238134900001","View Full Record in Web of Science")</f>
        <v>View Full Record in Web of Science</v>
      </c>
    </row>
    <row r="2185" spans="1:72" x14ac:dyDescent="0.25">
      <c r="A2185" t="s">
        <v>72</v>
      </c>
      <c r="B2185" t="s">
        <v>37218</v>
      </c>
      <c r="C2185" t="s">
        <v>74</v>
      </c>
      <c r="D2185" t="s">
        <v>74</v>
      </c>
      <c r="E2185" t="s">
        <v>74</v>
      </c>
      <c r="F2185" t="s">
        <v>37219</v>
      </c>
      <c r="G2185" t="s">
        <v>74</v>
      </c>
      <c r="H2185" t="s">
        <v>74</v>
      </c>
      <c r="I2185" t="s">
        <v>37220</v>
      </c>
      <c r="J2185" t="s">
        <v>34159</v>
      </c>
      <c r="K2185" t="s">
        <v>74</v>
      </c>
      <c r="L2185" t="s">
        <v>74</v>
      </c>
      <c r="M2185" t="s">
        <v>78</v>
      </c>
      <c r="N2185" t="s">
        <v>79</v>
      </c>
      <c r="O2185" t="s">
        <v>74</v>
      </c>
      <c r="P2185" t="s">
        <v>74</v>
      </c>
      <c r="Q2185" t="s">
        <v>74</v>
      </c>
      <c r="R2185" t="s">
        <v>74</v>
      </c>
      <c r="S2185" t="s">
        <v>74</v>
      </c>
      <c r="T2185" t="s">
        <v>37221</v>
      </c>
      <c r="U2185" t="s">
        <v>74</v>
      </c>
      <c r="V2185" t="s">
        <v>37222</v>
      </c>
      <c r="W2185" t="s">
        <v>37223</v>
      </c>
      <c r="X2185" t="s">
        <v>28389</v>
      </c>
      <c r="Y2185" t="s">
        <v>37224</v>
      </c>
      <c r="Z2185" t="s">
        <v>37225</v>
      </c>
      <c r="AA2185" t="s">
        <v>74</v>
      </c>
      <c r="AB2185" t="s">
        <v>74</v>
      </c>
      <c r="AC2185" t="s">
        <v>74</v>
      </c>
      <c r="AD2185" t="s">
        <v>74</v>
      </c>
      <c r="AE2185" t="s">
        <v>74</v>
      </c>
      <c r="AF2185" t="s">
        <v>74</v>
      </c>
      <c r="AG2185">
        <v>83</v>
      </c>
      <c r="AH2185">
        <v>5</v>
      </c>
      <c r="AI2185">
        <v>6</v>
      </c>
      <c r="AJ2185">
        <v>5</v>
      </c>
      <c r="AK2185">
        <v>35</v>
      </c>
      <c r="AL2185" t="s">
        <v>757</v>
      </c>
      <c r="AM2185" t="s">
        <v>758</v>
      </c>
      <c r="AN2185" t="s">
        <v>759</v>
      </c>
      <c r="AO2185" t="s">
        <v>34148</v>
      </c>
      <c r="AP2185" t="s">
        <v>34147</v>
      </c>
      <c r="AQ2185" t="s">
        <v>74</v>
      </c>
      <c r="AR2185" t="s">
        <v>34146</v>
      </c>
      <c r="AS2185" t="s">
        <v>34145</v>
      </c>
      <c r="AT2185" t="s">
        <v>891</v>
      </c>
      <c r="AU2185">
        <v>2023</v>
      </c>
      <c r="AV2185">
        <v>55</v>
      </c>
      <c r="AW2185">
        <v>8</v>
      </c>
      <c r="AX2185" t="s">
        <v>74</v>
      </c>
      <c r="AY2185" t="s">
        <v>74</v>
      </c>
      <c r="AZ2185" t="s">
        <v>74</v>
      </c>
      <c r="BA2185" t="s">
        <v>74</v>
      </c>
      <c r="BB2185">
        <v>2128</v>
      </c>
      <c r="BC2185">
        <v>2146</v>
      </c>
      <c r="BD2185" t="s">
        <v>74</v>
      </c>
      <c r="BE2185" t="s">
        <v>37226</v>
      </c>
      <c r="BF2185" t="str">
        <f>HYPERLINK("http://dx.doi.org/10.1177/0308518X231174026","http://dx.doi.org/10.1177/0308518X231174026")</f>
        <v>http://dx.doi.org/10.1177/0308518X231174026</v>
      </c>
      <c r="BG2185" t="s">
        <v>74</v>
      </c>
      <c r="BH2185" t="s">
        <v>6418</v>
      </c>
      <c r="BI2185">
        <v>19</v>
      </c>
      <c r="BJ2185" t="s">
        <v>34142</v>
      </c>
      <c r="BK2185" t="s">
        <v>99</v>
      </c>
      <c r="BL2185" t="s">
        <v>34141</v>
      </c>
      <c r="BM2185" t="s">
        <v>37227</v>
      </c>
      <c r="BN2185" t="s">
        <v>74</v>
      </c>
      <c r="BO2185" t="s">
        <v>74</v>
      </c>
      <c r="BP2185" t="s">
        <v>74</v>
      </c>
      <c r="BQ2185" t="s">
        <v>74</v>
      </c>
      <c r="BR2185" t="s">
        <v>102</v>
      </c>
      <c r="BS2185" t="s">
        <v>37228</v>
      </c>
      <c r="BT2185" t="str">
        <f>HYPERLINK("https%3A%2F%2Fwww.webofscience.com%2Fwos%2Fwoscc%2Ffull-record%2FWOS:000984033100001","View Full Record in Web of Science")</f>
        <v>View Full Record in Web of Science</v>
      </c>
    </row>
    <row r="2186" spans="1:72" x14ac:dyDescent="0.25">
      <c r="A2186" t="s">
        <v>72</v>
      </c>
      <c r="B2186" t="s">
        <v>37229</v>
      </c>
      <c r="C2186" t="s">
        <v>74</v>
      </c>
      <c r="D2186" t="s">
        <v>74</v>
      </c>
      <c r="E2186" t="s">
        <v>74</v>
      </c>
      <c r="F2186" t="s">
        <v>37230</v>
      </c>
      <c r="G2186" t="s">
        <v>74</v>
      </c>
      <c r="H2186" t="s">
        <v>74</v>
      </c>
      <c r="I2186" t="s">
        <v>37231</v>
      </c>
      <c r="J2186" t="s">
        <v>7388</v>
      </c>
      <c r="K2186" t="s">
        <v>74</v>
      </c>
      <c r="L2186" t="s">
        <v>74</v>
      </c>
      <c r="M2186" t="s">
        <v>78</v>
      </c>
      <c r="N2186" t="s">
        <v>79</v>
      </c>
      <c r="O2186" t="s">
        <v>74</v>
      </c>
      <c r="P2186" t="s">
        <v>74</v>
      </c>
      <c r="Q2186" t="s">
        <v>74</v>
      </c>
      <c r="R2186" t="s">
        <v>74</v>
      </c>
      <c r="S2186" t="s">
        <v>74</v>
      </c>
      <c r="T2186" t="s">
        <v>37232</v>
      </c>
      <c r="U2186" t="s">
        <v>37233</v>
      </c>
      <c r="V2186" t="s">
        <v>37234</v>
      </c>
      <c r="W2186" t="s">
        <v>37235</v>
      </c>
      <c r="X2186" t="s">
        <v>22658</v>
      </c>
      <c r="Y2186" t="s">
        <v>37236</v>
      </c>
      <c r="Z2186" t="s">
        <v>37237</v>
      </c>
      <c r="AA2186" t="s">
        <v>74</v>
      </c>
      <c r="AB2186" t="s">
        <v>35395</v>
      </c>
      <c r="AC2186" t="s">
        <v>74</v>
      </c>
      <c r="AD2186" t="s">
        <v>74</v>
      </c>
      <c r="AE2186" t="s">
        <v>74</v>
      </c>
      <c r="AF2186" t="s">
        <v>74</v>
      </c>
      <c r="AG2186">
        <v>38</v>
      </c>
      <c r="AH2186">
        <v>1</v>
      </c>
      <c r="AI2186">
        <v>3</v>
      </c>
      <c r="AJ2186">
        <v>2</v>
      </c>
      <c r="AK2186">
        <v>7</v>
      </c>
      <c r="AL2186" t="s">
        <v>7396</v>
      </c>
      <c r="AM2186" t="s">
        <v>5203</v>
      </c>
      <c r="AN2186" t="s">
        <v>5204</v>
      </c>
      <c r="AO2186" t="s">
        <v>7397</v>
      </c>
      <c r="AP2186" t="s">
        <v>7398</v>
      </c>
      <c r="AQ2186" t="s">
        <v>74</v>
      </c>
      <c r="AR2186" t="s">
        <v>7399</v>
      </c>
      <c r="AS2186" t="s">
        <v>7400</v>
      </c>
      <c r="AT2186" t="s">
        <v>74</v>
      </c>
      <c r="AU2186">
        <v>2022</v>
      </c>
      <c r="AV2186">
        <v>20</v>
      </c>
      <c r="AW2186">
        <v>8</v>
      </c>
      <c r="AX2186" t="s">
        <v>74</v>
      </c>
      <c r="AY2186" t="s">
        <v>74</v>
      </c>
      <c r="AZ2186" t="s">
        <v>74</v>
      </c>
      <c r="BA2186" t="s">
        <v>74</v>
      </c>
      <c r="BB2186">
        <v>69</v>
      </c>
      <c r="BC2186">
        <v>79</v>
      </c>
      <c r="BD2186" t="s">
        <v>74</v>
      </c>
      <c r="BE2186" t="s">
        <v>37238</v>
      </c>
      <c r="BF2186" t="str">
        <f>HYPERLINK("http://dx.doi.org/10.15722/jds.20.08.202208.69","http://dx.doi.org/10.15722/jds.20.08.202208.69")</f>
        <v>http://dx.doi.org/10.15722/jds.20.08.202208.69</v>
      </c>
      <c r="BG2186" t="s">
        <v>74</v>
      </c>
      <c r="BH2186" t="s">
        <v>74</v>
      </c>
      <c r="BI2186">
        <v>11</v>
      </c>
      <c r="BJ2186" t="s">
        <v>98</v>
      </c>
      <c r="BK2186" t="s">
        <v>313</v>
      </c>
      <c r="BL2186" t="s">
        <v>100</v>
      </c>
      <c r="BM2186" t="s">
        <v>37239</v>
      </c>
      <c r="BN2186" t="s">
        <v>74</v>
      </c>
      <c r="BO2186" t="s">
        <v>74</v>
      </c>
      <c r="BP2186" t="s">
        <v>74</v>
      </c>
      <c r="BQ2186" t="s">
        <v>74</v>
      </c>
      <c r="BR2186" t="s">
        <v>102</v>
      </c>
      <c r="BS2186" t="s">
        <v>37240</v>
      </c>
      <c r="BT2186" t="str">
        <f>HYPERLINK("https%3A%2F%2Fwww.webofscience.com%2Fwos%2Fwoscc%2Ffull-record%2FWOS:001349626000007","View Full Record in Web of Science")</f>
        <v>View Full Record in Web of Science</v>
      </c>
    </row>
    <row r="2187" spans="1:72" x14ac:dyDescent="0.25">
      <c r="A2187" t="s">
        <v>72</v>
      </c>
      <c r="B2187" t="s">
        <v>37241</v>
      </c>
      <c r="C2187" t="s">
        <v>74</v>
      </c>
      <c r="D2187" t="s">
        <v>74</v>
      </c>
      <c r="E2187" t="s">
        <v>74</v>
      </c>
      <c r="F2187" t="s">
        <v>37242</v>
      </c>
      <c r="G2187" t="s">
        <v>74</v>
      </c>
      <c r="H2187" t="s">
        <v>74</v>
      </c>
      <c r="I2187" t="s">
        <v>37243</v>
      </c>
      <c r="J2187" t="s">
        <v>11275</v>
      </c>
      <c r="K2187" t="s">
        <v>74</v>
      </c>
      <c r="L2187" t="s">
        <v>74</v>
      </c>
      <c r="M2187" t="s">
        <v>78</v>
      </c>
      <c r="N2187" t="s">
        <v>79</v>
      </c>
      <c r="O2187" t="s">
        <v>74</v>
      </c>
      <c r="P2187" t="s">
        <v>74</v>
      </c>
      <c r="Q2187" t="s">
        <v>74</v>
      </c>
      <c r="R2187" t="s">
        <v>74</v>
      </c>
      <c r="S2187" t="s">
        <v>74</v>
      </c>
      <c r="T2187" t="s">
        <v>37244</v>
      </c>
      <c r="U2187" t="s">
        <v>37245</v>
      </c>
      <c r="V2187" t="s">
        <v>37246</v>
      </c>
      <c r="W2187" t="s">
        <v>37247</v>
      </c>
      <c r="X2187" t="s">
        <v>37248</v>
      </c>
      <c r="Y2187" t="s">
        <v>37249</v>
      </c>
      <c r="Z2187" t="s">
        <v>37250</v>
      </c>
      <c r="AA2187" t="s">
        <v>74</v>
      </c>
      <c r="AB2187" t="s">
        <v>74</v>
      </c>
      <c r="AC2187" t="s">
        <v>74</v>
      </c>
      <c r="AD2187" t="s">
        <v>74</v>
      </c>
      <c r="AE2187" t="s">
        <v>74</v>
      </c>
      <c r="AF2187" t="s">
        <v>74</v>
      </c>
      <c r="AG2187">
        <v>58</v>
      </c>
      <c r="AH2187">
        <v>33</v>
      </c>
      <c r="AI2187">
        <v>44</v>
      </c>
      <c r="AJ2187">
        <v>2</v>
      </c>
      <c r="AK2187">
        <v>21</v>
      </c>
      <c r="AL2187" t="s">
        <v>89</v>
      </c>
      <c r="AM2187" t="s">
        <v>90</v>
      </c>
      <c r="AN2187" t="s">
        <v>91</v>
      </c>
      <c r="AO2187" t="s">
        <v>11282</v>
      </c>
      <c r="AP2187" t="s">
        <v>11283</v>
      </c>
      <c r="AQ2187" t="s">
        <v>74</v>
      </c>
      <c r="AR2187" t="s">
        <v>11284</v>
      </c>
      <c r="AS2187" t="s">
        <v>11285</v>
      </c>
      <c r="AT2187" t="s">
        <v>37251</v>
      </c>
      <c r="AU2187">
        <v>2020</v>
      </c>
      <c r="AV2187">
        <v>5</v>
      </c>
      <c r="AW2187">
        <v>3</v>
      </c>
      <c r="AX2187" t="s">
        <v>74</v>
      </c>
      <c r="AY2187" t="s">
        <v>74</v>
      </c>
      <c r="AZ2187" t="s">
        <v>74</v>
      </c>
      <c r="BA2187" t="s">
        <v>74</v>
      </c>
      <c r="BB2187">
        <v>207</v>
      </c>
      <c r="BC2187">
        <v>230</v>
      </c>
      <c r="BD2187" t="s">
        <v>74</v>
      </c>
      <c r="BE2187" t="s">
        <v>37252</v>
      </c>
      <c r="BF2187" t="str">
        <f>HYPERLINK("http://dx.doi.org/10.1108/REPS-03-2020-0041","http://dx.doi.org/10.1108/REPS-03-2020-0041")</f>
        <v>http://dx.doi.org/10.1108/REPS-03-2020-0041</v>
      </c>
      <c r="BG2187" t="s">
        <v>74</v>
      </c>
      <c r="BH2187" t="s">
        <v>74</v>
      </c>
      <c r="BI2187">
        <v>24</v>
      </c>
      <c r="BJ2187" t="s">
        <v>11289</v>
      </c>
      <c r="BK2187" t="s">
        <v>313</v>
      </c>
      <c r="BL2187" t="s">
        <v>2282</v>
      </c>
      <c r="BM2187" t="s">
        <v>37253</v>
      </c>
      <c r="BN2187" t="s">
        <v>74</v>
      </c>
      <c r="BO2187" t="s">
        <v>916</v>
      </c>
      <c r="BP2187" t="s">
        <v>74</v>
      </c>
      <c r="BQ2187" t="s">
        <v>74</v>
      </c>
      <c r="BR2187" t="s">
        <v>102</v>
      </c>
      <c r="BS2187" t="s">
        <v>37254</v>
      </c>
      <c r="BT2187" t="str">
        <f>HYPERLINK("https%3A%2F%2Fwww.webofscience.com%2Fwos%2Fwoscc%2Ffull-record%2FWOS:000869866400002","View Full Record in Web of Science")</f>
        <v>View Full Record in Web of Science</v>
      </c>
    </row>
    <row r="2188" spans="1:72" x14ac:dyDescent="0.25">
      <c r="A2188" t="s">
        <v>72</v>
      </c>
      <c r="B2188" t="s">
        <v>37255</v>
      </c>
      <c r="C2188" t="s">
        <v>74</v>
      </c>
      <c r="D2188" t="s">
        <v>74</v>
      </c>
      <c r="E2188" t="s">
        <v>74</v>
      </c>
      <c r="F2188" t="s">
        <v>37256</v>
      </c>
      <c r="G2188" t="s">
        <v>74</v>
      </c>
      <c r="H2188" t="s">
        <v>74</v>
      </c>
      <c r="I2188" t="s">
        <v>37257</v>
      </c>
      <c r="J2188" t="s">
        <v>3439</v>
      </c>
      <c r="K2188" t="s">
        <v>74</v>
      </c>
      <c r="L2188" t="s">
        <v>74</v>
      </c>
      <c r="M2188" t="s">
        <v>78</v>
      </c>
      <c r="N2188" t="s">
        <v>79</v>
      </c>
      <c r="O2188" t="s">
        <v>74</v>
      </c>
      <c r="P2188" t="s">
        <v>74</v>
      </c>
      <c r="Q2188" t="s">
        <v>74</v>
      </c>
      <c r="R2188" t="s">
        <v>74</v>
      </c>
      <c r="S2188" t="s">
        <v>74</v>
      </c>
      <c r="T2188" t="s">
        <v>37258</v>
      </c>
      <c r="U2188" t="s">
        <v>37259</v>
      </c>
      <c r="V2188" t="s">
        <v>37260</v>
      </c>
      <c r="W2188" t="s">
        <v>37261</v>
      </c>
      <c r="X2188" t="s">
        <v>23538</v>
      </c>
      <c r="Y2188" t="s">
        <v>23537</v>
      </c>
      <c r="Z2188" t="s">
        <v>37262</v>
      </c>
      <c r="AA2188" t="s">
        <v>23535</v>
      </c>
      <c r="AB2188" t="s">
        <v>23534</v>
      </c>
      <c r="AC2188" t="s">
        <v>74</v>
      </c>
      <c r="AD2188" t="s">
        <v>74</v>
      </c>
      <c r="AE2188" t="s">
        <v>74</v>
      </c>
      <c r="AF2188" t="s">
        <v>74</v>
      </c>
      <c r="AG2188">
        <v>90</v>
      </c>
      <c r="AH2188">
        <v>6</v>
      </c>
      <c r="AI2188">
        <v>8</v>
      </c>
      <c r="AJ2188">
        <v>2</v>
      </c>
      <c r="AK2188">
        <v>8</v>
      </c>
      <c r="AL2188" t="s">
        <v>2481</v>
      </c>
      <c r="AM2188" t="s">
        <v>2482</v>
      </c>
      <c r="AN2188" t="s">
        <v>2483</v>
      </c>
      <c r="AO2188" t="s">
        <v>3443</v>
      </c>
      <c r="AP2188" t="s">
        <v>74</v>
      </c>
      <c r="AQ2188" t="s">
        <v>74</v>
      </c>
      <c r="AR2188" t="s">
        <v>3444</v>
      </c>
      <c r="AS2188" t="s">
        <v>3445</v>
      </c>
      <c r="AT2188" t="s">
        <v>2970</v>
      </c>
      <c r="AU2188">
        <v>2022</v>
      </c>
      <c r="AV2188">
        <v>10</v>
      </c>
      <c r="AW2188">
        <v>1</v>
      </c>
      <c r="AX2188" t="s">
        <v>74</v>
      </c>
      <c r="AY2188" t="s">
        <v>74</v>
      </c>
      <c r="AZ2188" t="s">
        <v>74</v>
      </c>
      <c r="BA2188" t="s">
        <v>74</v>
      </c>
      <c r="BB2188" t="s">
        <v>74</v>
      </c>
      <c r="BC2188" t="s">
        <v>74</v>
      </c>
      <c r="BD2188">
        <v>2131230</v>
      </c>
      <c r="BE2188" t="s">
        <v>37263</v>
      </c>
      <c r="BF2188" t="str">
        <f>HYPERLINK("http://dx.doi.org/10.1080/23322039.2022.2131230","http://dx.doi.org/10.1080/23322039.2022.2131230")</f>
        <v>http://dx.doi.org/10.1080/23322039.2022.2131230</v>
      </c>
      <c r="BG2188" t="s">
        <v>74</v>
      </c>
      <c r="BH2188" t="s">
        <v>74</v>
      </c>
      <c r="BI2188">
        <v>20</v>
      </c>
      <c r="BJ2188" t="s">
        <v>291</v>
      </c>
      <c r="BK2188" t="s">
        <v>313</v>
      </c>
      <c r="BL2188" t="s">
        <v>100</v>
      </c>
      <c r="BM2188" t="s">
        <v>37264</v>
      </c>
      <c r="BN2188" t="s">
        <v>74</v>
      </c>
      <c r="BO2188" t="s">
        <v>916</v>
      </c>
      <c r="BP2188" t="s">
        <v>74</v>
      </c>
      <c r="BQ2188" t="s">
        <v>74</v>
      </c>
      <c r="BR2188" t="s">
        <v>102</v>
      </c>
      <c r="BS2188" t="s">
        <v>37265</v>
      </c>
      <c r="BT2188" t="str">
        <f>HYPERLINK("https%3A%2F%2Fwww.webofscience.com%2Fwos%2Fwoscc%2Ffull-record%2FWOS:000866233600001","View Full Record in Web of Science")</f>
        <v>View Full Record in Web of Science</v>
      </c>
    </row>
    <row r="2189" spans="1:72" x14ac:dyDescent="0.25">
      <c r="A2189" t="s">
        <v>72</v>
      </c>
      <c r="B2189" t="s">
        <v>37266</v>
      </c>
      <c r="C2189" t="s">
        <v>74</v>
      </c>
      <c r="D2189" t="s">
        <v>74</v>
      </c>
      <c r="E2189" t="s">
        <v>74</v>
      </c>
      <c r="F2189" t="s">
        <v>37267</v>
      </c>
      <c r="G2189" t="s">
        <v>74</v>
      </c>
      <c r="H2189" t="s">
        <v>74</v>
      </c>
      <c r="I2189" t="s">
        <v>37268</v>
      </c>
      <c r="J2189" t="s">
        <v>2943</v>
      </c>
      <c r="K2189" t="s">
        <v>74</v>
      </c>
      <c r="L2189" t="s">
        <v>74</v>
      </c>
      <c r="M2189" t="s">
        <v>78</v>
      </c>
      <c r="N2189" t="s">
        <v>79</v>
      </c>
      <c r="O2189" t="s">
        <v>74</v>
      </c>
      <c r="P2189" t="s">
        <v>74</v>
      </c>
      <c r="Q2189" t="s">
        <v>74</v>
      </c>
      <c r="R2189" t="s">
        <v>74</v>
      </c>
      <c r="S2189" t="s">
        <v>74</v>
      </c>
      <c r="T2189" t="s">
        <v>37269</v>
      </c>
      <c r="U2189" t="s">
        <v>37270</v>
      </c>
      <c r="V2189" t="s">
        <v>37271</v>
      </c>
      <c r="W2189" t="s">
        <v>37272</v>
      </c>
      <c r="X2189" t="s">
        <v>30921</v>
      </c>
      <c r="Y2189" t="s">
        <v>30920</v>
      </c>
      <c r="Z2189" t="s">
        <v>37273</v>
      </c>
      <c r="AA2189" t="s">
        <v>37274</v>
      </c>
      <c r="AB2189" t="s">
        <v>37275</v>
      </c>
      <c r="AC2189" t="s">
        <v>37276</v>
      </c>
      <c r="AD2189" t="s">
        <v>37277</v>
      </c>
      <c r="AE2189" t="s">
        <v>37278</v>
      </c>
      <c r="AF2189" t="s">
        <v>74</v>
      </c>
      <c r="AG2189">
        <v>74</v>
      </c>
      <c r="AH2189">
        <v>3</v>
      </c>
      <c r="AI2189">
        <v>4</v>
      </c>
      <c r="AJ2189">
        <v>9</v>
      </c>
      <c r="AK2189">
        <v>20</v>
      </c>
      <c r="AL2189" t="s">
        <v>385</v>
      </c>
      <c r="AM2189" t="s">
        <v>151</v>
      </c>
      <c r="AN2189" t="s">
        <v>386</v>
      </c>
      <c r="AO2189" t="s">
        <v>2952</v>
      </c>
      <c r="AP2189" t="s">
        <v>2953</v>
      </c>
      <c r="AQ2189" t="s">
        <v>74</v>
      </c>
      <c r="AR2189" t="s">
        <v>2954</v>
      </c>
      <c r="AS2189" t="s">
        <v>2955</v>
      </c>
      <c r="AT2189" t="s">
        <v>10107</v>
      </c>
      <c r="AU2189">
        <v>2025</v>
      </c>
      <c r="AV2189">
        <v>11</v>
      </c>
      <c r="AW2189">
        <v>1</v>
      </c>
      <c r="AX2189" t="s">
        <v>74</v>
      </c>
      <c r="AY2189" t="s">
        <v>74</v>
      </c>
      <c r="AZ2189" t="s">
        <v>74</v>
      </c>
      <c r="BA2189" t="s">
        <v>74</v>
      </c>
      <c r="BB2189" t="s">
        <v>74</v>
      </c>
      <c r="BC2189" t="s">
        <v>74</v>
      </c>
      <c r="BD2189">
        <v>26</v>
      </c>
      <c r="BE2189" t="s">
        <v>37279</v>
      </c>
      <c r="BF2189" t="str">
        <f>HYPERLINK("http://dx.doi.org/10.1186/s43093-025-00432-x","http://dx.doi.org/10.1186/s43093-025-00432-x")</f>
        <v>http://dx.doi.org/10.1186/s43093-025-00432-x</v>
      </c>
      <c r="BG2189" t="s">
        <v>74</v>
      </c>
      <c r="BH2189" t="s">
        <v>74</v>
      </c>
      <c r="BI2189">
        <v>22</v>
      </c>
      <c r="BJ2189" t="s">
        <v>418</v>
      </c>
      <c r="BK2189" t="s">
        <v>313</v>
      </c>
      <c r="BL2189" t="s">
        <v>100</v>
      </c>
      <c r="BM2189" t="s">
        <v>37280</v>
      </c>
      <c r="BN2189" t="s">
        <v>74</v>
      </c>
      <c r="BO2189" t="s">
        <v>212</v>
      </c>
      <c r="BP2189" t="s">
        <v>74</v>
      </c>
      <c r="BQ2189" t="s">
        <v>74</v>
      </c>
      <c r="BR2189" t="s">
        <v>102</v>
      </c>
      <c r="BS2189" t="s">
        <v>37281</v>
      </c>
      <c r="BT2189" t="str">
        <f>HYPERLINK("https%3A%2F%2Fwww.webofscience.com%2Fwos%2Fwoscc%2Ffull-record%2FWOS:001436211400001","View Full Record in Web of Science")</f>
        <v>View Full Record in Web of Science</v>
      </c>
    </row>
    <row r="2190" spans="1:72" x14ac:dyDescent="0.25">
      <c r="A2190" t="s">
        <v>72</v>
      </c>
      <c r="B2190" t="s">
        <v>37282</v>
      </c>
      <c r="C2190" t="s">
        <v>74</v>
      </c>
      <c r="D2190" t="s">
        <v>74</v>
      </c>
      <c r="E2190" t="s">
        <v>74</v>
      </c>
      <c r="F2190" t="s">
        <v>37283</v>
      </c>
      <c r="G2190" t="s">
        <v>74</v>
      </c>
      <c r="H2190" t="s">
        <v>74</v>
      </c>
      <c r="I2190" t="s">
        <v>37284</v>
      </c>
      <c r="J2190" t="s">
        <v>9372</v>
      </c>
      <c r="K2190" t="s">
        <v>74</v>
      </c>
      <c r="L2190" t="s">
        <v>74</v>
      </c>
      <c r="M2190" t="s">
        <v>78</v>
      </c>
      <c r="N2190" t="s">
        <v>79</v>
      </c>
      <c r="O2190" t="s">
        <v>74</v>
      </c>
      <c r="P2190" t="s">
        <v>74</v>
      </c>
      <c r="Q2190" t="s">
        <v>74</v>
      </c>
      <c r="R2190" t="s">
        <v>74</v>
      </c>
      <c r="S2190" t="s">
        <v>74</v>
      </c>
      <c r="T2190" t="s">
        <v>37285</v>
      </c>
      <c r="U2190" t="s">
        <v>1369</v>
      </c>
      <c r="V2190" t="s">
        <v>37286</v>
      </c>
      <c r="W2190" t="s">
        <v>37287</v>
      </c>
      <c r="X2190" t="s">
        <v>37288</v>
      </c>
      <c r="Y2190" t="s">
        <v>37289</v>
      </c>
      <c r="Z2190" t="s">
        <v>37290</v>
      </c>
      <c r="AA2190" t="s">
        <v>74</v>
      </c>
      <c r="AB2190" t="s">
        <v>37291</v>
      </c>
      <c r="AC2190" t="s">
        <v>74</v>
      </c>
      <c r="AD2190" t="s">
        <v>74</v>
      </c>
      <c r="AE2190" t="s">
        <v>74</v>
      </c>
      <c r="AF2190" t="s">
        <v>74</v>
      </c>
      <c r="AG2190">
        <v>86</v>
      </c>
      <c r="AH2190">
        <v>9</v>
      </c>
      <c r="AI2190">
        <v>9</v>
      </c>
      <c r="AJ2190">
        <v>8</v>
      </c>
      <c r="AK2190">
        <v>28</v>
      </c>
      <c r="AL2190" t="s">
        <v>201</v>
      </c>
      <c r="AM2190" t="s">
        <v>202</v>
      </c>
      <c r="AN2190" t="s">
        <v>203</v>
      </c>
      <c r="AO2190" t="s">
        <v>9384</v>
      </c>
      <c r="AP2190" t="s">
        <v>9385</v>
      </c>
      <c r="AQ2190" t="s">
        <v>74</v>
      </c>
      <c r="AR2190" t="s">
        <v>9386</v>
      </c>
      <c r="AS2190" t="s">
        <v>9387</v>
      </c>
      <c r="AT2190" t="s">
        <v>289</v>
      </c>
      <c r="AU2190">
        <v>2024</v>
      </c>
      <c r="AV2190">
        <v>71</v>
      </c>
      <c r="AW2190" t="s">
        <v>74</v>
      </c>
      <c r="AX2190" t="s">
        <v>74</v>
      </c>
      <c r="AY2190" t="s">
        <v>74</v>
      </c>
      <c r="AZ2190" t="s">
        <v>74</v>
      </c>
      <c r="BA2190" t="s">
        <v>74</v>
      </c>
      <c r="BB2190" t="s">
        <v>74</v>
      </c>
      <c r="BC2190" t="s">
        <v>74</v>
      </c>
      <c r="BD2190">
        <v>102483</v>
      </c>
      <c r="BE2190" t="s">
        <v>37292</v>
      </c>
      <c r="BF2190" t="str">
        <f>HYPERLINK("http://dx.doi.org/10.1016/j.ribaf.2024.102483","http://dx.doi.org/10.1016/j.ribaf.2024.102483")</f>
        <v>http://dx.doi.org/10.1016/j.ribaf.2024.102483</v>
      </c>
      <c r="BG2190" t="s">
        <v>74</v>
      </c>
      <c r="BH2190" t="s">
        <v>2524</v>
      </c>
      <c r="BI2190">
        <v>21</v>
      </c>
      <c r="BJ2190" t="s">
        <v>268</v>
      </c>
      <c r="BK2190" t="s">
        <v>99</v>
      </c>
      <c r="BL2190" t="s">
        <v>100</v>
      </c>
      <c r="BM2190" t="s">
        <v>37293</v>
      </c>
      <c r="BN2190" t="s">
        <v>74</v>
      </c>
      <c r="BO2190" t="s">
        <v>466</v>
      </c>
      <c r="BP2190" t="s">
        <v>74</v>
      </c>
      <c r="BQ2190" t="s">
        <v>74</v>
      </c>
      <c r="BR2190" t="s">
        <v>102</v>
      </c>
      <c r="BS2190" t="s">
        <v>37294</v>
      </c>
      <c r="BT2190" t="str">
        <f>HYPERLINK("https%3A%2F%2Fwww.webofscience.com%2Fwos%2Fwoscc%2Ffull-record%2FWOS:001272112400001","View Full Record in Web of Science")</f>
        <v>View Full Record in Web of Science</v>
      </c>
    </row>
    <row r="2191" spans="1:72" x14ac:dyDescent="0.25">
      <c r="A2191" t="s">
        <v>132</v>
      </c>
      <c r="B2191" t="s">
        <v>37295</v>
      </c>
      <c r="C2191" t="s">
        <v>74</v>
      </c>
      <c r="D2191" t="s">
        <v>37296</v>
      </c>
      <c r="E2191" t="s">
        <v>74</v>
      </c>
      <c r="F2191" t="s">
        <v>37297</v>
      </c>
      <c r="G2191" t="s">
        <v>74</v>
      </c>
      <c r="H2191" t="s">
        <v>74</v>
      </c>
      <c r="I2191" t="s">
        <v>37298</v>
      </c>
      <c r="J2191" t="s">
        <v>37299</v>
      </c>
      <c r="K2191" t="s">
        <v>1049</v>
      </c>
      <c r="L2191" t="s">
        <v>74</v>
      </c>
      <c r="M2191" t="s">
        <v>78</v>
      </c>
      <c r="N2191" t="s">
        <v>138</v>
      </c>
      <c r="O2191" t="s">
        <v>37300</v>
      </c>
      <c r="P2191" t="s">
        <v>37301</v>
      </c>
      <c r="Q2191" t="s">
        <v>9765</v>
      </c>
      <c r="R2191" t="s">
        <v>74</v>
      </c>
      <c r="S2191" t="s">
        <v>74</v>
      </c>
      <c r="T2191" t="s">
        <v>37302</v>
      </c>
      <c r="U2191" t="s">
        <v>74</v>
      </c>
      <c r="V2191" t="s">
        <v>37303</v>
      </c>
      <c r="W2191" t="s">
        <v>37304</v>
      </c>
      <c r="X2191" t="s">
        <v>37305</v>
      </c>
      <c r="Y2191" t="s">
        <v>37306</v>
      </c>
      <c r="Z2191" t="s">
        <v>37307</v>
      </c>
      <c r="AA2191" t="s">
        <v>37308</v>
      </c>
      <c r="AB2191" t="s">
        <v>37309</v>
      </c>
      <c r="AC2191" t="s">
        <v>74</v>
      </c>
      <c r="AD2191" t="s">
        <v>74</v>
      </c>
      <c r="AE2191" t="s">
        <v>74</v>
      </c>
      <c r="AF2191" t="s">
        <v>74</v>
      </c>
      <c r="AG2191">
        <v>19</v>
      </c>
      <c r="AH2191">
        <v>0</v>
      </c>
      <c r="AI2191">
        <v>2</v>
      </c>
      <c r="AJ2191">
        <v>0</v>
      </c>
      <c r="AK2191">
        <v>0</v>
      </c>
      <c r="AL2191" t="s">
        <v>1062</v>
      </c>
      <c r="AM2191" t="s">
        <v>667</v>
      </c>
      <c r="AN2191" t="s">
        <v>668</v>
      </c>
      <c r="AO2191" t="s">
        <v>1063</v>
      </c>
      <c r="AP2191" t="s">
        <v>1064</v>
      </c>
      <c r="AQ2191" t="s">
        <v>37310</v>
      </c>
      <c r="AR2191" t="s">
        <v>1066</v>
      </c>
      <c r="AS2191" t="s">
        <v>74</v>
      </c>
      <c r="AT2191" t="s">
        <v>74</v>
      </c>
      <c r="AU2191">
        <v>2024</v>
      </c>
      <c r="AV2191">
        <v>1154</v>
      </c>
      <c r="AW2191" t="s">
        <v>74</v>
      </c>
      <c r="AX2191" t="s">
        <v>74</v>
      </c>
      <c r="AY2191" t="s">
        <v>74</v>
      </c>
      <c r="AZ2191" t="s">
        <v>74</v>
      </c>
      <c r="BA2191" t="s">
        <v>74</v>
      </c>
      <c r="BB2191">
        <v>67</v>
      </c>
      <c r="BC2191">
        <v>76</v>
      </c>
      <c r="BD2191" t="s">
        <v>74</v>
      </c>
      <c r="BE2191" t="s">
        <v>37311</v>
      </c>
      <c r="BF2191" t="str">
        <f>HYPERLINK("http://dx.doi.org/10.1007/978-3-031-73110-5_5","http://dx.doi.org/10.1007/978-3-031-73110-5_5")</f>
        <v>http://dx.doi.org/10.1007/978-3-031-73110-5_5</v>
      </c>
      <c r="BG2191" t="s">
        <v>74</v>
      </c>
      <c r="BH2191" t="s">
        <v>74</v>
      </c>
      <c r="BI2191">
        <v>10</v>
      </c>
      <c r="BJ2191" t="s">
        <v>37312</v>
      </c>
      <c r="BK2191" t="s">
        <v>156</v>
      </c>
      <c r="BL2191" t="s">
        <v>157</v>
      </c>
      <c r="BM2191" t="s">
        <v>37313</v>
      </c>
      <c r="BN2191" t="s">
        <v>74</v>
      </c>
      <c r="BO2191" t="s">
        <v>74</v>
      </c>
      <c r="BP2191" t="s">
        <v>74</v>
      </c>
      <c r="BQ2191" t="s">
        <v>74</v>
      </c>
      <c r="BR2191" t="s">
        <v>102</v>
      </c>
      <c r="BS2191" t="s">
        <v>37314</v>
      </c>
      <c r="BT2191" t="str">
        <f>HYPERLINK("https%3A%2F%2Fwww.webofscience.com%2Fwos%2Fwoscc%2Ffull-record%2FWOS:001587590700005","View Full Record in Web of Science")</f>
        <v>View Full Record in Web of Science</v>
      </c>
    </row>
    <row r="2192" spans="1:72" x14ac:dyDescent="0.25">
      <c r="A2192" t="s">
        <v>72</v>
      </c>
      <c r="B2192" t="s">
        <v>37315</v>
      </c>
      <c r="C2192" t="s">
        <v>74</v>
      </c>
      <c r="D2192" t="s">
        <v>74</v>
      </c>
      <c r="E2192" t="s">
        <v>74</v>
      </c>
      <c r="F2192" t="s">
        <v>37316</v>
      </c>
      <c r="G2192" t="s">
        <v>74</v>
      </c>
      <c r="H2192" t="s">
        <v>74</v>
      </c>
      <c r="I2192" t="s">
        <v>37317</v>
      </c>
      <c r="J2192" t="s">
        <v>33542</v>
      </c>
      <c r="K2192" t="s">
        <v>74</v>
      </c>
      <c r="L2192" t="s">
        <v>74</v>
      </c>
      <c r="M2192" t="s">
        <v>78</v>
      </c>
      <c r="N2192" t="s">
        <v>79</v>
      </c>
      <c r="O2192" t="s">
        <v>74</v>
      </c>
      <c r="P2192" t="s">
        <v>74</v>
      </c>
      <c r="Q2192" t="s">
        <v>74</v>
      </c>
      <c r="R2192" t="s">
        <v>74</v>
      </c>
      <c r="S2192" t="s">
        <v>74</v>
      </c>
      <c r="T2192" t="s">
        <v>37318</v>
      </c>
      <c r="U2192" t="s">
        <v>37319</v>
      </c>
      <c r="V2192" t="s">
        <v>37320</v>
      </c>
      <c r="W2192" t="s">
        <v>37321</v>
      </c>
      <c r="X2192" t="s">
        <v>37322</v>
      </c>
      <c r="Y2192" t="s">
        <v>37323</v>
      </c>
      <c r="Z2192" t="s">
        <v>37324</v>
      </c>
      <c r="AA2192" t="s">
        <v>37325</v>
      </c>
      <c r="AB2192" t="s">
        <v>37326</v>
      </c>
      <c r="AC2192" t="s">
        <v>74</v>
      </c>
      <c r="AD2192" t="s">
        <v>74</v>
      </c>
      <c r="AE2192" t="s">
        <v>74</v>
      </c>
      <c r="AF2192" t="s">
        <v>74</v>
      </c>
      <c r="AG2192">
        <v>37</v>
      </c>
      <c r="AH2192">
        <v>1</v>
      </c>
      <c r="AI2192">
        <v>1</v>
      </c>
      <c r="AJ2192">
        <v>1</v>
      </c>
      <c r="AK2192">
        <v>6</v>
      </c>
      <c r="AL2192" t="s">
        <v>33547</v>
      </c>
      <c r="AM2192" t="s">
        <v>33546</v>
      </c>
      <c r="AN2192" t="s">
        <v>33545</v>
      </c>
      <c r="AO2192" t="s">
        <v>33544</v>
      </c>
      <c r="AP2192" t="s">
        <v>33543</v>
      </c>
      <c r="AQ2192" t="s">
        <v>74</v>
      </c>
      <c r="AR2192" t="s">
        <v>33542</v>
      </c>
      <c r="AS2192" t="s">
        <v>33541</v>
      </c>
      <c r="AT2192" t="s">
        <v>74</v>
      </c>
      <c r="AU2192">
        <v>2023</v>
      </c>
      <c r="AV2192">
        <v>22</v>
      </c>
      <c r="AW2192">
        <v>1</v>
      </c>
      <c r="AX2192" t="s">
        <v>74</v>
      </c>
      <c r="AY2192" t="s">
        <v>74</v>
      </c>
      <c r="AZ2192" t="s">
        <v>74</v>
      </c>
      <c r="BA2192" t="s">
        <v>74</v>
      </c>
      <c r="BB2192">
        <v>15</v>
      </c>
      <c r="BC2192">
        <v>30</v>
      </c>
      <c r="BD2192" t="s">
        <v>74</v>
      </c>
      <c r="BE2192" t="s">
        <v>37327</v>
      </c>
      <c r="BF2192" t="str">
        <f>HYPERLINK("http://dx.doi.org/10.15408/etk.v22i1.26632","http://dx.doi.org/10.15408/etk.v22i1.26632")</f>
        <v>http://dx.doi.org/10.15408/etk.v22i1.26632</v>
      </c>
      <c r="BG2192" t="s">
        <v>74</v>
      </c>
      <c r="BH2192" t="s">
        <v>74</v>
      </c>
      <c r="BI2192">
        <v>16</v>
      </c>
      <c r="BJ2192" t="s">
        <v>291</v>
      </c>
      <c r="BK2192" t="s">
        <v>313</v>
      </c>
      <c r="BL2192" t="s">
        <v>100</v>
      </c>
      <c r="BM2192" t="s">
        <v>37328</v>
      </c>
      <c r="BN2192" t="s">
        <v>74</v>
      </c>
      <c r="BO2192" t="s">
        <v>212</v>
      </c>
      <c r="BP2192" t="s">
        <v>74</v>
      </c>
      <c r="BQ2192" t="s">
        <v>74</v>
      </c>
      <c r="BR2192" t="s">
        <v>102</v>
      </c>
      <c r="BS2192" t="s">
        <v>37329</v>
      </c>
      <c r="BT2192" t="str">
        <f>HYPERLINK("https%3A%2F%2Fwww.webofscience.com%2Fwos%2Fwoscc%2Ffull-record%2FWOS:000961485100002","View Full Record in Web of Science")</f>
        <v>View Full Record in Web of Science</v>
      </c>
    </row>
    <row r="2193" spans="1:72" x14ac:dyDescent="0.25">
      <c r="A2193" t="s">
        <v>72</v>
      </c>
      <c r="B2193" t="s">
        <v>37330</v>
      </c>
      <c r="C2193" t="s">
        <v>74</v>
      </c>
      <c r="D2193" t="s">
        <v>74</v>
      </c>
      <c r="E2193" t="s">
        <v>74</v>
      </c>
      <c r="F2193" t="s">
        <v>37331</v>
      </c>
      <c r="G2193" t="s">
        <v>74</v>
      </c>
      <c r="H2193" t="s">
        <v>74</v>
      </c>
      <c r="I2193" t="s">
        <v>37332</v>
      </c>
      <c r="J2193" t="s">
        <v>37333</v>
      </c>
      <c r="K2193" t="s">
        <v>74</v>
      </c>
      <c r="L2193" t="s">
        <v>74</v>
      </c>
      <c r="M2193" t="s">
        <v>78</v>
      </c>
      <c r="N2193" t="s">
        <v>79</v>
      </c>
      <c r="O2193" t="s">
        <v>74</v>
      </c>
      <c r="P2193" t="s">
        <v>74</v>
      </c>
      <c r="Q2193" t="s">
        <v>74</v>
      </c>
      <c r="R2193" t="s">
        <v>74</v>
      </c>
      <c r="S2193" t="s">
        <v>74</v>
      </c>
      <c r="T2193" t="s">
        <v>37334</v>
      </c>
      <c r="U2193" t="s">
        <v>37335</v>
      </c>
      <c r="V2193" t="s">
        <v>37336</v>
      </c>
      <c r="W2193" t="s">
        <v>37337</v>
      </c>
      <c r="X2193" t="s">
        <v>37338</v>
      </c>
      <c r="Y2193" t="s">
        <v>37339</v>
      </c>
      <c r="Z2193" t="s">
        <v>37340</v>
      </c>
      <c r="AA2193" t="s">
        <v>74</v>
      </c>
      <c r="AB2193" t="s">
        <v>74</v>
      </c>
      <c r="AC2193" t="s">
        <v>74</v>
      </c>
      <c r="AD2193" t="s">
        <v>74</v>
      </c>
      <c r="AE2193" t="s">
        <v>74</v>
      </c>
      <c r="AF2193" t="s">
        <v>74</v>
      </c>
      <c r="AG2193">
        <v>44</v>
      </c>
      <c r="AH2193">
        <v>5</v>
      </c>
      <c r="AI2193">
        <v>7</v>
      </c>
      <c r="AJ2193">
        <v>0</v>
      </c>
      <c r="AK2193">
        <v>13</v>
      </c>
      <c r="AL2193" t="s">
        <v>385</v>
      </c>
      <c r="AM2193" t="s">
        <v>151</v>
      </c>
      <c r="AN2193" t="s">
        <v>386</v>
      </c>
      <c r="AO2193" t="s">
        <v>37341</v>
      </c>
      <c r="AP2193" t="s">
        <v>37342</v>
      </c>
      <c r="AQ2193" t="s">
        <v>74</v>
      </c>
      <c r="AR2193" t="s">
        <v>37343</v>
      </c>
      <c r="AS2193" t="s">
        <v>37344</v>
      </c>
      <c r="AT2193" t="s">
        <v>1159</v>
      </c>
      <c r="AU2193">
        <v>2020</v>
      </c>
      <c r="AV2193">
        <v>45</v>
      </c>
      <c r="AW2193">
        <v>5</v>
      </c>
      <c r="AX2193" t="s">
        <v>74</v>
      </c>
      <c r="AY2193" t="s">
        <v>74</v>
      </c>
      <c r="AZ2193" t="s">
        <v>74</v>
      </c>
      <c r="BA2193" t="s">
        <v>74</v>
      </c>
      <c r="BB2193">
        <v>955</v>
      </c>
      <c r="BC2193">
        <v>969</v>
      </c>
      <c r="BD2193" t="s">
        <v>74</v>
      </c>
      <c r="BE2193" t="s">
        <v>37345</v>
      </c>
      <c r="BF2193" t="str">
        <f>HYPERLINK("http://dx.doi.org/10.1007/s12103-019-09515-2","http://dx.doi.org/10.1007/s12103-019-09515-2")</f>
        <v>http://dx.doi.org/10.1007/s12103-019-09515-2</v>
      </c>
      <c r="BG2193" t="s">
        <v>74</v>
      </c>
      <c r="BH2193" t="s">
        <v>74</v>
      </c>
      <c r="BI2193">
        <v>15</v>
      </c>
      <c r="BJ2193" t="s">
        <v>3573</v>
      </c>
      <c r="BK2193" t="s">
        <v>99</v>
      </c>
      <c r="BL2193" t="s">
        <v>3573</v>
      </c>
      <c r="BM2193" t="s">
        <v>37346</v>
      </c>
      <c r="BN2193" t="s">
        <v>74</v>
      </c>
      <c r="BO2193" t="s">
        <v>74</v>
      </c>
      <c r="BP2193" t="s">
        <v>74</v>
      </c>
      <c r="BQ2193" t="s">
        <v>74</v>
      </c>
      <c r="BR2193" t="s">
        <v>102</v>
      </c>
      <c r="BS2193" t="s">
        <v>37347</v>
      </c>
      <c r="BT2193" t="str">
        <f>HYPERLINK("https%3A%2F%2Fwww.webofscience.com%2Fwos%2Fwoscc%2Ffull-record%2FWOS:000563459000008","View Full Record in Web of Science")</f>
        <v>View Full Record in Web of Science</v>
      </c>
    </row>
    <row r="2194" spans="1:72" x14ac:dyDescent="0.25">
      <c r="A2194" t="s">
        <v>72</v>
      </c>
      <c r="B2194" t="s">
        <v>37348</v>
      </c>
      <c r="C2194" t="s">
        <v>74</v>
      </c>
      <c r="D2194" t="s">
        <v>74</v>
      </c>
      <c r="E2194" t="s">
        <v>74</v>
      </c>
      <c r="F2194" t="s">
        <v>37349</v>
      </c>
      <c r="G2194" t="s">
        <v>74</v>
      </c>
      <c r="H2194" t="s">
        <v>74</v>
      </c>
      <c r="I2194" t="s">
        <v>37350</v>
      </c>
      <c r="J2194" t="s">
        <v>37351</v>
      </c>
      <c r="K2194" t="s">
        <v>74</v>
      </c>
      <c r="L2194" t="s">
        <v>74</v>
      </c>
      <c r="M2194" t="s">
        <v>298</v>
      </c>
      <c r="N2194" t="s">
        <v>79</v>
      </c>
      <c r="O2194" t="s">
        <v>74</v>
      </c>
      <c r="P2194" t="s">
        <v>74</v>
      </c>
      <c r="Q2194" t="s">
        <v>74</v>
      </c>
      <c r="R2194" t="s">
        <v>74</v>
      </c>
      <c r="S2194" t="s">
        <v>74</v>
      </c>
      <c r="T2194" t="s">
        <v>37352</v>
      </c>
      <c r="U2194" t="s">
        <v>74</v>
      </c>
      <c r="V2194" t="s">
        <v>37353</v>
      </c>
      <c r="W2194" t="s">
        <v>37354</v>
      </c>
      <c r="X2194" t="s">
        <v>37355</v>
      </c>
      <c r="Y2194" t="s">
        <v>37356</v>
      </c>
      <c r="Z2194" t="s">
        <v>37357</v>
      </c>
      <c r="AA2194" t="s">
        <v>74</v>
      </c>
      <c r="AB2194" t="s">
        <v>74</v>
      </c>
      <c r="AC2194" t="s">
        <v>74</v>
      </c>
      <c r="AD2194" t="s">
        <v>74</v>
      </c>
      <c r="AE2194" t="s">
        <v>74</v>
      </c>
      <c r="AF2194" t="s">
        <v>74</v>
      </c>
      <c r="AG2194">
        <v>29</v>
      </c>
      <c r="AH2194">
        <v>0</v>
      </c>
      <c r="AI2194">
        <v>0</v>
      </c>
      <c r="AJ2194">
        <v>0</v>
      </c>
      <c r="AK2194">
        <v>5</v>
      </c>
      <c r="AL2194" t="s">
        <v>37358</v>
      </c>
      <c r="AM2194" t="s">
        <v>16016</v>
      </c>
      <c r="AN2194" t="s">
        <v>37359</v>
      </c>
      <c r="AO2194" t="s">
        <v>37360</v>
      </c>
      <c r="AP2194" t="s">
        <v>37361</v>
      </c>
      <c r="AQ2194" t="s">
        <v>74</v>
      </c>
      <c r="AR2194" t="s">
        <v>37362</v>
      </c>
      <c r="AS2194" t="s">
        <v>37363</v>
      </c>
      <c r="AT2194" t="s">
        <v>23250</v>
      </c>
      <c r="AU2194">
        <v>2018</v>
      </c>
      <c r="AV2194" t="s">
        <v>74</v>
      </c>
      <c r="AW2194">
        <v>31</v>
      </c>
      <c r="AX2194" t="s">
        <v>74</v>
      </c>
      <c r="AY2194" t="s">
        <v>3790</v>
      </c>
      <c r="AZ2194" t="s">
        <v>74</v>
      </c>
      <c r="BA2194" t="s">
        <v>74</v>
      </c>
      <c r="BB2194">
        <v>173</v>
      </c>
      <c r="BC2194">
        <v>192</v>
      </c>
      <c r="BD2194" t="s">
        <v>74</v>
      </c>
      <c r="BE2194" t="s">
        <v>37364</v>
      </c>
      <c r="BF2194" t="str">
        <f>HYPERLINK("http://dx.doi.org/10.19052/ed.4418","http://dx.doi.org/10.19052/ed.4418")</f>
        <v>http://dx.doi.org/10.19052/ed.4418</v>
      </c>
      <c r="BG2194" t="s">
        <v>74</v>
      </c>
      <c r="BH2194" t="s">
        <v>74</v>
      </c>
      <c r="BI2194">
        <v>20</v>
      </c>
      <c r="BJ2194" t="s">
        <v>21627</v>
      </c>
      <c r="BK2194" t="s">
        <v>313</v>
      </c>
      <c r="BL2194" t="s">
        <v>21627</v>
      </c>
      <c r="BM2194" t="s">
        <v>37365</v>
      </c>
      <c r="BN2194" t="s">
        <v>74</v>
      </c>
      <c r="BO2194" t="s">
        <v>212</v>
      </c>
      <c r="BP2194" t="s">
        <v>74</v>
      </c>
      <c r="BQ2194" t="s">
        <v>74</v>
      </c>
      <c r="BR2194" t="s">
        <v>102</v>
      </c>
      <c r="BS2194" t="s">
        <v>37366</v>
      </c>
      <c r="BT2194" t="str">
        <f>HYPERLINK("https%3A%2F%2Fwww.webofscience.com%2Fwos%2Fwoscc%2Ffull-record%2FWOS:000435506500010","View Full Record in Web of Science")</f>
        <v>View Full Record in Web of Science</v>
      </c>
    </row>
    <row r="2195" spans="1:72" x14ac:dyDescent="0.25">
      <c r="A2195" t="s">
        <v>72</v>
      </c>
      <c r="B2195" t="s">
        <v>37367</v>
      </c>
      <c r="C2195" t="s">
        <v>74</v>
      </c>
      <c r="D2195" t="s">
        <v>74</v>
      </c>
      <c r="E2195" t="s">
        <v>74</v>
      </c>
      <c r="F2195" t="s">
        <v>37368</v>
      </c>
      <c r="G2195" t="s">
        <v>74</v>
      </c>
      <c r="H2195" t="s">
        <v>74</v>
      </c>
      <c r="I2195" t="s">
        <v>37369</v>
      </c>
      <c r="J2195" t="s">
        <v>7501</v>
      </c>
      <c r="K2195" t="s">
        <v>74</v>
      </c>
      <c r="L2195" t="s">
        <v>74</v>
      </c>
      <c r="M2195" t="s">
        <v>78</v>
      </c>
      <c r="N2195" t="s">
        <v>79</v>
      </c>
      <c r="O2195" t="s">
        <v>74</v>
      </c>
      <c r="P2195" t="s">
        <v>74</v>
      </c>
      <c r="Q2195" t="s">
        <v>74</v>
      </c>
      <c r="R2195" t="s">
        <v>74</v>
      </c>
      <c r="S2195" t="s">
        <v>74</v>
      </c>
      <c r="T2195" t="s">
        <v>37370</v>
      </c>
      <c r="U2195" t="s">
        <v>37371</v>
      </c>
      <c r="V2195" t="s">
        <v>37372</v>
      </c>
      <c r="W2195" t="s">
        <v>37373</v>
      </c>
      <c r="X2195" t="s">
        <v>37374</v>
      </c>
      <c r="Y2195" t="s">
        <v>37375</v>
      </c>
      <c r="Z2195" t="s">
        <v>37376</v>
      </c>
      <c r="AA2195" t="s">
        <v>37377</v>
      </c>
      <c r="AB2195" t="s">
        <v>37378</v>
      </c>
      <c r="AC2195" t="s">
        <v>74</v>
      </c>
      <c r="AD2195" t="s">
        <v>74</v>
      </c>
      <c r="AE2195" t="s">
        <v>74</v>
      </c>
      <c r="AF2195" t="s">
        <v>74</v>
      </c>
      <c r="AG2195">
        <v>31</v>
      </c>
      <c r="AH2195">
        <v>5</v>
      </c>
      <c r="AI2195">
        <v>6</v>
      </c>
      <c r="AJ2195">
        <v>0</v>
      </c>
      <c r="AK2195">
        <v>5</v>
      </c>
      <c r="AL2195" t="s">
        <v>7513</v>
      </c>
      <c r="AM2195" t="s">
        <v>7514</v>
      </c>
      <c r="AN2195" t="s">
        <v>7515</v>
      </c>
      <c r="AO2195" t="s">
        <v>7516</v>
      </c>
      <c r="AP2195" t="s">
        <v>7517</v>
      </c>
      <c r="AQ2195" t="s">
        <v>74</v>
      </c>
      <c r="AR2195" t="s">
        <v>7518</v>
      </c>
      <c r="AS2195" t="s">
        <v>7519</v>
      </c>
      <c r="AT2195" t="s">
        <v>74</v>
      </c>
      <c r="AU2195">
        <v>2020</v>
      </c>
      <c r="AV2195">
        <v>11</v>
      </c>
      <c r="AW2195">
        <v>1</v>
      </c>
      <c r="AX2195" t="s">
        <v>74</v>
      </c>
      <c r="AY2195" t="s">
        <v>74</v>
      </c>
      <c r="AZ2195" t="s">
        <v>74</v>
      </c>
      <c r="BA2195" t="s">
        <v>74</v>
      </c>
      <c r="BB2195" t="s">
        <v>74</v>
      </c>
      <c r="BC2195" t="s">
        <v>74</v>
      </c>
      <c r="BD2195" t="s">
        <v>37379</v>
      </c>
      <c r="BE2195" t="s">
        <v>37380</v>
      </c>
      <c r="BF2195" t="str">
        <f>HYPERLINK("http://dx.doi.org/10.14456/ITJEMAST.2020.18","http://dx.doi.org/10.14456/ITJEMAST.2020.18")</f>
        <v>http://dx.doi.org/10.14456/ITJEMAST.2020.18</v>
      </c>
      <c r="BG2195" t="s">
        <v>74</v>
      </c>
      <c r="BH2195" t="s">
        <v>74</v>
      </c>
      <c r="BI2195">
        <v>11</v>
      </c>
      <c r="BJ2195" t="s">
        <v>559</v>
      </c>
      <c r="BK2195" t="s">
        <v>313</v>
      </c>
      <c r="BL2195" t="s">
        <v>560</v>
      </c>
      <c r="BM2195" t="s">
        <v>37381</v>
      </c>
      <c r="BN2195" t="s">
        <v>74</v>
      </c>
      <c r="BO2195" t="s">
        <v>74</v>
      </c>
      <c r="BP2195" t="s">
        <v>74</v>
      </c>
      <c r="BQ2195" t="s">
        <v>74</v>
      </c>
      <c r="BR2195" t="s">
        <v>102</v>
      </c>
      <c r="BS2195" t="s">
        <v>37382</v>
      </c>
      <c r="BT2195" t="str">
        <f>HYPERLINK("https%3A%2F%2Fwww.webofscience.com%2Fwos%2Fwoscc%2Ffull-record%2FWOS:000506664000017","View Full Record in Web of Science")</f>
        <v>View Full Record in Web of Science</v>
      </c>
    </row>
    <row r="2196" spans="1:72" x14ac:dyDescent="0.25">
      <c r="A2196" t="s">
        <v>72</v>
      </c>
      <c r="B2196" t="s">
        <v>37383</v>
      </c>
      <c r="C2196" t="s">
        <v>74</v>
      </c>
      <c r="D2196" t="s">
        <v>74</v>
      </c>
      <c r="E2196" t="s">
        <v>74</v>
      </c>
      <c r="F2196" t="s">
        <v>37384</v>
      </c>
      <c r="G2196" t="s">
        <v>74</v>
      </c>
      <c r="H2196" t="s">
        <v>74</v>
      </c>
      <c r="I2196" t="s">
        <v>37385</v>
      </c>
      <c r="J2196" t="s">
        <v>12916</v>
      </c>
      <c r="K2196" t="s">
        <v>74</v>
      </c>
      <c r="L2196" t="s">
        <v>74</v>
      </c>
      <c r="M2196" t="s">
        <v>78</v>
      </c>
      <c r="N2196" t="s">
        <v>79</v>
      </c>
      <c r="O2196" t="s">
        <v>74</v>
      </c>
      <c r="P2196" t="s">
        <v>74</v>
      </c>
      <c r="Q2196" t="s">
        <v>74</v>
      </c>
      <c r="R2196" t="s">
        <v>74</v>
      </c>
      <c r="S2196" t="s">
        <v>74</v>
      </c>
      <c r="T2196" t="s">
        <v>37386</v>
      </c>
      <c r="U2196" t="s">
        <v>37387</v>
      </c>
      <c r="V2196" t="s">
        <v>37388</v>
      </c>
      <c r="W2196" t="s">
        <v>37389</v>
      </c>
      <c r="X2196" t="s">
        <v>74</v>
      </c>
      <c r="Y2196" t="s">
        <v>37390</v>
      </c>
      <c r="Z2196" t="s">
        <v>37391</v>
      </c>
      <c r="AA2196" t="s">
        <v>74</v>
      </c>
      <c r="AB2196" t="s">
        <v>37392</v>
      </c>
      <c r="AC2196" t="s">
        <v>74</v>
      </c>
      <c r="AD2196" t="s">
        <v>74</v>
      </c>
      <c r="AE2196" t="s">
        <v>74</v>
      </c>
      <c r="AF2196" t="s">
        <v>74</v>
      </c>
      <c r="AG2196">
        <v>90</v>
      </c>
      <c r="AH2196">
        <v>4</v>
      </c>
      <c r="AI2196">
        <v>4</v>
      </c>
      <c r="AJ2196">
        <v>5</v>
      </c>
      <c r="AK2196">
        <v>31</v>
      </c>
      <c r="AL2196" t="s">
        <v>385</v>
      </c>
      <c r="AM2196" t="s">
        <v>1153</v>
      </c>
      <c r="AN2196" t="s">
        <v>1154</v>
      </c>
      <c r="AO2196" t="s">
        <v>12921</v>
      </c>
      <c r="AP2196" t="s">
        <v>37393</v>
      </c>
      <c r="AQ2196" t="s">
        <v>74</v>
      </c>
      <c r="AR2196" t="s">
        <v>12922</v>
      </c>
      <c r="AS2196" t="s">
        <v>12923</v>
      </c>
      <c r="AT2196" t="s">
        <v>289</v>
      </c>
      <c r="AU2196">
        <v>2024</v>
      </c>
      <c r="AV2196">
        <v>82</v>
      </c>
      <c r="AW2196">
        <v>1</v>
      </c>
      <c r="AX2196" t="s">
        <v>74</v>
      </c>
      <c r="AY2196" t="s">
        <v>74</v>
      </c>
      <c r="AZ2196" t="s">
        <v>74</v>
      </c>
      <c r="BA2196" t="s">
        <v>74</v>
      </c>
      <c r="BB2196">
        <v>165</v>
      </c>
      <c r="BC2196">
        <v>196</v>
      </c>
      <c r="BD2196" t="s">
        <v>74</v>
      </c>
      <c r="BE2196" t="s">
        <v>37394</v>
      </c>
      <c r="BF2196" t="str">
        <f>HYPERLINK("http://dx.doi.org/10.1007/s10611-024-10138-w","http://dx.doi.org/10.1007/s10611-024-10138-w")</f>
        <v>http://dx.doi.org/10.1007/s10611-024-10138-w</v>
      </c>
      <c r="BG2196" t="s">
        <v>74</v>
      </c>
      <c r="BH2196" t="s">
        <v>239</v>
      </c>
      <c r="BI2196">
        <v>32</v>
      </c>
      <c r="BJ2196" t="s">
        <v>12925</v>
      </c>
      <c r="BK2196" t="s">
        <v>99</v>
      </c>
      <c r="BL2196" t="s">
        <v>12926</v>
      </c>
      <c r="BM2196" t="s">
        <v>37395</v>
      </c>
      <c r="BN2196" t="s">
        <v>74</v>
      </c>
      <c r="BO2196" t="s">
        <v>74</v>
      </c>
      <c r="BP2196" t="s">
        <v>74</v>
      </c>
      <c r="BQ2196" t="s">
        <v>74</v>
      </c>
      <c r="BR2196" t="s">
        <v>102</v>
      </c>
      <c r="BS2196" t="s">
        <v>37396</v>
      </c>
      <c r="BT2196" t="str">
        <f>HYPERLINK("https%3A%2F%2Fwww.webofscience.com%2Fwos%2Fwoscc%2Ffull-record%2FWOS:001147587800001","View Full Record in Web of Science")</f>
        <v>View Full Record in Web of Science</v>
      </c>
    </row>
    <row r="2197" spans="1:72" x14ac:dyDescent="0.25">
      <c r="A2197" t="s">
        <v>72</v>
      </c>
      <c r="B2197" t="s">
        <v>37397</v>
      </c>
      <c r="C2197" t="s">
        <v>74</v>
      </c>
      <c r="D2197" t="s">
        <v>74</v>
      </c>
      <c r="E2197" t="s">
        <v>74</v>
      </c>
      <c r="F2197" t="s">
        <v>37398</v>
      </c>
      <c r="G2197" t="s">
        <v>74</v>
      </c>
      <c r="H2197" t="s">
        <v>74</v>
      </c>
      <c r="I2197" t="s">
        <v>37399</v>
      </c>
      <c r="J2197" t="s">
        <v>1510</v>
      </c>
      <c r="K2197" t="s">
        <v>74</v>
      </c>
      <c r="L2197" t="s">
        <v>74</v>
      </c>
      <c r="M2197" t="s">
        <v>78</v>
      </c>
      <c r="N2197" t="s">
        <v>79</v>
      </c>
      <c r="O2197" t="s">
        <v>74</v>
      </c>
      <c r="P2197" t="s">
        <v>74</v>
      </c>
      <c r="Q2197" t="s">
        <v>74</v>
      </c>
      <c r="R2197" t="s">
        <v>74</v>
      </c>
      <c r="S2197" t="s">
        <v>74</v>
      </c>
      <c r="T2197" t="s">
        <v>37400</v>
      </c>
      <c r="U2197" t="s">
        <v>37401</v>
      </c>
      <c r="V2197" t="s">
        <v>37402</v>
      </c>
      <c r="W2197" t="s">
        <v>37403</v>
      </c>
      <c r="X2197" t="s">
        <v>37404</v>
      </c>
      <c r="Y2197" t="s">
        <v>37405</v>
      </c>
      <c r="Z2197" t="s">
        <v>37406</v>
      </c>
      <c r="AA2197" t="s">
        <v>37407</v>
      </c>
      <c r="AB2197" t="s">
        <v>37408</v>
      </c>
      <c r="AC2197" t="s">
        <v>37409</v>
      </c>
      <c r="AD2197" t="s">
        <v>37410</v>
      </c>
      <c r="AE2197" t="s">
        <v>37411</v>
      </c>
      <c r="AF2197" t="s">
        <v>74</v>
      </c>
      <c r="AG2197">
        <v>49</v>
      </c>
      <c r="AH2197">
        <v>4</v>
      </c>
      <c r="AI2197">
        <v>6</v>
      </c>
      <c r="AJ2197">
        <v>2</v>
      </c>
      <c r="AK2197">
        <v>11</v>
      </c>
      <c r="AL2197" t="s">
        <v>89</v>
      </c>
      <c r="AM2197" t="s">
        <v>90</v>
      </c>
      <c r="AN2197" t="s">
        <v>91</v>
      </c>
      <c r="AO2197" t="s">
        <v>1519</v>
      </c>
      <c r="AP2197" t="s">
        <v>1520</v>
      </c>
      <c r="AQ2197" t="s">
        <v>74</v>
      </c>
      <c r="AR2197" t="s">
        <v>1521</v>
      </c>
      <c r="AS2197" t="s">
        <v>1522</v>
      </c>
      <c r="AT2197" t="s">
        <v>37412</v>
      </c>
      <c r="AU2197">
        <v>2023</v>
      </c>
      <c r="AV2197">
        <v>50</v>
      </c>
      <c r="AW2197">
        <v>9</v>
      </c>
      <c r="AX2197" t="s">
        <v>74</v>
      </c>
      <c r="AY2197" t="s">
        <v>74</v>
      </c>
      <c r="AZ2197" t="s">
        <v>74</v>
      </c>
      <c r="BA2197" t="s">
        <v>74</v>
      </c>
      <c r="BB2197">
        <v>1217</v>
      </c>
      <c r="BC2197">
        <v>1231</v>
      </c>
      <c r="BD2197" t="s">
        <v>74</v>
      </c>
      <c r="BE2197" t="s">
        <v>37413</v>
      </c>
      <c r="BF2197" t="str">
        <f>HYPERLINK("http://dx.doi.org/10.1108/IJSE-05-2022-0364","http://dx.doi.org/10.1108/IJSE-05-2022-0364")</f>
        <v>http://dx.doi.org/10.1108/IJSE-05-2022-0364</v>
      </c>
      <c r="BG2197" t="s">
        <v>74</v>
      </c>
      <c r="BH2197" t="s">
        <v>7904</v>
      </c>
      <c r="BI2197">
        <v>15</v>
      </c>
      <c r="BJ2197" t="s">
        <v>291</v>
      </c>
      <c r="BK2197" t="s">
        <v>313</v>
      </c>
      <c r="BL2197" t="s">
        <v>100</v>
      </c>
      <c r="BM2197" t="s">
        <v>37414</v>
      </c>
      <c r="BN2197" t="s">
        <v>74</v>
      </c>
      <c r="BO2197" t="s">
        <v>74</v>
      </c>
      <c r="BP2197" t="s">
        <v>74</v>
      </c>
      <c r="BQ2197" t="s">
        <v>74</v>
      </c>
      <c r="BR2197" t="s">
        <v>102</v>
      </c>
      <c r="BS2197" t="s">
        <v>37415</v>
      </c>
      <c r="BT2197" t="str">
        <f>HYPERLINK("https%3A%2F%2Fwww.webofscience.com%2Fwos%2Fwoscc%2Ffull-record%2FWOS:000900964200001","View Full Record in Web of Science")</f>
        <v>View Full Record in Web of Science</v>
      </c>
    </row>
    <row r="2198" spans="1:72" x14ac:dyDescent="0.25">
      <c r="A2198" t="s">
        <v>72</v>
      </c>
      <c r="B2198" t="s">
        <v>37416</v>
      </c>
      <c r="C2198" t="s">
        <v>74</v>
      </c>
      <c r="D2198" t="s">
        <v>74</v>
      </c>
      <c r="E2198" t="s">
        <v>74</v>
      </c>
      <c r="F2198" t="s">
        <v>37417</v>
      </c>
      <c r="G2198" t="s">
        <v>74</v>
      </c>
      <c r="H2198" t="s">
        <v>74</v>
      </c>
      <c r="I2198" t="s">
        <v>37418</v>
      </c>
      <c r="J2198" t="s">
        <v>4956</v>
      </c>
      <c r="K2198" t="s">
        <v>74</v>
      </c>
      <c r="L2198" t="s">
        <v>74</v>
      </c>
      <c r="M2198" t="s">
        <v>78</v>
      </c>
      <c r="N2198" t="s">
        <v>1766</v>
      </c>
      <c r="O2198" t="s">
        <v>74</v>
      </c>
      <c r="P2198" t="s">
        <v>74</v>
      </c>
      <c r="Q2198" t="s">
        <v>74</v>
      </c>
      <c r="R2198" t="s">
        <v>74</v>
      </c>
      <c r="S2198" t="s">
        <v>74</v>
      </c>
      <c r="T2198" t="s">
        <v>37419</v>
      </c>
      <c r="U2198" t="s">
        <v>37420</v>
      </c>
      <c r="V2198" t="s">
        <v>37421</v>
      </c>
      <c r="W2198" t="s">
        <v>37422</v>
      </c>
      <c r="X2198" t="s">
        <v>37423</v>
      </c>
      <c r="Y2198" t="s">
        <v>37424</v>
      </c>
      <c r="Z2198" t="s">
        <v>37425</v>
      </c>
      <c r="AA2198" t="s">
        <v>37426</v>
      </c>
      <c r="AB2198" t="s">
        <v>37427</v>
      </c>
      <c r="AC2198" t="s">
        <v>37428</v>
      </c>
      <c r="AD2198" t="s">
        <v>37429</v>
      </c>
      <c r="AE2198" t="s">
        <v>37430</v>
      </c>
      <c r="AF2198" t="s">
        <v>74</v>
      </c>
      <c r="AG2198">
        <v>129</v>
      </c>
      <c r="AH2198">
        <v>68</v>
      </c>
      <c r="AI2198">
        <v>86</v>
      </c>
      <c r="AJ2198">
        <v>4</v>
      </c>
      <c r="AK2198">
        <v>111</v>
      </c>
      <c r="AL2198" t="s">
        <v>230</v>
      </c>
      <c r="AM2198" t="s">
        <v>231</v>
      </c>
      <c r="AN2198" t="s">
        <v>232</v>
      </c>
      <c r="AO2198" t="s">
        <v>4966</v>
      </c>
      <c r="AP2198" t="s">
        <v>4967</v>
      </c>
      <c r="AQ2198" t="s">
        <v>74</v>
      </c>
      <c r="AR2198" t="s">
        <v>4968</v>
      </c>
      <c r="AS2198" t="s">
        <v>4969</v>
      </c>
      <c r="AT2198" t="s">
        <v>743</v>
      </c>
      <c r="AU2198">
        <v>2018</v>
      </c>
      <c r="AV2198">
        <v>104</v>
      </c>
      <c r="AW2198" t="s">
        <v>74</v>
      </c>
      <c r="AX2198" t="s">
        <v>74</v>
      </c>
      <c r="AY2198" t="s">
        <v>74</v>
      </c>
      <c r="AZ2198" t="s">
        <v>74</v>
      </c>
      <c r="BA2198" t="s">
        <v>74</v>
      </c>
      <c r="BB2198">
        <v>238</v>
      </c>
      <c r="BC2198">
        <v>256</v>
      </c>
      <c r="BD2198" t="s">
        <v>74</v>
      </c>
      <c r="BE2198" t="s">
        <v>37431</v>
      </c>
      <c r="BF2198" t="str">
        <f>HYPERLINK("http://dx.doi.org/10.1016/j.worlddev.2017.11.018","http://dx.doi.org/10.1016/j.worlddev.2017.11.018")</f>
        <v>http://dx.doi.org/10.1016/j.worlddev.2017.11.018</v>
      </c>
      <c r="BG2198" t="s">
        <v>74</v>
      </c>
      <c r="BH2198" t="s">
        <v>74</v>
      </c>
      <c r="BI2198">
        <v>19</v>
      </c>
      <c r="BJ2198" t="s">
        <v>701</v>
      </c>
      <c r="BK2198" t="s">
        <v>99</v>
      </c>
      <c r="BL2198" t="s">
        <v>702</v>
      </c>
      <c r="BM2198" t="s">
        <v>37432</v>
      </c>
      <c r="BN2198" t="s">
        <v>74</v>
      </c>
      <c r="BO2198" t="s">
        <v>74</v>
      </c>
      <c r="BP2198" t="s">
        <v>74</v>
      </c>
      <c r="BQ2198" t="s">
        <v>74</v>
      </c>
      <c r="BR2198" t="s">
        <v>102</v>
      </c>
      <c r="BS2198" t="s">
        <v>37433</v>
      </c>
      <c r="BT2198" t="str">
        <f>HYPERLINK("https%3A%2F%2Fwww.webofscience.com%2Fwos%2Fwoscc%2Ffull-record%2FWOS:000424852900017","View Full Record in Web of Science")</f>
        <v>View Full Record in Web of Science</v>
      </c>
    </row>
    <row r="2199" spans="1:72" x14ac:dyDescent="0.25">
      <c r="A2199" t="s">
        <v>72</v>
      </c>
      <c r="B2199" t="s">
        <v>37434</v>
      </c>
      <c r="C2199" t="s">
        <v>74</v>
      </c>
      <c r="D2199" t="s">
        <v>74</v>
      </c>
      <c r="E2199" t="s">
        <v>74</v>
      </c>
      <c r="F2199" t="s">
        <v>37435</v>
      </c>
      <c r="G2199" t="s">
        <v>74</v>
      </c>
      <c r="H2199" t="s">
        <v>74</v>
      </c>
      <c r="I2199" t="s">
        <v>37436</v>
      </c>
      <c r="J2199" t="s">
        <v>2809</v>
      </c>
      <c r="K2199" t="s">
        <v>74</v>
      </c>
      <c r="L2199" t="s">
        <v>74</v>
      </c>
      <c r="M2199" t="s">
        <v>78</v>
      </c>
      <c r="N2199" t="s">
        <v>79</v>
      </c>
      <c r="O2199" t="s">
        <v>74</v>
      </c>
      <c r="P2199" t="s">
        <v>74</v>
      </c>
      <c r="Q2199" t="s">
        <v>74</v>
      </c>
      <c r="R2199" t="s">
        <v>74</v>
      </c>
      <c r="S2199" t="s">
        <v>74</v>
      </c>
      <c r="T2199" t="s">
        <v>37437</v>
      </c>
      <c r="U2199" t="s">
        <v>37438</v>
      </c>
      <c r="V2199" t="s">
        <v>37439</v>
      </c>
      <c r="W2199" t="s">
        <v>37440</v>
      </c>
      <c r="X2199" t="s">
        <v>2924</v>
      </c>
      <c r="Y2199" t="s">
        <v>2925</v>
      </c>
      <c r="Z2199" t="s">
        <v>37441</v>
      </c>
      <c r="AA2199" t="s">
        <v>37442</v>
      </c>
      <c r="AB2199" t="s">
        <v>74</v>
      </c>
      <c r="AC2199" t="s">
        <v>37443</v>
      </c>
      <c r="AD2199" t="s">
        <v>37443</v>
      </c>
      <c r="AE2199" t="s">
        <v>37444</v>
      </c>
      <c r="AF2199" t="s">
        <v>74</v>
      </c>
      <c r="AG2199">
        <v>57</v>
      </c>
      <c r="AH2199">
        <v>0</v>
      </c>
      <c r="AI2199">
        <v>1</v>
      </c>
      <c r="AJ2199">
        <v>5</v>
      </c>
      <c r="AK2199">
        <v>5</v>
      </c>
      <c r="AL2199" t="s">
        <v>479</v>
      </c>
      <c r="AM2199" t="s">
        <v>480</v>
      </c>
      <c r="AN2199" t="s">
        <v>481</v>
      </c>
      <c r="AO2199" t="s">
        <v>2816</v>
      </c>
      <c r="AP2199" t="s">
        <v>2817</v>
      </c>
      <c r="AQ2199" t="s">
        <v>74</v>
      </c>
      <c r="AR2199" t="s">
        <v>2818</v>
      </c>
      <c r="AS2199" t="s">
        <v>2819</v>
      </c>
      <c r="AT2199" t="s">
        <v>1652</v>
      </c>
      <c r="AU2199">
        <v>2025</v>
      </c>
      <c r="AV2199">
        <v>59</v>
      </c>
      <c r="AW2199">
        <v>2</v>
      </c>
      <c r="AX2199" t="s">
        <v>74</v>
      </c>
      <c r="AY2199" t="s">
        <v>74</v>
      </c>
      <c r="AZ2199" t="s">
        <v>74</v>
      </c>
      <c r="BA2199" t="s">
        <v>74</v>
      </c>
      <c r="BB2199" t="s">
        <v>74</v>
      </c>
      <c r="BC2199" t="s">
        <v>74</v>
      </c>
      <c r="BD2199" t="s">
        <v>37445</v>
      </c>
      <c r="BE2199" t="s">
        <v>37446</v>
      </c>
      <c r="BF2199" t="str">
        <f>HYPERLINK("http://dx.doi.org/10.1111/joca.70016","http://dx.doi.org/10.1111/joca.70016")</f>
        <v>http://dx.doi.org/10.1111/joca.70016</v>
      </c>
      <c r="BG2199" t="s">
        <v>74</v>
      </c>
      <c r="BH2199" t="s">
        <v>74</v>
      </c>
      <c r="BI2199">
        <v>11</v>
      </c>
      <c r="BJ2199" t="s">
        <v>1453</v>
      </c>
      <c r="BK2199" t="s">
        <v>99</v>
      </c>
      <c r="BL2199" t="s">
        <v>100</v>
      </c>
      <c r="BM2199" t="s">
        <v>37447</v>
      </c>
      <c r="BN2199" t="s">
        <v>74</v>
      </c>
      <c r="BO2199" t="s">
        <v>74</v>
      </c>
      <c r="BP2199" t="s">
        <v>74</v>
      </c>
      <c r="BQ2199" t="s">
        <v>74</v>
      </c>
      <c r="BR2199" t="s">
        <v>102</v>
      </c>
      <c r="BS2199" t="s">
        <v>37448</v>
      </c>
      <c r="BT2199" t="str">
        <f>HYPERLINK("https%3A%2F%2Fwww.webofscience.com%2Fwos%2Fwoscc%2Ffull-record%2FWOS:001518427900010","View Full Record in Web of Science")</f>
        <v>View Full Record in Web of Science</v>
      </c>
    </row>
    <row r="2200" spans="1:72" x14ac:dyDescent="0.25">
      <c r="A2200" t="s">
        <v>72</v>
      </c>
      <c r="B2200" t="s">
        <v>37449</v>
      </c>
      <c r="C2200" t="s">
        <v>74</v>
      </c>
      <c r="D2200" t="s">
        <v>74</v>
      </c>
      <c r="E2200" t="s">
        <v>74</v>
      </c>
      <c r="F2200" t="s">
        <v>37450</v>
      </c>
      <c r="G2200" t="s">
        <v>74</v>
      </c>
      <c r="H2200" t="s">
        <v>74</v>
      </c>
      <c r="I2200" t="s">
        <v>37451</v>
      </c>
      <c r="J2200" t="s">
        <v>2030</v>
      </c>
      <c r="K2200" t="s">
        <v>74</v>
      </c>
      <c r="L2200" t="s">
        <v>74</v>
      </c>
      <c r="M2200" t="s">
        <v>78</v>
      </c>
      <c r="N2200" t="s">
        <v>372</v>
      </c>
      <c r="O2200" t="s">
        <v>74</v>
      </c>
      <c r="P2200" t="s">
        <v>74</v>
      </c>
      <c r="Q2200" t="s">
        <v>74</v>
      </c>
      <c r="R2200" t="s">
        <v>74</v>
      </c>
      <c r="S2200" t="s">
        <v>74</v>
      </c>
      <c r="T2200" t="s">
        <v>37452</v>
      </c>
      <c r="U2200" t="s">
        <v>37453</v>
      </c>
      <c r="V2200" t="s">
        <v>37454</v>
      </c>
      <c r="W2200" t="s">
        <v>37455</v>
      </c>
      <c r="X2200" t="s">
        <v>37456</v>
      </c>
      <c r="Y2200" t="s">
        <v>37457</v>
      </c>
      <c r="Z2200" t="s">
        <v>37458</v>
      </c>
      <c r="AA2200" t="s">
        <v>37459</v>
      </c>
      <c r="AB2200" t="s">
        <v>74</v>
      </c>
      <c r="AC2200" t="s">
        <v>74</v>
      </c>
      <c r="AD2200" t="s">
        <v>74</v>
      </c>
      <c r="AE2200" t="s">
        <v>74</v>
      </c>
      <c r="AF2200" t="s">
        <v>74</v>
      </c>
      <c r="AG2200">
        <v>51</v>
      </c>
      <c r="AH2200">
        <v>0</v>
      </c>
      <c r="AI2200">
        <v>0</v>
      </c>
      <c r="AJ2200">
        <v>0</v>
      </c>
      <c r="AK2200">
        <v>0</v>
      </c>
      <c r="AL2200" t="s">
        <v>666</v>
      </c>
      <c r="AM2200" t="s">
        <v>667</v>
      </c>
      <c r="AN2200" t="s">
        <v>668</v>
      </c>
      <c r="AO2200" t="s">
        <v>2039</v>
      </c>
      <c r="AP2200" t="s">
        <v>74</v>
      </c>
      <c r="AQ2200" t="s">
        <v>74</v>
      </c>
      <c r="AR2200" t="s">
        <v>2040</v>
      </c>
      <c r="AS2200" t="s">
        <v>2041</v>
      </c>
      <c r="AT2200" t="s">
        <v>37460</v>
      </c>
      <c r="AU2200">
        <v>2025</v>
      </c>
      <c r="AV2200" t="s">
        <v>74</v>
      </c>
      <c r="AW2200" t="s">
        <v>74</v>
      </c>
      <c r="AX2200" t="s">
        <v>74</v>
      </c>
      <c r="AY2200" t="s">
        <v>74</v>
      </c>
      <c r="AZ2200" t="s">
        <v>74</v>
      </c>
      <c r="BA2200" t="s">
        <v>74</v>
      </c>
      <c r="BB2200" t="s">
        <v>74</v>
      </c>
      <c r="BC2200" t="s">
        <v>74</v>
      </c>
      <c r="BD2200" t="s">
        <v>74</v>
      </c>
      <c r="BE2200" t="s">
        <v>37461</v>
      </c>
      <c r="BF2200" t="str">
        <f>HYPERLINK("http://dx.doi.org/10.1007/s40609-025-00407-4","http://dx.doi.org/10.1007/s40609-025-00407-4")</f>
        <v>http://dx.doi.org/10.1007/s40609-025-00407-4</v>
      </c>
      <c r="BG2200" t="s">
        <v>74</v>
      </c>
      <c r="BH2200" t="s">
        <v>488</v>
      </c>
      <c r="BI2200">
        <v>10</v>
      </c>
      <c r="BJ2200" t="s">
        <v>2045</v>
      </c>
      <c r="BK2200" t="s">
        <v>313</v>
      </c>
      <c r="BL2200" t="s">
        <v>2045</v>
      </c>
      <c r="BM2200" t="s">
        <v>37462</v>
      </c>
      <c r="BN2200" t="s">
        <v>74</v>
      </c>
      <c r="BO2200" t="s">
        <v>74</v>
      </c>
      <c r="BP2200" t="s">
        <v>74</v>
      </c>
      <c r="BQ2200" t="s">
        <v>74</v>
      </c>
      <c r="BR2200" t="s">
        <v>102</v>
      </c>
      <c r="BS2200" t="s">
        <v>37463</v>
      </c>
      <c r="BT2200" t="str">
        <f>HYPERLINK("https%3A%2F%2Fwww.webofscience.com%2Fwos%2Fwoscc%2Ffull-record%2FWOS:001642865100001","View Full Record in Web of Science")</f>
        <v>View Full Record in Web of Science</v>
      </c>
    </row>
    <row r="2201" spans="1:72" x14ac:dyDescent="0.25">
      <c r="A2201" t="s">
        <v>72</v>
      </c>
      <c r="B2201" t="s">
        <v>37464</v>
      </c>
      <c r="C2201" t="s">
        <v>74</v>
      </c>
      <c r="D2201" t="s">
        <v>74</v>
      </c>
      <c r="E2201" t="s">
        <v>74</v>
      </c>
      <c r="F2201" t="s">
        <v>37465</v>
      </c>
      <c r="G2201" t="s">
        <v>74</v>
      </c>
      <c r="H2201" t="s">
        <v>74</v>
      </c>
      <c r="I2201" t="s">
        <v>37466</v>
      </c>
      <c r="J2201" t="s">
        <v>24733</v>
      </c>
      <c r="K2201" t="s">
        <v>74</v>
      </c>
      <c r="L2201" t="s">
        <v>74</v>
      </c>
      <c r="M2201" t="s">
        <v>78</v>
      </c>
      <c r="N2201" t="s">
        <v>79</v>
      </c>
      <c r="O2201" t="s">
        <v>74</v>
      </c>
      <c r="P2201" t="s">
        <v>74</v>
      </c>
      <c r="Q2201" t="s">
        <v>74</v>
      </c>
      <c r="R2201" t="s">
        <v>74</v>
      </c>
      <c r="S2201" t="s">
        <v>74</v>
      </c>
      <c r="T2201" t="s">
        <v>37467</v>
      </c>
      <c r="U2201" t="s">
        <v>37468</v>
      </c>
      <c r="V2201" t="s">
        <v>37469</v>
      </c>
      <c r="W2201" t="s">
        <v>37470</v>
      </c>
      <c r="X2201" t="s">
        <v>37471</v>
      </c>
      <c r="Y2201" t="s">
        <v>37472</v>
      </c>
      <c r="Z2201" t="s">
        <v>37473</v>
      </c>
      <c r="AA2201" t="s">
        <v>74</v>
      </c>
      <c r="AB2201" t="s">
        <v>37474</v>
      </c>
      <c r="AC2201" t="s">
        <v>74</v>
      </c>
      <c r="AD2201" t="s">
        <v>74</v>
      </c>
      <c r="AE2201" t="s">
        <v>74</v>
      </c>
      <c r="AF2201" t="s">
        <v>74</v>
      </c>
      <c r="AG2201">
        <v>60</v>
      </c>
      <c r="AH2201">
        <v>5</v>
      </c>
      <c r="AI2201">
        <v>10</v>
      </c>
      <c r="AJ2201">
        <v>0</v>
      </c>
      <c r="AK2201">
        <v>29</v>
      </c>
      <c r="AL2201" t="s">
        <v>332</v>
      </c>
      <c r="AM2201" t="s">
        <v>333</v>
      </c>
      <c r="AN2201" t="s">
        <v>334</v>
      </c>
      <c r="AO2201" t="s">
        <v>24725</v>
      </c>
      <c r="AP2201" t="s">
        <v>24724</v>
      </c>
      <c r="AQ2201" t="s">
        <v>74</v>
      </c>
      <c r="AR2201" t="s">
        <v>24723</v>
      </c>
      <c r="AS2201" t="s">
        <v>24722</v>
      </c>
      <c r="AT2201" t="s">
        <v>13051</v>
      </c>
      <c r="AU2201">
        <v>2021</v>
      </c>
      <c r="AV2201">
        <v>30</v>
      </c>
      <c r="AW2201">
        <v>2</v>
      </c>
      <c r="AX2201" t="s">
        <v>74</v>
      </c>
      <c r="AY2201" t="s">
        <v>74</v>
      </c>
      <c r="AZ2201" t="s">
        <v>74</v>
      </c>
      <c r="BA2201" t="s">
        <v>74</v>
      </c>
      <c r="BB2201">
        <v>183</v>
      </c>
      <c r="BC2201">
        <v>196</v>
      </c>
      <c r="BD2201" t="s">
        <v>74</v>
      </c>
      <c r="BE2201" t="s">
        <v>37475</v>
      </c>
      <c r="BF2201" t="str">
        <f>HYPERLINK("http://dx.doi.org/10.1080/10438599.2019.1687395","http://dx.doi.org/10.1080/10438599.2019.1687395")</f>
        <v>http://dx.doi.org/10.1080/10438599.2019.1687395</v>
      </c>
      <c r="BG2201" t="s">
        <v>74</v>
      </c>
      <c r="BH2201" t="s">
        <v>7700</v>
      </c>
      <c r="BI2201">
        <v>14</v>
      </c>
      <c r="BJ2201" t="s">
        <v>291</v>
      </c>
      <c r="BK2201" t="s">
        <v>99</v>
      </c>
      <c r="BL2201" t="s">
        <v>100</v>
      </c>
      <c r="BM2201" t="s">
        <v>37476</v>
      </c>
      <c r="BN2201" t="s">
        <v>74</v>
      </c>
      <c r="BO2201" t="s">
        <v>74</v>
      </c>
      <c r="BP2201" t="s">
        <v>74</v>
      </c>
      <c r="BQ2201" t="s">
        <v>74</v>
      </c>
      <c r="BR2201" t="s">
        <v>102</v>
      </c>
      <c r="BS2201" t="s">
        <v>37477</v>
      </c>
      <c r="BT2201" t="str">
        <f>HYPERLINK("https%3A%2F%2Fwww.webofscience.com%2Fwos%2Fwoscc%2Ffull-record%2FWOS:000496772300001","View Full Record in Web of Science")</f>
        <v>View Full Record in Web of Science</v>
      </c>
    </row>
    <row r="2202" spans="1:72" x14ac:dyDescent="0.25">
      <c r="A2202" t="s">
        <v>72</v>
      </c>
      <c r="B2202" t="s">
        <v>37478</v>
      </c>
      <c r="C2202" t="s">
        <v>74</v>
      </c>
      <c r="D2202" t="s">
        <v>74</v>
      </c>
      <c r="E2202" t="s">
        <v>74</v>
      </c>
      <c r="F2202" t="s">
        <v>37479</v>
      </c>
      <c r="G2202" t="s">
        <v>74</v>
      </c>
      <c r="H2202" t="s">
        <v>74</v>
      </c>
      <c r="I2202" t="s">
        <v>37480</v>
      </c>
      <c r="J2202" t="s">
        <v>1347</v>
      </c>
      <c r="K2202" t="s">
        <v>74</v>
      </c>
      <c r="L2202" t="s">
        <v>74</v>
      </c>
      <c r="M2202" t="s">
        <v>78</v>
      </c>
      <c r="N2202" t="s">
        <v>79</v>
      </c>
      <c r="O2202" t="s">
        <v>74</v>
      </c>
      <c r="P2202" t="s">
        <v>74</v>
      </c>
      <c r="Q2202" t="s">
        <v>74</v>
      </c>
      <c r="R2202" t="s">
        <v>74</v>
      </c>
      <c r="S2202" t="s">
        <v>74</v>
      </c>
      <c r="T2202" t="s">
        <v>37481</v>
      </c>
      <c r="U2202" t="s">
        <v>9655</v>
      </c>
      <c r="V2202" t="s">
        <v>37482</v>
      </c>
      <c r="W2202" t="s">
        <v>37483</v>
      </c>
      <c r="X2202" t="s">
        <v>74</v>
      </c>
      <c r="Y2202" t="s">
        <v>37484</v>
      </c>
      <c r="Z2202" t="s">
        <v>74</v>
      </c>
      <c r="AA2202" t="s">
        <v>74</v>
      </c>
      <c r="AB2202" t="s">
        <v>37485</v>
      </c>
      <c r="AC2202" t="s">
        <v>74</v>
      </c>
      <c r="AD2202" t="s">
        <v>74</v>
      </c>
      <c r="AE2202" t="s">
        <v>74</v>
      </c>
      <c r="AF2202" t="s">
        <v>74</v>
      </c>
      <c r="AG2202">
        <v>38</v>
      </c>
      <c r="AH2202">
        <v>10</v>
      </c>
      <c r="AI2202">
        <v>11</v>
      </c>
      <c r="AJ2202">
        <v>0</v>
      </c>
      <c r="AK2202">
        <v>11</v>
      </c>
      <c r="AL2202" t="s">
        <v>1355</v>
      </c>
      <c r="AM2202" t="s">
        <v>1356</v>
      </c>
      <c r="AN2202" t="s">
        <v>1357</v>
      </c>
      <c r="AO2202" t="s">
        <v>1358</v>
      </c>
      <c r="AP2202" t="s">
        <v>74</v>
      </c>
      <c r="AQ2202" t="s">
        <v>74</v>
      </c>
      <c r="AR2202" t="s">
        <v>1359</v>
      </c>
      <c r="AS2202" t="s">
        <v>1360</v>
      </c>
      <c r="AT2202" t="s">
        <v>74</v>
      </c>
      <c r="AU2202">
        <v>2018</v>
      </c>
      <c r="AV2202" t="s">
        <v>74</v>
      </c>
      <c r="AW2202">
        <v>4</v>
      </c>
      <c r="AX2202" t="s">
        <v>74</v>
      </c>
      <c r="AY2202" t="s">
        <v>74</v>
      </c>
      <c r="AZ2202" t="s">
        <v>74</v>
      </c>
      <c r="BA2202" t="s">
        <v>74</v>
      </c>
      <c r="BB2202">
        <v>98</v>
      </c>
      <c r="BC2202">
        <v>106</v>
      </c>
      <c r="BD2202" t="s">
        <v>74</v>
      </c>
      <c r="BE2202" t="s">
        <v>37486</v>
      </c>
      <c r="BF2202" t="str">
        <f>HYPERLINK("http://dx.doi.org/10.21272/mmi.2018.4-09","http://dx.doi.org/10.21272/mmi.2018.4-09")</f>
        <v>http://dx.doi.org/10.21272/mmi.2018.4-09</v>
      </c>
      <c r="BG2202" t="s">
        <v>74</v>
      </c>
      <c r="BH2202" t="s">
        <v>74</v>
      </c>
      <c r="BI2202">
        <v>9</v>
      </c>
      <c r="BJ2202" t="s">
        <v>583</v>
      </c>
      <c r="BK2202" t="s">
        <v>313</v>
      </c>
      <c r="BL2202" t="s">
        <v>100</v>
      </c>
      <c r="BM2202" t="s">
        <v>37487</v>
      </c>
      <c r="BN2202" t="s">
        <v>74</v>
      </c>
      <c r="BO2202" t="s">
        <v>212</v>
      </c>
      <c r="BP2202" t="s">
        <v>74</v>
      </c>
      <c r="BQ2202" t="s">
        <v>74</v>
      </c>
      <c r="BR2202" t="s">
        <v>102</v>
      </c>
      <c r="BS2202" t="s">
        <v>37488</v>
      </c>
      <c r="BT2202" t="str">
        <f>HYPERLINK("https%3A%2F%2Fwww.webofscience.com%2Fwos%2Fwoscc%2Ffull-record%2FWOS:000459816600009","View Full Record in Web of Science")</f>
        <v>View Full Record in Web of Science</v>
      </c>
    </row>
    <row r="2203" spans="1:72" x14ac:dyDescent="0.25">
      <c r="A2203" t="s">
        <v>72</v>
      </c>
      <c r="B2203" t="s">
        <v>37489</v>
      </c>
      <c r="C2203" t="s">
        <v>74</v>
      </c>
      <c r="D2203" t="s">
        <v>74</v>
      </c>
      <c r="E2203" t="s">
        <v>74</v>
      </c>
      <c r="F2203" t="s">
        <v>37490</v>
      </c>
      <c r="G2203" t="s">
        <v>74</v>
      </c>
      <c r="H2203" t="s">
        <v>74</v>
      </c>
      <c r="I2203" t="s">
        <v>37491</v>
      </c>
      <c r="J2203" t="s">
        <v>37492</v>
      </c>
      <c r="K2203" t="s">
        <v>74</v>
      </c>
      <c r="L2203" t="s">
        <v>74</v>
      </c>
      <c r="M2203" t="s">
        <v>78</v>
      </c>
      <c r="N2203" t="s">
        <v>79</v>
      </c>
      <c r="O2203" t="s">
        <v>74</v>
      </c>
      <c r="P2203" t="s">
        <v>74</v>
      </c>
      <c r="Q2203" t="s">
        <v>74</v>
      </c>
      <c r="R2203" t="s">
        <v>74</v>
      </c>
      <c r="S2203" t="s">
        <v>74</v>
      </c>
      <c r="T2203" t="s">
        <v>37493</v>
      </c>
      <c r="U2203" t="s">
        <v>37494</v>
      </c>
      <c r="V2203" t="s">
        <v>37495</v>
      </c>
      <c r="W2203" t="s">
        <v>37496</v>
      </c>
      <c r="X2203" t="s">
        <v>37497</v>
      </c>
      <c r="Y2203" t="s">
        <v>37498</v>
      </c>
      <c r="Z2203" t="s">
        <v>37499</v>
      </c>
      <c r="AA2203" t="s">
        <v>74</v>
      </c>
      <c r="AB2203" t="s">
        <v>37500</v>
      </c>
      <c r="AC2203" t="s">
        <v>74</v>
      </c>
      <c r="AD2203" t="s">
        <v>74</v>
      </c>
      <c r="AE2203" t="s">
        <v>74</v>
      </c>
      <c r="AF2203" t="s">
        <v>74</v>
      </c>
      <c r="AG2203">
        <v>66</v>
      </c>
      <c r="AH2203">
        <v>2</v>
      </c>
      <c r="AI2203">
        <v>2</v>
      </c>
      <c r="AJ2203">
        <v>1</v>
      </c>
      <c r="AK2203">
        <v>2</v>
      </c>
      <c r="AL2203" t="s">
        <v>385</v>
      </c>
      <c r="AM2203" t="s">
        <v>1153</v>
      </c>
      <c r="AN2203" t="s">
        <v>1154</v>
      </c>
      <c r="AO2203" t="s">
        <v>37501</v>
      </c>
      <c r="AP2203" t="s">
        <v>37502</v>
      </c>
      <c r="AQ2203" t="s">
        <v>74</v>
      </c>
      <c r="AR2203" t="s">
        <v>37492</v>
      </c>
      <c r="AS2203" t="s">
        <v>37503</v>
      </c>
      <c r="AT2203" t="s">
        <v>289</v>
      </c>
      <c r="AU2203">
        <v>2025</v>
      </c>
      <c r="AV2203">
        <v>52</v>
      </c>
      <c r="AW2203">
        <v>3</v>
      </c>
      <c r="AX2203" t="s">
        <v>74</v>
      </c>
      <c r="AY2203" t="s">
        <v>74</v>
      </c>
      <c r="AZ2203" t="s">
        <v>74</v>
      </c>
      <c r="BA2203" t="s">
        <v>74</v>
      </c>
      <c r="BB2203">
        <v>591</v>
      </c>
      <c r="BC2203">
        <v>611</v>
      </c>
      <c r="BD2203" t="s">
        <v>74</v>
      </c>
      <c r="BE2203" t="s">
        <v>37504</v>
      </c>
      <c r="BF2203" t="str">
        <f>HYPERLINK("http://dx.doi.org/10.1007/s10663-025-09650-6","http://dx.doi.org/10.1007/s10663-025-09650-6")</f>
        <v>http://dx.doi.org/10.1007/s10663-025-09650-6</v>
      </c>
      <c r="BG2203" t="s">
        <v>74</v>
      </c>
      <c r="BH2203" t="s">
        <v>1485</v>
      </c>
      <c r="BI2203">
        <v>21</v>
      </c>
      <c r="BJ2203" t="s">
        <v>291</v>
      </c>
      <c r="BK2203" t="s">
        <v>99</v>
      </c>
      <c r="BL2203" t="s">
        <v>100</v>
      </c>
      <c r="BM2203" t="s">
        <v>37505</v>
      </c>
      <c r="BN2203" t="s">
        <v>74</v>
      </c>
      <c r="BO2203" t="s">
        <v>74</v>
      </c>
      <c r="BP2203" t="s">
        <v>74</v>
      </c>
      <c r="BQ2203" t="s">
        <v>74</v>
      </c>
      <c r="BR2203" t="s">
        <v>102</v>
      </c>
      <c r="BS2203" t="s">
        <v>37506</v>
      </c>
      <c r="BT2203" t="str">
        <f>HYPERLINK("https%3A%2F%2Fwww.webofscience.com%2Fwos%2Fwoscc%2Ffull-record%2FWOS:001473686400001","View Full Record in Web of Science")</f>
        <v>View Full Record in Web of Science</v>
      </c>
    </row>
    <row r="2204" spans="1:72" x14ac:dyDescent="0.25">
      <c r="A2204" t="s">
        <v>132</v>
      </c>
      <c r="B2204" t="s">
        <v>37507</v>
      </c>
      <c r="C2204" t="s">
        <v>74</v>
      </c>
      <c r="D2204" t="s">
        <v>37508</v>
      </c>
      <c r="E2204" t="s">
        <v>74</v>
      </c>
      <c r="F2204" t="s">
        <v>37509</v>
      </c>
      <c r="G2204" t="s">
        <v>74</v>
      </c>
      <c r="H2204" t="s">
        <v>74</v>
      </c>
      <c r="I2204" t="s">
        <v>37510</v>
      </c>
      <c r="J2204" t="s">
        <v>37511</v>
      </c>
      <c r="K2204" t="s">
        <v>17423</v>
      </c>
      <c r="L2204" t="s">
        <v>74</v>
      </c>
      <c r="M2204" t="s">
        <v>78</v>
      </c>
      <c r="N2204" t="s">
        <v>138</v>
      </c>
      <c r="O2204" t="s">
        <v>37512</v>
      </c>
      <c r="P2204" t="s">
        <v>37513</v>
      </c>
      <c r="Q2204" t="s">
        <v>37514</v>
      </c>
      <c r="R2204" t="s">
        <v>37515</v>
      </c>
      <c r="S2204" t="s">
        <v>74</v>
      </c>
      <c r="T2204" t="s">
        <v>37516</v>
      </c>
      <c r="U2204" t="s">
        <v>74</v>
      </c>
      <c r="V2204" t="s">
        <v>37517</v>
      </c>
      <c r="W2204" t="s">
        <v>37518</v>
      </c>
      <c r="X2204" t="s">
        <v>37519</v>
      </c>
      <c r="Y2204" t="s">
        <v>37520</v>
      </c>
      <c r="Z2204" t="s">
        <v>37521</v>
      </c>
      <c r="AA2204" t="s">
        <v>74</v>
      </c>
      <c r="AB2204" t="s">
        <v>37522</v>
      </c>
      <c r="AC2204" t="s">
        <v>74</v>
      </c>
      <c r="AD2204" t="s">
        <v>74</v>
      </c>
      <c r="AE2204" t="s">
        <v>74</v>
      </c>
      <c r="AF2204" t="s">
        <v>74</v>
      </c>
      <c r="AG2204">
        <v>19</v>
      </c>
      <c r="AH2204">
        <v>0</v>
      </c>
      <c r="AI2204">
        <v>0</v>
      </c>
      <c r="AJ2204">
        <v>2</v>
      </c>
      <c r="AK2204">
        <v>3</v>
      </c>
      <c r="AL2204" t="s">
        <v>1062</v>
      </c>
      <c r="AM2204" t="s">
        <v>667</v>
      </c>
      <c r="AN2204" t="s">
        <v>668</v>
      </c>
      <c r="AO2204" t="s">
        <v>17434</v>
      </c>
      <c r="AP2204" t="s">
        <v>17435</v>
      </c>
      <c r="AQ2204" t="s">
        <v>37523</v>
      </c>
      <c r="AR2204" t="s">
        <v>17437</v>
      </c>
      <c r="AS2204" t="s">
        <v>74</v>
      </c>
      <c r="AT2204" t="s">
        <v>74</v>
      </c>
      <c r="AU2204">
        <v>2024</v>
      </c>
      <c r="AV2204">
        <v>2208</v>
      </c>
      <c r="AW2204" t="s">
        <v>74</v>
      </c>
      <c r="AX2204" t="s">
        <v>74</v>
      </c>
      <c r="AY2204" t="s">
        <v>74</v>
      </c>
      <c r="AZ2204" t="s">
        <v>74</v>
      </c>
      <c r="BA2204" t="s">
        <v>74</v>
      </c>
      <c r="BB2204">
        <v>313</v>
      </c>
      <c r="BC2204">
        <v>327</v>
      </c>
      <c r="BD2204" t="s">
        <v>74</v>
      </c>
      <c r="BE2204" t="s">
        <v>37524</v>
      </c>
      <c r="BF2204" t="str">
        <f>HYPERLINK("http://dx.doi.org/10.1007/978-3-031-75233-9_22","http://dx.doi.org/10.1007/978-3-031-75233-9_22")</f>
        <v>http://dx.doi.org/10.1007/978-3-031-75233-9_22</v>
      </c>
      <c r="BG2204" t="s">
        <v>74</v>
      </c>
      <c r="BH2204" t="s">
        <v>74</v>
      </c>
      <c r="BI2204">
        <v>15</v>
      </c>
      <c r="BJ2204" t="s">
        <v>37525</v>
      </c>
      <c r="BK2204" t="s">
        <v>156</v>
      </c>
      <c r="BL2204" t="s">
        <v>157</v>
      </c>
      <c r="BM2204" t="s">
        <v>37526</v>
      </c>
      <c r="BN2204" t="s">
        <v>74</v>
      </c>
      <c r="BO2204" t="s">
        <v>74</v>
      </c>
      <c r="BP2204" t="s">
        <v>74</v>
      </c>
      <c r="BQ2204" t="s">
        <v>74</v>
      </c>
      <c r="BR2204" t="s">
        <v>102</v>
      </c>
      <c r="BS2204" t="s">
        <v>37527</v>
      </c>
      <c r="BT2204" t="str">
        <f>HYPERLINK("https%3A%2F%2Fwww.webofscience.com%2Fwos%2Fwoscc%2Ffull-record%2FWOS:001435620100022","View Full Record in Web of Science")</f>
        <v>View Full Record in Web of Science</v>
      </c>
    </row>
    <row r="2205" spans="1:72" x14ac:dyDescent="0.25">
      <c r="A2205" t="s">
        <v>72</v>
      </c>
      <c r="B2205" t="s">
        <v>37528</v>
      </c>
      <c r="C2205" t="s">
        <v>74</v>
      </c>
      <c r="D2205" t="s">
        <v>74</v>
      </c>
      <c r="E2205" t="s">
        <v>74</v>
      </c>
      <c r="F2205" t="s">
        <v>37529</v>
      </c>
      <c r="G2205" t="s">
        <v>74</v>
      </c>
      <c r="H2205" t="s">
        <v>74</v>
      </c>
      <c r="I2205" t="s">
        <v>37530</v>
      </c>
      <c r="J2205" t="s">
        <v>3874</v>
      </c>
      <c r="K2205" t="s">
        <v>74</v>
      </c>
      <c r="L2205" t="s">
        <v>74</v>
      </c>
      <c r="M2205" t="s">
        <v>78</v>
      </c>
      <c r="N2205" t="s">
        <v>79</v>
      </c>
      <c r="O2205" t="s">
        <v>74</v>
      </c>
      <c r="P2205" t="s">
        <v>74</v>
      </c>
      <c r="Q2205" t="s">
        <v>74</v>
      </c>
      <c r="R2205" t="s">
        <v>74</v>
      </c>
      <c r="S2205" t="s">
        <v>74</v>
      </c>
      <c r="T2205" t="s">
        <v>37531</v>
      </c>
      <c r="U2205" t="s">
        <v>37532</v>
      </c>
      <c r="V2205" t="s">
        <v>37533</v>
      </c>
      <c r="W2205" t="s">
        <v>37534</v>
      </c>
      <c r="X2205" t="s">
        <v>37535</v>
      </c>
      <c r="Y2205" t="s">
        <v>37536</v>
      </c>
      <c r="Z2205" t="s">
        <v>37537</v>
      </c>
      <c r="AA2205" t="s">
        <v>37538</v>
      </c>
      <c r="AB2205" t="s">
        <v>37539</v>
      </c>
      <c r="AC2205" t="s">
        <v>37540</v>
      </c>
      <c r="AD2205" t="s">
        <v>37540</v>
      </c>
      <c r="AE2205" t="s">
        <v>37541</v>
      </c>
      <c r="AF2205" t="s">
        <v>74</v>
      </c>
      <c r="AG2205">
        <v>70</v>
      </c>
      <c r="AH2205">
        <v>32</v>
      </c>
      <c r="AI2205">
        <v>34</v>
      </c>
      <c r="AJ2205">
        <v>0</v>
      </c>
      <c r="AK2205">
        <v>10</v>
      </c>
      <c r="AL2205" t="s">
        <v>479</v>
      </c>
      <c r="AM2205" t="s">
        <v>480</v>
      </c>
      <c r="AN2205" t="s">
        <v>3884</v>
      </c>
      <c r="AO2205" t="s">
        <v>3885</v>
      </c>
      <c r="AP2205" t="s">
        <v>74</v>
      </c>
      <c r="AQ2205" t="s">
        <v>74</v>
      </c>
      <c r="AR2205" t="s">
        <v>3886</v>
      </c>
      <c r="AS2205" t="s">
        <v>3887</v>
      </c>
      <c r="AT2205" t="s">
        <v>1652</v>
      </c>
      <c r="AU2205">
        <v>2016</v>
      </c>
      <c r="AV2205">
        <v>3</v>
      </c>
      <c r="AW2205">
        <v>2</v>
      </c>
      <c r="AX2205" t="s">
        <v>74</v>
      </c>
      <c r="AY2205" t="s">
        <v>74</v>
      </c>
      <c r="AZ2205" t="s">
        <v>74</v>
      </c>
      <c r="BA2205" t="s">
        <v>74</v>
      </c>
      <c r="BB2205">
        <v>266</v>
      </c>
      <c r="BC2205">
        <v>279</v>
      </c>
      <c r="BD2205" t="s">
        <v>74</v>
      </c>
      <c r="BE2205" t="s">
        <v>37542</v>
      </c>
      <c r="BF2205" t="str">
        <f>HYPERLINK("http://dx.doi.org/10.1002/sea2.12055","http://dx.doi.org/10.1002/sea2.12055")</f>
        <v>http://dx.doi.org/10.1002/sea2.12055</v>
      </c>
      <c r="BG2205" t="s">
        <v>74</v>
      </c>
      <c r="BH2205" t="s">
        <v>74</v>
      </c>
      <c r="BI2205">
        <v>14</v>
      </c>
      <c r="BJ2205" t="s">
        <v>3890</v>
      </c>
      <c r="BK2205" t="s">
        <v>313</v>
      </c>
      <c r="BL2205" t="s">
        <v>3890</v>
      </c>
      <c r="BM2205" t="s">
        <v>37543</v>
      </c>
      <c r="BN2205" t="s">
        <v>74</v>
      </c>
      <c r="BO2205" t="s">
        <v>212</v>
      </c>
      <c r="BP2205" t="s">
        <v>74</v>
      </c>
      <c r="BQ2205" t="s">
        <v>74</v>
      </c>
      <c r="BR2205" t="s">
        <v>102</v>
      </c>
      <c r="BS2205" t="s">
        <v>37544</v>
      </c>
      <c r="BT2205" t="str">
        <f>HYPERLINK("https%3A%2F%2Fwww.webofscience.com%2Fwos%2Fwoscc%2Ffull-record%2FWOS:000441972800007","View Full Record in Web of Science")</f>
        <v>View Full Record in Web of Science</v>
      </c>
    </row>
    <row r="2206" spans="1:72" x14ac:dyDescent="0.25">
      <c r="A2206" t="s">
        <v>72</v>
      </c>
      <c r="B2206" t="s">
        <v>37545</v>
      </c>
      <c r="C2206" t="s">
        <v>74</v>
      </c>
      <c r="D2206" t="s">
        <v>74</v>
      </c>
      <c r="E2206" t="s">
        <v>74</v>
      </c>
      <c r="F2206" t="s">
        <v>37546</v>
      </c>
      <c r="G2206" t="s">
        <v>74</v>
      </c>
      <c r="H2206" t="s">
        <v>74</v>
      </c>
      <c r="I2206" t="s">
        <v>37547</v>
      </c>
      <c r="J2206" t="s">
        <v>1435</v>
      </c>
      <c r="K2206" t="s">
        <v>74</v>
      </c>
      <c r="L2206" t="s">
        <v>74</v>
      </c>
      <c r="M2206" t="s">
        <v>78</v>
      </c>
      <c r="N2206" t="s">
        <v>79</v>
      </c>
      <c r="O2206" t="s">
        <v>74</v>
      </c>
      <c r="P2206" t="s">
        <v>74</v>
      </c>
      <c r="Q2206" t="s">
        <v>74</v>
      </c>
      <c r="R2206" t="s">
        <v>74</v>
      </c>
      <c r="S2206" t="s">
        <v>74</v>
      </c>
      <c r="T2206" t="s">
        <v>37548</v>
      </c>
      <c r="U2206" t="s">
        <v>37549</v>
      </c>
      <c r="V2206" t="s">
        <v>37550</v>
      </c>
      <c r="W2206" t="s">
        <v>37551</v>
      </c>
      <c r="X2206" t="s">
        <v>37552</v>
      </c>
      <c r="Y2206" t="s">
        <v>37553</v>
      </c>
      <c r="Z2206" t="s">
        <v>37554</v>
      </c>
      <c r="AA2206" t="s">
        <v>37555</v>
      </c>
      <c r="AB2206" t="s">
        <v>37556</v>
      </c>
      <c r="AC2206" t="s">
        <v>37557</v>
      </c>
      <c r="AD2206" t="s">
        <v>37558</v>
      </c>
      <c r="AE2206" t="s">
        <v>37559</v>
      </c>
      <c r="AF2206" t="s">
        <v>74</v>
      </c>
      <c r="AG2206">
        <v>40</v>
      </c>
      <c r="AH2206">
        <v>3</v>
      </c>
      <c r="AI2206">
        <v>5</v>
      </c>
      <c r="AJ2206">
        <v>0</v>
      </c>
      <c r="AK2206">
        <v>16</v>
      </c>
      <c r="AL2206" t="s">
        <v>1445</v>
      </c>
      <c r="AM2206" t="s">
        <v>1446</v>
      </c>
      <c r="AN2206" t="s">
        <v>10534</v>
      </c>
      <c r="AO2206" t="s">
        <v>1448</v>
      </c>
      <c r="AP2206" t="s">
        <v>1449</v>
      </c>
      <c r="AQ2206" t="s">
        <v>74</v>
      </c>
      <c r="AR2206" t="s">
        <v>1450</v>
      </c>
      <c r="AS2206" t="s">
        <v>1451</v>
      </c>
      <c r="AT2206" t="s">
        <v>74</v>
      </c>
      <c r="AU2206">
        <v>2021</v>
      </c>
      <c r="AV2206">
        <v>14</v>
      </c>
      <c r="AW2206">
        <v>2</v>
      </c>
      <c r="AX2206" t="s">
        <v>74</v>
      </c>
      <c r="AY2206" t="s">
        <v>74</v>
      </c>
      <c r="AZ2206" t="s">
        <v>74</v>
      </c>
      <c r="BA2206" t="s">
        <v>74</v>
      </c>
      <c r="BB2206">
        <v>56</v>
      </c>
      <c r="BC2206">
        <v>70</v>
      </c>
      <c r="BD2206" t="s">
        <v>74</v>
      </c>
      <c r="BE2206" t="s">
        <v>37560</v>
      </c>
      <c r="BF2206" t="str">
        <f>HYPERLINK("http://dx.doi.org/10.14254/2071-789X.2021/14-2/3","http://dx.doi.org/10.14254/2071-789X.2021/14-2/3")</f>
        <v>http://dx.doi.org/10.14254/2071-789X.2021/14-2/3</v>
      </c>
      <c r="BG2206" t="s">
        <v>74</v>
      </c>
      <c r="BH2206" t="s">
        <v>74</v>
      </c>
      <c r="BI2206">
        <v>15</v>
      </c>
      <c r="BJ2206" t="s">
        <v>1453</v>
      </c>
      <c r="BK2206" t="s">
        <v>313</v>
      </c>
      <c r="BL2206" t="s">
        <v>100</v>
      </c>
      <c r="BM2206" t="s">
        <v>37561</v>
      </c>
      <c r="BN2206" t="s">
        <v>74</v>
      </c>
      <c r="BO2206" t="s">
        <v>916</v>
      </c>
      <c r="BP2206" t="s">
        <v>74</v>
      </c>
      <c r="BQ2206" t="s">
        <v>74</v>
      </c>
      <c r="BR2206" t="s">
        <v>102</v>
      </c>
      <c r="BS2206" t="s">
        <v>37562</v>
      </c>
      <c r="BT2206" t="str">
        <f>HYPERLINK("https%3A%2F%2Fwww.webofscience.com%2Fwos%2Fwoscc%2Ffull-record%2FWOS:000672183100003","View Full Record in Web of Science")</f>
        <v>View Full Record in Web of Science</v>
      </c>
    </row>
    <row r="2207" spans="1:72" x14ac:dyDescent="0.25">
      <c r="A2207" t="s">
        <v>72</v>
      </c>
      <c r="B2207" t="s">
        <v>37563</v>
      </c>
      <c r="C2207" t="s">
        <v>74</v>
      </c>
      <c r="D2207" t="s">
        <v>74</v>
      </c>
      <c r="E2207" t="s">
        <v>74</v>
      </c>
      <c r="F2207" t="s">
        <v>37564</v>
      </c>
      <c r="G2207" t="s">
        <v>74</v>
      </c>
      <c r="H2207" t="s">
        <v>74</v>
      </c>
      <c r="I2207" t="s">
        <v>37565</v>
      </c>
      <c r="J2207" t="s">
        <v>424</v>
      </c>
      <c r="K2207" t="s">
        <v>74</v>
      </c>
      <c r="L2207" t="s">
        <v>74</v>
      </c>
      <c r="M2207" t="s">
        <v>78</v>
      </c>
      <c r="N2207" t="s">
        <v>79</v>
      </c>
      <c r="O2207" t="s">
        <v>74</v>
      </c>
      <c r="P2207" t="s">
        <v>74</v>
      </c>
      <c r="Q2207" t="s">
        <v>74</v>
      </c>
      <c r="R2207" t="s">
        <v>74</v>
      </c>
      <c r="S2207" t="s">
        <v>74</v>
      </c>
      <c r="T2207" t="s">
        <v>37566</v>
      </c>
      <c r="U2207" t="s">
        <v>37567</v>
      </c>
      <c r="V2207" t="s">
        <v>37568</v>
      </c>
      <c r="W2207" t="s">
        <v>37569</v>
      </c>
      <c r="X2207" t="s">
        <v>37570</v>
      </c>
      <c r="Y2207" t="s">
        <v>37571</v>
      </c>
      <c r="Z2207" t="s">
        <v>37572</v>
      </c>
      <c r="AA2207" t="s">
        <v>37573</v>
      </c>
      <c r="AB2207" t="s">
        <v>37574</v>
      </c>
      <c r="AC2207" t="s">
        <v>74</v>
      </c>
      <c r="AD2207" t="s">
        <v>74</v>
      </c>
      <c r="AE2207" t="s">
        <v>74</v>
      </c>
      <c r="AF2207" t="s">
        <v>74</v>
      </c>
      <c r="AG2207">
        <v>152</v>
      </c>
      <c r="AH2207">
        <v>7</v>
      </c>
      <c r="AI2207">
        <v>14</v>
      </c>
      <c r="AJ2207">
        <v>25</v>
      </c>
      <c r="AK2207">
        <v>59</v>
      </c>
      <c r="AL2207" t="s">
        <v>89</v>
      </c>
      <c r="AM2207" t="s">
        <v>90</v>
      </c>
      <c r="AN2207" t="s">
        <v>91</v>
      </c>
      <c r="AO2207" t="s">
        <v>436</v>
      </c>
      <c r="AP2207" t="s">
        <v>437</v>
      </c>
      <c r="AQ2207" t="s">
        <v>74</v>
      </c>
      <c r="AR2207" t="s">
        <v>438</v>
      </c>
      <c r="AS2207" t="s">
        <v>439</v>
      </c>
      <c r="AT2207" t="s">
        <v>1427</v>
      </c>
      <c r="AU2207">
        <v>2025</v>
      </c>
      <c r="AV2207">
        <v>43</v>
      </c>
      <c r="AW2207">
        <v>1</v>
      </c>
      <c r="AX2207" t="s">
        <v>74</v>
      </c>
      <c r="AY2207" t="s">
        <v>74</v>
      </c>
      <c r="AZ2207" t="s">
        <v>74</v>
      </c>
      <c r="BA2207" t="s">
        <v>74</v>
      </c>
      <c r="BB2207">
        <v>125</v>
      </c>
      <c r="BC2207">
        <v>165</v>
      </c>
      <c r="BD2207" t="s">
        <v>74</v>
      </c>
      <c r="BE2207" t="s">
        <v>37575</v>
      </c>
      <c r="BF2207" t="str">
        <f>HYPERLINK("http://dx.doi.org/10.1108/IJBM-06-2023-0359","http://dx.doi.org/10.1108/IJBM-06-2023-0359")</f>
        <v>http://dx.doi.org/10.1108/IJBM-06-2023-0359</v>
      </c>
      <c r="BG2207" t="s">
        <v>74</v>
      </c>
      <c r="BH2207" t="s">
        <v>9389</v>
      </c>
      <c r="BI2207">
        <v>41</v>
      </c>
      <c r="BJ2207" t="s">
        <v>418</v>
      </c>
      <c r="BK2207" t="s">
        <v>99</v>
      </c>
      <c r="BL2207" t="s">
        <v>100</v>
      </c>
      <c r="BM2207" t="s">
        <v>37576</v>
      </c>
      <c r="BN2207" t="s">
        <v>74</v>
      </c>
      <c r="BO2207" t="s">
        <v>74</v>
      </c>
      <c r="BP2207" t="s">
        <v>74</v>
      </c>
      <c r="BQ2207" t="s">
        <v>74</v>
      </c>
      <c r="BR2207" t="s">
        <v>102</v>
      </c>
      <c r="BS2207" t="s">
        <v>37577</v>
      </c>
      <c r="BT2207" t="str">
        <f>HYPERLINK("https%3A%2F%2Fwww.webofscience.com%2Fwos%2Fwoscc%2Ffull-record%2FWOS:001307738900001","View Full Record in Web of Science")</f>
        <v>View Full Record in Web of Science</v>
      </c>
    </row>
    <row r="2208" spans="1:72" x14ac:dyDescent="0.25">
      <c r="A2208" t="s">
        <v>72</v>
      </c>
      <c r="B2208" t="s">
        <v>37578</v>
      </c>
      <c r="C2208" t="s">
        <v>74</v>
      </c>
      <c r="D2208" t="s">
        <v>74</v>
      </c>
      <c r="E2208" t="s">
        <v>74</v>
      </c>
      <c r="F2208" t="s">
        <v>37579</v>
      </c>
      <c r="G2208" t="s">
        <v>74</v>
      </c>
      <c r="H2208" t="s">
        <v>74</v>
      </c>
      <c r="I2208" t="s">
        <v>37580</v>
      </c>
      <c r="J2208" t="s">
        <v>12150</v>
      </c>
      <c r="K2208" t="s">
        <v>74</v>
      </c>
      <c r="L2208" t="s">
        <v>74</v>
      </c>
      <c r="M2208" t="s">
        <v>78</v>
      </c>
      <c r="N2208" t="s">
        <v>79</v>
      </c>
      <c r="O2208" t="s">
        <v>74</v>
      </c>
      <c r="P2208" t="s">
        <v>74</v>
      </c>
      <c r="Q2208" t="s">
        <v>74</v>
      </c>
      <c r="R2208" t="s">
        <v>74</v>
      </c>
      <c r="S2208" t="s">
        <v>74</v>
      </c>
      <c r="T2208" t="s">
        <v>37581</v>
      </c>
      <c r="U2208" t="s">
        <v>37582</v>
      </c>
      <c r="V2208" t="s">
        <v>37583</v>
      </c>
      <c r="W2208" t="s">
        <v>37584</v>
      </c>
      <c r="X2208" t="s">
        <v>37585</v>
      </c>
      <c r="Y2208" t="s">
        <v>37586</v>
      </c>
      <c r="Z2208" t="s">
        <v>37587</v>
      </c>
      <c r="AA2208" t="s">
        <v>37588</v>
      </c>
      <c r="AB2208" t="s">
        <v>37589</v>
      </c>
      <c r="AC2208" t="s">
        <v>74</v>
      </c>
      <c r="AD2208" t="s">
        <v>74</v>
      </c>
      <c r="AE2208" t="s">
        <v>74</v>
      </c>
      <c r="AF2208" t="s">
        <v>74</v>
      </c>
      <c r="AG2208">
        <v>130</v>
      </c>
      <c r="AH2208">
        <v>62</v>
      </c>
      <c r="AI2208">
        <v>82</v>
      </c>
      <c r="AJ2208">
        <v>4</v>
      </c>
      <c r="AK2208">
        <v>72</v>
      </c>
      <c r="AL2208" t="s">
        <v>89</v>
      </c>
      <c r="AM2208" t="s">
        <v>90</v>
      </c>
      <c r="AN2208" t="s">
        <v>91</v>
      </c>
      <c r="AO2208" t="s">
        <v>12161</v>
      </c>
      <c r="AP2208" t="s">
        <v>12162</v>
      </c>
      <c r="AQ2208" t="s">
        <v>74</v>
      </c>
      <c r="AR2208" t="s">
        <v>12163</v>
      </c>
      <c r="AS2208" t="s">
        <v>12164</v>
      </c>
      <c r="AT2208" t="s">
        <v>9324</v>
      </c>
      <c r="AU2208">
        <v>2019</v>
      </c>
      <c r="AV2208">
        <v>33</v>
      </c>
      <c r="AW2208">
        <v>1</v>
      </c>
      <c r="AX2208" t="s">
        <v>74</v>
      </c>
      <c r="AY2208" t="s">
        <v>74</v>
      </c>
      <c r="AZ2208" t="s">
        <v>74</v>
      </c>
      <c r="BA2208" t="s">
        <v>74</v>
      </c>
      <c r="BB2208">
        <v>198</v>
      </c>
      <c r="BC2208">
        <v>229</v>
      </c>
      <c r="BD2208" t="s">
        <v>74</v>
      </c>
      <c r="BE2208" t="s">
        <v>37590</v>
      </c>
      <c r="BF2208" t="str">
        <f>HYPERLINK("http://dx.doi.org/10.1108/ITP-05-2018-0243","http://dx.doi.org/10.1108/ITP-05-2018-0243")</f>
        <v>http://dx.doi.org/10.1108/ITP-05-2018-0243</v>
      </c>
      <c r="BG2208" t="s">
        <v>74</v>
      </c>
      <c r="BH2208" t="s">
        <v>74</v>
      </c>
      <c r="BI2208">
        <v>32</v>
      </c>
      <c r="BJ2208" t="s">
        <v>2351</v>
      </c>
      <c r="BK2208" t="s">
        <v>99</v>
      </c>
      <c r="BL2208" t="s">
        <v>2351</v>
      </c>
      <c r="BM2208" t="s">
        <v>37591</v>
      </c>
      <c r="BN2208" t="s">
        <v>74</v>
      </c>
      <c r="BO2208" t="s">
        <v>1696</v>
      </c>
      <c r="BP2208" t="s">
        <v>74</v>
      </c>
      <c r="BQ2208" t="s">
        <v>74</v>
      </c>
      <c r="BR2208" t="s">
        <v>102</v>
      </c>
      <c r="BS2208" t="s">
        <v>37592</v>
      </c>
      <c r="BT2208" t="str">
        <f>HYPERLINK("https%3A%2F%2Fwww.webofscience.com%2Fwos%2Fwoscc%2Ffull-record%2FWOS:000506930300003","View Full Record in Web of Science")</f>
        <v>View Full Record in Web of Science</v>
      </c>
    </row>
    <row r="2209" spans="1:72" x14ac:dyDescent="0.25">
      <c r="A2209" t="s">
        <v>72</v>
      </c>
      <c r="B2209" t="s">
        <v>37593</v>
      </c>
      <c r="C2209" t="s">
        <v>74</v>
      </c>
      <c r="D2209" t="s">
        <v>74</v>
      </c>
      <c r="E2209" t="s">
        <v>74</v>
      </c>
      <c r="F2209" t="s">
        <v>37594</v>
      </c>
      <c r="G2209" t="s">
        <v>74</v>
      </c>
      <c r="H2209" t="s">
        <v>74</v>
      </c>
      <c r="I2209" t="s">
        <v>37595</v>
      </c>
      <c r="J2209" t="s">
        <v>37596</v>
      </c>
      <c r="K2209" t="s">
        <v>74</v>
      </c>
      <c r="L2209" t="s">
        <v>74</v>
      </c>
      <c r="M2209" t="s">
        <v>78</v>
      </c>
      <c r="N2209" t="s">
        <v>79</v>
      </c>
      <c r="O2209" t="s">
        <v>74</v>
      </c>
      <c r="P2209" t="s">
        <v>74</v>
      </c>
      <c r="Q2209" t="s">
        <v>74</v>
      </c>
      <c r="R2209" t="s">
        <v>74</v>
      </c>
      <c r="S2209" t="s">
        <v>74</v>
      </c>
      <c r="T2209" t="s">
        <v>37597</v>
      </c>
      <c r="U2209" t="s">
        <v>37598</v>
      </c>
      <c r="V2209" t="s">
        <v>37599</v>
      </c>
      <c r="W2209" t="s">
        <v>37600</v>
      </c>
      <c r="X2209" t="s">
        <v>20257</v>
      </c>
      <c r="Y2209" t="s">
        <v>37601</v>
      </c>
      <c r="Z2209" t="s">
        <v>37602</v>
      </c>
      <c r="AA2209" t="s">
        <v>24897</v>
      </c>
      <c r="AB2209" t="s">
        <v>24896</v>
      </c>
      <c r="AC2209" t="s">
        <v>74</v>
      </c>
      <c r="AD2209" t="s">
        <v>74</v>
      </c>
      <c r="AE2209" t="s">
        <v>74</v>
      </c>
      <c r="AF2209" t="s">
        <v>74</v>
      </c>
      <c r="AG2209">
        <v>108</v>
      </c>
      <c r="AH2209">
        <v>2</v>
      </c>
      <c r="AI2209">
        <v>2</v>
      </c>
      <c r="AJ2209">
        <v>1</v>
      </c>
      <c r="AK2209">
        <v>5</v>
      </c>
      <c r="AL2209" t="s">
        <v>332</v>
      </c>
      <c r="AM2209" t="s">
        <v>333</v>
      </c>
      <c r="AN2209" t="s">
        <v>334</v>
      </c>
      <c r="AO2209" t="s">
        <v>37603</v>
      </c>
      <c r="AP2209" t="s">
        <v>37604</v>
      </c>
      <c r="AQ2209" t="s">
        <v>74</v>
      </c>
      <c r="AR2209" t="s">
        <v>37605</v>
      </c>
      <c r="AS2209" t="s">
        <v>37606</v>
      </c>
      <c r="AT2209" t="s">
        <v>868</v>
      </c>
      <c r="AU2209">
        <v>2024</v>
      </c>
      <c r="AV2209">
        <v>30</v>
      </c>
      <c r="AW2209">
        <v>4</v>
      </c>
      <c r="AX2209" t="s">
        <v>74</v>
      </c>
      <c r="AY2209" t="s">
        <v>74</v>
      </c>
      <c r="AZ2209" t="s">
        <v>74</v>
      </c>
      <c r="BA2209" t="s">
        <v>74</v>
      </c>
      <c r="BB2209">
        <v>390</v>
      </c>
      <c r="BC2209">
        <v>416</v>
      </c>
      <c r="BD2209" t="s">
        <v>74</v>
      </c>
      <c r="BE2209" t="s">
        <v>37607</v>
      </c>
      <c r="BF2209" t="str">
        <f>HYPERLINK("http://dx.doi.org/10.1080/10669868.2024.2347165","http://dx.doi.org/10.1080/10669868.2024.2347165")</f>
        <v>http://dx.doi.org/10.1080/10669868.2024.2347165</v>
      </c>
      <c r="BG2209" t="s">
        <v>74</v>
      </c>
      <c r="BH2209" t="s">
        <v>5285</v>
      </c>
      <c r="BI2209">
        <v>27</v>
      </c>
      <c r="BJ2209" t="s">
        <v>418</v>
      </c>
      <c r="BK2209" t="s">
        <v>313</v>
      </c>
      <c r="BL2209" t="s">
        <v>100</v>
      </c>
      <c r="BM2209" t="s">
        <v>37608</v>
      </c>
      <c r="BN2209" t="s">
        <v>74</v>
      </c>
      <c r="BO2209" t="s">
        <v>74</v>
      </c>
      <c r="BP2209" t="s">
        <v>74</v>
      </c>
      <c r="BQ2209" t="s">
        <v>74</v>
      </c>
      <c r="BR2209" t="s">
        <v>102</v>
      </c>
      <c r="BS2209" t="s">
        <v>37609</v>
      </c>
      <c r="BT2209" t="str">
        <f>HYPERLINK("https%3A%2F%2Fwww.webofscience.com%2Fwos%2Fwoscc%2Ffull-record%2FWOS:001217022800001","View Full Record in Web of Science")</f>
        <v>View Full Record in Web of Science</v>
      </c>
    </row>
    <row r="2210" spans="1:72" x14ac:dyDescent="0.25">
      <c r="A2210" t="s">
        <v>72</v>
      </c>
      <c r="B2210" t="s">
        <v>29190</v>
      </c>
      <c r="C2210" t="s">
        <v>74</v>
      </c>
      <c r="D2210" t="s">
        <v>74</v>
      </c>
      <c r="E2210" t="s">
        <v>74</v>
      </c>
      <c r="F2210" t="s">
        <v>29189</v>
      </c>
      <c r="G2210" t="s">
        <v>74</v>
      </c>
      <c r="H2210" t="s">
        <v>74</v>
      </c>
      <c r="I2210" t="s">
        <v>37610</v>
      </c>
      <c r="J2210" t="s">
        <v>5078</v>
      </c>
      <c r="K2210" t="s">
        <v>74</v>
      </c>
      <c r="L2210" t="s">
        <v>74</v>
      </c>
      <c r="M2210" t="s">
        <v>78</v>
      </c>
      <c r="N2210" t="s">
        <v>79</v>
      </c>
      <c r="O2210" t="s">
        <v>74</v>
      </c>
      <c r="P2210" t="s">
        <v>74</v>
      </c>
      <c r="Q2210" t="s">
        <v>74</v>
      </c>
      <c r="R2210" t="s">
        <v>74</v>
      </c>
      <c r="S2210" t="s">
        <v>74</v>
      </c>
      <c r="T2210" t="s">
        <v>37611</v>
      </c>
      <c r="U2210" t="s">
        <v>37612</v>
      </c>
      <c r="V2210" t="s">
        <v>37613</v>
      </c>
      <c r="W2210" t="s">
        <v>37614</v>
      </c>
      <c r="X2210" t="s">
        <v>5335</v>
      </c>
      <c r="Y2210" t="s">
        <v>37615</v>
      </c>
      <c r="Z2210" t="s">
        <v>29182</v>
      </c>
      <c r="AA2210" t="s">
        <v>30807</v>
      </c>
      <c r="AB2210" t="s">
        <v>37616</v>
      </c>
      <c r="AC2210" t="s">
        <v>37617</v>
      </c>
      <c r="AD2210" t="s">
        <v>37617</v>
      </c>
      <c r="AE2210" t="s">
        <v>37618</v>
      </c>
      <c r="AF2210" t="s">
        <v>74</v>
      </c>
      <c r="AG2210">
        <v>32</v>
      </c>
      <c r="AH2210">
        <v>80</v>
      </c>
      <c r="AI2210">
        <v>116</v>
      </c>
      <c r="AJ2210">
        <v>2</v>
      </c>
      <c r="AK2210">
        <v>100</v>
      </c>
      <c r="AL2210" t="s">
        <v>385</v>
      </c>
      <c r="AM2210" t="s">
        <v>151</v>
      </c>
      <c r="AN2210" t="s">
        <v>386</v>
      </c>
      <c r="AO2210" t="s">
        <v>74</v>
      </c>
      <c r="AP2210" t="s">
        <v>5087</v>
      </c>
      <c r="AQ2210" t="s">
        <v>74</v>
      </c>
      <c r="AR2210" t="s">
        <v>5088</v>
      </c>
      <c r="AS2210" t="s">
        <v>5089</v>
      </c>
      <c r="AT2210" t="s">
        <v>124</v>
      </c>
      <c r="AU2210">
        <v>2018</v>
      </c>
      <c r="AV2210">
        <v>4</v>
      </c>
      <c r="AW2210">
        <v>1</v>
      </c>
      <c r="AX2210" t="s">
        <v>74</v>
      </c>
      <c r="AY2210" t="s">
        <v>74</v>
      </c>
      <c r="AZ2210" t="s">
        <v>74</v>
      </c>
      <c r="BA2210" t="s">
        <v>74</v>
      </c>
      <c r="BB2210" t="s">
        <v>74</v>
      </c>
      <c r="BC2210" t="s">
        <v>74</v>
      </c>
      <c r="BD2210">
        <v>5</v>
      </c>
      <c r="BE2210" t="s">
        <v>37619</v>
      </c>
      <c r="BF2210" t="str">
        <f>HYPERLINK("http://dx.doi.org/10.1186/s40854-018-0089-x","http://dx.doi.org/10.1186/s40854-018-0089-x")</f>
        <v>http://dx.doi.org/10.1186/s40854-018-0089-x</v>
      </c>
      <c r="BG2210" t="s">
        <v>74</v>
      </c>
      <c r="BH2210" t="s">
        <v>74</v>
      </c>
      <c r="BI2210">
        <v>19</v>
      </c>
      <c r="BJ2210" t="s">
        <v>5092</v>
      </c>
      <c r="BK2210" t="s">
        <v>99</v>
      </c>
      <c r="BL2210" t="s">
        <v>2024</v>
      </c>
      <c r="BM2210" t="s">
        <v>37620</v>
      </c>
      <c r="BN2210" t="s">
        <v>74</v>
      </c>
      <c r="BO2210" t="s">
        <v>916</v>
      </c>
      <c r="BP2210" t="s">
        <v>74</v>
      </c>
      <c r="BQ2210" t="s">
        <v>74</v>
      </c>
      <c r="BR2210" t="s">
        <v>102</v>
      </c>
      <c r="BS2210" t="s">
        <v>37621</v>
      </c>
      <c r="BT2210" t="str">
        <f>HYPERLINK("https%3A%2F%2Fwww.webofscience.com%2Fwos%2Fwoscc%2Ffull-record%2FWOS:000428890400001","View Full Record in Web of Science")</f>
        <v>View Full Record in Web of Science</v>
      </c>
    </row>
    <row r="2211" spans="1:72" x14ac:dyDescent="0.25">
      <c r="A2211" t="s">
        <v>72</v>
      </c>
      <c r="B2211" t="s">
        <v>37622</v>
      </c>
      <c r="C2211" t="s">
        <v>74</v>
      </c>
      <c r="D2211" t="s">
        <v>74</v>
      </c>
      <c r="E2211" t="s">
        <v>74</v>
      </c>
      <c r="F2211" t="s">
        <v>37623</v>
      </c>
      <c r="G2211" t="s">
        <v>74</v>
      </c>
      <c r="H2211" t="s">
        <v>74</v>
      </c>
      <c r="I2211" t="s">
        <v>37624</v>
      </c>
      <c r="J2211" t="s">
        <v>34742</v>
      </c>
      <c r="K2211" t="s">
        <v>74</v>
      </c>
      <c r="L2211" t="s">
        <v>74</v>
      </c>
      <c r="M2211" t="s">
        <v>78</v>
      </c>
      <c r="N2211" t="s">
        <v>79</v>
      </c>
      <c r="O2211" t="s">
        <v>74</v>
      </c>
      <c r="P2211" t="s">
        <v>74</v>
      </c>
      <c r="Q2211" t="s">
        <v>74</v>
      </c>
      <c r="R2211" t="s">
        <v>74</v>
      </c>
      <c r="S2211" t="s">
        <v>74</v>
      </c>
      <c r="T2211" t="s">
        <v>37625</v>
      </c>
      <c r="U2211" t="s">
        <v>37626</v>
      </c>
      <c r="V2211" t="s">
        <v>37627</v>
      </c>
      <c r="W2211" t="s">
        <v>37628</v>
      </c>
      <c r="X2211" t="s">
        <v>74</v>
      </c>
      <c r="Y2211" t="s">
        <v>37629</v>
      </c>
      <c r="Z2211" t="s">
        <v>74</v>
      </c>
      <c r="AA2211" t="s">
        <v>37630</v>
      </c>
      <c r="AB2211" t="s">
        <v>37631</v>
      </c>
      <c r="AC2211" t="s">
        <v>37632</v>
      </c>
      <c r="AD2211" t="s">
        <v>37632</v>
      </c>
      <c r="AE2211" t="s">
        <v>37633</v>
      </c>
      <c r="AF2211" t="s">
        <v>74</v>
      </c>
      <c r="AG2211">
        <v>37</v>
      </c>
      <c r="AH2211">
        <v>2</v>
      </c>
      <c r="AI2211">
        <v>4</v>
      </c>
      <c r="AJ2211">
        <v>0</v>
      </c>
      <c r="AK2211">
        <v>5</v>
      </c>
      <c r="AL2211" t="s">
        <v>479</v>
      </c>
      <c r="AM2211" t="s">
        <v>480</v>
      </c>
      <c r="AN2211" t="s">
        <v>481</v>
      </c>
      <c r="AO2211" t="s">
        <v>34749</v>
      </c>
      <c r="AP2211" t="s">
        <v>74</v>
      </c>
      <c r="AQ2211" t="s">
        <v>74</v>
      </c>
      <c r="AR2211" t="s">
        <v>34750</v>
      </c>
      <c r="AS2211" t="s">
        <v>34751</v>
      </c>
      <c r="AT2211" t="s">
        <v>605</v>
      </c>
      <c r="AU2211">
        <v>2018</v>
      </c>
      <c r="AV2211">
        <v>10</v>
      </c>
      <c r="AW2211">
        <v>1</v>
      </c>
      <c r="AX2211" t="s">
        <v>74</v>
      </c>
      <c r="AY2211" t="s">
        <v>74</v>
      </c>
      <c r="AZ2211" t="s">
        <v>74</v>
      </c>
      <c r="BA2211" t="s">
        <v>74</v>
      </c>
      <c r="BB2211">
        <v>81</v>
      </c>
      <c r="BC2211">
        <v>94</v>
      </c>
      <c r="BD2211" t="s">
        <v>74</v>
      </c>
      <c r="BE2211" t="s">
        <v>37634</v>
      </c>
      <c r="BF2211" t="str">
        <f>HYPERLINK("http://dx.doi.org/10.1002/pop4.206","http://dx.doi.org/10.1002/pop4.206")</f>
        <v>http://dx.doi.org/10.1002/pop4.206</v>
      </c>
      <c r="BG2211" t="s">
        <v>74</v>
      </c>
      <c r="BH2211" t="s">
        <v>74</v>
      </c>
      <c r="BI2211">
        <v>14</v>
      </c>
      <c r="BJ2211" t="s">
        <v>2045</v>
      </c>
      <c r="BK2211" t="s">
        <v>313</v>
      </c>
      <c r="BL2211" t="s">
        <v>2045</v>
      </c>
      <c r="BM2211" t="s">
        <v>37635</v>
      </c>
      <c r="BN2211" t="s">
        <v>74</v>
      </c>
      <c r="BO2211" t="s">
        <v>74</v>
      </c>
      <c r="BP2211" t="s">
        <v>74</v>
      </c>
      <c r="BQ2211" t="s">
        <v>74</v>
      </c>
      <c r="BR2211" t="s">
        <v>102</v>
      </c>
      <c r="BS2211" t="s">
        <v>37636</v>
      </c>
      <c r="BT2211" t="str">
        <f>HYPERLINK("https%3A%2F%2Fwww.webofscience.com%2Fwos%2Fwoscc%2Ffull-record%2FWOS:000427017700005","View Full Record in Web of Science")</f>
        <v>View Full Record in Web of Science</v>
      </c>
    </row>
    <row r="2212" spans="1:72" x14ac:dyDescent="0.25">
      <c r="A2212" t="s">
        <v>72</v>
      </c>
      <c r="B2212" t="s">
        <v>37637</v>
      </c>
      <c r="C2212" t="s">
        <v>74</v>
      </c>
      <c r="D2212" t="s">
        <v>74</v>
      </c>
      <c r="E2212" t="s">
        <v>74</v>
      </c>
      <c r="F2212" t="s">
        <v>37638</v>
      </c>
      <c r="G2212" t="s">
        <v>74</v>
      </c>
      <c r="H2212" t="s">
        <v>74</v>
      </c>
      <c r="I2212" t="s">
        <v>37639</v>
      </c>
      <c r="J2212" t="s">
        <v>37640</v>
      </c>
      <c r="K2212" t="s">
        <v>74</v>
      </c>
      <c r="L2212" t="s">
        <v>74</v>
      </c>
      <c r="M2212" t="s">
        <v>78</v>
      </c>
      <c r="N2212" t="s">
        <v>79</v>
      </c>
      <c r="O2212" t="s">
        <v>74</v>
      </c>
      <c r="P2212" t="s">
        <v>74</v>
      </c>
      <c r="Q2212" t="s">
        <v>74</v>
      </c>
      <c r="R2212" t="s">
        <v>74</v>
      </c>
      <c r="S2212" t="s">
        <v>74</v>
      </c>
      <c r="T2212" t="s">
        <v>37641</v>
      </c>
      <c r="U2212" t="s">
        <v>37642</v>
      </c>
      <c r="V2212" t="s">
        <v>37643</v>
      </c>
      <c r="W2212" t="s">
        <v>37644</v>
      </c>
      <c r="X2212" t="s">
        <v>37645</v>
      </c>
      <c r="Y2212" t="s">
        <v>37646</v>
      </c>
      <c r="Z2212" t="s">
        <v>37647</v>
      </c>
      <c r="AA2212" t="s">
        <v>37648</v>
      </c>
      <c r="AB2212" t="s">
        <v>37649</v>
      </c>
      <c r="AC2212" t="s">
        <v>37650</v>
      </c>
      <c r="AD2212" t="s">
        <v>37650</v>
      </c>
      <c r="AE2212" t="s">
        <v>37651</v>
      </c>
      <c r="AF2212" t="s">
        <v>74</v>
      </c>
      <c r="AG2212">
        <v>63</v>
      </c>
      <c r="AH2212">
        <v>26</v>
      </c>
      <c r="AI2212">
        <v>33</v>
      </c>
      <c r="AJ2212">
        <v>1</v>
      </c>
      <c r="AK2212">
        <v>33</v>
      </c>
      <c r="AL2212" t="s">
        <v>2597</v>
      </c>
      <c r="AM2212" t="s">
        <v>2598</v>
      </c>
      <c r="AN2212" t="s">
        <v>2599</v>
      </c>
      <c r="AO2212" t="s">
        <v>37652</v>
      </c>
      <c r="AP2212" t="s">
        <v>37653</v>
      </c>
      <c r="AQ2212" t="s">
        <v>74</v>
      </c>
      <c r="AR2212" t="s">
        <v>37654</v>
      </c>
      <c r="AS2212" t="s">
        <v>37655</v>
      </c>
      <c r="AT2212" t="s">
        <v>848</v>
      </c>
      <c r="AU2212">
        <v>2018</v>
      </c>
      <c r="AV2212">
        <v>100</v>
      </c>
      <c r="AW2212">
        <v>4</v>
      </c>
      <c r="AX2212" t="s">
        <v>74</v>
      </c>
      <c r="AY2212" t="s">
        <v>74</v>
      </c>
      <c r="AZ2212" t="s">
        <v>74</v>
      </c>
      <c r="BA2212" t="s">
        <v>74</v>
      </c>
      <c r="BB2212">
        <v>1224</v>
      </c>
      <c r="BC2212">
        <v>1249</v>
      </c>
      <c r="BD2212" t="s">
        <v>74</v>
      </c>
      <c r="BE2212" t="s">
        <v>37656</v>
      </c>
      <c r="BF2212" t="str">
        <f>HYPERLINK("http://dx.doi.org/10.1093/ajae/aay029","http://dx.doi.org/10.1093/ajae/aay029")</f>
        <v>http://dx.doi.org/10.1093/ajae/aay029</v>
      </c>
      <c r="BG2212" t="s">
        <v>74</v>
      </c>
      <c r="BH2212" t="s">
        <v>74</v>
      </c>
      <c r="BI2212">
        <v>26</v>
      </c>
      <c r="BJ2212" t="s">
        <v>18270</v>
      </c>
      <c r="BK2212" t="s">
        <v>2623</v>
      </c>
      <c r="BL2212" t="s">
        <v>18271</v>
      </c>
      <c r="BM2212" t="s">
        <v>37657</v>
      </c>
      <c r="BN2212" t="s">
        <v>74</v>
      </c>
      <c r="BO2212" t="s">
        <v>74</v>
      </c>
      <c r="BP2212" t="s">
        <v>74</v>
      </c>
      <c r="BQ2212" t="s">
        <v>74</v>
      </c>
      <c r="BR2212" t="s">
        <v>102</v>
      </c>
      <c r="BS2212" t="s">
        <v>37658</v>
      </c>
      <c r="BT2212" t="str">
        <f>HYPERLINK("https%3A%2F%2Fwww.webofscience.com%2Fwos%2Fwoscc%2Ffull-record%2FWOS:000441220100015","View Full Record in Web of Science")</f>
        <v>View Full Record in Web of Science</v>
      </c>
    </row>
    <row r="2213" spans="1:72" x14ac:dyDescent="0.25">
      <c r="A2213" t="s">
        <v>72</v>
      </c>
      <c r="B2213" t="s">
        <v>37659</v>
      </c>
      <c r="C2213" t="s">
        <v>74</v>
      </c>
      <c r="D2213" t="s">
        <v>74</v>
      </c>
      <c r="E2213" t="s">
        <v>74</v>
      </c>
      <c r="F2213" t="s">
        <v>37660</v>
      </c>
      <c r="G2213" t="s">
        <v>74</v>
      </c>
      <c r="H2213" t="s">
        <v>74</v>
      </c>
      <c r="I2213" t="s">
        <v>37661</v>
      </c>
      <c r="J2213" t="s">
        <v>12427</v>
      </c>
      <c r="K2213" t="s">
        <v>74</v>
      </c>
      <c r="L2213" t="s">
        <v>74</v>
      </c>
      <c r="M2213" t="s">
        <v>78</v>
      </c>
      <c r="N2213" t="s">
        <v>79</v>
      </c>
      <c r="O2213" t="s">
        <v>74</v>
      </c>
      <c r="P2213" t="s">
        <v>74</v>
      </c>
      <c r="Q2213" t="s">
        <v>74</v>
      </c>
      <c r="R2213" t="s">
        <v>74</v>
      </c>
      <c r="S2213" t="s">
        <v>74</v>
      </c>
      <c r="T2213" t="s">
        <v>37662</v>
      </c>
      <c r="U2213" t="s">
        <v>37663</v>
      </c>
      <c r="V2213" t="s">
        <v>37664</v>
      </c>
      <c r="W2213" t="s">
        <v>37665</v>
      </c>
      <c r="X2213" t="s">
        <v>37666</v>
      </c>
      <c r="Y2213" t="s">
        <v>37667</v>
      </c>
      <c r="Z2213" t="s">
        <v>37668</v>
      </c>
      <c r="AA2213" t="s">
        <v>37669</v>
      </c>
      <c r="AB2213" t="s">
        <v>37670</v>
      </c>
      <c r="AC2213" t="s">
        <v>74</v>
      </c>
      <c r="AD2213" t="s">
        <v>74</v>
      </c>
      <c r="AE2213" t="s">
        <v>74</v>
      </c>
      <c r="AF2213" t="s">
        <v>74</v>
      </c>
      <c r="AG2213">
        <v>94</v>
      </c>
      <c r="AH2213">
        <v>0</v>
      </c>
      <c r="AI2213">
        <v>2</v>
      </c>
      <c r="AJ2213">
        <v>4</v>
      </c>
      <c r="AK2213">
        <v>9</v>
      </c>
      <c r="AL2213" t="s">
        <v>201</v>
      </c>
      <c r="AM2213" t="s">
        <v>202</v>
      </c>
      <c r="AN2213" t="s">
        <v>203</v>
      </c>
      <c r="AO2213" t="s">
        <v>74</v>
      </c>
      <c r="AP2213" t="s">
        <v>12435</v>
      </c>
      <c r="AQ2213" t="s">
        <v>74</v>
      </c>
      <c r="AR2213" t="s">
        <v>12436</v>
      </c>
      <c r="AS2213" t="s">
        <v>12437</v>
      </c>
      <c r="AT2213" t="s">
        <v>1652</v>
      </c>
      <c r="AU2213">
        <v>2025</v>
      </c>
      <c r="AV2213">
        <v>5</v>
      </c>
      <c r="AW2213">
        <v>1</v>
      </c>
      <c r="AX2213" t="s">
        <v>74</v>
      </c>
      <c r="AY2213" t="s">
        <v>74</v>
      </c>
      <c r="AZ2213" t="s">
        <v>74</v>
      </c>
      <c r="BA2213" t="s">
        <v>74</v>
      </c>
      <c r="BB2213" t="s">
        <v>74</v>
      </c>
      <c r="BC2213" t="s">
        <v>74</v>
      </c>
      <c r="BD2213">
        <v>100113</v>
      </c>
      <c r="BE2213" t="s">
        <v>37671</v>
      </c>
      <c r="BF2213" t="str">
        <f>HYPERLINK("http://dx.doi.org/10.1016/j.digbus.2025.100113","http://dx.doi.org/10.1016/j.digbus.2025.100113")</f>
        <v>http://dx.doi.org/10.1016/j.digbus.2025.100113</v>
      </c>
      <c r="BG2213" t="s">
        <v>74</v>
      </c>
      <c r="BH2213" t="s">
        <v>2781</v>
      </c>
      <c r="BI2213">
        <v>15</v>
      </c>
      <c r="BJ2213" t="s">
        <v>98</v>
      </c>
      <c r="BK2213" t="s">
        <v>313</v>
      </c>
      <c r="BL2213" t="s">
        <v>100</v>
      </c>
      <c r="BM2213" t="s">
        <v>37672</v>
      </c>
      <c r="BN2213" t="s">
        <v>74</v>
      </c>
      <c r="BO2213" t="s">
        <v>212</v>
      </c>
      <c r="BP2213" t="s">
        <v>74</v>
      </c>
      <c r="BQ2213" t="s">
        <v>74</v>
      </c>
      <c r="BR2213" t="s">
        <v>102</v>
      </c>
      <c r="BS2213" t="s">
        <v>37673</v>
      </c>
      <c r="BT2213" t="str">
        <f>HYPERLINK("https%3A%2F%2Fwww.webofscience.com%2Fwos%2Fwoscc%2Ffull-record%2FWOS:001442864000001","View Full Record in Web of Science")</f>
        <v>View Full Record in Web of Science</v>
      </c>
    </row>
    <row r="2214" spans="1:72" x14ac:dyDescent="0.25">
      <c r="A2214" t="s">
        <v>132</v>
      </c>
      <c r="B2214" t="s">
        <v>37674</v>
      </c>
      <c r="C2214" t="s">
        <v>74</v>
      </c>
      <c r="D2214" t="s">
        <v>37675</v>
      </c>
      <c r="E2214" t="s">
        <v>74</v>
      </c>
      <c r="F2214" t="s">
        <v>37676</v>
      </c>
      <c r="G2214" t="s">
        <v>74</v>
      </c>
      <c r="H2214" t="s">
        <v>74</v>
      </c>
      <c r="I2214" t="s">
        <v>37677</v>
      </c>
      <c r="J2214" t="s">
        <v>37678</v>
      </c>
      <c r="K2214" t="s">
        <v>17423</v>
      </c>
      <c r="L2214" t="s">
        <v>74</v>
      </c>
      <c r="M2214" t="s">
        <v>78</v>
      </c>
      <c r="N2214" t="s">
        <v>138</v>
      </c>
      <c r="O2214" t="s">
        <v>37679</v>
      </c>
      <c r="P2214" t="s">
        <v>37680</v>
      </c>
      <c r="Q2214" t="s">
        <v>37681</v>
      </c>
      <c r="R2214" t="s">
        <v>37682</v>
      </c>
      <c r="S2214" t="s">
        <v>37683</v>
      </c>
      <c r="T2214" t="s">
        <v>37684</v>
      </c>
      <c r="U2214" t="s">
        <v>74</v>
      </c>
      <c r="V2214" t="s">
        <v>37685</v>
      </c>
      <c r="W2214" t="s">
        <v>37686</v>
      </c>
      <c r="X2214" t="s">
        <v>37687</v>
      </c>
      <c r="Y2214" t="s">
        <v>37688</v>
      </c>
      <c r="Z2214" t="s">
        <v>37689</v>
      </c>
      <c r="AA2214" t="s">
        <v>74</v>
      </c>
      <c r="AB2214" t="s">
        <v>37690</v>
      </c>
      <c r="AC2214" t="s">
        <v>74</v>
      </c>
      <c r="AD2214" t="s">
        <v>74</v>
      </c>
      <c r="AE2214" t="s">
        <v>74</v>
      </c>
      <c r="AF2214" t="s">
        <v>74</v>
      </c>
      <c r="AG2214">
        <v>15</v>
      </c>
      <c r="AH2214">
        <v>0</v>
      </c>
      <c r="AI2214">
        <v>0</v>
      </c>
      <c r="AJ2214">
        <v>0</v>
      </c>
      <c r="AK2214">
        <v>1</v>
      </c>
      <c r="AL2214" t="s">
        <v>1062</v>
      </c>
      <c r="AM2214" t="s">
        <v>667</v>
      </c>
      <c r="AN2214" t="s">
        <v>668</v>
      </c>
      <c r="AO2214" t="s">
        <v>17434</v>
      </c>
      <c r="AP2214" t="s">
        <v>17435</v>
      </c>
      <c r="AQ2214" t="s">
        <v>37691</v>
      </c>
      <c r="AR2214" t="s">
        <v>17437</v>
      </c>
      <c r="AS2214" t="s">
        <v>74</v>
      </c>
      <c r="AT2214" t="s">
        <v>74</v>
      </c>
      <c r="AU2214">
        <v>2025</v>
      </c>
      <c r="AV2214">
        <v>2347</v>
      </c>
      <c r="AW2214" t="s">
        <v>74</v>
      </c>
      <c r="AX2214" t="s">
        <v>74</v>
      </c>
      <c r="AY2214" t="s">
        <v>74</v>
      </c>
      <c r="AZ2214" t="s">
        <v>74</v>
      </c>
      <c r="BA2214" t="s">
        <v>74</v>
      </c>
      <c r="BB2214">
        <v>318</v>
      </c>
      <c r="BC2214">
        <v>333</v>
      </c>
      <c r="BD2214" t="s">
        <v>74</v>
      </c>
      <c r="BE2214" t="s">
        <v>37692</v>
      </c>
      <c r="BF2214" t="str">
        <f>HYPERLINK("http://dx.doi.org/10.1007/978-3-031-84078-4_22","http://dx.doi.org/10.1007/978-3-031-84078-4_22")</f>
        <v>http://dx.doi.org/10.1007/978-3-031-84078-4_22</v>
      </c>
      <c r="BG2214" t="s">
        <v>74</v>
      </c>
      <c r="BH2214" t="s">
        <v>74</v>
      </c>
      <c r="BI2214">
        <v>16</v>
      </c>
      <c r="BJ2214" t="s">
        <v>1223</v>
      </c>
      <c r="BK2214" t="s">
        <v>156</v>
      </c>
      <c r="BL2214" t="s">
        <v>157</v>
      </c>
      <c r="BM2214" t="s">
        <v>37693</v>
      </c>
      <c r="BN2214" t="s">
        <v>74</v>
      </c>
      <c r="BO2214" t="s">
        <v>74</v>
      </c>
      <c r="BP2214" t="s">
        <v>74</v>
      </c>
      <c r="BQ2214" t="s">
        <v>74</v>
      </c>
      <c r="BR2214" t="s">
        <v>102</v>
      </c>
      <c r="BS2214" t="s">
        <v>37694</v>
      </c>
      <c r="BT2214" t="str">
        <f>HYPERLINK("https%3A%2F%2Fwww.webofscience.com%2Fwos%2Fwoscc%2Ffull-record%2FWOS:001472392100022","View Full Record in Web of Science")</f>
        <v>View Full Record in Web of Science</v>
      </c>
    </row>
    <row r="2215" spans="1:72" x14ac:dyDescent="0.25">
      <c r="A2215" t="s">
        <v>72</v>
      </c>
      <c r="B2215" t="s">
        <v>37695</v>
      </c>
      <c r="C2215" t="s">
        <v>74</v>
      </c>
      <c r="D2215" t="s">
        <v>74</v>
      </c>
      <c r="E2215" t="s">
        <v>74</v>
      </c>
      <c r="F2215" t="s">
        <v>37696</v>
      </c>
      <c r="G2215" t="s">
        <v>74</v>
      </c>
      <c r="H2215" t="s">
        <v>74</v>
      </c>
      <c r="I2215" t="s">
        <v>37697</v>
      </c>
      <c r="J2215" t="s">
        <v>33243</v>
      </c>
      <c r="K2215" t="s">
        <v>74</v>
      </c>
      <c r="L2215" t="s">
        <v>74</v>
      </c>
      <c r="M2215" t="s">
        <v>78</v>
      </c>
      <c r="N2215" t="s">
        <v>79</v>
      </c>
      <c r="O2215" t="s">
        <v>74</v>
      </c>
      <c r="P2215" t="s">
        <v>74</v>
      </c>
      <c r="Q2215" t="s">
        <v>74</v>
      </c>
      <c r="R2215" t="s">
        <v>74</v>
      </c>
      <c r="S2215" t="s">
        <v>74</v>
      </c>
      <c r="T2215" t="s">
        <v>37698</v>
      </c>
      <c r="U2215" t="s">
        <v>37699</v>
      </c>
      <c r="V2215" t="s">
        <v>37700</v>
      </c>
      <c r="W2215" t="s">
        <v>37701</v>
      </c>
      <c r="X2215" t="s">
        <v>37702</v>
      </c>
      <c r="Y2215" t="s">
        <v>37703</v>
      </c>
      <c r="Z2215" t="s">
        <v>74</v>
      </c>
      <c r="AA2215" t="s">
        <v>37704</v>
      </c>
      <c r="AB2215" t="s">
        <v>37705</v>
      </c>
      <c r="AC2215" t="s">
        <v>74</v>
      </c>
      <c r="AD2215" t="s">
        <v>74</v>
      </c>
      <c r="AE2215" t="s">
        <v>74</v>
      </c>
      <c r="AF2215" t="s">
        <v>74</v>
      </c>
      <c r="AG2215">
        <v>71</v>
      </c>
      <c r="AH2215">
        <v>0</v>
      </c>
      <c r="AI2215">
        <v>1</v>
      </c>
      <c r="AJ2215">
        <v>8</v>
      </c>
      <c r="AK2215">
        <v>8</v>
      </c>
      <c r="AL2215" t="s">
        <v>16843</v>
      </c>
      <c r="AM2215" t="s">
        <v>16844</v>
      </c>
      <c r="AN2215" t="s">
        <v>16845</v>
      </c>
      <c r="AO2215" t="s">
        <v>33233</v>
      </c>
      <c r="AP2215" t="s">
        <v>74</v>
      </c>
      <c r="AQ2215" t="s">
        <v>74</v>
      </c>
      <c r="AR2215" t="s">
        <v>33232</v>
      </c>
      <c r="AS2215" t="s">
        <v>33231</v>
      </c>
      <c r="AT2215" t="s">
        <v>74</v>
      </c>
      <c r="AU2215">
        <v>2025</v>
      </c>
      <c r="AV2215">
        <v>56</v>
      </c>
      <c r="AW2215" t="s">
        <v>74</v>
      </c>
      <c r="AX2215" t="s">
        <v>74</v>
      </c>
      <c r="AY2215" t="s">
        <v>74</v>
      </c>
      <c r="AZ2215" t="s">
        <v>74</v>
      </c>
      <c r="BA2215" t="s">
        <v>74</v>
      </c>
      <c r="BB2215" t="s">
        <v>74</v>
      </c>
      <c r="BC2215" t="s">
        <v>74</v>
      </c>
      <c r="BD2215" t="s">
        <v>74</v>
      </c>
      <c r="BE2215" t="s">
        <v>37706</v>
      </c>
      <c r="BF2215" t="str">
        <f>HYPERLINK("http://dx.doi.org/10.17705/1CAIS.05630","http://dx.doi.org/10.17705/1CAIS.05630")</f>
        <v>http://dx.doi.org/10.17705/1CAIS.05630</v>
      </c>
      <c r="BG2215" t="s">
        <v>74</v>
      </c>
      <c r="BH2215" t="s">
        <v>74</v>
      </c>
      <c r="BI2215">
        <v>29</v>
      </c>
      <c r="BJ2215" t="s">
        <v>1779</v>
      </c>
      <c r="BK2215" t="s">
        <v>313</v>
      </c>
      <c r="BL2215" t="s">
        <v>157</v>
      </c>
      <c r="BM2215" t="s">
        <v>37707</v>
      </c>
      <c r="BN2215" t="s">
        <v>74</v>
      </c>
      <c r="BO2215" t="s">
        <v>1205</v>
      </c>
      <c r="BP2215" t="s">
        <v>74</v>
      </c>
      <c r="BQ2215" t="s">
        <v>74</v>
      </c>
      <c r="BR2215" t="s">
        <v>102</v>
      </c>
      <c r="BS2215" t="s">
        <v>37708</v>
      </c>
      <c r="BT2215" t="str">
        <f>HYPERLINK("https%3A%2F%2Fwww.webofscience.com%2Fwos%2Fwoscc%2Ffull-record%2FWOS:001509051100014","View Full Record in Web of Science")</f>
        <v>View Full Record in Web of Science</v>
      </c>
    </row>
    <row r="2216" spans="1:72" x14ac:dyDescent="0.25">
      <c r="A2216" t="s">
        <v>72</v>
      </c>
      <c r="B2216" t="s">
        <v>37709</v>
      </c>
      <c r="C2216" t="s">
        <v>74</v>
      </c>
      <c r="D2216" t="s">
        <v>74</v>
      </c>
      <c r="E2216" t="s">
        <v>74</v>
      </c>
      <c r="F2216" t="s">
        <v>37710</v>
      </c>
      <c r="G2216" t="s">
        <v>74</v>
      </c>
      <c r="H2216" t="s">
        <v>74</v>
      </c>
      <c r="I2216" t="s">
        <v>37711</v>
      </c>
      <c r="J2216" t="s">
        <v>37712</v>
      </c>
      <c r="K2216" t="s">
        <v>74</v>
      </c>
      <c r="L2216" t="s">
        <v>74</v>
      </c>
      <c r="M2216" t="s">
        <v>78</v>
      </c>
      <c r="N2216" t="s">
        <v>79</v>
      </c>
      <c r="O2216" t="s">
        <v>74</v>
      </c>
      <c r="P2216" t="s">
        <v>74</v>
      </c>
      <c r="Q2216" t="s">
        <v>74</v>
      </c>
      <c r="R2216" t="s">
        <v>74</v>
      </c>
      <c r="S2216" t="s">
        <v>74</v>
      </c>
      <c r="T2216" t="s">
        <v>74</v>
      </c>
      <c r="U2216" t="s">
        <v>37713</v>
      </c>
      <c r="V2216" t="s">
        <v>37714</v>
      </c>
      <c r="W2216" t="s">
        <v>37715</v>
      </c>
      <c r="X2216" t="s">
        <v>37716</v>
      </c>
      <c r="Y2216" t="s">
        <v>22228</v>
      </c>
      <c r="Z2216" t="s">
        <v>19401</v>
      </c>
      <c r="AA2216" t="s">
        <v>37717</v>
      </c>
      <c r="AB2216" t="s">
        <v>37718</v>
      </c>
      <c r="AC2216" t="s">
        <v>37719</v>
      </c>
      <c r="AD2216" t="s">
        <v>37720</v>
      </c>
      <c r="AE2216" t="s">
        <v>37721</v>
      </c>
      <c r="AF2216" t="s">
        <v>74</v>
      </c>
      <c r="AG2216">
        <v>44</v>
      </c>
      <c r="AH2216">
        <v>4</v>
      </c>
      <c r="AI2216">
        <v>5</v>
      </c>
      <c r="AJ2216">
        <v>4</v>
      </c>
      <c r="AK2216">
        <v>21</v>
      </c>
      <c r="AL2216" t="s">
        <v>16099</v>
      </c>
      <c r="AM2216" t="s">
        <v>16100</v>
      </c>
      <c r="AN2216" t="s">
        <v>16101</v>
      </c>
      <c r="AO2216" t="s">
        <v>37722</v>
      </c>
      <c r="AP2216" t="s">
        <v>37723</v>
      </c>
      <c r="AQ2216" t="s">
        <v>74</v>
      </c>
      <c r="AR2216" t="s">
        <v>37724</v>
      </c>
      <c r="AS2216" t="s">
        <v>37725</v>
      </c>
      <c r="AT2216" t="s">
        <v>698</v>
      </c>
      <c r="AU2216">
        <v>2022</v>
      </c>
      <c r="AV2216">
        <v>43</v>
      </c>
      <c r="AW2216">
        <v>6</v>
      </c>
      <c r="AX2216" t="s">
        <v>74</v>
      </c>
      <c r="AY2216" t="s">
        <v>74</v>
      </c>
      <c r="AZ2216" t="s">
        <v>74</v>
      </c>
      <c r="BA2216" t="s">
        <v>74</v>
      </c>
      <c r="BB2216">
        <v>1899</v>
      </c>
      <c r="BC2216">
        <v>1911</v>
      </c>
      <c r="BD2216" t="s">
        <v>74</v>
      </c>
      <c r="BE2216" t="s">
        <v>37726</v>
      </c>
      <c r="BF2216" t="str">
        <f>HYPERLINK("http://dx.doi.org/10.1002/mde.3498","http://dx.doi.org/10.1002/mde.3498")</f>
        <v>http://dx.doi.org/10.1002/mde.3498</v>
      </c>
      <c r="BG2216" t="s">
        <v>74</v>
      </c>
      <c r="BH2216" t="s">
        <v>6817</v>
      </c>
      <c r="BI2216">
        <v>13</v>
      </c>
      <c r="BJ2216" t="s">
        <v>5519</v>
      </c>
      <c r="BK2216" t="s">
        <v>99</v>
      </c>
      <c r="BL2216" t="s">
        <v>100</v>
      </c>
      <c r="BM2216" t="s">
        <v>37727</v>
      </c>
      <c r="BN2216" t="s">
        <v>74</v>
      </c>
      <c r="BO2216" t="s">
        <v>74</v>
      </c>
      <c r="BP2216" t="s">
        <v>74</v>
      </c>
      <c r="BQ2216" t="s">
        <v>74</v>
      </c>
      <c r="BR2216" t="s">
        <v>102</v>
      </c>
      <c r="BS2216" t="s">
        <v>37728</v>
      </c>
      <c r="BT2216" t="str">
        <f>HYPERLINK("https%3A%2F%2Fwww.webofscience.com%2Fwos%2Fwoscc%2Ffull-record%2FWOS:000722368100001","View Full Record in Web of Science")</f>
        <v>View Full Record in Web of Science</v>
      </c>
    </row>
    <row r="2217" spans="1:72" x14ac:dyDescent="0.25">
      <c r="A2217" t="s">
        <v>72</v>
      </c>
      <c r="B2217" t="s">
        <v>37729</v>
      </c>
      <c r="C2217" t="s">
        <v>74</v>
      </c>
      <c r="D2217" t="s">
        <v>74</v>
      </c>
      <c r="E2217" t="s">
        <v>74</v>
      </c>
      <c r="F2217" t="s">
        <v>37730</v>
      </c>
      <c r="G2217" t="s">
        <v>74</v>
      </c>
      <c r="H2217" t="s">
        <v>74</v>
      </c>
      <c r="I2217" t="s">
        <v>37731</v>
      </c>
      <c r="J2217" t="s">
        <v>17444</v>
      </c>
      <c r="K2217" t="s">
        <v>74</v>
      </c>
      <c r="L2217" t="s">
        <v>74</v>
      </c>
      <c r="M2217" t="s">
        <v>78</v>
      </c>
      <c r="N2217" t="s">
        <v>79</v>
      </c>
      <c r="O2217" t="s">
        <v>74</v>
      </c>
      <c r="P2217" t="s">
        <v>74</v>
      </c>
      <c r="Q2217" t="s">
        <v>74</v>
      </c>
      <c r="R2217" t="s">
        <v>74</v>
      </c>
      <c r="S2217" t="s">
        <v>74</v>
      </c>
      <c r="T2217" t="s">
        <v>37732</v>
      </c>
      <c r="U2217" t="s">
        <v>37733</v>
      </c>
      <c r="V2217" t="s">
        <v>37734</v>
      </c>
      <c r="W2217" t="s">
        <v>37735</v>
      </c>
      <c r="X2217" t="s">
        <v>7842</v>
      </c>
      <c r="Y2217" t="s">
        <v>37736</v>
      </c>
      <c r="Z2217" t="s">
        <v>37737</v>
      </c>
      <c r="AA2217" t="s">
        <v>37738</v>
      </c>
      <c r="AB2217" t="s">
        <v>37739</v>
      </c>
      <c r="AC2217" t="s">
        <v>74</v>
      </c>
      <c r="AD2217" t="s">
        <v>74</v>
      </c>
      <c r="AE2217" t="s">
        <v>74</v>
      </c>
      <c r="AF2217" t="s">
        <v>74</v>
      </c>
      <c r="AG2217">
        <v>60</v>
      </c>
      <c r="AH2217">
        <v>16</v>
      </c>
      <c r="AI2217">
        <v>25</v>
      </c>
      <c r="AJ2217">
        <v>2</v>
      </c>
      <c r="AK2217">
        <v>32</v>
      </c>
      <c r="AL2217" t="s">
        <v>89</v>
      </c>
      <c r="AM2217" t="s">
        <v>1497</v>
      </c>
      <c r="AN2217" t="s">
        <v>1498</v>
      </c>
      <c r="AO2217" t="s">
        <v>17454</v>
      </c>
      <c r="AP2217" t="s">
        <v>17455</v>
      </c>
      <c r="AQ2217" t="s">
        <v>74</v>
      </c>
      <c r="AR2217" t="s">
        <v>17456</v>
      </c>
      <c r="AS2217" t="s">
        <v>17457</v>
      </c>
      <c r="AT2217" t="s">
        <v>11361</v>
      </c>
      <c r="AU2217">
        <v>2022</v>
      </c>
      <c r="AV2217">
        <v>48</v>
      </c>
      <c r="AW2217" t="s">
        <v>23850</v>
      </c>
      <c r="AX2217" t="s">
        <v>74</v>
      </c>
      <c r="AY2217" t="s">
        <v>74</v>
      </c>
      <c r="AZ2217" t="s">
        <v>441</v>
      </c>
      <c r="BA2217" t="s">
        <v>74</v>
      </c>
      <c r="BB2217">
        <v>1430</v>
      </c>
      <c r="BC2217">
        <v>1452</v>
      </c>
      <c r="BD2217" t="s">
        <v>74</v>
      </c>
      <c r="BE2217" t="s">
        <v>37740</v>
      </c>
      <c r="BF2217" t="str">
        <f>HYPERLINK("http://dx.doi.org/10.1108/MF-09-2021-0440","http://dx.doi.org/10.1108/MF-09-2021-0440")</f>
        <v>http://dx.doi.org/10.1108/MF-09-2021-0440</v>
      </c>
      <c r="BG2217" t="s">
        <v>74</v>
      </c>
      <c r="BH2217" t="s">
        <v>767</v>
      </c>
      <c r="BI2217">
        <v>23</v>
      </c>
      <c r="BJ2217" t="s">
        <v>268</v>
      </c>
      <c r="BK2217" t="s">
        <v>313</v>
      </c>
      <c r="BL2217" t="s">
        <v>100</v>
      </c>
      <c r="BM2217" t="s">
        <v>23848</v>
      </c>
      <c r="BN2217" t="s">
        <v>74</v>
      </c>
      <c r="BO2217" t="s">
        <v>74</v>
      </c>
      <c r="BP2217" t="s">
        <v>74</v>
      </c>
      <c r="BQ2217" t="s">
        <v>74</v>
      </c>
      <c r="BR2217" t="s">
        <v>102</v>
      </c>
      <c r="BS2217" t="s">
        <v>37741</v>
      </c>
      <c r="BT2217" t="str">
        <f>HYPERLINK("https%3A%2F%2Fwww.webofscience.com%2Fwos%2Fwoscc%2Ffull-record%2FWOS:000775150100001","View Full Record in Web of Science")</f>
        <v>View Full Record in Web of Science</v>
      </c>
    </row>
    <row r="2218" spans="1:72" x14ac:dyDescent="0.25">
      <c r="A2218" t="s">
        <v>72</v>
      </c>
      <c r="B2218" t="s">
        <v>37742</v>
      </c>
      <c r="C2218" t="s">
        <v>74</v>
      </c>
      <c r="D2218" t="s">
        <v>74</v>
      </c>
      <c r="E2218" t="s">
        <v>74</v>
      </c>
      <c r="F2218" t="s">
        <v>37743</v>
      </c>
      <c r="G2218" t="s">
        <v>74</v>
      </c>
      <c r="H2218" t="s">
        <v>74</v>
      </c>
      <c r="I2218" t="s">
        <v>37744</v>
      </c>
      <c r="J2218" t="s">
        <v>6713</v>
      </c>
      <c r="K2218" t="s">
        <v>74</v>
      </c>
      <c r="L2218" t="s">
        <v>74</v>
      </c>
      <c r="M2218" t="s">
        <v>78</v>
      </c>
      <c r="N2218" t="s">
        <v>79</v>
      </c>
      <c r="O2218" t="s">
        <v>74</v>
      </c>
      <c r="P2218" t="s">
        <v>74</v>
      </c>
      <c r="Q2218" t="s">
        <v>74</v>
      </c>
      <c r="R2218" t="s">
        <v>74</v>
      </c>
      <c r="S2218" t="s">
        <v>74</v>
      </c>
      <c r="T2218" t="s">
        <v>37745</v>
      </c>
      <c r="U2218" t="s">
        <v>37746</v>
      </c>
      <c r="V2218" t="s">
        <v>37747</v>
      </c>
      <c r="W2218" t="s">
        <v>37748</v>
      </c>
      <c r="X2218" t="s">
        <v>37749</v>
      </c>
      <c r="Y2218" t="s">
        <v>37750</v>
      </c>
      <c r="Z2218" t="s">
        <v>37751</v>
      </c>
      <c r="AA2218" t="s">
        <v>18586</v>
      </c>
      <c r="AB2218" t="s">
        <v>74</v>
      </c>
      <c r="AC2218" t="s">
        <v>37752</v>
      </c>
      <c r="AD2218" t="s">
        <v>17987</v>
      </c>
      <c r="AE2218" t="s">
        <v>37753</v>
      </c>
      <c r="AF2218" t="s">
        <v>74</v>
      </c>
      <c r="AG2218">
        <v>64</v>
      </c>
      <c r="AH2218">
        <v>3</v>
      </c>
      <c r="AI2218">
        <v>5</v>
      </c>
      <c r="AJ2218">
        <v>0</v>
      </c>
      <c r="AK2218">
        <v>11</v>
      </c>
      <c r="AL2218" t="s">
        <v>4485</v>
      </c>
      <c r="AM2218" t="s">
        <v>6724</v>
      </c>
      <c r="AN2218" t="s">
        <v>6725</v>
      </c>
      <c r="AO2218" t="s">
        <v>6726</v>
      </c>
      <c r="AP2218" t="s">
        <v>6727</v>
      </c>
      <c r="AQ2218" t="s">
        <v>74</v>
      </c>
      <c r="AR2218" t="s">
        <v>6728</v>
      </c>
      <c r="AS2218" t="s">
        <v>6729</v>
      </c>
      <c r="AT2218" t="s">
        <v>891</v>
      </c>
      <c r="AU2218">
        <v>2023</v>
      </c>
      <c r="AV2218">
        <v>47</v>
      </c>
      <c r="AW2218">
        <v>10</v>
      </c>
      <c r="AX2218" t="s">
        <v>74</v>
      </c>
      <c r="AY2218" t="s">
        <v>74</v>
      </c>
      <c r="AZ2218" t="s">
        <v>74</v>
      </c>
      <c r="BA2218" t="s">
        <v>74</v>
      </c>
      <c r="BB2218" t="s">
        <v>74</v>
      </c>
      <c r="BC2218" t="s">
        <v>74</v>
      </c>
      <c r="BD2218">
        <v>102648</v>
      </c>
      <c r="BE2218" t="s">
        <v>37754</v>
      </c>
      <c r="BF2218" t="str">
        <f>HYPERLINK("http://dx.doi.org/10.1016/j.telpol.2023.102648","http://dx.doi.org/10.1016/j.telpol.2023.102648")</f>
        <v>http://dx.doi.org/10.1016/j.telpol.2023.102648</v>
      </c>
      <c r="BG2218" t="s">
        <v>74</v>
      </c>
      <c r="BH2218" t="s">
        <v>3535</v>
      </c>
      <c r="BI2218">
        <v>14</v>
      </c>
      <c r="BJ2218" t="s">
        <v>6731</v>
      </c>
      <c r="BK2218" t="s">
        <v>2623</v>
      </c>
      <c r="BL2218" t="s">
        <v>6731</v>
      </c>
      <c r="BM2218" t="s">
        <v>37755</v>
      </c>
      <c r="BN2218" t="s">
        <v>74</v>
      </c>
      <c r="BO2218" t="s">
        <v>466</v>
      </c>
      <c r="BP2218" t="s">
        <v>74</v>
      </c>
      <c r="BQ2218" t="s">
        <v>74</v>
      </c>
      <c r="BR2218" t="s">
        <v>102</v>
      </c>
      <c r="BS2218" t="s">
        <v>37756</v>
      </c>
      <c r="BT2218" t="str">
        <f>HYPERLINK("https%3A%2F%2Fwww.webofscience.com%2Fwos%2Fwoscc%2Ffull-record%2FWOS:001111212500001","View Full Record in Web of Science")</f>
        <v>View Full Record in Web of Science</v>
      </c>
    </row>
    <row r="2219" spans="1:72" x14ac:dyDescent="0.25">
      <c r="A2219" t="s">
        <v>72</v>
      </c>
      <c r="B2219" t="s">
        <v>37757</v>
      </c>
      <c r="C2219" t="s">
        <v>74</v>
      </c>
      <c r="D2219" t="s">
        <v>74</v>
      </c>
      <c r="E2219" t="s">
        <v>74</v>
      </c>
      <c r="F2219" t="s">
        <v>37758</v>
      </c>
      <c r="G2219" t="s">
        <v>74</v>
      </c>
      <c r="H2219" t="s">
        <v>74</v>
      </c>
      <c r="I2219" t="s">
        <v>37759</v>
      </c>
      <c r="J2219" t="s">
        <v>21954</v>
      </c>
      <c r="K2219" t="s">
        <v>74</v>
      </c>
      <c r="L2219" t="s">
        <v>74</v>
      </c>
      <c r="M2219" t="s">
        <v>78</v>
      </c>
      <c r="N2219" t="s">
        <v>79</v>
      </c>
      <c r="O2219" t="s">
        <v>74</v>
      </c>
      <c r="P2219" t="s">
        <v>74</v>
      </c>
      <c r="Q2219" t="s">
        <v>74</v>
      </c>
      <c r="R2219" t="s">
        <v>74</v>
      </c>
      <c r="S2219" t="s">
        <v>74</v>
      </c>
      <c r="T2219" t="s">
        <v>37760</v>
      </c>
      <c r="U2219" t="s">
        <v>37761</v>
      </c>
      <c r="V2219" t="s">
        <v>37762</v>
      </c>
      <c r="W2219" t="s">
        <v>37763</v>
      </c>
      <c r="X2219" t="s">
        <v>19340</v>
      </c>
      <c r="Y2219" t="s">
        <v>37764</v>
      </c>
      <c r="Z2219" t="s">
        <v>74</v>
      </c>
      <c r="AA2219" t="s">
        <v>74</v>
      </c>
      <c r="AB2219" t="s">
        <v>74</v>
      </c>
      <c r="AC2219" t="s">
        <v>74</v>
      </c>
      <c r="AD2219" t="s">
        <v>74</v>
      </c>
      <c r="AE2219" t="s">
        <v>74</v>
      </c>
      <c r="AF2219" t="s">
        <v>74</v>
      </c>
      <c r="AG2219">
        <v>143</v>
      </c>
      <c r="AH2219">
        <v>1</v>
      </c>
      <c r="AI2219">
        <v>2</v>
      </c>
      <c r="AJ2219">
        <v>28</v>
      </c>
      <c r="AK2219">
        <v>28</v>
      </c>
      <c r="AL2219" t="s">
        <v>4485</v>
      </c>
      <c r="AM2219" t="s">
        <v>6724</v>
      </c>
      <c r="AN2219" t="s">
        <v>6725</v>
      </c>
      <c r="AO2219" t="s">
        <v>21942</v>
      </c>
      <c r="AP2219" t="s">
        <v>21941</v>
      </c>
      <c r="AQ2219" t="s">
        <v>74</v>
      </c>
      <c r="AR2219" t="s">
        <v>21940</v>
      </c>
      <c r="AS2219" t="s">
        <v>21939</v>
      </c>
      <c r="AT2219" t="s">
        <v>1159</v>
      </c>
      <c r="AU2219">
        <v>2025</v>
      </c>
      <c r="AV2219">
        <v>87</v>
      </c>
      <c r="AW2219" t="s">
        <v>74</v>
      </c>
      <c r="AX2219" t="s">
        <v>74</v>
      </c>
      <c r="AY2219" t="s">
        <v>74</v>
      </c>
      <c r="AZ2219" t="s">
        <v>74</v>
      </c>
      <c r="BA2219" t="s">
        <v>74</v>
      </c>
      <c r="BB2219" t="s">
        <v>74</v>
      </c>
      <c r="BC2219" t="s">
        <v>74</v>
      </c>
      <c r="BD2219">
        <v>104402</v>
      </c>
      <c r="BE2219" t="s">
        <v>37765</v>
      </c>
      <c r="BF2219" t="str">
        <f>HYPERLINK("http://dx.doi.org/10.1016/j.jretconser.2025.104402","http://dx.doi.org/10.1016/j.jretconser.2025.104402")</f>
        <v>http://dx.doi.org/10.1016/j.jretconser.2025.104402</v>
      </c>
      <c r="BG2219" t="s">
        <v>74</v>
      </c>
      <c r="BH2219" t="s">
        <v>3389</v>
      </c>
      <c r="BI2219">
        <v>16</v>
      </c>
      <c r="BJ2219" t="s">
        <v>418</v>
      </c>
      <c r="BK2219" t="s">
        <v>99</v>
      </c>
      <c r="BL2219" t="s">
        <v>100</v>
      </c>
      <c r="BM2219" t="s">
        <v>37766</v>
      </c>
      <c r="BN2219" t="s">
        <v>74</v>
      </c>
      <c r="BO2219" t="s">
        <v>74</v>
      </c>
      <c r="BP2219" t="s">
        <v>74</v>
      </c>
      <c r="BQ2219" t="s">
        <v>74</v>
      </c>
      <c r="BR2219" t="s">
        <v>102</v>
      </c>
      <c r="BS2219" t="s">
        <v>37767</v>
      </c>
      <c r="BT2219" t="str">
        <f>HYPERLINK("https%3A%2F%2Fwww.webofscience.com%2Fwos%2Fwoscc%2Ffull-record%2FWOS:001524711200003","View Full Record in Web of Science")</f>
        <v>View Full Record in Web of Science</v>
      </c>
    </row>
    <row r="2220" spans="1:72" x14ac:dyDescent="0.25">
      <c r="A2220" t="s">
        <v>72</v>
      </c>
      <c r="B2220" t="s">
        <v>14690</v>
      </c>
      <c r="C2220" t="s">
        <v>74</v>
      </c>
      <c r="D2220" t="s">
        <v>74</v>
      </c>
      <c r="E2220" t="s">
        <v>74</v>
      </c>
      <c r="F2220" t="s">
        <v>14691</v>
      </c>
      <c r="G2220" t="s">
        <v>74</v>
      </c>
      <c r="H2220" t="s">
        <v>74</v>
      </c>
      <c r="I2220" t="s">
        <v>37768</v>
      </c>
      <c r="J2220" t="s">
        <v>1719</v>
      </c>
      <c r="K2220" t="s">
        <v>74</v>
      </c>
      <c r="L2220" t="s">
        <v>74</v>
      </c>
      <c r="M2220" t="s">
        <v>78</v>
      </c>
      <c r="N2220" t="s">
        <v>79</v>
      </c>
      <c r="O2220" t="s">
        <v>74</v>
      </c>
      <c r="P2220" t="s">
        <v>74</v>
      </c>
      <c r="Q2220" t="s">
        <v>74</v>
      </c>
      <c r="R2220" t="s">
        <v>74</v>
      </c>
      <c r="S2220" t="s">
        <v>74</v>
      </c>
      <c r="T2220" t="s">
        <v>37769</v>
      </c>
      <c r="U2220" t="s">
        <v>37770</v>
      </c>
      <c r="V2220" t="s">
        <v>37771</v>
      </c>
      <c r="W2220" t="s">
        <v>14697</v>
      </c>
      <c r="X2220" t="s">
        <v>11050</v>
      </c>
      <c r="Y2220" t="s">
        <v>37772</v>
      </c>
      <c r="Z2220" t="s">
        <v>37773</v>
      </c>
      <c r="AA2220" t="s">
        <v>74</v>
      </c>
      <c r="AB2220" t="s">
        <v>74</v>
      </c>
      <c r="AC2220" t="s">
        <v>74</v>
      </c>
      <c r="AD2220" t="s">
        <v>74</v>
      </c>
      <c r="AE2220" t="s">
        <v>74</v>
      </c>
      <c r="AF2220" t="s">
        <v>74</v>
      </c>
      <c r="AG2220">
        <v>123</v>
      </c>
      <c r="AH2220">
        <v>4</v>
      </c>
      <c r="AI2220">
        <v>7</v>
      </c>
      <c r="AJ2220">
        <v>0</v>
      </c>
      <c r="AK2220">
        <v>6</v>
      </c>
      <c r="AL2220" t="s">
        <v>332</v>
      </c>
      <c r="AM2220" t="s">
        <v>333</v>
      </c>
      <c r="AN2220" t="s">
        <v>334</v>
      </c>
      <c r="AO2220" t="s">
        <v>1732</v>
      </c>
      <c r="AP2220" t="s">
        <v>1733</v>
      </c>
      <c r="AQ2220" t="s">
        <v>74</v>
      </c>
      <c r="AR2220" t="s">
        <v>1734</v>
      </c>
      <c r="AS2220" t="s">
        <v>1735</v>
      </c>
      <c r="AT2220" t="s">
        <v>1693</v>
      </c>
      <c r="AU2220">
        <v>2021</v>
      </c>
      <c r="AV2220">
        <v>7</v>
      </c>
      <c r="AW2220">
        <v>2</v>
      </c>
      <c r="AX2220" t="s">
        <v>74</v>
      </c>
      <c r="AY2220" t="s">
        <v>74</v>
      </c>
      <c r="AZ2220" t="s">
        <v>441</v>
      </c>
      <c r="BA2220" t="s">
        <v>74</v>
      </c>
      <c r="BB2220">
        <v>314</v>
      </c>
      <c r="BC2220">
        <v>337</v>
      </c>
      <c r="BD2220" t="s">
        <v>74</v>
      </c>
      <c r="BE2220" t="s">
        <v>37774</v>
      </c>
      <c r="BF2220" t="str">
        <f>HYPERLINK("http://dx.doi.org/10.1080/23322373.2021.1902209","http://dx.doi.org/10.1080/23322373.2021.1902209")</f>
        <v>http://dx.doi.org/10.1080/23322373.2021.1902209</v>
      </c>
      <c r="BG2220" t="s">
        <v>74</v>
      </c>
      <c r="BH2220" t="s">
        <v>443</v>
      </c>
      <c r="BI2220">
        <v>24</v>
      </c>
      <c r="BJ2220" t="s">
        <v>583</v>
      </c>
      <c r="BK2220" t="s">
        <v>313</v>
      </c>
      <c r="BL2220" t="s">
        <v>100</v>
      </c>
      <c r="BM2220" t="s">
        <v>37775</v>
      </c>
      <c r="BN2220" t="s">
        <v>74</v>
      </c>
      <c r="BO2220" t="s">
        <v>74</v>
      </c>
      <c r="BP2220" t="s">
        <v>74</v>
      </c>
      <c r="BQ2220" t="s">
        <v>74</v>
      </c>
      <c r="BR2220" t="s">
        <v>102</v>
      </c>
      <c r="BS2220" t="s">
        <v>37776</v>
      </c>
      <c r="BT2220" t="str">
        <f>HYPERLINK("https%3A%2F%2Fwww.webofscience.com%2Fwos%2Fwoscc%2Ffull-record%2FWOS:000646103400001","View Full Record in Web of Science")</f>
        <v>View Full Record in Web of Science</v>
      </c>
    </row>
    <row r="2221" spans="1:72" x14ac:dyDescent="0.25">
      <c r="A2221" t="s">
        <v>72</v>
      </c>
      <c r="B2221" t="s">
        <v>37777</v>
      </c>
      <c r="C2221" t="s">
        <v>74</v>
      </c>
      <c r="D2221" t="s">
        <v>74</v>
      </c>
      <c r="E2221" t="s">
        <v>74</v>
      </c>
      <c r="F2221" t="s">
        <v>37778</v>
      </c>
      <c r="G2221" t="s">
        <v>74</v>
      </c>
      <c r="H2221" t="s">
        <v>74</v>
      </c>
      <c r="I2221" t="s">
        <v>37779</v>
      </c>
      <c r="J2221" t="s">
        <v>37780</v>
      </c>
      <c r="K2221" t="s">
        <v>74</v>
      </c>
      <c r="L2221" t="s">
        <v>74</v>
      </c>
      <c r="M2221" t="s">
        <v>78</v>
      </c>
      <c r="N2221" t="s">
        <v>79</v>
      </c>
      <c r="O2221" t="s">
        <v>74</v>
      </c>
      <c r="P2221" t="s">
        <v>74</v>
      </c>
      <c r="Q2221" t="s">
        <v>74</v>
      </c>
      <c r="R2221" t="s">
        <v>74</v>
      </c>
      <c r="S2221" t="s">
        <v>74</v>
      </c>
      <c r="T2221" t="s">
        <v>37781</v>
      </c>
      <c r="U2221" t="s">
        <v>37782</v>
      </c>
      <c r="V2221" t="s">
        <v>37783</v>
      </c>
      <c r="W2221" t="s">
        <v>37784</v>
      </c>
      <c r="X2221" t="s">
        <v>37785</v>
      </c>
      <c r="Y2221" t="s">
        <v>37786</v>
      </c>
      <c r="Z2221" t="s">
        <v>37787</v>
      </c>
      <c r="AA2221" t="s">
        <v>37788</v>
      </c>
      <c r="AB2221" t="s">
        <v>37789</v>
      </c>
      <c r="AC2221" t="s">
        <v>37790</v>
      </c>
      <c r="AD2221" t="s">
        <v>37791</v>
      </c>
      <c r="AE2221" t="s">
        <v>37792</v>
      </c>
      <c r="AF2221" t="s">
        <v>74</v>
      </c>
      <c r="AG2221">
        <v>31</v>
      </c>
      <c r="AH2221">
        <v>17</v>
      </c>
      <c r="AI2221">
        <v>17</v>
      </c>
      <c r="AJ2221">
        <v>0</v>
      </c>
      <c r="AK2221">
        <v>5</v>
      </c>
      <c r="AL2221" t="s">
        <v>757</v>
      </c>
      <c r="AM2221" t="s">
        <v>758</v>
      </c>
      <c r="AN2221" t="s">
        <v>759</v>
      </c>
      <c r="AO2221" t="s">
        <v>37793</v>
      </c>
      <c r="AP2221" t="s">
        <v>37794</v>
      </c>
      <c r="AQ2221" t="s">
        <v>74</v>
      </c>
      <c r="AR2221" t="s">
        <v>37795</v>
      </c>
      <c r="AS2221" t="s">
        <v>37796</v>
      </c>
      <c r="AT2221" t="s">
        <v>1540</v>
      </c>
      <c r="AU2221">
        <v>2020</v>
      </c>
      <c r="AV2221">
        <v>689</v>
      </c>
      <c r="AW2221">
        <v>1</v>
      </c>
      <c r="AX2221" t="s">
        <v>74</v>
      </c>
      <c r="AY2221" t="s">
        <v>74</v>
      </c>
      <c r="AZ2221" t="s">
        <v>441</v>
      </c>
      <c r="BA2221" t="s">
        <v>74</v>
      </c>
      <c r="BB2221">
        <v>46</v>
      </c>
      <c r="BC2221">
        <v>64</v>
      </c>
      <c r="BD2221" t="s">
        <v>74</v>
      </c>
      <c r="BE2221" t="s">
        <v>37797</v>
      </c>
      <c r="BF2221" t="str">
        <f>HYPERLINK("http://dx.doi.org/10.1177/0002716220921154","http://dx.doi.org/10.1177/0002716220921154")</f>
        <v>http://dx.doi.org/10.1177/0002716220921154</v>
      </c>
      <c r="BG2221" t="s">
        <v>74</v>
      </c>
      <c r="BH2221" t="s">
        <v>74</v>
      </c>
      <c r="BI2221">
        <v>19</v>
      </c>
      <c r="BJ2221" t="s">
        <v>37798</v>
      </c>
      <c r="BK2221" t="s">
        <v>99</v>
      </c>
      <c r="BL2221" t="s">
        <v>37799</v>
      </c>
      <c r="BM2221" t="s">
        <v>37800</v>
      </c>
      <c r="BN2221" t="s">
        <v>74</v>
      </c>
      <c r="BO2221" t="s">
        <v>16420</v>
      </c>
      <c r="BP2221" t="s">
        <v>74</v>
      </c>
      <c r="BQ2221" t="s">
        <v>74</v>
      </c>
      <c r="BR2221" t="s">
        <v>102</v>
      </c>
      <c r="BS2221" t="s">
        <v>37801</v>
      </c>
      <c r="BT2221" t="str">
        <f>HYPERLINK("https%3A%2F%2Fwww.webofscience.com%2Fwos%2Fwoscc%2Ffull-record%2FWOS:000534332700003","View Full Record in Web of Science")</f>
        <v>View Full Record in Web of Science</v>
      </c>
    </row>
    <row r="2222" spans="1:72" x14ac:dyDescent="0.25">
      <c r="A2222" t="s">
        <v>72</v>
      </c>
      <c r="B2222" t="s">
        <v>37802</v>
      </c>
      <c r="C2222" t="s">
        <v>74</v>
      </c>
      <c r="D2222" t="s">
        <v>74</v>
      </c>
      <c r="E2222" t="s">
        <v>74</v>
      </c>
      <c r="F2222" t="s">
        <v>37803</v>
      </c>
      <c r="G2222" t="s">
        <v>74</v>
      </c>
      <c r="H2222" t="s">
        <v>74</v>
      </c>
      <c r="I2222" t="s">
        <v>37804</v>
      </c>
      <c r="J2222" t="s">
        <v>22355</v>
      </c>
      <c r="K2222" t="s">
        <v>74</v>
      </c>
      <c r="L2222" t="s">
        <v>74</v>
      </c>
      <c r="M2222" t="s">
        <v>78</v>
      </c>
      <c r="N2222" t="s">
        <v>79</v>
      </c>
      <c r="O2222" t="s">
        <v>74</v>
      </c>
      <c r="P2222" t="s">
        <v>74</v>
      </c>
      <c r="Q2222" t="s">
        <v>74</v>
      </c>
      <c r="R2222" t="s">
        <v>74</v>
      </c>
      <c r="S2222" t="s">
        <v>74</v>
      </c>
      <c r="T2222" t="s">
        <v>37805</v>
      </c>
      <c r="U2222" t="s">
        <v>1369</v>
      </c>
      <c r="V2222" t="s">
        <v>37806</v>
      </c>
      <c r="W2222" t="s">
        <v>37807</v>
      </c>
      <c r="X2222" t="s">
        <v>9346</v>
      </c>
      <c r="Y2222" t="s">
        <v>37808</v>
      </c>
      <c r="Z2222" t="s">
        <v>37809</v>
      </c>
      <c r="AA2222" t="s">
        <v>74</v>
      </c>
      <c r="AB2222" t="s">
        <v>74</v>
      </c>
      <c r="AC2222" t="s">
        <v>74</v>
      </c>
      <c r="AD2222" t="s">
        <v>74</v>
      </c>
      <c r="AE2222" t="s">
        <v>74</v>
      </c>
      <c r="AF2222" t="s">
        <v>74</v>
      </c>
      <c r="AG2222">
        <v>66</v>
      </c>
      <c r="AH2222">
        <v>20</v>
      </c>
      <c r="AI2222">
        <v>29</v>
      </c>
      <c r="AJ2222">
        <v>0</v>
      </c>
      <c r="AK2222">
        <v>43</v>
      </c>
      <c r="AL2222" t="s">
        <v>385</v>
      </c>
      <c r="AM2222" t="s">
        <v>1153</v>
      </c>
      <c r="AN2222" t="s">
        <v>1154</v>
      </c>
      <c r="AO2222" t="s">
        <v>22345</v>
      </c>
      <c r="AP2222" t="s">
        <v>22344</v>
      </c>
      <c r="AQ2222" t="s">
        <v>74</v>
      </c>
      <c r="AR2222" t="s">
        <v>22343</v>
      </c>
      <c r="AS2222" t="s">
        <v>22342</v>
      </c>
      <c r="AT2222" t="s">
        <v>208</v>
      </c>
      <c r="AU2222">
        <v>2014</v>
      </c>
      <c r="AV2222">
        <v>119</v>
      </c>
      <c r="AW2222">
        <v>2</v>
      </c>
      <c r="AX2222" t="s">
        <v>74</v>
      </c>
      <c r="AY2222" t="s">
        <v>74</v>
      </c>
      <c r="AZ2222" t="s">
        <v>74</v>
      </c>
      <c r="BA2222" t="s">
        <v>74</v>
      </c>
      <c r="BB2222">
        <v>219</v>
      </c>
      <c r="BC2222">
        <v>234</v>
      </c>
      <c r="BD2222" t="s">
        <v>74</v>
      </c>
      <c r="BE2222" t="s">
        <v>37810</v>
      </c>
      <c r="BF2222" t="str">
        <f>HYPERLINK("http://dx.doi.org/10.1007/s10551-013-1626-1","http://dx.doi.org/10.1007/s10551-013-1626-1")</f>
        <v>http://dx.doi.org/10.1007/s10551-013-1626-1</v>
      </c>
      <c r="BG2222" t="s">
        <v>74</v>
      </c>
      <c r="BH2222" t="s">
        <v>74</v>
      </c>
      <c r="BI2222">
        <v>16</v>
      </c>
      <c r="BJ2222" t="s">
        <v>22340</v>
      </c>
      <c r="BK2222" t="s">
        <v>99</v>
      </c>
      <c r="BL2222" t="s">
        <v>22339</v>
      </c>
      <c r="BM2222" t="s">
        <v>37811</v>
      </c>
      <c r="BN2222" t="s">
        <v>74</v>
      </c>
      <c r="BO2222" t="s">
        <v>74</v>
      </c>
      <c r="BP2222" t="s">
        <v>74</v>
      </c>
      <c r="BQ2222" t="s">
        <v>74</v>
      </c>
      <c r="BR2222" t="s">
        <v>102</v>
      </c>
      <c r="BS2222" t="s">
        <v>37812</v>
      </c>
      <c r="BT2222" t="str">
        <f>HYPERLINK("https%3A%2F%2Fwww.webofscience.com%2Fwos%2Fwoscc%2Ffull-record%2FWOS:000331374400005","View Full Record in Web of Science")</f>
        <v>View Full Record in Web of Science</v>
      </c>
    </row>
    <row r="2223" spans="1:72" x14ac:dyDescent="0.25">
      <c r="A2223" t="s">
        <v>72</v>
      </c>
      <c r="B2223" t="s">
        <v>37813</v>
      </c>
      <c r="C2223" t="s">
        <v>74</v>
      </c>
      <c r="D2223" t="s">
        <v>74</v>
      </c>
      <c r="E2223" t="s">
        <v>74</v>
      </c>
      <c r="F2223" t="s">
        <v>37814</v>
      </c>
      <c r="G2223" t="s">
        <v>74</v>
      </c>
      <c r="H2223" t="s">
        <v>74</v>
      </c>
      <c r="I2223" t="s">
        <v>37815</v>
      </c>
      <c r="J2223" t="s">
        <v>3439</v>
      </c>
      <c r="K2223" t="s">
        <v>74</v>
      </c>
      <c r="L2223" t="s">
        <v>74</v>
      </c>
      <c r="M2223" t="s">
        <v>78</v>
      </c>
      <c r="N2223" t="s">
        <v>79</v>
      </c>
      <c r="O2223" t="s">
        <v>74</v>
      </c>
      <c r="P2223" t="s">
        <v>74</v>
      </c>
      <c r="Q2223" t="s">
        <v>74</v>
      </c>
      <c r="R2223" t="s">
        <v>74</v>
      </c>
      <c r="S2223" t="s">
        <v>74</v>
      </c>
      <c r="T2223" t="s">
        <v>37816</v>
      </c>
      <c r="U2223" t="s">
        <v>37817</v>
      </c>
      <c r="V2223" t="s">
        <v>37818</v>
      </c>
      <c r="W2223" t="s">
        <v>37819</v>
      </c>
      <c r="X2223" t="s">
        <v>13481</v>
      </c>
      <c r="Y2223" t="s">
        <v>37820</v>
      </c>
      <c r="Z2223" t="s">
        <v>37821</v>
      </c>
      <c r="AA2223" t="s">
        <v>14950</v>
      </c>
      <c r="AB2223" t="s">
        <v>12157</v>
      </c>
      <c r="AC2223" t="s">
        <v>74</v>
      </c>
      <c r="AD2223" t="s">
        <v>74</v>
      </c>
      <c r="AE2223" t="s">
        <v>74</v>
      </c>
      <c r="AF2223" t="s">
        <v>74</v>
      </c>
      <c r="AG2223">
        <v>76</v>
      </c>
      <c r="AH2223">
        <v>15</v>
      </c>
      <c r="AI2223">
        <v>23</v>
      </c>
      <c r="AJ2223">
        <v>0</v>
      </c>
      <c r="AK2223">
        <v>18</v>
      </c>
      <c r="AL2223" t="s">
        <v>823</v>
      </c>
      <c r="AM2223" t="s">
        <v>333</v>
      </c>
      <c r="AN2223" t="s">
        <v>824</v>
      </c>
      <c r="AO2223" t="s">
        <v>3443</v>
      </c>
      <c r="AP2223" t="s">
        <v>74</v>
      </c>
      <c r="AQ2223" t="s">
        <v>74</v>
      </c>
      <c r="AR2223" t="s">
        <v>3444</v>
      </c>
      <c r="AS2223" t="s">
        <v>3445</v>
      </c>
      <c r="AT2223" t="s">
        <v>37822</v>
      </c>
      <c r="AU2223">
        <v>2017</v>
      </c>
      <c r="AV2223">
        <v>5</v>
      </c>
      <c r="AW2223">
        <v>1</v>
      </c>
      <c r="AX2223" t="s">
        <v>74</v>
      </c>
      <c r="AY2223" t="s">
        <v>74</v>
      </c>
      <c r="AZ2223" t="s">
        <v>74</v>
      </c>
      <c r="BA2223" t="s">
        <v>74</v>
      </c>
      <c r="BB2223" t="s">
        <v>74</v>
      </c>
      <c r="BC2223" t="s">
        <v>74</v>
      </c>
      <c r="BD2223">
        <v>1362184</v>
      </c>
      <c r="BE2223" t="s">
        <v>37823</v>
      </c>
      <c r="BF2223" t="str">
        <f>HYPERLINK("http://dx.doi.org/10.1080/23322039.2017.1362184","http://dx.doi.org/10.1080/23322039.2017.1362184")</f>
        <v>http://dx.doi.org/10.1080/23322039.2017.1362184</v>
      </c>
      <c r="BG2223" t="s">
        <v>74</v>
      </c>
      <c r="BH2223" t="s">
        <v>74</v>
      </c>
      <c r="BI2223">
        <v>15</v>
      </c>
      <c r="BJ2223" t="s">
        <v>291</v>
      </c>
      <c r="BK2223" t="s">
        <v>313</v>
      </c>
      <c r="BL2223" t="s">
        <v>100</v>
      </c>
      <c r="BM2223" t="s">
        <v>37824</v>
      </c>
      <c r="BN2223" t="s">
        <v>74</v>
      </c>
      <c r="BO2223" t="s">
        <v>916</v>
      </c>
      <c r="BP2223" t="s">
        <v>74</v>
      </c>
      <c r="BQ2223" t="s">
        <v>74</v>
      </c>
      <c r="BR2223" t="s">
        <v>102</v>
      </c>
      <c r="BS2223" t="s">
        <v>37825</v>
      </c>
      <c r="BT2223" t="str">
        <f>HYPERLINK("https%3A%2F%2Fwww.webofscience.com%2Fwos%2Fwoscc%2Ffull-record%2FWOS:000408592600001","View Full Record in Web of Science")</f>
        <v>View Full Record in Web of Science</v>
      </c>
    </row>
    <row r="2224" spans="1:72" x14ac:dyDescent="0.25">
      <c r="A2224" t="s">
        <v>72</v>
      </c>
      <c r="B2224" t="s">
        <v>12322</v>
      </c>
      <c r="C2224" t="s">
        <v>74</v>
      </c>
      <c r="D2224" t="s">
        <v>74</v>
      </c>
      <c r="E2224" t="s">
        <v>74</v>
      </c>
      <c r="F2224" t="s">
        <v>12323</v>
      </c>
      <c r="G2224" t="s">
        <v>74</v>
      </c>
      <c r="H2224" t="s">
        <v>74</v>
      </c>
      <c r="I2224" t="s">
        <v>37826</v>
      </c>
      <c r="J2224" t="s">
        <v>1290</v>
      </c>
      <c r="K2224" t="s">
        <v>74</v>
      </c>
      <c r="L2224" t="s">
        <v>74</v>
      </c>
      <c r="M2224" t="s">
        <v>78</v>
      </c>
      <c r="N2224" t="s">
        <v>79</v>
      </c>
      <c r="O2224" t="s">
        <v>74</v>
      </c>
      <c r="P2224" t="s">
        <v>74</v>
      </c>
      <c r="Q2224" t="s">
        <v>74</v>
      </c>
      <c r="R2224" t="s">
        <v>74</v>
      </c>
      <c r="S2224" t="s">
        <v>74</v>
      </c>
      <c r="T2224" t="s">
        <v>37827</v>
      </c>
      <c r="U2224" t="s">
        <v>32826</v>
      </c>
      <c r="V2224" t="s">
        <v>37828</v>
      </c>
      <c r="W2224" t="s">
        <v>37829</v>
      </c>
      <c r="X2224" t="s">
        <v>3960</v>
      </c>
      <c r="Y2224" t="s">
        <v>37830</v>
      </c>
      <c r="Z2224" t="s">
        <v>37831</v>
      </c>
      <c r="AA2224" t="s">
        <v>12331</v>
      </c>
      <c r="AB2224" t="s">
        <v>37832</v>
      </c>
      <c r="AC2224" t="s">
        <v>74</v>
      </c>
      <c r="AD2224" t="s">
        <v>74</v>
      </c>
      <c r="AE2224" t="s">
        <v>74</v>
      </c>
      <c r="AF2224" t="s">
        <v>74</v>
      </c>
      <c r="AG2224">
        <v>62</v>
      </c>
      <c r="AH2224">
        <v>59</v>
      </c>
      <c r="AI2224">
        <v>88</v>
      </c>
      <c r="AJ2224">
        <v>12</v>
      </c>
      <c r="AK2224">
        <v>95</v>
      </c>
      <c r="AL2224" t="s">
        <v>575</v>
      </c>
      <c r="AM2224" t="s">
        <v>576</v>
      </c>
      <c r="AN2224" t="s">
        <v>3242</v>
      </c>
      <c r="AO2224" t="s">
        <v>1299</v>
      </c>
      <c r="AP2224" t="s">
        <v>74</v>
      </c>
      <c r="AQ2224" t="s">
        <v>74</v>
      </c>
      <c r="AR2224" t="s">
        <v>1300</v>
      </c>
      <c r="AS2224" t="s">
        <v>1301</v>
      </c>
      <c r="AT2224" t="s">
        <v>698</v>
      </c>
      <c r="AU2224">
        <v>2021</v>
      </c>
      <c r="AV2224">
        <v>9</v>
      </c>
      <c r="AW2224">
        <v>3</v>
      </c>
      <c r="AX2224" t="s">
        <v>74</v>
      </c>
      <c r="AY2224" t="s">
        <v>74</v>
      </c>
      <c r="AZ2224" t="s">
        <v>74</v>
      </c>
      <c r="BA2224" t="s">
        <v>74</v>
      </c>
      <c r="BB2224" t="s">
        <v>74</v>
      </c>
      <c r="BC2224" t="s">
        <v>74</v>
      </c>
      <c r="BD2224">
        <v>39</v>
      </c>
      <c r="BE2224" t="s">
        <v>37833</v>
      </c>
      <c r="BF2224" t="str">
        <f>HYPERLINK("http://dx.doi.org/10.3390/ijfs9030039","http://dx.doi.org/10.3390/ijfs9030039")</f>
        <v>http://dx.doi.org/10.3390/ijfs9030039</v>
      </c>
      <c r="BG2224" t="s">
        <v>74</v>
      </c>
      <c r="BH2224" t="s">
        <v>74</v>
      </c>
      <c r="BI2224">
        <v>16</v>
      </c>
      <c r="BJ2224" t="s">
        <v>268</v>
      </c>
      <c r="BK2224" t="s">
        <v>313</v>
      </c>
      <c r="BL2224" t="s">
        <v>100</v>
      </c>
      <c r="BM2224" t="s">
        <v>37834</v>
      </c>
      <c r="BN2224" t="s">
        <v>74</v>
      </c>
      <c r="BO2224" t="s">
        <v>916</v>
      </c>
      <c r="BP2224" t="s">
        <v>74</v>
      </c>
      <c r="BQ2224" t="s">
        <v>74</v>
      </c>
      <c r="BR2224" t="s">
        <v>102</v>
      </c>
      <c r="BS2224" t="s">
        <v>37835</v>
      </c>
      <c r="BT2224" t="str">
        <f>HYPERLINK("https%3A%2F%2Fwww.webofscience.com%2Fwos%2Fwoscc%2Ffull-record%2FWOS:000699723200001","View Full Record in Web of Science")</f>
        <v>View Full Record in Web of Science</v>
      </c>
    </row>
    <row r="2225" spans="1:72" x14ac:dyDescent="0.25">
      <c r="A2225" t="s">
        <v>72</v>
      </c>
      <c r="B2225" t="s">
        <v>37836</v>
      </c>
      <c r="C2225" t="s">
        <v>74</v>
      </c>
      <c r="D2225" t="s">
        <v>74</v>
      </c>
      <c r="E2225" t="s">
        <v>74</v>
      </c>
      <c r="F2225" t="s">
        <v>37837</v>
      </c>
      <c r="G2225" t="s">
        <v>74</v>
      </c>
      <c r="H2225" t="s">
        <v>74</v>
      </c>
      <c r="I2225" t="s">
        <v>37838</v>
      </c>
      <c r="J2225" t="s">
        <v>37839</v>
      </c>
      <c r="K2225" t="s">
        <v>74</v>
      </c>
      <c r="L2225" t="s">
        <v>74</v>
      </c>
      <c r="M2225" t="s">
        <v>78</v>
      </c>
      <c r="N2225" t="s">
        <v>79</v>
      </c>
      <c r="O2225" t="s">
        <v>74</v>
      </c>
      <c r="P2225" t="s">
        <v>74</v>
      </c>
      <c r="Q2225" t="s">
        <v>74</v>
      </c>
      <c r="R2225" t="s">
        <v>74</v>
      </c>
      <c r="S2225" t="s">
        <v>74</v>
      </c>
      <c r="T2225" t="s">
        <v>37840</v>
      </c>
      <c r="U2225" t="s">
        <v>37841</v>
      </c>
      <c r="V2225" t="s">
        <v>37842</v>
      </c>
      <c r="W2225" t="s">
        <v>37843</v>
      </c>
      <c r="X2225" t="s">
        <v>37844</v>
      </c>
      <c r="Y2225" t="s">
        <v>37845</v>
      </c>
      <c r="Z2225" t="s">
        <v>74</v>
      </c>
      <c r="AA2225" t="s">
        <v>37846</v>
      </c>
      <c r="AB2225" t="s">
        <v>37847</v>
      </c>
      <c r="AC2225" t="s">
        <v>37848</v>
      </c>
      <c r="AD2225" t="s">
        <v>37849</v>
      </c>
      <c r="AE2225" t="s">
        <v>37850</v>
      </c>
      <c r="AF2225" t="s">
        <v>74</v>
      </c>
      <c r="AG2225">
        <v>54</v>
      </c>
      <c r="AH2225">
        <v>5</v>
      </c>
      <c r="AI2225">
        <v>7</v>
      </c>
      <c r="AJ2225">
        <v>4</v>
      </c>
      <c r="AK2225">
        <v>27</v>
      </c>
      <c r="AL2225" t="s">
        <v>2551</v>
      </c>
      <c r="AM2225" t="s">
        <v>231</v>
      </c>
      <c r="AN2225" t="s">
        <v>2552</v>
      </c>
      <c r="AO2225" t="s">
        <v>37851</v>
      </c>
      <c r="AP2225" t="s">
        <v>37852</v>
      </c>
      <c r="AQ2225" t="s">
        <v>74</v>
      </c>
      <c r="AR2225" t="s">
        <v>37853</v>
      </c>
      <c r="AS2225" t="s">
        <v>37854</v>
      </c>
      <c r="AT2225" t="s">
        <v>33978</v>
      </c>
      <c r="AU2225">
        <v>2024</v>
      </c>
      <c r="AV2225">
        <v>51</v>
      </c>
      <c r="AW2225">
        <v>2</v>
      </c>
      <c r="AX2225" t="s">
        <v>74</v>
      </c>
      <c r="AY2225" t="s">
        <v>74</v>
      </c>
      <c r="AZ2225" t="s">
        <v>74</v>
      </c>
      <c r="BA2225" t="s">
        <v>74</v>
      </c>
      <c r="BB2225">
        <v>506</v>
      </c>
      <c r="BC2225">
        <v>532</v>
      </c>
      <c r="BD2225" t="s">
        <v>74</v>
      </c>
      <c r="BE2225" t="s">
        <v>37855</v>
      </c>
      <c r="BF2225" t="str">
        <f>HYPERLINK("http://dx.doi.org/10.1093/erae/jbae007","http://dx.doi.org/10.1093/erae/jbae007")</f>
        <v>http://dx.doi.org/10.1093/erae/jbae007</v>
      </c>
      <c r="BG2225" t="s">
        <v>74</v>
      </c>
      <c r="BH2225" t="s">
        <v>938</v>
      </c>
      <c r="BI2225">
        <v>27</v>
      </c>
      <c r="BJ2225" t="s">
        <v>18270</v>
      </c>
      <c r="BK2225" t="s">
        <v>2623</v>
      </c>
      <c r="BL2225" t="s">
        <v>18271</v>
      </c>
      <c r="BM2225" t="s">
        <v>37856</v>
      </c>
      <c r="BN2225" t="s">
        <v>74</v>
      </c>
      <c r="BO2225" t="s">
        <v>1205</v>
      </c>
      <c r="BP2225" t="s">
        <v>74</v>
      </c>
      <c r="BQ2225" t="s">
        <v>74</v>
      </c>
      <c r="BR2225" t="s">
        <v>102</v>
      </c>
      <c r="BS2225" t="s">
        <v>37857</v>
      </c>
      <c r="BT2225" t="str">
        <f>HYPERLINK("https%3A%2F%2Fwww.webofscience.com%2Fwos%2Fwoscc%2Ffull-record%2FWOS:001197144900001","View Full Record in Web of Science")</f>
        <v>View Full Record in Web of Science</v>
      </c>
    </row>
    <row r="2226" spans="1:72" x14ac:dyDescent="0.25">
      <c r="A2226" t="s">
        <v>72</v>
      </c>
      <c r="B2226" t="s">
        <v>37858</v>
      </c>
      <c r="C2226" t="s">
        <v>74</v>
      </c>
      <c r="D2226" t="s">
        <v>74</v>
      </c>
      <c r="E2226" t="s">
        <v>74</v>
      </c>
      <c r="F2226" t="s">
        <v>37859</v>
      </c>
      <c r="G2226" t="s">
        <v>74</v>
      </c>
      <c r="H2226" t="s">
        <v>74</v>
      </c>
      <c r="I2226" t="s">
        <v>37860</v>
      </c>
      <c r="J2226" t="s">
        <v>14645</v>
      </c>
      <c r="K2226" t="s">
        <v>74</v>
      </c>
      <c r="L2226" t="s">
        <v>74</v>
      </c>
      <c r="M2226" t="s">
        <v>78</v>
      </c>
      <c r="N2226" t="s">
        <v>79</v>
      </c>
      <c r="O2226" t="s">
        <v>74</v>
      </c>
      <c r="P2226" t="s">
        <v>74</v>
      </c>
      <c r="Q2226" t="s">
        <v>74</v>
      </c>
      <c r="R2226" t="s">
        <v>74</v>
      </c>
      <c r="S2226" t="s">
        <v>74</v>
      </c>
      <c r="T2226" t="s">
        <v>37861</v>
      </c>
      <c r="U2226" t="s">
        <v>74</v>
      </c>
      <c r="V2226" t="s">
        <v>37862</v>
      </c>
      <c r="W2226" t="s">
        <v>37863</v>
      </c>
      <c r="X2226" t="s">
        <v>74</v>
      </c>
      <c r="Y2226" t="s">
        <v>37864</v>
      </c>
      <c r="Z2226" t="s">
        <v>37865</v>
      </c>
      <c r="AA2226" t="s">
        <v>74</v>
      </c>
      <c r="AB2226" t="s">
        <v>74</v>
      </c>
      <c r="AC2226" t="s">
        <v>74</v>
      </c>
      <c r="AD2226" t="s">
        <v>74</v>
      </c>
      <c r="AE2226" t="s">
        <v>74</v>
      </c>
      <c r="AF2226" t="s">
        <v>74</v>
      </c>
      <c r="AG2226">
        <v>40</v>
      </c>
      <c r="AH2226">
        <v>1</v>
      </c>
      <c r="AI2226">
        <v>1</v>
      </c>
      <c r="AJ2226">
        <v>2</v>
      </c>
      <c r="AK2226">
        <v>6</v>
      </c>
      <c r="AL2226" t="s">
        <v>2551</v>
      </c>
      <c r="AM2226" t="s">
        <v>231</v>
      </c>
      <c r="AN2226" t="s">
        <v>2552</v>
      </c>
      <c r="AO2226" t="s">
        <v>14652</v>
      </c>
      <c r="AP2226" t="s">
        <v>14653</v>
      </c>
      <c r="AQ2226" t="s">
        <v>74</v>
      </c>
      <c r="AR2226" t="s">
        <v>14654</v>
      </c>
      <c r="AS2226" t="s">
        <v>14655</v>
      </c>
      <c r="AT2226" t="s">
        <v>14656</v>
      </c>
      <c r="AU2226">
        <v>2024</v>
      </c>
      <c r="AV2226">
        <v>40</v>
      </c>
      <c r="AW2226">
        <v>1</v>
      </c>
      <c r="AX2226" t="s">
        <v>74</v>
      </c>
      <c r="AY2226" t="s">
        <v>74</v>
      </c>
      <c r="AZ2226" t="s">
        <v>441</v>
      </c>
      <c r="BA2226" t="s">
        <v>74</v>
      </c>
      <c r="BB2226">
        <v>30</v>
      </c>
      <c r="BC2226">
        <v>43</v>
      </c>
      <c r="BD2226" t="s">
        <v>74</v>
      </c>
      <c r="BE2226" t="s">
        <v>37866</v>
      </c>
      <c r="BF2226" t="str">
        <f>HYPERLINK("http://dx.doi.org/10.1093/oxrep/grad053","http://dx.doi.org/10.1093/oxrep/grad053")</f>
        <v>http://dx.doi.org/10.1093/oxrep/grad053</v>
      </c>
      <c r="BG2226" t="s">
        <v>74</v>
      </c>
      <c r="BH2226" t="s">
        <v>74</v>
      </c>
      <c r="BI2226">
        <v>14</v>
      </c>
      <c r="BJ2226" t="s">
        <v>291</v>
      </c>
      <c r="BK2226" t="s">
        <v>99</v>
      </c>
      <c r="BL2226" t="s">
        <v>100</v>
      </c>
      <c r="BM2226" t="s">
        <v>14658</v>
      </c>
      <c r="BN2226" t="s">
        <v>74</v>
      </c>
      <c r="BO2226" t="s">
        <v>74</v>
      </c>
      <c r="BP2226" t="s">
        <v>74</v>
      </c>
      <c r="BQ2226" t="s">
        <v>74</v>
      </c>
      <c r="BR2226" t="s">
        <v>102</v>
      </c>
      <c r="BS2226" t="s">
        <v>37867</v>
      </c>
      <c r="BT2226" t="str">
        <f>HYPERLINK("https%3A%2F%2Fwww.webofscience.com%2Fwos%2Fwoscc%2Ffull-record%2FWOS:001186414700014","View Full Record in Web of Science")</f>
        <v>View Full Record in Web of Science</v>
      </c>
    </row>
    <row r="2227" spans="1:72" x14ac:dyDescent="0.25">
      <c r="A2227" t="s">
        <v>72</v>
      </c>
      <c r="B2227" t="s">
        <v>37868</v>
      </c>
      <c r="C2227" t="s">
        <v>74</v>
      </c>
      <c r="D2227" t="s">
        <v>74</v>
      </c>
      <c r="E2227" t="s">
        <v>74</v>
      </c>
      <c r="F2227" t="s">
        <v>37869</v>
      </c>
      <c r="G2227" t="s">
        <v>74</v>
      </c>
      <c r="H2227" t="s">
        <v>74</v>
      </c>
      <c r="I2227" t="s">
        <v>37870</v>
      </c>
      <c r="J2227" t="s">
        <v>37871</v>
      </c>
      <c r="K2227" t="s">
        <v>74</v>
      </c>
      <c r="L2227" t="s">
        <v>74</v>
      </c>
      <c r="M2227" t="s">
        <v>298</v>
      </c>
      <c r="N2227" t="s">
        <v>79</v>
      </c>
      <c r="O2227" t="s">
        <v>74</v>
      </c>
      <c r="P2227" t="s">
        <v>74</v>
      </c>
      <c r="Q2227" t="s">
        <v>74</v>
      </c>
      <c r="R2227" t="s">
        <v>74</v>
      </c>
      <c r="S2227" t="s">
        <v>74</v>
      </c>
      <c r="T2227" t="s">
        <v>37872</v>
      </c>
      <c r="U2227" t="s">
        <v>74</v>
      </c>
      <c r="V2227" t="s">
        <v>37873</v>
      </c>
      <c r="W2227" t="s">
        <v>37874</v>
      </c>
      <c r="X2227" t="s">
        <v>30701</v>
      </c>
      <c r="Y2227" t="s">
        <v>37875</v>
      </c>
      <c r="Z2227" t="s">
        <v>74</v>
      </c>
      <c r="AA2227" t="s">
        <v>74</v>
      </c>
      <c r="AB2227" t="s">
        <v>74</v>
      </c>
      <c r="AC2227" t="s">
        <v>74</v>
      </c>
      <c r="AD2227" t="s">
        <v>74</v>
      </c>
      <c r="AE2227" t="s">
        <v>74</v>
      </c>
      <c r="AF2227" t="s">
        <v>74</v>
      </c>
      <c r="AG2227">
        <v>29</v>
      </c>
      <c r="AH2227">
        <v>2</v>
      </c>
      <c r="AI2227">
        <v>3</v>
      </c>
      <c r="AJ2227">
        <v>0</v>
      </c>
      <c r="AK2227">
        <v>4</v>
      </c>
      <c r="AL2227" t="s">
        <v>37876</v>
      </c>
      <c r="AM2227" t="s">
        <v>11717</v>
      </c>
      <c r="AN2227" t="s">
        <v>37877</v>
      </c>
      <c r="AO2227" t="s">
        <v>37878</v>
      </c>
      <c r="AP2227" t="s">
        <v>74</v>
      </c>
      <c r="AQ2227" t="s">
        <v>74</v>
      </c>
      <c r="AR2227" t="s">
        <v>37879</v>
      </c>
      <c r="AS2227" t="s">
        <v>37880</v>
      </c>
      <c r="AT2227" t="s">
        <v>7020</v>
      </c>
      <c r="AU2227">
        <v>2019</v>
      </c>
      <c r="AV2227">
        <v>6</v>
      </c>
      <c r="AW2227">
        <v>1</v>
      </c>
      <c r="AX2227" t="s">
        <v>74</v>
      </c>
      <c r="AY2227" t="s">
        <v>74</v>
      </c>
      <c r="AZ2227" t="s">
        <v>74</v>
      </c>
      <c r="BA2227" t="s">
        <v>74</v>
      </c>
      <c r="BB2227">
        <v>399</v>
      </c>
      <c r="BC2227">
        <v>443</v>
      </c>
      <c r="BD2227" t="s">
        <v>74</v>
      </c>
      <c r="BE2227" t="s">
        <v>74</v>
      </c>
      <c r="BF2227" t="s">
        <v>74</v>
      </c>
      <c r="BG2227" t="s">
        <v>74</v>
      </c>
      <c r="BH2227" t="s">
        <v>74</v>
      </c>
      <c r="BI2227">
        <v>45</v>
      </c>
      <c r="BJ2227" t="s">
        <v>182</v>
      </c>
      <c r="BK2227" t="s">
        <v>313</v>
      </c>
      <c r="BL2227" t="s">
        <v>184</v>
      </c>
      <c r="BM2227" t="s">
        <v>37881</v>
      </c>
      <c r="BN2227" t="s">
        <v>74</v>
      </c>
      <c r="BO2227" t="s">
        <v>74</v>
      </c>
      <c r="BP2227" t="s">
        <v>74</v>
      </c>
      <c r="BQ2227" t="s">
        <v>74</v>
      </c>
      <c r="BR2227" t="s">
        <v>102</v>
      </c>
      <c r="BS2227" t="s">
        <v>37882</v>
      </c>
      <c r="BT2227" t="str">
        <f>HYPERLINK("https%3A%2F%2Fwww.webofscience.com%2Fwos%2Fwoscc%2Ffull-record%2FWOS:000463042500012","View Full Record in Web of Science")</f>
        <v>View Full Record in Web of Science</v>
      </c>
    </row>
    <row r="2228" spans="1:72" x14ac:dyDescent="0.25">
      <c r="A2228" t="s">
        <v>72</v>
      </c>
      <c r="B2228" t="s">
        <v>37883</v>
      </c>
      <c r="C2228" t="s">
        <v>74</v>
      </c>
      <c r="D2228" t="s">
        <v>74</v>
      </c>
      <c r="E2228" t="s">
        <v>74</v>
      </c>
      <c r="F2228" t="s">
        <v>37884</v>
      </c>
      <c r="G2228" t="s">
        <v>74</v>
      </c>
      <c r="H2228" t="s">
        <v>74</v>
      </c>
      <c r="I2228" t="s">
        <v>37885</v>
      </c>
      <c r="J2228" t="s">
        <v>6538</v>
      </c>
      <c r="K2228" t="s">
        <v>74</v>
      </c>
      <c r="L2228" t="s">
        <v>74</v>
      </c>
      <c r="M2228" t="s">
        <v>78</v>
      </c>
      <c r="N2228" t="s">
        <v>79</v>
      </c>
      <c r="O2228" t="s">
        <v>74</v>
      </c>
      <c r="P2228" t="s">
        <v>74</v>
      </c>
      <c r="Q2228" t="s">
        <v>74</v>
      </c>
      <c r="R2228" t="s">
        <v>74</v>
      </c>
      <c r="S2228" t="s">
        <v>74</v>
      </c>
      <c r="T2228" t="s">
        <v>37886</v>
      </c>
      <c r="U2228" t="s">
        <v>74</v>
      </c>
      <c r="V2228" t="s">
        <v>37887</v>
      </c>
      <c r="W2228" t="s">
        <v>37888</v>
      </c>
      <c r="X2228" t="s">
        <v>74</v>
      </c>
      <c r="Y2228" t="s">
        <v>37889</v>
      </c>
      <c r="Z2228" t="s">
        <v>37890</v>
      </c>
      <c r="AA2228" t="s">
        <v>74</v>
      </c>
      <c r="AB2228" t="s">
        <v>37891</v>
      </c>
      <c r="AC2228" t="s">
        <v>74</v>
      </c>
      <c r="AD2228" t="s">
        <v>74</v>
      </c>
      <c r="AE2228" t="s">
        <v>74</v>
      </c>
      <c r="AF2228" t="s">
        <v>74</v>
      </c>
      <c r="AG2228">
        <v>28</v>
      </c>
      <c r="AH2228">
        <v>4</v>
      </c>
      <c r="AI2228">
        <v>7</v>
      </c>
      <c r="AJ2228">
        <v>1</v>
      </c>
      <c r="AK2228">
        <v>8</v>
      </c>
      <c r="AL2228" t="s">
        <v>2907</v>
      </c>
      <c r="AM2228" t="s">
        <v>2908</v>
      </c>
      <c r="AN2228" t="s">
        <v>2909</v>
      </c>
      <c r="AO2228" t="s">
        <v>6543</v>
      </c>
      <c r="AP2228" t="s">
        <v>6544</v>
      </c>
      <c r="AQ2228" t="s">
        <v>74</v>
      </c>
      <c r="AR2228" t="s">
        <v>6545</v>
      </c>
      <c r="AS2228" t="s">
        <v>6546</v>
      </c>
      <c r="AT2228" t="s">
        <v>1652</v>
      </c>
      <c r="AU2228">
        <v>2024</v>
      </c>
      <c r="AV2228">
        <v>25</v>
      </c>
      <c r="AW2228">
        <v>2</v>
      </c>
      <c r="AX2228" t="s">
        <v>74</v>
      </c>
      <c r="AY2228" t="s">
        <v>74</v>
      </c>
      <c r="AZ2228" t="s">
        <v>74</v>
      </c>
      <c r="BA2228" t="s">
        <v>74</v>
      </c>
      <c r="BB2228">
        <v>145</v>
      </c>
      <c r="BC2228">
        <v>159</v>
      </c>
      <c r="BD2228" t="s">
        <v>74</v>
      </c>
      <c r="BE2228" t="s">
        <v>37892</v>
      </c>
      <c r="BF2228" t="str">
        <f>HYPERLINK("http://dx.doi.org/10.1057/s41261-023-00224-9","http://dx.doi.org/10.1057/s41261-023-00224-9")</f>
        <v>http://dx.doi.org/10.1057/s41261-023-00224-9</v>
      </c>
      <c r="BG2228" t="s">
        <v>74</v>
      </c>
      <c r="BH2228" t="s">
        <v>7993</v>
      </c>
      <c r="BI2228">
        <v>15</v>
      </c>
      <c r="BJ2228" t="s">
        <v>268</v>
      </c>
      <c r="BK2228" t="s">
        <v>313</v>
      </c>
      <c r="BL2228" t="s">
        <v>100</v>
      </c>
      <c r="BM2228" t="s">
        <v>37893</v>
      </c>
      <c r="BN2228" t="s">
        <v>74</v>
      </c>
      <c r="BO2228" t="s">
        <v>74</v>
      </c>
      <c r="BP2228" t="s">
        <v>74</v>
      </c>
      <c r="BQ2228" t="s">
        <v>74</v>
      </c>
      <c r="BR2228" t="s">
        <v>102</v>
      </c>
      <c r="BS2228" t="s">
        <v>37894</v>
      </c>
      <c r="BT2228" t="str">
        <f>HYPERLINK("https%3A%2F%2Fwww.webofscience.com%2Fwos%2Fwoscc%2Ffull-record%2FWOS:001151006600001","View Full Record in Web of Science")</f>
        <v>View Full Record in Web of Science</v>
      </c>
    </row>
    <row r="2229" spans="1:72" x14ac:dyDescent="0.25">
      <c r="A2229" t="s">
        <v>72</v>
      </c>
      <c r="B2229" t="s">
        <v>37895</v>
      </c>
      <c r="C2229" t="s">
        <v>74</v>
      </c>
      <c r="D2229" t="s">
        <v>74</v>
      </c>
      <c r="E2229" t="s">
        <v>74</v>
      </c>
      <c r="F2229" t="s">
        <v>37896</v>
      </c>
      <c r="G2229" t="s">
        <v>74</v>
      </c>
      <c r="H2229" t="s">
        <v>74</v>
      </c>
      <c r="I2229" t="s">
        <v>37897</v>
      </c>
      <c r="J2229" t="s">
        <v>37898</v>
      </c>
      <c r="K2229" t="s">
        <v>74</v>
      </c>
      <c r="L2229" t="s">
        <v>74</v>
      </c>
      <c r="M2229" t="s">
        <v>78</v>
      </c>
      <c r="N2229" t="s">
        <v>79</v>
      </c>
      <c r="O2229" t="s">
        <v>74</v>
      </c>
      <c r="P2229" t="s">
        <v>74</v>
      </c>
      <c r="Q2229" t="s">
        <v>74</v>
      </c>
      <c r="R2229" t="s">
        <v>74</v>
      </c>
      <c r="S2229" t="s">
        <v>74</v>
      </c>
      <c r="T2229" t="s">
        <v>37899</v>
      </c>
      <c r="U2229" t="s">
        <v>37900</v>
      </c>
      <c r="V2229" t="s">
        <v>37901</v>
      </c>
      <c r="W2229" t="s">
        <v>37902</v>
      </c>
      <c r="X2229" t="s">
        <v>37903</v>
      </c>
      <c r="Y2229" t="s">
        <v>37904</v>
      </c>
      <c r="Z2229" t="s">
        <v>37905</v>
      </c>
      <c r="AA2229" t="s">
        <v>37906</v>
      </c>
      <c r="AB2229" t="s">
        <v>74</v>
      </c>
      <c r="AC2229" t="s">
        <v>74</v>
      </c>
      <c r="AD2229" t="s">
        <v>74</v>
      </c>
      <c r="AE2229" t="s">
        <v>74</v>
      </c>
      <c r="AF2229" t="s">
        <v>74</v>
      </c>
      <c r="AG2229">
        <v>31</v>
      </c>
      <c r="AH2229">
        <v>0</v>
      </c>
      <c r="AI2229">
        <v>1</v>
      </c>
      <c r="AJ2229">
        <v>0</v>
      </c>
      <c r="AK2229">
        <v>0</v>
      </c>
      <c r="AL2229" t="s">
        <v>37907</v>
      </c>
      <c r="AM2229" t="s">
        <v>37908</v>
      </c>
      <c r="AN2229" t="s">
        <v>37909</v>
      </c>
      <c r="AO2229" t="s">
        <v>37910</v>
      </c>
      <c r="AP2229" t="s">
        <v>37911</v>
      </c>
      <c r="AQ2229" t="s">
        <v>74</v>
      </c>
      <c r="AR2229" t="s">
        <v>37912</v>
      </c>
      <c r="AS2229" t="s">
        <v>37913</v>
      </c>
      <c r="AT2229" t="s">
        <v>848</v>
      </c>
      <c r="AU2229">
        <v>2025</v>
      </c>
      <c r="AV2229">
        <v>29</v>
      </c>
      <c r="AW2229">
        <v>3</v>
      </c>
      <c r="AX2229" t="s">
        <v>74</v>
      </c>
      <c r="AY2229" t="s">
        <v>74</v>
      </c>
      <c r="AZ2229" t="s">
        <v>74</v>
      </c>
      <c r="BA2229" t="s">
        <v>74</v>
      </c>
      <c r="BB2229">
        <v>163</v>
      </c>
      <c r="BC2229">
        <v>173</v>
      </c>
      <c r="BD2229" t="s">
        <v>74</v>
      </c>
      <c r="BE2229" t="s">
        <v>37914</v>
      </c>
      <c r="BF2229" t="str">
        <f>HYPERLINK("http://dx.doi.org/10.4314/jae.v29i3.16","http://dx.doi.org/10.4314/jae.v29i3.16")</f>
        <v>http://dx.doi.org/10.4314/jae.v29i3.16</v>
      </c>
      <c r="BG2229" t="s">
        <v>74</v>
      </c>
      <c r="BH2229" t="s">
        <v>74</v>
      </c>
      <c r="BI2229">
        <v>11</v>
      </c>
      <c r="BJ2229" t="s">
        <v>18208</v>
      </c>
      <c r="BK2229" t="s">
        <v>313</v>
      </c>
      <c r="BL2229" t="s">
        <v>5152</v>
      </c>
      <c r="BM2229" t="s">
        <v>37915</v>
      </c>
      <c r="BN2229" t="s">
        <v>74</v>
      </c>
      <c r="BO2229" t="s">
        <v>212</v>
      </c>
      <c r="BP2229" t="s">
        <v>74</v>
      </c>
      <c r="BQ2229" t="s">
        <v>74</v>
      </c>
      <c r="BR2229" t="s">
        <v>102</v>
      </c>
      <c r="BS2229" t="s">
        <v>37916</v>
      </c>
      <c r="BT2229" t="str">
        <f>HYPERLINK("https%3A%2F%2Fwww.webofscience.com%2Fwos%2Fwoscc%2Ffull-record%2FWOS:001578766100017","View Full Record in Web of Science")</f>
        <v>View Full Record in Web of Science</v>
      </c>
    </row>
    <row r="2230" spans="1:72" x14ac:dyDescent="0.25">
      <c r="A2230" t="s">
        <v>72</v>
      </c>
      <c r="B2230" t="s">
        <v>37917</v>
      </c>
      <c r="C2230" t="s">
        <v>74</v>
      </c>
      <c r="D2230" t="s">
        <v>74</v>
      </c>
      <c r="E2230" t="s">
        <v>74</v>
      </c>
      <c r="F2230" t="s">
        <v>37918</v>
      </c>
      <c r="G2230" t="s">
        <v>74</v>
      </c>
      <c r="H2230" t="s">
        <v>74</v>
      </c>
      <c r="I2230" t="s">
        <v>37919</v>
      </c>
      <c r="J2230" t="s">
        <v>4306</v>
      </c>
      <c r="K2230" t="s">
        <v>74</v>
      </c>
      <c r="L2230" t="s">
        <v>74</v>
      </c>
      <c r="M2230" t="s">
        <v>78</v>
      </c>
      <c r="N2230" t="s">
        <v>79</v>
      </c>
      <c r="O2230" t="s">
        <v>74</v>
      </c>
      <c r="P2230" t="s">
        <v>74</v>
      </c>
      <c r="Q2230" t="s">
        <v>74</v>
      </c>
      <c r="R2230" t="s">
        <v>74</v>
      </c>
      <c r="S2230" t="s">
        <v>74</v>
      </c>
      <c r="T2230" t="s">
        <v>37920</v>
      </c>
      <c r="U2230" t="s">
        <v>37921</v>
      </c>
      <c r="V2230" t="s">
        <v>37922</v>
      </c>
      <c r="W2230" t="s">
        <v>37923</v>
      </c>
      <c r="X2230" t="s">
        <v>37924</v>
      </c>
      <c r="Y2230" t="s">
        <v>37925</v>
      </c>
      <c r="Z2230" t="s">
        <v>37926</v>
      </c>
      <c r="AA2230" t="s">
        <v>11240</v>
      </c>
      <c r="AB2230" t="s">
        <v>74</v>
      </c>
      <c r="AC2230" t="s">
        <v>74</v>
      </c>
      <c r="AD2230" t="s">
        <v>74</v>
      </c>
      <c r="AE2230" t="s">
        <v>74</v>
      </c>
      <c r="AF2230" t="s">
        <v>74</v>
      </c>
      <c r="AG2230">
        <v>78</v>
      </c>
      <c r="AH2230">
        <v>19</v>
      </c>
      <c r="AI2230">
        <v>20</v>
      </c>
      <c r="AJ2230">
        <v>0</v>
      </c>
      <c r="AK2230">
        <v>16</v>
      </c>
      <c r="AL2230" t="s">
        <v>503</v>
      </c>
      <c r="AM2230" t="s">
        <v>151</v>
      </c>
      <c r="AN2230" t="s">
        <v>504</v>
      </c>
      <c r="AO2230" t="s">
        <v>4315</v>
      </c>
      <c r="AP2230" t="s">
        <v>4316</v>
      </c>
      <c r="AQ2230" t="s">
        <v>74</v>
      </c>
      <c r="AR2230" t="s">
        <v>4317</v>
      </c>
      <c r="AS2230" t="s">
        <v>4318</v>
      </c>
      <c r="AT2230" t="s">
        <v>1652</v>
      </c>
      <c r="AU2230">
        <v>2023</v>
      </c>
      <c r="AV2230">
        <v>191</v>
      </c>
      <c r="AW2230" t="s">
        <v>74</v>
      </c>
      <c r="AX2230" t="s">
        <v>74</v>
      </c>
      <c r="AY2230" t="s">
        <v>74</v>
      </c>
      <c r="AZ2230" t="s">
        <v>74</v>
      </c>
      <c r="BA2230" t="s">
        <v>74</v>
      </c>
      <c r="BB2230" t="s">
        <v>74</v>
      </c>
      <c r="BC2230" t="s">
        <v>74</v>
      </c>
      <c r="BD2230">
        <v>122548</v>
      </c>
      <c r="BE2230" t="s">
        <v>37927</v>
      </c>
      <c r="BF2230" t="str">
        <f>HYPERLINK("http://dx.doi.org/10.1016/j.techfore.2023.122548","http://dx.doi.org/10.1016/j.techfore.2023.122548")</f>
        <v>http://dx.doi.org/10.1016/j.techfore.2023.122548</v>
      </c>
      <c r="BG2230" t="s">
        <v>74</v>
      </c>
      <c r="BH2230" t="s">
        <v>3595</v>
      </c>
      <c r="BI2230">
        <v>13</v>
      </c>
      <c r="BJ2230" t="s">
        <v>1627</v>
      </c>
      <c r="BK2230" t="s">
        <v>99</v>
      </c>
      <c r="BL2230" t="s">
        <v>1406</v>
      </c>
      <c r="BM2230" t="s">
        <v>37928</v>
      </c>
      <c r="BN2230" t="s">
        <v>74</v>
      </c>
      <c r="BO2230" t="s">
        <v>74</v>
      </c>
      <c r="BP2230" t="s">
        <v>74</v>
      </c>
      <c r="BQ2230" t="s">
        <v>74</v>
      </c>
      <c r="BR2230" t="s">
        <v>102</v>
      </c>
      <c r="BS2230" t="s">
        <v>37929</v>
      </c>
      <c r="BT2230" t="str">
        <f>HYPERLINK("https%3A%2F%2Fwww.webofscience.com%2Fwos%2Fwoscc%2Ffull-record%2FWOS:000972814700001","View Full Record in Web of Science")</f>
        <v>View Full Record in Web of Science</v>
      </c>
    </row>
    <row r="2231" spans="1:72" x14ac:dyDescent="0.25">
      <c r="A2231" t="s">
        <v>72</v>
      </c>
      <c r="B2231" t="s">
        <v>35816</v>
      </c>
      <c r="C2231" t="s">
        <v>74</v>
      </c>
      <c r="D2231" t="s">
        <v>74</v>
      </c>
      <c r="E2231" t="s">
        <v>74</v>
      </c>
      <c r="F2231" t="s">
        <v>37930</v>
      </c>
      <c r="G2231" t="s">
        <v>74</v>
      </c>
      <c r="H2231" t="s">
        <v>74</v>
      </c>
      <c r="I2231" t="s">
        <v>37931</v>
      </c>
      <c r="J2231" t="s">
        <v>12602</v>
      </c>
      <c r="K2231" t="s">
        <v>74</v>
      </c>
      <c r="L2231" t="s">
        <v>74</v>
      </c>
      <c r="M2231" t="s">
        <v>78</v>
      </c>
      <c r="N2231" t="s">
        <v>79</v>
      </c>
      <c r="O2231" t="s">
        <v>74</v>
      </c>
      <c r="P2231" t="s">
        <v>74</v>
      </c>
      <c r="Q2231" t="s">
        <v>74</v>
      </c>
      <c r="R2231" t="s">
        <v>74</v>
      </c>
      <c r="S2231" t="s">
        <v>74</v>
      </c>
      <c r="T2231" t="s">
        <v>37932</v>
      </c>
      <c r="U2231" t="s">
        <v>37933</v>
      </c>
      <c r="V2231" t="s">
        <v>37934</v>
      </c>
      <c r="W2231" t="s">
        <v>37935</v>
      </c>
      <c r="X2231" t="s">
        <v>74</v>
      </c>
      <c r="Y2231" t="s">
        <v>37936</v>
      </c>
      <c r="Z2231" t="s">
        <v>35824</v>
      </c>
      <c r="AA2231" t="s">
        <v>37937</v>
      </c>
      <c r="AB2231" t="s">
        <v>37938</v>
      </c>
      <c r="AC2231" t="s">
        <v>74</v>
      </c>
      <c r="AD2231" t="s">
        <v>74</v>
      </c>
      <c r="AE2231" t="s">
        <v>74</v>
      </c>
      <c r="AF2231" t="s">
        <v>74</v>
      </c>
      <c r="AG2231">
        <v>94</v>
      </c>
      <c r="AH2231">
        <v>11</v>
      </c>
      <c r="AI2231">
        <v>14</v>
      </c>
      <c r="AJ2231">
        <v>1</v>
      </c>
      <c r="AK2231">
        <v>21</v>
      </c>
      <c r="AL2231" t="s">
        <v>575</v>
      </c>
      <c r="AM2231" t="s">
        <v>576</v>
      </c>
      <c r="AN2231" t="s">
        <v>3242</v>
      </c>
      <c r="AO2231" t="s">
        <v>12612</v>
      </c>
      <c r="AP2231" t="s">
        <v>74</v>
      </c>
      <c r="AQ2231" t="s">
        <v>74</v>
      </c>
      <c r="AR2231" t="s">
        <v>12602</v>
      </c>
      <c r="AS2231" t="s">
        <v>12613</v>
      </c>
      <c r="AT2231" t="s">
        <v>124</v>
      </c>
      <c r="AU2231">
        <v>2021</v>
      </c>
      <c r="AV2231">
        <v>13</v>
      </c>
      <c r="AW2231">
        <v>12</v>
      </c>
      <c r="AX2231" t="s">
        <v>74</v>
      </c>
      <c r="AY2231" t="s">
        <v>74</v>
      </c>
      <c r="AZ2231" t="s">
        <v>74</v>
      </c>
      <c r="BA2231" t="s">
        <v>74</v>
      </c>
      <c r="BB2231" t="s">
        <v>74</v>
      </c>
      <c r="BC2231" t="s">
        <v>74</v>
      </c>
      <c r="BD2231">
        <v>299</v>
      </c>
      <c r="BE2231" t="s">
        <v>37939</v>
      </c>
      <c r="BF2231" t="str">
        <f>HYPERLINK("http://dx.doi.org/10.3390/fi13120299","http://dx.doi.org/10.3390/fi13120299")</f>
        <v>http://dx.doi.org/10.3390/fi13120299</v>
      </c>
      <c r="BG2231" t="s">
        <v>74</v>
      </c>
      <c r="BH2231" t="s">
        <v>74</v>
      </c>
      <c r="BI2231">
        <v>31</v>
      </c>
      <c r="BJ2231" t="s">
        <v>1779</v>
      </c>
      <c r="BK2231" t="s">
        <v>313</v>
      </c>
      <c r="BL2231" t="s">
        <v>157</v>
      </c>
      <c r="BM2231" t="s">
        <v>37940</v>
      </c>
      <c r="BN2231" t="s">
        <v>74</v>
      </c>
      <c r="BO2231" t="s">
        <v>916</v>
      </c>
      <c r="BP2231" t="s">
        <v>74</v>
      </c>
      <c r="BQ2231" t="s">
        <v>74</v>
      </c>
      <c r="BR2231" t="s">
        <v>102</v>
      </c>
      <c r="BS2231" t="s">
        <v>37941</v>
      </c>
      <c r="BT2231" t="str">
        <f>HYPERLINK("https%3A%2F%2Fwww.webofscience.com%2Fwos%2Fwoscc%2Ffull-record%2FWOS:000737211700001","View Full Record in Web of Science")</f>
        <v>View Full Record in Web of Science</v>
      </c>
    </row>
    <row r="2232" spans="1:72" x14ac:dyDescent="0.25">
      <c r="A2232" t="s">
        <v>72</v>
      </c>
      <c r="B2232" t="s">
        <v>37942</v>
      </c>
      <c r="C2232" t="s">
        <v>74</v>
      </c>
      <c r="D2232" t="s">
        <v>74</v>
      </c>
      <c r="E2232" t="s">
        <v>74</v>
      </c>
      <c r="F2232" t="s">
        <v>37943</v>
      </c>
      <c r="G2232" t="s">
        <v>74</v>
      </c>
      <c r="H2232" t="s">
        <v>74</v>
      </c>
      <c r="I2232" t="s">
        <v>37944</v>
      </c>
      <c r="J2232" t="s">
        <v>23902</v>
      </c>
      <c r="K2232" t="s">
        <v>74</v>
      </c>
      <c r="L2232" t="s">
        <v>74</v>
      </c>
      <c r="M2232" t="s">
        <v>78</v>
      </c>
      <c r="N2232" t="s">
        <v>79</v>
      </c>
      <c r="O2232" t="s">
        <v>74</v>
      </c>
      <c r="P2232" t="s">
        <v>74</v>
      </c>
      <c r="Q2232" t="s">
        <v>74</v>
      </c>
      <c r="R2232" t="s">
        <v>74</v>
      </c>
      <c r="S2232" t="s">
        <v>74</v>
      </c>
      <c r="T2232" t="s">
        <v>37945</v>
      </c>
      <c r="U2232" t="s">
        <v>37946</v>
      </c>
      <c r="V2232" t="s">
        <v>37947</v>
      </c>
      <c r="W2232" t="s">
        <v>37948</v>
      </c>
      <c r="X2232" t="s">
        <v>37949</v>
      </c>
      <c r="Y2232" t="s">
        <v>37950</v>
      </c>
      <c r="Z2232" t="s">
        <v>37951</v>
      </c>
      <c r="AA2232" t="s">
        <v>74</v>
      </c>
      <c r="AB2232" t="s">
        <v>37952</v>
      </c>
      <c r="AC2232" t="s">
        <v>74</v>
      </c>
      <c r="AD2232" t="s">
        <v>74</v>
      </c>
      <c r="AE2232" t="s">
        <v>74</v>
      </c>
      <c r="AF2232" t="s">
        <v>74</v>
      </c>
      <c r="AG2232">
        <v>29</v>
      </c>
      <c r="AH2232">
        <v>10</v>
      </c>
      <c r="AI2232">
        <v>20</v>
      </c>
      <c r="AJ2232">
        <v>0</v>
      </c>
      <c r="AK2232">
        <v>41</v>
      </c>
      <c r="AL2232" t="s">
        <v>479</v>
      </c>
      <c r="AM2232" t="s">
        <v>480</v>
      </c>
      <c r="AN2232" t="s">
        <v>481</v>
      </c>
      <c r="AO2232" t="s">
        <v>23894</v>
      </c>
      <c r="AP2232" t="s">
        <v>23893</v>
      </c>
      <c r="AQ2232" t="s">
        <v>74</v>
      </c>
      <c r="AR2232" t="s">
        <v>23892</v>
      </c>
      <c r="AS2232" t="s">
        <v>23891</v>
      </c>
      <c r="AT2232" t="s">
        <v>1159</v>
      </c>
      <c r="AU2232">
        <v>2012</v>
      </c>
      <c r="AV2232">
        <v>12</v>
      </c>
      <c r="AW2232">
        <v>4</v>
      </c>
      <c r="AX2232" t="s">
        <v>74</v>
      </c>
      <c r="AY2232" t="s">
        <v>74</v>
      </c>
      <c r="AZ2232" t="s">
        <v>74</v>
      </c>
      <c r="BA2232" t="s">
        <v>74</v>
      </c>
      <c r="BB2232">
        <v>575</v>
      </c>
      <c r="BC2232">
        <v>586</v>
      </c>
      <c r="BD2232" t="s">
        <v>74</v>
      </c>
      <c r="BE2232" t="s">
        <v>37953</v>
      </c>
      <c r="BF2232" t="str">
        <f>HYPERLINK("http://dx.doi.org/10.1111/j.1471-0366.2012.00375.x","http://dx.doi.org/10.1111/j.1471-0366.2012.00375.x")</f>
        <v>http://dx.doi.org/10.1111/j.1471-0366.2012.00375.x</v>
      </c>
      <c r="BG2232" t="s">
        <v>74</v>
      </c>
      <c r="BH2232" t="s">
        <v>74</v>
      </c>
      <c r="BI2232">
        <v>12</v>
      </c>
      <c r="BJ2232" t="s">
        <v>701</v>
      </c>
      <c r="BK2232" t="s">
        <v>99</v>
      </c>
      <c r="BL2232" t="s">
        <v>702</v>
      </c>
      <c r="BM2232" t="s">
        <v>23889</v>
      </c>
      <c r="BN2232" t="s">
        <v>74</v>
      </c>
      <c r="BO2232" t="s">
        <v>74</v>
      </c>
      <c r="BP2232" t="s">
        <v>74</v>
      </c>
      <c r="BQ2232" t="s">
        <v>74</v>
      </c>
      <c r="BR2232" t="s">
        <v>102</v>
      </c>
      <c r="BS2232" t="s">
        <v>37954</v>
      </c>
      <c r="BT2232" t="str">
        <f>HYPERLINK("https%3A%2F%2Fwww.webofscience.com%2Fwos%2Fwoscc%2Ffull-record%2FWOS:000308720000009","View Full Record in Web of Science")</f>
        <v>View Full Record in Web of Science</v>
      </c>
    </row>
    <row r="2233" spans="1:72" x14ac:dyDescent="0.25">
      <c r="A2233" t="s">
        <v>72</v>
      </c>
      <c r="B2233" t="s">
        <v>37917</v>
      </c>
      <c r="C2233" t="s">
        <v>74</v>
      </c>
      <c r="D2233" t="s">
        <v>74</v>
      </c>
      <c r="E2233" t="s">
        <v>74</v>
      </c>
      <c r="F2233" t="s">
        <v>37918</v>
      </c>
      <c r="G2233" t="s">
        <v>74</v>
      </c>
      <c r="H2233" t="s">
        <v>74</v>
      </c>
      <c r="I2233" t="s">
        <v>37955</v>
      </c>
      <c r="J2233" t="s">
        <v>6242</v>
      </c>
      <c r="K2233" t="s">
        <v>74</v>
      </c>
      <c r="L2233" t="s">
        <v>74</v>
      </c>
      <c r="M2233" t="s">
        <v>78</v>
      </c>
      <c r="N2233" t="s">
        <v>79</v>
      </c>
      <c r="O2233" t="s">
        <v>74</v>
      </c>
      <c r="P2233" t="s">
        <v>74</v>
      </c>
      <c r="Q2233" t="s">
        <v>74</v>
      </c>
      <c r="R2233" t="s">
        <v>74</v>
      </c>
      <c r="S2233" t="s">
        <v>74</v>
      </c>
      <c r="T2233" t="s">
        <v>37956</v>
      </c>
      <c r="U2233" t="s">
        <v>37957</v>
      </c>
      <c r="V2233" t="s">
        <v>37958</v>
      </c>
      <c r="W2233" t="s">
        <v>37923</v>
      </c>
      <c r="X2233" t="s">
        <v>37924</v>
      </c>
      <c r="Y2233" t="s">
        <v>37925</v>
      </c>
      <c r="Z2233" t="s">
        <v>37959</v>
      </c>
      <c r="AA2233" t="s">
        <v>11240</v>
      </c>
      <c r="AB2233" t="s">
        <v>74</v>
      </c>
      <c r="AC2233" t="s">
        <v>74</v>
      </c>
      <c r="AD2233" t="s">
        <v>74</v>
      </c>
      <c r="AE2233" t="s">
        <v>74</v>
      </c>
      <c r="AF2233" t="s">
        <v>74</v>
      </c>
      <c r="AG2233">
        <v>77</v>
      </c>
      <c r="AH2233">
        <v>14</v>
      </c>
      <c r="AI2233">
        <v>15</v>
      </c>
      <c r="AJ2233">
        <v>0</v>
      </c>
      <c r="AK2233">
        <v>3</v>
      </c>
      <c r="AL2233" t="s">
        <v>385</v>
      </c>
      <c r="AM2233" t="s">
        <v>1153</v>
      </c>
      <c r="AN2233" t="s">
        <v>1154</v>
      </c>
      <c r="AO2233" t="s">
        <v>6250</v>
      </c>
      <c r="AP2233" t="s">
        <v>6251</v>
      </c>
      <c r="AQ2233" t="s">
        <v>74</v>
      </c>
      <c r="AR2233" t="s">
        <v>6252</v>
      </c>
      <c r="AS2233" t="s">
        <v>6253</v>
      </c>
      <c r="AT2233" t="s">
        <v>289</v>
      </c>
      <c r="AU2233">
        <v>2024</v>
      </c>
      <c r="AV2233">
        <v>26</v>
      </c>
      <c r="AW2233">
        <v>4</v>
      </c>
      <c r="AX2233" t="s">
        <v>74</v>
      </c>
      <c r="AY2233" t="s">
        <v>74</v>
      </c>
      <c r="AZ2233" t="s">
        <v>441</v>
      </c>
      <c r="BA2233" t="s">
        <v>74</v>
      </c>
      <c r="BB2233">
        <v>1565</v>
      </c>
      <c r="BC2233">
        <v>1579</v>
      </c>
      <c r="BD2233" t="s">
        <v>74</v>
      </c>
      <c r="BE2233" t="s">
        <v>37960</v>
      </c>
      <c r="BF2233" t="str">
        <f>HYPERLINK("http://dx.doi.org/10.1007/s10796-023-10427-0","http://dx.doi.org/10.1007/s10796-023-10427-0")</f>
        <v>http://dx.doi.org/10.1007/s10796-023-10427-0</v>
      </c>
      <c r="BG2233" t="s">
        <v>74</v>
      </c>
      <c r="BH2233" t="s">
        <v>7993</v>
      </c>
      <c r="BI2233">
        <v>15</v>
      </c>
      <c r="BJ2233" t="s">
        <v>4466</v>
      </c>
      <c r="BK2233" t="s">
        <v>128</v>
      </c>
      <c r="BL2233" t="s">
        <v>157</v>
      </c>
      <c r="BM2233" t="s">
        <v>37961</v>
      </c>
      <c r="BN2233" t="s">
        <v>74</v>
      </c>
      <c r="BO2233" t="s">
        <v>270</v>
      </c>
      <c r="BP2233" t="s">
        <v>74</v>
      </c>
      <c r="BQ2233" t="s">
        <v>74</v>
      </c>
      <c r="BR2233" t="s">
        <v>102</v>
      </c>
      <c r="BS2233" t="s">
        <v>37962</v>
      </c>
      <c r="BT2233" t="str">
        <f>HYPERLINK("https%3A%2F%2Fwww.webofscience.com%2Fwos%2Fwoscc%2Ffull-record%2FWOS:001054225800001","View Full Record in Web of Science")</f>
        <v>View Full Record in Web of Science</v>
      </c>
    </row>
    <row r="2234" spans="1:72" x14ac:dyDescent="0.25">
      <c r="A2234" t="s">
        <v>72</v>
      </c>
      <c r="B2234" t="s">
        <v>37963</v>
      </c>
      <c r="C2234" t="s">
        <v>74</v>
      </c>
      <c r="D2234" t="s">
        <v>74</v>
      </c>
      <c r="E2234" t="s">
        <v>74</v>
      </c>
      <c r="F2234" t="s">
        <v>37964</v>
      </c>
      <c r="G2234" t="s">
        <v>74</v>
      </c>
      <c r="H2234" t="s">
        <v>74</v>
      </c>
      <c r="I2234" t="s">
        <v>37965</v>
      </c>
      <c r="J2234" t="s">
        <v>1143</v>
      </c>
      <c r="K2234" t="s">
        <v>74</v>
      </c>
      <c r="L2234" t="s">
        <v>74</v>
      </c>
      <c r="M2234" t="s">
        <v>78</v>
      </c>
      <c r="N2234" t="s">
        <v>79</v>
      </c>
      <c r="O2234" t="s">
        <v>74</v>
      </c>
      <c r="P2234" t="s">
        <v>74</v>
      </c>
      <c r="Q2234" t="s">
        <v>74</v>
      </c>
      <c r="R2234" t="s">
        <v>74</v>
      </c>
      <c r="S2234" t="s">
        <v>74</v>
      </c>
      <c r="T2234" t="s">
        <v>37966</v>
      </c>
      <c r="U2234" t="s">
        <v>37967</v>
      </c>
      <c r="V2234" t="s">
        <v>37968</v>
      </c>
      <c r="W2234" t="s">
        <v>37969</v>
      </c>
      <c r="X2234" t="s">
        <v>37970</v>
      </c>
      <c r="Y2234" t="s">
        <v>37971</v>
      </c>
      <c r="Z2234" t="s">
        <v>37972</v>
      </c>
      <c r="AA2234" t="s">
        <v>37973</v>
      </c>
      <c r="AB2234" t="s">
        <v>37974</v>
      </c>
      <c r="AC2234" t="s">
        <v>37975</v>
      </c>
      <c r="AD2234" t="s">
        <v>37975</v>
      </c>
      <c r="AE2234" t="s">
        <v>37976</v>
      </c>
      <c r="AF2234" t="s">
        <v>74</v>
      </c>
      <c r="AG2234">
        <v>64</v>
      </c>
      <c r="AH2234">
        <v>3</v>
      </c>
      <c r="AI2234">
        <v>3</v>
      </c>
      <c r="AJ2234">
        <v>2</v>
      </c>
      <c r="AK2234">
        <v>7</v>
      </c>
      <c r="AL2234" t="s">
        <v>385</v>
      </c>
      <c r="AM2234" t="s">
        <v>1153</v>
      </c>
      <c r="AN2234" t="s">
        <v>1154</v>
      </c>
      <c r="AO2234" t="s">
        <v>1155</v>
      </c>
      <c r="AP2234" t="s">
        <v>1156</v>
      </c>
      <c r="AQ2234" t="s">
        <v>74</v>
      </c>
      <c r="AR2234" t="s">
        <v>1157</v>
      </c>
      <c r="AS2234" t="s">
        <v>1158</v>
      </c>
      <c r="AT2234" t="s">
        <v>743</v>
      </c>
      <c r="AU2234">
        <v>2024</v>
      </c>
      <c r="AV2234">
        <v>172</v>
      </c>
      <c r="AW2234">
        <v>3</v>
      </c>
      <c r="AX2234" t="s">
        <v>74</v>
      </c>
      <c r="AY2234" t="s">
        <v>74</v>
      </c>
      <c r="AZ2234" t="s">
        <v>74</v>
      </c>
      <c r="BA2234" t="s">
        <v>74</v>
      </c>
      <c r="BB2234">
        <v>1005</v>
      </c>
      <c r="BC2234">
        <v>1040</v>
      </c>
      <c r="BD2234" t="s">
        <v>74</v>
      </c>
      <c r="BE2234" t="s">
        <v>37977</v>
      </c>
      <c r="BF2234" t="str">
        <f>HYPERLINK("http://dx.doi.org/10.1007/s11205-024-03341-8","http://dx.doi.org/10.1007/s11205-024-03341-8")</f>
        <v>http://dx.doi.org/10.1007/s11205-024-03341-8</v>
      </c>
      <c r="BG2234" t="s">
        <v>74</v>
      </c>
      <c r="BH2234" t="s">
        <v>5285</v>
      </c>
      <c r="BI2234">
        <v>36</v>
      </c>
      <c r="BJ2234" t="s">
        <v>1161</v>
      </c>
      <c r="BK2234" t="s">
        <v>99</v>
      </c>
      <c r="BL2234" t="s">
        <v>1162</v>
      </c>
      <c r="BM2234" t="s">
        <v>37978</v>
      </c>
      <c r="BN2234" t="s">
        <v>74</v>
      </c>
      <c r="BO2234" t="s">
        <v>37979</v>
      </c>
      <c r="BP2234" t="s">
        <v>74</v>
      </c>
      <c r="BQ2234" t="s">
        <v>74</v>
      </c>
      <c r="BR2234" t="s">
        <v>102</v>
      </c>
      <c r="BS2234" t="s">
        <v>37980</v>
      </c>
      <c r="BT2234" t="str">
        <f>HYPERLINK("https%3A%2F%2Fwww.webofscience.com%2Fwos%2Fwoscc%2Ffull-record%2FWOS:001217499500001","View Full Record in Web of Science")</f>
        <v>View Full Record in Web of Science</v>
      </c>
    </row>
    <row r="2235" spans="1:72" x14ac:dyDescent="0.25">
      <c r="A2235" t="s">
        <v>72</v>
      </c>
      <c r="B2235" t="s">
        <v>37981</v>
      </c>
      <c r="C2235" t="s">
        <v>74</v>
      </c>
      <c r="D2235" t="s">
        <v>74</v>
      </c>
      <c r="E2235" t="s">
        <v>74</v>
      </c>
      <c r="F2235" t="s">
        <v>37982</v>
      </c>
      <c r="G2235" t="s">
        <v>74</v>
      </c>
      <c r="H2235" t="s">
        <v>74</v>
      </c>
      <c r="I2235" t="s">
        <v>37983</v>
      </c>
      <c r="J2235" t="s">
        <v>4369</v>
      </c>
      <c r="K2235" t="s">
        <v>74</v>
      </c>
      <c r="L2235" t="s">
        <v>74</v>
      </c>
      <c r="M2235" t="s">
        <v>78</v>
      </c>
      <c r="N2235" t="s">
        <v>79</v>
      </c>
      <c r="O2235" t="s">
        <v>74</v>
      </c>
      <c r="P2235" t="s">
        <v>74</v>
      </c>
      <c r="Q2235" t="s">
        <v>74</v>
      </c>
      <c r="R2235" t="s">
        <v>74</v>
      </c>
      <c r="S2235" t="s">
        <v>74</v>
      </c>
      <c r="T2235" t="s">
        <v>74</v>
      </c>
      <c r="U2235" t="s">
        <v>37984</v>
      </c>
      <c r="V2235" t="s">
        <v>37985</v>
      </c>
      <c r="W2235" t="s">
        <v>37986</v>
      </c>
      <c r="X2235" t="s">
        <v>37987</v>
      </c>
      <c r="Y2235" t="s">
        <v>6368</v>
      </c>
      <c r="Z2235" t="s">
        <v>74</v>
      </c>
      <c r="AA2235" t="s">
        <v>37988</v>
      </c>
      <c r="AB2235" t="s">
        <v>37989</v>
      </c>
      <c r="AC2235" t="s">
        <v>37990</v>
      </c>
      <c r="AD2235" t="s">
        <v>37990</v>
      </c>
      <c r="AE2235" t="s">
        <v>37991</v>
      </c>
      <c r="AF2235" t="s">
        <v>74</v>
      </c>
      <c r="AG2235">
        <v>31</v>
      </c>
      <c r="AH2235">
        <v>62</v>
      </c>
      <c r="AI2235">
        <v>84</v>
      </c>
      <c r="AJ2235">
        <v>3</v>
      </c>
      <c r="AK2235">
        <v>105</v>
      </c>
      <c r="AL2235" t="s">
        <v>2551</v>
      </c>
      <c r="AM2235" t="s">
        <v>231</v>
      </c>
      <c r="AN2235" t="s">
        <v>2552</v>
      </c>
      <c r="AO2235" t="s">
        <v>4378</v>
      </c>
      <c r="AP2235" t="s">
        <v>4379</v>
      </c>
      <c r="AQ2235" t="s">
        <v>74</v>
      </c>
      <c r="AR2235" t="s">
        <v>4380</v>
      </c>
      <c r="AS2235" t="s">
        <v>4381</v>
      </c>
      <c r="AT2235" t="s">
        <v>1540</v>
      </c>
      <c r="AU2235">
        <v>2016</v>
      </c>
      <c r="AV2235">
        <v>20</v>
      </c>
      <c r="AW2235">
        <v>3</v>
      </c>
      <c r="AX2235" t="s">
        <v>74</v>
      </c>
      <c r="AY2235" t="s">
        <v>74</v>
      </c>
      <c r="AZ2235" t="s">
        <v>74</v>
      </c>
      <c r="BA2235" t="s">
        <v>74</v>
      </c>
      <c r="BB2235">
        <v>907</v>
      </c>
      <c r="BC2235">
        <v>946</v>
      </c>
      <c r="BD2235" t="s">
        <v>74</v>
      </c>
      <c r="BE2235" t="s">
        <v>37992</v>
      </c>
      <c r="BF2235" t="str">
        <f>HYPERLINK("http://dx.doi.org/10.1093/rof/rfv026","http://dx.doi.org/10.1093/rof/rfv026")</f>
        <v>http://dx.doi.org/10.1093/rof/rfv026</v>
      </c>
      <c r="BG2235" t="s">
        <v>74</v>
      </c>
      <c r="BH2235" t="s">
        <v>74</v>
      </c>
      <c r="BI2235">
        <v>40</v>
      </c>
      <c r="BJ2235" t="s">
        <v>210</v>
      </c>
      <c r="BK2235" t="s">
        <v>99</v>
      </c>
      <c r="BL2235" t="s">
        <v>100</v>
      </c>
      <c r="BM2235" t="s">
        <v>37993</v>
      </c>
      <c r="BN2235" t="s">
        <v>74</v>
      </c>
      <c r="BO2235" t="s">
        <v>1205</v>
      </c>
      <c r="BP2235" t="s">
        <v>74</v>
      </c>
      <c r="BQ2235" t="s">
        <v>74</v>
      </c>
      <c r="BR2235" t="s">
        <v>102</v>
      </c>
      <c r="BS2235" t="s">
        <v>37994</v>
      </c>
      <c r="BT2235" t="str">
        <f>HYPERLINK("https%3A%2F%2Fwww.webofscience.com%2Fwos%2Fwoscc%2Ffull-record%2FWOS:000376654800001","View Full Record in Web of Science")</f>
        <v>View Full Record in Web of Science</v>
      </c>
    </row>
    <row r="2236" spans="1:72" x14ac:dyDescent="0.25">
      <c r="A2236" t="s">
        <v>72</v>
      </c>
      <c r="B2236" t="s">
        <v>37995</v>
      </c>
      <c r="C2236" t="s">
        <v>74</v>
      </c>
      <c r="D2236" t="s">
        <v>74</v>
      </c>
      <c r="E2236" t="s">
        <v>74</v>
      </c>
      <c r="F2236" t="s">
        <v>37996</v>
      </c>
      <c r="G2236" t="s">
        <v>74</v>
      </c>
      <c r="H2236" t="s">
        <v>74</v>
      </c>
      <c r="I2236" t="s">
        <v>37997</v>
      </c>
      <c r="J2236" t="s">
        <v>37998</v>
      </c>
      <c r="K2236" t="s">
        <v>74</v>
      </c>
      <c r="L2236" t="s">
        <v>74</v>
      </c>
      <c r="M2236" t="s">
        <v>78</v>
      </c>
      <c r="N2236" t="s">
        <v>79</v>
      </c>
      <c r="O2236" t="s">
        <v>74</v>
      </c>
      <c r="P2236" t="s">
        <v>74</v>
      </c>
      <c r="Q2236" t="s">
        <v>74</v>
      </c>
      <c r="R2236" t="s">
        <v>74</v>
      </c>
      <c r="S2236" t="s">
        <v>74</v>
      </c>
      <c r="T2236" t="s">
        <v>37999</v>
      </c>
      <c r="U2236" t="s">
        <v>11441</v>
      </c>
      <c r="V2236" t="s">
        <v>38000</v>
      </c>
      <c r="W2236" t="s">
        <v>38001</v>
      </c>
      <c r="X2236" t="s">
        <v>38002</v>
      </c>
      <c r="Y2236" t="s">
        <v>38003</v>
      </c>
      <c r="Z2236" t="s">
        <v>38004</v>
      </c>
      <c r="AA2236" t="s">
        <v>38005</v>
      </c>
      <c r="AB2236" t="s">
        <v>38006</v>
      </c>
      <c r="AC2236" t="s">
        <v>38007</v>
      </c>
      <c r="AD2236" t="s">
        <v>38008</v>
      </c>
      <c r="AE2236" t="s">
        <v>38009</v>
      </c>
      <c r="AF2236" t="s">
        <v>74</v>
      </c>
      <c r="AG2236">
        <v>74</v>
      </c>
      <c r="AH2236">
        <v>0</v>
      </c>
      <c r="AI2236">
        <v>0</v>
      </c>
      <c r="AJ2236">
        <v>5</v>
      </c>
      <c r="AK2236">
        <v>8</v>
      </c>
      <c r="AL2236" t="s">
        <v>332</v>
      </c>
      <c r="AM2236" t="s">
        <v>333</v>
      </c>
      <c r="AN2236" t="s">
        <v>334</v>
      </c>
      <c r="AO2236" t="s">
        <v>38010</v>
      </c>
      <c r="AP2236" t="s">
        <v>38011</v>
      </c>
      <c r="AQ2236" t="s">
        <v>74</v>
      </c>
      <c r="AR2236" t="s">
        <v>38012</v>
      </c>
      <c r="AS2236" t="s">
        <v>38013</v>
      </c>
      <c r="AT2236" t="s">
        <v>2970</v>
      </c>
      <c r="AU2236">
        <v>2025</v>
      </c>
      <c r="AV2236">
        <v>28</v>
      </c>
      <c r="AW2236">
        <v>1</v>
      </c>
      <c r="AX2236" t="s">
        <v>74</v>
      </c>
      <c r="AY2236" t="s">
        <v>74</v>
      </c>
      <c r="AZ2236" t="s">
        <v>74</v>
      </c>
      <c r="BA2236" t="s">
        <v>74</v>
      </c>
      <c r="BB2236" t="s">
        <v>74</v>
      </c>
      <c r="BC2236" t="s">
        <v>74</v>
      </c>
      <c r="BD2236">
        <v>2509207</v>
      </c>
      <c r="BE2236" t="s">
        <v>38014</v>
      </c>
      <c r="BF2236" t="str">
        <f>HYPERLINK("http://dx.doi.org/10.1080/15140326.2025.2509207","http://dx.doi.org/10.1080/15140326.2025.2509207")</f>
        <v>http://dx.doi.org/10.1080/15140326.2025.2509207</v>
      </c>
      <c r="BG2236" t="s">
        <v>74</v>
      </c>
      <c r="BH2236" t="s">
        <v>74</v>
      </c>
      <c r="BI2236">
        <v>24</v>
      </c>
      <c r="BJ2236" t="s">
        <v>291</v>
      </c>
      <c r="BK2236" t="s">
        <v>99</v>
      </c>
      <c r="BL2236" t="s">
        <v>100</v>
      </c>
      <c r="BM2236" t="s">
        <v>38015</v>
      </c>
      <c r="BN2236" t="s">
        <v>74</v>
      </c>
      <c r="BO2236" t="s">
        <v>916</v>
      </c>
      <c r="BP2236" t="s">
        <v>74</v>
      </c>
      <c r="BQ2236" t="s">
        <v>74</v>
      </c>
      <c r="BR2236" t="s">
        <v>102</v>
      </c>
      <c r="BS2236" t="s">
        <v>38016</v>
      </c>
      <c r="BT2236" t="str">
        <f>HYPERLINK("https%3A%2F%2Fwww.webofscience.com%2Fwos%2Fwoscc%2Ffull-record%2FWOS:001494037200001","View Full Record in Web of Science")</f>
        <v>View Full Record in Web of Science</v>
      </c>
    </row>
    <row r="2237" spans="1:72" x14ac:dyDescent="0.25">
      <c r="A2237" t="s">
        <v>72</v>
      </c>
      <c r="B2237" t="s">
        <v>38017</v>
      </c>
      <c r="C2237" t="s">
        <v>74</v>
      </c>
      <c r="D2237" t="s">
        <v>74</v>
      </c>
      <c r="E2237" t="s">
        <v>74</v>
      </c>
      <c r="F2237" t="s">
        <v>38018</v>
      </c>
      <c r="G2237" t="s">
        <v>74</v>
      </c>
      <c r="H2237" t="s">
        <v>74</v>
      </c>
      <c r="I2237" t="s">
        <v>38019</v>
      </c>
      <c r="J2237" t="s">
        <v>14645</v>
      </c>
      <c r="K2237" t="s">
        <v>74</v>
      </c>
      <c r="L2237" t="s">
        <v>74</v>
      </c>
      <c r="M2237" t="s">
        <v>78</v>
      </c>
      <c r="N2237" t="s">
        <v>79</v>
      </c>
      <c r="O2237" t="s">
        <v>74</v>
      </c>
      <c r="P2237" t="s">
        <v>74</v>
      </c>
      <c r="Q2237" t="s">
        <v>74</v>
      </c>
      <c r="R2237" t="s">
        <v>74</v>
      </c>
      <c r="S2237" t="s">
        <v>74</v>
      </c>
      <c r="T2237" t="s">
        <v>38020</v>
      </c>
      <c r="U2237" t="s">
        <v>38021</v>
      </c>
      <c r="V2237" t="s">
        <v>38022</v>
      </c>
      <c r="W2237" t="s">
        <v>38023</v>
      </c>
      <c r="X2237" t="s">
        <v>38024</v>
      </c>
      <c r="Y2237" t="s">
        <v>38025</v>
      </c>
      <c r="Z2237" t="s">
        <v>38026</v>
      </c>
      <c r="AA2237" t="s">
        <v>38027</v>
      </c>
      <c r="AB2237" t="s">
        <v>38028</v>
      </c>
      <c r="AC2237" t="s">
        <v>74</v>
      </c>
      <c r="AD2237" t="s">
        <v>74</v>
      </c>
      <c r="AE2237" t="s">
        <v>74</v>
      </c>
      <c r="AF2237" t="s">
        <v>74</v>
      </c>
      <c r="AG2237">
        <v>71</v>
      </c>
      <c r="AH2237">
        <v>1</v>
      </c>
      <c r="AI2237">
        <v>2</v>
      </c>
      <c r="AJ2237">
        <v>6</v>
      </c>
      <c r="AK2237">
        <v>11</v>
      </c>
      <c r="AL2237" t="s">
        <v>2551</v>
      </c>
      <c r="AM2237" t="s">
        <v>231</v>
      </c>
      <c r="AN2237" t="s">
        <v>2552</v>
      </c>
      <c r="AO2237" t="s">
        <v>14652</v>
      </c>
      <c r="AP2237" t="s">
        <v>14653</v>
      </c>
      <c r="AQ2237" t="s">
        <v>74</v>
      </c>
      <c r="AR2237" t="s">
        <v>14654</v>
      </c>
      <c r="AS2237" t="s">
        <v>14655</v>
      </c>
      <c r="AT2237" t="s">
        <v>14656</v>
      </c>
      <c r="AU2237">
        <v>2024</v>
      </c>
      <c r="AV2237">
        <v>40</v>
      </c>
      <c r="AW2237">
        <v>1</v>
      </c>
      <c r="AX2237" t="s">
        <v>74</v>
      </c>
      <c r="AY2237" t="s">
        <v>74</v>
      </c>
      <c r="AZ2237" t="s">
        <v>441</v>
      </c>
      <c r="BA2237" t="s">
        <v>74</v>
      </c>
      <c r="BB2237">
        <v>160</v>
      </c>
      <c r="BC2237">
        <v>175</v>
      </c>
      <c r="BD2237" t="s">
        <v>74</v>
      </c>
      <c r="BE2237" t="s">
        <v>38029</v>
      </c>
      <c r="BF2237" t="str">
        <f>HYPERLINK("http://dx.doi.org/10.1093/oxrep/grad052","http://dx.doi.org/10.1093/oxrep/grad052")</f>
        <v>http://dx.doi.org/10.1093/oxrep/grad052</v>
      </c>
      <c r="BG2237" t="s">
        <v>74</v>
      </c>
      <c r="BH2237" t="s">
        <v>74</v>
      </c>
      <c r="BI2237">
        <v>16</v>
      </c>
      <c r="BJ2237" t="s">
        <v>291</v>
      </c>
      <c r="BK2237" t="s">
        <v>99</v>
      </c>
      <c r="BL2237" t="s">
        <v>100</v>
      </c>
      <c r="BM2237" t="s">
        <v>14658</v>
      </c>
      <c r="BN2237" t="s">
        <v>74</v>
      </c>
      <c r="BO2237" t="s">
        <v>270</v>
      </c>
      <c r="BP2237" t="s">
        <v>74</v>
      </c>
      <c r="BQ2237" t="s">
        <v>74</v>
      </c>
      <c r="BR2237" t="s">
        <v>102</v>
      </c>
      <c r="BS2237" t="s">
        <v>38030</v>
      </c>
      <c r="BT2237" t="str">
        <f>HYPERLINK("https%3A%2F%2Fwww.webofscience.com%2Fwos%2Fwoscc%2Ffull-record%2FWOS:001186414700012","View Full Record in Web of Science")</f>
        <v>View Full Record in Web of Science</v>
      </c>
    </row>
    <row r="2238" spans="1:72" x14ac:dyDescent="0.25">
      <c r="A2238" t="s">
        <v>72</v>
      </c>
      <c r="B2238" t="s">
        <v>38031</v>
      </c>
      <c r="C2238" t="s">
        <v>74</v>
      </c>
      <c r="D2238" t="s">
        <v>74</v>
      </c>
      <c r="E2238" t="s">
        <v>74</v>
      </c>
      <c r="F2238" t="s">
        <v>38032</v>
      </c>
      <c r="G2238" t="s">
        <v>74</v>
      </c>
      <c r="H2238" t="s">
        <v>74</v>
      </c>
      <c r="I2238" t="s">
        <v>38033</v>
      </c>
      <c r="J2238" t="s">
        <v>2788</v>
      </c>
      <c r="K2238" t="s">
        <v>74</v>
      </c>
      <c r="L2238" t="s">
        <v>74</v>
      </c>
      <c r="M2238" t="s">
        <v>78</v>
      </c>
      <c r="N2238" t="s">
        <v>79</v>
      </c>
      <c r="O2238" t="s">
        <v>74</v>
      </c>
      <c r="P2238" t="s">
        <v>74</v>
      </c>
      <c r="Q2238" t="s">
        <v>74</v>
      </c>
      <c r="R2238" t="s">
        <v>74</v>
      </c>
      <c r="S2238" t="s">
        <v>74</v>
      </c>
      <c r="T2238" t="s">
        <v>38034</v>
      </c>
      <c r="U2238" t="s">
        <v>38035</v>
      </c>
      <c r="V2238" t="s">
        <v>38036</v>
      </c>
      <c r="W2238" t="s">
        <v>38037</v>
      </c>
      <c r="X2238" t="s">
        <v>38038</v>
      </c>
      <c r="Y2238" t="s">
        <v>38039</v>
      </c>
      <c r="Z2238" t="s">
        <v>38040</v>
      </c>
      <c r="AA2238" t="s">
        <v>38041</v>
      </c>
      <c r="AB2238" t="s">
        <v>38042</v>
      </c>
      <c r="AC2238" t="s">
        <v>74</v>
      </c>
      <c r="AD2238" t="s">
        <v>74</v>
      </c>
      <c r="AE2238" t="s">
        <v>74</v>
      </c>
      <c r="AF2238" t="s">
        <v>74</v>
      </c>
      <c r="AG2238">
        <v>27</v>
      </c>
      <c r="AH2238">
        <v>2</v>
      </c>
      <c r="AI2238">
        <v>3</v>
      </c>
      <c r="AJ2238">
        <v>0</v>
      </c>
      <c r="AK2238">
        <v>12</v>
      </c>
      <c r="AL2238" t="s">
        <v>503</v>
      </c>
      <c r="AM2238" t="s">
        <v>151</v>
      </c>
      <c r="AN2238" t="s">
        <v>504</v>
      </c>
      <c r="AO2238" t="s">
        <v>2797</v>
      </c>
      <c r="AP2238" t="s">
        <v>2798</v>
      </c>
      <c r="AQ2238" t="s">
        <v>74</v>
      </c>
      <c r="AR2238" t="s">
        <v>2799</v>
      </c>
      <c r="AS2238" t="s">
        <v>2800</v>
      </c>
      <c r="AT2238" t="s">
        <v>1933</v>
      </c>
      <c r="AU2238">
        <v>2023</v>
      </c>
      <c r="AV2238">
        <v>42</v>
      </c>
      <c r="AW2238">
        <v>2</v>
      </c>
      <c r="AX2238" t="s">
        <v>74</v>
      </c>
      <c r="AY2238" t="s">
        <v>74</v>
      </c>
      <c r="AZ2238" t="s">
        <v>74</v>
      </c>
      <c r="BA2238" t="s">
        <v>74</v>
      </c>
      <c r="BB2238" t="s">
        <v>74</v>
      </c>
      <c r="BC2238" t="s">
        <v>74</v>
      </c>
      <c r="BD2238">
        <v>106922</v>
      </c>
      <c r="BE2238" t="s">
        <v>38043</v>
      </c>
      <c r="BF2238" t="str">
        <f>HYPERLINK("http://dx.doi.org/10.1016/j.jaccpubpol.2021.106922","http://dx.doi.org/10.1016/j.jaccpubpol.2021.106922")</f>
        <v>http://dx.doi.org/10.1016/j.jaccpubpol.2021.106922</v>
      </c>
      <c r="BG2238" t="s">
        <v>74</v>
      </c>
      <c r="BH2238" t="s">
        <v>6418</v>
      </c>
      <c r="BI2238">
        <v>18</v>
      </c>
      <c r="BJ2238" t="s">
        <v>2803</v>
      </c>
      <c r="BK2238" t="s">
        <v>99</v>
      </c>
      <c r="BL2238" t="s">
        <v>1406</v>
      </c>
      <c r="BM2238" t="s">
        <v>38044</v>
      </c>
      <c r="BN2238" t="s">
        <v>74</v>
      </c>
      <c r="BO2238" t="s">
        <v>74</v>
      </c>
      <c r="BP2238" t="s">
        <v>74</v>
      </c>
      <c r="BQ2238" t="s">
        <v>74</v>
      </c>
      <c r="BR2238" t="s">
        <v>102</v>
      </c>
      <c r="BS2238" t="s">
        <v>38045</v>
      </c>
      <c r="BT2238" t="str">
        <f>HYPERLINK("https%3A%2F%2Fwww.webofscience.com%2Fwos%2Fwoscc%2Ffull-record%2FWOS:001002958500001","View Full Record in Web of Science")</f>
        <v>View Full Record in Web of Science</v>
      </c>
    </row>
    <row r="2239" spans="1:72" x14ac:dyDescent="0.25">
      <c r="A2239" t="s">
        <v>72</v>
      </c>
      <c r="B2239" t="s">
        <v>38046</v>
      </c>
      <c r="C2239" t="s">
        <v>74</v>
      </c>
      <c r="D2239" t="s">
        <v>74</v>
      </c>
      <c r="E2239" t="s">
        <v>74</v>
      </c>
      <c r="F2239" t="s">
        <v>38047</v>
      </c>
      <c r="G2239" t="s">
        <v>74</v>
      </c>
      <c r="H2239" t="s">
        <v>74</v>
      </c>
      <c r="I2239" t="s">
        <v>38048</v>
      </c>
      <c r="J2239" t="s">
        <v>1963</v>
      </c>
      <c r="K2239" t="s">
        <v>74</v>
      </c>
      <c r="L2239" t="s">
        <v>74</v>
      </c>
      <c r="M2239" t="s">
        <v>78</v>
      </c>
      <c r="N2239" t="s">
        <v>79</v>
      </c>
      <c r="O2239" t="s">
        <v>74</v>
      </c>
      <c r="P2239" t="s">
        <v>74</v>
      </c>
      <c r="Q2239" t="s">
        <v>74</v>
      </c>
      <c r="R2239" t="s">
        <v>74</v>
      </c>
      <c r="S2239" t="s">
        <v>74</v>
      </c>
      <c r="T2239" t="s">
        <v>38049</v>
      </c>
      <c r="U2239" t="s">
        <v>38050</v>
      </c>
      <c r="V2239" t="s">
        <v>38051</v>
      </c>
      <c r="W2239" t="s">
        <v>38052</v>
      </c>
      <c r="X2239" t="s">
        <v>15804</v>
      </c>
      <c r="Y2239" t="s">
        <v>38053</v>
      </c>
      <c r="Z2239" t="s">
        <v>38054</v>
      </c>
      <c r="AA2239" t="s">
        <v>74</v>
      </c>
      <c r="AB2239" t="s">
        <v>38055</v>
      </c>
      <c r="AC2239" t="s">
        <v>74</v>
      </c>
      <c r="AD2239" t="s">
        <v>74</v>
      </c>
      <c r="AE2239" t="s">
        <v>74</v>
      </c>
      <c r="AF2239" t="s">
        <v>74</v>
      </c>
      <c r="AG2239">
        <v>44</v>
      </c>
      <c r="AH2239">
        <v>13</v>
      </c>
      <c r="AI2239">
        <v>16</v>
      </c>
      <c r="AJ2239">
        <v>3</v>
      </c>
      <c r="AK2239">
        <v>19</v>
      </c>
      <c r="AL2239" t="s">
        <v>332</v>
      </c>
      <c r="AM2239" t="s">
        <v>333</v>
      </c>
      <c r="AN2239" t="s">
        <v>334</v>
      </c>
      <c r="AO2239" t="s">
        <v>1975</v>
      </c>
      <c r="AP2239" t="s">
        <v>1976</v>
      </c>
      <c r="AQ2239" t="s">
        <v>74</v>
      </c>
      <c r="AR2239" t="s">
        <v>1977</v>
      </c>
      <c r="AS2239" t="s">
        <v>1978</v>
      </c>
      <c r="AT2239" t="s">
        <v>38056</v>
      </c>
      <c r="AU2239">
        <v>2021</v>
      </c>
      <c r="AV2239">
        <v>53</v>
      </c>
      <c r="AW2239">
        <v>57</v>
      </c>
      <c r="AX2239" t="s">
        <v>74</v>
      </c>
      <c r="AY2239" t="s">
        <v>74</v>
      </c>
      <c r="AZ2239" t="s">
        <v>74</v>
      </c>
      <c r="BA2239" t="s">
        <v>74</v>
      </c>
      <c r="BB2239">
        <v>6582</v>
      </c>
      <c r="BC2239">
        <v>6610</v>
      </c>
      <c r="BD2239" t="s">
        <v>74</v>
      </c>
      <c r="BE2239" t="s">
        <v>38057</v>
      </c>
      <c r="BF2239" t="str">
        <f>HYPERLINK("http://dx.doi.org/10.1080/00036846.2021.1947958","http://dx.doi.org/10.1080/00036846.2021.1947958")</f>
        <v>http://dx.doi.org/10.1080/00036846.2021.1947958</v>
      </c>
      <c r="BG2239" t="s">
        <v>74</v>
      </c>
      <c r="BH2239" t="s">
        <v>10889</v>
      </c>
      <c r="BI2239">
        <v>29</v>
      </c>
      <c r="BJ2239" t="s">
        <v>291</v>
      </c>
      <c r="BK2239" t="s">
        <v>99</v>
      </c>
      <c r="BL2239" t="s">
        <v>100</v>
      </c>
      <c r="BM2239" t="s">
        <v>38058</v>
      </c>
      <c r="BN2239" t="s">
        <v>74</v>
      </c>
      <c r="BO2239" t="s">
        <v>74</v>
      </c>
      <c r="BP2239" t="s">
        <v>74</v>
      </c>
      <c r="BQ2239" t="s">
        <v>74</v>
      </c>
      <c r="BR2239" t="s">
        <v>102</v>
      </c>
      <c r="BS2239" t="s">
        <v>38059</v>
      </c>
      <c r="BT2239" t="str">
        <f>HYPERLINK("https%3A%2F%2Fwww.webofscience.com%2Fwos%2Fwoscc%2Ffull-record%2FWOS:000692297500001","View Full Record in Web of Science")</f>
        <v>View Full Record in Web of Science</v>
      </c>
    </row>
    <row r="2240" spans="1:72" x14ac:dyDescent="0.25">
      <c r="A2240" t="s">
        <v>72</v>
      </c>
      <c r="B2240" t="s">
        <v>38060</v>
      </c>
      <c r="C2240" t="s">
        <v>74</v>
      </c>
      <c r="D2240" t="s">
        <v>74</v>
      </c>
      <c r="E2240" t="s">
        <v>74</v>
      </c>
      <c r="F2240" t="s">
        <v>38061</v>
      </c>
      <c r="G2240" t="s">
        <v>74</v>
      </c>
      <c r="H2240" t="s">
        <v>74</v>
      </c>
      <c r="I2240" t="s">
        <v>38062</v>
      </c>
      <c r="J2240" t="s">
        <v>38063</v>
      </c>
      <c r="K2240" t="s">
        <v>74</v>
      </c>
      <c r="L2240" t="s">
        <v>74</v>
      </c>
      <c r="M2240" t="s">
        <v>78</v>
      </c>
      <c r="N2240" t="s">
        <v>79</v>
      </c>
      <c r="O2240" t="s">
        <v>74</v>
      </c>
      <c r="P2240" t="s">
        <v>74</v>
      </c>
      <c r="Q2240" t="s">
        <v>74</v>
      </c>
      <c r="R2240" t="s">
        <v>74</v>
      </c>
      <c r="S2240" t="s">
        <v>74</v>
      </c>
      <c r="T2240" t="s">
        <v>38064</v>
      </c>
      <c r="U2240" t="s">
        <v>38065</v>
      </c>
      <c r="V2240" t="s">
        <v>38066</v>
      </c>
      <c r="W2240" t="s">
        <v>38067</v>
      </c>
      <c r="X2240" t="s">
        <v>38068</v>
      </c>
      <c r="Y2240" t="s">
        <v>38069</v>
      </c>
      <c r="Z2240" t="s">
        <v>38070</v>
      </c>
      <c r="AA2240" t="s">
        <v>38071</v>
      </c>
      <c r="AB2240" t="s">
        <v>74</v>
      </c>
      <c r="AC2240" t="s">
        <v>38072</v>
      </c>
      <c r="AD2240" t="s">
        <v>38072</v>
      </c>
      <c r="AE2240" t="s">
        <v>38073</v>
      </c>
      <c r="AF2240" t="s">
        <v>74</v>
      </c>
      <c r="AG2240">
        <v>58</v>
      </c>
      <c r="AH2240">
        <v>11</v>
      </c>
      <c r="AI2240">
        <v>12</v>
      </c>
      <c r="AJ2240">
        <v>6</v>
      </c>
      <c r="AK2240">
        <v>29</v>
      </c>
      <c r="AL2240" t="s">
        <v>89</v>
      </c>
      <c r="AM2240" t="s">
        <v>90</v>
      </c>
      <c r="AN2240" t="s">
        <v>91</v>
      </c>
      <c r="AO2240" t="s">
        <v>38074</v>
      </c>
      <c r="AP2240" t="s">
        <v>38075</v>
      </c>
      <c r="AQ2240" t="s">
        <v>74</v>
      </c>
      <c r="AR2240" t="s">
        <v>38076</v>
      </c>
      <c r="AS2240" t="s">
        <v>38077</v>
      </c>
      <c r="AT2240" t="s">
        <v>958</v>
      </c>
      <c r="AU2240">
        <v>2024</v>
      </c>
      <c r="AV2240">
        <v>16</v>
      </c>
      <c r="AW2240">
        <v>4</v>
      </c>
      <c r="AX2240" t="s">
        <v>74</v>
      </c>
      <c r="AY2240" t="s">
        <v>74</v>
      </c>
      <c r="AZ2240" t="s">
        <v>74</v>
      </c>
      <c r="BA2240" t="s">
        <v>74</v>
      </c>
      <c r="BB2240">
        <v>668</v>
      </c>
      <c r="BC2240">
        <v>681</v>
      </c>
      <c r="BD2240" t="s">
        <v>74</v>
      </c>
      <c r="BE2240" t="s">
        <v>38078</v>
      </c>
      <c r="BF2240" t="str">
        <f>HYPERLINK("http://dx.doi.org/10.1108/RBF-10-2023-0268","http://dx.doi.org/10.1108/RBF-10-2023-0268")</f>
        <v>http://dx.doi.org/10.1108/RBF-10-2023-0268</v>
      </c>
      <c r="BG2240" t="s">
        <v>74</v>
      </c>
      <c r="BH2240" t="s">
        <v>239</v>
      </c>
      <c r="BI2240">
        <v>14</v>
      </c>
      <c r="BJ2240" t="s">
        <v>268</v>
      </c>
      <c r="BK2240" t="s">
        <v>313</v>
      </c>
      <c r="BL2240" t="s">
        <v>100</v>
      </c>
      <c r="BM2240" t="s">
        <v>38079</v>
      </c>
      <c r="BN2240" t="s">
        <v>74</v>
      </c>
      <c r="BO2240" t="s">
        <v>74</v>
      </c>
      <c r="BP2240" t="s">
        <v>74</v>
      </c>
      <c r="BQ2240" t="s">
        <v>74</v>
      </c>
      <c r="BR2240" t="s">
        <v>102</v>
      </c>
      <c r="BS2240" t="s">
        <v>38080</v>
      </c>
      <c r="BT2240" t="str">
        <f>HYPERLINK("https%3A%2F%2Fwww.webofscience.com%2Fwos%2Fwoscc%2Ffull-record%2FWOS:001143542400001","View Full Record in Web of Science")</f>
        <v>View Full Record in Web of Science</v>
      </c>
    </row>
    <row r="2241" spans="1:72" x14ac:dyDescent="0.25">
      <c r="A2241" t="s">
        <v>72</v>
      </c>
      <c r="B2241" t="s">
        <v>38081</v>
      </c>
      <c r="C2241" t="s">
        <v>74</v>
      </c>
      <c r="D2241" t="s">
        <v>74</v>
      </c>
      <c r="E2241" t="s">
        <v>74</v>
      </c>
      <c r="F2241" t="s">
        <v>38082</v>
      </c>
      <c r="G2241" t="s">
        <v>74</v>
      </c>
      <c r="H2241" t="s">
        <v>74</v>
      </c>
      <c r="I2241" t="s">
        <v>38083</v>
      </c>
      <c r="J2241" t="s">
        <v>3231</v>
      </c>
      <c r="K2241" t="s">
        <v>74</v>
      </c>
      <c r="L2241" t="s">
        <v>74</v>
      </c>
      <c r="M2241" t="s">
        <v>78</v>
      </c>
      <c r="N2241" t="s">
        <v>79</v>
      </c>
      <c r="O2241" t="s">
        <v>74</v>
      </c>
      <c r="P2241" t="s">
        <v>74</v>
      </c>
      <c r="Q2241" t="s">
        <v>74</v>
      </c>
      <c r="R2241" t="s">
        <v>74</v>
      </c>
      <c r="S2241" t="s">
        <v>74</v>
      </c>
      <c r="T2241" t="s">
        <v>38084</v>
      </c>
      <c r="U2241" t="s">
        <v>38085</v>
      </c>
      <c r="V2241" t="s">
        <v>38086</v>
      </c>
      <c r="W2241" t="s">
        <v>38087</v>
      </c>
      <c r="X2241" t="s">
        <v>38088</v>
      </c>
      <c r="Y2241" t="s">
        <v>38089</v>
      </c>
      <c r="Z2241" t="s">
        <v>38090</v>
      </c>
      <c r="AA2241" t="s">
        <v>74</v>
      </c>
      <c r="AB2241" t="s">
        <v>74</v>
      </c>
      <c r="AC2241" t="s">
        <v>74</v>
      </c>
      <c r="AD2241" t="s">
        <v>74</v>
      </c>
      <c r="AE2241" t="s">
        <v>74</v>
      </c>
      <c r="AF2241" t="s">
        <v>74</v>
      </c>
      <c r="AG2241">
        <v>61</v>
      </c>
      <c r="AH2241">
        <v>0</v>
      </c>
      <c r="AI2241">
        <v>0</v>
      </c>
      <c r="AJ2241">
        <v>8</v>
      </c>
      <c r="AK2241">
        <v>8</v>
      </c>
      <c r="AL2241" t="s">
        <v>575</v>
      </c>
      <c r="AM2241" t="s">
        <v>576</v>
      </c>
      <c r="AN2241" t="s">
        <v>577</v>
      </c>
      <c r="AO2241" t="s">
        <v>74</v>
      </c>
      <c r="AP2241" t="s">
        <v>3243</v>
      </c>
      <c r="AQ2241" t="s">
        <v>74</v>
      </c>
      <c r="AR2241" t="s">
        <v>3244</v>
      </c>
      <c r="AS2241" t="s">
        <v>3245</v>
      </c>
      <c r="AT2241" t="s">
        <v>17794</v>
      </c>
      <c r="AU2241">
        <v>2025</v>
      </c>
      <c r="AV2241">
        <v>17</v>
      </c>
      <c r="AW2241">
        <v>22</v>
      </c>
      <c r="AX2241" t="s">
        <v>74</v>
      </c>
      <c r="AY2241" t="s">
        <v>74</v>
      </c>
      <c r="AZ2241" t="s">
        <v>74</v>
      </c>
      <c r="BA2241" t="s">
        <v>74</v>
      </c>
      <c r="BB2241" t="s">
        <v>74</v>
      </c>
      <c r="BC2241" t="s">
        <v>74</v>
      </c>
      <c r="BD2241">
        <v>9933</v>
      </c>
      <c r="BE2241" t="s">
        <v>38091</v>
      </c>
      <c r="BF2241" t="str">
        <f>HYPERLINK("http://dx.doi.org/10.3390/su17229933","http://dx.doi.org/10.3390/su17229933")</f>
        <v>http://dx.doi.org/10.3390/su17229933</v>
      </c>
      <c r="BG2241" t="s">
        <v>74</v>
      </c>
      <c r="BH2241" t="s">
        <v>74</v>
      </c>
      <c r="BI2241">
        <v>22</v>
      </c>
      <c r="BJ2241" t="s">
        <v>3247</v>
      </c>
      <c r="BK2241" t="s">
        <v>2623</v>
      </c>
      <c r="BL2241" t="s">
        <v>3248</v>
      </c>
      <c r="BM2241" t="s">
        <v>38092</v>
      </c>
      <c r="BN2241" t="s">
        <v>74</v>
      </c>
      <c r="BO2241" t="s">
        <v>212</v>
      </c>
      <c r="BP2241" t="s">
        <v>74</v>
      </c>
      <c r="BQ2241" t="s">
        <v>74</v>
      </c>
      <c r="BR2241" t="s">
        <v>102</v>
      </c>
      <c r="BS2241" t="s">
        <v>38093</v>
      </c>
      <c r="BT2241" t="str">
        <f>HYPERLINK("https%3A%2F%2Fwww.webofscience.com%2Fwos%2Fwoscc%2Ffull-record%2FWOS:001624417200001","View Full Record in Web of Science")</f>
        <v>View Full Record in Web of Science</v>
      </c>
    </row>
    <row r="2242" spans="1:72" x14ac:dyDescent="0.25">
      <c r="A2242" t="s">
        <v>72</v>
      </c>
      <c r="B2242" t="s">
        <v>38094</v>
      </c>
      <c r="C2242" t="s">
        <v>74</v>
      </c>
      <c r="D2242" t="s">
        <v>74</v>
      </c>
      <c r="E2242" t="s">
        <v>74</v>
      </c>
      <c r="F2242" t="s">
        <v>38095</v>
      </c>
      <c r="G2242" t="s">
        <v>74</v>
      </c>
      <c r="H2242" t="s">
        <v>74</v>
      </c>
      <c r="I2242" t="s">
        <v>38096</v>
      </c>
      <c r="J2242" t="s">
        <v>2943</v>
      </c>
      <c r="K2242" t="s">
        <v>74</v>
      </c>
      <c r="L2242" t="s">
        <v>74</v>
      </c>
      <c r="M2242" t="s">
        <v>78</v>
      </c>
      <c r="N2242" t="s">
        <v>79</v>
      </c>
      <c r="O2242" t="s">
        <v>74</v>
      </c>
      <c r="P2242" t="s">
        <v>74</v>
      </c>
      <c r="Q2242" t="s">
        <v>74</v>
      </c>
      <c r="R2242" t="s">
        <v>74</v>
      </c>
      <c r="S2242" t="s">
        <v>74</v>
      </c>
      <c r="T2242" t="s">
        <v>38097</v>
      </c>
      <c r="U2242" t="s">
        <v>38098</v>
      </c>
      <c r="V2242" t="s">
        <v>38099</v>
      </c>
      <c r="W2242" t="s">
        <v>38100</v>
      </c>
      <c r="X2242" t="s">
        <v>38101</v>
      </c>
      <c r="Y2242" t="s">
        <v>38102</v>
      </c>
      <c r="Z2242" t="s">
        <v>38103</v>
      </c>
      <c r="AA2242" t="s">
        <v>38104</v>
      </c>
      <c r="AB2242" t="s">
        <v>74</v>
      </c>
      <c r="AC2242" t="s">
        <v>74</v>
      </c>
      <c r="AD2242" t="s">
        <v>74</v>
      </c>
      <c r="AE2242" t="s">
        <v>74</v>
      </c>
      <c r="AF2242" t="s">
        <v>74</v>
      </c>
      <c r="AG2242">
        <v>80</v>
      </c>
      <c r="AH2242">
        <v>1</v>
      </c>
      <c r="AI2242">
        <v>1</v>
      </c>
      <c r="AJ2242">
        <v>6</v>
      </c>
      <c r="AK2242">
        <v>7</v>
      </c>
      <c r="AL2242" t="s">
        <v>385</v>
      </c>
      <c r="AM2242" t="s">
        <v>151</v>
      </c>
      <c r="AN2242" t="s">
        <v>386</v>
      </c>
      <c r="AO2242" t="s">
        <v>2952</v>
      </c>
      <c r="AP2242" t="s">
        <v>2953</v>
      </c>
      <c r="AQ2242" t="s">
        <v>74</v>
      </c>
      <c r="AR2242" t="s">
        <v>2954</v>
      </c>
      <c r="AS2242" t="s">
        <v>2955</v>
      </c>
      <c r="AT2242" t="s">
        <v>3387</v>
      </c>
      <c r="AU2242">
        <v>2025</v>
      </c>
      <c r="AV2242">
        <v>11</v>
      </c>
      <c r="AW2242">
        <v>1</v>
      </c>
      <c r="AX2242" t="s">
        <v>74</v>
      </c>
      <c r="AY2242" t="s">
        <v>74</v>
      </c>
      <c r="AZ2242" t="s">
        <v>74</v>
      </c>
      <c r="BA2242" t="s">
        <v>74</v>
      </c>
      <c r="BB2242" t="s">
        <v>74</v>
      </c>
      <c r="BC2242" t="s">
        <v>74</v>
      </c>
      <c r="BD2242">
        <v>150</v>
      </c>
      <c r="BE2242" t="s">
        <v>38105</v>
      </c>
      <c r="BF2242" t="str">
        <f>HYPERLINK("http://dx.doi.org/10.1186/s43093-025-00570-2","http://dx.doi.org/10.1186/s43093-025-00570-2")</f>
        <v>http://dx.doi.org/10.1186/s43093-025-00570-2</v>
      </c>
      <c r="BG2242" t="s">
        <v>74</v>
      </c>
      <c r="BH2242" t="s">
        <v>74</v>
      </c>
      <c r="BI2242">
        <v>14</v>
      </c>
      <c r="BJ2242" t="s">
        <v>418</v>
      </c>
      <c r="BK2242" t="s">
        <v>313</v>
      </c>
      <c r="BL2242" t="s">
        <v>100</v>
      </c>
      <c r="BM2242" t="s">
        <v>38106</v>
      </c>
      <c r="BN2242" t="s">
        <v>74</v>
      </c>
      <c r="BO2242" t="s">
        <v>212</v>
      </c>
      <c r="BP2242" t="s">
        <v>74</v>
      </c>
      <c r="BQ2242" t="s">
        <v>74</v>
      </c>
      <c r="BR2242" t="s">
        <v>102</v>
      </c>
      <c r="BS2242" t="s">
        <v>38107</v>
      </c>
      <c r="BT2242" t="str">
        <f>HYPERLINK("https%3A%2F%2Fwww.webofscience.com%2Fwos%2Fwoscc%2Ffull-record%2FWOS:001520827800001","View Full Record in Web of Science")</f>
        <v>View Full Record in Web of Science</v>
      </c>
    </row>
    <row r="2243" spans="1:72" x14ac:dyDescent="0.25">
      <c r="A2243" t="s">
        <v>72</v>
      </c>
      <c r="B2243" t="s">
        <v>38108</v>
      </c>
      <c r="C2243" t="s">
        <v>74</v>
      </c>
      <c r="D2243" t="s">
        <v>74</v>
      </c>
      <c r="E2243" t="s">
        <v>74</v>
      </c>
      <c r="F2243" t="s">
        <v>38109</v>
      </c>
      <c r="G2243" t="s">
        <v>74</v>
      </c>
      <c r="H2243" t="s">
        <v>74</v>
      </c>
      <c r="I2243" t="s">
        <v>38110</v>
      </c>
      <c r="J2243" t="s">
        <v>36997</v>
      </c>
      <c r="K2243" t="s">
        <v>74</v>
      </c>
      <c r="L2243" t="s">
        <v>74</v>
      </c>
      <c r="M2243" t="s">
        <v>78</v>
      </c>
      <c r="N2243" t="s">
        <v>79</v>
      </c>
      <c r="O2243" t="s">
        <v>74</v>
      </c>
      <c r="P2243" t="s">
        <v>74</v>
      </c>
      <c r="Q2243" t="s">
        <v>74</v>
      </c>
      <c r="R2243" t="s">
        <v>74</v>
      </c>
      <c r="S2243" t="s">
        <v>74</v>
      </c>
      <c r="T2243" t="s">
        <v>38111</v>
      </c>
      <c r="U2243" t="s">
        <v>38112</v>
      </c>
      <c r="V2243" t="s">
        <v>38113</v>
      </c>
      <c r="W2243" t="s">
        <v>38114</v>
      </c>
      <c r="X2243" t="s">
        <v>74</v>
      </c>
      <c r="Y2243" t="s">
        <v>38115</v>
      </c>
      <c r="Z2243" t="s">
        <v>38116</v>
      </c>
      <c r="AA2243" t="s">
        <v>38117</v>
      </c>
      <c r="AB2243" t="s">
        <v>38118</v>
      </c>
      <c r="AC2243" t="s">
        <v>74</v>
      </c>
      <c r="AD2243" t="s">
        <v>74</v>
      </c>
      <c r="AE2243" t="s">
        <v>74</v>
      </c>
      <c r="AF2243" t="s">
        <v>74</v>
      </c>
      <c r="AG2243">
        <v>51</v>
      </c>
      <c r="AH2243">
        <v>22</v>
      </c>
      <c r="AI2243">
        <v>26</v>
      </c>
      <c r="AJ2243">
        <v>1</v>
      </c>
      <c r="AK2243">
        <v>17</v>
      </c>
      <c r="AL2243" t="s">
        <v>994</v>
      </c>
      <c r="AM2243" t="s">
        <v>995</v>
      </c>
      <c r="AN2243" t="s">
        <v>2061</v>
      </c>
      <c r="AO2243" t="s">
        <v>37006</v>
      </c>
      <c r="AP2243" t="s">
        <v>37007</v>
      </c>
      <c r="AQ2243" t="s">
        <v>74</v>
      </c>
      <c r="AR2243" t="s">
        <v>37008</v>
      </c>
      <c r="AS2243" t="s">
        <v>37009</v>
      </c>
      <c r="AT2243" t="s">
        <v>1652</v>
      </c>
      <c r="AU2243">
        <v>2022</v>
      </c>
      <c r="AV2243">
        <v>38</v>
      </c>
      <c r="AW2243">
        <v>2</v>
      </c>
      <c r="AX2243" t="s">
        <v>74</v>
      </c>
      <c r="AY2243" t="s">
        <v>74</v>
      </c>
      <c r="AZ2243" t="s">
        <v>74</v>
      </c>
      <c r="BA2243" t="s">
        <v>74</v>
      </c>
      <c r="BB2243">
        <v>204</v>
      </c>
      <c r="BC2243">
        <v>217</v>
      </c>
      <c r="BD2243">
        <v>266666921999089</v>
      </c>
      <c r="BE2243" t="s">
        <v>38119</v>
      </c>
      <c r="BF2243" t="str">
        <f>HYPERLINK("http://dx.doi.org/10.1177/0266666921999089","http://dx.doi.org/10.1177/0266666921999089")</f>
        <v>http://dx.doi.org/10.1177/0266666921999089</v>
      </c>
      <c r="BG2243" t="s">
        <v>74</v>
      </c>
      <c r="BH2243" t="s">
        <v>10160</v>
      </c>
      <c r="BI2243">
        <v>14</v>
      </c>
      <c r="BJ2243" t="s">
        <v>2351</v>
      </c>
      <c r="BK2243" t="s">
        <v>99</v>
      </c>
      <c r="BL2243" t="s">
        <v>2351</v>
      </c>
      <c r="BM2243" t="s">
        <v>38120</v>
      </c>
      <c r="BN2243" t="s">
        <v>74</v>
      </c>
      <c r="BO2243" t="s">
        <v>74</v>
      </c>
      <c r="BP2243" t="s">
        <v>74</v>
      </c>
      <c r="BQ2243" t="s">
        <v>74</v>
      </c>
      <c r="BR2243" t="s">
        <v>102</v>
      </c>
      <c r="BS2243" t="s">
        <v>38121</v>
      </c>
      <c r="BT2243" t="str">
        <f>HYPERLINK("https%3A%2F%2Fwww.webofscience.com%2Fwos%2Fwoscc%2Ffull-record%2FWOS:000630810900001","View Full Record in Web of Science")</f>
        <v>View Full Record in Web of Science</v>
      </c>
    </row>
    <row r="2244" spans="1:72" x14ac:dyDescent="0.25">
      <c r="A2244" t="s">
        <v>72</v>
      </c>
      <c r="B2244" t="s">
        <v>38122</v>
      </c>
      <c r="C2244" t="s">
        <v>74</v>
      </c>
      <c r="D2244" t="s">
        <v>74</v>
      </c>
      <c r="E2244" t="s">
        <v>74</v>
      </c>
      <c r="F2244" t="s">
        <v>38123</v>
      </c>
      <c r="G2244" t="s">
        <v>74</v>
      </c>
      <c r="H2244" t="s">
        <v>74</v>
      </c>
      <c r="I2244" t="s">
        <v>38124</v>
      </c>
      <c r="J2244" t="s">
        <v>38125</v>
      </c>
      <c r="K2244" t="s">
        <v>74</v>
      </c>
      <c r="L2244" t="s">
        <v>74</v>
      </c>
      <c r="M2244" t="s">
        <v>78</v>
      </c>
      <c r="N2244" t="s">
        <v>79</v>
      </c>
      <c r="O2244" t="s">
        <v>74</v>
      </c>
      <c r="P2244" t="s">
        <v>74</v>
      </c>
      <c r="Q2244" t="s">
        <v>74</v>
      </c>
      <c r="R2244" t="s">
        <v>74</v>
      </c>
      <c r="S2244" t="s">
        <v>74</v>
      </c>
      <c r="T2244" t="s">
        <v>38126</v>
      </c>
      <c r="U2244" t="s">
        <v>38127</v>
      </c>
      <c r="V2244" t="s">
        <v>38128</v>
      </c>
      <c r="W2244" t="s">
        <v>38129</v>
      </c>
      <c r="X2244" t="s">
        <v>38130</v>
      </c>
      <c r="Y2244" t="s">
        <v>38131</v>
      </c>
      <c r="Z2244" t="s">
        <v>38132</v>
      </c>
      <c r="AA2244" t="s">
        <v>74</v>
      </c>
      <c r="AB2244" t="s">
        <v>74</v>
      </c>
      <c r="AC2244" t="s">
        <v>74</v>
      </c>
      <c r="AD2244" t="s">
        <v>74</v>
      </c>
      <c r="AE2244" t="s">
        <v>74</v>
      </c>
      <c r="AF2244" t="s">
        <v>74</v>
      </c>
      <c r="AG2244">
        <v>32</v>
      </c>
      <c r="AH2244">
        <v>0</v>
      </c>
      <c r="AI2244">
        <v>0</v>
      </c>
      <c r="AJ2244">
        <v>0</v>
      </c>
      <c r="AK2244">
        <v>4</v>
      </c>
      <c r="AL2244" t="s">
        <v>38133</v>
      </c>
      <c r="AM2244" t="s">
        <v>38134</v>
      </c>
      <c r="AN2244" t="s">
        <v>38135</v>
      </c>
      <c r="AO2244" t="s">
        <v>38136</v>
      </c>
      <c r="AP2244" t="s">
        <v>38137</v>
      </c>
      <c r="AQ2244" t="s">
        <v>74</v>
      </c>
      <c r="AR2244" t="s">
        <v>38138</v>
      </c>
      <c r="AS2244" t="s">
        <v>38139</v>
      </c>
      <c r="AT2244" t="s">
        <v>124</v>
      </c>
      <c r="AU2244">
        <v>2019</v>
      </c>
      <c r="AV2244">
        <v>32</v>
      </c>
      <c r="AW2244">
        <v>4</v>
      </c>
      <c r="AX2244" t="s">
        <v>74</v>
      </c>
      <c r="AY2244" t="s">
        <v>74</v>
      </c>
      <c r="AZ2244" t="s">
        <v>74</v>
      </c>
      <c r="BA2244" t="s">
        <v>74</v>
      </c>
      <c r="BB2244">
        <v>346</v>
      </c>
      <c r="BC2244">
        <v>353</v>
      </c>
      <c r="BD2244" t="s">
        <v>74</v>
      </c>
      <c r="BE2244" t="s">
        <v>38140</v>
      </c>
      <c r="BF2244" t="str">
        <f>HYPERLINK("http://dx.doi.org/10.20473/mkp.V32I42019.346-353","http://dx.doi.org/10.20473/mkp.V32I42019.346-353")</f>
        <v>http://dx.doi.org/10.20473/mkp.V32I42019.346-353</v>
      </c>
      <c r="BG2244" t="s">
        <v>74</v>
      </c>
      <c r="BH2244" t="s">
        <v>74</v>
      </c>
      <c r="BI2244">
        <v>8</v>
      </c>
      <c r="BJ2244" t="s">
        <v>364</v>
      </c>
      <c r="BK2244" t="s">
        <v>313</v>
      </c>
      <c r="BL2244" t="s">
        <v>365</v>
      </c>
      <c r="BM2244" t="s">
        <v>38141</v>
      </c>
      <c r="BN2244" t="s">
        <v>74</v>
      </c>
      <c r="BO2244" t="s">
        <v>916</v>
      </c>
      <c r="BP2244" t="s">
        <v>74</v>
      </c>
      <c r="BQ2244" t="s">
        <v>74</v>
      </c>
      <c r="BR2244" t="s">
        <v>102</v>
      </c>
      <c r="BS2244" t="s">
        <v>38142</v>
      </c>
      <c r="BT2244" t="str">
        <f>HYPERLINK("https%3A%2F%2Fwww.webofscience.com%2Fwos%2Fwoscc%2Ffull-record%2FWOS:000512303300002","View Full Record in Web of Science")</f>
        <v>View Full Record in Web of Science</v>
      </c>
    </row>
    <row r="2245" spans="1:72" x14ac:dyDescent="0.25">
      <c r="A2245" t="s">
        <v>72</v>
      </c>
      <c r="B2245" t="s">
        <v>38143</v>
      </c>
      <c r="C2245" t="s">
        <v>74</v>
      </c>
      <c r="D2245" t="s">
        <v>74</v>
      </c>
      <c r="E2245" t="s">
        <v>74</v>
      </c>
      <c r="F2245" t="s">
        <v>38144</v>
      </c>
      <c r="G2245" t="s">
        <v>74</v>
      </c>
      <c r="H2245" t="s">
        <v>74</v>
      </c>
      <c r="I2245" t="s">
        <v>38145</v>
      </c>
      <c r="J2245" t="s">
        <v>10376</v>
      </c>
      <c r="K2245" t="s">
        <v>74</v>
      </c>
      <c r="L2245" t="s">
        <v>74</v>
      </c>
      <c r="M2245" t="s">
        <v>78</v>
      </c>
      <c r="N2245" t="s">
        <v>372</v>
      </c>
      <c r="O2245" t="s">
        <v>74</v>
      </c>
      <c r="P2245" t="s">
        <v>74</v>
      </c>
      <c r="Q2245" t="s">
        <v>74</v>
      </c>
      <c r="R2245" t="s">
        <v>74</v>
      </c>
      <c r="S2245" t="s">
        <v>74</v>
      </c>
      <c r="T2245" t="s">
        <v>38146</v>
      </c>
      <c r="U2245" t="s">
        <v>74</v>
      </c>
      <c r="V2245" t="s">
        <v>38147</v>
      </c>
      <c r="W2245" t="s">
        <v>38148</v>
      </c>
      <c r="X2245" t="s">
        <v>74</v>
      </c>
      <c r="Y2245" t="s">
        <v>38149</v>
      </c>
      <c r="Z2245" t="s">
        <v>38150</v>
      </c>
      <c r="AA2245" t="s">
        <v>74</v>
      </c>
      <c r="AB2245" t="s">
        <v>74</v>
      </c>
      <c r="AC2245" t="s">
        <v>74</v>
      </c>
      <c r="AD2245" t="s">
        <v>74</v>
      </c>
      <c r="AE2245" t="s">
        <v>74</v>
      </c>
      <c r="AF2245" t="s">
        <v>74</v>
      </c>
      <c r="AG2245">
        <v>53</v>
      </c>
      <c r="AH2245">
        <v>4</v>
      </c>
      <c r="AI2245">
        <v>6</v>
      </c>
      <c r="AJ2245">
        <v>10</v>
      </c>
      <c r="AK2245">
        <v>12</v>
      </c>
      <c r="AL2245" t="s">
        <v>89</v>
      </c>
      <c r="AM2245" t="s">
        <v>90</v>
      </c>
      <c r="AN2245" t="s">
        <v>91</v>
      </c>
      <c r="AO2245" t="s">
        <v>10385</v>
      </c>
      <c r="AP2245" t="s">
        <v>10386</v>
      </c>
      <c r="AQ2245" t="s">
        <v>74</v>
      </c>
      <c r="AR2245" t="s">
        <v>10387</v>
      </c>
      <c r="AS2245" t="s">
        <v>10388</v>
      </c>
      <c r="AT2245" t="s">
        <v>38151</v>
      </c>
      <c r="AU2245">
        <v>2025</v>
      </c>
      <c r="AV2245" t="s">
        <v>74</v>
      </c>
      <c r="AW2245" t="s">
        <v>74</v>
      </c>
      <c r="AX2245" t="s">
        <v>74</v>
      </c>
      <c r="AY2245" t="s">
        <v>74</v>
      </c>
      <c r="AZ2245" t="s">
        <v>74</v>
      </c>
      <c r="BA2245" t="s">
        <v>74</v>
      </c>
      <c r="BB2245" t="s">
        <v>74</v>
      </c>
      <c r="BC2245" t="s">
        <v>74</v>
      </c>
      <c r="BD2245" t="s">
        <v>74</v>
      </c>
      <c r="BE2245" t="s">
        <v>38152</v>
      </c>
      <c r="BF2245" t="str">
        <f>HYPERLINK("http://dx.doi.org/10.1108/IJLMA-02-2025-0066","http://dx.doi.org/10.1108/IJLMA-02-2025-0066")</f>
        <v>http://dx.doi.org/10.1108/IJLMA-02-2025-0066</v>
      </c>
      <c r="BG2245" t="s">
        <v>74</v>
      </c>
      <c r="BH2245" t="s">
        <v>1485</v>
      </c>
      <c r="BI2245">
        <v>20</v>
      </c>
      <c r="BJ2245" t="s">
        <v>182</v>
      </c>
      <c r="BK2245" t="s">
        <v>313</v>
      </c>
      <c r="BL2245" t="s">
        <v>184</v>
      </c>
      <c r="BM2245" t="s">
        <v>38153</v>
      </c>
      <c r="BN2245" t="s">
        <v>74</v>
      </c>
      <c r="BO2245" t="s">
        <v>74</v>
      </c>
      <c r="BP2245" t="s">
        <v>74</v>
      </c>
      <c r="BQ2245" t="s">
        <v>74</v>
      </c>
      <c r="BR2245" t="s">
        <v>102</v>
      </c>
      <c r="BS2245" t="s">
        <v>38154</v>
      </c>
      <c r="BT2245" t="str">
        <f>HYPERLINK("https%3A%2F%2Fwww.webofscience.com%2Fwos%2Fwoscc%2Ffull-record%2FWOS:001473377900001","View Full Record in Web of Science")</f>
        <v>View Full Record in Web of Science</v>
      </c>
    </row>
    <row r="2246" spans="1:72" x14ac:dyDescent="0.25">
      <c r="A2246" t="s">
        <v>72</v>
      </c>
      <c r="B2246" t="s">
        <v>38155</v>
      </c>
      <c r="C2246" t="s">
        <v>74</v>
      </c>
      <c r="D2246" t="s">
        <v>74</v>
      </c>
      <c r="E2246" t="s">
        <v>74</v>
      </c>
      <c r="F2246" t="s">
        <v>38156</v>
      </c>
      <c r="G2246" t="s">
        <v>74</v>
      </c>
      <c r="H2246" t="s">
        <v>74</v>
      </c>
      <c r="I2246" t="s">
        <v>38157</v>
      </c>
      <c r="J2246" t="s">
        <v>29741</v>
      </c>
      <c r="K2246" t="s">
        <v>74</v>
      </c>
      <c r="L2246" t="s">
        <v>74</v>
      </c>
      <c r="M2246" t="s">
        <v>78</v>
      </c>
      <c r="N2246" t="s">
        <v>79</v>
      </c>
      <c r="O2246" t="s">
        <v>74</v>
      </c>
      <c r="P2246" t="s">
        <v>74</v>
      </c>
      <c r="Q2246" t="s">
        <v>74</v>
      </c>
      <c r="R2246" t="s">
        <v>74</v>
      </c>
      <c r="S2246" t="s">
        <v>74</v>
      </c>
      <c r="T2246" t="s">
        <v>38158</v>
      </c>
      <c r="U2246" t="s">
        <v>38159</v>
      </c>
      <c r="V2246" t="s">
        <v>38160</v>
      </c>
      <c r="W2246" t="s">
        <v>38161</v>
      </c>
      <c r="X2246" t="s">
        <v>38162</v>
      </c>
      <c r="Y2246" t="s">
        <v>38163</v>
      </c>
      <c r="Z2246" t="s">
        <v>38164</v>
      </c>
      <c r="AA2246" t="s">
        <v>38165</v>
      </c>
      <c r="AB2246" t="s">
        <v>38166</v>
      </c>
      <c r="AC2246" t="s">
        <v>38167</v>
      </c>
      <c r="AD2246" t="s">
        <v>38168</v>
      </c>
      <c r="AE2246" t="s">
        <v>38169</v>
      </c>
      <c r="AF2246" t="s">
        <v>74</v>
      </c>
      <c r="AG2246">
        <v>65</v>
      </c>
      <c r="AH2246">
        <v>1</v>
      </c>
      <c r="AI2246">
        <v>1</v>
      </c>
      <c r="AJ2246">
        <v>0</v>
      </c>
      <c r="AK2246">
        <v>8</v>
      </c>
      <c r="AL2246" t="s">
        <v>29731</v>
      </c>
      <c r="AM2246" t="s">
        <v>305</v>
      </c>
      <c r="AN2246" t="s">
        <v>29730</v>
      </c>
      <c r="AO2246" t="s">
        <v>29729</v>
      </c>
      <c r="AP2246" t="s">
        <v>29728</v>
      </c>
      <c r="AQ2246" t="s">
        <v>74</v>
      </c>
      <c r="AR2246" t="s">
        <v>29727</v>
      </c>
      <c r="AS2246" t="s">
        <v>29726</v>
      </c>
      <c r="AT2246" t="s">
        <v>74</v>
      </c>
      <c r="AU2246">
        <v>2022</v>
      </c>
      <c r="AV2246">
        <v>18</v>
      </c>
      <c r="AW2246">
        <v>3</v>
      </c>
      <c r="AX2246" t="s">
        <v>74</v>
      </c>
      <c r="AY2246" t="s">
        <v>74</v>
      </c>
      <c r="AZ2246" t="s">
        <v>74</v>
      </c>
      <c r="BA2246" t="s">
        <v>74</v>
      </c>
      <c r="BB2246">
        <v>315</v>
      </c>
      <c r="BC2246">
        <v>330</v>
      </c>
      <c r="BD2246" t="s">
        <v>74</v>
      </c>
      <c r="BE2246" t="s">
        <v>38170</v>
      </c>
      <c r="BF2246" t="str">
        <f>HYPERLINK("http://dx.doi.org/10.3926/ic.2056","http://dx.doi.org/10.3926/ic.2056")</f>
        <v>http://dx.doi.org/10.3926/ic.2056</v>
      </c>
      <c r="BG2246" t="s">
        <v>74</v>
      </c>
      <c r="BH2246" t="s">
        <v>74</v>
      </c>
      <c r="BI2246">
        <v>16</v>
      </c>
      <c r="BJ2246" t="s">
        <v>583</v>
      </c>
      <c r="BK2246" t="s">
        <v>313</v>
      </c>
      <c r="BL2246" t="s">
        <v>100</v>
      </c>
      <c r="BM2246" t="s">
        <v>38171</v>
      </c>
      <c r="BN2246" t="s">
        <v>74</v>
      </c>
      <c r="BO2246" t="s">
        <v>916</v>
      </c>
      <c r="BP2246" t="s">
        <v>74</v>
      </c>
      <c r="BQ2246" t="s">
        <v>74</v>
      </c>
      <c r="BR2246" t="s">
        <v>102</v>
      </c>
      <c r="BS2246" t="s">
        <v>38172</v>
      </c>
      <c r="BT2246" t="str">
        <f>HYPERLINK("https%3A%2F%2Fwww.webofscience.com%2Fwos%2Fwoscc%2Ffull-record%2FWOS:000874025300001","View Full Record in Web of Science")</f>
        <v>View Full Record in Web of Science</v>
      </c>
    </row>
    <row r="2247" spans="1:72" x14ac:dyDescent="0.25">
      <c r="A2247" t="s">
        <v>72</v>
      </c>
      <c r="B2247" t="s">
        <v>38173</v>
      </c>
      <c r="C2247" t="s">
        <v>74</v>
      </c>
      <c r="D2247" t="s">
        <v>74</v>
      </c>
      <c r="E2247" t="s">
        <v>74</v>
      </c>
      <c r="F2247" t="s">
        <v>38174</v>
      </c>
      <c r="G2247" t="s">
        <v>74</v>
      </c>
      <c r="H2247" t="s">
        <v>74</v>
      </c>
      <c r="I2247" t="s">
        <v>38175</v>
      </c>
      <c r="J2247" t="s">
        <v>729</v>
      </c>
      <c r="K2247" t="s">
        <v>74</v>
      </c>
      <c r="L2247" t="s">
        <v>74</v>
      </c>
      <c r="M2247" t="s">
        <v>78</v>
      </c>
      <c r="N2247" t="s">
        <v>79</v>
      </c>
      <c r="O2247" t="s">
        <v>74</v>
      </c>
      <c r="P2247" t="s">
        <v>74</v>
      </c>
      <c r="Q2247" t="s">
        <v>74</v>
      </c>
      <c r="R2247" t="s">
        <v>74</v>
      </c>
      <c r="S2247" t="s">
        <v>74</v>
      </c>
      <c r="T2247" t="s">
        <v>38176</v>
      </c>
      <c r="U2247" t="s">
        <v>38177</v>
      </c>
      <c r="V2247" t="s">
        <v>38178</v>
      </c>
      <c r="W2247" t="s">
        <v>38179</v>
      </c>
      <c r="X2247" t="s">
        <v>38180</v>
      </c>
      <c r="Y2247" t="s">
        <v>38181</v>
      </c>
      <c r="Z2247" t="s">
        <v>38182</v>
      </c>
      <c r="AA2247" t="s">
        <v>27589</v>
      </c>
      <c r="AB2247" t="s">
        <v>38183</v>
      </c>
      <c r="AC2247" t="s">
        <v>74</v>
      </c>
      <c r="AD2247" t="s">
        <v>74</v>
      </c>
      <c r="AE2247" t="s">
        <v>74</v>
      </c>
      <c r="AF2247" t="s">
        <v>74</v>
      </c>
      <c r="AG2247">
        <v>100</v>
      </c>
      <c r="AH2247">
        <v>26</v>
      </c>
      <c r="AI2247">
        <v>33</v>
      </c>
      <c r="AJ2247">
        <v>3</v>
      </c>
      <c r="AK2247">
        <v>63</v>
      </c>
      <c r="AL2247" t="s">
        <v>479</v>
      </c>
      <c r="AM2247" t="s">
        <v>480</v>
      </c>
      <c r="AN2247" t="s">
        <v>481</v>
      </c>
      <c r="AO2247" t="s">
        <v>739</v>
      </c>
      <c r="AP2247" t="s">
        <v>740</v>
      </c>
      <c r="AQ2247" t="s">
        <v>74</v>
      </c>
      <c r="AR2247" t="s">
        <v>741</v>
      </c>
      <c r="AS2247" t="s">
        <v>742</v>
      </c>
      <c r="AT2247" t="s">
        <v>743</v>
      </c>
      <c r="AU2247">
        <v>2023</v>
      </c>
      <c r="AV2247">
        <v>28</v>
      </c>
      <c r="AW2247">
        <v>2</v>
      </c>
      <c r="AX2247" t="s">
        <v>74</v>
      </c>
      <c r="AY2247" t="s">
        <v>74</v>
      </c>
      <c r="AZ2247" t="s">
        <v>74</v>
      </c>
      <c r="BA2247" t="s">
        <v>74</v>
      </c>
      <c r="BB2247">
        <v>1261</v>
      </c>
      <c r="BC2247">
        <v>1278</v>
      </c>
      <c r="BD2247" t="s">
        <v>74</v>
      </c>
      <c r="BE2247" t="s">
        <v>38184</v>
      </c>
      <c r="BF2247" t="str">
        <f>HYPERLINK("http://dx.doi.org/10.1002/ijfe.2475","http://dx.doi.org/10.1002/ijfe.2475")</f>
        <v>http://dx.doi.org/10.1002/ijfe.2475</v>
      </c>
      <c r="BG2247" t="s">
        <v>74</v>
      </c>
      <c r="BH2247" t="s">
        <v>11556</v>
      </c>
      <c r="BI2247">
        <v>18</v>
      </c>
      <c r="BJ2247" t="s">
        <v>268</v>
      </c>
      <c r="BK2247" t="s">
        <v>99</v>
      </c>
      <c r="BL2247" t="s">
        <v>100</v>
      </c>
      <c r="BM2247" t="s">
        <v>38185</v>
      </c>
      <c r="BN2247" t="s">
        <v>74</v>
      </c>
      <c r="BO2247" t="s">
        <v>1696</v>
      </c>
      <c r="BP2247" t="s">
        <v>74</v>
      </c>
      <c r="BQ2247" t="s">
        <v>74</v>
      </c>
      <c r="BR2247" t="s">
        <v>102</v>
      </c>
      <c r="BS2247" t="s">
        <v>38186</v>
      </c>
      <c r="BT2247" t="str">
        <f>HYPERLINK("https%3A%2F%2Fwww.webofscience.com%2Fwos%2Fwoscc%2Ffull-record%2FWOS:000611810600001","View Full Record in Web of Science")</f>
        <v>View Full Record in Web of Science</v>
      </c>
    </row>
    <row r="2248" spans="1:72" x14ac:dyDescent="0.25">
      <c r="A2248" t="s">
        <v>72</v>
      </c>
      <c r="B2248" t="s">
        <v>38187</v>
      </c>
      <c r="C2248" t="s">
        <v>74</v>
      </c>
      <c r="D2248" t="s">
        <v>74</v>
      </c>
      <c r="E2248" t="s">
        <v>74</v>
      </c>
      <c r="F2248" t="s">
        <v>38188</v>
      </c>
      <c r="G2248" t="s">
        <v>74</v>
      </c>
      <c r="H2248" t="s">
        <v>74</v>
      </c>
      <c r="I2248" t="s">
        <v>38189</v>
      </c>
      <c r="J2248" t="s">
        <v>11655</v>
      </c>
      <c r="K2248" t="s">
        <v>74</v>
      </c>
      <c r="L2248" t="s">
        <v>74</v>
      </c>
      <c r="M2248" t="s">
        <v>78</v>
      </c>
      <c r="N2248" t="s">
        <v>79</v>
      </c>
      <c r="O2248" t="s">
        <v>74</v>
      </c>
      <c r="P2248" t="s">
        <v>74</v>
      </c>
      <c r="Q2248" t="s">
        <v>74</v>
      </c>
      <c r="R2248" t="s">
        <v>74</v>
      </c>
      <c r="S2248" t="s">
        <v>74</v>
      </c>
      <c r="T2248" t="s">
        <v>38190</v>
      </c>
      <c r="U2248" t="s">
        <v>38191</v>
      </c>
      <c r="V2248" t="s">
        <v>38192</v>
      </c>
      <c r="W2248" t="s">
        <v>38193</v>
      </c>
      <c r="X2248" t="s">
        <v>74</v>
      </c>
      <c r="Y2248" t="s">
        <v>20161</v>
      </c>
      <c r="Z2248" t="s">
        <v>38194</v>
      </c>
      <c r="AA2248" t="s">
        <v>38195</v>
      </c>
      <c r="AB2248" t="s">
        <v>74</v>
      </c>
      <c r="AC2248" t="s">
        <v>38196</v>
      </c>
      <c r="AD2248" t="s">
        <v>38197</v>
      </c>
      <c r="AE2248" t="s">
        <v>38198</v>
      </c>
      <c r="AF2248" t="s">
        <v>74</v>
      </c>
      <c r="AG2248">
        <v>89</v>
      </c>
      <c r="AH2248">
        <v>37</v>
      </c>
      <c r="AI2248">
        <v>47</v>
      </c>
      <c r="AJ2248">
        <v>2</v>
      </c>
      <c r="AK2248">
        <v>93</v>
      </c>
      <c r="AL2248" t="s">
        <v>503</v>
      </c>
      <c r="AM2248" t="s">
        <v>151</v>
      </c>
      <c r="AN2248" t="s">
        <v>504</v>
      </c>
      <c r="AO2248" t="s">
        <v>11665</v>
      </c>
      <c r="AP2248" t="s">
        <v>11666</v>
      </c>
      <c r="AQ2248" t="s">
        <v>74</v>
      </c>
      <c r="AR2248" t="s">
        <v>11667</v>
      </c>
      <c r="AS2248" t="s">
        <v>11668</v>
      </c>
      <c r="AT2248" t="s">
        <v>743</v>
      </c>
      <c r="AU2248">
        <v>2021</v>
      </c>
      <c r="AV2248">
        <v>127</v>
      </c>
      <c r="AW2248" t="s">
        <v>74</v>
      </c>
      <c r="AX2248" t="s">
        <v>74</v>
      </c>
      <c r="AY2248" t="s">
        <v>74</v>
      </c>
      <c r="AZ2248" t="s">
        <v>74</v>
      </c>
      <c r="BA2248" t="s">
        <v>74</v>
      </c>
      <c r="BB2248">
        <v>96</v>
      </c>
      <c r="BC2248">
        <v>107</v>
      </c>
      <c r="BD2248" t="s">
        <v>74</v>
      </c>
      <c r="BE2248" t="s">
        <v>38199</v>
      </c>
      <c r="BF2248" t="str">
        <f>HYPERLINK("http://dx.doi.org/10.1016/j.jbusres.2021.01.029","http://dx.doi.org/10.1016/j.jbusres.2021.01.029")</f>
        <v>http://dx.doi.org/10.1016/j.jbusres.2021.01.029</v>
      </c>
      <c r="BG2248" t="s">
        <v>74</v>
      </c>
      <c r="BH2248" t="s">
        <v>11556</v>
      </c>
      <c r="BI2248">
        <v>12</v>
      </c>
      <c r="BJ2248" t="s">
        <v>418</v>
      </c>
      <c r="BK2248" t="s">
        <v>99</v>
      </c>
      <c r="BL2248" t="s">
        <v>100</v>
      </c>
      <c r="BM2248" t="s">
        <v>38200</v>
      </c>
      <c r="BN2248">
        <v>33814650</v>
      </c>
      <c r="BO2248" t="s">
        <v>466</v>
      </c>
      <c r="BP2248" t="s">
        <v>74</v>
      </c>
      <c r="BQ2248" t="s">
        <v>74</v>
      </c>
      <c r="BR2248" t="s">
        <v>102</v>
      </c>
      <c r="BS2248" t="s">
        <v>38201</v>
      </c>
      <c r="BT2248" t="str">
        <f>HYPERLINK("https%3A%2F%2Fwww.webofscience.com%2Fwos%2Fwoscc%2Ffull-record%2FWOS:000625882100009","View Full Record in Web of Science")</f>
        <v>View Full Record in Web of Science</v>
      </c>
    </row>
    <row r="2249" spans="1:72" x14ac:dyDescent="0.25">
      <c r="A2249" t="s">
        <v>72</v>
      </c>
      <c r="B2249" t="s">
        <v>38202</v>
      </c>
      <c r="C2249" t="s">
        <v>74</v>
      </c>
      <c r="D2249" t="s">
        <v>74</v>
      </c>
      <c r="E2249" t="s">
        <v>74</v>
      </c>
      <c r="F2249" t="s">
        <v>38203</v>
      </c>
      <c r="G2249" t="s">
        <v>74</v>
      </c>
      <c r="H2249" t="s">
        <v>74</v>
      </c>
      <c r="I2249" t="s">
        <v>38204</v>
      </c>
      <c r="J2249" t="s">
        <v>38205</v>
      </c>
      <c r="K2249" t="s">
        <v>74</v>
      </c>
      <c r="L2249" t="s">
        <v>74</v>
      </c>
      <c r="M2249" t="s">
        <v>78</v>
      </c>
      <c r="N2249" t="s">
        <v>79</v>
      </c>
      <c r="O2249" t="s">
        <v>74</v>
      </c>
      <c r="P2249" t="s">
        <v>74</v>
      </c>
      <c r="Q2249" t="s">
        <v>74</v>
      </c>
      <c r="R2249" t="s">
        <v>74</v>
      </c>
      <c r="S2249" t="s">
        <v>74</v>
      </c>
      <c r="T2249" t="s">
        <v>38206</v>
      </c>
      <c r="U2249" t="s">
        <v>74</v>
      </c>
      <c r="V2249" t="s">
        <v>38207</v>
      </c>
      <c r="W2249" t="s">
        <v>38208</v>
      </c>
      <c r="X2249" t="s">
        <v>15804</v>
      </c>
      <c r="Y2249" t="s">
        <v>38209</v>
      </c>
      <c r="Z2249" t="s">
        <v>15806</v>
      </c>
      <c r="AA2249" t="s">
        <v>74</v>
      </c>
      <c r="AB2249" t="s">
        <v>74</v>
      </c>
      <c r="AC2249" t="s">
        <v>38210</v>
      </c>
      <c r="AD2249" t="s">
        <v>38210</v>
      </c>
      <c r="AE2249" t="s">
        <v>38211</v>
      </c>
      <c r="AF2249" t="s">
        <v>74</v>
      </c>
      <c r="AG2249">
        <v>21</v>
      </c>
      <c r="AH2249">
        <v>1</v>
      </c>
      <c r="AI2249">
        <v>1</v>
      </c>
      <c r="AJ2249">
        <v>0</v>
      </c>
      <c r="AK2249">
        <v>8</v>
      </c>
      <c r="AL2249" t="s">
        <v>409</v>
      </c>
      <c r="AM2249" t="s">
        <v>410</v>
      </c>
      <c r="AN2249" t="s">
        <v>411</v>
      </c>
      <c r="AO2249" t="s">
        <v>38212</v>
      </c>
      <c r="AP2249" t="s">
        <v>38213</v>
      </c>
      <c r="AQ2249" t="s">
        <v>74</v>
      </c>
      <c r="AR2249" t="s">
        <v>38214</v>
      </c>
      <c r="AS2249" t="s">
        <v>38215</v>
      </c>
      <c r="AT2249" t="s">
        <v>698</v>
      </c>
      <c r="AU2249">
        <v>2017</v>
      </c>
      <c r="AV2249">
        <v>14</v>
      </c>
      <c r="AW2249">
        <v>2</v>
      </c>
      <c r="AX2249" t="s">
        <v>74</v>
      </c>
      <c r="AY2249" t="s">
        <v>74</v>
      </c>
      <c r="AZ2249" t="s">
        <v>74</v>
      </c>
      <c r="BA2249" t="s">
        <v>74</v>
      </c>
      <c r="BB2249">
        <v>94</v>
      </c>
      <c r="BC2249">
        <v>114</v>
      </c>
      <c r="BD2249" t="s">
        <v>74</v>
      </c>
      <c r="BE2249" t="s">
        <v>38216</v>
      </c>
      <c r="BF2249" t="str">
        <f>HYPERLINK("http://dx.doi.org/10.1177/0972820117713595","http://dx.doi.org/10.1177/0972820117713595")</f>
        <v>http://dx.doi.org/10.1177/0972820117713595</v>
      </c>
      <c r="BG2249" t="s">
        <v>74</v>
      </c>
      <c r="BH2249" t="s">
        <v>74</v>
      </c>
      <c r="BI2249">
        <v>21</v>
      </c>
      <c r="BJ2249" t="s">
        <v>583</v>
      </c>
      <c r="BK2249" t="s">
        <v>313</v>
      </c>
      <c r="BL2249" t="s">
        <v>100</v>
      </c>
      <c r="BM2249" t="s">
        <v>38217</v>
      </c>
      <c r="BN2249" t="s">
        <v>74</v>
      </c>
      <c r="BO2249" t="s">
        <v>74</v>
      </c>
      <c r="BP2249" t="s">
        <v>74</v>
      </c>
      <c r="BQ2249" t="s">
        <v>74</v>
      </c>
      <c r="BR2249" t="s">
        <v>102</v>
      </c>
      <c r="BS2249" t="s">
        <v>38218</v>
      </c>
      <c r="BT2249" t="str">
        <f>HYPERLINK("https%3A%2F%2Fwww.webofscience.com%2Fwos%2Fwoscc%2Ffull-record%2FWOS:000412643900004","View Full Record in Web of Science")</f>
        <v>View Full Record in Web of Science</v>
      </c>
    </row>
    <row r="2250" spans="1:72" x14ac:dyDescent="0.25">
      <c r="A2250" t="s">
        <v>72</v>
      </c>
      <c r="B2250" t="s">
        <v>38219</v>
      </c>
      <c r="C2250" t="s">
        <v>74</v>
      </c>
      <c r="D2250" t="s">
        <v>74</v>
      </c>
      <c r="E2250" t="s">
        <v>74</v>
      </c>
      <c r="F2250" t="s">
        <v>38220</v>
      </c>
      <c r="G2250" t="s">
        <v>74</v>
      </c>
      <c r="H2250" t="s">
        <v>74</v>
      </c>
      <c r="I2250" t="s">
        <v>38221</v>
      </c>
      <c r="J2250" t="s">
        <v>3579</v>
      </c>
      <c r="K2250" t="s">
        <v>74</v>
      </c>
      <c r="L2250" t="s">
        <v>74</v>
      </c>
      <c r="M2250" t="s">
        <v>78</v>
      </c>
      <c r="N2250" t="s">
        <v>79</v>
      </c>
      <c r="O2250" t="s">
        <v>74</v>
      </c>
      <c r="P2250" t="s">
        <v>74</v>
      </c>
      <c r="Q2250" t="s">
        <v>74</v>
      </c>
      <c r="R2250" t="s">
        <v>74</v>
      </c>
      <c r="S2250" t="s">
        <v>74</v>
      </c>
      <c r="T2250" t="s">
        <v>38222</v>
      </c>
      <c r="U2250" t="s">
        <v>74</v>
      </c>
      <c r="V2250" t="s">
        <v>38223</v>
      </c>
      <c r="W2250" t="s">
        <v>38224</v>
      </c>
      <c r="X2250" t="s">
        <v>11079</v>
      </c>
      <c r="Y2250" t="s">
        <v>38225</v>
      </c>
      <c r="Z2250" t="s">
        <v>38226</v>
      </c>
      <c r="AA2250" t="s">
        <v>38227</v>
      </c>
      <c r="AB2250" t="s">
        <v>38228</v>
      </c>
      <c r="AC2250" t="s">
        <v>74</v>
      </c>
      <c r="AD2250" t="s">
        <v>74</v>
      </c>
      <c r="AE2250" t="s">
        <v>74</v>
      </c>
      <c r="AF2250" t="s">
        <v>74</v>
      </c>
      <c r="AG2250">
        <v>34</v>
      </c>
      <c r="AH2250">
        <v>1</v>
      </c>
      <c r="AI2250">
        <v>2</v>
      </c>
      <c r="AJ2250">
        <v>0</v>
      </c>
      <c r="AK2250">
        <v>0</v>
      </c>
      <c r="AL2250" t="s">
        <v>3588</v>
      </c>
      <c r="AM2250" t="s">
        <v>410</v>
      </c>
      <c r="AN2250" t="s">
        <v>3589</v>
      </c>
      <c r="AO2250" t="s">
        <v>3590</v>
      </c>
      <c r="AP2250" t="s">
        <v>3591</v>
      </c>
      <c r="AQ2250" t="s">
        <v>74</v>
      </c>
      <c r="AR2250" t="s">
        <v>3592</v>
      </c>
      <c r="AS2250" t="s">
        <v>3593</v>
      </c>
      <c r="AT2250" t="s">
        <v>124</v>
      </c>
      <c r="AU2250">
        <v>2025</v>
      </c>
      <c r="AV2250">
        <v>27</v>
      </c>
      <c r="AW2250">
        <v>3</v>
      </c>
      <c r="AX2250" t="s">
        <v>74</v>
      </c>
      <c r="AY2250" t="s">
        <v>74</v>
      </c>
      <c r="AZ2250" t="s">
        <v>74</v>
      </c>
      <c r="BA2250" t="s">
        <v>74</v>
      </c>
      <c r="BB2250">
        <v>863</v>
      </c>
      <c r="BC2250">
        <v>881</v>
      </c>
      <c r="BD2250" t="s">
        <v>74</v>
      </c>
      <c r="BE2250" t="s">
        <v>38229</v>
      </c>
      <c r="BF2250" t="str">
        <f>HYPERLINK("http://dx.doi.org/10.1007/s40847-024-00407-8","http://dx.doi.org/10.1007/s40847-024-00407-8")</f>
        <v>http://dx.doi.org/10.1007/s40847-024-00407-8</v>
      </c>
      <c r="BG2250" t="s">
        <v>74</v>
      </c>
      <c r="BH2250" t="s">
        <v>417</v>
      </c>
      <c r="BI2250">
        <v>19</v>
      </c>
      <c r="BJ2250" t="s">
        <v>701</v>
      </c>
      <c r="BK2250" t="s">
        <v>313</v>
      </c>
      <c r="BL2250" t="s">
        <v>702</v>
      </c>
      <c r="BM2250" t="s">
        <v>38230</v>
      </c>
      <c r="BN2250" t="s">
        <v>74</v>
      </c>
      <c r="BO2250" t="s">
        <v>74</v>
      </c>
      <c r="BP2250" t="s">
        <v>74</v>
      </c>
      <c r="BQ2250" t="s">
        <v>74</v>
      </c>
      <c r="BR2250" t="s">
        <v>102</v>
      </c>
      <c r="BS2250" t="s">
        <v>38231</v>
      </c>
      <c r="BT2250" t="str">
        <f>HYPERLINK("https%3A%2F%2Fwww.webofscience.com%2Fwos%2Fwoscc%2Ffull-record%2FWOS:001415781400001","View Full Record in Web of Science")</f>
        <v>View Full Record in Web of Science</v>
      </c>
    </row>
    <row r="2251" spans="1:72" x14ac:dyDescent="0.25">
      <c r="A2251" t="s">
        <v>72</v>
      </c>
      <c r="B2251" t="s">
        <v>38232</v>
      </c>
      <c r="C2251" t="s">
        <v>74</v>
      </c>
      <c r="D2251" t="s">
        <v>74</v>
      </c>
      <c r="E2251" t="s">
        <v>74</v>
      </c>
      <c r="F2251" t="s">
        <v>38233</v>
      </c>
      <c r="G2251" t="s">
        <v>74</v>
      </c>
      <c r="H2251" t="s">
        <v>74</v>
      </c>
      <c r="I2251" t="s">
        <v>38234</v>
      </c>
      <c r="J2251" t="s">
        <v>17444</v>
      </c>
      <c r="K2251" t="s">
        <v>74</v>
      </c>
      <c r="L2251" t="s">
        <v>74</v>
      </c>
      <c r="M2251" t="s">
        <v>78</v>
      </c>
      <c r="N2251" t="s">
        <v>79</v>
      </c>
      <c r="O2251" t="s">
        <v>74</v>
      </c>
      <c r="P2251" t="s">
        <v>74</v>
      </c>
      <c r="Q2251" t="s">
        <v>74</v>
      </c>
      <c r="R2251" t="s">
        <v>74</v>
      </c>
      <c r="S2251" t="s">
        <v>74</v>
      </c>
      <c r="T2251" t="s">
        <v>38235</v>
      </c>
      <c r="U2251" t="s">
        <v>38236</v>
      </c>
      <c r="V2251" t="s">
        <v>38237</v>
      </c>
      <c r="W2251" t="s">
        <v>38238</v>
      </c>
      <c r="X2251" t="s">
        <v>38239</v>
      </c>
      <c r="Y2251" t="s">
        <v>38240</v>
      </c>
      <c r="Z2251" t="s">
        <v>38241</v>
      </c>
      <c r="AA2251" t="s">
        <v>74</v>
      </c>
      <c r="AB2251" t="s">
        <v>38242</v>
      </c>
      <c r="AC2251" t="s">
        <v>74</v>
      </c>
      <c r="AD2251" t="s">
        <v>74</v>
      </c>
      <c r="AE2251" t="s">
        <v>74</v>
      </c>
      <c r="AF2251" t="s">
        <v>74</v>
      </c>
      <c r="AG2251">
        <v>41</v>
      </c>
      <c r="AH2251">
        <v>3</v>
      </c>
      <c r="AI2251">
        <v>3</v>
      </c>
      <c r="AJ2251">
        <v>0</v>
      </c>
      <c r="AK2251">
        <v>6</v>
      </c>
      <c r="AL2251" t="s">
        <v>89</v>
      </c>
      <c r="AM2251" t="s">
        <v>1497</v>
      </c>
      <c r="AN2251" t="s">
        <v>1498</v>
      </c>
      <c r="AO2251" t="s">
        <v>17454</v>
      </c>
      <c r="AP2251" t="s">
        <v>17455</v>
      </c>
      <c r="AQ2251" t="s">
        <v>74</v>
      </c>
      <c r="AR2251" t="s">
        <v>17456</v>
      </c>
      <c r="AS2251" t="s">
        <v>17457</v>
      </c>
      <c r="AT2251" t="s">
        <v>17458</v>
      </c>
      <c r="AU2251">
        <v>2023</v>
      </c>
      <c r="AV2251">
        <v>49</v>
      </c>
      <c r="AW2251">
        <v>4</v>
      </c>
      <c r="AX2251" t="s">
        <v>74</v>
      </c>
      <c r="AY2251" t="s">
        <v>74</v>
      </c>
      <c r="AZ2251" t="s">
        <v>74</v>
      </c>
      <c r="BA2251" t="s">
        <v>74</v>
      </c>
      <c r="BB2251">
        <v>661</v>
      </c>
      <c r="BC2251">
        <v>678</v>
      </c>
      <c r="BD2251" t="s">
        <v>74</v>
      </c>
      <c r="BE2251" t="s">
        <v>38243</v>
      </c>
      <c r="BF2251" t="str">
        <f>HYPERLINK("http://dx.doi.org/10.1108/MF-07-2021-0352","http://dx.doi.org/10.1108/MF-07-2021-0352")</f>
        <v>http://dx.doi.org/10.1108/MF-07-2021-0352</v>
      </c>
      <c r="BG2251" t="s">
        <v>74</v>
      </c>
      <c r="BH2251" t="s">
        <v>3050</v>
      </c>
      <c r="BI2251">
        <v>18</v>
      </c>
      <c r="BJ2251" t="s">
        <v>268</v>
      </c>
      <c r="BK2251" t="s">
        <v>313</v>
      </c>
      <c r="BL2251" t="s">
        <v>100</v>
      </c>
      <c r="BM2251" t="s">
        <v>17460</v>
      </c>
      <c r="BN2251" t="s">
        <v>74</v>
      </c>
      <c r="BO2251" t="s">
        <v>74</v>
      </c>
      <c r="BP2251" t="s">
        <v>74</v>
      </c>
      <c r="BQ2251" t="s">
        <v>74</v>
      </c>
      <c r="BR2251" t="s">
        <v>102</v>
      </c>
      <c r="BS2251" t="s">
        <v>38244</v>
      </c>
      <c r="BT2251" t="str">
        <f>HYPERLINK("https%3A%2F%2Fwww.webofscience.com%2Fwos%2Fwoscc%2Ffull-record%2FWOS:000863283900001","View Full Record in Web of Science")</f>
        <v>View Full Record in Web of Science</v>
      </c>
    </row>
    <row r="2252" spans="1:72" x14ac:dyDescent="0.25">
      <c r="A2252" t="s">
        <v>72</v>
      </c>
      <c r="B2252" t="s">
        <v>38245</v>
      </c>
      <c r="C2252" t="s">
        <v>74</v>
      </c>
      <c r="D2252" t="s">
        <v>74</v>
      </c>
      <c r="E2252" t="s">
        <v>74</v>
      </c>
      <c r="F2252" t="s">
        <v>38246</v>
      </c>
      <c r="G2252" t="s">
        <v>74</v>
      </c>
      <c r="H2252" t="s">
        <v>74</v>
      </c>
      <c r="I2252" t="s">
        <v>38247</v>
      </c>
      <c r="J2252" t="s">
        <v>246</v>
      </c>
      <c r="K2252" t="s">
        <v>74</v>
      </c>
      <c r="L2252" t="s">
        <v>74</v>
      </c>
      <c r="M2252" t="s">
        <v>78</v>
      </c>
      <c r="N2252" t="s">
        <v>79</v>
      </c>
      <c r="O2252" t="s">
        <v>74</v>
      </c>
      <c r="P2252" t="s">
        <v>74</v>
      </c>
      <c r="Q2252" t="s">
        <v>74</v>
      </c>
      <c r="R2252" t="s">
        <v>74</v>
      </c>
      <c r="S2252" t="s">
        <v>74</v>
      </c>
      <c r="T2252" t="s">
        <v>38248</v>
      </c>
      <c r="U2252" t="s">
        <v>74</v>
      </c>
      <c r="V2252" t="s">
        <v>38249</v>
      </c>
      <c r="W2252" t="s">
        <v>38250</v>
      </c>
      <c r="X2252" t="s">
        <v>38251</v>
      </c>
      <c r="Y2252" t="s">
        <v>38252</v>
      </c>
      <c r="Z2252" t="s">
        <v>38253</v>
      </c>
      <c r="AA2252" t="s">
        <v>74</v>
      </c>
      <c r="AB2252" t="s">
        <v>74</v>
      </c>
      <c r="AC2252" t="s">
        <v>74</v>
      </c>
      <c r="AD2252" t="s">
        <v>74</v>
      </c>
      <c r="AE2252" t="s">
        <v>74</v>
      </c>
      <c r="AF2252" t="s">
        <v>74</v>
      </c>
      <c r="AG2252">
        <v>29</v>
      </c>
      <c r="AH2252">
        <v>1</v>
      </c>
      <c r="AI2252">
        <v>1</v>
      </c>
      <c r="AJ2252">
        <v>3</v>
      </c>
      <c r="AK2252">
        <v>10</v>
      </c>
      <c r="AL2252" t="s">
        <v>259</v>
      </c>
      <c r="AM2252" t="s">
        <v>260</v>
      </c>
      <c r="AN2252" t="s">
        <v>261</v>
      </c>
      <c r="AO2252" t="s">
        <v>262</v>
      </c>
      <c r="AP2252" t="s">
        <v>263</v>
      </c>
      <c r="AQ2252" t="s">
        <v>74</v>
      </c>
      <c r="AR2252" t="s">
        <v>264</v>
      </c>
      <c r="AS2252" t="s">
        <v>265</v>
      </c>
      <c r="AT2252" t="s">
        <v>605</v>
      </c>
      <c r="AU2252">
        <v>2025</v>
      </c>
      <c r="AV2252">
        <v>73</v>
      </c>
      <c r="AW2252" t="s">
        <v>74</v>
      </c>
      <c r="AX2252" t="s">
        <v>74</v>
      </c>
      <c r="AY2252" t="s">
        <v>74</v>
      </c>
      <c r="AZ2252" t="s">
        <v>74</v>
      </c>
      <c r="BA2252" t="s">
        <v>74</v>
      </c>
      <c r="BB2252" t="s">
        <v>74</v>
      </c>
      <c r="BC2252" t="s">
        <v>74</v>
      </c>
      <c r="BD2252">
        <v>106642</v>
      </c>
      <c r="BE2252" t="s">
        <v>38254</v>
      </c>
      <c r="BF2252" t="str">
        <f>HYPERLINK("http://dx.doi.org/10.1016/j.frl.2024.106642","http://dx.doi.org/10.1016/j.frl.2024.106642")</f>
        <v>http://dx.doi.org/10.1016/j.frl.2024.106642</v>
      </c>
      <c r="BG2252" t="s">
        <v>74</v>
      </c>
      <c r="BH2252" t="s">
        <v>809</v>
      </c>
      <c r="BI2252">
        <v>7</v>
      </c>
      <c r="BJ2252" t="s">
        <v>268</v>
      </c>
      <c r="BK2252" t="s">
        <v>99</v>
      </c>
      <c r="BL2252" t="s">
        <v>100</v>
      </c>
      <c r="BM2252" t="s">
        <v>38255</v>
      </c>
      <c r="BN2252" t="s">
        <v>74</v>
      </c>
      <c r="BO2252" t="s">
        <v>2783</v>
      </c>
      <c r="BP2252" t="s">
        <v>74</v>
      </c>
      <c r="BQ2252" t="s">
        <v>74</v>
      </c>
      <c r="BR2252" t="s">
        <v>102</v>
      </c>
      <c r="BS2252" t="s">
        <v>38256</v>
      </c>
      <c r="BT2252" t="str">
        <f>HYPERLINK("https%3A%2F%2Fwww.webofscience.com%2Fwos%2Fwoscc%2Ffull-record%2FWOS:001391739200001","View Full Record in Web of Science")</f>
        <v>View Full Record in Web of Science</v>
      </c>
    </row>
    <row r="2253" spans="1:72" x14ac:dyDescent="0.25">
      <c r="A2253" t="s">
        <v>72</v>
      </c>
      <c r="B2253" t="s">
        <v>38257</v>
      </c>
      <c r="C2253" t="s">
        <v>74</v>
      </c>
      <c r="D2253" t="s">
        <v>74</v>
      </c>
      <c r="E2253" t="s">
        <v>74</v>
      </c>
      <c r="F2253" t="s">
        <v>38258</v>
      </c>
      <c r="G2253" t="s">
        <v>74</v>
      </c>
      <c r="H2253" t="s">
        <v>74</v>
      </c>
      <c r="I2253" t="s">
        <v>38259</v>
      </c>
      <c r="J2253" t="s">
        <v>22709</v>
      </c>
      <c r="K2253" t="s">
        <v>74</v>
      </c>
      <c r="L2253" t="s">
        <v>74</v>
      </c>
      <c r="M2253" t="s">
        <v>78</v>
      </c>
      <c r="N2253" t="s">
        <v>79</v>
      </c>
      <c r="O2253" t="s">
        <v>74</v>
      </c>
      <c r="P2253" t="s">
        <v>74</v>
      </c>
      <c r="Q2253" t="s">
        <v>74</v>
      </c>
      <c r="R2253" t="s">
        <v>74</v>
      </c>
      <c r="S2253" t="s">
        <v>74</v>
      </c>
      <c r="T2253" t="s">
        <v>38260</v>
      </c>
      <c r="U2253" t="s">
        <v>38261</v>
      </c>
      <c r="V2253" t="s">
        <v>38262</v>
      </c>
      <c r="W2253" t="s">
        <v>38263</v>
      </c>
      <c r="X2253" t="s">
        <v>33304</v>
      </c>
      <c r="Y2253" t="s">
        <v>38264</v>
      </c>
      <c r="Z2253" t="s">
        <v>38265</v>
      </c>
      <c r="AA2253" t="s">
        <v>74</v>
      </c>
      <c r="AB2253" t="s">
        <v>38266</v>
      </c>
      <c r="AC2253" t="s">
        <v>74</v>
      </c>
      <c r="AD2253" t="s">
        <v>74</v>
      </c>
      <c r="AE2253" t="s">
        <v>74</v>
      </c>
      <c r="AF2253" t="s">
        <v>74</v>
      </c>
      <c r="AG2253">
        <v>62</v>
      </c>
      <c r="AH2253">
        <v>16</v>
      </c>
      <c r="AI2253">
        <v>20</v>
      </c>
      <c r="AJ2253">
        <v>1</v>
      </c>
      <c r="AK2253">
        <v>25</v>
      </c>
      <c r="AL2253" t="s">
        <v>332</v>
      </c>
      <c r="AM2253" t="s">
        <v>333</v>
      </c>
      <c r="AN2253" t="s">
        <v>334</v>
      </c>
      <c r="AO2253" t="s">
        <v>22708</v>
      </c>
      <c r="AP2253" t="s">
        <v>22707</v>
      </c>
      <c r="AQ2253" t="s">
        <v>74</v>
      </c>
      <c r="AR2253" t="s">
        <v>22706</v>
      </c>
      <c r="AS2253" t="s">
        <v>22705</v>
      </c>
      <c r="AT2253" t="s">
        <v>698</v>
      </c>
      <c r="AU2253">
        <v>2016</v>
      </c>
      <c r="AV2253">
        <v>37</v>
      </c>
      <c r="AW2253">
        <v>3</v>
      </c>
      <c r="AX2253" t="s">
        <v>74</v>
      </c>
      <c r="AY2253" t="s">
        <v>74</v>
      </c>
      <c r="AZ2253" t="s">
        <v>74</v>
      </c>
      <c r="BA2253" t="s">
        <v>74</v>
      </c>
      <c r="BB2253">
        <v>279</v>
      </c>
      <c r="BC2253">
        <v>297</v>
      </c>
      <c r="BD2253" t="s">
        <v>74</v>
      </c>
      <c r="BE2253" t="s">
        <v>38267</v>
      </c>
      <c r="BF2253" t="str">
        <f>HYPERLINK("http://dx.doi.org/10.1080/02255189.2016.1197102","http://dx.doi.org/10.1080/02255189.2016.1197102")</f>
        <v>http://dx.doi.org/10.1080/02255189.2016.1197102</v>
      </c>
      <c r="BG2253" t="s">
        <v>74</v>
      </c>
      <c r="BH2253" t="s">
        <v>74</v>
      </c>
      <c r="BI2253">
        <v>19</v>
      </c>
      <c r="BJ2253" t="s">
        <v>1137</v>
      </c>
      <c r="BK2253" t="s">
        <v>99</v>
      </c>
      <c r="BL2253" t="s">
        <v>1137</v>
      </c>
      <c r="BM2253" t="s">
        <v>38268</v>
      </c>
      <c r="BN2253" t="s">
        <v>74</v>
      </c>
      <c r="BO2253" t="s">
        <v>74</v>
      </c>
      <c r="BP2253" t="s">
        <v>74</v>
      </c>
      <c r="BQ2253" t="s">
        <v>74</v>
      </c>
      <c r="BR2253" t="s">
        <v>102</v>
      </c>
      <c r="BS2253" t="s">
        <v>38269</v>
      </c>
      <c r="BT2253" t="str">
        <f>HYPERLINK("https%3A%2F%2Fwww.webofscience.com%2Fwos%2Fwoscc%2Ffull-record%2FWOS:000385572600002","View Full Record in Web of Science")</f>
        <v>View Full Record in Web of Science</v>
      </c>
    </row>
    <row r="2254" spans="1:72" x14ac:dyDescent="0.25">
      <c r="A2254" t="s">
        <v>72</v>
      </c>
      <c r="B2254" t="s">
        <v>38270</v>
      </c>
      <c r="C2254" t="s">
        <v>74</v>
      </c>
      <c r="D2254" t="s">
        <v>74</v>
      </c>
      <c r="E2254" t="s">
        <v>74</v>
      </c>
      <c r="F2254" t="s">
        <v>38271</v>
      </c>
      <c r="G2254" t="s">
        <v>74</v>
      </c>
      <c r="H2254" t="s">
        <v>74</v>
      </c>
      <c r="I2254" t="s">
        <v>38272</v>
      </c>
      <c r="J2254" t="s">
        <v>246</v>
      </c>
      <c r="K2254" t="s">
        <v>74</v>
      </c>
      <c r="L2254" t="s">
        <v>74</v>
      </c>
      <c r="M2254" t="s">
        <v>78</v>
      </c>
      <c r="N2254" t="s">
        <v>79</v>
      </c>
      <c r="O2254" t="s">
        <v>74</v>
      </c>
      <c r="P2254" t="s">
        <v>74</v>
      </c>
      <c r="Q2254" t="s">
        <v>74</v>
      </c>
      <c r="R2254" t="s">
        <v>74</v>
      </c>
      <c r="S2254" t="s">
        <v>74</v>
      </c>
      <c r="T2254" t="s">
        <v>38273</v>
      </c>
      <c r="U2254" t="s">
        <v>38274</v>
      </c>
      <c r="V2254" t="s">
        <v>38275</v>
      </c>
      <c r="W2254" t="s">
        <v>38276</v>
      </c>
      <c r="X2254" t="s">
        <v>38277</v>
      </c>
      <c r="Y2254" t="s">
        <v>38278</v>
      </c>
      <c r="Z2254" t="s">
        <v>38279</v>
      </c>
      <c r="AA2254" t="s">
        <v>38280</v>
      </c>
      <c r="AB2254" t="s">
        <v>38281</v>
      </c>
      <c r="AC2254" t="s">
        <v>38282</v>
      </c>
      <c r="AD2254" t="s">
        <v>8707</v>
      </c>
      <c r="AE2254" t="s">
        <v>38283</v>
      </c>
      <c r="AF2254" t="s">
        <v>74</v>
      </c>
      <c r="AG2254">
        <v>40</v>
      </c>
      <c r="AH2254">
        <v>312</v>
      </c>
      <c r="AI2254">
        <v>355</v>
      </c>
      <c r="AJ2254">
        <v>83</v>
      </c>
      <c r="AK2254">
        <v>609</v>
      </c>
      <c r="AL2254" t="s">
        <v>259</v>
      </c>
      <c r="AM2254" t="s">
        <v>260</v>
      </c>
      <c r="AN2254" t="s">
        <v>261</v>
      </c>
      <c r="AO2254" t="s">
        <v>262</v>
      </c>
      <c r="AP2254" t="s">
        <v>263</v>
      </c>
      <c r="AQ2254" t="s">
        <v>74</v>
      </c>
      <c r="AR2254" t="s">
        <v>264</v>
      </c>
      <c r="AS2254" t="s">
        <v>265</v>
      </c>
      <c r="AT2254" t="s">
        <v>1652</v>
      </c>
      <c r="AU2254">
        <v>2022</v>
      </c>
      <c r="AV2254">
        <v>47</v>
      </c>
      <c r="AW2254" t="s">
        <v>74</v>
      </c>
      <c r="AX2254" t="s">
        <v>3828</v>
      </c>
      <c r="AY2254" t="s">
        <v>74</v>
      </c>
      <c r="AZ2254" t="s">
        <v>74</v>
      </c>
      <c r="BA2254" t="s">
        <v>74</v>
      </c>
      <c r="BB2254" t="s">
        <v>74</v>
      </c>
      <c r="BC2254" t="s">
        <v>74</v>
      </c>
      <c r="BD2254">
        <v>102604</v>
      </c>
      <c r="BE2254" t="s">
        <v>38284</v>
      </c>
      <c r="BF2254" t="str">
        <f>HYPERLINK("http://dx.doi.org/10.1016/j.frl.2021.102604","http://dx.doi.org/10.1016/j.frl.2021.102604")</f>
        <v>http://dx.doi.org/10.1016/j.frl.2021.102604</v>
      </c>
      <c r="BG2254" t="s">
        <v>74</v>
      </c>
      <c r="BH2254" t="s">
        <v>1802</v>
      </c>
      <c r="BI2254">
        <v>8</v>
      </c>
      <c r="BJ2254" t="s">
        <v>268</v>
      </c>
      <c r="BK2254" t="s">
        <v>99</v>
      </c>
      <c r="BL2254" t="s">
        <v>100</v>
      </c>
      <c r="BM2254" t="s">
        <v>38285</v>
      </c>
      <c r="BN2254" t="s">
        <v>74</v>
      </c>
      <c r="BO2254" t="s">
        <v>466</v>
      </c>
      <c r="BP2254" t="s">
        <v>74</v>
      </c>
      <c r="BQ2254" t="s">
        <v>74</v>
      </c>
      <c r="BR2254" t="s">
        <v>102</v>
      </c>
      <c r="BS2254" t="s">
        <v>38286</v>
      </c>
      <c r="BT2254" t="str">
        <f>HYPERLINK("https%3A%2F%2Fwww.webofscience.com%2Fwos%2Fwoscc%2Ffull-record%2FWOS:000813443100009","View Full Record in Web of Science")</f>
        <v>View Full Record in Web of Science</v>
      </c>
    </row>
    <row r="2255" spans="1:72" x14ac:dyDescent="0.25">
      <c r="A2255" t="s">
        <v>72</v>
      </c>
      <c r="B2255" t="s">
        <v>36768</v>
      </c>
      <c r="C2255" t="s">
        <v>74</v>
      </c>
      <c r="D2255" t="s">
        <v>74</v>
      </c>
      <c r="E2255" t="s">
        <v>74</v>
      </c>
      <c r="F2255" t="s">
        <v>36769</v>
      </c>
      <c r="G2255" t="s">
        <v>74</v>
      </c>
      <c r="H2255" t="s">
        <v>74</v>
      </c>
      <c r="I2255" t="s">
        <v>38287</v>
      </c>
      <c r="J2255" t="s">
        <v>424</v>
      </c>
      <c r="K2255" t="s">
        <v>74</v>
      </c>
      <c r="L2255" t="s">
        <v>74</v>
      </c>
      <c r="M2255" t="s">
        <v>78</v>
      </c>
      <c r="N2255" t="s">
        <v>372</v>
      </c>
      <c r="O2255" t="s">
        <v>74</v>
      </c>
      <c r="P2255" t="s">
        <v>74</v>
      </c>
      <c r="Q2255" t="s">
        <v>74</v>
      </c>
      <c r="R2255" t="s">
        <v>74</v>
      </c>
      <c r="S2255" t="s">
        <v>74</v>
      </c>
      <c r="T2255" t="s">
        <v>38288</v>
      </c>
      <c r="U2255" t="s">
        <v>38289</v>
      </c>
      <c r="V2255" t="s">
        <v>38290</v>
      </c>
      <c r="W2255" t="s">
        <v>38291</v>
      </c>
      <c r="X2255" t="s">
        <v>21747</v>
      </c>
      <c r="Y2255" t="s">
        <v>38292</v>
      </c>
      <c r="Z2255" t="s">
        <v>36777</v>
      </c>
      <c r="AA2255" t="s">
        <v>38293</v>
      </c>
      <c r="AB2255" t="s">
        <v>74</v>
      </c>
      <c r="AC2255" t="s">
        <v>74</v>
      </c>
      <c r="AD2255" t="s">
        <v>74</v>
      </c>
      <c r="AE2255" t="s">
        <v>74</v>
      </c>
      <c r="AF2255" t="s">
        <v>74</v>
      </c>
      <c r="AG2255">
        <v>90</v>
      </c>
      <c r="AH2255">
        <v>0</v>
      </c>
      <c r="AI2255">
        <v>0</v>
      </c>
      <c r="AJ2255">
        <v>0</v>
      </c>
      <c r="AK2255">
        <v>0</v>
      </c>
      <c r="AL2255" t="s">
        <v>89</v>
      </c>
      <c r="AM2255" t="s">
        <v>90</v>
      </c>
      <c r="AN2255" t="s">
        <v>91</v>
      </c>
      <c r="AO2255" t="s">
        <v>436</v>
      </c>
      <c r="AP2255" t="s">
        <v>437</v>
      </c>
      <c r="AQ2255" t="s">
        <v>74</v>
      </c>
      <c r="AR2255" t="s">
        <v>438</v>
      </c>
      <c r="AS2255" t="s">
        <v>439</v>
      </c>
      <c r="AT2255" t="s">
        <v>38294</v>
      </c>
      <c r="AU2255">
        <v>2025</v>
      </c>
      <c r="AV2255" t="s">
        <v>74</v>
      </c>
      <c r="AW2255" t="s">
        <v>74</v>
      </c>
      <c r="AX2255" t="s">
        <v>74</v>
      </c>
      <c r="AY2255" t="s">
        <v>74</v>
      </c>
      <c r="AZ2255" t="s">
        <v>74</v>
      </c>
      <c r="BA2255" t="s">
        <v>74</v>
      </c>
      <c r="BB2255" t="s">
        <v>74</v>
      </c>
      <c r="BC2255" t="s">
        <v>74</v>
      </c>
      <c r="BD2255" t="s">
        <v>74</v>
      </c>
      <c r="BE2255" t="s">
        <v>38295</v>
      </c>
      <c r="BF2255" t="str">
        <f>HYPERLINK("http://dx.doi.org/10.1108/IJBM-03-2025-0188","http://dx.doi.org/10.1108/IJBM-03-2025-0188")</f>
        <v>http://dx.doi.org/10.1108/IJBM-03-2025-0188</v>
      </c>
      <c r="BG2255" t="s">
        <v>74</v>
      </c>
      <c r="BH2255" t="s">
        <v>488</v>
      </c>
      <c r="BI2255">
        <v>26</v>
      </c>
      <c r="BJ2255" t="s">
        <v>418</v>
      </c>
      <c r="BK2255" t="s">
        <v>99</v>
      </c>
      <c r="BL2255" t="s">
        <v>100</v>
      </c>
      <c r="BM2255" t="s">
        <v>38296</v>
      </c>
      <c r="BN2255" t="s">
        <v>74</v>
      </c>
      <c r="BO2255" t="s">
        <v>74</v>
      </c>
      <c r="BP2255" t="s">
        <v>74</v>
      </c>
      <c r="BQ2255" t="s">
        <v>74</v>
      </c>
      <c r="BR2255" t="s">
        <v>102</v>
      </c>
      <c r="BS2255" t="s">
        <v>38297</v>
      </c>
      <c r="BT2255" t="str">
        <f>HYPERLINK("https%3A%2F%2Fwww.webofscience.com%2Fwos%2Fwoscc%2Ffull-record%2FWOS:001634520000001","View Full Record in Web of Science")</f>
        <v>View Full Record in Web of Science</v>
      </c>
    </row>
    <row r="2256" spans="1:72" x14ac:dyDescent="0.25">
      <c r="A2256" t="s">
        <v>72</v>
      </c>
      <c r="B2256" t="s">
        <v>38298</v>
      </c>
      <c r="C2256" t="s">
        <v>74</v>
      </c>
      <c r="D2256" t="s">
        <v>74</v>
      </c>
      <c r="E2256" t="s">
        <v>74</v>
      </c>
      <c r="F2256" t="s">
        <v>38299</v>
      </c>
      <c r="G2256" t="s">
        <v>74</v>
      </c>
      <c r="H2256" t="s">
        <v>74</v>
      </c>
      <c r="I2256" t="s">
        <v>38300</v>
      </c>
      <c r="J2256" t="s">
        <v>17640</v>
      </c>
      <c r="K2256" t="s">
        <v>74</v>
      </c>
      <c r="L2256" t="s">
        <v>74</v>
      </c>
      <c r="M2256" t="s">
        <v>78</v>
      </c>
      <c r="N2256" t="s">
        <v>79</v>
      </c>
      <c r="O2256" t="s">
        <v>74</v>
      </c>
      <c r="P2256" t="s">
        <v>74</v>
      </c>
      <c r="Q2256" t="s">
        <v>74</v>
      </c>
      <c r="R2256" t="s">
        <v>74</v>
      </c>
      <c r="S2256" t="s">
        <v>74</v>
      </c>
      <c r="T2256" t="s">
        <v>74</v>
      </c>
      <c r="U2256" t="s">
        <v>38301</v>
      </c>
      <c r="V2256" t="s">
        <v>38302</v>
      </c>
      <c r="W2256" t="s">
        <v>38303</v>
      </c>
      <c r="X2256" t="s">
        <v>38304</v>
      </c>
      <c r="Y2256" t="s">
        <v>38305</v>
      </c>
      <c r="Z2256" t="s">
        <v>38306</v>
      </c>
      <c r="AA2256" t="s">
        <v>38307</v>
      </c>
      <c r="AB2256" t="s">
        <v>74</v>
      </c>
      <c r="AC2256" t="s">
        <v>38308</v>
      </c>
      <c r="AD2256" t="s">
        <v>38309</v>
      </c>
      <c r="AE2256" t="s">
        <v>38310</v>
      </c>
      <c r="AF2256" t="s">
        <v>74</v>
      </c>
      <c r="AG2256">
        <v>69</v>
      </c>
      <c r="AH2256">
        <v>1</v>
      </c>
      <c r="AI2256">
        <v>1</v>
      </c>
      <c r="AJ2256">
        <v>3</v>
      </c>
      <c r="AK2256">
        <v>50</v>
      </c>
      <c r="AL2256" t="s">
        <v>4666</v>
      </c>
      <c r="AM2256" t="s">
        <v>995</v>
      </c>
      <c r="AN2256" t="s">
        <v>4025</v>
      </c>
      <c r="AO2256" t="s">
        <v>74</v>
      </c>
      <c r="AP2256" t="s">
        <v>17649</v>
      </c>
      <c r="AQ2256" t="s">
        <v>74</v>
      </c>
      <c r="AR2256" t="s">
        <v>17650</v>
      </c>
      <c r="AS2256" t="s">
        <v>17651</v>
      </c>
      <c r="AT2256" t="s">
        <v>38311</v>
      </c>
      <c r="AU2256">
        <v>2024</v>
      </c>
      <c r="AV2256">
        <v>11</v>
      </c>
      <c r="AW2256">
        <v>1</v>
      </c>
      <c r="AX2256" t="s">
        <v>74</v>
      </c>
      <c r="AY2256" t="s">
        <v>74</v>
      </c>
      <c r="AZ2256" t="s">
        <v>74</v>
      </c>
      <c r="BA2256" t="s">
        <v>74</v>
      </c>
      <c r="BB2256" t="s">
        <v>74</v>
      </c>
      <c r="BC2256" t="s">
        <v>74</v>
      </c>
      <c r="BD2256">
        <v>1368</v>
      </c>
      <c r="BE2256" t="s">
        <v>38312</v>
      </c>
      <c r="BF2256" t="str">
        <f>HYPERLINK("http://dx.doi.org/10.1057/s41599-024-03729-4","http://dx.doi.org/10.1057/s41599-024-03729-4")</f>
        <v>http://dx.doi.org/10.1057/s41599-024-03729-4</v>
      </c>
      <c r="BG2256" t="s">
        <v>74</v>
      </c>
      <c r="BH2256" t="s">
        <v>74</v>
      </c>
      <c r="BI2256">
        <v>15</v>
      </c>
      <c r="BJ2256" t="s">
        <v>17654</v>
      </c>
      <c r="BK2256" t="s">
        <v>871</v>
      </c>
      <c r="BL2256" t="s">
        <v>17655</v>
      </c>
      <c r="BM2256" t="s">
        <v>38313</v>
      </c>
      <c r="BN2256" t="s">
        <v>74</v>
      </c>
      <c r="BO2256" t="s">
        <v>212</v>
      </c>
      <c r="BP2256" t="s">
        <v>74</v>
      </c>
      <c r="BQ2256" t="s">
        <v>74</v>
      </c>
      <c r="BR2256" t="s">
        <v>102</v>
      </c>
      <c r="BS2256" t="s">
        <v>38314</v>
      </c>
      <c r="BT2256" t="str">
        <f>HYPERLINK("https%3A%2F%2Fwww.webofscience.com%2Fwos%2Fwoscc%2Ffull-record%2FWOS:001333593200007","View Full Record in Web of Science")</f>
        <v>View Full Record in Web of Science</v>
      </c>
    </row>
    <row r="2257" spans="1:72" x14ac:dyDescent="0.25">
      <c r="A2257" t="s">
        <v>72</v>
      </c>
      <c r="B2257" t="s">
        <v>38315</v>
      </c>
      <c r="C2257" t="s">
        <v>74</v>
      </c>
      <c r="D2257" t="s">
        <v>74</v>
      </c>
      <c r="E2257" t="s">
        <v>74</v>
      </c>
      <c r="F2257" t="s">
        <v>38316</v>
      </c>
      <c r="G2257" t="s">
        <v>74</v>
      </c>
      <c r="H2257" t="s">
        <v>74</v>
      </c>
      <c r="I2257" t="s">
        <v>38317</v>
      </c>
      <c r="J2257" t="s">
        <v>5958</v>
      </c>
      <c r="K2257" t="s">
        <v>74</v>
      </c>
      <c r="L2257" t="s">
        <v>74</v>
      </c>
      <c r="M2257" t="s">
        <v>78</v>
      </c>
      <c r="N2257" t="s">
        <v>79</v>
      </c>
      <c r="O2257" t="s">
        <v>74</v>
      </c>
      <c r="P2257" t="s">
        <v>74</v>
      </c>
      <c r="Q2257" t="s">
        <v>74</v>
      </c>
      <c r="R2257" t="s">
        <v>74</v>
      </c>
      <c r="S2257" t="s">
        <v>74</v>
      </c>
      <c r="T2257" t="s">
        <v>38318</v>
      </c>
      <c r="U2257" t="s">
        <v>38319</v>
      </c>
      <c r="V2257" t="s">
        <v>38320</v>
      </c>
      <c r="W2257" t="s">
        <v>38321</v>
      </c>
      <c r="X2257" t="s">
        <v>38322</v>
      </c>
      <c r="Y2257" t="s">
        <v>38323</v>
      </c>
      <c r="Z2257" t="s">
        <v>38324</v>
      </c>
      <c r="AA2257" t="s">
        <v>38325</v>
      </c>
      <c r="AB2257" t="s">
        <v>74</v>
      </c>
      <c r="AC2257" t="s">
        <v>38326</v>
      </c>
      <c r="AD2257" t="s">
        <v>38327</v>
      </c>
      <c r="AE2257" t="s">
        <v>38328</v>
      </c>
      <c r="AF2257" t="s">
        <v>74</v>
      </c>
      <c r="AG2257">
        <v>23</v>
      </c>
      <c r="AH2257">
        <v>0</v>
      </c>
      <c r="AI2257">
        <v>0</v>
      </c>
      <c r="AJ2257">
        <v>6</v>
      </c>
      <c r="AK2257">
        <v>24</v>
      </c>
      <c r="AL2257" t="s">
        <v>1216</v>
      </c>
      <c r="AM2257" t="s">
        <v>283</v>
      </c>
      <c r="AN2257" t="s">
        <v>1217</v>
      </c>
      <c r="AO2257" t="s">
        <v>5971</v>
      </c>
      <c r="AP2257" t="s">
        <v>74</v>
      </c>
      <c r="AQ2257" t="s">
        <v>74</v>
      </c>
      <c r="AR2257" t="s">
        <v>5972</v>
      </c>
      <c r="AS2257" t="s">
        <v>5973</v>
      </c>
      <c r="AT2257" t="s">
        <v>21339</v>
      </c>
      <c r="AU2257">
        <v>2022</v>
      </c>
      <c r="AV2257">
        <v>13</v>
      </c>
      <c r="AW2257" t="s">
        <v>74</v>
      </c>
      <c r="AX2257" t="s">
        <v>74</v>
      </c>
      <c r="AY2257" t="s">
        <v>74</v>
      </c>
      <c r="AZ2257" t="s">
        <v>74</v>
      </c>
      <c r="BA2257" t="s">
        <v>74</v>
      </c>
      <c r="BB2257" t="s">
        <v>74</v>
      </c>
      <c r="BC2257" t="s">
        <v>74</v>
      </c>
      <c r="BD2257">
        <v>1025555</v>
      </c>
      <c r="BE2257" t="s">
        <v>38329</v>
      </c>
      <c r="BF2257" t="str">
        <f>HYPERLINK("http://dx.doi.org/10.3389/fpsyg.2022.1025555","http://dx.doi.org/10.3389/fpsyg.2022.1025555")</f>
        <v>http://dx.doi.org/10.3389/fpsyg.2022.1025555</v>
      </c>
      <c r="BG2257" t="s">
        <v>74</v>
      </c>
      <c r="BH2257" t="s">
        <v>74</v>
      </c>
      <c r="BI2257">
        <v>11</v>
      </c>
      <c r="BJ2257" t="s">
        <v>2992</v>
      </c>
      <c r="BK2257" t="s">
        <v>99</v>
      </c>
      <c r="BL2257" t="s">
        <v>2993</v>
      </c>
      <c r="BM2257" t="s">
        <v>38330</v>
      </c>
      <c r="BN2257">
        <v>36570987</v>
      </c>
      <c r="BO2257" t="s">
        <v>916</v>
      </c>
      <c r="BP2257" t="s">
        <v>74</v>
      </c>
      <c r="BQ2257" t="s">
        <v>74</v>
      </c>
      <c r="BR2257" t="s">
        <v>102</v>
      </c>
      <c r="BS2257" t="s">
        <v>38331</v>
      </c>
      <c r="BT2257" t="str">
        <f>HYPERLINK("https%3A%2F%2Fwww.webofscience.com%2Fwos%2Fwoscc%2Ffull-record%2FWOS:000900728000001","View Full Record in Web of Science")</f>
        <v>View Full Record in Web of Science</v>
      </c>
    </row>
    <row r="2258" spans="1:72" x14ac:dyDescent="0.25">
      <c r="A2258" t="s">
        <v>72</v>
      </c>
      <c r="B2258" t="s">
        <v>38332</v>
      </c>
      <c r="C2258" t="s">
        <v>74</v>
      </c>
      <c r="D2258" t="s">
        <v>74</v>
      </c>
      <c r="E2258" t="s">
        <v>74</v>
      </c>
      <c r="F2258" t="s">
        <v>38333</v>
      </c>
      <c r="G2258" t="s">
        <v>74</v>
      </c>
      <c r="H2258" t="s">
        <v>74</v>
      </c>
      <c r="I2258" t="s">
        <v>38334</v>
      </c>
      <c r="J2258" t="s">
        <v>3056</v>
      </c>
      <c r="K2258" t="s">
        <v>74</v>
      </c>
      <c r="L2258" t="s">
        <v>74</v>
      </c>
      <c r="M2258" t="s">
        <v>78</v>
      </c>
      <c r="N2258" t="s">
        <v>79</v>
      </c>
      <c r="O2258" t="s">
        <v>74</v>
      </c>
      <c r="P2258" t="s">
        <v>74</v>
      </c>
      <c r="Q2258" t="s">
        <v>74</v>
      </c>
      <c r="R2258" t="s">
        <v>74</v>
      </c>
      <c r="S2258" t="s">
        <v>74</v>
      </c>
      <c r="T2258" t="s">
        <v>38335</v>
      </c>
      <c r="U2258" t="s">
        <v>7029</v>
      </c>
      <c r="V2258" t="s">
        <v>38336</v>
      </c>
      <c r="W2258" t="s">
        <v>38337</v>
      </c>
      <c r="X2258" t="s">
        <v>38338</v>
      </c>
      <c r="Y2258" t="s">
        <v>38339</v>
      </c>
      <c r="Z2258" t="s">
        <v>38340</v>
      </c>
      <c r="AA2258" t="s">
        <v>74</v>
      </c>
      <c r="AB2258" t="s">
        <v>74</v>
      </c>
      <c r="AC2258" t="s">
        <v>74</v>
      </c>
      <c r="AD2258" t="s">
        <v>74</v>
      </c>
      <c r="AE2258" t="s">
        <v>74</v>
      </c>
      <c r="AF2258" t="s">
        <v>74</v>
      </c>
      <c r="AG2258">
        <v>9</v>
      </c>
      <c r="AH2258">
        <v>0</v>
      </c>
      <c r="AI2258">
        <v>0</v>
      </c>
      <c r="AJ2258">
        <v>0</v>
      </c>
      <c r="AK2258">
        <v>8</v>
      </c>
      <c r="AL2258" t="s">
        <v>3064</v>
      </c>
      <c r="AM2258" t="s">
        <v>3065</v>
      </c>
      <c r="AN2258" t="s">
        <v>3066</v>
      </c>
      <c r="AO2258" t="s">
        <v>3067</v>
      </c>
      <c r="AP2258" t="s">
        <v>3068</v>
      </c>
      <c r="AQ2258" t="s">
        <v>74</v>
      </c>
      <c r="AR2258" t="s">
        <v>3069</v>
      </c>
      <c r="AS2258" t="s">
        <v>3070</v>
      </c>
      <c r="AT2258" t="s">
        <v>363</v>
      </c>
      <c r="AU2258">
        <v>2018</v>
      </c>
      <c r="AV2258">
        <v>14</v>
      </c>
      <c r="AW2258">
        <v>2</v>
      </c>
      <c r="AX2258" t="s">
        <v>74</v>
      </c>
      <c r="AY2258" t="s">
        <v>74</v>
      </c>
      <c r="AZ2258" t="s">
        <v>74</v>
      </c>
      <c r="BA2258" t="s">
        <v>74</v>
      </c>
      <c r="BB2258">
        <v>243</v>
      </c>
      <c r="BC2258">
        <v>251</v>
      </c>
      <c r="BD2258" t="s">
        <v>74</v>
      </c>
      <c r="BE2258" t="s">
        <v>38341</v>
      </c>
      <c r="BF2258" t="str">
        <f>HYPERLINK("http://dx.doi.org/10.5958/2322-0430.2018.00126.9","http://dx.doi.org/10.5958/2322-0430.2018.00126.9")</f>
        <v>http://dx.doi.org/10.5958/2322-0430.2018.00126.9</v>
      </c>
      <c r="BG2258" t="s">
        <v>74</v>
      </c>
      <c r="BH2258" t="s">
        <v>74</v>
      </c>
      <c r="BI2258">
        <v>9</v>
      </c>
      <c r="BJ2258" t="s">
        <v>291</v>
      </c>
      <c r="BK2258" t="s">
        <v>313</v>
      </c>
      <c r="BL2258" t="s">
        <v>100</v>
      </c>
      <c r="BM2258" t="s">
        <v>38342</v>
      </c>
      <c r="BN2258" t="s">
        <v>74</v>
      </c>
      <c r="BO2258" t="s">
        <v>74</v>
      </c>
      <c r="BP2258" t="s">
        <v>74</v>
      </c>
      <c r="BQ2258" t="s">
        <v>74</v>
      </c>
      <c r="BR2258" t="s">
        <v>102</v>
      </c>
      <c r="BS2258" t="s">
        <v>38343</v>
      </c>
      <c r="BT2258" t="str">
        <f>HYPERLINK("https%3A%2F%2Fwww.webofscience.com%2Fwos%2Fwoscc%2Ffull-record%2FWOS:000452793900005","View Full Record in Web of Science")</f>
        <v>View Full Record in Web of Science</v>
      </c>
    </row>
    <row r="2259" spans="1:72" x14ac:dyDescent="0.25">
      <c r="A2259" t="s">
        <v>72</v>
      </c>
      <c r="B2259" t="s">
        <v>38344</v>
      </c>
      <c r="C2259" t="s">
        <v>74</v>
      </c>
      <c r="D2259" t="s">
        <v>74</v>
      </c>
      <c r="E2259" t="s">
        <v>74</v>
      </c>
      <c r="F2259" t="s">
        <v>38345</v>
      </c>
      <c r="G2259" t="s">
        <v>74</v>
      </c>
      <c r="H2259" t="s">
        <v>74</v>
      </c>
      <c r="I2259" t="s">
        <v>38346</v>
      </c>
      <c r="J2259" t="s">
        <v>38347</v>
      </c>
      <c r="K2259" t="s">
        <v>74</v>
      </c>
      <c r="L2259" t="s">
        <v>74</v>
      </c>
      <c r="M2259" t="s">
        <v>78</v>
      </c>
      <c r="N2259" t="s">
        <v>79</v>
      </c>
      <c r="O2259" t="s">
        <v>74</v>
      </c>
      <c r="P2259" t="s">
        <v>74</v>
      </c>
      <c r="Q2259" t="s">
        <v>74</v>
      </c>
      <c r="R2259" t="s">
        <v>74</v>
      </c>
      <c r="S2259" t="s">
        <v>74</v>
      </c>
      <c r="T2259" t="s">
        <v>38348</v>
      </c>
      <c r="U2259" t="s">
        <v>38349</v>
      </c>
      <c r="V2259" t="s">
        <v>38350</v>
      </c>
      <c r="W2259" t="s">
        <v>38351</v>
      </c>
      <c r="X2259" t="s">
        <v>2476</v>
      </c>
      <c r="Y2259" t="s">
        <v>38352</v>
      </c>
      <c r="Z2259" t="s">
        <v>35320</v>
      </c>
      <c r="AA2259" t="s">
        <v>35321</v>
      </c>
      <c r="AB2259" t="s">
        <v>35322</v>
      </c>
      <c r="AC2259" t="s">
        <v>38353</v>
      </c>
      <c r="AD2259" t="s">
        <v>38353</v>
      </c>
      <c r="AE2259" t="s">
        <v>38354</v>
      </c>
      <c r="AF2259" t="s">
        <v>74</v>
      </c>
      <c r="AG2259">
        <v>54</v>
      </c>
      <c r="AH2259">
        <v>2</v>
      </c>
      <c r="AI2259">
        <v>3</v>
      </c>
      <c r="AJ2259">
        <v>1</v>
      </c>
      <c r="AK2259">
        <v>12</v>
      </c>
      <c r="AL2259" t="s">
        <v>23556</v>
      </c>
      <c r="AM2259" t="s">
        <v>17036</v>
      </c>
      <c r="AN2259" t="s">
        <v>38355</v>
      </c>
      <c r="AO2259" t="s">
        <v>38356</v>
      </c>
      <c r="AP2259" t="s">
        <v>38357</v>
      </c>
      <c r="AQ2259" t="s">
        <v>74</v>
      </c>
      <c r="AR2259" t="s">
        <v>38358</v>
      </c>
      <c r="AS2259" t="s">
        <v>38359</v>
      </c>
      <c r="AT2259" t="s">
        <v>8648</v>
      </c>
      <c r="AU2259">
        <v>2021</v>
      </c>
      <c r="AV2259">
        <v>17</v>
      </c>
      <c r="AW2259">
        <v>1</v>
      </c>
      <c r="AX2259" t="s">
        <v>74</v>
      </c>
      <c r="AY2259" t="s">
        <v>74</v>
      </c>
      <c r="AZ2259" t="s">
        <v>74</v>
      </c>
      <c r="BA2259" t="s">
        <v>74</v>
      </c>
      <c r="BB2259" t="s">
        <v>74</v>
      </c>
      <c r="BC2259" t="s">
        <v>74</v>
      </c>
      <c r="BD2259" t="s">
        <v>38360</v>
      </c>
      <c r="BE2259" t="s">
        <v>38361</v>
      </c>
      <c r="BF2259" t="str">
        <f>HYPERLINK("http://dx.doi.org/10.4102/td.v17i1.823","http://dx.doi.org/10.4102/td.v17i1.823")</f>
        <v>http://dx.doi.org/10.4102/td.v17i1.823</v>
      </c>
      <c r="BG2259" t="s">
        <v>74</v>
      </c>
      <c r="BH2259" t="s">
        <v>74</v>
      </c>
      <c r="BI2259">
        <v>11</v>
      </c>
      <c r="BJ2259" t="s">
        <v>364</v>
      </c>
      <c r="BK2259" t="s">
        <v>313</v>
      </c>
      <c r="BL2259" t="s">
        <v>365</v>
      </c>
      <c r="BM2259" t="s">
        <v>38362</v>
      </c>
      <c r="BN2259" t="s">
        <v>74</v>
      </c>
      <c r="BO2259" t="s">
        <v>916</v>
      </c>
      <c r="BP2259" t="s">
        <v>74</v>
      </c>
      <c r="BQ2259" t="s">
        <v>74</v>
      </c>
      <c r="BR2259" t="s">
        <v>102</v>
      </c>
      <c r="BS2259" t="s">
        <v>38363</v>
      </c>
      <c r="BT2259" t="str">
        <f>HYPERLINK("https%3A%2F%2Fwww.webofscience.com%2Fwos%2Fwoscc%2Ffull-record%2FWOS:000617781800001","View Full Record in Web of Science")</f>
        <v>View Full Record in Web of Science</v>
      </c>
    </row>
    <row r="2260" spans="1:72" x14ac:dyDescent="0.25">
      <c r="A2260" t="s">
        <v>72</v>
      </c>
      <c r="B2260" t="s">
        <v>38364</v>
      </c>
      <c r="C2260" t="s">
        <v>74</v>
      </c>
      <c r="D2260" t="s">
        <v>74</v>
      </c>
      <c r="E2260" t="s">
        <v>74</v>
      </c>
      <c r="F2260" t="s">
        <v>38365</v>
      </c>
      <c r="G2260" t="s">
        <v>74</v>
      </c>
      <c r="H2260" t="s">
        <v>74</v>
      </c>
      <c r="I2260" t="s">
        <v>38366</v>
      </c>
      <c r="J2260" t="s">
        <v>38367</v>
      </c>
      <c r="K2260" t="s">
        <v>74</v>
      </c>
      <c r="L2260" t="s">
        <v>74</v>
      </c>
      <c r="M2260" t="s">
        <v>78</v>
      </c>
      <c r="N2260" t="s">
        <v>79</v>
      </c>
      <c r="O2260" t="s">
        <v>74</v>
      </c>
      <c r="P2260" t="s">
        <v>74</v>
      </c>
      <c r="Q2260" t="s">
        <v>74</v>
      </c>
      <c r="R2260" t="s">
        <v>74</v>
      </c>
      <c r="S2260" t="s">
        <v>74</v>
      </c>
      <c r="T2260" t="s">
        <v>38368</v>
      </c>
      <c r="U2260" t="s">
        <v>38369</v>
      </c>
      <c r="V2260" t="s">
        <v>38370</v>
      </c>
      <c r="W2260" t="s">
        <v>38371</v>
      </c>
      <c r="X2260" t="s">
        <v>38372</v>
      </c>
      <c r="Y2260" t="s">
        <v>38373</v>
      </c>
      <c r="Z2260" t="s">
        <v>6029</v>
      </c>
      <c r="AA2260" t="s">
        <v>74</v>
      </c>
      <c r="AB2260" t="s">
        <v>74</v>
      </c>
      <c r="AC2260" t="s">
        <v>38374</v>
      </c>
      <c r="AD2260" t="s">
        <v>38374</v>
      </c>
      <c r="AE2260" t="s">
        <v>38375</v>
      </c>
      <c r="AF2260" t="s">
        <v>74</v>
      </c>
      <c r="AG2260">
        <v>19</v>
      </c>
      <c r="AH2260">
        <v>48</v>
      </c>
      <c r="AI2260">
        <v>67</v>
      </c>
      <c r="AJ2260">
        <v>1</v>
      </c>
      <c r="AK2260">
        <v>34</v>
      </c>
      <c r="AL2260" t="s">
        <v>38376</v>
      </c>
      <c r="AM2260" t="s">
        <v>2661</v>
      </c>
      <c r="AN2260" t="s">
        <v>38377</v>
      </c>
      <c r="AO2260" t="s">
        <v>38378</v>
      </c>
      <c r="AP2260" t="s">
        <v>38379</v>
      </c>
      <c r="AQ2260" t="s">
        <v>74</v>
      </c>
      <c r="AR2260" t="s">
        <v>38380</v>
      </c>
      <c r="AS2260" t="s">
        <v>38381</v>
      </c>
      <c r="AT2260" t="s">
        <v>38382</v>
      </c>
      <c r="AU2260">
        <v>2012</v>
      </c>
      <c r="AV2260">
        <v>109</v>
      </c>
      <c r="AW2260">
        <v>26</v>
      </c>
      <c r="AX2260" t="s">
        <v>74</v>
      </c>
      <c r="AY2260" t="s">
        <v>74</v>
      </c>
      <c r="AZ2260" t="s">
        <v>74</v>
      </c>
      <c r="BA2260" t="s">
        <v>74</v>
      </c>
      <c r="BB2260">
        <v>10257</v>
      </c>
      <c r="BC2260">
        <v>10262</v>
      </c>
      <c r="BD2260" t="s">
        <v>74</v>
      </c>
      <c r="BE2260" t="s">
        <v>38383</v>
      </c>
      <c r="BF2260" t="str">
        <f>HYPERLINK("http://dx.doi.org/10.1073/pnas.1115843109","http://dx.doi.org/10.1073/pnas.1115843109")</f>
        <v>http://dx.doi.org/10.1073/pnas.1115843109</v>
      </c>
      <c r="BG2260" t="s">
        <v>74</v>
      </c>
      <c r="BH2260" t="s">
        <v>74</v>
      </c>
      <c r="BI2260">
        <v>6</v>
      </c>
      <c r="BJ2260" t="s">
        <v>559</v>
      </c>
      <c r="BK2260" t="s">
        <v>2623</v>
      </c>
      <c r="BL2260" t="s">
        <v>560</v>
      </c>
      <c r="BM2260" t="s">
        <v>38384</v>
      </c>
      <c r="BN2260">
        <v>22689945</v>
      </c>
      <c r="BO2260" t="s">
        <v>74</v>
      </c>
      <c r="BP2260" t="s">
        <v>74</v>
      </c>
      <c r="BQ2260" t="s">
        <v>74</v>
      </c>
      <c r="BR2260" t="s">
        <v>102</v>
      </c>
      <c r="BS2260" t="s">
        <v>38385</v>
      </c>
      <c r="BT2260" t="str">
        <f>HYPERLINK("https%3A%2F%2Fwww.webofscience.com%2Fwos%2Fwoscc%2Ffull-record%2FWOS:000306291400040","View Full Record in Web of Science")</f>
        <v>View Full Record in Web of Science</v>
      </c>
    </row>
    <row r="2261" spans="1:72" x14ac:dyDescent="0.25">
      <c r="A2261" t="s">
        <v>72</v>
      </c>
      <c r="B2261" t="s">
        <v>27288</v>
      </c>
      <c r="C2261" t="s">
        <v>74</v>
      </c>
      <c r="D2261" t="s">
        <v>74</v>
      </c>
      <c r="E2261" t="s">
        <v>74</v>
      </c>
      <c r="F2261" t="s">
        <v>27287</v>
      </c>
      <c r="G2261" t="s">
        <v>74</v>
      </c>
      <c r="H2261" t="s">
        <v>74</v>
      </c>
      <c r="I2261" t="s">
        <v>38386</v>
      </c>
      <c r="J2261" t="s">
        <v>1168</v>
      </c>
      <c r="K2261" t="s">
        <v>74</v>
      </c>
      <c r="L2261" t="s">
        <v>74</v>
      </c>
      <c r="M2261" t="s">
        <v>78</v>
      </c>
      <c r="N2261" t="s">
        <v>79</v>
      </c>
      <c r="O2261" t="s">
        <v>74</v>
      </c>
      <c r="P2261" t="s">
        <v>74</v>
      </c>
      <c r="Q2261" t="s">
        <v>74</v>
      </c>
      <c r="R2261" t="s">
        <v>74</v>
      </c>
      <c r="S2261" t="s">
        <v>74</v>
      </c>
      <c r="T2261" t="s">
        <v>38387</v>
      </c>
      <c r="U2261" t="s">
        <v>38388</v>
      </c>
      <c r="V2261" t="s">
        <v>38389</v>
      </c>
      <c r="W2261" t="s">
        <v>38390</v>
      </c>
      <c r="X2261" t="s">
        <v>7032</v>
      </c>
      <c r="Y2261" t="s">
        <v>38391</v>
      </c>
      <c r="Z2261" t="s">
        <v>12156</v>
      </c>
      <c r="AA2261" t="s">
        <v>74</v>
      </c>
      <c r="AB2261" t="s">
        <v>12157</v>
      </c>
      <c r="AC2261" t="s">
        <v>74</v>
      </c>
      <c r="AD2261" t="s">
        <v>74</v>
      </c>
      <c r="AE2261" t="s">
        <v>74</v>
      </c>
      <c r="AF2261" t="s">
        <v>74</v>
      </c>
      <c r="AG2261">
        <v>65</v>
      </c>
      <c r="AH2261">
        <v>4</v>
      </c>
      <c r="AI2261">
        <v>7</v>
      </c>
      <c r="AJ2261">
        <v>0</v>
      </c>
      <c r="AK2261">
        <v>2</v>
      </c>
      <c r="AL2261" t="s">
        <v>332</v>
      </c>
      <c r="AM2261" t="s">
        <v>333</v>
      </c>
      <c r="AN2261" t="s">
        <v>334</v>
      </c>
      <c r="AO2261" t="s">
        <v>1179</v>
      </c>
      <c r="AP2261" t="s">
        <v>1180</v>
      </c>
      <c r="AQ2261" t="s">
        <v>74</v>
      </c>
      <c r="AR2261" t="s">
        <v>1181</v>
      </c>
      <c r="AS2261" t="s">
        <v>1182</v>
      </c>
      <c r="AT2261" t="s">
        <v>958</v>
      </c>
      <c r="AU2261">
        <v>2020</v>
      </c>
      <c r="AV2261">
        <v>21</v>
      </c>
      <c r="AW2261">
        <v>3</v>
      </c>
      <c r="AX2261" t="s">
        <v>74</v>
      </c>
      <c r="AY2261" t="s">
        <v>74</v>
      </c>
      <c r="AZ2261" t="s">
        <v>74</v>
      </c>
      <c r="BA2261" t="s">
        <v>74</v>
      </c>
      <c r="BB2261">
        <v>355</v>
      </c>
      <c r="BC2261">
        <v>374</v>
      </c>
      <c r="BD2261" t="s">
        <v>74</v>
      </c>
      <c r="BE2261" t="s">
        <v>38392</v>
      </c>
      <c r="BF2261" t="str">
        <f>HYPERLINK("http://dx.doi.org/10.1080/15228916.2019.1646601","http://dx.doi.org/10.1080/15228916.2019.1646601")</f>
        <v>http://dx.doi.org/10.1080/15228916.2019.1646601</v>
      </c>
      <c r="BG2261" t="s">
        <v>74</v>
      </c>
      <c r="BH2261" t="s">
        <v>74</v>
      </c>
      <c r="BI2261">
        <v>20</v>
      </c>
      <c r="BJ2261" t="s">
        <v>418</v>
      </c>
      <c r="BK2261" t="s">
        <v>313</v>
      </c>
      <c r="BL2261" t="s">
        <v>100</v>
      </c>
      <c r="BM2261" t="s">
        <v>38393</v>
      </c>
      <c r="BN2261" t="s">
        <v>74</v>
      </c>
      <c r="BO2261" t="s">
        <v>74</v>
      </c>
      <c r="BP2261" t="s">
        <v>74</v>
      </c>
      <c r="BQ2261" t="s">
        <v>74</v>
      </c>
      <c r="BR2261" t="s">
        <v>102</v>
      </c>
      <c r="BS2261" t="s">
        <v>38394</v>
      </c>
      <c r="BT2261" t="str">
        <f>HYPERLINK("https%3A%2F%2Fwww.webofscience.com%2Fwos%2Fwoscc%2Ffull-record%2FWOS:000747110400004","View Full Record in Web of Science")</f>
        <v>View Full Record in Web of Science</v>
      </c>
    </row>
    <row r="2262" spans="1:72" x14ac:dyDescent="0.25">
      <c r="A2262" t="s">
        <v>72</v>
      </c>
      <c r="B2262" t="s">
        <v>38395</v>
      </c>
      <c r="C2262" t="s">
        <v>74</v>
      </c>
      <c r="D2262" t="s">
        <v>74</v>
      </c>
      <c r="E2262" t="s">
        <v>74</v>
      </c>
      <c r="F2262" t="s">
        <v>38396</v>
      </c>
      <c r="G2262" t="s">
        <v>74</v>
      </c>
      <c r="H2262" t="s">
        <v>74</v>
      </c>
      <c r="I2262" t="s">
        <v>38397</v>
      </c>
      <c r="J2262" t="s">
        <v>9191</v>
      </c>
      <c r="K2262" t="s">
        <v>74</v>
      </c>
      <c r="L2262" t="s">
        <v>74</v>
      </c>
      <c r="M2262" t="s">
        <v>78</v>
      </c>
      <c r="N2262" t="s">
        <v>79</v>
      </c>
      <c r="O2262" t="s">
        <v>74</v>
      </c>
      <c r="P2262" t="s">
        <v>74</v>
      </c>
      <c r="Q2262" t="s">
        <v>74</v>
      </c>
      <c r="R2262" t="s">
        <v>74</v>
      </c>
      <c r="S2262" t="s">
        <v>74</v>
      </c>
      <c r="T2262" t="s">
        <v>38398</v>
      </c>
      <c r="U2262" t="s">
        <v>8565</v>
      </c>
      <c r="V2262" t="s">
        <v>38399</v>
      </c>
      <c r="W2262" t="s">
        <v>38400</v>
      </c>
      <c r="X2262" t="s">
        <v>38401</v>
      </c>
      <c r="Y2262" t="s">
        <v>38402</v>
      </c>
      <c r="Z2262" t="s">
        <v>38403</v>
      </c>
      <c r="AA2262" t="s">
        <v>74</v>
      </c>
      <c r="AB2262" t="s">
        <v>38404</v>
      </c>
      <c r="AC2262" t="s">
        <v>74</v>
      </c>
      <c r="AD2262" t="s">
        <v>74</v>
      </c>
      <c r="AE2262" t="s">
        <v>74</v>
      </c>
      <c r="AF2262" t="s">
        <v>74</v>
      </c>
      <c r="AG2262">
        <v>46</v>
      </c>
      <c r="AH2262">
        <v>9</v>
      </c>
      <c r="AI2262">
        <v>13</v>
      </c>
      <c r="AJ2262">
        <v>3</v>
      </c>
      <c r="AK2262">
        <v>46</v>
      </c>
      <c r="AL2262" t="s">
        <v>9204</v>
      </c>
      <c r="AM2262" t="s">
        <v>2016</v>
      </c>
      <c r="AN2262" t="s">
        <v>9205</v>
      </c>
      <c r="AO2262" t="s">
        <v>74</v>
      </c>
      <c r="AP2262" t="s">
        <v>9206</v>
      </c>
      <c r="AQ2262" t="s">
        <v>74</v>
      </c>
      <c r="AR2262" t="s">
        <v>9191</v>
      </c>
      <c r="AS2262" t="s">
        <v>9207</v>
      </c>
      <c r="AT2262" t="s">
        <v>605</v>
      </c>
      <c r="AU2262">
        <v>2023</v>
      </c>
      <c r="AV2262">
        <v>9</v>
      </c>
      <c r="AW2262">
        <v>3</v>
      </c>
      <c r="AX2262" t="s">
        <v>74</v>
      </c>
      <c r="AY2262" t="s">
        <v>74</v>
      </c>
      <c r="AZ2262" t="s">
        <v>74</v>
      </c>
      <c r="BA2262" t="s">
        <v>74</v>
      </c>
      <c r="BB2262" t="s">
        <v>74</v>
      </c>
      <c r="BC2262" t="s">
        <v>74</v>
      </c>
      <c r="BD2262" t="s">
        <v>38405</v>
      </c>
      <c r="BE2262" t="s">
        <v>38406</v>
      </c>
      <c r="BF2262" t="str">
        <f>HYPERLINK("http://dx.doi.org/10.1016/j.heliyon.2023.e14596","http://dx.doi.org/10.1016/j.heliyon.2023.e14596")</f>
        <v>http://dx.doi.org/10.1016/j.heliyon.2023.e14596</v>
      </c>
      <c r="BG2262" t="s">
        <v>74</v>
      </c>
      <c r="BH2262" t="s">
        <v>3595</v>
      </c>
      <c r="BI2262">
        <v>14</v>
      </c>
      <c r="BJ2262" t="s">
        <v>559</v>
      </c>
      <c r="BK2262" t="s">
        <v>128</v>
      </c>
      <c r="BL2262" t="s">
        <v>560</v>
      </c>
      <c r="BM2262" t="s">
        <v>38407</v>
      </c>
      <c r="BN2262">
        <v>36950562</v>
      </c>
      <c r="BO2262" t="s">
        <v>916</v>
      </c>
      <c r="BP2262" t="s">
        <v>74</v>
      </c>
      <c r="BQ2262" t="s">
        <v>74</v>
      </c>
      <c r="BR2262" t="s">
        <v>102</v>
      </c>
      <c r="BS2262" t="s">
        <v>38408</v>
      </c>
      <c r="BT2262" t="str">
        <f>HYPERLINK("https%3A%2F%2Fwww.webofscience.com%2Fwos%2Fwoscc%2Ffull-record%2FWOS:000969221600001","View Full Record in Web of Science")</f>
        <v>View Full Record in Web of Science</v>
      </c>
    </row>
    <row r="2263" spans="1:72" x14ac:dyDescent="0.25">
      <c r="A2263" t="s">
        <v>72</v>
      </c>
      <c r="B2263" t="s">
        <v>38409</v>
      </c>
      <c r="C2263" t="s">
        <v>74</v>
      </c>
      <c r="D2263" t="s">
        <v>74</v>
      </c>
      <c r="E2263" t="s">
        <v>74</v>
      </c>
      <c r="F2263" t="s">
        <v>38410</v>
      </c>
      <c r="G2263" t="s">
        <v>74</v>
      </c>
      <c r="H2263" t="s">
        <v>74</v>
      </c>
      <c r="I2263" t="s">
        <v>38411</v>
      </c>
      <c r="J2263" t="s">
        <v>34693</v>
      </c>
      <c r="K2263" t="s">
        <v>74</v>
      </c>
      <c r="L2263" t="s">
        <v>74</v>
      </c>
      <c r="M2263" t="s">
        <v>78</v>
      </c>
      <c r="N2263" t="s">
        <v>79</v>
      </c>
      <c r="O2263" t="s">
        <v>74</v>
      </c>
      <c r="P2263" t="s">
        <v>74</v>
      </c>
      <c r="Q2263" t="s">
        <v>74</v>
      </c>
      <c r="R2263" t="s">
        <v>74</v>
      </c>
      <c r="S2263" t="s">
        <v>74</v>
      </c>
      <c r="T2263" t="s">
        <v>38412</v>
      </c>
      <c r="U2263" t="s">
        <v>38413</v>
      </c>
      <c r="V2263" t="s">
        <v>38414</v>
      </c>
      <c r="W2263" t="s">
        <v>38415</v>
      </c>
      <c r="X2263" t="s">
        <v>38416</v>
      </c>
      <c r="Y2263" t="s">
        <v>38417</v>
      </c>
      <c r="Z2263" t="s">
        <v>38418</v>
      </c>
      <c r="AA2263" t="s">
        <v>38419</v>
      </c>
      <c r="AB2263" t="s">
        <v>74</v>
      </c>
      <c r="AC2263" t="s">
        <v>38420</v>
      </c>
      <c r="AD2263" t="s">
        <v>38421</v>
      </c>
      <c r="AE2263" t="s">
        <v>38422</v>
      </c>
      <c r="AF2263" t="s">
        <v>74</v>
      </c>
      <c r="AG2263">
        <v>61</v>
      </c>
      <c r="AH2263">
        <v>5</v>
      </c>
      <c r="AI2263">
        <v>18</v>
      </c>
      <c r="AJ2263">
        <v>0</v>
      </c>
      <c r="AK2263">
        <v>8</v>
      </c>
      <c r="AL2263" t="s">
        <v>34703</v>
      </c>
      <c r="AM2263" t="s">
        <v>34704</v>
      </c>
      <c r="AN2263" t="s">
        <v>34705</v>
      </c>
      <c r="AO2263" t="s">
        <v>34706</v>
      </c>
      <c r="AP2263" t="s">
        <v>74</v>
      </c>
      <c r="AQ2263" t="s">
        <v>74</v>
      </c>
      <c r="AR2263" t="s">
        <v>34707</v>
      </c>
      <c r="AS2263" t="s">
        <v>34708</v>
      </c>
      <c r="AT2263" t="s">
        <v>74</v>
      </c>
      <c r="AU2263">
        <v>2022</v>
      </c>
      <c r="AV2263">
        <v>26</v>
      </c>
      <c r="AW2263">
        <v>2</v>
      </c>
      <c r="AX2263" t="s">
        <v>74</v>
      </c>
      <c r="AY2263" t="s">
        <v>74</v>
      </c>
      <c r="AZ2263" t="s">
        <v>74</v>
      </c>
      <c r="BA2263" t="s">
        <v>74</v>
      </c>
      <c r="BB2263">
        <v>265</v>
      </c>
      <c r="BC2263">
        <v>279</v>
      </c>
      <c r="BD2263" t="s">
        <v>74</v>
      </c>
      <c r="BE2263" t="s">
        <v>38423</v>
      </c>
      <c r="BF2263" t="str">
        <f>HYPERLINK("http://dx.doi.org/10.17512/pjms.2022.26.2.16","http://dx.doi.org/10.17512/pjms.2022.26.2.16")</f>
        <v>http://dx.doi.org/10.17512/pjms.2022.26.2.16</v>
      </c>
      <c r="BG2263" t="s">
        <v>74</v>
      </c>
      <c r="BH2263" t="s">
        <v>74</v>
      </c>
      <c r="BI2263">
        <v>15</v>
      </c>
      <c r="BJ2263" t="s">
        <v>583</v>
      </c>
      <c r="BK2263" t="s">
        <v>313</v>
      </c>
      <c r="BL2263" t="s">
        <v>100</v>
      </c>
      <c r="BM2263" t="s">
        <v>38424</v>
      </c>
      <c r="BN2263" t="s">
        <v>74</v>
      </c>
      <c r="BO2263" t="s">
        <v>916</v>
      </c>
      <c r="BP2263" t="s">
        <v>74</v>
      </c>
      <c r="BQ2263" t="s">
        <v>74</v>
      </c>
      <c r="BR2263" t="s">
        <v>102</v>
      </c>
      <c r="BS2263" t="s">
        <v>38425</v>
      </c>
      <c r="BT2263" t="str">
        <f>HYPERLINK("https%3A%2F%2Fwww.webofscience.com%2Fwos%2Fwoscc%2Ffull-record%2FWOS:000954696800016","View Full Record in Web of Science")</f>
        <v>View Full Record in Web of Science</v>
      </c>
    </row>
    <row r="2264" spans="1:72" x14ac:dyDescent="0.25">
      <c r="A2264" t="s">
        <v>72</v>
      </c>
      <c r="B2264" t="s">
        <v>38426</v>
      </c>
      <c r="C2264" t="s">
        <v>74</v>
      </c>
      <c r="D2264" t="s">
        <v>74</v>
      </c>
      <c r="E2264" t="s">
        <v>74</v>
      </c>
      <c r="F2264" t="s">
        <v>38427</v>
      </c>
      <c r="G2264" t="s">
        <v>74</v>
      </c>
      <c r="H2264" t="s">
        <v>74</v>
      </c>
      <c r="I2264" t="s">
        <v>38428</v>
      </c>
      <c r="J2264" t="s">
        <v>4521</v>
      </c>
      <c r="K2264" t="s">
        <v>74</v>
      </c>
      <c r="L2264" t="s">
        <v>74</v>
      </c>
      <c r="M2264" t="s">
        <v>78</v>
      </c>
      <c r="N2264" t="s">
        <v>79</v>
      </c>
      <c r="O2264" t="s">
        <v>74</v>
      </c>
      <c r="P2264" t="s">
        <v>74</v>
      </c>
      <c r="Q2264" t="s">
        <v>74</v>
      </c>
      <c r="R2264" t="s">
        <v>74</v>
      </c>
      <c r="S2264" t="s">
        <v>74</v>
      </c>
      <c r="T2264" t="s">
        <v>38429</v>
      </c>
      <c r="U2264" t="s">
        <v>38430</v>
      </c>
      <c r="V2264" t="s">
        <v>38431</v>
      </c>
      <c r="W2264" t="s">
        <v>38432</v>
      </c>
      <c r="X2264" t="s">
        <v>38433</v>
      </c>
      <c r="Y2264" t="s">
        <v>38434</v>
      </c>
      <c r="Z2264" t="s">
        <v>8062</v>
      </c>
      <c r="AA2264" t="s">
        <v>8063</v>
      </c>
      <c r="AB2264" t="s">
        <v>8064</v>
      </c>
      <c r="AC2264" t="s">
        <v>74</v>
      </c>
      <c r="AD2264" t="s">
        <v>74</v>
      </c>
      <c r="AE2264" t="s">
        <v>74</v>
      </c>
      <c r="AF2264" t="s">
        <v>74</v>
      </c>
      <c r="AG2264">
        <v>54</v>
      </c>
      <c r="AH2264">
        <v>2</v>
      </c>
      <c r="AI2264">
        <v>2</v>
      </c>
      <c r="AJ2264">
        <v>0</v>
      </c>
      <c r="AK2264">
        <v>0</v>
      </c>
      <c r="AL2264" t="s">
        <v>409</v>
      </c>
      <c r="AM2264" t="s">
        <v>410</v>
      </c>
      <c r="AN2264" t="s">
        <v>411</v>
      </c>
      <c r="AO2264" t="s">
        <v>4529</v>
      </c>
      <c r="AP2264" t="s">
        <v>4530</v>
      </c>
      <c r="AQ2264" t="s">
        <v>74</v>
      </c>
      <c r="AR2264" t="s">
        <v>4531</v>
      </c>
      <c r="AS2264" t="s">
        <v>4532</v>
      </c>
      <c r="AT2264" t="s">
        <v>698</v>
      </c>
      <c r="AU2264">
        <v>2025</v>
      </c>
      <c r="AV2264">
        <v>24</v>
      </c>
      <c r="AW2264">
        <v>3</v>
      </c>
      <c r="AX2264" t="s">
        <v>74</v>
      </c>
      <c r="AY2264" t="s">
        <v>74</v>
      </c>
      <c r="AZ2264" t="s">
        <v>74</v>
      </c>
      <c r="BA2264" t="s">
        <v>74</v>
      </c>
      <c r="BB2264">
        <v>331</v>
      </c>
      <c r="BC2264">
        <v>359</v>
      </c>
      <c r="BD2264" t="s">
        <v>74</v>
      </c>
      <c r="BE2264" t="s">
        <v>38435</v>
      </c>
      <c r="BF2264" t="str">
        <f>HYPERLINK("http://dx.doi.org/10.1177/09726527251320228","http://dx.doi.org/10.1177/09726527251320228")</f>
        <v>http://dx.doi.org/10.1177/09726527251320228</v>
      </c>
      <c r="BG2264" t="s">
        <v>74</v>
      </c>
      <c r="BH2264" t="s">
        <v>2781</v>
      </c>
      <c r="BI2264">
        <v>29</v>
      </c>
      <c r="BJ2264" t="s">
        <v>268</v>
      </c>
      <c r="BK2264" t="s">
        <v>313</v>
      </c>
      <c r="BL2264" t="s">
        <v>100</v>
      </c>
      <c r="BM2264" t="s">
        <v>38436</v>
      </c>
      <c r="BN2264" t="s">
        <v>74</v>
      </c>
      <c r="BO2264" t="s">
        <v>270</v>
      </c>
      <c r="BP2264" t="s">
        <v>74</v>
      </c>
      <c r="BQ2264" t="s">
        <v>74</v>
      </c>
      <c r="BR2264" t="s">
        <v>102</v>
      </c>
      <c r="BS2264" t="s">
        <v>38437</v>
      </c>
      <c r="BT2264" t="str">
        <f>HYPERLINK("https%3A%2F%2Fwww.webofscience.com%2Fwos%2Fwoscc%2Ffull-record%2FWOS:001450515400001","View Full Record in Web of Science")</f>
        <v>View Full Record in Web of Science</v>
      </c>
    </row>
    <row r="2265" spans="1:72" x14ac:dyDescent="0.25">
      <c r="A2265" t="s">
        <v>72</v>
      </c>
      <c r="B2265" t="s">
        <v>38438</v>
      </c>
      <c r="C2265" t="s">
        <v>74</v>
      </c>
      <c r="D2265" t="s">
        <v>74</v>
      </c>
      <c r="E2265" t="s">
        <v>74</v>
      </c>
      <c r="F2265" t="s">
        <v>38439</v>
      </c>
      <c r="G2265" t="s">
        <v>74</v>
      </c>
      <c r="H2265" t="s">
        <v>74</v>
      </c>
      <c r="I2265" t="s">
        <v>38440</v>
      </c>
      <c r="J2265" t="s">
        <v>38441</v>
      </c>
      <c r="K2265" t="s">
        <v>74</v>
      </c>
      <c r="L2265" t="s">
        <v>74</v>
      </c>
      <c r="M2265" t="s">
        <v>78</v>
      </c>
      <c r="N2265" t="s">
        <v>79</v>
      </c>
      <c r="O2265" t="s">
        <v>74</v>
      </c>
      <c r="P2265" t="s">
        <v>74</v>
      </c>
      <c r="Q2265" t="s">
        <v>74</v>
      </c>
      <c r="R2265" t="s">
        <v>74</v>
      </c>
      <c r="S2265" t="s">
        <v>74</v>
      </c>
      <c r="T2265" t="s">
        <v>38442</v>
      </c>
      <c r="U2265" t="s">
        <v>38443</v>
      </c>
      <c r="V2265" t="s">
        <v>38444</v>
      </c>
      <c r="W2265" t="s">
        <v>38445</v>
      </c>
      <c r="X2265" t="s">
        <v>38446</v>
      </c>
      <c r="Y2265" t="s">
        <v>38447</v>
      </c>
      <c r="Z2265" t="s">
        <v>38448</v>
      </c>
      <c r="AA2265" t="s">
        <v>38449</v>
      </c>
      <c r="AB2265" t="s">
        <v>74</v>
      </c>
      <c r="AC2265" t="s">
        <v>74</v>
      </c>
      <c r="AD2265" t="s">
        <v>74</v>
      </c>
      <c r="AE2265" t="s">
        <v>74</v>
      </c>
      <c r="AF2265" t="s">
        <v>74</v>
      </c>
      <c r="AG2265">
        <v>105</v>
      </c>
      <c r="AH2265">
        <v>3</v>
      </c>
      <c r="AI2265">
        <v>3</v>
      </c>
      <c r="AJ2265">
        <v>5</v>
      </c>
      <c r="AK2265">
        <v>9</v>
      </c>
      <c r="AL2265" t="s">
        <v>16843</v>
      </c>
      <c r="AM2265" t="s">
        <v>16844</v>
      </c>
      <c r="AN2265" t="s">
        <v>16845</v>
      </c>
      <c r="AO2265" t="s">
        <v>38450</v>
      </c>
      <c r="AP2265" t="s">
        <v>38451</v>
      </c>
      <c r="AQ2265" t="s">
        <v>74</v>
      </c>
      <c r="AR2265" t="s">
        <v>38452</v>
      </c>
      <c r="AS2265" t="s">
        <v>38453</v>
      </c>
      <c r="AT2265" t="s">
        <v>1652</v>
      </c>
      <c r="AU2265">
        <v>2024</v>
      </c>
      <c r="AV2265">
        <v>16</v>
      </c>
      <c r="AW2265">
        <v>2</v>
      </c>
      <c r="AX2265" t="s">
        <v>74</v>
      </c>
      <c r="AY2265" t="s">
        <v>74</v>
      </c>
      <c r="AZ2265" t="s">
        <v>74</v>
      </c>
      <c r="BA2265" t="s">
        <v>74</v>
      </c>
      <c r="BB2265">
        <v>55</v>
      </c>
      <c r="BC2265">
        <v>74</v>
      </c>
      <c r="BD2265" t="s">
        <v>74</v>
      </c>
      <c r="BE2265" t="s">
        <v>38454</v>
      </c>
      <c r="BF2265" t="str">
        <f>HYPERLINK("http://dx.doi.org/10.17705/1pais.16203","http://dx.doi.org/10.17705/1pais.16203")</f>
        <v>http://dx.doi.org/10.17705/1pais.16203</v>
      </c>
      <c r="BG2265" t="s">
        <v>74</v>
      </c>
      <c r="BH2265" t="s">
        <v>74</v>
      </c>
      <c r="BI2265">
        <v>20</v>
      </c>
      <c r="BJ2265" t="s">
        <v>2351</v>
      </c>
      <c r="BK2265" t="s">
        <v>313</v>
      </c>
      <c r="BL2265" t="s">
        <v>2351</v>
      </c>
      <c r="BM2265" t="s">
        <v>38455</v>
      </c>
      <c r="BN2265" t="s">
        <v>74</v>
      </c>
      <c r="BO2265" t="s">
        <v>74</v>
      </c>
      <c r="BP2265" t="s">
        <v>74</v>
      </c>
      <c r="BQ2265" t="s">
        <v>74</v>
      </c>
      <c r="BR2265" t="s">
        <v>102</v>
      </c>
      <c r="BS2265" t="s">
        <v>38456</v>
      </c>
      <c r="BT2265" t="str">
        <f>HYPERLINK("https%3A%2F%2Fwww.webofscience.com%2Fwos%2Fwoscc%2Ffull-record%2FWOS:001286019900003","View Full Record in Web of Science")</f>
        <v>View Full Record in Web of Science</v>
      </c>
    </row>
    <row r="2266" spans="1:72" x14ac:dyDescent="0.25">
      <c r="A2266" t="s">
        <v>72</v>
      </c>
      <c r="B2266" t="s">
        <v>38457</v>
      </c>
      <c r="C2266" t="s">
        <v>74</v>
      </c>
      <c r="D2266" t="s">
        <v>74</v>
      </c>
      <c r="E2266" t="s">
        <v>74</v>
      </c>
      <c r="F2266" t="s">
        <v>38458</v>
      </c>
      <c r="G2266" t="s">
        <v>74</v>
      </c>
      <c r="H2266" t="s">
        <v>74</v>
      </c>
      <c r="I2266" t="s">
        <v>38459</v>
      </c>
      <c r="J2266" t="s">
        <v>107</v>
      </c>
      <c r="K2266" t="s">
        <v>74</v>
      </c>
      <c r="L2266" t="s">
        <v>74</v>
      </c>
      <c r="M2266" t="s">
        <v>78</v>
      </c>
      <c r="N2266" t="s">
        <v>79</v>
      </c>
      <c r="O2266" t="s">
        <v>74</v>
      </c>
      <c r="P2266" t="s">
        <v>74</v>
      </c>
      <c r="Q2266" t="s">
        <v>74</v>
      </c>
      <c r="R2266" t="s">
        <v>74</v>
      </c>
      <c r="S2266" t="s">
        <v>74</v>
      </c>
      <c r="T2266" t="s">
        <v>38460</v>
      </c>
      <c r="U2266" t="s">
        <v>38461</v>
      </c>
      <c r="V2266" t="s">
        <v>38462</v>
      </c>
      <c r="W2266" t="s">
        <v>38463</v>
      </c>
      <c r="X2266" t="s">
        <v>38464</v>
      </c>
      <c r="Y2266" t="s">
        <v>38465</v>
      </c>
      <c r="Z2266" t="s">
        <v>38466</v>
      </c>
      <c r="AA2266" t="s">
        <v>38467</v>
      </c>
      <c r="AB2266" t="s">
        <v>38468</v>
      </c>
      <c r="AC2266" t="s">
        <v>74</v>
      </c>
      <c r="AD2266" t="s">
        <v>74</v>
      </c>
      <c r="AE2266" t="s">
        <v>74</v>
      </c>
      <c r="AF2266" t="s">
        <v>74</v>
      </c>
      <c r="AG2266">
        <v>49</v>
      </c>
      <c r="AH2266">
        <v>58</v>
      </c>
      <c r="AI2266">
        <v>63</v>
      </c>
      <c r="AJ2266">
        <v>7</v>
      </c>
      <c r="AK2266">
        <v>189</v>
      </c>
      <c r="AL2266" t="s">
        <v>117</v>
      </c>
      <c r="AM2266" t="s">
        <v>118</v>
      </c>
      <c r="AN2266" t="s">
        <v>119</v>
      </c>
      <c r="AO2266" t="s">
        <v>120</v>
      </c>
      <c r="AP2266" t="s">
        <v>121</v>
      </c>
      <c r="AQ2266" t="s">
        <v>74</v>
      </c>
      <c r="AR2266" t="s">
        <v>122</v>
      </c>
      <c r="AS2266" t="s">
        <v>123</v>
      </c>
      <c r="AT2266" t="s">
        <v>208</v>
      </c>
      <c r="AU2266">
        <v>2023</v>
      </c>
      <c r="AV2266">
        <v>30</v>
      </c>
      <c r="AW2266">
        <v>2</v>
      </c>
      <c r="AX2266" t="s">
        <v>74</v>
      </c>
      <c r="AY2266" t="s">
        <v>74</v>
      </c>
      <c r="AZ2266" t="s">
        <v>74</v>
      </c>
      <c r="BA2266" t="s">
        <v>74</v>
      </c>
      <c r="BB2266">
        <v>2813</v>
      </c>
      <c r="BC2266">
        <v>2835</v>
      </c>
      <c r="BD2266" t="s">
        <v>74</v>
      </c>
      <c r="BE2266" t="s">
        <v>38469</v>
      </c>
      <c r="BF2266" t="str">
        <f>HYPERLINK("http://dx.doi.org/10.1007/s11356-022-22320-5","http://dx.doi.org/10.1007/s11356-022-22320-5")</f>
        <v>http://dx.doi.org/10.1007/s11356-022-22320-5</v>
      </c>
      <c r="BG2266" t="s">
        <v>74</v>
      </c>
      <c r="BH2266" t="s">
        <v>2328</v>
      </c>
      <c r="BI2266">
        <v>23</v>
      </c>
      <c r="BJ2266" t="s">
        <v>127</v>
      </c>
      <c r="BK2266" t="s">
        <v>128</v>
      </c>
      <c r="BL2266" t="s">
        <v>129</v>
      </c>
      <c r="BM2266" t="s">
        <v>38470</v>
      </c>
      <c r="BN2266">
        <v>35939189</v>
      </c>
      <c r="BO2266" t="s">
        <v>678</v>
      </c>
      <c r="BP2266" t="s">
        <v>74</v>
      </c>
      <c r="BQ2266" t="s">
        <v>74</v>
      </c>
      <c r="BR2266" t="s">
        <v>102</v>
      </c>
      <c r="BS2266" t="s">
        <v>38471</v>
      </c>
      <c r="BT2266" t="str">
        <f>HYPERLINK("https%3A%2F%2Fwww.webofscience.com%2Fwos%2Fwoscc%2Ffull-record%2FWOS:000837535600019","View Full Record in Web of Science")</f>
        <v>View Full Record in Web of Science</v>
      </c>
    </row>
    <row r="2267" spans="1:72" x14ac:dyDescent="0.25">
      <c r="A2267" t="s">
        <v>72</v>
      </c>
      <c r="B2267" t="s">
        <v>38472</v>
      </c>
      <c r="C2267" t="s">
        <v>74</v>
      </c>
      <c r="D2267" t="s">
        <v>74</v>
      </c>
      <c r="E2267" t="s">
        <v>74</v>
      </c>
      <c r="F2267" t="s">
        <v>38473</v>
      </c>
      <c r="G2267" t="s">
        <v>74</v>
      </c>
      <c r="H2267" t="s">
        <v>74</v>
      </c>
      <c r="I2267" t="s">
        <v>38474</v>
      </c>
      <c r="J2267" t="s">
        <v>22709</v>
      </c>
      <c r="K2267" t="s">
        <v>74</v>
      </c>
      <c r="L2267" t="s">
        <v>74</v>
      </c>
      <c r="M2267" t="s">
        <v>10270</v>
      </c>
      <c r="N2267" t="s">
        <v>79</v>
      </c>
      <c r="O2267" t="s">
        <v>74</v>
      </c>
      <c r="P2267" t="s">
        <v>74</v>
      </c>
      <c r="Q2267" t="s">
        <v>74</v>
      </c>
      <c r="R2267" t="s">
        <v>74</v>
      </c>
      <c r="S2267" t="s">
        <v>74</v>
      </c>
      <c r="T2267" t="s">
        <v>74</v>
      </c>
      <c r="U2267" t="s">
        <v>8288</v>
      </c>
      <c r="V2267" t="s">
        <v>38475</v>
      </c>
      <c r="W2267" t="s">
        <v>38476</v>
      </c>
      <c r="X2267" t="s">
        <v>38477</v>
      </c>
      <c r="Y2267" t="s">
        <v>38478</v>
      </c>
      <c r="Z2267" t="s">
        <v>38479</v>
      </c>
      <c r="AA2267" t="s">
        <v>74</v>
      </c>
      <c r="AB2267" t="s">
        <v>74</v>
      </c>
      <c r="AC2267" t="s">
        <v>74</v>
      </c>
      <c r="AD2267" t="s">
        <v>74</v>
      </c>
      <c r="AE2267" t="s">
        <v>74</v>
      </c>
      <c r="AF2267" t="s">
        <v>74</v>
      </c>
      <c r="AG2267">
        <v>60</v>
      </c>
      <c r="AH2267">
        <v>2</v>
      </c>
      <c r="AI2267">
        <v>2</v>
      </c>
      <c r="AJ2267">
        <v>0</v>
      </c>
      <c r="AK2267">
        <v>1</v>
      </c>
      <c r="AL2267" t="s">
        <v>332</v>
      </c>
      <c r="AM2267" t="s">
        <v>333</v>
      </c>
      <c r="AN2267" t="s">
        <v>334</v>
      </c>
      <c r="AO2267" t="s">
        <v>22708</v>
      </c>
      <c r="AP2267" t="s">
        <v>22707</v>
      </c>
      <c r="AQ2267" t="s">
        <v>74</v>
      </c>
      <c r="AR2267" t="s">
        <v>22706</v>
      </c>
      <c r="AS2267" t="s">
        <v>22705</v>
      </c>
      <c r="AT2267" t="s">
        <v>74</v>
      </c>
      <c r="AU2267">
        <v>2017</v>
      </c>
      <c r="AV2267">
        <v>38</v>
      </c>
      <c r="AW2267">
        <v>4</v>
      </c>
      <c r="AX2267" t="s">
        <v>74</v>
      </c>
      <c r="AY2267" t="s">
        <v>74</v>
      </c>
      <c r="AZ2267" t="s">
        <v>74</v>
      </c>
      <c r="BA2267" t="s">
        <v>74</v>
      </c>
      <c r="BB2267">
        <v>487</v>
      </c>
      <c r="BC2267">
        <v>506</v>
      </c>
      <c r="BD2267" t="s">
        <v>74</v>
      </c>
      <c r="BE2267" t="s">
        <v>38480</v>
      </c>
      <c r="BF2267" t="str">
        <f>HYPERLINK("http://dx.doi.org/10.1080/02255189.2017.1294529","http://dx.doi.org/10.1080/02255189.2017.1294529")</f>
        <v>http://dx.doi.org/10.1080/02255189.2017.1294529</v>
      </c>
      <c r="BG2267" t="s">
        <v>74</v>
      </c>
      <c r="BH2267" t="s">
        <v>74</v>
      </c>
      <c r="BI2267">
        <v>20</v>
      </c>
      <c r="BJ2267" t="s">
        <v>1137</v>
      </c>
      <c r="BK2267" t="s">
        <v>99</v>
      </c>
      <c r="BL2267" t="s">
        <v>1137</v>
      </c>
      <c r="BM2267" t="s">
        <v>38481</v>
      </c>
      <c r="BN2267" t="s">
        <v>74</v>
      </c>
      <c r="BO2267" t="s">
        <v>74</v>
      </c>
      <c r="BP2267" t="s">
        <v>74</v>
      </c>
      <c r="BQ2267" t="s">
        <v>74</v>
      </c>
      <c r="BR2267" t="s">
        <v>102</v>
      </c>
      <c r="BS2267" t="s">
        <v>38482</v>
      </c>
      <c r="BT2267" t="str">
        <f>HYPERLINK("https%3A%2F%2Fwww.webofscience.com%2Fwos%2Fwoscc%2Ffull-record%2FWOS:000423283400004","View Full Record in Web of Science")</f>
        <v>View Full Record in Web of Science</v>
      </c>
    </row>
    <row r="2268" spans="1:72" x14ac:dyDescent="0.25">
      <c r="A2268" t="s">
        <v>72</v>
      </c>
      <c r="B2268" t="s">
        <v>38483</v>
      </c>
      <c r="C2268" t="s">
        <v>74</v>
      </c>
      <c r="D2268" t="s">
        <v>74</v>
      </c>
      <c r="E2268" t="s">
        <v>74</v>
      </c>
      <c r="F2268" t="s">
        <v>38484</v>
      </c>
      <c r="G2268" t="s">
        <v>74</v>
      </c>
      <c r="H2268" t="s">
        <v>74</v>
      </c>
      <c r="I2268" t="s">
        <v>38485</v>
      </c>
      <c r="J2268" t="s">
        <v>3439</v>
      </c>
      <c r="K2268" t="s">
        <v>74</v>
      </c>
      <c r="L2268" t="s">
        <v>74</v>
      </c>
      <c r="M2268" t="s">
        <v>78</v>
      </c>
      <c r="N2268" t="s">
        <v>79</v>
      </c>
      <c r="O2268" t="s">
        <v>74</v>
      </c>
      <c r="P2268" t="s">
        <v>74</v>
      </c>
      <c r="Q2268" t="s">
        <v>74</v>
      </c>
      <c r="R2268" t="s">
        <v>74</v>
      </c>
      <c r="S2268" t="s">
        <v>74</v>
      </c>
      <c r="T2268" t="s">
        <v>38486</v>
      </c>
      <c r="U2268" t="s">
        <v>74</v>
      </c>
      <c r="V2268" t="s">
        <v>38487</v>
      </c>
      <c r="W2268" t="s">
        <v>38488</v>
      </c>
      <c r="X2268" t="s">
        <v>5335</v>
      </c>
      <c r="Y2268" t="s">
        <v>38489</v>
      </c>
      <c r="Z2268" t="s">
        <v>38490</v>
      </c>
      <c r="AA2268" t="s">
        <v>38491</v>
      </c>
      <c r="AB2268" t="s">
        <v>38492</v>
      </c>
      <c r="AC2268" t="s">
        <v>74</v>
      </c>
      <c r="AD2268" t="s">
        <v>74</v>
      </c>
      <c r="AE2268" t="s">
        <v>74</v>
      </c>
      <c r="AF2268" t="s">
        <v>74</v>
      </c>
      <c r="AG2268">
        <v>13</v>
      </c>
      <c r="AH2268">
        <v>58</v>
      </c>
      <c r="AI2268">
        <v>84</v>
      </c>
      <c r="AJ2268">
        <v>0</v>
      </c>
      <c r="AK2268">
        <v>12</v>
      </c>
      <c r="AL2268" t="s">
        <v>2481</v>
      </c>
      <c r="AM2268" t="s">
        <v>2482</v>
      </c>
      <c r="AN2268" t="s">
        <v>2483</v>
      </c>
      <c r="AO2268" t="s">
        <v>3443</v>
      </c>
      <c r="AP2268" t="s">
        <v>74</v>
      </c>
      <c r="AQ2268" t="s">
        <v>74</v>
      </c>
      <c r="AR2268" t="s">
        <v>3444</v>
      </c>
      <c r="AS2268" t="s">
        <v>3445</v>
      </c>
      <c r="AT2268" t="s">
        <v>74</v>
      </c>
      <c r="AU2268">
        <v>2016</v>
      </c>
      <c r="AV2268">
        <v>4</v>
      </c>
      <c r="AW2268" t="s">
        <v>74</v>
      </c>
      <c r="AX2268" t="s">
        <v>74</v>
      </c>
      <c r="AY2268" t="s">
        <v>74</v>
      </c>
      <c r="AZ2268" t="s">
        <v>74</v>
      </c>
      <c r="BA2268" t="s">
        <v>74</v>
      </c>
      <c r="BB2268" t="s">
        <v>74</v>
      </c>
      <c r="BC2268" t="s">
        <v>74</v>
      </c>
      <c r="BD2268">
        <v>1127011</v>
      </c>
      <c r="BE2268" t="s">
        <v>38493</v>
      </c>
      <c r="BF2268" t="str">
        <f>HYPERLINK("http://dx.doi.org/10.1080/23322039.2015.1127011","http://dx.doi.org/10.1080/23322039.2015.1127011")</f>
        <v>http://dx.doi.org/10.1080/23322039.2015.1127011</v>
      </c>
      <c r="BG2268" t="s">
        <v>74</v>
      </c>
      <c r="BH2268" t="s">
        <v>74</v>
      </c>
      <c r="BI2268">
        <v>8</v>
      </c>
      <c r="BJ2268" t="s">
        <v>291</v>
      </c>
      <c r="BK2268" t="s">
        <v>313</v>
      </c>
      <c r="BL2268" t="s">
        <v>100</v>
      </c>
      <c r="BM2268" t="s">
        <v>38494</v>
      </c>
      <c r="BN2268" t="s">
        <v>74</v>
      </c>
      <c r="BO2268" t="s">
        <v>916</v>
      </c>
      <c r="BP2268" t="s">
        <v>74</v>
      </c>
      <c r="BQ2268" t="s">
        <v>74</v>
      </c>
      <c r="BR2268" t="s">
        <v>102</v>
      </c>
      <c r="BS2268" t="s">
        <v>38495</v>
      </c>
      <c r="BT2268" t="str">
        <f>HYPERLINK("https%3A%2F%2Fwww.webofscience.com%2Fwos%2Fwoscc%2Ffull-record%2FWOS:000385558300001","View Full Record in Web of Science")</f>
        <v>View Full Record in Web of Science</v>
      </c>
    </row>
    <row r="2269" spans="1:72" x14ac:dyDescent="0.25">
      <c r="A2269" t="s">
        <v>72</v>
      </c>
      <c r="B2269" t="s">
        <v>38496</v>
      </c>
      <c r="C2269" t="s">
        <v>74</v>
      </c>
      <c r="D2269" t="s">
        <v>74</v>
      </c>
      <c r="E2269" t="s">
        <v>74</v>
      </c>
      <c r="F2269" t="s">
        <v>38497</v>
      </c>
      <c r="G2269" t="s">
        <v>74</v>
      </c>
      <c r="H2269" t="s">
        <v>74</v>
      </c>
      <c r="I2269" t="s">
        <v>38498</v>
      </c>
      <c r="J2269" t="s">
        <v>38499</v>
      </c>
      <c r="K2269" t="s">
        <v>74</v>
      </c>
      <c r="L2269" t="s">
        <v>74</v>
      </c>
      <c r="M2269" t="s">
        <v>78</v>
      </c>
      <c r="N2269" t="s">
        <v>79</v>
      </c>
      <c r="O2269" t="s">
        <v>74</v>
      </c>
      <c r="P2269" t="s">
        <v>74</v>
      </c>
      <c r="Q2269" t="s">
        <v>74</v>
      </c>
      <c r="R2269" t="s">
        <v>74</v>
      </c>
      <c r="S2269" t="s">
        <v>74</v>
      </c>
      <c r="T2269" t="s">
        <v>38500</v>
      </c>
      <c r="U2269" t="s">
        <v>38501</v>
      </c>
      <c r="V2269" t="s">
        <v>38502</v>
      </c>
      <c r="W2269" t="s">
        <v>38503</v>
      </c>
      <c r="X2269" t="s">
        <v>38504</v>
      </c>
      <c r="Y2269" t="s">
        <v>38505</v>
      </c>
      <c r="Z2269" t="s">
        <v>38506</v>
      </c>
      <c r="AA2269" t="s">
        <v>38507</v>
      </c>
      <c r="AB2269" t="s">
        <v>74</v>
      </c>
      <c r="AC2269" t="s">
        <v>74</v>
      </c>
      <c r="AD2269" t="s">
        <v>74</v>
      </c>
      <c r="AE2269" t="s">
        <v>74</v>
      </c>
      <c r="AF2269" t="s">
        <v>74</v>
      </c>
      <c r="AG2269">
        <v>185</v>
      </c>
      <c r="AH2269">
        <v>0</v>
      </c>
      <c r="AI2269">
        <v>0</v>
      </c>
      <c r="AJ2269">
        <v>2</v>
      </c>
      <c r="AK2269">
        <v>2</v>
      </c>
      <c r="AL2269" t="s">
        <v>89</v>
      </c>
      <c r="AM2269" t="s">
        <v>90</v>
      </c>
      <c r="AN2269" t="s">
        <v>91</v>
      </c>
      <c r="AO2269" t="s">
        <v>38508</v>
      </c>
      <c r="AP2269" t="s">
        <v>38509</v>
      </c>
      <c r="AQ2269" t="s">
        <v>74</v>
      </c>
      <c r="AR2269" t="s">
        <v>38510</v>
      </c>
      <c r="AS2269" t="s">
        <v>38511</v>
      </c>
      <c r="AT2269" t="s">
        <v>26154</v>
      </c>
      <c r="AU2269">
        <v>2025</v>
      </c>
      <c r="AV2269">
        <v>29</v>
      </c>
      <c r="AW2269">
        <v>11</v>
      </c>
      <c r="AX2269" t="s">
        <v>74</v>
      </c>
      <c r="AY2269" t="s">
        <v>74</v>
      </c>
      <c r="AZ2269" t="s">
        <v>74</v>
      </c>
      <c r="BA2269" t="s">
        <v>74</v>
      </c>
      <c r="BB2269">
        <v>145</v>
      </c>
      <c r="BC2269">
        <v>179</v>
      </c>
      <c r="BD2269" t="s">
        <v>74</v>
      </c>
      <c r="BE2269" t="s">
        <v>38512</v>
      </c>
      <c r="BF2269" t="str">
        <f>HYPERLINK("http://dx.doi.org/10.1108/JKM-01-2025-0107","http://dx.doi.org/10.1108/JKM-01-2025-0107")</f>
        <v>http://dx.doi.org/10.1108/JKM-01-2025-0107</v>
      </c>
      <c r="BG2269" t="s">
        <v>74</v>
      </c>
      <c r="BH2269" t="s">
        <v>74</v>
      </c>
      <c r="BI2269">
        <v>35</v>
      </c>
      <c r="BJ2269" t="s">
        <v>3655</v>
      </c>
      <c r="BK2269" t="s">
        <v>99</v>
      </c>
      <c r="BL2269" t="s">
        <v>3656</v>
      </c>
      <c r="BM2269" t="s">
        <v>38513</v>
      </c>
      <c r="BN2269" t="s">
        <v>74</v>
      </c>
      <c r="BO2269" t="s">
        <v>74</v>
      </c>
      <c r="BP2269" t="s">
        <v>74</v>
      </c>
      <c r="BQ2269" t="s">
        <v>74</v>
      </c>
      <c r="BR2269" t="s">
        <v>102</v>
      </c>
      <c r="BS2269" t="s">
        <v>38514</v>
      </c>
      <c r="BT2269" t="str">
        <f>HYPERLINK("https%3A%2F%2Fwww.webofscience.com%2Fwos%2Fwoscc%2Ffull-record%2FWOS:001611043600002","View Full Record in Web of Science")</f>
        <v>View Full Record in Web of Science</v>
      </c>
    </row>
    <row r="2270" spans="1:72" x14ac:dyDescent="0.25">
      <c r="A2270" t="s">
        <v>72</v>
      </c>
      <c r="B2270" t="s">
        <v>38515</v>
      </c>
      <c r="C2270" t="s">
        <v>74</v>
      </c>
      <c r="D2270" t="s">
        <v>74</v>
      </c>
      <c r="E2270" t="s">
        <v>74</v>
      </c>
      <c r="F2270" t="s">
        <v>38516</v>
      </c>
      <c r="G2270" t="s">
        <v>74</v>
      </c>
      <c r="H2270" t="s">
        <v>74</v>
      </c>
      <c r="I2270" t="s">
        <v>38517</v>
      </c>
      <c r="J2270" t="s">
        <v>15481</v>
      </c>
      <c r="K2270" t="s">
        <v>74</v>
      </c>
      <c r="L2270" t="s">
        <v>74</v>
      </c>
      <c r="M2270" t="s">
        <v>78</v>
      </c>
      <c r="N2270" t="s">
        <v>79</v>
      </c>
      <c r="O2270" t="s">
        <v>74</v>
      </c>
      <c r="P2270" t="s">
        <v>74</v>
      </c>
      <c r="Q2270" t="s">
        <v>74</v>
      </c>
      <c r="R2270" t="s">
        <v>74</v>
      </c>
      <c r="S2270" t="s">
        <v>74</v>
      </c>
      <c r="T2270" t="s">
        <v>38518</v>
      </c>
      <c r="U2270" t="s">
        <v>38519</v>
      </c>
      <c r="V2270" t="s">
        <v>38520</v>
      </c>
      <c r="W2270" t="s">
        <v>38521</v>
      </c>
      <c r="X2270" t="s">
        <v>11694</v>
      </c>
      <c r="Y2270" t="s">
        <v>38522</v>
      </c>
      <c r="Z2270" t="s">
        <v>38523</v>
      </c>
      <c r="AA2270" t="s">
        <v>38524</v>
      </c>
      <c r="AB2270" t="s">
        <v>38525</v>
      </c>
      <c r="AC2270" t="s">
        <v>74</v>
      </c>
      <c r="AD2270" t="s">
        <v>74</v>
      </c>
      <c r="AE2270" t="s">
        <v>74</v>
      </c>
      <c r="AF2270" t="s">
        <v>74</v>
      </c>
      <c r="AG2270">
        <v>104</v>
      </c>
      <c r="AH2270">
        <v>9</v>
      </c>
      <c r="AI2270">
        <v>11</v>
      </c>
      <c r="AJ2270">
        <v>1</v>
      </c>
      <c r="AK2270">
        <v>7</v>
      </c>
      <c r="AL2270" t="s">
        <v>89</v>
      </c>
      <c r="AM2270" t="s">
        <v>1497</v>
      </c>
      <c r="AN2270" t="s">
        <v>1498</v>
      </c>
      <c r="AO2270" t="s">
        <v>15484</v>
      </c>
      <c r="AP2270" t="s">
        <v>15485</v>
      </c>
      <c r="AQ2270" t="s">
        <v>74</v>
      </c>
      <c r="AR2270" t="s">
        <v>15486</v>
      </c>
      <c r="AS2270" t="s">
        <v>15487</v>
      </c>
      <c r="AT2270" t="s">
        <v>38526</v>
      </c>
      <c r="AU2270">
        <v>2023</v>
      </c>
      <c r="AV2270">
        <v>34</v>
      </c>
      <c r="AW2270">
        <v>2</v>
      </c>
      <c r="AX2270" t="s">
        <v>74</v>
      </c>
      <c r="AY2270" t="s">
        <v>74</v>
      </c>
      <c r="AZ2270" t="s">
        <v>74</v>
      </c>
      <c r="BA2270" t="s">
        <v>74</v>
      </c>
      <c r="BB2270">
        <v>511</v>
      </c>
      <c r="BC2270">
        <v>534</v>
      </c>
      <c r="BD2270" t="s">
        <v>74</v>
      </c>
      <c r="BE2270" t="s">
        <v>38527</v>
      </c>
      <c r="BF2270" t="str">
        <f>HYPERLINK("http://dx.doi.org/10.1108/MEQ-04-2022-0102","http://dx.doi.org/10.1108/MEQ-04-2022-0102")</f>
        <v>http://dx.doi.org/10.1108/MEQ-04-2022-0102</v>
      </c>
      <c r="BG2270" t="s">
        <v>74</v>
      </c>
      <c r="BH2270" t="s">
        <v>3050</v>
      </c>
      <c r="BI2270">
        <v>24</v>
      </c>
      <c r="BJ2270" t="s">
        <v>14327</v>
      </c>
      <c r="BK2270" t="s">
        <v>313</v>
      </c>
      <c r="BL2270" t="s">
        <v>129</v>
      </c>
      <c r="BM2270" t="s">
        <v>38528</v>
      </c>
      <c r="BN2270" t="s">
        <v>74</v>
      </c>
      <c r="BO2270" t="s">
        <v>74</v>
      </c>
      <c r="BP2270" t="s">
        <v>74</v>
      </c>
      <c r="BQ2270" t="s">
        <v>74</v>
      </c>
      <c r="BR2270" t="s">
        <v>102</v>
      </c>
      <c r="BS2270" t="s">
        <v>38529</v>
      </c>
      <c r="BT2270" t="str">
        <f>HYPERLINK("https%3A%2F%2Fwww.webofscience.com%2Fwos%2Fwoscc%2Ffull-record%2FWOS:000869084300001","View Full Record in Web of Science")</f>
        <v>View Full Record in Web of Science</v>
      </c>
    </row>
    <row r="2271" spans="1:72" x14ac:dyDescent="0.25">
      <c r="A2271" t="s">
        <v>72</v>
      </c>
      <c r="B2271" t="s">
        <v>38530</v>
      </c>
      <c r="C2271" t="s">
        <v>74</v>
      </c>
      <c r="D2271" t="s">
        <v>74</v>
      </c>
      <c r="E2271" t="s">
        <v>74</v>
      </c>
      <c r="F2271" t="s">
        <v>38531</v>
      </c>
      <c r="G2271" t="s">
        <v>74</v>
      </c>
      <c r="H2271" t="s">
        <v>74</v>
      </c>
      <c r="I2271" t="s">
        <v>38532</v>
      </c>
      <c r="J2271" t="s">
        <v>38533</v>
      </c>
      <c r="K2271" t="s">
        <v>74</v>
      </c>
      <c r="L2271" t="s">
        <v>74</v>
      </c>
      <c r="M2271" t="s">
        <v>78</v>
      </c>
      <c r="N2271" t="s">
        <v>79</v>
      </c>
      <c r="O2271" t="s">
        <v>74</v>
      </c>
      <c r="P2271" t="s">
        <v>74</v>
      </c>
      <c r="Q2271" t="s">
        <v>74</v>
      </c>
      <c r="R2271" t="s">
        <v>74</v>
      </c>
      <c r="S2271" t="s">
        <v>74</v>
      </c>
      <c r="T2271" t="s">
        <v>38534</v>
      </c>
      <c r="U2271" t="s">
        <v>38535</v>
      </c>
      <c r="V2271" t="s">
        <v>38536</v>
      </c>
      <c r="W2271" t="s">
        <v>38537</v>
      </c>
      <c r="X2271" t="s">
        <v>38538</v>
      </c>
      <c r="Y2271" t="s">
        <v>38539</v>
      </c>
      <c r="Z2271" t="s">
        <v>74</v>
      </c>
      <c r="AA2271" t="s">
        <v>38540</v>
      </c>
      <c r="AB2271" t="s">
        <v>38541</v>
      </c>
      <c r="AC2271" t="s">
        <v>74</v>
      </c>
      <c r="AD2271" t="s">
        <v>74</v>
      </c>
      <c r="AE2271" t="s">
        <v>74</v>
      </c>
      <c r="AF2271" t="s">
        <v>74</v>
      </c>
      <c r="AG2271">
        <v>37</v>
      </c>
      <c r="AH2271">
        <v>0</v>
      </c>
      <c r="AI2271">
        <v>0</v>
      </c>
      <c r="AJ2271">
        <v>0</v>
      </c>
      <c r="AK2271">
        <v>3</v>
      </c>
      <c r="AL2271" t="s">
        <v>5488</v>
      </c>
      <c r="AM2271" t="s">
        <v>1356</v>
      </c>
      <c r="AN2271" t="s">
        <v>5489</v>
      </c>
      <c r="AO2271" t="s">
        <v>38542</v>
      </c>
      <c r="AP2271" t="s">
        <v>38543</v>
      </c>
      <c r="AQ2271" t="s">
        <v>74</v>
      </c>
      <c r="AR2271" t="s">
        <v>38544</v>
      </c>
      <c r="AS2271" t="s">
        <v>38545</v>
      </c>
      <c r="AT2271" t="s">
        <v>74</v>
      </c>
      <c r="AU2271">
        <v>2020</v>
      </c>
      <c r="AV2271">
        <v>16</v>
      </c>
      <c r="AW2271">
        <v>3</v>
      </c>
      <c r="AX2271" t="s">
        <v>74</v>
      </c>
      <c r="AY2271" t="s">
        <v>74</v>
      </c>
      <c r="AZ2271" t="s">
        <v>74</v>
      </c>
      <c r="BA2271" t="s">
        <v>74</v>
      </c>
      <c r="BB2271">
        <v>37</v>
      </c>
      <c r="BC2271">
        <v>47</v>
      </c>
      <c r="BD2271" t="s">
        <v>74</v>
      </c>
      <c r="BE2271" t="s">
        <v>38546</v>
      </c>
      <c r="BF2271" t="str">
        <f>HYPERLINK("http://dx.doi.org/10.21511/im.16(3).2020.04","http://dx.doi.org/10.21511/im.16(3).2020.04")</f>
        <v>http://dx.doi.org/10.21511/im.16(3).2020.04</v>
      </c>
      <c r="BG2271" t="s">
        <v>74</v>
      </c>
      <c r="BH2271" t="s">
        <v>74</v>
      </c>
      <c r="BI2271">
        <v>11</v>
      </c>
      <c r="BJ2271" t="s">
        <v>418</v>
      </c>
      <c r="BK2271" t="s">
        <v>313</v>
      </c>
      <c r="BL2271" t="s">
        <v>100</v>
      </c>
      <c r="BM2271" t="s">
        <v>38547</v>
      </c>
      <c r="BN2271" t="s">
        <v>74</v>
      </c>
      <c r="BO2271" t="s">
        <v>916</v>
      </c>
      <c r="BP2271" t="s">
        <v>74</v>
      </c>
      <c r="BQ2271" t="s">
        <v>74</v>
      </c>
      <c r="BR2271" t="s">
        <v>102</v>
      </c>
      <c r="BS2271" t="s">
        <v>38548</v>
      </c>
      <c r="BT2271" t="str">
        <f>HYPERLINK("https%3A%2F%2Fwww.webofscience.com%2Fwos%2Fwoscc%2Ffull-record%2FWOS:000856546800004","View Full Record in Web of Science")</f>
        <v>View Full Record in Web of Science</v>
      </c>
    </row>
    <row r="2272" spans="1:72" x14ac:dyDescent="0.25">
      <c r="A2272" t="s">
        <v>72</v>
      </c>
      <c r="B2272" t="s">
        <v>38549</v>
      </c>
      <c r="C2272" t="s">
        <v>74</v>
      </c>
      <c r="D2272" t="s">
        <v>74</v>
      </c>
      <c r="E2272" t="s">
        <v>74</v>
      </c>
      <c r="F2272" t="s">
        <v>38550</v>
      </c>
      <c r="G2272" t="s">
        <v>74</v>
      </c>
      <c r="H2272" t="s">
        <v>74</v>
      </c>
      <c r="I2272" t="s">
        <v>38551</v>
      </c>
      <c r="J2272" t="s">
        <v>877</v>
      </c>
      <c r="K2272" t="s">
        <v>74</v>
      </c>
      <c r="L2272" t="s">
        <v>74</v>
      </c>
      <c r="M2272" t="s">
        <v>78</v>
      </c>
      <c r="N2272" t="s">
        <v>79</v>
      </c>
      <c r="O2272" t="s">
        <v>74</v>
      </c>
      <c r="P2272" t="s">
        <v>74</v>
      </c>
      <c r="Q2272" t="s">
        <v>74</v>
      </c>
      <c r="R2272" t="s">
        <v>74</v>
      </c>
      <c r="S2272" t="s">
        <v>74</v>
      </c>
      <c r="T2272" t="s">
        <v>38552</v>
      </c>
      <c r="U2272" t="s">
        <v>38553</v>
      </c>
      <c r="V2272" t="s">
        <v>38554</v>
      </c>
      <c r="W2272" t="s">
        <v>38555</v>
      </c>
      <c r="X2272" t="s">
        <v>38556</v>
      </c>
      <c r="Y2272" t="s">
        <v>38557</v>
      </c>
      <c r="Z2272" t="s">
        <v>38558</v>
      </c>
      <c r="AA2272" t="s">
        <v>38559</v>
      </c>
      <c r="AB2272" t="s">
        <v>38560</v>
      </c>
      <c r="AC2272" t="s">
        <v>74</v>
      </c>
      <c r="AD2272" t="s">
        <v>74</v>
      </c>
      <c r="AE2272" t="s">
        <v>74</v>
      </c>
      <c r="AF2272" t="s">
        <v>74</v>
      </c>
      <c r="AG2272">
        <v>57</v>
      </c>
      <c r="AH2272">
        <v>22</v>
      </c>
      <c r="AI2272">
        <v>22</v>
      </c>
      <c r="AJ2272">
        <v>0</v>
      </c>
      <c r="AK2272">
        <v>14</v>
      </c>
      <c r="AL2272" t="s">
        <v>884</v>
      </c>
      <c r="AM2272" t="s">
        <v>5203</v>
      </c>
      <c r="AN2272" t="s">
        <v>5204</v>
      </c>
      <c r="AO2272" t="s">
        <v>887</v>
      </c>
      <c r="AP2272" t="s">
        <v>888</v>
      </c>
      <c r="AQ2272" t="s">
        <v>74</v>
      </c>
      <c r="AR2272" t="s">
        <v>889</v>
      </c>
      <c r="AS2272" t="s">
        <v>890</v>
      </c>
      <c r="AT2272" t="s">
        <v>74</v>
      </c>
      <c r="AU2272">
        <v>2021</v>
      </c>
      <c r="AV2272">
        <v>8</v>
      </c>
      <c r="AW2272">
        <v>8</v>
      </c>
      <c r="AX2272" t="s">
        <v>74</v>
      </c>
      <c r="AY2272" t="s">
        <v>74</v>
      </c>
      <c r="AZ2272" t="s">
        <v>74</v>
      </c>
      <c r="BA2272" t="s">
        <v>74</v>
      </c>
      <c r="BB2272">
        <v>421</v>
      </c>
      <c r="BC2272">
        <v>431</v>
      </c>
      <c r="BD2272" t="s">
        <v>74</v>
      </c>
      <c r="BE2272" t="s">
        <v>38561</v>
      </c>
      <c r="BF2272" t="str">
        <f>HYPERLINK("http://dx.doi.org/10.13106/jafeb.2021.vol8.no8.0421","http://dx.doi.org/10.13106/jafeb.2021.vol8.no8.0421")</f>
        <v>http://dx.doi.org/10.13106/jafeb.2021.vol8.no8.0421</v>
      </c>
      <c r="BG2272" t="s">
        <v>74</v>
      </c>
      <c r="BH2272" t="s">
        <v>74</v>
      </c>
      <c r="BI2272">
        <v>11</v>
      </c>
      <c r="BJ2272" t="s">
        <v>418</v>
      </c>
      <c r="BK2272" t="s">
        <v>313</v>
      </c>
      <c r="BL2272" t="s">
        <v>100</v>
      </c>
      <c r="BM2272" t="s">
        <v>38562</v>
      </c>
      <c r="BN2272" t="s">
        <v>74</v>
      </c>
      <c r="BO2272" t="s">
        <v>74</v>
      </c>
      <c r="BP2272" t="s">
        <v>74</v>
      </c>
      <c r="BQ2272" t="s">
        <v>74</v>
      </c>
      <c r="BR2272" t="s">
        <v>102</v>
      </c>
      <c r="BS2272" t="s">
        <v>38563</v>
      </c>
      <c r="BT2272" t="str">
        <f>HYPERLINK("https%3A%2F%2Fwww.webofscience.com%2Fwos%2Fwoscc%2Ffull-record%2FWOS:000678555800040","View Full Record in Web of Science")</f>
        <v>View Full Record in Web of Science</v>
      </c>
    </row>
    <row r="2273" spans="1:72" x14ac:dyDescent="0.25">
      <c r="A2273" t="s">
        <v>72</v>
      </c>
      <c r="B2273" t="s">
        <v>38564</v>
      </c>
      <c r="C2273" t="s">
        <v>74</v>
      </c>
      <c r="D2273" t="s">
        <v>74</v>
      </c>
      <c r="E2273" t="s">
        <v>74</v>
      </c>
      <c r="F2273" t="s">
        <v>38565</v>
      </c>
      <c r="G2273" t="s">
        <v>74</v>
      </c>
      <c r="H2273" t="s">
        <v>74</v>
      </c>
      <c r="I2273" t="s">
        <v>38566</v>
      </c>
      <c r="J2273" t="s">
        <v>38567</v>
      </c>
      <c r="K2273" t="s">
        <v>74</v>
      </c>
      <c r="L2273" t="s">
        <v>74</v>
      </c>
      <c r="M2273" t="s">
        <v>78</v>
      </c>
      <c r="N2273" t="s">
        <v>79</v>
      </c>
      <c r="O2273" t="s">
        <v>74</v>
      </c>
      <c r="P2273" t="s">
        <v>74</v>
      </c>
      <c r="Q2273" t="s">
        <v>74</v>
      </c>
      <c r="R2273" t="s">
        <v>74</v>
      </c>
      <c r="S2273" t="s">
        <v>74</v>
      </c>
      <c r="T2273" t="s">
        <v>38568</v>
      </c>
      <c r="U2273" t="s">
        <v>38569</v>
      </c>
      <c r="V2273" t="s">
        <v>38570</v>
      </c>
      <c r="W2273" t="s">
        <v>38571</v>
      </c>
      <c r="X2273" t="s">
        <v>38572</v>
      </c>
      <c r="Y2273" t="s">
        <v>38573</v>
      </c>
      <c r="Z2273" t="s">
        <v>38574</v>
      </c>
      <c r="AA2273" t="s">
        <v>74</v>
      </c>
      <c r="AB2273" t="s">
        <v>74</v>
      </c>
      <c r="AC2273" t="s">
        <v>74</v>
      </c>
      <c r="AD2273" t="s">
        <v>74</v>
      </c>
      <c r="AE2273" t="s">
        <v>74</v>
      </c>
      <c r="AF2273" t="s">
        <v>74</v>
      </c>
      <c r="AG2273">
        <v>26</v>
      </c>
      <c r="AH2273">
        <v>6</v>
      </c>
      <c r="AI2273">
        <v>7</v>
      </c>
      <c r="AJ2273">
        <v>8</v>
      </c>
      <c r="AK2273">
        <v>45</v>
      </c>
      <c r="AL2273" t="s">
        <v>201</v>
      </c>
      <c r="AM2273" t="s">
        <v>202</v>
      </c>
      <c r="AN2273" t="s">
        <v>203</v>
      </c>
      <c r="AO2273" t="s">
        <v>38575</v>
      </c>
      <c r="AP2273" t="s">
        <v>38576</v>
      </c>
      <c r="AQ2273" t="s">
        <v>74</v>
      </c>
      <c r="AR2273" t="s">
        <v>38577</v>
      </c>
      <c r="AS2273" t="s">
        <v>38578</v>
      </c>
      <c r="AT2273" t="s">
        <v>289</v>
      </c>
      <c r="AU2273">
        <v>2024</v>
      </c>
      <c r="AV2273">
        <v>87</v>
      </c>
      <c r="AW2273" t="s">
        <v>74</v>
      </c>
      <c r="AX2273" t="s">
        <v>74</v>
      </c>
      <c r="AY2273" t="s">
        <v>74</v>
      </c>
      <c r="AZ2273" t="s">
        <v>74</v>
      </c>
      <c r="BA2273" t="s">
        <v>74</v>
      </c>
      <c r="BB2273" t="s">
        <v>74</v>
      </c>
      <c r="BC2273" t="s">
        <v>74</v>
      </c>
      <c r="BD2273">
        <v>102593</v>
      </c>
      <c r="BE2273" t="s">
        <v>38579</v>
      </c>
      <c r="BF2273" t="str">
        <f>HYPERLINK("http://dx.doi.org/10.1016/j.jcorpfin.2024.102593","http://dx.doi.org/10.1016/j.jcorpfin.2024.102593")</f>
        <v>http://dx.doi.org/10.1016/j.jcorpfin.2024.102593</v>
      </c>
      <c r="BG2273" t="s">
        <v>74</v>
      </c>
      <c r="BH2273" t="s">
        <v>5285</v>
      </c>
      <c r="BI2273">
        <v>24</v>
      </c>
      <c r="BJ2273" t="s">
        <v>268</v>
      </c>
      <c r="BK2273" t="s">
        <v>99</v>
      </c>
      <c r="BL2273" t="s">
        <v>100</v>
      </c>
      <c r="BM2273" t="s">
        <v>38580</v>
      </c>
      <c r="BN2273" t="s">
        <v>74</v>
      </c>
      <c r="BO2273" t="s">
        <v>74</v>
      </c>
      <c r="BP2273" t="s">
        <v>74</v>
      </c>
      <c r="BQ2273" t="s">
        <v>74</v>
      </c>
      <c r="BR2273" t="s">
        <v>102</v>
      </c>
      <c r="BS2273" t="s">
        <v>38581</v>
      </c>
      <c r="BT2273" t="str">
        <f>HYPERLINK("https%3A%2F%2Fwww.webofscience.com%2Fwos%2Fwoscc%2Ffull-record%2FWOS:001248395000001","View Full Record in Web of Science")</f>
        <v>View Full Record in Web of Science</v>
      </c>
    </row>
    <row r="2274" spans="1:72" x14ac:dyDescent="0.25">
      <c r="A2274" t="s">
        <v>72</v>
      </c>
      <c r="B2274" t="s">
        <v>38582</v>
      </c>
      <c r="C2274" t="s">
        <v>74</v>
      </c>
      <c r="D2274" t="s">
        <v>74</v>
      </c>
      <c r="E2274" t="s">
        <v>74</v>
      </c>
      <c r="F2274" t="s">
        <v>38583</v>
      </c>
      <c r="G2274" t="s">
        <v>74</v>
      </c>
      <c r="H2274" t="s">
        <v>74</v>
      </c>
      <c r="I2274" t="s">
        <v>38584</v>
      </c>
      <c r="J2274" t="s">
        <v>14228</v>
      </c>
      <c r="K2274" t="s">
        <v>74</v>
      </c>
      <c r="L2274" t="s">
        <v>74</v>
      </c>
      <c r="M2274" t="s">
        <v>78</v>
      </c>
      <c r="N2274" t="s">
        <v>79</v>
      </c>
      <c r="O2274" t="s">
        <v>74</v>
      </c>
      <c r="P2274" t="s">
        <v>74</v>
      </c>
      <c r="Q2274" t="s">
        <v>74</v>
      </c>
      <c r="R2274" t="s">
        <v>74</v>
      </c>
      <c r="S2274" t="s">
        <v>74</v>
      </c>
      <c r="T2274" t="s">
        <v>38585</v>
      </c>
      <c r="U2274" t="s">
        <v>38586</v>
      </c>
      <c r="V2274" t="s">
        <v>38587</v>
      </c>
      <c r="W2274" t="s">
        <v>38588</v>
      </c>
      <c r="X2274" t="s">
        <v>38589</v>
      </c>
      <c r="Y2274" t="s">
        <v>38590</v>
      </c>
      <c r="Z2274" t="s">
        <v>38591</v>
      </c>
      <c r="AA2274" t="s">
        <v>38592</v>
      </c>
      <c r="AB2274" t="s">
        <v>38593</v>
      </c>
      <c r="AC2274" t="s">
        <v>74</v>
      </c>
      <c r="AD2274" t="s">
        <v>74</v>
      </c>
      <c r="AE2274" t="s">
        <v>74</v>
      </c>
      <c r="AF2274" t="s">
        <v>74</v>
      </c>
      <c r="AG2274">
        <v>44</v>
      </c>
      <c r="AH2274">
        <v>13</v>
      </c>
      <c r="AI2274">
        <v>18</v>
      </c>
      <c r="AJ2274">
        <v>3</v>
      </c>
      <c r="AK2274">
        <v>28</v>
      </c>
      <c r="AL2274" t="s">
        <v>332</v>
      </c>
      <c r="AM2274" t="s">
        <v>333</v>
      </c>
      <c r="AN2274" t="s">
        <v>334</v>
      </c>
      <c r="AO2274" t="s">
        <v>14237</v>
      </c>
      <c r="AP2274" t="s">
        <v>14238</v>
      </c>
      <c r="AQ2274" t="s">
        <v>74</v>
      </c>
      <c r="AR2274" t="s">
        <v>14239</v>
      </c>
      <c r="AS2274" t="s">
        <v>14240</v>
      </c>
      <c r="AT2274" t="s">
        <v>463</v>
      </c>
      <c r="AU2274">
        <v>2024</v>
      </c>
      <c r="AV2274">
        <v>31</v>
      </c>
      <c r="AW2274">
        <v>7</v>
      </c>
      <c r="AX2274" t="s">
        <v>74</v>
      </c>
      <c r="AY2274" t="s">
        <v>74</v>
      </c>
      <c r="AZ2274" t="s">
        <v>74</v>
      </c>
      <c r="BA2274" t="s">
        <v>74</v>
      </c>
      <c r="BB2274">
        <v>661</v>
      </c>
      <c r="BC2274">
        <v>669</v>
      </c>
      <c r="BD2274" t="s">
        <v>74</v>
      </c>
      <c r="BE2274" t="s">
        <v>38594</v>
      </c>
      <c r="BF2274" t="str">
        <f>HYPERLINK("http://dx.doi.org/10.1080/13504851.2022.2141442","http://dx.doi.org/10.1080/13504851.2022.2141442")</f>
        <v>http://dx.doi.org/10.1080/13504851.2022.2141442</v>
      </c>
      <c r="BG2274" t="s">
        <v>74</v>
      </c>
      <c r="BH2274" t="s">
        <v>5112</v>
      </c>
      <c r="BI2274">
        <v>9</v>
      </c>
      <c r="BJ2274" t="s">
        <v>291</v>
      </c>
      <c r="BK2274" t="s">
        <v>99</v>
      </c>
      <c r="BL2274" t="s">
        <v>100</v>
      </c>
      <c r="BM2274" t="s">
        <v>38595</v>
      </c>
      <c r="BN2274" t="s">
        <v>74</v>
      </c>
      <c r="BO2274" t="s">
        <v>74</v>
      </c>
      <c r="BP2274" t="s">
        <v>74</v>
      </c>
      <c r="BQ2274" t="s">
        <v>74</v>
      </c>
      <c r="BR2274" t="s">
        <v>102</v>
      </c>
      <c r="BS2274" t="s">
        <v>38596</v>
      </c>
      <c r="BT2274" t="str">
        <f>HYPERLINK("https%3A%2F%2Fwww.webofscience.com%2Fwos%2Fwoscc%2Ffull-record%2FWOS:000878879900001","View Full Record in Web of Science")</f>
        <v>View Full Record in Web of Science</v>
      </c>
    </row>
    <row r="2275" spans="1:72" x14ac:dyDescent="0.25">
      <c r="A2275" t="s">
        <v>132</v>
      </c>
      <c r="B2275" t="s">
        <v>38597</v>
      </c>
      <c r="C2275" t="s">
        <v>74</v>
      </c>
      <c r="D2275" t="s">
        <v>38598</v>
      </c>
      <c r="E2275" t="s">
        <v>74</v>
      </c>
      <c r="F2275" t="s">
        <v>38599</v>
      </c>
      <c r="G2275" t="s">
        <v>74</v>
      </c>
      <c r="H2275" t="s">
        <v>74</v>
      </c>
      <c r="I2275" t="s">
        <v>38600</v>
      </c>
      <c r="J2275" t="s">
        <v>38601</v>
      </c>
      <c r="K2275" t="s">
        <v>74</v>
      </c>
      <c r="L2275" t="s">
        <v>74</v>
      </c>
      <c r="M2275" t="s">
        <v>78</v>
      </c>
      <c r="N2275" t="s">
        <v>138</v>
      </c>
      <c r="O2275" t="s">
        <v>38602</v>
      </c>
      <c r="P2275" t="s">
        <v>38603</v>
      </c>
      <c r="Q2275" t="s">
        <v>38604</v>
      </c>
      <c r="R2275" t="s">
        <v>38605</v>
      </c>
      <c r="S2275" t="s">
        <v>38606</v>
      </c>
      <c r="T2275" t="s">
        <v>38607</v>
      </c>
      <c r="U2275" t="s">
        <v>74</v>
      </c>
      <c r="V2275" t="s">
        <v>38608</v>
      </c>
      <c r="W2275" t="s">
        <v>38609</v>
      </c>
      <c r="X2275" t="s">
        <v>15596</v>
      </c>
      <c r="Y2275" t="s">
        <v>74</v>
      </c>
      <c r="Z2275" t="s">
        <v>38610</v>
      </c>
      <c r="AA2275" t="s">
        <v>74</v>
      </c>
      <c r="AB2275" t="s">
        <v>74</v>
      </c>
      <c r="AC2275" t="s">
        <v>74</v>
      </c>
      <c r="AD2275" t="s">
        <v>74</v>
      </c>
      <c r="AE2275" t="s">
        <v>74</v>
      </c>
      <c r="AF2275" t="s">
        <v>74</v>
      </c>
      <c r="AG2275">
        <v>4</v>
      </c>
      <c r="AH2275">
        <v>0</v>
      </c>
      <c r="AI2275">
        <v>0</v>
      </c>
      <c r="AJ2275">
        <v>0</v>
      </c>
      <c r="AK2275">
        <v>5</v>
      </c>
      <c r="AL2275" t="s">
        <v>38611</v>
      </c>
      <c r="AM2275" t="s">
        <v>863</v>
      </c>
      <c r="AN2275" t="s">
        <v>38612</v>
      </c>
      <c r="AO2275" t="s">
        <v>74</v>
      </c>
      <c r="AP2275" t="s">
        <v>74</v>
      </c>
      <c r="AQ2275" t="s">
        <v>38613</v>
      </c>
      <c r="AR2275" t="s">
        <v>74</v>
      </c>
      <c r="AS2275" t="s">
        <v>74</v>
      </c>
      <c r="AT2275" t="s">
        <v>74</v>
      </c>
      <c r="AU2275">
        <v>2011</v>
      </c>
      <c r="AV2275" t="s">
        <v>74</v>
      </c>
      <c r="AW2275" t="s">
        <v>74</v>
      </c>
      <c r="AX2275" t="s">
        <v>74</v>
      </c>
      <c r="AY2275" t="s">
        <v>74</v>
      </c>
      <c r="AZ2275" t="s">
        <v>74</v>
      </c>
      <c r="BA2275" t="s">
        <v>74</v>
      </c>
      <c r="BB2275">
        <v>160</v>
      </c>
      <c r="BC2275">
        <v>164</v>
      </c>
      <c r="BD2275" t="s">
        <v>74</v>
      </c>
      <c r="BE2275" t="s">
        <v>74</v>
      </c>
      <c r="BF2275" t="s">
        <v>74</v>
      </c>
      <c r="BG2275" t="s">
        <v>74</v>
      </c>
      <c r="BH2275" t="s">
        <v>74</v>
      </c>
      <c r="BI2275">
        <v>5</v>
      </c>
      <c r="BJ2275" t="s">
        <v>268</v>
      </c>
      <c r="BK2275" t="s">
        <v>183</v>
      </c>
      <c r="BL2275" t="s">
        <v>100</v>
      </c>
      <c r="BM2275" t="s">
        <v>38614</v>
      </c>
      <c r="BN2275" t="s">
        <v>74</v>
      </c>
      <c r="BO2275" t="s">
        <v>74</v>
      </c>
      <c r="BP2275" t="s">
        <v>74</v>
      </c>
      <c r="BQ2275" t="s">
        <v>74</v>
      </c>
      <c r="BR2275" t="s">
        <v>102</v>
      </c>
      <c r="BS2275" t="s">
        <v>38615</v>
      </c>
      <c r="BT2275" t="str">
        <f>HYPERLINK("https%3A%2F%2Fwww.webofscience.com%2Fwos%2Fwoscc%2Ffull-record%2FWOS:000305690300036","View Full Record in Web of Science")</f>
        <v>View Full Record in Web of Science</v>
      </c>
    </row>
    <row r="2276" spans="1:72" x14ac:dyDescent="0.25">
      <c r="A2276" t="s">
        <v>72</v>
      </c>
      <c r="B2276" t="s">
        <v>38616</v>
      </c>
      <c r="C2276" t="s">
        <v>74</v>
      </c>
      <c r="D2276" t="s">
        <v>74</v>
      </c>
      <c r="E2276" t="s">
        <v>74</v>
      </c>
      <c r="F2276" t="s">
        <v>38617</v>
      </c>
      <c r="G2276" t="s">
        <v>74</v>
      </c>
      <c r="H2276" t="s">
        <v>74</v>
      </c>
      <c r="I2276" t="s">
        <v>38618</v>
      </c>
      <c r="J2276" t="s">
        <v>3231</v>
      </c>
      <c r="K2276" t="s">
        <v>74</v>
      </c>
      <c r="L2276" t="s">
        <v>74</v>
      </c>
      <c r="M2276" t="s">
        <v>78</v>
      </c>
      <c r="N2276" t="s">
        <v>79</v>
      </c>
      <c r="O2276" t="s">
        <v>74</v>
      </c>
      <c r="P2276" t="s">
        <v>74</v>
      </c>
      <c r="Q2276" t="s">
        <v>74</v>
      </c>
      <c r="R2276" t="s">
        <v>74</v>
      </c>
      <c r="S2276" t="s">
        <v>74</v>
      </c>
      <c r="T2276" t="s">
        <v>38619</v>
      </c>
      <c r="U2276" t="s">
        <v>74</v>
      </c>
      <c r="V2276" t="s">
        <v>38620</v>
      </c>
      <c r="W2276" t="s">
        <v>38621</v>
      </c>
      <c r="X2276" t="s">
        <v>38622</v>
      </c>
      <c r="Y2276" t="s">
        <v>38623</v>
      </c>
      <c r="Z2276" t="s">
        <v>38624</v>
      </c>
      <c r="AA2276" t="s">
        <v>38625</v>
      </c>
      <c r="AB2276" t="s">
        <v>38626</v>
      </c>
      <c r="AC2276" t="s">
        <v>74</v>
      </c>
      <c r="AD2276" t="s">
        <v>74</v>
      </c>
      <c r="AE2276" t="s">
        <v>74</v>
      </c>
      <c r="AF2276" t="s">
        <v>74</v>
      </c>
      <c r="AG2276">
        <v>27</v>
      </c>
      <c r="AH2276">
        <v>2</v>
      </c>
      <c r="AI2276">
        <v>2</v>
      </c>
      <c r="AJ2276">
        <v>1</v>
      </c>
      <c r="AK2276">
        <v>9</v>
      </c>
      <c r="AL2276" t="s">
        <v>575</v>
      </c>
      <c r="AM2276" t="s">
        <v>576</v>
      </c>
      <c r="AN2276" t="s">
        <v>577</v>
      </c>
      <c r="AO2276" t="s">
        <v>74</v>
      </c>
      <c r="AP2276" t="s">
        <v>3243</v>
      </c>
      <c r="AQ2276" t="s">
        <v>74</v>
      </c>
      <c r="AR2276" t="s">
        <v>3244</v>
      </c>
      <c r="AS2276" t="s">
        <v>3245</v>
      </c>
      <c r="AT2276" t="s">
        <v>1159</v>
      </c>
      <c r="AU2276">
        <v>2022</v>
      </c>
      <c r="AV2276">
        <v>14</v>
      </c>
      <c r="AW2276">
        <v>20</v>
      </c>
      <c r="AX2276" t="s">
        <v>74</v>
      </c>
      <c r="AY2276" t="s">
        <v>74</v>
      </c>
      <c r="AZ2276" t="s">
        <v>74</v>
      </c>
      <c r="BA2276" t="s">
        <v>74</v>
      </c>
      <c r="BB2276" t="s">
        <v>74</v>
      </c>
      <c r="BC2276" t="s">
        <v>74</v>
      </c>
      <c r="BD2276">
        <v>12955</v>
      </c>
      <c r="BE2276" t="s">
        <v>38627</v>
      </c>
      <c r="BF2276" t="str">
        <f>HYPERLINK("http://dx.doi.org/10.3390/su142012955","http://dx.doi.org/10.3390/su142012955")</f>
        <v>http://dx.doi.org/10.3390/su142012955</v>
      </c>
      <c r="BG2276" t="s">
        <v>74</v>
      </c>
      <c r="BH2276" t="s">
        <v>74</v>
      </c>
      <c r="BI2276">
        <v>16</v>
      </c>
      <c r="BJ2276" t="s">
        <v>3247</v>
      </c>
      <c r="BK2276" t="s">
        <v>2623</v>
      </c>
      <c r="BL2276" t="s">
        <v>3248</v>
      </c>
      <c r="BM2276" t="s">
        <v>38628</v>
      </c>
      <c r="BN2276" t="s">
        <v>74</v>
      </c>
      <c r="BO2276" t="s">
        <v>916</v>
      </c>
      <c r="BP2276" t="s">
        <v>74</v>
      </c>
      <c r="BQ2276" t="s">
        <v>74</v>
      </c>
      <c r="BR2276" t="s">
        <v>102</v>
      </c>
      <c r="BS2276" t="s">
        <v>38629</v>
      </c>
      <c r="BT2276" t="str">
        <f>HYPERLINK("https%3A%2F%2Fwww.webofscience.com%2Fwos%2Fwoscc%2Ffull-record%2FWOS:000873462400001","View Full Record in Web of Science")</f>
        <v>View Full Record in Web of Science</v>
      </c>
    </row>
    <row r="2277" spans="1:72" x14ac:dyDescent="0.25">
      <c r="A2277" t="s">
        <v>72</v>
      </c>
      <c r="B2277" t="s">
        <v>38630</v>
      </c>
      <c r="C2277" t="s">
        <v>74</v>
      </c>
      <c r="D2277" t="s">
        <v>74</v>
      </c>
      <c r="E2277" t="s">
        <v>74</v>
      </c>
      <c r="F2277" t="s">
        <v>38631</v>
      </c>
      <c r="G2277" t="s">
        <v>74</v>
      </c>
      <c r="H2277" t="s">
        <v>74</v>
      </c>
      <c r="I2277" t="s">
        <v>38632</v>
      </c>
      <c r="J2277" t="s">
        <v>2763</v>
      </c>
      <c r="K2277" t="s">
        <v>74</v>
      </c>
      <c r="L2277" t="s">
        <v>74</v>
      </c>
      <c r="M2277" t="s">
        <v>78</v>
      </c>
      <c r="N2277" t="s">
        <v>79</v>
      </c>
      <c r="O2277" t="s">
        <v>74</v>
      </c>
      <c r="P2277" t="s">
        <v>74</v>
      </c>
      <c r="Q2277" t="s">
        <v>74</v>
      </c>
      <c r="R2277" t="s">
        <v>74</v>
      </c>
      <c r="S2277" t="s">
        <v>74</v>
      </c>
      <c r="T2277" t="s">
        <v>38633</v>
      </c>
      <c r="U2277" t="s">
        <v>38634</v>
      </c>
      <c r="V2277" t="s">
        <v>38635</v>
      </c>
      <c r="W2277" t="s">
        <v>38636</v>
      </c>
      <c r="X2277" t="s">
        <v>38637</v>
      </c>
      <c r="Y2277" t="s">
        <v>38638</v>
      </c>
      <c r="Z2277" t="s">
        <v>38639</v>
      </c>
      <c r="AA2277" t="s">
        <v>38640</v>
      </c>
      <c r="AB2277" t="s">
        <v>38641</v>
      </c>
      <c r="AC2277" t="s">
        <v>36566</v>
      </c>
      <c r="AD2277" t="s">
        <v>36566</v>
      </c>
      <c r="AE2277" t="s">
        <v>38642</v>
      </c>
      <c r="AF2277" t="s">
        <v>74</v>
      </c>
      <c r="AG2277">
        <v>38</v>
      </c>
      <c r="AH2277">
        <v>1</v>
      </c>
      <c r="AI2277">
        <v>1</v>
      </c>
      <c r="AJ2277">
        <v>3</v>
      </c>
      <c r="AK2277">
        <v>3</v>
      </c>
      <c r="AL2277" t="s">
        <v>479</v>
      </c>
      <c r="AM2277" t="s">
        <v>480</v>
      </c>
      <c r="AN2277" t="s">
        <v>481</v>
      </c>
      <c r="AO2277" t="s">
        <v>2776</v>
      </c>
      <c r="AP2277" t="s">
        <v>2777</v>
      </c>
      <c r="AQ2277" t="s">
        <v>74</v>
      </c>
      <c r="AR2277" t="s">
        <v>2778</v>
      </c>
      <c r="AS2277" t="s">
        <v>2779</v>
      </c>
      <c r="AT2277" t="s">
        <v>289</v>
      </c>
      <c r="AU2277">
        <v>2025</v>
      </c>
      <c r="AV2277">
        <v>29</v>
      </c>
      <c r="AW2277">
        <v>3</v>
      </c>
      <c r="AX2277" t="s">
        <v>74</v>
      </c>
      <c r="AY2277" t="s">
        <v>74</v>
      </c>
      <c r="AZ2277" t="s">
        <v>441</v>
      </c>
      <c r="BA2277" t="s">
        <v>74</v>
      </c>
      <c r="BB2277">
        <v>1768</v>
      </c>
      <c r="BC2277">
        <v>1779</v>
      </c>
      <c r="BD2277" t="s">
        <v>74</v>
      </c>
      <c r="BE2277" t="s">
        <v>38643</v>
      </c>
      <c r="BF2277" t="str">
        <f>HYPERLINK("http://dx.doi.org/10.1111/rode.13183","http://dx.doi.org/10.1111/rode.13183")</f>
        <v>http://dx.doi.org/10.1111/rode.13183</v>
      </c>
      <c r="BG2277" t="s">
        <v>74</v>
      </c>
      <c r="BH2277" t="s">
        <v>1737</v>
      </c>
      <c r="BI2277">
        <v>12</v>
      </c>
      <c r="BJ2277" t="s">
        <v>701</v>
      </c>
      <c r="BK2277" t="s">
        <v>99</v>
      </c>
      <c r="BL2277" t="s">
        <v>702</v>
      </c>
      <c r="BM2277" t="s">
        <v>12491</v>
      </c>
      <c r="BN2277" t="s">
        <v>74</v>
      </c>
      <c r="BO2277" t="s">
        <v>270</v>
      </c>
      <c r="BP2277" t="s">
        <v>74</v>
      </c>
      <c r="BQ2277" t="s">
        <v>74</v>
      </c>
      <c r="BR2277" t="s">
        <v>102</v>
      </c>
      <c r="BS2277" t="s">
        <v>38644</v>
      </c>
      <c r="BT2277" t="str">
        <f>HYPERLINK("https%3A%2F%2Fwww.webofscience.com%2Fwos%2Fwoscc%2Ffull-record%2FWOS:001460415100001","View Full Record in Web of Science")</f>
        <v>View Full Record in Web of Science</v>
      </c>
    </row>
    <row r="2278" spans="1:72" x14ac:dyDescent="0.25">
      <c r="A2278" t="s">
        <v>72</v>
      </c>
      <c r="B2278" t="s">
        <v>11071</v>
      </c>
      <c r="C2278" t="s">
        <v>74</v>
      </c>
      <c r="D2278" t="s">
        <v>74</v>
      </c>
      <c r="E2278" t="s">
        <v>74</v>
      </c>
      <c r="F2278" t="s">
        <v>11072</v>
      </c>
      <c r="G2278" t="s">
        <v>74</v>
      </c>
      <c r="H2278" t="s">
        <v>74</v>
      </c>
      <c r="I2278" t="s">
        <v>38645</v>
      </c>
      <c r="J2278" t="s">
        <v>38646</v>
      </c>
      <c r="K2278" t="s">
        <v>74</v>
      </c>
      <c r="L2278" t="s">
        <v>74</v>
      </c>
      <c r="M2278" t="s">
        <v>78</v>
      </c>
      <c r="N2278" t="s">
        <v>79</v>
      </c>
      <c r="O2278" t="s">
        <v>74</v>
      </c>
      <c r="P2278" t="s">
        <v>74</v>
      </c>
      <c r="Q2278" t="s">
        <v>74</v>
      </c>
      <c r="R2278" t="s">
        <v>74</v>
      </c>
      <c r="S2278" t="s">
        <v>74</v>
      </c>
      <c r="T2278" t="s">
        <v>38647</v>
      </c>
      <c r="U2278" t="s">
        <v>38648</v>
      </c>
      <c r="V2278" t="s">
        <v>38649</v>
      </c>
      <c r="W2278" t="s">
        <v>11324</v>
      </c>
      <c r="X2278" t="s">
        <v>11079</v>
      </c>
      <c r="Y2278" t="s">
        <v>11325</v>
      </c>
      <c r="Z2278" t="s">
        <v>12317</v>
      </c>
      <c r="AA2278" t="s">
        <v>12018</v>
      </c>
      <c r="AB2278" t="s">
        <v>12019</v>
      </c>
      <c r="AC2278" t="s">
        <v>74</v>
      </c>
      <c r="AD2278" t="s">
        <v>74</v>
      </c>
      <c r="AE2278" t="s">
        <v>74</v>
      </c>
      <c r="AF2278" t="s">
        <v>74</v>
      </c>
      <c r="AG2278">
        <v>57</v>
      </c>
      <c r="AH2278">
        <v>2</v>
      </c>
      <c r="AI2278">
        <v>2</v>
      </c>
      <c r="AJ2278">
        <v>1</v>
      </c>
      <c r="AK2278">
        <v>1</v>
      </c>
      <c r="AL2278" t="s">
        <v>89</v>
      </c>
      <c r="AM2278" t="s">
        <v>90</v>
      </c>
      <c r="AN2278" t="s">
        <v>91</v>
      </c>
      <c r="AO2278" t="s">
        <v>38650</v>
      </c>
      <c r="AP2278" t="s">
        <v>38651</v>
      </c>
      <c r="AQ2278" t="s">
        <v>74</v>
      </c>
      <c r="AR2278" t="s">
        <v>38646</v>
      </c>
      <c r="AS2278" t="s">
        <v>38652</v>
      </c>
      <c r="AT2278" t="s">
        <v>2357</v>
      </c>
      <c r="AU2278">
        <v>2025</v>
      </c>
      <c r="AV2278">
        <v>27</v>
      </c>
      <c r="AW2278">
        <v>4</v>
      </c>
      <c r="AX2278" t="s">
        <v>74</v>
      </c>
      <c r="AY2278" t="s">
        <v>74</v>
      </c>
      <c r="AZ2278" t="s">
        <v>74</v>
      </c>
      <c r="BA2278" t="s">
        <v>74</v>
      </c>
      <c r="BB2278">
        <v>727</v>
      </c>
      <c r="BC2278">
        <v>751</v>
      </c>
      <c r="BD2278" t="s">
        <v>74</v>
      </c>
      <c r="BE2278" t="s">
        <v>38653</v>
      </c>
      <c r="BF2278" t="str">
        <f>HYPERLINK("http://dx.doi.org/10.1108/FS-03-2024-0046","http://dx.doi.org/10.1108/FS-03-2024-0046")</f>
        <v>http://dx.doi.org/10.1108/FS-03-2024-0046</v>
      </c>
      <c r="BG2278" t="s">
        <v>74</v>
      </c>
      <c r="BH2278" t="s">
        <v>2781</v>
      </c>
      <c r="BI2278">
        <v>25</v>
      </c>
      <c r="BJ2278" t="s">
        <v>22623</v>
      </c>
      <c r="BK2278" t="s">
        <v>313</v>
      </c>
      <c r="BL2278" t="s">
        <v>3868</v>
      </c>
      <c r="BM2278" t="s">
        <v>38654</v>
      </c>
      <c r="BN2278" t="s">
        <v>74</v>
      </c>
      <c r="BO2278" t="s">
        <v>74</v>
      </c>
      <c r="BP2278" t="s">
        <v>74</v>
      </c>
      <c r="BQ2278" t="s">
        <v>74</v>
      </c>
      <c r="BR2278" t="s">
        <v>102</v>
      </c>
      <c r="BS2278" t="s">
        <v>38655</v>
      </c>
      <c r="BT2278" t="str">
        <f>HYPERLINK("https%3A%2F%2Fwww.webofscience.com%2Fwos%2Fwoscc%2Ffull-record%2FWOS:001436069600001","View Full Record in Web of Science")</f>
        <v>View Full Record in Web of Science</v>
      </c>
    </row>
    <row r="2279" spans="1:72" x14ac:dyDescent="0.25">
      <c r="A2279" t="s">
        <v>72</v>
      </c>
      <c r="B2279" t="s">
        <v>38656</v>
      </c>
      <c r="C2279" t="s">
        <v>74</v>
      </c>
      <c r="D2279" t="s">
        <v>74</v>
      </c>
      <c r="E2279" t="s">
        <v>74</v>
      </c>
      <c r="F2279" t="s">
        <v>38657</v>
      </c>
      <c r="G2279" t="s">
        <v>74</v>
      </c>
      <c r="H2279" t="s">
        <v>74</v>
      </c>
      <c r="I2279" t="s">
        <v>38658</v>
      </c>
      <c r="J2279" t="s">
        <v>4306</v>
      </c>
      <c r="K2279" t="s">
        <v>74</v>
      </c>
      <c r="L2279" t="s">
        <v>74</v>
      </c>
      <c r="M2279" t="s">
        <v>78</v>
      </c>
      <c r="N2279" t="s">
        <v>79</v>
      </c>
      <c r="O2279" t="s">
        <v>74</v>
      </c>
      <c r="P2279" t="s">
        <v>74</v>
      </c>
      <c r="Q2279" t="s">
        <v>74</v>
      </c>
      <c r="R2279" t="s">
        <v>74</v>
      </c>
      <c r="S2279" t="s">
        <v>74</v>
      </c>
      <c r="T2279" t="s">
        <v>38659</v>
      </c>
      <c r="U2279" t="s">
        <v>38660</v>
      </c>
      <c r="V2279" t="s">
        <v>38661</v>
      </c>
      <c r="W2279" t="s">
        <v>38662</v>
      </c>
      <c r="X2279" t="s">
        <v>38663</v>
      </c>
      <c r="Y2279" t="s">
        <v>38664</v>
      </c>
      <c r="Z2279" t="s">
        <v>38665</v>
      </c>
      <c r="AA2279" t="s">
        <v>38666</v>
      </c>
      <c r="AB2279" t="s">
        <v>38667</v>
      </c>
      <c r="AC2279" t="s">
        <v>74</v>
      </c>
      <c r="AD2279" t="s">
        <v>74</v>
      </c>
      <c r="AE2279" t="s">
        <v>74</v>
      </c>
      <c r="AF2279" t="s">
        <v>74</v>
      </c>
      <c r="AG2279">
        <v>57</v>
      </c>
      <c r="AH2279">
        <v>7</v>
      </c>
      <c r="AI2279">
        <v>7</v>
      </c>
      <c r="AJ2279">
        <v>10</v>
      </c>
      <c r="AK2279">
        <v>47</v>
      </c>
      <c r="AL2279" t="s">
        <v>503</v>
      </c>
      <c r="AM2279" t="s">
        <v>151</v>
      </c>
      <c r="AN2279" t="s">
        <v>504</v>
      </c>
      <c r="AO2279" t="s">
        <v>4315</v>
      </c>
      <c r="AP2279" t="s">
        <v>4316</v>
      </c>
      <c r="AQ2279" t="s">
        <v>74</v>
      </c>
      <c r="AR2279" t="s">
        <v>4317</v>
      </c>
      <c r="AS2279" t="s">
        <v>4318</v>
      </c>
      <c r="AT2279" t="s">
        <v>891</v>
      </c>
      <c r="AU2279">
        <v>2024</v>
      </c>
      <c r="AV2279">
        <v>208</v>
      </c>
      <c r="AW2279" t="s">
        <v>74</v>
      </c>
      <c r="AX2279" t="s">
        <v>74</v>
      </c>
      <c r="AY2279" t="s">
        <v>74</v>
      </c>
      <c r="AZ2279" t="s">
        <v>74</v>
      </c>
      <c r="BA2279" t="s">
        <v>74</v>
      </c>
      <c r="BB2279" t="s">
        <v>74</v>
      </c>
      <c r="BC2279" t="s">
        <v>74</v>
      </c>
      <c r="BD2279">
        <v>123645</v>
      </c>
      <c r="BE2279" t="s">
        <v>38668</v>
      </c>
      <c r="BF2279" t="str">
        <f>HYPERLINK("http://dx.doi.org/10.1016/j.techfore.2024.123645","http://dx.doi.org/10.1016/j.techfore.2024.123645")</f>
        <v>http://dx.doi.org/10.1016/j.techfore.2024.123645</v>
      </c>
      <c r="BG2279" t="s">
        <v>74</v>
      </c>
      <c r="BH2279" t="s">
        <v>393</v>
      </c>
      <c r="BI2279">
        <v>13</v>
      </c>
      <c r="BJ2279" t="s">
        <v>1627</v>
      </c>
      <c r="BK2279" t="s">
        <v>99</v>
      </c>
      <c r="BL2279" t="s">
        <v>1406</v>
      </c>
      <c r="BM2279" t="s">
        <v>38669</v>
      </c>
      <c r="BN2279" t="s">
        <v>74</v>
      </c>
      <c r="BO2279" t="s">
        <v>74</v>
      </c>
      <c r="BP2279" t="s">
        <v>74</v>
      </c>
      <c r="BQ2279" t="s">
        <v>74</v>
      </c>
      <c r="BR2279" t="s">
        <v>102</v>
      </c>
      <c r="BS2279" t="s">
        <v>38670</v>
      </c>
      <c r="BT2279" t="str">
        <f>HYPERLINK("https%3A%2F%2Fwww.webofscience.com%2Fwos%2Fwoscc%2Ffull-record%2FWOS:001300412300001","View Full Record in Web of Science")</f>
        <v>View Full Record in Web of Science</v>
      </c>
    </row>
    <row r="2280" spans="1:72" x14ac:dyDescent="0.25">
      <c r="A2280" t="s">
        <v>72</v>
      </c>
      <c r="B2280" t="s">
        <v>38671</v>
      </c>
      <c r="C2280" t="s">
        <v>74</v>
      </c>
      <c r="D2280" t="s">
        <v>74</v>
      </c>
      <c r="E2280" t="s">
        <v>74</v>
      </c>
      <c r="F2280" t="s">
        <v>38672</v>
      </c>
      <c r="G2280" t="s">
        <v>74</v>
      </c>
      <c r="H2280" t="s">
        <v>74</v>
      </c>
      <c r="I2280" t="s">
        <v>38673</v>
      </c>
      <c r="J2280" t="s">
        <v>1143</v>
      </c>
      <c r="K2280" t="s">
        <v>74</v>
      </c>
      <c r="L2280" t="s">
        <v>74</v>
      </c>
      <c r="M2280" t="s">
        <v>78</v>
      </c>
      <c r="N2280" t="s">
        <v>79</v>
      </c>
      <c r="O2280" t="s">
        <v>74</v>
      </c>
      <c r="P2280" t="s">
        <v>74</v>
      </c>
      <c r="Q2280" t="s">
        <v>74</v>
      </c>
      <c r="R2280" t="s">
        <v>74</v>
      </c>
      <c r="S2280" t="s">
        <v>74</v>
      </c>
      <c r="T2280" t="s">
        <v>38674</v>
      </c>
      <c r="U2280" t="s">
        <v>38675</v>
      </c>
      <c r="V2280" t="s">
        <v>38676</v>
      </c>
      <c r="W2280" t="s">
        <v>38677</v>
      </c>
      <c r="X2280" t="s">
        <v>38678</v>
      </c>
      <c r="Y2280" t="s">
        <v>38679</v>
      </c>
      <c r="Z2280" t="s">
        <v>38680</v>
      </c>
      <c r="AA2280" t="s">
        <v>38681</v>
      </c>
      <c r="AB2280" t="s">
        <v>38682</v>
      </c>
      <c r="AC2280" t="s">
        <v>38683</v>
      </c>
      <c r="AD2280" t="s">
        <v>38683</v>
      </c>
      <c r="AE2280" t="s">
        <v>3460</v>
      </c>
      <c r="AF2280" t="s">
        <v>74</v>
      </c>
      <c r="AG2280">
        <v>51</v>
      </c>
      <c r="AH2280">
        <v>1</v>
      </c>
      <c r="AI2280">
        <v>1</v>
      </c>
      <c r="AJ2280">
        <v>0</v>
      </c>
      <c r="AK2280">
        <v>10</v>
      </c>
      <c r="AL2280" t="s">
        <v>385</v>
      </c>
      <c r="AM2280" t="s">
        <v>1153</v>
      </c>
      <c r="AN2280" t="s">
        <v>1154</v>
      </c>
      <c r="AO2280" t="s">
        <v>1155</v>
      </c>
      <c r="AP2280" t="s">
        <v>1156</v>
      </c>
      <c r="AQ2280" t="s">
        <v>74</v>
      </c>
      <c r="AR2280" t="s">
        <v>1157</v>
      </c>
      <c r="AS2280" t="s">
        <v>1158</v>
      </c>
      <c r="AT2280" t="s">
        <v>743</v>
      </c>
      <c r="AU2280">
        <v>2024</v>
      </c>
      <c r="AV2280">
        <v>172</v>
      </c>
      <c r="AW2280">
        <v>3</v>
      </c>
      <c r="AX2280" t="s">
        <v>74</v>
      </c>
      <c r="AY2280" t="s">
        <v>74</v>
      </c>
      <c r="AZ2280" t="s">
        <v>74</v>
      </c>
      <c r="BA2280" t="s">
        <v>74</v>
      </c>
      <c r="BB2280">
        <v>1041</v>
      </c>
      <c r="BC2280">
        <v>1059</v>
      </c>
      <c r="BD2280" t="s">
        <v>74</v>
      </c>
      <c r="BE2280" t="s">
        <v>38684</v>
      </c>
      <c r="BF2280" t="str">
        <f>HYPERLINK("http://dx.doi.org/10.1007/s11205-024-03336-5","http://dx.doi.org/10.1007/s11205-024-03336-5")</f>
        <v>http://dx.doi.org/10.1007/s11205-024-03336-5</v>
      </c>
      <c r="BG2280" t="s">
        <v>74</v>
      </c>
      <c r="BH2280" t="s">
        <v>5285</v>
      </c>
      <c r="BI2280">
        <v>19</v>
      </c>
      <c r="BJ2280" t="s">
        <v>1161</v>
      </c>
      <c r="BK2280" t="s">
        <v>99</v>
      </c>
      <c r="BL2280" t="s">
        <v>1162</v>
      </c>
      <c r="BM2280" t="s">
        <v>37978</v>
      </c>
      <c r="BN2280" t="s">
        <v>74</v>
      </c>
      <c r="BO2280" t="s">
        <v>270</v>
      </c>
      <c r="BP2280" t="s">
        <v>74</v>
      </c>
      <c r="BQ2280" t="s">
        <v>74</v>
      </c>
      <c r="BR2280" t="s">
        <v>102</v>
      </c>
      <c r="BS2280" t="s">
        <v>38685</v>
      </c>
      <c r="BT2280" t="str">
        <f>HYPERLINK("https%3A%2F%2Fwww.webofscience.com%2Fwos%2Fwoscc%2Ffull-record%2FWOS:001215360700001","View Full Record in Web of Science")</f>
        <v>View Full Record in Web of Science</v>
      </c>
    </row>
    <row r="2281" spans="1:72" x14ac:dyDescent="0.25">
      <c r="A2281" t="s">
        <v>72</v>
      </c>
      <c r="B2281" t="s">
        <v>38686</v>
      </c>
      <c r="C2281" t="s">
        <v>74</v>
      </c>
      <c r="D2281" t="s">
        <v>74</v>
      </c>
      <c r="E2281" t="s">
        <v>74</v>
      </c>
      <c r="F2281" t="s">
        <v>38687</v>
      </c>
      <c r="G2281" t="s">
        <v>74</v>
      </c>
      <c r="H2281" t="s">
        <v>74</v>
      </c>
      <c r="I2281" t="s">
        <v>38688</v>
      </c>
      <c r="J2281" t="s">
        <v>1681</v>
      </c>
      <c r="K2281" t="s">
        <v>74</v>
      </c>
      <c r="L2281" t="s">
        <v>74</v>
      </c>
      <c r="M2281" t="s">
        <v>78</v>
      </c>
      <c r="N2281" t="s">
        <v>79</v>
      </c>
      <c r="O2281" t="s">
        <v>74</v>
      </c>
      <c r="P2281" t="s">
        <v>74</v>
      </c>
      <c r="Q2281" t="s">
        <v>74</v>
      </c>
      <c r="R2281" t="s">
        <v>74</v>
      </c>
      <c r="S2281" t="s">
        <v>74</v>
      </c>
      <c r="T2281" t="s">
        <v>38689</v>
      </c>
      <c r="U2281" t="s">
        <v>74</v>
      </c>
      <c r="V2281" t="s">
        <v>38690</v>
      </c>
      <c r="W2281" t="s">
        <v>38691</v>
      </c>
      <c r="X2281" t="s">
        <v>38692</v>
      </c>
      <c r="Y2281" t="s">
        <v>38693</v>
      </c>
      <c r="Z2281" t="s">
        <v>74</v>
      </c>
      <c r="AA2281" t="s">
        <v>74</v>
      </c>
      <c r="AB2281" t="s">
        <v>74</v>
      </c>
      <c r="AC2281" t="s">
        <v>38694</v>
      </c>
      <c r="AD2281" t="s">
        <v>9224</v>
      </c>
      <c r="AE2281" t="s">
        <v>38695</v>
      </c>
      <c r="AF2281" t="s">
        <v>74</v>
      </c>
      <c r="AG2281">
        <v>12</v>
      </c>
      <c r="AH2281">
        <v>4</v>
      </c>
      <c r="AI2281">
        <v>4</v>
      </c>
      <c r="AJ2281">
        <v>2</v>
      </c>
      <c r="AK2281">
        <v>23</v>
      </c>
      <c r="AL2281" t="s">
        <v>332</v>
      </c>
      <c r="AM2281" t="s">
        <v>333</v>
      </c>
      <c r="AN2281" t="s">
        <v>334</v>
      </c>
      <c r="AO2281" t="s">
        <v>1689</v>
      </c>
      <c r="AP2281" t="s">
        <v>1690</v>
      </c>
      <c r="AQ2281" t="s">
        <v>74</v>
      </c>
      <c r="AR2281" t="s">
        <v>1691</v>
      </c>
      <c r="AS2281" t="s">
        <v>1692</v>
      </c>
      <c r="AT2281" t="s">
        <v>2206</v>
      </c>
      <c r="AU2281">
        <v>2020</v>
      </c>
      <c r="AV2281">
        <v>54</v>
      </c>
      <c r="AW2281">
        <v>2</v>
      </c>
      <c r="AX2281" t="s">
        <v>74</v>
      </c>
      <c r="AY2281" t="s">
        <v>74</v>
      </c>
      <c r="AZ2281" t="s">
        <v>74</v>
      </c>
      <c r="BA2281" t="s">
        <v>74</v>
      </c>
      <c r="BB2281">
        <v>480</v>
      </c>
      <c r="BC2281">
        <v>485</v>
      </c>
      <c r="BD2281" t="s">
        <v>74</v>
      </c>
      <c r="BE2281" t="s">
        <v>38696</v>
      </c>
      <c r="BF2281" t="str">
        <f>HYPERLINK("http://dx.doi.org/10.1080/00213624.2020.1756657","http://dx.doi.org/10.1080/00213624.2020.1756657")</f>
        <v>http://dx.doi.org/10.1080/00213624.2020.1756657</v>
      </c>
      <c r="BG2281" t="s">
        <v>74</v>
      </c>
      <c r="BH2281" t="s">
        <v>74</v>
      </c>
      <c r="BI2281">
        <v>6</v>
      </c>
      <c r="BJ2281" t="s">
        <v>291</v>
      </c>
      <c r="BK2281" t="s">
        <v>99</v>
      </c>
      <c r="BL2281" t="s">
        <v>100</v>
      </c>
      <c r="BM2281" t="s">
        <v>38697</v>
      </c>
      <c r="BN2281" t="s">
        <v>74</v>
      </c>
      <c r="BO2281" t="s">
        <v>74</v>
      </c>
      <c r="BP2281" t="s">
        <v>74</v>
      </c>
      <c r="BQ2281" t="s">
        <v>74</v>
      </c>
      <c r="BR2281" t="s">
        <v>102</v>
      </c>
      <c r="BS2281" t="s">
        <v>38698</v>
      </c>
      <c r="BT2281" t="str">
        <f>HYPERLINK("https%3A%2F%2Fwww.webofscience.com%2Fwos%2Fwoscc%2Ffull-record%2FWOS:000544423900026","View Full Record in Web of Science")</f>
        <v>View Full Record in Web of Science</v>
      </c>
    </row>
    <row r="2282" spans="1:72" x14ac:dyDescent="0.25">
      <c r="A2282" t="s">
        <v>72</v>
      </c>
      <c r="B2282" t="s">
        <v>38699</v>
      </c>
      <c r="C2282" t="s">
        <v>74</v>
      </c>
      <c r="D2282" t="s">
        <v>74</v>
      </c>
      <c r="E2282" t="s">
        <v>74</v>
      </c>
      <c r="F2282" t="s">
        <v>38700</v>
      </c>
      <c r="G2282" t="s">
        <v>74</v>
      </c>
      <c r="H2282" t="s">
        <v>74</v>
      </c>
      <c r="I2282" t="s">
        <v>38701</v>
      </c>
      <c r="J2282" t="s">
        <v>18798</v>
      </c>
      <c r="K2282" t="s">
        <v>74</v>
      </c>
      <c r="L2282" t="s">
        <v>74</v>
      </c>
      <c r="M2282" t="s">
        <v>78</v>
      </c>
      <c r="N2282" t="s">
        <v>79</v>
      </c>
      <c r="O2282" t="s">
        <v>74</v>
      </c>
      <c r="P2282" t="s">
        <v>74</v>
      </c>
      <c r="Q2282" t="s">
        <v>74</v>
      </c>
      <c r="R2282" t="s">
        <v>74</v>
      </c>
      <c r="S2282" t="s">
        <v>74</v>
      </c>
      <c r="T2282" t="s">
        <v>38702</v>
      </c>
      <c r="U2282" t="s">
        <v>74</v>
      </c>
      <c r="V2282" t="s">
        <v>38703</v>
      </c>
      <c r="W2282" t="s">
        <v>74</v>
      </c>
      <c r="X2282" t="s">
        <v>74</v>
      </c>
      <c r="Y2282" t="s">
        <v>74</v>
      </c>
      <c r="Z2282" t="s">
        <v>38704</v>
      </c>
      <c r="AA2282" t="s">
        <v>74</v>
      </c>
      <c r="AB2282" t="s">
        <v>74</v>
      </c>
      <c r="AC2282" t="s">
        <v>74</v>
      </c>
      <c r="AD2282" t="s">
        <v>74</v>
      </c>
      <c r="AE2282" t="s">
        <v>74</v>
      </c>
      <c r="AF2282" t="s">
        <v>74</v>
      </c>
      <c r="AG2282">
        <v>54</v>
      </c>
      <c r="AH2282">
        <v>2</v>
      </c>
      <c r="AI2282">
        <v>2</v>
      </c>
      <c r="AJ2282">
        <v>0</v>
      </c>
      <c r="AK2282">
        <v>11</v>
      </c>
      <c r="AL2282" t="s">
        <v>18792</v>
      </c>
      <c r="AM2282" t="s">
        <v>18791</v>
      </c>
      <c r="AN2282" t="s">
        <v>18790</v>
      </c>
      <c r="AO2282" t="s">
        <v>18789</v>
      </c>
      <c r="AP2282" t="s">
        <v>18788</v>
      </c>
      <c r="AQ2282" t="s">
        <v>74</v>
      </c>
      <c r="AR2282" t="s">
        <v>18787</v>
      </c>
      <c r="AS2282" t="s">
        <v>18786</v>
      </c>
      <c r="AT2282" t="s">
        <v>723</v>
      </c>
      <c r="AU2282">
        <v>2022</v>
      </c>
      <c r="AV2282">
        <v>12</v>
      </c>
      <c r="AW2282">
        <v>2</v>
      </c>
      <c r="AX2282" t="s">
        <v>74</v>
      </c>
      <c r="AY2282" t="s">
        <v>74</v>
      </c>
      <c r="AZ2282" t="s">
        <v>74</v>
      </c>
      <c r="BA2282" t="s">
        <v>74</v>
      </c>
      <c r="BB2282">
        <v>68</v>
      </c>
      <c r="BC2282">
        <v>97</v>
      </c>
      <c r="BD2282" t="s">
        <v>74</v>
      </c>
      <c r="BE2282" t="s">
        <v>38705</v>
      </c>
      <c r="BF2282" t="str">
        <f>HYPERLINK("http://dx.doi.org/10.25003/RAS.12.02.0018","http://dx.doi.org/10.25003/RAS.12.02.0018")</f>
        <v>http://dx.doi.org/10.25003/RAS.12.02.0018</v>
      </c>
      <c r="BG2282" t="s">
        <v>74</v>
      </c>
      <c r="BH2282" t="s">
        <v>74</v>
      </c>
      <c r="BI2282">
        <v>30</v>
      </c>
      <c r="BJ2282" t="s">
        <v>1137</v>
      </c>
      <c r="BK2282" t="s">
        <v>313</v>
      </c>
      <c r="BL2282" t="s">
        <v>1137</v>
      </c>
      <c r="BM2282" t="s">
        <v>38706</v>
      </c>
      <c r="BN2282" t="s">
        <v>74</v>
      </c>
      <c r="BO2282" t="s">
        <v>1696</v>
      </c>
      <c r="BP2282" t="s">
        <v>74</v>
      </c>
      <c r="BQ2282" t="s">
        <v>74</v>
      </c>
      <c r="BR2282" t="s">
        <v>102</v>
      </c>
      <c r="BS2282" t="s">
        <v>38707</v>
      </c>
      <c r="BT2282" t="str">
        <f>HYPERLINK("https%3A%2F%2Fwww.webofscience.com%2Fwos%2Fwoscc%2Ffull-record%2FWOS:000975977800006","View Full Record in Web of Science")</f>
        <v>View Full Record in Web of Science</v>
      </c>
    </row>
    <row r="2283" spans="1:72" x14ac:dyDescent="0.25">
      <c r="A2283" t="s">
        <v>72</v>
      </c>
      <c r="B2283" t="s">
        <v>14841</v>
      </c>
      <c r="C2283" t="s">
        <v>74</v>
      </c>
      <c r="D2283" t="s">
        <v>74</v>
      </c>
      <c r="E2283" t="s">
        <v>74</v>
      </c>
      <c r="F2283" t="s">
        <v>38708</v>
      </c>
      <c r="G2283" t="s">
        <v>74</v>
      </c>
      <c r="H2283" t="s">
        <v>74</v>
      </c>
      <c r="I2283" t="s">
        <v>38709</v>
      </c>
      <c r="J2283" t="s">
        <v>424</v>
      </c>
      <c r="K2283" t="s">
        <v>74</v>
      </c>
      <c r="L2283" t="s">
        <v>74</v>
      </c>
      <c r="M2283" t="s">
        <v>78</v>
      </c>
      <c r="N2283" t="s">
        <v>79</v>
      </c>
      <c r="O2283" t="s">
        <v>74</v>
      </c>
      <c r="P2283" t="s">
        <v>74</v>
      </c>
      <c r="Q2283" t="s">
        <v>74</v>
      </c>
      <c r="R2283" t="s">
        <v>74</v>
      </c>
      <c r="S2283" t="s">
        <v>74</v>
      </c>
      <c r="T2283" t="s">
        <v>38710</v>
      </c>
      <c r="U2283" t="s">
        <v>38711</v>
      </c>
      <c r="V2283" t="s">
        <v>38712</v>
      </c>
      <c r="W2283" t="s">
        <v>38713</v>
      </c>
      <c r="X2283" t="s">
        <v>38714</v>
      </c>
      <c r="Y2283" t="s">
        <v>38715</v>
      </c>
      <c r="Z2283" t="s">
        <v>14850</v>
      </c>
      <c r="AA2283" t="s">
        <v>18369</v>
      </c>
      <c r="AB2283" t="s">
        <v>38716</v>
      </c>
      <c r="AC2283" t="s">
        <v>74</v>
      </c>
      <c r="AD2283" t="s">
        <v>74</v>
      </c>
      <c r="AE2283" t="s">
        <v>74</v>
      </c>
      <c r="AF2283" t="s">
        <v>74</v>
      </c>
      <c r="AG2283">
        <v>51</v>
      </c>
      <c r="AH2283">
        <v>46</v>
      </c>
      <c r="AI2283">
        <v>58</v>
      </c>
      <c r="AJ2283">
        <v>5</v>
      </c>
      <c r="AK2283">
        <v>35</v>
      </c>
      <c r="AL2283" t="s">
        <v>89</v>
      </c>
      <c r="AM2283" t="s">
        <v>1497</v>
      </c>
      <c r="AN2283" t="s">
        <v>1498</v>
      </c>
      <c r="AO2283" t="s">
        <v>436</v>
      </c>
      <c r="AP2283" t="s">
        <v>437</v>
      </c>
      <c r="AQ2283" t="s">
        <v>74</v>
      </c>
      <c r="AR2283" t="s">
        <v>438</v>
      </c>
      <c r="AS2283" t="s">
        <v>439</v>
      </c>
      <c r="AT2283" t="s">
        <v>74</v>
      </c>
      <c r="AU2283">
        <v>2015</v>
      </c>
      <c r="AV2283">
        <v>33</v>
      </c>
      <c r="AW2283">
        <v>6</v>
      </c>
      <c r="AX2283" t="s">
        <v>74</v>
      </c>
      <c r="AY2283" t="s">
        <v>74</v>
      </c>
      <c r="AZ2283" t="s">
        <v>74</v>
      </c>
      <c r="BA2283" t="s">
        <v>74</v>
      </c>
      <c r="BB2283">
        <v>808</v>
      </c>
      <c r="BC2283">
        <v>822</v>
      </c>
      <c r="BD2283" t="s">
        <v>74</v>
      </c>
      <c r="BE2283" t="s">
        <v>38717</v>
      </c>
      <c r="BF2283" t="str">
        <f>HYPERLINK("http://dx.doi.org/10.1108/IJBM-03-2015-0032","http://dx.doi.org/10.1108/IJBM-03-2015-0032")</f>
        <v>http://dx.doi.org/10.1108/IJBM-03-2015-0032</v>
      </c>
      <c r="BG2283" t="s">
        <v>74</v>
      </c>
      <c r="BH2283" t="s">
        <v>74</v>
      </c>
      <c r="BI2283">
        <v>15</v>
      </c>
      <c r="BJ2283" t="s">
        <v>418</v>
      </c>
      <c r="BK2283" t="s">
        <v>99</v>
      </c>
      <c r="BL2283" t="s">
        <v>100</v>
      </c>
      <c r="BM2283" t="s">
        <v>38718</v>
      </c>
      <c r="BN2283" t="s">
        <v>74</v>
      </c>
      <c r="BO2283" t="s">
        <v>74</v>
      </c>
      <c r="BP2283" t="s">
        <v>74</v>
      </c>
      <c r="BQ2283" t="s">
        <v>74</v>
      </c>
      <c r="BR2283" t="s">
        <v>102</v>
      </c>
      <c r="BS2283" t="s">
        <v>38719</v>
      </c>
      <c r="BT2283" t="str">
        <f>HYPERLINK("https%3A%2F%2Fwww.webofscience.com%2Fwos%2Fwoscc%2Ffull-record%2FWOS:000216517800008","View Full Record in Web of Science")</f>
        <v>View Full Record in Web of Science</v>
      </c>
    </row>
    <row r="2284" spans="1:72" x14ac:dyDescent="0.25">
      <c r="A2284" t="s">
        <v>72</v>
      </c>
      <c r="B2284" t="s">
        <v>38720</v>
      </c>
      <c r="C2284" t="s">
        <v>74</v>
      </c>
      <c r="D2284" t="s">
        <v>74</v>
      </c>
      <c r="E2284" t="s">
        <v>74</v>
      </c>
      <c r="F2284" t="s">
        <v>38721</v>
      </c>
      <c r="G2284" t="s">
        <v>74</v>
      </c>
      <c r="H2284" t="s">
        <v>74</v>
      </c>
      <c r="I2284" t="s">
        <v>38722</v>
      </c>
      <c r="J2284" t="s">
        <v>5176</v>
      </c>
      <c r="K2284" t="s">
        <v>74</v>
      </c>
      <c r="L2284" t="s">
        <v>74</v>
      </c>
      <c r="M2284" t="s">
        <v>78</v>
      </c>
      <c r="N2284" t="s">
        <v>79</v>
      </c>
      <c r="O2284" t="s">
        <v>74</v>
      </c>
      <c r="P2284" t="s">
        <v>74</v>
      </c>
      <c r="Q2284" t="s">
        <v>74</v>
      </c>
      <c r="R2284" t="s">
        <v>74</v>
      </c>
      <c r="S2284" t="s">
        <v>74</v>
      </c>
      <c r="T2284" t="s">
        <v>38723</v>
      </c>
      <c r="U2284" t="s">
        <v>74</v>
      </c>
      <c r="V2284" t="s">
        <v>38724</v>
      </c>
      <c r="W2284" t="s">
        <v>38725</v>
      </c>
      <c r="X2284" t="s">
        <v>1813</v>
      </c>
      <c r="Y2284" t="s">
        <v>38726</v>
      </c>
      <c r="Z2284" t="s">
        <v>74</v>
      </c>
      <c r="AA2284" t="s">
        <v>38727</v>
      </c>
      <c r="AB2284" t="s">
        <v>74</v>
      </c>
      <c r="AC2284" t="s">
        <v>74</v>
      </c>
      <c r="AD2284" t="s">
        <v>74</v>
      </c>
      <c r="AE2284" t="s">
        <v>74</v>
      </c>
      <c r="AF2284" t="s">
        <v>74</v>
      </c>
      <c r="AG2284">
        <v>43</v>
      </c>
      <c r="AH2284">
        <v>3</v>
      </c>
      <c r="AI2284">
        <v>3</v>
      </c>
      <c r="AJ2284">
        <v>0</v>
      </c>
      <c r="AK2284">
        <v>5</v>
      </c>
      <c r="AL2284" t="s">
        <v>5183</v>
      </c>
      <c r="AM2284" t="s">
        <v>5184</v>
      </c>
      <c r="AN2284" t="s">
        <v>5185</v>
      </c>
      <c r="AO2284" t="s">
        <v>5186</v>
      </c>
      <c r="AP2284" t="s">
        <v>5187</v>
      </c>
      <c r="AQ2284" t="s">
        <v>74</v>
      </c>
      <c r="AR2284" t="s">
        <v>5188</v>
      </c>
      <c r="AS2284" t="s">
        <v>5189</v>
      </c>
      <c r="AT2284" t="s">
        <v>74</v>
      </c>
      <c r="AU2284">
        <v>2020</v>
      </c>
      <c r="AV2284">
        <v>9</v>
      </c>
      <c r="AW2284">
        <v>3</v>
      </c>
      <c r="AX2284" t="s">
        <v>74</v>
      </c>
      <c r="AY2284" t="s">
        <v>74</v>
      </c>
      <c r="AZ2284" t="s">
        <v>74</v>
      </c>
      <c r="BA2284" t="s">
        <v>74</v>
      </c>
      <c r="BB2284">
        <v>457</v>
      </c>
      <c r="BC2284">
        <v>475</v>
      </c>
      <c r="BD2284" t="s">
        <v>74</v>
      </c>
      <c r="BE2284" t="s">
        <v>38728</v>
      </c>
      <c r="BF2284" t="str">
        <f>HYPERLINK("http://dx.doi.org/10.14207/ejsd.2020.v9n3p457","http://dx.doi.org/10.14207/ejsd.2020.v9n3p457")</f>
        <v>http://dx.doi.org/10.14207/ejsd.2020.v9n3p457</v>
      </c>
      <c r="BG2284" t="s">
        <v>74</v>
      </c>
      <c r="BH2284" t="s">
        <v>74</v>
      </c>
      <c r="BI2284">
        <v>19</v>
      </c>
      <c r="BJ2284" t="s">
        <v>127</v>
      </c>
      <c r="BK2284" t="s">
        <v>313</v>
      </c>
      <c r="BL2284" t="s">
        <v>129</v>
      </c>
      <c r="BM2284" t="s">
        <v>38729</v>
      </c>
      <c r="BN2284" t="s">
        <v>74</v>
      </c>
      <c r="BO2284" t="s">
        <v>916</v>
      </c>
      <c r="BP2284" t="s">
        <v>74</v>
      </c>
      <c r="BQ2284" t="s">
        <v>74</v>
      </c>
      <c r="BR2284" t="s">
        <v>102</v>
      </c>
      <c r="BS2284" t="s">
        <v>38730</v>
      </c>
      <c r="BT2284" t="str">
        <f>HYPERLINK("https%3A%2F%2Fwww.webofscience.com%2Fwos%2Fwoscc%2Ffull-record%2FWOS:000578044500001","View Full Record in Web of Science")</f>
        <v>View Full Record in Web of Science</v>
      </c>
    </row>
    <row r="2285" spans="1:72" x14ac:dyDescent="0.25">
      <c r="A2285" t="s">
        <v>132</v>
      </c>
      <c r="B2285" t="s">
        <v>38731</v>
      </c>
      <c r="C2285" t="s">
        <v>74</v>
      </c>
      <c r="D2285" t="s">
        <v>38732</v>
      </c>
      <c r="E2285" t="s">
        <v>74</v>
      </c>
      <c r="F2285" t="s">
        <v>38733</v>
      </c>
      <c r="G2285" t="s">
        <v>74</v>
      </c>
      <c r="H2285" t="s">
        <v>74</v>
      </c>
      <c r="I2285" t="s">
        <v>38734</v>
      </c>
      <c r="J2285" t="s">
        <v>38735</v>
      </c>
      <c r="K2285" t="s">
        <v>38736</v>
      </c>
      <c r="L2285" t="s">
        <v>74</v>
      </c>
      <c r="M2285" t="s">
        <v>78</v>
      </c>
      <c r="N2285" t="s">
        <v>138</v>
      </c>
      <c r="O2285" t="s">
        <v>38737</v>
      </c>
      <c r="P2285" t="s">
        <v>38738</v>
      </c>
      <c r="Q2285" t="s">
        <v>38739</v>
      </c>
      <c r="R2285" t="s">
        <v>38740</v>
      </c>
      <c r="S2285" t="s">
        <v>74</v>
      </c>
      <c r="T2285" t="s">
        <v>38741</v>
      </c>
      <c r="U2285" t="s">
        <v>74</v>
      </c>
      <c r="V2285" t="s">
        <v>38742</v>
      </c>
      <c r="W2285" t="s">
        <v>38743</v>
      </c>
      <c r="X2285" t="s">
        <v>38744</v>
      </c>
      <c r="Y2285" t="s">
        <v>38745</v>
      </c>
      <c r="Z2285" t="s">
        <v>38746</v>
      </c>
      <c r="AA2285" t="s">
        <v>38747</v>
      </c>
      <c r="AB2285" t="s">
        <v>38748</v>
      </c>
      <c r="AC2285" t="s">
        <v>74</v>
      </c>
      <c r="AD2285" t="s">
        <v>74</v>
      </c>
      <c r="AE2285" t="s">
        <v>74</v>
      </c>
      <c r="AF2285" t="s">
        <v>74</v>
      </c>
      <c r="AG2285">
        <v>27</v>
      </c>
      <c r="AH2285">
        <v>6</v>
      </c>
      <c r="AI2285">
        <v>7</v>
      </c>
      <c r="AJ2285">
        <v>0</v>
      </c>
      <c r="AK2285">
        <v>11</v>
      </c>
      <c r="AL2285" t="s">
        <v>150</v>
      </c>
      <c r="AM2285" t="s">
        <v>151</v>
      </c>
      <c r="AN2285" t="s">
        <v>1560</v>
      </c>
      <c r="AO2285" t="s">
        <v>38749</v>
      </c>
      <c r="AP2285" t="s">
        <v>74</v>
      </c>
      <c r="AQ2285" t="s">
        <v>38750</v>
      </c>
      <c r="AR2285" t="s">
        <v>38751</v>
      </c>
      <c r="AS2285" t="s">
        <v>74</v>
      </c>
      <c r="AT2285" t="s">
        <v>74</v>
      </c>
      <c r="AU2285">
        <v>2019</v>
      </c>
      <c r="AV2285" t="s">
        <v>74</v>
      </c>
      <c r="AW2285" t="s">
        <v>74</v>
      </c>
      <c r="AX2285" t="s">
        <v>74</v>
      </c>
      <c r="AY2285" t="s">
        <v>74</v>
      </c>
      <c r="AZ2285" t="s">
        <v>74</v>
      </c>
      <c r="BA2285" t="s">
        <v>74</v>
      </c>
      <c r="BB2285">
        <v>336</v>
      </c>
      <c r="BC2285">
        <v>338</v>
      </c>
      <c r="BD2285" t="s">
        <v>74</v>
      </c>
      <c r="BE2285" t="s">
        <v>38752</v>
      </c>
      <c r="BF2285" t="str">
        <f>HYPERLINK("http://dx.doi.org/10.1145/3331076.3331096","http://dx.doi.org/10.1145/3331076.3331096")</f>
        <v>http://dx.doi.org/10.1145/3331076.3331096</v>
      </c>
      <c r="BG2285" t="s">
        <v>74</v>
      </c>
      <c r="BH2285" t="s">
        <v>74</v>
      </c>
      <c r="BI2285">
        <v>3</v>
      </c>
      <c r="BJ2285" t="s">
        <v>2843</v>
      </c>
      <c r="BK2285" t="s">
        <v>156</v>
      </c>
      <c r="BL2285" t="s">
        <v>157</v>
      </c>
      <c r="BM2285" t="s">
        <v>38753</v>
      </c>
      <c r="BN2285" t="s">
        <v>74</v>
      </c>
      <c r="BO2285" t="s">
        <v>74</v>
      </c>
      <c r="BP2285" t="s">
        <v>74</v>
      </c>
      <c r="BQ2285" t="s">
        <v>74</v>
      </c>
      <c r="BR2285" t="s">
        <v>102</v>
      </c>
      <c r="BS2285" t="s">
        <v>38754</v>
      </c>
      <c r="BT2285" t="str">
        <f>HYPERLINK("https%3A%2F%2Fwww.webofscience.com%2Fwos%2Fwoscc%2Ffull-record%2FWOS:000810167700044","View Full Record in Web of Science")</f>
        <v>View Full Record in Web of Science</v>
      </c>
    </row>
    <row r="2286" spans="1:72" x14ac:dyDescent="0.25">
      <c r="A2286" t="s">
        <v>72</v>
      </c>
      <c r="B2286" t="s">
        <v>38755</v>
      </c>
      <c r="C2286" t="s">
        <v>74</v>
      </c>
      <c r="D2286" t="s">
        <v>74</v>
      </c>
      <c r="E2286" t="s">
        <v>74</v>
      </c>
      <c r="F2286" t="s">
        <v>38756</v>
      </c>
      <c r="G2286" t="s">
        <v>74</v>
      </c>
      <c r="H2286" t="s">
        <v>74</v>
      </c>
      <c r="I2286" t="s">
        <v>38757</v>
      </c>
      <c r="J2286" t="s">
        <v>6362</v>
      </c>
      <c r="K2286" t="s">
        <v>74</v>
      </c>
      <c r="L2286" t="s">
        <v>74</v>
      </c>
      <c r="M2286" t="s">
        <v>78</v>
      </c>
      <c r="N2286" t="s">
        <v>79</v>
      </c>
      <c r="O2286" t="s">
        <v>74</v>
      </c>
      <c r="P2286" t="s">
        <v>74</v>
      </c>
      <c r="Q2286" t="s">
        <v>74</v>
      </c>
      <c r="R2286" t="s">
        <v>74</v>
      </c>
      <c r="S2286" t="s">
        <v>74</v>
      </c>
      <c r="T2286" t="s">
        <v>74</v>
      </c>
      <c r="U2286" t="s">
        <v>38758</v>
      </c>
      <c r="V2286" t="s">
        <v>38759</v>
      </c>
      <c r="W2286" t="s">
        <v>38760</v>
      </c>
      <c r="X2286" t="s">
        <v>38761</v>
      </c>
      <c r="Y2286" t="s">
        <v>38762</v>
      </c>
      <c r="Z2286" t="s">
        <v>38763</v>
      </c>
      <c r="AA2286" t="s">
        <v>74</v>
      </c>
      <c r="AB2286" t="s">
        <v>38764</v>
      </c>
      <c r="AC2286" t="s">
        <v>74</v>
      </c>
      <c r="AD2286" t="s">
        <v>74</v>
      </c>
      <c r="AE2286" t="s">
        <v>74</v>
      </c>
      <c r="AF2286" t="s">
        <v>74</v>
      </c>
      <c r="AG2286">
        <v>72</v>
      </c>
      <c r="AH2286">
        <v>7</v>
      </c>
      <c r="AI2286">
        <v>7</v>
      </c>
      <c r="AJ2286">
        <v>1</v>
      </c>
      <c r="AK2286">
        <v>13</v>
      </c>
      <c r="AL2286" t="s">
        <v>3298</v>
      </c>
      <c r="AM2286" t="s">
        <v>202</v>
      </c>
      <c r="AN2286" t="s">
        <v>3299</v>
      </c>
      <c r="AO2286" t="s">
        <v>6374</v>
      </c>
      <c r="AP2286" t="s">
        <v>6375</v>
      </c>
      <c r="AQ2286" t="s">
        <v>74</v>
      </c>
      <c r="AR2286" t="s">
        <v>6376</v>
      </c>
      <c r="AS2286" t="s">
        <v>6377</v>
      </c>
      <c r="AT2286" t="s">
        <v>1159</v>
      </c>
      <c r="AU2286">
        <v>2018</v>
      </c>
      <c r="AV2286">
        <v>154</v>
      </c>
      <c r="AW2286" t="s">
        <v>74</v>
      </c>
      <c r="AX2286" t="s">
        <v>74</v>
      </c>
      <c r="AY2286" t="s">
        <v>74</v>
      </c>
      <c r="AZ2286" t="s">
        <v>74</v>
      </c>
      <c r="BA2286" t="s">
        <v>74</v>
      </c>
      <c r="BB2286">
        <v>75</v>
      </c>
      <c r="BC2286">
        <v>99</v>
      </c>
      <c r="BD2286" t="s">
        <v>74</v>
      </c>
      <c r="BE2286" t="s">
        <v>38765</v>
      </c>
      <c r="BF2286" t="str">
        <f>HYPERLINK("http://dx.doi.org/10.1016/j.jebo.2018.07.008","http://dx.doi.org/10.1016/j.jebo.2018.07.008")</f>
        <v>http://dx.doi.org/10.1016/j.jebo.2018.07.008</v>
      </c>
      <c r="BG2286" t="s">
        <v>74</v>
      </c>
      <c r="BH2286" t="s">
        <v>74</v>
      </c>
      <c r="BI2286">
        <v>25</v>
      </c>
      <c r="BJ2286" t="s">
        <v>291</v>
      </c>
      <c r="BK2286" t="s">
        <v>99</v>
      </c>
      <c r="BL2286" t="s">
        <v>100</v>
      </c>
      <c r="BM2286" t="s">
        <v>38766</v>
      </c>
      <c r="BN2286" t="s">
        <v>74</v>
      </c>
      <c r="BO2286" t="s">
        <v>74</v>
      </c>
      <c r="BP2286" t="s">
        <v>74</v>
      </c>
      <c r="BQ2286" t="s">
        <v>74</v>
      </c>
      <c r="BR2286" t="s">
        <v>102</v>
      </c>
      <c r="BS2286" t="s">
        <v>38767</v>
      </c>
      <c r="BT2286" t="str">
        <f>HYPERLINK("https%3A%2F%2Fwww.webofscience.com%2Fwos%2Fwoscc%2Ffull-record%2FWOS:000454969500005","View Full Record in Web of Science")</f>
        <v>View Full Record in Web of Science</v>
      </c>
    </row>
    <row r="2287" spans="1:72" x14ac:dyDescent="0.25">
      <c r="A2287" t="s">
        <v>72</v>
      </c>
      <c r="B2287" t="s">
        <v>38768</v>
      </c>
      <c r="C2287" t="s">
        <v>74</v>
      </c>
      <c r="D2287" t="s">
        <v>74</v>
      </c>
      <c r="E2287" t="s">
        <v>74</v>
      </c>
      <c r="F2287" t="s">
        <v>38769</v>
      </c>
      <c r="G2287" t="s">
        <v>74</v>
      </c>
      <c r="H2287" t="s">
        <v>74</v>
      </c>
      <c r="I2287" t="s">
        <v>38770</v>
      </c>
      <c r="J2287" t="s">
        <v>190</v>
      </c>
      <c r="K2287" t="s">
        <v>74</v>
      </c>
      <c r="L2287" t="s">
        <v>74</v>
      </c>
      <c r="M2287" t="s">
        <v>78</v>
      </c>
      <c r="N2287" t="s">
        <v>79</v>
      </c>
      <c r="O2287" t="s">
        <v>74</v>
      </c>
      <c r="P2287" t="s">
        <v>74</v>
      </c>
      <c r="Q2287" t="s">
        <v>74</v>
      </c>
      <c r="R2287" t="s">
        <v>74</v>
      </c>
      <c r="S2287" t="s">
        <v>74</v>
      </c>
      <c r="T2287" t="s">
        <v>38771</v>
      </c>
      <c r="U2287" t="s">
        <v>38772</v>
      </c>
      <c r="V2287" t="s">
        <v>38773</v>
      </c>
      <c r="W2287" t="s">
        <v>38774</v>
      </c>
      <c r="X2287" t="s">
        <v>38775</v>
      </c>
      <c r="Y2287" t="s">
        <v>38776</v>
      </c>
      <c r="Z2287" t="s">
        <v>38777</v>
      </c>
      <c r="AA2287" t="s">
        <v>38778</v>
      </c>
      <c r="AB2287" t="s">
        <v>74</v>
      </c>
      <c r="AC2287" t="s">
        <v>74</v>
      </c>
      <c r="AD2287" t="s">
        <v>74</v>
      </c>
      <c r="AE2287" t="s">
        <v>74</v>
      </c>
      <c r="AF2287" t="s">
        <v>74</v>
      </c>
      <c r="AG2287">
        <v>38</v>
      </c>
      <c r="AH2287">
        <v>3</v>
      </c>
      <c r="AI2287">
        <v>3</v>
      </c>
      <c r="AJ2287">
        <v>16</v>
      </c>
      <c r="AK2287">
        <v>16</v>
      </c>
      <c r="AL2287" t="s">
        <v>201</v>
      </c>
      <c r="AM2287" t="s">
        <v>202</v>
      </c>
      <c r="AN2287" t="s">
        <v>203</v>
      </c>
      <c r="AO2287" t="s">
        <v>204</v>
      </c>
      <c r="AP2287" t="s">
        <v>205</v>
      </c>
      <c r="AQ2287" t="s">
        <v>74</v>
      </c>
      <c r="AR2287" t="s">
        <v>206</v>
      </c>
      <c r="AS2287" t="s">
        <v>207</v>
      </c>
      <c r="AT2287" t="s">
        <v>124</v>
      </c>
      <c r="AU2287">
        <v>2025</v>
      </c>
      <c r="AV2287">
        <v>104</v>
      </c>
      <c r="AW2287" t="s">
        <v>74</v>
      </c>
      <c r="AX2287" t="s">
        <v>74</v>
      </c>
      <c r="AY2287" t="s">
        <v>74</v>
      </c>
      <c r="AZ2287" t="s">
        <v>74</v>
      </c>
      <c r="BA2287" t="s">
        <v>74</v>
      </c>
      <c r="BB2287" t="s">
        <v>74</v>
      </c>
      <c r="BC2287" t="s">
        <v>74</v>
      </c>
      <c r="BD2287">
        <v>104565</v>
      </c>
      <c r="BE2287" t="s">
        <v>38779</v>
      </c>
      <c r="BF2287" t="str">
        <f>HYPERLINK("http://dx.doi.org/10.1016/j.iref.2025.104565","http://dx.doi.org/10.1016/j.iref.2025.104565")</f>
        <v>http://dx.doi.org/10.1016/j.iref.2025.104565</v>
      </c>
      <c r="BG2287" t="s">
        <v>74</v>
      </c>
      <c r="BH2287" t="s">
        <v>3411</v>
      </c>
      <c r="BI2287">
        <v>17</v>
      </c>
      <c r="BJ2287" t="s">
        <v>210</v>
      </c>
      <c r="BK2287" t="s">
        <v>99</v>
      </c>
      <c r="BL2287" t="s">
        <v>100</v>
      </c>
      <c r="BM2287" t="s">
        <v>38780</v>
      </c>
      <c r="BN2287" t="s">
        <v>74</v>
      </c>
      <c r="BO2287" t="s">
        <v>212</v>
      </c>
      <c r="BP2287" t="s">
        <v>74</v>
      </c>
      <c r="BQ2287" t="s">
        <v>74</v>
      </c>
      <c r="BR2287" t="s">
        <v>102</v>
      </c>
      <c r="BS2287" t="s">
        <v>38781</v>
      </c>
      <c r="BT2287" t="str">
        <f>HYPERLINK("https%3A%2F%2Fwww.webofscience.com%2Fwos%2Fwoscc%2Ffull-record%2FWOS:001571812000001","View Full Record in Web of Science")</f>
        <v>View Full Record in Web of Science</v>
      </c>
    </row>
    <row r="2288" spans="1:72" x14ac:dyDescent="0.25">
      <c r="A2288" t="s">
        <v>72</v>
      </c>
      <c r="B2288" t="s">
        <v>38782</v>
      </c>
      <c r="C2288" t="s">
        <v>74</v>
      </c>
      <c r="D2288" t="s">
        <v>74</v>
      </c>
      <c r="E2288" t="s">
        <v>74</v>
      </c>
      <c r="F2288" t="s">
        <v>38783</v>
      </c>
      <c r="G2288" t="s">
        <v>74</v>
      </c>
      <c r="H2288" t="s">
        <v>74</v>
      </c>
      <c r="I2288" t="s">
        <v>38784</v>
      </c>
      <c r="J2288" t="s">
        <v>9727</v>
      </c>
      <c r="K2288" t="s">
        <v>74</v>
      </c>
      <c r="L2288" t="s">
        <v>74</v>
      </c>
      <c r="M2288" t="s">
        <v>78</v>
      </c>
      <c r="N2288" t="s">
        <v>79</v>
      </c>
      <c r="O2288" t="s">
        <v>74</v>
      </c>
      <c r="P2288" t="s">
        <v>74</v>
      </c>
      <c r="Q2288" t="s">
        <v>74</v>
      </c>
      <c r="R2288" t="s">
        <v>74</v>
      </c>
      <c r="S2288" t="s">
        <v>74</v>
      </c>
      <c r="T2288" t="s">
        <v>38785</v>
      </c>
      <c r="U2288" t="s">
        <v>38786</v>
      </c>
      <c r="V2288" t="s">
        <v>38787</v>
      </c>
      <c r="W2288" t="s">
        <v>38788</v>
      </c>
      <c r="X2288" t="s">
        <v>38789</v>
      </c>
      <c r="Y2288" t="s">
        <v>9733</v>
      </c>
      <c r="Z2288" t="s">
        <v>38790</v>
      </c>
      <c r="AA2288" t="s">
        <v>38791</v>
      </c>
      <c r="AB2288" t="s">
        <v>74</v>
      </c>
      <c r="AC2288" t="s">
        <v>74</v>
      </c>
      <c r="AD2288" t="s">
        <v>74</v>
      </c>
      <c r="AE2288" t="s">
        <v>74</v>
      </c>
      <c r="AF2288" t="s">
        <v>74</v>
      </c>
      <c r="AG2288">
        <v>69</v>
      </c>
      <c r="AH2288">
        <v>15</v>
      </c>
      <c r="AI2288">
        <v>19</v>
      </c>
      <c r="AJ2288">
        <v>1</v>
      </c>
      <c r="AK2288">
        <v>41</v>
      </c>
      <c r="AL2288" t="s">
        <v>5449</v>
      </c>
      <c r="AM2288" t="s">
        <v>5450</v>
      </c>
      <c r="AN2288" t="s">
        <v>5451</v>
      </c>
      <c r="AO2288" t="s">
        <v>9737</v>
      </c>
      <c r="AP2288" t="s">
        <v>9738</v>
      </c>
      <c r="AQ2288" t="s">
        <v>74</v>
      </c>
      <c r="AR2288" t="s">
        <v>9739</v>
      </c>
      <c r="AS2288" t="s">
        <v>9740</v>
      </c>
      <c r="AT2288" t="s">
        <v>17887</v>
      </c>
      <c r="AU2288">
        <v>2019</v>
      </c>
      <c r="AV2288">
        <v>21</v>
      </c>
      <c r="AW2288">
        <v>2</v>
      </c>
      <c r="AX2288" t="s">
        <v>74</v>
      </c>
      <c r="AY2288" t="s">
        <v>74</v>
      </c>
      <c r="AZ2288" t="s">
        <v>74</v>
      </c>
      <c r="BA2288" t="s">
        <v>74</v>
      </c>
      <c r="BB2288">
        <v>290</v>
      </c>
      <c r="BC2288">
        <v>307</v>
      </c>
      <c r="BD2288" t="s">
        <v>74</v>
      </c>
      <c r="BE2288" t="s">
        <v>38792</v>
      </c>
      <c r="BF2288" t="str">
        <f>HYPERLINK("http://dx.doi.org/10.1287/msom.2018.0717","http://dx.doi.org/10.1287/msom.2018.0717")</f>
        <v>http://dx.doi.org/10.1287/msom.2018.0717</v>
      </c>
      <c r="BG2288" t="s">
        <v>74</v>
      </c>
      <c r="BH2288" t="s">
        <v>74</v>
      </c>
      <c r="BI2288">
        <v>18</v>
      </c>
      <c r="BJ2288" t="s">
        <v>5169</v>
      </c>
      <c r="BK2288" t="s">
        <v>2623</v>
      </c>
      <c r="BL2288" t="s">
        <v>5170</v>
      </c>
      <c r="BM2288" t="s">
        <v>38793</v>
      </c>
      <c r="BN2288" t="s">
        <v>74</v>
      </c>
      <c r="BO2288" t="s">
        <v>74</v>
      </c>
      <c r="BP2288" t="s">
        <v>74</v>
      </c>
      <c r="BQ2288" t="s">
        <v>74</v>
      </c>
      <c r="BR2288" t="s">
        <v>102</v>
      </c>
      <c r="BS2288" t="s">
        <v>38794</v>
      </c>
      <c r="BT2288" t="str">
        <f>HYPERLINK("https%3A%2F%2Fwww.webofscience.com%2Fwos%2Fwoscc%2Ffull-record%2FWOS:000469773500004","View Full Record in Web of Science")</f>
        <v>View Full Record in Web of Science</v>
      </c>
    </row>
    <row r="2289" spans="1:72" x14ac:dyDescent="0.25">
      <c r="A2289" t="s">
        <v>72</v>
      </c>
      <c r="B2289" t="s">
        <v>38795</v>
      </c>
      <c r="C2289" t="s">
        <v>74</v>
      </c>
      <c r="D2289" t="s">
        <v>74</v>
      </c>
      <c r="E2289" t="s">
        <v>74</v>
      </c>
      <c r="F2289" t="s">
        <v>38796</v>
      </c>
      <c r="G2289" t="s">
        <v>74</v>
      </c>
      <c r="H2289" t="s">
        <v>74</v>
      </c>
      <c r="I2289" t="s">
        <v>38797</v>
      </c>
      <c r="J2289" t="s">
        <v>18377</v>
      </c>
      <c r="K2289" t="s">
        <v>74</v>
      </c>
      <c r="L2289" t="s">
        <v>74</v>
      </c>
      <c r="M2289" t="s">
        <v>78</v>
      </c>
      <c r="N2289" t="s">
        <v>79</v>
      </c>
      <c r="O2289" t="s">
        <v>74</v>
      </c>
      <c r="P2289" t="s">
        <v>74</v>
      </c>
      <c r="Q2289" t="s">
        <v>74</v>
      </c>
      <c r="R2289" t="s">
        <v>74</v>
      </c>
      <c r="S2289" t="s">
        <v>74</v>
      </c>
      <c r="T2289" t="s">
        <v>38798</v>
      </c>
      <c r="U2289" t="s">
        <v>8579</v>
      </c>
      <c r="V2289" t="s">
        <v>38799</v>
      </c>
      <c r="W2289" t="s">
        <v>38800</v>
      </c>
      <c r="X2289" t="s">
        <v>38801</v>
      </c>
      <c r="Y2289" t="s">
        <v>38802</v>
      </c>
      <c r="Z2289" t="s">
        <v>38803</v>
      </c>
      <c r="AA2289" t="s">
        <v>74</v>
      </c>
      <c r="AB2289" t="s">
        <v>38804</v>
      </c>
      <c r="AC2289" t="s">
        <v>74</v>
      </c>
      <c r="AD2289" t="s">
        <v>74</v>
      </c>
      <c r="AE2289" t="s">
        <v>74</v>
      </c>
      <c r="AF2289" t="s">
        <v>74</v>
      </c>
      <c r="AG2289">
        <v>40</v>
      </c>
      <c r="AH2289">
        <v>6</v>
      </c>
      <c r="AI2289">
        <v>10</v>
      </c>
      <c r="AJ2289">
        <v>4</v>
      </c>
      <c r="AK2289">
        <v>38</v>
      </c>
      <c r="AL2289" t="s">
        <v>479</v>
      </c>
      <c r="AM2289" t="s">
        <v>480</v>
      </c>
      <c r="AN2289" t="s">
        <v>481</v>
      </c>
      <c r="AO2289" t="s">
        <v>18386</v>
      </c>
      <c r="AP2289" t="s">
        <v>18387</v>
      </c>
      <c r="AQ2289" t="s">
        <v>74</v>
      </c>
      <c r="AR2289" t="s">
        <v>18388</v>
      </c>
      <c r="AS2289" t="s">
        <v>18389</v>
      </c>
      <c r="AT2289" t="s">
        <v>698</v>
      </c>
      <c r="AU2289">
        <v>2021</v>
      </c>
      <c r="AV2289">
        <v>50</v>
      </c>
      <c r="AW2289">
        <v>1</v>
      </c>
      <c r="AX2289" t="s">
        <v>74</v>
      </c>
      <c r="AY2289" t="s">
        <v>74</v>
      </c>
      <c r="AZ2289" t="s">
        <v>74</v>
      </c>
      <c r="BA2289" t="s">
        <v>74</v>
      </c>
      <c r="BB2289">
        <v>59</v>
      </c>
      <c r="BC2289">
        <v>75</v>
      </c>
      <c r="BD2289" t="s">
        <v>74</v>
      </c>
      <c r="BE2289" t="s">
        <v>38805</v>
      </c>
      <c r="BF2289" t="str">
        <f>HYPERLINK("http://dx.doi.org/10.1111/fcsr.12414","http://dx.doi.org/10.1111/fcsr.12414")</f>
        <v>http://dx.doi.org/10.1111/fcsr.12414</v>
      </c>
      <c r="BG2289" t="s">
        <v>74</v>
      </c>
      <c r="BH2289" t="s">
        <v>1818</v>
      </c>
      <c r="BI2289">
        <v>17</v>
      </c>
      <c r="BJ2289" t="s">
        <v>18391</v>
      </c>
      <c r="BK2289" t="s">
        <v>313</v>
      </c>
      <c r="BL2289" t="s">
        <v>18391</v>
      </c>
      <c r="BM2289" t="s">
        <v>38806</v>
      </c>
      <c r="BN2289" t="s">
        <v>74</v>
      </c>
      <c r="BO2289" t="s">
        <v>74</v>
      </c>
      <c r="BP2289" t="s">
        <v>74</v>
      </c>
      <c r="BQ2289" t="s">
        <v>74</v>
      </c>
      <c r="BR2289" t="s">
        <v>102</v>
      </c>
      <c r="BS2289" t="s">
        <v>38807</v>
      </c>
      <c r="BT2289" t="str">
        <f>HYPERLINK("https%3A%2F%2Fwww.webofscience.com%2Fwos%2Fwoscc%2Ffull-record%2FWOS:000685426500001","View Full Record in Web of Science")</f>
        <v>View Full Record in Web of Science</v>
      </c>
    </row>
    <row r="2290" spans="1:72" x14ac:dyDescent="0.25">
      <c r="A2290" t="s">
        <v>72</v>
      </c>
      <c r="B2290" t="s">
        <v>38808</v>
      </c>
      <c r="C2290" t="s">
        <v>74</v>
      </c>
      <c r="D2290" t="s">
        <v>74</v>
      </c>
      <c r="E2290" t="s">
        <v>74</v>
      </c>
      <c r="F2290" t="s">
        <v>38809</v>
      </c>
      <c r="G2290" t="s">
        <v>74</v>
      </c>
      <c r="H2290" t="s">
        <v>74</v>
      </c>
      <c r="I2290" t="s">
        <v>38810</v>
      </c>
      <c r="J2290" t="s">
        <v>1412</v>
      </c>
      <c r="K2290" t="s">
        <v>74</v>
      </c>
      <c r="L2290" t="s">
        <v>74</v>
      </c>
      <c r="M2290" t="s">
        <v>78</v>
      </c>
      <c r="N2290" t="s">
        <v>79</v>
      </c>
      <c r="O2290" t="s">
        <v>74</v>
      </c>
      <c r="P2290" t="s">
        <v>74</v>
      </c>
      <c r="Q2290" t="s">
        <v>74</v>
      </c>
      <c r="R2290" t="s">
        <v>74</v>
      </c>
      <c r="S2290" t="s">
        <v>74</v>
      </c>
      <c r="T2290" t="s">
        <v>38811</v>
      </c>
      <c r="U2290" t="s">
        <v>38812</v>
      </c>
      <c r="V2290" t="s">
        <v>38813</v>
      </c>
      <c r="W2290" t="s">
        <v>38814</v>
      </c>
      <c r="X2290" t="s">
        <v>38815</v>
      </c>
      <c r="Y2290" t="s">
        <v>38816</v>
      </c>
      <c r="Z2290" t="s">
        <v>38817</v>
      </c>
      <c r="AA2290" t="s">
        <v>38818</v>
      </c>
      <c r="AB2290" t="s">
        <v>38819</v>
      </c>
      <c r="AC2290" t="s">
        <v>74</v>
      </c>
      <c r="AD2290" t="s">
        <v>74</v>
      </c>
      <c r="AE2290" t="s">
        <v>74</v>
      </c>
      <c r="AF2290" t="s">
        <v>74</v>
      </c>
      <c r="AG2290">
        <v>55</v>
      </c>
      <c r="AH2290">
        <v>62</v>
      </c>
      <c r="AI2290">
        <v>75</v>
      </c>
      <c r="AJ2290">
        <v>2</v>
      </c>
      <c r="AK2290">
        <v>71</v>
      </c>
      <c r="AL2290" t="s">
        <v>332</v>
      </c>
      <c r="AM2290" t="s">
        <v>333</v>
      </c>
      <c r="AN2290" t="s">
        <v>334</v>
      </c>
      <c r="AO2290" t="s">
        <v>1423</v>
      </c>
      <c r="AP2290" t="s">
        <v>1424</v>
      </c>
      <c r="AQ2290" t="s">
        <v>74</v>
      </c>
      <c r="AR2290" t="s">
        <v>1425</v>
      </c>
      <c r="AS2290" t="s">
        <v>1426</v>
      </c>
      <c r="AT2290" t="s">
        <v>5472</v>
      </c>
      <c r="AU2290">
        <v>2021</v>
      </c>
      <c r="AV2290">
        <v>27</v>
      </c>
      <c r="AW2290">
        <v>3</v>
      </c>
      <c r="AX2290" t="s">
        <v>74</v>
      </c>
      <c r="AY2290" t="s">
        <v>74</v>
      </c>
      <c r="AZ2290" t="s">
        <v>74</v>
      </c>
      <c r="BA2290" t="s">
        <v>74</v>
      </c>
      <c r="BB2290">
        <v>539</v>
      </c>
      <c r="BC2290">
        <v>560</v>
      </c>
      <c r="BD2290" t="s">
        <v>74</v>
      </c>
      <c r="BE2290" t="s">
        <v>38820</v>
      </c>
      <c r="BF2290" t="str">
        <f>HYPERLINK("http://dx.doi.org/10.1080/02681102.2020.1840324","http://dx.doi.org/10.1080/02681102.2020.1840324")</f>
        <v>http://dx.doi.org/10.1080/02681102.2020.1840324</v>
      </c>
      <c r="BG2290" t="s">
        <v>74</v>
      </c>
      <c r="BH2290" t="s">
        <v>74</v>
      </c>
      <c r="BI2290">
        <v>22</v>
      </c>
      <c r="BJ2290" t="s">
        <v>1429</v>
      </c>
      <c r="BK2290" t="s">
        <v>99</v>
      </c>
      <c r="BL2290" t="s">
        <v>1429</v>
      </c>
      <c r="BM2290" t="s">
        <v>38821</v>
      </c>
      <c r="BN2290" t="s">
        <v>74</v>
      </c>
      <c r="BO2290" t="s">
        <v>74</v>
      </c>
      <c r="BP2290" t="s">
        <v>74</v>
      </c>
      <c r="BQ2290" t="s">
        <v>74</v>
      </c>
      <c r="BR2290" t="s">
        <v>102</v>
      </c>
      <c r="BS2290" t="s">
        <v>38822</v>
      </c>
      <c r="BT2290" t="str">
        <f>HYPERLINK("https%3A%2F%2Fwww.webofscience.com%2Fwos%2Fwoscc%2Ffull-record%2FWOS:000664015100006","View Full Record in Web of Science")</f>
        <v>View Full Record in Web of Science</v>
      </c>
    </row>
    <row r="2291" spans="1:72" x14ac:dyDescent="0.25">
      <c r="A2291" t="s">
        <v>72</v>
      </c>
      <c r="B2291" t="s">
        <v>38823</v>
      </c>
      <c r="C2291" t="s">
        <v>74</v>
      </c>
      <c r="D2291" t="s">
        <v>74</v>
      </c>
      <c r="E2291" t="s">
        <v>74</v>
      </c>
      <c r="F2291" t="s">
        <v>38824</v>
      </c>
      <c r="G2291" t="s">
        <v>74</v>
      </c>
      <c r="H2291" t="s">
        <v>74</v>
      </c>
      <c r="I2291" t="s">
        <v>38825</v>
      </c>
      <c r="J2291" t="s">
        <v>38826</v>
      </c>
      <c r="K2291" t="s">
        <v>74</v>
      </c>
      <c r="L2291" t="s">
        <v>74</v>
      </c>
      <c r="M2291" t="s">
        <v>78</v>
      </c>
      <c r="N2291" t="s">
        <v>79</v>
      </c>
      <c r="O2291" t="s">
        <v>74</v>
      </c>
      <c r="P2291" t="s">
        <v>74</v>
      </c>
      <c r="Q2291" t="s">
        <v>74</v>
      </c>
      <c r="R2291" t="s">
        <v>74</v>
      </c>
      <c r="S2291" t="s">
        <v>74</v>
      </c>
      <c r="T2291" t="s">
        <v>38827</v>
      </c>
      <c r="U2291" t="s">
        <v>38828</v>
      </c>
      <c r="V2291" t="s">
        <v>38829</v>
      </c>
      <c r="W2291" t="s">
        <v>38830</v>
      </c>
      <c r="X2291" t="s">
        <v>38831</v>
      </c>
      <c r="Y2291" t="s">
        <v>35563</v>
      </c>
      <c r="Z2291" t="s">
        <v>21098</v>
      </c>
      <c r="AA2291" t="s">
        <v>38832</v>
      </c>
      <c r="AB2291" t="s">
        <v>38833</v>
      </c>
      <c r="AC2291" t="s">
        <v>74</v>
      </c>
      <c r="AD2291" t="s">
        <v>74</v>
      </c>
      <c r="AE2291" t="s">
        <v>74</v>
      </c>
      <c r="AF2291" t="s">
        <v>74</v>
      </c>
      <c r="AG2291">
        <v>47</v>
      </c>
      <c r="AH2291">
        <v>2</v>
      </c>
      <c r="AI2291">
        <v>2</v>
      </c>
      <c r="AJ2291">
        <v>0</v>
      </c>
      <c r="AK2291">
        <v>2</v>
      </c>
      <c r="AL2291" t="s">
        <v>994</v>
      </c>
      <c r="AM2291" t="s">
        <v>995</v>
      </c>
      <c r="AN2291" t="s">
        <v>2061</v>
      </c>
      <c r="AO2291" t="s">
        <v>38834</v>
      </c>
      <c r="AP2291" t="s">
        <v>74</v>
      </c>
      <c r="AQ2291" t="s">
        <v>74</v>
      </c>
      <c r="AR2291" t="s">
        <v>38835</v>
      </c>
      <c r="AS2291" t="s">
        <v>38836</v>
      </c>
      <c r="AT2291" t="s">
        <v>74</v>
      </c>
      <c r="AU2291">
        <v>2023</v>
      </c>
      <c r="AV2291">
        <v>17</v>
      </c>
      <c r="AW2291" t="s">
        <v>74</v>
      </c>
      <c r="AX2291" t="s">
        <v>74</v>
      </c>
      <c r="AY2291" t="s">
        <v>74</v>
      </c>
      <c r="AZ2291" t="s">
        <v>74</v>
      </c>
      <c r="BA2291" t="s">
        <v>74</v>
      </c>
      <c r="BB2291" t="s">
        <v>74</v>
      </c>
      <c r="BC2291" t="s">
        <v>74</v>
      </c>
      <c r="BD2291">
        <v>1.1786302221150352E+16</v>
      </c>
      <c r="BE2291" t="s">
        <v>38837</v>
      </c>
      <c r="BF2291" t="str">
        <f>HYPERLINK("http://dx.doi.org/10.1177/11786302221150352","http://dx.doi.org/10.1177/11786302221150352")</f>
        <v>http://dx.doi.org/10.1177/11786302221150352</v>
      </c>
      <c r="BG2291" t="s">
        <v>74</v>
      </c>
      <c r="BH2291" t="s">
        <v>74</v>
      </c>
      <c r="BI2291">
        <v>10</v>
      </c>
      <c r="BJ2291" t="s">
        <v>7080</v>
      </c>
      <c r="BK2291" t="s">
        <v>313</v>
      </c>
      <c r="BL2291" t="s">
        <v>7080</v>
      </c>
      <c r="BM2291" t="s">
        <v>38838</v>
      </c>
      <c r="BN2291">
        <v>36687499</v>
      </c>
      <c r="BO2291" t="s">
        <v>916</v>
      </c>
      <c r="BP2291" t="s">
        <v>74</v>
      </c>
      <c r="BQ2291" t="s">
        <v>74</v>
      </c>
      <c r="BR2291" t="s">
        <v>102</v>
      </c>
      <c r="BS2291" t="s">
        <v>38839</v>
      </c>
      <c r="BT2291" t="str">
        <f>HYPERLINK("https%3A%2F%2Fwww.webofscience.com%2Fwos%2Fwoscc%2Ffull-record%2FWOS:000998790500001","View Full Record in Web of Science")</f>
        <v>View Full Record in Web of Science</v>
      </c>
    </row>
    <row r="2292" spans="1:72" x14ac:dyDescent="0.25">
      <c r="A2292" t="s">
        <v>72</v>
      </c>
      <c r="B2292" t="s">
        <v>38840</v>
      </c>
      <c r="C2292" t="s">
        <v>74</v>
      </c>
      <c r="D2292" t="s">
        <v>74</v>
      </c>
      <c r="E2292" t="s">
        <v>74</v>
      </c>
      <c r="F2292" t="s">
        <v>38841</v>
      </c>
      <c r="G2292" t="s">
        <v>74</v>
      </c>
      <c r="H2292" t="s">
        <v>74</v>
      </c>
      <c r="I2292" t="s">
        <v>38842</v>
      </c>
      <c r="J2292" t="s">
        <v>33243</v>
      </c>
      <c r="K2292" t="s">
        <v>74</v>
      </c>
      <c r="L2292" t="s">
        <v>74</v>
      </c>
      <c r="M2292" t="s">
        <v>78</v>
      </c>
      <c r="N2292" t="s">
        <v>79</v>
      </c>
      <c r="O2292" t="s">
        <v>74</v>
      </c>
      <c r="P2292" t="s">
        <v>74</v>
      </c>
      <c r="Q2292" t="s">
        <v>74</v>
      </c>
      <c r="R2292" t="s">
        <v>74</v>
      </c>
      <c r="S2292" t="s">
        <v>74</v>
      </c>
      <c r="T2292" t="s">
        <v>38843</v>
      </c>
      <c r="U2292" t="s">
        <v>38844</v>
      </c>
      <c r="V2292" t="s">
        <v>38845</v>
      </c>
      <c r="W2292" t="s">
        <v>38846</v>
      </c>
      <c r="X2292" t="s">
        <v>38847</v>
      </c>
      <c r="Y2292" t="s">
        <v>38848</v>
      </c>
      <c r="Z2292" t="s">
        <v>38849</v>
      </c>
      <c r="AA2292" t="s">
        <v>38850</v>
      </c>
      <c r="AB2292" t="s">
        <v>74</v>
      </c>
      <c r="AC2292" t="s">
        <v>74</v>
      </c>
      <c r="AD2292" t="s">
        <v>74</v>
      </c>
      <c r="AE2292" t="s">
        <v>74</v>
      </c>
      <c r="AF2292" t="s">
        <v>74</v>
      </c>
      <c r="AG2292">
        <v>71</v>
      </c>
      <c r="AH2292">
        <v>0</v>
      </c>
      <c r="AI2292">
        <v>0</v>
      </c>
      <c r="AJ2292">
        <v>2</v>
      </c>
      <c r="AK2292">
        <v>2</v>
      </c>
      <c r="AL2292" t="s">
        <v>16843</v>
      </c>
      <c r="AM2292" t="s">
        <v>16844</v>
      </c>
      <c r="AN2292" t="s">
        <v>16845</v>
      </c>
      <c r="AO2292" t="s">
        <v>33233</v>
      </c>
      <c r="AP2292" t="s">
        <v>74</v>
      </c>
      <c r="AQ2292" t="s">
        <v>74</v>
      </c>
      <c r="AR2292" t="s">
        <v>33232</v>
      </c>
      <c r="AS2292" t="s">
        <v>33231</v>
      </c>
      <c r="AT2292" t="s">
        <v>74</v>
      </c>
      <c r="AU2292">
        <v>2025</v>
      </c>
      <c r="AV2292">
        <v>57</v>
      </c>
      <c r="AW2292" t="s">
        <v>74</v>
      </c>
      <c r="AX2292" t="s">
        <v>74</v>
      </c>
      <c r="AY2292" t="s">
        <v>74</v>
      </c>
      <c r="AZ2292" t="s">
        <v>74</v>
      </c>
      <c r="BA2292" t="s">
        <v>74</v>
      </c>
      <c r="BB2292" t="s">
        <v>74</v>
      </c>
      <c r="BC2292" t="s">
        <v>74</v>
      </c>
      <c r="BD2292" t="s">
        <v>74</v>
      </c>
      <c r="BE2292" t="s">
        <v>38851</v>
      </c>
      <c r="BF2292" t="str">
        <f>HYPERLINK("http://dx.doi.org/10.17705/1CAIS.05739","http://dx.doi.org/10.17705/1CAIS.05739")</f>
        <v>http://dx.doi.org/10.17705/1CAIS.05739</v>
      </c>
      <c r="BG2292" t="s">
        <v>74</v>
      </c>
      <c r="BH2292" t="s">
        <v>74</v>
      </c>
      <c r="BI2292">
        <v>32</v>
      </c>
      <c r="BJ2292" t="s">
        <v>1779</v>
      </c>
      <c r="BK2292" t="s">
        <v>313</v>
      </c>
      <c r="BL2292" t="s">
        <v>157</v>
      </c>
      <c r="BM2292" t="s">
        <v>38852</v>
      </c>
      <c r="BN2292" t="s">
        <v>74</v>
      </c>
      <c r="BO2292" t="s">
        <v>74</v>
      </c>
      <c r="BP2292" t="s">
        <v>74</v>
      </c>
      <c r="BQ2292" t="s">
        <v>74</v>
      </c>
      <c r="BR2292" t="s">
        <v>102</v>
      </c>
      <c r="BS2292" t="s">
        <v>38853</v>
      </c>
      <c r="BT2292" t="str">
        <f>HYPERLINK("https%3A%2F%2Fwww.webofscience.com%2Fwos%2Fwoscc%2Ffull-record%2FWOS:001629538900018","View Full Record in Web of Science")</f>
        <v>View Full Record in Web of Science</v>
      </c>
    </row>
    <row r="2293" spans="1:72" x14ac:dyDescent="0.25">
      <c r="A2293" t="s">
        <v>72</v>
      </c>
      <c r="B2293" t="s">
        <v>38854</v>
      </c>
      <c r="C2293" t="s">
        <v>74</v>
      </c>
      <c r="D2293" t="s">
        <v>74</v>
      </c>
      <c r="E2293" t="s">
        <v>74</v>
      </c>
      <c r="F2293" t="s">
        <v>38855</v>
      </c>
      <c r="G2293" t="s">
        <v>74</v>
      </c>
      <c r="H2293" t="s">
        <v>74</v>
      </c>
      <c r="I2293" t="s">
        <v>38856</v>
      </c>
      <c r="J2293" t="s">
        <v>4842</v>
      </c>
      <c r="K2293" t="s">
        <v>74</v>
      </c>
      <c r="L2293" t="s">
        <v>74</v>
      </c>
      <c r="M2293" t="s">
        <v>78</v>
      </c>
      <c r="N2293" t="s">
        <v>79</v>
      </c>
      <c r="O2293" t="s">
        <v>74</v>
      </c>
      <c r="P2293" t="s">
        <v>74</v>
      </c>
      <c r="Q2293" t="s">
        <v>74</v>
      </c>
      <c r="R2293" t="s">
        <v>74</v>
      </c>
      <c r="S2293" t="s">
        <v>74</v>
      </c>
      <c r="T2293" t="s">
        <v>38857</v>
      </c>
      <c r="U2293" t="s">
        <v>74</v>
      </c>
      <c r="V2293" t="s">
        <v>38858</v>
      </c>
      <c r="W2293" t="s">
        <v>38859</v>
      </c>
      <c r="X2293" t="s">
        <v>38860</v>
      </c>
      <c r="Y2293" t="s">
        <v>38861</v>
      </c>
      <c r="Z2293" t="s">
        <v>38862</v>
      </c>
      <c r="AA2293" t="s">
        <v>38863</v>
      </c>
      <c r="AB2293" t="s">
        <v>38864</v>
      </c>
      <c r="AC2293" t="s">
        <v>38865</v>
      </c>
      <c r="AD2293" t="s">
        <v>38866</v>
      </c>
      <c r="AE2293" t="s">
        <v>38867</v>
      </c>
      <c r="AF2293" t="s">
        <v>74</v>
      </c>
      <c r="AG2293">
        <v>73</v>
      </c>
      <c r="AH2293">
        <v>0</v>
      </c>
      <c r="AI2293">
        <v>0</v>
      </c>
      <c r="AJ2293">
        <v>0</v>
      </c>
      <c r="AK2293">
        <v>0</v>
      </c>
      <c r="AL2293" t="s">
        <v>823</v>
      </c>
      <c r="AM2293" t="s">
        <v>333</v>
      </c>
      <c r="AN2293" t="s">
        <v>824</v>
      </c>
      <c r="AO2293" t="s">
        <v>4853</v>
      </c>
      <c r="AP2293" t="s">
        <v>74</v>
      </c>
      <c r="AQ2293" t="s">
        <v>74</v>
      </c>
      <c r="AR2293" t="s">
        <v>4854</v>
      </c>
      <c r="AS2293" t="s">
        <v>4855</v>
      </c>
      <c r="AT2293" t="s">
        <v>4856</v>
      </c>
      <c r="AU2293">
        <v>2025</v>
      </c>
      <c r="AV2293">
        <v>12</v>
      </c>
      <c r="AW2293">
        <v>1</v>
      </c>
      <c r="AX2293" t="s">
        <v>74</v>
      </c>
      <c r="AY2293" t="s">
        <v>74</v>
      </c>
      <c r="AZ2293" t="s">
        <v>74</v>
      </c>
      <c r="BA2293" t="s">
        <v>74</v>
      </c>
      <c r="BB2293" t="s">
        <v>74</v>
      </c>
      <c r="BC2293" t="s">
        <v>74</v>
      </c>
      <c r="BD2293">
        <v>2568200</v>
      </c>
      <c r="BE2293" t="s">
        <v>38868</v>
      </c>
      <c r="BF2293" t="str">
        <f>HYPERLINK("http://dx.doi.org/10.1080/23311975.2025.2568200","http://dx.doi.org/10.1080/23311975.2025.2568200")</f>
        <v>http://dx.doi.org/10.1080/23311975.2025.2568200</v>
      </c>
      <c r="BG2293" t="s">
        <v>74</v>
      </c>
      <c r="BH2293" t="s">
        <v>74</v>
      </c>
      <c r="BI2293">
        <v>22</v>
      </c>
      <c r="BJ2293" t="s">
        <v>418</v>
      </c>
      <c r="BK2293" t="s">
        <v>313</v>
      </c>
      <c r="BL2293" t="s">
        <v>100</v>
      </c>
      <c r="BM2293" t="s">
        <v>38869</v>
      </c>
      <c r="BN2293" t="s">
        <v>74</v>
      </c>
      <c r="BO2293" t="s">
        <v>916</v>
      </c>
      <c r="BP2293" t="s">
        <v>74</v>
      </c>
      <c r="BQ2293" t="s">
        <v>74</v>
      </c>
      <c r="BR2293" t="s">
        <v>102</v>
      </c>
      <c r="BS2293" t="s">
        <v>38870</v>
      </c>
      <c r="BT2293" t="str">
        <f>HYPERLINK("https%3A%2F%2Fwww.webofscience.com%2Fwos%2Fwoscc%2Ffull-record%2FWOS:001591013200001","View Full Record in Web of Science")</f>
        <v>View Full Record in Web of Science</v>
      </c>
    </row>
    <row r="2294" spans="1:72" x14ac:dyDescent="0.25">
      <c r="A2294" t="s">
        <v>72</v>
      </c>
      <c r="B2294" t="s">
        <v>38871</v>
      </c>
      <c r="C2294" t="s">
        <v>74</v>
      </c>
      <c r="D2294" t="s">
        <v>74</v>
      </c>
      <c r="E2294" t="s">
        <v>74</v>
      </c>
      <c r="F2294" t="s">
        <v>38872</v>
      </c>
      <c r="G2294" t="s">
        <v>74</v>
      </c>
      <c r="H2294" t="s">
        <v>74</v>
      </c>
      <c r="I2294" t="s">
        <v>38873</v>
      </c>
      <c r="J2294" t="s">
        <v>8087</v>
      </c>
      <c r="K2294" t="s">
        <v>74</v>
      </c>
      <c r="L2294" t="s">
        <v>74</v>
      </c>
      <c r="M2294" t="s">
        <v>78</v>
      </c>
      <c r="N2294" t="s">
        <v>79</v>
      </c>
      <c r="O2294" t="s">
        <v>74</v>
      </c>
      <c r="P2294" t="s">
        <v>74</v>
      </c>
      <c r="Q2294" t="s">
        <v>74</v>
      </c>
      <c r="R2294" t="s">
        <v>74</v>
      </c>
      <c r="S2294" t="s">
        <v>74</v>
      </c>
      <c r="T2294" t="s">
        <v>38874</v>
      </c>
      <c r="U2294" t="s">
        <v>38875</v>
      </c>
      <c r="V2294" t="s">
        <v>38876</v>
      </c>
      <c r="W2294" t="s">
        <v>38877</v>
      </c>
      <c r="X2294" t="s">
        <v>38878</v>
      </c>
      <c r="Y2294" t="s">
        <v>38879</v>
      </c>
      <c r="Z2294" t="s">
        <v>38880</v>
      </c>
      <c r="AA2294" t="s">
        <v>38881</v>
      </c>
      <c r="AB2294" t="s">
        <v>74</v>
      </c>
      <c r="AC2294" t="s">
        <v>74</v>
      </c>
      <c r="AD2294" t="s">
        <v>74</v>
      </c>
      <c r="AE2294" t="s">
        <v>74</v>
      </c>
      <c r="AF2294" t="s">
        <v>74</v>
      </c>
      <c r="AG2294">
        <v>119</v>
      </c>
      <c r="AH2294">
        <v>0</v>
      </c>
      <c r="AI2294">
        <v>0</v>
      </c>
      <c r="AJ2294">
        <v>0</v>
      </c>
      <c r="AK2294">
        <v>0</v>
      </c>
      <c r="AL2294" t="s">
        <v>479</v>
      </c>
      <c r="AM2294" t="s">
        <v>480</v>
      </c>
      <c r="AN2294" t="s">
        <v>481</v>
      </c>
      <c r="AO2294" t="s">
        <v>8097</v>
      </c>
      <c r="AP2294" t="s">
        <v>8098</v>
      </c>
      <c r="AQ2294" t="s">
        <v>74</v>
      </c>
      <c r="AR2294" t="s">
        <v>8099</v>
      </c>
      <c r="AS2294" t="s">
        <v>8100</v>
      </c>
      <c r="AT2294" t="s">
        <v>35058</v>
      </c>
      <c r="AU2294">
        <v>2025</v>
      </c>
      <c r="AV2294">
        <v>50</v>
      </c>
      <c r="AW2294">
        <v>1</v>
      </c>
      <c r="AX2294" t="s">
        <v>74</v>
      </c>
      <c r="AY2294" t="s">
        <v>74</v>
      </c>
      <c r="AZ2294" t="s">
        <v>74</v>
      </c>
      <c r="BA2294" t="s">
        <v>74</v>
      </c>
      <c r="BB2294" t="s">
        <v>74</v>
      </c>
      <c r="BC2294" t="s">
        <v>74</v>
      </c>
      <c r="BD2294" t="s">
        <v>38882</v>
      </c>
      <c r="BE2294" t="s">
        <v>38883</v>
      </c>
      <c r="BF2294" t="str">
        <f>HYPERLINK("http://dx.doi.org/10.1111/ijcs.70158","http://dx.doi.org/10.1111/ijcs.70158")</f>
        <v>http://dx.doi.org/10.1111/ijcs.70158</v>
      </c>
      <c r="BG2294" t="s">
        <v>74</v>
      </c>
      <c r="BH2294" t="s">
        <v>74</v>
      </c>
      <c r="BI2294">
        <v>16</v>
      </c>
      <c r="BJ2294" t="s">
        <v>418</v>
      </c>
      <c r="BK2294" t="s">
        <v>99</v>
      </c>
      <c r="BL2294" t="s">
        <v>100</v>
      </c>
      <c r="BM2294" t="s">
        <v>38884</v>
      </c>
      <c r="BN2294" t="s">
        <v>74</v>
      </c>
      <c r="BO2294" t="s">
        <v>74</v>
      </c>
      <c r="BP2294" t="s">
        <v>74</v>
      </c>
      <c r="BQ2294" t="s">
        <v>74</v>
      </c>
      <c r="BR2294" t="s">
        <v>102</v>
      </c>
      <c r="BS2294" t="s">
        <v>38885</v>
      </c>
      <c r="BT2294" t="str">
        <f>HYPERLINK("https%3A%2F%2Fwww.webofscience.com%2Fwos%2Fwoscc%2Ffull-record%2FWOS:001636839900001","View Full Record in Web of Science")</f>
        <v>View Full Record in Web of Science</v>
      </c>
    </row>
    <row r="2295" spans="1:72" x14ac:dyDescent="0.25">
      <c r="A2295" t="s">
        <v>72</v>
      </c>
      <c r="B2295" t="s">
        <v>38886</v>
      </c>
      <c r="C2295" t="s">
        <v>74</v>
      </c>
      <c r="D2295" t="s">
        <v>74</v>
      </c>
      <c r="E2295" t="s">
        <v>74</v>
      </c>
      <c r="F2295" t="s">
        <v>38887</v>
      </c>
      <c r="G2295" t="s">
        <v>74</v>
      </c>
      <c r="H2295" t="s">
        <v>74</v>
      </c>
      <c r="I2295" t="s">
        <v>38888</v>
      </c>
      <c r="J2295" t="s">
        <v>11135</v>
      </c>
      <c r="K2295" t="s">
        <v>74</v>
      </c>
      <c r="L2295" t="s">
        <v>74</v>
      </c>
      <c r="M2295" t="s">
        <v>78</v>
      </c>
      <c r="N2295" t="s">
        <v>372</v>
      </c>
      <c r="O2295" t="s">
        <v>74</v>
      </c>
      <c r="P2295" t="s">
        <v>74</v>
      </c>
      <c r="Q2295" t="s">
        <v>74</v>
      </c>
      <c r="R2295" t="s">
        <v>74</v>
      </c>
      <c r="S2295" t="s">
        <v>74</v>
      </c>
      <c r="T2295" t="s">
        <v>38889</v>
      </c>
      <c r="U2295" t="s">
        <v>38890</v>
      </c>
      <c r="V2295" t="s">
        <v>38891</v>
      </c>
      <c r="W2295" t="s">
        <v>38892</v>
      </c>
      <c r="X2295" t="s">
        <v>38893</v>
      </c>
      <c r="Y2295" t="s">
        <v>38894</v>
      </c>
      <c r="Z2295" t="s">
        <v>38895</v>
      </c>
      <c r="AA2295" t="s">
        <v>74</v>
      </c>
      <c r="AB2295" t="s">
        <v>74</v>
      </c>
      <c r="AC2295" t="s">
        <v>74</v>
      </c>
      <c r="AD2295" t="s">
        <v>74</v>
      </c>
      <c r="AE2295" t="s">
        <v>74</v>
      </c>
      <c r="AF2295" t="s">
        <v>74</v>
      </c>
      <c r="AG2295">
        <v>51</v>
      </c>
      <c r="AH2295">
        <v>19</v>
      </c>
      <c r="AI2295">
        <v>21</v>
      </c>
      <c r="AJ2295">
        <v>2</v>
      </c>
      <c r="AK2295">
        <v>35</v>
      </c>
      <c r="AL2295" t="s">
        <v>332</v>
      </c>
      <c r="AM2295" t="s">
        <v>333</v>
      </c>
      <c r="AN2295" t="s">
        <v>334</v>
      </c>
      <c r="AO2295" t="s">
        <v>11145</v>
      </c>
      <c r="AP2295" t="s">
        <v>11146</v>
      </c>
      <c r="AQ2295" t="s">
        <v>74</v>
      </c>
      <c r="AR2295" t="s">
        <v>11147</v>
      </c>
      <c r="AS2295" t="s">
        <v>11148</v>
      </c>
      <c r="AT2295" t="s">
        <v>38896</v>
      </c>
      <c r="AU2295">
        <v>2021</v>
      </c>
      <c r="AV2295" t="s">
        <v>74</v>
      </c>
      <c r="AW2295" t="s">
        <v>74</v>
      </c>
      <c r="AX2295" t="s">
        <v>74</v>
      </c>
      <c r="AY2295" t="s">
        <v>74</v>
      </c>
      <c r="AZ2295" t="s">
        <v>74</v>
      </c>
      <c r="BA2295" t="s">
        <v>74</v>
      </c>
      <c r="BB2295" t="s">
        <v>74</v>
      </c>
      <c r="BC2295" t="s">
        <v>74</v>
      </c>
      <c r="BD2295" t="s">
        <v>74</v>
      </c>
      <c r="BE2295" t="s">
        <v>38897</v>
      </c>
      <c r="BF2295" t="str">
        <f>HYPERLINK("http://dx.doi.org/10.1080/09537325.2021.1944617","http://dx.doi.org/10.1080/09537325.2021.1944617")</f>
        <v>http://dx.doi.org/10.1080/09537325.2021.1944617</v>
      </c>
      <c r="BG2295" t="s">
        <v>74</v>
      </c>
      <c r="BH2295" t="s">
        <v>11242</v>
      </c>
      <c r="BI2295">
        <v>14</v>
      </c>
      <c r="BJ2295" t="s">
        <v>11152</v>
      </c>
      <c r="BK2295" t="s">
        <v>99</v>
      </c>
      <c r="BL2295" t="s">
        <v>650</v>
      </c>
      <c r="BM2295" t="s">
        <v>38898</v>
      </c>
      <c r="BN2295" t="s">
        <v>74</v>
      </c>
      <c r="BO2295" t="s">
        <v>74</v>
      </c>
      <c r="BP2295" t="s">
        <v>74</v>
      </c>
      <c r="BQ2295" t="s">
        <v>74</v>
      </c>
      <c r="BR2295" t="s">
        <v>102</v>
      </c>
      <c r="BS2295" t="s">
        <v>38899</v>
      </c>
      <c r="BT2295" t="str">
        <f>HYPERLINK("https%3A%2F%2Fwww.webofscience.com%2Fwos%2Fwoscc%2Ffull-record%2FWOS:000668213000001","View Full Record in Web of Science")</f>
        <v>View Full Record in Web of Science</v>
      </c>
    </row>
    <row r="2296" spans="1:72" x14ac:dyDescent="0.25">
      <c r="A2296" t="s">
        <v>72</v>
      </c>
      <c r="B2296" t="s">
        <v>38900</v>
      </c>
      <c r="C2296" t="s">
        <v>74</v>
      </c>
      <c r="D2296" t="s">
        <v>74</v>
      </c>
      <c r="E2296" t="s">
        <v>74</v>
      </c>
      <c r="F2296" t="s">
        <v>38901</v>
      </c>
      <c r="G2296" t="s">
        <v>74</v>
      </c>
      <c r="H2296" t="s">
        <v>74</v>
      </c>
      <c r="I2296" t="s">
        <v>38902</v>
      </c>
      <c r="J2296" t="s">
        <v>8200</v>
      </c>
      <c r="K2296" t="s">
        <v>74</v>
      </c>
      <c r="L2296" t="s">
        <v>74</v>
      </c>
      <c r="M2296" t="s">
        <v>78</v>
      </c>
      <c r="N2296" t="s">
        <v>79</v>
      </c>
      <c r="O2296" t="s">
        <v>74</v>
      </c>
      <c r="P2296" t="s">
        <v>74</v>
      </c>
      <c r="Q2296" t="s">
        <v>74</v>
      </c>
      <c r="R2296" t="s">
        <v>74</v>
      </c>
      <c r="S2296" t="s">
        <v>74</v>
      </c>
      <c r="T2296" t="s">
        <v>38903</v>
      </c>
      <c r="U2296" t="s">
        <v>74</v>
      </c>
      <c r="V2296" t="s">
        <v>38904</v>
      </c>
      <c r="W2296" t="s">
        <v>38905</v>
      </c>
      <c r="X2296" t="s">
        <v>38906</v>
      </c>
      <c r="Y2296" t="s">
        <v>38907</v>
      </c>
      <c r="Z2296" t="s">
        <v>74</v>
      </c>
      <c r="AA2296" t="s">
        <v>38908</v>
      </c>
      <c r="AB2296" t="s">
        <v>74</v>
      </c>
      <c r="AC2296" t="s">
        <v>74</v>
      </c>
      <c r="AD2296" t="s">
        <v>74</v>
      </c>
      <c r="AE2296" t="s">
        <v>74</v>
      </c>
      <c r="AF2296" t="s">
        <v>74</v>
      </c>
      <c r="AG2296">
        <v>18</v>
      </c>
      <c r="AH2296">
        <v>0</v>
      </c>
      <c r="AI2296">
        <v>0</v>
      </c>
      <c r="AJ2296">
        <v>0</v>
      </c>
      <c r="AK2296">
        <v>9</v>
      </c>
      <c r="AL2296" t="s">
        <v>8210</v>
      </c>
      <c r="AM2296" t="s">
        <v>8211</v>
      </c>
      <c r="AN2296" t="s">
        <v>8212</v>
      </c>
      <c r="AO2296" t="s">
        <v>8213</v>
      </c>
      <c r="AP2296" t="s">
        <v>74</v>
      </c>
      <c r="AQ2296" t="s">
        <v>74</v>
      </c>
      <c r="AR2296" t="s">
        <v>8214</v>
      </c>
      <c r="AS2296" t="s">
        <v>8215</v>
      </c>
      <c r="AT2296" t="s">
        <v>1540</v>
      </c>
      <c r="AU2296">
        <v>2021</v>
      </c>
      <c r="AV2296">
        <v>13</v>
      </c>
      <c r="AW2296">
        <v>11</v>
      </c>
      <c r="AX2296" t="s">
        <v>74</v>
      </c>
      <c r="AY2296" t="s">
        <v>74</v>
      </c>
      <c r="AZ2296" t="s">
        <v>74</v>
      </c>
      <c r="BA2296" t="s">
        <v>74</v>
      </c>
      <c r="BB2296">
        <v>79</v>
      </c>
      <c r="BC2296">
        <v>87</v>
      </c>
      <c r="BD2296" t="s">
        <v>74</v>
      </c>
      <c r="BE2296" t="s">
        <v>74</v>
      </c>
      <c r="BF2296" t="s">
        <v>74</v>
      </c>
      <c r="BG2296" t="s">
        <v>74</v>
      </c>
      <c r="BH2296" t="s">
        <v>74</v>
      </c>
      <c r="BI2296">
        <v>9</v>
      </c>
      <c r="BJ2296" t="s">
        <v>418</v>
      </c>
      <c r="BK2296" t="s">
        <v>313</v>
      </c>
      <c r="BL2296" t="s">
        <v>100</v>
      </c>
      <c r="BM2296" t="s">
        <v>38909</v>
      </c>
      <c r="BN2296" t="s">
        <v>74</v>
      </c>
      <c r="BO2296" t="s">
        <v>74</v>
      </c>
      <c r="BP2296" t="s">
        <v>74</v>
      </c>
      <c r="BQ2296" t="s">
        <v>74</v>
      </c>
      <c r="BR2296" t="s">
        <v>102</v>
      </c>
      <c r="BS2296" t="s">
        <v>38910</v>
      </c>
      <c r="BT2296" t="str">
        <f>HYPERLINK("https%3A%2F%2Fwww.webofscience.com%2Fwos%2Fwoscc%2Ffull-record%2FWOS:000696384300008","View Full Record in Web of Science")</f>
        <v>View Full Record in Web of Science</v>
      </c>
    </row>
    <row r="2297" spans="1:72" x14ac:dyDescent="0.25">
      <c r="A2297" t="s">
        <v>72</v>
      </c>
      <c r="B2297" t="s">
        <v>38911</v>
      </c>
      <c r="C2297" t="s">
        <v>74</v>
      </c>
      <c r="D2297" t="s">
        <v>74</v>
      </c>
      <c r="E2297" t="s">
        <v>74</v>
      </c>
      <c r="F2297" t="s">
        <v>38912</v>
      </c>
      <c r="G2297" t="s">
        <v>74</v>
      </c>
      <c r="H2297" t="s">
        <v>74</v>
      </c>
      <c r="I2297" t="s">
        <v>38913</v>
      </c>
      <c r="J2297" t="s">
        <v>38914</v>
      </c>
      <c r="K2297" t="s">
        <v>74</v>
      </c>
      <c r="L2297" t="s">
        <v>74</v>
      </c>
      <c r="M2297" t="s">
        <v>78</v>
      </c>
      <c r="N2297" t="s">
        <v>372</v>
      </c>
      <c r="O2297" t="s">
        <v>74</v>
      </c>
      <c r="P2297" t="s">
        <v>74</v>
      </c>
      <c r="Q2297" t="s">
        <v>74</v>
      </c>
      <c r="R2297" t="s">
        <v>74</v>
      </c>
      <c r="S2297" t="s">
        <v>74</v>
      </c>
      <c r="T2297" t="s">
        <v>38915</v>
      </c>
      <c r="U2297" t="s">
        <v>38916</v>
      </c>
      <c r="V2297" t="s">
        <v>38917</v>
      </c>
      <c r="W2297" t="s">
        <v>38918</v>
      </c>
      <c r="X2297" t="s">
        <v>38919</v>
      </c>
      <c r="Y2297" t="s">
        <v>38920</v>
      </c>
      <c r="Z2297" t="s">
        <v>35253</v>
      </c>
      <c r="AA2297" t="s">
        <v>74</v>
      </c>
      <c r="AB2297" t="s">
        <v>74</v>
      </c>
      <c r="AC2297" t="s">
        <v>38921</v>
      </c>
      <c r="AD2297" t="s">
        <v>38921</v>
      </c>
      <c r="AE2297" t="s">
        <v>38922</v>
      </c>
      <c r="AF2297" t="s">
        <v>74</v>
      </c>
      <c r="AG2297">
        <v>37</v>
      </c>
      <c r="AH2297">
        <v>0</v>
      </c>
      <c r="AI2297">
        <v>0</v>
      </c>
      <c r="AJ2297">
        <v>0</v>
      </c>
      <c r="AK2297">
        <v>0</v>
      </c>
      <c r="AL2297" t="s">
        <v>332</v>
      </c>
      <c r="AM2297" t="s">
        <v>333</v>
      </c>
      <c r="AN2297" t="s">
        <v>334</v>
      </c>
      <c r="AO2297" t="s">
        <v>38923</v>
      </c>
      <c r="AP2297" t="s">
        <v>38924</v>
      </c>
      <c r="AQ2297" t="s">
        <v>74</v>
      </c>
      <c r="AR2297" t="s">
        <v>38925</v>
      </c>
      <c r="AS2297" t="s">
        <v>38926</v>
      </c>
      <c r="AT2297" t="s">
        <v>37460</v>
      </c>
      <c r="AU2297">
        <v>2025</v>
      </c>
      <c r="AV2297" t="s">
        <v>74</v>
      </c>
      <c r="AW2297" t="s">
        <v>74</v>
      </c>
      <c r="AX2297" t="s">
        <v>74</v>
      </c>
      <c r="AY2297" t="s">
        <v>74</v>
      </c>
      <c r="AZ2297" t="s">
        <v>74</v>
      </c>
      <c r="BA2297" t="s">
        <v>74</v>
      </c>
      <c r="BB2297" t="s">
        <v>74</v>
      </c>
      <c r="BC2297" t="s">
        <v>74</v>
      </c>
      <c r="BD2297" t="s">
        <v>74</v>
      </c>
      <c r="BE2297" t="s">
        <v>38927</v>
      </c>
      <c r="BF2297" t="str">
        <f>HYPERLINK("http://dx.doi.org/10.1080/0145935X.2025.2605341","http://dx.doi.org/10.1080/0145935X.2025.2605341")</f>
        <v>http://dx.doi.org/10.1080/0145935X.2025.2605341</v>
      </c>
      <c r="BG2297" t="s">
        <v>74</v>
      </c>
      <c r="BH2297" t="s">
        <v>488</v>
      </c>
      <c r="BI2297">
        <v>20</v>
      </c>
      <c r="BJ2297" t="s">
        <v>2045</v>
      </c>
      <c r="BK2297" t="s">
        <v>313</v>
      </c>
      <c r="BL2297" t="s">
        <v>2045</v>
      </c>
      <c r="BM2297" t="s">
        <v>38928</v>
      </c>
      <c r="BN2297" t="s">
        <v>74</v>
      </c>
      <c r="BO2297" t="s">
        <v>270</v>
      </c>
      <c r="BP2297" t="s">
        <v>74</v>
      </c>
      <c r="BQ2297" t="s">
        <v>74</v>
      </c>
      <c r="BR2297" t="s">
        <v>102</v>
      </c>
      <c r="BS2297" t="s">
        <v>38929</v>
      </c>
      <c r="BT2297" t="str">
        <f>HYPERLINK("https%3A%2F%2Fwww.webofscience.com%2Fwos%2Fwoscc%2Ffull-record%2FWOS:001644684800001","View Full Record in Web of Science")</f>
        <v>View Full Record in Web of Science</v>
      </c>
    </row>
    <row r="2298" spans="1:72" x14ac:dyDescent="0.25">
      <c r="A2298" t="s">
        <v>72</v>
      </c>
      <c r="B2298" t="s">
        <v>38930</v>
      </c>
      <c r="C2298" t="s">
        <v>74</v>
      </c>
      <c r="D2298" t="s">
        <v>74</v>
      </c>
      <c r="E2298" t="s">
        <v>74</v>
      </c>
      <c r="F2298" t="s">
        <v>38931</v>
      </c>
      <c r="G2298" t="s">
        <v>74</v>
      </c>
      <c r="H2298" t="s">
        <v>74</v>
      </c>
      <c r="I2298" t="s">
        <v>38932</v>
      </c>
      <c r="J2298" t="s">
        <v>38933</v>
      </c>
      <c r="K2298" t="s">
        <v>74</v>
      </c>
      <c r="L2298" t="s">
        <v>74</v>
      </c>
      <c r="M2298" t="s">
        <v>298</v>
      </c>
      <c r="N2298" t="s">
        <v>79</v>
      </c>
      <c r="O2298" t="s">
        <v>74</v>
      </c>
      <c r="P2298" t="s">
        <v>74</v>
      </c>
      <c r="Q2298" t="s">
        <v>74</v>
      </c>
      <c r="R2298" t="s">
        <v>74</v>
      </c>
      <c r="S2298" t="s">
        <v>74</v>
      </c>
      <c r="T2298" t="s">
        <v>38934</v>
      </c>
      <c r="U2298" t="s">
        <v>74</v>
      </c>
      <c r="V2298" t="s">
        <v>38935</v>
      </c>
      <c r="W2298" t="s">
        <v>38936</v>
      </c>
      <c r="X2298" t="s">
        <v>38937</v>
      </c>
      <c r="Y2298" t="s">
        <v>38938</v>
      </c>
      <c r="Z2298" t="s">
        <v>38939</v>
      </c>
      <c r="AA2298" t="s">
        <v>74</v>
      </c>
      <c r="AB2298" t="s">
        <v>38940</v>
      </c>
      <c r="AC2298" t="s">
        <v>74</v>
      </c>
      <c r="AD2298" t="s">
        <v>74</v>
      </c>
      <c r="AE2298" t="s">
        <v>74</v>
      </c>
      <c r="AF2298" t="s">
        <v>74</v>
      </c>
      <c r="AG2298">
        <v>21</v>
      </c>
      <c r="AH2298">
        <v>3</v>
      </c>
      <c r="AI2298">
        <v>7</v>
      </c>
      <c r="AJ2298">
        <v>0</v>
      </c>
      <c r="AK2298">
        <v>15</v>
      </c>
      <c r="AL2298" t="s">
        <v>38941</v>
      </c>
      <c r="AM2298" t="s">
        <v>38942</v>
      </c>
      <c r="AN2298" t="s">
        <v>38943</v>
      </c>
      <c r="AO2298" t="s">
        <v>38944</v>
      </c>
      <c r="AP2298" t="s">
        <v>38945</v>
      </c>
      <c r="AQ2298" t="s">
        <v>74</v>
      </c>
      <c r="AR2298" t="s">
        <v>38946</v>
      </c>
      <c r="AS2298" t="s">
        <v>38947</v>
      </c>
      <c r="AT2298" t="s">
        <v>31451</v>
      </c>
      <c r="AU2298">
        <v>2018</v>
      </c>
      <c r="AV2298">
        <v>7</v>
      </c>
      <c r="AW2298">
        <v>21</v>
      </c>
      <c r="AX2298" t="s">
        <v>74</v>
      </c>
      <c r="AY2298" t="s">
        <v>74</v>
      </c>
      <c r="AZ2298" t="s">
        <v>74</v>
      </c>
      <c r="BA2298" t="s">
        <v>74</v>
      </c>
      <c r="BB2298">
        <v>27</v>
      </c>
      <c r="BC2298">
        <v>51</v>
      </c>
      <c r="BD2298" t="s">
        <v>74</v>
      </c>
      <c r="BE2298" t="s">
        <v>38948</v>
      </c>
      <c r="BF2298" t="str">
        <f>HYPERLINK("http://dx.doi.org/10.32870/mycp.v7i21.562","http://dx.doi.org/10.32870/mycp.v7i21.562")</f>
        <v>http://dx.doi.org/10.32870/mycp.v7i21.562</v>
      </c>
      <c r="BG2298" t="s">
        <v>74</v>
      </c>
      <c r="BH2298" t="s">
        <v>74</v>
      </c>
      <c r="BI2298">
        <v>25</v>
      </c>
      <c r="BJ2298" t="s">
        <v>12820</v>
      </c>
      <c r="BK2298" t="s">
        <v>313</v>
      </c>
      <c r="BL2298" t="s">
        <v>12820</v>
      </c>
      <c r="BM2298" t="s">
        <v>38949</v>
      </c>
      <c r="BN2298" t="s">
        <v>74</v>
      </c>
      <c r="BO2298" t="s">
        <v>212</v>
      </c>
      <c r="BP2298" t="s">
        <v>74</v>
      </c>
      <c r="BQ2298" t="s">
        <v>74</v>
      </c>
      <c r="BR2298" t="s">
        <v>102</v>
      </c>
      <c r="BS2298" t="s">
        <v>38950</v>
      </c>
      <c r="BT2298" t="str">
        <f>HYPERLINK("https%3A%2F%2Fwww.webofscience.com%2Fwos%2Fwoscc%2Ffull-record%2FWOS:000543723700002","View Full Record in Web of Science")</f>
        <v>View Full Record in Web of Science</v>
      </c>
    </row>
    <row r="2299" spans="1:72" x14ac:dyDescent="0.25">
      <c r="A2299" t="s">
        <v>72</v>
      </c>
      <c r="B2299" t="s">
        <v>38951</v>
      </c>
      <c r="C2299" t="s">
        <v>74</v>
      </c>
      <c r="D2299" t="s">
        <v>74</v>
      </c>
      <c r="E2299" t="s">
        <v>74</v>
      </c>
      <c r="F2299" t="s">
        <v>38952</v>
      </c>
      <c r="G2299" t="s">
        <v>74</v>
      </c>
      <c r="H2299" t="s">
        <v>74</v>
      </c>
      <c r="I2299" t="s">
        <v>38953</v>
      </c>
      <c r="J2299" t="s">
        <v>1902</v>
      </c>
      <c r="K2299" t="s">
        <v>74</v>
      </c>
      <c r="L2299" t="s">
        <v>74</v>
      </c>
      <c r="M2299" t="s">
        <v>78</v>
      </c>
      <c r="N2299" t="s">
        <v>79</v>
      </c>
      <c r="O2299" t="s">
        <v>74</v>
      </c>
      <c r="P2299" t="s">
        <v>74</v>
      </c>
      <c r="Q2299" t="s">
        <v>74</v>
      </c>
      <c r="R2299" t="s">
        <v>74</v>
      </c>
      <c r="S2299" t="s">
        <v>74</v>
      </c>
      <c r="T2299" t="s">
        <v>38954</v>
      </c>
      <c r="U2299" t="s">
        <v>38955</v>
      </c>
      <c r="V2299" t="s">
        <v>38956</v>
      </c>
      <c r="W2299" t="s">
        <v>38957</v>
      </c>
      <c r="X2299" t="s">
        <v>3605</v>
      </c>
      <c r="Y2299" t="s">
        <v>38958</v>
      </c>
      <c r="Z2299" t="s">
        <v>38959</v>
      </c>
      <c r="AA2299" t="s">
        <v>37131</v>
      </c>
      <c r="AB2299" t="s">
        <v>38960</v>
      </c>
      <c r="AC2299" t="s">
        <v>74</v>
      </c>
      <c r="AD2299" t="s">
        <v>74</v>
      </c>
      <c r="AE2299" t="s">
        <v>74</v>
      </c>
      <c r="AF2299" t="s">
        <v>74</v>
      </c>
      <c r="AG2299">
        <v>78</v>
      </c>
      <c r="AH2299">
        <v>161</v>
      </c>
      <c r="AI2299">
        <v>213</v>
      </c>
      <c r="AJ2299">
        <v>0</v>
      </c>
      <c r="AK2299">
        <v>31</v>
      </c>
      <c r="AL2299" t="s">
        <v>89</v>
      </c>
      <c r="AM2299" t="s">
        <v>90</v>
      </c>
      <c r="AN2299" t="s">
        <v>91</v>
      </c>
      <c r="AO2299" t="s">
        <v>1910</v>
      </c>
      <c r="AP2299" t="s">
        <v>1911</v>
      </c>
      <c r="AQ2299" t="s">
        <v>74</v>
      </c>
      <c r="AR2299" t="s">
        <v>1912</v>
      </c>
      <c r="AS2299" t="s">
        <v>1913</v>
      </c>
      <c r="AT2299" t="s">
        <v>74</v>
      </c>
      <c r="AU2299">
        <v>2018</v>
      </c>
      <c r="AV2299">
        <v>10</v>
      </c>
      <c r="AW2299">
        <v>3</v>
      </c>
      <c r="AX2299" t="s">
        <v>74</v>
      </c>
      <c r="AY2299" t="s">
        <v>74</v>
      </c>
      <c r="AZ2299" t="s">
        <v>74</v>
      </c>
      <c r="BA2299" t="s">
        <v>74</v>
      </c>
      <c r="BB2299">
        <v>369</v>
      </c>
      <c r="BC2299">
        <v>385</v>
      </c>
      <c r="BD2299" t="s">
        <v>74</v>
      </c>
      <c r="BE2299" t="s">
        <v>38961</v>
      </c>
      <c r="BF2299" t="str">
        <f>HYPERLINK("http://dx.doi.org/10.1108/JFEP-11-2016-0073","http://dx.doi.org/10.1108/JFEP-11-2016-0073")</f>
        <v>http://dx.doi.org/10.1108/JFEP-11-2016-0073</v>
      </c>
      <c r="BG2299" t="s">
        <v>74</v>
      </c>
      <c r="BH2299" t="s">
        <v>74</v>
      </c>
      <c r="BI2299">
        <v>17</v>
      </c>
      <c r="BJ2299" t="s">
        <v>291</v>
      </c>
      <c r="BK2299" t="s">
        <v>313</v>
      </c>
      <c r="BL2299" t="s">
        <v>100</v>
      </c>
      <c r="BM2299" t="s">
        <v>29178</v>
      </c>
      <c r="BN2299" t="s">
        <v>74</v>
      </c>
      <c r="BO2299" t="s">
        <v>74</v>
      </c>
      <c r="BP2299" t="s">
        <v>74</v>
      </c>
      <c r="BQ2299" t="s">
        <v>74</v>
      </c>
      <c r="BR2299" t="s">
        <v>102</v>
      </c>
      <c r="BS2299" t="s">
        <v>38962</v>
      </c>
      <c r="BT2299" t="str">
        <f>HYPERLINK("https%3A%2F%2Fwww.webofscience.com%2Fwos%2Fwoscc%2Ffull-record%2FWOS:000442370500004","View Full Record in Web of Science")</f>
        <v>View Full Record in Web of Science</v>
      </c>
    </row>
    <row r="2300" spans="1:72" x14ac:dyDescent="0.25">
      <c r="A2300" t="s">
        <v>72</v>
      </c>
      <c r="B2300" t="s">
        <v>38963</v>
      </c>
      <c r="C2300" t="s">
        <v>74</v>
      </c>
      <c r="D2300" t="s">
        <v>74</v>
      </c>
      <c r="E2300" t="s">
        <v>74</v>
      </c>
      <c r="F2300" t="s">
        <v>38964</v>
      </c>
      <c r="G2300" t="s">
        <v>74</v>
      </c>
      <c r="H2300" t="s">
        <v>74</v>
      </c>
      <c r="I2300" t="s">
        <v>38965</v>
      </c>
      <c r="J2300" t="s">
        <v>12549</v>
      </c>
      <c r="K2300" t="s">
        <v>74</v>
      </c>
      <c r="L2300" t="s">
        <v>74</v>
      </c>
      <c r="M2300" t="s">
        <v>78</v>
      </c>
      <c r="N2300" t="s">
        <v>79</v>
      </c>
      <c r="O2300" t="s">
        <v>74</v>
      </c>
      <c r="P2300" t="s">
        <v>74</v>
      </c>
      <c r="Q2300" t="s">
        <v>74</v>
      </c>
      <c r="R2300" t="s">
        <v>74</v>
      </c>
      <c r="S2300" t="s">
        <v>74</v>
      </c>
      <c r="T2300" t="s">
        <v>38966</v>
      </c>
      <c r="U2300" t="s">
        <v>74</v>
      </c>
      <c r="V2300" t="s">
        <v>38967</v>
      </c>
      <c r="W2300" t="s">
        <v>38968</v>
      </c>
      <c r="X2300" t="s">
        <v>38969</v>
      </c>
      <c r="Y2300" t="s">
        <v>38970</v>
      </c>
      <c r="Z2300" t="s">
        <v>38971</v>
      </c>
      <c r="AA2300" t="s">
        <v>74</v>
      </c>
      <c r="AB2300" t="s">
        <v>74</v>
      </c>
      <c r="AC2300" t="s">
        <v>74</v>
      </c>
      <c r="AD2300" t="s">
        <v>74</v>
      </c>
      <c r="AE2300" t="s">
        <v>74</v>
      </c>
      <c r="AF2300" t="s">
        <v>74</v>
      </c>
      <c r="AG2300">
        <v>60</v>
      </c>
      <c r="AH2300">
        <v>3</v>
      </c>
      <c r="AI2300">
        <v>4</v>
      </c>
      <c r="AJ2300">
        <v>1</v>
      </c>
      <c r="AK2300">
        <v>16</v>
      </c>
      <c r="AL2300" t="s">
        <v>575</v>
      </c>
      <c r="AM2300" t="s">
        <v>576</v>
      </c>
      <c r="AN2300" t="s">
        <v>3242</v>
      </c>
      <c r="AO2300" t="s">
        <v>12562</v>
      </c>
      <c r="AP2300" t="s">
        <v>12563</v>
      </c>
      <c r="AQ2300" t="s">
        <v>74</v>
      </c>
      <c r="AR2300" t="s">
        <v>12564</v>
      </c>
      <c r="AS2300" t="s">
        <v>12565</v>
      </c>
      <c r="AT2300" t="s">
        <v>208</v>
      </c>
      <c r="AU2300">
        <v>2023</v>
      </c>
      <c r="AV2300">
        <v>16</v>
      </c>
      <c r="AW2300">
        <v>1</v>
      </c>
      <c r="AX2300" t="s">
        <v>74</v>
      </c>
      <c r="AY2300" t="s">
        <v>74</v>
      </c>
      <c r="AZ2300" t="s">
        <v>74</v>
      </c>
      <c r="BA2300" t="s">
        <v>74</v>
      </c>
      <c r="BB2300" t="s">
        <v>74</v>
      </c>
      <c r="BC2300" t="s">
        <v>74</v>
      </c>
      <c r="BD2300">
        <v>13</v>
      </c>
      <c r="BE2300" t="s">
        <v>38972</v>
      </c>
      <c r="BF2300" t="str">
        <f>HYPERLINK("http://dx.doi.org/10.3390/jrfm16010013","http://dx.doi.org/10.3390/jrfm16010013")</f>
        <v>http://dx.doi.org/10.3390/jrfm16010013</v>
      </c>
      <c r="BG2300" t="s">
        <v>74</v>
      </c>
      <c r="BH2300" t="s">
        <v>74</v>
      </c>
      <c r="BI2300">
        <v>13</v>
      </c>
      <c r="BJ2300" t="s">
        <v>268</v>
      </c>
      <c r="BK2300" t="s">
        <v>313</v>
      </c>
      <c r="BL2300" t="s">
        <v>100</v>
      </c>
      <c r="BM2300" t="s">
        <v>38973</v>
      </c>
      <c r="BN2300" t="s">
        <v>74</v>
      </c>
      <c r="BO2300" t="s">
        <v>466</v>
      </c>
      <c r="BP2300" t="s">
        <v>74</v>
      </c>
      <c r="BQ2300" t="s">
        <v>74</v>
      </c>
      <c r="BR2300" t="s">
        <v>102</v>
      </c>
      <c r="BS2300" t="s">
        <v>38974</v>
      </c>
      <c r="BT2300" t="str">
        <f>HYPERLINK("https%3A%2F%2Fwww.webofscience.com%2Fwos%2Fwoscc%2Ffull-record%2FWOS:000917728700001","View Full Record in Web of Science")</f>
        <v>View Full Record in Web of Science</v>
      </c>
    </row>
    <row r="2301" spans="1:72" x14ac:dyDescent="0.25">
      <c r="A2301" t="s">
        <v>72</v>
      </c>
      <c r="B2301" t="s">
        <v>38975</v>
      </c>
      <c r="C2301" t="s">
        <v>74</v>
      </c>
      <c r="D2301" t="s">
        <v>74</v>
      </c>
      <c r="E2301" t="s">
        <v>74</v>
      </c>
      <c r="F2301" t="s">
        <v>38976</v>
      </c>
      <c r="G2301" t="s">
        <v>74</v>
      </c>
      <c r="H2301" t="s">
        <v>74</v>
      </c>
      <c r="I2301" t="s">
        <v>38977</v>
      </c>
      <c r="J2301" t="s">
        <v>4956</v>
      </c>
      <c r="K2301" t="s">
        <v>74</v>
      </c>
      <c r="L2301" t="s">
        <v>74</v>
      </c>
      <c r="M2301" t="s">
        <v>78</v>
      </c>
      <c r="N2301" t="s">
        <v>79</v>
      </c>
      <c r="O2301" t="s">
        <v>74</v>
      </c>
      <c r="P2301" t="s">
        <v>74</v>
      </c>
      <c r="Q2301" t="s">
        <v>74</v>
      </c>
      <c r="R2301" t="s">
        <v>74</v>
      </c>
      <c r="S2301" t="s">
        <v>74</v>
      </c>
      <c r="T2301" t="s">
        <v>38978</v>
      </c>
      <c r="U2301" t="s">
        <v>38979</v>
      </c>
      <c r="V2301" t="s">
        <v>38980</v>
      </c>
      <c r="W2301" t="s">
        <v>38981</v>
      </c>
      <c r="X2301" t="s">
        <v>38982</v>
      </c>
      <c r="Y2301" t="s">
        <v>38983</v>
      </c>
      <c r="Z2301" t="s">
        <v>38984</v>
      </c>
      <c r="AA2301" t="s">
        <v>74</v>
      </c>
      <c r="AB2301" t="s">
        <v>74</v>
      </c>
      <c r="AC2301" t="s">
        <v>74</v>
      </c>
      <c r="AD2301" t="s">
        <v>74</v>
      </c>
      <c r="AE2301" t="s">
        <v>74</v>
      </c>
      <c r="AF2301" t="s">
        <v>74</v>
      </c>
      <c r="AG2301">
        <v>54</v>
      </c>
      <c r="AH2301">
        <v>37</v>
      </c>
      <c r="AI2301">
        <v>44</v>
      </c>
      <c r="AJ2301">
        <v>2</v>
      </c>
      <c r="AK2301">
        <v>40</v>
      </c>
      <c r="AL2301" t="s">
        <v>230</v>
      </c>
      <c r="AM2301" t="s">
        <v>231</v>
      </c>
      <c r="AN2301" t="s">
        <v>232</v>
      </c>
      <c r="AO2301" t="s">
        <v>4966</v>
      </c>
      <c r="AP2301" t="s">
        <v>4967</v>
      </c>
      <c r="AQ2301" t="s">
        <v>74</v>
      </c>
      <c r="AR2301" t="s">
        <v>4968</v>
      </c>
      <c r="AS2301" t="s">
        <v>4969</v>
      </c>
      <c r="AT2301" t="s">
        <v>1540</v>
      </c>
      <c r="AU2301">
        <v>2021</v>
      </c>
      <c r="AV2301">
        <v>141</v>
      </c>
      <c r="AW2301" t="s">
        <v>74</v>
      </c>
      <c r="AX2301" t="s">
        <v>74</v>
      </c>
      <c r="AY2301" t="s">
        <v>74</v>
      </c>
      <c r="AZ2301" t="s">
        <v>74</v>
      </c>
      <c r="BA2301" t="s">
        <v>74</v>
      </c>
      <c r="BB2301" t="s">
        <v>74</v>
      </c>
      <c r="BC2301" t="s">
        <v>74</v>
      </c>
      <c r="BD2301">
        <v>105392</v>
      </c>
      <c r="BE2301" t="s">
        <v>38985</v>
      </c>
      <c r="BF2301" t="str">
        <f>HYPERLINK("http://dx.doi.org/10.1016/j.worlddev.2021.105392","http://dx.doi.org/10.1016/j.worlddev.2021.105392")</f>
        <v>http://dx.doi.org/10.1016/j.worlddev.2021.105392</v>
      </c>
      <c r="BG2301" t="s">
        <v>74</v>
      </c>
      <c r="BH2301" t="s">
        <v>11556</v>
      </c>
      <c r="BI2301">
        <v>13</v>
      </c>
      <c r="BJ2301" t="s">
        <v>701</v>
      </c>
      <c r="BK2301" t="s">
        <v>99</v>
      </c>
      <c r="BL2301" t="s">
        <v>702</v>
      </c>
      <c r="BM2301" t="s">
        <v>38986</v>
      </c>
      <c r="BN2301" t="s">
        <v>74</v>
      </c>
      <c r="BO2301" t="s">
        <v>74</v>
      </c>
      <c r="BP2301" t="s">
        <v>74</v>
      </c>
      <c r="BQ2301" t="s">
        <v>74</v>
      </c>
      <c r="BR2301" t="s">
        <v>102</v>
      </c>
      <c r="BS2301" t="s">
        <v>38987</v>
      </c>
      <c r="BT2301" t="str">
        <f>HYPERLINK("https%3A%2F%2Fwww.webofscience.com%2Fwos%2Fwoscc%2Ffull-record%2FWOS:000630173800019","View Full Record in Web of Science")</f>
        <v>View Full Record in Web of Science</v>
      </c>
    </row>
    <row r="2302" spans="1:72" x14ac:dyDescent="0.25">
      <c r="A2302" t="s">
        <v>72</v>
      </c>
      <c r="B2302" t="s">
        <v>38988</v>
      </c>
      <c r="C2302" t="s">
        <v>74</v>
      </c>
      <c r="D2302" t="s">
        <v>74</v>
      </c>
      <c r="E2302" t="s">
        <v>74</v>
      </c>
      <c r="F2302" t="s">
        <v>38989</v>
      </c>
      <c r="G2302" t="s">
        <v>74</v>
      </c>
      <c r="H2302" t="s">
        <v>74</v>
      </c>
      <c r="I2302" t="s">
        <v>38990</v>
      </c>
      <c r="J2302" t="s">
        <v>2809</v>
      </c>
      <c r="K2302" t="s">
        <v>74</v>
      </c>
      <c r="L2302" t="s">
        <v>74</v>
      </c>
      <c r="M2302" t="s">
        <v>78</v>
      </c>
      <c r="N2302" t="s">
        <v>79</v>
      </c>
      <c r="O2302" t="s">
        <v>74</v>
      </c>
      <c r="P2302" t="s">
        <v>74</v>
      </c>
      <c r="Q2302" t="s">
        <v>74</v>
      </c>
      <c r="R2302" t="s">
        <v>74</v>
      </c>
      <c r="S2302" t="s">
        <v>74</v>
      </c>
      <c r="T2302" t="s">
        <v>74</v>
      </c>
      <c r="U2302" t="s">
        <v>8579</v>
      </c>
      <c r="V2302" t="s">
        <v>38991</v>
      </c>
      <c r="W2302" t="s">
        <v>38992</v>
      </c>
      <c r="X2302" t="s">
        <v>16694</v>
      </c>
      <c r="Y2302" t="s">
        <v>38993</v>
      </c>
      <c r="Z2302" t="s">
        <v>38994</v>
      </c>
      <c r="AA2302" t="s">
        <v>38995</v>
      </c>
      <c r="AB2302" t="s">
        <v>38996</v>
      </c>
      <c r="AC2302" t="s">
        <v>38997</v>
      </c>
      <c r="AD2302" t="s">
        <v>38998</v>
      </c>
      <c r="AE2302" t="s">
        <v>38999</v>
      </c>
      <c r="AF2302" t="s">
        <v>74</v>
      </c>
      <c r="AG2302">
        <v>43</v>
      </c>
      <c r="AH2302">
        <v>102</v>
      </c>
      <c r="AI2302">
        <v>155</v>
      </c>
      <c r="AJ2302">
        <v>1</v>
      </c>
      <c r="AK2302">
        <v>52</v>
      </c>
      <c r="AL2302" t="s">
        <v>479</v>
      </c>
      <c r="AM2302" t="s">
        <v>480</v>
      </c>
      <c r="AN2302" t="s">
        <v>481</v>
      </c>
      <c r="AO2302" t="s">
        <v>2816</v>
      </c>
      <c r="AP2302" t="s">
        <v>2817</v>
      </c>
      <c r="AQ2302" t="s">
        <v>74</v>
      </c>
      <c r="AR2302" t="s">
        <v>2818</v>
      </c>
      <c r="AS2302" t="s">
        <v>2819</v>
      </c>
      <c r="AT2302" t="s">
        <v>17887</v>
      </c>
      <c r="AU2302">
        <v>2015</v>
      </c>
      <c r="AV2302">
        <v>49</v>
      </c>
      <c r="AW2302">
        <v>1</v>
      </c>
      <c r="AX2302" t="s">
        <v>74</v>
      </c>
      <c r="AY2302" t="s">
        <v>74</v>
      </c>
      <c r="AZ2302" t="s">
        <v>441</v>
      </c>
      <c r="BA2302" t="s">
        <v>74</v>
      </c>
      <c r="BB2302">
        <v>69</v>
      </c>
      <c r="BC2302">
        <v>96</v>
      </c>
      <c r="BD2302" t="s">
        <v>74</v>
      </c>
      <c r="BE2302" t="s">
        <v>39000</v>
      </c>
      <c r="BF2302" t="str">
        <f>HYPERLINK("http://dx.doi.org/10.1111/joca.12058","http://dx.doi.org/10.1111/joca.12058")</f>
        <v>http://dx.doi.org/10.1111/joca.12058</v>
      </c>
      <c r="BG2302" t="s">
        <v>74</v>
      </c>
      <c r="BH2302" t="s">
        <v>74</v>
      </c>
      <c r="BI2302">
        <v>28</v>
      </c>
      <c r="BJ2302" t="s">
        <v>1453</v>
      </c>
      <c r="BK2302" t="s">
        <v>99</v>
      </c>
      <c r="BL2302" t="s">
        <v>100</v>
      </c>
      <c r="BM2302" t="s">
        <v>19109</v>
      </c>
      <c r="BN2302" t="s">
        <v>74</v>
      </c>
      <c r="BO2302" t="s">
        <v>74</v>
      </c>
      <c r="BP2302" t="s">
        <v>74</v>
      </c>
      <c r="BQ2302" t="s">
        <v>74</v>
      </c>
      <c r="BR2302" t="s">
        <v>102</v>
      </c>
      <c r="BS2302" t="s">
        <v>39001</v>
      </c>
      <c r="BT2302" t="str">
        <f>HYPERLINK("https%3A%2F%2Fwww.webofscience.com%2Fwos%2Fwoscc%2Ffull-record%2FWOS:000351219200004","View Full Record in Web of Science")</f>
        <v>View Full Record in Web of Science</v>
      </c>
    </row>
    <row r="2303" spans="1:72" x14ac:dyDescent="0.25">
      <c r="A2303" t="s">
        <v>72</v>
      </c>
      <c r="B2303" t="s">
        <v>12147</v>
      </c>
      <c r="C2303" t="s">
        <v>74</v>
      </c>
      <c r="D2303" t="s">
        <v>74</v>
      </c>
      <c r="E2303" t="s">
        <v>74</v>
      </c>
      <c r="F2303" t="s">
        <v>12148</v>
      </c>
      <c r="G2303" t="s">
        <v>74</v>
      </c>
      <c r="H2303" t="s">
        <v>74</v>
      </c>
      <c r="I2303" t="s">
        <v>39002</v>
      </c>
      <c r="J2303" t="s">
        <v>12620</v>
      </c>
      <c r="K2303" t="s">
        <v>74</v>
      </c>
      <c r="L2303" t="s">
        <v>74</v>
      </c>
      <c r="M2303" t="s">
        <v>78</v>
      </c>
      <c r="N2303" t="s">
        <v>79</v>
      </c>
      <c r="O2303" t="s">
        <v>74</v>
      </c>
      <c r="P2303" t="s">
        <v>74</v>
      </c>
      <c r="Q2303" t="s">
        <v>74</v>
      </c>
      <c r="R2303" t="s">
        <v>74</v>
      </c>
      <c r="S2303" t="s">
        <v>74</v>
      </c>
      <c r="T2303" t="s">
        <v>39003</v>
      </c>
      <c r="U2303" t="s">
        <v>39004</v>
      </c>
      <c r="V2303" t="s">
        <v>39005</v>
      </c>
      <c r="W2303" t="s">
        <v>39006</v>
      </c>
      <c r="X2303" t="s">
        <v>7032</v>
      </c>
      <c r="Y2303" t="s">
        <v>39007</v>
      </c>
      <c r="Z2303" t="s">
        <v>39008</v>
      </c>
      <c r="AA2303" t="s">
        <v>74</v>
      </c>
      <c r="AB2303" t="s">
        <v>12157</v>
      </c>
      <c r="AC2303" t="s">
        <v>74</v>
      </c>
      <c r="AD2303" t="s">
        <v>74</v>
      </c>
      <c r="AE2303" t="s">
        <v>74</v>
      </c>
      <c r="AF2303" t="s">
        <v>74</v>
      </c>
      <c r="AG2303">
        <v>92</v>
      </c>
      <c r="AH2303">
        <v>1</v>
      </c>
      <c r="AI2303">
        <v>3</v>
      </c>
      <c r="AJ2303">
        <v>2</v>
      </c>
      <c r="AK2303">
        <v>11</v>
      </c>
      <c r="AL2303" t="s">
        <v>89</v>
      </c>
      <c r="AM2303" t="s">
        <v>90</v>
      </c>
      <c r="AN2303" t="s">
        <v>91</v>
      </c>
      <c r="AO2303" t="s">
        <v>12628</v>
      </c>
      <c r="AP2303" t="s">
        <v>12629</v>
      </c>
      <c r="AQ2303" t="s">
        <v>74</v>
      </c>
      <c r="AR2303" t="s">
        <v>12630</v>
      </c>
      <c r="AS2303" t="s">
        <v>12631</v>
      </c>
      <c r="AT2303" t="s">
        <v>96</v>
      </c>
      <c r="AU2303">
        <v>2024</v>
      </c>
      <c r="AV2303">
        <v>44</v>
      </c>
      <c r="AW2303" t="s">
        <v>14854</v>
      </c>
      <c r="AX2303" t="s">
        <v>74</v>
      </c>
      <c r="AY2303" t="s">
        <v>74</v>
      </c>
      <c r="AZ2303" t="s">
        <v>74</v>
      </c>
      <c r="BA2303" t="s">
        <v>74</v>
      </c>
      <c r="BB2303">
        <v>462</v>
      </c>
      <c r="BC2303">
        <v>486</v>
      </c>
      <c r="BD2303" t="s">
        <v>74</v>
      </c>
      <c r="BE2303" t="s">
        <v>39009</v>
      </c>
      <c r="BF2303" t="str">
        <f>HYPERLINK("http://dx.doi.org/10.1108/IJSSP-06-2023-0146","http://dx.doi.org/10.1108/IJSSP-06-2023-0146")</f>
        <v>http://dx.doi.org/10.1108/IJSSP-06-2023-0146</v>
      </c>
      <c r="BG2303" t="s">
        <v>74</v>
      </c>
      <c r="BH2303" t="s">
        <v>1239</v>
      </c>
      <c r="BI2303">
        <v>25</v>
      </c>
      <c r="BJ2303" t="s">
        <v>5129</v>
      </c>
      <c r="BK2303" t="s">
        <v>313</v>
      </c>
      <c r="BL2303" t="s">
        <v>5129</v>
      </c>
      <c r="BM2303" t="s">
        <v>39010</v>
      </c>
      <c r="BN2303" t="s">
        <v>74</v>
      </c>
      <c r="BO2303" t="s">
        <v>74</v>
      </c>
      <c r="BP2303" t="s">
        <v>74</v>
      </c>
      <c r="BQ2303" t="s">
        <v>74</v>
      </c>
      <c r="BR2303" t="s">
        <v>102</v>
      </c>
      <c r="BS2303" t="s">
        <v>39011</v>
      </c>
      <c r="BT2303" t="str">
        <f>HYPERLINK("https%3A%2F%2Fwww.webofscience.com%2Fwos%2Fwoscc%2Ffull-record%2FWOS:001154275900001","View Full Record in Web of Science")</f>
        <v>View Full Record in Web of Science</v>
      </c>
    </row>
    <row r="2304" spans="1:72" x14ac:dyDescent="0.25">
      <c r="A2304" t="s">
        <v>72</v>
      </c>
      <c r="B2304" t="s">
        <v>39012</v>
      </c>
      <c r="C2304" t="s">
        <v>74</v>
      </c>
      <c r="D2304" t="s">
        <v>74</v>
      </c>
      <c r="E2304" t="s">
        <v>74</v>
      </c>
      <c r="F2304" t="s">
        <v>39013</v>
      </c>
      <c r="G2304" t="s">
        <v>74</v>
      </c>
      <c r="H2304" t="s">
        <v>74</v>
      </c>
      <c r="I2304" t="s">
        <v>39014</v>
      </c>
      <c r="J2304" t="s">
        <v>9470</v>
      </c>
      <c r="K2304" t="s">
        <v>74</v>
      </c>
      <c r="L2304" t="s">
        <v>74</v>
      </c>
      <c r="M2304" t="s">
        <v>78</v>
      </c>
      <c r="N2304" t="s">
        <v>79</v>
      </c>
      <c r="O2304" t="s">
        <v>74</v>
      </c>
      <c r="P2304" t="s">
        <v>74</v>
      </c>
      <c r="Q2304" t="s">
        <v>74</v>
      </c>
      <c r="R2304" t="s">
        <v>74</v>
      </c>
      <c r="S2304" t="s">
        <v>74</v>
      </c>
      <c r="T2304" t="s">
        <v>39015</v>
      </c>
      <c r="U2304" t="s">
        <v>39016</v>
      </c>
      <c r="V2304" t="s">
        <v>39017</v>
      </c>
      <c r="W2304" t="s">
        <v>39018</v>
      </c>
      <c r="X2304" t="s">
        <v>39019</v>
      </c>
      <c r="Y2304" t="s">
        <v>39020</v>
      </c>
      <c r="Z2304" t="s">
        <v>39021</v>
      </c>
      <c r="AA2304" t="s">
        <v>74</v>
      </c>
      <c r="AB2304" t="s">
        <v>74</v>
      </c>
      <c r="AC2304" t="s">
        <v>74</v>
      </c>
      <c r="AD2304" t="s">
        <v>74</v>
      </c>
      <c r="AE2304" t="s">
        <v>74</v>
      </c>
      <c r="AF2304" t="s">
        <v>74</v>
      </c>
      <c r="AG2304">
        <v>41</v>
      </c>
      <c r="AH2304">
        <v>16</v>
      </c>
      <c r="AI2304">
        <v>20</v>
      </c>
      <c r="AJ2304">
        <v>0</v>
      </c>
      <c r="AK2304">
        <v>31</v>
      </c>
      <c r="AL2304" t="s">
        <v>1889</v>
      </c>
      <c r="AM2304" t="s">
        <v>1890</v>
      </c>
      <c r="AN2304" t="s">
        <v>1891</v>
      </c>
      <c r="AO2304" t="s">
        <v>9478</v>
      </c>
      <c r="AP2304" t="s">
        <v>9479</v>
      </c>
      <c r="AQ2304" t="s">
        <v>74</v>
      </c>
      <c r="AR2304" t="s">
        <v>9480</v>
      </c>
      <c r="AS2304" t="s">
        <v>9481</v>
      </c>
      <c r="AT2304" t="s">
        <v>605</v>
      </c>
      <c r="AU2304">
        <v>2018</v>
      </c>
      <c r="AV2304">
        <v>63</v>
      </c>
      <c r="AW2304">
        <v>1</v>
      </c>
      <c r="AX2304" t="s">
        <v>74</v>
      </c>
      <c r="AY2304" t="s">
        <v>74</v>
      </c>
      <c r="AZ2304" t="s">
        <v>74</v>
      </c>
      <c r="BA2304" t="s">
        <v>74</v>
      </c>
      <c r="BB2304">
        <v>9</v>
      </c>
      <c r="BC2304">
        <v>26</v>
      </c>
      <c r="BD2304" t="s">
        <v>74</v>
      </c>
      <c r="BE2304" t="s">
        <v>39022</v>
      </c>
      <c r="BF2304" t="str">
        <f>HYPERLINK("http://dx.doi.org/10.1142/S0217590818410011","http://dx.doi.org/10.1142/S0217590818410011")</f>
        <v>http://dx.doi.org/10.1142/S0217590818410011</v>
      </c>
      <c r="BG2304" t="s">
        <v>74</v>
      </c>
      <c r="BH2304" t="s">
        <v>74</v>
      </c>
      <c r="BI2304">
        <v>18</v>
      </c>
      <c r="BJ2304" t="s">
        <v>291</v>
      </c>
      <c r="BK2304" t="s">
        <v>99</v>
      </c>
      <c r="BL2304" t="s">
        <v>100</v>
      </c>
      <c r="BM2304" t="s">
        <v>9483</v>
      </c>
      <c r="BN2304" t="s">
        <v>74</v>
      </c>
      <c r="BO2304" t="s">
        <v>74</v>
      </c>
      <c r="BP2304" t="s">
        <v>74</v>
      </c>
      <c r="BQ2304" t="s">
        <v>74</v>
      </c>
      <c r="BR2304" t="s">
        <v>102</v>
      </c>
      <c r="BS2304" t="s">
        <v>39023</v>
      </c>
      <c r="BT2304" t="str">
        <f>HYPERLINK("https%3A%2F%2Fwww.webofscience.com%2Fwos%2Fwoscc%2Ffull-record%2FWOS:000424737100002","View Full Record in Web of Science")</f>
        <v>View Full Record in Web of Science</v>
      </c>
    </row>
    <row r="2305" spans="1:72" x14ac:dyDescent="0.25">
      <c r="A2305" t="s">
        <v>72</v>
      </c>
      <c r="B2305" t="s">
        <v>39024</v>
      </c>
      <c r="C2305" t="s">
        <v>74</v>
      </c>
      <c r="D2305" t="s">
        <v>74</v>
      </c>
      <c r="E2305" t="s">
        <v>74</v>
      </c>
      <c r="F2305" t="s">
        <v>39025</v>
      </c>
      <c r="G2305" t="s">
        <v>74</v>
      </c>
      <c r="H2305" t="s">
        <v>74</v>
      </c>
      <c r="I2305" t="s">
        <v>39026</v>
      </c>
      <c r="J2305" t="s">
        <v>23468</v>
      </c>
      <c r="K2305" t="s">
        <v>74</v>
      </c>
      <c r="L2305" t="s">
        <v>74</v>
      </c>
      <c r="M2305" t="s">
        <v>78</v>
      </c>
      <c r="N2305" t="s">
        <v>79</v>
      </c>
      <c r="O2305" t="s">
        <v>74</v>
      </c>
      <c r="P2305" t="s">
        <v>74</v>
      </c>
      <c r="Q2305" t="s">
        <v>74</v>
      </c>
      <c r="R2305" t="s">
        <v>74</v>
      </c>
      <c r="S2305" t="s">
        <v>74</v>
      </c>
      <c r="T2305" t="s">
        <v>39027</v>
      </c>
      <c r="U2305" t="s">
        <v>39028</v>
      </c>
      <c r="V2305" t="s">
        <v>39029</v>
      </c>
      <c r="W2305" t="s">
        <v>39030</v>
      </c>
      <c r="X2305" t="s">
        <v>39031</v>
      </c>
      <c r="Y2305" t="s">
        <v>39032</v>
      </c>
      <c r="Z2305" t="s">
        <v>39033</v>
      </c>
      <c r="AA2305" t="s">
        <v>39034</v>
      </c>
      <c r="AB2305" t="s">
        <v>39035</v>
      </c>
      <c r="AC2305" t="s">
        <v>74</v>
      </c>
      <c r="AD2305" t="s">
        <v>74</v>
      </c>
      <c r="AE2305" t="s">
        <v>74</v>
      </c>
      <c r="AF2305" t="s">
        <v>74</v>
      </c>
      <c r="AG2305">
        <v>66</v>
      </c>
      <c r="AH2305">
        <v>10</v>
      </c>
      <c r="AI2305">
        <v>13</v>
      </c>
      <c r="AJ2305">
        <v>4</v>
      </c>
      <c r="AK2305">
        <v>57</v>
      </c>
      <c r="AL2305" t="s">
        <v>385</v>
      </c>
      <c r="AM2305" t="s">
        <v>1153</v>
      </c>
      <c r="AN2305" t="s">
        <v>1154</v>
      </c>
      <c r="AO2305" t="s">
        <v>23459</v>
      </c>
      <c r="AP2305" t="s">
        <v>23458</v>
      </c>
      <c r="AQ2305" t="s">
        <v>74</v>
      </c>
      <c r="AR2305" t="s">
        <v>23457</v>
      </c>
      <c r="AS2305" t="s">
        <v>23456</v>
      </c>
      <c r="AT2305" t="s">
        <v>743</v>
      </c>
      <c r="AU2305">
        <v>2024</v>
      </c>
      <c r="AV2305">
        <v>19</v>
      </c>
      <c r="AW2305">
        <v>2</v>
      </c>
      <c r="AX2305" t="s">
        <v>74</v>
      </c>
      <c r="AY2305" t="s">
        <v>74</v>
      </c>
      <c r="AZ2305" t="s">
        <v>74</v>
      </c>
      <c r="BA2305" t="s">
        <v>74</v>
      </c>
      <c r="BB2305">
        <v>547</v>
      </c>
      <c r="BC2305">
        <v>580</v>
      </c>
      <c r="BD2305" t="s">
        <v>74</v>
      </c>
      <c r="BE2305" t="s">
        <v>39036</v>
      </c>
      <c r="BF2305" t="str">
        <f>HYPERLINK("http://dx.doi.org/10.1007/s11482-023-10253-1","http://dx.doi.org/10.1007/s11482-023-10253-1")</f>
        <v>http://dx.doi.org/10.1007/s11482-023-10253-1</v>
      </c>
      <c r="BG2305" t="s">
        <v>74</v>
      </c>
      <c r="BH2305" t="s">
        <v>3535</v>
      </c>
      <c r="BI2305">
        <v>34</v>
      </c>
      <c r="BJ2305" t="s">
        <v>364</v>
      </c>
      <c r="BK2305" t="s">
        <v>99</v>
      </c>
      <c r="BL2305" t="s">
        <v>365</v>
      </c>
      <c r="BM2305" t="s">
        <v>39037</v>
      </c>
      <c r="BN2305" t="s">
        <v>74</v>
      </c>
      <c r="BO2305" t="s">
        <v>74</v>
      </c>
      <c r="BP2305" t="s">
        <v>74</v>
      </c>
      <c r="BQ2305" t="s">
        <v>74</v>
      </c>
      <c r="BR2305" t="s">
        <v>102</v>
      </c>
      <c r="BS2305" t="s">
        <v>39038</v>
      </c>
      <c r="BT2305" t="str">
        <f>HYPERLINK("https%3A%2F%2Fwww.webofscience.com%2Fwos%2Fwoscc%2Ffull-record%2FWOS:001101402900001","View Full Record in Web of Science")</f>
        <v>View Full Record in Web of Science</v>
      </c>
    </row>
    <row r="2306" spans="1:72" x14ac:dyDescent="0.25">
      <c r="A2306" t="s">
        <v>72</v>
      </c>
      <c r="B2306" t="s">
        <v>39039</v>
      </c>
      <c r="C2306" t="s">
        <v>74</v>
      </c>
      <c r="D2306" t="s">
        <v>74</v>
      </c>
      <c r="E2306" t="s">
        <v>74</v>
      </c>
      <c r="F2306" t="s">
        <v>39040</v>
      </c>
      <c r="G2306" t="s">
        <v>74</v>
      </c>
      <c r="H2306" t="s">
        <v>74</v>
      </c>
      <c r="I2306" t="s">
        <v>39041</v>
      </c>
      <c r="J2306" t="s">
        <v>39042</v>
      </c>
      <c r="K2306" t="s">
        <v>74</v>
      </c>
      <c r="L2306" t="s">
        <v>74</v>
      </c>
      <c r="M2306" t="s">
        <v>78</v>
      </c>
      <c r="N2306" t="s">
        <v>1766</v>
      </c>
      <c r="O2306" t="s">
        <v>74</v>
      </c>
      <c r="P2306" t="s">
        <v>74</v>
      </c>
      <c r="Q2306" t="s">
        <v>74</v>
      </c>
      <c r="R2306" t="s">
        <v>74</v>
      </c>
      <c r="S2306" t="s">
        <v>74</v>
      </c>
      <c r="T2306" t="s">
        <v>39043</v>
      </c>
      <c r="U2306" t="s">
        <v>39044</v>
      </c>
      <c r="V2306" t="s">
        <v>39045</v>
      </c>
      <c r="W2306" t="s">
        <v>39046</v>
      </c>
      <c r="X2306" t="s">
        <v>39047</v>
      </c>
      <c r="Y2306" t="s">
        <v>39048</v>
      </c>
      <c r="Z2306" t="s">
        <v>39049</v>
      </c>
      <c r="AA2306" t="s">
        <v>39050</v>
      </c>
      <c r="AB2306" t="s">
        <v>39051</v>
      </c>
      <c r="AC2306" t="s">
        <v>39052</v>
      </c>
      <c r="AD2306" t="s">
        <v>39053</v>
      </c>
      <c r="AE2306" t="s">
        <v>39054</v>
      </c>
      <c r="AF2306" t="s">
        <v>74</v>
      </c>
      <c r="AG2306">
        <v>170</v>
      </c>
      <c r="AH2306">
        <v>49</v>
      </c>
      <c r="AI2306">
        <v>65</v>
      </c>
      <c r="AJ2306">
        <v>10</v>
      </c>
      <c r="AK2306">
        <v>133</v>
      </c>
      <c r="AL2306" t="s">
        <v>117</v>
      </c>
      <c r="AM2306" t="s">
        <v>118</v>
      </c>
      <c r="AN2306" t="s">
        <v>119</v>
      </c>
      <c r="AO2306" t="s">
        <v>39055</v>
      </c>
      <c r="AP2306" t="s">
        <v>39056</v>
      </c>
      <c r="AQ2306" t="s">
        <v>74</v>
      </c>
      <c r="AR2306" t="s">
        <v>39057</v>
      </c>
      <c r="AS2306" t="s">
        <v>39058</v>
      </c>
      <c r="AT2306" t="s">
        <v>743</v>
      </c>
      <c r="AU2306">
        <v>2023</v>
      </c>
      <c r="AV2306">
        <v>17</v>
      </c>
      <c r="AW2306">
        <v>3</v>
      </c>
      <c r="AX2306" t="s">
        <v>74</v>
      </c>
      <c r="AY2306" t="s">
        <v>74</v>
      </c>
      <c r="AZ2306" t="s">
        <v>74</v>
      </c>
      <c r="BA2306" t="s">
        <v>74</v>
      </c>
      <c r="BB2306">
        <v>787</v>
      </c>
      <c r="BC2306">
        <v>826</v>
      </c>
      <c r="BD2306" t="s">
        <v>74</v>
      </c>
      <c r="BE2306" t="s">
        <v>39059</v>
      </c>
      <c r="BF2306" t="str">
        <f>HYPERLINK("http://dx.doi.org/10.1007/s11846-022-00556-2","http://dx.doi.org/10.1007/s11846-022-00556-2")</f>
        <v>http://dx.doi.org/10.1007/s11846-022-00556-2</v>
      </c>
      <c r="BG2306" t="s">
        <v>74</v>
      </c>
      <c r="BH2306" t="s">
        <v>1091</v>
      </c>
      <c r="BI2306">
        <v>40</v>
      </c>
      <c r="BJ2306" t="s">
        <v>583</v>
      </c>
      <c r="BK2306" t="s">
        <v>99</v>
      </c>
      <c r="BL2306" t="s">
        <v>100</v>
      </c>
      <c r="BM2306" t="s">
        <v>39060</v>
      </c>
      <c r="BN2306" t="s">
        <v>74</v>
      </c>
      <c r="BO2306" t="s">
        <v>74</v>
      </c>
      <c r="BP2306" t="s">
        <v>74</v>
      </c>
      <c r="BQ2306" t="s">
        <v>74</v>
      </c>
      <c r="BR2306" t="s">
        <v>102</v>
      </c>
      <c r="BS2306" t="s">
        <v>39061</v>
      </c>
      <c r="BT2306" t="str">
        <f>HYPERLINK("https%3A%2F%2Fwww.webofscience.com%2Fwos%2Fwoscc%2Ffull-record%2FWOS:000791079900001","View Full Record in Web of Science")</f>
        <v>View Full Record in Web of Science</v>
      </c>
    </row>
    <row r="2307" spans="1:72" x14ac:dyDescent="0.25">
      <c r="A2307" t="s">
        <v>72</v>
      </c>
      <c r="B2307" t="s">
        <v>39062</v>
      </c>
      <c r="C2307" t="s">
        <v>74</v>
      </c>
      <c r="D2307" t="s">
        <v>74</v>
      </c>
      <c r="E2307" t="s">
        <v>74</v>
      </c>
      <c r="F2307" t="s">
        <v>39063</v>
      </c>
      <c r="G2307" t="s">
        <v>74</v>
      </c>
      <c r="H2307" t="s">
        <v>74</v>
      </c>
      <c r="I2307" t="s">
        <v>39064</v>
      </c>
      <c r="J2307" t="s">
        <v>17640</v>
      </c>
      <c r="K2307" t="s">
        <v>74</v>
      </c>
      <c r="L2307" t="s">
        <v>74</v>
      </c>
      <c r="M2307" t="s">
        <v>78</v>
      </c>
      <c r="N2307" t="s">
        <v>79</v>
      </c>
      <c r="O2307" t="s">
        <v>74</v>
      </c>
      <c r="P2307" t="s">
        <v>74</v>
      </c>
      <c r="Q2307" t="s">
        <v>74</v>
      </c>
      <c r="R2307" t="s">
        <v>74</v>
      </c>
      <c r="S2307" t="s">
        <v>74</v>
      </c>
      <c r="T2307" t="s">
        <v>74</v>
      </c>
      <c r="U2307" t="s">
        <v>74</v>
      </c>
      <c r="V2307" t="s">
        <v>39065</v>
      </c>
      <c r="W2307" t="s">
        <v>39066</v>
      </c>
      <c r="X2307" t="s">
        <v>39067</v>
      </c>
      <c r="Y2307" t="s">
        <v>39068</v>
      </c>
      <c r="Z2307" t="s">
        <v>39069</v>
      </c>
      <c r="AA2307" t="s">
        <v>39070</v>
      </c>
      <c r="AB2307" t="s">
        <v>74</v>
      </c>
      <c r="AC2307" t="s">
        <v>39071</v>
      </c>
      <c r="AD2307" t="s">
        <v>39072</v>
      </c>
      <c r="AE2307" t="s">
        <v>39073</v>
      </c>
      <c r="AF2307" t="s">
        <v>74</v>
      </c>
      <c r="AG2307">
        <v>73</v>
      </c>
      <c r="AH2307">
        <v>0</v>
      </c>
      <c r="AI2307">
        <v>0</v>
      </c>
      <c r="AJ2307">
        <v>45</v>
      </c>
      <c r="AK2307">
        <v>45</v>
      </c>
      <c r="AL2307" t="s">
        <v>4666</v>
      </c>
      <c r="AM2307" t="s">
        <v>995</v>
      </c>
      <c r="AN2307" t="s">
        <v>4025</v>
      </c>
      <c r="AO2307" t="s">
        <v>74</v>
      </c>
      <c r="AP2307" t="s">
        <v>17649</v>
      </c>
      <c r="AQ2307" t="s">
        <v>74</v>
      </c>
      <c r="AR2307" t="s">
        <v>17650</v>
      </c>
      <c r="AS2307" t="s">
        <v>17651</v>
      </c>
      <c r="AT2307" t="s">
        <v>16657</v>
      </c>
      <c r="AU2307">
        <v>2025</v>
      </c>
      <c r="AV2307">
        <v>12</v>
      </c>
      <c r="AW2307">
        <v>1</v>
      </c>
      <c r="AX2307" t="s">
        <v>74</v>
      </c>
      <c r="AY2307" t="s">
        <v>74</v>
      </c>
      <c r="AZ2307" t="s">
        <v>74</v>
      </c>
      <c r="BA2307" t="s">
        <v>74</v>
      </c>
      <c r="BB2307" t="s">
        <v>74</v>
      </c>
      <c r="BC2307" t="s">
        <v>74</v>
      </c>
      <c r="BD2307">
        <v>1636</v>
      </c>
      <c r="BE2307" t="s">
        <v>39074</v>
      </c>
      <c r="BF2307" t="str">
        <f>HYPERLINK("http://dx.doi.org/10.1057/s41599-025-05894-6","http://dx.doi.org/10.1057/s41599-025-05894-6")</f>
        <v>http://dx.doi.org/10.1057/s41599-025-05894-6</v>
      </c>
      <c r="BG2307" t="s">
        <v>74</v>
      </c>
      <c r="BH2307" t="s">
        <v>74</v>
      </c>
      <c r="BI2307">
        <v>11</v>
      </c>
      <c r="BJ2307" t="s">
        <v>17654</v>
      </c>
      <c r="BK2307" t="s">
        <v>871</v>
      </c>
      <c r="BL2307" t="s">
        <v>17655</v>
      </c>
      <c r="BM2307" t="s">
        <v>39075</v>
      </c>
      <c r="BN2307" t="s">
        <v>74</v>
      </c>
      <c r="BO2307" t="s">
        <v>212</v>
      </c>
      <c r="BP2307" t="s">
        <v>74</v>
      </c>
      <c r="BQ2307" t="s">
        <v>74</v>
      </c>
      <c r="BR2307" t="s">
        <v>102</v>
      </c>
      <c r="BS2307" t="s">
        <v>39076</v>
      </c>
      <c r="BT2307" t="str">
        <f>HYPERLINK("https%3A%2F%2Fwww.webofscience.com%2Fwos%2Fwoscc%2Ffull-record%2FWOS:001599595200002","View Full Record in Web of Science")</f>
        <v>View Full Record in Web of Science</v>
      </c>
    </row>
    <row r="2308" spans="1:72" x14ac:dyDescent="0.25">
      <c r="A2308" t="s">
        <v>72</v>
      </c>
      <c r="B2308" t="s">
        <v>39077</v>
      </c>
      <c r="C2308" t="s">
        <v>74</v>
      </c>
      <c r="D2308" t="s">
        <v>74</v>
      </c>
      <c r="E2308" t="s">
        <v>74</v>
      </c>
      <c r="F2308" t="s">
        <v>39078</v>
      </c>
      <c r="G2308" t="s">
        <v>74</v>
      </c>
      <c r="H2308" t="s">
        <v>74</v>
      </c>
      <c r="I2308" t="s">
        <v>39079</v>
      </c>
      <c r="J2308" t="s">
        <v>12172</v>
      </c>
      <c r="K2308" t="s">
        <v>74</v>
      </c>
      <c r="L2308" t="s">
        <v>74</v>
      </c>
      <c r="M2308" t="s">
        <v>78</v>
      </c>
      <c r="N2308" t="s">
        <v>79</v>
      </c>
      <c r="O2308" t="s">
        <v>74</v>
      </c>
      <c r="P2308" t="s">
        <v>74</v>
      </c>
      <c r="Q2308" t="s">
        <v>74</v>
      </c>
      <c r="R2308" t="s">
        <v>74</v>
      </c>
      <c r="S2308" t="s">
        <v>74</v>
      </c>
      <c r="T2308" t="s">
        <v>39080</v>
      </c>
      <c r="U2308" t="s">
        <v>39081</v>
      </c>
      <c r="V2308" t="s">
        <v>39082</v>
      </c>
      <c r="W2308" t="s">
        <v>39083</v>
      </c>
      <c r="X2308" t="s">
        <v>39084</v>
      </c>
      <c r="Y2308" t="s">
        <v>39085</v>
      </c>
      <c r="Z2308" t="s">
        <v>39086</v>
      </c>
      <c r="AA2308" t="s">
        <v>39087</v>
      </c>
      <c r="AB2308" t="s">
        <v>74</v>
      </c>
      <c r="AC2308" t="s">
        <v>74</v>
      </c>
      <c r="AD2308" t="s">
        <v>74</v>
      </c>
      <c r="AE2308" t="s">
        <v>74</v>
      </c>
      <c r="AF2308" t="s">
        <v>74</v>
      </c>
      <c r="AG2308">
        <v>83</v>
      </c>
      <c r="AH2308">
        <v>4</v>
      </c>
      <c r="AI2308">
        <v>6</v>
      </c>
      <c r="AJ2308">
        <v>8</v>
      </c>
      <c r="AK2308">
        <v>16</v>
      </c>
      <c r="AL2308" t="s">
        <v>757</v>
      </c>
      <c r="AM2308" t="s">
        <v>758</v>
      </c>
      <c r="AN2308" t="s">
        <v>759</v>
      </c>
      <c r="AO2308" t="s">
        <v>12179</v>
      </c>
      <c r="AP2308" t="s">
        <v>74</v>
      </c>
      <c r="AQ2308" t="s">
        <v>74</v>
      </c>
      <c r="AR2308" t="s">
        <v>12172</v>
      </c>
      <c r="AS2308" t="s">
        <v>12180</v>
      </c>
      <c r="AT2308" t="s">
        <v>1159</v>
      </c>
      <c r="AU2308">
        <v>2024</v>
      </c>
      <c r="AV2308">
        <v>14</v>
      </c>
      <c r="AW2308">
        <v>4</v>
      </c>
      <c r="AX2308" t="s">
        <v>74</v>
      </c>
      <c r="AY2308" t="s">
        <v>74</v>
      </c>
      <c r="AZ2308" t="s">
        <v>74</v>
      </c>
      <c r="BA2308" t="s">
        <v>74</v>
      </c>
      <c r="BB2308" t="s">
        <v>74</v>
      </c>
      <c r="BC2308" t="s">
        <v>74</v>
      </c>
      <c r="BD2308">
        <v>2.1582440241297064E+16</v>
      </c>
      <c r="BE2308" t="s">
        <v>39088</v>
      </c>
      <c r="BF2308" t="str">
        <f>HYPERLINK("http://dx.doi.org/10.1177/21582440241297065","http://dx.doi.org/10.1177/21582440241297065")</f>
        <v>http://dx.doi.org/10.1177/21582440241297065</v>
      </c>
      <c r="BG2308" t="s">
        <v>74</v>
      </c>
      <c r="BH2308" t="s">
        <v>74</v>
      </c>
      <c r="BI2308">
        <v>15</v>
      </c>
      <c r="BJ2308" t="s">
        <v>364</v>
      </c>
      <c r="BK2308" t="s">
        <v>99</v>
      </c>
      <c r="BL2308" t="s">
        <v>365</v>
      </c>
      <c r="BM2308" t="s">
        <v>39089</v>
      </c>
      <c r="BN2308" t="s">
        <v>74</v>
      </c>
      <c r="BO2308" t="s">
        <v>212</v>
      </c>
      <c r="BP2308" t="s">
        <v>74</v>
      </c>
      <c r="BQ2308" t="s">
        <v>74</v>
      </c>
      <c r="BR2308" t="s">
        <v>102</v>
      </c>
      <c r="BS2308" t="s">
        <v>39090</v>
      </c>
      <c r="BT2308" t="str">
        <f>HYPERLINK("https%3A%2F%2Fwww.webofscience.com%2Fwos%2Fwoscc%2Ffull-record%2FWOS:001379292000001","View Full Record in Web of Science")</f>
        <v>View Full Record in Web of Science</v>
      </c>
    </row>
    <row r="2309" spans="1:72" x14ac:dyDescent="0.25">
      <c r="A2309" t="s">
        <v>72</v>
      </c>
      <c r="B2309" t="s">
        <v>39091</v>
      </c>
      <c r="C2309" t="s">
        <v>74</v>
      </c>
      <c r="D2309" t="s">
        <v>74</v>
      </c>
      <c r="E2309" t="s">
        <v>74</v>
      </c>
      <c r="F2309" t="s">
        <v>39092</v>
      </c>
      <c r="G2309" t="s">
        <v>74</v>
      </c>
      <c r="H2309" t="s">
        <v>74</v>
      </c>
      <c r="I2309" t="s">
        <v>39093</v>
      </c>
      <c r="J2309" t="s">
        <v>7004</v>
      </c>
      <c r="K2309" t="s">
        <v>74</v>
      </c>
      <c r="L2309" t="s">
        <v>74</v>
      </c>
      <c r="M2309" t="s">
        <v>298</v>
      </c>
      <c r="N2309" t="s">
        <v>79</v>
      </c>
      <c r="O2309" t="s">
        <v>74</v>
      </c>
      <c r="P2309" t="s">
        <v>74</v>
      </c>
      <c r="Q2309" t="s">
        <v>74</v>
      </c>
      <c r="R2309" t="s">
        <v>74</v>
      </c>
      <c r="S2309" t="s">
        <v>74</v>
      </c>
      <c r="T2309" t="s">
        <v>39094</v>
      </c>
      <c r="U2309" t="s">
        <v>74</v>
      </c>
      <c r="V2309" t="s">
        <v>39095</v>
      </c>
      <c r="W2309" t="s">
        <v>39096</v>
      </c>
      <c r="X2309" t="s">
        <v>74</v>
      </c>
      <c r="Y2309" t="s">
        <v>39097</v>
      </c>
      <c r="Z2309" t="s">
        <v>39098</v>
      </c>
      <c r="AA2309" t="s">
        <v>39099</v>
      </c>
      <c r="AB2309" t="s">
        <v>39100</v>
      </c>
      <c r="AC2309" t="s">
        <v>74</v>
      </c>
      <c r="AD2309" t="s">
        <v>74</v>
      </c>
      <c r="AE2309" t="s">
        <v>74</v>
      </c>
      <c r="AF2309" t="s">
        <v>74</v>
      </c>
      <c r="AG2309">
        <v>24</v>
      </c>
      <c r="AH2309">
        <v>0</v>
      </c>
      <c r="AI2309">
        <v>0</v>
      </c>
      <c r="AJ2309">
        <v>0</v>
      </c>
      <c r="AK2309">
        <v>0</v>
      </c>
      <c r="AL2309" t="s">
        <v>7014</v>
      </c>
      <c r="AM2309" t="s">
        <v>7015</v>
      </c>
      <c r="AN2309" t="s">
        <v>7016</v>
      </c>
      <c r="AO2309" t="s">
        <v>74</v>
      </c>
      <c r="AP2309" t="s">
        <v>7017</v>
      </c>
      <c r="AQ2309" t="s">
        <v>74</v>
      </c>
      <c r="AR2309" t="s">
        <v>7018</v>
      </c>
      <c r="AS2309" t="s">
        <v>7019</v>
      </c>
      <c r="AT2309" t="s">
        <v>7558</v>
      </c>
      <c r="AU2309">
        <v>2024</v>
      </c>
      <c r="AV2309">
        <v>19</v>
      </c>
      <c r="AW2309">
        <v>4</v>
      </c>
      <c r="AX2309" t="s">
        <v>74</v>
      </c>
      <c r="AY2309" t="s">
        <v>74</v>
      </c>
      <c r="AZ2309" t="s">
        <v>74</v>
      </c>
      <c r="BA2309" t="s">
        <v>74</v>
      </c>
      <c r="BB2309" t="s">
        <v>74</v>
      </c>
      <c r="BC2309" t="s">
        <v>74</v>
      </c>
      <c r="BD2309" t="s">
        <v>39101</v>
      </c>
      <c r="BE2309" t="s">
        <v>39102</v>
      </c>
      <c r="BF2309" t="str">
        <f>HYPERLINK("http://dx.doi.org/10.21919/remef.v19i4.1071","http://dx.doi.org/10.21919/remef.v19i4.1071")</f>
        <v>http://dx.doi.org/10.21919/remef.v19i4.1071</v>
      </c>
      <c r="BG2309" t="s">
        <v>74</v>
      </c>
      <c r="BH2309" t="s">
        <v>74</v>
      </c>
      <c r="BI2309">
        <v>13</v>
      </c>
      <c r="BJ2309" t="s">
        <v>210</v>
      </c>
      <c r="BK2309" t="s">
        <v>313</v>
      </c>
      <c r="BL2309" t="s">
        <v>100</v>
      </c>
      <c r="BM2309" t="s">
        <v>39103</v>
      </c>
      <c r="BN2309" t="s">
        <v>74</v>
      </c>
      <c r="BO2309" t="s">
        <v>212</v>
      </c>
      <c r="BP2309" t="s">
        <v>74</v>
      </c>
      <c r="BQ2309" t="s">
        <v>74</v>
      </c>
      <c r="BR2309" t="s">
        <v>102</v>
      </c>
      <c r="BS2309" t="s">
        <v>39104</v>
      </c>
      <c r="BT2309" t="str">
        <f>HYPERLINK("https%3A%2F%2Fwww.webofscience.com%2Fwos%2Fwoscc%2Ffull-record%2FWOS:001637626500009","View Full Record in Web of Science")</f>
        <v>View Full Record in Web of Science</v>
      </c>
    </row>
    <row r="2310" spans="1:72" x14ac:dyDescent="0.25">
      <c r="A2310" t="s">
        <v>72</v>
      </c>
      <c r="B2310" t="s">
        <v>39105</v>
      </c>
      <c r="C2310" t="s">
        <v>74</v>
      </c>
      <c r="D2310" t="s">
        <v>74</v>
      </c>
      <c r="E2310" t="s">
        <v>74</v>
      </c>
      <c r="F2310" t="s">
        <v>39106</v>
      </c>
      <c r="G2310" t="s">
        <v>74</v>
      </c>
      <c r="H2310" t="s">
        <v>74</v>
      </c>
      <c r="I2310" t="s">
        <v>39107</v>
      </c>
      <c r="J2310" t="s">
        <v>2137</v>
      </c>
      <c r="K2310" t="s">
        <v>74</v>
      </c>
      <c r="L2310" t="s">
        <v>74</v>
      </c>
      <c r="M2310" t="s">
        <v>78</v>
      </c>
      <c r="N2310" t="s">
        <v>79</v>
      </c>
      <c r="O2310" t="s">
        <v>74</v>
      </c>
      <c r="P2310" t="s">
        <v>74</v>
      </c>
      <c r="Q2310" t="s">
        <v>74</v>
      </c>
      <c r="R2310" t="s">
        <v>74</v>
      </c>
      <c r="S2310" t="s">
        <v>74</v>
      </c>
      <c r="T2310" t="s">
        <v>39108</v>
      </c>
      <c r="U2310" t="s">
        <v>8579</v>
      </c>
      <c r="V2310" t="s">
        <v>39109</v>
      </c>
      <c r="W2310" t="s">
        <v>39110</v>
      </c>
      <c r="X2310" t="s">
        <v>39111</v>
      </c>
      <c r="Y2310" t="s">
        <v>39112</v>
      </c>
      <c r="Z2310" t="s">
        <v>39113</v>
      </c>
      <c r="AA2310" t="s">
        <v>39114</v>
      </c>
      <c r="AB2310" t="s">
        <v>39115</v>
      </c>
      <c r="AC2310" t="s">
        <v>74</v>
      </c>
      <c r="AD2310" t="s">
        <v>74</v>
      </c>
      <c r="AE2310" t="s">
        <v>74</v>
      </c>
      <c r="AF2310" t="s">
        <v>74</v>
      </c>
      <c r="AG2310">
        <v>48</v>
      </c>
      <c r="AH2310">
        <v>0</v>
      </c>
      <c r="AI2310">
        <v>0</v>
      </c>
      <c r="AJ2310">
        <v>0</v>
      </c>
      <c r="AK2310">
        <v>0</v>
      </c>
      <c r="AL2310" t="s">
        <v>2145</v>
      </c>
      <c r="AM2310" t="s">
        <v>151</v>
      </c>
      <c r="AN2310" t="s">
        <v>2146</v>
      </c>
      <c r="AO2310" t="s">
        <v>2147</v>
      </c>
      <c r="AP2310" t="s">
        <v>2148</v>
      </c>
      <c r="AQ2310" t="s">
        <v>74</v>
      </c>
      <c r="AR2310" t="s">
        <v>2149</v>
      </c>
      <c r="AS2310" t="s">
        <v>2150</v>
      </c>
      <c r="AT2310" t="s">
        <v>74</v>
      </c>
      <c r="AU2310">
        <v>2025</v>
      </c>
      <c r="AV2310">
        <v>36</v>
      </c>
      <c r="AW2310">
        <v>3</v>
      </c>
      <c r="AX2310" t="s">
        <v>74</v>
      </c>
      <c r="AY2310" t="s">
        <v>74</v>
      </c>
      <c r="AZ2310" t="s">
        <v>74</v>
      </c>
      <c r="BA2310" t="s">
        <v>74</v>
      </c>
      <c r="BB2310">
        <v>344</v>
      </c>
      <c r="BC2310">
        <v>361</v>
      </c>
      <c r="BD2310" t="s">
        <v>74</v>
      </c>
      <c r="BE2310" t="s">
        <v>39116</v>
      </c>
      <c r="BF2310" t="str">
        <f>HYPERLINK("http://dx.doi.org/10.1891/JFCP-2023-0148","http://dx.doi.org/10.1891/JFCP-2023-0148")</f>
        <v>http://dx.doi.org/10.1891/JFCP-2023-0148</v>
      </c>
      <c r="BG2310" t="s">
        <v>74</v>
      </c>
      <c r="BH2310" t="s">
        <v>74</v>
      </c>
      <c r="BI2310">
        <v>18</v>
      </c>
      <c r="BJ2310" t="s">
        <v>1453</v>
      </c>
      <c r="BK2310" t="s">
        <v>313</v>
      </c>
      <c r="BL2310" t="s">
        <v>100</v>
      </c>
      <c r="BM2310" t="s">
        <v>39117</v>
      </c>
      <c r="BN2310" t="s">
        <v>74</v>
      </c>
      <c r="BO2310" t="s">
        <v>74</v>
      </c>
      <c r="BP2310" t="s">
        <v>74</v>
      </c>
      <c r="BQ2310" t="s">
        <v>74</v>
      </c>
      <c r="BR2310" t="s">
        <v>102</v>
      </c>
      <c r="BS2310" t="s">
        <v>39118</v>
      </c>
      <c r="BT2310" t="str">
        <f>HYPERLINK("https%3A%2F%2Fwww.webofscience.com%2Fwos%2Fwoscc%2Ffull-record%2FWOS:001620458500003","View Full Record in Web of Science")</f>
        <v>View Full Record in Web of Science</v>
      </c>
    </row>
    <row r="2311" spans="1:72" x14ac:dyDescent="0.25">
      <c r="A2311" t="s">
        <v>72</v>
      </c>
      <c r="B2311" t="s">
        <v>39119</v>
      </c>
      <c r="C2311" t="s">
        <v>74</v>
      </c>
      <c r="D2311" t="s">
        <v>74</v>
      </c>
      <c r="E2311" t="s">
        <v>74</v>
      </c>
      <c r="F2311" t="s">
        <v>39120</v>
      </c>
      <c r="G2311" t="s">
        <v>74</v>
      </c>
      <c r="H2311" t="s">
        <v>74</v>
      </c>
      <c r="I2311" t="s">
        <v>39121</v>
      </c>
      <c r="J2311" t="s">
        <v>39122</v>
      </c>
      <c r="K2311" t="s">
        <v>74</v>
      </c>
      <c r="L2311" t="s">
        <v>74</v>
      </c>
      <c r="M2311" t="s">
        <v>78</v>
      </c>
      <c r="N2311" t="s">
        <v>79</v>
      </c>
      <c r="O2311" t="s">
        <v>74</v>
      </c>
      <c r="P2311" t="s">
        <v>74</v>
      </c>
      <c r="Q2311" t="s">
        <v>74</v>
      </c>
      <c r="R2311" t="s">
        <v>74</v>
      </c>
      <c r="S2311" t="s">
        <v>74</v>
      </c>
      <c r="T2311" t="s">
        <v>39123</v>
      </c>
      <c r="U2311" t="s">
        <v>74</v>
      </c>
      <c r="V2311" t="s">
        <v>39124</v>
      </c>
      <c r="W2311" t="s">
        <v>39125</v>
      </c>
      <c r="X2311" t="s">
        <v>37147</v>
      </c>
      <c r="Y2311" t="s">
        <v>39126</v>
      </c>
      <c r="Z2311" t="s">
        <v>39127</v>
      </c>
      <c r="AA2311" t="s">
        <v>39128</v>
      </c>
      <c r="AB2311" t="s">
        <v>39129</v>
      </c>
      <c r="AC2311" t="s">
        <v>74</v>
      </c>
      <c r="AD2311" t="s">
        <v>74</v>
      </c>
      <c r="AE2311" t="s">
        <v>74</v>
      </c>
      <c r="AF2311" t="s">
        <v>74</v>
      </c>
      <c r="AG2311">
        <v>23</v>
      </c>
      <c r="AH2311">
        <v>4</v>
      </c>
      <c r="AI2311">
        <v>5</v>
      </c>
      <c r="AJ2311">
        <v>0</v>
      </c>
      <c r="AK2311">
        <v>15</v>
      </c>
      <c r="AL2311" t="s">
        <v>39130</v>
      </c>
      <c r="AM2311" t="s">
        <v>39131</v>
      </c>
      <c r="AN2311" t="s">
        <v>39132</v>
      </c>
      <c r="AO2311" t="s">
        <v>39133</v>
      </c>
      <c r="AP2311" t="s">
        <v>74</v>
      </c>
      <c r="AQ2311" t="s">
        <v>74</v>
      </c>
      <c r="AR2311" t="s">
        <v>39134</v>
      </c>
      <c r="AS2311" t="s">
        <v>39135</v>
      </c>
      <c r="AT2311" t="s">
        <v>723</v>
      </c>
      <c r="AU2311">
        <v>2020</v>
      </c>
      <c r="AV2311">
        <v>9</v>
      </c>
      <c r="AW2311">
        <v>2</v>
      </c>
      <c r="AX2311" t="s">
        <v>74</v>
      </c>
      <c r="AY2311" t="s">
        <v>74</v>
      </c>
      <c r="AZ2311" t="s">
        <v>74</v>
      </c>
      <c r="BA2311" t="s">
        <v>74</v>
      </c>
      <c r="BB2311">
        <v>55</v>
      </c>
      <c r="BC2311">
        <v>108</v>
      </c>
      <c r="BD2311" t="s">
        <v>74</v>
      </c>
      <c r="BE2311" t="s">
        <v>39136</v>
      </c>
      <c r="BF2311" t="str">
        <f>HYPERLINK("http://dx.doi.org/10.26754/ojs_ried/ijds.351","http://dx.doi.org/10.26754/ojs_ried/ijds.351")</f>
        <v>http://dx.doi.org/10.26754/ojs_ried/ijds.351</v>
      </c>
      <c r="BG2311" t="s">
        <v>74</v>
      </c>
      <c r="BH2311" t="s">
        <v>74</v>
      </c>
      <c r="BI2311">
        <v>54</v>
      </c>
      <c r="BJ2311" t="s">
        <v>1137</v>
      </c>
      <c r="BK2311" t="s">
        <v>313</v>
      </c>
      <c r="BL2311" t="s">
        <v>1137</v>
      </c>
      <c r="BM2311" t="s">
        <v>39137</v>
      </c>
      <c r="BN2311" t="s">
        <v>74</v>
      </c>
      <c r="BO2311" t="s">
        <v>916</v>
      </c>
      <c r="BP2311" t="s">
        <v>74</v>
      </c>
      <c r="BQ2311" t="s">
        <v>74</v>
      </c>
      <c r="BR2311" t="s">
        <v>102</v>
      </c>
      <c r="BS2311" t="s">
        <v>39138</v>
      </c>
      <c r="BT2311" t="str">
        <f>HYPERLINK("https%3A%2F%2Fwww.webofscience.com%2Fwos%2Fwoscc%2Ffull-record%2FWOS:000587681100003","View Full Record in Web of Science")</f>
        <v>View Full Record in Web of Science</v>
      </c>
    </row>
    <row r="2312" spans="1:72" x14ac:dyDescent="0.25">
      <c r="A2312" t="s">
        <v>72</v>
      </c>
      <c r="B2312" t="s">
        <v>39139</v>
      </c>
      <c r="C2312" t="s">
        <v>74</v>
      </c>
      <c r="D2312" t="s">
        <v>74</v>
      </c>
      <c r="E2312" t="s">
        <v>74</v>
      </c>
      <c r="F2312" t="s">
        <v>39140</v>
      </c>
      <c r="G2312" t="s">
        <v>74</v>
      </c>
      <c r="H2312" t="s">
        <v>74</v>
      </c>
      <c r="I2312" t="s">
        <v>39141</v>
      </c>
      <c r="J2312" t="s">
        <v>39142</v>
      </c>
      <c r="K2312" t="s">
        <v>74</v>
      </c>
      <c r="L2312" t="s">
        <v>74</v>
      </c>
      <c r="M2312" t="s">
        <v>78</v>
      </c>
      <c r="N2312" t="s">
        <v>372</v>
      </c>
      <c r="O2312" t="s">
        <v>74</v>
      </c>
      <c r="P2312" t="s">
        <v>74</v>
      </c>
      <c r="Q2312" t="s">
        <v>74</v>
      </c>
      <c r="R2312" t="s">
        <v>74</v>
      </c>
      <c r="S2312" t="s">
        <v>74</v>
      </c>
      <c r="T2312" t="s">
        <v>39143</v>
      </c>
      <c r="U2312" t="s">
        <v>39144</v>
      </c>
      <c r="V2312" t="s">
        <v>39145</v>
      </c>
      <c r="W2312" t="s">
        <v>39146</v>
      </c>
      <c r="X2312" t="s">
        <v>39147</v>
      </c>
      <c r="Y2312" t="s">
        <v>39148</v>
      </c>
      <c r="Z2312" t="s">
        <v>39149</v>
      </c>
      <c r="AA2312" t="s">
        <v>39150</v>
      </c>
      <c r="AB2312" t="s">
        <v>74</v>
      </c>
      <c r="AC2312" t="s">
        <v>39151</v>
      </c>
      <c r="AD2312" t="s">
        <v>39151</v>
      </c>
      <c r="AE2312" t="s">
        <v>39152</v>
      </c>
      <c r="AF2312" t="s">
        <v>74</v>
      </c>
      <c r="AG2312">
        <v>85</v>
      </c>
      <c r="AH2312">
        <v>1</v>
      </c>
      <c r="AI2312">
        <v>1</v>
      </c>
      <c r="AJ2312">
        <v>1</v>
      </c>
      <c r="AK2312">
        <v>1</v>
      </c>
      <c r="AL2312" t="s">
        <v>89</v>
      </c>
      <c r="AM2312" t="s">
        <v>90</v>
      </c>
      <c r="AN2312" t="s">
        <v>91</v>
      </c>
      <c r="AO2312" t="s">
        <v>39153</v>
      </c>
      <c r="AP2312" t="s">
        <v>39154</v>
      </c>
      <c r="AQ2312" t="s">
        <v>74</v>
      </c>
      <c r="AR2312" t="s">
        <v>39155</v>
      </c>
      <c r="AS2312" t="s">
        <v>39156</v>
      </c>
      <c r="AT2312" t="s">
        <v>39157</v>
      </c>
      <c r="AU2312">
        <v>2025</v>
      </c>
      <c r="AV2312" t="s">
        <v>74</v>
      </c>
      <c r="AW2312" t="s">
        <v>74</v>
      </c>
      <c r="AX2312" t="s">
        <v>74</v>
      </c>
      <c r="AY2312" t="s">
        <v>74</v>
      </c>
      <c r="AZ2312" t="s">
        <v>74</v>
      </c>
      <c r="BA2312" t="s">
        <v>74</v>
      </c>
      <c r="BB2312" t="s">
        <v>74</v>
      </c>
      <c r="BC2312" t="s">
        <v>74</v>
      </c>
      <c r="BD2312" t="s">
        <v>74</v>
      </c>
      <c r="BE2312" t="s">
        <v>39158</v>
      </c>
      <c r="BF2312" t="str">
        <f>HYPERLINK("http://dx.doi.org/10.1108/RAF-11-2024-0489","http://dx.doi.org/10.1108/RAF-11-2024-0489")</f>
        <v>http://dx.doi.org/10.1108/RAF-11-2024-0489</v>
      </c>
      <c r="BG2312" t="s">
        <v>74</v>
      </c>
      <c r="BH2312" t="s">
        <v>7657</v>
      </c>
      <c r="BI2312">
        <v>35</v>
      </c>
      <c r="BJ2312" t="s">
        <v>268</v>
      </c>
      <c r="BK2312" t="s">
        <v>313</v>
      </c>
      <c r="BL2312" t="s">
        <v>100</v>
      </c>
      <c r="BM2312" t="s">
        <v>39159</v>
      </c>
      <c r="BN2312" t="s">
        <v>74</v>
      </c>
      <c r="BO2312" t="s">
        <v>74</v>
      </c>
      <c r="BP2312" t="s">
        <v>74</v>
      </c>
      <c r="BQ2312" t="s">
        <v>74</v>
      </c>
      <c r="BR2312" t="s">
        <v>102</v>
      </c>
      <c r="BS2312" t="s">
        <v>39160</v>
      </c>
      <c r="BT2312" t="str">
        <f>HYPERLINK("https%3A%2F%2Fwww.webofscience.com%2Fwos%2Fwoscc%2Ffull-record%2FWOS:001509714700001","View Full Record in Web of Science")</f>
        <v>View Full Record in Web of Science</v>
      </c>
    </row>
    <row r="2313" spans="1:72" x14ac:dyDescent="0.25">
      <c r="A2313" t="s">
        <v>72</v>
      </c>
      <c r="B2313" t="s">
        <v>39161</v>
      </c>
      <c r="C2313" t="s">
        <v>74</v>
      </c>
      <c r="D2313" t="s">
        <v>74</v>
      </c>
      <c r="E2313" t="s">
        <v>74</v>
      </c>
      <c r="F2313" t="s">
        <v>39162</v>
      </c>
      <c r="G2313" t="s">
        <v>74</v>
      </c>
      <c r="H2313" t="s">
        <v>74</v>
      </c>
      <c r="I2313" t="s">
        <v>39163</v>
      </c>
      <c r="J2313" t="s">
        <v>2137</v>
      </c>
      <c r="K2313" t="s">
        <v>74</v>
      </c>
      <c r="L2313" t="s">
        <v>74</v>
      </c>
      <c r="M2313" t="s">
        <v>78</v>
      </c>
      <c r="N2313" t="s">
        <v>79</v>
      </c>
      <c r="O2313" t="s">
        <v>74</v>
      </c>
      <c r="P2313" t="s">
        <v>74</v>
      </c>
      <c r="Q2313" t="s">
        <v>74</v>
      </c>
      <c r="R2313" t="s">
        <v>74</v>
      </c>
      <c r="S2313" t="s">
        <v>74</v>
      </c>
      <c r="T2313" t="s">
        <v>39164</v>
      </c>
      <c r="U2313" t="s">
        <v>39165</v>
      </c>
      <c r="V2313" t="s">
        <v>39166</v>
      </c>
      <c r="W2313" t="s">
        <v>39167</v>
      </c>
      <c r="X2313" t="s">
        <v>39168</v>
      </c>
      <c r="Y2313" t="s">
        <v>39169</v>
      </c>
      <c r="Z2313" t="s">
        <v>39170</v>
      </c>
      <c r="AA2313" t="s">
        <v>74</v>
      </c>
      <c r="AB2313" t="s">
        <v>74</v>
      </c>
      <c r="AC2313" t="s">
        <v>74</v>
      </c>
      <c r="AD2313" t="s">
        <v>74</v>
      </c>
      <c r="AE2313" t="s">
        <v>74</v>
      </c>
      <c r="AF2313" t="s">
        <v>74</v>
      </c>
      <c r="AG2313">
        <v>47</v>
      </c>
      <c r="AH2313">
        <v>1</v>
      </c>
      <c r="AI2313">
        <v>1</v>
      </c>
      <c r="AJ2313">
        <v>0</v>
      </c>
      <c r="AK2313">
        <v>5</v>
      </c>
      <c r="AL2313" t="s">
        <v>2145</v>
      </c>
      <c r="AM2313" t="s">
        <v>151</v>
      </c>
      <c r="AN2313" t="s">
        <v>2146</v>
      </c>
      <c r="AO2313" t="s">
        <v>2147</v>
      </c>
      <c r="AP2313" t="s">
        <v>2148</v>
      </c>
      <c r="AQ2313" t="s">
        <v>74</v>
      </c>
      <c r="AR2313" t="s">
        <v>2149</v>
      </c>
      <c r="AS2313" t="s">
        <v>2150</v>
      </c>
      <c r="AT2313" t="s">
        <v>74</v>
      </c>
      <c r="AU2313">
        <v>2022</v>
      </c>
      <c r="AV2313">
        <v>33</v>
      </c>
      <c r="AW2313">
        <v>3</v>
      </c>
      <c r="AX2313" t="s">
        <v>74</v>
      </c>
      <c r="AY2313" t="s">
        <v>74</v>
      </c>
      <c r="AZ2313" t="s">
        <v>74</v>
      </c>
      <c r="BA2313" t="s">
        <v>74</v>
      </c>
      <c r="BB2313">
        <v>407</v>
      </c>
      <c r="BC2313">
        <v>420</v>
      </c>
      <c r="BD2313" t="s">
        <v>74</v>
      </c>
      <c r="BE2313" t="s">
        <v>39171</v>
      </c>
      <c r="BF2313" t="str">
        <f>HYPERLINK("http://dx.doi.org/10.1891/JFCP-2021-0044","http://dx.doi.org/10.1891/JFCP-2021-0044")</f>
        <v>http://dx.doi.org/10.1891/JFCP-2021-0044</v>
      </c>
      <c r="BG2313" t="s">
        <v>74</v>
      </c>
      <c r="BH2313" t="s">
        <v>74</v>
      </c>
      <c r="BI2313">
        <v>14</v>
      </c>
      <c r="BJ2313" t="s">
        <v>1453</v>
      </c>
      <c r="BK2313" t="s">
        <v>313</v>
      </c>
      <c r="BL2313" t="s">
        <v>100</v>
      </c>
      <c r="BM2313" t="s">
        <v>24705</v>
      </c>
      <c r="BN2313" t="s">
        <v>74</v>
      </c>
      <c r="BO2313" t="s">
        <v>74</v>
      </c>
      <c r="BP2313" t="s">
        <v>74</v>
      </c>
      <c r="BQ2313" t="s">
        <v>74</v>
      </c>
      <c r="BR2313" t="s">
        <v>102</v>
      </c>
      <c r="BS2313" t="s">
        <v>39172</v>
      </c>
      <c r="BT2313" t="str">
        <f>HYPERLINK("https%3A%2F%2Fwww.webofscience.com%2Fwos%2Fwoscc%2Ffull-record%2FWOS:000887813500009","View Full Record in Web of Science")</f>
        <v>View Full Record in Web of Science</v>
      </c>
    </row>
    <row r="2314" spans="1:72" x14ac:dyDescent="0.25">
      <c r="A2314" t="s">
        <v>72</v>
      </c>
      <c r="B2314" t="s">
        <v>21279</v>
      </c>
      <c r="C2314" t="s">
        <v>74</v>
      </c>
      <c r="D2314" t="s">
        <v>74</v>
      </c>
      <c r="E2314" t="s">
        <v>74</v>
      </c>
      <c r="F2314" t="s">
        <v>21278</v>
      </c>
      <c r="G2314" t="s">
        <v>74</v>
      </c>
      <c r="H2314" t="s">
        <v>74</v>
      </c>
      <c r="I2314" t="s">
        <v>39173</v>
      </c>
      <c r="J2314" t="s">
        <v>1510</v>
      </c>
      <c r="K2314" t="s">
        <v>74</v>
      </c>
      <c r="L2314" t="s">
        <v>74</v>
      </c>
      <c r="M2314" t="s">
        <v>78</v>
      </c>
      <c r="N2314" t="s">
        <v>79</v>
      </c>
      <c r="O2314" t="s">
        <v>74</v>
      </c>
      <c r="P2314" t="s">
        <v>74</v>
      </c>
      <c r="Q2314" t="s">
        <v>74</v>
      </c>
      <c r="R2314" t="s">
        <v>74</v>
      </c>
      <c r="S2314" t="s">
        <v>74</v>
      </c>
      <c r="T2314" t="s">
        <v>39174</v>
      </c>
      <c r="U2314" t="s">
        <v>39175</v>
      </c>
      <c r="V2314" t="s">
        <v>39176</v>
      </c>
      <c r="W2314" t="s">
        <v>39177</v>
      </c>
      <c r="X2314" t="s">
        <v>4129</v>
      </c>
      <c r="Y2314" t="s">
        <v>39178</v>
      </c>
      <c r="Z2314" t="s">
        <v>21271</v>
      </c>
      <c r="AA2314" t="s">
        <v>74</v>
      </c>
      <c r="AB2314" t="s">
        <v>21270</v>
      </c>
      <c r="AC2314" t="s">
        <v>74</v>
      </c>
      <c r="AD2314" t="s">
        <v>74</v>
      </c>
      <c r="AE2314" t="s">
        <v>74</v>
      </c>
      <c r="AF2314" t="s">
        <v>74</v>
      </c>
      <c r="AG2314">
        <v>115</v>
      </c>
      <c r="AH2314">
        <v>32</v>
      </c>
      <c r="AI2314">
        <v>40</v>
      </c>
      <c r="AJ2314">
        <v>1</v>
      </c>
      <c r="AK2314">
        <v>20</v>
      </c>
      <c r="AL2314" t="s">
        <v>89</v>
      </c>
      <c r="AM2314" t="s">
        <v>90</v>
      </c>
      <c r="AN2314" t="s">
        <v>91</v>
      </c>
      <c r="AO2314" t="s">
        <v>1519</v>
      </c>
      <c r="AP2314" t="s">
        <v>1520</v>
      </c>
      <c r="AQ2314" t="s">
        <v>74</v>
      </c>
      <c r="AR2314" t="s">
        <v>1521</v>
      </c>
      <c r="AS2314" t="s">
        <v>1522</v>
      </c>
      <c r="AT2314" t="s">
        <v>8539</v>
      </c>
      <c r="AU2314">
        <v>2022</v>
      </c>
      <c r="AV2314">
        <v>49</v>
      </c>
      <c r="AW2314">
        <v>3</v>
      </c>
      <c r="AX2314" t="s">
        <v>74</v>
      </c>
      <c r="AY2314" t="s">
        <v>74</v>
      </c>
      <c r="AZ2314" t="s">
        <v>74</v>
      </c>
      <c r="BA2314" t="s">
        <v>74</v>
      </c>
      <c r="BB2314">
        <v>336</v>
      </c>
      <c r="BC2314">
        <v>355</v>
      </c>
      <c r="BD2314" t="s">
        <v>74</v>
      </c>
      <c r="BE2314" t="s">
        <v>39179</v>
      </c>
      <c r="BF2314" t="str">
        <f>HYPERLINK("http://dx.doi.org/10.1108/IJSE-08-2021-0462","http://dx.doi.org/10.1108/IJSE-08-2021-0462")</f>
        <v>http://dx.doi.org/10.1108/IJSE-08-2021-0462</v>
      </c>
      <c r="BG2314" t="s">
        <v>74</v>
      </c>
      <c r="BH2314" t="s">
        <v>6548</v>
      </c>
      <c r="BI2314">
        <v>20</v>
      </c>
      <c r="BJ2314" t="s">
        <v>291</v>
      </c>
      <c r="BK2314" t="s">
        <v>313</v>
      </c>
      <c r="BL2314" t="s">
        <v>100</v>
      </c>
      <c r="BM2314" t="s">
        <v>39180</v>
      </c>
      <c r="BN2314" t="s">
        <v>74</v>
      </c>
      <c r="BO2314" t="s">
        <v>74</v>
      </c>
      <c r="BP2314" t="s">
        <v>74</v>
      </c>
      <c r="BQ2314" t="s">
        <v>74</v>
      </c>
      <c r="BR2314" t="s">
        <v>102</v>
      </c>
      <c r="BS2314" t="s">
        <v>39181</v>
      </c>
      <c r="BT2314" t="str">
        <f>HYPERLINK("https%3A%2F%2Fwww.webofscience.com%2Fwos%2Fwoscc%2Ffull-record%2FWOS:000749396000001","View Full Record in Web of Science")</f>
        <v>View Full Record in Web of Science</v>
      </c>
    </row>
    <row r="2315" spans="1:72" x14ac:dyDescent="0.25">
      <c r="A2315" t="s">
        <v>72</v>
      </c>
      <c r="B2315" t="s">
        <v>39182</v>
      </c>
      <c r="C2315" t="s">
        <v>74</v>
      </c>
      <c r="D2315" t="s">
        <v>74</v>
      </c>
      <c r="E2315" t="s">
        <v>74</v>
      </c>
      <c r="F2315" t="s">
        <v>39183</v>
      </c>
      <c r="G2315" t="s">
        <v>74</v>
      </c>
      <c r="H2315" t="s">
        <v>74</v>
      </c>
      <c r="I2315" t="s">
        <v>39184</v>
      </c>
      <c r="J2315" t="s">
        <v>3372</v>
      </c>
      <c r="K2315" t="s">
        <v>74</v>
      </c>
      <c r="L2315" t="s">
        <v>74</v>
      </c>
      <c r="M2315" t="s">
        <v>78</v>
      </c>
      <c r="N2315" t="s">
        <v>79</v>
      </c>
      <c r="O2315" t="s">
        <v>74</v>
      </c>
      <c r="P2315" t="s">
        <v>74</v>
      </c>
      <c r="Q2315" t="s">
        <v>74</v>
      </c>
      <c r="R2315" t="s">
        <v>74</v>
      </c>
      <c r="S2315" t="s">
        <v>74</v>
      </c>
      <c r="T2315" t="s">
        <v>74</v>
      </c>
      <c r="U2315" t="s">
        <v>39185</v>
      </c>
      <c r="V2315" t="s">
        <v>39186</v>
      </c>
      <c r="W2315" t="s">
        <v>39187</v>
      </c>
      <c r="X2315" t="s">
        <v>39188</v>
      </c>
      <c r="Y2315" t="s">
        <v>39189</v>
      </c>
      <c r="Z2315" t="s">
        <v>39190</v>
      </c>
      <c r="AA2315" t="s">
        <v>74</v>
      </c>
      <c r="AB2315" t="s">
        <v>39191</v>
      </c>
      <c r="AC2315" t="s">
        <v>39192</v>
      </c>
      <c r="AD2315" t="s">
        <v>39192</v>
      </c>
      <c r="AE2315" t="s">
        <v>39193</v>
      </c>
      <c r="AF2315" t="s">
        <v>74</v>
      </c>
      <c r="AG2315">
        <v>66</v>
      </c>
      <c r="AH2315">
        <v>11</v>
      </c>
      <c r="AI2315">
        <v>19</v>
      </c>
      <c r="AJ2315">
        <v>0</v>
      </c>
      <c r="AK2315">
        <v>28</v>
      </c>
      <c r="AL2315" t="s">
        <v>3380</v>
      </c>
      <c r="AM2315" t="s">
        <v>3381</v>
      </c>
      <c r="AN2315" t="s">
        <v>3382</v>
      </c>
      <c r="AO2315" t="s">
        <v>3383</v>
      </c>
      <c r="AP2315" t="s">
        <v>3384</v>
      </c>
      <c r="AQ2315" t="s">
        <v>74</v>
      </c>
      <c r="AR2315" t="s">
        <v>3385</v>
      </c>
      <c r="AS2315" t="s">
        <v>3386</v>
      </c>
      <c r="AT2315" t="s">
        <v>868</v>
      </c>
      <c r="AU2315">
        <v>2020</v>
      </c>
      <c r="AV2315">
        <v>69</v>
      </c>
      <c r="AW2315">
        <v>1</v>
      </c>
      <c r="AX2315" t="s">
        <v>74</v>
      </c>
      <c r="AY2315" t="s">
        <v>74</v>
      </c>
      <c r="AZ2315" t="s">
        <v>74</v>
      </c>
      <c r="BA2315" t="s">
        <v>74</v>
      </c>
      <c r="BB2315">
        <v>373</v>
      </c>
      <c r="BC2315">
        <v>404</v>
      </c>
      <c r="BD2315" t="s">
        <v>74</v>
      </c>
      <c r="BE2315" t="s">
        <v>39194</v>
      </c>
      <c r="BF2315" t="str">
        <f>HYPERLINK("http://dx.doi.org/10.1086/703045","http://dx.doi.org/10.1086/703045")</f>
        <v>http://dx.doi.org/10.1086/703045</v>
      </c>
      <c r="BG2315" t="s">
        <v>74</v>
      </c>
      <c r="BH2315" t="s">
        <v>22961</v>
      </c>
      <c r="BI2315">
        <v>32</v>
      </c>
      <c r="BJ2315" t="s">
        <v>3390</v>
      </c>
      <c r="BK2315" t="s">
        <v>99</v>
      </c>
      <c r="BL2315" t="s">
        <v>3391</v>
      </c>
      <c r="BM2315" t="s">
        <v>39195</v>
      </c>
      <c r="BN2315">
        <v>39371962</v>
      </c>
      <c r="BO2315" t="s">
        <v>1696</v>
      </c>
      <c r="BP2315" t="s">
        <v>74</v>
      </c>
      <c r="BQ2315" t="s">
        <v>74</v>
      </c>
      <c r="BR2315" t="s">
        <v>102</v>
      </c>
      <c r="BS2315" t="s">
        <v>39196</v>
      </c>
      <c r="BT2315" t="str">
        <f>HYPERLINK("https%3A%2F%2Fwww.webofscience.com%2Fwos%2Fwoscc%2Ffull-record%2FWOS:000568274500001","View Full Record in Web of Science")</f>
        <v>View Full Record in Web of Science</v>
      </c>
    </row>
    <row r="2316" spans="1:72" x14ac:dyDescent="0.25">
      <c r="A2316" t="s">
        <v>72</v>
      </c>
      <c r="B2316" t="s">
        <v>39197</v>
      </c>
      <c r="C2316" t="s">
        <v>74</v>
      </c>
      <c r="D2316" t="s">
        <v>74</v>
      </c>
      <c r="E2316" t="s">
        <v>74</v>
      </c>
      <c r="F2316" t="s">
        <v>39198</v>
      </c>
      <c r="G2316" t="s">
        <v>74</v>
      </c>
      <c r="H2316" t="s">
        <v>74</v>
      </c>
      <c r="I2316" t="s">
        <v>39199</v>
      </c>
      <c r="J2316" t="s">
        <v>17640</v>
      </c>
      <c r="K2316" t="s">
        <v>74</v>
      </c>
      <c r="L2316" t="s">
        <v>74</v>
      </c>
      <c r="M2316" t="s">
        <v>78</v>
      </c>
      <c r="N2316" t="s">
        <v>79</v>
      </c>
      <c r="O2316" t="s">
        <v>74</v>
      </c>
      <c r="P2316" t="s">
        <v>74</v>
      </c>
      <c r="Q2316" t="s">
        <v>74</v>
      </c>
      <c r="R2316" t="s">
        <v>74</v>
      </c>
      <c r="S2316" t="s">
        <v>74</v>
      </c>
      <c r="T2316" t="s">
        <v>74</v>
      </c>
      <c r="U2316" t="s">
        <v>74</v>
      </c>
      <c r="V2316" t="s">
        <v>39200</v>
      </c>
      <c r="W2316" t="s">
        <v>39201</v>
      </c>
      <c r="X2316" t="s">
        <v>39202</v>
      </c>
      <c r="Y2316" t="s">
        <v>39203</v>
      </c>
      <c r="Z2316" t="s">
        <v>39204</v>
      </c>
      <c r="AA2316" t="s">
        <v>39205</v>
      </c>
      <c r="AB2316" t="s">
        <v>39206</v>
      </c>
      <c r="AC2316" t="s">
        <v>39207</v>
      </c>
      <c r="AD2316" t="s">
        <v>39208</v>
      </c>
      <c r="AE2316" t="s">
        <v>39209</v>
      </c>
      <c r="AF2316" t="s">
        <v>74</v>
      </c>
      <c r="AG2316">
        <v>39</v>
      </c>
      <c r="AH2316">
        <v>17</v>
      </c>
      <c r="AI2316">
        <v>17</v>
      </c>
      <c r="AJ2316">
        <v>5</v>
      </c>
      <c r="AK2316">
        <v>11</v>
      </c>
      <c r="AL2316" t="s">
        <v>4666</v>
      </c>
      <c r="AM2316" t="s">
        <v>995</v>
      </c>
      <c r="AN2316" t="s">
        <v>4025</v>
      </c>
      <c r="AO2316" t="s">
        <v>74</v>
      </c>
      <c r="AP2316" t="s">
        <v>17649</v>
      </c>
      <c r="AQ2316" t="s">
        <v>74</v>
      </c>
      <c r="AR2316" t="s">
        <v>17650</v>
      </c>
      <c r="AS2316" t="s">
        <v>17651</v>
      </c>
      <c r="AT2316" t="s">
        <v>10496</v>
      </c>
      <c r="AU2316">
        <v>2024</v>
      </c>
      <c r="AV2316">
        <v>11</v>
      </c>
      <c r="AW2316">
        <v>1</v>
      </c>
      <c r="AX2316" t="s">
        <v>74</v>
      </c>
      <c r="AY2316" t="s">
        <v>74</v>
      </c>
      <c r="AZ2316" t="s">
        <v>74</v>
      </c>
      <c r="BA2316" t="s">
        <v>74</v>
      </c>
      <c r="BB2316" t="s">
        <v>74</v>
      </c>
      <c r="BC2316" t="s">
        <v>74</v>
      </c>
      <c r="BD2316">
        <v>260</v>
      </c>
      <c r="BE2316" t="s">
        <v>39210</v>
      </c>
      <c r="BF2316" t="str">
        <f>HYPERLINK("http://dx.doi.org/10.1057/s41599-024-02767-2","http://dx.doi.org/10.1057/s41599-024-02767-2")</f>
        <v>http://dx.doi.org/10.1057/s41599-024-02767-2</v>
      </c>
      <c r="BG2316" t="s">
        <v>74</v>
      </c>
      <c r="BH2316" t="s">
        <v>74</v>
      </c>
      <c r="BI2316">
        <v>10</v>
      </c>
      <c r="BJ2316" t="s">
        <v>17654</v>
      </c>
      <c r="BK2316" t="s">
        <v>871</v>
      </c>
      <c r="BL2316" t="s">
        <v>17655</v>
      </c>
      <c r="BM2316" t="s">
        <v>39211</v>
      </c>
      <c r="BN2316" t="s">
        <v>74</v>
      </c>
      <c r="BO2316" t="s">
        <v>212</v>
      </c>
      <c r="BP2316" t="s">
        <v>74</v>
      </c>
      <c r="BQ2316" t="s">
        <v>74</v>
      </c>
      <c r="BR2316" t="s">
        <v>102</v>
      </c>
      <c r="BS2316" t="s">
        <v>39212</v>
      </c>
      <c r="BT2316" t="str">
        <f>HYPERLINK("https%3A%2F%2Fwww.webofscience.com%2Fwos%2Fwoscc%2Ffull-record%2FWOS:001160888200004","View Full Record in Web of Science")</f>
        <v>View Full Record in Web of Science</v>
      </c>
    </row>
    <row r="2317" spans="1:72" x14ac:dyDescent="0.25">
      <c r="A2317" t="s">
        <v>72</v>
      </c>
      <c r="B2317" t="s">
        <v>39213</v>
      </c>
      <c r="C2317" t="s">
        <v>74</v>
      </c>
      <c r="D2317" t="s">
        <v>74</v>
      </c>
      <c r="E2317" t="s">
        <v>74</v>
      </c>
      <c r="F2317" t="s">
        <v>39214</v>
      </c>
      <c r="G2317" t="s">
        <v>74</v>
      </c>
      <c r="H2317" t="s">
        <v>74</v>
      </c>
      <c r="I2317" t="s">
        <v>39215</v>
      </c>
      <c r="J2317" t="s">
        <v>246</v>
      </c>
      <c r="K2317" t="s">
        <v>74</v>
      </c>
      <c r="L2317" t="s">
        <v>74</v>
      </c>
      <c r="M2317" t="s">
        <v>78</v>
      </c>
      <c r="N2317" t="s">
        <v>79</v>
      </c>
      <c r="O2317" t="s">
        <v>74</v>
      </c>
      <c r="P2317" t="s">
        <v>74</v>
      </c>
      <c r="Q2317" t="s">
        <v>74</v>
      </c>
      <c r="R2317" t="s">
        <v>74</v>
      </c>
      <c r="S2317" t="s">
        <v>74</v>
      </c>
      <c r="T2317" t="s">
        <v>39216</v>
      </c>
      <c r="U2317" t="s">
        <v>74</v>
      </c>
      <c r="V2317" t="s">
        <v>39217</v>
      </c>
      <c r="W2317" t="s">
        <v>39218</v>
      </c>
      <c r="X2317" t="s">
        <v>39219</v>
      </c>
      <c r="Y2317" t="s">
        <v>39220</v>
      </c>
      <c r="Z2317" t="s">
        <v>24613</v>
      </c>
      <c r="AA2317" t="s">
        <v>39221</v>
      </c>
      <c r="AB2317" t="s">
        <v>74</v>
      </c>
      <c r="AC2317" t="s">
        <v>39222</v>
      </c>
      <c r="AD2317" t="s">
        <v>39223</v>
      </c>
      <c r="AE2317" t="s">
        <v>39224</v>
      </c>
      <c r="AF2317" t="s">
        <v>74</v>
      </c>
      <c r="AG2317">
        <v>14</v>
      </c>
      <c r="AH2317">
        <v>42</v>
      </c>
      <c r="AI2317">
        <v>49</v>
      </c>
      <c r="AJ2317">
        <v>1</v>
      </c>
      <c r="AK2317">
        <v>15</v>
      </c>
      <c r="AL2317" t="s">
        <v>259</v>
      </c>
      <c r="AM2317" t="s">
        <v>260</v>
      </c>
      <c r="AN2317" t="s">
        <v>261</v>
      </c>
      <c r="AO2317" t="s">
        <v>262</v>
      </c>
      <c r="AP2317" t="s">
        <v>263</v>
      </c>
      <c r="AQ2317" t="s">
        <v>74</v>
      </c>
      <c r="AR2317" t="s">
        <v>264</v>
      </c>
      <c r="AS2317" t="s">
        <v>265</v>
      </c>
      <c r="AT2317" t="s">
        <v>1540</v>
      </c>
      <c r="AU2317">
        <v>2022</v>
      </c>
      <c r="AV2317">
        <v>46</v>
      </c>
      <c r="AW2317" t="s">
        <v>74</v>
      </c>
      <c r="AX2317" t="s">
        <v>3828</v>
      </c>
      <c r="AY2317" t="s">
        <v>74</v>
      </c>
      <c r="AZ2317" t="s">
        <v>74</v>
      </c>
      <c r="BA2317" t="s">
        <v>74</v>
      </c>
      <c r="BB2317" t="s">
        <v>74</v>
      </c>
      <c r="BC2317" t="s">
        <v>74</v>
      </c>
      <c r="BD2317">
        <v>102364</v>
      </c>
      <c r="BE2317" t="s">
        <v>39225</v>
      </c>
      <c r="BF2317" t="str">
        <f>HYPERLINK("http://dx.doi.org/10.1016/j.frl.2021.102364","http://dx.doi.org/10.1016/j.frl.2021.102364")</f>
        <v>http://dx.doi.org/10.1016/j.frl.2021.102364</v>
      </c>
      <c r="BG2317" t="s">
        <v>74</v>
      </c>
      <c r="BH2317" t="s">
        <v>12980</v>
      </c>
      <c r="BI2317">
        <v>10</v>
      </c>
      <c r="BJ2317" t="s">
        <v>268</v>
      </c>
      <c r="BK2317" t="s">
        <v>99</v>
      </c>
      <c r="BL2317" t="s">
        <v>100</v>
      </c>
      <c r="BM2317" t="s">
        <v>39226</v>
      </c>
      <c r="BN2317" t="s">
        <v>74</v>
      </c>
      <c r="BO2317" t="s">
        <v>74</v>
      </c>
      <c r="BP2317" t="s">
        <v>74</v>
      </c>
      <c r="BQ2317" t="s">
        <v>74</v>
      </c>
      <c r="BR2317" t="s">
        <v>102</v>
      </c>
      <c r="BS2317" t="s">
        <v>39227</v>
      </c>
      <c r="BT2317" t="str">
        <f>HYPERLINK("https%3A%2F%2Fwww.webofscience.com%2Fwos%2Fwoscc%2Ffull-record%2FWOS:000816916000017","View Full Record in Web of Science")</f>
        <v>View Full Record in Web of Science</v>
      </c>
    </row>
    <row r="2318" spans="1:72" x14ac:dyDescent="0.25">
      <c r="A2318" t="s">
        <v>72</v>
      </c>
      <c r="B2318" t="s">
        <v>39228</v>
      </c>
      <c r="C2318" t="s">
        <v>74</v>
      </c>
      <c r="D2318" t="s">
        <v>74</v>
      </c>
      <c r="E2318" t="s">
        <v>74</v>
      </c>
      <c r="F2318" t="s">
        <v>39229</v>
      </c>
      <c r="G2318" t="s">
        <v>74</v>
      </c>
      <c r="H2318" t="s">
        <v>74</v>
      </c>
      <c r="I2318" t="s">
        <v>39230</v>
      </c>
      <c r="J2318" t="s">
        <v>39231</v>
      </c>
      <c r="K2318" t="s">
        <v>74</v>
      </c>
      <c r="L2318" t="s">
        <v>74</v>
      </c>
      <c r="M2318" t="s">
        <v>78</v>
      </c>
      <c r="N2318" t="s">
        <v>79</v>
      </c>
      <c r="O2318" t="s">
        <v>74</v>
      </c>
      <c r="P2318" t="s">
        <v>74</v>
      </c>
      <c r="Q2318" t="s">
        <v>74</v>
      </c>
      <c r="R2318" t="s">
        <v>74</v>
      </c>
      <c r="S2318" t="s">
        <v>74</v>
      </c>
      <c r="T2318" t="s">
        <v>39232</v>
      </c>
      <c r="U2318" t="s">
        <v>39233</v>
      </c>
      <c r="V2318" t="s">
        <v>39234</v>
      </c>
      <c r="W2318" t="s">
        <v>39235</v>
      </c>
      <c r="X2318" t="s">
        <v>39236</v>
      </c>
      <c r="Y2318" t="s">
        <v>39237</v>
      </c>
      <c r="Z2318" t="s">
        <v>39238</v>
      </c>
      <c r="AA2318" t="s">
        <v>39239</v>
      </c>
      <c r="AB2318" t="s">
        <v>39240</v>
      </c>
      <c r="AC2318" t="s">
        <v>74</v>
      </c>
      <c r="AD2318" t="s">
        <v>74</v>
      </c>
      <c r="AE2318" t="s">
        <v>74</v>
      </c>
      <c r="AF2318" t="s">
        <v>74</v>
      </c>
      <c r="AG2318">
        <v>43</v>
      </c>
      <c r="AH2318">
        <v>73</v>
      </c>
      <c r="AI2318">
        <v>85</v>
      </c>
      <c r="AJ2318">
        <v>1</v>
      </c>
      <c r="AK2318">
        <v>85</v>
      </c>
      <c r="AL2318" t="s">
        <v>503</v>
      </c>
      <c r="AM2318" t="s">
        <v>151</v>
      </c>
      <c r="AN2318" t="s">
        <v>504</v>
      </c>
      <c r="AO2318" t="s">
        <v>39241</v>
      </c>
      <c r="AP2318" t="s">
        <v>74</v>
      </c>
      <c r="AQ2318" t="s">
        <v>74</v>
      </c>
      <c r="AR2318" t="s">
        <v>39242</v>
      </c>
      <c r="AS2318" t="s">
        <v>39243</v>
      </c>
      <c r="AT2318" t="s">
        <v>1652</v>
      </c>
      <c r="AU2318">
        <v>2013</v>
      </c>
      <c r="AV2318">
        <v>44</v>
      </c>
      <c r="AW2318" t="s">
        <v>74</v>
      </c>
      <c r="AX2318" t="s">
        <v>74</v>
      </c>
      <c r="AY2318" t="s">
        <v>74</v>
      </c>
      <c r="AZ2318" t="s">
        <v>74</v>
      </c>
      <c r="BA2318" t="s">
        <v>74</v>
      </c>
      <c r="BB2318">
        <v>126</v>
      </c>
      <c r="BC2318">
        <v>139</v>
      </c>
      <c r="BD2318" t="s">
        <v>74</v>
      </c>
      <c r="BE2318" t="s">
        <v>39244</v>
      </c>
      <c r="BF2318" t="str">
        <f>HYPERLINK("http://dx.doi.org/10.1016/j.socec.2013.02.025","http://dx.doi.org/10.1016/j.socec.2013.02.025")</f>
        <v>http://dx.doi.org/10.1016/j.socec.2013.02.025</v>
      </c>
      <c r="BG2318" t="s">
        <v>74</v>
      </c>
      <c r="BH2318" t="s">
        <v>74</v>
      </c>
      <c r="BI2318">
        <v>14</v>
      </c>
      <c r="BJ2318" t="s">
        <v>291</v>
      </c>
      <c r="BK2318" t="s">
        <v>99</v>
      </c>
      <c r="BL2318" t="s">
        <v>100</v>
      </c>
      <c r="BM2318" t="s">
        <v>39245</v>
      </c>
      <c r="BN2318" t="s">
        <v>74</v>
      </c>
      <c r="BO2318" t="s">
        <v>74</v>
      </c>
      <c r="BP2318" t="s">
        <v>74</v>
      </c>
      <c r="BQ2318" t="s">
        <v>74</v>
      </c>
      <c r="BR2318" t="s">
        <v>102</v>
      </c>
      <c r="BS2318" t="s">
        <v>39246</v>
      </c>
      <c r="BT2318" t="str">
        <f>HYPERLINK("https%3A%2F%2Fwww.webofscience.com%2Fwos%2Fwoscc%2Ffull-record%2FWOS:000333061500017","View Full Record in Web of Science")</f>
        <v>View Full Record in Web of Science</v>
      </c>
    </row>
    <row r="2319" spans="1:72" x14ac:dyDescent="0.25">
      <c r="A2319" t="s">
        <v>72</v>
      </c>
      <c r="B2319" t="s">
        <v>39247</v>
      </c>
      <c r="C2319" t="s">
        <v>74</v>
      </c>
      <c r="D2319" t="s">
        <v>74</v>
      </c>
      <c r="E2319" t="s">
        <v>74</v>
      </c>
      <c r="F2319" t="s">
        <v>39248</v>
      </c>
      <c r="G2319" t="s">
        <v>74</v>
      </c>
      <c r="H2319" t="s">
        <v>74</v>
      </c>
      <c r="I2319" t="s">
        <v>39249</v>
      </c>
      <c r="J2319" t="s">
        <v>6362</v>
      </c>
      <c r="K2319" t="s">
        <v>74</v>
      </c>
      <c r="L2319" t="s">
        <v>74</v>
      </c>
      <c r="M2319" t="s">
        <v>78</v>
      </c>
      <c r="N2319" t="s">
        <v>79</v>
      </c>
      <c r="O2319" t="s">
        <v>74</v>
      </c>
      <c r="P2319" t="s">
        <v>74</v>
      </c>
      <c r="Q2319" t="s">
        <v>74</v>
      </c>
      <c r="R2319" t="s">
        <v>74</v>
      </c>
      <c r="S2319" t="s">
        <v>74</v>
      </c>
      <c r="T2319" t="s">
        <v>39250</v>
      </c>
      <c r="U2319" t="s">
        <v>39251</v>
      </c>
      <c r="V2319" t="s">
        <v>39252</v>
      </c>
      <c r="W2319" t="s">
        <v>39253</v>
      </c>
      <c r="X2319" t="s">
        <v>39254</v>
      </c>
      <c r="Y2319" t="s">
        <v>39255</v>
      </c>
      <c r="Z2319" t="s">
        <v>39256</v>
      </c>
      <c r="AA2319" t="s">
        <v>74</v>
      </c>
      <c r="AB2319" t="s">
        <v>39257</v>
      </c>
      <c r="AC2319" t="s">
        <v>74</v>
      </c>
      <c r="AD2319" t="s">
        <v>74</v>
      </c>
      <c r="AE2319" t="s">
        <v>74</v>
      </c>
      <c r="AF2319" t="s">
        <v>74</v>
      </c>
      <c r="AG2319">
        <v>58</v>
      </c>
      <c r="AH2319">
        <v>8</v>
      </c>
      <c r="AI2319">
        <v>11</v>
      </c>
      <c r="AJ2319">
        <v>2</v>
      </c>
      <c r="AK2319">
        <v>11</v>
      </c>
      <c r="AL2319" t="s">
        <v>201</v>
      </c>
      <c r="AM2319" t="s">
        <v>202</v>
      </c>
      <c r="AN2319" t="s">
        <v>203</v>
      </c>
      <c r="AO2319" t="s">
        <v>6374</v>
      </c>
      <c r="AP2319" t="s">
        <v>6375</v>
      </c>
      <c r="AQ2319" t="s">
        <v>74</v>
      </c>
      <c r="AR2319" t="s">
        <v>6376</v>
      </c>
      <c r="AS2319" t="s">
        <v>6377</v>
      </c>
      <c r="AT2319" t="s">
        <v>743</v>
      </c>
      <c r="AU2319">
        <v>2021</v>
      </c>
      <c r="AV2319">
        <v>184</v>
      </c>
      <c r="AW2319" t="s">
        <v>74</v>
      </c>
      <c r="AX2319" t="s">
        <v>74</v>
      </c>
      <c r="AY2319" t="s">
        <v>74</v>
      </c>
      <c r="AZ2319" t="s">
        <v>74</v>
      </c>
      <c r="BA2319" t="s">
        <v>74</v>
      </c>
      <c r="BB2319">
        <v>337</v>
      </c>
      <c r="BC2319">
        <v>358</v>
      </c>
      <c r="BD2319" t="s">
        <v>74</v>
      </c>
      <c r="BE2319" t="s">
        <v>39258</v>
      </c>
      <c r="BF2319" t="str">
        <f>HYPERLINK("http://dx.doi.org/10.1016/j.jebo.2021.02.001","http://dx.doi.org/10.1016/j.jebo.2021.02.001")</f>
        <v>http://dx.doi.org/10.1016/j.jebo.2021.02.001</v>
      </c>
      <c r="BG2319" t="s">
        <v>74</v>
      </c>
      <c r="BH2319" t="s">
        <v>11376</v>
      </c>
      <c r="BI2319">
        <v>22</v>
      </c>
      <c r="BJ2319" t="s">
        <v>291</v>
      </c>
      <c r="BK2319" t="s">
        <v>99</v>
      </c>
      <c r="BL2319" t="s">
        <v>100</v>
      </c>
      <c r="BM2319" t="s">
        <v>39259</v>
      </c>
      <c r="BN2319" t="s">
        <v>74</v>
      </c>
      <c r="BO2319" t="s">
        <v>74</v>
      </c>
      <c r="BP2319" t="s">
        <v>74</v>
      </c>
      <c r="BQ2319" t="s">
        <v>74</v>
      </c>
      <c r="BR2319" t="s">
        <v>102</v>
      </c>
      <c r="BS2319" t="s">
        <v>39260</v>
      </c>
      <c r="BT2319" t="str">
        <f>HYPERLINK("https%3A%2F%2Fwww.webofscience.com%2Fwos%2Fwoscc%2Ffull-record%2FWOS:000632713400016","View Full Record in Web of Science")</f>
        <v>View Full Record in Web of Science</v>
      </c>
    </row>
    <row r="2320" spans="1:72" x14ac:dyDescent="0.25">
      <c r="A2320" t="s">
        <v>72</v>
      </c>
      <c r="B2320" t="s">
        <v>39261</v>
      </c>
      <c r="C2320" t="s">
        <v>74</v>
      </c>
      <c r="D2320" t="s">
        <v>74</v>
      </c>
      <c r="E2320" t="s">
        <v>74</v>
      </c>
      <c r="F2320" t="s">
        <v>39262</v>
      </c>
      <c r="G2320" t="s">
        <v>74</v>
      </c>
      <c r="H2320" t="s">
        <v>74</v>
      </c>
      <c r="I2320" t="s">
        <v>39263</v>
      </c>
      <c r="J2320" t="s">
        <v>1245</v>
      </c>
      <c r="K2320" t="s">
        <v>74</v>
      </c>
      <c r="L2320" t="s">
        <v>74</v>
      </c>
      <c r="M2320" t="s">
        <v>78</v>
      </c>
      <c r="N2320" t="s">
        <v>79</v>
      </c>
      <c r="O2320" t="s">
        <v>74</v>
      </c>
      <c r="P2320" t="s">
        <v>74</v>
      </c>
      <c r="Q2320" t="s">
        <v>74</v>
      </c>
      <c r="R2320" t="s">
        <v>74</v>
      </c>
      <c r="S2320" t="s">
        <v>74</v>
      </c>
      <c r="T2320" t="s">
        <v>39264</v>
      </c>
      <c r="U2320" t="s">
        <v>74</v>
      </c>
      <c r="V2320" t="s">
        <v>39265</v>
      </c>
      <c r="W2320" t="s">
        <v>39266</v>
      </c>
      <c r="X2320" t="s">
        <v>39267</v>
      </c>
      <c r="Y2320" t="s">
        <v>39268</v>
      </c>
      <c r="Z2320" t="s">
        <v>39269</v>
      </c>
      <c r="AA2320" t="s">
        <v>39270</v>
      </c>
      <c r="AB2320" t="s">
        <v>39271</v>
      </c>
      <c r="AC2320" t="s">
        <v>74</v>
      </c>
      <c r="AD2320" t="s">
        <v>74</v>
      </c>
      <c r="AE2320" t="s">
        <v>74</v>
      </c>
      <c r="AF2320" t="s">
        <v>74</v>
      </c>
      <c r="AG2320">
        <v>32</v>
      </c>
      <c r="AH2320">
        <v>0</v>
      </c>
      <c r="AI2320">
        <v>0</v>
      </c>
      <c r="AJ2320">
        <v>1</v>
      </c>
      <c r="AK2320">
        <v>11</v>
      </c>
      <c r="AL2320" t="s">
        <v>1254</v>
      </c>
      <c r="AM2320" t="s">
        <v>1255</v>
      </c>
      <c r="AN2320" t="s">
        <v>1256</v>
      </c>
      <c r="AO2320" t="s">
        <v>1257</v>
      </c>
      <c r="AP2320" t="s">
        <v>1258</v>
      </c>
      <c r="AQ2320" t="s">
        <v>74</v>
      </c>
      <c r="AR2320" t="s">
        <v>1259</v>
      </c>
      <c r="AS2320" t="s">
        <v>1260</v>
      </c>
      <c r="AT2320" t="s">
        <v>74</v>
      </c>
      <c r="AU2320">
        <v>2022</v>
      </c>
      <c r="AV2320">
        <v>4</v>
      </c>
      <c r="AW2320">
        <v>45</v>
      </c>
      <c r="AX2320" t="s">
        <v>74</v>
      </c>
      <c r="AY2320" t="s">
        <v>74</v>
      </c>
      <c r="AZ2320" t="s">
        <v>74</v>
      </c>
      <c r="BA2320" t="s">
        <v>74</v>
      </c>
      <c r="BB2320">
        <v>93</v>
      </c>
      <c r="BC2320">
        <v>103</v>
      </c>
      <c r="BD2320" t="s">
        <v>74</v>
      </c>
      <c r="BE2320" t="s">
        <v>39272</v>
      </c>
      <c r="BF2320" t="str">
        <f>HYPERLINK("http://dx.doi.org/10.55643/fcaptp.4.45.2022.3842","http://dx.doi.org/10.55643/fcaptp.4.45.2022.3842")</f>
        <v>http://dx.doi.org/10.55643/fcaptp.4.45.2022.3842</v>
      </c>
      <c r="BG2320" t="s">
        <v>74</v>
      </c>
      <c r="BH2320" t="s">
        <v>74</v>
      </c>
      <c r="BI2320">
        <v>11</v>
      </c>
      <c r="BJ2320" t="s">
        <v>268</v>
      </c>
      <c r="BK2320" t="s">
        <v>313</v>
      </c>
      <c r="BL2320" t="s">
        <v>100</v>
      </c>
      <c r="BM2320" t="s">
        <v>39273</v>
      </c>
      <c r="BN2320" t="s">
        <v>74</v>
      </c>
      <c r="BO2320" t="s">
        <v>916</v>
      </c>
      <c r="BP2320" t="s">
        <v>74</v>
      </c>
      <c r="BQ2320" t="s">
        <v>74</v>
      </c>
      <c r="BR2320" t="s">
        <v>102</v>
      </c>
      <c r="BS2320" t="s">
        <v>39274</v>
      </c>
      <c r="BT2320" t="str">
        <f>HYPERLINK("https%3A%2F%2Fwww.webofscience.com%2Fwos%2Fwoscc%2Ffull-record%2FWOS:000869695100008","View Full Record in Web of Science")</f>
        <v>View Full Record in Web of Science</v>
      </c>
    </row>
    <row r="2321" spans="1:72" x14ac:dyDescent="0.25">
      <c r="A2321" t="s">
        <v>72</v>
      </c>
      <c r="B2321" t="s">
        <v>39275</v>
      </c>
      <c r="C2321" t="s">
        <v>74</v>
      </c>
      <c r="D2321" t="s">
        <v>74</v>
      </c>
      <c r="E2321" t="s">
        <v>74</v>
      </c>
      <c r="F2321" t="s">
        <v>39276</v>
      </c>
      <c r="G2321" t="s">
        <v>74</v>
      </c>
      <c r="H2321" t="s">
        <v>74</v>
      </c>
      <c r="I2321" t="s">
        <v>39277</v>
      </c>
      <c r="J2321" t="s">
        <v>14349</v>
      </c>
      <c r="K2321" t="s">
        <v>74</v>
      </c>
      <c r="L2321" t="s">
        <v>74</v>
      </c>
      <c r="M2321" t="s">
        <v>78</v>
      </c>
      <c r="N2321" t="s">
        <v>79</v>
      </c>
      <c r="O2321" t="s">
        <v>74</v>
      </c>
      <c r="P2321" t="s">
        <v>74</v>
      </c>
      <c r="Q2321" t="s">
        <v>74</v>
      </c>
      <c r="R2321" t="s">
        <v>74</v>
      </c>
      <c r="S2321" t="s">
        <v>74</v>
      </c>
      <c r="T2321" t="s">
        <v>39278</v>
      </c>
      <c r="U2321" t="s">
        <v>39279</v>
      </c>
      <c r="V2321" t="s">
        <v>39280</v>
      </c>
      <c r="W2321" t="s">
        <v>39281</v>
      </c>
      <c r="X2321" t="s">
        <v>10171</v>
      </c>
      <c r="Y2321" t="s">
        <v>39282</v>
      </c>
      <c r="Z2321" t="s">
        <v>39283</v>
      </c>
      <c r="AA2321" t="s">
        <v>74</v>
      </c>
      <c r="AB2321" t="s">
        <v>74</v>
      </c>
      <c r="AC2321" t="s">
        <v>74</v>
      </c>
      <c r="AD2321" t="s">
        <v>74</v>
      </c>
      <c r="AE2321" t="s">
        <v>74</v>
      </c>
      <c r="AF2321" t="s">
        <v>74</v>
      </c>
      <c r="AG2321">
        <v>41</v>
      </c>
      <c r="AH2321">
        <v>21</v>
      </c>
      <c r="AI2321">
        <v>28</v>
      </c>
      <c r="AJ2321">
        <v>1</v>
      </c>
      <c r="AK2321">
        <v>44</v>
      </c>
      <c r="AL2321" t="s">
        <v>332</v>
      </c>
      <c r="AM2321" t="s">
        <v>333</v>
      </c>
      <c r="AN2321" t="s">
        <v>334</v>
      </c>
      <c r="AO2321" t="s">
        <v>14355</v>
      </c>
      <c r="AP2321" t="s">
        <v>14356</v>
      </c>
      <c r="AQ2321" t="s">
        <v>74</v>
      </c>
      <c r="AR2321" t="s">
        <v>14357</v>
      </c>
      <c r="AS2321" t="s">
        <v>14358</v>
      </c>
      <c r="AT2321" t="s">
        <v>2082</v>
      </c>
      <c r="AU2321">
        <v>2022</v>
      </c>
      <c r="AV2321">
        <v>15</v>
      </c>
      <c r="AW2321">
        <v>4</v>
      </c>
      <c r="AX2321" t="s">
        <v>74</v>
      </c>
      <c r="AY2321" t="s">
        <v>74</v>
      </c>
      <c r="AZ2321" t="s">
        <v>441</v>
      </c>
      <c r="BA2321" t="s">
        <v>74</v>
      </c>
      <c r="BB2321">
        <v>452</v>
      </c>
      <c r="BC2321">
        <v>467</v>
      </c>
      <c r="BD2321" t="s">
        <v>74</v>
      </c>
      <c r="BE2321" t="s">
        <v>39284</v>
      </c>
      <c r="BF2321" t="str">
        <f>HYPERLINK("http://dx.doi.org/10.1080/17530350.2022.2041463","http://dx.doi.org/10.1080/17530350.2022.2041463")</f>
        <v>http://dx.doi.org/10.1080/17530350.2022.2041463</v>
      </c>
      <c r="BG2321" t="s">
        <v>74</v>
      </c>
      <c r="BH2321" t="s">
        <v>767</v>
      </c>
      <c r="BI2321">
        <v>16</v>
      </c>
      <c r="BJ2321" t="s">
        <v>14360</v>
      </c>
      <c r="BK2321" t="s">
        <v>871</v>
      </c>
      <c r="BL2321" t="s">
        <v>14361</v>
      </c>
      <c r="BM2321" t="s">
        <v>15869</v>
      </c>
      <c r="BN2321" t="s">
        <v>74</v>
      </c>
      <c r="BO2321" t="s">
        <v>1205</v>
      </c>
      <c r="BP2321" t="s">
        <v>74</v>
      </c>
      <c r="BQ2321" t="s">
        <v>74</v>
      </c>
      <c r="BR2321" t="s">
        <v>102</v>
      </c>
      <c r="BS2321" t="s">
        <v>39285</v>
      </c>
      <c r="BT2321" t="str">
        <f>HYPERLINK("https%3A%2F%2Fwww.webofscience.com%2Fwos%2Fwoscc%2Ffull-record%2FWOS:000773797900001","View Full Record in Web of Science")</f>
        <v>View Full Record in Web of Science</v>
      </c>
    </row>
    <row r="2322" spans="1:72" x14ac:dyDescent="0.25">
      <c r="A2322" t="s">
        <v>72</v>
      </c>
      <c r="B2322" t="s">
        <v>39286</v>
      </c>
      <c r="C2322" t="s">
        <v>74</v>
      </c>
      <c r="D2322" t="s">
        <v>74</v>
      </c>
      <c r="E2322" t="s">
        <v>74</v>
      </c>
      <c r="F2322" t="s">
        <v>39287</v>
      </c>
      <c r="G2322" t="s">
        <v>74</v>
      </c>
      <c r="H2322" t="s">
        <v>74</v>
      </c>
      <c r="I2322" t="s">
        <v>39288</v>
      </c>
      <c r="J2322" t="s">
        <v>6362</v>
      </c>
      <c r="K2322" t="s">
        <v>74</v>
      </c>
      <c r="L2322" t="s">
        <v>74</v>
      </c>
      <c r="M2322" t="s">
        <v>78</v>
      </c>
      <c r="N2322" t="s">
        <v>79</v>
      </c>
      <c r="O2322" t="s">
        <v>74</v>
      </c>
      <c r="P2322" t="s">
        <v>74</v>
      </c>
      <c r="Q2322" t="s">
        <v>74</v>
      </c>
      <c r="R2322" t="s">
        <v>74</v>
      </c>
      <c r="S2322" t="s">
        <v>74</v>
      </c>
      <c r="T2322" t="s">
        <v>39289</v>
      </c>
      <c r="U2322" t="s">
        <v>39290</v>
      </c>
      <c r="V2322" t="s">
        <v>39291</v>
      </c>
      <c r="W2322" t="s">
        <v>39292</v>
      </c>
      <c r="X2322" t="s">
        <v>39293</v>
      </c>
      <c r="Y2322" t="s">
        <v>39294</v>
      </c>
      <c r="Z2322" t="s">
        <v>39295</v>
      </c>
      <c r="AA2322" t="s">
        <v>39296</v>
      </c>
      <c r="AB2322" t="s">
        <v>39297</v>
      </c>
      <c r="AC2322" t="s">
        <v>39298</v>
      </c>
      <c r="AD2322" t="s">
        <v>39299</v>
      </c>
      <c r="AE2322" t="s">
        <v>39300</v>
      </c>
      <c r="AF2322" t="s">
        <v>74</v>
      </c>
      <c r="AG2322">
        <v>40</v>
      </c>
      <c r="AH2322">
        <v>22</v>
      </c>
      <c r="AI2322">
        <v>28</v>
      </c>
      <c r="AJ2322">
        <v>6</v>
      </c>
      <c r="AK2322">
        <v>31</v>
      </c>
      <c r="AL2322" t="s">
        <v>201</v>
      </c>
      <c r="AM2322" t="s">
        <v>202</v>
      </c>
      <c r="AN2322" t="s">
        <v>203</v>
      </c>
      <c r="AO2322" t="s">
        <v>6374</v>
      </c>
      <c r="AP2322" t="s">
        <v>6375</v>
      </c>
      <c r="AQ2322" t="s">
        <v>74</v>
      </c>
      <c r="AR2322" t="s">
        <v>6376</v>
      </c>
      <c r="AS2322" t="s">
        <v>6377</v>
      </c>
      <c r="AT2322" t="s">
        <v>208</v>
      </c>
      <c r="AU2322">
        <v>2022</v>
      </c>
      <c r="AV2322">
        <v>193</v>
      </c>
      <c r="AW2322" t="s">
        <v>74</v>
      </c>
      <c r="AX2322" t="s">
        <v>74</v>
      </c>
      <c r="AY2322" t="s">
        <v>74</v>
      </c>
      <c r="AZ2322" t="s">
        <v>74</v>
      </c>
      <c r="BA2322" t="s">
        <v>74</v>
      </c>
      <c r="BB2322">
        <v>276</v>
      </c>
      <c r="BC2322">
        <v>293</v>
      </c>
      <c r="BD2322" t="s">
        <v>74</v>
      </c>
      <c r="BE2322" t="s">
        <v>39301</v>
      </c>
      <c r="BF2322" t="str">
        <f>HYPERLINK("http://dx.doi.org/10.1016/j.jebo.2021.10.005","http://dx.doi.org/10.1016/j.jebo.2021.10.005")</f>
        <v>http://dx.doi.org/10.1016/j.jebo.2021.10.005</v>
      </c>
      <c r="BG2322" t="s">
        <v>74</v>
      </c>
      <c r="BH2322" t="s">
        <v>74</v>
      </c>
      <c r="BI2322">
        <v>18</v>
      </c>
      <c r="BJ2322" t="s">
        <v>291</v>
      </c>
      <c r="BK2322" t="s">
        <v>99</v>
      </c>
      <c r="BL2322" t="s">
        <v>100</v>
      </c>
      <c r="BM2322" t="s">
        <v>39302</v>
      </c>
      <c r="BN2322" t="s">
        <v>74</v>
      </c>
      <c r="BO2322" t="s">
        <v>74</v>
      </c>
      <c r="BP2322" t="s">
        <v>74</v>
      </c>
      <c r="BQ2322" t="s">
        <v>74</v>
      </c>
      <c r="BR2322" t="s">
        <v>102</v>
      </c>
      <c r="BS2322" t="s">
        <v>39303</v>
      </c>
      <c r="BT2322" t="str">
        <f>HYPERLINK("https%3A%2F%2Fwww.webofscience.com%2Fwos%2Fwoscc%2Ffull-record%2FWOS:000779845700003","View Full Record in Web of Science")</f>
        <v>View Full Record in Web of Science</v>
      </c>
    </row>
    <row r="2323" spans="1:72" x14ac:dyDescent="0.25">
      <c r="A2323" t="s">
        <v>72</v>
      </c>
      <c r="B2323" t="s">
        <v>14660</v>
      </c>
      <c r="C2323" t="s">
        <v>74</v>
      </c>
      <c r="D2323" t="s">
        <v>74</v>
      </c>
      <c r="E2323" t="s">
        <v>74</v>
      </c>
      <c r="F2323" t="s">
        <v>14661</v>
      </c>
      <c r="G2323" t="s">
        <v>74</v>
      </c>
      <c r="H2323" t="s">
        <v>74</v>
      </c>
      <c r="I2323" t="s">
        <v>39304</v>
      </c>
      <c r="J2323" t="s">
        <v>8087</v>
      </c>
      <c r="K2323" t="s">
        <v>74</v>
      </c>
      <c r="L2323" t="s">
        <v>74</v>
      </c>
      <c r="M2323" t="s">
        <v>78</v>
      </c>
      <c r="N2323" t="s">
        <v>79</v>
      </c>
      <c r="O2323" t="s">
        <v>74</v>
      </c>
      <c r="P2323" t="s">
        <v>74</v>
      </c>
      <c r="Q2323" t="s">
        <v>74</v>
      </c>
      <c r="R2323" t="s">
        <v>74</v>
      </c>
      <c r="S2323" t="s">
        <v>74</v>
      </c>
      <c r="T2323" t="s">
        <v>39305</v>
      </c>
      <c r="U2323" t="s">
        <v>39306</v>
      </c>
      <c r="V2323" t="s">
        <v>39307</v>
      </c>
      <c r="W2323" t="s">
        <v>39308</v>
      </c>
      <c r="X2323" t="s">
        <v>14667</v>
      </c>
      <c r="Y2323" t="s">
        <v>18099</v>
      </c>
      <c r="Z2323" t="s">
        <v>14669</v>
      </c>
      <c r="AA2323" t="s">
        <v>14670</v>
      </c>
      <c r="AB2323" t="s">
        <v>74</v>
      </c>
      <c r="AC2323" t="s">
        <v>74</v>
      </c>
      <c r="AD2323" t="s">
        <v>74</v>
      </c>
      <c r="AE2323" t="s">
        <v>74</v>
      </c>
      <c r="AF2323" t="s">
        <v>74</v>
      </c>
      <c r="AG2323">
        <v>50</v>
      </c>
      <c r="AH2323">
        <v>104</v>
      </c>
      <c r="AI2323">
        <v>140</v>
      </c>
      <c r="AJ2323">
        <v>1</v>
      </c>
      <c r="AK2323">
        <v>81</v>
      </c>
      <c r="AL2323" t="s">
        <v>479</v>
      </c>
      <c r="AM2323" t="s">
        <v>480</v>
      </c>
      <c r="AN2323" t="s">
        <v>481</v>
      </c>
      <c r="AO2323" t="s">
        <v>8097</v>
      </c>
      <c r="AP2323" t="s">
        <v>8098</v>
      </c>
      <c r="AQ2323" t="s">
        <v>74</v>
      </c>
      <c r="AR2323" t="s">
        <v>8099</v>
      </c>
      <c r="AS2323" t="s">
        <v>8100</v>
      </c>
      <c r="AT2323" t="s">
        <v>698</v>
      </c>
      <c r="AU2323">
        <v>2018</v>
      </c>
      <c r="AV2323">
        <v>42</v>
      </c>
      <c r="AW2323">
        <v>5</v>
      </c>
      <c r="AX2323" t="s">
        <v>74</v>
      </c>
      <c r="AY2323" t="s">
        <v>74</v>
      </c>
      <c r="AZ2323" t="s">
        <v>74</v>
      </c>
      <c r="BA2323" t="s">
        <v>74</v>
      </c>
      <c r="BB2323">
        <v>501</v>
      </c>
      <c r="BC2323">
        <v>512</v>
      </c>
      <c r="BD2323" t="s">
        <v>74</v>
      </c>
      <c r="BE2323" t="s">
        <v>39309</v>
      </c>
      <c r="BF2323" t="str">
        <f>HYPERLINK("http://dx.doi.org/10.1111/ijcs.12461","http://dx.doi.org/10.1111/ijcs.12461")</f>
        <v>http://dx.doi.org/10.1111/ijcs.12461</v>
      </c>
      <c r="BG2323" t="s">
        <v>74</v>
      </c>
      <c r="BH2323" t="s">
        <v>74</v>
      </c>
      <c r="BI2323">
        <v>12</v>
      </c>
      <c r="BJ2323" t="s">
        <v>418</v>
      </c>
      <c r="BK2323" t="s">
        <v>99</v>
      </c>
      <c r="BL2323" t="s">
        <v>100</v>
      </c>
      <c r="BM2323" t="s">
        <v>39310</v>
      </c>
      <c r="BN2323" t="s">
        <v>74</v>
      </c>
      <c r="BO2323" t="s">
        <v>74</v>
      </c>
      <c r="BP2323" t="s">
        <v>74</v>
      </c>
      <c r="BQ2323" t="s">
        <v>74</v>
      </c>
      <c r="BR2323" t="s">
        <v>102</v>
      </c>
      <c r="BS2323" t="s">
        <v>39311</v>
      </c>
      <c r="BT2323" t="str">
        <f>HYPERLINK("https%3A%2F%2Fwww.webofscience.com%2Fwos%2Fwoscc%2Ffull-record%2FWOS:000444677700005","View Full Record in Web of Science")</f>
        <v>View Full Record in Web of Science</v>
      </c>
    </row>
    <row r="2324" spans="1:72" x14ac:dyDescent="0.25">
      <c r="A2324" t="s">
        <v>72</v>
      </c>
      <c r="B2324" t="s">
        <v>39312</v>
      </c>
      <c r="C2324" t="s">
        <v>74</v>
      </c>
      <c r="D2324" t="s">
        <v>74</v>
      </c>
      <c r="E2324" t="s">
        <v>74</v>
      </c>
      <c r="F2324" t="s">
        <v>39313</v>
      </c>
      <c r="G2324" t="s">
        <v>74</v>
      </c>
      <c r="H2324" t="s">
        <v>74</v>
      </c>
      <c r="I2324" t="s">
        <v>39314</v>
      </c>
      <c r="J2324" t="s">
        <v>424</v>
      </c>
      <c r="K2324" t="s">
        <v>74</v>
      </c>
      <c r="L2324" t="s">
        <v>74</v>
      </c>
      <c r="M2324" t="s">
        <v>78</v>
      </c>
      <c r="N2324" t="s">
        <v>79</v>
      </c>
      <c r="O2324" t="s">
        <v>74</v>
      </c>
      <c r="P2324" t="s">
        <v>74</v>
      </c>
      <c r="Q2324" t="s">
        <v>74</v>
      </c>
      <c r="R2324" t="s">
        <v>74</v>
      </c>
      <c r="S2324" t="s">
        <v>74</v>
      </c>
      <c r="T2324" t="s">
        <v>39315</v>
      </c>
      <c r="U2324" t="s">
        <v>39316</v>
      </c>
      <c r="V2324" t="s">
        <v>39317</v>
      </c>
      <c r="W2324" t="s">
        <v>39318</v>
      </c>
      <c r="X2324" t="s">
        <v>39319</v>
      </c>
      <c r="Y2324" t="s">
        <v>39320</v>
      </c>
      <c r="Z2324" t="s">
        <v>39321</v>
      </c>
      <c r="AA2324" t="s">
        <v>39322</v>
      </c>
      <c r="AB2324" t="s">
        <v>39323</v>
      </c>
      <c r="AC2324" t="s">
        <v>39324</v>
      </c>
      <c r="AD2324" t="s">
        <v>39325</v>
      </c>
      <c r="AE2324" t="s">
        <v>39326</v>
      </c>
      <c r="AF2324" t="s">
        <v>74</v>
      </c>
      <c r="AG2324">
        <v>56</v>
      </c>
      <c r="AH2324">
        <v>46</v>
      </c>
      <c r="AI2324">
        <v>61</v>
      </c>
      <c r="AJ2324">
        <v>1</v>
      </c>
      <c r="AK2324">
        <v>44</v>
      </c>
      <c r="AL2324" t="s">
        <v>89</v>
      </c>
      <c r="AM2324" t="s">
        <v>90</v>
      </c>
      <c r="AN2324" t="s">
        <v>91</v>
      </c>
      <c r="AO2324" t="s">
        <v>436</v>
      </c>
      <c r="AP2324" t="s">
        <v>437</v>
      </c>
      <c r="AQ2324" t="s">
        <v>74</v>
      </c>
      <c r="AR2324" t="s">
        <v>438</v>
      </c>
      <c r="AS2324" t="s">
        <v>439</v>
      </c>
      <c r="AT2324" t="s">
        <v>24041</v>
      </c>
      <c r="AU2324">
        <v>2021</v>
      </c>
      <c r="AV2324">
        <v>39</v>
      </c>
      <c r="AW2324">
        <v>7</v>
      </c>
      <c r="AX2324" t="s">
        <v>74</v>
      </c>
      <c r="AY2324" t="s">
        <v>74</v>
      </c>
      <c r="AZ2324" t="s">
        <v>74</v>
      </c>
      <c r="BA2324" t="s">
        <v>74</v>
      </c>
      <c r="BB2324">
        <v>1377</v>
      </c>
      <c r="BC2324">
        <v>1394</v>
      </c>
      <c r="BD2324" t="s">
        <v>74</v>
      </c>
      <c r="BE2324" t="s">
        <v>39327</v>
      </c>
      <c r="BF2324" t="str">
        <f>HYPERLINK("http://dx.doi.org/10.1108/IJBM-09-2020-0490","http://dx.doi.org/10.1108/IJBM-09-2020-0490")</f>
        <v>http://dx.doi.org/10.1108/IJBM-09-2020-0490</v>
      </c>
      <c r="BG2324" t="s">
        <v>74</v>
      </c>
      <c r="BH2324" t="s">
        <v>11151</v>
      </c>
      <c r="BI2324">
        <v>18</v>
      </c>
      <c r="BJ2324" t="s">
        <v>418</v>
      </c>
      <c r="BK2324" t="s">
        <v>99</v>
      </c>
      <c r="BL2324" t="s">
        <v>100</v>
      </c>
      <c r="BM2324" t="s">
        <v>39328</v>
      </c>
      <c r="BN2324" t="s">
        <v>74</v>
      </c>
      <c r="BO2324" t="s">
        <v>39329</v>
      </c>
      <c r="BP2324" t="s">
        <v>74</v>
      </c>
      <c r="BQ2324" t="s">
        <v>74</v>
      </c>
      <c r="BR2324" t="s">
        <v>102</v>
      </c>
      <c r="BS2324" t="s">
        <v>39330</v>
      </c>
      <c r="BT2324" t="str">
        <f>HYPERLINK("https%3A%2F%2Fwww.webofscience.com%2Fwos%2Fwoscc%2Ffull-record%2FWOS:000670865200001","View Full Record in Web of Science")</f>
        <v>View Full Record in Web of Science</v>
      </c>
    </row>
    <row r="2325" spans="1:72" x14ac:dyDescent="0.25">
      <c r="A2325" t="s">
        <v>72</v>
      </c>
      <c r="B2325" t="s">
        <v>39331</v>
      </c>
      <c r="C2325" t="s">
        <v>74</v>
      </c>
      <c r="D2325" t="s">
        <v>74</v>
      </c>
      <c r="E2325" t="s">
        <v>74</v>
      </c>
      <c r="F2325" t="s">
        <v>39332</v>
      </c>
      <c r="G2325" t="s">
        <v>74</v>
      </c>
      <c r="H2325" t="s">
        <v>74</v>
      </c>
      <c r="I2325" t="s">
        <v>39333</v>
      </c>
      <c r="J2325" t="s">
        <v>5078</v>
      </c>
      <c r="K2325" t="s">
        <v>74</v>
      </c>
      <c r="L2325" t="s">
        <v>74</v>
      </c>
      <c r="M2325" t="s">
        <v>78</v>
      </c>
      <c r="N2325" t="s">
        <v>1766</v>
      </c>
      <c r="O2325" t="s">
        <v>74</v>
      </c>
      <c r="P2325" t="s">
        <v>74</v>
      </c>
      <c r="Q2325" t="s">
        <v>74</v>
      </c>
      <c r="R2325" t="s">
        <v>74</v>
      </c>
      <c r="S2325" t="s">
        <v>74</v>
      </c>
      <c r="T2325" t="s">
        <v>39334</v>
      </c>
      <c r="U2325" t="s">
        <v>39335</v>
      </c>
      <c r="V2325" t="s">
        <v>39336</v>
      </c>
      <c r="W2325" t="s">
        <v>39337</v>
      </c>
      <c r="X2325" t="s">
        <v>39338</v>
      </c>
      <c r="Y2325" t="s">
        <v>39339</v>
      </c>
      <c r="Z2325" t="s">
        <v>39340</v>
      </c>
      <c r="AA2325" t="s">
        <v>39341</v>
      </c>
      <c r="AB2325" t="s">
        <v>39342</v>
      </c>
      <c r="AC2325" t="s">
        <v>39343</v>
      </c>
      <c r="AD2325" t="s">
        <v>39344</v>
      </c>
      <c r="AE2325" t="s">
        <v>39345</v>
      </c>
      <c r="AF2325" t="s">
        <v>74</v>
      </c>
      <c r="AG2325">
        <v>166</v>
      </c>
      <c r="AH2325">
        <v>26</v>
      </c>
      <c r="AI2325">
        <v>31</v>
      </c>
      <c r="AJ2325">
        <v>31</v>
      </c>
      <c r="AK2325">
        <v>56</v>
      </c>
      <c r="AL2325" t="s">
        <v>385</v>
      </c>
      <c r="AM2325" t="s">
        <v>151</v>
      </c>
      <c r="AN2325" t="s">
        <v>386</v>
      </c>
      <c r="AO2325" t="s">
        <v>74</v>
      </c>
      <c r="AP2325" t="s">
        <v>5087</v>
      </c>
      <c r="AQ2325" t="s">
        <v>74</v>
      </c>
      <c r="AR2325" t="s">
        <v>5088</v>
      </c>
      <c r="AS2325" t="s">
        <v>5089</v>
      </c>
      <c r="AT2325" t="s">
        <v>39346</v>
      </c>
      <c r="AU2325">
        <v>2025</v>
      </c>
      <c r="AV2325">
        <v>11</v>
      </c>
      <c r="AW2325">
        <v>1</v>
      </c>
      <c r="AX2325" t="s">
        <v>74</v>
      </c>
      <c r="AY2325" t="s">
        <v>74</v>
      </c>
      <c r="AZ2325" t="s">
        <v>74</v>
      </c>
      <c r="BA2325" t="s">
        <v>74</v>
      </c>
      <c r="BB2325" t="s">
        <v>74</v>
      </c>
      <c r="BC2325" t="s">
        <v>74</v>
      </c>
      <c r="BD2325">
        <v>69</v>
      </c>
      <c r="BE2325" t="s">
        <v>39347</v>
      </c>
      <c r="BF2325" t="str">
        <f>HYPERLINK("http://dx.doi.org/10.1186/s40854-024-00741-0","http://dx.doi.org/10.1186/s40854-024-00741-0")</f>
        <v>http://dx.doi.org/10.1186/s40854-024-00741-0</v>
      </c>
      <c r="BG2325" t="s">
        <v>74</v>
      </c>
      <c r="BH2325" t="s">
        <v>74</v>
      </c>
      <c r="BI2325">
        <v>42</v>
      </c>
      <c r="BJ2325" t="s">
        <v>5092</v>
      </c>
      <c r="BK2325" t="s">
        <v>99</v>
      </c>
      <c r="BL2325" t="s">
        <v>2024</v>
      </c>
      <c r="BM2325" t="s">
        <v>39348</v>
      </c>
      <c r="BN2325" t="s">
        <v>74</v>
      </c>
      <c r="BO2325" t="s">
        <v>212</v>
      </c>
      <c r="BP2325" t="s">
        <v>74</v>
      </c>
      <c r="BQ2325" t="s">
        <v>74</v>
      </c>
      <c r="BR2325" t="s">
        <v>102</v>
      </c>
      <c r="BS2325" t="s">
        <v>39349</v>
      </c>
      <c r="BT2325" t="str">
        <f>HYPERLINK("https%3A%2F%2Fwww.webofscience.com%2Fwos%2Fwoscc%2Ffull-record%2FWOS:001406165300003","View Full Record in Web of Science")</f>
        <v>View Full Record in Web of Science</v>
      </c>
    </row>
    <row r="2326" spans="1:72" x14ac:dyDescent="0.25">
      <c r="A2326" t="s">
        <v>72</v>
      </c>
      <c r="B2326" t="s">
        <v>39350</v>
      </c>
      <c r="C2326" t="s">
        <v>74</v>
      </c>
      <c r="D2326" t="s">
        <v>74</v>
      </c>
      <c r="E2326" t="s">
        <v>74</v>
      </c>
      <c r="F2326" t="s">
        <v>39351</v>
      </c>
      <c r="G2326" t="s">
        <v>74</v>
      </c>
      <c r="H2326" t="s">
        <v>74</v>
      </c>
      <c r="I2326" t="s">
        <v>39352</v>
      </c>
      <c r="J2326" t="s">
        <v>3439</v>
      </c>
      <c r="K2326" t="s">
        <v>74</v>
      </c>
      <c r="L2326" t="s">
        <v>74</v>
      </c>
      <c r="M2326" t="s">
        <v>78</v>
      </c>
      <c r="N2326" t="s">
        <v>79</v>
      </c>
      <c r="O2326" t="s">
        <v>74</v>
      </c>
      <c r="P2326" t="s">
        <v>74</v>
      </c>
      <c r="Q2326" t="s">
        <v>74</v>
      </c>
      <c r="R2326" t="s">
        <v>74</v>
      </c>
      <c r="S2326" t="s">
        <v>74</v>
      </c>
      <c r="T2326" t="s">
        <v>39353</v>
      </c>
      <c r="U2326" t="s">
        <v>39354</v>
      </c>
      <c r="V2326" t="s">
        <v>39355</v>
      </c>
      <c r="W2326" t="s">
        <v>39356</v>
      </c>
      <c r="X2326" t="s">
        <v>18468</v>
      </c>
      <c r="Y2326" t="s">
        <v>39357</v>
      </c>
      <c r="Z2326" t="s">
        <v>39358</v>
      </c>
      <c r="AA2326" t="s">
        <v>39359</v>
      </c>
      <c r="AB2326" t="s">
        <v>39360</v>
      </c>
      <c r="AC2326" t="s">
        <v>74</v>
      </c>
      <c r="AD2326" t="s">
        <v>74</v>
      </c>
      <c r="AE2326" t="s">
        <v>74</v>
      </c>
      <c r="AF2326" t="s">
        <v>74</v>
      </c>
      <c r="AG2326">
        <v>86</v>
      </c>
      <c r="AH2326">
        <v>3</v>
      </c>
      <c r="AI2326">
        <v>4</v>
      </c>
      <c r="AJ2326">
        <v>1</v>
      </c>
      <c r="AK2326">
        <v>1</v>
      </c>
      <c r="AL2326" t="s">
        <v>823</v>
      </c>
      <c r="AM2326" t="s">
        <v>333</v>
      </c>
      <c r="AN2326" t="s">
        <v>824</v>
      </c>
      <c r="AO2326" t="s">
        <v>3443</v>
      </c>
      <c r="AP2326" t="s">
        <v>74</v>
      </c>
      <c r="AQ2326" t="s">
        <v>74</v>
      </c>
      <c r="AR2326" t="s">
        <v>3444</v>
      </c>
      <c r="AS2326" t="s">
        <v>3445</v>
      </c>
      <c r="AT2326" t="s">
        <v>2970</v>
      </c>
      <c r="AU2326">
        <v>2025</v>
      </c>
      <c r="AV2326">
        <v>13</v>
      </c>
      <c r="AW2326">
        <v>1</v>
      </c>
      <c r="AX2326" t="s">
        <v>74</v>
      </c>
      <c r="AY2326" t="s">
        <v>74</v>
      </c>
      <c r="AZ2326" t="s">
        <v>74</v>
      </c>
      <c r="BA2326" t="s">
        <v>74</v>
      </c>
      <c r="BB2326" t="s">
        <v>74</v>
      </c>
      <c r="BC2326" t="s">
        <v>74</v>
      </c>
      <c r="BD2326">
        <v>2476089</v>
      </c>
      <c r="BE2326" t="s">
        <v>39361</v>
      </c>
      <c r="BF2326" t="str">
        <f>HYPERLINK("http://dx.doi.org/10.1080/23322039.2025.2476089","http://dx.doi.org/10.1080/23322039.2025.2476089")</f>
        <v>http://dx.doi.org/10.1080/23322039.2025.2476089</v>
      </c>
      <c r="BG2326" t="s">
        <v>74</v>
      </c>
      <c r="BH2326" t="s">
        <v>74</v>
      </c>
      <c r="BI2326">
        <v>20</v>
      </c>
      <c r="BJ2326" t="s">
        <v>291</v>
      </c>
      <c r="BK2326" t="s">
        <v>313</v>
      </c>
      <c r="BL2326" t="s">
        <v>100</v>
      </c>
      <c r="BM2326" t="s">
        <v>39362</v>
      </c>
      <c r="BN2326" t="s">
        <v>74</v>
      </c>
      <c r="BO2326" t="s">
        <v>212</v>
      </c>
      <c r="BP2326" t="s">
        <v>74</v>
      </c>
      <c r="BQ2326" t="s">
        <v>74</v>
      </c>
      <c r="BR2326" t="s">
        <v>102</v>
      </c>
      <c r="BS2326" t="s">
        <v>39363</v>
      </c>
      <c r="BT2326" t="str">
        <f>HYPERLINK("https%3A%2F%2Fwww.webofscience.com%2Fwos%2Fwoscc%2Ffull-record%2FWOS:001446008500001","View Full Record in Web of Science")</f>
        <v>View Full Record in Web of Science</v>
      </c>
    </row>
    <row r="2327" spans="1:72" x14ac:dyDescent="0.25">
      <c r="A2327" t="s">
        <v>72</v>
      </c>
      <c r="B2327" t="s">
        <v>39364</v>
      </c>
      <c r="C2327" t="s">
        <v>74</v>
      </c>
      <c r="D2327" t="s">
        <v>74</v>
      </c>
      <c r="E2327" t="s">
        <v>74</v>
      </c>
      <c r="F2327" t="s">
        <v>39365</v>
      </c>
      <c r="G2327" t="s">
        <v>74</v>
      </c>
      <c r="H2327" t="s">
        <v>74</v>
      </c>
      <c r="I2327" t="s">
        <v>39366</v>
      </c>
      <c r="J2327" t="s">
        <v>39367</v>
      </c>
      <c r="K2327" t="s">
        <v>74</v>
      </c>
      <c r="L2327" t="s">
        <v>74</v>
      </c>
      <c r="M2327" t="s">
        <v>78</v>
      </c>
      <c r="N2327" t="s">
        <v>79</v>
      </c>
      <c r="O2327" t="s">
        <v>74</v>
      </c>
      <c r="P2327" t="s">
        <v>74</v>
      </c>
      <c r="Q2327" t="s">
        <v>74</v>
      </c>
      <c r="R2327" t="s">
        <v>74</v>
      </c>
      <c r="S2327" t="s">
        <v>74</v>
      </c>
      <c r="T2327" t="s">
        <v>39368</v>
      </c>
      <c r="U2327" t="s">
        <v>2051</v>
      </c>
      <c r="V2327" t="s">
        <v>39369</v>
      </c>
      <c r="W2327" t="s">
        <v>39370</v>
      </c>
      <c r="X2327" t="s">
        <v>14744</v>
      </c>
      <c r="Y2327" t="s">
        <v>39371</v>
      </c>
      <c r="Z2327" t="s">
        <v>39372</v>
      </c>
      <c r="AA2327" t="s">
        <v>39373</v>
      </c>
      <c r="AB2327" t="s">
        <v>39374</v>
      </c>
      <c r="AC2327" t="s">
        <v>74</v>
      </c>
      <c r="AD2327" t="s">
        <v>74</v>
      </c>
      <c r="AE2327" t="s">
        <v>74</v>
      </c>
      <c r="AF2327" t="s">
        <v>74</v>
      </c>
      <c r="AG2327">
        <v>54</v>
      </c>
      <c r="AH2327">
        <v>0</v>
      </c>
      <c r="AI2327">
        <v>0</v>
      </c>
      <c r="AJ2327">
        <v>2</v>
      </c>
      <c r="AK2327">
        <v>8</v>
      </c>
      <c r="AL2327" t="s">
        <v>332</v>
      </c>
      <c r="AM2327" t="s">
        <v>333</v>
      </c>
      <c r="AN2327" t="s">
        <v>334</v>
      </c>
      <c r="AO2327" t="s">
        <v>39375</v>
      </c>
      <c r="AP2327" t="s">
        <v>39376</v>
      </c>
      <c r="AQ2327" t="s">
        <v>74</v>
      </c>
      <c r="AR2327" t="s">
        <v>39377</v>
      </c>
      <c r="AS2327" t="s">
        <v>39378</v>
      </c>
      <c r="AT2327" t="s">
        <v>958</v>
      </c>
      <c r="AU2327">
        <v>2024</v>
      </c>
      <c r="AV2327">
        <v>29</v>
      </c>
      <c r="AW2327">
        <v>3</v>
      </c>
      <c r="AX2327" t="s">
        <v>74</v>
      </c>
      <c r="AY2327" t="s">
        <v>74</v>
      </c>
      <c r="AZ2327" t="s">
        <v>74</v>
      </c>
      <c r="BA2327" t="s">
        <v>74</v>
      </c>
      <c r="BB2327">
        <v>203</v>
      </c>
      <c r="BC2327">
        <v>235</v>
      </c>
      <c r="BD2327" t="s">
        <v>74</v>
      </c>
      <c r="BE2327" t="s">
        <v>39379</v>
      </c>
      <c r="BF2327" t="str">
        <f>HYPERLINK("http://dx.doi.org/10.1080/08963568.2024.2352311","http://dx.doi.org/10.1080/08963568.2024.2352311")</f>
        <v>http://dx.doi.org/10.1080/08963568.2024.2352311</v>
      </c>
      <c r="BG2327" t="s">
        <v>74</v>
      </c>
      <c r="BH2327" t="s">
        <v>5285</v>
      </c>
      <c r="BI2327">
        <v>33</v>
      </c>
      <c r="BJ2327" t="s">
        <v>2351</v>
      </c>
      <c r="BK2327" t="s">
        <v>313</v>
      </c>
      <c r="BL2327" t="s">
        <v>2351</v>
      </c>
      <c r="BM2327" t="s">
        <v>39380</v>
      </c>
      <c r="BN2327" t="s">
        <v>74</v>
      </c>
      <c r="BO2327" t="s">
        <v>74</v>
      </c>
      <c r="BP2327" t="s">
        <v>74</v>
      </c>
      <c r="BQ2327" t="s">
        <v>74</v>
      </c>
      <c r="BR2327" t="s">
        <v>102</v>
      </c>
      <c r="BS2327" t="s">
        <v>39381</v>
      </c>
      <c r="BT2327" t="str">
        <f>HYPERLINK("https%3A%2F%2Fwww.webofscience.com%2Fwos%2Fwoscc%2Ffull-record%2FWOS:001229084700001","View Full Record in Web of Science")</f>
        <v>View Full Record in Web of Science</v>
      </c>
    </row>
    <row r="2328" spans="1:72" x14ac:dyDescent="0.25">
      <c r="A2328" t="s">
        <v>72</v>
      </c>
      <c r="B2328" t="s">
        <v>39382</v>
      </c>
      <c r="C2328" t="s">
        <v>74</v>
      </c>
      <c r="D2328" t="s">
        <v>74</v>
      </c>
      <c r="E2328" t="s">
        <v>74</v>
      </c>
      <c r="F2328" t="s">
        <v>39383</v>
      </c>
      <c r="G2328" t="s">
        <v>74</v>
      </c>
      <c r="H2328" t="s">
        <v>74</v>
      </c>
      <c r="I2328" t="s">
        <v>39384</v>
      </c>
      <c r="J2328" t="s">
        <v>15686</v>
      </c>
      <c r="K2328" t="s">
        <v>74</v>
      </c>
      <c r="L2328" t="s">
        <v>74</v>
      </c>
      <c r="M2328" t="s">
        <v>78</v>
      </c>
      <c r="N2328" t="s">
        <v>79</v>
      </c>
      <c r="O2328" t="s">
        <v>74</v>
      </c>
      <c r="P2328" t="s">
        <v>74</v>
      </c>
      <c r="Q2328" t="s">
        <v>74</v>
      </c>
      <c r="R2328" t="s">
        <v>74</v>
      </c>
      <c r="S2328" t="s">
        <v>74</v>
      </c>
      <c r="T2328" t="s">
        <v>39385</v>
      </c>
      <c r="U2328" t="s">
        <v>39386</v>
      </c>
      <c r="V2328" t="s">
        <v>39387</v>
      </c>
      <c r="W2328" t="s">
        <v>39388</v>
      </c>
      <c r="X2328" t="s">
        <v>39389</v>
      </c>
      <c r="Y2328" t="s">
        <v>39390</v>
      </c>
      <c r="Z2328" t="s">
        <v>39391</v>
      </c>
      <c r="AA2328" t="s">
        <v>39392</v>
      </c>
      <c r="AB2328" t="s">
        <v>39393</v>
      </c>
      <c r="AC2328" t="s">
        <v>74</v>
      </c>
      <c r="AD2328" t="s">
        <v>74</v>
      </c>
      <c r="AE2328" t="s">
        <v>74</v>
      </c>
      <c r="AF2328" t="s">
        <v>74</v>
      </c>
      <c r="AG2328">
        <v>77</v>
      </c>
      <c r="AH2328">
        <v>0</v>
      </c>
      <c r="AI2328">
        <v>0</v>
      </c>
      <c r="AJ2328">
        <v>3</v>
      </c>
      <c r="AK2328">
        <v>3</v>
      </c>
      <c r="AL2328" t="s">
        <v>479</v>
      </c>
      <c r="AM2328" t="s">
        <v>480</v>
      </c>
      <c r="AN2328" t="s">
        <v>481</v>
      </c>
      <c r="AO2328" t="s">
        <v>74</v>
      </c>
      <c r="AP2328" t="s">
        <v>15694</v>
      </c>
      <c r="AQ2328" t="s">
        <v>74</v>
      </c>
      <c r="AR2328" t="s">
        <v>15695</v>
      </c>
      <c r="AS2328" t="s">
        <v>15696</v>
      </c>
      <c r="AT2328" t="s">
        <v>12405</v>
      </c>
      <c r="AU2328">
        <v>2025</v>
      </c>
      <c r="AV2328">
        <v>8</v>
      </c>
      <c r="AW2328">
        <v>3</v>
      </c>
      <c r="AX2328" t="s">
        <v>74</v>
      </c>
      <c r="AY2328" t="s">
        <v>74</v>
      </c>
      <c r="AZ2328" t="s">
        <v>74</v>
      </c>
      <c r="BA2328" t="s">
        <v>74</v>
      </c>
      <c r="BB2328" t="s">
        <v>74</v>
      </c>
      <c r="BC2328" t="s">
        <v>74</v>
      </c>
      <c r="BD2328" t="s">
        <v>39394</v>
      </c>
      <c r="BE2328" t="s">
        <v>39395</v>
      </c>
      <c r="BF2328" t="str">
        <f>HYPERLINK("http://dx.doi.org/10.1002/bsd2.70146","http://dx.doi.org/10.1002/bsd2.70146")</f>
        <v>http://dx.doi.org/10.1002/bsd2.70146</v>
      </c>
      <c r="BG2328" t="s">
        <v>74</v>
      </c>
      <c r="BH2328" t="s">
        <v>74</v>
      </c>
      <c r="BI2328">
        <v>14</v>
      </c>
      <c r="BJ2328" t="s">
        <v>15700</v>
      </c>
      <c r="BK2328" t="s">
        <v>313</v>
      </c>
      <c r="BL2328" t="s">
        <v>14040</v>
      </c>
      <c r="BM2328" t="s">
        <v>39396</v>
      </c>
      <c r="BN2328" t="s">
        <v>74</v>
      </c>
      <c r="BO2328" t="s">
        <v>74</v>
      </c>
      <c r="BP2328" t="s">
        <v>74</v>
      </c>
      <c r="BQ2328" t="s">
        <v>74</v>
      </c>
      <c r="BR2328" t="s">
        <v>102</v>
      </c>
      <c r="BS2328" t="s">
        <v>39397</v>
      </c>
      <c r="BT2328" t="str">
        <f>HYPERLINK("https%3A%2F%2Fwww.webofscience.com%2Fwos%2Fwoscc%2Ffull-record%2FWOS:001537567800001","View Full Record in Web of Science")</f>
        <v>View Full Record in Web of Science</v>
      </c>
    </row>
    <row r="2329" spans="1:72" x14ac:dyDescent="0.25">
      <c r="A2329" t="s">
        <v>72</v>
      </c>
      <c r="B2329" t="s">
        <v>39398</v>
      </c>
      <c r="C2329" t="s">
        <v>74</v>
      </c>
      <c r="D2329" t="s">
        <v>74</v>
      </c>
      <c r="E2329" t="s">
        <v>74</v>
      </c>
      <c r="F2329" t="s">
        <v>39399</v>
      </c>
      <c r="G2329" t="s">
        <v>74</v>
      </c>
      <c r="H2329" t="s">
        <v>74</v>
      </c>
      <c r="I2329" t="s">
        <v>39400</v>
      </c>
      <c r="J2329" t="s">
        <v>39401</v>
      </c>
      <c r="K2329" t="s">
        <v>74</v>
      </c>
      <c r="L2329" t="s">
        <v>74</v>
      </c>
      <c r="M2329" t="s">
        <v>78</v>
      </c>
      <c r="N2329" t="s">
        <v>16500</v>
      </c>
      <c r="O2329" t="s">
        <v>74</v>
      </c>
      <c r="P2329" t="s">
        <v>74</v>
      </c>
      <c r="Q2329" t="s">
        <v>74</v>
      </c>
      <c r="R2329" t="s">
        <v>74</v>
      </c>
      <c r="S2329" t="s">
        <v>74</v>
      </c>
      <c r="T2329" t="s">
        <v>39402</v>
      </c>
      <c r="U2329" t="s">
        <v>39403</v>
      </c>
      <c r="V2329" t="s">
        <v>39404</v>
      </c>
      <c r="W2329" t="s">
        <v>39405</v>
      </c>
      <c r="X2329" t="s">
        <v>29621</v>
      </c>
      <c r="Y2329" t="s">
        <v>39406</v>
      </c>
      <c r="Z2329" t="s">
        <v>39407</v>
      </c>
      <c r="AA2329" t="s">
        <v>39408</v>
      </c>
      <c r="AB2329" t="s">
        <v>39409</v>
      </c>
      <c r="AC2329" t="s">
        <v>39410</v>
      </c>
      <c r="AD2329" t="s">
        <v>39410</v>
      </c>
      <c r="AE2329" t="s">
        <v>39411</v>
      </c>
      <c r="AF2329" t="s">
        <v>74</v>
      </c>
      <c r="AG2329">
        <v>61</v>
      </c>
      <c r="AH2329">
        <v>1</v>
      </c>
      <c r="AI2329">
        <v>2</v>
      </c>
      <c r="AJ2329">
        <v>3</v>
      </c>
      <c r="AK2329">
        <v>3</v>
      </c>
      <c r="AL2329" t="s">
        <v>89</v>
      </c>
      <c r="AM2329" t="s">
        <v>90</v>
      </c>
      <c r="AN2329" t="s">
        <v>91</v>
      </c>
      <c r="AO2329" t="s">
        <v>39412</v>
      </c>
      <c r="AP2329" t="s">
        <v>39413</v>
      </c>
      <c r="AQ2329" t="s">
        <v>74</v>
      </c>
      <c r="AR2329" t="s">
        <v>39414</v>
      </c>
      <c r="AS2329" t="s">
        <v>39415</v>
      </c>
      <c r="AT2329" t="s">
        <v>39416</v>
      </c>
      <c r="AU2329">
        <v>2025</v>
      </c>
      <c r="AV2329" t="s">
        <v>74</v>
      </c>
      <c r="AW2329" t="s">
        <v>74</v>
      </c>
      <c r="AX2329" t="s">
        <v>74</v>
      </c>
      <c r="AY2329" t="s">
        <v>74</v>
      </c>
      <c r="AZ2329" t="s">
        <v>74</v>
      </c>
      <c r="BA2329" t="s">
        <v>74</v>
      </c>
      <c r="BB2329" t="s">
        <v>74</v>
      </c>
      <c r="BC2329" t="s">
        <v>74</v>
      </c>
      <c r="BD2329" t="s">
        <v>74</v>
      </c>
      <c r="BE2329" t="s">
        <v>39417</v>
      </c>
      <c r="BF2329" t="str">
        <f>HYPERLINK("http://dx.doi.org/10.1108/IJIS-01-2025-0036","http://dx.doi.org/10.1108/IJIS-01-2025-0036")</f>
        <v>http://dx.doi.org/10.1108/IJIS-01-2025-0036</v>
      </c>
      <c r="BG2329" t="s">
        <v>74</v>
      </c>
      <c r="BH2329" t="s">
        <v>3411</v>
      </c>
      <c r="BI2329">
        <v>27</v>
      </c>
      <c r="BJ2329" t="s">
        <v>418</v>
      </c>
      <c r="BK2329" t="s">
        <v>313</v>
      </c>
      <c r="BL2329" t="s">
        <v>100</v>
      </c>
      <c r="BM2329" t="s">
        <v>39418</v>
      </c>
      <c r="BN2329" t="s">
        <v>74</v>
      </c>
      <c r="BO2329" t="s">
        <v>74</v>
      </c>
      <c r="BP2329" t="s">
        <v>74</v>
      </c>
      <c r="BQ2329" t="s">
        <v>74</v>
      </c>
      <c r="BR2329" t="s">
        <v>102</v>
      </c>
      <c r="BS2329" t="s">
        <v>39419</v>
      </c>
      <c r="BT2329" t="str">
        <f>HYPERLINK("https%3A%2F%2Fwww.webofscience.com%2Fwos%2Fwoscc%2Ffull-record%2FWOS:001564229400001","View Full Record in Web of Science")</f>
        <v>View Full Record in Web of Science</v>
      </c>
    </row>
    <row r="2330" spans="1:72" x14ac:dyDescent="0.25">
      <c r="A2330" t="s">
        <v>72</v>
      </c>
      <c r="B2330" t="s">
        <v>39420</v>
      </c>
      <c r="C2330" t="s">
        <v>74</v>
      </c>
      <c r="D2330" t="s">
        <v>74</v>
      </c>
      <c r="E2330" t="s">
        <v>74</v>
      </c>
      <c r="F2330" t="s">
        <v>39421</v>
      </c>
      <c r="G2330" t="s">
        <v>74</v>
      </c>
      <c r="H2330" t="s">
        <v>74</v>
      </c>
      <c r="I2330" t="s">
        <v>39422</v>
      </c>
      <c r="J2330" t="s">
        <v>424</v>
      </c>
      <c r="K2330" t="s">
        <v>74</v>
      </c>
      <c r="L2330" t="s">
        <v>74</v>
      </c>
      <c r="M2330" t="s">
        <v>78</v>
      </c>
      <c r="N2330" t="s">
        <v>79</v>
      </c>
      <c r="O2330" t="s">
        <v>74</v>
      </c>
      <c r="P2330" t="s">
        <v>74</v>
      </c>
      <c r="Q2330" t="s">
        <v>74</v>
      </c>
      <c r="R2330" t="s">
        <v>74</v>
      </c>
      <c r="S2330" t="s">
        <v>74</v>
      </c>
      <c r="T2330" t="s">
        <v>39423</v>
      </c>
      <c r="U2330" t="s">
        <v>39424</v>
      </c>
      <c r="V2330" t="s">
        <v>39425</v>
      </c>
      <c r="W2330" t="s">
        <v>39426</v>
      </c>
      <c r="X2330" t="s">
        <v>39427</v>
      </c>
      <c r="Y2330" t="s">
        <v>39428</v>
      </c>
      <c r="Z2330" t="s">
        <v>39429</v>
      </c>
      <c r="AA2330" t="s">
        <v>39430</v>
      </c>
      <c r="AB2330" t="s">
        <v>39431</v>
      </c>
      <c r="AC2330" t="s">
        <v>74</v>
      </c>
      <c r="AD2330" t="s">
        <v>74</v>
      </c>
      <c r="AE2330" t="s">
        <v>74</v>
      </c>
      <c r="AF2330" t="s">
        <v>74</v>
      </c>
      <c r="AG2330">
        <v>113</v>
      </c>
      <c r="AH2330">
        <v>1</v>
      </c>
      <c r="AI2330">
        <v>1</v>
      </c>
      <c r="AJ2330">
        <v>10</v>
      </c>
      <c r="AK2330">
        <v>10</v>
      </c>
      <c r="AL2330" t="s">
        <v>89</v>
      </c>
      <c r="AM2330" t="s">
        <v>90</v>
      </c>
      <c r="AN2330" t="s">
        <v>91</v>
      </c>
      <c r="AO2330" t="s">
        <v>436</v>
      </c>
      <c r="AP2330" t="s">
        <v>437</v>
      </c>
      <c r="AQ2330" t="s">
        <v>74</v>
      </c>
      <c r="AR2330" t="s">
        <v>438</v>
      </c>
      <c r="AS2330" t="s">
        <v>439</v>
      </c>
      <c r="AT2330" t="s">
        <v>19599</v>
      </c>
      <c r="AU2330">
        <v>2025</v>
      </c>
      <c r="AV2330">
        <v>43</v>
      </c>
      <c r="AW2330">
        <v>7</v>
      </c>
      <c r="AX2330" t="s">
        <v>74</v>
      </c>
      <c r="AY2330" t="s">
        <v>74</v>
      </c>
      <c r="AZ2330" t="s">
        <v>74</v>
      </c>
      <c r="BA2330" t="s">
        <v>74</v>
      </c>
      <c r="BB2330">
        <v>1513</v>
      </c>
      <c r="BC2330">
        <v>1540</v>
      </c>
      <c r="BD2330" t="s">
        <v>74</v>
      </c>
      <c r="BE2330" t="s">
        <v>39432</v>
      </c>
      <c r="BF2330" t="str">
        <f>HYPERLINK("http://dx.doi.org/10.1108/IJBM-06-2024-0363","http://dx.doi.org/10.1108/IJBM-06-2024-0363")</f>
        <v>http://dx.doi.org/10.1108/IJBM-06-2024-0363</v>
      </c>
      <c r="BG2330" t="s">
        <v>74</v>
      </c>
      <c r="BH2330" t="s">
        <v>1485</v>
      </c>
      <c r="BI2330">
        <v>28</v>
      </c>
      <c r="BJ2330" t="s">
        <v>418</v>
      </c>
      <c r="BK2330" t="s">
        <v>99</v>
      </c>
      <c r="BL2330" t="s">
        <v>100</v>
      </c>
      <c r="BM2330" t="s">
        <v>19597</v>
      </c>
      <c r="BN2330" t="s">
        <v>74</v>
      </c>
      <c r="BO2330" t="s">
        <v>74</v>
      </c>
      <c r="BP2330" t="s">
        <v>74</v>
      </c>
      <c r="BQ2330" t="s">
        <v>74</v>
      </c>
      <c r="BR2330" t="s">
        <v>102</v>
      </c>
      <c r="BS2330" t="s">
        <v>39433</v>
      </c>
      <c r="BT2330" t="str">
        <f>HYPERLINK("https%3A%2F%2Fwww.webofscience.com%2Fwos%2Fwoscc%2Ffull-record%2FWOS:001472658600001","View Full Record in Web of Science")</f>
        <v>View Full Record in Web of Science</v>
      </c>
    </row>
    <row r="2331" spans="1:72" x14ac:dyDescent="0.25">
      <c r="A2331" t="s">
        <v>72</v>
      </c>
      <c r="B2331" t="s">
        <v>39434</v>
      </c>
      <c r="C2331" t="s">
        <v>74</v>
      </c>
      <c r="D2331" t="s">
        <v>74</v>
      </c>
      <c r="E2331" t="s">
        <v>74</v>
      </c>
      <c r="F2331" t="s">
        <v>39435</v>
      </c>
      <c r="G2331" t="s">
        <v>74</v>
      </c>
      <c r="H2331" t="s">
        <v>74</v>
      </c>
      <c r="I2331" t="s">
        <v>39436</v>
      </c>
      <c r="J2331" t="s">
        <v>9191</v>
      </c>
      <c r="K2331" t="s">
        <v>74</v>
      </c>
      <c r="L2331" t="s">
        <v>74</v>
      </c>
      <c r="M2331" t="s">
        <v>78</v>
      </c>
      <c r="N2331" t="s">
        <v>79</v>
      </c>
      <c r="O2331" t="s">
        <v>74</v>
      </c>
      <c r="P2331" t="s">
        <v>74</v>
      </c>
      <c r="Q2331" t="s">
        <v>74</v>
      </c>
      <c r="R2331" t="s">
        <v>74</v>
      </c>
      <c r="S2331" t="s">
        <v>74</v>
      </c>
      <c r="T2331" t="s">
        <v>39437</v>
      </c>
      <c r="U2331" t="s">
        <v>74</v>
      </c>
      <c r="V2331" t="s">
        <v>39438</v>
      </c>
      <c r="W2331" t="s">
        <v>39439</v>
      </c>
      <c r="X2331" t="s">
        <v>39440</v>
      </c>
      <c r="Y2331" t="s">
        <v>39441</v>
      </c>
      <c r="Z2331" t="s">
        <v>39442</v>
      </c>
      <c r="AA2331" t="s">
        <v>39443</v>
      </c>
      <c r="AB2331" t="s">
        <v>39444</v>
      </c>
      <c r="AC2331" t="s">
        <v>74</v>
      </c>
      <c r="AD2331" t="s">
        <v>74</v>
      </c>
      <c r="AE2331" t="s">
        <v>74</v>
      </c>
      <c r="AF2331" t="s">
        <v>74</v>
      </c>
      <c r="AG2331">
        <v>76</v>
      </c>
      <c r="AH2331">
        <v>4</v>
      </c>
      <c r="AI2331">
        <v>7</v>
      </c>
      <c r="AJ2331">
        <v>30</v>
      </c>
      <c r="AK2331">
        <v>145</v>
      </c>
      <c r="AL2331" t="s">
        <v>9204</v>
      </c>
      <c r="AM2331" t="s">
        <v>2016</v>
      </c>
      <c r="AN2331" t="s">
        <v>9205</v>
      </c>
      <c r="AO2331" t="s">
        <v>74</v>
      </c>
      <c r="AP2331" t="s">
        <v>9206</v>
      </c>
      <c r="AQ2331" t="s">
        <v>74</v>
      </c>
      <c r="AR2331" t="s">
        <v>9191</v>
      </c>
      <c r="AS2331" t="s">
        <v>9207</v>
      </c>
      <c r="AT2331" t="s">
        <v>39445</v>
      </c>
      <c r="AU2331">
        <v>2024</v>
      </c>
      <c r="AV2331">
        <v>10</v>
      </c>
      <c r="AW2331">
        <v>16</v>
      </c>
      <c r="AX2331" t="s">
        <v>74</v>
      </c>
      <c r="AY2331" t="s">
        <v>74</v>
      </c>
      <c r="AZ2331" t="s">
        <v>74</v>
      </c>
      <c r="BA2331" t="s">
        <v>74</v>
      </c>
      <c r="BB2331" t="s">
        <v>74</v>
      </c>
      <c r="BC2331" t="s">
        <v>74</v>
      </c>
      <c r="BD2331" t="s">
        <v>39446</v>
      </c>
      <c r="BE2331" t="s">
        <v>39447</v>
      </c>
      <c r="BF2331" t="str">
        <f>HYPERLINK("http://dx.doi.org/10.1016/j.heliyon.2024.e36107","http://dx.doi.org/10.1016/j.heliyon.2024.e36107")</f>
        <v>http://dx.doi.org/10.1016/j.heliyon.2024.e36107</v>
      </c>
      <c r="BG2331" t="s">
        <v>74</v>
      </c>
      <c r="BH2331" t="s">
        <v>393</v>
      </c>
      <c r="BI2331">
        <v>19</v>
      </c>
      <c r="BJ2331" t="s">
        <v>559</v>
      </c>
      <c r="BK2331" t="s">
        <v>128</v>
      </c>
      <c r="BL2331" t="s">
        <v>560</v>
      </c>
      <c r="BM2331" t="s">
        <v>39448</v>
      </c>
      <c r="BN2331">
        <v>39224306</v>
      </c>
      <c r="BO2331" t="s">
        <v>916</v>
      </c>
      <c r="BP2331" t="s">
        <v>74</v>
      </c>
      <c r="BQ2331" t="s">
        <v>74</v>
      </c>
      <c r="BR2331" t="s">
        <v>102</v>
      </c>
      <c r="BS2331" t="s">
        <v>39449</v>
      </c>
      <c r="BT2331" t="str">
        <f>HYPERLINK("https%3A%2F%2Fwww.webofscience.com%2Fwos%2Fwoscc%2Ffull-record%2FWOS:001294608700001","View Full Record in Web of Science")</f>
        <v>View Full Record in Web of Science</v>
      </c>
    </row>
    <row r="2332" spans="1:72" x14ac:dyDescent="0.25">
      <c r="A2332" t="s">
        <v>72</v>
      </c>
      <c r="B2332" t="s">
        <v>39450</v>
      </c>
      <c r="C2332" t="s">
        <v>74</v>
      </c>
      <c r="D2332" t="s">
        <v>74</v>
      </c>
      <c r="E2332" t="s">
        <v>74</v>
      </c>
      <c r="F2332" t="s">
        <v>39451</v>
      </c>
      <c r="G2332" t="s">
        <v>74</v>
      </c>
      <c r="H2332" t="s">
        <v>74</v>
      </c>
      <c r="I2332" t="s">
        <v>39452</v>
      </c>
      <c r="J2332" t="s">
        <v>39453</v>
      </c>
      <c r="K2332" t="s">
        <v>74</v>
      </c>
      <c r="L2332" t="s">
        <v>74</v>
      </c>
      <c r="M2332" t="s">
        <v>78</v>
      </c>
      <c r="N2332" t="s">
        <v>79</v>
      </c>
      <c r="O2332" t="s">
        <v>74</v>
      </c>
      <c r="P2332" t="s">
        <v>74</v>
      </c>
      <c r="Q2332" t="s">
        <v>74</v>
      </c>
      <c r="R2332" t="s">
        <v>74</v>
      </c>
      <c r="S2332" t="s">
        <v>74</v>
      </c>
      <c r="T2332" t="s">
        <v>39454</v>
      </c>
      <c r="U2332" t="s">
        <v>74</v>
      </c>
      <c r="V2332" t="s">
        <v>39455</v>
      </c>
      <c r="W2332" t="s">
        <v>39456</v>
      </c>
      <c r="X2332" t="s">
        <v>74</v>
      </c>
      <c r="Y2332" t="s">
        <v>39457</v>
      </c>
      <c r="Z2332" t="s">
        <v>39458</v>
      </c>
      <c r="AA2332" t="s">
        <v>39459</v>
      </c>
      <c r="AB2332" t="s">
        <v>39460</v>
      </c>
      <c r="AC2332" t="s">
        <v>74</v>
      </c>
      <c r="AD2332" t="s">
        <v>74</v>
      </c>
      <c r="AE2332" t="s">
        <v>74</v>
      </c>
      <c r="AF2332" t="s">
        <v>74</v>
      </c>
      <c r="AG2332">
        <v>24</v>
      </c>
      <c r="AH2332">
        <v>1</v>
      </c>
      <c r="AI2332">
        <v>1</v>
      </c>
      <c r="AJ2332">
        <v>2</v>
      </c>
      <c r="AK2332">
        <v>10</v>
      </c>
      <c r="AL2332" t="s">
        <v>39461</v>
      </c>
      <c r="AM2332" t="s">
        <v>39462</v>
      </c>
      <c r="AN2332" t="s">
        <v>39463</v>
      </c>
      <c r="AO2332" t="s">
        <v>39464</v>
      </c>
      <c r="AP2332" t="s">
        <v>39465</v>
      </c>
      <c r="AQ2332" t="s">
        <v>74</v>
      </c>
      <c r="AR2332" t="s">
        <v>39466</v>
      </c>
      <c r="AS2332" t="s">
        <v>39467</v>
      </c>
      <c r="AT2332" t="s">
        <v>74</v>
      </c>
      <c r="AU2332">
        <v>2024</v>
      </c>
      <c r="AV2332">
        <v>28</v>
      </c>
      <c r="AW2332">
        <v>1</v>
      </c>
      <c r="AX2332" t="s">
        <v>74</v>
      </c>
      <c r="AY2332" t="s">
        <v>74</v>
      </c>
      <c r="AZ2332" t="s">
        <v>74</v>
      </c>
      <c r="BA2332" t="s">
        <v>74</v>
      </c>
      <c r="BB2332">
        <v>189</v>
      </c>
      <c r="BC2332">
        <v>203</v>
      </c>
      <c r="BD2332" t="s">
        <v>74</v>
      </c>
      <c r="BE2332" t="s">
        <v>39468</v>
      </c>
      <c r="BF2332" t="str">
        <f>HYPERLINK("http://dx.doi.org/10.33067/SE.1.2024.10","http://dx.doi.org/10.33067/SE.1.2024.10")</f>
        <v>http://dx.doi.org/10.33067/SE.1.2024.10</v>
      </c>
      <c r="BG2332" t="s">
        <v>74</v>
      </c>
      <c r="BH2332" t="s">
        <v>74</v>
      </c>
      <c r="BI2332">
        <v>15</v>
      </c>
      <c r="BJ2332" t="s">
        <v>39469</v>
      </c>
      <c r="BK2332" t="s">
        <v>313</v>
      </c>
      <c r="BL2332" t="s">
        <v>2282</v>
      </c>
      <c r="BM2332" t="s">
        <v>39470</v>
      </c>
      <c r="BN2332" t="s">
        <v>74</v>
      </c>
      <c r="BO2332" t="s">
        <v>212</v>
      </c>
      <c r="BP2332" t="s">
        <v>74</v>
      </c>
      <c r="BQ2332" t="s">
        <v>74</v>
      </c>
      <c r="BR2332" t="s">
        <v>102</v>
      </c>
      <c r="BS2332" t="s">
        <v>39471</v>
      </c>
      <c r="BT2332" t="str">
        <f>HYPERLINK("https%3A%2F%2Fwww.webofscience.com%2Fwos%2Fwoscc%2Ffull-record%2FWOS:001258720400010","View Full Record in Web of Science")</f>
        <v>View Full Record in Web of Science</v>
      </c>
    </row>
    <row r="2333" spans="1:72" x14ac:dyDescent="0.25">
      <c r="A2333" t="s">
        <v>72</v>
      </c>
      <c r="B2333" t="s">
        <v>39472</v>
      </c>
      <c r="C2333" t="s">
        <v>74</v>
      </c>
      <c r="D2333" t="s">
        <v>74</v>
      </c>
      <c r="E2333" t="s">
        <v>74</v>
      </c>
      <c r="F2333" t="s">
        <v>39473</v>
      </c>
      <c r="G2333" t="s">
        <v>74</v>
      </c>
      <c r="H2333" t="s">
        <v>74</v>
      </c>
      <c r="I2333" t="s">
        <v>39474</v>
      </c>
      <c r="J2333" t="s">
        <v>3231</v>
      </c>
      <c r="K2333" t="s">
        <v>74</v>
      </c>
      <c r="L2333" t="s">
        <v>74</v>
      </c>
      <c r="M2333" t="s">
        <v>78</v>
      </c>
      <c r="N2333" t="s">
        <v>79</v>
      </c>
      <c r="O2333" t="s">
        <v>74</v>
      </c>
      <c r="P2333" t="s">
        <v>74</v>
      </c>
      <c r="Q2333" t="s">
        <v>74</v>
      </c>
      <c r="R2333" t="s">
        <v>74</v>
      </c>
      <c r="S2333" t="s">
        <v>74</v>
      </c>
      <c r="T2333" t="s">
        <v>39475</v>
      </c>
      <c r="U2333" t="s">
        <v>39476</v>
      </c>
      <c r="V2333" t="s">
        <v>39477</v>
      </c>
      <c r="W2333" t="s">
        <v>39478</v>
      </c>
      <c r="X2333" t="s">
        <v>39479</v>
      </c>
      <c r="Y2333" t="s">
        <v>39480</v>
      </c>
      <c r="Z2333" t="s">
        <v>39481</v>
      </c>
      <c r="AA2333" t="s">
        <v>39482</v>
      </c>
      <c r="AB2333" t="s">
        <v>39483</v>
      </c>
      <c r="AC2333" t="s">
        <v>39484</v>
      </c>
      <c r="AD2333" t="s">
        <v>39485</v>
      </c>
      <c r="AE2333" t="s">
        <v>39486</v>
      </c>
      <c r="AF2333" t="s">
        <v>74</v>
      </c>
      <c r="AG2333">
        <v>80</v>
      </c>
      <c r="AH2333">
        <v>4</v>
      </c>
      <c r="AI2333">
        <v>5</v>
      </c>
      <c r="AJ2333">
        <v>12</v>
      </c>
      <c r="AK2333">
        <v>24</v>
      </c>
      <c r="AL2333" t="s">
        <v>575</v>
      </c>
      <c r="AM2333" t="s">
        <v>576</v>
      </c>
      <c r="AN2333" t="s">
        <v>577</v>
      </c>
      <c r="AO2333" t="s">
        <v>74</v>
      </c>
      <c r="AP2333" t="s">
        <v>3243</v>
      </c>
      <c r="AQ2333" t="s">
        <v>74</v>
      </c>
      <c r="AR2333" t="s">
        <v>3244</v>
      </c>
      <c r="AS2333" t="s">
        <v>3245</v>
      </c>
      <c r="AT2333" t="s">
        <v>31940</v>
      </c>
      <c r="AU2333">
        <v>2025</v>
      </c>
      <c r="AV2333">
        <v>17</v>
      </c>
      <c r="AW2333">
        <v>6</v>
      </c>
      <c r="AX2333" t="s">
        <v>74</v>
      </c>
      <c r="AY2333" t="s">
        <v>74</v>
      </c>
      <c r="AZ2333" t="s">
        <v>74</v>
      </c>
      <c r="BA2333" t="s">
        <v>74</v>
      </c>
      <c r="BB2333" t="s">
        <v>74</v>
      </c>
      <c r="BC2333" t="s">
        <v>74</v>
      </c>
      <c r="BD2333">
        <v>2476</v>
      </c>
      <c r="BE2333" t="s">
        <v>39487</v>
      </c>
      <c r="BF2333" t="str">
        <f>HYPERLINK("http://dx.doi.org/10.3390/su17062476","http://dx.doi.org/10.3390/su17062476")</f>
        <v>http://dx.doi.org/10.3390/su17062476</v>
      </c>
      <c r="BG2333" t="s">
        <v>74</v>
      </c>
      <c r="BH2333" t="s">
        <v>74</v>
      </c>
      <c r="BI2333">
        <v>26</v>
      </c>
      <c r="BJ2333" t="s">
        <v>3247</v>
      </c>
      <c r="BK2333" t="s">
        <v>2623</v>
      </c>
      <c r="BL2333" t="s">
        <v>3248</v>
      </c>
      <c r="BM2333" t="s">
        <v>39488</v>
      </c>
      <c r="BN2333" t="s">
        <v>74</v>
      </c>
      <c r="BO2333" t="s">
        <v>212</v>
      </c>
      <c r="BP2333" t="s">
        <v>74</v>
      </c>
      <c r="BQ2333" t="s">
        <v>74</v>
      </c>
      <c r="BR2333" t="s">
        <v>102</v>
      </c>
      <c r="BS2333" t="s">
        <v>39489</v>
      </c>
      <c r="BT2333" t="str">
        <f>HYPERLINK("https%3A%2F%2Fwww.webofscience.com%2Fwos%2Fwoscc%2Ffull-record%2FWOS:001453842100001","View Full Record in Web of Science")</f>
        <v>View Full Record in Web of Science</v>
      </c>
    </row>
    <row r="2334" spans="1:72" x14ac:dyDescent="0.25">
      <c r="A2334" t="s">
        <v>72</v>
      </c>
      <c r="B2334" t="s">
        <v>39490</v>
      </c>
      <c r="C2334" t="s">
        <v>74</v>
      </c>
      <c r="D2334" t="s">
        <v>74</v>
      </c>
      <c r="E2334" t="s">
        <v>74</v>
      </c>
      <c r="F2334" t="s">
        <v>39491</v>
      </c>
      <c r="G2334" t="s">
        <v>74</v>
      </c>
      <c r="H2334" t="s">
        <v>74</v>
      </c>
      <c r="I2334" t="s">
        <v>39492</v>
      </c>
      <c r="J2334" t="s">
        <v>656</v>
      </c>
      <c r="K2334" t="s">
        <v>74</v>
      </c>
      <c r="L2334" t="s">
        <v>74</v>
      </c>
      <c r="M2334" t="s">
        <v>78</v>
      </c>
      <c r="N2334" t="s">
        <v>79</v>
      </c>
      <c r="O2334" t="s">
        <v>74</v>
      </c>
      <c r="P2334" t="s">
        <v>74</v>
      </c>
      <c r="Q2334" t="s">
        <v>74</v>
      </c>
      <c r="R2334" t="s">
        <v>74</v>
      </c>
      <c r="S2334" t="s">
        <v>74</v>
      </c>
      <c r="T2334" t="s">
        <v>39493</v>
      </c>
      <c r="U2334" t="s">
        <v>39494</v>
      </c>
      <c r="V2334" t="s">
        <v>39495</v>
      </c>
      <c r="W2334" t="s">
        <v>39496</v>
      </c>
      <c r="X2334" t="s">
        <v>39497</v>
      </c>
      <c r="Y2334" t="s">
        <v>39498</v>
      </c>
      <c r="Z2334" t="s">
        <v>39499</v>
      </c>
      <c r="AA2334" t="s">
        <v>39500</v>
      </c>
      <c r="AB2334" t="s">
        <v>39501</v>
      </c>
      <c r="AC2334" t="s">
        <v>74</v>
      </c>
      <c r="AD2334" t="s">
        <v>74</v>
      </c>
      <c r="AE2334" t="s">
        <v>74</v>
      </c>
      <c r="AF2334" t="s">
        <v>74</v>
      </c>
      <c r="AG2334">
        <v>45</v>
      </c>
      <c r="AH2334">
        <v>3</v>
      </c>
      <c r="AI2334">
        <v>4</v>
      </c>
      <c r="AJ2334">
        <v>1</v>
      </c>
      <c r="AK2334">
        <v>26</v>
      </c>
      <c r="AL2334" t="s">
        <v>666</v>
      </c>
      <c r="AM2334" t="s">
        <v>667</v>
      </c>
      <c r="AN2334" t="s">
        <v>668</v>
      </c>
      <c r="AO2334" t="s">
        <v>669</v>
      </c>
      <c r="AP2334" t="s">
        <v>670</v>
      </c>
      <c r="AQ2334" t="s">
        <v>74</v>
      </c>
      <c r="AR2334" t="s">
        <v>671</v>
      </c>
      <c r="AS2334" t="s">
        <v>672</v>
      </c>
      <c r="AT2334" t="s">
        <v>124</v>
      </c>
      <c r="AU2334">
        <v>2023</v>
      </c>
      <c r="AV2334">
        <v>44</v>
      </c>
      <c r="AW2334">
        <v>4</v>
      </c>
      <c r="AX2334" t="s">
        <v>74</v>
      </c>
      <c r="AY2334" t="s">
        <v>74</v>
      </c>
      <c r="AZ2334" t="s">
        <v>74</v>
      </c>
      <c r="BA2334" t="s">
        <v>74</v>
      </c>
      <c r="BB2334">
        <v>1023</v>
      </c>
      <c r="BC2334">
        <v>1035</v>
      </c>
      <c r="BD2334" t="s">
        <v>74</v>
      </c>
      <c r="BE2334" t="s">
        <v>39502</v>
      </c>
      <c r="BF2334" t="str">
        <f>HYPERLINK("http://dx.doi.org/10.1007/s10834-023-09889-w","http://dx.doi.org/10.1007/s10834-023-09889-w")</f>
        <v>http://dx.doi.org/10.1007/s10834-023-09889-w</v>
      </c>
      <c r="BG2334" t="s">
        <v>74</v>
      </c>
      <c r="BH2334" t="s">
        <v>11288</v>
      </c>
      <c r="BI2334">
        <v>13</v>
      </c>
      <c r="BJ2334" t="s">
        <v>675</v>
      </c>
      <c r="BK2334" t="s">
        <v>99</v>
      </c>
      <c r="BL2334" t="s">
        <v>676</v>
      </c>
      <c r="BM2334" t="s">
        <v>39503</v>
      </c>
      <c r="BN2334" t="s">
        <v>74</v>
      </c>
      <c r="BO2334" t="s">
        <v>74</v>
      </c>
      <c r="BP2334" t="s">
        <v>74</v>
      </c>
      <c r="BQ2334" t="s">
        <v>74</v>
      </c>
      <c r="BR2334" t="s">
        <v>102</v>
      </c>
      <c r="BS2334" t="s">
        <v>39504</v>
      </c>
      <c r="BT2334" t="str">
        <f>HYPERLINK("https%3A%2F%2Fwww.webofscience.com%2Fwos%2Fwoscc%2Ffull-record%2FWOS:000922309100001","View Full Record in Web of Science")</f>
        <v>View Full Record in Web of Science</v>
      </c>
    </row>
    <row r="2335" spans="1:72" x14ac:dyDescent="0.25">
      <c r="A2335" t="s">
        <v>72</v>
      </c>
      <c r="B2335" t="s">
        <v>39505</v>
      </c>
      <c r="C2335" t="s">
        <v>74</v>
      </c>
      <c r="D2335" t="s">
        <v>74</v>
      </c>
      <c r="E2335" t="s">
        <v>74</v>
      </c>
      <c r="F2335" t="s">
        <v>39506</v>
      </c>
      <c r="G2335" t="s">
        <v>74</v>
      </c>
      <c r="H2335" t="s">
        <v>74</v>
      </c>
      <c r="I2335" t="s">
        <v>39507</v>
      </c>
      <c r="J2335" t="s">
        <v>17444</v>
      </c>
      <c r="K2335" t="s">
        <v>74</v>
      </c>
      <c r="L2335" t="s">
        <v>74</v>
      </c>
      <c r="M2335" t="s">
        <v>78</v>
      </c>
      <c r="N2335" t="s">
        <v>79</v>
      </c>
      <c r="O2335" t="s">
        <v>74</v>
      </c>
      <c r="P2335" t="s">
        <v>74</v>
      </c>
      <c r="Q2335" t="s">
        <v>74</v>
      </c>
      <c r="R2335" t="s">
        <v>74</v>
      </c>
      <c r="S2335" t="s">
        <v>74</v>
      </c>
      <c r="T2335" t="s">
        <v>39508</v>
      </c>
      <c r="U2335" t="s">
        <v>39509</v>
      </c>
      <c r="V2335" t="s">
        <v>39510</v>
      </c>
      <c r="W2335" t="s">
        <v>39511</v>
      </c>
      <c r="X2335" t="s">
        <v>39512</v>
      </c>
      <c r="Y2335" t="s">
        <v>39513</v>
      </c>
      <c r="Z2335" t="s">
        <v>39514</v>
      </c>
      <c r="AA2335" t="s">
        <v>39515</v>
      </c>
      <c r="AB2335" t="s">
        <v>39516</v>
      </c>
      <c r="AC2335" t="s">
        <v>74</v>
      </c>
      <c r="AD2335" t="s">
        <v>74</v>
      </c>
      <c r="AE2335" t="s">
        <v>74</v>
      </c>
      <c r="AF2335" t="s">
        <v>74</v>
      </c>
      <c r="AG2335">
        <v>62</v>
      </c>
      <c r="AH2335">
        <v>1</v>
      </c>
      <c r="AI2335">
        <v>1</v>
      </c>
      <c r="AJ2335">
        <v>1</v>
      </c>
      <c r="AK2335">
        <v>2</v>
      </c>
      <c r="AL2335" t="s">
        <v>89</v>
      </c>
      <c r="AM2335" t="s">
        <v>90</v>
      </c>
      <c r="AN2335" t="s">
        <v>91</v>
      </c>
      <c r="AO2335" t="s">
        <v>17454</v>
      </c>
      <c r="AP2335" t="s">
        <v>17455</v>
      </c>
      <c r="AQ2335" t="s">
        <v>74</v>
      </c>
      <c r="AR2335" t="s">
        <v>17456</v>
      </c>
      <c r="AS2335" t="s">
        <v>17457</v>
      </c>
      <c r="AT2335" t="s">
        <v>34463</v>
      </c>
      <c r="AU2335">
        <v>2025</v>
      </c>
      <c r="AV2335">
        <v>51</v>
      </c>
      <c r="AW2335">
        <v>6</v>
      </c>
      <c r="AX2335" t="s">
        <v>74</v>
      </c>
      <c r="AY2335" t="s">
        <v>74</v>
      </c>
      <c r="AZ2335" t="s">
        <v>74</v>
      </c>
      <c r="BA2335" t="s">
        <v>74</v>
      </c>
      <c r="BB2335">
        <v>964</v>
      </c>
      <c r="BC2335">
        <v>983</v>
      </c>
      <c r="BD2335" t="s">
        <v>74</v>
      </c>
      <c r="BE2335" t="s">
        <v>39517</v>
      </c>
      <c r="BF2335" t="str">
        <f>HYPERLINK("http://dx.doi.org/10.1108/MF-07-2024-0481","http://dx.doi.org/10.1108/MF-07-2024-0481")</f>
        <v>http://dx.doi.org/10.1108/MF-07-2024-0481</v>
      </c>
      <c r="BG2335" t="s">
        <v>74</v>
      </c>
      <c r="BH2335" t="s">
        <v>1737</v>
      </c>
      <c r="BI2335">
        <v>20</v>
      </c>
      <c r="BJ2335" t="s">
        <v>268</v>
      </c>
      <c r="BK2335" t="s">
        <v>313</v>
      </c>
      <c r="BL2335" t="s">
        <v>100</v>
      </c>
      <c r="BM2335" t="s">
        <v>39518</v>
      </c>
      <c r="BN2335" t="s">
        <v>74</v>
      </c>
      <c r="BO2335" t="s">
        <v>74</v>
      </c>
      <c r="BP2335" t="s">
        <v>74</v>
      </c>
      <c r="BQ2335" t="s">
        <v>74</v>
      </c>
      <c r="BR2335" t="s">
        <v>102</v>
      </c>
      <c r="BS2335" t="s">
        <v>39519</v>
      </c>
      <c r="BT2335" t="str">
        <f>HYPERLINK("https%3A%2F%2Fwww.webofscience.com%2Fwos%2Fwoscc%2Ffull-record%2FWOS:001387506100001","View Full Record in Web of Science")</f>
        <v>View Full Record in Web of Science</v>
      </c>
    </row>
    <row r="2336" spans="1:72" x14ac:dyDescent="0.25">
      <c r="A2336" t="s">
        <v>72</v>
      </c>
      <c r="B2336" t="s">
        <v>39520</v>
      </c>
      <c r="C2336" t="s">
        <v>74</v>
      </c>
      <c r="D2336" t="s">
        <v>74</v>
      </c>
      <c r="E2336" t="s">
        <v>74</v>
      </c>
      <c r="F2336" t="s">
        <v>39521</v>
      </c>
      <c r="G2336" t="s">
        <v>74</v>
      </c>
      <c r="H2336" t="s">
        <v>74</v>
      </c>
      <c r="I2336" t="s">
        <v>39522</v>
      </c>
      <c r="J2336" t="s">
        <v>39523</v>
      </c>
      <c r="K2336" t="s">
        <v>74</v>
      </c>
      <c r="L2336" t="s">
        <v>74</v>
      </c>
      <c r="M2336" t="s">
        <v>78</v>
      </c>
      <c r="N2336" t="s">
        <v>79</v>
      </c>
      <c r="O2336" t="s">
        <v>74</v>
      </c>
      <c r="P2336" t="s">
        <v>74</v>
      </c>
      <c r="Q2336" t="s">
        <v>74</v>
      </c>
      <c r="R2336" t="s">
        <v>74</v>
      </c>
      <c r="S2336" t="s">
        <v>74</v>
      </c>
      <c r="T2336" t="s">
        <v>39524</v>
      </c>
      <c r="U2336" t="s">
        <v>74</v>
      </c>
      <c r="V2336" t="s">
        <v>39525</v>
      </c>
      <c r="W2336" t="s">
        <v>39526</v>
      </c>
      <c r="X2336" t="s">
        <v>39527</v>
      </c>
      <c r="Y2336" t="s">
        <v>39528</v>
      </c>
      <c r="Z2336" t="s">
        <v>39529</v>
      </c>
      <c r="AA2336" t="s">
        <v>74</v>
      </c>
      <c r="AB2336" t="s">
        <v>74</v>
      </c>
      <c r="AC2336" t="s">
        <v>74</v>
      </c>
      <c r="AD2336" t="s">
        <v>74</v>
      </c>
      <c r="AE2336" t="s">
        <v>74</v>
      </c>
      <c r="AF2336" t="s">
        <v>74</v>
      </c>
      <c r="AG2336">
        <v>1</v>
      </c>
      <c r="AH2336">
        <v>1</v>
      </c>
      <c r="AI2336">
        <v>2</v>
      </c>
      <c r="AJ2336">
        <v>1</v>
      </c>
      <c r="AK2336">
        <v>10</v>
      </c>
      <c r="AL2336" t="s">
        <v>39530</v>
      </c>
      <c r="AM2336" t="s">
        <v>39531</v>
      </c>
      <c r="AN2336" t="s">
        <v>39532</v>
      </c>
      <c r="AO2336" t="s">
        <v>39533</v>
      </c>
      <c r="AP2336" t="s">
        <v>39534</v>
      </c>
      <c r="AQ2336" t="s">
        <v>74</v>
      </c>
      <c r="AR2336" t="s">
        <v>39535</v>
      </c>
      <c r="AS2336" t="s">
        <v>39536</v>
      </c>
      <c r="AT2336" t="s">
        <v>74</v>
      </c>
      <c r="AU2336">
        <v>2021</v>
      </c>
      <c r="AV2336">
        <v>64</v>
      </c>
      <c r="AW2336">
        <v>2</v>
      </c>
      <c r="AX2336" t="s">
        <v>74</v>
      </c>
      <c r="AY2336" t="s">
        <v>74</v>
      </c>
      <c r="AZ2336" t="s">
        <v>74</v>
      </c>
      <c r="BA2336" t="s">
        <v>74</v>
      </c>
      <c r="BB2336">
        <v>173</v>
      </c>
      <c r="BC2336">
        <v>181</v>
      </c>
      <c r="BD2336" t="s">
        <v>74</v>
      </c>
      <c r="BE2336" t="s">
        <v>74</v>
      </c>
      <c r="BF2336" t="s">
        <v>74</v>
      </c>
      <c r="BG2336" t="s">
        <v>74</v>
      </c>
      <c r="BH2336" t="s">
        <v>74</v>
      </c>
      <c r="BI2336">
        <v>9</v>
      </c>
      <c r="BJ2336" t="s">
        <v>4031</v>
      </c>
      <c r="BK2336" t="s">
        <v>313</v>
      </c>
      <c r="BL2336" t="s">
        <v>4031</v>
      </c>
      <c r="BM2336" t="s">
        <v>39537</v>
      </c>
      <c r="BN2336" t="s">
        <v>74</v>
      </c>
      <c r="BO2336" t="s">
        <v>74</v>
      </c>
      <c r="BP2336" t="s">
        <v>74</v>
      </c>
      <c r="BQ2336" t="s">
        <v>74</v>
      </c>
      <c r="BR2336" t="s">
        <v>102</v>
      </c>
      <c r="BS2336" t="s">
        <v>39538</v>
      </c>
      <c r="BT2336" t="str">
        <f>HYPERLINK("https%3A%2F%2Fwww.webofscience.com%2Fwos%2Fwoscc%2Ffull-record%2FWOS:000645628100004","View Full Record in Web of Science")</f>
        <v>View Full Record in Web of Science</v>
      </c>
    </row>
    <row r="2337" spans="1:72" x14ac:dyDescent="0.25">
      <c r="A2337" t="s">
        <v>72</v>
      </c>
      <c r="B2337" t="s">
        <v>39539</v>
      </c>
      <c r="C2337" t="s">
        <v>74</v>
      </c>
      <c r="D2337" t="s">
        <v>74</v>
      </c>
      <c r="E2337" t="s">
        <v>74</v>
      </c>
      <c r="F2337" t="s">
        <v>39540</v>
      </c>
      <c r="G2337" t="s">
        <v>74</v>
      </c>
      <c r="H2337" t="s">
        <v>74</v>
      </c>
      <c r="I2337" t="s">
        <v>39541</v>
      </c>
      <c r="J2337" t="s">
        <v>2030</v>
      </c>
      <c r="K2337" t="s">
        <v>74</v>
      </c>
      <c r="L2337" t="s">
        <v>74</v>
      </c>
      <c r="M2337" t="s">
        <v>78</v>
      </c>
      <c r="N2337" t="s">
        <v>1766</v>
      </c>
      <c r="O2337" t="s">
        <v>74</v>
      </c>
      <c r="P2337" t="s">
        <v>74</v>
      </c>
      <c r="Q2337" t="s">
        <v>74</v>
      </c>
      <c r="R2337" t="s">
        <v>74</v>
      </c>
      <c r="S2337" t="s">
        <v>74</v>
      </c>
      <c r="T2337" t="s">
        <v>39542</v>
      </c>
      <c r="U2337" t="s">
        <v>74</v>
      </c>
      <c r="V2337" t="s">
        <v>39543</v>
      </c>
      <c r="W2337" t="s">
        <v>39544</v>
      </c>
      <c r="X2337" t="s">
        <v>9459</v>
      </c>
      <c r="Y2337" t="s">
        <v>39545</v>
      </c>
      <c r="Z2337" t="s">
        <v>39546</v>
      </c>
      <c r="AA2337" t="s">
        <v>39547</v>
      </c>
      <c r="AB2337" t="s">
        <v>39548</v>
      </c>
      <c r="AC2337" t="s">
        <v>74</v>
      </c>
      <c r="AD2337" t="s">
        <v>74</v>
      </c>
      <c r="AE2337" t="s">
        <v>74</v>
      </c>
      <c r="AF2337" t="s">
        <v>74</v>
      </c>
      <c r="AG2337">
        <v>38</v>
      </c>
      <c r="AH2337">
        <v>4</v>
      </c>
      <c r="AI2337">
        <v>6</v>
      </c>
      <c r="AJ2337">
        <v>0</v>
      </c>
      <c r="AK2337">
        <v>7</v>
      </c>
      <c r="AL2337" t="s">
        <v>1062</v>
      </c>
      <c r="AM2337" t="s">
        <v>667</v>
      </c>
      <c r="AN2337" t="s">
        <v>668</v>
      </c>
      <c r="AO2337" t="s">
        <v>2039</v>
      </c>
      <c r="AP2337" t="s">
        <v>74</v>
      </c>
      <c r="AQ2337" t="s">
        <v>74</v>
      </c>
      <c r="AR2337" t="s">
        <v>2040</v>
      </c>
      <c r="AS2337" t="s">
        <v>2041</v>
      </c>
      <c r="AT2337" t="s">
        <v>124</v>
      </c>
      <c r="AU2337">
        <v>2018</v>
      </c>
      <c r="AV2337">
        <v>5</v>
      </c>
      <c r="AW2337">
        <v>4</v>
      </c>
      <c r="AX2337" t="s">
        <v>74</v>
      </c>
      <c r="AY2337" t="s">
        <v>74</v>
      </c>
      <c r="AZ2337" t="s">
        <v>74</v>
      </c>
      <c r="BA2337" t="s">
        <v>74</v>
      </c>
      <c r="BB2337">
        <v>199</v>
      </c>
      <c r="BC2337">
        <v>210</v>
      </c>
      <c r="BD2337" t="s">
        <v>74</v>
      </c>
      <c r="BE2337" t="s">
        <v>39549</v>
      </c>
      <c r="BF2337" t="str">
        <f>HYPERLINK("http://dx.doi.org/10.1007/s40609-017-0095-3","http://dx.doi.org/10.1007/s40609-017-0095-3")</f>
        <v>http://dx.doi.org/10.1007/s40609-017-0095-3</v>
      </c>
      <c r="BG2337" t="s">
        <v>74</v>
      </c>
      <c r="BH2337" t="s">
        <v>74</v>
      </c>
      <c r="BI2337">
        <v>12</v>
      </c>
      <c r="BJ2337" t="s">
        <v>2045</v>
      </c>
      <c r="BK2337" t="s">
        <v>313</v>
      </c>
      <c r="BL2337" t="s">
        <v>2045</v>
      </c>
      <c r="BM2337" t="s">
        <v>20783</v>
      </c>
      <c r="BN2337" t="s">
        <v>74</v>
      </c>
      <c r="BO2337" t="s">
        <v>74</v>
      </c>
      <c r="BP2337" t="s">
        <v>74</v>
      </c>
      <c r="BQ2337" t="s">
        <v>74</v>
      </c>
      <c r="BR2337" t="s">
        <v>102</v>
      </c>
      <c r="BS2337" t="s">
        <v>39550</v>
      </c>
      <c r="BT2337" t="str">
        <f>HYPERLINK("https%3A%2F%2Fwww.webofscience.com%2Fwos%2Fwoscc%2Ffull-record%2FWOS:000452329900002","View Full Record in Web of Science")</f>
        <v>View Full Record in Web of Science</v>
      </c>
    </row>
    <row r="2338" spans="1:72" x14ac:dyDescent="0.25">
      <c r="A2338" t="s">
        <v>72</v>
      </c>
      <c r="B2338" t="s">
        <v>39551</v>
      </c>
      <c r="C2338" t="s">
        <v>74</v>
      </c>
      <c r="D2338" t="s">
        <v>74</v>
      </c>
      <c r="E2338" t="s">
        <v>74</v>
      </c>
      <c r="F2338" t="s">
        <v>39552</v>
      </c>
      <c r="G2338" t="s">
        <v>74</v>
      </c>
      <c r="H2338" t="s">
        <v>74</v>
      </c>
      <c r="I2338" t="s">
        <v>39553</v>
      </c>
      <c r="J2338" t="s">
        <v>39554</v>
      </c>
      <c r="K2338" t="s">
        <v>74</v>
      </c>
      <c r="L2338" t="s">
        <v>74</v>
      </c>
      <c r="M2338" t="s">
        <v>298</v>
      </c>
      <c r="N2338" t="s">
        <v>79</v>
      </c>
      <c r="O2338" t="s">
        <v>74</v>
      </c>
      <c r="P2338" t="s">
        <v>74</v>
      </c>
      <c r="Q2338" t="s">
        <v>74</v>
      </c>
      <c r="R2338" t="s">
        <v>74</v>
      </c>
      <c r="S2338" t="s">
        <v>74</v>
      </c>
      <c r="T2338" t="s">
        <v>39555</v>
      </c>
      <c r="U2338" t="s">
        <v>74</v>
      </c>
      <c r="V2338" t="s">
        <v>39556</v>
      </c>
      <c r="W2338" t="s">
        <v>39557</v>
      </c>
      <c r="X2338" t="s">
        <v>39558</v>
      </c>
      <c r="Y2338" t="s">
        <v>39559</v>
      </c>
      <c r="Z2338" t="s">
        <v>74</v>
      </c>
      <c r="AA2338" t="s">
        <v>39560</v>
      </c>
      <c r="AB2338" t="s">
        <v>39561</v>
      </c>
      <c r="AC2338" t="s">
        <v>74</v>
      </c>
      <c r="AD2338" t="s">
        <v>74</v>
      </c>
      <c r="AE2338" t="s">
        <v>74</v>
      </c>
      <c r="AF2338" t="s">
        <v>74</v>
      </c>
      <c r="AG2338">
        <v>33</v>
      </c>
      <c r="AH2338">
        <v>0</v>
      </c>
      <c r="AI2338">
        <v>0</v>
      </c>
      <c r="AJ2338">
        <v>0</v>
      </c>
      <c r="AK2338">
        <v>6</v>
      </c>
      <c r="AL2338" t="s">
        <v>39562</v>
      </c>
      <c r="AM2338" t="s">
        <v>552</v>
      </c>
      <c r="AN2338" t="s">
        <v>39563</v>
      </c>
      <c r="AO2338" t="s">
        <v>39564</v>
      </c>
      <c r="AP2338" t="s">
        <v>74</v>
      </c>
      <c r="AQ2338" t="s">
        <v>74</v>
      </c>
      <c r="AR2338" t="s">
        <v>39565</v>
      </c>
      <c r="AS2338" t="s">
        <v>39566</v>
      </c>
      <c r="AT2338" t="s">
        <v>124</v>
      </c>
      <c r="AU2338">
        <v>2016</v>
      </c>
      <c r="AV2338" t="s">
        <v>74</v>
      </c>
      <c r="AW2338">
        <v>34</v>
      </c>
      <c r="AX2338" t="s">
        <v>74</v>
      </c>
      <c r="AY2338" t="s">
        <v>74</v>
      </c>
      <c r="AZ2338" t="s">
        <v>74</v>
      </c>
      <c r="BA2338" t="s">
        <v>74</v>
      </c>
      <c r="BB2338">
        <v>91</v>
      </c>
      <c r="BC2338">
        <v>114</v>
      </c>
      <c r="BD2338" t="s">
        <v>74</v>
      </c>
      <c r="BE2338" t="s">
        <v>39567</v>
      </c>
      <c r="BF2338" t="str">
        <f>HYPERLINK("http://dx.doi.org/10.7203/CEFD.34.8917","http://dx.doi.org/10.7203/CEFD.34.8917")</f>
        <v>http://dx.doi.org/10.7203/CEFD.34.8917</v>
      </c>
      <c r="BG2338" t="s">
        <v>74</v>
      </c>
      <c r="BH2338" t="s">
        <v>74</v>
      </c>
      <c r="BI2338">
        <v>24</v>
      </c>
      <c r="BJ2338" t="s">
        <v>182</v>
      </c>
      <c r="BK2338" t="s">
        <v>313</v>
      </c>
      <c r="BL2338" t="s">
        <v>184</v>
      </c>
      <c r="BM2338" t="s">
        <v>39568</v>
      </c>
      <c r="BN2338" t="s">
        <v>74</v>
      </c>
      <c r="BO2338" t="s">
        <v>916</v>
      </c>
      <c r="BP2338" t="s">
        <v>74</v>
      </c>
      <c r="BQ2338" t="s">
        <v>74</v>
      </c>
      <c r="BR2338" t="s">
        <v>102</v>
      </c>
      <c r="BS2338" t="s">
        <v>39569</v>
      </c>
      <c r="BT2338" t="str">
        <f>HYPERLINK("https%3A%2F%2Fwww.webofscience.com%2Fwos%2Fwoscc%2Ffull-record%2FWOS:000398485300007","View Full Record in Web of Science")</f>
        <v>View Full Record in Web of Science</v>
      </c>
    </row>
    <row r="2339" spans="1:72" x14ac:dyDescent="0.25">
      <c r="A2339" t="s">
        <v>72</v>
      </c>
      <c r="B2339" t="s">
        <v>15923</v>
      </c>
      <c r="C2339" t="s">
        <v>74</v>
      </c>
      <c r="D2339" t="s">
        <v>74</v>
      </c>
      <c r="E2339" t="s">
        <v>74</v>
      </c>
      <c r="F2339" t="s">
        <v>15924</v>
      </c>
      <c r="G2339" t="s">
        <v>74</v>
      </c>
      <c r="H2339" t="s">
        <v>74</v>
      </c>
      <c r="I2339" t="s">
        <v>39570</v>
      </c>
      <c r="J2339" t="s">
        <v>1987</v>
      </c>
      <c r="K2339" t="s">
        <v>74</v>
      </c>
      <c r="L2339" t="s">
        <v>74</v>
      </c>
      <c r="M2339" t="s">
        <v>78</v>
      </c>
      <c r="N2339" t="s">
        <v>79</v>
      </c>
      <c r="O2339" t="s">
        <v>74</v>
      </c>
      <c r="P2339" t="s">
        <v>74</v>
      </c>
      <c r="Q2339" t="s">
        <v>74</v>
      </c>
      <c r="R2339" t="s">
        <v>74</v>
      </c>
      <c r="S2339" t="s">
        <v>74</v>
      </c>
      <c r="T2339" t="s">
        <v>39571</v>
      </c>
      <c r="U2339" t="s">
        <v>39572</v>
      </c>
      <c r="V2339" t="s">
        <v>39573</v>
      </c>
      <c r="W2339" t="s">
        <v>15930</v>
      </c>
      <c r="X2339" t="s">
        <v>15931</v>
      </c>
      <c r="Y2339" t="s">
        <v>15932</v>
      </c>
      <c r="Z2339" t="s">
        <v>15933</v>
      </c>
      <c r="AA2339" t="s">
        <v>74</v>
      </c>
      <c r="AB2339" t="s">
        <v>74</v>
      </c>
      <c r="AC2339" t="s">
        <v>74</v>
      </c>
      <c r="AD2339" t="s">
        <v>74</v>
      </c>
      <c r="AE2339" t="s">
        <v>74</v>
      </c>
      <c r="AF2339" t="s">
        <v>74</v>
      </c>
      <c r="AG2339">
        <v>52</v>
      </c>
      <c r="AH2339">
        <v>29</v>
      </c>
      <c r="AI2339">
        <v>39</v>
      </c>
      <c r="AJ2339">
        <v>0</v>
      </c>
      <c r="AK2339">
        <v>33</v>
      </c>
      <c r="AL2339" t="s">
        <v>479</v>
      </c>
      <c r="AM2339" t="s">
        <v>480</v>
      </c>
      <c r="AN2339" t="s">
        <v>481</v>
      </c>
      <c r="AO2339" t="s">
        <v>1997</v>
      </c>
      <c r="AP2339" t="s">
        <v>1998</v>
      </c>
      <c r="AQ2339" t="s">
        <v>74</v>
      </c>
      <c r="AR2339" t="s">
        <v>1999</v>
      </c>
      <c r="AS2339" t="s">
        <v>2000</v>
      </c>
      <c r="AT2339" t="s">
        <v>1540</v>
      </c>
      <c r="AU2339">
        <v>2014</v>
      </c>
      <c r="AV2339">
        <v>26</v>
      </c>
      <c r="AW2339">
        <v>4</v>
      </c>
      <c r="AX2339" t="s">
        <v>74</v>
      </c>
      <c r="AY2339" t="s">
        <v>74</v>
      </c>
      <c r="AZ2339" t="s">
        <v>74</v>
      </c>
      <c r="BA2339" t="s">
        <v>74</v>
      </c>
      <c r="BB2339">
        <v>508</v>
      </c>
      <c r="BC2339">
        <v>519</v>
      </c>
      <c r="BD2339" t="s">
        <v>74</v>
      </c>
      <c r="BE2339" t="s">
        <v>39574</v>
      </c>
      <c r="BF2339" t="str">
        <f>HYPERLINK("http://dx.doi.org/10.1002/jid.2966","http://dx.doi.org/10.1002/jid.2966")</f>
        <v>http://dx.doi.org/10.1002/jid.2966</v>
      </c>
      <c r="BG2339" t="s">
        <v>74</v>
      </c>
      <c r="BH2339" t="s">
        <v>74</v>
      </c>
      <c r="BI2339">
        <v>12</v>
      </c>
      <c r="BJ2339" t="s">
        <v>1137</v>
      </c>
      <c r="BK2339" t="s">
        <v>99</v>
      </c>
      <c r="BL2339" t="s">
        <v>1137</v>
      </c>
      <c r="BM2339" t="s">
        <v>39575</v>
      </c>
      <c r="BN2339" t="s">
        <v>74</v>
      </c>
      <c r="BO2339" t="s">
        <v>212</v>
      </c>
      <c r="BP2339" t="s">
        <v>74</v>
      </c>
      <c r="BQ2339" t="s">
        <v>74</v>
      </c>
      <c r="BR2339" t="s">
        <v>102</v>
      </c>
      <c r="BS2339" t="s">
        <v>39576</v>
      </c>
      <c r="BT2339" t="str">
        <f>HYPERLINK("https%3A%2F%2Fwww.webofscience.com%2Fwos%2Fwoscc%2Ffull-record%2FWOS:000335674300007","View Full Record in Web of Science")</f>
        <v>View Full Record in Web of Science</v>
      </c>
    </row>
    <row r="2340" spans="1:72" x14ac:dyDescent="0.25">
      <c r="A2340" t="s">
        <v>72</v>
      </c>
      <c r="B2340" t="s">
        <v>39577</v>
      </c>
      <c r="C2340" t="s">
        <v>74</v>
      </c>
      <c r="D2340" t="s">
        <v>74</v>
      </c>
      <c r="E2340" t="s">
        <v>74</v>
      </c>
      <c r="F2340" t="s">
        <v>39578</v>
      </c>
      <c r="G2340" t="s">
        <v>74</v>
      </c>
      <c r="H2340" t="s">
        <v>74</v>
      </c>
      <c r="I2340" t="s">
        <v>39579</v>
      </c>
      <c r="J2340" t="s">
        <v>2809</v>
      </c>
      <c r="K2340" t="s">
        <v>74</v>
      </c>
      <c r="L2340" t="s">
        <v>74</v>
      </c>
      <c r="M2340" t="s">
        <v>78</v>
      </c>
      <c r="N2340" t="s">
        <v>79</v>
      </c>
      <c r="O2340" t="s">
        <v>74</v>
      </c>
      <c r="P2340" t="s">
        <v>74</v>
      </c>
      <c r="Q2340" t="s">
        <v>74</v>
      </c>
      <c r="R2340" t="s">
        <v>74</v>
      </c>
      <c r="S2340" t="s">
        <v>74</v>
      </c>
      <c r="T2340" t="s">
        <v>74</v>
      </c>
      <c r="U2340" t="s">
        <v>39580</v>
      </c>
      <c r="V2340" t="s">
        <v>39581</v>
      </c>
      <c r="W2340" t="s">
        <v>39582</v>
      </c>
      <c r="X2340" t="s">
        <v>39583</v>
      </c>
      <c r="Y2340" t="s">
        <v>39584</v>
      </c>
      <c r="Z2340" t="s">
        <v>39585</v>
      </c>
      <c r="AA2340" t="s">
        <v>39586</v>
      </c>
      <c r="AB2340" t="s">
        <v>39587</v>
      </c>
      <c r="AC2340" t="s">
        <v>74</v>
      </c>
      <c r="AD2340" t="s">
        <v>74</v>
      </c>
      <c r="AE2340" t="s">
        <v>74</v>
      </c>
      <c r="AF2340" t="s">
        <v>74</v>
      </c>
      <c r="AG2340">
        <v>73</v>
      </c>
      <c r="AH2340">
        <v>26</v>
      </c>
      <c r="AI2340">
        <v>36</v>
      </c>
      <c r="AJ2340">
        <v>3</v>
      </c>
      <c r="AK2340">
        <v>30</v>
      </c>
      <c r="AL2340" t="s">
        <v>479</v>
      </c>
      <c r="AM2340" t="s">
        <v>480</v>
      </c>
      <c r="AN2340" t="s">
        <v>481</v>
      </c>
      <c r="AO2340" t="s">
        <v>2816</v>
      </c>
      <c r="AP2340" t="s">
        <v>2817</v>
      </c>
      <c r="AQ2340" t="s">
        <v>74</v>
      </c>
      <c r="AR2340" t="s">
        <v>2818</v>
      </c>
      <c r="AS2340" t="s">
        <v>2819</v>
      </c>
      <c r="AT2340" t="s">
        <v>2462</v>
      </c>
      <c r="AU2340">
        <v>2014</v>
      </c>
      <c r="AV2340">
        <v>48</v>
      </c>
      <c r="AW2340">
        <v>2</v>
      </c>
      <c r="AX2340" t="s">
        <v>74</v>
      </c>
      <c r="AY2340" t="s">
        <v>74</v>
      </c>
      <c r="AZ2340" t="s">
        <v>74</v>
      </c>
      <c r="BA2340" t="s">
        <v>74</v>
      </c>
      <c r="BB2340">
        <v>301</v>
      </c>
      <c r="BC2340">
        <v>322</v>
      </c>
      <c r="BD2340" t="s">
        <v>74</v>
      </c>
      <c r="BE2340" t="s">
        <v>39588</v>
      </c>
      <c r="BF2340" t="str">
        <f>HYPERLINK("http://dx.doi.org/10.1111/joca.12031","http://dx.doi.org/10.1111/joca.12031")</f>
        <v>http://dx.doi.org/10.1111/joca.12031</v>
      </c>
      <c r="BG2340" t="s">
        <v>74</v>
      </c>
      <c r="BH2340" t="s">
        <v>74</v>
      </c>
      <c r="BI2340">
        <v>22</v>
      </c>
      <c r="BJ2340" t="s">
        <v>1453</v>
      </c>
      <c r="BK2340" t="s">
        <v>99</v>
      </c>
      <c r="BL2340" t="s">
        <v>100</v>
      </c>
      <c r="BM2340" t="s">
        <v>25463</v>
      </c>
      <c r="BN2340" t="s">
        <v>74</v>
      </c>
      <c r="BO2340" t="s">
        <v>74</v>
      </c>
      <c r="BP2340" t="s">
        <v>74</v>
      </c>
      <c r="BQ2340" t="s">
        <v>74</v>
      </c>
      <c r="BR2340" t="s">
        <v>102</v>
      </c>
      <c r="BS2340" t="s">
        <v>39589</v>
      </c>
      <c r="BT2340" t="str">
        <f>HYPERLINK("https%3A%2F%2Fwww.webofscience.com%2Fwos%2Fwoscc%2Ffull-record%2FWOS:000339490100004","View Full Record in Web of Science")</f>
        <v>View Full Record in Web of Science</v>
      </c>
    </row>
    <row r="2341" spans="1:72" x14ac:dyDescent="0.25">
      <c r="A2341" t="s">
        <v>72</v>
      </c>
      <c r="B2341" t="s">
        <v>39590</v>
      </c>
      <c r="C2341" t="s">
        <v>74</v>
      </c>
      <c r="D2341" t="s">
        <v>74</v>
      </c>
      <c r="E2341" t="s">
        <v>74</v>
      </c>
      <c r="F2341" t="s">
        <v>39591</v>
      </c>
      <c r="G2341" t="s">
        <v>74</v>
      </c>
      <c r="H2341" t="s">
        <v>74</v>
      </c>
      <c r="I2341" t="s">
        <v>39592</v>
      </c>
      <c r="J2341" t="s">
        <v>656</v>
      </c>
      <c r="K2341" t="s">
        <v>74</v>
      </c>
      <c r="L2341" t="s">
        <v>74</v>
      </c>
      <c r="M2341" t="s">
        <v>78</v>
      </c>
      <c r="N2341" t="s">
        <v>79</v>
      </c>
      <c r="O2341" t="s">
        <v>74</v>
      </c>
      <c r="P2341" t="s">
        <v>74</v>
      </c>
      <c r="Q2341" t="s">
        <v>74</v>
      </c>
      <c r="R2341" t="s">
        <v>74</v>
      </c>
      <c r="S2341" t="s">
        <v>74</v>
      </c>
      <c r="T2341" t="s">
        <v>39593</v>
      </c>
      <c r="U2341" t="s">
        <v>39594</v>
      </c>
      <c r="V2341" t="s">
        <v>39595</v>
      </c>
      <c r="W2341" t="s">
        <v>39596</v>
      </c>
      <c r="X2341" t="s">
        <v>39597</v>
      </c>
      <c r="Y2341" t="s">
        <v>39598</v>
      </c>
      <c r="Z2341" t="s">
        <v>39599</v>
      </c>
      <c r="AA2341" t="s">
        <v>39600</v>
      </c>
      <c r="AB2341" t="s">
        <v>39601</v>
      </c>
      <c r="AC2341" t="s">
        <v>20787</v>
      </c>
      <c r="AD2341" t="s">
        <v>20786</v>
      </c>
      <c r="AE2341" t="s">
        <v>20785</v>
      </c>
      <c r="AF2341" t="s">
        <v>74</v>
      </c>
      <c r="AG2341">
        <v>67</v>
      </c>
      <c r="AH2341">
        <v>13</v>
      </c>
      <c r="AI2341">
        <v>20</v>
      </c>
      <c r="AJ2341">
        <v>1</v>
      </c>
      <c r="AK2341">
        <v>21</v>
      </c>
      <c r="AL2341" t="s">
        <v>1062</v>
      </c>
      <c r="AM2341" t="s">
        <v>667</v>
      </c>
      <c r="AN2341" t="s">
        <v>668</v>
      </c>
      <c r="AO2341" t="s">
        <v>669</v>
      </c>
      <c r="AP2341" t="s">
        <v>670</v>
      </c>
      <c r="AQ2341" t="s">
        <v>74</v>
      </c>
      <c r="AR2341" t="s">
        <v>671</v>
      </c>
      <c r="AS2341" t="s">
        <v>672</v>
      </c>
      <c r="AT2341" t="s">
        <v>1652</v>
      </c>
      <c r="AU2341">
        <v>2019</v>
      </c>
      <c r="AV2341">
        <v>40</v>
      </c>
      <c r="AW2341">
        <v>2</v>
      </c>
      <c r="AX2341" t="s">
        <v>74</v>
      </c>
      <c r="AY2341" t="s">
        <v>74</v>
      </c>
      <c r="AZ2341" t="s">
        <v>74</v>
      </c>
      <c r="BA2341" t="s">
        <v>74</v>
      </c>
      <c r="BB2341">
        <v>269</v>
      </c>
      <c r="BC2341">
        <v>281</v>
      </c>
      <c r="BD2341" t="s">
        <v>74</v>
      </c>
      <c r="BE2341" t="s">
        <v>39602</v>
      </c>
      <c r="BF2341" t="str">
        <f>HYPERLINK("http://dx.doi.org/10.1007/s10834-018-9604-5","http://dx.doi.org/10.1007/s10834-018-9604-5")</f>
        <v>http://dx.doi.org/10.1007/s10834-018-9604-5</v>
      </c>
      <c r="BG2341" t="s">
        <v>74</v>
      </c>
      <c r="BH2341" t="s">
        <v>74</v>
      </c>
      <c r="BI2341">
        <v>13</v>
      </c>
      <c r="BJ2341" t="s">
        <v>675</v>
      </c>
      <c r="BK2341" t="s">
        <v>99</v>
      </c>
      <c r="BL2341" t="s">
        <v>676</v>
      </c>
      <c r="BM2341" t="s">
        <v>35417</v>
      </c>
      <c r="BN2341" t="s">
        <v>74</v>
      </c>
      <c r="BO2341" t="s">
        <v>74</v>
      </c>
      <c r="BP2341" t="s">
        <v>74</v>
      </c>
      <c r="BQ2341" t="s">
        <v>74</v>
      </c>
      <c r="BR2341" t="s">
        <v>102</v>
      </c>
      <c r="BS2341" t="s">
        <v>39603</v>
      </c>
      <c r="BT2341" t="str">
        <f>HYPERLINK("https%3A%2F%2Fwww.webofscience.com%2Fwos%2Fwoscc%2Ffull-record%2FWOS:000467658200010","View Full Record in Web of Science")</f>
        <v>View Full Record in Web of Science</v>
      </c>
    </row>
    <row r="2342" spans="1:72" x14ac:dyDescent="0.25">
      <c r="A2342" t="s">
        <v>132</v>
      </c>
      <c r="B2342" t="s">
        <v>39604</v>
      </c>
      <c r="C2342" t="s">
        <v>74</v>
      </c>
      <c r="D2342" t="s">
        <v>39605</v>
      </c>
      <c r="E2342" t="s">
        <v>74</v>
      </c>
      <c r="F2342" t="s">
        <v>39606</v>
      </c>
      <c r="G2342" t="s">
        <v>74</v>
      </c>
      <c r="H2342" t="s">
        <v>74</v>
      </c>
      <c r="I2342" t="s">
        <v>39607</v>
      </c>
      <c r="J2342" t="s">
        <v>39608</v>
      </c>
      <c r="K2342" t="s">
        <v>74</v>
      </c>
      <c r="L2342" t="s">
        <v>74</v>
      </c>
      <c r="M2342" t="s">
        <v>78</v>
      </c>
      <c r="N2342" t="s">
        <v>138</v>
      </c>
      <c r="O2342" t="s">
        <v>39609</v>
      </c>
      <c r="P2342" t="s">
        <v>39610</v>
      </c>
      <c r="Q2342" t="s">
        <v>39611</v>
      </c>
      <c r="R2342" t="s">
        <v>39612</v>
      </c>
      <c r="S2342" t="s">
        <v>74</v>
      </c>
      <c r="T2342" t="s">
        <v>39613</v>
      </c>
      <c r="U2342" t="s">
        <v>74</v>
      </c>
      <c r="V2342" t="s">
        <v>39614</v>
      </c>
      <c r="W2342" t="s">
        <v>39615</v>
      </c>
      <c r="X2342" t="s">
        <v>39616</v>
      </c>
      <c r="Y2342" t="s">
        <v>74</v>
      </c>
      <c r="Z2342" t="s">
        <v>74</v>
      </c>
      <c r="AA2342" t="s">
        <v>39617</v>
      </c>
      <c r="AB2342" t="s">
        <v>39618</v>
      </c>
      <c r="AC2342" t="s">
        <v>74</v>
      </c>
      <c r="AD2342" t="s">
        <v>74</v>
      </c>
      <c r="AE2342" t="s">
        <v>74</v>
      </c>
      <c r="AF2342" t="s">
        <v>74</v>
      </c>
      <c r="AG2342">
        <v>21</v>
      </c>
      <c r="AH2342">
        <v>0</v>
      </c>
      <c r="AI2342">
        <v>0</v>
      </c>
      <c r="AJ2342">
        <v>0</v>
      </c>
      <c r="AK2342">
        <v>9</v>
      </c>
      <c r="AL2342" t="s">
        <v>39619</v>
      </c>
      <c r="AM2342" t="s">
        <v>39620</v>
      </c>
      <c r="AN2342" t="s">
        <v>39621</v>
      </c>
      <c r="AO2342" t="s">
        <v>74</v>
      </c>
      <c r="AP2342" t="s">
        <v>74</v>
      </c>
      <c r="AQ2342" t="s">
        <v>39622</v>
      </c>
      <c r="AR2342" t="s">
        <v>74</v>
      </c>
      <c r="AS2342" t="s">
        <v>74</v>
      </c>
      <c r="AT2342" t="s">
        <v>74</v>
      </c>
      <c r="AU2342">
        <v>2012</v>
      </c>
      <c r="AV2342" t="s">
        <v>74</v>
      </c>
      <c r="AW2342" t="s">
        <v>74</v>
      </c>
      <c r="AX2342" t="s">
        <v>74</v>
      </c>
      <c r="AY2342" t="s">
        <v>74</v>
      </c>
      <c r="AZ2342" t="s">
        <v>74</v>
      </c>
      <c r="BA2342" t="s">
        <v>74</v>
      </c>
      <c r="BB2342">
        <v>528</v>
      </c>
      <c r="BC2342">
        <v>539</v>
      </c>
      <c r="BD2342" t="s">
        <v>74</v>
      </c>
      <c r="BE2342" t="s">
        <v>74</v>
      </c>
      <c r="BF2342" t="s">
        <v>74</v>
      </c>
      <c r="BG2342" t="s">
        <v>74</v>
      </c>
      <c r="BH2342" t="s">
        <v>74</v>
      </c>
      <c r="BI2342">
        <v>12</v>
      </c>
      <c r="BJ2342" t="s">
        <v>98</v>
      </c>
      <c r="BK2342" t="s">
        <v>183</v>
      </c>
      <c r="BL2342" t="s">
        <v>100</v>
      </c>
      <c r="BM2342" t="s">
        <v>39623</v>
      </c>
      <c r="BN2342" t="s">
        <v>74</v>
      </c>
      <c r="BO2342" t="s">
        <v>74</v>
      </c>
      <c r="BP2342" t="s">
        <v>74</v>
      </c>
      <c r="BQ2342" t="s">
        <v>74</v>
      </c>
      <c r="BR2342" t="s">
        <v>102</v>
      </c>
      <c r="BS2342" t="s">
        <v>39624</v>
      </c>
      <c r="BT2342" t="str">
        <f>HYPERLINK("https%3A%2F%2Fwww.webofscience.com%2Fwos%2Fwoscc%2Ffull-record%2FWOS:000323529400055","View Full Record in Web of Science")</f>
        <v>View Full Record in Web of Science</v>
      </c>
    </row>
    <row r="2343" spans="1:72" x14ac:dyDescent="0.25">
      <c r="A2343" t="s">
        <v>72</v>
      </c>
      <c r="B2343" t="s">
        <v>39625</v>
      </c>
      <c r="C2343" t="s">
        <v>74</v>
      </c>
      <c r="D2343" t="s">
        <v>74</v>
      </c>
      <c r="E2343" t="s">
        <v>74</v>
      </c>
      <c r="F2343" t="s">
        <v>39626</v>
      </c>
      <c r="G2343" t="s">
        <v>74</v>
      </c>
      <c r="H2343" t="s">
        <v>74</v>
      </c>
      <c r="I2343" t="s">
        <v>39627</v>
      </c>
      <c r="J2343" t="s">
        <v>39628</v>
      </c>
      <c r="K2343" t="s">
        <v>74</v>
      </c>
      <c r="L2343" t="s">
        <v>74</v>
      </c>
      <c r="M2343" t="s">
        <v>78</v>
      </c>
      <c r="N2343" t="s">
        <v>79</v>
      </c>
      <c r="O2343" t="s">
        <v>74</v>
      </c>
      <c r="P2343" t="s">
        <v>74</v>
      </c>
      <c r="Q2343" t="s">
        <v>74</v>
      </c>
      <c r="R2343" t="s">
        <v>74</v>
      </c>
      <c r="S2343" t="s">
        <v>74</v>
      </c>
      <c r="T2343" t="s">
        <v>39629</v>
      </c>
      <c r="U2343" t="s">
        <v>39630</v>
      </c>
      <c r="V2343" t="s">
        <v>39631</v>
      </c>
      <c r="W2343" t="s">
        <v>39632</v>
      </c>
      <c r="X2343" t="s">
        <v>74</v>
      </c>
      <c r="Y2343" t="s">
        <v>39633</v>
      </c>
      <c r="Z2343" t="s">
        <v>39634</v>
      </c>
      <c r="AA2343" t="s">
        <v>74</v>
      </c>
      <c r="AB2343" t="s">
        <v>39635</v>
      </c>
      <c r="AC2343" t="s">
        <v>74</v>
      </c>
      <c r="AD2343" t="s">
        <v>74</v>
      </c>
      <c r="AE2343" t="s">
        <v>74</v>
      </c>
      <c r="AF2343" t="s">
        <v>74</v>
      </c>
      <c r="AG2343">
        <v>66</v>
      </c>
      <c r="AH2343">
        <v>20</v>
      </c>
      <c r="AI2343">
        <v>29</v>
      </c>
      <c r="AJ2343">
        <v>1</v>
      </c>
      <c r="AK2343">
        <v>22</v>
      </c>
      <c r="AL2343" t="s">
        <v>3097</v>
      </c>
      <c r="AM2343" t="s">
        <v>3098</v>
      </c>
      <c r="AN2343" t="s">
        <v>3099</v>
      </c>
      <c r="AO2343" t="s">
        <v>39636</v>
      </c>
      <c r="AP2343" t="s">
        <v>39637</v>
      </c>
      <c r="AQ2343" t="s">
        <v>74</v>
      </c>
      <c r="AR2343" t="s">
        <v>39638</v>
      </c>
      <c r="AS2343" t="s">
        <v>39639</v>
      </c>
      <c r="AT2343" t="s">
        <v>743</v>
      </c>
      <c r="AU2343">
        <v>2021</v>
      </c>
      <c r="AV2343">
        <v>12</v>
      </c>
      <c r="AW2343">
        <v>1</v>
      </c>
      <c r="AX2343" t="s">
        <v>74</v>
      </c>
      <c r="AY2343" t="s">
        <v>74</v>
      </c>
      <c r="AZ2343" t="s">
        <v>74</v>
      </c>
      <c r="BA2343" t="s">
        <v>74</v>
      </c>
      <c r="BB2343">
        <v>95</v>
      </c>
      <c r="BC2343">
        <v>119</v>
      </c>
      <c r="BD2343" t="s">
        <v>74</v>
      </c>
      <c r="BE2343" t="s">
        <v>39640</v>
      </c>
      <c r="BF2343" t="str">
        <f>HYPERLINK("http://dx.doi.org/10.1515/ajle-2020-0055","http://dx.doi.org/10.1515/ajle-2020-0055")</f>
        <v>http://dx.doi.org/10.1515/ajle-2020-0055</v>
      </c>
      <c r="BG2343" t="s">
        <v>74</v>
      </c>
      <c r="BH2343" t="s">
        <v>74</v>
      </c>
      <c r="BI2343">
        <v>25</v>
      </c>
      <c r="BJ2343" t="s">
        <v>182</v>
      </c>
      <c r="BK2343" t="s">
        <v>313</v>
      </c>
      <c r="BL2343" t="s">
        <v>184</v>
      </c>
      <c r="BM2343" t="s">
        <v>39641</v>
      </c>
      <c r="BN2343" t="s">
        <v>74</v>
      </c>
      <c r="BO2343" t="s">
        <v>74</v>
      </c>
      <c r="BP2343" t="s">
        <v>74</v>
      </c>
      <c r="BQ2343" t="s">
        <v>74</v>
      </c>
      <c r="BR2343" t="s">
        <v>102</v>
      </c>
      <c r="BS2343" t="s">
        <v>39642</v>
      </c>
      <c r="BT2343" t="str">
        <f>HYPERLINK("https%3A%2F%2Fwww.webofscience.com%2Fwos%2Fwoscc%2Ffull-record%2FWOS:000642275100005","View Full Record in Web of Science")</f>
        <v>View Full Record in Web of Science</v>
      </c>
    </row>
    <row r="2344" spans="1:72" x14ac:dyDescent="0.25">
      <c r="A2344" t="s">
        <v>72</v>
      </c>
      <c r="B2344" t="s">
        <v>39643</v>
      </c>
      <c r="C2344" t="s">
        <v>74</v>
      </c>
      <c r="D2344" t="s">
        <v>74</v>
      </c>
      <c r="E2344" t="s">
        <v>74</v>
      </c>
      <c r="F2344" t="s">
        <v>39644</v>
      </c>
      <c r="G2344" t="s">
        <v>74</v>
      </c>
      <c r="H2344" t="s">
        <v>74</v>
      </c>
      <c r="I2344" t="s">
        <v>39645</v>
      </c>
      <c r="J2344" t="s">
        <v>10469</v>
      </c>
      <c r="K2344" t="s">
        <v>74</v>
      </c>
      <c r="L2344" t="s">
        <v>74</v>
      </c>
      <c r="M2344" t="s">
        <v>78</v>
      </c>
      <c r="N2344" t="s">
        <v>79</v>
      </c>
      <c r="O2344" t="s">
        <v>74</v>
      </c>
      <c r="P2344" t="s">
        <v>74</v>
      </c>
      <c r="Q2344" t="s">
        <v>74</v>
      </c>
      <c r="R2344" t="s">
        <v>74</v>
      </c>
      <c r="S2344" t="s">
        <v>74</v>
      </c>
      <c r="T2344" t="s">
        <v>39646</v>
      </c>
      <c r="U2344" t="s">
        <v>39647</v>
      </c>
      <c r="V2344" t="s">
        <v>39648</v>
      </c>
      <c r="W2344" t="s">
        <v>39649</v>
      </c>
      <c r="X2344" t="s">
        <v>10241</v>
      </c>
      <c r="Y2344" t="s">
        <v>39650</v>
      </c>
      <c r="Z2344" t="s">
        <v>39651</v>
      </c>
      <c r="AA2344" t="s">
        <v>74</v>
      </c>
      <c r="AB2344" t="s">
        <v>74</v>
      </c>
      <c r="AC2344" t="s">
        <v>74</v>
      </c>
      <c r="AD2344" t="s">
        <v>74</v>
      </c>
      <c r="AE2344" t="s">
        <v>74</v>
      </c>
      <c r="AF2344" t="s">
        <v>74</v>
      </c>
      <c r="AG2344">
        <v>30</v>
      </c>
      <c r="AH2344">
        <v>98</v>
      </c>
      <c r="AI2344">
        <v>138</v>
      </c>
      <c r="AJ2344">
        <v>1</v>
      </c>
      <c r="AK2344">
        <v>18</v>
      </c>
      <c r="AL2344" t="s">
        <v>332</v>
      </c>
      <c r="AM2344" t="s">
        <v>333</v>
      </c>
      <c r="AN2344" t="s">
        <v>334</v>
      </c>
      <c r="AO2344" t="s">
        <v>10477</v>
      </c>
      <c r="AP2344" t="s">
        <v>10478</v>
      </c>
      <c r="AQ2344" t="s">
        <v>74</v>
      </c>
      <c r="AR2344" t="s">
        <v>10479</v>
      </c>
      <c r="AS2344" t="s">
        <v>10480</v>
      </c>
      <c r="AT2344" t="s">
        <v>4361</v>
      </c>
      <c r="AU2344">
        <v>2019</v>
      </c>
      <c r="AV2344">
        <v>29</v>
      </c>
      <c r="AW2344">
        <v>8</v>
      </c>
      <c r="AX2344" t="s">
        <v>74</v>
      </c>
      <c r="AY2344" t="s">
        <v>74</v>
      </c>
      <c r="AZ2344" t="s">
        <v>74</v>
      </c>
      <c r="BA2344" t="s">
        <v>74</v>
      </c>
      <c r="BB2344">
        <v>1029</v>
      </c>
      <c r="BC2344">
        <v>1038</v>
      </c>
      <c r="BD2344" t="s">
        <v>74</v>
      </c>
      <c r="BE2344" t="s">
        <v>39652</v>
      </c>
      <c r="BF2344" t="str">
        <f>HYPERLINK("http://dx.doi.org/10.1080/09614524.2019.1660308","http://dx.doi.org/10.1080/09614524.2019.1660308")</f>
        <v>http://dx.doi.org/10.1080/09614524.2019.1660308</v>
      </c>
      <c r="BG2344" t="s">
        <v>74</v>
      </c>
      <c r="BH2344" t="s">
        <v>74</v>
      </c>
      <c r="BI2344">
        <v>10</v>
      </c>
      <c r="BJ2344" t="s">
        <v>1137</v>
      </c>
      <c r="BK2344" t="s">
        <v>313</v>
      </c>
      <c r="BL2344" t="s">
        <v>1137</v>
      </c>
      <c r="BM2344" t="s">
        <v>10483</v>
      </c>
      <c r="BN2344" t="s">
        <v>74</v>
      </c>
      <c r="BO2344" t="s">
        <v>270</v>
      </c>
      <c r="BP2344" t="s">
        <v>74</v>
      </c>
      <c r="BQ2344" t="s">
        <v>74</v>
      </c>
      <c r="BR2344" t="s">
        <v>102</v>
      </c>
      <c r="BS2344" t="s">
        <v>39653</v>
      </c>
      <c r="BT2344" t="str">
        <f>HYPERLINK("https%3A%2F%2Fwww.webofscience.com%2Fwos%2Fwoscc%2Ffull-record%2FWOS:000494294600006","View Full Record in Web of Science")</f>
        <v>View Full Record in Web of Science</v>
      </c>
    </row>
    <row r="2345" spans="1:72" x14ac:dyDescent="0.25">
      <c r="A2345" t="s">
        <v>72</v>
      </c>
      <c r="B2345" t="s">
        <v>39654</v>
      </c>
      <c r="C2345" t="s">
        <v>74</v>
      </c>
      <c r="D2345" t="s">
        <v>74</v>
      </c>
      <c r="E2345" t="s">
        <v>74</v>
      </c>
      <c r="F2345" t="s">
        <v>39655</v>
      </c>
      <c r="G2345" t="s">
        <v>74</v>
      </c>
      <c r="H2345" t="s">
        <v>74</v>
      </c>
      <c r="I2345" t="s">
        <v>39656</v>
      </c>
      <c r="J2345" t="s">
        <v>3439</v>
      </c>
      <c r="K2345" t="s">
        <v>74</v>
      </c>
      <c r="L2345" t="s">
        <v>74</v>
      </c>
      <c r="M2345" t="s">
        <v>78</v>
      </c>
      <c r="N2345" t="s">
        <v>79</v>
      </c>
      <c r="O2345" t="s">
        <v>74</v>
      </c>
      <c r="P2345" t="s">
        <v>74</v>
      </c>
      <c r="Q2345" t="s">
        <v>74</v>
      </c>
      <c r="R2345" t="s">
        <v>74</v>
      </c>
      <c r="S2345" t="s">
        <v>74</v>
      </c>
      <c r="T2345" t="s">
        <v>39657</v>
      </c>
      <c r="U2345" t="s">
        <v>39658</v>
      </c>
      <c r="V2345" t="s">
        <v>39659</v>
      </c>
      <c r="W2345" t="s">
        <v>39660</v>
      </c>
      <c r="X2345" t="s">
        <v>74</v>
      </c>
      <c r="Y2345" t="s">
        <v>39661</v>
      </c>
      <c r="Z2345" t="s">
        <v>74</v>
      </c>
      <c r="AA2345" t="s">
        <v>74</v>
      </c>
      <c r="AB2345" t="s">
        <v>39662</v>
      </c>
      <c r="AC2345" t="s">
        <v>74</v>
      </c>
      <c r="AD2345" t="s">
        <v>74</v>
      </c>
      <c r="AE2345" t="s">
        <v>74</v>
      </c>
      <c r="AF2345" t="s">
        <v>74</v>
      </c>
      <c r="AG2345">
        <v>66</v>
      </c>
      <c r="AH2345">
        <v>0</v>
      </c>
      <c r="AI2345">
        <v>0</v>
      </c>
      <c r="AJ2345">
        <v>3</v>
      </c>
      <c r="AK2345">
        <v>9</v>
      </c>
      <c r="AL2345" t="s">
        <v>823</v>
      </c>
      <c r="AM2345" t="s">
        <v>333</v>
      </c>
      <c r="AN2345" t="s">
        <v>824</v>
      </c>
      <c r="AO2345" t="s">
        <v>3443</v>
      </c>
      <c r="AP2345" t="s">
        <v>74</v>
      </c>
      <c r="AQ2345" t="s">
        <v>74</v>
      </c>
      <c r="AR2345" t="s">
        <v>3444</v>
      </c>
      <c r="AS2345" t="s">
        <v>3445</v>
      </c>
      <c r="AT2345" t="s">
        <v>2970</v>
      </c>
      <c r="AU2345">
        <v>2024</v>
      </c>
      <c r="AV2345">
        <v>12</v>
      </c>
      <c r="AW2345">
        <v>1</v>
      </c>
      <c r="AX2345" t="s">
        <v>74</v>
      </c>
      <c r="AY2345" t="s">
        <v>74</v>
      </c>
      <c r="AZ2345" t="s">
        <v>74</v>
      </c>
      <c r="BA2345" t="s">
        <v>74</v>
      </c>
      <c r="BB2345" t="s">
        <v>74</v>
      </c>
      <c r="BC2345" t="s">
        <v>74</v>
      </c>
      <c r="BD2345">
        <v>2391941</v>
      </c>
      <c r="BE2345" t="s">
        <v>39663</v>
      </c>
      <c r="BF2345" t="str">
        <f>HYPERLINK("http://dx.doi.org/10.1080/23322039.2024.2391941","http://dx.doi.org/10.1080/23322039.2024.2391941")</f>
        <v>http://dx.doi.org/10.1080/23322039.2024.2391941</v>
      </c>
      <c r="BG2345" t="s">
        <v>74</v>
      </c>
      <c r="BH2345" t="s">
        <v>74</v>
      </c>
      <c r="BI2345">
        <v>15</v>
      </c>
      <c r="BJ2345" t="s">
        <v>291</v>
      </c>
      <c r="BK2345" t="s">
        <v>313</v>
      </c>
      <c r="BL2345" t="s">
        <v>100</v>
      </c>
      <c r="BM2345" t="s">
        <v>39664</v>
      </c>
      <c r="BN2345" t="s">
        <v>74</v>
      </c>
      <c r="BO2345" t="s">
        <v>916</v>
      </c>
      <c r="BP2345" t="s">
        <v>74</v>
      </c>
      <c r="BQ2345" t="s">
        <v>74</v>
      </c>
      <c r="BR2345" t="s">
        <v>102</v>
      </c>
      <c r="BS2345" t="s">
        <v>39665</v>
      </c>
      <c r="BT2345" t="str">
        <f>HYPERLINK("https%3A%2F%2Fwww.webofscience.com%2Fwos%2Fwoscc%2Ffull-record%2FWOS:001300402400001","View Full Record in Web of Science")</f>
        <v>View Full Record in Web of Science</v>
      </c>
    </row>
    <row r="2346" spans="1:72" x14ac:dyDescent="0.25">
      <c r="A2346" t="s">
        <v>72</v>
      </c>
      <c r="B2346" t="s">
        <v>39666</v>
      </c>
      <c r="C2346" t="s">
        <v>74</v>
      </c>
      <c r="D2346" t="s">
        <v>74</v>
      </c>
      <c r="E2346" t="s">
        <v>74</v>
      </c>
      <c r="F2346" t="s">
        <v>39667</v>
      </c>
      <c r="G2346" t="s">
        <v>74</v>
      </c>
      <c r="H2346" t="s">
        <v>74</v>
      </c>
      <c r="I2346" t="s">
        <v>39668</v>
      </c>
      <c r="J2346" t="s">
        <v>38063</v>
      </c>
      <c r="K2346" t="s">
        <v>74</v>
      </c>
      <c r="L2346" t="s">
        <v>74</v>
      </c>
      <c r="M2346" t="s">
        <v>78</v>
      </c>
      <c r="N2346" t="s">
        <v>79</v>
      </c>
      <c r="O2346" t="s">
        <v>74</v>
      </c>
      <c r="P2346" t="s">
        <v>74</v>
      </c>
      <c r="Q2346" t="s">
        <v>74</v>
      </c>
      <c r="R2346" t="s">
        <v>74</v>
      </c>
      <c r="S2346" t="s">
        <v>74</v>
      </c>
      <c r="T2346" t="s">
        <v>39669</v>
      </c>
      <c r="U2346" t="s">
        <v>39670</v>
      </c>
      <c r="V2346" t="s">
        <v>39671</v>
      </c>
      <c r="W2346" t="s">
        <v>39672</v>
      </c>
      <c r="X2346" t="s">
        <v>39673</v>
      </c>
      <c r="Y2346" t="s">
        <v>39674</v>
      </c>
      <c r="Z2346" t="s">
        <v>39675</v>
      </c>
      <c r="AA2346" t="s">
        <v>39676</v>
      </c>
      <c r="AB2346" t="s">
        <v>39677</v>
      </c>
      <c r="AC2346" t="s">
        <v>74</v>
      </c>
      <c r="AD2346" t="s">
        <v>74</v>
      </c>
      <c r="AE2346" t="s">
        <v>74</v>
      </c>
      <c r="AF2346" t="s">
        <v>74</v>
      </c>
      <c r="AG2346">
        <v>54</v>
      </c>
      <c r="AH2346">
        <v>2</v>
      </c>
      <c r="AI2346">
        <v>3</v>
      </c>
      <c r="AJ2346">
        <v>0</v>
      </c>
      <c r="AK2346">
        <v>7</v>
      </c>
      <c r="AL2346" t="s">
        <v>89</v>
      </c>
      <c r="AM2346" t="s">
        <v>1497</v>
      </c>
      <c r="AN2346" t="s">
        <v>1498</v>
      </c>
      <c r="AO2346" t="s">
        <v>38074</v>
      </c>
      <c r="AP2346" t="s">
        <v>38075</v>
      </c>
      <c r="AQ2346" t="s">
        <v>74</v>
      </c>
      <c r="AR2346" t="s">
        <v>38076</v>
      </c>
      <c r="AS2346" t="s">
        <v>38077</v>
      </c>
      <c r="AT2346" t="s">
        <v>39678</v>
      </c>
      <c r="AU2346">
        <v>2023</v>
      </c>
      <c r="AV2346">
        <v>15</v>
      </c>
      <c r="AW2346">
        <v>4</v>
      </c>
      <c r="AX2346" t="s">
        <v>74</v>
      </c>
      <c r="AY2346" t="s">
        <v>74</v>
      </c>
      <c r="AZ2346" t="s">
        <v>74</v>
      </c>
      <c r="BA2346" t="s">
        <v>74</v>
      </c>
      <c r="BB2346">
        <v>488</v>
      </c>
      <c r="BC2346">
        <v>510</v>
      </c>
      <c r="BD2346" t="s">
        <v>74</v>
      </c>
      <c r="BE2346" t="s">
        <v>39679</v>
      </c>
      <c r="BF2346" t="str">
        <f>HYPERLINK("http://dx.doi.org/10.1108/RBF-09-2021-0171","http://dx.doi.org/10.1108/RBF-09-2021-0171")</f>
        <v>http://dx.doi.org/10.1108/RBF-09-2021-0171</v>
      </c>
      <c r="BG2346" t="s">
        <v>74</v>
      </c>
      <c r="BH2346" t="s">
        <v>767</v>
      </c>
      <c r="BI2346">
        <v>23</v>
      </c>
      <c r="BJ2346" t="s">
        <v>268</v>
      </c>
      <c r="BK2346" t="s">
        <v>313</v>
      </c>
      <c r="BL2346" t="s">
        <v>100</v>
      </c>
      <c r="BM2346" t="s">
        <v>39680</v>
      </c>
      <c r="BN2346" t="s">
        <v>74</v>
      </c>
      <c r="BO2346" t="s">
        <v>74</v>
      </c>
      <c r="BP2346" t="s">
        <v>74</v>
      </c>
      <c r="BQ2346" t="s">
        <v>74</v>
      </c>
      <c r="BR2346" t="s">
        <v>102</v>
      </c>
      <c r="BS2346" t="s">
        <v>39681</v>
      </c>
      <c r="BT2346" t="str">
        <f>HYPERLINK("https%3A%2F%2Fwww.webofscience.com%2Fwos%2Fwoscc%2Ffull-record%2FWOS:000767385700001","View Full Record in Web of Science")</f>
        <v>View Full Record in Web of Science</v>
      </c>
    </row>
    <row r="2347" spans="1:72" x14ac:dyDescent="0.25">
      <c r="A2347" t="s">
        <v>72</v>
      </c>
      <c r="B2347" t="s">
        <v>39682</v>
      </c>
      <c r="C2347" t="s">
        <v>74</v>
      </c>
      <c r="D2347" t="s">
        <v>74</v>
      </c>
      <c r="E2347" t="s">
        <v>74</v>
      </c>
      <c r="F2347" t="s">
        <v>39683</v>
      </c>
      <c r="G2347" t="s">
        <v>74</v>
      </c>
      <c r="H2347" t="s">
        <v>74</v>
      </c>
      <c r="I2347" t="s">
        <v>39684</v>
      </c>
      <c r="J2347" t="s">
        <v>3036</v>
      </c>
      <c r="K2347" t="s">
        <v>74</v>
      </c>
      <c r="L2347" t="s">
        <v>74</v>
      </c>
      <c r="M2347" t="s">
        <v>78</v>
      </c>
      <c r="N2347" t="s">
        <v>372</v>
      </c>
      <c r="O2347" t="s">
        <v>74</v>
      </c>
      <c r="P2347" t="s">
        <v>74</v>
      </c>
      <c r="Q2347" t="s">
        <v>74</v>
      </c>
      <c r="R2347" t="s">
        <v>74</v>
      </c>
      <c r="S2347" t="s">
        <v>74</v>
      </c>
      <c r="T2347" t="s">
        <v>39685</v>
      </c>
      <c r="U2347" t="s">
        <v>39686</v>
      </c>
      <c r="V2347" t="s">
        <v>39687</v>
      </c>
      <c r="W2347" t="s">
        <v>39688</v>
      </c>
      <c r="X2347" t="s">
        <v>39689</v>
      </c>
      <c r="Y2347" t="s">
        <v>39690</v>
      </c>
      <c r="Z2347" t="s">
        <v>39691</v>
      </c>
      <c r="AA2347" t="s">
        <v>39692</v>
      </c>
      <c r="AB2347" t="s">
        <v>74</v>
      </c>
      <c r="AC2347" t="s">
        <v>74</v>
      </c>
      <c r="AD2347" t="s">
        <v>74</v>
      </c>
      <c r="AE2347" t="s">
        <v>74</v>
      </c>
      <c r="AF2347" t="s">
        <v>74</v>
      </c>
      <c r="AG2347">
        <v>108</v>
      </c>
      <c r="AH2347">
        <v>3</v>
      </c>
      <c r="AI2347">
        <v>6</v>
      </c>
      <c r="AJ2347">
        <v>9</v>
      </c>
      <c r="AK2347">
        <v>44</v>
      </c>
      <c r="AL2347" t="s">
        <v>385</v>
      </c>
      <c r="AM2347" t="s">
        <v>151</v>
      </c>
      <c r="AN2347" t="s">
        <v>386</v>
      </c>
      <c r="AO2347" t="s">
        <v>3045</v>
      </c>
      <c r="AP2347" t="s">
        <v>3046</v>
      </c>
      <c r="AQ2347" t="s">
        <v>74</v>
      </c>
      <c r="AR2347" t="s">
        <v>3047</v>
      </c>
      <c r="AS2347" t="s">
        <v>3048</v>
      </c>
      <c r="AT2347" t="s">
        <v>39693</v>
      </c>
      <c r="AU2347">
        <v>2023</v>
      </c>
      <c r="AV2347" t="s">
        <v>74</v>
      </c>
      <c r="AW2347" t="s">
        <v>74</v>
      </c>
      <c r="AX2347" t="s">
        <v>74</v>
      </c>
      <c r="AY2347" t="s">
        <v>74</v>
      </c>
      <c r="AZ2347" t="s">
        <v>74</v>
      </c>
      <c r="BA2347" t="s">
        <v>74</v>
      </c>
      <c r="BB2347" t="s">
        <v>74</v>
      </c>
      <c r="BC2347" t="s">
        <v>74</v>
      </c>
      <c r="BD2347" t="s">
        <v>74</v>
      </c>
      <c r="BE2347" t="s">
        <v>39694</v>
      </c>
      <c r="BF2347" t="str">
        <f>HYPERLINK("http://dx.doi.org/10.1007/s13132-023-01621-1","http://dx.doi.org/10.1007/s13132-023-01621-1")</f>
        <v>http://dx.doi.org/10.1007/s13132-023-01621-1</v>
      </c>
      <c r="BG2347" t="s">
        <v>74</v>
      </c>
      <c r="BH2347" t="s">
        <v>1524</v>
      </c>
      <c r="BI2347">
        <v>18</v>
      </c>
      <c r="BJ2347" t="s">
        <v>291</v>
      </c>
      <c r="BK2347" t="s">
        <v>99</v>
      </c>
      <c r="BL2347" t="s">
        <v>100</v>
      </c>
      <c r="BM2347" t="s">
        <v>39695</v>
      </c>
      <c r="BN2347" t="s">
        <v>74</v>
      </c>
      <c r="BO2347" t="s">
        <v>74</v>
      </c>
      <c r="BP2347" t="s">
        <v>74</v>
      </c>
      <c r="BQ2347" t="s">
        <v>74</v>
      </c>
      <c r="BR2347" t="s">
        <v>102</v>
      </c>
      <c r="BS2347" t="s">
        <v>39696</v>
      </c>
      <c r="BT2347" t="str">
        <f>HYPERLINK("https%3A%2F%2Fwww.webofscience.com%2Fwos%2Fwoscc%2Ffull-record%2FWOS:001113798700001","View Full Record in Web of Science")</f>
        <v>View Full Record in Web of Science</v>
      </c>
    </row>
    <row r="2348" spans="1:72" x14ac:dyDescent="0.25">
      <c r="A2348" t="s">
        <v>72</v>
      </c>
      <c r="B2348" t="s">
        <v>18149</v>
      </c>
      <c r="C2348" t="s">
        <v>74</v>
      </c>
      <c r="D2348" t="s">
        <v>74</v>
      </c>
      <c r="E2348" t="s">
        <v>74</v>
      </c>
      <c r="F2348" t="s">
        <v>18150</v>
      </c>
      <c r="G2348" t="s">
        <v>74</v>
      </c>
      <c r="H2348" t="s">
        <v>74</v>
      </c>
      <c r="I2348" t="s">
        <v>39697</v>
      </c>
      <c r="J2348" t="s">
        <v>320</v>
      </c>
      <c r="K2348" t="s">
        <v>74</v>
      </c>
      <c r="L2348" t="s">
        <v>74</v>
      </c>
      <c r="M2348" t="s">
        <v>78</v>
      </c>
      <c r="N2348" t="s">
        <v>79</v>
      </c>
      <c r="O2348" t="s">
        <v>74</v>
      </c>
      <c r="P2348" t="s">
        <v>74</v>
      </c>
      <c r="Q2348" t="s">
        <v>74</v>
      </c>
      <c r="R2348" t="s">
        <v>74</v>
      </c>
      <c r="S2348" t="s">
        <v>74</v>
      </c>
      <c r="T2348" t="s">
        <v>39698</v>
      </c>
      <c r="U2348" t="s">
        <v>39699</v>
      </c>
      <c r="V2348" t="s">
        <v>39700</v>
      </c>
      <c r="W2348" t="s">
        <v>39701</v>
      </c>
      <c r="X2348" t="s">
        <v>24164</v>
      </c>
      <c r="Y2348" t="s">
        <v>39702</v>
      </c>
      <c r="Z2348" t="s">
        <v>39703</v>
      </c>
      <c r="AA2348" t="s">
        <v>74</v>
      </c>
      <c r="AB2348" t="s">
        <v>18159</v>
      </c>
      <c r="AC2348" t="s">
        <v>39704</v>
      </c>
      <c r="AD2348" t="s">
        <v>19652</v>
      </c>
      <c r="AE2348" t="s">
        <v>39705</v>
      </c>
      <c r="AF2348" t="s">
        <v>74</v>
      </c>
      <c r="AG2348">
        <v>101</v>
      </c>
      <c r="AH2348">
        <v>81</v>
      </c>
      <c r="AI2348">
        <v>90</v>
      </c>
      <c r="AJ2348">
        <v>0</v>
      </c>
      <c r="AK2348">
        <v>104</v>
      </c>
      <c r="AL2348" t="s">
        <v>332</v>
      </c>
      <c r="AM2348" t="s">
        <v>333</v>
      </c>
      <c r="AN2348" t="s">
        <v>334</v>
      </c>
      <c r="AO2348" t="s">
        <v>335</v>
      </c>
      <c r="AP2348" t="s">
        <v>336</v>
      </c>
      <c r="AQ2348" t="s">
        <v>74</v>
      </c>
      <c r="AR2348" t="s">
        <v>337</v>
      </c>
      <c r="AS2348" t="s">
        <v>338</v>
      </c>
      <c r="AT2348" t="s">
        <v>6450</v>
      </c>
      <c r="AU2348">
        <v>2019</v>
      </c>
      <c r="AV2348">
        <v>26</v>
      </c>
      <c r="AW2348">
        <v>5</v>
      </c>
      <c r="AX2348" t="s">
        <v>74</v>
      </c>
      <c r="AY2348" t="s">
        <v>74</v>
      </c>
      <c r="AZ2348" t="s">
        <v>441</v>
      </c>
      <c r="BA2348" t="s">
        <v>74</v>
      </c>
      <c r="BB2348">
        <v>815</v>
      </c>
      <c r="BC2348">
        <v>838</v>
      </c>
      <c r="BD2348" t="s">
        <v>74</v>
      </c>
      <c r="BE2348" t="s">
        <v>39706</v>
      </c>
      <c r="BF2348" t="str">
        <f>HYPERLINK("http://dx.doi.org/10.1080/09692290.2019.1597753","http://dx.doi.org/10.1080/09692290.2019.1597753")</f>
        <v>http://dx.doi.org/10.1080/09692290.2019.1597753</v>
      </c>
      <c r="BG2348" t="s">
        <v>74</v>
      </c>
      <c r="BH2348" t="s">
        <v>39707</v>
      </c>
      <c r="BI2348">
        <v>24</v>
      </c>
      <c r="BJ2348" t="s">
        <v>342</v>
      </c>
      <c r="BK2348" t="s">
        <v>99</v>
      </c>
      <c r="BL2348" t="s">
        <v>343</v>
      </c>
      <c r="BM2348" t="s">
        <v>34896</v>
      </c>
      <c r="BN2348" t="s">
        <v>74</v>
      </c>
      <c r="BO2348" t="s">
        <v>74</v>
      </c>
      <c r="BP2348" t="s">
        <v>74</v>
      </c>
      <c r="BQ2348" t="s">
        <v>74</v>
      </c>
      <c r="BR2348" t="s">
        <v>102</v>
      </c>
      <c r="BS2348" t="s">
        <v>39708</v>
      </c>
      <c r="BT2348" t="str">
        <f>HYPERLINK("https%3A%2F%2Fwww.webofscience.com%2Fwos%2Fwoscc%2Ffull-record%2FWOS:000469532200001","View Full Record in Web of Science")</f>
        <v>View Full Record in Web of Science</v>
      </c>
    </row>
    <row r="2349" spans="1:72" x14ac:dyDescent="0.25">
      <c r="A2349" t="s">
        <v>72</v>
      </c>
      <c r="B2349" t="s">
        <v>28201</v>
      </c>
      <c r="C2349" t="s">
        <v>74</v>
      </c>
      <c r="D2349" t="s">
        <v>74</v>
      </c>
      <c r="E2349" t="s">
        <v>74</v>
      </c>
      <c r="F2349" t="s">
        <v>28200</v>
      </c>
      <c r="G2349" t="s">
        <v>74</v>
      </c>
      <c r="H2349" t="s">
        <v>74</v>
      </c>
      <c r="I2349" t="s">
        <v>39709</v>
      </c>
      <c r="J2349" t="s">
        <v>4956</v>
      </c>
      <c r="K2349" t="s">
        <v>74</v>
      </c>
      <c r="L2349" t="s">
        <v>74</v>
      </c>
      <c r="M2349" t="s">
        <v>78</v>
      </c>
      <c r="N2349" t="s">
        <v>79</v>
      </c>
      <c r="O2349" t="s">
        <v>74</v>
      </c>
      <c r="P2349" t="s">
        <v>74</v>
      </c>
      <c r="Q2349" t="s">
        <v>74</v>
      </c>
      <c r="R2349" t="s">
        <v>74</v>
      </c>
      <c r="S2349" t="s">
        <v>74</v>
      </c>
      <c r="T2349" t="s">
        <v>39710</v>
      </c>
      <c r="U2349" t="s">
        <v>22185</v>
      </c>
      <c r="V2349" t="s">
        <v>39711</v>
      </c>
      <c r="W2349" t="s">
        <v>28196</v>
      </c>
      <c r="X2349" t="s">
        <v>28195</v>
      </c>
      <c r="Y2349" t="s">
        <v>39712</v>
      </c>
      <c r="Z2349" t="s">
        <v>74</v>
      </c>
      <c r="AA2349" t="s">
        <v>28192</v>
      </c>
      <c r="AB2349" t="s">
        <v>28191</v>
      </c>
      <c r="AC2349" t="s">
        <v>39713</v>
      </c>
      <c r="AD2349" t="s">
        <v>39714</v>
      </c>
      <c r="AE2349" t="s">
        <v>39715</v>
      </c>
      <c r="AF2349" t="s">
        <v>74</v>
      </c>
      <c r="AG2349">
        <v>13</v>
      </c>
      <c r="AH2349">
        <v>266</v>
      </c>
      <c r="AI2349">
        <v>330</v>
      </c>
      <c r="AJ2349">
        <v>5</v>
      </c>
      <c r="AK2349">
        <v>111</v>
      </c>
      <c r="AL2349" t="s">
        <v>230</v>
      </c>
      <c r="AM2349" t="s">
        <v>231</v>
      </c>
      <c r="AN2349" t="s">
        <v>232</v>
      </c>
      <c r="AO2349" t="s">
        <v>4966</v>
      </c>
      <c r="AP2349" t="s">
        <v>74</v>
      </c>
      <c r="AQ2349" t="s">
        <v>74</v>
      </c>
      <c r="AR2349" t="s">
        <v>4968</v>
      </c>
      <c r="AS2349" t="s">
        <v>4969</v>
      </c>
      <c r="AT2349" t="s">
        <v>605</v>
      </c>
      <c r="AU2349">
        <v>2016</v>
      </c>
      <c r="AV2349">
        <v>79</v>
      </c>
      <c r="AW2349" t="s">
        <v>74</v>
      </c>
      <c r="AX2349" t="s">
        <v>74</v>
      </c>
      <c r="AY2349" t="s">
        <v>74</v>
      </c>
      <c r="AZ2349" t="s">
        <v>74</v>
      </c>
      <c r="BA2349" t="s">
        <v>74</v>
      </c>
      <c r="BB2349">
        <v>127</v>
      </c>
      <c r="BC2349">
        <v>137</v>
      </c>
      <c r="BD2349" t="s">
        <v>74</v>
      </c>
      <c r="BE2349" t="s">
        <v>39716</v>
      </c>
      <c r="BF2349" t="str">
        <f>HYPERLINK("http://dx.doi.org/10.1016/j.worlddev.2015.11.006","http://dx.doi.org/10.1016/j.worlddev.2015.11.006")</f>
        <v>http://dx.doi.org/10.1016/j.worlddev.2015.11.006</v>
      </c>
      <c r="BG2349" t="s">
        <v>74</v>
      </c>
      <c r="BH2349" t="s">
        <v>74</v>
      </c>
      <c r="BI2349">
        <v>11</v>
      </c>
      <c r="BJ2349" t="s">
        <v>701</v>
      </c>
      <c r="BK2349" t="s">
        <v>99</v>
      </c>
      <c r="BL2349" t="s">
        <v>702</v>
      </c>
      <c r="BM2349" t="s">
        <v>39717</v>
      </c>
      <c r="BN2349" t="s">
        <v>74</v>
      </c>
      <c r="BO2349" t="s">
        <v>74</v>
      </c>
      <c r="BP2349" t="s">
        <v>74</v>
      </c>
      <c r="BQ2349" t="s">
        <v>74</v>
      </c>
      <c r="BR2349" t="s">
        <v>102</v>
      </c>
      <c r="BS2349" t="s">
        <v>39718</v>
      </c>
      <c r="BT2349" t="str">
        <f>HYPERLINK("https%3A%2F%2Fwww.webofscience.com%2Fwos%2Fwoscc%2Ffull-record%2FWOS:000368869000010","View Full Record in Web of Science")</f>
        <v>View Full Record in Web of Science</v>
      </c>
    </row>
    <row r="2350" spans="1:72" x14ac:dyDescent="0.25">
      <c r="A2350" t="s">
        <v>72</v>
      </c>
      <c r="B2350" t="s">
        <v>39719</v>
      </c>
      <c r="C2350" t="s">
        <v>74</v>
      </c>
      <c r="D2350" t="s">
        <v>74</v>
      </c>
      <c r="E2350" t="s">
        <v>74</v>
      </c>
      <c r="F2350" t="s">
        <v>39720</v>
      </c>
      <c r="G2350" t="s">
        <v>74</v>
      </c>
      <c r="H2350" t="s">
        <v>74</v>
      </c>
      <c r="I2350" t="s">
        <v>39721</v>
      </c>
      <c r="J2350" t="s">
        <v>4055</v>
      </c>
      <c r="K2350" t="s">
        <v>74</v>
      </c>
      <c r="L2350" t="s">
        <v>74</v>
      </c>
      <c r="M2350" t="s">
        <v>78</v>
      </c>
      <c r="N2350" t="s">
        <v>79</v>
      </c>
      <c r="O2350" t="s">
        <v>74</v>
      </c>
      <c r="P2350" t="s">
        <v>74</v>
      </c>
      <c r="Q2350" t="s">
        <v>74</v>
      </c>
      <c r="R2350" t="s">
        <v>74</v>
      </c>
      <c r="S2350" t="s">
        <v>74</v>
      </c>
      <c r="T2350" t="s">
        <v>39722</v>
      </c>
      <c r="U2350" t="s">
        <v>39723</v>
      </c>
      <c r="V2350" t="s">
        <v>39724</v>
      </c>
      <c r="W2350" t="s">
        <v>39725</v>
      </c>
      <c r="X2350" t="s">
        <v>39726</v>
      </c>
      <c r="Y2350" t="s">
        <v>39727</v>
      </c>
      <c r="Z2350" t="s">
        <v>39728</v>
      </c>
      <c r="AA2350" t="s">
        <v>39729</v>
      </c>
      <c r="AB2350" t="s">
        <v>39730</v>
      </c>
      <c r="AC2350" t="s">
        <v>74</v>
      </c>
      <c r="AD2350" t="s">
        <v>74</v>
      </c>
      <c r="AE2350" t="s">
        <v>74</v>
      </c>
      <c r="AF2350" t="s">
        <v>74</v>
      </c>
      <c r="AG2350">
        <v>79</v>
      </c>
      <c r="AH2350">
        <v>4</v>
      </c>
      <c r="AI2350">
        <v>8</v>
      </c>
      <c r="AJ2350">
        <v>2</v>
      </c>
      <c r="AK2350">
        <v>25</v>
      </c>
      <c r="AL2350" t="s">
        <v>2907</v>
      </c>
      <c r="AM2350" t="s">
        <v>2908</v>
      </c>
      <c r="AN2350" t="s">
        <v>2909</v>
      </c>
      <c r="AO2350" t="s">
        <v>4064</v>
      </c>
      <c r="AP2350" t="s">
        <v>4065</v>
      </c>
      <c r="AQ2350" t="s">
        <v>74</v>
      </c>
      <c r="AR2350" t="s">
        <v>4066</v>
      </c>
      <c r="AS2350" t="s">
        <v>4067</v>
      </c>
      <c r="AT2350" t="s">
        <v>124</v>
      </c>
      <c r="AU2350">
        <v>2024</v>
      </c>
      <c r="AV2350">
        <v>29</v>
      </c>
      <c r="AW2350">
        <v>4</v>
      </c>
      <c r="AX2350" t="s">
        <v>74</v>
      </c>
      <c r="AY2350" t="s">
        <v>74</v>
      </c>
      <c r="AZ2350" t="s">
        <v>74</v>
      </c>
      <c r="BA2350" t="s">
        <v>74</v>
      </c>
      <c r="BB2350">
        <v>1396</v>
      </c>
      <c r="BC2350">
        <v>1413</v>
      </c>
      <c r="BD2350" t="s">
        <v>74</v>
      </c>
      <c r="BE2350" t="s">
        <v>39731</v>
      </c>
      <c r="BF2350" t="str">
        <f>HYPERLINK("http://dx.doi.org/10.1057/s41264-024-00267-7","http://dx.doi.org/10.1057/s41264-024-00267-7")</f>
        <v>http://dx.doi.org/10.1057/s41264-024-00267-7</v>
      </c>
      <c r="BG2350" t="s">
        <v>74</v>
      </c>
      <c r="BH2350" t="s">
        <v>1239</v>
      </c>
      <c r="BI2350">
        <v>18</v>
      </c>
      <c r="BJ2350" t="s">
        <v>418</v>
      </c>
      <c r="BK2350" t="s">
        <v>313</v>
      </c>
      <c r="BL2350" t="s">
        <v>100</v>
      </c>
      <c r="BM2350" t="s">
        <v>6194</v>
      </c>
      <c r="BN2350" t="s">
        <v>74</v>
      </c>
      <c r="BO2350" t="s">
        <v>74</v>
      </c>
      <c r="BP2350" t="s">
        <v>74</v>
      </c>
      <c r="BQ2350" t="s">
        <v>74</v>
      </c>
      <c r="BR2350" t="s">
        <v>102</v>
      </c>
      <c r="BS2350" t="s">
        <v>39732</v>
      </c>
      <c r="BT2350" t="str">
        <f>HYPERLINK("https%3A%2F%2Fwww.webofscience.com%2Fwos%2Fwoscc%2Ffull-record%2FWOS:001153729500001","View Full Record in Web of Science")</f>
        <v>View Full Record in Web of Science</v>
      </c>
    </row>
    <row r="2351" spans="1:72" x14ac:dyDescent="0.25">
      <c r="A2351" t="s">
        <v>72</v>
      </c>
      <c r="B2351" t="s">
        <v>39733</v>
      </c>
      <c r="C2351" t="s">
        <v>74</v>
      </c>
      <c r="D2351" t="s">
        <v>74</v>
      </c>
      <c r="E2351" t="s">
        <v>74</v>
      </c>
      <c r="F2351" t="s">
        <v>39734</v>
      </c>
      <c r="G2351" t="s">
        <v>74</v>
      </c>
      <c r="H2351" t="s">
        <v>74</v>
      </c>
      <c r="I2351" t="s">
        <v>39735</v>
      </c>
      <c r="J2351" t="s">
        <v>3439</v>
      </c>
      <c r="K2351" t="s">
        <v>74</v>
      </c>
      <c r="L2351" t="s">
        <v>74</v>
      </c>
      <c r="M2351" t="s">
        <v>78</v>
      </c>
      <c r="N2351" t="s">
        <v>79</v>
      </c>
      <c r="O2351" t="s">
        <v>74</v>
      </c>
      <c r="P2351" t="s">
        <v>74</v>
      </c>
      <c r="Q2351" t="s">
        <v>74</v>
      </c>
      <c r="R2351" t="s">
        <v>74</v>
      </c>
      <c r="S2351" t="s">
        <v>74</v>
      </c>
      <c r="T2351" t="s">
        <v>39736</v>
      </c>
      <c r="U2351" t="s">
        <v>39737</v>
      </c>
      <c r="V2351" t="s">
        <v>39738</v>
      </c>
      <c r="W2351" t="s">
        <v>39739</v>
      </c>
      <c r="X2351" t="s">
        <v>39740</v>
      </c>
      <c r="Y2351" t="s">
        <v>39741</v>
      </c>
      <c r="Z2351" t="s">
        <v>38004</v>
      </c>
      <c r="AA2351" t="s">
        <v>39742</v>
      </c>
      <c r="AB2351" t="s">
        <v>39743</v>
      </c>
      <c r="AC2351" t="s">
        <v>39744</v>
      </c>
      <c r="AD2351" t="s">
        <v>26850</v>
      </c>
      <c r="AE2351" t="s">
        <v>74</v>
      </c>
      <c r="AF2351" t="s">
        <v>74</v>
      </c>
      <c r="AG2351">
        <v>63</v>
      </c>
      <c r="AH2351">
        <v>5</v>
      </c>
      <c r="AI2351">
        <v>7</v>
      </c>
      <c r="AJ2351">
        <v>1</v>
      </c>
      <c r="AK2351">
        <v>13</v>
      </c>
      <c r="AL2351" t="s">
        <v>2481</v>
      </c>
      <c r="AM2351" t="s">
        <v>2482</v>
      </c>
      <c r="AN2351" t="s">
        <v>2483</v>
      </c>
      <c r="AO2351" t="s">
        <v>3443</v>
      </c>
      <c r="AP2351" t="s">
        <v>74</v>
      </c>
      <c r="AQ2351" t="s">
        <v>74</v>
      </c>
      <c r="AR2351" t="s">
        <v>3444</v>
      </c>
      <c r="AS2351" t="s">
        <v>3445</v>
      </c>
      <c r="AT2351" t="s">
        <v>2970</v>
      </c>
      <c r="AU2351">
        <v>2024</v>
      </c>
      <c r="AV2351">
        <v>12</v>
      </c>
      <c r="AW2351">
        <v>1</v>
      </c>
      <c r="AX2351" t="s">
        <v>74</v>
      </c>
      <c r="AY2351" t="s">
        <v>74</v>
      </c>
      <c r="AZ2351" t="s">
        <v>74</v>
      </c>
      <c r="BA2351" t="s">
        <v>74</v>
      </c>
      <c r="BB2351" t="s">
        <v>74</v>
      </c>
      <c r="BC2351" t="s">
        <v>74</v>
      </c>
      <c r="BD2351">
        <v>2312364</v>
      </c>
      <c r="BE2351" t="s">
        <v>39745</v>
      </c>
      <c r="BF2351" t="str">
        <f>HYPERLINK("http://dx.doi.org/10.1080/23322039.2024.2312364","http://dx.doi.org/10.1080/23322039.2024.2312364")</f>
        <v>http://dx.doi.org/10.1080/23322039.2024.2312364</v>
      </c>
      <c r="BG2351" t="s">
        <v>74</v>
      </c>
      <c r="BH2351" t="s">
        <v>74</v>
      </c>
      <c r="BI2351">
        <v>13</v>
      </c>
      <c r="BJ2351" t="s">
        <v>291</v>
      </c>
      <c r="BK2351" t="s">
        <v>313</v>
      </c>
      <c r="BL2351" t="s">
        <v>100</v>
      </c>
      <c r="BM2351" t="s">
        <v>39746</v>
      </c>
      <c r="BN2351" t="s">
        <v>74</v>
      </c>
      <c r="BO2351" t="s">
        <v>916</v>
      </c>
      <c r="BP2351" t="s">
        <v>74</v>
      </c>
      <c r="BQ2351" t="s">
        <v>74</v>
      </c>
      <c r="BR2351" t="s">
        <v>102</v>
      </c>
      <c r="BS2351" t="s">
        <v>39747</v>
      </c>
      <c r="BT2351" t="str">
        <f>HYPERLINK("https%3A%2F%2Fwww.webofscience.com%2Fwos%2Fwoscc%2Ffull-record%2FWOS:001160016700001","View Full Record in Web of Science")</f>
        <v>View Full Record in Web of Science</v>
      </c>
    </row>
    <row r="2352" spans="1:72" x14ac:dyDescent="0.25">
      <c r="A2352" t="s">
        <v>72</v>
      </c>
      <c r="B2352" t="s">
        <v>39748</v>
      </c>
      <c r="C2352" t="s">
        <v>74</v>
      </c>
      <c r="D2352" t="s">
        <v>74</v>
      </c>
      <c r="E2352" t="s">
        <v>74</v>
      </c>
      <c r="F2352" t="s">
        <v>39749</v>
      </c>
      <c r="G2352" t="s">
        <v>74</v>
      </c>
      <c r="H2352" t="s">
        <v>74</v>
      </c>
      <c r="I2352" t="s">
        <v>39750</v>
      </c>
      <c r="J2352" t="s">
        <v>9470</v>
      </c>
      <c r="K2352" t="s">
        <v>74</v>
      </c>
      <c r="L2352" t="s">
        <v>74</v>
      </c>
      <c r="M2352" t="s">
        <v>78</v>
      </c>
      <c r="N2352" t="s">
        <v>79</v>
      </c>
      <c r="O2352" t="s">
        <v>74</v>
      </c>
      <c r="P2352" t="s">
        <v>74</v>
      </c>
      <c r="Q2352" t="s">
        <v>74</v>
      </c>
      <c r="R2352" t="s">
        <v>74</v>
      </c>
      <c r="S2352" t="s">
        <v>74</v>
      </c>
      <c r="T2352" t="s">
        <v>39751</v>
      </c>
      <c r="U2352" t="s">
        <v>39752</v>
      </c>
      <c r="V2352" t="s">
        <v>39753</v>
      </c>
      <c r="W2352" t="s">
        <v>39754</v>
      </c>
      <c r="X2352" t="s">
        <v>15660</v>
      </c>
      <c r="Y2352" t="s">
        <v>39755</v>
      </c>
      <c r="Z2352" t="s">
        <v>39756</v>
      </c>
      <c r="AA2352" t="s">
        <v>39757</v>
      </c>
      <c r="AB2352" t="s">
        <v>74</v>
      </c>
      <c r="AC2352" t="s">
        <v>39758</v>
      </c>
      <c r="AD2352" t="s">
        <v>15665</v>
      </c>
      <c r="AE2352" t="s">
        <v>39759</v>
      </c>
      <c r="AF2352" t="s">
        <v>74</v>
      </c>
      <c r="AG2352">
        <v>60</v>
      </c>
      <c r="AH2352">
        <v>12</v>
      </c>
      <c r="AI2352">
        <v>19</v>
      </c>
      <c r="AJ2352">
        <v>0</v>
      </c>
      <c r="AK2352">
        <v>44</v>
      </c>
      <c r="AL2352" t="s">
        <v>1889</v>
      </c>
      <c r="AM2352" t="s">
        <v>1890</v>
      </c>
      <c r="AN2352" t="s">
        <v>1891</v>
      </c>
      <c r="AO2352" t="s">
        <v>9478</v>
      </c>
      <c r="AP2352" t="s">
        <v>9479</v>
      </c>
      <c r="AQ2352" t="s">
        <v>74</v>
      </c>
      <c r="AR2352" t="s">
        <v>9480</v>
      </c>
      <c r="AS2352" t="s">
        <v>9481</v>
      </c>
      <c r="AT2352" t="s">
        <v>605</v>
      </c>
      <c r="AU2352">
        <v>2019</v>
      </c>
      <c r="AV2352">
        <v>64</v>
      </c>
      <c r="AW2352">
        <v>1</v>
      </c>
      <c r="AX2352" t="s">
        <v>74</v>
      </c>
      <c r="AY2352" t="s">
        <v>74</v>
      </c>
      <c r="AZ2352" t="s">
        <v>441</v>
      </c>
      <c r="BA2352" t="s">
        <v>74</v>
      </c>
      <c r="BB2352">
        <v>57</v>
      </c>
      <c r="BC2352">
        <v>81</v>
      </c>
      <c r="BD2352" t="s">
        <v>74</v>
      </c>
      <c r="BE2352" t="s">
        <v>39760</v>
      </c>
      <c r="BF2352" t="str">
        <f>HYPERLINK("http://dx.doi.org/10.1142/S0217590817430032","http://dx.doi.org/10.1142/S0217590817430032")</f>
        <v>http://dx.doi.org/10.1142/S0217590817430032</v>
      </c>
      <c r="BG2352" t="s">
        <v>74</v>
      </c>
      <c r="BH2352" t="s">
        <v>74</v>
      </c>
      <c r="BI2352">
        <v>25</v>
      </c>
      <c r="BJ2352" t="s">
        <v>291</v>
      </c>
      <c r="BK2352" t="s">
        <v>99</v>
      </c>
      <c r="BL2352" t="s">
        <v>100</v>
      </c>
      <c r="BM2352" t="s">
        <v>39761</v>
      </c>
      <c r="BN2352" t="s">
        <v>74</v>
      </c>
      <c r="BO2352" t="s">
        <v>74</v>
      </c>
      <c r="BP2352" t="s">
        <v>74</v>
      </c>
      <c r="BQ2352" t="s">
        <v>74</v>
      </c>
      <c r="BR2352" t="s">
        <v>102</v>
      </c>
      <c r="BS2352" t="s">
        <v>39762</v>
      </c>
      <c r="BT2352" t="str">
        <f>HYPERLINK("https%3A%2F%2Fwww.webofscience.com%2Fwos%2Fwoscc%2Ffull-record%2FWOS:000463239900005","View Full Record in Web of Science")</f>
        <v>View Full Record in Web of Science</v>
      </c>
    </row>
    <row r="2353" spans="1:72" x14ac:dyDescent="0.25">
      <c r="A2353" t="s">
        <v>72</v>
      </c>
      <c r="B2353" t="s">
        <v>39763</v>
      </c>
      <c r="C2353" t="s">
        <v>74</v>
      </c>
      <c r="D2353" t="s">
        <v>74</v>
      </c>
      <c r="E2353" t="s">
        <v>74</v>
      </c>
      <c r="F2353" t="s">
        <v>39764</v>
      </c>
      <c r="G2353" t="s">
        <v>74</v>
      </c>
      <c r="H2353" t="s">
        <v>74</v>
      </c>
      <c r="I2353" t="s">
        <v>39765</v>
      </c>
      <c r="J2353" t="s">
        <v>8200</v>
      </c>
      <c r="K2353" t="s">
        <v>74</v>
      </c>
      <c r="L2353" t="s">
        <v>74</v>
      </c>
      <c r="M2353" t="s">
        <v>78</v>
      </c>
      <c r="N2353" t="s">
        <v>79</v>
      </c>
      <c r="O2353" t="s">
        <v>74</v>
      </c>
      <c r="P2353" t="s">
        <v>74</v>
      </c>
      <c r="Q2353" t="s">
        <v>74</v>
      </c>
      <c r="R2353" t="s">
        <v>74</v>
      </c>
      <c r="S2353" t="s">
        <v>74</v>
      </c>
      <c r="T2353" t="s">
        <v>39766</v>
      </c>
      <c r="U2353" t="s">
        <v>74</v>
      </c>
      <c r="V2353" t="s">
        <v>39767</v>
      </c>
      <c r="W2353" t="s">
        <v>39768</v>
      </c>
      <c r="X2353" t="s">
        <v>39769</v>
      </c>
      <c r="Y2353" t="s">
        <v>39770</v>
      </c>
      <c r="Z2353" t="s">
        <v>74</v>
      </c>
      <c r="AA2353" t="s">
        <v>39771</v>
      </c>
      <c r="AB2353" t="s">
        <v>74</v>
      </c>
      <c r="AC2353" t="s">
        <v>74</v>
      </c>
      <c r="AD2353" t="s">
        <v>74</v>
      </c>
      <c r="AE2353" t="s">
        <v>74</v>
      </c>
      <c r="AF2353" t="s">
        <v>74</v>
      </c>
      <c r="AG2353">
        <v>14</v>
      </c>
      <c r="AH2353">
        <v>16</v>
      </c>
      <c r="AI2353">
        <v>27</v>
      </c>
      <c r="AJ2353">
        <v>0</v>
      </c>
      <c r="AK2353">
        <v>2</v>
      </c>
      <c r="AL2353" t="s">
        <v>8210</v>
      </c>
      <c r="AM2353" t="s">
        <v>8211</v>
      </c>
      <c r="AN2353" t="s">
        <v>8212</v>
      </c>
      <c r="AO2353" t="s">
        <v>8213</v>
      </c>
      <c r="AP2353" t="s">
        <v>74</v>
      </c>
      <c r="AQ2353" t="s">
        <v>74</v>
      </c>
      <c r="AR2353" t="s">
        <v>8214</v>
      </c>
      <c r="AS2353" t="s">
        <v>8215</v>
      </c>
      <c r="AT2353" t="s">
        <v>1159</v>
      </c>
      <c r="AU2353">
        <v>2016</v>
      </c>
      <c r="AV2353">
        <v>9</v>
      </c>
      <c r="AW2353">
        <v>4</v>
      </c>
      <c r="AX2353" t="s">
        <v>74</v>
      </c>
      <c r="AY2353" t="s">
        <v>74</v>
      </c>
      <c r="AZ2353" t="s">
        <v>74</v>
      </c>
      <c r="BA2353" t="s">
        <v>74</v>
      </c>
      <c r="BB2353">
        <v>82</v>
      </c>
      <c r="BC2353">
        <v>88</v>
      </c>
      <c r="BD2353" t="s">
        <v>74</v>
      </c>
      <c r="BE2353" t="s">
        <v>74</v>
      </c>
      <c r="BF2353" t="s">
        <v>74</v>
      </c>
      <c r="BG2353" t="s">
        <v>74</v>
      </c>
      <c r="BH2353" t="s">
        <v>74</v>
      </c>
      <c r="BI2353">
        <v>7</v>
      </c>
      <c r="BJ2353" t="s">
        <v>418</v>
      </c>
      <c r="BK2353" t="s">
        <v>313</v>
      </c>
      <c r="BL2353" t="s">
        <v>100</v>
      </c>
      <c r="BM2353" t="s">
        <v>39772</v>
      </c>
      <c r="BN2353" t="s">
        <v>74</v>
      </c>
      <c r="BO2353" t="s">
        <v>74</v>
      </c>
      <c r="BP2353" t="s">
        <v>74</v>
      </c>
      <c r="BQ2353" t="s">
        <v>74</v>
      </c>
      <c r="BR2353" t="s">
        <v>102</v>
      </c>
      <c r="BS2353" t="s">
        <v>39773</v>
      </c>
      <c r="BT2353" t="str">
        <f>HYPERLINK("https%3A%2F%2Fwww.webofscience.com%2Fwos%2Fwoscc%2Ffull-record%2FWOS:000730882100011","View Full Record in Web of Science")</f>
        <v>View Full Record in Web of Science</v>
      </c>
    </row>
    <row r="2354" spans="1:72" x14ac:dyDescent="0.25">
      <c r="A2354" t="s">
        <v>72</v>
      </c>
      <c r="B2354" t="s">
        <v>39774</v>
      </c>
      <c r="C2354" t="s">
        <v>74</v>
      </c>
      <c r="D2354" t="s">
        <v>74</v>
      </c>
      <c r="E2354" t="s">
        <v>74</v>
      </c>
      <c r="F2354" t="s">
        <v>39775</v>
      </c>
      <c r="G2354" t="s">
        <v>74</v>
      </c>
      <c r="H2354" t="s">
        <v>74</v>
      </c>
      <c r="I2354" t="s">
        <v>39776</v>
      </c>
      <c r="J2354" t="s">
        <v>39777</v>
      </c>
      <c r="K2354" t="s">
        <v>74</v>
      </c>
      <c r="L2354" t="s">
        <v>74</v>
      </c>
      <c r="M2354" t="s">
        <v>78</v>
      </c>
      <c r="N2354" t="s">
        <v>372</v>
      </c>
      <c r="O2354" t="s">
        <v>74</v>
      </c>
      <c r="P2354" t="s">
        <v>74</v>
      </c>
      <c r="Q2354" t="s">
        <v>74</v>
      </c>
      <c r="R2354" t="s">
        <v>74</v>
      </c>
      <c r="S2354" t="s">
        <v>74</v>
      </c>
      <c r="T2354" t="s">
        <v>39778</v>
      </c>
      <c r="U2354" t="s">
        <v>39779</v>
      </c>
      <c r="V2354" t="s">
        <v>39780</v>
      </c>
      <c r="W2354" t="s">
        <v>39781</v>
      </c>
      <c r="X2354" t="s">
        <v>39782</v>
      </c>
      <c r="Y2354" t="s">
        <v>39783</v>
      </c>
      <c r="Z2354" t="s">
        <v>39784</v>
      </c>
      <c r="AA2354" t="s">
        <v>39785</v>
      </c>
      <c r="AB2354" t="s">
        <v>74</v>
      </c>
      <c r="AC2354" t="s">
        <v>74</v>
      </c>
      <c r="AD2354" t="s">
        <v>74</v>
      </c>
      <c r="AE2354" t="s">
        <v>74</v>
      </c>
      <c r="AF2354" t="s">
        <v>74</v>
      </c>
      <c r="AG2354">
        <v>89</v>
      </c>
      <c r="AH2354">
        <v>0</v>
      </c>
      <c r="AI2354">
        <v>0</v>
      </c>
      <c r="AJ2354">
        <v>3</v>
      </c>
      <c r="AK2354">
        <v>3</v>
      </c>
      <c r="AL2354" t="s">
        <v>89</v>
      </c>
      <c r="AM2354" t="s">
        <v>90</v>
      </c>
      <c r="AN2354" t="s">
        <v>91</v>
      </c>
      <c r="AO2354" t="s">
        <v>39786</v>
      </c>
      <c r="AP2354" t="s">
        <v>39787</v>
      </c>
      <c r="AQ2354" t="s">
        <v>74</v>
      </c>
      <c r="AR2354" t="s">
        <v>39788</v>
      </c>
      <c r="AS2354" t="s">
        <v>39789</v>
      </c>
      <c r="AT2354" t="s">
        <v>16449</v>
      </c>
      <c r="AU2354">
        <v>2025</v>
      </c>
      <c r="AV2354" t="s">
        <v>74</v>
      </c>
      <c r="AW2354" t="s">
        <v>74</v>
      </c>
      <c r="AX2354" t="s">
        <v>74</v>
      </c>
      <c r="AY2354" t="s">
        <v>74</v>
      </c>
      <c r="AZ2354" t="s">
        <v>74</v>
      </c>
      <c r="BA2354" t="s">
        <v>74</v>
      </c>
      <c r="BB2354" t="s">
        <v>74</v>
      </c>
      <c r="BC2354" t="s">
        <v>74</v>
      </c>
      <c r="BD2354" t="s">
        <v>74</v>
      </c>
      <c r="BE2354" t="s">
        <v>39790</v>
      </c>
      <c r="BF2354" t="str">
        <f>HYPERLINK("http://dx.doi.org/10.1108/SAJBS-06-2024-0253","http://dx.doi.org/10.1108/SAJBS-06-2024-0253")</f>
        <v>http://dx.doi.org/10.1108/SAJBS-06-2024-0253</v>
      </c>
      <c r="BG2354" t="s">
        <v>74</v>
      </c>
      <c r="BH2354" t="s">
        <v>2044</v>
      </c>
      <c r="BI2354">
        <v>20</v>
      </c>
      <c r="BJ2354" t="s">
        <v>418</v>
      </c>
      <c r="BK2354" t="s">
        <v>313</v>
      </c>
      <c r="BL2354" t="s">
        <v>100</v>
      </c>
      <c r="BM2354" t="s">
        <v>39791</v>
      </c>
      <c r="BN2354" t="s">
        <v>74</v>
      </c>
      <c r="BO2354" t="s">
        <v>74</v>
      </c>
      <c r="BP2354" t="s">
        <v>74</v>
      </c>
      <c r="BQ2354" t="s">
        <v>74</v>
      </c>
      <c r="BR2354" t="s">
        <v>102</v>
      </c>
      <c r="BS2354" t="s">
        <v>39792</v>
      </c>
      <c r="BT2354" t="str">
        <f>HYPERLINK("https%3A%2F%2Fwww.webofscience.com%2Fwos%2Fwoscc%2Ffull-record%2FWOS:001605191400001","View Full Record in Web of Science")</f>
        <v>View Full Record in Web of Science</v>
      </c>
    </row>
    <row r="2355" spans="1:72" x14ac:dyDescent="0.25">
      <c r="A2355" t="s">
        <v>72</v>
      </c>
      <c r="B2355" t="s">
        <v>39793</v>
      </c>
      <c r="C2355" t="s">
        <v>74</v>
      </c>
      <c r="D2355" t="s">
        <v>74</v>
      </c>
      <c r="E2355" t="s">
        <v>74</v>
      </c>
      <c r="F2355" t="s">
        <v>39794</v>
      </c>
      <c r="G2355" t="s">
        <v>74</v>
      </c>
      <c r="H2355" t="s">
        <v>74</v>
      </c>
      <c r="I2355" t="s">
        <v>39795</v>
      </c>
      <c r="J2355" t="s">
        <v>1902</v>
      </c>
      <c r="K2355" t="s">
        <v>74</v>
      </c>
      <c r="L2355" t="s">
        <v>74</v>
      </c>
      <c r="M2355" t="s">
        <v>78</v>
      </c>
      <c r="N2355" t="s">
        <v>372</v>
      </c>
      <c r="O2355" t="s">
        <v>74</v>
      </c>
      <c r="P2355" t="s">
        <v>74</v>
      </c>
      <c r="Q2355" t="s">
        <v>74</v>
      </c>
      <c r="R2355" t="s">
        <v>74</v>
      </c>
      <c r="S2355" t="s">
        <v>74</v>
      </c>
      <c r="T2355" t="s">
        <v>39796</v>
      </c>
      <c r="U2355" t="s">
        <v>39797</v>
      </c>
      <c r="V2355" t="s">
        <v>39798</v>
      </c>
      <c r="W2355" t="s">
        <v>39799</v>
      </c>
      <c r="X2355" t="s">
        <v>14029</v>
      </c>
      <c r="Y2355" t="s">
        <v>39800</v>
      </c>
      <c r="Z2355" t="s">
        <v>39801</v>
      </c>
      <c r="AA2355" t="s">
        <v>39802</v>
      </c>
      <c r="AB2355" t="s">
        <v>39803</v>
      </c>
      <c r="AC2355" t="s">
        <v>74</v>
      </c>
      <c r="AD2355" t="s">
        <v>74</v>
      </c>
      <c r="AE2355" t="s">
        <v>74</v>
      </c>
      <c r="AF2355" t="s">
        <v>74</v>
      </c>
      <c r="AG2355">
        <v>76</v>
      </c>
      <c r="AH2355">
        <v>1</v>
      </c>
      <c r="AI2355">
        <v>1</v>
      </c>
      <c r="AJ2355">
        <v>2</v>
      </c>
      <c r="AK2355">
        <v>3</v>
      </c>
      <c r="AL2355" t="s">
        <v>89</v>
      </c>
      <c r="AM2355" t="s">
        <v>90</v>
      </c>
      <c r="AN2355" t="s">
        <v>91</v>
      </c>
      <c r="AO2355" t="s">
        <v>1910</v>
      </c>
      <c r="AP2355" t="s">
        <v>1911</v>
      </c>
      <c r="AQ2355" t="s">
        <v>74</v>
      </c>
      <c r="AR2355" t="s">
        <v>1912</v>
      </c>
      <c r="AS2355" t="s">
        <v>1913</v>
      </c>
      <c r="AT2355" t="s">
        <v>27995</v>
      </c>
      <c r="AU2355">
        <v>2025</v>
      </c>
      <c r="AV2355" t="s">
        <v>74</v>
      </c>
      <c r="AW2355" t="s">
        <v>74</v>
      </c>
      <c r="AX2355" t="s">
        <v>74</v>
      </c>
      <c r="AY2355" t="s">
        <v>74</v>
      </c>
      <c r="AZ2355" t="s">
        <v>74</v>
      </c>
      <c r="BA2355" t="s">
        <v>74</v>
      </c>
      <c r="BB2355" t="s">
        <v>74</v>
      </c>
      <c r="BC2355" t="s">
        <v>74</v>
      </c>
      <c r="BD2355" t="s">
        <v>74</v>
      </c>
      <c r="BE2355" t="s">
        <v>39804</v>
      </c>
      <c r="BF2355" t="str">
        <f>HYPERLINK("http://dx.doi.org/10.1108/JFEP-07-2024-0195","http://dx.doi.org/10.1108/JFEP-07-2024-0195")</f>
        <v>http://dx.doi.org/10.1108/JFEP-07-2024-0195</v>
      </c>
      <c r="BG2355" t="s">
        <v>74</v>
      </c>
      <c r="BH2355" t="s">
        <v>2359</v>
      </c>
      <c r="BI2355">
        <v>19</v>
      </c>
      <c r="BJ2355" t="s">
        <v>291</v>
      </c>
      <c r="BK2355" t="s">
        <v>313</v>
      </c>
      <c r="BL2355" t="s">
        <v>100</v>
      </c>
      <c r="BM2355" t="s">
        <v>39805</v>
      </c>
      <c r="BN2355" t="s">
        <v>74</v>
      </c>
      <c r="BO2355" t="s">
        <v>74</v>
      </c>
      <c r="BP2355" t="s">
        <v>74</v>
      </c>
      <c r="BQ2355" t="s">
        <v>74</v>
      </c>
      <c r="BR2355" t="s">
        <v>102</v>
      </c>
      <c r="BS2355" t="s">
        <v>39806</v>
      </c>
      <c r="BT2355" t="str">
        <f>HYPERLINK("https%3A%2F%2Fwww.webofscience.com%2Fwos%2Fwoscc%2Ffull-record%2FWOS:001485348700001","View Full Record in Web of Science")</f>
        <v>View Full Record in Web of Science</v>
      </c>
    </row>
    <row r="2356" spans="1:72" x14ac:dyDescent="0.25">
      <c r="A2356" t="s">
        <v>72</v>
      </c>
      <c r="B2356" t="s">
        <v>36000</v>
      </c>
      <c r="C2356" t="s">
        <v>74</v>
      </c>
      <c r="D2356" t="s">
        <v>74</v>
      </c>
      <c r="E2356" t="s">
        <v>74</v>
      </c>
      <c r="F2356" t="s">
        <v>36001</v>
      </c>
      <c r="G2356" t="s">
        <v>74</v>
      </c>
      <c r="H2356" t="s">
        <v>74</v>
      </c>
      <c r="I2356" t="s">
        <v>39807</v>
      </c>
      <c r="J2356" t="s">
        <v>4208</v>
      </c>
      <c r="K2356" t="s">
        <v>74</v>
      </c>
      <c r="L2356" t="s">
        <v>74</v>
      </c>
      <c r="M2356" t="s">
        <v>78</v>
      </c>
      <c r="N2356" t="s">
        <v>79</v>
      </c>
      <c r="O2356" t="s">
        <v>74</v>
      </c>
      <c r="P2356" t="s">
        <v>74</v>
      </c>
      <c r="Q2356" t="s">
        <v>74</v>
      </c>
      <c r="R2356" t="s">
        <v>74</v>
      </c>
      <c r="S2356" t="s">
        <v>74</v>
      </c>
      <c r="T2356" t="s">
        <v>74</v>
      </c>
      <c r="U2356" t="s">
        <v>39808</v>
      </c>
      <c r="V2356" t="s">
        <v>39809</v>
      </c>
      <c r="W2356" t="s">
        <v>39810</v>
      </c>
      <c r="X2356" t="s">
        <v>74</v>
      </c>
      <c r="Y2356" t="s">
        <v>39811</v>
      </c>
      <c r="Z2356" t="s">
        <v>36008</v>
      </c>
      <c r="AA2356" t="s">
        <v>36009</v>
      </c>
      <c r="AB2356" t="s">
        <v>36010</v>
      </c>
      <c r="AC2356" t="s">
        <v>74</v>
      </c>
      <c r="AD2356" t="s">
        <v>74</v>
      </c>
      <c r="AE2356" t="s">
        <v>74</v>
      </c>
      <c r="AF2356" t="s">
        <v>74</v>
      </c>
      <c r="AG2356">
        <v>104</v>
      </c>
      <c r="AH2356">
        <v>10</v>
      </c>
      <c r="AI2356">
        <v>19</v>
      </c>
      <c r="AJ2356">
        <v>2</v>
      </c>
      <c r="AK2356">
        <v>16</v>
      </c>
      <c r="AL2356" t="s">
        <v>4218</v>
      </c>
      <c r="AM2356" t="s">
        <v>4219</v>
      </c>
      <c r="AN2356" t="s">
        <v>4220</v>
      </c>
      <c r="AO2356" t="s">
        <v>4221</v>
      </c>
      <c r="AP2356" t="s">
        <v>74</v>
      </c>
      <c r="AQ2356" t="s">
        <v>74</v>
      </c>
      <c r="AR2356" t="s">
        <v>4208</v>
      </c>
      <c r="AS2356" t="s">
        <v>4222</v>
      </c>
      <c r="AT2356" t="s">
        <v>4361</v>
      </c>
      <c r="AU2356">
        <v>2022</v>
      </c>
      <c r="AV2356">
        <v>17</v>
      </c>
      <c r="AW2356">
        <v>11</v>
      </c>
      <c r="AX2356" t="s">
        <v>74</v>
      </c>
      <c r="AY2356" t="s">
        <v>74</v>
      </c>
      <c r="AZ2356" t="s">
        <v>74</v>
      </c>
      <c r="BA2356" t="s">
        <v>74</v>
      </c>
      <c r="BB2356" t="s">
        <v>74</v>
      </c>
      <c r="BC2356" t="s">
        <v>74</v>
      </c>
      <c r="BD2356" t="s">
        <v>39812</v>
      </c>
      <c r="BE2356" t="s">
        <v>39813</v>
      </c>
      <c r="BF2356" t="str">
        <f>HYPERLINK("http://dx.doi.org/10.1371/journal.pone.0277730","http://dx.doi.org/10.1371/journal.pone.0277730")</f>
        <v>http://dx.doi.org/10.1371/journal.pone.0277730</v>
      </c>
      <c r="BG2356" t="s">
        <v>74</v>
      </c>
      <c r="BH2356" t="s">
        <v>74</v>
      </c>
      <c r="BI2356">
        <v>25</v>
      </c>
      <c r="BJ2356" t="s">
        <v>559</v>
      </c>
      <c r="BK2356" t="s">
        <v>128</v>
      </c>
      <c r="BL2356" t="s">
        <v>560</v>
      </c>
      <c r="BM2356" t="s">
        <v>39814</v>
      </c>
      <c r="BN2356">
        <v>36395150</v>
      </c>
      <c r="BO2356" t="s">
        <v>916</v>
      </c>
      <c r="BP2356" t="s">
        <v>74</v>
      </c>
      <c r="BQ2356" t="s">
        <v>74</v>
      </c>
      <c r="BR2356" t="s">
        <v>102</v>
      </c>
      <c r="BS2356" t="s">
        <v>39815</v>
      </c>
      <c r="BT2356" t="str">
        <f>HYPERLINK("https%3A%2F%2Fwww.webofscience.com%2Fwos%2Fwoscc%2Ffull-record%2FWOS:000926013600099","View Full Record in Web of Science")</f>
        <v>View Full Record in Web of Science</v>
      </c>
    </row>
    <row r="2357" spans="1:72" x14ac:dyDescent="0.25">
      <c r="A2357" t="s">
        <v>72</v>
      </c>
      <c r="B2357" t="s">
        <v>39816</v>
      </c>
      <c r="C2357" t="s">
        <v>74</v>
      </c>
      <c r="D2357" t="s">
        <v>74</v>
      </c>
      <c r="E2357" t="s">
        <v>74</v>
      </c>
      <c r="F2357" t="s">
        <v>39817</v>
      </c>
      <c r="G2357" t="s">
        <v>74</v>
      </c>
      <c r="H2357" t="s">
        <v>74</v>
      </c>
      <c r="I2357" t="s">
        <v>39818</v>
      </c>
      <c r="J2357" t="s">
        <v>2896</v>
      </c>
      <c r="K2357" t="s">
        <v>74</v>
      </c>
      <c r="L2357" t="s">
        <v>74</v>
      </c>
      <c r="M2357" t="s">
        <v>78</v>
      </c>
      <c r="N2357" t="s">
        <v>79</v>
      </c>
      <c r="O2357" t="s">
        <v>74</v>
      </c>
      <c r="P2357" t="s">
        <v>74</v>
      </c>
      <c r="Q2357" t="s">
        <v>74</v>
      </c>
      <c r="R2357" t="s">
        <v>74</v>
      </c>
      <c r="S2357" t="s">
        <v>74</v>
      </c>
      <c r="T2357" t="s">
        <v>39819</v>
      </c>
      <c r="U2357" t="s">
        <v>39820</v>
      </c>
      <c r="V2357" t="s">
        <v>39821</v>
      </c>
      <c r="W2357" t="s">
        <v>39822</v>
      </c>
      <c r="X2357" t="s">
        <v>39823</v>
      </c>
      <c r="Y2357" t="s">
        <v>39824</v>
      </c>
      <c r="Z2357" t="s">
        <v>39825</v>
      </c>
      <c r="AA2357" t="s">
        <v>39826</v>
      </c>
      <c r="AB2357" t="s">
        <v>39827</v>
      </c>
      <c r="AC2357" t="s">
        <v>74</v>
      </c>
      <c r="AD2357" t="s">
        <v>74</v>
      </c>
      <c r="AE2357" t="s">
        <v>74</v>
      </c>
      <c r="AF2357" t="s">
        <v>74</v>
      </c>
      <c r="AG2357">
        <v>92</v>
      </c>
      <c r="AH2357">
        <v>12</v>
      </c>
      <c r="AI2357">
        <v>14</v>
      </c>
      <c r="AJ2357">
        <v>0</v>
      </c>
      <c r="AK2357">
        <v>35</v>
      </c>
      <c r="AL2357" t="s">
        <v>2907</v>
      </c>
      <c r="AM2357" t="s">
        <v>2908</v>
      </c>
      <c r="AN2357" t="s">
        <v>2909</v>
      </c>
      <c r="AO2357" t="s">
        <v>2910</v>
      </c>
      <c r="AP2357" t="s">
        <v>12978</v>
      </c>
      <c r="AQ2357" t="s">
        <v>74</v>
      </c>
      <c r="AR2357" t="s">
        <v>2911</v>
      </c>
      <c r="AS2357" t="s">
        <v>2912</v>
      </c>
      <c r="AT2357" t="s">
        <v>698</v>
      </c>
      <c r="AU2357">
        <v>2019</v>
      </c>
      <c r="AV2357">
        <v>31</v>
      </c>
      <c r="AW2357">
        <v>4</v>
      </c>
      <c r="AX2357" t="s">
        <v>74</v>
      </c>
      <c r="AY2357" t="s">
        <v>74</v>
      </c>
      <c r="AZ2357" t="s">
        <v>74</v>
      </c>
      <c r="BA2357" t="s">
        <v>74</v>
      </c>
      <c r="BB2357">
        <v>809</v>
      </c>
      <c r="BC2357">
        <v>835</v>
      </c>
      <c r="BD2357" t="s">
        <v>74</v>
      </c>
      <c r="BE2357" t="s">
        <v>39828</v>
      </c>
      <c r="BF2357" t="str">
        <f>HYPERLINK("http://dx.doi.org/10.1057/s41287-018-0188-6","http://dx.doi.org/10.1057/s41287-018-0188-6")</f>
        <v>http://dx.doi.org/10.1057/s41287-018-0188-6</v>
      </c>
      <c r="BG2357" t="s">
        <v>74</v>
      </c>
      <c r="BH2357" t="s">
        <v>74</v>
      </c>
      <c r="BI2357">
        <v>27</v>
      </c>
      <c r="BJ2357" t="s">
        <v>1137</v>
      </c>
      <c r="BK2357" t="s">
        <v>99</v>
      </c>
      <c r="BL2357" t="s">
        <v>1137</v>
      </c>
      <c r="BM2357" t="s">
        <v>39829</v>
      </c>
      <c r="BN2357" t="s">
        <v>74</v>
      </c>
      <c r="BO2357" t="s">
        <v>74</v>
      </c>
      <c r="BP2357" t="s">
        <v>74</v>
      </c>
      <c r="BQ2357" t="s">
        <v>74</v>
      </c>
      <c r="BR2357" t="s">
        <v>102</v>
      </c>
      <c r="BS2357" t="s">
        <v>39830</v>
      </c>
      <c r="BT2357" t="str">
        <f>HYPERLINK("https%3A%2F%2Fwww.webofscience.com%2Fwos%2Fwoscc%2Ffull-record%2FWOS:000482239800005","View Full Record in Web of Science")</f>
        <v>View Full Record in Web of Science</v>
      </c>
    </row>
    <row r="2358" spans="1:72" x14ac:dyDescent="0.25">
      <c r="A2358" t="s">
        <v>72</v>
      </c>
      <c r="B2358" t="s">
        <v>39831</v>
      </c>
      <c r="C2358" t="s">
        <v>74</v>
      </c>
      <c r="D2358" t="s">
        <v>74</v>
      </c>
      <c r="E2358" t="s">
        <v>74</v>
      </c>
      <c r="F2358" t="s">
        <v>39832</v>
      </c>
      <c r="G2358" t="s">
        <v>74</v>
      </c>
      <c r="H2358" t="s">
        <v>74</v>
      </c>
      <c r="I2358" t="s">
        <v>39833</v>
      </c>
      <c r="J2358" t="s">
        <v>34372</v>
      </c>
      <c r="K2358" t="s">
        <v>74</v>
      </c>
      <c r="L2358" t="s">
        <v>74</v>
      </c>
      <c r="M2358" t="s">
        <v>78</v>
      </c>
      <c r="N2358" t="s">
        <v>372</v>
      </c>
      <c r="O2358" t="s">
        <v>74</v>
      </c>
      <c r="P2358" t="s">
        <v>74</v>
      </c>
      <c r="Q2358" t="s">
        <v>74</v>
      </c>
      <c r="R2358" t="s">
        <v>74</v>
      </c>
      <c r="S2358" t="s">
        <v>74</v>
      </c>
      <c r="T2358" t="s">
        <v>39834</v>
      </c>
      <c r="U2358" t="s">
        <v>39835</v>
      </c>
      <c r="V2358" t="s">
        <v>39836</v>
      </c>
      <c r="W2358" t="s">
        <v>39837</v>
      </c>
      <c r="X2358" t="s">
        <v>39838</v>
      </c>
      <c r="Y2358" t="s">
        <v>39839</v>
      </c>
      <c r="Z2358" t="s">
        <v>8968</v>
      </c>
      <c r="AA2358" t="s">
        <v>39840</v>
      </c>
      <c r="AB2358" t="s">
        <v>74</v>
      </c>
      <c r="AC2358" t="s">
        <v>74</v>
      </c>
      <c r="AD2358" t="s">
        <v>74</v>
      </c>
      <c r="AE2358" t="s">
        <v>74</v>
      </c>
      <c r="AF2358" t="s">
        <v>74</v>
      </c>
      <c r="AG2358">
        <v>44</v>
      </c>
      <c r="AH2358">
        <v>10</v>
      </c>
      <c r="AI2358">
        <v>10</v>
      </c>
      <c r="AJ2358">
        <v>2</v>
      </c>
      <c r="AK2358">
        <v>6</v>
      </c>
      <c r="AL2358" t="s">
        <v>823</v>
      </c>
      <c r="AM2358" t="s">
        <v>333</v>
      </c>
      <c r="AN2358" t="s">
        <v>824</v>
      </c>
      <c r="AO2358" t="s">
        <v>34363</v>
      </c>
      <c r="AP2358" t="s">
        <v>34362</v>
      </c>
      <c r="AQ2358" t="s">
        <v>74</v>
      </c>
      <c r="AR2358" t="s">
        <v>34361</v>
      </c>
      <c r="AS2358" t="s">
        <v>34360</v>
      </c>
      <c r="AT2358" t="s">
        <v>27488</v>
      </c>
      <c r="AU2358">
        <v>2025</v>
      </c>
      <c r="AV2358" t="s">
        <v>74</v>
      </c>
      <c r="AW2358" t="s">
        <v>74</v>
      </c>
      <c r="AX2358" t="s">
        <v>74</v>
      </c>
      <c r="AY2358" t="s">
        <v>74</v>
      </c>
      <c r="AZ2358" t="s">
        <v>74</v>
      </c>
      <c r="BA2358" t="s">
        <v>74</v>
      </c>
      <c r="BB2358" t="s">
        <v>74</v>
      </c>
      <c r="BC2358" t="s">
        <v>74</v>
      </c>
      <c r="BD2358" t="s">
        <v>74</v>
      </c>
      <c r="BE2358" t="s">
        <v>39841</v>
      </c>
      <c r="BF2358" t="str">
        <f>HYPERLINK("http://dx.doi.org/10.1080/2157930X.2025.2467515","http://dx.doi.org/10.1080/2157930X.2025.2467515")</f>
        <v>http://dx.doi.org/10.1080/2157930X.2025.2467515</v>
      </c>
      <c r="BG2358" t="s">
        <v>74</v>
      </c>
      <c r="BH2358" t="s">
        <v>417</v>
      </c>
      <c r="BI2358">
        <v>20</v>
      </c>
      <c r="BJ2358" t="s">
        <v>701</v>
      </c>
      <c r="BK2358" t="s">
        <v>313</v>
      </c>
      <c r="BL2358" t="s">
        <v>702</v>
      </c>
      <c r="BM2358" t="s">
        <v>39842</v>
      </c>
      <c r="BN2358" t="s">
        <v>74</v>
      </c>
      <c r="BO2358" t="s">
        <v>74</v>
      </c>
      <c r="BP2358" t="s">
        <v>74</v>
      </c>
      <c r="BQ2358" t="s">
        <v>74</v>
      </c>
      <c r="BR2358" t="s">
        <v>102</v>
      </c>
      <c r="BS2358" t="s">
        <v>39843</v>
      </c>
      <c r="BT2358" t="str">
        <f>HYPERLINK("https%3A%2F%2Fwww.webofscience.com%2Fwos%2Fwoscc%2Ffull-record%2FWOS:001428140100001","View Full Record in Web of Science")</f>
        <v>View Full Record in Web of Science</v>
      </c>
    </row>
    <row r="2359" spans="1:72" x14ac:dyDescent="0.25">
      <c r="A2359" t="s">
        <v>72</v>
      </c>
      <c r="B2359" t="s">
        <v>39844</v>
      </c>
      <c r="C2359" t="s">
        <v>74</v>
      </c>
      <c r="D2359" t="s">
        <v>74</v>
      </c>
      <c r="E2359" t="s">
        <v>74</v>
      </c>
      <c r="F2359" t="s">
        <v>39845</v>
      </c>
      <c r="G2359" t="s">
        <v>74</v>
      </c>
      <c r="H2359" t="s">
        <v>74</v>
      </c>
      <c r="I2359" t="s">
        <v>39846</v>
      </c>
      <c r="J2359" t="s">
        <v>4208</v>
      </c>
      <c r="K2359" t="s">
        <v>74</v>
      </c>
      <c r="L2359" t="s">
        <v>74</v>
      </c>
      <c r="M2359" t="s">
        <v>78</v>
      </c>
      <c r="N2359" t="s">
        <v>19497</v>
      </c>
      <c r="O2359" t="s">
        <v>74</v>
      </c>
      <c r="P2359" t="s">
        <v>74</v>
      </c>
      <c r="Q2359" t="s">
        <v>74</v>
      </c>
      <c r="R2359" t="s">
        <v>74</v>
      </c>
      <c r="S2359" t="s">
        <v>74</v>
      </c>
      <c r="T2359" t="s">
        <v>74</v>
      </c>
      <c r="U2359" t="s">
        <v>39847</v>
      </c>
      <c r="V2359" t="s">
        <v>39848</v>
      </c>
      <c r="W2359" t="s">
        <v>39849</v>
      </c>
      <c r="X2359" t="s">
        <v>21474</v>
      </c>
      <c r="Y2359" t="s">
        <v>21601</v>
      </c>
      <c r="Z2359" t="s">
        <v>21600</v>
      </c>
      <c r="AA2359" t="s">
        <v>21599</v>
      </c>
      <c r="AB2359" t="s">
        <v>74</v>
      </c>
      <c r="AC2359" t="s">
        <v>39850</v>
      </c>
      <c r="AD2359" t="s">
        <v>39851</v>
      </c>
      <c r="AE2359" t="s">
        <v>39852</v>
      </c>
      <c r="AF2359" t="s">
        <v>74</v>
      </c>
      <c r="AG2359">
        <v>141</v>
      </c>
      <c r="AH2359">
        <v>14</v>
      </c>
      <c r="AI2359">
        <v>18</v>
      </c>
      <c r="AJ2359">
        <v>1</v>
      </c>
      <c r="AK2359">
        <v>11</v>
      </c>
      <c r="AL2359" t="s">
        <v>4218</v>
      </c>
      <c r="AM2359" t="s">
        <v>4219</v>
      </c>
      <c r="AN2359" t="s">
        <v>4220</v>
      </c>
      <c r="AO2359" t="s">
        <v>74</v>
      </c>
      <c r="AP2359" t="s">
        <v>4221</v>
      </c>
      <c r="AQ2359" t="s">
        <v>74</v>
      </c>
      <c r="AR2359" t="s">
        <v>4208</v>
      </c>
      <c r="AS2359" t="s">
        <v>4222</v>
      </c>
      <c r="AT2359" t="s">
        <v>39853</v>
      </c>
      <c r="AU2359">
        <v>2023</v>
      </c>
      <c r="AV2359">
        <v>18</v>
      </c>
      <c r="AW2359">
        <v>6</v>
      </c>
      <c r="AX2359" t="s">
        <v>74</v>
      </c>
      <c r="AY2359" t="s">
        <v>74</v>
      </c>
      <c r="AZ2359" t="s">
        <v>74</v>
      </c>
      <c r="BA2359" t="s">
        <v>74</v>
      </c>
      <c r="BB2359" t="s">
        <v>74</v>
      </c>
      <c r="BC2359" t="s">
        <v>74</v>
      </c>
      <c r="BD2359" t="s">
        <v>39854</v>
      </c>
      <c r="BE2359" t="s">
        <v>39855</v>
      </c>
      <c r="BF2359" t="str">
        <f>HYPERLINK("http://dx.doi.org/10.1371/journal.pone.0287475","http://dx.doi.org/10.1371/journal.pone.0287475")</f>
        <v>http://dx.doi.org/10.1371/journal.pone.0287475</v>
      </c>
      <c r="BG2359" t="s">
        <v>74</v>
      </c>
      <c r="BH2359" t="s">
        <v>74</v>
      </c>
      <c r="BI2359">
        <v>28</v>
      </c>
      <c r="BJ2359" t="s">
        <v>559</v>
      </c>
      <c r="BK2359" t="s">
        <v>128</v>
      </c>
      <c r="BL2359" t="s">
        <v>560</v>
      </c>
      <c r="BM2359" t="s">
        <v>39856</v>
      </c>
      <c r="BN2359">
        <v>37327215</v>
      </c>
      <c r="BO2359" t="s">
        <v>916</v>
      </c>
      <c r="BP2359" t="s">
        <v>74</v>
      </c>
      <c r="BQ2359" t="s">
        <v>74</v>
      </c>
      <c r="BR2359" t="s">
        <v>102</v>
      </c>
      <c r="BS2359" t="s">
        <v>39857</v>
      </c>
      <c r="BT2359" t="str">
        <f>HYPERLINK("https%3A%2F%2Fwww.webofscience.com%2Fwos%2Fwoscc%2Ffull-record%2FWOS:001029859700026","View Full Record in Web of Science")</f>
        <v>View Full Record in Web of Science</v>
      </c>
    </row>
    <row r="2360" spans="1:72" x14ac:dyDescent="0.25">
      <c r="A2360" t="s">
        <v>72</v>
      </c>
      <c r="B2360" t="s">
        <v>39858</v>
      </c>
      <c r="C2360" t="s">
        <v>74</v>
      </c>
      <c r="D2360" t="s">
        <v>74</v>
      </c>
      <c r="E2360" t="s">
        <v>74</v>
      </c>
      <c r="F2360" t="s">
        <v>39859</v>
      </c>
      <c r="G2360" t="s">
        <v>74</v>
      </c>
      <c r="H2360" t="s">
        <v>74</v>
      </c>
      <c r="I2360" t="s">
        <v>39860</v>
      </c>
      <c r="J2360" t="s">
        <v>39861</v>
      </c>
      <c r="K2360" t="s">
        <v>74</v>
      </c>
      <c r="L2360" t="s">
        <v>74</v>
      </c>
      <c r="M2360" t="s">
        <v>78</v>
      </c>
      <c r="N2360" t="s">
        <v>79</v>
      </c>
      <c r="O2360" t="s">
        <v>74</v>
      </c>
      <c r="P2360" t="s">
        <v>74</v>
      </c>
      <c r="Q2360" t="s">
        <v>74</v>
      </c>
      <c r="R2360" t="s">
        <v>74</v>
      </c>
      <c r="S2360" t="s">
        <v>74</v>
      </c>
      <c r="T2360" t="s">
        <v>39862</v>
      </c>
      <c r="U2360" t="s">
        <v>39863</v>
      </c>
      <c r="V2360" t="s">
        <v>39864</v>
      </c>
      <c r="W2360" t="s">
        <v>39865</v>
      </c>
      <c r="X2360" t="s">
        <v>39866</v>
      </c>
      <c r="Y2360" t="s">
        <v>39867</v>
      </c>
      <c r="Z2360" t="s">
        <v>39868</v>
      </c>
      <c r="AA2360" t="s">
        <v>74</v>
      </c>
      <c r="AB2360" t="s">
        <v>39869</v>
      </c>
      <c r="AC2360" t="s">
        <v>74</v>
      </c>
      <c r="AD2360" t="s">
        <v>74</v>
      </c>
      <c r="AE2360" t="s">
        <v>74</v>
      </c>
      <c r="AF2360" t="s">
        <v>74</v>
      </c>
      <c r="AG2360">
        <v>78</v>
      </c>
      <c r="AH2360">
        <v>14</v>
      </c>
      <c r="AI2360">
        <v>19</v>
      </c>
      <c r="AJ2360">
        <v>0</v>
      </c>
      <c r="AK2360">
        <v>15</v>
      </c>
      <c r="AL2360" t="s">
        <v>89</v>
      </c>
      <c r="AM2360" t="s">
        <v>90</v>
      </c>
      <c r="AN2360" t="s">
        <v>91</v>
      </c>
      <c r="AO2360" t="s">
        <v>39870</v>
      </c>
      <c r="AP2360" t="s">
        <v>39871</v>
      </c>
      <c r="AQ2360" t="s">
        <v>74</v>
      </c>
      <c r="AR2360" t="s">
        <v>39872</v>
      </c>
      <c r="AS2360" t="s">
        <v>39873</v>
      </c>
      <c r="AT2360" t="s">
        <v>74</v>
      </c>
      <c r="AU2360">
        <v>2017</v>
      </c>
      <c r="AV2360">
        <v>30</v>
      </c>
      <c r="AW2360">
        <v>6</v>
      </c>
      <c r="AX2360" t="s">
        <v>74</v>
      </c>
      <c r="AY2360" t="s">
        <v>74</v>
      </c>
      <c r="AZ2360" t="s">
        <v>441</v>
      </c>
      <c r="BA2360" t="s">
        <v>74</v>
      </c>
      <c r="BB2360">
        <v>1344</v>
      </c>
      <c r="BC2360">
        <v>1369</v>
      </c>
      <c r="BD2360" t="s">
        <v>74</v>
      </c>
      <c r="BE2360" t="s">
        <v>39874</v>
      </c>
      <c r="BF2360" t="str">
        <f>HYPERLINK("http://dx.doi.org/10.1108/AAAJ-04-2016-2548","http://dx.doi.org/10.1108/AAAJ-04-2016-2548")</f>
        <v>http://dx.doi.org/10.1108/AAAJ-04-2016-2548</v>
      </c>
      <c r="BG2360" t="s">
        <v>74</v>
      </c>
      <c r="BH2360" t="s">
        <v>74</v>
      </c>
      <c r="BI2360">
        <v>26</v>
      </c>
      <c r="BJ2360" t="s">
        <v>268</v>
      </c>
      <c r="BK2360" t="s">
        <v>99</v>
      </c>
      <c r="BL2360" t="s">
        <v>100</v>
      </c>
      <c r="BM2360" t="s">
        <v>39875</v>
      </c>
      <c r="BN2360" t="s">
        <v>74</v>
      </c>
      <c r="BO2360" t="s">
        <v>74</v>
      </c>
      <c r="BP2360" t="s">
        <v>74</v>
      </c>
      <c r="BQ2360" t="s">
        <v>74</v>
      </c>
      <c r="BR2360" t="s">
        <v>102</v>
      </c>
      <c r="BS2360" t="s">
        <v>39876</v>
      </c>
      <c r="BT2360" t="str">
        <f>HYPERLINK("https%3A%2F%2Fwww.webofscience.com%2Fwos%2Fwoscc%2Ffull-record%2FWOS:000408582000006","View Full Record in Web of Science")</f>
        <v>View Full Record in Web of Science</v>
      </c>
    </row>
    <row r="2361" spans="1:72" x14ac:dyDescent="0.25">
      <c r="A2361" t="s">
        <v>72</v>
      </c>
      <c r="B2361" t="s">
        <v>39877</v>
      </c>
      <c r="C2361" t="s">
        <v>74</v>
      </c>
      <c r="D2361" t="s">
        <v>74</v>
      </c>
      <c r="E2361" t="s">
        <v>74</v>
      </c>
      <c r="F2361" t="s">
        <v>39878</v>
      </c>
      <c r="G2361" t="s">
        <v>74</v>
      </c>
      <c r="H2361" t="s">
        <v>74</v>
      </c>
      <c r="I2361" t="s">
        <v>39879</v>
      </c>
      <c r="J2361" t="s">
        <v>39880</v>
      </c>
      <c r="K2361" t="s">
        <v>74</v>
      </c>
      <c r="L2361" t="s">
        <v>74</v>
      </c>
      <c r="M2361" t="s">
        <v>78</v>
      </c>
      <c r="N2361" t="s">
        <v>1766</v>
      </c>
      <c r="O2361" t="s">
        <v>74</v>
      </c>
      <c r="P2361" t="s">
        <v>74</v>
      </c>
      <c r="Q2361" t="s">
        <v>74</v>
      </c>
      <c r="R2361" t="s">
        <v>74</v>
      </c>
      <c r="S2361" t="s">
        <v>74</v>
      </c>
      <c r="T2361" t="s">
        <v>39881</v>
      </c>
      <c r="U2361" t="s">
        <v>39882</v>
      </c>
      <c r="V2361" t="s">
        <v>39883</v>
      </c>
      <c r="W2361" t="s">
        <v>39884</v>
      </c>
      <c r="X2361" t="s">
        <v>39885</v>
      </c>
      <c r="Y2361" t="s">
        <v>39886</v>
      </c>
      <c r="Z2361" t="s">
        <v>39887</v>
      </c>
      <c r="AA2361" t="s">
        <v>39888</v>
      </c>
      <c r="AB2361" t="s">
        <v>39889</v>
      </c>
      <c r="AC2361" t="s">
        <v>74</v>
      </c>
      <c r="AD2361" t="s">
        <v>74</v>
      </c>
      <c r="AE2361" t="s">
        <v>74</v>
      </c>
      <c r="AF2361" t="s">
        <v>74</v>
      </c>
      <c r="AG2361">
        <v>71</v>
      </c>
      <c r="AH2361">
        <v>19</v>
      </c>
      <c r="AI2361">
        <v>25</v>
      </c>
      <c r="AJ2361">
        <v>4</v>
      </c>
      <c r="AK2361">
        <v>25</v>
      </c>
      <c r="AL2361" t="s">
        <v>39890</v>
      </c>
      <c r="AM2361" t="s">
        <v>39891</v>
      </c>
      <c r="AN2361" t="s">
        <v>39892</v>
      </c>
      <c r="AO2361" t="s">
        <v>39893</v>
      </c>
      <c r="AP2361" t="s">
        <v>39894</v>
      </c>
      <c r="AQ2361" t="s">
        <v>74</v>
      </c>
      <c r="AR2361" t="s">
        <v>39895</v>
      </c>
      <c r="AS2361" t="s">
        <v>39896</v>
      </c>
      <c r="AT2361" t="s">
        <v>74</v>
      </c>
      <c r="AU2361">
        <v>2023</v>
      </c>
      <c r="AV2361">
        <v>7</v>
      </c>
      <c r="AW2361">
        <v>2</v>
      </c>
      <c r="AX2361" t="s">
        <v>74</v>
      </c>
      <c r="AY2361" t="s">
        <v>74</v>
      </c>
      <c r="AZ2361" t="s">
        <v>74</v>
      </c>
      <c r="BA2361" t="s">
        <v>74</v>
      </c>
      <c r="BB2361">
        <v>24</v>
      </c>
      <c r="BC2361">
        <v>40</v>
      </c>
      <c r="BD2361" t="s">
        <v>74</v>
      </c>
      <c r="BE2361" t="s">
        <v>39897</v>
      </c>
      <c r="BF2361" t="str">
        <f>HYPERLINK("http://dx.doi.org/10.31520/2616-7107/2023.7.2-2","http://dx.doi.org/10.31520/2616-7107/2023.7.2-2")</f>
        <v>http://dx.doi.org/10.31520/2616-7107/2023.7.2-2</v>
      </c>
      <c r="BG2361" t="s">
        <v>74</v>
      </c>
      <c r="BH2361" t="s">
        <v>74</v>
      </c>
      <c r="BI2361">
        <v>17</v>
      </c>
      <c r="BJ2361" t="s">
        <v>1453</v>
      </c>
      <c r="BK2361" t="s">
        <v>313</v>
      </c>
      <c r="BL2361" t="s">
        <v>100</v>
      </c>
      <c r="BM2361" t="s">
        <v>39898</v>
      </c>
      <c r="BN2361" t="s">
        <v>74</v>
      </c>
      <c r="BO2361" t="s">
        <v>212</v>
      </c>
      <c r="BP2361" t="s">
        <v>74</v>
      </c>
      <c r="BQ2361" t="s">
        <v>74</v>
      </c>
      <c r="BR2361" t="s">
        <v>102</v>
      </c>
      <c r="BS2361" t="s">
        <v>39899</v>
      </c>
      <c r="BT2361" t="str">
        <f>HYPERLINK("https%3A%2F%2Fwww.webofscience.com%2Fwos%2Fwoscc%2Ffull-record%2FWOS:001030420200002","View Full Record in Web of Science")</f>
        <v>View Full Record in Web of Science</v>
      </c>
    </row>
    <row r="2362" spans="1:72" x14ac:dyDescent="0.25">
      <c r="A2362" t="s">
        <v>72</v>
      </c>
      <c r="B2362" t="s">
        <v>39900</v>
      </c>
      <c r="C2362" t="s">
        <v>74</v>
      </c>
      <c r="D2362" t="s">
        <v>74</v>
      </c>
      <c r="E2362" t="s">
        <v>74</v>
      </c>
      <c r="F2362" t="s">
        <v>39901</v>
      </c>
      <c r="G2362" t="s">
        <v>74</v>
      </c>
      <c r="H2362" t="s">
        <v>74</v>
      </c>
      <c r="I2362" t="s">
        <v>39902</v>
      </c>
      <c r="J2362" t="s">
        <v>3896</v>
      </c>
      <c r="K2362" t="s">
        <v>74</v>
      </c>
      <c r="L2362" t="s">
        <v>74</v>
      </c>
      <c r="M2362" t="s">
        <v>78</v>
      </c>
      <c r="N2362" t="s">
        <v>372</v>
      </c>
      <c r="O2362" t="s">
        <v>74</v>
      </c>
      <c r="P2362" t="s">
        <v>74</v>
      </c>
      <c r="Q2362" t="s">
        <v>74</v>
      </c>
      <c r="R2362" t="s">
        <v>74</v>
      </c>
      <c r="S2362" t="s">
        <v>74</v>
      </c>
      <c r="T2362" t="s">
        <v>39903</v>
      </c>
      <c r="U2362" t="s">
        <v>39904</v>
      </c>
      <c r="V2362" t="s">
        <v>39905</v>
      </c>
      <c r="W2362" t="s">
        <v>39906</v>
      </c>
      <c r="X2362" t="s">
        <v>39907</v>
      </c>
      <c r="Y2362" t="s">
        <v>39908</v>
      </c>
      <c r="Z2362" t="s">
        <v>39909</v>
      </c>
      <c r="AA2362" t="s">
        <v>39910</v>
      </c>
      <c r="AB2362" t="s">
        <v>39911</v>
      </c>
      <c r="AC2362" t="s">
        <v>26551</v>
      </c>
      <c r="AD2362" t="s">
        <v>26551</v>
      </c>
      <c r="AE2362" t="s">
        <v>39912</v>
      </c>
      <c r="AF2362" t="s">
        <v>74</v>
      </c>
      <c r="AG2362">
        <v>32</v>
      </c>
      <c r="AH2362">
        <v>0</v>
      </c>
      <c r="AI2362">
        <v>0</v>
      </c>
      <c r="AJ2362">
        <v>10</v>
      </c>
      <c r="AK2362">
        <v>10</v>
      </c>
      <c r="AL2362" t="s">
        <v>3861</v>
      </c>
      <c r="AM2362" t="s">
        <v>2016</v>
      </c>
      <c r="AN2362" t="s">
        <v>3862</v>
      </c>
      <c r="AO2362" t="s">
        <v>3907</v>
      </c>
      <c r="AP2362" t="s">
        <v>3908</v>
      </c>
      <c r="AQ2362" t="s">
        <v>74</v>
      </c>
      <c r="AR2362" t="s">
        <v>3909</v>
      </c>
      <c r="AS2362" t="s">
        <v>3910</v>
      </c>
      <c r="AT2362" t="s">
        <v>39913</v>
      </c>
      <c r="AU2362">
        <v>2025</v>
      </c>
      <c r="AV2362" t="s">
        <v>74</v>
      </c>
      <c r="AW2362" t="s">
        <v>74</v>
      </c>
      <c r="AX2362" t="s">
        <v>74</v>
      </c>
      <c r="AY2362" t="s">
        <v>74</v>
      </c>
      <c r="AZ2362" t="s">
        <v>74</v>
      </c>
      <c r="BA2362" t="s">
        <v>74</v>
      </c>
      <c r="BB2362" t="s">
        <v>74</v>
      </c>
      <c r="BC2362" t="s">
        <v>74</v>
      </c>
      <c r="BD2362" t="s">
        <v>74</v>
      </c>
      <c r="BE2362" t="s">
        <v>39914</v>
      </c>
      <c r="BF2362" t="str">
        <f>HYPERLINK("http://dx.doi.org/10.1017/S1474747225100024","http://dx.doi.org/10.1017/S1474747225100024")</f>
        <v>http://dx.doi.org/10.1017/S1474747225100024</v>
      </c>
      <c r="BG2362" t="s">
        <v>74</v>
      </c>
      <c r="BH2362" t="s">
        <v>3389</v>
      </c>
      <c r="BI2362">
        <v>18</v>
      </c>
      <c r="BJ2362" t="s">
        <v>210</v>
      </c>
      <c r="BK2362" t="s">
        <v>99</v>
      </c>
      <c r="BL2362" t="s">
        <v>100</v>
      </c>
      <c r="BM2362" t="s">
        <v>39915</v>
      </c>
      <c r="BN2362" t="s">
        <v>74</v>
      </c>
      <c r="BO2362" t="s">
        <v>270</v>
      </c>
      <c r="BP2362" t="s">
        <v>74</v>
      </c>
      <c r="BQ2362" t="s">
        <v>74</v>
      </c>
      <c r="BR2362" t="s">
        <v>102</v>
      </c>
      <c r="BS2362" t="s">
        <v>39916</v>
      </c>
      <c r="BT2362" t="str">
        <f>HYPERLINK("https%3A%2F%2Fwww.webofscience.com%2Fwos%2Fwoscc%2Ffull-record%2FWOS:001528963700001","View Full Record in Web of Science")</f>
        <v>View Full Record in Web of Science</v>
      </c>
    </row>
    <row r="2363" spans="1:72" x14ac:dyDescent="0.25">
      <c r="A2363" t="s">
        <v>72</v>
      </c>
      <c r="B2363" t="s">
        <v>39917</v>
      </c>
      <c r="C2363" t="s">
        <v>74</v>
      </c>
      <c r="D2363" t="s">
        <v>74</v>
      </c>
      <c r="E2363" t="s">
        <v>74</v>
      </c>
      <c r="F2363" t="s">
        <v>39918</v>
      </c>
      <c r="G2363" t="s">
        <v>74</v>
      </c>
      <c r="H2363" t="s">
        <v>74</v>
      </c>
      <c r="I2363" t="s">
        <v>39919</v>
      </c>
      <c r="J2363" t="s">
        <v>39920</v>
      </c>
      <c r="K2363" t="s">
        <v>74</v>
      </c>
      <c r="L2363" t="s">
        <v>74</v>
      </c>
      <c r="M2363" t="s">
        <v>78</v>
      </c>
      <c r="N2363" t="s">
        <v>79</v>
      </c>
      <c r="O2363" t="s">
        <v>74</v>
      </c>
      <c r="P2363" t="s">
        <v>74</v>
      </c>
      <c r="Q2363" t="s">
        <v>74</v>
      </c>
      <c r="R2363" t="s">
        <v>74</v>
      </c>
      <c r="S2363" t="s">
        <v>74</v>
      </c>
      <c r="T2363" t="s">
        <v>39921</v>
      </c>
      <c r="U2363" t="s">
        <v>39922</v>
      </c>
      <c r="V2363" t="s">
        <v>39923</v>
      </c>
      <c r="W2363" t="s">
        <v>39924</v>
      </c>
      <c r="X2363" t="s">
        <v>19324</v>
      </c>
      <c r="Y2363" t="s">
        <v>39925</v>
      </c>
      <c r="Z2363" t="s">
        <v>74</v>
      </c>
      <c r="AA2363" t="s">
        <v>74</v>
      </c>
      <c r="AB2363" t="s">
        <v>39926</v>
      </c>
      <c r="AC2363" t="s">
        <v>39927</v>
      </c>
      <c r="AD2363" t="s">
        <v>39928</v>
      </c>
      <c r="AE2363" t="s">
        <v>39929</v>
      </c>
      <c r="AF2363" t="s">
        <v>74</v>
      </c>
      <c r="AG2363">
        <v>66</v>
      </c>
      <c r="AH2363">
        <v>52</v>
      </c>
      <c r="AI2363">
        <v>60</v>
      </c>
      <c r="AJ2363">
        <v>2</v>
      </c>
      <c r="AK2363">
        <v>30</v>
      </c>
      <c r="AL2363" t="s">
        <v>201</v>
      </c>
      <c r="AM2363" t="s">
        <v>202</v>
      </c>
      <c r="AN2363" t="s">
        <v>203</v>
      </c>
      <c r="AO2363" t="s">
        <v>39930</v>
      </c>
      <c r="AP2363" t="s">
        <v>39931</v>
      </c>
      <c r="AQ2363" t="s">
        <v>74</v>
      </c>
      <c r="AR2363" t="s">
        <v>39932</v>
      </c>
      <c r="AS2363" t="s">
        <v>39933</v>
      </c>
      <c r="AT2363" t="s">
        <v>124</v>
      </c>
      <c r="AU2363">
        <v>2020</v>
      </c>
      <c r="AV2363">
        <v>44</v>
      </c>
      <c r="AW2363">
        <v>4</v>
      </c>
      <c r="AX2363" t="s">
        <v>74</v>
      </c>
      <c r="AY2363" t="s">
        <v>74</v>
      </c>
      <c r="AZ2363" t="s">
        <v>74</v>
      </c>
      <c r="BA2363" t="s">
        <v>74</v>
      </c>
      <c r="BB2363" t="s">
        <v>74</v>
      </c>
      <c r="BC2363" t="s">
        <v>74</v>
      </c>
      <c r="BD2363">
        <v>100836</v>
      </c>
      <c r="BE2363" t="s">
        <v>39934</v>
      </c>
      <c r="BF2363" t="str">
        <f>HYPERLINK("http://dx.doi.org/10.1016/j.ecosys.2020.100836","http://dx.doi.org/10.1016/j.ecosys.2020.100836")</f>
        <v>http://dx.doi.org/10.1016/j.ecosys.2020.100836</v>
      </c>
      <c r="BG2363" t="s">
        <v>74</v>
      </c>
      <c r="BH2363" t="s">
        <v>74</v>
      </c>
      <c r="BI2363">
        <v>11</v>
      </c>
      <c r="BJ2363" t="s">
        <v>291</v>
      </c>
      <c r="BK2363" t="s">
        <v>99</v>
      </c>
      <c r="BL2363" t="s">
        <v>100</v>
      </c>
      <c r="BM2363" t="s">
        <v>39935</v>
      </c>
      <c r="BN2363" t="s">
        <v>74</v>
      </c>
      <c r="BO2363" t="s">
        <v>74</v>
      </c>
      <c r="BP2363" t="s">
        <v>74</v>
      </c>
      <c r="BQ2363" t="s">
        <v>74</v>
      </c>
      <c r="BR2363" t="s">
        <v>102</v>
      </c>
      <c r="BS2363" t="s">
        <v>39936</v>
      </c>
      <c r="BT2363" t="str">
        <f>HYPERLINK("https%3A%2F%2Fwww.webofscience.com%2Fwos%2Fwoscc%2Ffull-record%2FWOS:000600761000015","View Full Record in Web of Science")</f>
        <v>View Full Record in Web of Science</v>
      </c>
    </row>
    <row r="2364" spans="1:72" x14ac:dyDescent="0.25">
      <c r="A2364" t="s">
        <v>72</v>
      </c>
      <c r="B2364" t="s">
        <v>39937</v>
      </c>
      <c r="C2364" t="s">
        <v>74</v>
      </c>
      <c r="D2364" t="s">
        <v>74</v>
      </c>
      <c r="E2364" t="s">
        <v>74</v>
      </c>
      <c r="F2364" t="s">
        <v>39938</v>
      </c>
      <c r="G2364" t="s">
        <v>74</v>
      </c>
      <c r="H2364" t="s">
        <v>74</v>
      </c>
      <c r="I2364" t="s">
        <v>39939</v>
      </c>
      <c r="J2364" t="s">
        <v>320</v>
      </c>
      <c r="K2364" t="s">
        <v>74</v>
      </c>
      <c r="L2364" t="s">
        <v>74</v>
      </c>
      <c r="M2364" t="s">
        <v>78</v>
      </c>
      <c r="N2364" t="s">
        <v>79</v>
      </c>
      <c r="O2364" t="s">
        <v>74</v>
      </c>
      <c r="P2364" t="s">
        <v>74</v>
      </c>
      <c r="Q2364" t="s">
        <v>74</v>
      </c>
      <c r="R2364" t="s">
        <v>74</v>
      </c>
      <c r="S2364" t="s">
        <v>74</v>
      </c>
      <c r="T2364" t="s">
        <v>39940</v>
      </c>
      <c r="U2364" t="s">
        <v>39941</v>
      </c>
      <c r="V2364" t="s">
        <v>39942</v>
      </c>
      <c r="W2364" t="s">
        <v>39943</v>
      </c>
      <c r="X2364" t="s">
        <v>39944</v>
      </c>
      <c r="Y2364" t="s">
        <v>39945</v>
      </c>
      <c r="Z2364" t="s">
        <v>39946</v>
      </c>
      <c r="AA2364" t="s">
        <v>74</v>
      </c>
      <c r="AB2364" t="s">
        <v>39947</v>
      </c>
      <c r="AC2364" t="s">
        <v>74</v>
      </c>
      <c r="AD2364" t="s">
        <v>74</v>
      </c>
      <c r="AE2364" t="s">
        <v>74</v>
      </c>
      <c r="AF2364" t="s">
        <v>74</v>
      </c>
      <c r="AG2364">
        <v>105</v>
      </c>
      <c r="AH2364">
        <v>35</v>
      </c>
      <c r="AI2364">
        <v>38</v>
      </c>
      <c r="AJ2364">
        <v>1</v>
      </c>
      <c r="AK2364">
        <v>10</v>
      </c>
      <c r="AL2364" t="s">
        <v>332</v>
      </c>
      <c r="AM2364" t="s">
        <v>333</v>
      </c>
      <c r="AN2364" t="s">
        <v>334</v>
      </c>
      <c r="AO2364" t="s">
        <v>335</v>
      </c>
      <c r="AP2364" t="s">
        <v>336</v>
      </c>
      <c r="AQ2364" t="s">
        <v>74</v>
      </c>
      <c r="AR2364" t="s">
        <v>337</v>
      </c>
      <c r="AS2364" t="s">
        <v>338</v>
      </c>
      <c r="AT2364" t="s">
        <v>8848</v>
      </c>
      <c r="AU2364">
        <v>2023</v>
      </c>
      <c r="AV2364">
        <v>30</v>
      </c>
      <c r="AW2364">
        <v>3</v>
      </c>
      <c r="AX2364" t="s">
        <v>74</v>
      </c>
      <c r="AY2364" t="s">
        <v>74</v>
      </c>
      <c r="AZ2364" t="s">
        <v>74</v>
      </c>
      <c r="BA2364" t="s">
        <v>74</v>
      </c>
      <c r="BB2364">
        <v>1073</v>
      </c>
      <c r="BC2364">
        <v>1097</v>
      </c>
      <c r="BD2364" t="s">
        <v>74</v>
      </c>
      <c r="BE2364" t="s">
        <v>39948</v>
      </c>
      <c r="BF2364" t="str">
        <f>HYPERLINK("http://dx.doi.org/10.1080/09692290.2022.2078857","http://dx.doi.org/10.1080/09692290.2022.2078857")</f>
        <v>http://dx.doi.org/10.1080/09692290.2022.2078857</v>
      </c>
      <c r="BG2364" t="s">
        <v>74</v>
      </c>
      <c r="BH2364" t="s">
        <v>1091</v>
      </c>
      <c r="BI2364">
        <v>25</v>
      </c>
      <c r="BJ2364" t="s">
        <v>342</v>
      </c>
      <c r="BK2364" t="s">
        <v>99</v>
      </c>
      <c r="BL2364" t="s">
        <v>343</v>
      </c>
      <c r="BM2364" t="s">
        <v>39949</v>
      </c>
      <c r="BN2364" t="s">
        <v>74</v>
      </c>
      <c r="BO2364" t="s">
        <v>466</v>
      </c>
      <c r="BP2364" t="s">
        <v>74</v>
      </c>
      <c r="BQ2364" t="s">
        <v>74</v>
      </c>
      <c r="BR2364" t="s">
        <v>102</v>
      </c>
      <c r="BS2364" t="s">
        <v>39950</v>
      </c>
      <c r="BT2364" t="str">
        <f>HYPERLINK("https%3A%2F%2Fwww.webofscience.com%2Fwos%2Fwoscc%2Ffull-record%2FWOS:000810443100001","View Full Record in Web of Science")</f>
        <v>View Full Record in Web of Science</v>
      </c>
    </row>
    <row r="2365" spans="1:72" x14ac:dyDescent="0.25">
      <c r="A2365" t="s">
        <v>72</v>
      </c>
      <c r="B2365" t="s">
        <v>39951</v>
      </c>
      <c r="C2365" t="s">
        <v>74</v>
      </c>
      <c r="D2365" t="s">
        <v>74</v>
      </c>
      <c r="E2365" t="s">
        <v>74</v>
      </c>
      <c r="F2365" t="s">
        <v>39952</v>
      </c>
      <c r="G2365" t="s">
        <v>74</v>
      </c>
      <c r="H2365" t="s">
        <v>74</v>
      </c>
      <c r="I2365" t="s">
        <v>39953</v>
      </c>
      <c r="J2365" t="s">
        <v>2763</v>
      </c>
      <c r="K2365" t="s">
        <v>74</v>
      </c>
      <c r="L2365" t="s">
        <v>74</v>
      </c>
      <c r="M2365" t="s">
        <v>78</v>
      </c>
      <c r="N2365" t="s">
        <v>372</v>
      </c>
      <c r="O2365" t="s">
        <v>74</v>
      </c>
      <c r="P2365" t="s">
        <v>74</v>
      </c>
      <c r="Q2365" t="s">
        <v>74</v>
      </c>
      <c r="R2365" t="s">
        <v>74</v>
      </c>
      <c r="S2365" t="s">
        <v>74</v>
      </c>
      <c r="T2365" t="s">
        <v>39954</v>
      </c>
      <c r="U2365" t="s">
        <v>39955</v>
      </c>
      <c r="V2365" t="s">
        <v>39956</v>
      </c>
      <c r="W2365" t="s">
        <v>39957</v>
      </c>
      <c r="X2365" t="s">
        <v>36593</v>
      </c>
      <c r="Y2365" t="s">
        <v>39958</v>
      </c>
      <c r="Z2365" t="s">
        <v>39959</v>
      </c>
      <c r="AA2365" t="s">
        <v>39960</v>
      </c>
      <c r="AB2365" t="s">
        <v>39961</v>
      </c>
      <c r="AC2365" t="s">
        <v>39962</v>
      </c>
      <c r="AD2365" t="s">
        <v>39963</v>
      </c>
      <c r="AE2365" t="s">
        <v>39964</v>
      </c>
      <c r="AF2365" t="s">
        <v>74</v>
      </c>
      <c r="AG2365">
        <v>47</v>
      </c>
      <c r="AH2365">
        <v>0</v>
      </c>
      <c r="AI2365">
        <v>0</v>
      </c>
      <c r="AJ2365">
        <v>3</v>
      </c>
      <c r="AK2365">
        <v>3</v>
      </c>
      <c r="AL2365" t="s">
        <v>479</v>
      </c>
      <c r="AM2365" t="s">
        <v>480</v>
      </c>
      <c r="AN2365" t="s">
        <v>481</v>
      </c>
      <c r="AO2365" t="s">
        <v>2776</v>
      </c>
      <c r="AP2365" t="s">
        <v>2777</v>
      </c>
      <c r="AQ2365" t="s">
        <v>74</v>
      </c>
      <c r="AR2365" t="s">
        <v>2778</v>
      </c>
      <c r="AS2365" t="s">
        <v>2779</v>
      </c>
      <c r="AT2365" t="s">
        <v>39965</v>
      </c>
      <c r="AU2365">
        <v>2025</v>
      </c>
      <c r="AV2365" t="s">
        <v>74</v>
      </c>
      <c r="AW2365" t="s">
        <v>74</v>
      </c>
      <c r="AX2365" t="s">
        <v>74</v>
      </c>
      <c r="AY2365" t="s">
        <v>74</v>
      </c>
      <c r="AZ2365" t="s">
        <v>74</v>
      </c>
      <c r="BA2365" t="s">
        <v>74</v>
      </c>
      <c r="BB2365" t="s">
        <v>74</v>
      </c>
      <c r="BC2365" t="s">
        <v>74</v>
      </c>
      <c r="BD2365" t="s">
        <v>74</v>
      </c>
      <c r="BE2365" t="s">
        <v>39966</v>
      </c>
      <c r="BF2365" t="str">
        <f>HYPERLINK("http://dx.doi.org/10.1111/rode.70033","http://dx.doi.org/10.1111/rode.70033")</f>
        <v>http://dx.doi.org/10.1111/rode.70033</v>
      </c>
      <c r="BG2365" t="s">
        <v>74</v>
      </c>
      <c r="BH2365" t="s">
        <v>3389</v>
      </c>
      <c r="BI2365">
        <v>17</v>
      </c>
      <c r="BJ2365" t="s">
        <v>701</v>
      </c>
      <c r="BK2365" t="s">
        <v>99</v>
      </c>
      <c r="BL2365" t="s">
        <v>702</v>
      </c>
      <c r="BM2365" t="s">
        <v>39967</v>
      </c>
      <c r="BN2365" t="s">
        <v>74</v>
      </c>
      <c r="BO2365" t="s">
        <v>270</v>
      </c>
      <c r="BP2365" t="s">
        <v>74</v>
      </c>
      <c r="BQ2365" t="s">
        <v>74</v>
      </c>
      <c r="BR2365" t="s">
        <v>102</v>
      </c>
      <c r="BS2365" t="s">
        <v>39968</v>
      </c>
      <c r="BT2365" t="str">
        <f>HYPERLINK("https%3A%2F%2Fwww.webofscience.com%2Fwos%2Fwoscc%2Ffull-record%2FWOS:001540209000001","View Full Record in Web of Science")</f>
        <v>View Full Record in Web of Science</v>
      </c>
    </row>
    <row r="2366" spans="1:72" x14ac:dyDescent="0.25">
      <c r="A2366" t="s">
        <v>72</v>
      </c>
      <c r="B2366" t="s">
        <v>39969</v>
      </c>
      <c r="C2366" t="s">
        <v>74</v>
      </c>
      <c r="D2366" t="s">
        <v>74</v>
      </c>
      <c r="E2366" t="s">
        <v>74</v>
      </c>
      <c r="F2366" t="s">
        <v>39970</v>
      </c>
      <c r="G2366" t="s">
        <v>74</v>
      </c>
      <c r="H2366" t="s">
        <v>74</v>
      </c>
      <c r="I2366" t="s">
        <v>39971</v>
      </c>
      <c r="J2366" t="s">
        <v>39972</v>
      </c>
      <c r="K2366" t="s">
        <v>74</v>
      </c>
      <c r="L2366" t="s">
        <v>74</v>
      </c>
      <c r="M2366" t="s">
        <v>78</v>
      </c>
      <c r="N2366" t="s">
        <v>79</v>
      </c>
      <c r="O2366" t="s">
        <v>74</v>
      </c>
      <c r="P2366" t="s">
        <v>74</v>
      </c>
      <c r="Q2366" t="s">
        <v>74</v>
      </c>
      <c r="R2366" t="s">
        <v>74</v>
      </c>
      <c r="S2366" t="s">
        <v>74</v>
      </c>
      <c r="T2366" t="s">
        <v>39973</v>
      </c>
      <c r="U2366" t="s">
        <v>39974</v>
      </c>
      <c r="V2366" t="s">
        <v>39975</v>
      </c>
      <c r="W2366" t="s">
        <v>39976</v>
      </c>
      <c r="X2366" t="s">
        <v>39977</v>
      </c>
      <c r="Y2366" t="s">
        <v>39978</v>
      </c>
      <c r="Z2366" t="s">
        <v>39979</v>
      </c>
      <c r="AA2366" t="s">
        <v>74</v>
      </c>
      <c r="AB2366" t="s">
        <v>39980</v>
      </c>
      <c r="AC2366" t="s">
        <v>74</v>
      </c>
      <c r="AD2366" t="s">
        <v>74</v>
      </c>
      <c r="AE2366" t="s">
        <v>74</v>
      </c>
      <c r="AF2366" t="s">
        <v>74</v>
      </c>
      <c r="AG2366">
        <v>71</v>
      </c>
      <c r="AH2366">
        <v>33</v>
      </c>
      <c r="AI2366">
        <v>40</v>
      </c>
      <c r="AJ2366">
        <v>0</v>
      </c>
      <c r="AK2366">
        <v>36</v>
      </c>
      <c r="AL2366" t="s">
        <v>757</v>
      </c>
      <c r="AM2366" t="s">
        <v>758</v>
      </c>
      <c r="AN2366" t="s">
        <v>759</v>
      </c>
      <c r="AO2366" t="s">
        <v>39981</v>
      </c>
      <c r="AP2366" t="s">
        <v>39982</v>
      </c>
      <c r="AQ2366" t="s">
        <v>74</v>
      </c>
      <c r="AR2366" t="s">
        <v>39983</v>
      </c>
      <c r="AS2366" t="s">
        <v>39984</v>
      </c>
      <c r="AT2366" t="s">
        <v>698</v>
      </c>
      <c r="AU2366">
        <v>2021</v>
      </c>
      <c r="AV2366">
        <v>47</v>
      </c>
      <c r="AW2366">
        <v>6</v>
      </c>
      <c r="AX2366" t="s">
        <v>74</v>
      </c>
      <c r="AY2366" t="s">
        <v>74</v>
      </c>
      <c r="AZ2366" t="s">
        <v>74</v>
      </c>
      <c r="BA2366" t="s">
        <v>74</v>
      </c>
      <c r="BB2366">
        <v>977</v>
      </c>
      <c r="BC2366">
        <v>992</v>
      </c>
      <c r="BD2366">
        <v>896920519894635</v>
      </c>
      <c r="BE2366" t="s">
        <v>39985</v>
      </c>
      <c r="BF2366" t="str">
        <f>HYPERLINK("http://dx.doi.org/10.1177/0896920519894635","http://dx.doi.org/10.1177/0896920519894635")</f>
        <v>http://dx.doi.org/10.1177/0896920519894635</v>
      </c>
      <c r="BG2366" t="s">
        <v>74</v>
      </c>
      <c r="BH2366" t="s">
        <v>2621</v>
      </c>
      <c r="BI2366">
        <v>16</v>
      </c>
      <c r="BJ2366" t="s">
        <v>5129</v>
      </c>
      <c r="BK2366" t="s">
        <v>99</v>
      </c>
      <c r="BL2366" t="s">
        <v>5129</v>
      </c>
      <c r="BM2366" t="s">
        <v>39986</v>
      </c>
      <c r="BN2366" t="s">
        <v>74</v>
      </c>
      <c r="BO2366" t="s">
        <v>74</v>
      </c>
      <c r="BP2366" t="s">
        <v>74</v>
      </c>
      <c r="BQ2366" t="s">
        <v>74</v>
      </c>
      <c r="BR2366" t="s">
        <v>102</v>
      </c>
      <c r="BS2366" t="s">
        <v>39987</v>
      </c>
      <c r="BT2366" t="str">
        <f>HYPERLINK("https%3A%2F%2Fwww.webofscience.com%2Fwos%2Fwoscc%2Ffull-record%2FWOS:000512268000001","View Full Record in Web of Science")</f>
        <v>View Full Record in Web of Science</v>
      </c>
    </row>
    <row r="2367" spans="1:72" x14ac:dyDescent="0.25">
      <c r="A2367" t="s">
        <v>72</v>
      </c>
      <c r="B2367" t="s">
        <v>39988</v>
      </c>
      <c r="C2367" t="s">
        <v>74</v>
      </c>
      <c r="D2367" t="s">
        <v>74</v>
      </c>
      <c r="E2367" t="s">
        <v>74</v>
      </c>
      <c r="F2367" t="s">
        <v>39989</v>
      </c>
      <c r="G2367" t="s">
        <v>74</v>
      </c>
      <c r="H2367" t="s">
        <v>74</v>
      </c>
      <c r="I2367" t="s">
        <v>39990</v>
      </c>
      <c r="J2367" t="s">
        <v>39991</v>
      </c>
      <c r="K2367" t="s">
        <v>74</v>
      </c>
      <c r="L2367" t="s">
        <v>74</v>
      </c>
      <c r="M2367" t="s">
        <v>78</v>
      </c>
      <c r="N2367" t="s">
        <v>79</v>
      </c>
      <c r="O2367" t="s">
        <v>74</v>
      </c>
      <c r="P2367" t="s">
        <v>74</v>
      </c>
      <c r="Q2367" t="s">
        <v>74</v>
      </c>
      <c r="R2367" t="s">
        <v>74</v>
      </c>
      <c r="S2367" t="s">
        <v>74</v>
      </c>
      <c r="T2367" t="s">
        <v>39992</v>
      </c>
      <c r="U2367" t="s">
        <v>39993</v>
      </c>
      <c r="V2367" t="s">
        <v>39994</v>
      </c>
      <c r="W2367" t="s">
        <v>39995</v>
      </c>
      <c r="X2367" t="s">
        <v>39996</v>
      </c>
      <c r="Y2367" t="s">
        <v>39997</v>
      </c>
      <c r="Z2367" t="s">
        <v>39998</v>
      </c>
      <c r="AA2367" t="s">
        <v>74</v>
      </c>
      <c r="AB2367" t="s">
        <v>74</v>
      </c>
      <c r="AC2367" t="s">
        <v>74</v>
      </c>
      <c r="AD2367" t="s">
        <v>74</v>
      </c>
      <c r="AE2367" t="s">
        <v>74</v>
      </c>
      <c r="AF2367" t="s">
        <v>74</v>
      </c>
      <c r="AG2367">
        <v>52</v>
      </c>
      <c r="AH2367">
        <v>0</v>
      </c>
      <c r="AI2367">
        <v>0</v>
      </c>
      <c r="AJ2367">
        <v>3</v>
      </c>
      <c r="AK2367">
        <v>3</v>
      </c>
      <c r="AL2367" t="s">
        <v>332</v>
      </c>
      <c r="AM2367" t="s">
        <v>333</v>
      </c>
      <c r="AN2367" t="s">
        <v>334</v>
      </c>
      <c r="AO2367" t="s">
        <v>39999</v>
      </c>
      <c r="AP2367" t="s">
        <v>40000</v>
      </c>
      <c r="AQ2367" t="s">
        <v>74</v>
      </c>
      <c r="AR2367" t="s">
        <v>40001</v>
      </c>
      <c r="AS2367" t="s">
        <v>40002</v>
      </c>
      <c r="AT2367" t="s">
        <v>2082</v>
      </c>
      <c r="AU2367">
        <v>2025</v>
      </c>
      <c r="AV2367">
        <v>48</v>
      </c>
      <c r="AW2367">
        <v>4</v>
      </c>
      <c r="AX2367" t="s">
        <v>74</v>
      </c>
      <c r="AY2367" t="s">
        <v>74</v>
      </c>
      <c r="AZ2367" t="s">
        <v>74</v>
      </c>
      <c r="BA2367" t="s">
        <v>74</v>
      </c>
      <c r="BB2367">
        <v>824</v>
      </c>
      <c r="BC2367">
        <v>845</v>
      </c>
      <c r="BD2367" t="s">
        <v>74</v>
      </c>
      <c r="BE2367" t="s">
        <v>40003</v>
      </c>
      <c r="BF2367" t="str">
        <f>HYPERLINK("http://dx.doi.org/10.1080/00856401.2025.2538338","http://dx.doi.org/10.1080/00856401.2025.2538338")</f>
        <v>http://dx.doi.org/10.1080/00856401.2025.2538338</v>
      </c>
      <c r="BG2367" t="s">
        <v>74</v>
      </c>
      <c r="BH2367" t="s">
        <v>5030</v>
      </c>
      <c r="BI2367">
        <v>22</v>
      </c>
      <c r="BJ2367" t="s">
        <v>40004</v>
      </c>
      <c r="BK2367" t="s">
        <v>871</v>
      </c>
      <c r="BL2367" t="s">
        <v>40004</v>
      </c>
      <c r="BM2367" t="s">
        <v>40005</v>
      </c>
      <c r="BN2367" t="s">
        <v>74</v>
      </c>
      <c r="BO2367" t="s">
        <v>74</v>
      </c>
      <c r="BP2367" t="s">
        <v>74</v>
      </c>
      <c r="BQ2367" t="s">
        <v>74</v>
      </c>
      <c r="BR2367" t="s">
        <v>102</v>
      </c>
      <c r="BS2367" t="s">
        <v>40006</v>
      </c>
      <c r="BT2367" t="str">
        <f>HYPERLINK("https%3A%2F%2Fwww.webofscience.com%2Fwos%2Fwoscc%2Ffull-record%2FWOS:001552077300001","View Full Record in Web of Science")</f>
        <v>View Full Record in Web of Science</v>
      </c>
    </row>
    <row r="2368" spans="1:72" x14ac:dyDescent="0.25">
      <c r="A2368" t="s">
        <v>72</v>
      </c>
      <c r="B2368" t="s">
        <v>40007</v>
      </c>
      <c r="C2368" t="s">
        <v>74</v>
      </c>
      <c r="D2368" t="s">
        <v>74</v>
      </c>
      <c r="E2368" t="s">
        <v>74</v>
      </c>
      <c r="F2368" t="s">
        <v>40008</v>
      </c>
      <c r="G2368" t="s">
        <v>74</v>
      </c>
      <c r="H2368" t="s">
        <v>74</v>
      </c>
      <c r="I2368" t="s">
        <v>40009</v>
      </c>
      <c r="J2368" t="s">
        <v>4618</v>
      </c>
      <c r="K2368" t="s">
        <v>74</v>
      </c>
      <c r="L2368" t="s">
        <v>74</v>
      </c>
      <c r="M2368" t="s">
        <v>78</v>
      </c>
      <c r="N2368" t="s">
        <v>79</v>
      </c>
      <c r="O2368" t="s">
        <v>74</v>
      </c>
      <c r="P2368" t="s">
        <v>74</v>
      </c>
      <c r="Q2368" t="s">
        <v>74</v>
      </c>
      <c r="R2368" t="s">
        <v>74</v>
      </c>
      <c r="S2368" t="s">
        <v>74</v>
      </c>
      <c r="T2368" t="s">
        <v>40010</v>
      </c>
      <c r="U2368" t="s">
        <v>40011</v>
      </c>
      <c r="V2368" t="s">
        <v>40012</v>
      </c>
      <c r="W2368" t="s">
        <v>40013</v>
      </c>
      <c r="X2368" t="s">
        <v>74</v>
      </c>
      <c r="Y2368" t="s">
        <v>40014</v>
      </c>
      <c r="Z2368" t="s">
        <v>40015</v>
      </c>
      <c r="AA2368" t="s">
        <v>40016</v>
      </c>
      <c r="AB2368" t="s">
        <v>40017</v>
      </c>
      <c r="AC2368" t="s">
        <v>40018</v>
      </c>
      <c r="AD2368" t="s">
        <v>40018</v>
      </c>
      <c r="AE2368" t="s">
        <v>40019</v>
      </c>
      <c r="AF2368" t="s">
        <v>74</v>
      </c>
      <c r="AG2368">
        <v>97</v>
      </c>
      <c r="AH2368">
        <v>32</v>
      </c>
      <c r="AI2368">
        <v>38</v>
      </c>
      <c r="AJ2368">
        <v>0</v>
      </c>
      <c r="AK2368">
        <v>27</v>
      </c>
      <c r="AL2368" t="s">
        <v>89</v>
      </c>
      <c r="AM2368" t="s">
        <v>1497</v>
      </c>
      <c r="AN2368" t="s">
        <v>1498</v>
      </c>
      <c r="AO2368" t="s">
        <v>4627</v>
      </c>
      <c r="AP2368" t="s">
        <v>4628</v>
      </c>
      <c r="AQ2368" t="s">
        <v>74</v>
      </c>
      <c r="AR2368" t="s">
        <v>4629</v>
      </c>
      <c r="AS2368" t="s">
        <v>4630</v>
      </c>
      <c r="AT2368" t="s">
        <v>74</v>
      </c>
      <c r="AU2368">
        <v>2020</v>
      </c>
      <c r="AV2368">
        <v>13</v>
      </c>
      <c r="AW2368">
        <v>4</v>
      </c>
      <c r="AX2368" t="s">
        <v>74</v>
      </c>
      <c r="AY2368" t="s">
        <v>74</v>
      </c>
      <c r="AZ2368" t="s">
        <v>74</v>
      </c>
      <c r="BA2368" t="s">
        <v>74</v>
      </c>
      <c r="BB2368">
        <v>727</v>
      </c>
      <c r="BC2368">
        <v>747</v>
      </c>
      <c r="BD2368" t="s">
        <v>74</v>
      </c>
      <c r="BE2368" t="s">
        <v>40020</v>
      </c>
      <c r="BF2368" t="str">
        <f>HYPERLINK("http://dx.doi.org/10.1108/IMEFM-01-2019-0007","http://dx.doi.org/10.1108/IMEFM-01-2019-0007")</f>
        <v>http://dx.doi.org/10.1108/IMEFM-01-2019-0007</v>
      </c>
      <c r="BG2368" t="s">
        <v>74</v>
      </c>
      <c r="BH2368" t="s">
        <v>74</v>
      </c>
      <c r="BI2368">
        <v>21</v>
      </c>
      <c r="BJ2368" t="s">
        <v>4632</v>
      </c>
      <c r="BK2368" t="s">
        <v>99</v>
      </c>
      <c r="BL2368" t="s">
        <v>100</v>
      </c>
      <c r="BM2368" t="s">
        <v>29985</v>
      </c>
      <c r="BN2368" t="s">
        <v>74</v>
      </c>
      <c r="BO2368" t="s">
        <v>74</v>
      </c>
      <c r="BP2368" t="s">
        <v>74</v>
      </c>
      <c r="BQ2368" t="s">
        <v>74</v>
      </c>
      <c r="BR2368" t="s">
        <v>102</v>
      </c>
      <c r="BS2368" t="s">
        <v>40021</v>
      </c>
      <c r="BT2368" t="str">
        <f>HYPERLINK("https%3A%2F%2Fwww.webofscience.com%2Fwos%2Fwoscc%2Ffull-record%2FWOS:000567400600010","View Full Record in Web of Science")</f>
        <v>View Full Record in Web of Science</v>
      </c>
    </row>
    <row r="2369" spans="1:72" x14ac:dyDescent="0.25">
      <c r="A2369" t="s">
        <v>72</v>
      </c>
      <c r="B2369" t="s">
        <v>40022</v>
      </c>
      <c r="C2369" t="s">
        <v>74</v>
      </c>
      <c r="D2369" t="s">
        <v>74</v>
      </c>
      <c r="E2369" t="s">
        <v>74</v>
      </c>
      <c r="F2369" t="s">
        <v>40023</v>
      </c>
      <c r="G2369" t="s">
        <v>74</v>
      </c>
      <c r="H2369" t="s">
        <v>74</v>
      </c>
      <c r="I2369" t="s">
        <v>40024</v>
      </c>
      <c r="J2369" t="s">
        <v>424</v>
      </c>
      <c r="K2369" t="s">
        <v>74</v>
      </c>
      <c r="L2369" t="s">
        <v>74</v>
      </c>
      <c r="M2369" t="s">
        <v>78</v>
      </c>
      <c r="N2369" t="s">
        <v>79</v>
      </c>
      <c r="O2369" t="s">
        <v>74</v>
      </c>
      <c r="P2369" t="s">
        <v>74</v>
      </c>
      <c r="Q2369" t="s">
        <v>74</v>
      </c>
      <c r="R2369" t="s">
        <v>74</v>
      </c>
      <c r="S2369" t="s">
        <v>74</v>
      </c>
      <c r="T2369" t="s">
        <v>40025</v>
      </c>
      <c r="U2369" t="s">
        <v>40026</v>
      </c>
      <c r="V2369" t="s">
        <v>40027</v>
      </c>
      <c r="W2369" t="s">
        <v>40028</v>
      </c>
      <c r="X2369" t="s">
        <v>6810</v>
      </c>
      <c r="Y2369" t="s">
        <v>40029</v>
      </c>
      <c r="Z2369" t="s">
        <v>40030</v>
      </c>
      <c r="AA2369" t="s">
        <v>40031</v>
      </c>
      <c r="AB2369" t="s">
        <v>40032</v>
      </c>
      <c r="AC2369" t="s">
        <v>74</v>
      </c>
      <c r="AD2369" t="s">
        <v>74</v>
      </c>
      <c r="AE2369" t="s">
        <v>74</v>
      </c>
      <c r="AF2369" t="s">
        <v>74</v>
      </c>
      <c r="AG2369">
        <v>87</v>
      </c>
      <c r="AH2369">
        <v>7</v>
      </c>
      <c r="AI2369">
        <v>9</v>
      </c>
      <c r="AJ2369">
        <v>5</v>
      </c>
      <c r="AK2369">
        <v>19</v>
      </c>
      <c r="AL2369" t="s">
        <v>89</v>
      </c>
      <c r="AM2369" t="s">
        <v>90</v>
      </c>
      <c r="AN2369" t="s">
        <v>91</v>
      </c>
      <c r="AO2369" t="s">
        <v>436</v>
      </c>
      <c r="AP2369" t="s">
        <v>437</v>
      </c>
      <c r="AQ2369" t="s">
        <v>74</v>
      </c>
      <c r="AR2369" t="s">
        <v>438</v>
      </c>
      <c r="AS2369" t="s">
        <v>439</v>
      </c>
      <c r="AT2369" t="s">
        <v>11018</v>
      </c>
      <c r="AU2369">
        <v>2024</v>
      </c>
      <c r="AV2369">
        <v>42</v>
      </c>
      <c r="AW2369">
        <v>7</v>
      </c>
      <c r="AX2369" t="s">
        <v>74</v>
      </c>
      <c r="AY2369" t="s">
        <v>74</v>
      </c>
      <c r="AZ2369" t="s">
        <v>74</v>
      </c>
      <c r="BA2369" t="s">
        <v>74</v>
      </c>
      <c r="BB2369">
        <v>2099</v>
      </c>
      <c r="BC2369">
        <v>2116</v>
      </c>
      <c r="BD2369" t="s">
        <v>74</v>
      </c>
      <c r="BE2369" t="s">
        <v>40033</v>
      </c>
      <c r="BF2369" t="str">
        <f>HYPERLINK("http://dx.doi.org/10.1108/IJBM-02-2024-0106","http://dx.doi.org/10.1108/IJBM-02-2024-0106")</f>
        <v>http://dx.doi.org/10.1108/IJBM-02-2024-0106</v>
      </c>
      <c r="BG2369" t="s">
        <v>74</v>
      </c>
      <c r="BH2369" t="s">
        <v>2524</v>
      </c>
      <c r="BI2369">
        <v>18</v>
      </c>
      <c r="BJ2369" t="s">
        <v>418</v>
      </c>
      <c r="BK2369" t="s">
        <v>99</v>
      </c>
      <c r="BL2369" t="s">
        <v>100</v>
      </c>
      <c r="BM2369" t="s">
        <v>11020</v>
      </c>
      <c r="BN2369" t="s">
        <v>74</v>
      </c>
      <c r="BO2369" t="s">
        <v>74</v>
      </c>
      <c r="BP2369" t="s">
        <v>74</v>
      </c>
      <c r="BQ2369" t="s">
        <v>74</v>
      </c>
      <c r="BR2369" t="s">
        <v>102</v>
      </c>
      <c r="BS2369" t="s">
        <v>40034</v>
      </c>
      <c r="BT2369" t="str">
        <f>HYPERLINK("https%3A%2F%2Fwww.webofscience.com%2Fwos%2Fwoscc%2Ffull-record%2FWOS:001268771100001","View Full Record in Web of Science")</f>
        <v>View Full Record in Web of Science</v>
      </c>
    </row>
    <row r="2370" spans="1:72" x14ac:dyDescent="0.25">
      <c r="A2370" t="s">
        <v>132</v>
      </c>
      <c r="B2370" t="s">
        <v>40035</v>
      </c>
      <c r="C2370" t="s">
        <v>74</v>
      </c>
      <c r="D2370" t="s">
        <v>40036</v>
      </c>
      <c r="E2370" t="s">
        <v>74</v>
      </c>
      <c r="F2370" t="s">
        <v>40037</v>
      </c>
      <c r="G2370" t="s">
        <v>74</v>
      </c>
      <c r="H2370" t="s">
        <v>74</v>
      </c>
      <c r="I2370" t="s">
        <v>40038</v>
      </c>
      <c r="J2370" t="s">
        <v>40039</v>
      </c>
      <c r="K2370" t="s">
        <v>74</v>
      </c>
      <c r="L2370" t="s">
        <v>74</v>
      </c>
      <c r="M2370" t="s">
        <v>78</v>
      </c>
      <c r="N2370" t="s">
        <v>138</v>
      </c>
      <c r="O2370" t="s">
        <v>40040</v>
      </c>
      <c r="P2370" t="s">
        <v>40041</v>
      </c>
      <c r="Q2370" t="s">
        <v>40042</v>
      </c>
      <c r="R2370" t="s">
        <v>74</v>
      </c>
      <c r="S2370" t="s">
        <v>40043</v>
      </c>
      <c r="T2370" t="s">
        <v>40044</v>
      </c>
      <c r="U2370" t="s">
        <v>12326</v>
      </c>
      <c r="V2370" t="s">
        <v>40045</v>
      </c>
      <c r="W2370" t="s">
        <v>40046</v>
      </c>
      <c r="X2370" t="s">
        <v>19417</v>
      </c>
      <c r="Y2370" t="s">
        <v>40047</v>
      </c>
      <c r="Z2370" t="s">
        <v>40048</v>
      </c>
      <c r="AA2370" t="s">
        <v>40049</v>
      </c>
      <c r="AB2370" t="s">
        <v>40050</v>
      </c>
      <c r="AC2370" t="s">
        <v>74</v>
      </c>
      <c r="AD2370" t="s">
        <v>74</v>
      </c>
      <c r="AE2370" t="s">
        <v>74</v>
      </c>
      <c r="AF2370" t="s">
        <v>74</v>
      </c>
      <c r="AG2370">
        <v>32</v>
      </c>
      <c r="AH2370">
        <v>3</v>
      </c>
      <c r="AI2370">
        <v>3</v>
      </c>
      <c r="AJ2370">
        <v>0</v>
      </c>
      <c r="AK2370">
        <v>1</v>
      </c>
      <c r="AL2370" t="s">
        <v>3651</v>
      </c>
      <c r="AM2370" t="s">
        <v>3652</v>
      </c>
      <c r="AN2370" t="s">
        <v>3653</v>
      </c>
      <c r="AO2370" t="s">
        <v>74</v>
      </c>
      <c r="AP2370" t="s">
        <v>74</v>
      </c>
      <c r="AQ2370" t="s">
        <v>40051</v>
      </c>
      <c r="AR2370" t="s">
        <v>74</v>
      </c>
      <c r="AS2370" t="s">
        <v>74</v>
      </c>
      <c r="AT2370" t="s">
        <v>74</v>
      </c>
      <c r="AU2370">
        <v>2019</v>
      </c>
      <c r="AV2370" t="s">
        <v>74</v>
      </c>
      <c r="AW2370" t="s">
        <v>74</v>
      </c>
      <c r="AX2370" t="s">
        <v>74</v>
      </c>
      <c r="AY2370" t="s">
        <v>74</v>
      </c>
      <c r="AZ2370" t="s">
        <v>74</v>
      </c>
      <c r="BA2370" t="s">
        <v>74</v>
      </c>
      <c r="BB2370">
        <v>239</v>
      </c>
      <c r="BC2370">
        <v>247</v>
      </c>
      <c r="BD2370" t="s">
        <v>74</v>
      </c>
      <c r="BE2370" t="s">
        <v>74</v>
      </c>
      <c r="BF2370" t="s">
        <v>74</v>
      </c>
      <c r="BG2370" t="s">
        <v>74</v>
      </c>
      <c r="BH2370" t="s">
        <v>74</v>
      </c>
      <c r="BI2370">
        <v>9</v>
      </c>
      <c r="BJ2370" t="s">
        <v>4466</v>
      </c>
      <c r="BK2370" t="s">
        <v>156</v>
      </c>
      <c r="BL2370" t="s">
        <v>157</v>
      </c>
      <c r="BM2370" t="s">
        <v>40052</v>
      </c>
      <c r="BN2370" t="s">
        <v>74</v>
      </c>
      <c r="BO2370" t="s">
        <v>74</v>
      </c>
      <c r="BP2370" t="s">
        <v>74</v>
      </c>
      <c r="BQ2370" t="s">
        <v>74</v>
      </c>
      <c r="BR2370" t="s">
        <v>102</v>
      </c>
      <c r="BS2370" t="s">
        <v>40053</v>
      </c>
      <c r="BT2370" t="str">
        <f>HYPERLINK("https%3A%2F%2Fwww.webofscience.com%2Fwos%2Fwoscc%2Ffull-record%2FWOS:000560821500029","View Full Record in Web of Science")</f>
        <v>View Full Record in Web of Science</v>
      </c>
    </row>
    <row r="2371" spans="1:72" x14ac:dyDescent="0.25">
      <c r="A2371" t="s">
        <v>132</v>
      </c>
      <c r="B2371" t="s">
        <v>40054</v>
      </c>
      <c r="C2371" t="s">
        <v>74</v>
      </c>
      <c r="D2371" t="s">
        <v>40055</v>
      </c>
      <c r="E2371" t="s">
        <v>74</v>
      </c>
      <c r="F2371" t="s">
        <v>40056</v>
      </c>
      <c r="G2371" t="s">
        <v>74</v>
      </c>
      <c r="H2371" t="s">
        <v>74</v>
      </c>
      <c r="I2371" t="s">
        <v>40057</v>
      </c>
      <c r="J2371" t="s">
        <v>40058</v>
      </c>
      <c r="K2371" t="s">
        <v>2425</v>
      </c>
      <c r="L2371" t="s">
        <v>74</v>
      </c>
      <c r="M2371" t="s">
        <v>78</v>
      </c>
      <c r="N2371" t="s">
        <v>138</v>
      </c>
      <c r="O2371" t="s">
        <v>40059</v>
      </c>
      <c r="P2371" t="s">
        <v>40060</v>
      </c>
      <c r="Q2371" t="s">
        <v>6863</v>
      </c>
      <c r="R2371" t="s">
        <v>74</v>
      </c>
      <c r="S2371" t="s">
        <v>74</v>
      </c>
      <c r="T2371" t="s">
        <v>40061</v>
      </c>
      <c r="U2371" t="s">
        <v>40062</v>
      </c>
      <c r="V2371" t="s">
        <v>40063</v>
      </c>
      <c r="W2371" t="s">
        <v>40064</v>
      </c>
      <c r="X2371" t="s">
        <v>40065</v>
      </c>
      <c r="Y2371" t="s">
        <v>40066</v>
      </c>
      <c r="Z2371" t="s">
        <v>40067</v>
      </c>
      <c r="AA2371" t="s">
        <v>40068</v>
      </c>
      <c r="AB2371" t="s">
        <v>40069</v>
      </c>
      <c r="AC2371" t="s">
        <v>40070</v>
      </c>
      <c r="AD2371" t="s">
        <v>40071</v>
      </c>
      <c r="AE2371" t="s">
        <v>40072</v>
      </c>
      <c r="AF2371" t="s">
        <v>74</v>
      </c>
      <c r="AG2371">
        <v>31</v>
      </c>
      <c r="AH2371">
        <v>2</v>
      </c>
      <c r="AI2371">
        <v>2</v>
      </c>
      <c r="AJ2371">
        <v>4</v>
      </c>
      <c r="AK2371">
        <v>10</v>
      </c>
      <c r="AL2371" t="s">
        <v>1062</v>
      </c>
      <c r="AM2371" t="s">
        <v>667</v>
      </c>
      <c r="AN2371" t="s">
        <v>668</v>
      </c>
      <c r="AO2371" t="s">
        <v>2437</v>
      </c>
      <c r="AP2371" t="s">
        <v>2438</v>
      </c>
      <c r="AQ2371" t="s">
        <v>40073</v>
      </c>
      <c r="AR2371" t="s">
        <v>2440</v>
      </c>
      <c r="AS2371" t="s">
        <v>74</v>
      </c>
      <c r="AT2371" t="s">
        <v>74</v>
      </c>
      <c r="AU2371">
        <v>2023</v>
      </c>
      <c r="AV2371">
        <v>14055</v>
      </c>
      <c r="AW2371" t="s">
        <v>74</v>
      </c>
      <c r="AX2371" t="s">
        <v>74</v>
      </c>
      <c r="AY2371" t="s">
        <v>74</v>
      </c>
      <c r="AZ2371" t="s">
        <v>74</v>
      </c>
      <c r="BA2371" t="s">
        <v>74</v>
      </c>
      <c r="BB2371">
        <v>18</v>
      </c>
      <c r="BC2371">
        <v>27</v>
      </c>
      <c r="BD2371" t="s">
        <v>74</v>
      </c>
      <c r="BE2371" t="s">
        <v>40074</v>
      </c>
      <c r="BF2371" t="str">
        <f>HYPERLINK("http://dx.doi.org/10.1007/978-3-031-48041-6_2","http://dx.doi.org/10.1007/978-3-031-48041-6_2")</f>
        <v>http://dx.doi.org/10.1007/978-3-031-48041-6_2</v>
      </c>
      <c r="BG2371" t="s">
        <v>74</v>
      </c>
      <c r="BH2371" t="s">
        <v>74</v>
      </c>
      <c r="BI2371">
        <v>10</v>
      </c>
      <c r="BJ2371" t="s">
        <v>1223</v>
      </c>
      <c r="BK2371" t="s">
        <v>156</v>
      </c>
      <c r="BL2371" t="s">
        <v>157</v>
      </c>
      <c r="BM2371" t="s">
        <v>40075</v>
      </c>
      <c r="BN2371" t="s">
        <v>74</v>
      </c>
      <c r="BO2371" t="s">
        <v>74</v>
      </c>
      <c r="BP2371" t="s">
        <v>74</v>
      </c>
      <c r="BQ2371" t="s">
        <v>74</v>
      </c>
      <c r="BR2371" t="s">
        <v>102</v>
      </c>
      <c r="BS2371" t="s">
        <v>40076</v>
      </c>
      <c r="BT2371" t="str">
        <f>HYPERLINK("https%3A%2F%2Fwww.webofscience.com%2Fwos%2Fwoscc%2Ffull-record%2FWOS:001159651200002","View Full Record in Web of Science")</f>
        <v>View Full Record in Web of Science</v>
      </c>
    </row>
    <row r="2372" spans="1:72" x14ac:dyDescent="0.25">
      <c r="A2372" t="s">
        <v>72</v>
      </c>
      <c r="B2372" t="s">
        <v>40077</v>
      </c>
      <c r="C2372" t="s">
        <v>74</v>
      </c>
      <c r="D2372" t="s">
        <v>74</v>
      </c>
      <c r="E2372" t="s">
        <v>74</v>
      </c>
      <c r="F2372" t="s">
        <v>40078</v>
      </c>
      <c r="G2372" t="s">
        <v>74</v>
      </c>
      <c r="H2372" t="s">
        <v>74</v>
      </c>
      <c r="I2372" t="s">
        <v>40079</v>
      </c>
      <c r="J2372" t="s">
        <v>40080</v>
      </c>
      <c r="K2372" t="s">
        <v>74</v>
      </c>
      <c r="L2372" t="s">
        <v>74</v>
      </c>
      <c r="M2372" t="s">
        <v>78</v>
      </c>
      <c r="N2372" t="s">
        <v>79</v>
      </c>
      <c r="O2372" t="s">
        <v>74</v>
      </c>
      <c r="P2372" t="s">
        <v>74</v>
      </c>
      <c r="Q2372" t="s">
        <v>74</v>
      </c>
      <c r="R2372" t="s">
        <v>74</v>
      </c>
      <c r="S2372" t="s">
        <v>74</v>
      </c>
      <c r="T2372" t="s">
        <v>40081</v>
      </c>
      <c r="U2372" t="s">
        <v>74</v>
      </c>
      <c r="V2372" t="s">
        <v>40082</v>
      </c>
      <c r="W2372" t="s">
        <v>40083</v>
      </c>
      <c r="X2372" t="s">
        <v>40084</v>
      </c>
      <c r="Y2372" t="s">
        <v>40085</v>
      </c>
      <c r="Z2372" t="s">
        <v>40086</v>
      </c>
      <c r="AA2372" t="s">
        <v>40087</v>
      </c>
      <c r="AB2372" t="s">
        <v>74</v>
      </c>
      <c r="AC2372" t="s">
        <v>74</v>
      </c>
      <c r="AD2372" t="s">
        <v>74</v>
      </c>
      <c r="AE2372" t="s">
        <v>74</v>
      </c>
      <c r="AF2372" t="s">
        <v>74</v>
      </c>
      <c r="AG2372">
        <v>43</v>
      </c>
      <c r="AH2372">
        <v>26</v>
      </c>
      <c r="AI2372">
        <v>37</v>
      </c>
      <c r="AJ2372">
        <v>4</v>
      </c>
      <c r="AK2372">
        <v>40</v>
      </c>
      <c r="AL2372" t="s">
        <v>4485</v>
      </c>
      <c r="AM2372" t="s">
        <v>6724</v>
      </c>
      <c r="AN2372" t="s">
        <v>6725</v>
      </c>
      <c r="AO2372" t="s">
        <v>40088</v>
      </c>
      <c r="AP2372" t="s">
        <v>40089</v>
      </c>
      <c r="AQ2372" t="s">
        <v>74</v>
      </c>
      <c r="AR2372" t="s">
        <v>40090</v>
      </c>
      <c r="AS2372" t="s">
        <v>40091</v>
      </c>
      <c r="AT2372" t="s">
        <v>891</v>
      </c>
      <c r="AU2372">
        <v>2020</v>
      </c>
      <c r="AV2372">
        <v>35</v>
      </c>
      <c r="AW2372" t="s">
        <v>74</v>
      </c>
      <c r="AX2372" t="s">
        <v>74</v>
      </c>
      <c r="AY2372" t="s">
        <v>74</v>
      </c>
      <c r="AZ2372" t="s">
        <v>74</v>
      </c>
      <c r="BA2372" t="s">
        <v>74</v>
      </c>
      <c r="BB2372" t="s">
        <v>74</v>
      </c>
      <c r="BC2372" t="s">
        <v>74</v>
      </c>
      <c r="BD2372">
        <v>100173</v>
      </c>
      <c r="BE2372" t="s">
        <v>40092</v>
      </c>
      <c r="BF2372" t="str">
        <f>HYPERLINK("http://dx.doi.org/10.1016/j.iree.2019.100173","http://dx.doi.org/10.1016/j.iree.2019.100173")</f>
        <v>http://dx.doi.org/10.1016/j.iree.2019.100173</v>
      </c>
      <c r="BG2372" t="s">
        <v>74</v>
      </c>
      <c r="BH2372" t="s">
        <v>74</v>
      </c>
      <c r="BI2372">
        <v>20</v>
      </c>
      <c r="BJ2372" t="s">
        <v>4180</v>
      </c>
      <c r="BK2372" t="s">
        <v>99</v>
      </c>
      <c r="BL2372" t="s">
        <v>4181</v>
      </c>
      <c r="BM2372" t="s">
        <v>40093</v>
      </c>
      <c r="BN2372" t="s">
        <v>74</v>
      </c>
      <c r="BO2372" t="s">
        <v>74</v>
      </c>
      <c r="BP2372" t="s">
        <v>74</v>
      </c>
      <c r="BQ2372" t="s">
        <v>74</v>
      </c>
      <c r="BR2372" t="s">
        <v>102</v>
      </c>
      <c r="BS2372" t="s">
        <v>40094</v>
      </c>
      <c r="BT2372" t="str">
        <f>HYPERLINK("https%3A%2F%2Fwww.webofscience.com%2Fwos%2Fwoscc%2Ffull-record%2FWOS:000591958500004","View Full Record in Web of Science")</f>
        <v>View Full Record in Web of Science</v>
      </c>
    </row>
    <row r="2373" spans="1:72" x14ac:dyDescent="0.25">
      <c r="A2373" t="s">
        <v>72</v>
      </c>
      <c r="B2373" t="s">
        <v>40095</v>
      </c>
      <c r="C2373" t="s">
        <v>74</v>
      </c>
      <c r="D2373" t="s">
        <v>74</v>
      </c>
      <c r="E2373" t="s">
        <v>74</v>
      </c>
      <c r="F2373" t="s">
        <v>40096</v>
      </c>
      <c r="G2373" t="s">
        <v>74</v>
      </c>
      <c r="H2373" t="s">
        <v>74</v>
      </c>
      <c r="I2373" t="s">
        <v>40097</v>
      </c>
      <c r="J2373" t="s">
        <v>8200</v>
      </c>
      <c r="K2373" t="s">
        <v>74</v>
      </c>
      <c r="L2373" t="s">
        <v>74</v>
      </c>
      <c r="M2373" t="s">
        <v>78</v>
      </c>
      <c r="N2373" t="s">
        <v>79</v>
      </c>
      <c r="O2373" t="s">
        <v>74</v>
      </c>
      <c r="P2373" t="s">
        <v>74</v>
      </c>
      <c r="Q2373" t="s">
        <v>74</v>
      </c>
      <c r="R2373" t="s">
        <v>74</v>
      </c>
      <c r="S2373" t="s">
        <v>74</v>
      </c>
      <c r="T2373" t="s">
        <v>40098</v>
      </c>
      <c r="U2373" t="s">
        <v>74</v>
      </c>
      <c r="V2373" t="s">
        <v>40099</v>
      </c>
      <c r="W2373" t="s">
        <v>40100</v>
      </c>
      <c r="X2373" t="s">
        <v>34796</v>
      </c>
      <c r="Y2373" t="s">
        <v>40101</v>
      </c>
      <c r="Z2373" t="s">
        <v>74</v>
      </c>
      <c r="AA2373" t="s">
        <v>40102</v>
      </c>
      <c r="AB2373" t="s">
        <v>40103</v>
      </c>
      <c r="AC2373" t="s">
        <v>74</v>
      </c>
      <c r="AD2373" t="s">
        <v>74</v>
      </c>
      <c r="AE2373" t="s">
        <v>74</v>
      </c>
      <c r="AF2373" t="s">
        <v>74</v>
      </c>
      <c r="AG2373">
        <v>15</v>
      </c>
      <c r="AH2373">
        <v>0</v>
      </c>
      <c r="AI2373">
        <v>0</v>
      </c>
      <c r="AJ2373">
        <v>0</v>
      </c>
      <c r="AK2373">
        <v>10</v>
      </c>
      <c r="AL2373" t="s">
        <v>8210</v>
      </c>
      <c r="AM2373" t="s">
        <v>8211</v>
      </c>
      <c r="AN2373" t="s">
        <v>8212</v>
      </c>
      <c r="AO2373" t="s">
        <v>8213</v>
      </c>
      <c r="AP2373" t="s">
        <v>74</v>
      </c>
      <c r="AQ2373" t="s">
        <v>74</v>
      </c>
      <c r="AR2373" t="s">
        <v>8214</v>
      </c>
      <c r="AS2373" t="s">
        <v>8215</v>
      </c>
      <c r="AT2373" t="s">
        <v>1159</v>
      </c>
      <c r="AU2373">
        <v>2017</v>
      </c>
      <c r="AV2373">
        <v>10</v>
      </c>
      <c r="AW2373">
        <v>4</v>
      </c>
      <c r="AX2373" t="s">
        <v>74</v>
      </c>
      <c r="AY2373" t="s">
        <v>74</v>
      </c>
      <c r="AZ2373" t="s">
        <v>74</v>
      </c>
      <c r="BA2373" t="s">
        <v>74</v>
      </c>
      <c r="BB2373">
        <v>50</v>
      </c>
      <c r="BC2373">
        <v>58</v>
      </c>
      <c r="BD2373" t="s">
        <v>74</v>
      </c>
      <c r="BE2373" t="s">
        <v>74</v>
      </c>
      <c r="BF2373" t="s">
        <v>74</v>
      </c>
      <c r="BG2373" t="s">
        <v>74</v>
      </c>
      <c r="BH2373" t="s">
        <v>74</v>
      </c>
      <c r="BI2373">
        <v>9</v>
      </c>
      <c r="BJ2373" t="s">
        <v>418</v>
      </c>
      <c r="BK2373" t="s">
        <v>313</v>
      </c>
      <c r="BL2373" t="s">
        <v>100</v>
      </c>
      <c r="BM2373" t="s">
        <v>40104</v>
      </c>
      <c r="BN2373" t="s">
        <v>74</v>
      </c>
      <c r="BO2373" t="s">
        <v>74</v>
      </c>
      <c r="BP2373" t="s">
        <v>74</v>
      </c>
      <c r="BQ2373" t="s">
        <v>74</v>
      </c>
      <c r="BR2373" t="s">
        <v>102</v>
      </c>
      <c r="BS2373" t="s">
        <v>40105</v>
      </c>
      <c r="BT2373" t="str">
        <f>HYPERLINK("https%3A%2F%2Fwww.webofscience.com%2Fwos%2Fwoscc%2Ffull-record%2FWOS:000430112400007","View Full Record in Web of Science")</f>
        <v>View Full Record in Web of Science</v>
      </c>
    </row>
    <row r="2374" spans="1:72" x14ac:dyDescent="0.25">
      <c r="A2374" t="s">
        <v>72</v>
      </c>
      <c r="B2374" t="s">
        <v>40106</v>
      </c>
      <c r="C2374" t="s">
        <v>74</v>
      </c>
      <c r="D2374" t="s">
        <v>74</v>
      </c>
      <c r="E2374" t="s">
        <v>74</v>
      </c>
      <c r="F2374" t="s">
        <v>40107</v>
      </c>
      <c r="G2374" t="s">
        <v>74</v>
      </c>
      <c r="H2374" t="s">
        <v>74</v>
      </c>
      <c r="I2374" t="s">
        <v>40108</v>
      </c>
      <c r="J2374" t="s">
        <v>4657</v>
      </c>
      <c r="K2374" t="s">
        <v>74</v>
      </c>
      <c r="L2374" t="s">
        <v>74</v>
      </c>
      <c r="M2374" t="s">
        <v>78</v>
      </c>
      <c r="N2374" t="s">
        <v>79</v>
      </c>
      <c r="O2374" t="s">
        <v>74</v>
      </c>
      <c r="P2374" t="s">
        <v>74</v>
      </c>
      <c r="Q2374" t="s">
        <v>74</v>
      </c>
      <c r="R2374" t="s">
        <v>74</v>
      </c>
      <c r="S2374" t="s">
        <v>74</v>
      </c>
      <c r="T2374" t="s">
        <v>40109</v>
      </c>
      <c r="U2374" t="s">
        <v>40110</v>
      </c>
      <c r="V2374" t="s">
        <v>40111</v>
      </c>
      <c r="W2374" t="s">
        <v>40112</v>
      </c>
      <c r="X2374" t="s">
        <v>74</v>
      </c>
      <c r="Y2374" t="s">
        <v>40113</v>
      </c>
      <c r="Z2374" t="s">
        <v>40114</v>
      </c>
      <c r="AA2374" t="s">
        <v>74</v>
      </c>
      <c r="AB2374" t="s">
        <v>74</v>
      </c>
      <c r="AC2374" t="s">
        <v>74</v>
      </c>
      <c r="AD2374" t="s">
        <v>74</v>
      </c>
      <c r="AE2374" t="s">
        <v>74</v>
      </c>
      <c r="AF2374" t="s">
        <v>74</v>
      </c>
      <c r="AG2374">
        <v>87</v>
      </c>
      <c r="AH2374">
        <v>3</v>
      </c>
      <c r="AI2374">
        <v>3</v>
      </c>
      <c r="AJ2374">
        <v>4</v>
      </c>
      <c r="AK2374">
        <v>4</v>
      </c>
      <c r="AL2374" t="s">
        <v>4666</v>
      </c>
      <c r="AM2374" t="s">
        <v>995</v>
      </c>
      <c r="AN2374" t="s">
        <v>4025</v>
      </c>
      <c r="AO2374" t="s">
        <v>74</v>
      </c>
      <c r="AP2374" t="s">
        <v>4667</v>
      </c>
      <c r="AQ2374" t="s">
        <v>74</v>
      </c>
      <c r="AR2374" t="s">
        <v>4668</v>
      </c>
      <c r="AS2374" t="s">
        <v>4669</v>
      </c>
      <c r="AT2374" t="s">
        <v>22608</v>
      </c>
      <c r="AU2374">
        <v>2025</v>
      </c>
      <c r="AV2374">
        <v>6</v>
      </c>
      <c r="AW2374">
        <v>1</v>
      </c>
      <c r="AX2374" t="s">
        <v>74</v>
      </c>
      <c r="AY2374" t="s">
        <v>74</v>
      </c>
      <c r="AZ2374" t="s">
        <v>74</v>
      </c>
      <c r="BA2374" t="s">
        <v>74</v>
      </c>
      <c r="BB2374" t="s">
        <v>74</v>
      </c>
      <c r="BC2374" t="s">
        <v>74</v>
      </c>
      <c r="BD2374">
        <v>509</v>
      </c>
      <c r="BE2374" t="s">
        <v>40115</v>
      </c>
      <c r="BF2374" t="str">
        <f>HYPERLINK("http://dx.doi.org/10.1007/s43621-025-01397-1","http://dx.doi.org/10.1007/s43621-025-01397-1")</f>
        <v>http://dx.doi.org/10.1007/s43621-025-01397-1</v>
      </c>
      <c r="BG2374" t="s">
        <v>74</v>
      </c>
      <c r="BH2374" t="s">
        <v>74</v>
      </c>
      <c r="BI2374">
        <v>15</v>
      </c>
      <c r="BJ2374" t="s">
        <v>3247</v>
      </c>
      <c r="BK2374" t="s">
        <v>313</v>
      </c>
      <c r="BL2374" t="s">
        <v>3248</v>
      </c>
      <c r="BM2374" t="s">
        <v>40116</v>
      </c>
      <c r="BN2374" t="s">
        <v>74</v>
      </c>
      <c r="BO2374" t="s">
        <v>212</v>
      </c>
      <c r="BP2374" t="s">
        <v>74</v>
      </c>
      <c r="BQ2374" t="s">
        <v>74</v>
      </c>
      <c r="BR2374" t="s">
        <v>102</v>
      </c>
      <c r="BS2374" t="s">
        <v>40117</v>
      </c>
      <c r="BT2374" t="str">
        <f>HYPERLINK("https%3A%2F%2Fwww.webofscience.com%2Fwos%2Fwoscc%2Ffull-record%2FWOS:001504284200001","View Full Record in Web of Science")</f>
        <v>View Full Record in Web of Science</v>
      </c>
    </row>
    <row r="2375" spans="1:72" x14ac:dyDescent="0.25">
      <c r="A2375" t="s">
        <v>72</v>
      </c>
      <c r="B2375" t="s">
        <v>40118</v>
      </c>
      <c r="C2375" t="s">
        <v>74</v>
      </c>
      <c r="D2375" t="s">
        <v>74</v>
      </c>
      <c r="E2375" t="s">
        <v>74</v>
      </c>
      <c r="F2375" t="s">
        <v>40119</v>
      </c>
      <c r="G2375" t="s">
        <v>74</v>
      </c>
      <c r="H2375" t="s">
        <v>74</v>
      </c>
      <c r="I2375" t="s">
        <v>40120</v>
      </c>
      <c r="J2375" t="s">
        <v>35174</v>
      </c>
      <c r="K2375" t="s">
        <v>74</v>
      </c>
      <c r="L2375" t="s">
        <v>74</v>
      </c>
      <c r="M2375" t="s">
        <v>78</v>
      </c>
      <c r="N2375" t="s">
        <v>79</v>
      </c>
      <c r="O2375" t="s">
        <v>74</v>
      </c>
      <c r="P2375" t="s">
        <v>74</v>
      </c>
      <c r="Q2375" t="s">
        <v>74</v>
      </c>
      <c r="R2375" t="s">
        <v>74</v>
      </c>
      <c r="S2375" t="s">
        <v>74</v>
      </c>
      <c r="T2375" t="s">
        <v>40121</v>
      </c>
      <c r="U2375" t="s">
        <v>22851</v>
      </c>
      <c r="V2375" t="s">
        <v>40122</v>
      </c>
      <c r="W2375" t="s">
        <v>40123</v>
      </c>
      <c r="X2375" t="s">
        <v>40124</v>
      </c>
      <c r="Y2375" t="s">
        <v>40125</v>
      </c>
      <c r="Z2375" t="s">
        <v>74</v>
      </c>
      <c r="AA2375" t="s">
        <v>40126</v>
      </c>
      <c r="AB2375" t="s">
        <v>74</v>
      </c>
      <c r="AC2375" t="s">
        <v>74</v>
      </c>
      <c r="AD2375" t="s">
        <v>74</v>
      </c>
      <c r="AE2375" t="s">
        <v>74</v>
      </c>
      <c r="AF2375" t="s">
        <v>74</v>
      </c>
      <c r="AG2375">
        <v>81</v>
      </c>
      <c r="AH2375">
        <v>0</v>
      </c>
      <c r="AI2375">
        <v>0</v>
      </c>
      <c r="AJ2375">
        <v>1</v>
      </c>
      <c r="AK2375">
        <v>2</v>
      </c>
      <c r="AL2375" t="s">
        <v>35182</v>
      </c>
      <c r="AM2375" t="s">
        <v>9793</v>
      </c>
      <c r="AN2375" t="s">
        <v>35183</v>
      </c>
      <c r="AO2375" t="s">
        <v>35184</v>
      </c>
      <c r="AP2375" t="s">
        <v>74</v>
      </c>
      <c r="AQ2375" t="s">
        <v>74</v>
      </c>
      <c r="AR2375" t="s">
        <v>35185</v>
      </c>
      <c r="AS2375" t="s">
        <v>35186</v>
      </c>
      <c r="AT2375" t="s">
        <v>124</v>
      </c>
      <c r="AU2375">
        <v>2024</v>
      </c>
      <c r="AV2375">
        <v>16</v>
      </c>
      <c r="AW2375">
        <v>4</v>
      </c>
      <c r="AX2375" t="s">
        <v>74</v>
      </c>
      <c r="AY2375" t="s">
        <v>74</v>
      </c>
      <c r="AZ2375" t="s">
        <v>74</v>
      </c>
      <c r="BA2375" t="s">
        <v>74</v>
      </c>
      <c r="BB2375" t="s">
        <v>74</v>
      </c>
      <c r="BC2375" t="s">
        <v>74</v>
      </c>
      <c r="BD2375" t="s">
        <v>74</v>
      </c>
      <c r="BE2375" t="s">
        <v>40127</v>
      </c>
      <c r="BF2375" t="str">
        <f>HYPERLINK("http://dx.doi.org/10.55188/ijifsd.v16i4.922","http://dx.doi.org/10.55188/ijifsd.v16i4.922")</f>
        <v>http://dx.doi.org/10.55188/ijifsd.v16i4.922</v>
      </c>
      <c r="BG2375" t="s">
        <v>74</v>
      </c>
      <c r="BH2375" t="s">
        <v>74</v>
      </c>
      <c r="BI2375">
        <v>169</v>
      </c>
      <c r="BJ2375" t="s">
        <v>268</v>
      </c>
      <c r="BK2375" t="s">
        <v>313</v>
      </c>
      <c r="BL2375" t="s">
        <v>100</v>
      </c>
      <c r="BM2375" t="s">
        <v>40128</v>
      </c>
      <c r="BN2375" t="s">
        <v>74</v>
      </c>
      <c r="BO2375" t="s">
        <v>270</v>
      </c>
      <c r="BP2375" t="s">
        <v>74</v>
      </c>
      <c r="BQ2375" t="s">
        <v>74</v>
      </c>
      <c r="BR2375" t="s">
        <v>102</v>
      </c>
      <c r="BS2375" t="s">
        <v>40129</v>
      </c>
      <c r="BT2375" t="str">
        <f>HYPERLINK("https%3A%2F%2Fwww.webofscience.com%2Fwos%2Fwoscc%2Ffull-record%2FWOS:001444377700005","View Full Record in Web of Science")</f>
        <v>View Full Record in Web of Science</v>
      </c>
    </row>
    <row r="2376" spans="1:72" x14ac:dyDescent="0.25">
      <c r="A2376" t="s">
        <v>72</v>
      </c>
      <c r="B2376" t="s">
        <v>40130</v>
      </c>
      <c r="C2376" t="s">
        <v>74</v>
      </c>
      <c r="D2376" t="s">
        <v>74</v>
      </c>
      <c r="E2376" t="s">
        <v>74</v>
      </c>
      <c r="F2376" t="s">
        <v>40131</v>
      </c>
      <c r="G2376" t="s">
        <v>74</v>
      </c>
      <c r="H2376" t="s">
        <v>74</v>
      </c>
      <c r="I2376" t="s">
        <v>40132</v>
      </c>
      <c r="J2376" t="s">
        <v>40133</v>
      </c>
      <c r="K2376" t="s">
        <v>74</v>
      </c>
      <c r="L2376" t="s">
        <v>74</v>
      </c>
      <c r="M2376" t="s">
        <v>78</v>
      </c>
      <c r="N2376" t="s">
        <v>79</v>
      </c>
      <c r="O2376" t="s">
        <v>74</v>
      </c>
      <c r="P2376" t="s">
        <v>74</v>
      </c>
      <c r="Q2376" t="s">
        <v>74</v>
      </c>
      <c r="R2376" t="s">
        <v>74</v>
      </c>
      <c r="S2376" t="s">
        <v>74</v>
      </c>
      <c r="T2376" t="s">
        <v>40134</v>
      </c>
      <c r="U2376" t="s">
        <v>40135</v>
      </c>
      <c r="V2376" t="s">
        <v>40136</v>
      </c>
      <c r="W2376" t="s">
        <v>40137</v>
      </c>
      <c r="X2376" t="s">
        <v>40138</v>
      </c>
      <c r="Y2376" t="s">
        <v>40139</v>
      </c>
      <c r="Z2376" t="s">
        <v>74</v>
      </c>
      <c r="AA2376" t="s">
        <v>74</v>
      </c>
      <c r="AB2376" t="s">
        <v>74</v>
      </c>
      <c r="AC2376" t="s">
        <v>74</v>
      </c>
      <c r="AD2376" t="s">
        <v>74</v>
      </c>
      <c r="AE2376" t="s">
        <v>74</v>
      </c>
      <c r="AF2376" t="s">
        <v>74</v>
      </c>
      <c r="AG2376">
        <v>46</v>
      </c>
      <c r="AH2376">
        <v>1</v>
      </c>
      <c r="AI2376">
        <v>6</v>
      </c>
      <c r="AJ2376">
        <v>3</v>
      </c>
      <c r="AK2376">
        <v>39</v>
      </c>
      <c r="AL2376" t="s">
        <v>332</v>
      </c>
      <c r="AM2376" t="s">
        <v>333</v>
      </c>
      <c r="AN2376" t="s">
        <v>334</v>
      </c>
      <c r="AO2376" t="s">
        <v>40140</v>
      </c>
      <c r="AP2376" t="s">
        <v>40141</v>
      </c>
      <c r="AQ2376" t="s">
        <v>74</v>
      </c>
      <c r="AR2376" t="s">
        <v>40142</v>
      </c>
      <c r="AS2376" t="s">
        <v>40143</v>
      </c>
      <c r="AT2376" t="s">
        <v>1427</v>
      </c>
      <c r="AU2376">
        <v>2023</v>
      </c>
      <c r="AV2376">
        <v>54</v>
      </c>
      <c r="AW2376">
        <v>1</v>
      </c>
      <c r="AX2376" t="s">
        <v>74</v>
      </c>
      <c r="AY2376" t="s">
        <v>74</v>
      </c>
      <c r="AZ2376" t="s">
        <v>74</v>
      </c>
      <c r="BA2376" t="s">
        <v>74</v>
      </c>
      <c r="BB2376">
        <v>17</v>
      </c>
      <c r="BC2376">
        <v>37</v>
      </c>
      <c r="BD2376" t="s">
        <v>74</v>
      </c>
      <c r="BE2376" t="s">
        <v>40144</v>
      </c>
      <c r="BF2376" t="str">
        <f>HYPERLINK("http://dx.doi.org/10.1080/00220485.2022.2144573","http://dx.doi.org/10.1080/00220485.2022.2144573")</f>
        <v>http://dx.doi.org/10.1080/00220485.2022.2144573</v>
      </c>
      <c r="BG2376" t="s">
        <v>74</v>
      </c>
      <c r="BH2376" t="s">
        <v>5112</v>
      </c>
      <c r="BI2376">
        <v>21</v>
      </c>
      <c r="BJ2376" t="s">
        <v>4180</v>
      </c>
      <c r="BK2376" t="s">
        <v>99</v>
      </c>
      <c r="BL2376" t="s">
        <v>4181</v>
      </c>
      <c r="BM2376" t="s">
        <v>40145</v>
      </c>
      <c r="BN2376" t="s">
        <v>74</v>
      </c>
      <c r="BO2376" t="s">
        <v>74</v>
      </c>
      <c r="BP2376" t="s">
        <v>74</v>
      </c>
      <c r="BQ2376" t="s">
        <v>74</v>
      </c>
      <c r="BR2376" t="s">
        <v>102</v>
      </c>
      <c r="BS2376" t="s">
        <v>40146</v>
      </c>
      <c r="BT2376" t="str">
        <f>HYPERLINK("https%3A%2F%2Fwww.webofscience.com%2Fwos%2Fwoscc%2Ffull-record%2FWOS:000892934600001","View Full Record in Web of Science")</f>
        <v>View Full Record in Web of Science</v>
      </c>
    </row>
    <row r="2377" spans="1:72" x14ac:dyDescent="0.25">
      <c r="A2377" t="s">
        <v>72</v>
      </c>
      <c r="B2377" t="s">
        <v>40147</v>
      </c>
      <c r="C2377" t="s">
        <v>74</v>
      </c>
      <c r="D2377" t="s">
        <v>74</v>
      </c>
      <c r="E2377" t="s">
        <v>74</v>
      </c>
      <c r="F2377" t="s">
        <v>40148</v>
      </c>
      <c r="G2377" t="s">
        <v>74</v>
      </c>
      <c r="H2377" t="s">
        <v>74</v>
      </c>
      <c r="I2377" t="s">
        <v>40149</v>
      </c>
      <c r="J2377" t="s">
        <v>9896</v>
      </c>
      <c r="K2377" t="s">
        <v>74</v>
      </c>
      <c r="L2377" t="s">
        <v>74</v>
      </c>
      <c r="M2377" t="s">
        <v>78</v>
      </c>
      <c r="N2377" t="s">
        <v>79</v>
      </c>
      <c r="O2377" t="s">
        <v>74</v>
      </c>
      <c r="P2377" t="s">
        <v>74</v>
      </c>
      <c r="Q2377" t="s">
        <v>74</v>
      </c>
      <c r="R2377" t="s">
        <v>74</v>
      </c>
      <c r="S2377" t="s">
        <v>74</v>
      </c>
      <c r="T2377" t="s">
        <v>40150</v>
      </c>
      <c r="U2377" t="s">
        <v>40151</v>
      </c>
      <c r="V2377" t="s">
        <v>40152</v>
      </c>
      <c r="W2377" t="s">
        <v>40153</v>
      </c>
      <c r="X2377" t="s">
        <v>9303</v>
      </c>
      <c r="Y2377" t="s">
        <v>40154</v>
      </c>
      <c r="Z2377" t="s">
        <v>40155</v>
      </c>
      <c r="AA2377" t="s">
        <v>40156</v>
      </c>
      <c r="AB2377" t="s">
        <v>40157</v>
      </c>
      <c r="AC2377" t="s">
        <v>74</v>
      </c>
      <c r="AD2377" t="s">
        <v>74</v>
      </c>
      <c r="AE2377" t="s">
        <v>74</v>
      </c>
      <c r="AF2377" t="s">
        <v>74</v>
      </c>
      <c r="AG2377">
        <v>109</v>
      </c>
      <c r="AH2377">
        <v>0</v>
      </c>
      <c r="AI2377">
        <v>1</v>
      </c>
      <c r="AJ2377">
        <v>0</v>
      </c>
      <c r="AK2377">
        <v>4</v>
      </c>
      <c r="AL2377" t="s">
        <v>89</v>
      </c>
      <c r="AM2377" t="s">
        <v>90</v>
      </c>
      <c r="AN2377" t="s">
        <v>91</v>
      </c>
      <c r="AO2377" t="s">
        <v>9905</v>
      </c>
      <c r="AP2377" t="s">
        <v>9906</v>
      </c>
      <c r="AQ2377" t="s">
        <v>74</v>
      </c>
      <c r="AR2377" t="s">
        <v>9907</v>
      </c>
      <c r="AS2377" t="s">
        <v>9908</v>
      </c>
      <c r="AT2377" t="s">
        <v>1221</v>
      </c>
      <c r="AU2377">
        <v>2024</v>
      </c>
      <c r="AV2377">
        <v>84</v>
      </c>
      <c r="AW2377" t="s">
        <v>23650</v>
      </c>
      <c r="AX2377" t="s">
        <v>74</v>
      </c>
      <c r="AY2377" t="s">
        <v>74</v>
      </c>
      <c r="AZ2377" t="s">
        <v>74</v>
      </c>
      <c r="BA2377" t="s">
        <v>74</v>
      </c>
      <c r="BB2377">
        <v>342</v>
      </c>
      <c r="BC2377">
        <v>365</v>
      </c>
      <c r="BD2377" t="s">
        <v>74</v>
      </c>
      <c r="BE2377" t="s">
        <v>40158</v>
      </c>
      <c r="BF2377" t="str">
        <f>HYPERLINK("http://dx.doi.org/10.1108/AFR-01-2024-0001","http://dx.doi.org/10.1108/AFR-01-2024-0001")</f>
        <v>http://dx.doi.org/10.1108/AFR-01-2024-0001</v>
      </c>
      <c r="BG2377" t="s">
        <v>74</v>
      </c>
      <c r="BH2377" t="s">
        <v>9389</v>
      </c>
      <c r="BI2377">
        <v>24</v>
      </c>
      <c r="BJ2377" t="s">
        <v>5151</v>
      </c>
      <c r="BK2377" t="s">
        <v>313</v>
      </c>
      <c r="BL2377" t="s">
        <v>5152</v>
      </c>
      <c r="BM2377" t="s">
        <v>40159</v>
      </c>
      <c r="BN2377" t="s">
        <v>74</v>
      </c>
      <c r="BO2377" t="s">
        <v>74</v>
      </c>
      <c r="BP2377" t="s">
        <v>74</v>
      </c>
      <c r="BQ2377" t="s">
        <v>74</v>
      </c>
      <c r="BR2377" t="s">
        <v>102</v>
      </c>
      <c r="BS2377" t="s">
        <v>40160</v>
      </c>
      <c r="BT2377" t="str">
        <f>HYPERLINK("https%3A%2F%2Fwww.webofscience.com%2Fwos%2Fwoscc%2Ffull-record%2FWOS:001318540500001","View Full Record in Web of Science")</f>
        <v>View Full Record in Web of Science</v>
      </c>
    </row>
    <row r="2378" spans="1:72" x14ac:dyDescent="0.25">
      <c r="A2378" t="s">
        <v>72</v>
      </c>
      <c r="B2378" t="s">
        <v>27633</v>
      </c>
      <c r="C2378" t="s">
        <v>74</v>
      </c>
      <c r="D2378" t="s">
        <v>74</v>
      </c>
      <c r="E2378" t="s">
        <v>74</v>
      </c>
      <c r="F2378" t="s">
        <v>27632</v>
      </c>
      <c r="G2378" t="s">
        <v>74</v>
      </c>
      <c r="H2378" t="s">
        <v>74</v>
      </c>
      <c r="I2378" t="s">
        <v>40161</v>
      </c>
      <c r="J2378" t="s">
        <v>1290</v>
      </c>
      <c r="K2378" t="s">
        <v>74</v>
      </c>
      <c r="L2378" t="s">
        <v>74</v>
      </c>
      <c r="M2378" t="s">
        <v>78</v>
      </c>
      <c r="N2378" t="s">
        <v>79</v>
      </c>
      <c r="O2378" t="s">
        <v>74</v>
      </c>
      <c r="P2378" t="s">
        <v>74</v>
      </c>
      <c r="Q2378" t="s">
        <v>74</v>
      </c>
      <c r="R2378" t="s">
        <v>74</v>
      </c>
      <c r="S2378" t="s">
        <v>74</v>
      </c>
      <c r="T2378" t="s">
        <v>40162</v>
      </c>
      <c r="U2378" t="s">
        <v>40163</v>
      </c>
      <c r="V2378" t="s">
        <v>40164</v>
      </c>
      <c r="W2378" t="s">
        <v>33208</v>
      </c>
      <c r="X2378" t="s">
        <v>27626</v>
      </c>
      <c r="Y2378" t="s">
        <v>33207</v>
      </c>
      <c r="Z2378" t="s">
        <v>27624</v>
      </c>
      <c r="AA2378" t="s">
        <v>40165</v>
      </c>
      <c r="AB2378" t="s">
        <v>40166</v>
      </c>
      <c r="AC2378" t="s">
        <v>40167</v>
      </c>
      <c r="AD2378" t="s">
        <v>40168</v>
      </c>
      <c r="AE2378" t="s">
        <v>40169</v>
      </c>
      <c r="AF2378" t="s">
        <v>74</v>
      </c>
      <c r="AG2378">
        <v>75</v>
      </c>
      <c r="AH2378">
        <v>16</v>
      </c>
      <c r="AI2378">
        <v>19</v>
      </c>
      <c r="AJ2378">
        <v>1</v>
      </c>
      <c r="AK2378">
        <v>22</v>
      </c>
      <c r="AL2378" t="s">
        <v>575</v>
      </c>
      <c r="AM2378" t="s">
        <v>576</v>
      </c>
      <c r="AN2378" t="s">
        <v>3242</v>
      </c>
      <c r="AO2378" t="s">
        <v>1299</v>
      </c>
      <c r="AP2378" t="s">
        <v>74</v>
      </c>
      <c r="AQ2378" t="s">
        <v>74</v>
      </c>
      <c r="AR2378" t="s">
        <v>1300</v>
      </c>
      <c r="AS2378" t="s">
        <v>1301</v>
      </c>
      <c r="AT2378" t="s">
        <v>605</v>
      </c>
      <c r="AU2378">
        <v>2022</v>
      </c>
      <c r="AV2378">
        <v>10</v>
      </c>
      <c r="AW2378">
        <v>1</v>
      </c>
      <c r="AX2378" t="s">
        <v>74</v>
      </c>
      <c r="AY2378" t="s">
        <v>74</v>
      </c>
      <c r="AZ2378" t="s">
        <v>74</v>
      </c>
      <c r="BA2378" t="s">
        <v>74</v>
      </c>
      <c r="BB2378" t="s">
        <v>74</v>
      </c>
      <c r="BC2378" t="s">
        <v>74</v>
      </c>
      <c r="BD2378">
        <v>22</v>
      </c>
      <c r="BE2378" t="s">
        <v>40170</v>
      </c>
      <c r="BF2378" t="str">
        <f>HYPERLINK("http://dx.doi.org/10.3390/ijfs10010022","http://dx.doi.org/10.3390/ijfs10010022")</f>
        <v>http://dx.doi.org/10.3390/ijfs10010022</v>
      </c>
      <c r="BG2378" t="s">
        <v>74</v>
      </c>
      <c r="BH2378" t="s">
        <v>74</v>
      </c>
      <c r="BI2378">
        <v>24</v>
      </c>
      <c r="BJ2378" t="s">
        <v>268</v>
      </c>
      <c r="BK2378" t="s">
        <v>313</v>
      </c>
      <c r="BL2378" t="s">
        <v>100</v>
      </c>
      <c r="BM2378" t="s">
        <v>40171</v>
      </c>
      <c r="BN2378" t="s">
        <v>74</v>
      </c>
      <c r="BO2378" t="s">
        <v>916</v>
      </c>
      <c r="BP2378" t="s">
        <v>74</v>
      </c>
      <c r="BQ2378" t="s">
        <v>74</v>
      </c>
      <c r="BR2378" t="s">
        <v>102</v>
      </c>
      <c r="BS2378" t="s">
        <v>40172</v>
      </c>
      <c r="BT2378" t="str">
        <f>HYPERLINK("https%3A%2F%2Fwww.webofscience.com%2Fwos%2Fwoscc%2Ffull-record%2FWOS:000776932400001","View Full Record in Web of Science")</f>
        <v>View Full Record in Web of Science</v>
      </c>
    </row>
    <row r="2379" spans="1:72" x14ac:dyDescent="0.25">
      <c r="A2379" t="s">
        <v>72</v>
      </c>
      <c r="B2379" t="s">
        <v>40173</v>
      </c>
      <c r="C2379" t="s">
        <v>74</v>
      </c>
      <c r="D2379" t="s">
        <v>74</v>
      </c>
      <c r="E2379" t="s">
        <v>74</v>
      </c>
      <c r="F2379" t="s">
        <v>40174</v>
      </c>
      <c r="G2379" t="s">
        <v>74</v>
      </c>
      <c r="H2379" t="s">
        <v>74</v>
      </c>
      <c r="I2379" t="s">
        <v>40175</v>
      </c>
      <c r="J2379" t="s">
        <v>40176</v>
      </c>
      <c r="K2379" t="s">
        <v>74</v>
      </c>
      <c r="L2379" t="s">
        <v>74</v>
      </c>
      <c r="M2379" t="s">
        <v>78</v>
      </c>
      <c r="N2379" t="s">
        <v>79</v>
      </c>
      <c r="O2379" t="s">
        <v>74</v>
      </c>
      <c r="P2379" t="s">
        <v>74</v>
      </c>
      <c r="Q2379" t="s">
        <v>74</v>
      </c>
      <c r="R2379" t="s">
        <v>74</v>
      </c>
      <c r="S2379" t="s">
        <v>74</v>
      </c>
      <c r="T2379" t="s">
        <v>40177</v>
      </c>
      <c r="U2379" t="s">
        <v>74</v>
      </c>
      <c r="V2379" t="s">
        <v>40178</v>
      </c>
      <c r="W2379" t="s">
        <v>40179</v>
      </c>
      <c r="X2379" t="s">
        <v>38401</v>
      </c>
      <c r="Y2379" t="s">
        <v>40180</v>
      </c>
      <c r="Z2379" t="s">
        <v>40181</v>
      </c>
      <c r="AA2379" t="s">
        <v>74</v>
      </c>
      <c r="AB2379" t="s">
        <v>74</v>
      </c>
      <c r="AC2379" t="s">
        <v>74</v>
      </c>
      <c r="AD2379" t="s">
        <v>74</v>
      </c>
      <c r="AE2379" t="s">
        <v>74</v>
      </c>
      <c r="AF2379" t="s">
        <v>74</v>
      </c>
      <c r="AG2379">
        <v>18</v>
      </c>
      <c r="AH2379">
        <v>1</v>
      </c>
      <c r="AI2379">
        <v>2</v>
      </c>
      <c r="AJ2379">
        <v>1</v>
      </c>
      <c r="AK2379">
        <v>3</v>
      </c>
      <c r="AL2379" t="s">
        <v>40182</v>
      </c>
      <c r="AM2379" t="s">
        <v>1377</v>
      </c>
      <c r="AN2379" t="s">
        <v>40183</v>
      </c>
      <c r="AO2379" t="s">
        <v>40184</v>
      </c>
      <c r="AP2379" t="s">
        <v>40185</v>
      </c>
      <c r="AQ2379" t="s">
        <v>74</v>
      </c>
      <c r="AR2379" t="s">
        <v>40186</v>
      </c>
      <c r="AS2379" t="s">
        <v>40187</v>
      </c>
      <c r="AT2379" t="s">
        <v>31451</v>
      </c>
      <c r="AU2379">
        <v>2015</v>
      </c>
      <c r="AV2379">
        <v>17</v>
      </c>
      <c r="AW2379">
        <v>3</v>
      </c>
      <c r="AX2379" t="s">
        <v>74</v>
      </c>
      <c r="AY2379" t="s">
        <v>74</v>
      </c>
      <c r="AZ2379" t="s">
        <v>74</v>
      </c>
      <c r="BA2379" t="s">
        <v>74</v>
      </c>
      <c r="BB2379">
        <v>237</v>
      </c>
      <c r="BC2379">
        <v>258</v>
      </c>
      <c r="BD2379" t="s">
        <v>74</v>
      </c>
      <c r="BE2379" t="s">
        <v>40188</v>
      </c>
      <c r="BF2379" t="str">
        <f>HYPERLINK("http://dx.doi.org/10.22146/gamaijb.8502","http://dx.doi.org/10.22146/gamaijb.8502")</f>
        <v>http://dx.doi.org/10.22146/gamaijb.8502</v>
      </c>
      <c r="BG2379" t="s">
        <v>74</v>
      </c>
      <c r="BH2379" t="s">
        <v>74</v>
      </c>
      <c r="BI2379">
        <v>22</v>
      </c>
      <c r="BJ2379" t="s">
        <v>40189</v>
      </c>
      <c r="BK2379" t="s">
        <v>313</v>
      </c>
      <c r="BL2379" t="s">
        <v>40190</v>
      </c>
      <c r="BM2379" t="s">
        <v>40191</v>
      </c>
      <c r="BN2379" t="s">
        <v>74</v>
      </c>
      <c r="BO2379" t="s">
        <v>916</v>
      </c>
      <c r="BP2379" t="s">
        <v>74</v>
      </c>
      <c r="BQ2379" t="s">
        <v>74</v>
      </c>
      <c r="BR2379" t="s">
        <v>102</v>
      </c>
      <c r="BS2379" t="s">
        <v>40192</v>
      </c>
      <c r="BT2379" t="str">
        <f>HYPERLINK("https%3A%2F%2Fwww.webofscience.com%2Fwos%2Fwoscc%2Ffull-record%2FWOS:000412777900003","View Full Record in Web of Science")</f>
        <v>View Full Record in Web of Science</v>
      </c>
    </row>
    <row r="2380" spans="1:72" x14ac:dyDescent="0.25">
      <c r="A2380" t="s">
        <v>72</v>
      </c>
      <c r="B2380" t="s">
        <v>40193</v>
      </c>
      <c r="C2380" t="s">
        <v>74</v>
      </c>
      <c r="D2380" t="s">
        <v>74</v>
      </c>
      <c r="E2380" t="s">
        <v>74</v>
      </c>
      <c r="F2380" t="s">
        <v>40194</v>
      </c>
      <c r="G2380" t="s">
        <v>74</v>
      </c>
      <c r="H2380" t="s">
        <v>74</v>
      </c>
      <c r="I2380" t="s">
        <v>40195</v>
      </c>
      <c r="J2380" t="s">
        <v>39920</v>
      </c>
      <c r="K2380" t="s">
        <v>74</v>
      </c>
      <c r="L2380" t="s">
        <v>74</v>
      </c>
      <c r="M2380" t="s">
        <v>78</v>
      </c>
      <c r="N2380" t="s">
        <v>79</v>
      </c>
      <c r="O2380" t="s">
        <v>74</v>
      </c>
      <c r="P2380" t="s">
        <v>74</v>
      </c>
      <c r="Q2380" t="s">
        <v>74</v>
      </c>
      <c r="R2380" t="s">
        <v>74</v>
      </c>
      <c r="S2380" t="s">
        <v>74</v>
      </c>
      <c r="T2380" t="s">
        <v>40196</v>
      </c>
      <c r="U2380" t="s">
        <v>40197</v>
      </c>
      <c r="V2380" t="s">
        <v>40198</v>
      </c>
      <c r="W2380" t="s">
        <v>40199</v>
      </c>
      <c r="X2380" t="s">
        <v>74</v>
      </c>
      <c r="Y2380" t="s">
        <v>40200</v>
      </c>
      <c r="Z2380" t="s">
        <v>40201</v>
      </c>
      <c r="AA2380" t="s">
        <v>74</v>
      </c>
      <c r="AB2380" t="s">
        <v>40202</v>
      </c>
      <c r="AC2380" t="s">
        <v>74</v>
      </c>
      <c r="AD2380" t="s">
        <v>74</v>
      </c>
      <c r="AE2380" t="s">
        <v>74</v>
      </c>
      <c r="AF2380" t="s">
        <v>74</v>
      </c>
      <c r="AG2380">
        <v>83</v>
      </c>
      <c r="AH2380">
        <v>3</v>
      </c>
      <c r="AI2380">
        <v>4</v>
      </c>
      <c r="AJ2380">
        <v>1</v>
      </c>
      <c r="AK2380">
        <v>1</v>
      </c>
      <c r="AL2380" t="s">
        <v>201</v>
      </c>
      <c r="AM2380" t="s">
        <v>202</v>
      </c>
      <c r="AN2380" t="s">
        <v>203</v>
      </c>
      <c r="AO2380" t="s">
        <v>39930</v>
      </c>
      <c r="AP2380" t="s">
        <v>39931</v>
      </c>
      <c r="AQ2380" t="s">
        <v>74</v>
      </c>
      <c r="AR2380" t="s">
        <v>39932</v>
      </c>
      <c r="AS2380" t="s">
        <v>39933</v>
      </c>
      <c r="AT2380" t="s">
        <v>605</v>
      </c>
      <c r="AU2380">
        <v>2025</v>
      </c>
      <c r="AV2380">
        <v>49</v>
      </c>
      <c r="AW2380">
        <v>1</v>
      </c>
      <c r="AX2380" t="s">
        <v>74</v>
      </c>
      <c r="AY2380" t="s">
        <v>74</v>
      </c>
      <c r="AZ2380" t="s">
        <v>74</v>
      </c>
      <c r="BA2380" t="s">
        <v>74</v>
      </c>
      <c r="BB2380" t="s">
        <v>74</v>
      </c>
      <c r="BC2380" t="s">
        <v>74</v>
      </c>
      <c r="BD2380">
        <v>101200</v>
      </c>
      <c r="BE2380" t="s">
        <v>40203</v>
      </c>
      <c r="BF2380" t="str">
        <f>HYPERLINK("http://dx.doi.org/10.1016/j.ecosys.2024.101200","http://dx.doi.org/10.1016/j.ecosys.2024.101200")</f>
        <v>http://dx.doi.org/10.1016/j.ecosys.2024.101200</v>
      </c>
      <c r="BG2380" t="s">
        <v>74</v>
      </c>
      <c r="BH2380" t="s">
        <v>417</v>
      </c>
      <c r="BI2380">
        <v>15</v>
      </c>
      <c r="BJ2380" t="s">
        <v>291</v>
      </c>
      <c r="BK2380" t="s">
        <v>99</v>
      </c>
      <c r="BL2380" t="s">
        <v>100</v>
      </c>
      <c r="BM2380" t="s">
        <v>40204</v>
      </c>
      <c r="BN2380" t="s">
        <v>74</v>
      </c>
      <c r="BO2380" t="s">
        <v>74</v>
      </c>
      <c r="BP2380" t="s">
        <v>74</v>
      </c>
      <c r="BQ2380" t="s">
        <v>74</v>
      </c>
      <c r="BR2380" t="s">
        <v>102</v>
      </c>
      <c r="BS2380" t="s">
        <v>40205</v>
      </c>
      <c r="BT2380" t="str">
        <f>HYPERLINK("https%3A%2F%2Fwww.webofscience.com%2Fwos%2Fwoscc%2Ffull-record%2FWOS:001436689400001","View Full Record in Web of Science")</f>
        <v>View Full Record in Web of Science</v>
      </c>
    </row>
    <row r="2381" spans="1:72" x14ac:dyDescent="0.25">
      <c r="A2381" t="s">
        <v>72</v>
      </c>
      <c r="B2381" t="s">
        <v>40206</v>
      </c>
      <c r="C2381" t="s">
        <v>74</v>
      </c>
      <c r="D2381" t="s">
        <v>74</v>
      </c>
      <c r="E2381" t="s">
        <v>74</v>
      </c>
      <c r="F2381" t="s">
        <v>40207</v>
      </c>
      <c r="G2381" t="s">
        <v>74</v>
      </c>
      <c r="H2381" t="s">
        <v>74</v>
      </c>
      <c r="I2381" t="s">
        <v>40208</v>
      </c>
      <c r="J2381" t="s">
        <v>40209</v>
      </c>
      <c r="K2381" t="s">
        <v>74</v>
      </c>
      <c r="L2381" t="s">
        <v>74</v>
      </c>
      <c r="M2381" t="s">
        <v>78</v>
      </c>
      <c r="N2381" t="s">
        <v>79</v>
      </c>
      <c r="O2381" t="s">
        <v>74</v>
      </c>
      <c r="P2381" t="s">
        <v>74</v>
      </c>
      <c r="Q2381" t="s">
        <v>74</v>
      </c>
      <c r="R2381" t="s">
        <v>74</v>
      </c>
      <c r="S2381" t="s">
        <v>74</v>
      </c>
      <c r="T2381" t="s">
        <v>40210</v>
      </c>
      <c r="U2381" t="s">
        <v>40211</v>
      </c>
      <c r="V2381" t="s">
        <v>40212</v>
      </c>
      <c r="W2381" t="s">
        <v>40213</v>
      </c>
      <c r="X2381" t="s">
        <v>40214</v>
      </c>
      <c r="Y2381" t="s">
        <v>40215</v>
      </c>
      <c r="Z2381" t="s">
        <v>40216</v>
      </c>
      <c r="AA2381" t="s">
        <v>40217</v>
      </c>
      <c r="AB2381" t="s">
        <v>40218</v>
      </c>
      <c r="AC2381" t="s">
        <v>40219</v>
      </c>
      <c r="AD2381" t="s">
        <v>40220</v>
      </c>
      <c r="AE2381" t="s">
        <v>40221</v>
      </c>
      <c r="AF2381" t="s">
        <v>74</v>
      </c>
      <c r="AG2381">
        <v>36</v>
      </c>
      <c r="AH2381">
        <v>0</v>
      </c>
      <c r="AI2381">
        <v>0</v>
      </c>
      <c r="AJ2381">
        <v>0</v>
      </c>
      <c r="AK2381">
        <v>1</v>
      </c>
      <c r="AL2381" t="s">
        <v>40222</v>
      </c>
      <c r="AM2381" t="s">
        <v>40223</v>
      </c>
      <c r="AN2381" t="s">
        <v>40224</v>
      </c>
      <c r="AO2381" t="s">
        <v>40225</v>
      </c>
      <c r="AP2381" t="s">
        <v>40226</v>
      </c>
      <c r="AQ2381" t="s">
        <v>74</v>
      </c>
      <c r="AR2381" t="s">
        <v>40227</v>
      </c>
      <c r="AS2381" t="s">
        <v>40228</v>
      </c>
      <c r="AT2381" t="s">
        <v>74</v>
      </c>
      <c r="AU2381">
        <v>2024</v>
      </c>
      <c r="AV2381">
        <v>14</v>
      </c>
      <c r="AW2381">
        <v>1</v>
      </c>
      <c r="AX2381" t="s">
        <v>74</v>
      </c>
      <c r="AY2381" t="s">
        <v>74</v>
      </c>
      <c r="AZ2381" t="s">
        <v>74</v>
      </c>
      <c r="BA2381" t="s">
        <v>74</v>
      </c>
      <c r="BB2381">
        <v>100</v>
      </c>
      <c r="BC2381">
        <v>114</v>
      </c>
      <c r="BD2381" t="s">
        <v>74</v>
      </c>
      <c r="BE2381" t="s">
        <v>40229</v>
      </c>
      <c r="BF2381" t="str">
        <f>HYPERLINK("http://dx.doi.org/10.51865/JESP.2024.1.11","http://dx.doi.org/10.51865/JESP.2024.1.11")</f>
        <v>http://dx.doi.org/10.51865/JESP.2024.1.11</v>
      </c>
      <c r="BG2381" t="s">
        <v>74</v>
      </c>
      <c r="BH2381" t="s">
        <v>74</v>
      </c>
      <c r="BI2381">
        <v>15</v>
      </c>
      <c r="BJ2381" t="s">
        <v>4031</v>
      </c>
      <c r="BK2381" t="s">
        <v>313</v>
      </c>
      <c r="BL2381" t="s">
        <v>4031</v>
      </c>
      <c r="BM2381" t="s">
        <v>40230</v>
      </c>
      <c r="BN2381" t="s">
        <v>74</v>
      </c>
      <c r="BO2381" t="s">
        <v>1205</v>
      </c>
      <c r="BP2381" t="s">
        <v>74</v>
      </c>
      <c r="BQ2381" t="s">
        <v>74</v>
      </c>
      <c r="BR2381" t="s">
        <v>102</v>
      </c>
      <c r="BS2381" t="s">
        <v>40231</v>
      </c>
      <c r="BT2381" t="str">
        <f>HYPERLINK("https%3A%2F%2Fwww.webofscience.com%2Fwos%2Fwoscc%2Ffull-record%2FWOS:001257830800011","View Full Record in Web of Science")</f>
        <v>View Full Record in Web of Science</v>
      </c>
    </row>
    <row r="2382" spans="1:72" x14ac:dyDescent="0.25">
      <c r="A2382" t="s">
        <v>72</v>
      </c>
      <c r="B2382" t="s">
        <v>40232</v>
      </c>
      <c r="C2382" t="s">
        <v>74</v>
      </c>
      <c r="D2382" t="s">
        <v>74</v>
      </c>
      <c r="E2382" t="s">
        <v>74</v>
      </c>
      <c r="F2382" t="s">
        <v>40233</v>
      </c>
      <c r="G2382" t="s">
        <v>74</v>
      </c>
      <c r="H2382" t="s">
        <v>74</v>
      </c>
      <c r="I2382" t="s">
        <v>40234</v>
      </c>
      <c r="J2382" t="s">
        <v>10469</v>
      </c>
      <c r="K2382" t="s">
        <v>74</v>
      </c>
      <c r="L2382" t="s">
        <v>74</v>
      </c>
      <c r="M2382" t="s">
        <v>78</v>
      </c>
      <c r="N2382" t="s">
        <v>79</v>
      </c>
      <c r="O2382" t="s">
        <v>74</v>
      </c>
      <c r="P2382" t="s">
        <v>74</v>
      </c>
      <c r="Q2382" t="s">
        <v>74</v>
      </c>
      <c r="R2382" t="s">
        <v>74</v>
      </c>
      <c r="S2382" t="s">
        <v>74</v>
      </c>
      <c r="T2382" t="s">
        <v>40235</v>
      </c>
      <c r="U2382" t="s">
        <v>40236</v>
      </c>
      <c r="V2382" t="s">
        <v>40237</v>
      </c>
      <c r="W2382" t="s">
        <v>40238</v>
      </c>
      <c r="X2382" t="s">
        <v>74</v>
      </c>
      <c r="Y2382" t="s">
        <v>40239</v>
      </c>
      <c r="Z2382" t="s">
        <v>40240</v>
      </c>
      <c r="AA2382" t="s">
        <v>40241</v>
      </c>
      <c r="AB2382" t="s">
        <v>74</v>
      </c>
      <c r="AC2382" t="s">
        <v>74</v>
      </c>
      <c r="AD2382" t="s">
        <v>74</v>
      </c>
      <c r="AE2382" t="s">
        <v>74</v>
      </c>
      <c r="AF2382" t="s">
        <v>74</v>
      </c>
      <c r="AG2382">
        <v>28</v>
      </c>
      <c r="AH2382">
        <v>25</v>
      </c>
      <c r="AI2382">
        <v>40</v>
      </c>
      <c r="AJ2382">
        <v>0</v>
      </c>
      <c r="AK2382">
        <v>7</v>
      </c>
      <c r="AL2382" t="s">
        <v>332</v>
      </c>
      <c r="AM2382" t="s">
        <v>333</v>
      </c>
      <c r="AN2382" t="s">
        <v>334</v>
      </c>
      <c r="AO2382" t="s">
        <v>10477</v>
      </c>
      <c r="AP2382" t="s">
        <v>10478</v>
      </c>
      <c r="AQ2382" t="s">
        <v>74</v>
      </c>
      <c r="AR2382" t="s">
        <v>10479</v>
      </c>
      <c r="AS2382" t="s">
        <v>10480</v>
      </c>
      <c r="AT2382" t="s">
        <v>4361</v>
      </c>
      <c r="AU2382">
        <v>2019</v>
      </c>
      <c r="AV2382">
        <v>29</v>
      </c>
      <c r="AW2382">
        <v>8</v>
      </c>
      <c r="AX2382" t="s">
        <v>74</v>
      </c>
      <c r="AY2382" t="s">
        <v>74</v>
      </c>
      <c r="AZ2382" t="s">
        <v>74</v>
      </c>
      <c r="BA2382" t="s">
        <v>74</v>
      </c>
      <c r="BB2382">
        <v>965</v>
      </c>
      <c r="BC2382">
        <v>973</v>
      </c>
      <c r="BD2382" t="s">
        <v>74</v>
      </c>
      <c r="BE2382" t="s">
        <v>40242</v>
      </c>
      <c r="BF2382" t="str">
        <f>HYPERLINK("http://dx.doi.org/10.1080/09614524.2019.1651251","http://dx.doi.org/10.1080/09614524.2019.1651251")</f>
        <v>http://dx.doi.org/10.1080/09614524.2019.1651251</v>
      </c>
      <c r="BG2382" t="s">
        <v>74</v>
      </c>
      <c r="BH2382" t="s">
        <v>10482</v>
      </c>
      <c r="BI2382">
        <v>9</v>
      </c>
      <c r="BJ2382" t="s">
        <v>1137</v>
      </c>
      <c r="BK2382" t="s">
        <v>313</v>
      </c>
      <c r="BL2382" t="s">
        <v>1137</v>
      </c>
      <c r="BM2382" t="s">
        <v>10483</v>
      </c>
      <c r="BN2382" t="s">
        <v>74</v>
      </c>
      <c r="BO2382" t="s">
        <v>1205</v>
      </c>
      <c r="BP2382" t="s">
        <v>74</v>
      </c>
      <c r="BQ2382" t="s">
        <v>74</v>
      </c>
      <c r="BR2382" t="s">
        <v>102</v>
      </c>
      <c r="BS2382" t="s">
        <v>40243</v>
      </c>
      <c r="BT2382" t="str">
        <f>HYPERLINK("https%3A%2F%2Fwww.webofscience.com%2Fwos%2Fwoscc%2Ffull-record%2FWOS:000490689200001","View Full Record in Web of Science")</f>
        <v>View Full Record in Web of Science</v>
      </c>
    </row>
    <row r="2383" spans="1:72" x14ac:dyDescent="0.25">
      <c r="A2383" t="s">
        <v>72</v>
      </c>
      <c r="B2383" t="s">
        <v>40244</v>
      </c>
      <c r="C2383" t="s">
        <v>74</v>
      </c>
      <c r="D2383" t="s">
        <v>74</v>
      </c>
      <c r="E2383" t="s">
        <v>74</v>
      </c>
      <c r="F2383" t="s">
        <v>40245</v>
      </c>
      <c r="G2383" t="s">
        <v>74</v>
      </c>
      <c r="H2383" t="s">
        <v>74</v>
      </c>
      <c r="I2383" t="s">
        <v>40246</v>
      </c>
      <c r="J2383" t="s">
        <v>4618</v>
      </c>
      <c r="K2383" t="s">
        <v>74</v>
      </c>
      <c r="L2383" t="s">
        <v>74</v>
      </c>
      <c r="M2383" t="s">
        <v>78</v>
      </c>
      <c r="N2383" t="s">
        <v>79</v>
      </c>
      <c r="O2383" t="s">
        <v>74</v>
      </c>
      <c r="P2383" t="s">
        <v>74</v>
      </c>
      <c r="Q2383" t="s">
        <v>74</v>
      </c>
      <c r="R2383" t="s">
        <v>74</v>
      </c>
      <c r="S2383" t="s">
        <v>74</v>
      </c>
      <c r="T2383" t="s">
        <v>40247</v>
      </c>
      <c r="U2383" t="s">
        <v>8579</v>
      </c>
      <c r="V2383" t="s">
        <v>40248</v>
      </c>
      <c r="W2383" t="s">
        <v>40249</v>
      </c>
      <c r="X2383" t="s">
        <v>40250</v>
      </c>
      <c r="Y2383" t="s">
        <v>40251</v>
      </c>
      <c r="Z2383" t="s">
        <v>35307</v>
      </c>
      <c r="AA2383" t="s">
        <v>35308</v>
      </c>
      <c r="AB2383" t="s">
        <v>40252</v>
      </c>
      <c r="AC2383" t="s">
        <v>74</v>
      </c>
      <c r="AD2383" t="s">
        <v>74</v>
      </c>
      <c r="AE2383" t="s">
        <v>74</v>
      </c>
      <c r="AF2383" t="s">
        <v>74</v>
      </c>
      <c r="AG2383">
        <v>55</v>
      </c>
      <c r="AH2383">
        <v>26</v>
      </c>
      <c r="AI2383">
        <v>35</v>
      </c>
      <c r="AJ2383">
        <v>1</v>
      </c>
      <c r="AK2383">
        <v>39</v>
      </c>
      <c r="AL2383" t="s">
        <v>89</v>
      </c>
      <c r="AM2383" t="s">
        <v>90</v>
      </c>
      <c r="AN2383" t="s">
        <v>91</v>
      </c>
      <c r="AO2383" t="s">
        <v>4627</v>
      </c>
      <c r="AP2383" t="s">
        <v>4628</v>
      </c>
      <c r="AQ2383" t="s">
        <v>74</v>
      </c>
      <c r="AR2383" t="s">
        <v>4629</v>
      </c>
      <c r="AS2383" t="s">
        <v>4630</v>
      </c>
      <c r="AT2383" t="s">
        <v>74</v>
      </c>
      <c r="AU2383">
        <v>2016</v>
      </c>
      <c r="AV2383">
        <v>9</v>
      </c>
      <c r="AW2383">
        <v>2</v>
      </c>
      <c r="AX2383" t="s">
        <v>74</v>
      </c>
      <c r="AY2383" t="s">
        <v>74</v>
      </c>
      <c r="AZ2383" t="s">
        <v>74</v>
      </c>
      <c r="BA2383" t="s">
        <v>74</v>
      </c>
      <c r="BB2383">
        <v>170</v>
      </c>
      <c r="BC2383">
        <v>189</v>
      </c>
      <c r="BD2383" t="s">
        <v>74</v>
      </c>
      <c r="BE2383" t="s">
        <v>40253</v>
      </c>
      <c r="BF2383" t="str">
        <f>HYPERLINK("http://dx.doi.org/10.1108/IMEFM-01-2015-0006","http://dx.doi.org/10.1108/IMEFM-01-2015-0006")</f>
        <v>http://dx.doi.org/10.1108/IMEFM-01-2015-0006</v>
      </c>
      <c r="BG2383" t="s">
        <v>74</v>
      </c>
      <c r="BH2383" t="s">
        <v>74</v>
      </c>
      <c r="BI2383">
        <v>20</v>
      </c>
      <c r="BJ2383" t="s">
        <v>4632</v>
      </c>
      <c r="BK2383" t="s">
        <v>99</v>
      </c>
      <c r="BL2383" t="s">
        <v>100</v>
      </c>
      <c r="BM2383" t="s">
        <v>40254</v>
      </c>
      <c r="BN2383" t="s">
        <v>74</v>
      </c>
      <c r="BO2383" t="s">
        <v>212</v>
      </c>
      <c r="BP2383" t="s">
        <v>74</v>
      </c>
      <c r="BQ2383" t="s">
        <v>74</v>
      </c>
      <c r="BR2383" t="s">
        <v>102</v>
      </c>
      <c r="BS2383" t="s">
        <v>40255</v>
      </c>
      <c r="BT2383" t="str">
        <f>HYPERLINK("https%3A%2F%2Fwww.webofscience.com%2Fwos%2Fwoscc%2Ffull-record%2FWOS:000387744200001","View Full Record in Web of Science")</f>
        <v>View Full Record in Web of Science</v>
      </c>
    </row>
    <row r="2384" spans="1:72" x14ac:dyDescent="0.25">
      <c r="A2384" t="s">
        <v>72</v>
      </c>
      <c r="B2384" t="s">
        <v>40256</v>
      </c>
      <c r="C2384" t="s">
        <v>74</v>
      </c>
      <c r="D2384" t="s">
        <v>74</v>
      </c>
      <c r="E2384" t="s">
        <v>74</v>
      </c>
      <c r="F2384" t="s">
        <v>40257</v>
      </c>
      <c r="G2384" t="s">
        <v>74</v>
      </c>
      <c r="H2384" t="s">
        <v>74</v>
      </c>
      <c r="I2384" t="s">
        <v>40258</v>
      </c>
      <c r="J2384" t="s">
        <v>40259</v>
      </c>
      <c r="K2384" t="s">
        <v>74</v>
      </c>
      <c r="L2384" t="s">
        <v>74</v>
      </c>
      <c r="M2384" t="s">
        <v>78</v>
      </c>
      <c r="N2384" t="s">
        <v>79</v>
      </c>
      <c r="O2384" t="s">
        <v>74</v>
      </c>
      <c r="P2384" t="s">
        <v>74</v>
      </c>
      <c r="Q2384" t="s">
        <v>74</v>
      </c>
      <c r="R2384" t="s">
        <v>74</v>
      </c>
      <c r="S2384" t="s">
        <v>74</v>
      </c>
      <c r="T2384" t="s">
        <v>74</v>
      </c>
      <c r="U2384" t="s">
        <v>40260</v>
      </c>
      <c r="V2384" t="s">
        <v>40261</v>
      </c>
      <c r="W2384" t="s">
        <v>40262</v>
      </c>
      <c r="X2384" t="s">
        <v>40263</v>
      </c>
      <c r="Y2384" t="s">
        <v>40264</v>
      </c>
      <c r="Z2384" t="s">
        <v>40265</v>
      </c>
      <c r="AA2384" t="s">
        <v>40266</v>
      </c>
      <c r="AB2384" t="s">
        <v>74</v>
      </c>
      <c r="AC2384" t="s">
        <v>74</v>
      </c>
      <c r="AD2384" t="s">
        <v>74</v>
      </c>
      <c r="AE2384" t="s">
        <v>74</v>
      </c>
      <c r="AF2384" t="s">
        <v>74</v>
      </c>
      <c r="AG2384">
        <v>57</v>
      </c>
      <c r="AH2384">
        <v>1</v>
      </c>
      <c r="AI2384">
        <v>1</v>
      </c>
      <c r="AJ2384">
        <v>3</v>
      </c>
      <c r="AK2384">
        <v>5</v>
      </c>
      <c r="AL2384" t="s">
        <v>40267</v>
      </c>
      <c r="AM2384" t="s">
        <v>40268</v>
      </c>
      <c r="AN2384" t="s">
        <v>40269</v>
      </c>
      <c r="AO2384" t="s">
        <v>40270</v>
      </c>
      <c r="AP2384" t="s">
        <v>40271</v>
      </c>
      <c r="AQ2384" t="s">
        <v>74</v>
      </c>
      <c r="AR2384" t="s">
        <v>40272</v>
      </c>
      <c r="AS2384" t="s">
        <v>40273</v>
      </c>
      <c r="AT2384" t="s">
        <v>124</v>
      </c>
      <c r="AU2384">
        <v>2024</v>
      </c>
      <c r="AV2384">
        <v>33</v>
      </c>
      <c r="AW2384">
        <v>2</v>
      </c>
      <c r="AX2384" t="s">
        <v>74</v>
      </c>
      <c r="AY2384" t="s">
        <v>74</v>
      </c>
      <c r="AZ2384" t="s">
        <v>74</v>
      </c>
      <c r="BA2384" t="s">
        <v>74</v>
      </c>
      <c r="BB2384" t="s">
        <v>74</v>
      </c>
      <c r="BC2384" t="s">
        <v>74</v>
      </c>
      <c r="BD2384" t="s">
        <v>74</v>
      </c>
      <c r="BE2384" t="s">
        <v>40274</v>
      </c>
      <c r="BF2384" t="str">
        <f>HYPERLINK("http://dx.doi.org/10.17818/EMIP/2024/2.9","http://dx.doi.org/10.17818/EMIP/2024/2.9")</f>
        <v>http://dx.doi.org/10.17818/EMIP/2024/2.9</v>
      </c>
      <c r="BG2384" t="s">
        <v>74</v>
      </c>
      <c r="BH2384" t="s">
        <v>74</v>
      </c>
      <c r="BI2384">
        <v>18</v>
      </c>
      <c r="BJ2384" t="s">
        <v>291</v>
      </c>
      <c r="BK2384" t="s">
        <v>313</v>
      </c>
      <c r="BL2384" t="s">
        <v>100</v>
      </c>
      <c r="BM2384" t="s">
        <v>40275</v>
      </c>
      <c r="BN2384" t="s">
        <v>74</v>
      </c>
      <c r="BO2384" t="s">
        <v>212</v>
      </c>
      <c r="BP2384" t="s">
        <v>74</v>
      </c>
      <c r="BQ2384" t="s">
        <v>74</v>
      </c>
      <c r="BR2384" t="s">
        <v>102</v>
      </c>
      <c r="BS2384" t="s">
        <v>40276</v>
      </c>
      <c r="BT2384" t="str">
        <f>HYPERLINK("https%3A%2F%2Fwww.webofscience.com%2Fwos%2Fwoscc%2Ffull-record%2FWOS:001409236600009","View Full Record in Web of Science")</f>
        <v>View Full Record in Web of Science</v>
      </c>
    </row>
    <row r="2385" spans="1:72" x14ac:dyDescent="0.25">
      <c r="A2385" t="s">
        <v>72</v>
      </c>
      <c r="B2385" t="s">
        <v>27189</v>
      </c>
      <c r="C2385" t="s">
        <v>74</v>
      </c>
      <c r="D2385" t="s">
        <v>74</v>
      </c>
      <c r="E2385" t="s">
        <v>74</v>
      </c>
      <c r="F2385" t="s">
        <v>27188</v>
      </c>
      <c r="G2385" t="s">
        <v>74</v>
      </c>
      <c r="H2385" t="s">
        <v>74</v>
      </c>
      <c r="I2385" t="s">
        <v>40277</v>
      </c>
      <c r="J2385" t="s">
        <v>424</v>
      </c>
      <c r="K2385" t="s">
        <v>74</v>
      </c>
      <c r="L2385" t="s">
        <v>74</v>
      </c>
      <c r="M2385" t="s">
        <v>78</v>
      </c>
      <c r="N2385" t="s">
        <v>79</v>
      </c>
      <c r="O2385" t="s">
        <v>74</v>
      </c>
      <c r="P2385" t="s">
        <v>74</v>
      </c>
      <c r="Q2385" t="s">
        <v>74</v>
      </c>
      <c r="R2385" t="s">
        <v>74</v>
      </c>
      <c r="S2385" t="s">
        <v>74</v>
      </c>
      <c r="T2385" t="s">
        <v>40278</v>
      </c>
      <c r="U2385" t="s">
        <v>40279</v>
      </c>
      <c r="V2385" t="s">
        <v>40280</v>
      </c>
      <c r="W2385" t="s">
        <v>40281</v>
      </c>
      <c r="X2385" t="s">
        <v>20702</v>
      </c>
      <c r="Y2385" t="s">
        <v>40282</v>
      </c>
      <c r="Z2385" t="s">
        <v>20700</v>
      </c>
      <c r="AA2385" t="s">
        <v>27181</v>
      </c>
      <c r="AB2385" t="s">
        <v>27180</v>
      </c>
      <c r="AC2385" t="s">
        <v>74</v>
      </c>
      <c r="AD2385" t="s">
        <v>74</v>
      </c>
      <c r="AE2385" t="s">
        <v>74</v>
      </c>
      <c r="AF2385" t="s">
        <v>74</v>
      </c>
      <c r="AG2385">
        <v>56</v>
      </c>
      <c r="AH2385">
        <v>27</v>
      </c>
      <c r="AI2385">
        <v>40</v>
      </c>
      <c r="AJ2385">
        <v>2</v>
      </c>
      <c r="AK2385">
        <v>58</v>
      </c>
      <c r="AL2385" t="s">
        <v>89</v>
      </c>
      <c r="AM2385" t="s">
        <v>90</v>
      </c>
      <c r="AN2385" t="s">
        <v>91</v>
      </c>
      <c r="AO2385" t="s">
        <v>436</v>
      </c>
      <c r="AP2385" t="s">
        <v>437</v>
      </c>
      <c r="AQ2385" t="s">
        <v>74</v>
      </c>
      <c r="AR2385" t="s">
        <v>438</v>
      </c>
      <c r="AS2385" t="s">
        <v>439</v>
      </c>
      <c r="AT2385" t="s">
        <v>24041</v>
      </c>
      <c r="AU2385">
        <v>2021</v>
      </c>
      <c r="AV2385">
        <v>39</v>
      </c>
      <c r="AW2385">
        <v>7</v>
      </c>
      <c r="AX2385" t="s">
        <v>74</v>
      </c>
      <c r="AY2385" t="s">
        <v>74</v>
      </c>
      <c r="AZ2385" t="s">
        <v>74</v>
      </c>
      <c r="BA2385" t="s">
        <v>74</v>
      </c>
      <c r="BB2385">
        <v>1068</v>
      </c>
      <c r="BC2385">
        <v>1090</v>
      </c>
      <c r="BD2385" t="s">
        <v>74</v>
      </c>
      <c r="BE2385" t="s">
        <v>40283</v>
      </c>
      <c r="BF2385" t="str">
        <f>HYPERLINK("http://dx.doi.org/10.1108/IJBM-10-2020-0518","http://dx.doi.org/10.1108/IJBM-10-2020-0518")</f>
        <v>http://dx.doi.org/10.1108/IJBM-10-2020-0518</v>
      </c>
      <c r="BG2385" t="s">
        <v>74</v>
      </c>
      <c r="BH2385" t="s">
        <v>443</v>
      </c>
      <c r="BI2385">
        <v>23</v>
      </c>
      <c r="BJ2385" t="s">
        <v>418</v>
      </c>
      <c r="BK2385" t="s">
        <v>99</v>
      </c>
      <c r="BL2385" t="s">
        <v>100</v>
      </c>
      <c r="BM2385" t="s">
        <v>39328</v>
      </c>
      <c r="BN2385" t="s">
        <v>74</v>
      </c>
      <c r="BO2385" t="s">
        <v>74</v>
      </c>
      <c r="BP2385" t="s">
        <v>74</v>
      </c>
      <c r="BQ2385" t="s">
        <v>74</v>
      </c>
      <c r="BR2385" t="s">
        <v>102</v>
      </c>
      <c r="BS2385" t="s">
        <v>40284</v>
      </c>
      <c r="BT2385" t="str">
        <f>HYPERLINK("https%3A%2F%2Fwww.webofscience.com%2Fwos%2Fwoscc%2Ffull-record%2FWOS:000644885900001","View Full Record in Web of Science")</f>
        <v>View Full Record in Web of Science</v>
      </c>
    </row>
    <row r="2386" spans="1:72" x14ac:dyDescent="0.25">
      <c r="A2386" t="s">
        <v>72</v>
      </c>
      <c r="B2386" t="s">
        <v>30278</v>
      </c>
      <c r="C2386" t="s">
        <v>74</v>
      </c>
      <c r="D2386" t="s">
        <v>74</v>
      </c>
      <c r="E2386" t="s">
        <v>74</v>
      </c>
      <c r="F2386" t="s">
        <v>30277</v>
      </c>
      <c r="G2386" t="s">
        <v>74</v>
      </c>
      <c r="H2386" t="s">
        <v>74</v>
      </c>
      <c r="I2386" t="s">
        <v>40285</v>
      </c>
      <c r="J2386" t="s">
        <v>1412</v>
      </c>
      <c r="K2386" t="s">
        <v>74</v>
      </c>
      <c r="L2386" t="s">
        <v>74</v>
      </c>
      <c r="M2386" t="s">
        <v>78</v>
      </c>
      <c r="N2386" t="s">
        <v>79</v>
      </c>
      <c r="O2386" t="s">
        <v>74</v>
      </c>
      <c r="P2386" t="s">
        <v>74</v>
      </c>
      <c r="Q2386" t="s">
        <v>74</v>
      </c>
      <c r="R2386" t="s">
        <v>74</v>
      </c>
      <c r="S2386" t="s">
        <v>74</v>
      </c>
      <c r="T2386" t="s">
        <v>40286</v>
      </c>
      <c r="U2386" t="s">
        <v>40287</v>
      </c>
      <c r="V2386" t="s">
        <v>40288</v>
      </c>
      <c r="W2386" t="s">
        <v>40289</v>
      </c>
      <c r="X2386" t="s">
        <v>30271</v>
      </c>
      <c r="Y2386" t="s">
        <v>40290</v>
      </c>
      <c r="Z2386" t="s">
        <v>30269</v>
      </c>
      <c r="AA2386" t="s">
        <v>74</v>
      </c>
      <c r="AB2386" t="s">
        <v>74</v>
      </c>
      <c r="AC2386" t="s">
        <v>74</v>
      </c>
      <c r="AD2386" t="s">
        <v>74</v>
      </c>
      <c r="AE2386" t="s">
        <v>74</v>
      </c>
      <c r="AF2386" t="s">
        <v>74</v>
      </c>
      <c r="AG2386">
        <v>81</v>
      </c>
      <c r="AH2386">
        <v>120</v>
      </c>
      <c r="AI2386">
        <v>156</v>
      </c>
      <c r="AJ2386">
        <v>3</v>
      </c>
      <c r="AK2386">
        <v>85</v>
      </c>
      <c r="AL2386" t="s">
        <v>332</v>
      </c>
      <c r="AM2386" t="s">
        <v>333</v>
      </c>
      <c r="AN2386" t="s">
        <v>334</v>
      </c>
      <c r="AO2386" t="s">
        <v>1423</v>
      </c>
      <c r="AP2386" t="s">
        <v>1424</v>
      </c>
      <c r="AQ2386" t="s">
        <v>74</v>
      </c>
      <c r="AR2386" t="s">
        <v>1425</v>
      </c>
      <c r="AS2386" t="s">
        <v>1426</v>
      </c>
      <c r="AT2386" t="s">
        <v>958</v>
      </c>
      <c r="AU2386">
        <v>2020</v>
      </c>
      <c r="AV2386">
        <v>26</v>
      </c>
      <c r="AW2386">
        <v>3</v>
      </c>
      <c r="AX2386" t="s">
        <v>74</v>
      </c>
      <c r="AY2386" t="s">
        <v>74</v>
      </c>
      <c r="AZ2386" t="s">
        <v>441</v>
      </c>
      <c r="BA2386" t="s">
        <v>74</v>
      </c>
      <c r="BB2386">
        <v>607</v>
      </c>
      <c r="BC2386">
        <v>635</v>
      </c>
      <c r="BD2386" t="s">
        <v>74</v>
      </c>
      <c r="BE2386" t="s">
        <v>40291</v>
      </c>
      <c r="BF2386" t="str">
        <f>HYPERLINK("http://dx.doi.org/10.1080/02681102.2020.1734770","http://dx.doi.org/10.1080/02681102.2020.1734770")</f>
        <v>http://dx.doi.org/10.1080/02681102.2020.1734770</v>
      </c>
      <c r="BG2386" t="s">
        <v>74</v>
      </c>
      <c r="BH2386" t="s">
        <v>2506</v>
      </c>
      <c r="BI2386">
        <v>29</v>
      </c>
      <c r="BJ2386" t="s">
        <v>1429</v>
      </c>
      <c r="BK2386" t="s">
        <v>99</v>
      </c>
      <c r="BL2386" t="s">
        <v>1429</v>
      </c>
      <c r="BM2386" t="s">
        <v>40292</v>
      </c>
      <c r="BN2386" t="s">
        <v>74</v>
      </c>
      <c r="BO2386" t="s">
        <v>74</v>
      </c>
      <c r="BP2386" t="s">
        <v>74</v>
      </c>
      <c r="BQ2386" t="s">
        <v>74</v>
      </c>
      <c r="BR2386" t="s">
        <v>102</v>
      </c>
      <c r="BS2386" t="s">
        <v>40293</v>
      </c>
      <c r="BT2386" t="str">
        <f>HYPERLINK("https%3A%2F%2Fwww.webofscience.com%2Fwos%2Fwoscc%2Ffull-record%2FWOS:000519142300001","View Full Record in Web of Science")</f>
        <v>View Full Record in Web of Science</v>
      </c>
    </row>
    <row r="2387" spans="1:72" x14ac:dyDescent="0.25">
      <c r="A2387" t="s">
        <v>72</v>
      </c>
      <c r="B2387" t="s">
        <v>40294</v>
      </c>
      <c r="C2387" t="s">
        <v>74</v>
      </c>
      <c r="D2387" t="s">
        <v>74</v>
      </c>
      <c r="E2387" t="s">
        <v>74</v>
      </c>
      <c r="F2387" t="s">
        <v>40295</v>
      </c>
      <c r="G2387" t="s">
        <v>74</v>
      </c>
      <c r="H2387" t="s">
        <v>74</v>
      </c>
      <c r="I2387" t="s">
        <v>40296</v>
      </c>
      <c r="J2387" t="s">
        <v>40297</v>
      </c>
      <c r="K2387" t="s">
        <v>74</v>
      </c>
      <c r="L2387" t="s">
        <v>74</v>
      </c>
      <c r="M2387" t="s">
        <v>40298</v>
      </c>
      <c r="N2387" t="s">
        <v>79</v>
      </c>
      <c r="O2387" t="s">
        <v>74</v>
      </c>
      <c r="P2387" t="s">
        <v>74</v>
      </c>
      <c r="Q2387" t="s">
        <v>74</v>
      </c>
      <c r="R2387" t="s">
        <v>74</v>
      </c>
      <c r="S2387" t="s">
        <v>74</v>
      </c>
      <c r="T2387" t="s">
        <v>40299</v>
      </c>
      <c r="U2387" t="s">
        <v>74</v>
      </c>
      <c r="V2387" t="s">
        <v>40300</v>
      </c>
      <c r="W2387" t="s">
        <v>40301</v>
      </c>
      <c r="X2387" t="s">
        <v>40302</v>
      </c>
      <c r="Y2387" t="s">
        <v>40303</v>
      </c>
      <c r="Z2387" t="s">
        <v>40304</v>
      </c>
      <c r="AA2387" t="s">
        <v>74</v>
      </c>
      <c r="AB2387" t="s">
        <v>74</v>
      </c>
      <c r="AC2387" t="s">
        <v>74</v>
      </c>
      <c r="AD2387" t="s">
        <v>74</v>
      </c>
      <c r="AE2387" t="s">
        <v>74</v>
      </c>
      <c r="AF2387" t="s">
        <v>74</v>
      </c>
      <c r="AG2387">
        <v>13</v>
      </c>
      <c r="AH2387">
        <v>0</v>
      </c>
      <c r="AI2387">
        <v>0</v>
      </c>
      <c r="AJ2387">
        <v>2</v>
      </c>
      <c r="AK2387">
        <v>17</v>
      </c>
      <c r="AL2387" t="s">
        <v>40305</v>
      </c>
      <c r="AM2387" t="s">
        <v>39531</v>
      </c>
      <c r="AN2387" t="s">
        <v>39532</v>
      </c>
      <c r="AO2387" t="s">
        <v>40306</v>
      </c>
      <c r="AP2387" t="s">
        <v>40307</v>
      </c>
      <c r="AQ2387" t="s">
        <v>74</v>
      </c>
      <c r="AR2387" t="s">
        <v>40308</v>
      </c>
      <c r="AS2387" t="s">
        <v>40309</v>
      </c>
      <c r="AT2387" t="s">
        <v>74</v>
      </c>
      <c r="AU2387">
        <v>2023</v>
      </c>
      <c r="AV2387">
        <v>31</v>
      </c>
      <c r="AW2387">
        <v>5</v>
      </c>
      <c r="AX2387" t="s">
        <v>74</v>
      </c>
      <c r="AY2387" t="s">
        <v>74</v>
      </c>
      <c r="AZ2387" t="s">
        <v>74</v>
      </c>
      <c r="BA2387" t="s">
        <v>74</v>
      </c>
      <c r="BB2387">
        <v>517</v>
      </c>
      <c r="BC2387">
        <v>531</v>
      </c>
      <c r="BD2387" t="s">
        <v>74</v>
      </c>
      <c r="BE2387" t="s">
        <v>40310</v>
      </c>
      <c r="BF2387" t="str">
        <f>HYPERLINK("http://dx.doi.org/10.53656/str2023-5-4-cha","http://dx.doi.org/10.53656/str2023-5-4-cha")</f>
        <v>http://dx.doi.org/10.53656/str2023-5-4-cha</v>
      </c>
      <c r="BG2387" t="s">
        <v>74</v>
      </c>
      <c r="BH2387" t="s">
        <v>74</v>
      </c>
      <c r="BI2387">
        <v>15</v>
      </c>
      <c r="BJ2387" t="s">
        <v>4031</v>
      </c>
      <c r="BK2387" t="s">
        <v>313</v>
      </c>
      <c r="BL2387" t="s">
        <v>4031</v>
      </c>
      <c r="BM2387" t="s">
        <v>40311</v>
      </c>
      <c r="BN2387" t="s">
        <v>74</v>
      </c>
      <c r="BO2387" t="s">
        <v>74</v>
      </c>
      <c r="BP2387" t="s">
        <v>74</v>
      </c>
      <c r="BQ2387" t="s">
        <v>74</v>
      </c>
      <c r="BR2387" t="s">
        <v>102</v>
      </c>
      <c r="BS2387" t="s">
        <v>40312</v>
      </c>
      <c r="BT2387" t="str">
        <f>HYPERLINK("https%3A%2F%2Fwww.webofscience.com%2Fwos%2Fwoscc%2Ffull-record%2FWOS:001086928100004","View Full Record in Web of Science")</f>
        <v>View Full Record in Web of Science</v>
      </c>
    </row>
    <row r="2388" spans="1:72" x14ac:dyDescent="0.25">
      <c r="A2388" t="s">
        <v>72</v>
      </c>
      <c r="B2388" t="s">
        <v>40313</v>
      </c>
      <c r="C2388" t="s">
        <v>74</v>
      </c>
      <c r="D2388" t="s">
        <v>74</v>
      </c>
      <c r="E2388" t="s">
        <v>74</v>
      </c>
      <c r="F2388" t="s">
        <v>40314</v>
      </c>
      <c r="G2388" t="s">
        <v>74</v>
      </c>
      <c r="H2388" t="s">
        <v>74</v>
      </c>
      <c r="I2388" t="s">
        <v>40315</v>
      </c>
      <c r="J2388" t="s">
        <v>4956</v>
      </c>
      <c r="K2388" t="s">
        <v>74</v>
      </c>
      <c r="L2388" t="s">
        <v>74</v>
      </c>
      <c r="M2388" t="s">
        <v>78</v>
      </c>
      <c r="N2388" t="s">
        <v>79</v>
      </c>
      <c r="O2388" t="s">
        <v>74</v>
      </c>
      <c r="P2388" t="s">
        <v>74</v>
      </c>
      <c r="Q2388" t="s">
        <v>74</v>
      </c>
      <c r="R2388" t="s">
        <v>74</v>
      </c>
      <c r="S2388" t="s">
        <v>74</v>
      </c>
      <c r="T2388" t="s">
        <v>40316</v>
      </c>
      <c r="U2388" t="s">
        <v>40317</v>
      </c>
      <c r="V2388" t="s">
        <v>40318</v>
      </c>
      <c r="W2388" t="s">
        <v>40319</v>
      </c>
      <c r="X2388" t="s">
        <v>40320</v>
      </c>
      <c r="Y2388" t="s">
        <v>40321</v>
      </c>
      <c r="Z2388" t="s">
        <v>74</v>
      </c>
      <c r="AA2388" t="s">
        <v>40322</v>
      </c>
      <c r="AB2388" t="s">
        <v>40323</v>
      </c>
      <c r="AC2388" t="s">
        <v>74</v>
      </c>
      <c r="AD2388" t="s">
        <v>74</v>
      </c>
      <c r="AE2388" t="s">
        <v>74</v>
      </c>
      <c r="AF2388" t="s">
        <v>74</v>
      </c>
      <c r="AG2388">
        <v>52</v>
      </c>
      <c r="AH2388">
        <v>17</v>
      </c>
      <c r="AI2388">
        <v>25</v>
      </c>
      <c r="AJ2388">
        <v>0</v>
      </c>
      <c r="AK2388">
        <v>34</v>
      </c>
      <c r="AL2388" t="s">
        <v>230</v>
      </c>
      <c r="AM2388" t="s">
        <v>231</v>
      </c>
      <c r="AN2388" t="s">
        <v>232</v>
      </c>
      <c r="AO2388" t="s">
        <v>4966</v>
      </c>
      <c r="AP2388" t="s">
        <v>74</v>
      </c>
      <c r="AQ2388" t="s">
        <v>74</v>
      </c>
      <c r="AR2388" t="s">
        <v>4968</v>
      </c>
      <c r="AS2388" t="s">
        <v>4969</v>
      </c>
      <c r="AT2388" t="s">
        <v>237</v>
      </c>
      <c r="AU2388">
        <v>2013</v>
      </c>
      <c r="AV2388">
        <v>42</v>
      </c>
      <c r="AW2388" t="s">
        <v>74</v>
      </c>
      <c r="AX2388" t="s">
        <v>74</v>
      </c>
      <c r="AY2388" t="s">
        <v>74</v>
      </c>
      <c r="AZ2388" t="s">
        <v>74</v>
      </c>
      <c r="BA2388" t="s">
        <v>74</v>
      </c>
      <c r="BB2388">
        <v>182</v>
      </c>
      <c r="BC2388">
        <v>198</v>
      </c>
      <c r="BD2388" t="s">
        <v>74</v>
      </c>
      <c r="BE2388" t="s">
        <v>40324</v>
      </c>
      <c r="BF2388" t="str">
        <f>HYPERLINK("http://dx.doi.org/10.1016/j.worlddev.2012.06.019","http://dx.doi.org/10.1016/j.worlddev.2012.06.019")</f>
        <v>http://dx.doi.org/10.1016/j.worlddev.2012.06.019</v>
      </c>
      <c r="BG2388" t="s">
        <v>74</v>
      </c>
      <c r="BH2388" t="s">
        <v>74</v>
      </c>
      <c r="BI2388">
        <v>17</v>
      </c>
      <c r="BJ2388" t="s">
        <v>701</v>
      </c>
      <c r="BK2388" t="s">
        <v>99</v>
      </c>
      <c r="BL2388" t="s">
        <v>702</v>
      </c>
      <c r="BM2388" t="s">
        <v>40325</v>
      </c>
      <c r="BN2388" t="s">
        <v>74</v>
      </c>
      <c r="BO2388" t="s">
        <v>1696</v>
      </c>
      <c r="BP2388" t="s">
        <v>74</v>
      </c>
      <c r="BQ2388" t="s">
        <v>74</v>
      </c>
      <c r="BR2388" t="s">
        <v>102</v>
      </c>
      <c r="BS2388" t="s">
        <v>40326</v>
      </c>
      <c r="BT2388" t="str">
        <f>HYPERLINK("https%3A%2F%2Fwww.webofscience.com%2Fwos%2Fwoscc%2Ffull-record%2FWOS:000312917600013","View Full Record in Web of Science")</f>
        <v>View Full Record in Web of Science</v>
      </c>
    </row>
    <row r="2389" spans="1:72" x14ac:dyDescent="0.25">
      <c r="A2389" t="s">
        <v>72</v>
      </c>
      <c r="B2389" t="s">
        <v>40327</v>
      </c>
      <c r="C2389" t="s">
        <v>74</v>
      </c>
      <c r="D2389" t="s">
        <v>74</v>
      </c>
      <c r="E2389" t="s">
        <v>74</v>
      </c>
      <c r="F2389" t="s">
        <v>40328</v>
      </c>
      <c r="G2389" t="s">
        <v>74</v>
      </c>
      <c r="H2389" t="s">
        <v>74</v>
      </c>
      <c r="I2389" t="s">
        <v>40329</v>
      </c>
      <c r="J2389" t="s">
        <v>16989</v>
      </c>
      <c r="K2389" t="s">
        <v>74</v>
      </c>
      <c r="L2389" t="s">
        <v>74</v>
      </c>
      <c r="M2389" t="s">
        <v>78</v>
      </c>
      <c r="N2389" t="s">
        <v>79</v>
      </c>
      <c r="O2389" t="s">
        <v>74</v>
      </c>
      <c r="P2389" t="s">
        <v>74</v>
      </c>
      <c r="Q2389" t="s">
        <v>74</v>
      </c>
      <c r="R2389" t="s">
        <v>74</v>
      </c>
      <c r="S2389" t="s">
        <v>74</v>
      </c>
      <c r="T2389" t="s">
        <v>40330</v>
      </c>
      <c r="U2389" t="s">
        <v>40331</v>
      </c>
      <c r="V2389" t="s">
        <v>40332</v>
      </c>
      <c r="W2389" t="s">
        <v>40333</v>
      </c>
      <c r="X2389" t="s">
        <v>40334</v>
      </c>
      <c r="Y2389" t="s">
        <v>40335</v>
      </c>
      <c r="Z2389" t="s">
        <v>40336</v>
      </c>
      <c r="AA2389" t="s">
        <v>40337</v>
      </c>
      <c r="AB2389" t="s">
        <v>74</v>
      </c>
      <c r="AC2389" t="s">
        <v>74</v>
      </c>
      <c r="AD2389" t="s">
        <v>74</v>
      </c>
      <c r="AE2389" t="s">
        <v>74</v>
      </c>
      <c r="AF2389" t="s">
        <v>74</v>
      </c>
      <c r="AG2389">
        <v>93</v>
      </c>
      <c r="AH2389">
        <v>1</v>
      </c>
      <c r="AI2389">
        <v>1</v>
      </c>
      <c r="AJ2389">
        <v>6</v>
      </c>
      <c r="AK2389">
        <v>19</v>
      </c>
      <c r="AL2389" t="s">
        <v>16996</v>
      </c>
      <c r="AM2389" t="s">
        <v>1953</v>
      </c>
      <c r="AN2389" t="s">
        <v>16997</v>
      </c>
      <c r="AO2389" t="s">
        <v>16998</v>
      </c>
      <c r="AP2389" t="s">
        <v>74</v>
      </c>
      <c r="AQ2389" t="s">
        <v>74</v>
      </c>
      <c r="AR2389" t="s">
        <v>16999</v>
      </c>
      <c r="AS2389" t="s">
        <v>17000</v>
      </c>
      <c r="AT2389" t="s">
        <v>74</v>
      </c>
      <c r="AU2389">
        <v>2024</v>
      </c>
      <c r="AV2389">
        <v>11</v>
      </c>
      <c r="AW2389">
        <v>2</v>
      </c>
      <c r="AX2389" t="s">
        <v>74</v>
      </c>
      <c r="AY2389" t="s">
        <v>74</v>
      </c>
      <c r="AZ2389" t="s">
        <v>74</v>
      </c>
      <c r="BA2389" t="s">
        <v>74</v>
      </c>
      <c r="BB2389">
        <v>204</v>
      </c>
      <c r="BC2389">
        <v>225</v>
      </c>
      <c r="BD2389" t="s">
        <v>74</v>
      </c>
      <c r="BE2389" t="s">
        <v>40338</v>
      </c>
      <c r="BF2389" t="str">
        <f>HYPERLINK("http://dx.doi.org/10.26650/JEPR1406361","http://dx.doi.org/10.26650/JEPR1406361")</f>
        <v>http://dx.doi.org/10.26650/JEPR1406361</v>
      </c>
      <c r="BG2389" t="s">
        <v>74</v>
      </c>
      <c r="BH2389" t="s">
        <v>74</v>
      </c>
      <c r="BI2389">
        <v>22</v>
      </c>
      <c r="BJ2389" t="s">
        <v>210</v>
      </c>
      <c r="BK2389" t="s">
        <v>313</v>
      </c>
      <c r="BL2389" t="s">
        <v>100</v>
      </c>
      <c r="BM2389" t="s">
        <v>40339</v>
      </c>
      <c r="BN2389" t="s">
        <v>74</v>
      </c>
      <c r="BO2389" t="s">
        <v>212</v>
      </c>
      <c r="BP2389" t="s">
        <v>74</v>
      </c>
      <c r="BQ2389" t="s">
        <v>74</v>
      </c>
      <c r="BR2389" t="s">
        <v>102</v>
      </c>
      <c r="BS2389" t="s">
        <v>40340</v>
      </c>
      <c r="BT2389" t="str">
        <f>HYPERLINK("https%3A%2F%2Fwww.webofscience.com%2Fwos%2Fwoscc%2Ffull-record%2FWOS:001327185100004","View Full Record in Web of Science")</f>
        <v>View Full Record in Web of Science</v>
      </c>
    </row>
    <row r="2390" spans="1:72" x14ac:dyDescent="0.25">
      <c r="A2390" t="s">
        <v>72</v>
      </c>
      <c r="B2390" t="s">
        <v>40341</v>
      </c>
      <c r="C2390" t="s">
        <v>74</v>
      </c>
      <c r="D2390" t="s">
        <v>74</v>
      </c>
      <c r="E2390" t="s">
        <v>74</v>
      </c>
      <c r="F2390" t="s">
        <v>40342</v>
      </c>
      <c r="G2390" t="s">
        <v>74</v>
      </c>
      <c r="H2390" t="s">
        <v>74</v>
      </c>
      <c r="I2390" t="s">
        <v>40343</v>
      </c>
      <c r="J2390" t="s">
        <v>1309</v>
      </c>
      <c r="K2390" t="s">
        <v>74</v>
      </c>
      <c r="L2390" t="s">
        <v>74</v>
      </c>
      <c r="M2390" t="s">
        <v>78</v>
      </c>
      <c r="N2390" t="s">
        <v>79</v>
      </c>
      <c r="O2390" t="s">
        <v>74</v>
      </c>
      <c r="P2390" t="s">
        <v>74</v>
      </c>
      <c r="Q2390" t="s">
        <v>74</v>
      </c>
      <c r="R2390" t="s">
        <v>74</v>
      </c>
      <c r="S2390" t="s">
        <v>74</v>
      </c>
      <c r="T2390" t="s">
        <v>40344</v>
      </c>
      <c r="U2390" t="s">
        <v>40345</v>
      </c>
      <c r="V2390" t="s">
        <v>40346</v>
      </c>
      <c r="W2390" t="s">
        <v>40347</v>
      </c>
      <c r="X2390" t="s">
        <v>40348</v>
      </c>
      <c r="Y2390" t="s">
        <v>40349</v>
      </c>
      <c r="Z2390" t="s">
        <v>40350</v>
      </c>
      <c r="AA2390" t="s">
        <v>40351</v>
      </c>
      <c r="AB2390" t="s">
        <v>40352</v>
      </c>
      <c r="AC2390" t="s">
        <v>74</v>
      </c>
      <c r="AD2390" t="s">
        <v>74</v>
      </c>
      <c r="AE2390" t="s">
        <v>74</v>
      </c>
      <c r="AF2390" t="s">
        <v>74</v>
      </c>
      <c r="AG2390">
        <v>47</v>
      </c>
      <c r="AH2390">
        <v>7</v>
      </c>
      <c r="AI2390">
        <v>9</v>
      </c>
      <c r="AJ2390">
        <v>10</v>
      </c>
      <c r="AK2390">
        <v>21</v>
      </c>
      <c r="AL2390" t="s">
        <v>89</v>
      </c>
      <c r="AM2390" t="s">
        <v>90</v>
      </c>
      <c r="AN2390" t="s">
        <v>91</v>
      </c>
      <c r="AO2390" t="s">
        <v>1317</v>
      </c>
      <c r="AP2390" t="s">
        <v>74</v>
      </c>
      <c r="AQ2390" t="s">
        <v>74</v>
      </c>
      <c r="AR2390" t="s">
        <v>1319</v>
      </c>
      <c r="AS2390" t="s">
        <v>74</v>
      </c>
      <c r="AT2390" t="s">
        <v>463</v>
      </c>
      <c r="AU2390">
        <v>2025</v>
      </c>
      <c r="AV2390">
        <v>52</v>
      </c>
      <c r="AW2390">
        <v>4</v>
      </c>
      <c r="AX2390" t="s">
        <v>74</v>
      </c>
      <c r="AY2390" t="s">
        <v>74</v>
      </c>
      <c r="AZ2390" t="s">
        <v>74</v>
      </c>
      <c r="BA2390" t="s">
        <v>74</v>
      </c>
      <c r="BB2390">
        <v>742</v>
      </c>
      <c r="BC2390">
        <v>761</v>
      </c>
      <c r="BD2390" t="s">
        <v>74</v>
      </c>
      <c r="BE2390" t="s">
        <v>40353</v>
      </c>
      <c r="BF2390" t="str">
        <f>HYPERLINK("http://dx.doi.org/10.1108/JES-09-2023-0488","http://dx.doi.org/10.1108/JES-09-2023-0488")</f>
        <v>http://dx.doi.org/10.1108/JES-09-2023-0488</v>
      </c>
      <c r="BG2390" t="s">
        <v>74</v>
      </c>
      <c r="BH2390" t="s">
        <v>2524</v>
      </c>
      <c r="BI2390">
        <v>20</v>
      </c>
      <c r="BJ2390" t="s">
        <v>291</v>
      </c>
      <c r="BK2390" t="s">
        <v>313</v>
      </c>
      <c r="BL2390" t="s">
        <v>100</v>
      </c>
      <c r="BM2390" t="s">
        <v>40354</v>
      </c>
      <c r="BN2390" t="s">
        <v>74</v>
      </c>
      <c r="BO2390" t="s">
        <v>1696</v>
      </c>
      <c r="BP2390" t="s">
        <v>74</v>
      </c>
      <c r="BQ2390" t="s">
        <v>74</v>
      </c>
      <c r="BR2390" t="s">
        <v>102</v>
      </c>
      <c r="BS2390" t="s">
        <v>40355</v>
      </c>
      <c r="BT2390" t="str">
        <f>HYPERLINK("https%3A%2F%2Fwww.webofscience.com%2Fwos%2Fwoscc%2Ffull-record%2FWOS:001272725800001","View Full Record in Web of Science")</f>
        <v>View Full Record in Web of Science</v>
      </c>
    </row>
    <row r="2391" spans="1:72" x14ac:dyDescent="0.25">
      <c r="A2391" t="s">
        <v>72</v>
      </c>
      <c r="B2391" t="s">
        <v>40356</v>
      </c>
      <c r="C2391" t="s">
        <v>74</v>
      </c>
      <c r="D2391" t="s">
        <v>74</v>
      </c>
      <c r="E2391" t="s">
        <v>74</v>
      </c>
      <c r="F2391" t="s">
        <v>40357</v>
      </c>
      <c r="G2391" t="s">
        <v>74</v>
      </c>
      <c r="H2391" t="s">
        <v>74</v>
      </c>
      <c r="I2391" t="s">
        <v>40358</v>
      </c>
      <c r="J2391" t="s">
        <v>40359</v>
      </c>
      <c r="K2391" t="s">
        <v>74</v>
      </c>
      <c r="L2391" t="s">
        <v>74</v>
      </c>
      <c r="M2391" t="s">
        <v>78</v>
      </c>
      <c r="N2391" t="s">
        <v>79</v>
      </c>
      <c r="O2391" t="s">
        <v>74</v>
      </c>
      <c r="P2391" t="s">
        <v>74</v>
      </c>
      <c r="Q2391" t="s">
        <v>74</v>
      </c>
      <c r="R2391" t="s">
        <v>74</v>
      </c>
      <c r="S2391" t="s">
        <v>74</v>
      </c>
      <c r="T2391" t="s">
        <v>40360</v>
      </c>
      <c r="U2391" t="s">
        <v>40361</v>
      </c>
      <c r="V2391" t="s">
        <v>40362</v>
      </c>
      <c r="W2391" t="s">
        <v>40363</v>
      </c>
      <c r="X2391" t="s">
        <v>40364</v>
      </c>
      <c r="Y2391" t="s">
        <v>40365</v>
      </c>
      <c r="Z2391" t="s">
        <v>40366</v>
      </c>
      <c r="AA2391" t="s">
        <v>74</v>
      </c>
      <c r="AB2391" t="s">
        <v>74</v>
      </c>
      <c r="AC2391" t="s">
        <v>74</v>
      </c>
      <c r="AD2391" t="s">
        <v>74</v>
      </c>
      <c r="AE2391" t="s">
        <v>74</v>
      </c>
      <c r="AF2391" t="s">
        <v>74</v>
      </c>
      <c r="AG2391">
        <v>72</v>
      </c>
      <c r="AH2391">
        <v>15</v>
      </c>
      <c r="AI2391">
        <v>17</v>
      </c>
      <c r="AJ2391">
        <v>1</v>
      </c>
      <c r="AK2391">
        <v>15</v>
      </c>
      <c r="AL2391" t="s">
        <v>89</v>
      </c>
      <c r="AM2391" t="s">
        <v>1497</v>
      </c>
      <c r="AN2391" t="s">
        <v>1498</v>
      </c>
      <c r="AO2391" t="s">
        <v>40367</v>
      </c>
      <c r="AP2391" t="s">
        <v>40368</v>
      </c>
      <c r="AQ2391" t="s">
        <v>74</v>
      </c>
      <c r="AR2391" t="s">
        <v>40369</v>
      </c>
      <c r="AS2391" t="s">
        <v>40370</v>
      </c>
      <c r="AT2391" t="s">
        <v>5915</v>
      </c>
      <c r="AU2391">
        <v>2019</v>
      </c>
      <c r="AV2391">
        <v>49</v>
      </c>
      <c r="AW2391">
        <v>5</v>
      </c>
      <c r="AX2391" t="s">
        <v>74</v>
      </c>
      <c r="AY2391" t="s">
        <v>74</v>
      </c>
      <c r="AZ2391" t="s">
        <v>441</v>
      </c>
      <c r="BA2391" t="s">
        <v>74</v>
      </c>
      <c r="BB2391">
        <v>514</v>
      </c>
      <c r="BC2391">
        <v>533</v>
      </c>
      <c r="BD2391" t="s">
        <v>74</v>
      </c>
      <c r="BE2391" t="s">
        <v>40371</v>
      </c>
      <c r="BF2391" t="str">
        <f>HYPERLINK("http://dx.doi.org/10.1108/IJPDLM-02-2018-0053","http://dx.doi.org/10.1108/IJPDLM-02-2018-0053")</f>
        <v>http://dx.doi.org/10.1108/IJPDLM-02-2018-0053</v>
      </c>
      <c r="BG2391" t="s">
        <v>74</v>
      </c>
      <c r="BH2391" t="s">
        <v>74</v>
      </c>
      <c r="BI2391">
        <v>20</v>
      </c>
      <c r="BJ2391" t="s">
        <v>583</v>
      </c>
      <c r="BK2391" t="s">
        <v>99</v>
      </c>
      <c r="BL2391" t="s">
        <v>100</v>
      </c>
      <c r="BM2391" t="s">
        <v>40372</v>
      </c>
      <c r="BN2391" t="s">
        <v>74</v>
      </c>
      <c r="BO2391" t="s">
        <v>74</v>
      </c>
      <c r="BP2391" t="s">
        <v>74</v>
      </c>
      <c r="BQ2391" t="s">
        <v>74</v>
      </c>
      <c r="BR2391" t="s">
        <v>102</v>
      </c>
      <c r="BS2391" t="s">
        <v>40373</v>
      </c>
      <c r="BT2391" t="str">
        <f>HYPERLINK("https%3A%2F%2Fwww.webofscience.com%2Fwos%2Fwoscc%2Ffull-record%2FWOS:000479273600005","View Full Record in Web of Science")</f>
        <v>View Full Record in Web of Science</v>
      </c>
    </row>
    <row r="2392" spans="1:72" x14ac:dyDescent="0.25">
      <c r="A2392" t="s">
        <v>72</v>
      </c>
      <c r="B2392" t="s">
        <v>40374</v>
      </c>
      <c r="C2392" t="s">
        <v>74</v>
      </c>
      <c r="D2392" t="s">
        <v>74</v>
      </c>
      <c r="E2392" t="s">
        <v>74</v>
      </c>
      <c r="F2392" t="s">
        <v>40375</v>
      </c>
      <c r="G2392" t="s">
        <v>74</v>
      </c>
      <c r="H2392" t="s">
        <v>74</v>
      </c>
      <c r="I2392" t="s">
        <v>40376</v>
      </c>
      <c r="J2392" t="s">
        <v>1122</v>
      </c>
      <c r="K2392" t="s">
        <v>74</v>
      </c>
      <c r="L2392" t="s">
        <v>74</v>
      </c>
      <c r="M2392" t="s">
        <v>78</v>
      </c>
      <c r="N2392" t="s">
        <v>79</v>
      </c>
      <c r="O2392" t="s">
        <v>74</v>
      </c>
      <c r="P2392" t="s">
        <v>74</v>
      </c>
      <c r="Q2392" t="s">
        <v>74</v>
      </c>
      <c r="R2392" t="s">
        <v>74</v>
      </c>
      <c r="S2392" t="s">
        <v>74</v>
      </c>
      <c r="T2392" t="s">
        <v>74</v>
      </c>
      <c r="U2392" t="s">
        <v>40377</v>
      </c>
      <c r="V2392" t="s">
        <v>40378</v>
      </c>
      <c r="W2392" t="s">
        <v>40379</v>
      </c>
      <c r="X2392" t="s">
        <v>11079</v>
      </c>
      <c r="Y2392" t="s">
        <v>40380</v>
      </c>
      <c r="Z2392" t="s">
        <v>40381</v>
      </c>
      <c r="AA2392" t="s">
        <v>74</v>
      </c>
      <c r="AB2392" t="s">
        <v>40382</v>
      </c>
      <c r="AC2392" t="s">
        <v>74</v>
      </c>
      <c r="AD2392" t="s">
        <v>74</v>
      </c>
      <c r="AE2392" t="s">
        <v>74</v>
      </c>
      <c r="AF2392" t="s">
        <v>74</v>
      </c>
      <c r="AG2392">
        <v>38</v>
      </c>
      <c r="AH2392">
        <v>20</v>
      </c>
      <c r="AI2392">
        <v>27</v>
      </c>
      <c r="AJ2392">
        <v>0</v>
      </c>
      <c r="AK2392">
        <v>18</v>
      </c>
      <c r="AL2392" t="s">
        <v>479</v>
      </c>
      <c r="AM2392" t="s">
        <v>480</v>
      </c>
      <c r="AN2392" t="s">
        <v>481</v>
      </c>
      <c r="AO2392" t="s">
        <v>1131</v>
      </c>
      <c r="AP2392" t="s">
        <v>1132</v>
      </c>
      <c r="AQ2392" t="s">
        <v>74</v>
      </c>
      <c r="AR2392" t="s">
        <v>1133</v>
      </c>
      <c r="AS2392" t="s">
        <v>1134</v>
      </c>
      <c r="AT2392" t="s">
        <v>1652</v>
      </c>
      <c r="AU2392">
        <v>2017</v>
      </c>
      <c r="AV2392">
        <v>29</v>
      </c>
      <c r="AW2392">
        <v>2</v>
      </c>
      <c r="AX2392" t="s">
        <v>74</v>
      </c>
      <c r="AY2392" t="s">
        <v>74</v>
      </c>
      <c r="AZ2392" t="s">
        <v>74</v>
      </c>
      <c r="BA2392" t="s">
        <v>74</v>
      </c>
      <c r="BB2392">
        <v>249</v>
      </c>
      <c r="BC2392">
        <v>258</v>
      </c>
      <c r="BD2392" t="s">
        <v>74</v>
      </c>
      <c r="BE2392" t="s">
        <v>40383</v>
      </c>
      <c r="BF2392" t="str">
        <f>HYPERLINK("http://dx.doi.org/10.1111/1467-8268.12254","http://dx.doi.org/10.1111/1467-8268.12254")</f>
        <v>http://dx.doi.org/10.1111/1467-8268.12254</v>
      </c>
      <c r="BG2392" t="s">
        <v>74</v>
      </c>
      <c r="BH2392" t="s">
        <v>74</v>
      </c>
      <c r="BI2392">
        <v>10</v>
      </c>
      <c r="BJ2392" t="s">
        <v>1137</v>
      </c>
      <c r="BK2392" t="s">
        <v>99</v>
      </c>
      <c r="BL2392" t="s">
        <v>1137</v>
      </c>
      <c r="BM2392" t="s">
        <v>40384</v>
      </c>
      <c r="BN2392" t="s">
        <v>74</v>
      </c>
      <c r="BO2392" t="s">
        <v>74</v>
      </c>
      <c r="BP2392" t="s">
        <v>74</v>
      </c>
      <c r="BQ2392" t="s">
        <v>74</v>
      </c>
      <c r="BR2392" t="s">
        <v>102</v>
      </c>
      <c r="BS2392" t="s">
        <v>40385</v>
      </c>
      <c r="BT2392" t="str">
        <f>HYPERLINK("https%3A%2F%2Fwww.webofscience.com%2Fwos%2Fwoscc%2Ffull-record%2FWOS:000403046700011","View Full Record in Web of Science")</f>
        <v>View Full Record in Web of Science</v>
      </c>
    </row>
    <row r="2393" spans="1:72" x14ac:dyDescent="0.25">
      <c r="A2393" t="s">
        <v>72</v>
      </c>
      <c r="B2393" t="s">
        <v>40386</v>
      </c>
      <c r="C2393" t="s">
        <v>74</v>
      </c>
      <c r="D2393" t="s">
        <v>74</v>
      </c>
      <c r="E2393" t="s">
        <v>74</v>
      </c>
      <c r="F2393" t="s">
        <v>40387</v>
      </c>
      <c r="G2393" t="s">
        <v>74</v>
      </c>
      <c r="H2393" t="s">
        <v>74</v>
      </c>
      <c r="I2393" t="s">
        <v>40388</v>
      </c>
      <c r="J2393" t="s">
        <v>107</v>
      </c>
      <c r="K2393" t="s">
        <v>74</v>
      </c>
      <c r="L2393" t="s">
        <v>74</v>
      </c>
      <c r="M2393" t="s">
        <v>78</v>
      </c>
      <c r="N2393" t="s">
        <v>79</v>
      </c>
      <c r="O2393" t="s">
        <v>74</v>
      </c>
      <c r="P2393" t="s">
        <v>74</v>
      </c>
      <c r="Q2393" t="s">
        <v>74</v>
      </c>
      <c r="R2393" t="s">
        <v>74</v>
      </c>
      <c r="S2393" t="s">
        <v>74</v>
      </c>
      <c r="T2393" t="s">
        <v>40389</v>
      </c>
      <c r="U2393" t="s">
        <v>40390</v>
      </c>
      <c r="V2393" t="s">
        <v>40391</v>
      </c>
      <c r="W2393" t="s">
        <v>40392</v>
      </c>
      <c r="X2393" t="s">
        <v>40393</v>
      </c>
      <c r="Y2393" t="s">
        <v>40394</v>
      </c>
      <c r="Z2393" t="s">
        <v>40395</v>
      </c>
      <c r="AA2393" t="s">
        <v>40396</v>
      </c>
      <c r="AB2393" t="s">
        <v>40397</v>
      </c>
      <c r="AC2393" t="s">
        <v>40398</v>
      </c>
      <c r="AD2393" t="s">
        <v>40399</v>
      </c>
      <c r="AE2393" t="s">
        <v>40400</v>
      </c>
      <c r="AF2393" t="s">
        <v>74</v>
      </c>
      <c r="AG2393">
        <v>42</v>
      </c>
      <c r="AH2393">
        <v>18</v>
      </c>
      <c r="AI2393">
        <v>20</v>
      </c>
      <c r="AJ2393">
        <v>1</v>
      </c>
      <c r="AK2393">
        <v>17</v>
      </c>
      <c r="AL2393" t="s">
        <v>117</v>
      </c>
      <c r="AM2393" t="s">
        <v>118</v>
      </c>
      <c r="AN2393" t="s">
        <v>119</v>
      </c>
      <c r="AO2393" t="s">
        <v>120</v>
      </c>
      <c r="AP2393" t="s">
        <v>121</v>
      </c>
      <c r="AQ2393" t="s">
        <v>74</v>
      </c>
      <c r="AR2393" t="s">
        <v>122</v>
      </c>
      <c r="AS2393" t="s">
        <v>123</v>
      </c>
      <c r="AT2393" t="s">
        <v>208</v>
      </c>
      <c r="AU2393">
        <v>2023</v>
      </c>
      <c r="AV2393">
        <v>30</v>
      </c>
      <c r="AW2393">
        <v>1</v>
      </c>
      <c r="AX2393" t="s">
        <v>74</v>
      </c>
      <c r="AY2393" t="s">
        <v>74</v>
      </c>
      <c r="AZ2393" t="s">
        <v>74</v>
      </c>
      <c r="BA2393" t="s">
        <v>74</v>
      </c>
      <c r="BB2393">
        <v>2218</v>
      </c>
      <c r="BC2393">
        <v>2232</v>
      </c>
      <c r="BD2393" t="s">
        <v>74</v>
      </c>
      <c r="BE2393" t="s">
        <v>40401</v>
      </c>
      <c r="BF2393" t="str">
        <f>HYPERLINK("http://dx.doi.org/10.1007/s11356-022-22301-8","http://dx.doi.org/10.1007/s11356-022-22301-8")</f>
        <v>http://dx.doi.org/10.1007/s11356-022-22301-8</v>
      </c>
      <c r="BG2393" t="s">
        <v>74</v>
      </c>
      <c r="BH2393" t="s">
        <v>2328</v>
      </c>
      <c r="BI2393">
        <v>15</v>
      </c>
      <c r="BJ2393" t="s">
        <v>127</v>
      </c>
      <c r="BK2393" t="s">
        <v>128</v>
      </c>
      <c r="BL2393" t="s">
        <v>129</v>
      </c>
      <c r="BM2393" t="s">
        <v>40402</v>
      </c>
      <c r="BN2393">
        <v>35931851</v>
      </c>
      <c r="BO2393" t="s">
        <v>74</v>
      </c>
      <c r="BP2393" t="s">
        <v>74</v>
      </c>
      <c r="BQ2393" t="s">
        <v>74</v>
      </c>
      <c r="BR2393" t="s">
        <v>102</v>
      </c>
      <c r="BS2393" t="s">
        <v>40403</v>
      </c>
      <c r="BT2393" t="str">
        <f>HYPERLINK("https%3A%2F%2Fwww.webofscience.com%2Fwos%2Fwoscc%2Ffull-record%2FWOS:000836535800017","View Full Record in Web of Science")</f>
        <v>View Full Record in Web of Science</v>
      </c>
    </row>
    <row r="2394" spans="1:72" x14ac:dyDescent="0.25">
      <c r="A2394" t="s">
        <v>72</v>
      </c>
      <c r="B2394" t="s">
        <v>40404</v>
      </c>
      <c r="C2394" t="s">
        <v>74</v>
      </c>
      <c r="D2394" t="s">
        <v>74</v>
      </c>
      <c r="E2394" t="s">
        <v>74</v>
      </c>
      <c r="F2394" t="s">
        <v>40405</v>
      </c>
      <c r="G2394" t="s">
        <v>74</v>
      </c>
      <c r="H2394" t="s">
        <v>74</v>
      </c>
      <c r="I2394" t="s">
        <v>40406</v>
      </c>
      <c r="J2394" t="s">
        <v>4956</v>
      </c>
      <c r="K2394" t="s">
        <v>74</v>
      </c>
      <c r="L2394" t="s">
        <v>74</v>
      </c>
      <c r="M2394" t="s">
        <v>78</v>
      </c>
      <c r="N2394" t="s">
        <v>79</v>
      </c>
      <c r="O2394" t="s">
        <v>74</v>
      </c>
      <c r="P2394" t="s">
        <v>74</v>
      </c>
      <c r="Q2394" t="s">
        <v>74</v>
      </c>
      <c r="R2394" t="s">
        <v>74</v>
      </c>
      <c r="S2394" t="s">
        <v>74</v>
      </c>
      <c r="T2394" t="s">
        <v>40407</v>
      </c>
      <c r="U2394" t="s">
        <v>40408</v>
      </c>
      <c r="V2394" t="s">
        <v>40409</v>
      </c>
      <c r="W2394" t="s">
        <v>40410</v>
      </c>
      <c r="X2394" t="s">
        <v>40411</v>
      </c>
      <c r="Y2394" t="s">
        <v>40412</v>
      </c>
      <c r="Z2394" t="s">
        <v>40413</v>
      </c>
      <c r="AA2394" t="s">
        <v>40414</v>
      </c>
      <c r="AB2394" t="s">
        <v>74</v>
      </c>
      <c r="AC2394" t="s">
        <v>74</v>
      </c>
      <c r="AD2394" t="s">
        <v>74</v>
      </c>
      <c r="AE2394" t="s">
        <v>74</v>
      </c>
      <c r="AF2394" t="s">
        <v>74</v>
      </c>
      <c r="AG2394">
        <v>136</v>
      </c>
      <c r="AH2394">
        <v>23</v>
      </c>
      <c r="AI2394">
        <v>28</v>
      </c>
      <c r="AJ2394">
        <v>2</v>
      </c>
      <c r="AK2394">
        <v>25</v>
      </c>
      <c r="AL2394" t="s">
        <v>230</v>
      </c>
      <c r="AM2394" t="s">
        <v>231</v>
      </c>
      <c r="AN2394" t="s">
        <v>232</v>
      </c>
      <c r="AO2394" t="s">
        <v>4966</v>
      </c>
      <c r="AP2394" t="s">
        <v>4967</v>
      </c>
      <c r="AQ2394" t="s">
        <v>74</v>
      </c>
      <c r="AR2394" t="s">
        <v>4968</v>
      </c>
      <c r="AS2394" t="s">
        <v>4969</v>
      </c>
      <c r="AT2394" t="s">
        <v>1652</v>
      </c>
      <c r="AU2394">
        <v>2021</v>
      </c>
      <c r="AV2394">
        <v>142</v>
      </c>
      <c r="AW2394" t="s">
        <v>74</v>
      </c>
      <c r="AX2394" t="s">
        <v>74</v>
      </c>
      <c r="AY2394" t="s">
        <v>74</v>
      </c>
      <c r="AZ2394" t="s">
        <v>74</v>
      </c>
      <c r="BA2394" t="s">
        <v>74</v>
      </c>
      <c r="BB2394" t="s">
        <v>74</v>
      </c>
      <c r="BC2394" t="s">
        <v>74</v>
      </c>
      <c r="BD2394">
        <v>105363</v>
      </c>
      <c r="BE2394" t="s">
        <v>40415</v>
      </c>
      <c r="BF2394" t="str">
        <f>HYPERLINK("http://dx.doi.org/10.1016/j.worlddev.2020.105363","http://dx.doi.org/10.1016/j.worlddev.2020.105363")</f>
        <v>http://dx.doi.org/10.1016/j.worlddev.2020.105363</v>
      </c>
      <c r="BG2394" t="s">
        <v>74</v>
      </c>
      <c r="BH2394" t="s">
        <v>10160</v>
      </c>
      <c r="BI2394">
        <v>37</v>
      </c>
      <c r="BJ2394" t="s">
        <v>701</v>
      </c>
      <c r="BK2394" t="s">
        <v>99</v>
      </c>
      <c r="BL2394" t="s">
        <v>702</v>
      </c>
      <c r="BM2394" t="s">
        <v>40416</v>
      </c>
      <c r="BN2394" t="s">
        <v>74</v>
      </c>
      <c r="BO2394" t="s">
        <v>212</v>
      </c>
      <c r="BP2394" t="s">
        <v>74</v>
      </c>
      <c r="BQ2394" t="s">
        <v>74</v>
      </c>
      <c r="BR2394" t="s">
        <v>102</v>
      </c>
      <c r="BS2394" t="s">
        <v>40417</v>
      </c>
      <c r="BT2394" t="str">
        <f>HYPERLINK("https%3A%2F%2Fwww.webofscience.com%2Fwos%2Fwoscc%2Ffull-record%2FWOS:000641697900024","View Full Record in Web of Science")</f>
        <v>View Full Record in Web of Science</v>
      </c>
    </row>
    <row r="2395" spans="1:72" x14ac:dyDescent="0.25">
      <c r="A2395" t="s">
        <v>72</v>
      </c>
      <c r="B2395" t="s">
        <v>40418</v>
      </c>
      <c r="C2395" t="s">
        <v>74</v>
      </c>
      <c r="D2395" t="s">
        <v>74</v>
      </c>
      <c r="E2395" t="s">
        <v>74</v>
      </c>
      <c r="F2395" t="s">
        <v>40419</v>
      </c>
      <c r="G2395" t="s">
        <v>74</v>
      </c>
      <c r="H2395" t="s">
        <v>74</v>
      </c>
      <c r="I2395" t="s">
        <v>40420</v>
      </c>
      <c r="J2395" t="s">
        <v>4822</v>
      </c>
      <c r="K2395" t="s">
        <v>74</v>
      </c>
      <c r="L2395" t="s">
        <v>74</v>
      </c>
      <c r="M2395" t="s">
        <v>78</v>
      </c>
      <c r="N2395" t="s">
        <v>79</v>
      </c>
      <c r="O2395" t="s">
        <v>74</v>
      </c>
      <c r="P2395" t="s">
        <v>74</v>
      </c>
      <c r="Q2395" t="s">
        <v>74</v>
      </c>
      <c r="R2395" t="s">
        <v>74</v>
      </c>
      <c r="S2395" t="s">
        <v>74</v>
      </c>
      <c r="T2395" t="s">
        <v>40421</v>
      </c>
      <c r="U2395" t="s">
        <v>40422</v>
      </c>
      <c r="V2395" t="s">
        <v>40423</v>
      </c>
      <c r="W2395" t="s">
        <v>40424</v>
      </c>
      <c r="X2395" t="s">
        <v>40425</v>
      </c>
      <c r="Y2395" t="s">
        <v>40426</v>
      </c>
      <c r="Z2395" t="s">
        <v>40427</v>
      </c>
      <c r="AA2395" t="s">
        <v>40428</v>
      </c>
      <c r="AB2395" t="s">
        <v>40429</v>
      </c>
      <c r="AC2395" t="s">
        <v>40430</v>
      </c>
      <c r="AD2395" t="s">
        <v>40431</v>
      </c>
      <c r="AE2395" t="s">
        <v>40432</v>
      </c>
      <c r="AF2395" t="s">
        <v>74</v>
      </c>
      <c r="AG2395">
        <v>59</v>
      </c>
      <c r="AH2395">
        <v>69</v>
      </c>
      <c r="AI2395">
        <v>76</v>
      </c>
      <c r="AJ2395">
        <v>14</v>
      </c>
      <c r="AK2395">
        <v>200</v>
      </c>
      <c r="AL2395" t="s">
        <v>201</v>
      </c>
      <c r="AM2395" t="s">
        <v>202</v>
      </c>
      <c r="AN2395" t="s">
        <v>203</v>
      </c>
      <c r="AO2395" t="s">
        <v>4833</v>
      </c>
      <c r="AP2395" t="s">
        <v>74</v>
      </c>
      <c r="AQ2395" t="s">
        <v>74</v>
      </c>
      <c r="AR2395" t="s">
        <v>4834</v>
      </c>
      <c r="AS2395" t="s">
        <v>4835</v>
      </c>
      <c r="AT2395" t="s">
        <v>124</v>
      </c>
      <c r="AU2395">
        <v>2022</v>
      </c>
      <c r="AV2395">
        <v>76</v>
      </c>
      <c r="AW2395" t="s">
        <v>74</v>
      </c>
      <c r="AX2395" t="s">
        <v>74</v>
      </c>
      <c r="AY2395" t="s">
        <v>74</v>
      </c>
      <c r="AZ2395" t="s">
        <v>74</v>
      </c>
      <c r="BA2395" t="s">
        <v>74</v>
      </c>
      <c r="BB2395">
        <v>627</v>
      </c>
      <c r="BC2395">
        <v>642</v>
      </c>
      <c r="BD2395" t="s">
        <v>74</v>
      </c>
      <c r="BE2395" t="s">
        <v>40433</v>
      </c>
      <c r="BF2395" t="str">
        <f>HYPERLINK("http://dx.doi.org/10.1016/j.eap.2022.09.007","http://dx.doi.org/10.1016/j.eap.2022.09.007")</f>
        <v>http://dx.doi.org/10.1016/j.eap.2022.09.007</v>
      </c>
      <c r="BG2395" t="s">
        <v>74</v>
      </c>
      <c r="BH2395" t="s">
        <v>6014</v>
      </c>
      <c r="BI2395">
        <v>16</v>
      </c>
      <c r="BJ2395" t="s">
        <v>291</v>
      </c>
      <c r="BK2395" t="s">
        <v>99</v>
      </c>
      <c r="BL2395" t="s">
        <v>100</v>
      </c>
      <c r="BM2395" t="s">
        <v>40434</v>
      </c>
      <c r="BN2395" t="s">
        <v>74</v>
      </c>
      <c r="BO2395" t="s">
        <v>74</v>
      </c>
      <c r="BP2395" t="s">
        <v>74</v>
      </c>
      <c r="BQ2395" t="s">
        <v>74</v>
      </c>
      <c r="BR2395" t="s">
        <v>102</v>
      </c>
      <c r="BS2395" t="s">
        <v>40435</v>
      </c>
      <c r="BT2395" t="str">
        <f>HYPERLINK("https%3A%2F%2Fwww.webofscience.com%2Fwos%2Fwoscc%2Ffull-record%2FWOS:000876352800012","View Full Record in Web of Science")</f>
        <v>View Full Record in Web of Science</v>
      </c>
    </row>
    <row r="2396" spans="1:72" x14ac:dyDescent="0.25">
      <c r="A2396" t="s">
        <v>72</v>
      </c>
      <c r="B2396" t="s">
        <v>40436</v>
      </c>
      <c r="C2396" t="s">
        <v>74</v>
      </c>
      <c r="D2396" t="s">
        <v>74</v>
      </c>
      <c r="E2396" t="s">
        <v>74</v>
      </c>
      <c r="F2396" t="s">
        <v>40437</v>
      </c>
      <c r="G2396" t="s">
        <v>74</v>
      </c>
      <c r="H2396" t="s">
        <v>74</v>
      </c>
      <c r="I2396" t="s">
        <v>40438</v>
      </c>
      <c r="J2396" t="s">
        <v>1367</v>
      </c>
      <c r="K2396" t="s">
        <v>74</v>
      </c>
      <c r="L2396" t="s">
        <v>74</v>
      </c>
      <c r="M2396" t="s">
        <v>78</v>
      </c>
      <c r="N2396" t="s">
        <v>79</v>
      </c>
      <c r="O2396" t="s">
        <v>74</v>
      </c>
      <c r="P2396" t="s">
        <v>74</v>
      </c>
      <c r="Q2396" t="s">
        <v>74</v>
      </c>
      <c r="R2396" t="s">
        <v>74</v>
      </c>
      <c r="S2396" t="s">
        <v>74</v>
      </c>
      <c r="T2396" t="s">
        <v>40439</v>
      </c>
      <c r="U2396" t="s">
        <v>40440</v>
      </c>
      <c r="V2396" t="s">
        <v>40441</v>
      </c>
      <c r="W2396" t="s">
        <v>40442</v>
      </c>
      <c r="X2396" t="s">
        <v>40443</v>
      </c>
      <c r="Y2396" t="s">
        <v>40444</v>
      </c>
      <c r="Z2396" t="s">
        <v>40445</v>
      </c>
      <c r="AA2396" t="s">
        <v>74</v>
      </c>
      <c r="AB2396" t="s">
        <v>74</v>
      </c>
      <c r="AC2396" t="s">
        <v>74</v>
      </c>
      <c r="AD2396" t="s">
        <v>74</v>
      </c>
      <c r="AE2396" t="s">
        <v>74</v>
      </c>
      <c r="AF2396" t="s">
        <v>74</v>
      </c>
      <c r="AG2396">
        <v>79</v>
      </c>
      <c r="AH2396">
        <v>0</v>
      </c>
      <c r="AI2396">
        <v>0</v>
      </c>
      <c r="AJ2396">
        <v>1</v>
      </c>
      <c r="AK2396">
        <v>1</v>
      </c>
      <c r="AL2396" t="s">
        <v>1376</v>
      </c>
      <c r="AM2396" t="s">
        <v>1377</v>
      </c>
      <c r="AN2396" t="s">
        <v>1378</v>
      </c>
      <c r="AO2396" t="s">
        <v>1379</v>
      </c>
      <c r="AP2396" t="s">
        <v>1380</v>
      </c>
      <c r="AQ2396" t="s">
        <v>74</v>
      </c>
      <c r="AR2396" t="s">
        <v>1381</v>
      </c>
      <c r="AS2396" t="s">
        <v>1382</v>
      </c>
      <c r="AT2396" t="s">
        <v>74</v>
      </c>
      <c r="AU2396">
        <v>2025</v>
      </c>
      <c r="AV2396">
        <v>17</v>
      </c>
      <c r="AW2396">
        <v>1</v>
      </c>
      <c r="AX2396" t="s">
        <v>74</v>
      </c>
      <c r="AY2396" t="s">
        <v>74</v>
      </c>
      <c r="AZ2396" t="s">
        <v>74</v>
      </c>
      <c r="BA2396" t="s">
        <v>74</v>
      </c>
      <c r="BB2396">
        <v>12</v>
      </c>
      <c r="BC2396">
        <v>29</v>
      </c>
      <c r="BD2396" t="s">
        <v>74</v>
      </c>
      <c r="BE2396" t="s">
        <v>40446</v>
      </c>
      <c r="BF2396" t="str">
        <f>HYPERLINK("http://dx.doi.org/10.20885/ejem.vol17.iss1.art2","http://dx.doi.org/10.20885/ejem.vol17.iss1.art2")</f>
        <v>http://dx.doi.org/10.20885/ejem.vol17.iss1.art2</v>
      </c>
      <c r="BG2396" t="s">
        <v>74</v>
      </c>
      <c r="BH2396" t="s">
        <v>74</v>
      </c>
      <c r="BI2396">
        <v>18</v>
      </c>
      <c r="BJ2396" t="s">
        <v>291</v>
      </c>
      <c r="BK2396" t="s">
        <v>313</v>
      </c>
      <c r="BL2396" t="s">
        <v>100</v>
      </c>
      <c r="BM2396" t="s">
        <v>40447</v>
      </c>
      <c r="BN2396" t="s">
        <v>74</v>
      </c>
      <c r="BO2396" t="s">
        <v>212</v>
      </c>
      <c r="BP2396" t="s">
        <v>74</v>
      </c>
      <c r="BQ2396" t="s">
        <v>74</v>
      </c>
      <c r="BR2396" t="s">
        <v>102</v>
      </c>
      <c r="BS2396" t="s">
        <v>40448</v>
      </c>
      <c r="BT2396" t="str">
        <f>HYPERLINK("https%3A%2F%2Fwww.webofscience.com%2Fwos%2Fwoscc%2Ffull-record%2FWOS:001487707400002","View Full Record in Web of Science")</f>
        <v>View Full Record in Web of Science</v>
      </c>
    </row>
    <row r="2397" spans="1:72" x14ac:dyDescent="0.25">
      <c r="A2397" t="s">
        <v>72</v>
      </c>
      <c r="B2397" t="s">
        <v>40449</v>
      </c>
      <c r="C2397" t="s">
        <v>74</v>
      </c>
      <c r="D2397" t="s">
        <v>74</v>
      </c>
      <c r="E2397" t="s">
        <v>74</v>
      </c>
      <c r="F2397" t="s">
        <v>40450</v>
      </c>
      <c r="G2397" t="s">
        <v>74</v>
      </c>
      <c r="H2397" t="s">
        <v>74</v>
      </c>
      <c r="I2397" t="s">
        <v>40451</v>
      </c>
      <c r="J2397" t="s">
        <v>40452</v>
      </c>
      <c r="K2397" t="s">
        <v>74</v>
      </c>
      <c r="L2397" t="s">
        <v>74</v>
      </c>
      <c r="M2397" t="s">
        <v>78</v>
      </c>
      <c r="N2397" t="s">
        <v>79</v>
      </c>
      <c r="O2397" t="s">
        <v>74</v>
      </c>
      <c r="P2397" t="s">
        <v>74</v>
      </c>
      <c r="Q2397" t="s">
        <v>74</v>
      </c>
      <c r="R2397" t="s">
        <v>74</v>
      </c>
      <c r="S2397" t="s">
        <v>74</v>
      </c>
      <c r="T2397" t="s">
        <v>40453</v>
      </c>
      <c r="U2397" t="s">
        <v>40454</v>
      </c>
      <c r="V2397" t="s">
        <v>40455</v>
      </c>
      <c r="W2397" t="s">
        <v>40456</v>
      </c>
      <c r="X2397" t="s">
        <v>40457</v>
      </c>
      <c r="Y2397" t="s">
        <v>40458</v>
      </c>
      <c r="Z2397" t="s">
        <v>40459</v>
      </c>
      <c r="AA2397" t="s">
        <v>40460</v>
      </c>
      <c r="AB2397" t="s">
        <v>74</v>
      </c>
      <c r="AC2397" t="s">
        <v>40461</v>
      </c>
      <c r="AD2397" t="s">
        <v>40461</v>
      </c>
      <c r="AE2397" t="s">
        <v>40462</v>
      </c>
      <c r="AF2397" t="s">
        <v>74</v>
      </c>
      <c r="AG2397">
        <v>105</v>
      </c>
      <c r="AH2397">
        <v>5</v>
      </c>
      <c r="AI2397">
        <v>5</v>
      </c>
      <c r="AJ2397">
        <v>2</v>
      </c>
      <c r="AK2397">
        <v>21</v>
      </c>
      <c r="AL2397" t="s">
        <v>479</v>
      </c>
      <c r="AM2397" t="s">
        <v>480</v>
      </c>
      <c r="AN2397" t="s">
        <v>481</v>
      </c>
      <c r="AO2397" t="s">
        <v>40463</v>
      </c>
      <c r="AP2397" t="s">
        <v>40464</v>
      </c>
      <c r="AQ2397" t="s">
        <v>74</v>
      </c>
      <c r="AR2397" t="s">
        <v>40465</v>
      </c>
      <c r="AS2397" t="s">
        <v>40466</v>
      </c>
      <c r="AT2397" t="s">
        <v>698</v>
      </c>
      <c r="AU2397">
        <v>2023</v>
      </c>
      <c r="AV2397">
        <v>69</v>
      </c>
      <c r="AW2397">
        <v>3</v>
      </c>
      <c r="AX2397" t="s">
        <v>74</v>
      </c>
      <c r="AY2397" t="s">
        <v>74</v>
      </c>
      <c r="AZ2397" t="s">
        <v>74</v>
      </c>
      <c r="BA2397" t="s">
        <v>74</v>
      </c>
      <c r="BB2397">
        <v>606</v>
      </c>
      <c r="BC2397">
        <v>639</v>
      </c>
      <c r="BD2397" t="s">
        <v>74</v>
      </c>
      <c r="BE2397" t="s">
        <v>40467</v>
      </c>
      <c r="BF2397" t="str">
        <f>HYPERLINK("http://dx.doi.org/10.1111/roiw.12588","http://dx.doi.org/10.1111/roiw.12588")</f>
        <v>http://dx.doi.org/10.1111/roiw.12588</v>
      </c>
      <c r="BG2397" t="s">
        <v>74</v>
      </c>
      <c r="BH2397" t="s">
        <v>1091</v>
      </c>
      <c r="BI2397">
        <v>34</v>
      </c>
      <c r="BJ2397" t="s">
        <v>291</v>
      </c>
      <c r="BK2397" t="s">
        <v>99</v>
      </c>
      <c r="BL2397" t="s">
        <v>100</v>
      </c>
      <c r="BM2397" t="s">
        <v>40468</v>
      </c>
      <c r="BN2397" t="s">
        <v>74</v>
      </c>
      <c r="BO2397" t="s">
        <v>466</v>
      </c>
      <c r="BP2397" t="s">
        <v>74</v>
      </c>
      <c r="BQ2397" t="s">
        <v>74</v>
      </c>
      <c r="BR2397" t="s">
        <v>102</v>
      </c>
      <c r="BS2397" t="s">
        <v>40469</v>
      </c>
      <c r="BT2397" t="str">
        <f>HYPERLINK("https%3A%2F%2Fwww.webofscience.com%2Fwos%2Fwoscc%2Ffull-record%2FWOS:000789119100001","View Full Record in Web of Science")</f>
        <v>View Full Record in Web of Science</v>
      </c>
    </row>
    <row r="2398" spans="1:72" x14ac:dyDescent="0.25">
      <c r="A2398" t="s">
        <v>72</v>
      </c>
      <c r="B2398" t="s">
        <v>40470</v>
      </c>
      <c r="C2398" t="s">
        <v>74</v>
      </c>
      <c r="D2398" t="s">
        <v>74</v>
      </c>
      <c r="E2398" t="s">
        <v>74</v>
      </c>
      <c r="F2398" t="s">
        <v>40471</v>
      </c>
      <c r="G2398" t="s">
        <v>74</v>
      </c>
      <c r="H2398" t="s">
        <v>74</v>
      </c>
      <c r="I2398" t="s">
        <v>40472</v>
      </c>
      <c r="J2398" t="s">
        <v>20213</v>
      </c>
      <c r="K2398" t="s">
        <v>74</v>
      </c>
      <c r="L2398" t="s">
        <v>74</v>
      </c>
      <c r="M2398" t="s">
        <v>78</v>
      </c>
      <c r="N2398" t="s">
        <v>372</v>
      </c>
      <c r="O2398" t="s">
        <v>74</v>
      </c>
      <c r="P2398" t="s">
        <v>74</v>
      </c>
      <c r="Q2398" t="s">
        <v>74</v>
      </c>
      <c r="R2398" t="s">
        <v>74</v>
      </c>
      <c r="S2398" t="s">
        <v>74</v>
      </c>
      <c r="T2398" t="s">
        <v>40473</v>
      </c>
      <c r="U2398" t="s">
        <v>74</v>
      </c>
      <c r="V2398" t="s">
        <v>40474</v>
      </c>
      <c r="W2398" t="s">
        <v>40475</v>
      </c>
      <c r="X2398" t="s">
        <v>36876</v>
      </c>
      <c r="Y2398" t="s">
        <v>40476</v>
      </c>
      <c r="Z2398" t="s">
        <v>40477</v>
      </c>
      <c r="AA2398" t="s">
        <v>40478</v>
      </c>
      <c r="AB2398" t="s">
        <v>74</v>
      </c>
      <c r="AC2398" t="s">
        <v>36876</v>
      </c>
      <c r="AD2398" t="s">
        <v>36876</v>
      </c>
      <c r="AE2398" t="s">
        <v>40479</v>
      </c>
      <c r="AF2398" t="s">
        <v>74</v>
      </c>
      <c r="AG2398">
        <v>38</v>
      </c>
      <c r="AH2398">
        <v>1</v>
      </c>
      <c r="AI2398">
        <v>2</v>
      </c>
      <c r="AJ2398">
        <v>0</v>
      </c>
      <c r="AK2398">
        <v>0</v>
      </c>
      <c r="AL2398" t="s">
        <v>89</v>
      </c>
      <c r="AM2398" t="s">
        <v>90</v>
      </c>
      <c r="AN2398" t="s">
        <v>91</v>
      </c>
      <c r="AO2398" t="s">
        <v>20205</v>
      </c>
      <c r="AP2398" t="s">
        <v>20204</v>
      </c>
      <c r="AQ2398" t="s">
        <v>74</v>
      </c>
      <c r="AR2398" t="s">
        <v>20203</v>
      </c>
      <c r="AS2398" t="s">
        <v>20202</v>
      </c>
      <c r="AT2398" t="s">
        <v>40480</v>
      </c>
      <c r="AU2398">
        <v>2025</v>
      </c>
      <c r="AV2398" t="s">
        <v>74</v>
      </c>
      <c r="AW2398" t="s">
        <v>74</v>
      </c>
      <c r="AX2398" t="s">
        <v>74</v>
      </c>
      <c r="AY2398" t="s">
        <v>74</v>
      </c>
      <c r="AZ2398" t="s">
        <v>74</v>
      </c>
      <c r="BA2398" t="s">
        <v>74</v>
      </c>
      <c r="BB2398" t="s">
        <v>74</v>
      </c>
      <c r="BC2398" t="s">
        <v>74</v>
      </c>
      <c r="BD2398" t="s">
        <v>74</v>
      </c>
      <c r="BE2398" t="s">
        <v>40481</v>
      </c>
      <c r="BF2398" t="str">
        <f>HYPERLINK("http://dx.doi.org/10.1108/JIABR-12-2023-0410","http://dx.doi.org/10.1108/JIABR-12-2023-0410")</f>
        <v>http://dx.doi.org/10.1108/JIABR-12-2023-0410</v>
      </c>
      <c r="BG2398" t="s">
        <v>74</v>
      </c>
      <c r="BH2398" t="s">
        <v>1737</v>
      </c>
      <c r="BI2398">
        <v>14</v>
      </c>
      <c r="BJ2398" t="s">
        <v>268</v>
      </c>
      <c r="BK2398" t="s">
        <v>313</v>
      </c>
      <c r="BL2398" t="s">
        <v>100</v>
      </c>
      <c r="BM2398" t="s">
        <v>40482</v>
      </c>
      <c r="BN2398" t="s">
        <v>74</v>
      </c>
      <c r="BO2398" t="s">
        <v>74</v>
      </c>
      <c r="BP2398" t="s">
        <v>74</v>
      </c>
      <c r="BQ2398" t="s">
        <v>74</v>
      </c>
      <c r="BR2398" t="s">
        <v>102</v>
      </c>
      <c r="BS2398" t="s">
        <v>40483</v>
      </c>
      <c r="BT2398" t="str">
        <f>HYPERLINK("https%3A%2F%2Fwww.webofscience.com%2Fwos%2Fwoscc%2Ffull-record%2FWOS:001388514300001","View Full Record in Web of Science")</f>
        <v>View Full Record in Web of Science</v>
      </c>
    </row>
    <row r="2399" spans="1:72" x14ac:dyDescent="0.25">
      <c r="A2399" t="s">
        <v>72</v>
      </c>
      <c r="B2399" t="s">
        <v>40484</v>
      </c>
      <c r="C2399" t="s">
        <v>74</v>
      </c>
      <c r="D2399" t="s">
        <v>74</v>
      </c>
      <c r="E2399" t="s">
        <v>74</v>
      </c>
      <c r="F2399" t="s">
        <v>40485</v>
      </c>
      <c r="G2399" t="s">
        <v>74</v>
      </c>
      <c r="H2399" t="s">
        <v>74</v>
      </c>
      <c r="I2399" t="s">
        <v>40486</v>
      </c>
      <c r="J2399" t="s">
        <v>40487</v>
      </c>
      <c r="K2399" t="s">
        <v>74</v>
      </c>
      <c r="L2399" t="s">
        <v>74</v>
      </c>
      <c r="M2399" t="s">
        <v>78</v>
      </c>
      <c r="N2399" t="s">
        <v>79</v>
      </c>
      <c r="O2399" t="s">
        <v>74</v>
      </c>
      <c r="P2399" t="s">
        <v>74</v>
      </c>
      <c r="Q2399" t="s">
        <v>74</v>
      </c>
      <c r="R2399" t="s">
        <v>74</v>
      </c>
      <c r="S2399" t="s">
        <v>74</v>
      </c>
      <c r="T2399" t="s">
        <v>40488</v>
      </c>
      <c r="U2399" t="s">
        <v>40489</v>
      </c>
      <c r="V2399" t="s">
        <v>40490</v>
      </c>
      <c r="W2399" t="s">
        <v>40491</v>
      </c>
      <c r="X2399" t="s">
        <v>26636</v>
      </c>
      <c r="Y2399" t="s">
        <v>24067</v>
      </c>
      <c r="Z2399" t="s">
        <v>40492</v>
      </c>
      <c r="AA2399" t="s">
        <v>24065</v>
      </c>
      <c r="AB2399" t="s">
        <v>40493</v>
      </c>
      <c r="AC2399" t="s">
        <v>74</v>
      </c>
      <c r="AD2399" t="s">
        <v>74</v>
      </c>
      <c r="AE2399" t="s">
        <v>74</v>
      </c>
      <c r="AF2399" t="s">
        <v>74</v>
      </c>
      <c r="AG2399">
        <v>20</v>
      </c>
      <c r="AH2399">
        <v>3</v>
      </c>
      <c r="AI2399">
        <v>3</v>
      </c>
      <c r="AJ2399">
        <v>0</v>
      </c>
      <c r="AK2399">
        <v>3</v>
      </c>
      <c r="AL2399" t="s">
        <v>4666</v>
      </c>
      <c r="AM2399" t="s">
        <v>995</v>
      </c>
      <c r="AN2399" t="s">
        <v>4025</v>
      </c>
      <c r="AO2399" t="s">
        <v>40494</v>
      </c>
      <c r="AP2399" t="s">
        <v>40495</v>
      </c>
      <c r="AQ2399" t="s">
        <v>74</v>
      </c>
      <c r="AR2399" t="s">
        <v>40496</v>
      </c>
      <c r="AS2399" t="s">
        <v>40497</v>
      </c>
      <c r="AT2399" t="s">
        <v>237</v>
      </c>
      <c r="AU2399">
        <v>2022</v>
      </c>
      <c r="AV2399">
        <v>16</v>
      </c>
      <c r="AW2399">
        <v>1</v>
      </c>
      <c r="AX2399" t="s">
        <v>74</v>
      </c>
      <c r="AY2399" t="s">
        <v>74</v>
      </c>
      <c r="AZ2399" t="s">
        <v>74</v>
      </c>
      <c r="BA2399" t="s">
        <v>74</v>
      </c>
      <c r="BB2399">
        <v>113</v>
      </c>
      <c r="BC2399">
        <v>134</v>
      </c>
      <c r="BD2399" t="s">
        <v>74</v>
      </c>
      <c r="BE2399" t="s">
        <v>40498</v>
      </c>
      <c r="BF2399" t="str">
        <f>HYPERLINK("http://dx.doi.org/10.1007/s42495-021-00071-4","http://dx.doi.org/10.1007/s42495-021-00071-4")</f>
        <v>http://dx.doi.org/10.1007/s42495-021-00071-4</v>
      </c>
      <c r="BG2399" t="s">
        <v>74</v>
      </c>
      <c r="BH2399" t="s">
        <v>74</v>
      </c>
      <c r="BI2399">
        <v>22</v>
      </c>
      <c r="BJ2399" t="s">
        <v>291</v>
      </c>
      <c r="BK2399" t="s">
        <v>313</v>
      </c>
      <c r="BL2399" t="s">
        <v>100</v>
      </c>
      <c r="BM2399" t="s">
        <v>40499</v>
      </c>
      <c r="BN2399" t="s">
        <v>74</v>
      </c>
      <c r="BO2399" t="s">
        <v>74</v>
      </c>
      <c r="BP2399" t="s">
        <v>74</v>
      </c>
      <c r="BQ2399" t="s">
        <v>74</v>
      </c>
      <c r="BR2399" t="s">
        <v>102</v>
      </c>
      <c r="BS2399" t="s">
        <v>40500</v>
      </c>
      <c r="BT2399" t="str">
        <f>HYPERLINK("https%3A%2F%2Fwww.webofscience.com%2Fwos%2Fwoscc%2Ffull-record%2FWOS:001086989500006","View Full Record in Web of Science")</f>
        <v>View Full Record in Web of Science</v>
      </c>
    </row>
    <row r="2400" spans="1:72" x14ac:dyDescent="0.25">
      <c r="A2400" t="s">
        <v>72</v>
      </c>
      <c r="B2400" t="s">
        <v>40501</v>
      </c>
      <c r="C2400" t="s">
        <v>74</v>
      </c>
      <c r="D2400" t="s">
        <v>74</v>
      </c>
      <c r="E2400" t="s">
        <v>74</v>
      </c>
      <c r="F2400" t="s">
        <v>40502</v>
      </c>
      <c r="G2400" t="s">
        <v>74</v>
      </c>
      <c r="H2400" t="s">
        <v>74</v>
      </c>
      <c r="I2400" t="s">
        <v>40503</v>
      </c>
      <c r="J2400" t="s">
        <v>5540</v>
      </c>
      <c r="K2400" t="s">
        <v>74</v>
      </c>
      <c r="L2400" t="s">
        <v>74</v>
      </c>
      <c r="M2400" t="s">
        <v>78</v>
      </c>
      <c r="N2400" t="s">
        <v>79</v>
      </c>
      <c r="O2400" t="s">
        <v>74</v>
      </c>
      <c r="P2400" t="s">
        <v>74</v>
      </c>
      <c r="Q2400" t="s">
        <v>74</v>
      </c>
      <c r="R2400" t="s">
        <v>74</v>
      </c>
      <c r="S2400" t="s">
        <v>74</v>
      </c>
      <c r="T2400" t="s">
        <v>40504</v>
      </c>
      <c r="U2400" t="s">
        <v>40505</v>
      </c>
      <c r="V2400" t="s">
        <v>40506</v>
      </c>
      <c r="W2400" t="s">
        <v>40507</v>
      </c>
      <c r="X2400" t="s">
        <v>40508</v>
      </c>
      <c r="Y2400" t="s">
        <v>40509</v>
      </c>
      <c r="Z2400" t="s">
        <v>303</v>
      </c>
      <c r="AA2400" t="s">
        <v>74</v>
      </c>
      <c r="AB2400" t="s">
        <v>74</v>
      </c>
      <c r="AC2400" t="s">
        <v>40510</v>
      </c>
      <c r="AD2400" t="s">
        <v>40510</v>
      </c>
      <c r="AE2400" t="s">
        <v>40511</v>
      </c>
      <c r="AF2400" t="s">
        <v>74</v>
      </c>
      <c r="AG2400">
        <v>118</v>
      </c>
      <c r="AH2400">
        <v>13</v>
      </c>
      <c r="AI2400">
        <v>17</v>
      </c>
      <c r="AJ2400">
        <v>0</v>
      </c>
      <c r="AK2400">
        <v>23</v>
      </c>
      <c r="AL2400" t="s">
        <v>479</v>
      </c>
      <c r="AM2400" t="s">
        <v>480</v>
      </c>
      <c r="AN2400" t="s">
        <v>481</v>
      </c>
      <c r="AO2400" t="s">
        <v>5549</v>
      </c>
      <c r="AP2400" t="s">
        <v>5550</v>
      </c>
      <c r="AQ2400" t="s">
        <v>74</v>
      </c>
      <c r="AR2400" t="s">
        <v>5551</v>
      </c>
      <c r="AS2400" t="s">
        <v>5552</v>
      </c>
      <c r="AT2400" t="s">
        <v>743</v>
      </c>
      <c r="AU2400">
        <v>2019</v>
      </c>
      <c r="AV2400">
        <v>33</v>
      </c>
      <c r="AW2400">
        <v>2</v>
      </c>
      <c r="AX2400" t="s">
        <v>74</v>
      </c>
      <c r="AY2400" t="s">
        <v>74</v>
      </c>
      <c r="AZ2400" t="s">
        <v>74</v>
      </c>
      <c r="BA2400" t="s">
        <v>74</v>
      </c>
      <c r="BB2400">
        <v>541</v>
      </c>
      <c r="BC2400">
        <v>566</v>
      </c>
      <c r="BD2400" t="s">
        <v>74</v>
      </c>
      <c r="BE2400" t="s">
        <v>40512</v>
      </c>
      <c r="BF2400" t="str">
        <f>HYPERLINK("http://dx.doi.org/10.1111/joes.12275","http://dx.doi.org/10.1111/joes.12275")</f>
        <v>http://dx.doi.org/10.1111/joes.12275</v>
      </c>
      <c r="BG2400" t="s">
        <v>74</v>
      </c>
      <c r="BH2400" t="s">
        <v>74</v>
      </c>
      <c r="BI2400">
        <v>26</v>
      </c>
      <c r="BJ2400" t="s">
        <v>291</v>
      </c>
      <c r="BK2400" t="s">
        <v>99</v>
      </c>
      <c r="BL2400" t="s">
        <v>100</v>
      </c>
      <c r="BM2400" t="s">
        <v>40513</v>
      </c>
      <c r="BN2400" t="s">
        <v>74</v>
      </c>
      <c r="BO2400" t="s">
        <v>74</v>
      </c>
      <c r="BP2400" t="s">
        <v>74</v>
      </c>
      <c r="BQ2400" t="s">
        <v>74</v>
      </c>
      <c r="BR2400" t="s">
        <v>102</v>
      </c>
      <c r="BS2400" t="s">
        <v>40514</v>
      </c>
      <c r="BT2400" t="str">
        <f>HYPERLINK("https%3A%2F%2Fwww.webofscience.com%2Fwos%2Fwoscc%2Ffull-record%2FWOS:000460656200008","View Full Record in Web of Science")</f>
        <v>View Full Record in Web of Science</v>
      </c>
    </row>
    <row r="2401" spans="1:72" x14ac:dyDescent="0.25">
      <c r="A2401" t="s">
        <v>72</v>
      </c>
      <c r="B2401" t="s">
        <v>40515</v>
      </c>
      <c r="C2401" t="s">
        <v>74</v>
      </c>
      <c r="D2401" t="s">
        <v>74</v>
      </c>
      <c r="E2401" t="s">
        <v>74</v>
      </c>
      <c r="F2401" t="s">
        <v>40516</v>
      </c>
      <c r="G2401" t="s">
        <v>74</v>
      </c>
      <c r="H2401" t="s">
        <v>74</v>
      </c>
      <c r="I2401" t="s">
        <v>40517</v>
      </c>
      <c r="J2401" t="s">
        <v>13601</v>
      </c>
      <c r="K2401" t="s">
        <v>74</v>
      </c>
      <c r="L2401" t="s">
        <v>74</v>
      </c>
      <c r="M2401" t="s">
        <v>78</v>
      </c>
      <c r="N2401" t="s">
        <v>79</v>
      </c>
      <c r="O2401" t="s">
        <v>74</v>
      </c>
      <c r="P2401" t="s">
        <v>74</v>
      </c>
      <c r="Q2401" t="s">
        <v>74</v>
      </c>
      <c r="R2401" t="s">
        <v>74</v>
      </c>
      <c r="S2401" t="s">
        <v>74</v>
      </c>
      <c r="T2401" t="s">
        <v>40518</v>
      </c>
      <c r="U2401" t="s">
        <v>40519</v>
      </c>
      <c r="V2401" t="s">
        <v>40520</v>
      </c>
      <c r="W2401" t="s">
        <v>40521</v>
      </c>
      <c r="X2401" t="s">
        <v>40522</v>
      </c>
      <c r="Y2401" t="s">
        <v>40523</v>
      </c>
      <c r="Z2401" t="s">
        <v>40524</v>
      </c>
      <c r="AA2401" t="s">
        <v>40525</v>
      </c>
      <c r="AB2401" t="s">
        <v>40526</v>
      </c>
      <c r="AC2401" t="s">
        <v>74</v>
      </c>
      <c r="AD2401" t="s">
        <v>74</v>
      </c>
      <c r="AE2401" t="s">
        <v>74</v>
      </c>
      <c r="AF2401" t="s">
        <v>74</v>
      </c>
      <c r="AG2401">
        <v>21</v>
      </c>
      <c r="AH2401">
        <v>1</v>
      </c>
      <c r="AI2401">
        <v>1</v>
      </c>
      <c r="AJ2401">
        <v>1</v>
      </c>
      <c r="AK2401">
        <v>8</v>
      </c>
      <c r="AL2401" t="s">
        <v>21649</v>
      </c>
      <c r="AM2401" t="s">
        <v>21648</v>
      </c>
      <c r="AN2401" t="s">
        <v>21647</v>
      </c>
      <c r="AO2401" t="s">
        <v>13608</v>
      </c>
      <c r="AP2401" t="s">
        <v>74</v>
      </c>
      <c r="AQ2401" t="s">
        <v>74</v>
      </c>
      <c r="AR2401" t="s">
        <v>13609</v>
      </c>
      <c r="AS2401" t="s">
        <v>13610</v>
      </c>
      <c r="AT2401" t="s">
        <v>124</v>
      </c>
      <c r="AU2401">
        <v>2022</v>
      </c>
      <c r="AV2401">
        <v>12</v>
      </c>
      <c r="AW2401">
        <v>2</v>
      </c>
      <c r="AX2401" t="s">
        <v>74</v>
      </c>
      <c r="AY2401" t="s">
        <v>74</v>
      </c>
      <c r="AZ2401" t="s">
        <v>74</v>
      </c>
      <c r="BA2401" t="s">
        <v>74</v>
      </c>
      <c r="BB2401">
        <v>1</v>
      </c>
      <c r="BC2401">
        <v>9</v>
      </c>
      <c r="BD2401" t="s">
        <v>74</v>
      </c>
      <c r="BE2401" t="s">
        <v>74</v>
      </c>
      <c r="BF2401" t="s">
        <v>74</v>
      </c>
      <c r="BG2401" t="s">
        <v>74</v>
      </c>
      <c r="BH2401" t="s">
        <v>74</v>
      </c>
      <c r="BI2401">
        <v>9</v>
      </c>
      <c r="BJ2401" t="s">
        <v>268</v>
      </c>
      <c r="BK2401" t="s">
        <v>313</v>
      </c>
      <c r="BL2401" t="s">
        <v>100</v>
      </c>
      <c r="BM2401" t="s">
        <v>40527</v>
      </c>
      <c r="BN2401" t="s">
        <v>74</v>
      </c>
      <c r="BO2401" t="s">
        <v>74</v>
      </c>
      <c r="BP2401" t="s">
        <v>74</v>
      </c>
      <c r="BQ2401" t="s">
        <v>74</v>
      </c>
      <c r="BR2401" t="s">
        <v>102</v>
      </c>
      <c r="BS2401" t="s">
        <v>40528</v>
      </c>
      <c r="BT2401" t="str">
        <f>HYPERLINK("https%3A%2F%2Fwww.webofscience.com%2Fwos%2Fwoscc%2Ffull-record%2FWOS:000910815500001","View Full Record in Web of Science")</f>
        <v>View Full Record in Web of Science</v>
      </c>
    </row>
    <row r="2402" spans="1:72" x14ac:dyDescent="0.25">
      <c r="A2402" t="s">
        <v>72</v>
      </c>
      <c r="B2402" t="s">
        <v>40529</v>
      </c>
      <c r="C2402" t="s">
        <v>74</v>
      </c>
      <c r="D2402" t="s">
        <v>74</v>
      </c>
      <c r="E2402" t="s">
        <v>74</v>
      </c>
      <c r="F2402" t="s">
        <v>40530</v>
      </c>
      <c r="G2402" t="s">
        <v>74</v>
      </c>
      <c r="H2402" t="s">
        <v>74</v>
      </c>
      <c r="I2402" t="s">
        <v>40531</v>
      </c>
      <c r="J2402" t="s">
        <v>424</v>
      </c>
      <c r="K2402" t="s">
        <v>74</v>
      </c>
      <c r="L2402" t="s">
        <v>74</v>
      </c>
      <c r="M2402" t="s">
        <v>78</v>
      </c>
      <c r="N2402" t="s">
        <v>79</v>
      </c>
      <c r="O2402" t="s">
        <v>74</v>
      </c>
      <c r="P2402" t="s">
        <v>74</v>
      </c>
      <c r="Q2402" t="s">
        <v>74</v>
      </c>
      <c r="R2402" t="s">
        <v>74</v>
      </c>
      <c r="S2402" t="s">
        <v>74</v>
      </c>
      <c r="T2402" t="s">
        <v>40532</v>
      </c>
      <c r="U2402" t="s">
        <v>40533</v>
      </c>
      <c r="V2402" t="s">
        <v>40534</v>
      </c>
      <c r="W2402" t="s">
        <v>40535</v>
      </c>
      <c r="X2402" t="s">
        <v>40536</v>
      </c>
      <c r="Y2402" t="s">
        <v>40537</v>
      </c>
      <c r="Z2402" t="s">
        <v>40538</v>
      </c>
      <c r="AA2402" t="s">
        <v>40539</v>
      </c>
      <c r="AB2402" t="s">
        <v>40540</v>
      </c>
      <c r="AC2402" t="s">
        <v>40541</v>
      </c>
      <c r="AD2402" t="s">
        <v>40542</v>
      </c>
      <c r="AE2402" t="s">
        <v>40543</v>
      </c>
      <c r="AF2402" t="s">
        <v>74</v>
      </c>
      <c r="AG2402">
        <v>62</v>
      </c>
      <c r="AH2402">
        <v>10</v>
      </c>
      <c r="AI2402">
        <v>13</v>
      </c>
      <c r="AJ2402">
        <v>1</v>
      </c>
      <c r="AK2402">
        <v>16</v>
      </c>
      <c r="AL2402" t="s">
        <v>89</v>
      </c>
      <c r="AM2402" t="s">
        <v>90</v>
      </c>
      <c r="AN2402" t="s">
        <v>91</v>
      </c>
      <c r="AO2402" t="s">
        <v>436</v>
      </c>
      <c r="AP2402" t="s">
        <v>437</v>
      </c>
      <c r="AQ2402" t="s">
        <v>74</v>
      </c>
      <c r="AR2402" t="s">
        <v>438</v>
      </c>
      <c r="AS2402" t="s">
        <v>439</v>
      </c>
      <c r="AT2402" t="s">
        <v>40544</v>
      </c>
      <c r="AU2402">
        <v>2021</v>
      </c>
      <c r="AV2402">
        <v>39</v>
      </c>
      <c r="AW2402">
        <v>1</v>
      </c>
      <c r="AX2402" t="s">
        <v>74</v>
      </c>
      <c r="AY2402" t="s">
        <v>74</v>
      </c>
      <c r="AZ2402" t="s">
        <v>74</v>
      </c>
      <c r="BA2402" t="s">
        <v>74</v>
      </c>
      <c r="BB2402">
        <v>127</v>
      </c>
      <c r="BC2402">
        <v>146</v>
      </c>
      <c r="BD2402" t="s">
        <v>74</v>
      </c>
      <c r="BE2402" t="s">
        <v>40545</v>
      </c>
      <c r="BF2402" t="str">
        <f>HYPERLINK("http://dx.doi.org/10.1108/IJBM-06-2020-0316","http://dx.doi.org/10.1108/IJBM-06-2020-0316")</f>
        <v>http://dx.doi.org/10.1108/IJBM-06-2020-0316</v>
      </c>
      <c r="BG2402" t="s">
        <v>74</v>
      </c>
      <c r="BH2402" t="s">
        <v>7236</v>
      </c>
      <c r="BI2402">
        <v>20</v>
      </c>
      <c r="BJ2402" t="s">
        <v>418</v>
      </c>
      <c r="BK2402" t="s">
        <v>99</v>
      </c>
      <c r="BL2402" t="s">
        <v>100</v>
      </c>
      <c r="BM2402" t="s">
        <v>40546</v>
      </c>
      <c r="BN2402" t="s">
        <v>74</v>
      </c>
      <c r="BO2402" t="s">
        <v>74</v>
      </c>
      <c r="BP2402" t="s">
        <v>74</v>
      </c>
      <c r="BQ2402" t="s">
        <v>74</v>
      </c>
      <c r="BR2402" t="s">
        <v>102</v>
      </c>
      <c r="BS2402" t="s">
        <v>40547</v>
      </c>
      <c r="BT2402" t="str">
        <f>HYPERLINK("https%3A%2F%2Fwww.webofscience.com%2Fwos%2Fwoscc%2Ffull-record%2FWOS:000598413500001","View Full Record in Web of Science")</f>
        <v>View Full Record in Web of Science</v>
      </c>
    </row>
    <row r="2403" spans="1:72" x14ac:dyDescent="0.25">
      <c r="A2403" t="s">
        <v>72</v>
      </c>
      <c r="B2403" t="s">
        <v>40548</v>
      </c>
      <c r="C2403" t="s">
        <v>74</v>
      </c>
      <c r="D2403" t="s">
        <v>74</v>
      </c>
      <c r="E2403" t="s">
        <v>74</v>
      </c>
      <c r="F2403" t="s">
        <v>40549</v>
      </c>
      <c r="G2403" t="s">
        <v>74</v>
      </c>
      <c r="H2403" t="s">
        <v>74</v>
      </c>
      <c r="I2403" t="s">
        <v>40550</v>
      </c>
      <c r="J2403" t="s">
        <v>5812</v>
      </c>
      <c r="K2403" t="s">
        <v>74</v>
      </c>
      <c r="L2403" t="s">
        <v>74</v>
      </c>
      <c r="M2403" t="s">
        <v>78</v>
      </c>
      <c r="N2403" t="s">
        <v>79</v>
      </c>
      <c r="O2403" t="s">
        <v>74</v>
      </c>
      <c r="P2403" t="s">
        <v>74</v>
      </c>
      <c r="Q2403" t="s">
        <v>74</v>
      </c>
      <c r="R2403" t="s">
        <v>74</v>
      </c>
      <c r="S2403" t="s">
        <v>74</v>
      </c>
      <c r="T2403" t="s">
        <v>40551</v>
      </c>
      <c r="U2403" t="s">
        <v>35410</v>
      </c>
      <c r="V2403" t="s">
        <v>40552</v>
      </c>
      <c r="W2403" t="s">
        <v>40553</v>
      </c>
      <c r="X2403" t="s">
        <v>40554</v>
      </c>
      <c r="Y2403" t="s">
        <v>40555</v>
      </c>
      <c r="Z2403" t="s">
        <v>40556</v>
      </c>
      <c r="AA2403" t="s">
        <v>74</v>
      </c>
      <c r="AB2403" t="s">
        <v>40557</v>
      </c>
      <c r="AC2403" t="s">
        <v>40558</v>
      </c>
      <c r="AD2403" t="s">
        <v>40558</v>
      </c>
      <c r="AE2403" t="s">
        <v>40559</v>
      </c>
      <c r="AF2403" t="s">
        <v>74</v>
      </c>
      <c r="AG2403">
        <v>37</v>
      </c>
      <c r="AH2403">
        <v>73</v>
      </c>
      <c r="AI2403">
        <v>78</v>
      </c>
      <c r="AJ2403">
        <v>4</v>
      </c>
      <c r="AK2403">
        <v>93</v>
      </c>
      <c r="AL2403" t="s">
        <v>332</v>
      </c>
      <c r="AM2403" t="s">
        <v>333</v>
      </c>
      <c r="AN2403" t="s">
        <v>334</v>
      </c>
      <c r="AO2403" t="s">
        <v>5820</v>
      </c>
      <c r="AP2403" t="s">
        <v>5821</v>
      </c>
      <c r="AQ2403" t="s">
        <v>74</v>
      </c>
      <c r="AR2403" t="s">
        <v>5822</v>
      </c>
      <c r="AS2403" t="s">
        <v>5823</v>
      </c>
      <c r="AT2403" t="s">
        <v>2970</v>
      </c>
      <c r="AU2403">
        <v>2023</v>
      </c>
      <c r="AV2403">
        <v>36</v>
      </c>
      <c r="AW2403">
        <v>1</v>
      </c>
      <c r="AX2403" t="s">
        <v>74</v>
      </c>
      <c r="AY2403" t="s">
        <v>74</v>
      </c>
      <c r="AZ2403" t="s">
        <v>74</v>
      </c>
      <c r="BA2403" t="s">
        <v>74</v>
      </c>
      <c r="BB2403">
        <v>1631</v>
      </c>
      <c r="BC2403">
        <v>1650</v>
      </c>
      <c r="BD2403" t="s">
        <v>74</v>
      </c>
      <c r="BE2403" t="s">
        <v>40560</v>
      </c>
      <c r="BF2403" t="str">
        <f>HYPERLINK("http://dx.doi.org/10.1080/1331677X.2022.2091631","http://dx.doi.org/10.1080/1331677X.2022.2091631")</f>
        <v>http://dx.doi.org/10.1080/1331677X.2022.2091631</v>
      </c>
      <c r="BG2403" t="s">
        <v>74</v>
      </c>
      <c r="BH2403" t="s">
        <v>1802</v>
      </c>
      <c r="BI2403">
        <v>20</v>
      </c>
      <c r="BJ2403" t="s">
        <v>291</v>
      </c>
      <c r="BK2403" t="s">
        <v>99</v>
      </c>
      <c r="BL2403" t="s">
        <v>100</v>
      </c>
      <c r="BM2403" t="s">
        <v>40561</v>
      </c>
      <c r="BN2403" t="s">
        <v>74</v>
      </c>
      <c r="BO2403" t="s">
        <v>270</v>
      </c>
      <c r="BP2403" t="s">
        <v>74</v>
      </c>
      <c r="BQ2403" t="s">
        <v>74</v>
      </c>
      <c r="BR2403" t="s">
        <v>102</v>
      </c>
      <c r="BS2403" t="s">
        <v>40562</v>
      </c>
      <c r="BT2403" t="str">
        <f>HYPERLINK("https%3A%2F%2Fwww.webofscience.com%2Fwos%2Fwoscc%2Ffull-record%2FWOS:000823859900001","View Full Record in Web of Science")</f>
        <v>View Full Record in Web of Science</v>
      </c>
    </row>
    <row r="2404" spans="1:72" x14ac:dyDescent="0.25">
      <c r="A2404" t="s">
        <v>72</v>
      </c>
      <c r="B2404" t="s">
        <v>40563</v>
      </c>
      <c r="C2404" t="s">
        <v>74</v>
      </c>
      <c r="D2404" t="s">
        <v>74</v>
      </c>
      <c r="E2404" t="s">
        <v>74</v>
      </c>
      <c r="F2404" t="s">
        <v>40564</v>
      </c>
      <c r="G2404" t="s">
        <v>74</v>
      </c>
      <c r="H2404" t="s">
        <v>74</v>
      </c>
      <c r="I2404" t="s">
        <v>40565</v>
      </c>
      <c r="J2404" t="s">
        <v>10469</v>
      </c>
      <c r="K2404" t="s">
        <v>74</v>
      </c>
      <c r="L2404" t="s">
        <v>74</v>
      </c>
      <c r="M2404" t="s">
        <v>78</v>
      </c>
      <c r="N2404" t="s">
        <v>372</v>
      </c>
      <c r="O2404" t="s">
        <v>74</v>
      </c>
      <c r="P2404" t="s">
        <v>74</v>
      </c>
      <c r="Q2404" t="s">
        <v>74</v>
      </c>
      <c r="R2404" t="s">
        <v>74</v>
      </c>
      <c r="S2404" t="s">
        <v>74</v>
      </c>
      <c r="T2404" t="s">
        <v>74</v>
      </c>
      <c r="U2404" t="s">
        <v>40566</v>
      </c>
      <c r="V2404" t="s">
        <v>40567</v>
      </c>
      <c r="W2404" t="s">
        <v>40568</v>
      </c>
      <c r="X2404" t="s">
        <v>548</v>
      </c>
      <c r="Y2404" t="s">
        <v>40569</v>
      </c>
      <c r="Z2404" t="s">
        <v>40570</v>
      </c>
      <c r="AA2404" t="s">
        <v>40571</v>
      </c>
      <c r="AB2404" t="s">
        <v>74</v>
      </c>
      <c r="AC2404" t="s">
        <v>74</v>
      </c>
      <c r="AD2404" t="s">
        <v>74</v>
      </c>
      <c r="AE2404" t="s">
        <v>74</v>
      </c>
      <c r="AF2404" t="s">
        <v>74</v>
      </c>
      <c r="AG2404">
        <v>105</v>
      </c>
      <c r="AH2404">
        <v>0</v>
      </c>
      <c r="AI2404">
        <v>0</v>
      </c>
      <c r="AJ2404">
        <v>0</v>
      </c>
      <c r="AK2404">
        <v>0</v>
      </c>
      <c r="AL2404" t="s">
        <v>332</v>
      </c>
      <c r="AM2404" t="s">
        <v>333</v>
      </c>
      <c r="AN2404" t="s">
        <v>334</v>
      </c>
      <c r="AO2404" t="s">
        <v>10477</v>
      </c>
      <c r="AP2404" t="s">
        <v>10478</v>
      </c>
      <c r="AQ2404" t="s">
        <v>74</v>
      </c>
      <c r="AR2404" t="s">
        <v>10479</v>
      </c>
      <c r="AS2404" t="s">
        <v>10480</v>
      </c>
      <c r="AT2404" t="s">
        <v>40572</v>
      </c>
      <c r="AU2404">
        <v>2025</v>
      </c>
      <c r="AV2404" t="s">
        <v>74</v>
      </c>
      <c r="AW2404" t="s">
        <v>74</v>
      </c>
      <c r="AX2404" t="s">
        <v>74</v>
      </c>
      <c r="AY2404" t="s">
        <v>74</v>
      </c>
      <c r="AZ2404" t="s">
        <v>74</v>
      </c>
      <c r="BA2404" t="s">
        <v>74</v>
      </c>
      <c r="BB2404" t="s">
        <v>74</v>
      </c>
      <c r="BC2404" t="s">
        <v>74</v>
      </c>
      <c r="BD2404" t="s">
        <v>74</v>
      </c>
      <c r="BE2404" t="s">
        <v>40573</v>
      </c>
      <c r="BF2404" t="str">
        <f>HYPERLINK("http://dx.doi.org/10.1080/09614524.2025.2573966","http://dx.doi.org/10.1080/09614524.2025.2573966")</f>
        <v>http://dx.doi.org/10.1080/09614524.2025.2573966</v>
      </c>
      <c r="BG2404" t="s">
        <v>74</v>
      </c>
      <c r="BH2404" t="s">
        <v>2044</v>
      </c>
      <c r="BI2404">
        <v>17</v>
      </c>
      <c r="BJ2404" t="s">
        <v>1137</v>
      </c>
      <c r="BK2404" t="s">
        <v>313</v>
      </c>
      <c r="BL2404" t="s">
        <v>1137</v>
      </c>
      <c r="BM2404" t="s">
        <v>40574</v>
      </c>
      <c r="BN2404" t="s">
        <v>74</v>
      </c>
      <c r="BO2404" t="s">
        <v>74</v>
      </c>
      <c r="BP2404" t="s">
        <v>74</v>
      </c>
      <c r="BQ2404" t="s">
        <v>74</v>
      </c>
      <c r="BR2404" t="s">
        <v>102</v>
      </c>
      <c r="BS2404" t="s">
        <v>40575</v>
      </c>
      <c r="BT2404" t="str">
        <f>HYPERLINK("https%3A%2F%2Fwww.webofscience.com%2Fwos%2Fwoscc%2Ffull-record%2FWOS:001609518200001","View Full Record in Web of Science")</f>
        <v>View Full Record in Web of Science</v>
      </c>
    </row>
    <row r="2405" spans="1:72" x14ac:dyDescent="0.25">
      <c r="A2405" t="s">
        <v>72</v>
      </c>
      <c r="B2405" t="s">
        <v>40576</v>
      </c>
      <c r="C2405" t="s">
        <v>74</v>
      </c>
      <c r="D2405" t="s">
        <v>74</v>
      </c>
      <c r="E2405" t="s">
        <v>74</v>
      </c>
      <c r="F2405" t="s">
        <v>40577</v>
      </c>
      <c r="G2405" t="s">
        <v>74</v>
      </c>
      <c r="H2405" t="s">
        <v>74</v>
      </c>
      <c r="I2405" t="s">
        <v>40578</v>
      </c>
      <c r="J2405" t="s">
        <v>3213</v>
      </c>
      <c r="K2405" t="s">
        <v>74</v>
      </c>
      <c r="L2405" t="s">
        <v>74</v>
      </c>
      <c r="M2405" t="s">
        <v>78</v>
      </c>
      <c r="N2405" t="s">
        <v>79</v>
      </c>
      <c r="O2405" t="s">
        <v>74</v>
      </c>
      <c r="P2405" t="s">
        <v>74</v>
      </c>
      <c r="Q2405" t="s">
        <v>74</v>
      </c>
      <c r="R2405" t="s">
        <v>74</v>
      </c>
      <c r="S2405" t="s">
        <v>74</v>
      </c>
      <c r="T2405" t="s">
        <v>40579</v>
      </c>
      <c r="U2405" t="s">
        <v>74</v>
      </c>
      <c r="V2405" t="s">
        <v>40580</v>
      </c>
      <c r="W2405" t="s">
        <v>40581</v>
      </c>
      <c r="X2405" t="s">
        <v>40582</v>
      </c>
      <c r="Y2405" t="s">
        <v>40583</v>
      </c>
      <c r="Z2405" t="s">
        <v>40584</v>
      </c>
      <c r="AA2405" t="s">
        <v>40585</v>
      </c>
      <c r="AB2405" t="s">
        <v>74</v>
      </c>
      <c r="AC2405" t="s">
        <v>74</v>
      </c>
      <c r="AD2405" t="s">
        <v>74</v>
      </c>
      <c r="AE2405" t="s">
        <v>74</v>
      </c>
      <c r="AF2405" t="s">
        <v>74</v>
      </c>
      <c r="AG2405">
        <v>26</v>
      </c>
      <c r="AH2405">
        <v>0</v>
      </c>
      <c r="AI2405">
        <v>0</v>
      </c>
      <c r="AJ2405">
        <v>0</v>
      </c>
      <c r="AK2405">
        <v>1</v>
      </c>
      <c r="AL2405" t="s">
        <v>3219</v>
      </c>
      <c r="AM2405" t="s">
        <v>3220</v>
      </c>
      <c r="AN2405" t="s">
        <v>3221</v>
      </c>
      <c r="AO2405" t="s">
        <v>3222</v>
      </c>
      <c r="AP2405" t="s">
        <v>74</v>
      </c>
      <c r="AQ2405" t="s">
        <v>74</v>
      </c>
      <c r="AR2405" t="s">
        <v>3223</v>
      </c>
      <c r="AS2405" t="s">
        <v>3224</v>
      </c>
      <c r="AT2405" t="s">
        <v>74</v>
      </c>
      <c r="AU2405">
        <v>2020</v>
      </c>
      <c r="AV2405">
        <v>13</v>
      </c>
      <c r="AW2405">
        <v>10</v>
      </c>
      <c r="AX2405" t="s">
        <v>74</v>
      </c>
      <c r="AY2405" t="s">
        <v>74</v>
      </c>
      <c r="AZ2405" t="s">
        <v>441</v>
      </c>
      <c r="BA2405" t="s">
        <v>74</v>
      </c>
      <c r="BB2405">
        <v>184</v>
      </c>
      <c r="BC2405">
        <v>188</v>
      </c>
      <c r="BD2405" t="s">
        <v>74</v>
      </c>
      <c r="BE2405" t="s">
        <v>74</v>
      </c>
      <c r="BF2405" t="s">
        <v>74</v>
      </c>
      <c r="BG2405" t="s">
        <v>74</v>
      </c>
      <c r="BH2405" t="s">
        <v>74</v>
      </c>
      <c r="BI2405">
        <v>5</v>
      </c>
      <c r="BJ2405" t="s">
        <v>3225</v>
      </c>
      <c r="BK2405" t="s">
        <v>313</v>
      </c>
      <c r="BL2405" t="s">
        <v>3225</v>
      </c>
      <c r="BM2405" t="s">
        <v>3226</v>
      </c>
      <c r="BN2405" t="s">
        <v>74</v>
      </c>
      <c r="BO2405" t="s">
        <v>74</v>
      </c>
      <c r="BP2405" t="s">
        <v>74</v>
      </c>
      <c r="BQ2405" t="s">
        <v>74</v>
      </c>
      <c r="BR2405" t="s">
        <v>102</v>
      </c>
      <c r="BS2405" t="s">
        <v>40586</v>
      </c>
      <c r="BT2405" t="str">
        <f>HYPERLINK("https%3A%2F%2Fwww.webofscience.com%2Fwos%2Fwoscc%2Ffull-record%2FWOS:000640077800030","View Full Record in Web of Science")</f>
        <v>View Full Record in Web of Science</v>
      </c>
    </row>
    <row r="2406" spans="1:72" x14ac:dyDescent="0.25">
      <c r="A2406" t="s">
        <v>72</v>
      </c>
      <c r="B2406" t="s">
        <v>40587</v>
      </c>
      <c r="C2406" t="s">
        <v>74</v>
      </c>
      <c r="D2406" t="s">
        <v>74</v>
      </c>
      <c r="E2406" t="s">
        <v>74</v>
      </c>
      <c r="F2406" t="s">
        <v>40588</v>
      </c>
      <c r="G2406" t="s">
        <v>74</v>
      </c>
      <c r="H2406" t="s">
        <v>74</v>
      </c>
      <c r="I2406" t="s">
        <v>40589</v>
      </c>
      <c r="J2406" t="s">
        <v>40590</v>
      </c>
      <c r="K2406" t="s">
        <v>74</v>
      </c>
      <c r="L2406" t="s">
        <v>74</v>
      </c>
      <c r="M2406" t="s">
        <v>78</v>
      </c>
      <c r="N2406" t="s">
        <v>79</v>
      </c>
      <c r="O2406" t="s">
        <v>74</v>
      </c>
      <c r="P2406" t="s">
        <v>74</v>
      </c>
      <c r="Q2406" t="s">
        <v>74</v>
      </c>
      <c r="R2406" t="s">
        <v>74</v>
      </c>
      <c r="S2406" t="s">
        <v>74</v>
      </c>
      <c r="T2406" t="s">
        <v>40591</v>
      </c>
      <c r="U2406" t="s">
        <v>40592</v>
      </c>
      <c r="V2406" t="s">
        <v>40593</v>
      </c>
      <c r="W2406" t="s">
        <v>40594</v>
      </c>
      <c r="X2406" t="s">
        <v>74</v>
      </c>
      <c r="Y2406" t="s">
        <v>40595</v>
      </c>
      <c r="Z2406" t="s">
        <v>40596</v>
      </c>
      <c r="AA2406" t="s">
        <v>40597</v>
      </c>
      <c r="AB2406" t="s">
        <v>74</v>
      </c>
      <c r="AC2406" t="s">
        <v>40598</v>
      </c>
      <c r="AD2406" t="s">
        <v>40598</v>
      </c>
      <c r="AE2406" t="s">
        <v>40599</v>
      </c>
      <c r="AF2406" t="s">
        <v>74</v>
      </c>
      <c r="AG2406">
        <v>111</v>
      </c>
      <c r="AH2406">
        <v>3</v>
      </c>
      <c r="AI2406">
        <v>3</v>
      </c>
      <c r="AJ2406">
        <v>0</v>
      </c>
      <c r="AK2406">
        <v>9</v>
      </c>
      <c r="AL2406" t="s">
        <v>332</v>
      </c>
      <c r="AM2406" t="s">
        <v>333</v>
      </c>
      <c r="AN2406" t="s">
        <v>334</v>
      </c>
      <c r="AO2406" t="s">
        <v>40600</v>
      </c>
      <c r="AP2406" t="s">
        <v>40601</v>
      </c>
      <c r="AQ2406" t="s">
        <v>74</v>
      </c>
      <c r="AR2406" t="s">
        <v>40602</v>
      </c>
      <c r="AS2406" t="s">
        <v>40603</v>
      </c>
      <c r="AT2406" t="s">
        <v>958</v>
      </c>
      <c r="AU2406">
        <v>2024</v>
      </c>
      <c r="AV2406">
        <v>22</v>
      </c>
      <c r="AW2406">
        <v>3</v>
      </c>
      <c r="AX2406" t="s">
        <v>74</v>
      </c>
      <c r="AY2406" t="s">
        <v>74</v>
      </c>
      <c r="AZ2406" t="s">
        <v>74</v>
      </c>
      <c r="BA2406" t="s">
        <v>74</v>
      </c>
      <c r="BB2406">
        <v>329</v>
      </c>
      <c r="BC2406">
        <v>358</v>
      </c>
      <c r="BD2406" t="s">
        <v>74</v>
      </c>
      <c r="BE2406" t="s">
        <v>40604</v>
      </c>
      <c r="BF2406" t="str">
        <f>HYPERLINK("http://dx.doi.org/10.1080/14765284.2023.2278010","http://dx.doi.org/10.1080/14765284.2023.2278010")</f>
        <v>http://dx.doi.org/10.1080/14765284.2023.2278010</v>
      </c>
      <c r="BG2406" t="s">
        <v>74</v>
      </c>
      <c r="BH2406" t="s">
        <v>3535</v>
      </c>
      <c r="BI2406">
        <v>30</v>
      </c>
      <c r="BJ2406" t="s">
        <v>291</v>
      </c>
      <c r="BK2406" t="s">
        <v>313</v>
      </c>
      <c r="BL2406" t="s">
        <v>100</v>
      </c>
      <c r="BM2406" t="s">
        <v>40605</v>
      </c>
      <c r="BN2406" t="s">
        <v>74</v>
      </c>
      <c r="BO2406" t="s">
        <v>74</v>
      </c>
      <c r="BP2406" t="s">
        <v>74</v>
      </c>
      <c r="BQ2406" t="s">
        <v>74</v>
      </c>
      <c r="BR2406" t="s">
        <v>102</v>
      </c>
      <c r="BS2406" t="s">
        <v>40606</v>
      </c>
      <c r="BT2406" t="str">
        <f>HYPERLINK("https%3A%2F%2Fwww.webofscience.com%2Fwos%2Fwoscc%2Ffull-record%2FWOS:001100027500001","View Full Record in Web of Science")</f>
        <v>View Full Record in Web of Science</v>
      </c>
    </row>
    <row r="2407" spans="1:72" x14ac:dyDescent="0.25">
      <c r="A2407" t="s">
        <v>72</v>
      </c>
      <c r="B2407" t="s">
        <v>40607</v>
      </c>
      <c r="C2407" t="s">
        <v>74</v>
      </c>
      <c r="D2407" t="s">
        <v>74</v>
      </c>
      <c r="E2407" t="s">
        <v>74</v>
      </c>
      <c r="F2407" t="s">
        <v>40608</v>
      </c>
      <c r="G2407" t="s">
        <v>74</v>
      </c>
      <c r="H2407" t="s">
        <v>74</v>
      </c>
      <c r="I2407" t="s">
        <v>40609</v>
      </c>
      <c r="J2407" t="s">
        <v>6362</v>
      </c>
      <c r="K2407" t="s">
        <v>74</v>
      </c>
      <c r="L2407" t="s">
        <v>74</v>
      </c>
      <c r="M2407" t="s">
        <v>78</v>
      </c>
      <c r="N2407" t="s">
        <v>79</v>
      </c>
      <c r="O2407" t="s">
        <v>74</v>
      </c>
      <c r="P2407" t="s">
        <v>74</v>
      </c>
      <c r="Q2407" t="s">
        <v>74</v>
      </c>
      <c r="R2407" t="s">
        <v>74</v>
      </c>
      <c r="S2407" t="s">
        <v>74</v>
      </c>
      <c r="T2407" t="s">
        <v>40610</v>
      </c>
      <c r="U2407" t="s">
        <v>40611</v>
      </c>
      <c r="V2407" t="s">
        <v>40612</v>
      </c>
      <c r="W2407" t="s">
        <v>40613</v>
      </c>
      <c r="X2407" t="s">
        <v>40614</v>
      </c>
      <c r="Y2407" t="s">
        <v>40615</v>
      </c>
      <c r="Z2407" t="s">
        <v>40616</v>
      </c>
      <c r="AA2407" t="s">
        <v>40617</v>
      </c>
      <c r="AB2407" t="s">
        <v>40618</v>
      </c>
      <c r="AC2407" t="s">
        <v>74</v>
      </c>
      <c r="AD2407" t="s">
        <v>74</v>
      </c>
      <c r="AE2407" t="s">
        <v>74</v>
      </c>
      <c r="AF2407" t="s">
        <v>74</v>
      </c>
      <c r="AG2407">
        <v>42</v>
      </c>
      <c r="AH2407">
        <v>4</v>
      </c>
      <c r="AI2407">
        <v>6</v>
      </c>
      <c r="AJ2407">
        <v>7</v>
      </c>
      <c r="AK2407">
        <v>24</v>
      </c>
      <c r="AL2407" t="s">
        <v>201</v>
      </c>
      <c r="AM2407" t="s">
        <v>202</v>
      </c>
      <c r="AN2407" t="s">
        <v>203</v>
      </c>
      <c r="AO2407" t="s">
        <v>6374</v>
      </c>
      <c r="AP2407" t="s">
        <v>6375</v>
      </c>
      <c r="AQ2407" t="s">
        <v>74</v>
      </c>
      <c r="AR2407" t="s">
        <v>6376</v>
      </c>
      <c r="AS2407" t="s">
        <v>6377</v>
      </c>
      <c r="AT2407" t="s">
        <v>1159</v>
      </c>
      <c r="AU2407">
        <v>2023</v>
      </c>
      <c r="AV2407">
        <v>214</v>
      </c>
      <c r="AW2407" t="s">
        <v>74</v>
      </c>
      <c r="AX2407" t="s">
        <v>74</v>
      </c>
      <c r="AY2407" t="s">
        <v>74</v>
      </c>
      <c r="AZ2407" t="s">
        <v>74</v>
      </c>
      <c r="BA2407" t="s">
        <v>74</v>
      </c>
      <c r="BB2407">
        <v>561</v>
      </c>
      <c r="BC2407">
        <v>573</v>
      </c>
      <c r="BD2407" t="s">
        <v>74</v>
      </c>
      <c r="BE2407" t="s">
        <v>40619</v>
      </c>
      <c r="BF2407" t="str">
        <f>HYPERLINK("http://dx.doi.org/10.1016/j.jebo.2023.08.001","http://dx.doi.org/10.1016/j.jebo.2023.08.001")</f>
        <v>http://dx.doi.org/10.1016/j.jebo.2023.08.001</v>
      </c>
      <c r="BG2407" t="s">
        <v>74</v>
      </c>
      <c r="BH2407" t="s">
        <v>7993</v>
      </c>
      <c r="BI2407">
        <v>13</v>
      </c>
      <c r="BJ2407" t="s">
        <v>291</v>
      </c>
      <c r="BK2407" t="s">
        <v>99</v>
      </c>
      <c r="BL2407" t="s">
        <v>100</v>
      </c>
      <c r="BM2407" t="s">
        <v>40620</v>
      </c>
      <c r="BN2407" t="s">
        <v>74</v>
      </c>
      <c r="BO2407" t="s">
        <v>74</v>
      </c>
      <c r="BP2407" t="s">
        <v>74</v>
      </c>
      <c r="BQ2407" t="s">
        <v>74</v>
      </c>
      <c r="BR2407" t="s">
        <v>102</v>
      </c>
      <c r="BS2407" t="s">
        <v>40621</v>
      </c>
      <c r="BT2407" t="str">
        <f>HYPERLINK("https%3A%2F%2Fwww.webofscience.com%2Fwos%2Fwoscc%2Ffull-record%2FWOS:001073494100001","View Full Record in Web of Science")</f>
        <v>View Full Record in Web of Science</v>
      </c>
    </row>
    <row r="2408" spans="1:72" x14ac:dyDescent="0.25">
      <c r="A2408" t="s">
        <v>72</v>
      </c>
      <c r="B2408" t="s">
        <v>40622</v>
      </c>
      <c r="C2408" t="s">
        <v>74</v>
      </c>
      <c r="D2408" t="s">
        <v>74</v>
      </c>
      <c r="E2408" t="s">
        <v>74</v>
      </c>
      <c r="F2408" t="s">
        <v>40623</v>
      </c>
      <c r="G2408" t="s">
        <v>74</v>
      </c>
      <c r="H2408" t="s">
        <v>74</v>
      </c>
      <c r="I2408" t="s">
        <v>40624</v>
      </c>
      <c r="J2408" t="s">
        <v>566</v>
      </c>
      <c r="K2408" t="s">
        <v>74</v>
      </c>
      <c r="L2408" t="s">
        <v>74</v>
      </c>
      <c r="M2408" t="s">
        <v>78</v>
      </c>
      <c r="N2408" t="s">
        <v>79</v>
      </c>
      <c r="O2408" t="s">
        <v>74</v>
      </c>
      <c r="P2408" t="s">
        <v>74</v>
      </c>
      <c r="Q2408" t="s">
        <v>74</v>
      </c>
      <c r="R2408" t="s">
        <v>74</v>
      </c>
      <c r="S2408" t="s">
        <v>74</v>
      </c>
      <c r="T2408" t="s">
        <v>40625</v>
      </c>
      <c r="U2408" t="s">
        <v>74</v>
      </c>
      <c r="V2408" t="s">
        <v>40626</v>
      </c>
      <c r="W2408" t="s">
        <v>40627</v>
      </c>
      <c r="X2408" t="s">
        <v>40628</v>
      </c>
      <c r="Y2408" t="s">
        <v>40629</v>
      </c>
      <c r="Z2408" t="s">
        <v>40630</v>
      </c>
      <c r="AA2408" t="s">
        <v>40631</v>
      </c>
      <c r="AB2408" t="s">
        <v>74</v>
      </c>
      <c r="AC2408" t="s">
        <v>74</v>
      </c>
      <c r="AD2408" t="s">
        <v>74</v>
      </c>
      <c r="AE2408" t="s">
        <v>74</v>
      </c>
      <c r="AF2408" t="s">
        <v>74</v>
      </c>
      <c r="AG2408">
        <v>48</v>
      </c>
      <c r="AH2408">
        <v>0</v>
      </c>
      <c r="AI2408">
        <v>0</v>
      </c>
      <c r="AJ2408">
        <v>1</v>
      </c>
      <c r="AK2408">
        <v>1</v>
      </c>
      <c r="AL2408" t="s">
        <v>575</v>
      </c>
      <c r="AM2408" t="s">
        <v>576</v>
      </c>
      <c r="AN2408" t="s">
        <v>577</v>
      </c>
      <c r="AO2408" t="s">
        <v>74</v>
      </c>
      <c r="AP2408" t="s">
        <v>578</v>
      </c>
      <c r="AQ2408" t="s">
        <v>74</v>
      </c>
      <c r="AR2408" t="s">
        <v>579</v>
      </c>
      <c r="AS2408" t="s">
        <v>580</v>
      </c>
      <c r="AT2408" t="s">
        <v>4361</v>
      </c>
      <c r="AU2408">
        <v>2025</v>
      </c>
      <c r="AV2408">
        <v>15</v>
      </c>
      <c r="AW2408">
        <v>11</v>
      </c>
      <c r="AX2408" t="s">
        <v>74</v>
      </c>
      <c r="AY2408" t="s">
        <v>74</v>
      </c>
      <c r="AZ2408" t="s">
        <v>74</v>
      </c>
      <c r="BA2408" t="s">
        <v>74</v>
      </c>
      <c r="BB2408" t="s">
        <v>74</v>
      </c>
      <c r="BC2408" t="s">
        <v>74</v>
      </c>
      <c r="BD2408">
        <v>446</v>
      </c>
      <c r="BE2408" t="s">
        <v>40632</v>
      </c>
      <c r="BF2408" t="str">
        <f>HYPERLINK("http://dx.doi.org/10.3390/admsci15110446","http://dx.doi.org/10.3390/admsci15110446")</f>
        <v>http://dx.doi.org/10.3390/admsci15110446</v>
      </c>
      <c r="BG2408" t="s">
        <v>74</v>
      </c>
      <c r="BH2408" t="s">
        <v>74</v>
      </c>
      <c r="BI2408">
        <v>13</v>
      </c>
      <c r="BJ2408" t="s">
        <v>583</v>
      </c>
      <c r="BK2408" t="s">
        <v>313</v>
      </c>
      <c r="BL2408" t="s">
        <v>100</v>
      </c>
      <c r="BM2408" t="s">
        <v>40633</v>
      </c>
      <c r="BN2408" t="s">
        <v>74</v>
      </c>
      <c r="BO2408" t="s">
        <v>212</v>
      </c>
      <c r="BP2408" t="s">
        <v>74</v>
      </c>
      <c r="BQ2408" t="s">
        <v>74</v>
      </c>
      <c r="BR2408" t="s">
        <v>102</v>
      </c>
      <c r="BS2408" t="s">
        <v>40634</v>
      </c>
      <c r="BT2408" t="str">
        <f>HYPERLINK("https%3A%2F%2Fwww.webofscience.com%2Fwos%2Fwoscc%2Ffull-record%2FWOS:001623362300001","View Full Record in Web of Science")</f>
        <v>View Full Record in Web of Science</v>
      </c>
    </row>
    <row r="2409" spans="1:72" x14ac:dyDescent="0.25">
      <c r="A2409" t="s">
        <v>72</v>
      </c>
      <c r="B2409" t="s">
        <v>40635</v>
      </c>
      <c r="C2409" t="s">
        <v>74</v>
      </c>
      <c r="D2409" t="s">
        <v>74</v>
      </c>
      <c r="E2409" t="s">
        <v>74</v>
      </c>
      <c r="F2409" t="s">
        <v>40636</v>
      </c>
      <c r="G2409" t="s">
        <v>74</v>
      </c>
      <c r="H2409" t="s">
        <v>74</v>
      </c>
      <c r="I2409" t="s">
        <v>40637</v>
      </c>
      <c r="J2409" t="s">
        <v>40638</v>
      </c>
      <c r="K2409" t="s">
        <v>74</v>
      </c>
      <c r="L2409" t="s">
        <v>74</v>
      </c>
      <c r="M2409" t="s">
        <v>78</v>
      </c>
      <c r="N2409" t="s">
        <v>79</v>
      </c>
      <c r="O2409" t="s">
        <v>74</v>
      </c>
      <c r="P2409" t="s">
        <v>74</v>
      </c>
      <c r="Q2409" t="s">
        <v>74</v>
      </c>
      <c r="R2409" t="s">
        <v>74</v>
      </c>
      <c r="S2409" t="s">
        <v>74</v>
      </c>
      <c r="T2409" t="s">
        <v>40639</v>
      </c>
      <c r="U2409" t="s">
        <v>40640</v>
      </c>
      <c r="V2409" t="s">
        <v>40641</v>
      </c>
      <c r="W2409" t="s">
        <v>40642</v>
      </c>
      <c r="X2409" t="s">
        <v>74</v>
      </c>
      <c r="Y2409" t="s">
        <v>40643</v>
      </c>
      <c r="Z2409" t="s">
        <v>40644</v>
      </c>
      <c r="AA2409" t="s">
        <v>74</v>
      </c>
      <c r="AB2409" t="s">
        <v>40645</v>
      </c>
      <c r="AC2409" t="s">
        <v>74</v>
      </c>
      <c r="AD2409" t="s">
        <v>74</v>
      </c>
      <c r="AE2409" t="s">
        <v>74</v>
      </c>
      <c r="AF2409" t="s">
        <v>74</v>
      </c>
      <c r="AG2409">
        <v>76</v>
      </c>
      <c r="AH2409">
        <v>3</v>
      </c>
      <c r="AI2409">
        <v>4</v>
      </c>
      <c r="AJ2409">
        <v>1</v>
      </c>
      <c r="AK2409">
        <v>8</v>
      </c>
      <c r="AL2409" t="s">
        <v>40646</v>
      </c>
      <c r="AM2409" t="s">
        <v>2251</v>
      </c>
      <c r="AN2409" t="s">
        <v>40647</v>
      </c>
      <c r="AO2409" t="s">
        <v>40648</v>
      </c>
      <c r="AP2409" t="s">
        <v>40649</v>
      </c>
      <c r="AQ2409" t="s">
        <v>74</v>
      </c>
      <c r="AR2409" t="s">
        <v>40650</v>
      </c>
      <c r="AS2409" t="s">
        <v>40651</v>
      </c>
      <c r="AT2409" t="s">
        <v>1159</v>
      </c>
      <c r="AU2409">
        <v>2023</v>
      </c>
      <c r="AV2409">
        <v>38</v>
      </c>
      <c r="AW2409">
        <v>2</v>
      </c>
      <c r="AX2409" t="s">
        <v>74</v>
      </c>
      <c r="AY2409" t="s">
        <v>74</v>
      </c>
      <c r="AZ2409" t="s">
        <v>74</v>
      </c>
      <c r="BA2409" t="s">
        <v>74</v>
      </c>
      <c r="BB2409">
        <v>263</v>
      </c>
      <c r="BC2409">
        <v>289</v>
      </c>
      <c r="BD2409" t="s">
        <v>74</v>
      </c>
      <c r="BE2409" t="s">
        <v>40652</v>
      </c>
      <c r="BF2409" t="str">
        <f>HYPERLINK("http://dx.doi.org/10.1332/251569121X16817386486785","http://dx.doi.org/10.1332/251569121X16817386486785")</f>
        <v>http://dx.doi.org/10.1332/251569121X16817386486785</v>
      </c>
      <c r="BG2409" t="s">
        <v>74</v>
      </c>
      <c r="BH2409" t="s">
        <v>6418</v>
      </c>
      <c r="BI2409">
        <v>27</v>
      </c>
      <c r="BJ2409" t="s">
        <v>11289</v>
      </c>
      <c r="BK2409" t="s">
        <v>313</v>
      </c>
      <c r="BL2409" t="s">
        <v>2282</v>
      </c>
      <c r="BM2409" t="s">
        <v>40653</v>
      </c>
      <c r="BN2409" t="s">
        <v>74</v>
      </c>
      <c r="BO2409" t="s">
        <v>1205</v>
      </c>
      <c r="BP2409" t="s">
        <v>74</v>
      </c>
      <c r="BQ2409" t="s">
        <v>74</v>
      </c>
      <c r="BR2409" t="s">
        <v>102</v>
      </c>
      <c r="BS2409" t="s">
        <v>40654</v>
      </c>
      <c r="BT2409" t="str">
        <f>HYPERLINK("https%3A%2F%2Fwww.webofscience.com%2Fwos%2Fwoscc%2Ffull-record%2FWOS:001000368100001","View Full Record in Web of Science")</f>
        <v>View Full Record in Web of Science</v>
      </c>
    </row>
    <row r="2410" spans="1:72" x14ac:dyDescent="0.25">
      <c r="A2410" t="s">
        <v>72</v>
      </c>
      <c r="B2410" t="s">
        <v>40655</v>
      </c>
      <c r="C2410" t="s">
        <v>74</v>
      </c>
      <c r="D2410" t="s">
        <v>74</v>
      </c>
      <c r="E2410" t="s">
        <v>74</v>
      </c>
      <c r="F2410" t="s">
        <v>40656</v>
      </c>
      <c r="G2410" t="s">
        <v>74</v>
      </c>
      <c r="H2410" t="s">
        <v>74</v>
      </c>
      <c r="I2410" t="s">
        <v>40657</v>
      </c>
      <c r="J2410" t="s">
        <v>31298</v>
      </c>
      <c r="K2410" t="s">
        <v>74</v>
      </c>
      <c r="L2410" t="s">
        <v>74</v>
      </c>
      <c r="M2410" t="s">
        <v>78</v>
      </c>
      <c r="N2410" t="s">
        <v>372</v>
      </c>
      <c r="O2410" t="s">
        <v>74</v>
      </c>
      <c r="P2410" t="s">
        <v>74</v>
      </c>
      <c r="Q2410" t="s">
        <v>74</v>
      </c>
      <c r="R2410" t="s">
        <v>74</v>
      </c>
      <c r="S2410" t="s">
        <v>74</v>
      </c>
      <c r="T2410" t="s">
        <v>40658</v>
      </c>
      <c r="U2410" t="s">
        <v>40659</v>
      </c>
      <c r="V2410" t="s">
        <v>40660</v>
      </c>
      <c r="W2410" t="s">
        <v>40661</v>
      </c>
      <c r="X2410" t="s">
        <v>40662</v>
      </c>
      <c r="Y2410" t="s">
        <v>40663</v>
      </c>
      <c r="Z2410" t="s">
        <v>40664</v>
      </c>
      <c r="AA2410" t="s">
        <v>40665</v>
      </c>
      <c r="AB2410" t="s">
        <v>40666</v>
      </c>
      <c r="AC2410" t="s">
        <v>74</v>
      </c>
      <c r="AD2410" t="s">
        <v>74</v>
      </c>
      <c r="AE2410" t="s">
        <v>74</v>
      </c>
      <c r="AF2410" t="s">
        <v>74</v>
      </c>
      <c r="AG2410">
        <v>100</v>
      </c>
      <c r="AH2410">
        <v>6</v>
      </c>
      <c r="AI2410">
        <v>6</v>
      </c>
      <c r="AJ2410">
        <v>10</v>
      </c>
      <c r="AK2410">
        <v>15</v>
      </c>
      <c r="AL2410" t="s">
        <v>89</v>
      </c>
      <c r="AM2410" t="s">
        <v>90</v>
      </c>
      <c r="AN2410" t="s">
        <v>91</v>
      </c>
      <c r="AO2410" t="s">
        <v>31291</v>
      </c>
      <c r="AP2410" t="s">
        <v>31290</v>
      </c>
      <c r="AQ2410" t="s">
        <v>74</v>
      </c>
      <c r="AR2410" t="s">
        <v>31289</v>
      </c>
      <c r="AS2410" t="s">
        <v>31288</v>
      </c>
      <c r="AT2410" t="s">
        <v>40667</v>
      </c>
      <c r="AU2410">
        <v>2025</v>
      </c>
      <c r="AV2410" t="s">
        <v>74</v>
      </c>
      <c r="AW2410" t="s">
        <v>74</v>
      </c>
      <c r="AX2410" t="s">
        <v>74</v>
      </c>
      <c r="AY2410" t="s">
        <v>74</v>
      </c>
      <c r="AZ2410" t="s">
        <v>74</v>
      </c>
      <c r="BA2410" t="s">
        <v>74</v>
      </c>
      <c r="BB2410" t="s">
        <v>74</v>
      </c>
      <c r="BC2410" t="s">
        <v>74</v>
      </c>
      <c r="BD2410" t="s">
        <v>74</v>
      </c>
      <c r="BE2410" t="s">
        <v>40668</v>
      </c>
      <c r="BF2410" t="str">
        <f>HYPERLINK("http://dx.doi.org/10.1108/SEF-10-2024-0672","http://dx.doi.org/10.1108/SEF-10-2024-0672")</f>
        <v>http://dx.doi.org/10.1108/SEF-10-2024-0672</v>
      </c>
      <c r="BG2410" t="s">
        <v>74</v>
      </c>
      <c r="BH2410" t="s">
        <v>2359</v>
      </c>
      <c r="BI2410">
        <v>25</v>
      </c>
      <c r="BJ2410" t="s">
        <v>268</v>
      </c>
      <c r="BK2410" t="s">
        <v>313</v>
      </c>
      <c r="BL2410" t="s">
        <v>100</v>
      </c>
      <c r="BM2410" t="s">
        <v>40669</v>
      </c>
      <c r="BN2410" t="s">
        <v>74</v>
      </c>
      <c r="BO2410" t="s">
        <v>74</v>
      </c>
      <c r="BP2410" t="s">
        <v>74</v>
      </c>
      <c r="BQ2410" t="s">
        <v>74</v>
      </c>
      <c r="BR2410" t="s">
        <v>102</v>
      </c>
      <c r="BS2410" t="s">
        <v>40670</v>
      </c>
      <c r="BT2410" t="str">
        <f>HYPERLINK("https%3A%2F%2Fwww.webofscience.com%2Fwos%2Fwoscc%2Ffull-record%2FWOS:001477929000001","View Full Record in Web of Science")</f>
        <v>View Full Record in Web of Science</v>
      </c>
    </row>
    <row r="2411" spans="1:72" x14ac:dyDescent="0.25">
      <c r="A2411" t="s">
        <v>132</v>
      </c>
      <c r="B2411" t="s">
        <v>40671</v>
      </c>
      <c r="C2411" t="s">
        <v>74</v>
      </c>
      <c r="D2411" t="s">
        <v>40672</v>
      </c>
      <c r="E2411" t="s">
        <v>74</v>
      </c>
      <c r="F2411" t="s">
        <v>40673</v>
      </c>
      <c r="G2411" t="s">
        <v>74</v>
      </c>
      <c r="H2411" t="s">
        <v>74</v>
      </c>
      <c r="I2411" t="s">
        <v>40674</v>
      </c>
      <c r="J2411" t="s">
        <v>40675</v>
      </c>
      <c r="K2411" t="s">
        <v>5767</v>
      </c>
      <c r="L2411" t="s">
        <v>74</v>
      </c>
      <c r="M2411" t="s">
        <v>78</v>
      </c>
      <c r="N2411" t="s">
        <v>138</v>
      </c>
      <c r="O2411" t="s">
        <v>40676</v>
      </c>
      <c r="P2411" t="s">
        <v>40677</v>
      </c>
      <c r="Q2411" t="s">
        <v>40678</v>
      </c>
      <c r="R2411" t="s">
        <v>40679</v>
      </c>
      <c r="S2411" t="s">
        <v>40680</v>
      </c>
      <c r="T2411" t="s">
        <v>40681</v>
      </c>
      <c r="U2411" t="s">
        <v>74</v>
      </c>
      <c r="V2411" t="s">
        <v>40682</v>
      </c>
      <c r="W2411" t="s">
        <v>40683</v>
      </c>
      <c r="X2411" t="s">
        <v>2035</v>
      </c>
      <c r="Y2411" t="s">
        <v>40684</v>
      </c>
      <c r="Z2411" t="s">
        <v>40685</v>
      </c>
      <c r="AA2411" t="s">
        <v>40686</v>
      </c>
      <c r="AB2411" t="s">
        <v>40687</v>
      </c>
      <c r="AC2411" t="s">
        <v>74</v>
      </c>
      <c r="AD2411" t="s">
        <v>74</v>
      </c>
      <c r="AE2411" t="s">
        <v>74</v>
      </c>
      <c r="AF2411" t="s">
        <v>74</v>
      </c>
      <c r="AG2411">
        <v>11</v>
      </c>
      <c r="AH2411">
        <v>6</v>
      </c>
      <c r="AI2411">
        <v>9</v>
      </c>
      <c r="AJ2411">
        <v>0</v>
      </c>
      <c r="AK2411">
        <v>4</v>
      </c>
      <c r="AL2411" t="s">
        <v>1062</v>
      </c>
      <c r="AM2411" t="s">
        <v>667</v>
      </c>
      <c r="AN2411" t="s">
        <v>668</v>
      </c>
      <c r="AO2411" t="s">
        <v>5780</v>
      </c>
      <c r="AP2411" t="s">
        <v>74</v>
      </c>
      <c r="AQ2411" t="s">
        <v>40688</v>
      </c>
      <c r="AR2411" t="s">
        <v>5783</v>
      </c>
      <c r="AS2411" t="s">
        <v>74</v>
      </c>
      <c r="AT2411" t="s">
        <v>74</v>
      </c>
      <c r="AU2411">
        <v>2017</v>
      </c>
      <c r="AV2411" t="s">
        <v>74</v>
      </c>
      <c r="AW2411" t="s">
        <v>74</v>
      </c>
      <c r="AX2411" t="s">
        <v>74</v>
      </c>
      <c r="AY2411" t="s">
        <v>74</v>
      </c>
      <c r="AZ2411" t="s">
        <v>74</v>
      </c>
      <c r="BA2411" t="s">
        <v>74</v>
      </c>
      <c r="BB2411">
        <v>361</v>
      </c>
      <c r="BC2411">
        <v>370</v>
      </c>
      <c r="BD2411" t="s">
        <v>74</v>
      </c>
      <c r="BE2411" t="s">
        <v>40689</v>
      </c>
      <c r="BF2411" t="str">
        <f>HYPERLINK("http://dx.doi.org/10.1007/978-3-319-43434-6_31","http://dx.doi.org/10.1007/978-3-319-43434-6_31")</f>
        <v>http://dx.doi.org/10.1007/978-3-319-43434-6_31</v>
      </c>
      <c r="BG2411" t="s">
        <v>74</v>
      </c>
      <c r="BH2411" t="s">
        <v>74</v>
      </c>
      <c r="BI2411">
        <v>10</v>
      </c>
      <c r="BJ2411" t="s">
        <v>98</v>
      </c>
      <c r="BK2411" t="s">
        <v>183</v>
      </c>
      <c r="BL2411" t="s">
        <v>100</v>
      </c>
      <c r="BM2411" t="s">
        <v>40690</v>
      </c>
      <c r="BN2411" t="s">
        <v>74</v>
      </c>
      <c r="BO2411" t="s">
        <v>74</v>
      </c>
      <c r="BP2411" t="s">
        <v>74</v>
      </c>
      <c r="BQ2411" t="s">
        <v>74</v>
      </c>
      <c r="BR2411" t="s">
        <v>102</v>
      </c>
      <c r="BS2411" t="s">
        <v>40691</v>
      </c>
      <c r="BT2411" t="str">
        <f>HYPERLINK("https%3A%2F%2Fwww.webofscience.com%2Fwos%2Fwoscc%2Ffull-record%2FWOS:000413014600031","View Full Record in Web of Science")</f>
        <v>View Full Record in Web of Science</v>
      </c>
    </row>
    <row r="2412" spans="1:72" x14ac:dyDescent="0.25">
      <c r="A2412" t="s">
        <v>72</v>
      </c>
      <c r="B2412" t="s">
        <v>40692</v>
      </c>
      <c r="C2412" t="s">
        <v>74</v>
      </c>
      <c r="D2412" t="s">
        <v>74</v>
      </c>
      <c r="E2412" t="s">
        <v>74</v>
      </c>
      <c r="F2412" t="s">
        <v>40693</v>
      </c>
      <c r="G2412" t="s">
        <v>74</v>
      </c>
      <c r="H2412" t="s">
        <v>74</v>
      </c>
      <c r="I2412" t="s">
        <v>40694</v>
      </c>
      <c r="J2412" t="s">
        <v>13564</v>
      </c>
      <c r="K2412" t="s">
        <v>74</v>
      </c>
      <c r="L2412" t="s">
        <v>74</v>
      </c>
      <c r="M2412" t="s">
        <v>78</v>
      </c>
      <c r="N2412" t="s">
        <v>79</v>
      </c>
      <c r="O2412" t="s">
        <v>74</v>
      </c>
      <c r="P2412" t="s">
        <v>74</v>
      </c>
      <c r="Q2412" t="s">
        <v>74</v>
      </c>
      <c r="R2412" t="s">
        <v>74</v>
      </c>
      <c r="S2412" t="s">
        <v>74</v>
      </c>
      <c r="T2412" t="s">
        <v>40695</v>
      </c>
      <c r="U2412" t="s">
        <v>40696</v>
      </c>
      <c r="V2412" t="s">
        <v>40697</v>
      </c>
      <c r="W2412" t="s">
        <v>40698</v>
      </c>
      <c r="X2412" t="s">
        <v>40699</v>
      </c>
      <c r="Y2412" t="s">
        <v>40700</v>
      </c>
      <c r="Z2412" t="s">
        <v>40701</v>
      </c>
      <c r="AA2412" t="s">
        <v>40702</v>
      </c>
      <c r="AB2412" t="s">
        <v>40703</v>
      </c>
      <c r="AC2412" t="s">
        <v>74</v>
      </c>
      <c r="AD2412" t="s">
        <v>74</v>
      </c>
      <c r="AE2412" t="s">
        <v>74</v>
      </c>
      <c r="AF2412" t="s">
        <v>74</v>
      </c>
      <c r="AG2412">
        <v>111</v>
      </c>
      <c r="AH2412">
        <v>0</v>
      </c>
      <c r="AI2412">
        <v>0</v>
      </c>
      <c r="AJ2412">
        <v>0</v>
      </c>
      <c r="AK2412">
        <v>0</v>
      </c>
      <c r="AL2412" t="s">
        <v>201</v>
      </c>
      <c r="AM2412" t="s">
        <v>202</v>
      </c>
      <c r="AN2412" t="s">
        <v>203</v>
      </c>
      <c r="AO2412" t="s">
        <v>13571</v>
      </c>
      <c r="AP2412" t="s">
        <v>13572</v>
      </c>
      <c r="AQ2412" t="s">
        <v>74</v>
      </c>
      <c r="AR2412" t="s">
        <v>13573</v>
      </c>
      <c r="AS2412" t="s">
        <v>13574</v>
      </c>
      <c r="AT2412" t="s">
        <v>124</v>
      </c>
      <c r="AU2412">
        <v>2025</v>
      </c>
      <c r="AV2412">
        <v>68</v>
      </c>
      <c r="AW2412" t="s">
        <v>74</v>
      </c>
      <c r="AX2412" t="s">
        <v>74</v>
      </c>
      <c r="AY2412" t="s">
        <v>74</v>
      </c>
      <c r="AZ2412" t="s">
        <v>74</v>
      </c>
      <c r="BA2412" t="s">
        <v>74</v>
      </c>
      <c r="BB2412" t="s">
        <v>74</v>
      </c>
      <c r="BC2412" t="s">
        <v>74</v>
      </c>
      <c r="BD2412">
        <v>101181</v>
      </c>
      <c r="BE2412" t="s">
        <v>40704</v>
      </c>
      <c r="BF2412" t="str">
        <f>HYPERLINK("http://dx.doi.org/10.1016/j.gfj.2025.101181","http://dx.doi.org/10.1016/j.gfj.2025.101181")</f>
        <v>http://dx.doi.org/10.1016/j.gfj.2025.101181</v>
      </c>
      <c r="BG2412" t="s">
        <v>74</v>
      </c>
      <c r="BH2412" t="s">
        <v>12078</v>
      </c>
      <c r="BI2412">
        <v>18</v>
      </c>
      <c r="BJ2412" t="s">
        <v>268</v>
      </c>
      <c r="BK2412" t="s">
        <v>99</v>
      </c>
      <c r="BL2412" t="s">
        <v>100</v>
      </c>
      <c r="BM2412" t="s">
        <v>40705</v>
      </c>
      <c r="BN2412" t="s">
        <v>74</v>
      </c>
      <c r="BO2412" t="s">
        <v>74</v>
      </c>
      <c r="BP2412" t="s">
        <v>74</v>
      </c>
      <c r="BQ2412" t="s">
        <v>74</v>
      </c>
      <c r="BR2412" t="s">
        <v>102</v>
      </c>
      <c r="BS2412" t="s">
        <v>40706</v>
      </c>
      <c r="BT2412" t="str">
        <f>HYPERLINK("https%3A%2F%2Fwww.webofscience.com%2Fwos%2Fwoscc%2Ffull-record%2FWOS:001598897600001","View Full Record in Web of Science")</f>
        <v>View Full Record in Web of Science</v>
      </c>
    </row>
    <row r="2413" spans="1:72" x14ac:dyDescent="0.25">
      <c r="A2413" t="s">
        <v>72</v>
      </c>
      <c r="B2413" t="s">
        <v>40707</v>
      </c>
      <c r="C2413" t="s">
        <v>74</v>
      </c>
      <c r="D2413" t="s">
        <v>74</v>
      </c>
      <c r="E2413" t="s">
        <v>74</v>
      </c>
      <c r="F2413" t="s">
        <v>40708</v>
      </c>
      <c r="G2413" t="s">
        <v>74</v>
      </c>
      <c r="H2413" t="s">
        <v>74</v>
      </c>
      <c r="I2413" t="s">
        <v>40709</v>
      </c>
      <c r="J2413" t="s">
        <v>1681</v>
      </c>
      <c r="K2413" t="s">
        <v>74</v>
      </c>
      <c r="L2413" t="s">
        <v>74</v>
      </c>
      <c r="M2413" t="s">
        <v>78</v>
      </c>
      <c r="N2413" t="s">
        <v>79</v>
      </c>
      <c r="O2413" t="s">
        <v>74</v>
      </c>
      <c r="P2413" t="s">
        <v>74</v>
      </c>
      <c r="Q2413" t="s">
        <v>74</v>
      </c>
      <c r="R2413" t="s">
        <v>74</v>
      </c>
      <c r="S2413" t="s">
        <v>74</v>
      </c>
      <c r="T2413" t="s">
        <v>40710</v>
      </c>
      <c r="U2413" t="s">
        <v>40711</v>
      </c>
      <c r="V2413" t="s">
        <v>40712</v>
      </c>
      <c r="W2413" t="s">
        <v>40713</v>
      </c>
      <c r="X2413" t="s">
        <v>19367</v>
      </c>
      <c r="Y2413" t="s">
        <v>40714</v>
      </c>
      <c r="Z2413" t="s">
        <v>6290</v>
      </c>
      <c r="AA2413" t="s">
        <v>40715</v>
      </c>
      <c r="AB2413" t="s">
        <v>40716</v>
      </c>
      <c r="AC2413" t="s">
        <v>40717</v>
      </c>
      <c r="AD2413" t="s">
        <v>40718</v>
      </c>
      <c r="AE2413" t="s">
        <v>40719</v>
      </c>
      <c r="AF2413" t="s">
        <v>74</v>
      </c>
      <c r="AG2413">
        <v>70</v>
      </c>
      <c r="AH2413">
        <v>16</v>
      </c>
      <c r="AI2413">
        <v>22</v>
      </c>
      <c r="AJ2413">
        <v>3</v>
      </c>
      <c r="AK2413">
        <v>37</v>
      </c>
      <c r="AL2413" t="s">
        <v>332</v>
      </c>
      <c r="AM2413" t="s">
        <v>333</v>
      </c>
      <c r="AN2413" t="s">
        <v>334</v>
      </c>
      <c r="AO2413" t="s">
        <v>1689</v>
      </c>
      <c r="AP2413" t="s">
        <v>1690</v>
      </c>
      <c r="AQ2413" t="s">
        <v>74</v>
      </c>
      <c r="AR2413" t="s">
        <v>1691</v>
      </c>
      <c r="AS2413" t="s">
        <v>1692</v>
      </c>
      <c r="AT2413" t="s">
        <v>1427</v>
      </c>
      <c r="AU2413">
        <v>2022</v>
      </c>
      <c r="AV2413">
        <v>56</v>
      </c>
      <c r="AW2413">
        <v>1</v>
      </c>
      <c r="AX2413" t="s">
        <v>74</v>
      </c>
      <c r="AY2413" t="s">
        <v>74</v>
      </c>
      <c r="AZ2413" t="s">
        <v>74</v>
      </c>
      <c r="BA2413" t="s">
        <v>74</v>
      </c>
      <c r="BB2413">
        <v>97</v>
      </c>
      <c r="BC2413">
        <v>112</v>
      </c>
      <c r="BD2413" t="s">
        <v>74</v>
      </c>
      <c r="BE2413" t="s">
        <v>40720</v>
      </c>
      <c r="BF2413" t="str">
        <f>HYPERLINK("http://dx.doi.org/10.1080/00213624.2022.2019552","http://dx.doi.org/10.1080/00213624.2022.2019552")</f>
        <v>http://dx.doi.org/10.1080/00213624.2022.2019552</v>
      </c>
      <c r="BG2413" t="s">
        <v>74</v>
      </c>
      <c r="BH2413" t="s">
        <v>74</v>
      </c>
      <c r="BI2413">
        <v>16</v>
      </c>
      <c r="BJ2413" t="s">
        <v>291</v>
      </c>
      <c r="BK2413" t="s">
        <v>99</v>
      </c>
      <c r="BL2413" t="s">
        <v>100</v>
      </c>
      <c r="BM2413" t="s">
        <v>40721</v>
      </c>
      <c r="BN2413" t="s">
        <v>74</v>
      </c>
      <c r="BO2413" t="s">
        <v>74</v>
      </c>
      <c r="BP2413" t="s">
        <v>74</v>
      </c>
      <c r="BQ2413" t="s">
        <v>74</v>
      </c>
      <c r="BR2413" t="s">
        <v>102</v>
      </c>
      <c r="BS2413" t="s">
        <v>40722</v>
      </c>
      <c r="BT2413" t="str">
        <f>HYPERLINK("https%3A%2F%2Fwww.webofscience.com%2Fwos%2Fwoscc%2Ffull-record%2FWOS:000780343100006","View Full Record in Web of Science")</f>
        <v>View Full Record in Web of Science</v>
      </c>
    </row>
    <row r="2414" spans="1:72" x14ac:dyDescent="0.25">
      <c r="A2414" t="s">
        <v>72</v>
      </c>
      <c r="B2414" t="s">
        <v>35690</v>
      </c>
      <c r="C2414" t="s">
        <v>74</v>
      </c>
      <c r="D2414" t="s">
        <v>74</v>
      </c>
      <c r="E2414" t="s">
        <v>74</v>
      </c>
      <c r="F2414" t="s">
        <v>35691</v>
      </c>
      <c r="G2414" t="s">
        <v>74</v>
      </c>
      <c r="H2414" t="s">
        <v>74</v>
      </c>
      <c r="I2414" t="s">
        <v>40723</v>
      </c>
      <c r="J2414" t="s">
        <v>246</v>
      </c>
      <c r="K2414" t="s">
        <v>74</v>
      </c>
      <c r="L2414" t="s">
        <v>74</v>
      </c>
      <c r="M2414" t="s">
        <v>78</v>
      </c>
      <c r="N2414" t="s">
        <v>1766</v>
      </c>
      <c r="O2414" t="s">
        <v>74</v>
      </c>
      <c r="P2414" t="s">
        <v>74</v>
      </c>
      <c r="Q2414" t="s">
        <v>74</v>
      </c>
      <c r="R2414" t="s">
        <v>74</v>
      </c>
      <c r="S2414" t="s">
        <v>74</v>
      </c>
      <c r="T2414" t="s">
        <v>40724</v>
      </c>
      <c r="U2414" t="s">
        <v>40725</v>
      </c>
      <c r="V2414" t="s">
        <v>40726</v>
      </c>
      <c r="W2414" t="s">
        <v>40727</v>
      </c>
      <c r="X2414" t="s">
        <v>35698</v>
      </c>
      <c r="Y2414" t="s">
        <v>40728</v>
      </c>
      <c r="Z2414" t="s">
        <v>34299</v>
      </c>
      <c r="AA2414" t="s">
        <v>35700</v>
      </c>
      <c r="AB2414" t="s">
        <v>34297</v>
      </c>
      <c r="AC2414" t="s">
        <v>74</v>
      </c>
      <c r="AD2414" t="s">
        <v>74</v>
      </c>
      <c r="AE2414" t="s">
        <v>74</v>
      </c>
      <c r="AF2414" t="s">
        <v>74</v>
      </c>
      <c r="AG2414">
        <v>115</v>
      </c>
      <c r="AH2414">
        <v>2</v>
      </c>
      <c r="AI2414">
        <v>4</v>
      </c>
      <c r="AJ2414">
        <v>17</v>
      </c>
      <c r="AK2414">
        <v>32</v>
      </c>
      <c r="AL2414" t="s">
        <v>259</v>
      </c>
      <c r="AM2414" t="s">
        <v>260</v>
      </c>
      <c r="AN2414" t="s">
        <v>261</v>
      </c>
      <c r="AO2414" t="s">
        <v>262</v>
      </c>
      <c r="AP2414" t="s">
        <v>263</v>
      </c>
      <c r="AQ2414" t="s">
        <v>74</v>
      </c>
      <c r="AR2414" t="s">
        <v>264</v>
      </c>
      <c r="AS2414" t="s">
        <v>265</v>
      </c>
      <c r="AT2414" t="s">
        <v>1652</v>
      </c>
      <c r="AU2414">
        <v>2025</v>
      </c>
      <c r="AV2414">
        <v>79</v>
      </c>
      <c r="AW2414" t="s">
        <v>74</v>
      </c>
      <c r="AX2414" t="s">
        <v>74</v>
      </c>
      <c r="AY2414" t="s">
        <v>74</v>
      </c>
      <c r="AZ2414" t="s">
        <v>74</v>
      </c>
      <c r="BA2414" t="s">
        <v>74</v>
      </c>
      <c r="BB2414" t="s">
        <v>74</v>
      </c>
      <c r="BC2414" t="s">
        <v>74</v>
      </c>
      <c r="BD2414">
        <v>107249</v>
      </c>
      <c r="BE2414" t="s">
        <v>40729</v>
      </c>
      <c r="BF2414" t="str">
        <f>HYPERLINK("http://dx.doi.org/10.1016/j.frl.2025.107249","http://dx.doi.org/10.1016/j.frl.2025.107249")</f>
        <v>http://dx.doi.org/10.1016/j.frl.2025.107249</v>
      </c>
      <c r="BG2414" t="s">
        <v>74</v>
      </c>
      <c r="BH2414" t="s">
        <v>1485</v>
      </c>
      <c r="BI2414">
        <v>20</v>
      </c>
      <c r="BJ2414" t="s">
        <v>268</v>
      </c>
      <c r="BK2414" t="s">
        <v>99</v>
      </c>
      <c r="BL2414" t="s">
        <v>100</v>
      </c>
      <c r="BM2414" t="s">
        <v>40730</v>
      </c>
      <c r="BN2414" t="s">
        <v>74</v>
      </c>
      <c r="BO2414" t="s">
        <v>74</v>
      </c>
      <c r="BP2414" t="s">
        <v>74</v>
      </c>
      <c r="BQ2414" t="s">
        <v>74</v>
      </c>
      <c r="BR2414" t="s">
        <v>102</v>
      </c>
      <c r="BS2414" t="s">
        <v>40731</v>
      </c>
      <c r="BT2414" t="str">
        <f>HYPERLINK("https%3A%2F%2Fwww.webofscience.com%2Fwos%2Fwoscc%2Ffull-record%2FWOS:001463255700001","View Full Record in Web of Science")</f>
        <v>View Full Record in Web of Science</v>
      </c>
    </row>
    <row r="2415" spans="1:72" x14ac:dyDescent="0.25">
      <c r="A2415" t="s">
        <v>72</v>
      </c>
      <c r="B2415" t="s">
        <v>40732</v>
      </c>
      <c r="C2415" t="s">
        <v>74</v>
      </c>
      <c r="D2415" t="s">
        <v>74</v>
      </c>
      <c r="E2415" t="s">
        <v>74</v>
      </c>
      <c r="F2415" t="s">
        <v>40733</v>
      </c>
      <c r="G2415" t="s">
        <v>74</v>
      </c>
      <c r="H2415" t="s">
        <v>74</v>
      </c>
      <c r="I2415" t="s">
        <v>40734</v>
      </c>
      <c r="J2415" t="s">
        <v>40735</v>
      </c>
      <c r="K2415" t="s">
        <v>74</v>
      </c>
      <c r="L2415" t="s">
        <v>74</v>
      </c>
      <c r="M2415" t="s">
        <v>78</v>
      </c>
      <c r="N2415" t="s">
        <v>79</v>
      </c>
      <c r="O2415" t="s">
        <v>74</v>
      </c>
      <c r="P2415" t="s">
        <v>74</v>
      </c>
      <c r="Q2415" t="s">
        <v>74</v>
      </c>
      <c r="R2415" t="s">
        <v>74</v>
      </c>
      <c r="S2415" t="s">
        <v>74</v>
      </c>
      <c r="T2415" t="s">
        <v>40736</v>
      </c>
      <c r="U2415" t="s">
        <v>40737</v>
      </c>
      <c r="V2415" t="s">
        <v>40738</v>
      </c>
      <c r="W2415" t="s">
        <v>40739</v>
      </c>
      <c r="X2415" t="s">
        <v>40740</v>
      </c>
      <c r="Y2415" t="s">
        <v>40741</v>
      </c>
      <c r="Z2415" t="s">
        <v>40742</v>
      </c>
      <c r="AA2415" t="s">
        <v>40743</v>
      </c>
      <c r="AB2415" t="s">
        <v>40744</v>
      </c>
      <c r="AC2415" t="s">
        <v>40745</v>
      </c>
      <c r="AD2415" t="s">
        <v>40746</v>
      </c>
      <c r="AE2415" t="s">
        <v>40747</v>
      </c>
      <c r="AF2415" t="s">
        <v>74</v>
      </c>
      <c r="AG2415">
        <v>63</v>
      </c>
      <c r="AH2415">
        <v>14</v>
      </c>
      <c r="AI2415">
        <v>17</v>
      </c>
      <c r="AJ2415">
        <v>0</v>
      </c>
      <c r="AK2415">
        <v>45</v>
      </c>
      <c r="AL2415" t="s">
        <v>40748</v>
      </c>
      <c r="AM2415" t="s">
        <v>40749</v>
      </c>
      <c r="AN2415" t="s">
        <v>40750</v>
      </c>
      <c r="AO2415" t="s">
        <v>40751</v>
      </c>
      <c r="AP2415" t="s">
        <v>40752</v>
      </c>
      <c r="AQ2415" t="s">
        <v>74</v>
      </c>
      <c r="AR2415" t="s">
        <v>40753</v>
      </c>
      <c r="AS2415" t="s">
        <v>40754</v>
      </c>
      <c r="AT2415" t="s">
        <v>74</v>
      </c>
      <c r="AU2415">
        <v>2022</v>
      </c>
      <c r="AV2415">
        <v>52</v>
      </c>
      <c r="AW2415">
        <v>3</v>
      </c>
      <c r="AX2415" t="s">
        <v>74</v>
      </c>
      <c r="AY2415" t="s">
        <v>74</v>
      </c>
      <c r="AZ2415" t="s">
        <v>74</v>
      </c>
      <c r="BA2415" t="s">
        <v>74</v>
      </c>
      <c r="BB2415" t="s">
        <v>74</v>
      </c>
      <c r="BC2415" t="s">
        <v>74</v>
      </c>
      <c r="BD2415" t="s">
        <v>40755</v>
      </c>
      <c r="BE2415" t="s">
        <v>40756</v>
      </c>
      <c r="BF2415" t="str">
        <f>HYPERLINK("http://dx.doi.org/10.1590/0103-8478cr20210112","http://dx.doi.org/10.1590/0103-8478cr20210112")</f>
        <v>http://dx.doi.org/10.1590/0103-8478cr20210112</v>
      </c>
      <c r="BG2415" t="s">
        <v>74</v>
      </c>
      <c r="BH2415" t="s">
        <v>74</v>
      </c>
      <c r="BI2415">
        <v>16</v>
      </c>
      <c r="BJ2415" t="s">
        <v>18208</v>
      </c>
      <c r="BK2415" t="s">
        <v>128</v>
      </c>
      <c r="BL2415" t="s">
        <v>5152</v>
      </c>
      <c r="BM2415" t="s">
        <v>40757</v>
      </c>
      <c r="BN2415" t="s">
        <v>74</v>
      </c>
      <c r="BO2415" t="s">
        <v>916</v>
      </c>
      <c r="BP2415" t="s">
        <v>74</v>
      </c>
      <c r="BQ2415" t="s">
        <v>74</v>
      </c>
      <c r="BR2415" t="s">
        <v>102</v>
      </c>
      <c r="BS2415" t="s">
        <v>40758</v>
      </c>
      <c r="BT2415" t="str">
        <f>HYPERLINK("https%3A%2F%2Fwww.webofscience.com%2Fwos%2Fwoscc%2Ffull-record%2FWOS:000703483900001","View Full Record in Web of Science")</f>
        <v>View Full Record in Web of Science</v>
      </c>
    </row>
    <row r="2416" spans="1:72" x14ac:dyDescent="0.25">
      <c r="A2416" t="s">
        <v>72</v>
      </c>
      <c r="B2416" t="s">
        <v>40759</v>
      </c>
      <c r="C2416" t="s">
        <v>74</v>
      </c>
      <c r="D2416" t="s">
        <v>74</v>
      </c>
      <c r="E2416" t="s">
        <v>74</v>
      </c>
      <c r="F2416" t="s">
        <v>40760</v>
      </c>
      <c r="G2416" t="s">
        <v>74</v>
      </c>
      <c r="H2416" t="s">
        <v>74</v>
      </c>
      <c r="I2416" t="s">
        <v>40761</v>
      </c>
      <c r="J2416" t="s">
        <v>39920</v>
      </c>
      <c r="K2416" t="s">
        <v>74</v>
      </c>
      <c r="L2416" t="s">
        <v>74</v>
      </c>
      <c r="M2416" t="s">
        <v>78</v>
      </c>
      <c r="N2416" t="s">
        <v>79</v>
      </c>
      <c r="O2416" t="s">
        <v>74</v>
      </c>
      <c r="P2416" t="s">
        <v>74</v>
      </c>
      <c r="Q2416" t="s">
        <v>74</v>
      </c>
      <c r="R2416" t="s">
        <v>74</v>
      </c>
      <c r="S2416" t="s">
        <v>74</v>
      </c>
      <c r="T2416" t="s">
        <v>40762</v>
      </c>
      <c r="U2416" t="s">
        <v>40763</v>
      </c>
      <c r="V2416" t="s">
        <v>40764</v>
      </c>
      <c r="W2416" t="s">
        <v>40765</v>
      </c>
      <c r="X2416" t="s">
        <v>74</v>
      </c>
      <c r="Y2416" t="s">
        <v>40766</v>
      </c>
      <c r="Z2416" t="s">
        <v>40767</v>
      </c>
      <c r="AA2416" t="s">
        <v>74</v>
      </c>
      <c r="AB2416" t="s">
        <v>40768</v>
      </c>
      <c r="AC2416" t="s">
        <v>74</v>
      </c>
      <c r="AD2416" t="s">
        <v>74</v>
      </c>
      <c r="AE2416" t="s">
        <v>74</v>
      </c>
      <c r="AF2416" t="s">
        <v>74</v>
      </c>
      <c r="AG2416">
        <v>60</v>
      </c>
      <c r="AH2416">
        <v>0</v>
      </c>
      <c r="AI2416">
        <v>0</v>
      </c>
      <c r="AJ2416">
        <v>2</v>
      </c>
      <c r="AK2416">
        <v>4</v>
      </c>
      <c r="AL2416" t="s">
        <v>201</v>
      </c>
      <c r="AM2416" t="s">
        <v>202</v>
      </c>
      <c r="AN2416" t="s">
        <v>203</v>
      </c>
      <c r="AO2416" t="s">
        <v>39930</v>
      </c>
      <c r="AP2416" t="s">
        <v>39931</v>
      </c>
      <c r="AQ2416" t="s">
        <v>74</v>
      </c>
      <c r="AR2416" t="s">
        <v>39932</v>
      </c>
      <c r="AS2416" t="s">
        <v>39933</v>
      </c>
      <c r="AT2416" t="s">
        <v>1652</v>
      </c>
      <c r="AU2416">
        <v>2024</v>
      </c>
      <c r="AV2416">
        <v>48</v>
      </c>
      <c r="AW2416">
        <v>2</v>
      </c>
      <c r="AX2416" t="s">
        <v>74</v>
      </c>
      <c r="AY2416" t="s">
        <v>74</v>
      </c>
      <c r="AZ2416" t="s">
        <v>74</v>
      </c>
      <c r="BA2416" t="s">
        <v>74</v>
      </c>
      <c r="BB2416" t="s">
        <v>74</v>
      </c>
      <c r="BC2416" t="s">
        <v>74</v>
      </c>
      <c r="BD2416">
        <v>101202</v>
      </c>
      <c r="BE2416" t="s">
        <v>40769</v>
      </c>
      <c r="BF2416" t="str">
        <f>HYPERLINK("http://dx.doi.org/10.1016/j.ecosys.2024.101202","http://dx.doi.org/10.1016/j.ecosys.2024.101202")</f>
        <v>http://dx.doi.org/10.1016/j.ecosys.2024.101202</v>
      </c>
      <c r="BG2416" t="s">
        <v>74</v>
      </c>
      <c r="BH2416" t="s">
        <v>6256</v>
      </c>
      <c r="BI2416">
        <v>21</v>
      </c>
      <c r="BJ2416" t="s">
        <v>291</v>
      </c>
      <c r="BK2416" t="s">
        <v>99</v>
      </c>
      <c r="BL2416" t="s">
        <v>100</v>
      </c>
      <c r="BM2416" t="s">
        <v>40770</v>
      </c>
      <c r="BN2416" t="s">
        <v>74</v>
      </c>
      <c r="BO2416" t="s">
        <v>74</v>
      </c>
      <c r="BP2416" t="s">
        <v>74</v>
      </c>
      <c r="BQ2416" t="s">
        <v>74</v>
      </c>
      <c r="BR2416" t="s">
        <v>102</v>
      </c>
      <c r="BS2416" t="s">
        <v>40771</v>
      </c>
      <c r="BT2416" t="str">
        <f>HYPERLINK("https%3A%2F%2Fwww.webofscience.com%2Fwos%2Fwoscc%2Ffull-record%2FWOS:001250009000001","View Full Record in Web of Science")</f>
        <v>View Full Record in Web of Science</v>
      </c>
    </row>
    <row r="2417" spans="1:72" x14ac:dyDescent="0.25">
      <c r="A2417" t="s">
        <v>72</v>
      </c>
      <c r="B2417" t="s">
        <v>40772</v>
      </c>
      <c r="C2417" t="s">
        <v>74</v>
      </c>
      <c r="D2417" t="s">
        <v>74</v>
      </c>
      <c r="E2417" t="s">
        <v>74</v>
      </c>
      <c r="F2417" t="s">
        <v>40773</v>
      </c>
      <c r="G2417" t="s">
        <v>74</v>
      </c>
      <c r="H2417" t="s">
        <v>74</v>
      </c>
      <c r="I2417" t="s">
        <v>40774</v>
      </c>
      <c r="J2417" t="s">
        <v>7220</v>
      </c>
      <c r="K2417" t="s">
        <v>74</v>
      </c>
      <c r="L2417" t="s">
        <v>74</v>
      </c>
      <c r="M2417" t="s">
        <v>78</v>
      </c>
      <c r="N2417" t="s">
        <v>372</v>
      </c>
      <c r="O2417" t="s">
        <v>74</v>
      </c>
      <c r="P2417" t="s">
        <v>74</v>
      </c>
      <c r="Q2417" t="s">
        <v>74</v>
      </c>
      <c r="R2417" t="s">
        <v>74</v>
      </c>
      <c r="S2417" t="s">
        <v>74</v>
      </c>
      <c r="T2417" t="s">
        <v>40775</v>
      </c>
      <c r="U2417" t="s">
        <v>40776</v>
      </c>
      <c r="V2417" t="s">
        <v>40777</v>
      </c>
      <c r="W2417" t="s">
        <v>40778</v>
      </c>
      <c r="X2417" t="s">
        <v>4129</v>
      </c>
      <c r="Y2417" t="s">
        <v>40779</v>
      </c>
      <c r="Z2417" t="s">
        <v>21271</v>
      </c>
      <c r="AA2417" t="s">
        <v>74</v>
      </c>
      <c r="AB2417" t="s">
        <v>74</v>
      </c>
      <c r="AC2417" t="s">
        <v>74</v>
      </c>
      <c r="AD2417" t="s">
        <v>74</v>
      </c>
      <c r="AE2417" t="s">
        <v>74</v>
      </c>
      <c r="AF2417" t="s">
        <v>74</v>
      </c>
      <c r="AG2417">
        <v>42</v>
      </c>
      <c r="AH2417">
        <v>3</v>
      </c>
      <c r="AI2417">
        <v>3</v>
      </c>
      <c r="AJ2417">
        <v>0</v>
      </c>
      <c r="AK2417">
        <v>2</v>
      </c>
      <c r="AL2417" t="s">
        <v>89</v>
      </c>
      <c r="AM2417" t="s">
        <v>90</v>
      </c>
      <c r="AN2417" t="s">
        <v>91</v>
      </c>
      <c r="AO2417" t="s">
        <v>7230</v>
      </c>
      <c r="AP2417" t="s">
        <v>7231</v>
      </c>
      <c r="AQ2417" t="s">
        <v>74</v>
      </c>
      <c r="AR2417" t="s">
        <v>7232</v>
      </c>
      <c r="AS2417" t="s">
        <v>7233</v>
      </c>
      <c r="AT2417" t="s">
        <v>40780</v>
      </c>
      <c r="AU2417">
        <v>2024</v>
      </c>
      <c r="AV2417" t="s">
        <v>74</v>
      </c>
      <c r="AW2417" t="s">
        <v>74</v>
      </c>
      <c r="AX2417" t="s">
        <v>74</v>
      </c>
      <c r="AY2417" t="s">
        <v>74</v>
      </c>
      <c r="AZ2417" t="s">
        <v>74</v>
      </c>
      <c r="BA2417" t="s">
        <v>74</v>
      </c>
      <c r="BB2417" t="s">
        <v>74</v>
      </c>
      <c r="BC2417" t="s">
        <v>74</v>
      </c>
      <c r="BD2417" t="s">
        <v>74</v>
      </c>
      <c r="BE2417" t="s">
        <v>40781</v>
      </c>
      <c r="BF2417" t="str">
        <f>HYPERLINK("http://dx.doi.org/10.1108/JEAS-02-2024-0057","http://dx.doi.org/10.1108/JEAS-02-2024-0057")</f>
        <v>http://dx.doi.org/10.1108/JEAS-02-2024-0057</v>
      </c>
      <c r="BG2417" t="s">
        <v>74</v>
      </c>
      <c r="BH2417" t="s">
        <v>393</v>
      </c>
      <c r="BI2417">
        <v>15</v>
      </c>
      <c r="BJ2417" t="s">
        <v>291</v>
      </c>
      <c r="BK2417" t="s">
        <v>313</v>
      </c>
      <c r="BL2417" t="s">
        <v>100</v>
      </c>
      <c r="BM2417" t="s">
        <v>40782</v>
      </c>
      <c r="BN2417" t="s">
        <v>74</v>
      </c>
      <c r="BO2417" t="s">
        <v>74</v>
      </c>
      <c r="BP2417" t="s">
        <v>74</v>
      </c>
      <c r="BQ2417" t="s">
        <v>74</v>
      </c>
      <c r="BR2417" t="s">
        <v>102</v>
      </c>
      <c r="BS2417" t="s">
        <v>40783</v>
      </c>
      <c r="BT2417" t="str">
        <f>HYPERLINK("https%3A%2F%2Fwww.webofscience.com%2Fwos%2Fwoscc%2Ffull-record%2FWOS:001285826300001","View Full Record in Web of Science")</f>
        <v>View Full Record in Web of Science</v>
      </c>
    </row>
    <row r="2418" spans="1:72" x14ac:dyDescent="0.25">
      <c r="A2418" t="s">
        <v>72</v>
      </c>
      <c r="B2418" t="s">
        <v>40784</v>
      </c>
      <c r="C2418" t="s">
        <v>74</v>
      </c>
      <c r="D2418" t="s">
        <v>74</v>
      </c>
      <c r="E2418" t="s">
        <v>74</v>
      </c>
      <c r="F2418" t="s">
        <v>40785</v>
      </c>
      <c r="G2418" t="s">
        <v>74</v>
      </c>
      <c r="H2418" t="s">
        <v>74</v>
      </c>
      <c r="I2418" t="s">
        <v>40786</v>
      </c>
      <c r="J2418" t="s">
        <v>40787</v>
      </c>
      <c r="K2418" t="s">
        <v>74</v>
      </c>
      <c r="L2418" t="s">
        <v>74</v>
      </c>
      <c r="M2418" t="s">
        <v>78</v>
      </c>
      <c r="N2418" t="s">
        <v>79</v>
      </c>
      <c r="O2418" t="s">
        <v>74</v>
      </c>
      <c r="P2418" t="s">
        <v>74</v>
      </c>
      <c r="Q2418" t="s">
        <v>74</v>
      </c>
      <c r="R2418" t="s">
        <v>74</v>
      </c>
      <c r="S2418" t="s">
        <v>74</v>
      </c>
      <c r="T2418" t="s">
        <v>40788</v>
      </c>
      <c r="U2418" t="s">
        <v>40789</v>
      </c>
      <c r="V2418" t="s">
        <v>40790</v>
      </c>
      <c r="W2418" t="s">
        <v>40791</v>
      </c>
      <c r="X2418" t="s">
        <v>40792</v>
      </c>
      <c r="Y2418" t="s">
        <v>40793</v>
      </c>
      <c r="Z2418" t="s">
        <v>40794</v>
      </c>
      <c r="AA2418" t="s">
        <v>40795</v>
      </c>
      <c r="AB2418" t="s">
        <v>40796</v>
      </c>
      <c r="AC2418" t="s">
        <v>74</v>
      </c>
      <c r="AD2418" t="s">
        <v>74</v>
      </c>
      <c r="AE2418" t="s">
        <v>74</v>
      </c>
      <c r="AF2418" t="s">
        <v>74</v>
      </c>
      <c r="AG2418">
        <v>69</v>
      </c>
      <c r="AH2418">
        <v>23</v>
      </c>
      <c r="AI2418">
        <v>30</v>
      </c>
      <c r="AJ2418">
        <v>0</v>
      </c>
      <c r="AK2418">
        <v>30</v>
      </c>
      <c r="AL2418" t="s">
        <v>4485</v>
      </c>
      <c r="AM2418" t="s">
        <v>6724</v>
      </c>
      <c r="AN2418" t="s">
        <v>6725</v>
      </c>
      <c r="AO2418" t="s">
        <v>40797</v>
      </c>
      <c r="AP2418" t="s">
        <v>40798</v>
      </c>
      <c r="AQ2418" t="s">
        <v>74</v>
      </c>
      <c r="AR2418" t="s">
        <v>40799</v>
      </c>
      <c r="AS2418" t="s">
        <v>40800</v>
      </c>
      <c r="AT2418" t="s">
        <v>891</v>
      </c>
      <c r="AU2418">
        <v>2021</v>
      </c>
      <c r="AV2418">
        <v>19</v>
      </c>
      <c r="AW2418">
        <v>3</v>
      </c>
      <c r="AX2418" t="s">
        <v>74</v>
      </c>
      <c r="AY2418" t="s">
        <v>74</v>
      </c>
      <c r="AZ2418" t="s">
        <v>74</v>
      </c>
      <c r="BA2418" t="s">
        <v>74</v>
      </c>
      <c r="BB2418" t="s">
        <v>74</v>
      </c>
      <c r="BC2418" t="s">
        <v>74</v>
      </c>
      <c r="BD2418">
        <v>100540</v>
      </c>
      <c r="BE2418" t="s">
        <v>40801</v>
      </c>
      <c r="BF2418" t="str">
        <f>HYPERLINK("http://dx.doi.org/10.1016/j.ijme.2021.100540","http://dx.doi.org/10.1016/j.ijme.2021.100540")</f>
        <v>http://dx.doi.org/10.1016/j.ijme.2021.100540</v>
      </c>
      <c r="BG2418" t="s">
        <v>74</v>
      </c>
      <c r="BH2418" t="s">
        <v>11151</v>
      </c>
      <c r="BI2418">
        <v>13</v>
      </c>
      <c r="BJ2418" t="s">
        <v>40802</v>
      </c>
      <c r="BK2418" t="s">
        <v>99</v>
      </c>
      <c r="BL2418" t="s">
        <v>4181</v>
      </c>
      <c r="BM2418" t="s">
        <v>40803</v>
      </c>
      <c r="BN2418" t="s">
        <v>74</v>
      </c>
      <c r="BO2418" t="s">
        <v>74</v>
      </c>
      <c r="BP2418" t="s">
        <v>74</v>
      </c>
      <c r="BQ2418" t="s">
        <v>74</v>
      </c>
      <c r="BR2418" t="s">
        <v>102</v>
      </c>
      <c r="BS2418" t="s">
        <v>40804</v>
      </c>
      <c r="BT2418" t="str">
        <f>HYPERLINK("https%3A%2F%2Fwww.webofscience.com%2Fwos%2Fwoscc%2Ffull-record%2FWOS:000697356200004","View Full Record in Web of Science")</f>
        <v>View Full Record in Web of Science</v>
      </c>
    </row>
    <row r="2419" spans="1:72" x14ac:dyDescent="0.25">
      <c r="A2419" t="s">
        <v>72</v>
      </c>
      <c r="B2419" t="s">
        <v>40805</v>
      </c>
      <c r="C2419" t="s">
        <v>74</v>
      </c>
      <c r="D2419" t="s">
        <v>74</v>
      </c>
      <c r="E2419" t="s">
        <v>74</v>
      </c>
      <c r="F2419" t="s">
        <v>40806</v>
      </c>
      <c r="G2419" t="s">
        <v>74</v>
      </c>
      <c r="H2419" t="s">
        <v>74</v>
      </c>
      <c r="I2419" t="s">
        <v>40807</v>
      </c>
      <c r="J2419" t="s">
        <v>26334</v>
      </c>
      <c r="K2419" t="s">
        <v>74</v>
      </c>
      <c r="L2419" t="s">
        <v>74</v>
      </c>
      <c r="M2419" t="s">
        <v>78</v>
      </c>
      <c r="N2419" t="s">
        <v>79</v>
      </c>
      <c r="O2419" t="s">
        <v>74</v>
      </c>
      <c r="P2419" t="s">
        <v>74</v>
      </c>
      <c r="Q2419" t="s">
        <v>74</v>
      </c>
      <c r="R2419" t="s">
        <v>74</v>
      </c>
      <c r="S2419" t="s">
        <v>74</v>
      </c>
      <c r="T2419" t="s">
        <v>40808</v>
      </c>
      <c r="U2419" t="s">
        <v>74</v>
      </c>
      <c r="V2419" t="s">
        <v>40809</v>
      </c>
      <c r="W2419" t="s">
        <v>40810</v>
      </c>
      <c r="X2419" t="s">
        <v>74</v>
      </c>
      <c r="Y2419" t="s">
        <v>40811</v>
      </c>
      <c r="Z2419" t="s">
        <v>40812</v>
      </c>
      <c r="AA2419" t="s">
        <v>74</v>
      </c>
      <c r="AB2419" t="s">
        <v>74</v>
      </c>
      <c r="AC2419" t="s">
        <v>74</v>
      </c>
      <c r="AD2419" t="s">
        <v>74</v>
      </c>
      <c r="AE2419" t="s">
        <v>74</v>
      </c>
      <c r="AF2419" t="s">
        <v>74</v>
      </c>
      <c r="AG2419">
        <v>22</v>
      </c>
      <c r="AH2419">
        <v>14</v>
      </c>
      <c r="AI2419">
        <v>27</v>
      </c>
      <c r="AJ2419">
        <v>0</v>
      </c>
      <c r="AK2419">
        <v>13</v>
      </c>
      <c r="AL2419" t="s">
        <v>26327</v>
      </c>
      <c r="AM2419" t="s">
        <v>26326</v>
      </c>
      <c r="AN2419" t="s">
        <v>26325</v>
      </c>
      <c r="AO2419" t="s">
        <v>26324</v>
      </c>
      <c r="AP2419" t="s">
        <v>74</v>
      </c>
      <c r="AQ2419" t="s">
        <v>74</v>
      </c>
      <c r="AR2419" t="s">
        <v>26323</v>
      </c>
      <c r="AS2419" t="s">
        <v>26322</v>
      </c>
      <c r="AT2419" t="s">
        <v>8848</v>
      </c>
      <c r="AU2419">
        <v>2011</v>
      </c>
      <c r="AV2419">
        <v>5</v>
      </c>
      <c r="AW2419">
        <v>9</v>
      </c>
      <c r="AX2419" t="s">
        <v>74</v>
      </c>
      <c r="AY2419" t="s">
        <v>74</v>
      </c>
      <c r="AZ2419" t="s">
        <v>74</v>
      </c>
      <c r="BA2419" t="s">
        <v>74</v>
      </c>
      <c r="BB2419">
        <v>3699</v>
      </c>
      <c r="BC2419">
        <v>3705</v>
      </c>
      <c r="BD2419" t="s">
        <v>74</v>
      </c>
      <c r="BE2419" t="s">
        <v>74</v>
      </c>
      <c r="BF2419" t="s">
        <v>74</v>
      </c>
      <c r="BG2419" t="s">
        <v>74</v>
      </c>
      <c r="BH2419" t="s">
        <v>74</v>
      </c>
      <c r="BI2419">
        <v>7</v>
      </c>
      <c r="BJ2419" t="s">
        <v>98</v>
      </c>
      <c r="BK2419" t="s">
        <v>99</v>
      </c>
      <c r="BL2419" t="s">
        <v>100</v>
      </c>
      <c r="BM2419" t="s">
        <v>40813</v>
      </c>
      <c r="BN2419" t="s">
        <v>74</v>
      </c>
      <c r="BO2419" t="s">
        <v>74</v>
      </c>
      <c r="BP2419" t="s">
        <v>74</v>
      </c>
      <c r="BQ2419" t="s">
        <v>74</v>
      </c>
      <c r="BR2419" t="s">
        <v>102</v>
      </c>
      <c r="BS2419" t="s">
        <v>40814</v>
      </c>
      <c r="BT2419" t="str">
        <f>HYPERLINK("https%3A%2F%2Fwww.webofscience.com%2Fwos%2Fwoscc%2Ffull-record%2FWOS:000291554500029","View Full Record in Web of Science")</f>
        <v>View Full Record in Web of Science</v>
      </c>
    </row>
    <row r="2420" spans="1:72" x14ac:dyDescent="0.25">
      <c r="A2420" t="s">
        <v>72</v>
      </c>
      <c r="B2420" t="s">
        <v>40815</v>
      </c>
      <c r="C2420" t="s">
        <v>74</v>
      </c>
      <c r="D2420" t="s">
        <v>74</v>
      </c>
      <c r="E2420" t="s">
        <v>74</v>
      </c>
      <c r="F2420" t="s">
        <v>40816</v>
      </c>
      <c r="G2420" t="s">
        <v>74</v>
      </c>
      <c r="H2420" t="s">
        <v>74</v>
      </c>
      <c r="I2420" t="s">
        <v>40817</v>
      </c>
      <c r="J2420" t="s">
        <v>4842</v>
      </c>
      <c r="K2420" t="s">
        <v>74</v>
      </c>
      <c r="L2420" t="s">
        <v>74</v>
      </c>
      <c r="M2420" t="s">
        <v>78</v>
      </c>
      <c r="N2420" t="s">
        <v>79</v>
      </c>
      <c r="O2420" t="s">
        <v>74</v>
      </c>
      <c r="P2420" t="s">
        <v>74</v>
      </c>
      <c r="Q2420" t="s">
        <v>74</v>
      </c>
      <c r="R2420" t="s">
        <v>74</v>
      </c>
      <c r="S2420" t="s">
        <v>74</v>
      </c>
      <c r="T2420" t="s">
        <v>40818</v>
      </c>
      <c r="U2420" t="s">
        <v>40819</v>
      </c>
      <c r="V2420" t="s">
        <v>40820</v>
      </c>
      <c r="W2420" t="s">
        <v>40821</v>
      </c>
      <c r="X2420" t="s">
        <v>40822</v>
      </c>
      <c r="Y2420" t="s">
        <v>40823</v>
      </c>
      <c r="Z2420" t="s">
        <v>40824</v>
      </c>
      <c r="AA2420" t="s">
        <v>40825</v>
      </c>
      <c r="AB2420" t="s">
        <v>40826</v>
      </c>
      <c r="AC2420" t="s">
        <v>74</v>
      </c>
      <c r="AD2420" t="s">
        <v>74</v>
      </c>
      <c r="AE2420" t="s">
        <v>74</v>
      </c>
      <c r="AF2420" t="s">
        <v>74</v>
      </c>
      <c r="AG2420">
        <v>44</v>
      </c>
      <c r="AH2420">
        <v>5</v>
      </c>
      <c r="AI2420">
        <v>6</v>
      </c>
      <c r="AJ2420">
        <v>0</v>
      </c>
      <c r="AK2420">
        <v>5</v>
      </c>
      <c r="AL2420" t="s">
        <v>823</v>
      </c>
      <c r="AM2420" t="s">
        <v>333</v>
      </c>
      <c r="AN2420" t="s">
        <v>824</v>
      </c>
      <c r="AO2420" t="s">
        <v>4853</v>
      </c>
      <c r="AP2420" t="s">
        <v>74</v>
      </c>
      <c r="AQ2420" t="s">
        <v>74</v>
      </c>
      <c r="AR2420" t="s">
        <v>4854</v>
      </c>
      <c r="AS2420" t="s">
        <v>4855</v>
      </c>
      <c r="AT2420" t="s">
        <v>2487</v>
      </c>
      <c r="AU2420">
        <v>2020</v>
      </c>
      <c r="AV2420">
        <v>7</v>
      </c>
      <c r="AW2420">
        <v>1</v>
      </c>
      <c r="AX2420" t="s">
        <v>74</v>
      </c>
      <c r="AY2420" t="s">
        <v>74</v>
      </c>
      <c r="AZ2420" t="s">
        <v>74</v>
      </c>
      <c r="BA2420" t="s">
        <v>74</v>
      </c>
      <c r="BB2420" t="s">
        <v>74</v>
      </c>
      <c r="BC2420" t="s">
        <v>74</v>
      </c>
      <c r="BD2420">
        <v>1712126</v>
      </c>
      <c r="BE2420" t="s">
        <v>40827</v>
      </c>
      <c r="BF2420" t="str">
        <f>HYPERLINK("http://dx.doi.org/10.1080/23311975.2020.1712126","http://dx.doi.org/10.1080/23311975.2020.1712126")</f>
        <v>http://dx.doi.org/10.1080/23311975.2020.1712126</v>
      </c>
      <c r="BG2420" t="s">
        <v>74</v>
      </c>
      <c r="BH2420" t="s">
        <v>74</v>
      </c>
      <c r="BI2420">
        <v>15</v>
      </c>
      <c r="BJ2420" t="s">
        <v>418</v>
      </c>
      <c r="BK2420" t="s">
        <v>313</v>
      </c>
      <c r="BL2420" t="s">
        <v>100</v>
      </c>
      <c r="BM2420" t="s">
        <v>40828</v>
      </c>
      <c r="BN2420" t="s">
        <v>74</v>
      </c>
      <c r="BO2420" t="s">
        <v>916</v>
      </c>
      <c r="BP2420" t="s">
        <v>74</v>
      </c>
      <c r="BQ2420" t="s">
        <v>74</v>
      </c>
      <c r="BR2420" t="s">
        <v>102</v>
      </c>
      <c r="BS2420" t="s">
        <v>40829</v>
      </c>
      <c r="BT2420" t="str">
        <f>HYPERLINK("https%3A%2F%2Fwww.webofscience.com%2Fwos%2Fwoscc%2Ffull-record%2FWOS:000509032600001","View Full Record in Web of Science")</f>
        <v>View Full Record in Web of Science</v>
      </c>
    </row>
    <row r="2421" spans="1:72" x14ac:dyDescent="0.25">
      <c r="A2421" t="s">
        <v>72</v>
      </c>
      <c r="B2421" t="s">
        <v>40830</v>
      </c>
      <c r="C2421" t="s">
        <v>74</v>
      </c>
      <c r="D2421" t="s">
        <v>74</v>
      </c>
      <c r="E2421" t="s">
        <v>74</v>
      </c>
      <c r="F2421" t="s">
        <v>40831</v>
      </c>
      <c r="G2421" t="s">
        <v>74</v>
      </c>
      <c r="H2421" t="s">
        <v>74</v>
      </c>
      <c r="I2421" t="s">
        <v>40832</v>
      </c>
      <c r="J2421" t="s">
        <v>40833</v>
      </c>
      <c r="K2421" t="s">
        <v>74</v>
      </c>
      <c r="L2421" t="s">
        <v>74</v>
      </c>
      <c r="M2421" t="s">
        <v>78</v>
      </c>
      <c r="N2421" t="s">
        <v>79</v>
      </c>
      <c r="O2421" t="s">
        <v>74</v>
      </c>
      <c r="P2421" t="s">
        <v>74</v>
      </c>
      <c r="Q2421" t="s">
        <v>74</v>
      </c>
      <c r="R2421" t="s">
        <v>74</v>
      </c>
      <c r="S2421" t="s">
        <v>74</v>
      </c>
      <c r="T2421" t="s">
        <v>40834</v>
      </c>
      <c r="U2421" t="s">
        <v>15835</v>
      </c>
      <c r="V2421" t="s">
        <v>40835</v>
      </c>
      <c r="W2421" t="s">
        <v>40836</v>
      </c>
      <c r="X2421" t="s">
        <v>9052</v>
      </c>
      <c r="Y2421" t="s">
        <v>40837</v>
      </c>
      <c r="Z2421" t="s">
        <v>40838</v>
      </c>
      <c r="AA2421" t="s">
        <v>40839</v>
      </c>
      <c r="AB2421" t="s">
        <v>74</v>
      </c>
      <c r="AC2421" t="s">
        <v>74</v>
      </c>
      <c r="AD2421" t="s">
        <v>74</v>
      </c>
      <c r="AE2421" t="s">
        <v>74</v>
      </c>
      <c r="AF2421" t="s">
        <v>74</v>
      </c>
      <c r="AG2421">
        <v>39</v>
      </c>
      <c r="AH2421">
        <v>2</v>
      </c>
      <c r="AI2421">
        <v>2</v>
      </c>
      <c r="AJ2421">
        <v>0</v>
      </c>
      <c r="AK2421">
        <v>2</v>
      </c>
      <c r="AL2421" t="s">
        <v>40840</v>
      </c>
      <c r="AM2421" t="s">
        <v>40841</v>
      </c>
      <c r="AN2421" t="s">
        <v>40842</v>
      </c>
      <c r="AO2421" t="s">
        <v>40843</v>
      </c>
      <c r="AP2421" t="s">
        <v>40844</v>
      </c>
      <c r="AQ2421" t="s">
        <v>74</v>
      </c>
      <c r="AR2421" t="s">
        <v>40845</v>
      </c>
      <c r="AS2421" t="s">
        <v>40846</v>
      </c>
      <c r="AT2421" t="s">
        <v>10516</v>
      </c>
      <c r="AU2421">
        <v>2018</v>
      </c>
      <c r="AV2421">
        <v>52</v>
      </c>
      <c r="AW2421">
        <v>4</v>
      </c>
      <c r="AX2421" t="s">
        <v>74</v>
      </c>
      <c r="AY2421" t="s">
        <v>74</v>
      </c>
      <c r="AZ2421" t="s">
        <v>74</v>
      </c>
      <c r="BA2421" t="s">
        <v>74</v>
      </c>
      <c r="BB2421">
        <v>650</v>
      </c>
      <c r="BC2421">
        <v>675</v>
      </c>
      <c r="BD2421" t="s">
        <v>74</v>
      </c>
      <c r="BE2421" t="s">
        <v>40847</v>
      </c>
      <c r="BF2421" t="str">
        <f>HYPERLINK("http://dx.doi.org/10.1590/0034-7612171861","http://dx.doi.org/10.1590/0034-7612171861")</f>
        <v>http://dx.doi.org/10.1590/0034-7612171861</v>
      </c>
      <c r="BG2421" t="s">
        <v>74</v>
      </c>
      <c r="BH2421" t="s">
        <v>74</v>
      </c>
      <c r="BI2421">
        <v>26</v>
      </c>
      <c r="BJ2421" t="s">
        <v>3868</v>
      </c>
      <c r="BK2421" t="s">
        <v>313</v>
      </c>
      <c r="BL2421" t="s">
        <v>3868</v>
      </c>
      <c r="BM2421" t="s">
        <v>40848</v>
      </c>
      <c r="BN2421" t="s">
        <v>74</v>
      </c>
      <c r="BO2421" t="s">
        <v>1676</v>
      </c>
      <c r="BP2421" t="s">
        <v>74</v>
      </c>
      <c r="BQ2421" t="s">
        <v>74</v>
      </c>
      <c r="BR2421" t="s">
        <v>102</v>
      </c>
      <c r="BS2421" t="s">
        <v>40849</v>
      </c>
      <c r="BT2421" t="str">
        <f>HYPERLINK("https%3A%2F%2Fwww.webofscience.com%2Fwos%2Fwoscc%2Ffull-record%2FWOS:000561882300005","View Full Record in Web of Science")</f>
        <v>View Full Record in Web of Science</v>
      </c>
    </row>
    <row r="2422" spans="1:72" x14ac:dyDescent="0.25">
      <c r="A2422" t="s">
        <v>72</v>
      </c>
      <c r="B2422" t="s">
        <v>19697</v>
      </c>
      <c r="C2422" t="s">
        <v>74</v>
      </c>
      <c r="D2422" t="s">
        <v>74</v>
      </c>
      <c r="E2422" t="s">
        <v>74</v>
      </c>
      <c r="F2422" t="s">
        <v>19695</v>
      </c>
      <c r="G2422" t="s">
        <v>74</v>
      </c>
      <c r="H2422" t="s">
        <v>74</v>
      </c>
      <c r="I2422" t="s">
        <v>40850</v>
      </c>
      <c r="J2422" t="s">
        <v>31359</v>
      </c>
      <c r="K2422" t="s">
        <v>74</v>
      </c>
      <c r="L2422" t="s">
        <v>74</v>
      </c>
      <c r="M2422" t="s">
        <v>78</v>
      </c>
      <c r="N2422" t="s">
        <v>79</v>
      </c>
      <c r="O2422" t="s">
        <v>74</v>
      </c>
      <c r="P2422" t="s">
        <v>74</v>
      </c>
      <c r="Q2422" t="s">
        <v>74</v>
      </c>
      <c r="R2422" t="s">
        <v>74</v>
      </c>
      <c r="S2422" t="s">
        <v>74</v>
      </c>
      <c r="T2422" t="s">
        <v>74</v>
      </c>
      <c r="U2422" t="s">
        <v>40851</v>
      </c>
      <c r="V2422" t="s">
        <v>40852</v>
      </c>
      <c r="W2422" t="s">
        <v>19691</v>
      </c>
      <c r="X2422" t="s">
        <v>2166</v>
      </c>
      <c r="Y2422" t="s">
        <v>19690</v>
      </c>
      <c r="Z2422" t="s">
        <v>40853</v>
      </c>
      <c r="AA2422" t="s">
        <v>74</v>
      </c>
      <c r="AB2422" t="s">
        <v>74</v>
      </c>
      <c r="AC2422" t="s">
        <v>74</v>
      </c>
      <c r="AD2422" t="s">
        <v>74</v>
      </c>
      <c r="AE2422" t="s">
        <v>74</v>
      </c>
      <c r="AF2422" t="s">
        <v>74</v>
      </c>
      <c r="AG2422">
        <v>66</v>
      </c>
      <c r="AH2422">
        <v>95</v>
      </c>
      <c r="AI2422">
        <v>117</v>
      </c>
      <c r="AJ2422">
        <v>2</v>
      </c>
      <c r="AK2422">
        <v>34</v>
      </c>
      <c r="AL2422" t="s">
        <v>332</v>
      </c>
      <c r="AM2422" t="s">
        <v>333</v>
      </c>
      <c r="AN2422" t="s">
        <v>334</v>
      </c>
      <c r="AO2422" t="s">
        <v>31352</v>
      </c>
      <c r="AP2422" t="s">
        <v>31351</v>
      </c>
      <c r="AQ2422" t="s">
        <v>74</v>
      </c>
      <c r="AR2422" t="s">
        <v>31350</v>
      </c>
      <c r="AS2422" t="s">
        <v>31349</v>
      </c>
      <c r="AT2422" t="s">
        <v>4780</v>
      </c>
      <c r="AU2422">
        <v>2013</v>
      </c>
      <c r="AV2422">
        <v>34</v>
      </c>
      <c r="AW2422">
        <v>4</v>
      </c>
      <c r="AX2422" t="s">
        <v>74</v>
      </c>
      <c r="AY2422" t="s">
        <v>74</v>
      </c>
      <c r="AZ2422" t="s">
        <v>74</v>
      </c>
      <c r="BA2422" t="s">
        <v>74</v>
      </c>
      <c r="BB2422">
        <v>593</v>
      </c>
      <c r="BC2422">
        <v>612</v>
      </c>
      <c r="BD2422" t="s">
        <v>74</v>
      </c>
      <c r="BE2422" t="s">
        <v>40854</v>
      </c>
      <c r="BF2422" t="str">
        <f>HYPERLINK("http://dx.doi.org/10.1080/01436597.2013.786285","http://dx.doi.org/10.1080/01436597.2013.786285")</f>
        <v>http://dx.doi.org/10.1080/01436597.2013.786285</v>
      </c>
      <c r="BG2422" t="s">
        <v>74</v>
      </c>
      <c r="BH2422" t="s">
        <v>74</v>
      </c>
      <c r="BI2422">
        <v>20</v>
      </c>
      <c r="BJ2422" t="s">
        <v>1137</v>
      </c>
      <c r="BK2422" t="s">
        <v>99</v>
      </c>
      <c r="BL2422" t="s">
        <v>1137</v>
      </c>
      <c r="BM2422" t="s">
        <v>40855</v>
      </c>
      <c r="BN2422" t="s">
        <v>74</v>
      </c>
      <c r="BO2422" t="s">
        <v>74</v>
      </c>
      <c r="BP2422" t="s">
        <v>74</v>
      </c>
      <c r="BQ2422" t="s">
        <v>74</v>
      </c>
      <c r="BR2422" t="s">
        <v>102</v>
      </c>
      <c r="BS2422" t="s">
        <v>40856</v>
      </c>
      <c r="BT2422" t="str">
        <f>HYPERLINK("https%3A%2F%2Fwww.webofscience.com%2Fwos%2Fwoscc%2Ffull-record%2FWOS:000319651600004","View Full Record in Web of Science")</f>
        <v>View Full Record in Web of Science</v>
      </c>
    </row>
    <row r="2423" spans="1:72" x14ac:dyDescent="0.25">
      <c r="A2423" t="s">
        <v>72</v>
      </c>
      <c r="B2423" t="s">
        <v>40857</v>
      </c>
      <c r="C2423" t="s">
        <v>74</v>
      </c>
      <c r="D2423" t="s">
        <v>74</v>
      </c>
      <c r="E2423" t="s">
        <v>74</v>
      </c>
      <c r="F2423" t="s">
        <v>40858</v>
      </c>
      <c r="G2423" t="s">
        <v>74</v>
      </c>
      <c r="H2423" t="s">
        <v>74</v>
      </c>
      <c r="I2423" t="s">
        <v>40859</v>
      </c>
      <c r="J2423" t="s">
        <v>2137</v>
      </c>
      <c r="K2423" t="s">
        <v>74</v>
      </c>
      <c r="L2423" t="s">
        <v>74</v>
      </c>
      <c r="M2423" t="s">
        <v>78</v>
      </c>
      <c r="N2423" t="s">
        <v>79</v>
      </c>
      <c r="O2423" t="s">
        <v>74</v>
      </c>
      <c r="P2423" t="s">
        <v>74</v>
      </c>
      <c r="Q2423" t="s">
        <v>74</v>
      </c>
      <c r="R2423" t="s">
        <v>74</v>
      </c>
      <c r="S2423" t="s">
        <v>74</v>
      </c>
      <c r="T2423" t="s">
        <v>40860</v>
      </c>
      <c r="U2423" t="s">
        <v>40861</v>
      </c>
      <c r="V2423" t="s">
        <v>40862</v>
      </c>
      <c r="W2423" t="s">
        <v>40863</v>
      </c>
      <c r="X2423" t="s">
        <v>40864</v>
      </c>
      <c r="Y2423" t="s">
        <v>40865</v>
      </c>
      <c r="Z2423" t="s">
        <v>40866</v>
      </c>
      <c r="AA2423" t="s">
        <v>74</v>
      </c>
      <c r="AB2423" t="s">
        <v>74</v>
      </c>
      <c r="AC2423" t="s">
        <v>40867</v>
      </c>
      <c r="AD2423" t="s">
        <v>40868</v>
      </c>
      <c r="AE2423" t="s">
        <v>40869</v>
      </c>
      <c r="AF2423" t="s">
        <v>74</v>
      </c>
      <c r="AG2423">
        <v>33</v>
      </c>
      <c r="AH2423">
        <v>1</v>
      </c>
      <c r="AI2423">
        <v>1</v>
      </c>
      <c r="AJ2423">
        <v>0</v>
      </c>
      <c r="AK2423">
        <v>7</v>
      </c>
      <c r="AL2423" t="s">
        <v>2145</v>
      </c>
      <c r="AM2423" t="s">
        <v>151</v>
      </c>
      <c r="AN2423" t="s">
        <v>2146</v>
      </c>
      <c r="AO2423" t="s">
        <v>2147</v>
      </c>
      <c r="AP2423" t="s">
        <v>2148</v>
      </c>
      <c r="AQ2423" t="s">
        <v>74</v>
      </c>
      <c r="AR2423" t="s">
        <v>2149</v>
      </c>
      <c r="AS2423" t="s">
        <v>2150</v>
      </c>
      <c r="AT2423" t="s">
        <v>74</v>
      </c>
      <c r="AU2423">
        <v>2023</v>
      </c>
      <c r="AV2423">
        <v>34</v>
      </c>
      <c r="AW2423">
        <v>2</v>
      </c>
      <c r="AX2423" t="s">
        <v>74</v>
      </c>
      <c r="AY2423" t="s">
        <v>74</v>
      </c>
      <c r="AZ2423" t="s">
        <v>74</v>
      </c>
      <c r="BA2423" t="s">
        <v>74</v>
      </c>
      <c r="BB2423">
        <v>251</v>
      </c>
      <c r="BC2423">
        <v>265</v>
      </c>
      <c r="BD2423" t="s">
        <v>74</v>
      </c>
      <c r="BE2423" t="s">
        <v>40870</v>
      </c>
      <c r="BF2423" t="str">
        <f>HYPERLINK("http://dx.doi.org/10.1891/JFCP-2022-0049","http://dx.doi.org/10.1891/JFCP-2022-0049")</f>
        <v>http://dx.doi.org/10.1891/JFCP-2022-0049</v>
      </c>
      <c r="BG2423" t="s">
        <v>74</v>
      </c>
      <c r="BH2423" t="s">
        <v>74</v>
      </c>
      <c r="BI2423">
        <v>15</v>
      </c>
      <c r="BJ2423" t="s">
        <v>1453</v>
      </c>
      <c r="BK2423" t="s">
        <v>313</v>
      </c>
      <c r="BL2423" t="s">
        <v>100</v>
      </c>
      <c r="BM2423" t="s">
        <v>8429</v>
      </c>
      <c r="BN2423" t="s">
        <v>74</v>
      </c>
      <c r="BO2423" t="s">
        <v>74</v>
      </c>
      <c r="BP2423" t="s">
        <v>74</v>
      </c>
      <c r="BQ2423" t="s">
        <v>74</v>
      </c>
      <c r="BR2423" t="s">
        <v>102</v>
      </c>
      <c r="BS2423" t="s">
        <v>40871</v>
      </c>
      <c r="BT2423" t="str">
        <f>HYPERLINK("https%3A%2F%2Fwww.webofscience.com%2Fwos%2Fwoscc%2Ffull-record%2FWOS:001041749400007","View Full Record in Web of Science")</f>
        <v>View Full Record in Web of Science</v>
      </c>
    </row>
    <row r="2424" spans="1:72" x14ac:dyDescent="0.25">
      <c r="A2424" t="s">
        <v>72</v>
      </c>
      <c r="B2424" t="s">
        <v>16374</v>
      </c>
      <c r="C2424" t="s">
        <v>74</v>
      </c>
      <c r="D2424" t="s">
        <v>74</v>
      </c>
      <c r="E2424" t="s">
        <v>74</v>
      </c>
      <c r="F2424" t="s">
        <v>16375</v>
      </c>
      <c r="G2424" t="s">
        <v>74</v>
      </c>
      <c r="H2424" t="s">
        <v>74</v>
      </c>
      <c r="I2424" t="s">
        <v>40872</v>
      </c>
      <c r="J2424" t="s">
        <v>2809</v>
      </c>
      <c r="K2424" t="s">
        <v>74</v>
      </c>
      <c r="L2424" t="s">
        <v>74</v>
      </c>
      <c r="M2424" t="s">
        <v>78</v>
      </c>
      <c r="N2424" t="s">
        <v>79</v>
      </c>
      <c r="O2424" t="s">
        <v>74</v>
      </c>
      <c r="P2424" t="s">
        <v>74</v>
      </c>
      <c r="Q2424" t="s">
        <v>74</v>
      </c>
      <c r="R2424" t="s">
        <v>74</v>
      </c>
      <c r="S2424" t="s">
        <v>74</v>
      </c>
      <c r="T2424" t="s">
        <v>40873</v>
      </c>
      <c r="U2424" t="s">
        <v>40874</v>
      </c>
      <c r="V2424" t="s">
        <v>40875</v>
      </c>
      <c r="W2424" t="s">
        <v>40876</v>
      </c>
      <c r="X2424" t="s">
        <v>16381</v>
      </c>
      <c r="Y2424" t="s">
        <v>40877</v>
      </c>
      <c r="Z2424" t="s">
        <v>22148</v>
      </c>
      <c r="AA2424" t="s">
        <v>10260</v>
      </c>
      <c r="AB2424" t="s">
        <v>40878</v>
      </c>
      <c r="AC2424" t="s">
        <v>74</v>
      </c>
      <c r="AD2424" t="s">
        <v>74</v>
      </c>
      <c r="AE2424" t="s">
        <v>74</v>
      </c>
      <c r="AF2424" t="s">
        <v>74</v>
      </c>
      <c r="AG2424">
        <v>49</v>
      </c>
      <c r="AH2424">
        <v>27</v>
      </c>
      <c r="AI2424">
        <v>34</v>
      </c>
      <c r="AJ2424">
        <v>3</v>
      </c>
      <c r="AK2424">
        <v>73</v>
      </c>
      <c r="AL2424" t="s">
        <v>479</v>
      </c>
      <c r="AM2424" t="s">
        <v>480</v>
      </c>
      <c r="AN2424" t="s">
        <v>481</v>
      </c>
      <c r="AO2424" t="s">
        <v>2816</v>
      </c>
      <c r="AP2424" t="s">
        <v>2817</v>
      </c>
      <c r="AQ2424" t="s">
        <v>74</v>
      </c>
      <c r="AR2424" t="s">
        <v>2818</v>
      </c>
      <c r="AS2424" t="s">
        <v>2819</v>
      </c>
      <c r="AT2424" t="s">
        <v>1652</v>
      </c>
      <c r="AU2424">
        <v>2022</v>
      </c>
      <c r="AV2424">
        <v>56</v>
      </c>
      <c r="AW2424">
        <v>2</v>
      </c>
      <c r="AX2424" t="s">
        <v>74</v>
      </c>
      <c r="AY2424" t="s">
        <v>74</v>
      </c>
      <c r="AZ2424" t="s">
        <v>74</v>
      </c>
      <c r="BA2424" t="s">
        <v>74</v>
      </c>
      <c r="BB2424">
        <v>1004</v>
      </c>
      <c r="BC2424">
        <v>1018</v>
      </c>
      <c r="BD2424" t="s">
        <v>74</v>
      </c>
      <c r="BE2424" t="s">
        <v>40879</v>
      </c>
      <c r="BF2424" t="str">
        <f>HYPERLINK("http://dx.doi.org/10.1111/joca.12418","http://dx.doi.org/10.1111/joca.12418")</f>
        <v>http://dx.doi.org/10.1111/joca.12418</v>
      </c>
      <c r="BG2424" t="s">
        <v>74</v>
      </c>
      <c r="BH2424" t="s">
        <v>4651</v>
      </c>
      <c r="BI2424">
        <v>15</v>
      </c>
      <c r="BJ2424" t="s">
        <v>1453</v>
      </c>
      <c r="BK2424" t="s">
        <v>99</v>
      </c>
      <c r="BL2424" t="s">
        <v>100</v>
      </c>
      <c r="BM2424" t="s">
        <v>34737</v>
      </c>
      <c r="BN2424" t="s">
        <v>74</v>
      </c>
      <c r="BO2424" t="s">
        <v>1696</v>
      </c>
      <c r="BP2424" t="s">
        <v>74</v>
      </c>
      <c r="BQ2424" t="s">
        <v>74</v>
      </c>
      <c r="BR2424" t="s">
        <v>102</v>
      </c>
      <c r="BS2424" t="s">
        <v>40880</v>
      </c>
      <c r="BT2424" t="str">
        <f>HYPERLINK("https%3A%2F%2Fwww.webofscience.com%2Fwos%2Fwoscc%2Ffull-record%2FWOS:000707155800001","View Full Record in Web of Science")</f>
        <v>View Full Record in Web of Science</v>
      </c>
    </row>
    <row r="2425" spans="1:72" x14ac:dyDescent="0.25">
      <c r="A2425" t="s">
        <v>72</v>
      </c>
      <c r="B2425" t="s">
        <v>40881</v>
      </c>
      <c r="C2425" t="s">
        <v>74</v>
      </c>
      <c r="D2425" t="s">
        <v>74</v>
      </c>
      <c r="E2425" t="s">
        <v>74</v>
      </c>
      <c r="F2425" t="s">
        <v>40882</v>
      </c>
      <c r="G2425" t="s">
        <v>74</v>
      </c>
      <c r="H2425" t="s">
        <v>74</v>
      </c>
      <c r="I2425" t="s">
        <v>40883</v>
      </c>
      <c r="J2425" t="s">
        <v>35497</v>
      </c>
      <c r="K2425" t="s">
        <v>74</v>
      </c>
      <c r="L2425" t="s">
        <v>74</v>
      </c>
      <c r="M2425" t="s">
        <v>78</v>
      </c>
      <c r="N2425" t="s">
        <v>79</v>
      </c>
      <c r="O2425" t="s">
        <v>74</v>
      </c>
      <c r="P2425" t="s">
        <v>74</v>
      </c>
      <c r="Q2425" t="s">
        <v>74</v>
      </c>
      <c r="R2425" t="s">
        <v>74</v>
      </c>
      <c r="S2425" t="s">
        <v>74</v>
      </c>
      <c r="T2425" t="s">
        <v>40884</v>
      </c>
      <c r="U2425" t="s">
        <v>74</v>
      </c>
      <c r="V2425" t="s">
        <v>40885</v>
      </c>
      <c r="W2425" t="s">
        <v>40886</v>
      </c>
      <c r="X2425" t="s">
        <v>40887</v>
      </c>
      <c r="Y2425" t="s">
        <v>40888</v>
      </c>
      <c r="Z2425" t="s">
        <v>40889</v>
      </c>
      <c r="AA2425" t="s">
        <v>40890</v>
      </c>
      <c r="AB2425" t="s">
        <v>40891</v>
      </c>
      <c r="AC2425" t="s">
        <v>74</v>
      </c>
      <c r="AD2425" t="s">
        <v>74</v>
      </c>
      <c r="AE2425" t="s">
        <v>74</v>
      </c>
      <c r="AF2425" t="s">
        <v>74</v>
      </c>
      <c r="AG2425">
        <v>31</v>
      </c>
      <c r="AH2425">
        <v>0</v>
      </c>
      <c r="AI2425">
        <v>0</v>
      </c>
      <c r="AJ2425">
        <v>4</v>
      </c>
      <c r="AK2425">
        <v>18</v>
      </c>
      <c r="AL2425" t="s">
        <v>35503</v>
      </c>
      <c r="AM2425" t="s">
        <v>16016</v>
      </c>
      <c r="AN2425" t="s">
        <v>35504</v>
      </c>
      <c r="AO2425" t="s">
        <v>35505</v>
      </c>
      <c r="AP2425" t="s">
        <v>35506</v>
      </c>
      <c r="AQ2425" t="s">
        <v>74</v>
      </c>
      <c r="AR2425" t="s">
        <v>35507</v>
      </c>
      <c r="AS2425" t="s">
        <v>35508</v>
      </c>
      <c r="AT2425" t="s">
        <v>723</v>
      </c>
      <c r="AU2425">
        <v>2024</v>
      </c>
      <c r="AV2425">
        <v>43</v>
      </c>
      <c r="AW2425">
        <v>92</v>
      </c>
      <c r="AX2425" t="s">
        <v>74</v>
      </c>
      <c r="AY2425" t="s">
        <v>74</v>
      </c>
      <c r="AZ2425" t="s">
        <v>74</v>
      </c>
      <c r="BA2425" t="s">
        <v>74</v>
      </c>
      <c r="BB2425" t="s">
        <v>74</v>
      </c>
      <c r="BC2425" t="s">
        <v>74</v>
      </c>
      <c r="BD2425" t="s">
        <v>74</v>
      </c>
      <c r="BE2425" t="s">
        <v>40892</v>
      </c>
      <c r="BF2425" t="str">
        <f>HYPERLINK("http://dx.doi.org/10.15446/cuad.econ.v43n92.98944","http://dx.doi.org/10.15446/cuad.econ.v43n92.98944")</f>
        <v>http://dx.doi.org/10.15446/cuad.econ.v43n92.98944</v>
      </c>
      <c r="BG2425" t="s">
        <v>74</v>
      </c>
      <c r="BH2425" t="s">
        <v>74</v>
      </c>
      <c r="BI2425">
        <v>24</v>
      </c>
      <c r="BJ2425" t="s">
        <v>291</v>
      </c>
      <c r="BK2425" t="s">
        <v>313</v>
      </c>
      <c r="BL2425" t="s">
        <v>100</v>
      </c>
      <c r="BM2425" t="s">
        <v>40893</v>
      </c>
      <c r="BN2425" t="s">
        <v>74</v>
      </c>
      <c r="BO2425" t="s">
        <v>212</v>
      </c>
      <c r="BP2425" t="s">
        <v>74</v>
      </c>
      <c r="BQ2425" t="s">
        <v>74</v>
      </c>
      <c r="BR2425" t="s">
        <v>102</v>
      </c>
      <c r="BS2425" t="s">
        <v>40894</v>
      </c>
      <c r="BT2425" t="str">
        <f>HYPERLINK("https%3A%2F%2Fwww.webofscience.com%2Fwos%2Fwoscc%2Ffull-record%2FWOS:001352159700009","View Full Record in Web of Science")</f>
        <v>View Full Record in Web of Science</v>
      </c>
    </row>
    <row r="2426" spans="1:72" x14ac:dyDescent="0.25">
      <c r="A2426" t="s">
        <v>72</v>
      </c>
      <c r="B2426" t="s">
        <v>40895</v>
      </c>
      <c r="C2426" t="s">
        <v>74</v>
      </c>
      <c r="D2426" t="s">
        <v>74</v>
      </c>
      <c r="E2426" t="s">
        <v>74</v>
      </c>
      <c r="F2426" t="s">
        <v>40896</v>
      </c>
      <c r="G2426" t="s">
        <v>74</v>
      </c>
      <c r="H2426" t="s">
        <v>74</v>
      </c>
      <c r="I2426" t="s">
        <v>40897</v>
      </c>
      <c r="J2426" t="s">
        <v>7837</v>
      </c>
      <c r="K2426" t="s">
        <v>74</v>
      </c>
      <c r="L2426" t="s">
        <v>74</v>
      </c>
      <c r="M2426" t="s">
        <v>78</v>
      </c>
      <c r="N2426" t="s">
        <v>1766</v>
      </c>
      <c r="O2426" t="s">
        <v>74</v>
      </c>
      <c r="P2426" t="s">
        <v>74</v>
      </c>
      <c r="Q2426" t="s">
        <v>74</v>
      </c>
      <c r="R2426" t="s">
        <v>74</v>
      </c>
      <c r="S2426" t="s">
        <v>74</v>
      </c>
      <c r="T2426" t="s">
        <v>40898</v>
      </c>
      <c r="U2426" t="s">
        <v>40899</v>
      </c>
      <c r="V2426" t="s">
        <v>40900</v>
      </c>
      <c r="W2426" t="s">
        <v>40901</v>
      </c>
      <c r="X2426" t="s">
        <v>40902</v>
      </c>
      <c r="Y2426" t="s">
        <v>40903</v>
      </c>
      <c r="Z2426" t="s">
        <v>40904</v>
      </c>
      <c r="AA2426" t="s">
        <v>40905</v>
      </c>
      <c r="AB2426" t="s">
        <v>40906</v>
      </c>
      <c r="AC2426" t="s">
        <v>74</v>
      </c>
      <c r="AD2426" t="s">
        <v>74</v>
      </c>
      <c r="AE2426" t="s">
        <v>74</v>
      </c>
      <c r="AF2426" t="s">
        <v>74</v>
      </c>
      <c r="AG2426">
        <v>72</v>
      </c>
      <c r="AH2426">
        <v>17</v>
      </c>
      <c r="AI2426">
        <v>22</v>
      </c>
      <c r="AJ2426">
        <v>22</v>
      </c>
      <c r="AK2426">
        <v>37</v>
      </c>
      <c r="AL2426" t="s">
        <v>89</v>
      </c>
      <c r="AM2426" t="s">
        <v>90</v>
      </c>
      <c r="AN2426" t="s">
        <v>91</v>
      </c>
      <c r="AO2426" t="s">
        <v>7847</v>
      </c>
      <c r="AP2426" t="s">
        <v>7848</v>
      </c>
      <c r="AQ2426" t="s">
        <v>74</v>
      </c>
      <c r="AR2426" t="s">
        <v>7849</v>
      </c>
      <c r="AS2426" t="s">
        <v>7850</v>
      </c>
      <c r="AT2426" t="s">
        <v>7131</v>
      </c>
      <c r="AU2426">
        <v>2025</v>
      </c>
      <c r="AV2426">
        <v>20</v>
      </c>
      <c r="AW2426">
        <v>13</v>
      </c>
      <c r="AX2426" t="s">
        <v>74</v>
      </c>
      <c r="AY2426" t="s">
        <v>74</v>
      </c>
      <c r="AZ2426" t="s">
        <v>74</v>
      </c>
      <c r="BA2426" t="s">
        <v>74</v>
      </c>
      <c r="BB2426">
        <v>270</v>
      </c>
      <c r="BC2426">
        <v>290</v>
      </c>
      <c r="BD2426" t="s">
        <v>74</v>
      </c>
      <c r="BE2426" t="s">
        <v>40907</v>
      </c>
      <c r="BF2426" t="str">
        <f>HYPERLINK("http://dx.doi.org/10.1108/IJOEM-08-2024-1428","http://dx.doi.org/10.1108/IJOEM-08-2024-1428")</f>
        <v>http://dx.doi.org/10.1108/IJOEM-08-2024-1428</v>
      </c>
      <c r="BG2426" t="s">
        <v>74</v>
      </c>
      <c r="BH2426" t="s">
        <v>1485</v>
      </c>
      <c r="BI2426">
        <v>21</v>
      </c>
      <c r="BJ2426" t="s">
        <v>6512</v>
      </c>
      <c r="BK2426" t="s">
        <v>99</v>
      </c>
      <c r="BL2426" t="s">
        <v>100</v>
      </c>
      <c r="BM2426" t="s">
        <v>40908</v>
      </c>
      <c r="BN2426" t="s">
        <v>74</v>
      </c>
      <c r="BO2426" t="s">
        <v>1696</v>
      </c>
      <c r="BP2426" t="s">
        <v>74</v>
      </c>
      <c r="BQ2426" t="s">
        <v>74</v>
      </c>
      <c r="BR2426" t="s">
        <v>102</v>
      </c>
      <c r="BS2426" t="s">
        <v>40909</v>
      </c>
      <c r="BT2426" t="str">
        <f>HYPERLINK("https%3A%2F%2Fwww.webofscience.com%2Fwos%2Fwoscc%2Ffull-record%2FWOS:001463038800001","View Full Record in Web of Science")</f>
        <v>View Full Record in Web of Science</v>
      </c>
    </row>
    <row r="2427" spans="1:72" x14ac:dyDescent="0.25">
      <c r="A2427" t="s">
        <v>72</v>
      </c>
      <c r="B2427" t="s">
        <v>40910</v>
      </c>
      <c r="C2427" t="s">
        <v>74</v>
      </c>
      <c r="D2427" t="s">
        <v>74</v>
      </c>
      <c r="E2427" t="s">
        <v>74</v>
      </c>
      <c r="F2427" t="s">
        <v>40911</v>
      </c>
      <c r="G2427" t="s">
        <v>74</v>
      </c>
      <c r="H2427" t="s">
        <v>74</v>
      </c>
      <c r="I2427" t="s">
        <v>40912</v>
      </c>
      <c r="J2427" t="s">
        <v>40913</v>
      </c>
      <c r="K2427" t="s">
        <v>74</v>
      </c>
      <c r="L2427" t="s">
        <v>74</v>
      </c>
      <c r="M2427" t="s">
        <v>78</v>
      </c>
      <c r="N2427" t="s">
        <v>79</v>
      </c>
      <c r="O2427" t="s">
        <v>74</v>
      </c>
      <c r="P2427" t="s">
        <v>74</v>
      </c>
      <c r="Q2427" t="s">
        <v>74</v>
      </c>
      <c r="R2427" t="s">
        <v>74</v>
      </c>
      <c r="S2427" t="s">
        <v>74</v>
      </c>
      <c r="T2427" t="s">
        <v>40914</v>
      </c>
      <c r="U2427" t="s">
        <v>2073</v>
      </c>
      <c r="V2427" t="s">
        <v>40915</v>
      </c>
      <c r="W2427" t="s">
        <v>40916</v>
      </c>
      <c r="X2427" t="s">
        <v>40917</v>
      </c>
      <c r="Y2427" t="s">
        <v>40918</v>
      </c>
      <c r="Z2427" t="s">
        <v>40919</v>
      </c>
      <c r="AA2427" t="s">
        <v>74</v>
      </c>
      <c r="AB2427" t="s">
        <v>74</v>
      </c>
      <c r="AC2427" t="s">
        <v>74</v>
      </c>
      <c r="AD2427" t="s">
        <v>74</v>
      </c>
      <c r="AE2427" t="s">
        <v>74</v>
      </c>
      <c r="AF2427" t="s">
        <v>74</v>
      </c>
      <c r="AG2427">
        <v>44</v>
      </c>
      <c r="AH2427">
        <v>0</v>
      </c>
      <c r="AI2427">
        <v>0</v>
      </c>
      <c r="AJ2427">
        <v>2</v>
      </c>
      <c r="AK2427">
        <v>2</v>
      </c>
      <c r="AL2427" t="s">
        <v>575</v>
      </c>
      <c r="AM2427" t="s">
        <v>576</v>
      </c>
      <c r="AN2427" t="s">
        <v>577</v>
      </c>
      <c r="AO2427" t="s">
        <v>74</v>
      </c>
      <c r="AP2427" t="s">
        <v>40920</v>
      </c>
      <c r="AQ2427" t="s">
        <v>74</v>
      </c>
      <c r="AR2427" t="s">
        <v>40921</v>
      </c>
      <c r="AS2427" t="s">
        <v>40922</v>
      </c>
      <c r="AT2427" t="s">
        <v>24386</v>
      </c>
      <c r="AU2427">
        <v>2025</v>
      </c>
      <c r="AV2427">
        <v>4</v>
      </c>
      <c r="AW2427">
        <v>3</v>
      </c>
      <c r="AX2427" t="s">
        <v>74</v>
      </c>
      <c r="AY2427" t="s">
        <v>74</v>
      </c>
      <c r="AZ2427" t="s">
        <v>74</v>
      </c>
      <c r="BA2427" t="s">
        <v>74</v>
      </c>
      <c r="BB2427" t="s">
        <v>74</v>
      </c>
      <c r="BC2427" t="s">
        <v>74</v>
      </c>
      <c r="BD2427">
        <v>32</v>
      </c>
      <c r="BE2427" t="s">
        <v>40923</v>
      </c>
      <c r="BF2427" t="str">
        <f>HYPERLINK("http://dx.doi.org/10.3390/higheredu4030032","http://dx.doi.org/10.3390/higheredu4030032")</f>
        <v>http://dx.doi.org/10.3390/higheredu4030032</v>
      </c>
      <c r="BG2427" t="s">
        <v>74</v>
      </c>
      <c r="BH2427" t="s">
        <v>74</v>
      </c>
      <c r="BI2427">
        <v>27</v>
      </c>
      <c r="BJ2427" t="s">
        <v>4031</v>
      </c>
      <c r="BK2427" t="s">
        <v>313</v>
      </c>
      <c r="BL2427" t="s">
        <v>4031</v>
      </c>
      <c r="BM2427" t="s">
        <v>40924</v>
      </c>
      <c r="BN2427" t="s">
        <v>74</v>
      </c>
      <c r="BO2427" t="s">
        <v>212</v>
      </c>
      <c r="BP2427" t="s">
        <v>74</v>
      </c>
      <c r="BQ2427" t="s">
        <v>74</v>
      </c>
      <c r="BR2427" t="s">
        <v>102</v>
      </c>
      <c r="BS2427" t="s">
        <v>40925</v>
      </c>
      <c r="BT2427" t="str">
        <f>HYPERLINK("https%3A%2F%2Fwww.webofscience.com%2Fwos%2Fwoscc%2Ffull-record%2FWOS:001579999200001","View Full Record in Web of Science")</f>
        <v>View Full Record in Web of Science</v>
      </c>
    </row>
    <row r="2428" spans="1:72" x14ac:dyDescent="0.25">
      <c r="A2428" t="s">
        <v>72</v>
      </c>
      <c r="B2428" t="s">
        <v>40926</v>
      </c>
      <c r="C2428" t="s">
        <v>74</v>
      </c>
      <c r="D2428" t="s">
        <v>74</v>
      </c>
      <c r="E2428" t="s">
        <v>74</v>
      </c>
      <c r="F2428" t="s">
        <v>40927</v>
      </c>
      <c r="G2428" t="s">
        <v>74</v>
      </c>
      <c r="H2428" t="s">
        <v>74</v>
      </c>
      <c r="I2428" t="s">
        <v>40928</v>
      </c>
      <c r="J2428" t="s">
        <v>349</v>
      </c>
      <c r="K2428" t="s">
        <v>74</v>
      </c>
      <c r="L2428" t="s">
        <v>74</v>
      </c>
      <c r="M2428" t="s">
        <v>298</v>
      </c>
      <c r="N2428" t="s">
        <v>79</v>
      </c>
      <c r="O2428" t="s">
        <v>74</v>
      </c>
      <c r="P2428" t="s">
        <v>74</v>
      </c>
      <c r="Q2428" t="s">
        <v>74</v>
      </c>
      <c r="R2428" t="s">
        <v>74</v>
      </c>
      <c r="S2428" t="s">
        <v>74</v>
      </c>
      <c r="T2428" t="s">
        <v>40929</v>
      </c>
      <c r="U2428" t="s">
        <v>74</v>
      </c>
      <c r="V2428" t="s">
        <v>40930</v>
      </c>
      <c r="W2428" t="s">
        <v>40931</v>
      </c>
      <c r="X2428" t="s">
        <v>40932</v>
      </c>
      <c r="Y2428" t="s">
        <v>40933</v>
      </c>
      <c r="Z2428" t="s">
        <v>40934</v>
      </c>
      <c r="AA2428" t="s">
        <v>74</v>
      </c>
      <c r="AB2428" t="s">
        <v>74</v>
      </c>
      <c r="AC2428" t="s">
        <v>74</v>
      </c>
      <c r="AD2428" t="s">
        <v>74</v>
      </c>
      <c r="AE2428" t="s">
        <v>74</v>
      </c>
      <c r="AF2428" t="s">
        <v>74</v>
      </c>
      <c r="AG2428">
        <v>22</v>
      </c>
      <c r="AH2428">
        <v>0</v>
      </c>
      <c r="AI2428">
        <v>0</v>
      </c>
      <c r="AJ2428">
        <v>0</v>
      </c>
      <c r="AK2428">
        <v>0</v>
      </c>
      <c r="AL2428" t="s">
        <v>357</v>
      </c>
      <c r="AM2428" t="s">
        <v>358</v>
      </c>
      <c r="AN2428" t="s">
        <v>359</v>
      </c>
      <c r="AO2428" t="s">
        <v>360</v>
      </c>
      <c r="AP2428" t="s">
        <v>74</v>
      </c>
      <c r="AQ2428" t="s">
        <v>74</v>
      </c>
      <c r="AR2428" t="s">
        <v>361</v>
      </c>
      <c r="AS2428" t="s">
        <v>362</v>
      </c>
      <c r="AT2428" t="s">
        <v>10516</v>
      </c>
      <c r="AU2428">
        <v>2025</v>
      </c>
      <c r="AV2428">
        <v>17</v>
      </c>
      <c r="AW2428">
        <v>4</v>
      </c>
      <c r="AX2428" t="s">
        <v>74</v>
      </c>
      <c r="AY2428" t="s">
        <v>74</v>
      </c>
      <c r="AZ2428" t="s">
        <v>74</v>
      </c>
      <c r="BA2428" t="s">
        <v>74</v>
      </c>
      <c r="BB2428" t="s">
        <v>74</v>
      </c>
      <c r="BC2428" t="s">
        <v>74</v>
      </c>
      <c r="BD2428" t="s">
        <v>40935</v>
      </c>
      <c r="BE2428" t="s">
        <v>74</v>
      </c>
      <c r="BF2428" t="s">
        <v>74</v>
      </c>
      <c r="BG2428" t="s">
        <v>74</v>
      </c>
      <c r="BH2428" t="s">
        <v>74</v>
      </c>
      <c r="BI2428">
        <v>11</v>
      </c>
      <c r="BJ2428" t="s">
        <v>364</v>
      </c>
      <c r="BK2428" t="s">
        <v>313</v>
      </c>
      <c r="BL2428" t="s">
        <v>365</v>
      </c>
      <c r="BM2428" t="s">
        <v>40936</v>
      </c>
      <c r="BN2428" t="s">
        <v>74</v>
      </c>
      <c r="BO2428" t="s">
        <v>74</v>
      </c>
      <c r="BP2428" t="s">
        <v>74</v>
      </c>
      <c r="BQ2428" t="s">
        <v>74</v>
      </c>
      <c r="BR2428" t="s">
        <v>102</v>
      </c>
      <c r="BS2428" t="s">
        <v>40937</v>
      </c>
      <c r="BT2428" t="str">
        <f>HYPERLINK("https%3A%2F%2Fwww.webofscience.com%2Fwos%2Fwoscc%2Ffull-record%2FWOS:001540395400008","View Full Record in Web of Science")</f>
        <v>View Full Record in Web of Science</v>
      </c>
    </row>
    <row r="2429" spans="1:72" x14ac:dyDescent="0.25">
      <c r="A2429" t="s">
        <v>72</v>
      </c>
      <c r="B2429" t="s">
        <v>40938</v>
      </c>
      <c r="C2429" t="s">
        <v>74</v>
      </c>
      <c r="D2429" t="s">
        <v>74</v>
      </c>
      <c r="E2429" t="s">
        <v>74</v>
      </c>
      <c r="F2429" t="s">
        <v>40939</v>
      </c>
      <c r="G2429" t="s">
        <v>74</v>
      </c>
      <c r="H2429" t="s">
        <v>74</v>
      </c>
      <c r="I2429" t="s">
        <v>40940</v>
      </c>
      <c r="J2429" t="s">
        <v>6538</v>
      </c>
      <c r="K2429" t="s">
        <v>74</v>
      </c>
      <c r="L2429" t="s">
        <v>74</v>
      </c>
      <c r="M2429" t="s">
        <v>78</v>
      </c>
      <c r="N2429" t="s">
        <v>79</v>
      </c>
      <c r="O2429" t="s">
        <v>74</v>
      </c>
      <c r="P2429" t="s">
        <v>74</v>
      </c>
      <c r="Q2429" t="s">
        <v>74</v>
      </c>
      <c r="R2429" t="s">
        <v>74</v>
      </c>
      <c r="S2429" t="s">
        <v>74</v>
      </c>
      <c r="T2429" t="s">
        <v>40941</v>
      </c>
      <c r="U2429" t="s">
        <v>74</v>
      </c>
      <c r="V2429" t="s">
        <v>40942</v>
      </c>
      <c r="W2429" t="s">
        <v>40943</v>
      </c>
      <c r="X2429" t="s">
        <v>39047</v>
      </c>
      <c r="Y2429" t="s">
        <v>40944</v>
      </c>
      <c r="Z2429" t="s">
        <v>40945</v>
      </c>
      <c r="AA2429" t="s">
        <v>74</v>
      </c>
      <c r="AB2429" t="s">
        <v>40946</v>
      </c>
      <c r="AC2429" t="s">
        <v>40947</v>
      </c>
      <c r="AD2429" t="s">
        <v>40947</v>
      </c>
      <c r="AE2429" t="s">
        <v>3460</v>
      </c>
      <c r="AF2429" t="s">
        <v>74</v>
      </c>
      <c r="AG2429">
        <v>58</v>
      </c>
      <c r="AH2429">
        <v>2</v>
      </c>
      <c r="AI2429">
        <v>2</v>
      </c>
      <c r="AJ2429">
        <v>3</v>
      </c>
      <c r="AK2429">
        <v>12</v>
      </c>
      <c r="AL2429" t="s">
        <v>2907</v>
      </c>
      <c r="AM2429" t="s">
        <v>2908</v>
      </c>
      <c r="AN2429" t="s">
        <v>2909</v>
      </c>
      <c r="AO2429" t="s">
        <v>6543</v>
      </c>
      <c r="AP2429" t="s">
        <v>6544</v>
      </c>
      <c r="AQ2429" t="s">
        <v>74</v>
      </c>
      <c r="AR2429" t="s">
        <v>6545</v>
      </c>
      <c r="AS2429" t="s">
        <v>6546</v>
      </c>
      <c r="AT2429" t="s">
        <v>124</v>
      </c>
      <c r="AU2429">
        <v>2024</v>
      </c>
      <c r="AV2429">
        <v>25</v>
      </c>
      <c r="AW2429">
        <v>4</v>
      </c>
      <c r="AX2429" t="s">
        <v>74</v>
      </c>
      <c r="AY2429" t="s">
        <v>74</v>
      </c>
      <c r="AZ2429" t="s">
        <v>74</v>
      </c>
      <c r="BA2429" t="s">
        <v>74</v>
      </c>
      <c r="BB2429">
        <v>425</v>
      </c>
      <c r="BC2429">
        <v>436</v>
      </c>
      <c r="BD2429" t="s">
        <v>74</v>
      </c>
      <c r="BE2429" t="s">
        <v>40948</v>
      </c>
      <c r="BF2429" t="str">
        <f>HYPERLINK("http://dx.doi.org/10.1057/s41261-024-00236-z","http://dx.doi.org/10.1057/s41261-024-00236-z")</f>
        <v>http://dx.doi.org/10.1057/s41261-024-00236-z</v>
      </c>
      <c r="BG2429" t="s">
        <v>74</v>
      </c>
      <c r="BH2429" t="s">
        <v>1981</v>
      </c>
      <c r="BI2429">
        <v>12</v>
      </c>
      <c r="BJ2429" t="s">
        <v>268</v>
      </c>
      <c r="BK2429" t="s">
        <v>313</v>
      </c>
      <c r="BL2429" t="s">
        <v>100</v>
      </c>
      <c r="BM2429" t="s">
        <v>40949</v>
      </c>
      <c r="BN2429" t="s">
        <v>74</v>
      </c>
      <c r="BO2429" t="s">
        <v>74</v>
      </c>
      <c r="BP2429" t="s">
        <v>74</v>
      </c>
      <c r="BQ2429" t="s">
        <v>74</v>
      </c>
      <c r="BR2429" t="s">
        <v>102</v>
      </c>
      <c r="BS2429" t="s">
        <v>40950</v>
      </c>
      <c r="BT2429" t="str">
        <f>HYPERLINK("https%3A%2F%2Fwww.webofscience.com%2Fwos%2Fwoscc%2Ffull-record%2FWOS:001178203000001","View Full Record in Web of Science")</f>
        <v>View Full Record in Web of Science</v>
      </c>
    </row>
    <row r="2430" spans="1:72" x14ac:dyDescent="0.25">
      <c r="A2430" t="s">
        <v>72</v>
      </c>
      <c r="B2430" t="s">
        <v>40951</v>
      </c>
      <c r="C2430" t="s">
        <v>74</v>
      </c>
      <c r="D2430" t="s">
        <v>74</v>
      </c>
      <c r="E2430" t="s">
        <v>74</v>
      </c>
      <c r="F2430" t="s">
        <v>40952</v>
      </c>
      <c r="G2430" t="s">
        <v>74</v>
      </c>
      <c r="H2430" t="s">
        <v>74</v>
      </c>
      <c r="I2430" t="s">
        <v>40953</v>
      </c>
      <c r="J2430" t="s">
        <v>8087</v>
      </c>
      <c r="K2430" t="s">
        <v>74</v>
      </c>
      <c r="L2430" t="s">
        <v>74</v>
      </c>
      <c r="M2430" t="s">
        <v>78</v>
      </c>
      <c r="N2430" t="s">
        <v>79</v>
      </c>
      <c r="O2430" t="s">
        <v>74</v>
      </c>
      <c r="P2430" t="s">
        <v>74</v>
      </c>
      <c r="Q2430" t="s">
        <v>74</v>
      </c>
      <c r="R2430" t="s">
        <v>74</v>
      </c>
      <c r="S2430" t="s">
        <v>74</v>
      </c>
      <c r="T2430" t="s">
        <v>40954</v>
      </c>
      <c r="U2430" t="s">
        <v>40955</v>
      </c>
      <c r="V2430" t="s">
        <v>40956</v>
      </c>
      <c r="W2430" t="s">
        <v>40957</v>
      </c>
      <c r="X2430" t="s">
        <v>40958</v>
      </c>
      <c r="Y2430" t="s">
        <v>40959</v>
      </c>
      <c r="Z2430" t="s">
        <v>10310</v>
      </c>
      <c r="AA2430" t="s">
        <v>74</v>
      </c>
      <c r="AB2430" t="s">
        <v>40960</v>
      </c>
      <c r="AC2430" t="s">
        <v>40961</v>
      </c>
      <c r="AD2430" t="s">
        <v>40961</v>
      </c>
      <c r="AE2430" t="s">
        <v>40961</v>
      </c>
      <c r="AF2430" t="s">
        <v>74</v>
      </c>
      <c r="AG2430">
        <v>118</v>
      </c>
      <c r="AH2430">
        <v>2</v>
      </c>
      <c r="AI2430">
        <v>2</v>
      </c>
      <c r="AJ2430">
        <v>5</v>
      </c>
      <c r="AK2430">
        <v>24</v>
      </c>
      <c r="AL2430" t="s">
        <v>479</v>
      </c>
      <c r="AM2430" t="s">
        <v>480</v>
      </c>
      <c r="AN2430" t="s">
        <v>481</v>
      </c>
      <c r="AO2430" t="s">
        <v>8097</v>
      </c>
      <c r="AP2430" t="s">
        <v>8098</v>
      </c>
      <c r="AQ2430" t="s">
        <v>74</v>
      </c>
      <c r="AR2430" t="s">
        <v>8099</v>
      </c>
      <c r="AS2430" t="s">
        <v>8100</v>
      </c>
      <c r="AT2430" t="s">
        <v>208</v>
      </c>
      <c r="AU2430">
        <v>2024</v>
      </c>
      <c r="AV2430">
        <v>48</v>
      </c>
      <c r="AW2430">
        <v>1</v>
      </c>
      <c r="AX2430" t="s">
        <v>74</v>
      </c>
      <c r="AY2430" t="s">
        <v>74</v>
      </c>
      <c r="AZ2430" t="s">
        <v>74</v>
      </c>
      <c r="BA2430" t="s">
        <v>74</v>
      </c>
      <c r="BB2430" t="s">
        <v>74</v>
      </c>
      <c r="BC2430" t="s">
        <v>74</v>
      </c>
      <c r="BD2430" t="s">
        <v>74</v>
      </c>
      <c r="BE2430" t="s">
        <v>40962</v>
      </c>
      <c r="BF2430" t="str">
        <f>HYPERLINK("http://dx.doi.org/10.1111/ijcs.12998","http://dx.doi.org/10.1111/ijcs.12998")</f>
        <v>http://dx.doi.org/10.1111/ijcs.12998</v>
      </c>
      <c r="BG2430" t="s">
        <v>74</v>
      </c>
      <c r="BH2430" t="s">
        <v>3535</v>
      </c>
      <c r="BI2430">
        <v>16</v>
      </c>
      <c r="BJ2430" t="s">
        <v>418</v>
      </c>
      <c r="BK2430" t="s">
        <v>99</v>
      </c>
      <c r="BL2430" t="s">
        <v>100</v>
      </c>
      <c r="BM2430" t="s">
        <v>40963</v>
      </c>
      <c r="BN2430" t="s">
        <v>74</v>
      </c>
      <c r="BO2430" t="s">
        <v>74</v>
      </c>
      <c r="BP2430" t="s">
        <v>74</v>
      </c>
      <c r="BQ2430" t="s">
        <v>74</v>
      </c>
      <c r="BR2430" t="s">
        <v>102</v>
      </c>
      <c r="BS2430" t="s">
        <v>40964</v>
      </c>
      <c r="BT2430" t="str">
        <f>HYPERLINK("https%3A%2F%2Fwww.webofscience.com%2Fwos%2Fwoscc%2Ffull-record%2FWOS:001094458300001","View Full Record in Web of Science")</f>
        <v>View Full Record in Web of Science</v>
      </c>
    </row>
    <row r="2431" spans="1:72" x14ac:dyDescent="0.25">
      <c r="A2431" t="s">
        <v>72</v>
      </c>
      <c r="B2431" t="s">
        <v>40965</v>
      </c>
      <c r="C2431" t="s">
        <v>74</v>
      </c>
      <c r="D2431" t="s">
        <v>74</v>
      </c>
      <c r="E2431" t="s">
        <v>74</v>
      </c>
      <c r="F2431" t="s">
        <v>40966</v>
      </c>
      <c r="G2431" t="s">
        <v>74</v>
      </c>
      <c r="H2431" t="s">
        <v>74</v>
      </c>
      <c r="I2431" t="s">
        <v>40967</v>
      </c>
      <c r="J2431" t="s">
        <v>34742</v>
      </c>
      <c r="K2431" t="s">
        <v>74</v>
      </c>
      <c r="L2431" t="s">
        <v>74</v>
      </c>
      <c r="M2431" t="s">
        <v>78</v>
      </c>
      <c r="N2431" t="s">
        <v>79</v>
      </c>
      <c r="O2431" t="s">
        <v>74</v>
      </c>
      <c r="P2431" t="s">
        <v>74</v>
      </c>
      <c r="Q2431" t="s">
        <v>74</v>
      </c>
      <c r="R2431" t="s">
        <v>74</v>
      </c>
      <c r="S2431" t="s">
        <v>74</v>
      </c>
      <c r="T2431" t="s">
        <v>40968</v>
      </c>
      <c r="U2431" t="s">
        <v>40969</v>
      </c>
      <c r="V2431" t="s">
        <v>40970</v>
      </c>
      <c r="W2431" t="s">
        <v>40971</v>
      </c>
      <c r="X2431" t="s">
        <v>40972</v>
      </c>
      <c r="Y2431" t="s">
        <v>40973</v>
      </c>
      <c r="Z2431" t="s">
        <v>40974</v>
      </c>
      <c r="AA2431" t="s">
        <v>40975</v>
      </c>
      <c r="AB2431" t="s">
        <v>40976</v>
      </c>
      <c r="AC2431" t="s">
        <v>74</v>
      </c>
      <c r="AD2431" t="s">
        <v>74</v>
      </c>
      <c r="AE2431" t="s">
        <v>40977</v>
      </c>
      <c r="AF2431" t="s">
        <v>74</v>
      </c>
      <c r="AG2431">
        <v>71</v>
      </c>
      <c r="AH2431">
        <v>0</v>
      </c>
      <c r="AI2431">
        <v>0</v>
      </c>
      <c r="AJ2431">
        <v>1</v>
      </c>
      <c r="AK2431">
        <v>1</v>
      </c>
      <c r="AL2431" t="s">
        <v>479</v>
      </c>
      <c r="AM2431" t="s">
        <v>480</v>
      </c>
      <c r="AN2431" t="s">
        <v>481</v>
      </c>
      <c r="AO2431" t="s">
        <v>34749</v>
      </c>
      <c r="AP2431" t="s">
        <v>74</v>
      </c>
      <c r="AQ2431" t="s">
        <v>74</v>
      </c>
      <c r="AR2431" t="s">
        <v>34750</v>
      </c>
      <c r="AS2431" t="s">
        <v>34751</v>
      </c>
      <c r="AT2431" t="s">
        <v>698</v>
      </c>
      <c r="AU2431">
        <v>2025</v>
      </c>
      <c r="AV2431">
        <v>17</v>
      </c>
      <c r="AW2431">
        <v>3</v>
      </c>
      <c r="AX2431" t="s">
        <v>74</v>
      </c>
      <c r="AY2431" t="s">
        <v>74</v>
      </c>
      <c r="AZ2431" t="s">
        <v>74</v>
      </c>
      <c r="BA2431" t="s">
        <v>74</v>
      </c>
      <c r="BB2431" t="s">
        <v>74</v>
      </c>
      <c r="BC2431" t="s">
        <v>74</v>
      </c>
      <c r="BD2431" t="s">
        <v>74</v>
      </c>
      <c r="BE2431" t="s">
        <v>40978</v>
      </c>
      <c r="BF2431" t="str">
        <f>HYPERLINK("http://dx.doi.org/10.1002/pop4.70026","http://dx.doi.org/10.1002/pop4.70026")</f>
        <v>http://dx.doi.org/10.1002/pop4.70026</v>
      </c>
      <c r="BG2431" t="s">
        <v>74</v>
      </c>
      <c r="BH2431" t="s">
        <v>74</v>
      </c>
      <c r="BI2431">
        <v>14</v>
      </c>
      <c r="BJ2431" t="s">
        <v>2045</v>
      </c>
      <c r="BK2431" t="s">
        <v>313</v>
      </c>
      <c r="BL2431" t="s">
        <v>2045</v>
      </c>
      <c r="BM2431" t="s">
        <v>40979</v>
      </c>
      <c r="BN2431" t="s">
        <v>74</v>
      </c>
      <c r="BO2431" t="s">
        <v>74</v>
      </c>
      <c r="BP2431" t="s">
        <v>74</v>
      </c>
      <c r="BQ2431" t="s">
        <v>74</v>
      </c>
      <c r="BR2431" t="s">
        <v>102</v>
      </c>
      <c r="BS2431" t="s">
        <v>40980</v>
      </c>
      <c r="BT2431" t="str">
        <f>HYPERLINK("https%3A%2F%2Fwww.webofscience.com%2Fwos%2Fwoscc%2Ffull-record%2FWOS:001587227900004","View Full Record in Web of Science")</f>
        <v>View Full Record in Web of Science</v>
      </c>
    </row>
    <row r="2432" spans="1:72" x14ac:dyDescent="0.25">
      <c r="A2432" t="s">
        <v>72</v>
      </c>
      <c r="B2432" t="s">
        <v>40981</v>
      </c>
      <c r="C2432" t="s">
        <v>74</v>
      </c>
      <c r="D2432" t="s">
        <v>74</v>
      </c>
      <c r="E2432" t="s">
        <v>74</v>
      </c>
      <c r="F2432" t="s">
        <v>40982</v>
      </c>
      <c r="G2432" t="s">
        <v>74</v>
      </c>
      <c r="H2432" t="s">
        <v>74</v>
      </c>
      <c r="I2432" t="s">
        <v>40983</v>
      </c>
      <c r="J2432" t="s">
        <v>424</v>
      </c>
      <c r="K2432" t="s">
        <v>74</v>
      </c>
      <c r="L2432" t="s">
        <v>74</v>
      </c>
      <c r="M2432" t="s">
        <v>78</v>
      </c>
      <c r="N2432" t="s">
        <v>79</v>
      </c>
      <c r="O2432" t="s">
        <v>74</v>
      </c>
      <c r="P2432" t="s">
        <v>74</v>
      </c>
      <c r="Q2432" t="s">
        <v>74</v>
      </c>
      <c r="R2432" t="s">
        <v>74</v>
      </c>
      <c r="S2432" t="s">
        <v>74</v>
      </c>
      <c r="T2432" t="s">
        <v>40984</v>
      </c>
      <c r="U2432" t="s">
        <v>40985</v>
      </c>
      <c r="V2432" t="s">
        <v>40986</v>
      </c>
      <c r="W2432" t="s">
        <v>40987</v>
      </c>
      <c r="X2432" t="s">
        <v>40988</v>
      </c>
      <c r="Y2432" t="s">
        <v>40989</v>
      </c>
      <c r="Z2432" t="s">
        <v>40990</v>
      </c>
      <c r="AA2432" t="s">
        <v>40991</v>
      </c>
      <c r="AB2432" t="s">
        <v>40992</v>
      </c>
      <c r="AC2432" t="s">
        <v>74</v>
      </c>
      <c r="AD2432" t="s">
        <v>74</v>
      </c>
      <c r="AE2432" t="s">
        <v>74</v>
      </c>
      <c r="AF2432" t="s">
        <v>74</v>
      </c>
      <c r="AG2432">
        <v>92</v>
      </c>
      <c r="AH2432">
        <v>67</v>
      </c>
      <c r="AI2432">
        <v>75</v>
      </c>
      <c r="AJ2432">
        <v>6</v>
      </c>
      <c r="AK2432">
        <v>49</v>
      </c>
      <c r="AL2432" t="s">
        <v>89</v>
      </c>
      <c r="AM2432" t="s">
        <v>90</v>
      </c>
      <c r="AN2432" t="s">
        <v>91</v>
      </c>
      <c r="AO2432" t="s">
        <v>436</v>
      </c>
      <c r="AP2432" t="s">
        <v>437</v>
      </c>
      <c r="AQ2432" t="s">
        <v>74</v>
      </c>
      <c r="AR2432" t="s">
        <v>438</v>
      </c>
      <c r="AS2432" t="s">
        <v>439</v>
      </c>
      <c r="AT2432" t="s">
        <v>440</v>
      </c>
      <c r="AU2432">
        <v>2021</v>
      </c>
      <c r="AV2432">
        <v>39</v>
      </c>
      <c r="AW2432">
        <v>3</v>
      </c>
      <c r="AX2432" t="s">
        <v>74</v>
      </c>
      <c r="AY2432" t="s">
        <v>74</v>
      </c>
      <c r="AZ2432" t="s">
        <v>441</v>
      </c>
      <c r="BA2432" t="s">
        <v>74</v>
      </c>
      <c r="BB2432">
        <v>402</v>
      </c>
      <c r="BC2432">
        <v>428</v>
      </c>
      <c r="BD2432" t="s">
        <v>74</v>
      </c>
      <c r="BE2432" t="s">
        <v>40993</v>
      </c>
      <c r="BF2432" t="str">
        <f>HYPERLINK("http://dx.doi.org/10.1108/IJBM-07-2020-0379","http://dx.doi.org/10.1108/IJBM-07-2020-0379")</f>
        <v>http://dx.doi.org/10.1108/IJBM-07-2020-0379</v>
      </c>
      <c r="BG2432" t="s">
        <v>74</v>
      </c>
      <c r="BH2432" t="s">
        <v>10160</v>
      </c>
      <c r="BI2432">
        <v>27</v>
      </c>
      <c r="BJ2432" t="s">
        <v>418</v>
      </c>
      <c r="BK2432" t="s">
        <v>99</v>
      </c>
      <c r="BL2432" t="s">
        <v>100</v>
      </c>
      <c r="BM2432" t="s">
        <v>444</v>
      </c>
      <c r="BN2432" t="s">
        <v>74</v>
      </c>
      <c r="BO2432" t="s">
        <v>1205</v>
      </c>
      <c r="BP2432" t="s">
        <v>74</v>
      </c>
      <c r="BQ2432" t="s">
        <v>74</v>
      </c>
      <c r="BR2432" t="s">
        <v>102</v>
      </c>
      <c r="BS2432" t="s">
        <v>40994</v>
      </c>
      <c r="BT2432" t="str">
        <f>HYPERLINK("https%3A%2F%2Fwww.webofscience.com%2Fwos%2Fwoscc%2Ffull-record%2FWOS:000626956100001","View Full Record in Web of Science")</f>
        <v>View Full Record in Web of Science</v>
      </c>
    </row>
    <row r="2433" spans="1:72" x14ac:dyDescent="0.25">
      <c r="A2433" t="s">
        <v>72</v>
      </c>
      <c r="B2433" t="s">
        <v>40995</v>
      </c>
      <c r="C2433" t="s">
        <v>74</v>
      </c>
      <c r="D2433" t="s">
        <v>74</v>
      </c>
      <c r="E2433" t="s">
        <v>74</v>
      </c>
      <c r="F2433" t="s">
        <v>40996</v>
      </c>
      <c r="G2433" t="s">
        <v>74</v>
      </c>
      <c r="H2433" t="s">
        <v>74</v>
      </c>
      <c r="I2433" t="s">
        <v>40997</v>
      </c>
      <c r="J2433" t="s">
        <v>11074</v>
      </c>
      <c r="K2433" t="s">
        <v>74</v>
      </c>
      <c r="L2433" t="s">
        <v>74</v>
      </c>
      <c r="M2433" t="s">
        <v>78</v>
      </c>
      <c r="N2433" t="s">
        <v>79</v>
      </c>
      <c r="O2433" t="s">
        <v>74</v>
      </c>
      <c r="P2433" t="s">
        <v>74</v>
      </c>
      <c r="Q2433" t="s">
        <v>74</v>
      </c>
      <c r="R2433" t="s">
        <v>74</v>
      </c>
      <c r="S2433" t="s">
        <v>74</v>
      </c>
      <c r="T2433" t="s">
        <v>40998</v>
      </c>
      <c r="U2433" t="s">
        <v>40999</v>
      </c>
      <c r="V2433" t="s">
        <v>41000</v>
      </c>
      <c r="W2433" t="s">
        <v>41001</v>
      </c>
      <c r="X2433" t="s">
        <v>74</v>
      </c>
      <c r="Y2433" t="s">
        <v>41002</v>
      </c>
      <c r="Z2433" t="s">
        <v>41003</v>
      </c>
      <c r="AA2433" t="s">
        <v>41004</v>
      </c>
      <c r="AB2433" t="s">
        <v>41005</v>
      </c>
      <c r="AC2433" t="s">
        <v>74</v>
      </c>
      <c r="AD2433" t="s">
        <v>74</v>
      </c>
      <c r="AE2433" t="s">
        <v>74</v>
      </c>
      <c r="AF2433" t="s">
        <v>74</v>
      </c>
      <c r="AG2433">
        <v>81</v>
      </c>
      <c r="AH2433">
        <v>11</v>
      </c>
      <c r="AI2433">
        <v>15</v>
      </c>
      <c r="AJ2433">
        <v>4</v>
      </c>
      <c r="AK2433">
        <v>21</v>
      </c>
      <c r="AL2433" t="s">
        <v>89</v>
      </c>
      <c r="AM2433" t="s">
        <v>90</v>
      </c>
      <c r="AN2433" t="s">
        <v>91</v>
      </c>
      <c r="AO2433" t="s">
        <v>11083</v>
      </c>
      <c r="AP2433" t="s">
        <v>11084</v>
      </c>
      <c r="AQ2433" t="s">
        <v>74</v>
      </c>
      <c r="AR2433" t="s">
        <v>11085</v>
      </c>
      <c r="AS2433" t="s">
        <v>11086</v>
      </c>
      <c r="AT2433" t="s">
        <v>9324</v>
      </c>
      <c r="AU2433">
        <v>2024</v>
      </c>
      <c r="AV2433">
        <v>26</v>
      </c>
      <c r="AW2433">
        <v>4</v>
      </c>
      <c r="AX2433" t="s">
        <v>74</v>
      </c>
      <c r="AY2433" t="s">
        <v>74</v>
      </c>
      <c r="AZ2433" t="s">
        <v>74</v>
      </c>
      <c r="BA2433" t="s">
        <v>74</v>
      </c>
      <c r="BB2433">
        <v>450</v>
      </c>
      <c r="BC2433">
        <v>471</v>
      </c>
      <c r="BD2433" t="s">
        <v>74</v>
      </c>
      <c r="BE2433" t="s">
        <v>41006</v>
      </c>
      <c r="BF2433" t="str">
        <f>HYPERLINK("http://dx.doi.org/10.1108/DPRG-09-2023-0136","http://dx.doi.org/10.1108/DPRG-09-2023-0136")</f>
        <v>http://dx.doi.org/10.1108/DPRG-09-2023-0136</v>
      </c>
      <c r="BG2433" t="s">
        <v>74</v>
      </c>
      <c r="BH2433" t="s">
        <v>938</v>
      </c>
      <c r="BI2433">
        <v>22</v>
      </c>
      <c r="BJ2433" t="s">
        <v>2351</v>
      </c>
      <c r="BK2433" t="s">
        <v>313</v>
      </c>
      <c r="BL2433" t="s">
        <v>2351</v>
      </c>
      <c r="BM2433" t="s">
        <v>30267</v>
      </c>
      <c r="BN2433" t="s">
        <v>74</v>
      </c>
      <c r="BO2433" t="s">
        <v>74</v>
      </c>
      <c r="BP2433" t="s">
        <v>74</v>
      </c>
      <c r="BQ2433" t="s">
        <v>74</v>
      </c>
      <c r="BR2433" t="s">
        <v>102</v>
      </c>
      <c r="BS2433" t="s">
        <v>41007</v>
      </c>
      <c r="BT2433" t="str">
        <f>HYPERLINK("https%3A%2F%2Fwww.webofscience.com%2Fwos%2Fwoscc%2Ffull-record%2FWOS:001206290900001","View Full Record in Web of Science")</f>
        <v>View Full Record in Web of Science</v>
      </c>
    </row>
    <row r="2434" spans="1:72" x14ac:dyDescent="0.25">
      <c r="A2434" t="s">
        <v>72</v>
      </c>
      <c r="B2434" t="s">
        <v>41008</v>
      </c>
      <c r="C2434" t="s">
        <v>74</v>
      </c>
      <c r="D2434" t="s">
        <v>74</v>
      </c>
      <c r="E2434" t="s">
        <v>74</v>
      </c>
      <c r="F2434" t="s">
        <v>41009</v>
      </c>
      <c r="G2434" t="s">
        <v>74</v>
      </c>
      <c r="H2434" t="s">
        <v>74</v>
      </c>
      <c r="I2434" t="s">
        <v>41010</v>
      </c>
      <c r="J2434" t="s">
        <v>656</v>
      </c>
      <c r="K2434" t="s">
        <v>74</v>
      </c>
      <c r="L2434" t="s">
        <v>74</v>
      </c>
      <c r="M2434" t="s">
        <v>78</v>
      </c>
      <c r="N2434" t="s">
        <v>79</v>
      </c>
      <c r="O2434" t="s">
        <v>74</v>
      </c>
      <c r="P2434" t="s">
        <v>74</v>
      </c>
      <c r="Q2434" t="s">
        <v>74</v>
      </c>
      <c r="R2434" t="s">
        <v>74</v>
      </c>
      <c r="S2434" t="s">
        <v>74</v>
      </c>
      <c r="T2434" t="s">
        <v>41011</v>
      </c>
      <c r="U2434" t="s">
        <v>41012</v>
      </c>
      <c r="V2434" t="s">
        <v>41013</v>
      </c>
      <c r="W2434" t="s">
        <v>41014</v>
      </c>
      <c r="X2434" t="s">
        <v>41015</v>
      </c>
      <c r="Y2434" t="s">
        <v>41016</v>
      </c>
      <c r="Z2434" t="s">
        <v>41017</v>
      </c>
      <c r="AA2434" t="s">
        <v>41018</v>
      </c>
      <c r="AB2434" t="s">
        <v>41019</v>
      </c>
      <c r="AC2434" t="s">
        <v>74</v>
      </c>
      <c r="AD2434" t="s">
        <v>74</v>
      </c>
      <c r="AE2434" t="s">
        <v>74</v>
      </c>
      <c r="AF2434" t="s">
        <v>74</v>
      </c>
      <c r="AG2434">
        <v>52</v>
      </c>
      <c r="AH2434">
        <v>55</v>
      </c>
      <c r="AI2434">
        <v>84</v>
      </c>
      <c r="AJ2434">
        <v>1</v>
      </c>
      <c r="AK2434">
        <v>106</v>
      </c>
      <c r="AL2434" t="s">
        <v>1062</v>
      </c>
      <c r="AM2434" t="s">
        <v>667</v>
      </c>
      <c r="AN2434" t="s">
        <v>668</v>
      </c>
      <c r="AO2434" t="s">
        <v>669</v>
      </c>
      <c r="AP2434" t="s">
        <v>670</v>
      </c>
      <c r="AQ2434" t="s">
        <v>74</v>
      </c>
      <c r="AR2434" t="s">
        <v>671</v>
      </c>
      <c r="AS2434" t="s">
        <v>672</v>
      </c>
      <c r="AT2434" t="s">
        <v>605</v>
      </c>
      <c r="AU2434">
        <v>2019</v>
      </c>
      <c r="AV2434">
        <v>40</v>
      </c>
      <c r="AW2434">
        <v>1</v>
      </c>
      <c r="AX2434" t="s">
        <v>74</v>
      </c>
      <c r="AY2434" t="s">
        <v>74</v>
      </c>
      <c r="AZ2434" t="s">
        <v>441</v>
      </c>
      <c r="BA2434" t="s">
        <v>74</v>
      </c>
      <c r="BB2434">
        <v>74</v>
      </c>
      <c r="BC2434">
        <v>85</v>
      </c>
      <c r="BD2434" t="s">
        <v>74</v>
      </c>
      <c r="BE2434" t="s">
        <v>41020</v>
      </c>
      <c r="BF2434" t="str">
        <f>HYPERLINK("http://dx.doi.org/10.1007/s10834-018-9589-0","http://dx.doi.org/10.1007/s10834-018-9589-0")</f>
        <v>http://dx.doi.org/10.1007/s10834-018-9589-0</v>
      </c>
      <c r="BG2434" t="s">
        <v>74</v>
      </c>
      <c r="BH2434" t="s">
        <v>74</v>
      </c>
      <c r="BI2434">
        <v>12</v>
      </c>
      <c r="BJ2434" t="s">
        <v>675</v>
      </c>
      <c r="BK2434" t="s">
        <v>99</v>
      </c>
      <c r="BL2434" t="s">
        <v>676</v>
      </c>
      <c r="BM2434" t="s">
        <v>41021</v>
      </c>
      <c r="BN2434" t="s">
        <v>74</v>
      </c>
      <c r="BO2434" t="s">
        <v>74</v>
      </c>
      <c r="BP2434" t="s">
        <v>74</v>
      </c>
      <c r="BQ2434" t="s">
        <v>74</v>
      </c>
      <c r="BR2434" t="s">
        <v>102</v>
      </c>
      <c r="BS2434" t="s">
        <v>41022</v>
      </c>
      <c r="BT2434" t="str">
        <f>HYPERLINK("https%3A%2F%2Fwww.webofscience.com%2Fwos%2Fwoscc%2Ffull-record%2FWOS:000459534100006","View Full Record in Web of Science")</f>
        <v>View Full Record in Web of Science</v>
      </c>
    </row>
    <row r="2435" spans="1:72" x14ac:dyDescent="0.25">
      <c r="A2435" t="s">
        <v>72</v>
      </c>
      <c r="B2435" t="s">
        <v>8784</v>
      </c>
      <c r="C2435" t="s">
        <v>74</v>
      </c>
      <c r="D2435" t="s">
        <v>74</v>
      </c>
      <c r="E2435" t="s">
        <v>74</v>
      </c>
      <c r="F2435" t="s">
        <v>8785</v>
      </c>
      <c r="G2435" t="s">
        <v>74</v>
      </c>
      <c r="H2435" t="s">
        <v>74</v>
      </c>
      <c r="I2435" t="s">
        <v>41023</v>
      </c>
      <c r="J2435" t="s">
        <v>41024</v>
      </c>
      <c r="K2435" t="s">
        <v>74</v>
      </c>
      <c r="L2435" t="s">
        <v>74</v>
      </c>
      <c r="M2435" t="s">
        <v>78</v>
      </c>
      <c r="N2435" t="s">
        <v>1766</v>
      </c>
      <c r="O2435" t="s">
        <v>74</v>
      </c>
      <c r="P2435" t="s">
        <v>74</v>
      </c>
      <c r="Q2435" t="s">
        <v>74</v>
      </c>
      <c r="R2435" t="s">
        <v>74</v>
      </c>
      <c r="S2435" t="s">
        <v>74</v>
      </c>
      <c r="T2435" t="s">
        <v>41025</v>
      </c>
      <c r="U2435" t="s">
        <v>41026</v>
      </c>
      <c r="V2435" t="s">
        <v>41027</v>
      </c>
      <c r="W2435" t="s">
        <v>25074</v>
      </c>
      <c r="X2435" t="s">
        <v>8791</v>
      </c>
      <c r="Y2435" t="s">
        <v>662</v>
      </c>
      <c r="Z2435" t="s">
        <v>37441</v>
      </c>
      <c r="AA2435" t="s">
        <v>1151</v>
      </c>
      <c r="AB2435" t="s">
        <v>74</v>
      </c>
      <c r="AC2435" t="s">
        <v>74</v>
      </c>
      <c r="AD2435" t="s">
        <v>74</v>
      </c>
      <c r="AE2435" t="s">
        <v>74</v>
      </c>
      <c r="AF2435" t="s">
        <v>74</v>
      </c>
      <c r="AG2435">
        <v>83</v>
      </c>
      <c r="AH2435">
        <v>15</v>
      </c>
      <c r="AI2435">
        <v>15</v>
      </c>
      <c r="AJ2435">
        <v>1</v>
      </c>
      <c r="AK2435">
        <v>18</v>
      </c>
      <c r="AL2435" t="s">
        <v>757</v>
      </c>
      <c r="AM2435" t="s">
        <v>758</v>
      </c>
      <c r="AN2435" t="s">
        <v>759</v>
      </c>
      <c r="AO2435" t="s">
        <v>41028</v>
      </c>
      <c r="AP2435" t="s">
        <v>41029</v>
      </c>
      <c r="AQ2435" t="s">
        <v>74</v>
      </c>
      <c r="AR2435" t="s">
        <v>41030</v>
      </c>
      <c r="AS2435" t="s">
        <v>41031</v>
      </c>
      <c r="AT2435" t="s">
        <v>698</v>
      </c>
      <c r="AU2435">
        <v>2022</v>
      </c>
      <c r="AV2435">
        <v>32</v>
      </c>
      <c r="AW2435">
        <v>6</v>
      </c>
      <c r="AX2435" t="s">
        <v>74</v>
      </c>
      <c r="AY2435" t="s">
        <v>74</v>
      </c>
      <c r="AZ2435" t="s">
        <v>74</v>
      </c>
      <c r="BA2435" t="s">
        <v>74</v>
      </c>
      <c r="BB2435">
        <v>651</v>
      </c>
      <c r="BC2435">
        <v>677</v>
      </c>
      <c r="BD2435">
        <v>1.0497315221080128E+16</v>
      </c>
      <c r="BE2435" t="s">
        <v>41032</v>
      </c>
      <c r="BF2435" t="str">
        <f>HYPERLINK("http://dx.doi.org/10.1177/10497315221080127","http://dx.doi.org/10.1177/10497315221080127")</f>
        <v>http://dx.doi.org/10.1177/10497315221080127</v>
      </c>
      <c r="BG2435" t="s">
        <v>74</v>
      </c>
      <c r="BH2435" t="s">
        <v>767</v>
      </c>
      <c r="BI2435">
        <v>27</v>
      </c>
      <c r="BJ2435" t="s">
        <v>2045</v>
      </c>
      <c r="BK2435" t="s">
        <v>99</v>
      </c>
      <c r="BL2435" t="s">
        <v>2045</v>
      </c>
      <c r="BM2435" t="s">
        <v>41033</v>
      </c>
      <c r="BN2435" t="s">
        <v>74</v>
      </c>
      <c r="BO2435" t="s">
        <v>74</v>
      </c>
      <c r="BP2435" t="s">
        <v>74</v>
      </c>
      <c r="BQ2435" t="s">
        <v>74</v>
      </c>
      <c r="BR2435" t="s">
        <v>102</v>
      </c>
      <c r="BS2435" t="s">
        <v>41034</v>
      </c>
      <c r="BT2435" t="str">
        <f>HYPERLINK("https%3A%2F%2Fwww.webofscience.com%2Fwos%2Fwoscc%2Ffull-record%2FWOS:000775844200001","View Full Record in Web of Science")</f>
        <v>View Full Record in Web of Science</v>
      </c>
    </row>
    <row r="2436" spans="1:72" x14ac:dyDescent="0.25">
      <c r="A2436" t="s">
        <v>72</v>
      </c>
      <c r="B2436" t="s">
        <v>41035</v>
      </c>
      <c r="C2436" t="s">
        <v>74</v>
      </c>
      <c r="D2436" t="s">
        <v>74</v>
      </c>
      <c r="E2436" t="s">
        <v>74</v>
      </c>
      <c r="F2436" t="s">
        <v>41036</v>
      </c>
      <c r="G2436" t="s">
        <v>74</v>
      </c>
      <c r="H2436" t="s">
        <v>74</v>
      </c>
      <c r="I2436" t="s">
        <v>41037</v>
      </c>
      <c r="J2436" t="s">
        <v>41038</v>
      </c>
      <c r="K2436" t="s">
        <v>74</v>
      </c>
      <c r="L2436" t="s">
        <v>74</v>
      </c>
      <c r="M2436" t="s">
        <v>78</v>
      </c>
      <c r="N2436" t="s">
        <v>79</v>
      </c>
      <c r="O2436" t="s">
        <v>74</v>
      </c>
      <c r="P2436" t="s">
        <v>74</v>
      </c>
      <c r="Q2436" t="s">
        <v>74</v>
      </c>
      <c r="R2436" t="s">
        <v>74</v>
      </c>
      <c r="S2436" t="s">
        <v>74</v>
      </c>
      <c r="T2436" t="s">
        <v>41039</v>
      </c>
      <c r="U2436" t="s">
        <v>41040</v>
      </c>
      <c r="V2436" t="s">
        <v>41041</v>
      </c>
      <c r="W2436" t="s">
        <v>41042</v>
      </c>
      <c r="X2436" t="s">
        <v>41043</v>
      </c>
      <c r="Y2436" t="s">
        <v>41044</v>
      </c>
      <c r="Z2436" t="s">
        <v>41045</v>
      </c>
      <c r="AA2436" t="s">
        <v>74</v>
      </c>
      <c r="AB2436" t="s">
        <v>74</v>
      </c>
      <c r="AC2436" t="s">
        <v>74</v>
      </c>
      <c r="AD2436" t="s">
        <v>74</v>
      </c>
      <c r="AE2436" t="s">
        <v>74</v>
      </c>
      <c r="AF2436" t="s">
        <v>74</v>
      </c>
      <c r="AG2436">
        <v>35</v>
      </c>
      <c r="AH2436">
        <v>7</v>
      </c>
      <c r="AI2436">
        <v>7</v>
      </c>
      <c r="AJ2436">
        <v>0</v>
      </c>
      <c r="AK2436">
        <v>20</v>
      </c>
      <c r="AL2436" t="s">
        <v>31804</v>
      </c>
      <c r="AM2436" t="s">
        <v>15173</v>
      </c>
      <c r="AN2436" t="s">
        <v>31803</v>
      </c>
      <c r="AO2436" t="s">
        <v>41046</v>
      </c>
      <c r="AP2436" t="s">
        <v>74</v>
      </c>
      <c r="AQ2436" t="s">
        <v>74</v>
      </c>
      <c r="AR2436" t="s">
        <v>41047</v>
      </c>
      <c r="AS2436" t="s">
        <v>41048</v>
      </c>
      <c r="AT2436" t="s">
        <v>74</v>
      </c>
      <c r="AU2436">
        <v>2021</v>
      </c>
      <c r="AV2436">
        <v>25</v>
      </c>
      <c r="AW2436" t="s">
        <v>74</v>
      </c>
      <c r="AX2436" t="s">
        <v>74</v>
      </c>
      <c r="AY2436" t="s">
        <v>74</v>
      </c>
      <c r="AZ2436" t="s">
        <v>74</v>
      </c>
      <c r="BA2436" t="s">
        <v>74</v>
      </c>
      <c r="BB2436" t="s">
        <v>74</v>
      </c>
      <c r="BC2436" t="s">
        <v>74</v>
      </c>
      <c r="BD2436">
        <v>7866</v>
      </c>
      <c r="BE2436" t="s">
        <v>41049</v>
      </c>
      <c r="BF2436" t="str">
        <f>HYPERLINK("http://dx.doi.org/10.25159/1998-8125/7866","http://dx.doi.org/10.25159/1998-8125/7866")</f>
        <v>http://dx.doi.org/10.25159/1998-8125/7866</v>
      </c>
      <c r="BG2436" t="s">
        <v>74</v>
      </c>
      <c r="BH2436" t="s">
        <v>74</v>
      </c>
      <c r="BI2436">
        <v>21</v>
      </c>
      <c r="BJ2436" t="s">
        <v>182</v>
      </c>
      <c r="BK2436" t="s">
        <v>313</v>
      </c>
      <c r="BL2436" t="s">
        <v>184</v>
      </c>
      <c r="BM2436" t="s">
        <v>41050</v>
      </c>
      <c r="BN2436" t="s">
        <v>74</v>
      </c>
      <c r="BO2436" t="s">
        <v>212</v>
      </c>
      <c r="BP2436" t="s">
        <v>74</v>
      </c>
      <c r="BQ2436" t="s">
        <v>74</v>
      </c>
      <c r="BR2436" t="s">
        <v>102</v>
      </c>
      <c r="BS2436" t="s">
        <v>41051</v>
      </c>
      <c r="BT2436" t="str">
        <f>HYPERLINK("https%3A%2F%2Fwww.webofscience.com%2Fwos%2Fwoscc%2Ffull-record%2FWOS:000734174800004","View Full Record in Web of Science")</f>
        <v>View Full Record in Web of Science</v>
      </c>
    </row>
    <row r="2437" spans="1:72" x14ac:dyDescent="0.25">
      <c r="A2437" t="s">
        <v>72</v>
      </c>
      <c r="B2437" t="s">
        <v>41052</v>
      </c>
      <c r="C2437" t="s">
        <v>74</v>
      </c>
      <c r="D2437" t="s">
        <v>74</v>
      </c>
      <c r="E2437" t="s">
        <v>74</v>
      </c>
      <c r="F2437" t="s">
        <v>41053</v>
      </c>
      <c r="G2437" t="s">
        <v>74</v>
      </c>
      <c r="H2437" t="s">
        <v>74</v>
      </c>
      <c r="I2437" t="s">
        <v>41054</v>
      </c>
      <c r="J2437" t="s">
        <v>41055</v>
      </c>
      <c r="K2437" t="s">
        <v>74</v>
      </c>
      <c r="L2437" t="s">
        <v>74</v>
      </c>
      <c r="M2437" t="s">
        <v>78</v>
      </c>
      <c r="N2437" t="s">
        <v>1766</v>
      </c>
      <c r="O2437" t="s">
        <v>74</v>
      </c>
      <c r="P2437" t="s">
        <v>74</v>
      </c>
      <c r="Q2437" t="s">
        <v>74</v>
      </c>
      <c r="R2437" t="s">
        <v>74</v>
      </c>
      <c r="S2437" t="s">
        <v>74</v>
      </c>
      <c r="T2437" t="s">
        <v>41056</v>
      </c>
      <c r="U2437" t="s">
        <v>41057</v>
      </c>
      <c r="V2437" t="s">
        <v>41058</v>
      </c>
      <c r="W2437" t="s">
        <v>41059</v>
      </c>
      <c r="X2437" t="s">
        <v>41060</v>
      </c>
      <c r="Y2437" t="s">
        <v>41061</v>
      </c>
      <c r="Z2437" t="s">
        <v>41062</v>
      </c>
      <c r="AA2437" t="s">
        <v>41063</v>
      </c>
      <c r="AB2437" t="s">
        <v>41064</v>
      </c>
      <c r="AC2437" t="s">
        <v>74</v>
      </c>
      <c r="AD2437" t="s">
        <v>74</v>
      </c>
      <c r="AE2437" t="s">
        <v>74</v>
      </c>
      <c r="AF2437" t="s">
        <v>74</v>
      </c>
      <c r="AG2437">
        <v>189</v>
      </c>
      <c r="AH2437">
        <v>4</v>
      </c>
      <c r="AI2437">
        <v>6</v>
      </c>
      <c r="AJ2437">
        <v>1</v>
      </c>
      <c r="AK2437">
        <v>26</v>
      </c>
      <c r="AL2437" t="s">
        <v>89</v>
      </c>
      <c r="AM2437" t="s">
        <v>90</v>
      </c>
      <c r="AN2437" t="s">
        <v>91</v>
      </c>
      <c r="AO2437" t="s">
        <v>41065</v>
      </c>
      <c r="AP2437" t="s">
        <v>41066</v>
      </c>
      <c r="AQ2437" t="s">
        <v>74</v>
      </c>
      <c r="AR2437" t="s">
        <v>41067</v>
      </c>
      <c r="AS2437" t="s">
        <v>41068</v>
      </c>
      <c r="AT2437" t="s">
        <v>26169</v>
      </c>
      <c r="AU2437">
        <v>2023</v>
      </c>
      <c r="AV2437">
        <v>26</v>
      </c>
      <c r="AW2437">
        <v>5</v>
      </c>
      <c r="AX2437" t="s">
        <v>74</v>
      </c>
      <c r="AY2437" t="s">
        <v>74</v>
      </c>
      <c r="AZ2437" t="s">
        <v>74</v>
      </c>
      <c r="BA2437" t="s">
        <v>74</v>
      </c>
      <c r="BB2437">
        <v>632</v>
      </c>
      <c r="BC2437">
        <v>662</v>
      </c>
      <c r="BD2437" t="s">
        <v>74</v>
      </c>
      <c r="BE2437" t="s">
        <v>41069</v>
      </c>
      <c r="BF2437" t="str">
        <f>HYPERLINK("http://dx.doi.org/10.1108/QMR-02-2023-0017","http://dx.doi.org/10.1108/QMR-02-2023-0017")</f>
        <v>http://dx.doi.org/10.1108/QMR-02-2023-0017</v>
      </c>
      <c r="BG2437" t="s">
        <v>74</v>
      </c>
      <c r="BH2437" t="s">
        <v>7993</v>
      </c>
      <c r="BI2437">
        <v>31</v>
      </c>
      <c r="BJ2437" t="s">
        <v>418</v>
      </c>
      <c r="BK2437" t="s">
        <v>313</v>
      </c>
      <c r="BL2437" t="s">
        <v>100</v>
      </c>
      <c r="BM2437" t="s">
        <v>41070</v>
      </c>
      <c r="BN2437" t="s">
        <v>74</v>
      </c>
      <c r="BO2437" t="s">
        <v>74</v>
      </c>
      <c r="BP2437" t="s">
        <v>74</v>
      </c>
      <c r="BQ2437" t="s">
        <v>74</v>
      </c>
      <c r="BR2437" t="s">
        <v>102</v>
      </c>
      <c r="BS2437" t="s">
        <v>41071</v>
      </c>
      <c r="BT2437" t="str">
        <f>HYPERLINK("https%3A%2F%2Fwww.webofscience.com%2Fwos%2Fwoscc%2Ffull-record%2FWOS:001045262000001","View Full Record in Web of Science")</f>
        <v>View Full Record in Web of Science</v>
      </c>
    </row>
    <row r="2438" spans="1:72" x14ac:dyDescent="0.25">
      <c r="A2438" t="s">
        <v>72</v>
      </c>
      <c r="B2438" t="s">
        <v>41072</v>
      </c>
      <c r="C2438" t="s">
        <v>74</v>
      </c>
      <c r="D2438" t="s">
        <v>74</v>
      </c>
      <c r="E2438" t="s">
        <v>74</v>
      </c>
      <c r="F2438" t="s">
        <v>41073</v>
      </c>
      <c r="G2438" t="s">
        <v>74</v>
      </c>
      <c r="H2438" t="s">
        <v>74</v>
      </c>
      <c r="I2438" t="s">
        <v>41074</v>
      </c>
      <c r="J2438" t="s">
        <v>13617</v>
      </c>
      <c r="K2438" t="s">
        <v>74</v>
      </c>
      <c r="L2438" t="s">
        <v>74</v>
      </c>
      <c r="M2438" t="s">
        <v>78</v>
      </c>
      <c r="N2438" t="s">
        <v>79</v>
      </c>
      <c r="O2438" t="s">
        <v>74</v>
      </c>
      <c r="P2438" t="s">
        <v>74</v>
      </c>
      <c r="Q2438" t="s">
        <v>74</v>
      </c>
      <c r="R2438" t="s">
        <v>74</v>
      </c>
      <c r="S2438" t="s">
        <v>74</v>
      </c>
      <c r="T2438" t="s">
        <v>41075</v>
      </c>
      <c r="U2438" t="s">
        <v>41076</v>
      </c>
      <c r="V2438" t="s">
        <v>41077</v>
      </c>
      <c r="W2438" t="s">
        <v>41078</v>
      </c>
      <c r="X2438" t="s">
        <v>41079</v>
      </c>
      <c r="Y2438" t="s">
        <v>41080</v>
      </c>
      <c r="Z2438" t="s">
        <v>41081</v>
      </c>
      <c r="AA2438" t="s">
        <v>41082</v>
      </c>
      <c r="AB2438" t="s">
        <v>41083</v>
      </c>
      <c r="AC2438" t="s">
        <v>74</v>
      </c>
      <c r="AD2438" t="s">
        <v>74</v>
      </c>
      <c r="AE2438" t="s">
        <v>74</v>
      </c>
      <c r="AF2438" t="s">
        <v>74</v>
      </c>
      <c r="AG2438">
        <v>56</v>
      </c>
      <c r="AH2438">
        <v>4</v>
      </c>
      <c r="AI2438">
        <v>4</v>
      </c>
      <c r="AJ2438">
        <v>2</v>
      </c>
      <c r="AK2438">
        <v>12</v>
      </c>
      <c r="AL2438" t="s">
        <v>1216</v>
      </c>
      <c r="AM2438" t="s">
        <v>283</v>
      </c>
      <c r="AN2438" t="s">
        <v>1217</v>
      </c>
      <c r="AO2438" t="s">
        <v>74</v>
      </c>
      <c r="AP2438" t="s">
        <v>13624</v>
      </c>
      <c r="AQ2438" t="s">
        <v>74</v>
      </c>
      <c r="AR2438" t="s">
        <v>13625</v>
      </c>
      <c r="AS2438" t="s">
        <v>13626</v>
      </c>
      <c r="AT2438" t="s">
        <v>16065</v>
      </c>
      <c r="AU2438">
        <v>2022</v>
      </c>
      <c r="AV2438">
        <v>10</v>
      </c>
      <c r="AW2438" t="s">
        <v>74</v>
      </c>
      <c r="AX2438" t="s">
        <v>74</v>
      </c>
      <c r="AY2438" t="s">
        <v>74</v>
      </c>
      <c r="AZ2438" t="s">
        <v>74</v>
      </c>
      <c r="BA2438" t="s">
        <v>74</v>
      </c>
      <c r="BB2438" t="s">
        <v>74</v>
      </c>
      <c r="BC2438" t="s">
        <v>74</v>
      </c>
      <c r="BD2438">
        <v>888741</v>
      </c>
      <c r="BE2438" t="s">
        <v>41084</v>
      </c>
      <c r="BF2438" t="str">
        <f>HYPERLINK("http://dx.doi.org/10.3389/fpubh.2022.888741","http://dx.doi.org/10.3389/fpubh.2022.888741")</f>
        <v>http://dx.doi.org/10.3389/fpubh.2022.888741</v>
      </c>
      <c r="BG2438" t="s">
        <v>74</v>
      </c>
      <c r="BH2438" t="s">
        <v>74</v>
      </c>
      <c r="BI2438">
        <v>8</v>
      </c>
      <c r="BJ2438" t="s">
        <v>7080</v>
      </c>
      <c r="BK2438" t="s">
        <v>2623</v>
      </c>
      <c r="BL2438" t="s">
        <v>7080</v>
      </c>
      <c r="BM2438" t="s">
        <v>41085</v>
      </c>
      <c r="BN2438">
        <v>36117608</v>
      </c>
      <c r="BO2438" t="s">
        <v>916</v>
      </c>
      <c r="BP2438" t="s">
        <v>74</v>
      </c>
      <c r="BQ2438" t="s">
        <v>74</v>
      </c>
      <c r="BR2438" t="s">
        <v>102</v>
      </c>
      <c r="BS2438" t="s">
        <v>41086</v>
      </c>
      <c r="BT2438" t="str">
        <f>HYPERLINK("https%3A%2F%2Fwww.webofscience.com%2Fwos%2Fwoscc%2Ffull-record%2FWOS:000863309500001","View Full Record in Web of Science")</f>
        <v>View Full Record in Web of Science</v>
      </c>
    </row>
    <row r="2439" spans="1:72" x14ac:dyDescent="0.25">
      <c r="A2439" t="s">
        <v>72</v>
      </c>
      <c r="B2439" t="s">
        <v>41087</v>
      </c>
      <c r="C2439" t="s">
        <v>74</v>
      </c>
      <c r="D2439" t="s">
        <v>74</v>
      </c>
      <c r="E2439" t="s">
        <v>74</v>
      </c>
      <c r="F2439" t="s">
        <v>41088</v>
      </c>
      <c r="G2439" t="s">
        <v>74</v>
      </c>
      <c r="H2439" t="s">
        <v>74</v>
      </c>
      <c r="I2439" t="s">
        <v>41089</v>
      </c>
      <c r="J2439" t="s">
        <v>1963</v>
      </c>
      <c r="K2439" t="s">
        <v>74</v>
      </c>
      <c r="L2439" t="s">
        <v>74</v>
      </c>
      <c r="M2439" t="s">
        <v>78</v>
      </c>
      <c r="N2439" t="s">
        <v>79</v>
      </c>
      <c r="O2439" t="s">
        <v>74</v>
      </c>
      <c r="P2439" t="s">
        <v>74</v>
      </c>
      <c r="Q2439" t="s">
        <v>74</v>
      </c>
      <c r="R2439" t="s">
        <v>74</v>
      </c>
      <c r="S2439" t="s">
        <v>74</v>
      </c>
      <c r="T2439" t="s">
        <v>41090</v>
      </c>
      <c r="U2439" t="s">
        <v>41091</v>
      </c>
      <c r="V2439" t="s">
        <v>41092</v>
      </c>
      <c r="W2439" t="s">
        <v>41093</v>
      </c>
      <c r="X2439" t="s">
        <v>41094</v>
      </c>
      <c r="Y2439" t="s">
        <v>41095</v>
      </c>
      <c r="Z2439" t="s">
        <v>41096</v>
      </c>
      <c r="AA2439" t="s">
        <v>74</v>
      </c>
      <c r="AB2439" t="s">
        <v>41097</v>
      </c>
      <c r="AC2439" t="s">
        <v>41098</v>
      </c>
      <c r="AD2439" t="s">
        <v>41099</v>
      </c>
      <c r="AE2439" t="s">
        <v>41100</v>
      </c>
      <c r="AF2439" t="s">
        <v>74</v>
      </c>
      <c r="AG2439">
        <v>48</v>
      </c>
      <c r="AH2439">
        <v>27</v>
      </c>
      <c r="AI2439">
        <v>27</v>
      </c>
      <c r="AJ2439">
        <v>45</v>
      </c>
      <c r="AK2439">
        <v>521</v>
      </c>
      <c r="AL2439" t="s">
        <v>332</v>
      </c>
      <c r="AM2439" t="s">
        <v>333</v>
      </c>
      <c r="AN2439" t="s">
        <v>334</v>
      </c>
      <c r="AO2439" t="s">
        <v>1975</v>
      </c>
      <c r="AP2439" t="s">
        <v>1976</v>
      </c>
      <c r="AQ2439" t="s">
        <v>74</v>
      </c>
      <c r="AR2439" t="s">
        <v>1977</v>
      </c>
      <c r="AS2439" t="s">
        <v>1978</v>
      </c>
      <c r="AT2439" t="s">
        <v>41101</v>
      </c>
      <c r="AU2439">
        <v>2024</v>
      </c>
      <c r="AV2439">
        <v>56</v>
      </c>
      <c r="AW2439">
        <v>33</v>
      </c>
      <c r="AX2439" t="s">
        <v>74</v>
      </c>
      <c r="AY2439" t="s">
        <v>74</v>
      </c>
      <c r="AZ2439" t="s">
        <v>74</v>
      </c>
      <c r="BA2439" t="s">
        <v>74</v>
      </c>
      <c r="BB2439">
        <v>4033</v>
      </c>
      <c r="BC2439">
        <v>4047</v>
      </c>
      <c r="BD2439" t="s">
        <v>74</v>
      </c>
      <c r="BE2439" t="s">
        <v>41102</v>
      </c>
      <c r="BF2439" t="str">
        <f>HYPERLINK("http://dx.doi.org/10.1080/00036846.2023.2209309","http://dx.doi.org/10.1080/00036846.2023.2209309")</f>
        <v>http://dx.doi.org/10.1080/00036846.2023.2209309</v>
      </c>
      <c r="BG2439" t="s">
        <v>74</v>
      </c>
      <c r="BH2439" t="s">
        <v>6418</v>
      </c>
      <c r="BI2439">
        <v>15</v>
      </c>
      <c r="BJ2439" t="s">
        <v>291</v>
      </c>
      <c r="BK2439" t="s">
        <v>99</v>
      </c>
      <c r="BL2439" t="s">
        <v>100</v>
      </c>
      <c r="BM2439" t="s">
        <v>41103</v>
      </c>
      <c r="BN2439" t="s">
        <v>74</v>
      </c>
      <c r="BO2439" t="s">
        <v>74</v>
      </c>
      <c r="BP2439" t="s">
        <v>74</v>
      </c>
      <c r="BQ2439" t="s">
        <v>74</v>
      </c>
      <c r="BR2439" t="s">
        <v>102</v>
      </c>
      <c r="BS2439" t="s">
        <v>41104</v>
      </c>
      <c r="BT2439" t="str">
        <f>HYPERLINK("https%3A%2F%2Fwww.webofscience.com%2Fwos%2Fwoscc%2Ffull-record%2FWOS:000981852900001","View Full Record in Web of Science")</f>
        <v>View Full Record in Web of Science</v>
      </c>
    </row>
    <row r="2440" spans="1:72" x14ac:dyDescent="0.25">
      <c r="A2440" t="s">
        <v>72</v>
      </c>
      <c r="B2440" t="s">
        <v>41105</v>
      </c>
      <c r="C2440" t="s">
        <v>74</v>
      </c>
      <c r="D2440" t="s">
        <v>74</v>
      </c>
      <c r="E2440" t="s">
        <v>74</v>
      </c>
      <c r="F2440" t="s">
        <v>41106</v>
      </c>
      <c r="G2440" t="s">
        <v>74</v>
      </c>
      <c r="H2440" t="s">
        <v>74</v>
      </c>
      <c r="I2440" t="s">
        <v>41107</v>
      </c>
      <c r="J2440" t="s">
        <v>8087</v>
      </c>
      <c r="K2440" t="s">
        <v>74</v>
      </c>
      <c r="L2440" t="s">
        <v>74</v>
      </c>
      <c r="M2440" t="s">
        <v>78</v>
      </c>
      <c r="N2440" t="s">
        <v>79</v>
      </c>
      <c r="O2440" t="s">
        <v>74</v>
      </c>
      <c r="P2440" t="s">
        <v>74</v>
      </c>
      <c r="Q2440" t="s">
        <v>74</v>
      </c>
      <c r="R2440" t="s">
        <v>74</v>
      </c>
      <c r="S2440" t="s">
        <v>74</v>
      </c>
      <c r="T2440" t="s">
        <v>41108</v>
      </c>
      <c r="U2440" t="s">
        <v>41109</v>
      </c>
      <c r="V2440" t="s">
        <v>41110</v>
      </c>
      <c r="W2440" t="s">
        <v>41111</v>
      </c>
      <c r="X2440" t="s">
        <v>41112</v>
      </c>
      <c r="Y2440" t="s">
        <v>41113</v>
      </c>
      <c r="Z2440" t="s">
        <v>41114</v>
      </c>
      <c r="AA2440" t="s">
        <v>41115</v>
      </c>
      <c r="AB2440" t="s">
        <v>41116</v>
      </c>
      <c r="AC2440" t="s">
        <v>74</v>
      </c>
      <c r="AD2440" t="s">
        <v>74</v>
      </c>
      <c r="AE2440" t="s">
        <v>74</v>
      </c>
      <c r="AF2440" t="s">
        <v>74</v>
      </c>
      <c r="AG2440">
        <v>48</v>
      </c>
      <c r="AH2440">
        <v>9</v>
      </c>
      <c r="AI2440">
        <v>14</v>
      </c>
      <c r="AJ2440">
        <v>2</v>
      </c>
      <c r="AK2440">
        <v>49</v>
      </c>
      <c r="AL2440" t="s">
        <v>479</v>
      </c>
      <c r="AM2440" t="s">
        <v>480</v>
      </c>
      <c r="AN2440" t="s">
        <v>481</v>
      </c>
      <c r="AO2440" t="s">
        <v>8097</v>
      </c>
      <c r="AP2440" t="s">
        <v>8098</v>
      </c>
      <c r="AQ2440" t="s">
        <v>74</v>
      </c>
      <c r="AR2440" t="s">
        <v>8099</v>
      </c>
      <c r="AS2440" t="s">
        <v>8100</v>
      </c>
      <c r="AT2440" t="s">
        <v>891</v>
      </c>
      <c r="AU2440">
        <v>2014</v>
      </c>
      <c r="AV2440">
        <v>38</v>
      </c>
      <c r="AW2440">
        <v>6</v>
      </c>
      <c r="AX2440" t="s">
        <v>74</v>
      </c>
      <c r="AY2440" t="s">
        <v>74</v>
      </c>
      <c r="AZ2440" t="s">
        <v>74</v>
      </c>
      <c r="BA2440" t="s">
        <v>74</v>
      </c>
      <c r="BB2440">
        <v>684</v>
      </c>
      <c r="BC2440">
        <v>691</v>
      </c>
      <c r="BD2440" t="s">
        <v>74</v>
      </c>
      <c r="BE2440" t="s">
        <v>41117</v>
      </c>
      <c r="BF2440" t="str">
        <f>HYPERLINK("http://dx.doi.org/10.1111/ijcs.12141","http://dx.doi.org/10.1111/ijcs.12141")</f>
        <v>http://dx.doi.org/10.1111/ijcs.12141</v>
      </c>
      <c r="BG2440" t="s">
        <v>74</v>
      </c>
      <c r="BH2440" t="s">
        <v>74</v>
      </c>
      <c r="BI2440">
        <v>8</v>
      </c>
      <c r="BJ2440" t="s">
        <v>418</v>
      </c>
      <c r="BK2440" t="s">
        <v>99</v>
      </c>
      <c r="BL2440" t="s">
        <v>100</v>
      </c>
      <c r="BM2440" t="s">
        <v>41118</v>
      </c>
      <c r="BN2440" t="s">
        <v>74</v>
      </c>
      <c r="BO2440" t="s">
        <v>74</v>
      </c>
      <c r="BP2440" t="s">
        <v>74</v>
      </c>
      <c r="BQ2440" t="s">
        <v>74</v>
      </c>
      <c r="BR2440" t="s">
        <v>102</v>
      </c>
      <c r="BS2440" t="s">
        <v>41119</v>
      </c>
      <c r="BT2440" t="str">
        <f>HYPERLINK("https%3A%2F%2Fwww.webofscience.com%2Fwos%2Fwoscc%2Ffull-record%2FWOS:000344323900015","View Full Record in Web of Science")</f>
        <v>View Full Record in Web of Science</v>
      </c>
    </row>
    <row r="2441" spans="1:72" x14ac:dyDescent="0.25">
      <c r="A2441" t="s">
        <v>72</v>
      </c>
      <c r="B2441" t="s">
        <v>41120</v>
      </c>
      <c r="C2441" t="s">
        <v>74</v>
      </c>
      <c r="D2441" t="s">
        <v>74</v>
      </c>
      <c r="E2441" t="s">
        <v>74</v>
      </c>
      <c r="F2441" t="s">
        <v>41121</v>
      </c>
      <c r="G2441" t="s">
        <v>74</v>
      </c>
      <c r="H2441" t="s">
        <v>74</v>
      </c>
      <c r="I2441" t="s">
        <v>41122</v>
      </c>
      <c r="J2441" t="s">
        <v>17640</v>
      </c>
      <c r="K2441" t="s">
        <v>74</v>
      </c>
      <c r="L2441" t="s">
        <v>74</v>
      </c>
      <c r="M2441" t="s">
        <v>78</v>
      </c>
      <c r="N2441" t="s">
        <v>1766</v>
      </c>
      <c r="O2441" t="s">
        <v>74</v>
      </c>
      <c r="P2441" t="s">
        <v>74</v>
      </c>
      <c r="Q2441" t="s">
        <v>74</v>
      </c>
      <c r="R2441" t="s">
        <v>74</v>
      </c>
      <c r="S2441" t="s">
        <v>74</v>
      </c>
      <c r="T2441" t="s">
        <v>74</v>
      </c>
      <c r="U2441" t="s">
        <v>41123</v>
      </c>
      <c r="V2441" t="s">
        <v>41124</v>
      </c>
      <c r="W2441" t="s">
        <v>41125</v>
      </c>
      <c r="X2441" t="s">
        <v>33667</v>
      </c>
      <c r="Y2441" t="s">
        <v>41126</v>
      </c>
      <c r="Z2441" t="s">
        <v>7571</v>
      </c>
      <c r="AA2441" t="s">
        <v>41127</v>
      </c>
      <c r="AB2441" t="s">
        <v>41128</v>
      </c>
      <c r="AC2441" t="s">
        <v>41129</v>
      </c>
      <c r="AD2441" t="s">
        <v>41129</v>
      </c>
      <c r="AE2441" t="s">
        <v>41130</v>
      </c>
      <c r="AF2441" t="s">
        <v>74</v>
      </c>
      <c r="AG2441">
        <v>112</v>
      </c>
      <c r="AH2441">
        <v>5</v>
      </c>
      <c r="AI2441">
        <v>7</v>
      </c>
      <c r="AJ2441">
        <v>4</v>
      </c>
      <c r="AK2441">
        <v>28</v>
      </c>
      <c r="AL2441" t="s">
        <v>4666</v>
      </c>
      <c r="AM2441" t="s">
        <v>995</v>
      </c>
      <c r="AN2441" t="s">
        <v>4025</v>
      </c>
      <c r="AO2441" t="s">
        <v>74</v>
      </c>
      <c r="AP2441" t="s">
        <v>17649</v>
      </c>
      <c r="AQ2441" t="s">
        <v>74</v>
      </c>
      <c r="AR2441" t="s">
        <v>17650</v>
      </c>
      <c r="AS2441" t="s">
        <v>17651</v>
      </c>
      <c r="AT2441" t="s">
        <v>41131</v>
      </c>
      <c r="AU2441">
        <v>2024</v>
      </c>
      <c r="AV2441">
        <v>11</v>
      </c>
      <c r="AW2441">
        <v>1</v>
      </c>
      <c r="AX2441" t="s">
        <v>74</v>
      </c>
      <c r="AY2441" t="s">
        <v>74</v>
      </c>
      <c r="AZ2441" t="s">
        <v>74</v>
      </c>
      <c r="BA2441" t="s">
        <v>74</v>
      </c>
      <c r="BB2441" t="s">
        <v>74</v>
      </c>
      <c r="BC2441" t="s">
        <v>74</v>
      </c>
      <c r="BD2441">
        <v>83</v>
      </c>
      <c r="BE2441" t="s">
        <v>41132</v>
      </c>
      <c r="BF2441" t="str">
        <f>HYPERLINK("http://dx.doi.org/10.1057/s41599-023-02588-9","http://dx.doi.org/10.1057/s41599-023-02588-9")</f>
        <v>http://dx.doi.org/10.1057/s41599-023-02588-9</v>
      </c>
      <c r="BG2441" t="s">
        <v>74</v>
      </c>
      <c r="BH2441" t="s">
        <v>74</v>
      </c>
      <c r="BI2441">
        <v>15</v>
      </c>
      <c r="BJ2441" t="s">
        <v>17654</v>
      </c>
      <c r="BK2441" t="s">
        <v>871</v>
      </c>
      <c r="BL2441" t="s">
        <v>17655</v>
      </c>
      <c r="BM2441" t="s">
        <v>41133</v>
      </c>
      <c r="BN2441" t="s">
        <v>74</v>
      </c>
      <c r="BO2441" t="s">
        <v>916</v>
      </c>
      <c r="BP2441" t="s">
        <v>74</v>
      </c>
      <c r="BQ2441" t="s">
        <v>74</v>
      </c>
      <c r="BR2441" t="s">
        <v>102</v>
      </c>
      <c r="BS2441" t="s">
        <v>41134</v>
      </c>
      <c r="BT2441" t="str">
        <f>HYPERLINK("https%3A%2F%2Fwww.webofscience.com%2Fwos%2Fwoscc%2Ffull-record%2FWOS:001137758800001","View Full Record in Web of Science")</f>
        <v>View Full Record in Web of Science</v>
      </c>
    </row>
    <row r="2442" spans="1:72" x14ac:dyDescent="0.25">
      <c r="A2442" t="s">
        <v>72</v>
      </c>
      <c r="B2442" t="s">
        <v>41135</v>
      </c>
      <c r="C2442" t="s">
        <v>74</v>
      </c>
      <c r="D2442" t="s">
        <v>74</v>
      </c>
      <c r="E2442" t="s">
        <v>74</v>
      </c>
      <c r="F2442" t="s">
        <v>41136</v>
      </c>
      <c r="G2442" t="s">
        <v>74</v>
      </c>
      <c r="H2442" t="s">
        <v>74</v>
      </c>
      <c r="I2442" t="s">
        <v>41137</v>
      </c>
      <c r="J2442" t="s">
        <v>246</v>
      </c>
      <c r="K2442" t="s">
        <v>74</v>
      </c>
      <c r="L2442" t="s">
        <v>74</v>
      </c>
      <c r="M2442" t="s">
        <v>78</v>
      </c>
      <c r="N2442" t="s">
        <v>79</v>
      </c>
      <c r="O2442" t="s">
        <v>74</v>
      </c>
      <c r="P2442" t="s">
        <v>74</v>
      </c>
      <c r="Q2442" t="s">
        <v>74</v>
      </c>
      <c r="R2442" t="s">
        <v>74</v>
      </c>
      <c r="S2442" t="s">
        <v>74</v>
      </c>
      <c r="T2442" t="s">
        <v>41138</v>
      </c>
      <c r="U2442" t="s">
        <v>41139</v>
      </c>
      <c r="V2442" t="s">
        <v>41140</v>
      </c>
      <c r="W2442" t="s">
        <v>41141</v>
      </c>
      <c r="X2442" t="s">
        <v>41142</v>
      </c>
      <c r="Y2442" t="s">
        <v>41143</v>
      </c>
      <c r="Z2442" t="s">
        <v>41144</v>
      </c>
      <c r="AA2442" t="s">
        <v>41145</v>
      </c>
      <c r="AB2442" t="s">
        <v>41146</v>
      </c>
      <c r="AC2442" t="s">
        <v>74</v>
      </c>
      <c r="AD2442" t="s">
        <v>74</v>
      </c>
      <c r="AE2442" t="s">
        <v>74</v>
      </c>
      <c r="AF2442" t="s">
        <v>74</v>
      </c>
      <c r="AG2442">
        <v>27</v>
      </c>
      <c r="AH2442">
        <v>1</v>
      </c>
      <c r="AI2442">
        <v>1</v>
      </c>
      <c r="AJ2442">
        <v>1</v>
      </c>
      <c r="AK2442">
        <v>6</v>
      </c>
      <c r="AL2442" t="s">
        <v>259</v>
      </c>
      <c r="AM2442" t="s">
        <v>260</v>
      </c>
      <c r="AN2442" t="s">
        <v>261</v>
      </c>
      <c r="AO2442" t="s">
        <v>262</v>
      </c>
      <c r="AP2442" t="s">
        <v>263</v>
      </c>
      <c r="AQ2442" t="s">
        <v>74</v>
      </c>
      <c r="AR2442" t="s">
        <v>264</v>
      </c>
      <c r="AS2442" t="s">
        <v>265</v>
      </c>
      <c r="AT2442" t="s">
        <v>698</v>
      </c>
      <c r="AU2442">
        <v>2024</v>
      </c>
      <c r="AV2442">
        <v>67</v>
      </c>
      <c r="AW2442" t="s">
        <v>74</v>
      </c>
      <c r="AX2442" t="s">
        <v>8303</v>
      </c>
      <c r="AY2442" t="s">
        <v>74</v>
      </c>
      <c r="AZ2442" t="s">
        <v>74</v>
      </c>
      <c r="BA2442" t="s">
        <v>74</v>
      </c>
      <c r="BB2442" t="s">
        <v>74</v>
      </c>
      <c r="BC2442" t="s">
        <v>74</v>
      </c>
      <c r="BD2442">
        <v>105949</v>
      </c>
      <c r="BE2442" t="s">
        <v>41147</v>
      </c>
      <c r="BF2442" t="str">
        <f>HYPERLINK("http://dx.doi.org/10.1016/j.frl.2024.105949","http://dx.doi.org/10.1016/j.frl.2024.105949")</f>
        <v>http://dx.doi.org/10.1016/j.frl.2024.105949</v>
      </c>
      <c r="BG2442" t="s">
        <v>74</v>
      </c>
      <c r="BH2442" t="s">
        <v>393</v>
      </c>
      <c r="BI2442">
        <v>7</v>
      </c>
      <c r="BJ2442" t="s">
        <v>268</v>
      </c>
      <c r="BK2442" t="s">
        <v>99</v>
      </c>
      <c r="BL2442" t="s">
        <v>100</v>
      </c>
      <c r="BM2442" t="s">
        <v>41148</v>
      </c>
      <c r="BN2442" t="s">
        <v>74</v>
      </c>
      <c r="BO2442" t="s">
        <v>74</v>
      </c>
      <c r="BP2442" t="s">
        <v>74</v>
      </c>
      <c r="BQ2442" t="s">
        <v>74</v>
      </c>
      <c r="BR2442" t="s">
        <v>102</v>
      </c>
      <c r="BS2442" t="s">
        <v>41149</v>
      </c>
      <c r="BT2442" t="str">
        <f>HYPERLINK("https%3A%2F%2Fwww.webofscience.com%2Fwos%2Fwoscc%2Ffull-record%2FWOS:001312939300001","View Full Record in Web of Science")</f>
        <v>View Full Record in Web of Science</v>
      </c>
    </row>
    <row r="2443" spans="1:72" x14ac:dyDescent="0.25">
      <c r="A2443" t="s">
        <v>72</v>
      </c>
      <c r="B2443" t="s">
        <v>41150</v>
      </c>
      <c r="C2443" t="s">
        <v>74</v>
      </c>
      <c r="D2443" t="s">
        <v>74</v>
      </c>
      <c r="E2443" t="s">
        <v>74</v>
      </c>
      <c r="F2443" t="s">
        <v>41151</v>
      </c>
      <c r="G2443" t="s">
        <v>74</v>
      </c>
      <c r="H2443" t="s">
        <v>74</v>
      </c>
      <c r="I2443" t="s">
        <v>41152</v>
      </c>
      <c r="J2443" t="s">
        <v>1963</v>
      </c>
      <c r="K2443" t="s">
        <v>74</v>
      </c>
      <c r="L2443" t="s">
        <v>74</v>
      </c>
      <c r="M2443" t="s">
        <v>78</v>
      </c>
      <c r="N2443" t="s">
        <v>79</v>
      </c>
      <c r="O2443" t="s">
        <v>74</v>
      </c>
      <c r="P2443" t="s">
        <v>74</v>
      </c>
      <c r="Q2443" t="s">
        <v>74</v>
      </c>
      <c r="R2443" t="s">
        <v>74</v>
      </c>
      <c r="S2443" t="s">
        <v>74</v>
      </c>
      <c r="T2443" t="s">
        <v>41153</v>
      </c>
      <c r="U2443" t="s">
        <v>41154</v>
      </c>
      <c r="V2443" t="s">
        <v>41155</v>
      </c>
      <c r="W2443" t="s">
        <v>41156</v>
      </c>
      <c r="X2443" t="s">
        <v>41157</v>
      </c>
      <c r="Y2443" t="s">
        <v>41158</v>
      </c>
      <c r="Z2443" t="s">
        <v>37250</v>
      </c>
      <c r="AA2443" t="s">
        <v>41159</v>
      </c>
      <c r="AB2443" t="s">
        <v>41160</v>
      </c>
      <c r="AC2443" t="s">
        <v>74</v>
      </c>
      <c r="AD2443" t="s">
        <v>74</v>
      </c>
      <c r="AE2443" t="s">
        <v>74</v>
      </c>
      <c r="AF2443" t="s">
        <v>74</v>
      </c>
      <c r="AG2443">
        <v>103</v>
      </c>
      <c r="AH2443">
        <v>14</v>
      </c>
      <c r="AI2443">
        <v>21</v>
      </c>
      <c r="AJ2443">
        <v>0</v>
      </c>
      <c r="AK2443">
        <v>11</v>
      </c>
      <c r="AL2443" t="s">
        <v>332</v>
      </c>
      <c r="AM2443" t="s">
        <v>333</v>
      </c>
      <c r="AN2443" t="s">
        <v>334</v>
      </c>
      <c r="AO2443" t="s">
        <v>1975</v>
      </c>
      <c r="AP2443" t="s">
        <v>1976</v>
      </c>
      <c r="AQ2443" t="s">
        <v>74</v>
      </c>
      <c r="AR2443" t="s">
        <v>1977</v>
      </c>
      <c r="AS2443" t="s">
        <v>1978</v>
      </c>
      <c r="AT2443" t="s">
        <v>3206</v>
      </c>
      <c r="AU2443">
        <v>2021</v>
      </c>
      <c r="AV2443">
        <v>53</v>
      </c>
      <c r="AW2443">
        <v>3</v>
      </c>
      <c r="AX2443" t="s">
        <v>74</v>
      </c>
      <c r="AY2443" t="s">
        <v>74</v>
      </c>
      <c r="AZ2443" t="s">
        <v>74</v>
      </c>
      <c r="BA2443" t="s">
        <v>74</v>
      </c>
      <c r="BB2443">
        <v>345</v>
      </c>
      <c r="BC2443">
        <v>363</v>
      </c>
      <c r="BD2443" t="s">
        <v>74</v>
      </c>
      <c r="BE2443" t="s">
        <v>41161</v>
      </c>
      <c r="BF2443" t="str">
        <f>HYPERLINK("http://dx.doi.org/10.1080/00036846.2020.1808174","http://dx.doi.org/10.1080/00036846.2020.1808174")</f>
        <v>http://dx.doi.org/10.1080/00036846.2020.1808174</v>
      </c>
      <c r="BG2443" t="s">
        <v>74</v>
      </c>
      <c r="BH2443" t="s">
        <v>2937</v>
      </c>
      <c r="BI2443">
        <v>19</v>
      </c>
      <c r="BJ2443" t="s">
        <v>291</v>
      </c>
      <c r="BK2443" t="s">
        <v>99</v>
      </c>
      <c r="BL2443" t="s">
        <v>100</v>
      </c>
      <c r="BM2443" t="s">
        <v>3208</v>
      </c>
      <c r="BN2443" t="s">
        <v>74</v>
      </c>
      <c r="BO2443" t="s">
        <v>74</v>
      </c>
      <c r="BP2443" t="s">
        <v>74</v>
      </c>
      <c r="BQ2443" t="s">
        <v>74</v>
      </c>
      <c r="BR2443" t="s">
        <v>102</v>
      </c>
      <c r="BS2443" t="s">
        <v>41162</v>
      </c>
      <c r="BT2443" t="str">
        <f>HYPERLINK("https%3A%2F%2Fwww.webofscience.com%2Fwos%2Fwoscc%2Ffull-record%2FWOS:000561945400001","View Full Record in Web of Science")</f>
        <v>View Full Record in Web of Science</v>
      </c>
    </row>
    <row r="2444" spans="1:72" x14ac:dyDescent="0.25">
      <c r="A2444" t="s">
        <v>72</v>
      </c>
      <c r="B2444" t="s">
        <v>41163</v>
      </c>
      <c r="C2444" t="s">
        <v>74</v>
      </c>
      <c r="D2444" t="s">
        <v>74</v>
      </c>
      <c r="E2444" t="s">
        <v>74</v>
      </c>
      <c r="F2444" t="s">
        <v>41164</v>
      </c>
      <c r="G2444" t="s">
        <v>74</v>
      </c>
      <c r="H2444" t="s">
        <v>74</v>
      </c>
      <c r="I2444" t="s">
        <v>41165</v>
      </c>
      <c r="J2444" t="s">
        <v>11074</v>
      </c>
      <c r="K2444" t="s">
        <v>74</v>
      </c>
      <c r="L2444" t="s">
        <v>74</v>
      </c>
      <c r="M2444" t="s">
        <v>78</v>
      </c>
      <c r="N2444" t="s">
        <v>79</v>
      </c>
      <c r="O2444" t="s">
        <v>74</v>
      </c>
      <c r="P2444" t="s">
        <v>74</v>
      </c>
      <c r="Q2444" t="s">
        <v>74</v>
      </c>
      <c r="R2444" t="s">
        <v>74</v>
      </c>
      <c r="S2444" t="s">
        <v>74</v>
      </c>
      <c r="T2444" t="s">
        <v>41166</v>
      </c>
      <c r="U2444" t="s">
        <v>12326</v>
      </c>
      <c r="V2444" t="s">
        <v>41167</v>
      </c>
      <c r="W2444" t="s">
        <v>41168</v>
      </c>
      <c r="X2444" t="s">
        <v>41169</v>
      </c>
      <c r="Y2444" t="s">
        <v>41170</v>
      </c>
      <c r="Z2444" t="s">
        <v>41171</v>
      </c>
      <c r="AA2444" t="s">
        <v>41172</v>
      </c>
      <c r="AB2444" t="s">
        <v>41173</v>
      </c>
      <c r="AC2444" t="s">
        <v>74</v>
      </c>
      <c r="AD2444" t="s">
        <v>74</v>
      </c>
      <c r="AE2444" t="s">
        <v>74</v>
      </c>
      <c r="AF2444" t="s">
        <v>74</v>
      </c>
      <c r="AG2444">
        <v>94</v>
      </c>
      <c r="AH2444">
        <v>0</v>
      </c>
      <c r="AI2444">
        <v>0</v>
      </c>
      <c r="AJ2444">
        <v>13</v>
      </c>
      <c r="AK2444">
        <v>20</v>
      </c>
      <c r="AL2444" t="s">
        <v>89</v>
      </c>
      <c r="AM2444" t="s">
        <v>90</v>
      </c>
      <c r="AN2444" t="s">
        <v>91</v>
      </c>
      <c r="AO2444" t="s">
        <v>11083</v>
      </c>
      <c r="AP2444" t="s">
        <v>11084</v>
      </c>
      <c r="AQ2444" t="s">
        <v>74</v>
      </c>
      <c r="AR2444" t="s">
        <v>11085</v>
      </c>
      <c r="AS2444" t="s">
        <v>11086</v>
      </c>
      <c r="AT2444" t="s">
        <v>24041</v>
      </c>
      <c r="AU2444">
        <v>2025</v>
      </c>
      <c r="AV2444">
        <v>27</v>
      </c>
      <c r="AW2444">
        <v>6</v>
      </c>
      <c r="AX2444" t="s">
        <v>74</v>
      </c>
      <c r="AY2444" t="s">
        <v>74</v>
      </c>
      <c r="AZ2444" t="s">
        <v>74</v>
      </c>
      <c r="BA2444" t="s">
        <v>74</v>
      </c>
      <c r="BB2444">
        <v>703</v>
      </c>
      <c r="BC2444">
        <v>723</v>
      </c>
      <c r="BD2444" t="s">
        <v>74</v>
      </c>
      <c r="BE2444" t="s">
        <v>41174</v>
      </c>
      <c r="BF2444" t="str">
        <f>HYPERLINK("http://dx.doi.org/10.1108/DPRG-09-2024-0240","http://dx.doi.org/10.1108/DPRG-09-2024-0240")</f>
        <v>http://dx.doi.org/10.1108/DPRG-09-2024-0240</v>
      </c>
      <c r="BG2444" t="s">
        <v>74</v>
      </c>
      <c r="BH2444" t="s">
        <v>2781</v>
      </c>
      <c r="BI2444">
        <v>21</v>
      </c>
      <c r="BJ2444" t="s">
        <v>2351</v>
      </c>
      <c r="BK2444" t="s">
        <v>313</v>
      </c>
      <c r="BL2444" t="s">
        <v>2351</v>
      </c>
      <c r="BM2444" t="s">
        <v>41175</v>
      </c>
      <c r="BN2444" t="s">
        <v>74</v>
      </c>
      <c r="BO2444" t="s">
        <v>74</v>
      </c>
      <c r="BP2444" t="s">
        <v>74</v>
      </c>
      <c r="BQ2444" t="s">
        <v>74</v>
      </c>
      <c r="BR2444" t="s">
        <v>102</v>
      </c>
      <c r="BS2444" t="s">
        <v>41176</v>
      </c>
      <c r="BT2444" t="str">
        <f>HYPERLINK("https%3A%2F%2Fwww.webofscience.com%2Fwos%2Fwoscc%2Ffull-record%2FWOS:001433840800001","View Full Record in Web of Science")</f>
        <v>View Full Record in Web of Science</v>
      </c>
    </row>
    <row r="2445" spans="1:72" x14ac:dyDescent="0.25">
      <c r="A2445" t="s">
        <v>72</v>
      </c>
      <c r="B2445" t="s">
        <v>41177</v>
      </c>
      <c r="C2445" t="s">
        <v>74</v>
      </c>
      <c r="D2445" t="s">
        <v>74</v>
      </c>
      <c r="E2445" t="s">
        <v>74</v>
      </c>
      <c r="F2445" t="s">
        <v>41178</v>
      </c>
      <c r="G2445" t="s">
        <v>74</v>
      </c>
      <c r="H2445" t="s">
        <v>74</v>
      </c>
      <c r="I2445" t="s">
        <v>41179</v>
      </c>
      <c r="J2445" t="s">
        <v>107</v>
      </c>
      <c r="K2445" t="s">
        <v>74</v>
      </c>
      <c r="L2445" t="s">
        <v>74</v>
      </c>
      <c r="M2445" t="s">
        <v>78</v>
      </c>
      <c r="N2445" t="s">
        <v>79</v>
      </c>
      <c r="O2445" t="s">
        <v>74</v>
      </c>
      <c r="P2445" t="s">
        <v>74</v>
      </c>
      <c r="Q2445" t="s">
        <v>74</v>
      </c>
      <c r="R2445" t="s">
        <v>74</v>
      </c>
      <c r="S2445" t="s">
        <v>74</v>
      </c>
      <c r="T2445" t="s">
        <v>41180</v>
      </c>
      <c r="U2445" t="s">
        <v>41181</v>
      </c>
      <c r="V2445" t="s">
        <v>41182</v>
      </c>
      <c r="W2445" t="s">
        <v>41183</v>
      </c>
      <c r="X2445" t="s">
        <v>41184</v>
      </c>
      <c r="Y2445" t="s">
        <v>41185</v>
      </c>
      <c r="Z2445" t="s">
        <v>41186</v>
      </c>
      <c r="AA2445" t="s">
        <v>74</v>
      </c>
      <c r="AB2445" t="s">
        <v>74</v>
      </c>
      <c r="AC2445" t="s">
        <v>41187</v>
      </c>
      <c r="AD2445" t="s">
        <v>41188</v>
      </c>
      <c r="AE2445" t="s">
        <v>41189</v>
      </c>
      <c r="AF2445" t="s">
        <v>74</v>
      </c>
      <c r="AG2445">
        <v>51</v>
      </c>
      <c r="AH2445">
        <v>55</v>
      </c>
      <c r="AI2445">
        <v>57</v>
      </c>
      <c r="AJ2445">
        <v>10</v>
      </c>
      <c r="AK2445">
        <v>256</v>
      </c>
      <c r="AL2445" t="s">
        <v>117</v>
      </c>
      <c r="AM2445" t="s">
        <v>118</v>
      </c>
      <c r="AN2445" t="s">
        <v>119</v>
      </c>
      <c r="AO2445" t="s">
        <v>120</v>
      </c>
      <c r="AP2445" t="s">
        <v>121</v>
      </c>
      <c r="AQ2445" t="s">
        <v>74</v>
      </c>
      <c r="AR2445" t="s">
        <v>122</v>
      </c>
      <c r="AS2445" t="s">
        <v>123</v>
      </c>
      <c r="AT2445" t="s">
        <v>124</v>
      </c>
      <c r="AU2445">
        <v>2022</v>
      </c>
      <c r="AV2445">
        <v>29</v>
      </c>
      <c r="AW2445">
        <v>56</v>
      </c>
      <c r="AX2445" t="s">
        <v>74</v>
      </c>
      <c r="AY2445" t="s">
        <v>74</v>
      </c>
      <c r="AZ2445" t="s">
        <v>74</v>
      </c>
      <c r="BA2445" t="s">
        <v>74</v>
      </c>
      <c r="BB2445">
        <v>85143</v>
      </c>
      <c r="BC2445">
        <v>85159</v>
      </c>
      <c r="BD2445" t="s">
        <v>74</v>
      </c>
      <c r="BE2445" t="s">
        <v>41190</v>
      </c>
      <c r="BF2445" t="str">
        <f>HYPERLINK("http://dx.doi.org/10.1007/s11356-022-21695-9","http://dx.doi.org/10.1007/s11356-022-21695-9")</f>
        <v>http://dx.doi.org/10.1007/s11356-022-21695-9</v>
      </c>
      <c r="BG2445" t="s">
        <v>74</v>
      </c>
      <c r="BH2445" t="s">
        <v>126</v>
      </c>
      <c r="BI2445">
        <v>17</v>
      </c>
      <c r="BJ2445" t="s">
        <v>127</v>
      </c>
      <c r="BK2445" t="s">
        <v>128</v>
      </c>
      <c r="BL2445" t="s">
        <v>129</v>
      </c>
      <c r="BM2445" t="s">
        <v>130</v>
      </c>
      <c r="BN2445">
        <v>35790640</v>
      </c>
      <c r="BO2445" t="s">
        <v>3694</v>
      </c>
      <c r="BP2445" t="s">
        <v>74</v>
      </c>
      <c r="BQ2445" t="s">
        <v>74</v>
      </c>
      <c r="BR2445" t="s">
        <v>102</v>
      </c>
      <c r="BS2445" t="s">
        <v>41191</v>
      </c>
      <c r="BT2445" t="str">
        <f>HYPERLINK("https%3A%2F%2Fwww.webofscience.com%2Fwos%2Fwoscc%2Ffull-record%2FWOS:000821377100020","View Full Record in Web of Science")</f>
        <v>View Full Record in Web of Science</v>
      </c>
    </row>
    <row r="2446" spans="1:72" x14ac:dyDescent="0.25">
      <c r="A2446" t="s">
        <v>72</v>
      </c>
      <c r="B2446" t="s">
        <v>41192</v>
      </c>
      <c r="C2446" t="s">
        <v>74</v>
      </c>
      <c r="D2446" t="s">
        <v>74</v>
      </c>
      <c r="E2446" t="s">
        <v>74</v>
      </c>
      <c r="F2446" t="s">
        <v>41193</v>
      </c>
      <c r="G2446" t="s">
        <v>74</v>
      </c>
      <c r="H2446" t="s">
        <v>74</v>
      </c>
      <c r="I2446" t="s">
        <v>41194</v>
      </c>
      <c r="J2446" t="s">
        <v>41195</v>
      </c>
      <c r="K2446" t="s">
        <v>74</v>
      </c>
      <c r="L2446" t="s">
        <v>74</v>
      </c>
      <c r="M2446" t="s">
        <v>78</v>
      </c>
      <c r="N2446" t="s">
        <v>79</v>
      </c>
      <c r="O2446" t="s">
        <v>74</v>
      </c>
      <c r="P2446" t="s">
        <v>74</v>
      </c>
      <c r="Q2446" t="s">
        <v>74</v>
      </c>
      <c r="R2446" t="s">
        <v>74</v>
      </c>
      <c r="S2446" t="s">
        <v>74</v>
      </c>
      <c r="T2446" t="s">
        <v>41196</v>
      </c>
      <c r="U2446" t="s">
        <v>74</v>
      </c>
      <c r="V2446" t="s">
        <v>41197</v>
      </c>
      <c r="W2446" t="s">
        <v>41198</v>
      </c>
      <c r="X2446" t="s">
        <v>41199</v>
      </c>
      <c r="Y2446" t="s">
        <v>41200</v>
      </c>
      <c r="Z2446" t="s">
        <v>41201</v>
      </c>
      <c r="AA2446" t="s">
        <v>41202</v>
      </c>
      <c r="AB2446" t="s">
        <v>41203</v>
      </c>
      <c r="AC2446" t="s">
        <v>74</v>
      </c>
      <c r="AD2446" t="s">
        <v>74</v>
      </c>
      <c r="AE2446" t="s">
        <v>74</v>
      </c>
      <c r="AF2446" t="s">
        <v>74</v>
      </c>
      <c r="AG2446">
        <v>22</v>
      </c>
      <c r="AH2446">
        <v>5</v>
      </c>
      <c r="AI2446">
        <v>6</v>
      </c>
      <c r="AJ2446">
        <v>0</v>
      </c>
      <c r="AK2446">
        <v>14</v>
      </c>
      <c r="AL2446" t="s">
        <v>41204</v>
      </c>
      <c r="AM2446" t="s">
        <v>41205</v>
      </c>
      <c r="AN2446" t="s">
        <v>41206</v>
      </c>
      <c r="AO2446" t="s">
        <v>41207</v>
      </c>
      <c r="AP2446" t="s">
        <v>41208</v>
      </c>
      <c r="AQ2446" t="s">
        <v>74</v>
      </c>
      <c r="AR2446" t="s">
        <v>41209</v>
      </c>
      <c r="AS2446" t="s">
        <v>41210</v>
      </c>
      <c r="AT2446" t="s">
        <v>124</v>
      </c>
      <c r="AU2446">
        <v>2019</v>
      </c>
      <c r="AV2446">
        <v>8</v>
      </c>
      <c r="AW2446">
        <v>4</v>
      </c>
      <c r="AX2446" t="s">
        <v>74</v>
      </c>
      <c r="AY2446" t="s">
        <v>74</v>
      </c>
      <c r="AZ2446" t="s">
        <v>74</v>
      </c>
      <c r="BA2446" t="s">
        <v>74</v>
      </c>
      <c r="BB2446">
        <v>810</v>
      </c>
      <c r="BC2446">
        <v>818</v>
      </c>
      <c r="BD2446" t="s">
        <v>74</v>
      </c>
      <c r="BE2446" t="s">
        <v>41211</v>
      </c>
      <c r="BF2446" t="str">
        <f>HYPERLINK("http://dx.doi.org/10.13187/ejced.2019.4.810","http://dx.doi.org/10.13187/ejced.2019.4.810")</f>
        <v>http://dx.doi.org/10.13187/ejced.2019.4.810</v>
      </c>
      <c r="BG2446" t="s">
        <v>74</v>
      </c>
      <c r="BH2446" t="s">
        <v>74</v>
      </c>
      <c r="BI2446">
        <v>9</v>
      </c>
      <c r="BJ2446" t="s">
        <v>4031</v>
      </c>
      <c r="BK2446" t="s">
        <v>313</v>
      </c>
      <c r="BL2446" t="s">
        <v>4031</v>
      </c>
      <c r="BM2446" t="s">
        <v>41212</v>
      </c>
      <c r="BN2446" t="s">
        <v>74</v>
      </c>
      <c r="BO2446" t="s">
        <v>74</v>
      </c>
      <c r="BP2446" t="s">
        <v>74</v>
      </c>
      <c r="BQ2446" t="s">
        <v>74</v>
      </c>
      <c r="BR2446" t="s">
        <v>102</v>
      </c>
      <c r="BS2446" t="s">
        <v>41213</v>
      </c>
      <c r="BT2446" t="str">
        <f>HYPERLINK("https%3A%2F%2Fwww.webofscience.com%2Fwos%2Fwoscc%2Ffull-record%2FWOS:000504671300010","View Full Record in Web of Science")</f>
        <v>View Full Record in Web of Science</v>
      </c>
    </row>
    <row r="2447" spans="1:72" x14ac:dyDescent="0.25">
      <c r="A2447" t="s">
        <v>72</v>
      </c>
      <c r="B2447" t="s">
        <v>41214</v>
      </c>
      <c r="C2447" t="s">
        <v>74</v>
      </c>
      <c r="D2447" t="s">
        <v>74</v>
      </c>
      <c r="E2447" t="s">
        <v>74</v>
      </c>
      <c r="F2447" t="s">
        <v>41215</v>
      </c>
      <c r="G2447" t="s">
        <v>74</v>
      </c>
      <c r="H2447" t="s">
        <v>74</v>
      </c>
      <c r="I2447" t="s">
        <v>41216</v>
      </c>
      <c r="J2447" t="s">
        <v>13634</v>
      </c>
      <c r="K2447" t="s">
        <v>74</v>
      </c>
      <c r="L2447" t="s">
        <v>74</v>
      </c>
      <c r="M2447" t="s">
        <v>78</v>
      </c>
      <c r="N2447" t="s">
        <v>79</v>
      </c>
      <c r="O2447" t="s">
        <v>74</v>
      </c>
      <c r="P2447" t="s">
        <v>74</v>
      </c>
      <c r="Q2447" t="s">
        <v>74</v>
      </c>
      <c r="R2447" t="s">
        <v>74</v>
      </c>
      <c r="S2447" t="s">
        <v>74</v>
      </c>
      <c r="T2447" t="s">
        <v>41217</v>
      </c>
      <c r="U2447" t="s">
        <v>41218</v>
      </c>
      <c r="V2447" t="s">
        <v>41219</v>
      </c>
      <c r="W2447" t="s">
        <v>41220</v>
      </c>
      <c r="X2447" t="s">
        <v>41221</v>
      </c>
      <c r="Y2447" t="s">
        <v>41222</v>
      </c>
      <c r="Z2447" t="s">
        <v>41223</v>
      </c>
      <c r="AA2447" t="s">
        <v>41224</v>
      </c>
      <c r="AB2447" t="s">
        <v>41225</v>
      </c>
      <c r="AC2447" t="s">
        <v>41226</v>
      </c>
      <c r="AD2447" t="s">
        <v>41227</v>
      </c>
      <c r="AE2447" t="s">
        <v>41228</v>
      </c>
      <c r="AF2447" t="s">
        <v>74</v>
      </c>
      <c r="AG2447">
        <v>124</v>
      </c>
      <c r="AH2447">
        <v>12</v>
      </c>
      <c r="AI2447">
        <v>12</v>
      </c>
      <c r="AJ2447">
        <v>9</v>
      </c>
      <c r="AK2447">
        <v>88</v>
      </c>
      <c r="AL2447" t="s">
        <v>3461</v>
      </c>
      <c r="AM2447" t="s">
        <v>3462</v>
      </c>
      <c r="AN2447" t="s">
        <v>3463</v>
      </c>
      <c r="AO2447" t="s">
        <v>13644</v>
      </c>
      <c r="AP2447" t="s">
        <v>13645</v>
      </c>
      <c r="AQ2447" t="s">
        <v>74</v>
      </c>
      <c r="AR2447" t="s">
        <v>13646</v>
      </c>
      <c r="AS2447" t="s">
        <v>13647</v>
      </c>
      <c r="AT2447" t="s">
        <v>74</v>
      </c>
      <c r="AU2447">
        <v>2024</v>
      </c>
      <c r="AV2447">
        <v>71</v>
      </c>
      <c r="AW2447" t="s">
        <v>74</v>
      </c>
      <c r="AX2447" t="s">
        <v>74</v>
      </c>
      <c r="AY2447" t="s">
        <v>74</v>
      </c>
      <c r="AZ2447" t="s">
        <v>74</v>
      </c>
      <c r="BA2447" t="s">
        <v>74</v>
      </c>
      <c r="BB2447">
        <v>6272</v>
      </c>
      <c r="BC2447">
        <v>6290</v>
      </c>
      <c r="BD2447" t="s">
        <v>74</v>
      </c>
      <c r="BE2447" t="s">
        <v>41229</v>
      </c>
      <c r="BF2447" t="str">
        <f>HYPERLINK("http://dx.doi.org/10.1109/TEM.2023.3280574","http://dx.doi.org/10.1109/TEM.2023.3280574")</f>
        <v>http://dx.doi.org/10.1109/TEM.2023.3280574</v>
      </c>
      <c r="BG2447" t="s">
        <v>74</v>
      </c>
      <c r="BH2447" t="s">
        <v>13995</v>
      </c>
      <c r="BI2447">
        <v>19</v>
      </c>
      <c r="BJ2447" t="s">
        <v>13649</v>
      </c>
      <c r="BK2447" t="s">
        <v>2623</v>
      </c>
      <c r="BL2447" t="s">
        <v>13650</v>
      </c>
      <c r="BM2447" t="s">
        <v>41230</v>
      </c>
      <c r="BN2447" t="s">
        <v>74</v>
      </c>
      <c r="BO2447" t="s">
        <v>74</v>
      </c>
      <c r="BP2447" t="s">
        <v>74</v>
      </c>
      <c r="BQ2447" t="s">
        <v>74</v>
      </c>
      <c r="BR2447" t="s">
        <v>102</v>
      </c>
      <c r="BS2447" t="s">
        <v>41231</v>
      </c>
      <c r="BT2447" t="str">
        <f>HYPERLINK("https%3A%2F%2Fwww.webofscience.com%2Fwos%2Fwoscc%2Ffull-record%2FWOS:001012426900001","View Full Record in Web of Science")</f>
        <v>View Full Record in Web of Science</v>
      </c>
    </row>
    <row r="2448" spans="1:72" x14ac:dyDescent="0.25">
      <c r="A2448" t="s">
        <v>72</v>
      </c>
      <c r="B2448" t="s">
        <v>41232</v>
      </c>
      <c r="C2448" t="s">
        <v>74</v>
      </c>
      <c r="D2448" t="s">
        <v>74</v>
      </c>
      <c r="E2448" t="s">
        <v>74</v>
      </c>
      <c r="F2448" t="s">
        <v>41233</v>
      </c>
      <c r="G2448" t="s">
        <v>74</v>
      </c>
      <c r="H2448" t="s">
        <v>74</v>
      </c>
      <c r="I2448" t="s">
        <v>41234</v>
      </c>
      <c r="J2448" t="s">
        <v>3231</v>
      </c>
      <c r="K2448" t="s">
        <v>74</v>
      </c>
      <c r="L2448" t="s">
        <v>74</v>
      </c>
      <c r="M2448" t="s">
        <v>78</v>
      </c>
      <c r="N2448" t="s">
        <v>79</v>
      </c>
      <c r="O2448" t="s">
        <v>74</v>
      </c>
      <c r="P2448" t="s">
        <v>74</v>
      </c>
      <c r="Q2448" t="s">
        <v>74</v>
      </c>
      <c r="R2448" t="s">
        <v>74</v>
      </c>
      <c r="S2448" t="s">
        <v>74</v>
      </c>
      <c r="T2448" t="s">
        <v>41235</v>
      </c>
      <c r="U2448" t="s">
        <v>41236</v>
      </c>
      <c r="V2448" t="s">
        <v>41237</v>
      </c>
      <c r="W2448" t="s">
        <v>41238</v>
      </c>
      <c r="X2448" t="s">
        <v>41239</v>
      </c>
      <c r="Y2448" t="s">
        <v>41240</v>
      </c>
      <c r="Z2448" t="s">
        <v>41241</v>
      </c>
      <c r="AA2448" t="s">
        <v>74</v>
      </c>
      <c r="AB2448" t="s">
        <v>74</v>
      </c>
      <c r="AC2448" t="s">
        <v>41242</v>
      </c>
      <c r="AD2448" t="s">
        <v>41243</v>
      </c>
      <c r="AE2448" t="s">
        <v>41244</v>
      </c>
      <c r="AF2448" t="s">
        <v>74</v>
      </c>
      <c r="AG2448">
        <v>72</v>
      </c>
      <c r="AH2448">
        <v>4</v>
      </c>
      <c r="AI2448">
        <v>7</v>
      </c>
      <c r="AJ2448">
        <v>4</v>
      </c>
      <c r="AK2448">
        <v>91</v>
      </c>
      <c r="AL2448" t="s">
        <v>575</v>
      </c>
      <c r="AM2448" t="s">
        <v>576</v>
      </c>
      <c r="AN2448" t="s">
        <v>577</v>
      </c>
      <c r="AO2448" t="s">
        <v>74</v>
      </c>
      <c r="AP2448" t="s">
        <v>3243</v>
      </c>
      <c r="AQ2448" t="s">
        <v>74</v>
      </c>
      <c r="AR2448" t="s">
        <v>3244</v>
      </c>
      <c r="AS2448" t="s">
        <v>3245</v>
      </c>
      <c r="AT2448" t="s">
        <v>891</v>
      </c>
      <c r="AU2448">
        <v>2022</v>
      </c>
      <c r="AV2448">
        <v>14</v>
      </c>
      <c r="AW2448">
        <v>21</v>
      </c>
      <c r="AX2448" t="s">
        <v>74</v>
      </c>
      <c r="AY2448" t="s">
        <v>74</v>
      </c>
      <c r="AZ2448" t="s">
        <v>74</v>
      </c>
      <c r="BA2448" t="s">
        <v>74</v>
      </c>
      <c r="BB2448" t="s">
        <v>74</v>
      </c>
      <c r="BC2448" t="s">
        <v>74</v>
      </c>
      <c r="BD2448">
        <v>14103</v>
      </c>
      <c r="BE2448" t="s">
        <v>41245</v>
      </c>
      <c r="BF2448" t="str">
        <f>HYPERLINK("http://dx.doi.org/10.3390/su142114103","http://dx.doi.org/10.3390/su142114103")</f>
        <v>http://dx.doi.org/10.3390/su142114103</v>
      </c>
      <c r="BG2448" t="s">
        <v>74</v>
      </c>
      <c r="BH2448" t="s">
        <v>74</v>
      </c>
      <c r="BI2448">
        <v>22</v>
      </c>
      <c r="BJ2448" t="s">
        <v>3247</v>
      </c>
      <c r="BK2448" t="s">
        <v>2623</v>
      </c>
      <c r="BL2448" t="s">
        <v>3248</v>
      </c>
      <c r="BM2448" t="s">
        <v>41246</v>
      </c>
      <c r="BN2448" t="s">
        <v>74</v>
      </c>
      <c r="BO2448" t="s">
        <v>916</v>
      </c>
      <c r="BP2448" t="s">
        <v>74</v>
      </c>
      <c r="BQ2448" t="s">
        <v>74</v>
      </c>
      <c r="BR2448" t="s">
        <v>102</v>
      </c>
      <c r="BS2448" t="s">
        <v>41247</v>
      </c>
      <c r="BT2448" t="str">
        <f>HYPERLINK("https%3A%2F%2Fwww.webofscience.com%2Fwos%2Fwoscc%2Ffull-record%2FWOS:000882289400001","View Full Record in Web of Science")</f>
        <v>View Full Record in Web of Science</v>
      </c>
    </row>
    <row r="2449" spans="1:72" x14ac:dyDescent="0.25">
      <c r="A2449" t="s">
        <v>72</v>
      </c>
      <c r="B2449" t="s">
        <v>41248</v>
      </c>
      <c r="C2449" t="s">
        <v>74</v>
      </c>
      <c r="D2449" t="s">
        <v>74</v>
      </c>
      <c r="E2449" t="s">
        <v>74</v>
      </c>
      <c r="F2449" t="s">
        <v>41249</v>
      </c>
      <c r="G2449" t="s">
        <v>74</v>
      </c>
      <c r="H2449" t="s">
        <v>74</v>
      </c>
      <c r="I2449" t="s">
        <v>41250</v>
      </c>
      <c r="J2449" t="s">
        <v>9191</v>
      </c>
      <c r="K2449" t="s">
        <v>74</v>
      </c>
      <c r="L2449" t="s">
        <v>74</v>
      </c>
      <c r="M2449" t="s">
        <v>78</v>
      </c>
      <c r="N2449" t="s">
        <v>79</v>
      </c>
      <c r="O2449" t="s">
        <v>74</v>
      </c>
      <c r="P2449" t="s">
        <v>74</v>
      </c>
      <c r="Q2449" t="s">
        <v>74</v>
      </c>
      <c r="R2449" t="s">
        <v>74</v>
      </c>
      <c r="S2449" t="s">
        <v>74</v>
      </c>
      <c r="T2449" t="s">
        <v>41251</v>
      </c>
      <c r="U2449" t="s">
        <v>41252</v>
      </c>
      <c r="V2449" t="s">
        <v>41253</v>
      </c>
      <c r="W2449" t="s">
        <v>41254</v>
      </c>
      <c r="X2449" t="s">
        <v>41255</v>
      </c>
      <c r="Y2449" t="s">
        <v>41256</v>
      </c>
      <c r="Z2449" t="s">
        <v>41257</v>
      </c>
      <c r="AA2449" t="s">
        <v>74</v>
      </c>
      <c r="AB2449" t="s">
        <v>41258</v>
      </c>
      <c r="AC2449" t="s">
        <v>74</v>
      </c>
      <c r="AD2449" t="s">
        <v>74</v>
      </c>
      <c r="AE2449" t="s">
        <v>74</v>
      </c>
      <c r="AF2449" t="s">
        <v>74</v>
      </c>
      <c r="AG2449">
        <v>91</v>
      </c>
      <c r="AH2449">
        <v>13</v>
      </c>
      <c r="AI2449">
        <v>24</v>
      </c>
      <c r="AJ2449">
        <v>13</v>
      </c>
      <c r="AK2449">
        <v>48</v>
      </c>
      <c r="AL2449" t="s">
        <v>9204</v>
      </c>
      <c r="AM2449" t="s">
        <v>2016</v>
      </c>
      <c r="AN2449" t="s">
        <v>9205</v>
      </c>
      <c r="AO2449" t="s">
        <v>74</v>
      </c>
      <c r="AP2449" t="s">
        <v>9206</v>
      </c>
      <c r="AQ2449" t="s">
        <v>74</v>
      </c>
      <c r="AR2449" t="s">
        <v>9191</v>
      </c>
      <c r="AS2449" t="s">
        <v>9207</v>
      </c>
      <c r="AT2449" t="s">
        <v>124</v>
      </c>
      <c r="AU2449">
        <v>2023</v>
      </c>
      <c r="AV2449">
        <v>9</v>
      </c>
      <c r="AW2449">
        <v>12</v>
      </c>
      <c r="AX2449" t="s">
        <v>74</v>
      </c>
      <c r="AY2449" t="s">
        <v>74</v>
      </c>
      <c r="AZ2449" t="s">
        <v>74</v>
      </c>
      <c r="BA2449" t="s">
        <v>74</v>
      </c>
      <c r="BB2449" t="s">
        <v>74</v>
      </c>
      <c r="BC2449" t="s">
        <v>74</v>
      </c>
      <c r="BD2449" t="s">
        <v>41259</v>
      </c>
      <c r="BE2449" t="s">
        <v>41260</v>
      </c>
      <c r="BF2449" t="str">
        <f>HYPERLINK("http://dx.doi.org/10.1016/j.heliyon.2023.e21961","http://dx.doi.org/10.1016/j.heliyon.2023.e21961")</f>
        <v>http://dx.doi.org/10.1016/j.heliyon.2023.e21961</v>
      </c>
      <c r="BG2449" t="s">
        <v>74</v>
      </c>
      <c r="BH2449" t="s">
        <v>3535</v>
      </c>
      <c r="BI2449">
        <v>13</v>
      </c>
      <c r="BJ2449" t="s">
        <v>559</v>
      </c>
      <c r="BK2449" t="s">
        <v>128</v>
      </c>
      <c r="BL2449" t="s">
        <v>560</v>
      </c>
      <c r="BM2449" t="s">
        <v>41261</v>
      </c>
      <c r="BN2449">
        <v>38076157</v>
      </c>
      <c r="BO2449" t="s">
        <v>916</v>
      </c>
      <c r="BP2449" t="s">
        <v>74</v>
      </c>
      <c r="BQ2449" t="s">
        <v>74</v>
      </c>
      <c r="BR2449" t="s">
        <v>102</v>
      </c>
      <c r="BS2449" t="s">
        <v>41262</v>
      </c>
      <c r="BT2449" t="str">
        <f>HYPERLINK("https%3A%2F%2Fwww.webofscience.com%2Fwos%2Fwoscc%2Ffull-record%2FWOS:001125224100001","View Full Record in Web of Science")</f>
        <v>View Full Record in Web of Science</v>
      </c>
    </row>
    <row r="2450" spans="1:72" x14ac:dyDescent="0.25">
      <c r="A2450" t="s">
        <v>72</v>
      </c>
      <c r="B2450" t="s">
        <v>41263</v>
      </c>
      <c r="C2450" t="s">
        <v>74</v>
      </c>
      <c r="D2450" t="s">
        <v>74</v>
      </c>
      <c r="E2450" t="s">
        <v>74</v>
      </c>
      <c r="F2450" t="s">
        <v>41264</v>
      </c>
      <c r="G2450" t="s">
        <v>74</v>
      </c>
      <c r="H2450" t="s">
        <v>74</v>
      </c>
      <c r="I2450" t="s">
        <v>41265</v>
      </c>
      <c r="J2450" t="s">
        <v>1719</v>
      </c>
      <c r="K2450" t="s">
        <v>74</v>
      </c>
      <c r="L2450" t="s">
        <v>74</v>
      </c>
      <c r="M2450" t="s">
        <v>78</v>
      </c>
      <c r="N2450" t="s">
        <v>79</v>
      </c>
      <c r="O2450" t="s">
        <v>74</v>
      </c>
      <c r="P2450" t="s">
        <v>74</v>
      </c>
      <c r="Q2450" t="s">
        <v>74</v>
      </c>
      <c r="R2450" t="s">
        <v>74</v>
      </c>
      <c r="S2450" t="s">
        <v>74</v>
      </c>
      <c r="T2450" t="s">
        <v>41266</v>
      </c>
      <c r="U2450" t="s">
        <v>41267</v>
      </c>
      <c r="V2450" t="s">
        <v>41268</v>
      </c>
      <c r="W2450" t="s">
        <v>41269</v>
      </c>
      <c r="X2450" t="s">
        <v>41270</v>
      </c>
      <c r="Y2450" t="s">
        <v>41271</v>
      </c>
      <c r="Z2450" t="s">
        <v>41272</v>
      </c>
      <c r="AA2450" t="s">
        <v>74</v>
      </c>
      <c r="AB2450" t="s">
        <v>74</v>
      </c>
      <c r="AC2450" t="s">
        <v>74</v>
      </c>
      <c r="AD2450" t="s">
        <v>74</v>
      </c>
      <c r="AE2450" t="s">
        <v>74</v>
      </c>
      <c r="AF2450" t="s">
        <v>74</v>
      </c>
      <c r="AG2450">
        <v>65</v>
      </c>
      <c r="AH2450">
        <v>1</v>
      </c>
      <c r="AI2450">
        <v>1</v>
      </c>
      <c r="AJ2450">
        <v>1</v>
      </c>
      <c r="AK2450">
        <v>1</v>
      </c>
      <c r="AL2450" t="s">
        <v>332</v>
      </c>
      <c r="AM2450" t="s">
        <v>333</v>
      </c>
      <c r="AN2450" t="s">
        <v>334</v>
      </c>
      <c r="AO2450" t="s">
        <v>1732</v>
      </c>
      <c r="AP2450" t="s">
        <v>1733</v>
      </c>
      <c r="AQ2450" t="s">
        <v>74</v>
      </c>
      <c r="AR2450" t="s">
        <v>1734</v>
      </c>
      <c r="AS2450" t="s">
        <v>1735</v>
      </c>
      <c r="AT2450" t="s">
        <v>5472</v>
      </c>
      <c r="AU2450">
        <v>2025</v>
      </c>
      <c r="AV2450">
        <v>11</v>
      </c>
      <c r="AW2450">
        <v>3</v>
      </c>
      <c r="AX2450" t="s">
        <v>74</v>
      </c>
      <c r="AY2450" t="s">
        <v>74</v>
      </c>
      <c r="AZ2450" t="s">
        <v>74</v>
      </c>
      <c r="BA2450" t="s">
        <v>74</v>
      </c>
      <c r="BB2450">
        <v>343</v>
      </c>
      <c r="BC2450">
        <v>370</v>
      </c>
      <c r="BD2450" t="s">
        <v>74</v>
      </c>
      <c r="BE2450" t="s">
        <v>41273</v>
      </c>
      <c r="BF2450" t="str">
        <f>HYPERLINK("http://dx.doi.org/10.1080/23322373.2025.2541144","http://dx.doi.org/10.1080/23322373.2025.2541144")</f>
        <v>http://dx.doi.org/10.1080/23322373.2025.2541144</v>
      </c>
      <c r="BG2450" t="s">
        <v>74</v>
      </c>
      <c r="BH2450" t="s">
        <v>5030</v>
      </c>
      <c r="BI2450">
        <v>28</v>
      </c>
      <c r="BJ2450" t="s">
        <v>583</v>
      </c>
      <c r="BK2450" t="s">
        <v>313</v>
      </c>
      <c r="BL2450" t="s">
        <v>100</v>
      </c>
      <c r="BM2450" t="s">
        <v>41274</v>
      </c>
      <c r="BN2450" t="s">
        <v>74</v>
      </c>
      <c r="BO2450" t="s">
        <v>270</v>
      </c>
      <c r="BP2450" t="s">
        <v>74</v>
      </c>
      <c r="BQ2450" t="s">
        <v>74</v>
      </c>
      <c r="BR2450" t="s">
        <v>102</v>
      </c>
      <c r="BS2450" t="s">
        <v>41275</v>
      </c>
      <c r="BT2450" t="str">
        <f>HYPERLINK("https%3A%2F%2Fwww.webofscience.com%2Fwos%2Fwoscc%2Ffull-record%2FWOS:001564244400001","View Full Record in Web of Science")</f>
        <v>View Full Record in Web of Science</v>
      </c>
    </row>
    <row r="2451" spans="1:72" x14ac:dyDescent="0.25">
      <c r="A2451" t="s">
        <v>72</v>
      </c>
      <c r="B2451" t="s">
        <v>41276</v>
      </c>
      <c r="C2451" t="s">
        <v>74</v>
      </c>
      <c r="D2451" t="s">
        <v>74</v>
      </c>
      <c r="E2451" t="s">
        <v>74</v>
      </c>
      <c r="F2451" t="s">
        <v>41277</v>
      </c>
      <c r="G2451" t="s">
        <v>74</v>
      </c>
      <c r="H2451" t="s">
        <v>74</v>
      </c>
      <c r="I2451" t="s">
        <v>41278</v>
      </c>
      <c r="J2451" t="s">
        <v>18194</v>
      </c>
      <c r="K2451" t="s">
        <v>74</v>
      </c>
      <c r="L2451" t="s">
        <v>74</v>
      </c>
      <c r="M2451" t="s">
        <v>78</v>
      </c>
      <c r="N2451" t="s">
        <v>79</v>
      </c>
      <c r="O2451" t="s">
        <v>74</v>
      </c>
      <c r="P2451" t="s">
        <v>74</v>
      </c>
      <c r="Q2451" t="s">
        <v>74</v>
      </c>
      <c r="R2451" t="s">
        <v>74</v>
      </c>
      <c r="S2451" t="s">
        <v>74</v>
      </c>
      <c r="T2451" t="s">
        <v>41279</v>
      </c>
      <c r="U2451" t="s">
        <v>41280</v>
      </c>
      <c r="V2451" t="s">
        <v>41281</v>
      </c>
      <c r="W2451" t="s">
        <v>41282</v>
      </c>
      <c r="X2451" t="s">
        <v>41283</v>
      </c>
      <c r="Y2451" t="s">
        <v>41284</v>
      </c>
      <c r="Z2451" t="s">
        <v>41285</v>
      </c>
      <c r="AA2451" t="s">
        <v>41286</v>
      </c>
      <c r="AB2451" t="s">
        <v>74</v>
      </c>
      <c r="AC2451" t="s">
        <v>41287</v>
      </c>
      <c r="AD2451" t="s">
        <v>41288</v>
      </c>
      <c r="AE2451" t="s">
        <v>41289</v>
      </c>
      <c r="AF2451" t="s">
        <v>74</v>
      </c>
      <c r="AG2451">
        <v>71</v>
      </c>
      <c r="AH2451">
        <v>22</v>
      </c>
      <c r="AI2451">
        <v>24</v>
      </c>
      <c r="AJ2451">
        <v>12</v>
      </c>
      <c r="AK2451">
        <v>161</v>
      </c>
      <c r="AL2451" t="s">
        <v>575</v>
      </c>
      <c r="AM2451" t="s">
        <v>576</v>
      </c>
      <c r="AN2451" t="s">
        <v>3242</v>
      </c>
      <c r="AO2451" t="s">
        <v>74</v>
      </c>
      <c r="AP2451" t="s">
        <v>18205</v>
      </c>
      <c r="AQ2451" t="s">
        <v>74</v>
      </c>
      <c r="AR2451" t="s">
        <v>18194</v>
      </c>
      <c r="AS2451" t="s">
        <v>18206</v>
      </c>
      <c r="AT2451" t="s">
        <v>848</v>
      </c>
      <c r="AU2451">
        <v>2023</v>
      </c>
      <c r="AV2451">
        <v>13</v>
      </c>
      <c r="AW2451">
        <v>7</v>
      </c>
      <c r="AX2451" t="s">
        <v>74</v>
      </c>
      <c r="AY2451" t="s">
        <v>74</v>
      </c>
      <c r="AZ2451" t="s">
        <v>74</v>
      </c>
      <c r="BA2451" t="s">
        <v>74</v>
      </c>
      <c r="BB2451" t="s">
        <v>74</v>
      </c>
      <c r="BC2451" t="s">
        <v>74</v>
      </c>
      <c r="BD2451">
        <v>1429</v>
      </c>
      <c r="BE2451" t="s">
        <v>41290</v>
      </c>
      <c r="BF2451" t="str">
        <f>HYPERLINK("http://dx.doi.org/10.3390/agriculture13071429","http://dx.doi.org/10.3390/agriculture13071429")</f>
        <v>http://dx.doi.org/10.3390/agriculture13071429</v>
      </c>
      <c r="BG2451" t="s">
        <v>74</v>
      </c>
      <c r="BH2451" t="s">
        <v>74</v>
      </c>
      <c r="BI2451">
        <v>19</v>
      </c>
      <c r="BJ2451" t="s">
        <v>18208</v>
      </c>
      <c r="BK2451" t="s">
        <v>128</v>
      </c>
      <c r="BL2451" t="s">
        <v>5152</v>
      </c>
      <c r="BM2451" t="s">
        <v>41291</v>
      </c>
      <c r="BN2451" t="s">
        <v>74</v>
      </c>
      <c r="BO2451" t="s">
        <v>916</v>
      </c>
      <c r="BP2451" t="s">
        <v>74</v>
      </c>
      <c r="BQ2451" t="s">
        <v>74</v>
      </c>
      <c r="BR2451" t="s">
        <v>102</v>
      </c>
      <c r="BS2451" t="s">
        <v>41292</v>
      </c>
      <c r="BT2451" t="str">
        <f>HYPERLINK("https%3A%2F%2Fwww.webofscience.com%2Fwos%2Fwoscc%2Ffull-record%2FWOS:001034752000001","View Full Record in Web of Science")</f>
        <v>View Full Record in Web of Science</v>
      </c>
    </row>
    <row r="2452" spans="1:72" x14ac:dyDescent="0.25">
      <c r="A2452" t="s">
        <v>72</v>
      </c>
      <c r="B2452" t="s">
        <v>41293</v>
      </c>
      <c r="C2452" t="s">
        <v>74</v>
      </c>
      <c r="D2452" t="s">
        <v>74</v>
      </c>
      <c r="E2452" t="s">
        <v>74</v>
      </c>
      <c r="F2452" t="s">
        <v>41294</v>
      </c>
      <c r="G2452" t="s">
        <v>74</v>
      </c>
      <c r="H2452" t="s">
        <v>74</v>
      </c>
      <c r="I2452" t="s">
        <v>41295</v>
      </c>
      <c r="J2452" t="s">
        <v>3231</v>
      </c>
      <c r="K2452" t="s">
        <v>74</v>
      </c>
      <c r="L2452" t="s">
        <v>74</v>
      </c>
      <c r="M2452" t="s">
        <v>78</v>
      </c>
      <c r="N2452" t="s">
        <v>79</v>
      </c>
      <c r="O2452" t="s">
        <v>74</v>
      </c>
      <c r="P2452" t="s">
        <v>74</v>
      </c>
      <c r="Q2452" t="s">
        <v>74</v>
      </c>
      <c r="R2452" t="s">
        <v>74</v>
      </c>
      <c r="S2452" t="s">
        <v>74</v>
      </c>
      <c r="T2452" t="s">
        <v>41296</v>
      </c>
      <c r="U2452" t="s">
        <v>41297</v>
      </c>
      <c r="V2452" t="s">
        <v>41298</v>
      </c>
      <c r="W2452" t="s">
        <v>41299</v>
      </c>
      <c r="X2452" t="s">
        <v>41300</v>
      </c>
      <c r="Y2452" t="s">
        <v>41301</v>
      </c>
      <c r="Z2452" t="s">
        <v>41302</v>
      </c>
      <c r="AA2452" t="s">
        <v>41303</v>
      </c>
      <c r="AB2452" t="s">
        <v>41304</v>
      </c>
      <c r="AC2452" t="s">
        <v>74</v>
      </c>
      <c r="AD2452" t="s">
        <v>74</v>
      </c>
      <c r="AE2452" t="s">
        <v>74</v>
      </c>
      <c r="AF2452" t="s">
        <v>74</v>
      </c>
      <c r="AG2452">
        <v>90</v>
      </c>
      <c r="AH2452">
        <v>1</v>
      </c>
      <c r="AI2452">
        <v>3</v>
      </c>
      <c r="AJ2452">
        <v>0</v>
      </c>
      <c r="AK2452">
        <v>6</v>
      </c>
      <c r="AL2452" t="s">
        <v>575</v>
      </c>
      <c r="AM2452" t="s">
        <v>576</v>
      </c>
      <c r="AN2452" t="s">
        <v>3242</v>
      </c>
      <c r="AO2452" t="s">
        <v>74</v>
      </c>
      <c r="AP2452" t="s">
        <v>3243</v>
      </c>
      <c r="AQ2452" t="s">
        <v>74</v>
      </c>
      <c r="AR2452" t="s">
        <v>3244</v>
      </c>
      <c r="AS2452" t="s">
        <v>3245</v>
      </c>
      <c r="AT2452" t="s">
        <v>743</v>
      </c>
      <c r="AU2452">
        <v>2023</v>
      </c>
      <c r="AV2452">
        <v>15</v>
      </c>
      <c r="AW2452">
        <v>8</v>
      </c>
      <c r="AX2452" t="s">
        <v>74</v>
      </c>
      <c r="AY2452" t="s">
        <v>74</v>
      </c>
      <c r="AZ2452" t="s">
        <v>74</v>
      </c>
      <c r="BA2452" t="s">
        <v>74</v>
      </c>
      <c r="BB2452" t="s">
        <v>74</v>
      </c>
      <c r="BC2452" t="s">
        <v>74</v>
      </c>
      <c r="BD2452">
        <v>7012</v>
      </c>
      <c r="BE2452" t="s">
        <v>41305</v>
      </c>
      <c r="BF2452" t="str">
        <f>HYPERLINK("http://dx.doi.org/10.3390/su15087012","http://dx.doi.org/10.3390/su15087012")</f>
        <v>http://dx.doi.org/10.3390/su15087012</v>
      </c>
      <c r="BG2452" t="s">
        <v>74</v>
      </c>
      <c r="BH2452" t="s">
        <v>74</v>
      </c>
      <c r="BI2452">
        <v>21</v>
      </c>
      <c r="BJ2452" t="s">
        <v>3247</v>
      </c>
      <c r="BK2452" t="s">
        <v>2623</v>
      </c>
      <c r="BL2452" t="s">
        <v>3248</v>
      </c>
      <c r="BM2452" t="s">
        <v>41306</v>
      </c>
      <c r="BN2452" t="s">
        <v>74</v>
      </c>
      <c r="BO2452" t="s">
        <v>916</v>
      </c>
      <c r="BP2452" t="s">
        <v>74</v>
      </c>
      <c r="BQ2452" t="s">
        <v>74</v>
      </c>
      <c r="BR2452" t="s">
        <v>102</v>
      </c>
      <c r="BS2452" t="s">
        <v>41307</v>
      </c>
      <c r="BT2452" t="str">
        <f>HYPERLINK("https%3A%2F%2Fwww.webofscience.com%2Fwos%2Fwoscc%2Ffull-record%2FWOS:000977938900001","View Full Record in Web of Science")</f>
        <v>View Full Record in Web of Science</v>
      </c>
    </row>
    <row r="2453" spans="1:72" x14ac:dyDescent="0.25">
      <c r="A2453" t="s">
        <v>72</v>
      </c>
      <c r="B2453" t="s">
        <v>41308</v>
      </c>
      <c r="C2453" t="s">
        <v>74</v>
      </c>
      <c r="D2453" t="s">
        <v>74</v>
      </c>
      <c r="E2453" t="s">
        <v>74</v>
      </c>
      <c r="F2453" t="s">
        <v>41309</v>
      </c>
      <c r="G2453" t="s">
        <v>74</v>
      </c>
      <c r="H2453" t="s">
        <v>74</v>
      </c>
      <c r="I2453" t="s">
        <v>41310</v>
      </c>
      <c r="J2453" t="s">
        <v>2071</v>
      </c>
      <c r="K2453" t="s">
        <v>74</v>
      </c>
      <c r="L2453" t="s">
        <v>74</v>
      </c>
      <c r="M2453" t="s">
        <v>78</v>
      </c>
      <c r="N2453" t="s">
        <v>79</v>
      </c>
      <c r="O2453" t="s">
        <v>74</v>
      </c>
      <c r="P2453" t="s">
        <v>74</v>
      </c>
      <c r="Q2453" t="s">
        <v>74</v>
      </c>
      <c r="R2453" t="s">
        <v>74</v>
      </c>
      <c r="S2453" t="s">
        <v>74</v>
      </c>
      <c r="T2453" t="s">
        <v>41311</v>
      </c>
      <c r="U2453" t="s">
        <v>41312</v>
      </c>
      <c r="V2453" t="s">
        <v>41313</v>
      </c>
      <c r="W2453" t="s">
        <v>41314</v>
      </c>
      <c r="X2453" t="s">
        <v>41315</v>
      </c>
      <c r="Y2453" t="s">
        <v>41316</v>
      </c>
      <c r="Z2453" t="s">
        <v>41317</v>
      </c>
      <c r="AA2453" t="s">
        <v>41318</v>
      </c>
      <c r="AB2453" t="s">
        <v>41319</v>
      </c>
      <c r="AC2453" t="s">
        <v>41320</v>
      </c>
      <c r="AD2453" t="s">
        <v>41321</v>
      </c>
      <c r="AE2453" t="s">
        <v>41322</v>
      </c>
      <c r="AF2453" t="s">
        <v>74</v>
      </c>
      <c r="AG2453">
        <v>35</v>
      </c>
      <c r="AH2453">
        <v>3</v>
      </c>
      <c r="AI2453">
        <v>5</v>
      </c>
      <c r="AJ2453">
        <v>1</v>
      </c>
      <c r="AK2453">
        <v>1</v>
      </c>
      <c r="AL2453" t="s">
        <v>332</v>
      </c>
      <c r="AM2453" t="s">
        <v>333</v>
      </c>
      <c r="AN2453" t="s">
        <v>334</v>
      </c>
      <c r="AO2453" t="s">
        <v>2078</v>
      </c>
      <c r="AP2453" t="s">
        <v>2079</v>
      </c>
      <c r="AQ2453" t="s">
        <v>74</v>
      </c>
      <c r="AR2453" t="s">
        <v>2080</v>
      </c>
      <c r="AS2453" t="s">
        <v>2081</v>
      </c>
      <c r="AT2453" t="s">
        <v>1427</v>
      </c>
      <c r="AU2453">
        <v>2024</v>
      </c>
      <c r="AV2453">
        <v>41</v>
      </c>
      <c r="AW2453">
        <v>1</v>
      </c>
      <c r="AX2453" t="s">
        <v>74</v>
      </c>
      <c r="AY2453" t="s">
        <v>74</v>
      </c>
      <c r="AZ2453" t="s">
        <v>74</v>
      </c>
      <c r="BA2453" t="s">
        <v>74</v>
      </c>
      <c r="BB2453">
        <v>207</v>
      </c>
      <c r="BC2453">
        <v>224</v>
      </c>
      <c r="BD2453" t="s">
        <v>74</v>
      </c>
      <c r="BE2453" t="s">
        <v>41323</v>
      </c>
      <c r="BF2453" t="str">
        <f>HYPERLINK("http://dx.doi.org/10.1080/0376835X.2023.2273533","http://dx.doi.org/10.1080/0376835X.2023.2273533")</f>
        <v>http://dx.doi.org/10.1080/0376835X.2023.2273533</v>
      </c>
      <c r="BG2453" t="s">
        <v>74</v>
      </c>
      <c r="BH2453" t="s">
        <v>2417</v>
      </c>
      <c r="BI2453">
        <v>18</v>
      </c>
      <c r="BJ2453" t="s">
        <v>2084</v>
      </c>
      <c r="BK2453" t="s">
        <v>99</v>
      </c>
      <c r="BL2453" t="s">
        <v>2085</v>
      </c>
      <c r="BM2453" t="s">
        <v>41324</v>
      </c>
      <c r="BN2453" t="s">
        <v>74</v>
      </c>
      <c r="BO2453" t="s">
        <v>74</v>
      </c>
      <c r="BP2453" t="s">
        <v>74</v>
      </c>
      <c r="BQ2453" t="s">
        <v>74</v>
      </c>
      <c r="BR2453" t="s">
        <v>102</v>
      </c>
      <c r="BS2453" t="s">
        <v>41325</v>
      </c>
      <c r="BT2453" t="str">
        <f>HYPERLINK("https%3A%2F%2Fwww.webofscience.com%2Fwos%2Fwoscc%2Ffull-record%2FWOS:001094201000001","View Full Record in Web of Science")</f>
        <v>View Full Record in Web of Science</v>
      </c>
    </row>
    <row r="2454" spans="1:72" x14ac:dyDescent="0.25">
      <c r="A2454" t="s">
        <v>72</v>
      </c>
      <c r="B2454" t="s">
        <v>41326</v>
      </c>
      <c r="C2454" t="s">
        <v>74</v>
      </c>
      <c r="D2454" t="s">
        <v>74</v>
      </c>
      <c r="E2454" t="s">
        <v>74</v>
      </c>
      <c r="F2454" t="s">
        <v>41327</v>
      </c>
      <c r="G2454" t="s">
        <v>74</v>
      </c>
      <c r="H2454" t="s">
        <v>74</v>
      </c>
      <c r="I2454" t="s">
        <v>41328</v>
      </c>
      <c r="J2454" t="s">
        <v>2137</v>
      </c>
      <c r="K2454" t="s">
        <v>74</v>
      </c>
      <c r="L2454" t="s">
        <v>74</v>
      </c>
      <c r="M2454" t="s">
        <v>78</v>
      </c>
      <c r="N2454" t="s">
        <v>79</v>
      </c>
      <c r="O2454" t="s">
        <v>74</v>
      </c>
      <c r="P2454" t="s">
        <v>74</v>
      </c>
      <c r="Q2454" t="s">
        <v>74</v>
      </c>
      <c r="R2454" t="s">
        <v>74</v>
      </c>
      <c r="S2454" t="s">
        <v>74</v>
      </c>
      <c r="T2454" t="s">
        <v>41329</v>
      </c>
      <c r="U2454" t="s">
        <v>41330</v>
      </c>
      <c r="V2454" t="s">
        <v>41331</v>
      </c>
      <c r="W2454" t="s">
        <v>41332</v>
      </c>
      <c r="X2454" t="s">
        <v>41333</v>
      </c>
      <c r="Y2454" t="s">
        <v>41334</v>
      </c>
      <c r="Z2454" t="s">
        <v>74</v>
      </c>
      <c r="AA2454" t="s">
        <v>41335</v>
      </c>
      <c r="AB2454" t="s">
        <v>41336</v>
      </c>
      <c r="AC2454" t="s">
        <v>41337</v>
      </c>
      <c r="AD2454" t="s">
        <v>41338</v>
      </c>
      <c r="AE2454" t="s">
        <v>41339</v>
      </c>
      <c r="AF2454" t="s">
        <v>74</v>
      </c>
      <c r="AG2454">
        <v>100</v>
      </c>
      <c r="AH2454">
        <v>22</v>
      </c>
      <c r="AI2454">
        <v>25</v>
      </c>
      <c r="AJ2454">
        <v>1</v>
      </c>
      <c r="AK2454">
        <v>24</v>
      </c>
      <c r="AL2454" t="s">
        <v>2145</v>
      </c>
      <c r="AM2454" t="s">
        <v>151</v>
      </c>
      <c r="AN2454" t="s">
        <v>2146</v>
      </c>
      <c r="AO2454" t="s">
        <v>2147</v>
      </c>
      <c r="AP2454" t="s">
        <v>2148</v>
      </c>
      <c r="AQ2454" t="s">
        <v>74</v>
      </c>
      <c r="AR2454" t="s">
        <v>2149</v>
      </c>
      <c r="AS2454" t="s">
        <v>2150</v>
      </c>
      <c r="AT2454" t="s">
        <v>74</v>
      </c>
      <c r="AU2454">
        <v>2021</v>
      </c>
      <c r="AV2454">
        <v>32</v>
      </c>
      <c r="AW2454">
        <v>1</v>
      </c>
      <c r="AX2454" t="s">
        <v>74</v>
      </c>
      <c r="AY2454" t="s">
        <v>74</v>
      </c>
      <c r="AZ2454" t="s">
        <v>74</v>
      </c>
      <c r="BA2454" t="s">
        <v>74</v>
      </c>
      <c r="BB2454">
        <v>5</v>
      </c>
      <c r="BC2454">
        <v>20</v>
      </c>
      <c r="BD2454" t="s">
        <v>74</v>
      </c>
      <c r="BE2454" t="s">
        <v>41340</v>
      </c>
      <c r="BF2454" t="str">
        <f>HYPERLINK("http://dx.doi.org/10.1891/JFCP-19-00056","http://dx.doi.org/10.1891/JFCP-19-00056")</f>
        <v>http://dx.doi.org/10.1891/JFCP-19-00056</v>
      </c>
      <c r="BG2454" t="s">
        <v>74</v>
      </c>
      <c r="BH2454" t="s">
        <v>74</v>
      </c>
      <c r="BI2454">
        <v>16</v>
      </c>
      <c r="BJ2454" t="s">
        <v>1453</v>
      </c>
      <c r="BK2454" t="s">
        <v>313</v>
      </c>
      <c r="BL2454" t="s">
        <v>100</v>
      </c>
      <c r="BM2454" t="s">
        <v>36133</v>
      </c>
      <c r="BN2454" t="s">
        <v>74</v>
      </c>
      <c r="BO2454" t="s">
        <v>74</v>
      </c>
      <c r="BP2454" t="s">
        <v>74</v>
      </c>
      <c r="BQ2454" t="s">
        <v>74</v>
      </c>
      <c r="BR2454" t="s">
        <v>102</v>
      </c>
      <c r="BS2454" t="s">
        <v>41341</v>
      </c>
      <c r="BT2454" t="str">
        <f>HYPERLINK("https%3A%2F%2Fwww.webofscience.com%2Fwos%2Fwoscc%2Ffull-record%2FWOS:000659298600001","View Full Record in Web of Science")</f>
        <v>View Full Record in Web of Science</v>
      </c>
    </row>
    <row r="2455" spans="1:72" x14ac:dyDescent="0.25">
      <c r="A2455" t="s">
        <v>72</v>
      </c>
      <c r="B2455" t="s">
        <v>41342</v>
      </c>
      <c r="C2455" t="s">
        <v>74</v>
      </c>
      <c r="D2455" t="s">
        <v>74</v>
      </c>
      <c r="E2455" t="s">
        <v>74</v>
      </c>
      <c r="F2455" t="s">
        <v>41343</v>
      </c>
      <c r="G2455" t="s">
        <v>74</v>
      </c>
      <c r="H2455" t="s">
        <v>74</v>
      </c>
      <c r="I2455" t="s">
        <v>41344</v>
      </c>
      <c r="J2455" t="s">
        <v>4500</v>
      </c>
      <c r="K2455" t="s">
        <v>74</v>
      </c>
      <c r="L2455" t="s">
        <v>74</v>
      </c>
      <c r="M2455" t="s">
        <v>78</v>
      </c>
      <c r="N2455" t="s">
        <v>79</v>
      </c>
      <c r="O2455" t="s">
        <v>74</v>
      </c>
      <c r="P2455" t="s">
        <v>74</v>
      </c>
      <c r="Q2455" t="s">
        <v>74</v>
      </c>
      <c r="R2455" t="s">
        <v>74</v>
      </c>
      <c r="S2455" t="s">
        <v>74</v>
      </c>
      <c r="T2455" t="s">
        <v>74</v>
      </c>
      <c r="U2455" t="s">
        <v>13423</v>
      </c>
      <c r="V2455" t="s">
        <v>41345</v>
      </c>
      <c r="W2455" t="s">
        <v>41346</v>
      </c>
      <c r="X2455" t="s">
        <v>41347</v>
      </c>
      <c r="Y2455" t="s">
        <v>41348</v>
      </c>
      <c r="Z2455" t="s">
        <v>41349</v>
      </c>
      <c r="AA2455" t="s">
        <v>41350</v>
      </c>
      <c r="AB2455" t="s">
        <v>41351</v>
      </c>
      <c r="AC2455" t="s">
        <v>74</v>
      </c>
      <c r="AD2455" t="s">
        <v>74</v>
      </c>
      <c r="AE2455" t="s">
        <v>74</v>
      </c>
      <c r="AF2455" t="s">
        <v>74</v>
      </c>
      <c r="AG2455">
        <v>49</v>
      </c>
      <c r="AH2455">
        <v>6</v>
      </c>
      <c r="AI2455">
        <v>6</v>
      </c>
      <c r="AJ2455">
        <v>0</v>
      </c>
      <c r="AK2455">
        <v>13</v>
      </c>
      <c r="AL2455" t="s">
        <v>479</v>
      </c>
      <c r="AM2455" t="s">
        <v>480</v>
      </c>
      <c r="AN2455" t="s">
        <v>481</v>
      </c>
      <c r="AO2455" t="s">
        <v>4509</v>
      </c>
      <c r="AP2455" t="s">
        <v>4510</v>
      </c>
      <c r="AQ2455" t="s">
        <v>74</v>
      </c>
      <c r="AR2455" t="s">
        <v>4511</v>
      </c>
      <c r="AS2455" t="s">
        <v>4512</v>
      </c>
      <c r="AT2455" t="s">
        <v>289</v>
      </c>
      <c r="AU2455">
        <v>2021</v>
      </c>
      <c r="AV2455">
        <v>21</v>
      </c>
      <c r="AW2455">
        <v>3</v>
      </c>
      <c r="AX2455" t="s">
        <v>74</v>
      </c>
      <c r="AY2455" t="s">
        <v>74</v>
      </c>
      <c r="AZ2455" t="s">
        <v>74</v>
      </c>
      <c r="BA2455" t="s">
        <v>74</v>
      </c>
      <c r="BB2455" t="s">
        <v>74</v>
      </c>
      <c r="BC2455" t="s">
        <v>74</v>
      </c>
      <c r="BD2455" t="s">
        <v>41352</v>
      </c>
      <c r="BE2455" t="s">
        <v>41353</v>
      </c>
      <c r="BF2455" t="str">
        <f>HYPERLINK("http://dx.doi.org/10.1002/pa.2614","http://dx.doi.org/10.1002/pa.2614")</f>
        <v>http://dx.doi.org/10.1002/pa.2614</v>
      </c>
      <c r="BG2455" t="s">
        <v>74</v>
      </c>
      <c r="BH2455" t="s">
        <v>11376</v>
      </c>
      <c r="BI2455">
        <v>9</v>
      </c>
      <c r="BJ2455" t="s">
        <v>3868</v>
      </c>
      <c r="BK2455" t="s">
        <v>313</v>
      </c>
      <c r="BL2455" t="s">
        <v>3868</v>
      </c>
      <c r="BM2455" t="s">
        <v>20584</v>
      </c>
      <c r="BN2455" t="s">
        <v>74</v>
      </c>
      <c r="BO2455" t="s">
        <v>74</v>
      </c>
      <c r="BP2455" t="s">
        <v>74</v>
      </c>
      <c r="BQ2455" t="s">
        <v>74</v>
      </c>
      <c r="BR2455" t="s">
        <v>102</v>
      </c>
      <c r="BS2455" t="s">
        <v>41354</v>
      </c>
      <c r="BT2455" t="str">
        <f>HYPERLINK("https%3A%2F%2Fwww.webofscience.com%2Fwos%2Fwoscc%2Ffull-record%2FWOS:000616400000001","View Full Record in Web of Science")</f>
        <v>View Full Record in Web of Science</v>
      </c>
    </row>
    <row r="2456" spans="1:72" x14ac:dyDescent="0.25">
      <c r="A2456" t="s">
        <v>72</v>
      </c>
      <c r="B2456" t="s">
        <v>41355</v>
      </c>
      <c r="C2456" t="s">
        <v>74</v>
      </c>
      <c r="D2456" t="s">
        <v>74</v>
      </c>
      <c r="E2456" t="s">
        <v>74</v>
      </c>
      <c r="F2456" t="s">
        <v>41356</v>
      </c>
      <c r="G2456" t="s">
        <v>74</v>
      </c>
      <c r="H2456" t="s">
        <v>74</v>
      </c>
      <c r="I2456" t="s">
        <v>41357</v>
      </c>
      <c r="J2456" t="s">
        <v>4842</v>
      </c>
      <c r="K2456" t="s">
        <v>74</v>
      </c>
      <c r="L2456" t="s">
        <v>74</v>
      </c>
      <c r="M2456" t="s">
        <v>78</v>
      </c>
      <c r="N2456" t="s">
        <v>79</v>
      </c>
      <c r="O2456" t="s">
        <v>74</v>
      </c>
      <c r="P2456" t="s">
        <v>74</v>
      </c>
      <c r="Q2456" t="s">
        <v>74</v>
      </c>
      <c r="R2456" t="s">
        <v>74</v>
      </c>
      <c r="S2456" t="s">
        <v>74</v>
      </c>
      <c r="T2456" t="s">
        <v>41358</v>
      </c>
      <c r="U2456" t="s">
        <v>41359</v>
      </c>
      <c r="V2456" t="s">
        <v>41360</v>
      </c>
      <c r="W2456" t="s">
        <v>41361</v>
      </c>
      <c r="X2456" t="s">
        <v>74</v>
      </c>
      <c r="Y2456" t="s">
        <v>33145</v>
      </c>
      <c r="Z2456" t="s">
        <v>41362</v>
      </c>
      <c r="AA2456" t="s">
        <v>74</v>
      </c>
      <c r="AB2456" t="s">
        <v>12157</v>
      </c>
      <c r="AC2456" t="s">
        <v>74</v>
      </c>
      <c r="AD2456" t="s">
        <v>74</v>
      </c>
      <c r="AE2456" t="s">
        <v>74</v>
      </c>
      <c r="AF2456" t="s">
        <v>74</v>
      </c>
      <c r="AG2456">
        <v>75</v>
      </c>
      <c r="AH2456">
        <v>4</v>
      </c>
      <c r="AI2456">
        <v>5</v>
      </c>
      <c r="AJ2456">
        <v>0</v>
      </c>
      <c r="AK2456">
        <v>15</v>
      </c>
      <c r="AL2456" t="s">
        <v>823</v>
      </c>
      <c r="AM2456" t="s">
        <v>333</v>
      </c>
      <c r="AN2456" t="s">
        <v>824</v>
      </c>
      <c r="AO2456" t="s">
        <v>4853</v>
      </c>
      <c r="AP2456" t="s">
        <v>74</v>
      </c>
      <c r="AQ2456" t="s">
        <v>74</v>
      </c>
      <c r="AR2456" t="s">
        <v>4854</v>
      </c>
      <c r="AS2456" t="s">
        <v>4855</v>
      </c>
      <c r="AT2456" t="s">
        <v>74</v>
      </c>
      <c r="AU2456">
        <v>2017</v>
      </c>
      <c r="AV2456">
        <v>4</v>
      </c>
      <c r="AW2456" t="s">
        <v>74</v>
      </c>
      <c r="AX2456" t="s">
        <v>74</v>
      </c>
      <c r="AY2456" t="s">
        <v>74</v>
      </c>
      <c r="AZ2456" t="s">
        <v>74</v>
      </c>
      <c r="BA2456" t="s">
        <v>74</v>
      </c>
      <c r="BB2456" t="s">
        <v>74</v>
      </c>
      <c r="BC2456" t="s">
        <v>74</v>
      </c>
      <c r="BD2456">
        <v>1302866</v>
      </c>
      <c r="BE2456" t="s">
        <v>41363</v>
      </c>
      <c r="BF2456" t="str">
        <f>HYPERLINK("http://dx.doi.org/10.1080/23311975.2017.1302866","http://dx.doi.org/10.1080/23311975.2017.1302866")</f>
        <v>http://dx.doi.org/10.1080/23311975.2017.1302866</v>
      </c>
      <c r="BG2456" t="s">
        <v>74</v>
      </c>
      <c r="BH2456" t="s">
        <v>74</v>
      </c>
      <c r="BI2456">
        <v>18</v>
      </c>
      <c r="BJ2456" t="s">
        <v>418</v>
      </c>
      <c r="BK2456" t="s">
        <v>313</v>
      </c>
      <c r="BL2456" t="s">
        <v>100</v>
      </c>
      <c r="BM2456" t="s">
        <v>41364</v>
      </c>
      <c r="BN2456" t="s">
        <v>74</v>
      </c>
      <c r="BO2456" t="s">
        <v>916</v>
      </c>
      <c r="BP2456" t="s">
        <v>74</v>
      </c>
      <c r="BQ2456" t="s">
        <v>74</v>
      </c>
      <c r="BR2456" t="s">
        <v>102</v>
      </c>
      <c r="BS2456" t="s">
        <v>41365</v>
      </c>
      <c r="BT2456" t="str">
        <f>HYPERLINK("https%3A%2F%2Fwww.webofscience.com%2Fwos%2Fwoscc%2Ffull-record%2FWOS:000396876500001","View Full Record in Web of Science")</f>
        <v>View Full Record in Web of Science</v>
      </c>
    </row>
    <row r="2457" spans="1:72" x14ac:dyDescent="0.25">
      <c r="A2457" t="s">
        <v>72</v>
      </c>
      <c r="B2457" t="s">
        <v>41366</v>
      </c>
      <c r="C2457" t="s">
        <v>74</v>
      </c>
      <c r="D2457" t="s">
        <v>74</v>
      </c>
      <c r="E2457" t="s">
        <v>74</v>
      </c>
      <c r="F2457" t="s">
        <v>41367</v>
      </c>
      <c r="G2457" t="s">
        <v>74</v>
      </c>
      <c r="H2457" t="s">
        <v>74</v>
      </c>
      <c r="I2457" t="s">
        <v>41368</v>
      </c>
      <c r="J2457" t="s">
        <v>41369</v>
      </c>
      <c r="K2457" t="s">
        <v>74</v>
      </c>
      <c r="L2457" t="s">
        <v>74</v>
      </c>
      <c r="M2457" t="s">
        <v>78</v>
      </c>
      <c r="N2457" t="s">
        <v>79</v>
      </c>
      <c r="O2457" t="s">
        <v>74</v>
      </c>
      <c r="P2457" t="s">
        <v>74</v>
      </c>
      <c r="Q2457" t="s">
        <v>74</v>
      </c>
      <c r="R2457" t="s">
        <v>74</v>
      </c>
      <c r="S2457" t="s">
        <v>74</v>
      </c>
      <c r="T2457" t="s">
        <v>41370</v>
      </c>
      <c r="U2457" t="s">
        <v>41371</v>
      </c>
      <c r="V2457" t="s">
        <v>41372</v>
      </c>
      <c r="W2457" t="s">
        <v>41373</v>
      </c>
      <c r="X2457" t="s">
        <v>41374</v>
      </c>
      <c r="Y2457" t="s">
        <v>41375</v>
      </c>
      <c r="Z2457" t="s">
        <v>41376</v>
      </c>
      <c r="AA2457" t="s">
        <v>74</v>
      </c>
      <c r="AB2457" t="s">
        <v>41377</v>
      </c>
      <c r="AC2457" t="s">
        <v>41378</v>
      </c>
      <c r="AD2457" t="s">
        <v>41378</v>
      </c>
      <c r="AE2457" t="s">
        <v>41379</v>
      </c>
      <c r="AF2457" t="s">
        <v>74</v>
      </c>
      <c r="AG2457">
        <v>147</v>
      </c>
      <c r="AH2457">
        <v>2</v>
      </c>
      <c r="AI2457">
        <v>3</v>
      </c>
      <c r="AJ2457">
        <v>1</v>
      </c>
      <c r="AK2457">
        <v>4</v>
      </c>
      <c r="AL2457" t="s">
        <v>41380</v>
      </c>
      <c r="AM2457" t="s">
        <v>995</v>
      </c>
      <c r="AN2457" t="s">
        <v>41381</v>
      </c>
      <c r="AO2457" t="s">
        <v>41382</v>
      </c>
      <c r="AP2457" t="s">
        <v>41383</v>
      </c>
      <c r="AQ2457" t="s">
        <v>74</v>
      </c>
      <c r="AR2457" t="s">
        <v>41384</v>
      </c>
      <c r="AS2457" t="s">
        <v>41385</v>
      </c>
      <c r="AT2457" t="s">
        <v>289</v>
      </c>
      <c r="AU2457">
        <v>2023</v>
      </c>
      <c r="AV2457">
        <v>20</v>
      </c>
      <c r="AW2457">
        <v>4</v>
      </c>
      <c r="AX2457" t="s">
        <v>74</v>
      </c>
      <c r="AY2457" t="s">
        <v>74</v>
      </c>
      <c r="AZ2457" t="s">
        <v>74</v>
      </c>
      <c r="BA2457" t="s">
        <v>74</v>
      </c>
      <c r="BB2457">
        <v>355</v>
      </c>
      <c r="BC2457">
        <v>384</v>
      </c>
      <c r="BD2457" t="s">
        <v>74</v>
      </c>
      <c r="BE2457" t="s">
        <v>41386</v>
      </c>
      <c r="BF2457" t="str">
        <f>HYPERLINK("http://dx.doi.org/10.51327/YJSZ9508","http://dx.doi.org/10.51327/YJSZ9508")</f>
        <v>http://dx.doi.org/10.51327/YJSZ9508</v>
      </c>
      <c r="BG2457" t="s">
        <v>74</v>
      </c>
      <c r="BH2457" t="s">
        <v>74</v>
      </c>
      <c r="BI2457">
        <v>30</v>
      </c>
      <c r="BJ2457" t="s">
        <v>9799</v>
      </c>
      <c r="BK2457" t="s">
        <v>313</v>
      </c>
      <c r="BL2457" t="s">
        <v>9799</v>
      </c>
      <c r="BM2457" t="s">
        <v>41387</v>
      </c>
      <c r="BN2457" t="s">
        <v>74</v>
      </c>
      <c r="BO2457" t="s">
        <v>74</v>
      </c>
      <c r="BP2457" t="s">
        <v>74</v>
      </c>
      <c r="BQ2457" t="s">
        <v>74</v>
      </c>
      <c r="BR2457" t="s">
        <v>102</v>
      </c>
      <c r="BS2457" t="s">
        <v>41388</v>
      </c>
      <c r="BT2457" t="str">
        <f>HYPERLINK("https%3A%2F%2Fwww.webofscience.com%2Fwos%2Fwoscc%2Ffull-record%2FWOS:001064738800002","View Full Record in Web of Science")</f>
        <v>View Full Record in Web of Science</v>
      </c>
    </row>
    <row r="2458" spans="1:72" x14ac:dyDescent="0.25">
      <c r="A2458" t="s">
        <v>72</v>
      </c>
      <c r="B2458" t="s">
        <v>41389</v>
      </c>
      <c r="C2458" t="s">
        <v>74</v>
      </c>
      <c r="D2458" t="s">
        <v>74</v>
      </c>
      <c r="E2458" t="s">
        <v>74</v>
      </c>
      <c r="F2458" t="s">
        <v>41390</v>
      </c>
      <c r="G2458" t="s">
        <v>74</v>
      </c>
      <c r="H2458" t="s">
        <v>74</v>
      </c>
      <c r="I2458" t="s">
        <v>41391</v>
      </c>
      <c r="J2458" t="s">
        <v>21783</v>
      </c>
      <c r="K2458" t="s">
        <v>74</v>
      </c>
      <c r="L2458" t="s">
        <v>74</v>
      </c>
      <c r="M2458" t="s">
        <v>78</v>
      </c>
      <c r="N2458" t="s">
        <v>372</v>
      </c>
      <c r="O2458" t="s">
        <v>74</v>
      </c>
      <c r="P2458" t="s">
        <v>74</v>
      </c>
      <c r="Q2458" t="s">
        <v>74</v>
      </c>
      <c r="R2458" t="s">
        <v>74</v>
      </c>
      <c r="S2458" t="s">
        <v>74</v>
      </c>
      <c r="T2458" t="s">
        <v>74</v>
      </c>
      <c r="U2458" t="s">
        <v>41392</v>
      </c>
      <c r="V2458" t="s">
        <v>41393</v>
      </c>
      <c r="W2458" t="s">
        <v>41394</v>
      </c>
      <c r="X2458" t="s">
        <v>41395</v>
      </c>
      <c r="Y2458" t="s">
        <v>41396</v>
      </c>
      <c r="Z2458" t="s">
        <v>41397</v>
      </c>
      <c r="AA2458" t="s">
        <v>74</v>
      </c>
      <c r="AB2458" t="s">
        <v>41398</v>
      </c>
      <c r="AC2458" t="s">
        <v>74</v>
      </c>
      <c r="AD2458" t="s">
        <v>74</v>
      </c>
      <c r="AE2458" t="s">
        <v>74</v>
      </c>
      <c r="AF2458" t="s">
        <v>74</v>
      </c>
      <c r="AG2458">
        <v>55</v>
      </c>
      <c r="AH2458">
        <v>0</v>
      </c>
      <c r="AI2458">
        <v>0</v>
      </c>
      <c r="AJ2458">
        <v>10</v>
      </c>
      <c r="AK2458">
        <v>10</v>
      </c>
      <c r="AL2458" t="s">
        <v>3861</v>
      </c>
      <c r="AM2458" t="s">
        <v>2016</v>
      </c>
      <c r="AN2458" t="s">
        <v>3862</v>
      </c>
      <c r="AO2458" t="s">
        <v>21773</v>
      </c>
      <c r="AP2458" t="s">
        <v>21772</v>
      </c>
      <c r="AQ2458" t="s">
        <v>74</v>
      </c>
      <c r="AR2458" t="s">
        <v>21771</v>
      </c>
      <c r="AS2458" t="s">
        <v>21770</v>
      </c>
      <c r="AT2458" t="s">
        <v>41399</v>
      </c>
      <c r="AU2458">
        <v>2025</v>
      </c>
      <c r="AV2458" t="s">
        <v>74</v>
      </c>
      <c r="AW2458" t="s">
        <v>74</v>
      </c>
      <c r="AX2458" t="s">
        <v>74</v>
      </c>
      <c r="AY2458" t="s">
        <v>74</v>
      </c>
      <c r="AZ2458" t="s">
        <v>74</v>
      </c>
      <c r="BA2458" t="s">
        <v>74</v>
      </c>
      <c r="BB2458" t="s">
        <v>74</v>
      </c>
      <c r="BC2458" t="s">
        <v>74</v>
      </c>
      <c r="BD2458" t="s">
        <v>74</v>
      </c>
      <c r="BE2458" t="s">
        <v>41400</v>
      </c>
      <c r="BF2458" t="str">
        <f>HYPERLINK("http://dx.doi.org/10.1017/S0022109025101865","http://dx.doi.org/10.1017/S0022109025101865")</f>
        <v>http://dx.doi.org/10.1017/S0022109025101865</v>
      </c>
      <c r="BG2458" t="s">
        <v>74</v>
      </c>
      <c r="BH2458" t="s">
        <v>5030</v>
      </c>
      <c r="BI2458">
        <v>30</v>
      </c>
      <c r="BJ2458" t="s">
        <v>210</v>
      </c>
      <c r="BK2458" t="s">
        <v>99</v>
      </c>
      <c r="BL2458" t="s">
        <v>100</v>
      </c>
      <c r="BM2458" t="s">
        <v>41401</v>
      </c>
      <c r="BN2458" t="s">
        <v>74</v>
      </c>
      <c r="BO2458" t="s">
        <v>74</v>
      </c>
      <c r="BP2458" t="s">
        <v>74</v>
      </c>
      <c r="BQ2458" t="s">
        <v>74</v>
      </c>
      <c r="BR2458" t="s">
        <v>102</v>
      </c>
      <c r="BS2458" t="s">
        <v>41402</v>
      </c>
      <c r="BT2458" t="str">
        <f>HYPERLINK("https%3A%2F%2Fwww.webofscience.com%2Fwos%2Fwoscc%2Ffull-record%2FWOS:001584032100001","View Full Record in Web of Science")</f>
        <v>View Full Record in Web of Science</v>
      </c>
    </row>
    <row r="2459" spans="1:72" x14ac:dyDescent="0.25">
      <c r="A2459" t="s">
        <v>72</v>
      </c>
      <c r="B2459" t="s">
        <v>41403</v>
      </c>
      <c r="C2459" t="s">
        <v>74</v>
      </c>
      <c r="D2459" t="s">
        <v>74</v>
      </c>
      <c r="E2459" t="s">
        <v>74</v>
      </c>
      <c r="F2459" t="s">
        <v>41404</v>
      </c>
      <c r="G2459" t="s">
        <v>74</v>
      </c>
      <c r="H2459" t="s">
        <v>74</v>
      </c>
      <c r="I2459" t="s">
        <v>41405</v>
      </c>
      <c r="J2459" t="s">
        <v>41406</v>
      </c>
      <c r="K2459" t="s">
        <v>74</v>
      </c>
      <c r="L2459" t="s">
        <v>74</v>
      </c>
      <c r="M2459" t="s">
        <v>78</v>
      </c>
      <c r="N2459" t="s">
        <v>372</v>
      </c>
      <c r="O2459" t="s">
        <v>74</v>
      </c>
      <c r="P2459" t="s">
        <v>74</v>
      </c>
      <c r="Q2459" t="s">
        <v>74</v>
      </c>
      <c r="R2459" t="s">
        <v>74</v>
      </c>
      <c r="S2459" t="s">
        <v>74</v>
      </c>
      <c r="T2459" t="s">
        <v>41407</v>
      </c>
      <c r="U2459" t="s">
        <v>41408</v>
      </c>
      <c r="V2459" t="s">
        <v>41409</v>
      </c>
      <c r="W2459" t="s">
        <v>41410</v>
      </c>
      <c r="X2459" t="s">
        <v>41411</v>
      </c>
      <c r="Y2459" t="s">
        <v>41412</v>
      </c>
      <c r="Z2459" t="s">
        <v>41413</v>
      </c>
      <c r="AA2459" t="s">
        <v>74</v>
      </c>
      <c r="AB2459" t="s">
        <v>74</v>
      </c>
      <c r="AC2459" t="s">
        <v>74</v>
      </c>
      <c r="AD2459" t="s">
        <v>74</v>
      </c>
      <c r="AE2459" t="s">
        <v>74</v>
      </c>
      <c r="AF2459" t="s">
        <v>74</v>
      </c>
      <c r="AG2459">
        <v>97</v>
      </c>
      <c r="AH2459">
        <v>0</v>
      </c>
      <c r="AI2459">
        <v>0</v>
      </c>
      <c r="AJ2459">
        <v>0</v>
      </c>
      <c r="AK2459">
        <v>0</v>
      </c>
      <c r="AL2459" t="s">
        <v>89</v>
      </c>
      <c r="AM2459" t="s">
        <v>90</v>
      </c>
      <c r="AN2459" t="s">
        <v>91</v>
      </c>
      <c r="AO2459" t="s">
        <v>41414</v>
      </c>
      <c r="AP2459" t="s">
        <v>41415</v>
      </c>
      <c r="AQ2459" t="s">
        <v>74</v>
      </c>
      <c r="AR2459" t="s">
        <v>41416</v>
      </c>
      <c r="AS2459" t="s">
        <v>41417</v>
      </c>
      <c r="AT2459" t="s">
        <v>41418</v>
      </c>
      <c r="AU2459">
        <v>2025</v>
      </c>
      <c r="AV2459" t="s">
        <v>74</v>
      </c>
      <c r="AW2459" t="s">
        <v>74</v>
      </c>
      <c r="AX2459" t="s">
        <v>74</v>
      </c>
      <c r="AY2459" t="s">
        <v>74</v>
      </c>
      <c r="AZ2459" t="s">
        <v>74</v>
      </c>
      <c r="BA2459" t="s">
        <v>74</v>
      </c>
      <c r="BB2459" t="s">
        <v>74</v>
      </c>
      <c r="BC2459" t="s">
        <v>74</v>
      </c>
      <c r="BD2459" t="s">
        <v>74</v>
      </c>
      <c r="BE2459" t="s">
        <v>41419</v>
      </c>
      <c r="BF2459" t="str">
        <f>HYPERLINK("http://dx.doi.org/10.1108/CR-12-2024-0266","http://dx.doi.org/10.1108/CR-12-2024-0266")</f>
        <v>http://dx.doi.org/10.1108/CR-12-2024-0266</v>
      </c>
      <c r="BG2459" t="s">
        <v>74</v>
      </c>
      <c r="BH2459" t="s">
        <v>488</v>
      </c>
      <c r="BI2459">
        <v>27</v>
      </c>
      <c r="BJ2459" t="s">
        <v>418</v>
      </c>
      <c r="BK2459" t="s">
        <v>313</v>
      </c>
      <c r="BL2459" t="s">
        <v>100</v>
      </c>
      <c r="BM2459" t="s">
        <v>41420</v>
      </c>
      <c r="BN2459" t="s">
        <v>74</v>
      </c>
      <c r="BO2459" t="s">
        <v>74</v>
      </c>
      <c r="BP2459" t="s">
        <v>74</v>
      </c>
      <c r="BQ2459" t="s">
        <v>74</v>
      </c>
      <c r="BR2459" t="s">
        <v>102</v>
      </c>
      <c r="BS2459" t="s">
        <v>41421</v>
      </c>
      <c r="BT2459" t="str">
        <f>HYPERLINK("https%3A%2F%2Fwww.webofscience.com%2Fwos%2Fwoscc%2Ffull-record%2FWOS:001636272100001","View Full Record in Web of Science")</f>
        <v>View Full Record in Web of Science</v>
      </c>
    </row>
    <row r="2460" spans="1:72" x14ac:dyDescent="0.25">
      <c r="A2460" t="s">
        <v>72</v>
      </c>
      <c r="B2460" t="s">
        <v>41422</v>
      </c>
      <c r="C2460" t="s">
        <v>74</v>
      </c>
      <c r="D2460" t="s">
        <v>74</v>
      </c>
      <c r="E2460" t="s">
        <v>74</v>
      </c>
      <c r="F2460" t="s">
        <v>41423</v>
      </c>
      <c r="G2460" t="s">
        <v>74</v>
      </c>
      <c r="H2460" t="s">
        <v>74</v>
      </c>
      <c r="I2460" t="s">
        <v>41424</v>
      </c>
      <c r="J2460" t="s">
        <v>11655</v>
      </c>
      <c r="K2460" t="s">
        <v>74</v>
      </c>
      <c r="L2460" t="s">
        <v>74</v>
      </c>
      <c r="M2460" t="s">
        <v>78</v>
      </c>
      <c r="N2460" t="s">
        <v>79</v>
      </c>
      <c r="O2460" t="s">
        <v>74</v>
      </c>
      <c r="P2460" t="s">
        <v>74</v>
      </c>
      <c r="Q2460" t="s">
        <v>74</v>
      </c>
      <c r="R2460" t="s">
        <v>74</v>
      </c>
      <c r="S2460" t="s">
        <v>74</v>
      </c>
      <c r="T2460" t="s">
        <v>41425</v>
      </c>
      <c r="U2460" t="s">
        <v>41426</v>
      </c>
      <c r="V2460" t="s">
        <v>41427</v>
      </c>
      <c r="W2460" t="s">
        <v>41428</v>
      </c>
      <c r="X2460" t="s">
        <v>74</v>
      </c>
      <c r="Y2460" t="s">
        <v>41429</v>
      </c>
      <c r="Z2460" t="s">
        <v>41430</v>
      </c>
      <c r="AA2460" t="s">
        <v>38195</v>
      </c>
      <c r="AB2460" t="s">
        <v>74</v>
      </c>
      <c r="AC2460" t="s">
        <v>74</v>
      </c>
      <c r="AD2460" t="s">
        <v>74</v>
      </c>
      <c r="AE2460" t="s">
        <v>74</v>
      </c>
      <c r="AF2460" t="s">
        <v>74</v>
      </c>
      <c r="AG2460">
        <v>75</v>
      </c>
      <c r="AH2460">
        <v>23</v>
      </c>
      <c r="AI2460">
        <v>27</v>
      </c>
      <c r="AJ2460">
        <v>1</v>
      </c>
      <c r="AK2460">
        <v>47</v>
      </c>
      <c r="AL2460" t="s">
        <v>503</v>
      </c>
      <c r="AM2460" t="s">
        <v>151</v>
      </c>
      <c r="AN2460" t="s">
        <v>504</v>
      </c>
      <c r="AO2460" t="s">
        <v>11665</v>
      </c>
      <c r="AP2460" t="s">
        <v>11666</v>
      </c>
      <c r="AQ2460" t="s">
        <v>74</v>
      </c>
      <c r="AR2460" t="s">
        <v>11667</v>
      </c>
      <c r="AS2460" t="s">
        <v>11668</v>
      </c>
      <c r="AT2460" t="s">
        <v>891</v>
      </c>
      <c r="AU2460">
        <v>2022</v>
      </c>
      <c r="AV2460">
        <v>152</v>
      </c>
      <c r="AW2460" t="s">
        <v>74</v>
      </c>
      <c r="AX2460" t="s">
        <v>74</v>
      </c>
      <c r="AY2460" t="s">
        <v>74</v>
      </c>
      <c r="AZ2460" t="s">
        <v>74</v>
      </c>
      <c r="BA2460" t="s">
        <v>74</v>
      </c>
      <c r="BB2460">
        <v>425</v>
      </c>
      <c r="BC2460">
        <v>435</v>
      </c>
      <c r="BD2460" t="s">
        <v>74</v>
      </c>
      <c r="BE2460" t="s">
        <v>41431</v>
      </c>
      <c r="BF2460" t="str">
        <f>HYPERLINK("http://dx.doi.org/10.1016/j.jbusres.2022.08.010","http://dx.doi.org/10.1016/j.jbusres.2022.08.010")</f>
        <v>http://dx.doi.org/10.1016/j.jbusres.2022.08.010</v>
      </c>
      <c r="BG2460" t="s">
        <v>74</v>
      </c>
      <c r="BH2460" t="s">
        <v>2328</v>
      </c>
      <c r="BI2460">
        <v>11</v>
      </c>
      <c r="BJ2460" t="s">
        <v>418</v>
      </c>
      <c r="BK2460" t="s">
        <v>99</v>
      </c>
      <c r="BL2460" t="s">
        <v>100</v>
      </c>
      <c r="BM2460" t="s">
        <v>41432</v>
      </c>
      <c r="BN2460" t="s">
        <v>74</v>
      </c>
      <c r="BO2460" t="s">
        <v>74</v>
      </c>
      <c r="BP2460" t="s">
        <v>74</v>
      </c>
      <c r="BQ2460" t="s">
        <v>74</v>
      </c>
      <c r="BR2460" t="s">
        <v>102</v>
      </c>
      <c r="BS2460" t="s">
        <v>41433</v>
      </c>
      <c r="BT2460" t="str">
        <f>HYPERLINK("https%3A%2F%2Fwww.webofscience.com%2Fwos%2Fwoscc%2Ffull-record%2FWOS:000861032500014","View Full Record in Web of Science")</f>
        <v>View Full Record in Web of Science</v>
      </c>
    </row>
    <row r="2461" spans="1:72" x14ac:dyDescent="0.25">
      <c r="A2461" t="s">
        <v>72</v>
      </c>
      <c r="B2461" t="s">
        <v>41434</v>
      </c>
      <c r="C2461" t="s">
        <v>74</v>
      </c>
      <c r="D2461" t="s">
        <v>74</v>
      </c>
      <c r="E2461" t="s">
        <v>74</v>
      </c>
      <c r="F2461" t="s">
        <v>41435</v>
      </c>
      <c r="G2461" t="s">
        <v>74</v>
      </c>
      <c r="H2461" t="s">
        <v>74</v>
      </c>
      <c r="I2461" t="s">
        <v>41436</v>
      </c>
      <c r="J2461" t="s">
        <v>4055</v>
      </c>
      <c r="K2461" t="s">
        <v>74</v>
      </c>
      <c r="L2461" t="s">
        <v>74</v>
      </c>
      <c r="M2461" t="s">
        <v>78</v>
      </c>
      <c r="N2461" t="s">
        <v>79</v>
      </c>
      <c r="O2461" t="s">
        <v>74</v>
      </c>
      <c r="P2461" t="s">
        <v>74</v>
      </c>
      <c r="Q2461" t="s">
        <v>74</v>
      </c>
      <c r="R2461" t="s">
        <v>74</v>
      </c>
      <c r="S2461" t="s">
        <v>74</v>
      </c>
      <c r="T2461" t="s">
        <v>41437</v>
      </c>
      <c r="U2461" t="s">
        <v>74</v>
      </c>
      <c r="V2461" t="s">
        <v>41438</v>
      </c>
      <c r="W2461" t="s">
        <v>41439</v>
      </c>
      <c r="X2461" t="s">
        <v>36125</v>
      </c>
      <c r="Y2461" t="s">
        <v>41440</v>
      </c>
      <c r="Z2461" t="s">
        <v>41441</v>
      </c>
      <c r="AA2461" t="s">
        <v>74</v>
      </c>
      <c r="AB2461" t="s">
        <v>74</v>
      </c>
      <c r="AC2461" t="s">
        <v>74</v>
      </c>
      <c r="AD2461" t="s">
        <v>74</v>
      </c>
      <c r="AE2461" t="s">
        <v>74</v>
      </c>
      <c r="AF2461" t="s">
        <v>74</v>
      </c>
      <c r="AG2461">
        <v>23</v>
      </c>
      <c r="AH2461">
        <v>1</v>
      </c>
      <c r="AI2461">
        <v>1</v>
      </c>
      <c r="AJ2461">
        <v>0</v>
      </c>
      <c r="AK2461">
        <v>4</v>
      </c>
      <c r="AL2461" t="s">
        <v>2907</v>
      </c>
      <c r="AM2461" t="s">
        <v>2908</v>
      </c>
      <c r="AN2461" t="s">
        <v>2909</v>
      </c>
      <c r="AO2461" t="s">
        <v>4064</v>
      </c>
      <c r="AP2461" t="s">
        <v>4065</v>
      </c>
      <c r="AQ2461" t="s">
        <v>74</v>
      </c>
      <c r="AR2461" t="s">
        <v>4066</v>
      </c>
      <c r="AS2461" t="s">
        <v>4067</v>
      </c>
      <c r="AT2461" t="s">
        <v>1652</v>
      </c>
      <c r="AU2461">
        <v>2024</v>
      </c>
      <c r="AV2461">
        <v>29</v>
      </c>
      <c r="AW2461">
        <v>2</v>
      </c>
      <c r="AX2461" t="s">
        <v>74</v>
      </c>
      <c r="AY2461" t="s">
        <v>74</v>
      </c>
      <c r="AZ2461" t="s">
        <v>74</v>
      </c>
      <c r="BA2461" t="s">
        <v>74</v>
      </c>
      <c r="BB2461">
        <v>582</v>
      </c>
      <c r="BC2461">
        <v>589</v>
      </c>
      <c r="BD2461" t="s">
        <v>74</v>
      </c>
      <c r="BE2461" t="s">
        <v>41442</v>
      </c>
      <c r="BF2461" t="str">
        <f>HYPERLINK("http://dx.doi.org/10.1057/s41264-023-00227-7","http://dx.doi.org/10.1057/s41264-023-00227-7")</f>
        <v>http://dx.doi.org/10.1057/s41264-023-00227-7</v>
      </c>
      <c r="BG2461" t="s">
        <v>74</v>
      </c>
      <c r="BH2461" t="s">
        <v>6298</v>
      </c>
      <c r="BI2461">
        <v>8</v>
      </c>
      <c r="BJ2461" t="s">
        <v>418</v>
      </c>
      <c r="BK2461" t="s">
        <v>313</v>
      </c>
      <c r="BL2461" t="s">
        <v>100</v>
      </c>
      <c r="BM2461" t="s">
        <v>25550</v>
      </c>
      <c r="BN2461" t="s">
        <v>74</v>
      </c>
      <c r="BO2461" t="s">
        <v>74</v>
      </c>
      <c r="BP2461" t="s">
        <v>74</v>
      </c>
      <c r="BQ2461" t="s">
        <v>74</v>
      </c>
      <c r="BR2461" t="s">
        <v>102</v>
      </c>
      <c r="BS2461" t="s">
        <v>41443</v>
      </c>
      <c r="BT2461" t="str">
        <f>HYPERLINK("https%3A%2F%2Fwww.webofscience.com%2Fwos%2Fwoscc%2Ffull-record%2FWOS:000965837700001","View Full Record in Web of Science")</f>
        <v>View Full Record in Web of Science</v>
      </c>
    </row>
    <row r="2462" spans="1:72" x14ac:dyDescent="0.25">
      <c r="A2462" t="s">
        <v>72</v>
      </c>
      <c r="B2462" t="s">
        <v>41444</v>
      </c>
      <c r="C2462" t="s">
        <v>74</v>
      </c>
      <c r="D2462" t="s">
        <v>74</v>
      </c>
      <c r="E2462" t="s">
        <v>74</v>
      </c>
      <c r="F2462" t="s">
        <v>41445</v>
      </c>
      <c r="G2462" t="s">
        <v>74</v>
      </c>
      <c r="H2462" t="s">
        <v>74</v>
      </c>
      <c r="I2462" t="s">
        <v>41446</v>
      </c>
      <c r="J2462" t="s">
        <v>41447</v>
      </c>
      <c r="K2462" t="s">
        <v>74</v>
      </c>
      <c r="L2462" t="s">
        <v>74</v>
      </c>
      <c r="M2462" t="s">
        <v>78</v>
      </c>
      <c r="N2462" t="s">
        <v>79</v>
      </c>
      <c r="O2462" t="s">
        <v>74</v>
      </c>
      <c r="P2462" t="s">
        <v>74</v>
      </c>
      <c r="Q2462" t="s">
        <v>74</v>
      </c>
      <c r="R2462" t="s">
        <v>74</v>
      </c>
      <c r="S2462" t="s">
        <v>74</v>
      </c>
      <c r="T2462" t="s">
        <v>41448</v>
      </c>
      <c r="U2462" t="s">
        <v>41449</v>
      </c>
      <c r="V2462" t="s">
        <v>41450</v>
      </c>
      <c r="W2462" t="s">
        <v>41451</v>
      </c>
      <c r="X2462" t="s">
        <v>41452</v>
      </c>
      <c r="Y2462" t="s">
        <v>41453</v>
      </c>
      <c r="Z2462" t="s">
        <v>25190</v>
      </c>
      <c r="AA2462" t="s">
        <v>74</v>
      </c>
      <c r="AB2462" t="s">
        <v>74</v>
      </c>
      <c r="AC2462" t="s">
        <v>74</v>
      </c>
      <c r="AD2462" t="s">
        <v>74</v>
      </c>
      <c r="AE2462" t="s">
        <v>74</v>
      </c>
      <c r="AF2462" t="s">
        <v>74</v>
      </c>
      <c r="AG2462">
        <v>62</v>
      </c>
      <c r="AH2462">
        <v>11</v>
      </c>
      <c r="AI2462">
        <v>15</v>
      </c>
      <c r="AJ2462">
        <v>1</v>
      </c>
      <c r="AK2462">
        <v>27</v>
      </c>
      <c r="AL2462" t="s">
        <v>332</v>
      </c>
      <c r="AM2462" t="s">
        <v>333</v>
      </c>
      <c r="AN2462" t="s">
        <v>334</v>
      </c>
      <c r="AO2462" t="s">
        <v>41454</v>
      </c>
      <c r="AP2462" t="s">
        <v>41455</v>
      </c>
      <c r="AQ2462" t="s">
        <v>74</v>
      </c>
      <c r="AR2462" t="s">
        <v>41456</v>
      </c>
      <c r="AS2462" t="s">
        <v>41457</v>
      </c>
      <c r="AT2462" t="s">
        <v>74</v>
      </c>
      <c r="AU2462">
        <v>2018</v>
      </c>
      <c r="AV2462">
        <v>44</v>
      </c>
      <c r="AW2462">
        <v>3</v>
      </c>
      <c r="AX2462" t="s">
        <v>74</v>
      </c>
      <c r="AY2462" t="s">
        <v>74</v>
      </c>
      <c r="AZ2462" t="s">
        <v>74</v>
      </c>
      <c r="BA2462" t="s">
        <v>74</v>
      </c>
      <c r="BB2462">
        <v>308</v>
      </c>
      <c r="BC2462">
        <v>318</v>
      </c>
      <c r="BD2462" t="s">
        <v>74</v>
      </c>
      <c r="BE2462" t="s">
        <v>41458</v>
      </c>
      <c r="BF2462" t="str">
        <f>HYPERLINK("http://dx.doi.org/10.1080/01488376.2018.1472170","http://dx.doi.org/10.1080/01488376.2018.1472170")</f>
        <v>http://dx.doi.org/10.1080/01488376.2018.1472170</v>
      </c>
      <c r="BG2462" t="s">
        <v>74</v>
      </c>
      <c r="BH2462" t="s">
        <v>74</v>
      </c>
      <c r="BI2462">
        <v>11</v>
      </c>
      <c r="BJ2462" t="s">
        <v>2045</v>
      </c>
      <c r="BK2462" t="s">
        <v>99</v>
      </c>
      <c r="BL2462" t="s">
        <v>2045</v>
      </c>
      <c r="BM2462" t="s">
        <v>41459</v>
      </c>
      <c r="BN2462" t="s">
        <v>74</v>
      </c>
      <c r="BO2462" t="s">
        <v>74</v>
      </c>
      <c r="BP2462" t="s">
        <v>74</v>
      </c>
      <c r="BQ2462" t="s">
        <v>74</v>
      </c>
      <c r="BR2462" t="s">
        <v>102</v>
      </c>
      <c r="BS2462" t="s">
        <v>41460</v>
      </c>
      <c r="BT2462" t="str">
        <f>HYPERLINK("https%3A%2F%2Fwww.webofscience.com%2Fwos%2Fwoscc%2Ffull-record%2FWOS:000442689700004","View Full Record in Web of Science")</f>
        <v>View Full Record in Web of Science</v>
      </c>
    </row>
    <row r="2463" spans="1:72" x14ac:dyDescent="0.25">
      <c r="A2463" t="s">
        <v>72</v>
      </c>
      <c r="B2463" t="s">
        <v>41461</v>
      </c>
      <c r="C2463" t="s">
        <v>74</v>
      </c>
      <c r="D2463" t="s">
        <v>74</v>
      </c>
      <c r="E2463" t="s">
        <v>74</v>
      </c>
      <c r="F2463" t="s">
        <v>41462</v>
      </c>
      <c r="G2463" t="s">
        <v>74</v>
      </c>
      <c r="H2463" t="s">
        <v>74</v>
      </c>
      <c r="I2463" t="s">
        <v>41463</v>
      </c>
      <c r="J2463" t="s">
        <v>41464</v>
      </c>
      <c r="K2463" t="s">
        <v>74</v>
      </c>
      <c r="L2463" t="s">
        <v>74</v>
      </c>
      <c r="M2463" t="s">
        <v>78</v>
      </c>
      <c r="N2463" t="s">
        <v>372</v>
      </c>
      <c r="O2463" t="s">
        <v>74</v>
      </c>
      <c r="P2463" t="s">
        <v>74</v>
      </c>
      <c r="Q2463" t="s">
        <v>74</v>
      </c>
      <c r="R2463" t="s">
        <v>74</v>
      </c>
      <c r="S2463" t="s">
        <v>74</v>
      </c>
      <c r="T2463" t="s">
        <v>41465</v>
      </c>
      <c r="U2463" t="s">
        <v>22744</v>
      </c>
      <c r="V2463" t="s">
        <v>41466</v>
      </c>
      <c r="W2463" t="s">
        <v>41467</v>
      </c>
      <c r="X2463" t="s">
        <v>10757</v>
      </c>
      <c r="Y2463" t="s">
        <v>41468</v>
      </c>
      <c r="Z2463" t="s">
        <v>41469</v>
      </c>
      <c r="AA2463" t="s">
        <v>74</v>
      </c>
      <c r="AB2463" t="s">
        <v>74</v>
      </c>
      <c r="AC2463" t="s">
        <v>74</v>
      </c>
      <c r="AD2463" t="s">
        <v>74</v>
      </c>
      <c r="AE2463" t="s">
        <v>74</v>
      </c>
      <c r="AF2463" t="s">
        <v>74</v>
      </c>
      <c r="AG2463">
        <v>103</v>
      </c>
      <c r="AH2463">
        <v>0</v>
      </c>
      <c r="AI2463">
        <v>0</v>
      </c>
      <c r="AJ2463">
        <v>0</v>
      </c>
      <c r="AK2463">
        <v>0</v>
      </c>
      <c r="AL2463" t="s">
        <v>479</v>
      </c>
      <c r="AM2463" t="s">
        <v>480</v>
      </c>
      <c r="AN2463" t="s">
        <v>481</v>
      </c>
      <c r="AO2463" t="s">
        <v>41470</v>
      </c>
      <c r="AP2463" t="s">
        <v>41471</v>
      </c>
      <c r="AQ2463" t="s">
        <v>74</v>
      </c>
      <c r="AR2463" t="s">
        <v>41472</v>
      </c>
      <c r="AS2463" t="s">
        <v>41473</v>
      </c>
      <c r="AT2463" t="s">
        <v>38294</v>
      </c>
      <c r="AU2463">
        <v>2025</v>
      </c>
      <c r="AV2463" t="s">
        <v>74</v>
      </c>
      <c r="AW2463" t="s">
        <v>74</v>
      </c>
      <c r="AX2463" t="s">
        <v>74</v>
      </c>
      <c r="AY2463" t="s">
        <v>74</v>
      </c>
      <c r="AZ2463" t="s">
        <v>74</v>
      </c>
      <c r="BA2463" t="s">
        <v>74</v>
      </c>
      <c r="BB2463" t="s">
        <v>74</v>
      </c>
      <c r="BC2463" t="s">
        <v>74</v>
      </c>
      <c r="BD2463" t="s">
        <v>74</v>
      </c>
      <c r="BE2463" t="s">
        <v>41474</v>
      </c>
      <c r="BF2463" t="str">
        <f>HYPERLINK("http://dx.doi.org/10.1111/sjtg.70051","http://dx.doi.org/10.1111/sjtg.70051")</f>
        <v>http://dx.doi.org/10.1111/sjtg.70051</v>
      </c>
      <c r="BG2463" t="s">
        <v>74</v>
      </c>
      <c r="BH2463" t="s">
        <v>488</v>
      </c>
      <c r="BI2463">
        <v>20</v>
      </c>
      <c r="BJ2463" t="s">
        <v>20950</v>
      </c>
      <c r="BK2463" t="s">
        <v>99</v>
      </c>
      <c r="BL2463" t="s">
        <v>20950</v>
      </c>
      <c r="BM2463" t="s">
        <v>41475</v>
      </c>
      <c r="BN2463" t="s">
        <v>74</v>
      </c>
      <c r="BO2463" t="s">
        <v>270</v>
      </c>
      <c r="BP2463" t="s">
        <v>74</v>
      </c>
      <c r="BQ2463" t="s">
        <v>74</v>
      </c>
      <c r="BR2463" t="s">
        <v>102</v>
      </c>
      <c r="BS2463" t="s">
        <v>41476</v>
      </c>
      <c r="BT2463" t="str">
        <f>HYPERLINK("https%3A%2F%2Fwww.webofscience.com%2Fwos%2Fwoscc%2Ffull-record%2FWOS:001637216500001","View Full Record in Web of Science")</f>
        <v>View Full Record in Web of Science</v>
      </c>
    </row>
    <row r="2464" spans="1:72" x14ac:dyDescent="0.25">
      <c r="A2464" t="s">
        <v>72</v>
      </c>
      <c r="B2464" t="s">
        <v>41477</v>
      </c>
      <c r="C2464" t="s">
        <v>74</v>
      </c>
      <c r="D2464" t="s">
        <v>74</v>
      </c>
      <c r="E2464" t="s">
        <v>74</v>
      </c>
      <c r="F2464" t="s">
        <v>41478</v>
      </c>
      <c r="G2464" t="s">
        <v>74</v>
      </c>
      <c r="H2464" t="s">
        <v>74</v>
      </c>
      <c r="I2464" t="s">
        <v>41479</v>
      </c>
      <c r="J2464" t="s">
        <v>424</v>
      </c>
      <c r="K2464" t="s">
        <v>74</v>
      </c>
      <c r="L2464" t="s">
        <v>74</v>
      </c>
      <c r="M2464" t="s">
        <v>78</v>
      </c>
      <c r="N2464" t="s">
        <v>79</v>
      </c>
      <c r="O2464" t="s">
        <v>74</v>
      </c>
      <c r="P2464" t="s">
        <v>74</v>
      </c>
      <c r="Q2464" t="s">
        <v>74</v>
      </c>
      <c r="R2464" t="s">
        <v>74</v>
      </c>
      <c r="S2464" t="s">
        <v>74</v>
      </c>
      <c r="T2464" t="s">
        <v>41480</v>
      </c>
      <c r="U2464" t="s">
        <v>41481</v>
      </c>
      <c r="V2464" t="s">
        <v>41482</v>
      </c>
      <c r="W2464" t="s">
        <v>41483</v>
      </c>
      <c r="X2464" t="s">
        <v>41484</v>
      </c>
      <c r="Y2464" t="s">
        <v>41485</v>
      </c>
      <c r="Z2464" t="s">
        <v>41486</v>
      </c>
      <c r="AA2464" t="s">
        <v>41487</v>
      </c>
      <c r="AB2464" t="s">
        <v>41488</v>
      </c>
      <c r="AC2464" t="s">
        <v>41489</v>
      </c>
      <c r="AD2464" t="s">
        <v>41490</v>
      </c>
      <c r="AE2464" t="s">
        <v>41491</v>
      </c>
      <c r="AF2464" t="s">
        <v>74</v>
      </c>
      <c r="AG2464">
        <v>52</v>
      </c>
      <c r="AH2464">
        <v>64</v>
      </c>
      <c r="AI2464">
        <v>107</v>
      </c>
      <c r="AJ2464">
        <v>2</v>
      </c>
      <c r="AK2464">
        <v>85</v>
      </c>
      <c r="AL2464" t="s">
        <v>89</v>
      </c>
      <c r="AM2464" t="s">
        <v>90</v>
      </c>
      <c r="AN2464" t="s">
        <v>91</v>
      </c>
      <c r="AO2464" t="s">
        <v>436</v>
      </c>
      <c r="AP2464" t="s">
        <v>437</v>
      </c>
      <c r="AQ2464" t="s">
        <v>74</v>
      </c>
      <c r="AR2464" t="s">
        <v>438</v>
      </c>
      <c r="AS2464" t="s">
        <v>439</v>
      </c>
      <c r="AT2464" t="s">
        <v>24041</v>
      </c>
      <c r="AU2464">
        <v>2021</v>
      </c>
      <c r="AV2464">
        <v>39</v>
      </c>
      <c r="AW2464">
        <v>7</v>
      </c>
      <c r="AX2464" t="s">
        <v>74</v>
      </c>
      <c r="AY2464" t="s">
        <v>74</v>
      </c>
      <c r="AZ2464" t="s">
        <v>74</v>
      </c>
      <c r="BA2464" t="s">
        <v>74</v>
      </c>
      <c r="BB2464">
        <v>1208</v>
      </c>
      <c r="BC2464">
        <v>1226</v>
      </c>
      <c r="BD2464" t="s">
        <v>74</v>
      </c>
      <c r="BE2464" t="s">
        <v>41492</v>
      </c>
      <c r="BF2464" t="str">
        <f>HYPERLINK("http://dx.doi.org/10.1108/IJBM-11-2020-0552","http://dx.doi.org/10.1108/IJBM-11-2020-0552")</f>
        <v>http://dx.doi.org/10.1108/IJBM-11-2020-0552</v>
      </c>
      <c r="BG2464" t="s">
        <v>74</v>
      </c>
      <c r="BH2464" t="s">
        <v>11242</v>
      </c>
      <c r="BI2464">
        <v>19</v>
      </c>
      <c r="BJ2464" t="s">
        <v>418</v>
      </c>
      <c r="BK2464" t="s">
        <v>99</v>
      </c>
      <c r="BL2464" t="s">
        <v>100</v>
      </c>
      <c r="BM2464" t="s">
        <v>39328</v>
      </c>
      <c r="BN2464" t="s">
        <v>74</v>
      </c>
      <c r="BO2464" t="s">
        <v>74</v>
      </c>
      <c r="BP2464" t="s">
        <v>74</v>
      </c>
      <c r="BQ2464" t="s">
        <v>74</v>
      </c>
      <c r="BR2464" t="s">
        <v>102</v>
      </c>
      <c r="BS2464" t="s">
        <v>41493</v>
      </c>
      <c r="BT2464" t="str">
        <f>HYPERLINK("https%3A%2F%2Fwww.webofscience.com%2Fwos%2Fwoscc%2Ffull-record%2FWOS:000656783200001","View Full Record in Web of Science")</f>
        <v>View Full Record in Web of Science</v>
      </c>
    </row>
    <row r="2465" spans="1:72" x14ac:dyDescent="0.25">
      <c r="A2465" t="s">
        <v>72</v>
      </c>
      <c r="B2465" t="s">
        <v>41494</v>
      </c>
      <c r="C2465" t="s">
        <v>74</v>
      </c>
      <c r="D2465" t="s">
        <v>74</v>
      </c>
      <c r="E2465" t="s">
        <v>74</v>
      </c>
      <c r="F2465" t="s">
        <v>41495</v>
      </c>
      <c r="G2465" t="s">
        <v>74</v>
      </c>
      <c r="H2465" t="s">
        <v>74</v>
      </c>
      <c r="I2465" t="s">
        <v>41496</v>
      </c>
      <c r="J2465" t="s">
        <v>8942</v>
      </c>
      <c r="K2465" t="s">
        <v>74</v>
      </c>
      <c r="L2465" t="s">
        <v>74</v>
      </c>
      <c r="M2465" t="s">
        <v>78</v>
      </c>
      <c r="N2465" t="s">
        <v>372</v>
      </c>
      <c r="O2465" t="s">
        <v>74</v>
      </c>
      <c r="P2465" t="s">
        <v>74</v>
      </c>
      <c r="Q2465" t="s">
        <v>74</v>
      </c>
      <c r="R2465" t="s">
        <v>74</v>
      </c>
      <c r="S2465" t="s">
        <v>74</v>
      </c>
      <c r="T2465" t="s">
        <v>41497</v>
      </c>
      <c r="U2465" t="s">
        <v>41498</v>
      </c>
      <c r="V2465" t="s">
        <v>41499</v>
      </c>
      <c r="W2465" t="s">
        <v>41500</v>
      </c>
      <c r="X2465" t="s">
        <v>19403</v>
      </c>
      <c r="Y2465" t="s">
        <v>41501</v>
      </c>
      <c r="Z2465" t="s">
        <v>41502</v>
      </c>
      <c r="AA2465" t="s">
        <v>41503</v>
      </c>
      <c r="AB2465" t="s">
        <v>41504</v>
      </c>
      <c r="AC2465" t="s">
        <v>74</v>
      </c>
      <c r="AD2465" t="s">
        <v>74</v>
      </c>
      <c r="AE2465" t="s">
        <v>74</v>
      </c>
      <c r="AF2465" t="s">
        <v>74</v>
      </c>
      <c r="AG2465">
        <v>43</v>
      </c>
      <c r="AH2465">
        <v>3</v>
      </c>
      <c r="AI2465">
        <v>5</v>
      </c>
      <c r="AJ2465">
        <v>1</v>
      </c>
      <c r="AK2465">
        <v>1</v>
      </c>
      <c r="AL2465" t="s">
        <v>89</v>
      </c>
      <c r="AM2465" t="s">
        <v>90</v>
      </c>
      <c r="AN2465" t="s">
        <v>91</v>
      </c>
      <c r="AO2465" t="s">
        <v>8952</v>
      </c>
      <c r="AP2465" t="s">
        <v>8953</v>
      </c>
      <c r="AQ2465" t="s">
        <v>74</v>
      </c>
      <c r="AR2465" t="s">
        <v>8954</v>
      </c>
      <c r="AS2465" t="s">
        <v>8955</v>
      </c>
      <c r="AT2465" t="s">
        <v>41505</v>
      </c>
      <c r="AU2465">
        <v>2025</v>
      </c>
      <c r="AV2465" t="s">
        <v>74</v>
      </c>
      <c r="AW2465" t="s">
        <v>74</v>
      </c>
      <c r="AX2465" t="s">
        <v>74</v>
      </c>
      <c r="AY2465" t="s">
        <v>74</v>
      </c>
      <c r="AZ2465" t="s">
        <v>74</v>
      </c>
      <c r="BA2465" t="s">
        <v>74</v>
      </c>
      <c r="BB2465" t="s">
        <v>74</v>
      </c>
      <c r="BC2465" t="s">
        <v>74</v>
      </c>
      <c r="BD2465" t="s">
        <v>74</v>
      </c>
      <c r="BE2465" t="s">
        <v>41506</v>
      </c>
      <c r="BF2465" t="str">
        <f>HYPERLINK("http://dx.doi.org/10.1108/AJEMS-08-2024-0435","http://dx.doi.org/10.1108/AJEMS-08-2024-0435")</f>
        <v>http://dx.doi.org/10.1108/AJEMS-08-2024-0435</v>
      </c>
      <c r="BG2465" t="s">
        <v>74</v>
      </c>
      <c r="BH2465" t="s">
        <v>417</v>
      </c>
      <c r="BI2465">
        <v>15</v>
      </c>
      <c r="BJ2465" t="s">
        <v>291</v>
      </c>
      <c r="BK2465" t="s">
        <v>313</v>
      </c>
      <c r="BL2465" t="s">
        <v>100</v>
      </c>
      <c r="BM2465" t="s">
        <v>41507</v>
      </c>
      <c r="BN2465" t="s">
        <v>74</v>
      </c>
      <c r="BO2465" t="s">
        <v>74</v>
      </c>
      <c r="BP2465" t="s">
        <v>74</v>
      </c>
      <c r="BQ2465" t="s">
        <v>74</v>
      </c>
      <c r="BR2465" t="s">
        <v>102</v>
      </c>
      <c r="BS2465" t="s">
        <v>41508</v>
      </c>
      <c r="BT2465" t="str">
        <f>HYPERLINK("https%3A%2F%2Fwww.webofscience.com%2Fwos%2Fwoscc%2Ffull-record%2FWOS:001416058900001","View Full Record in Web of Science")</f>
        <v>View Full Record in Web of Science</v>
      </c>
    </row>
    <row r="2466" spans="1:72" x14ac:dyDescent="0.25">
      <c r="A2466" t="s">
        <v>72</v>
      </c>
      <c r="B2466" t="s">
        <v>41509</v>
      </c>
      <c r="C2466" t="s">
        <v>74</v>
      </c>
      <c r="D2466" t="s">
        <v>74</v>
      </c>
      <c r="E2466" t="s">
        <v>74</v>
      </c>
      <c r="F2466" t="s">
        <v>41510</v>
      </c>
      <c r="G2466" t="s">
        <v>74</v>
      </c>
      <c r="H2466" t="s">
        <v>74</v>
      </c>
      <c r="I2466" t="s">
        <v>41511</v>
      </c>
      <c r="J2466" t="s">
        <v>2763</v>
      </c>
      <c r="K2466" t="s">
        <v>74</v>
      </c>
      <c r="L2466" t="s">
        <v>74</v>
      </c>
      <c r="M2466" t="s">
        <v>78</v>
      </c>
      <c r="N2466" t="s">
        <v>79</v>
      </c>
      <c r="O2466" t="s">
        <v>74</v>
      </c>
      <c r="P2466" t="s">
        <v>74</v>
      </c>
      <c r="Q2466" t="s">
        <v>74</v>
      </c>
      <c r="R2466" t="s">
        <v>74</v>
      </c>
      <c r="S2466" t="s">
        <v>74</v>
      </c>
      <c r="T2466" t="s">
        <v>41512</v>
      </c>
      <c r="U2466" t="s">
        <v>41513</v>
      </c>
      <c r="V2466" t="s">
        <v>41514</v>
      </c>
      <c r="W2466" t="s">
        <v>41515</v>
      </c>
      <c r="X2466" t="s">
        <v>32728</v>
      </c>
      <c r="Y2466" t="s">
        <v>41516</v>
      </c>
      <c r="Z2466" t="s">
        <v>41517</v>
      </c>
      <c r="AA2466" t="s">
        <v>41518</v>
      </c>
      <c r="AB2466" t="s">
        <v>41519</v>
      </c>
      <c r="AC2466" t="s">
        <v>74</v>
      </c>
      <c r="AD2466" t="s">
        <v>74</v>
      </c>
      <c r="AE2466" t="s">
        <v>74</v>
      </c>
      <c r="AF2466" t="s">
        <v>74</v>
      </c>
      <c r="AG2466">
        <v>69</v>
      </c>
      <c r="AH2466">
        <v>5</v>
      </c>
      <c r="AI2466">
        <v>7</v>
      </c>
      <c r="AJ2466">
        <v>0</v>
      </c>
      <c r="AK2466">
        <v>10</v>
      </c>
      <c r="AL2466" t="s">
        <v>479</v>
      </c>
      <c r="AM2466" t="s">
        <v>480</v>
      </c>
      <c r="AN2466" t="s">
        <v>481</v>
      </c>
      <c r="AO2466" t="s">
        <v>2776</v>
      </c>
      <c r="AP2466" t="s">
        <v>2777</v>
      </c>
      <c r="AQ2466" t="s">
        <v>74</v>
      </c>
      <c r="AR2466" t="s">
        <v>2778</v>
      </c>
      <c r="AS2466" t="s">
        <v>2779</v>
      </c>
      <c r="AT2466" t="s">
        <v>237</v>
      </c>
      <c r="AU2466">
        <v>2024</v>
      </c>
      <c r="AV2466">
        <v>28</v>
      </c>
      <c r="AW2466">
        <v>1</v>
      </c>
      <c r="AX2466" t="s">
        <v>74</v>
      </c>
      <c r="AY2466" t="s">
        <v>74</v>
      </c>
      <c r="AZ2466" t="s">
        <v>74</v>
      </c>
      <c r="BA2466" t="s">
        <v>74</v>
      </c>
      <c r="BB2466">
        <v>97</v>
      </c>
      <c r="BC2466">
        <v>127</v>
      </c>
      <c r="BD2466" t="s">
        <v>74</v>
      </c>
      <c r="BE2466" t="s">
        <v>41520</v>
      </c>
      <c r="BF2466" t="str">
        <f>HYPERLINK("http://dx.doi.org/10.1111/rode.13043","http://dx.doi.org/10.1111/rode.13043")</f>
        <v>http://dx.doi.org/10.1111/rode.13043</v>
      </c>
      <c r="BG2466" t="s">
        <v>74</v>
      </c>
      <c r="BH2466" t="s">
        <v>7993</v>
      </c>
      <c r="BI2466">
        <v>31</v>
      </c>
      <c r="BJ2466" t="s">
        <v>701</v>
      </c>
      <c r="BK2466" t="s">
        <v>99</v>
      </c>
      <c r="BL2466" t="s">
        <v>702</v>
      </c>
      <c r="BM2466" t="s">
        <v>41521</v>
      </c>
      <c r="BN2466" t="s">
        <v>74</v>
      </c>
      <c r="BO2466" t="s">
        <v>1205</v>
      </c>
      <c r="BP2466" t="s">
        <v>74</v>
      </c>
      <c r="BQ2466" t="s">
        <v>74</v>
      </c>
      <c r="BR2466" t="s">
        <v>102</v>
      </c>
      <c r="BS2466" t="s">
        <v>41522</v>
      </c>
      <c r="BT2466" t="str">
        <f>HYPERLINK("https%3A%2F%2Fwww.webofscience.com%2Fwos%2Fwoscc%2Ffull-record%2FWOS:001050281600001","View Full Record in Web of Science")</f>
        <v>View Full Record in Web of Science</v>
      </c>
    </row>
    <row r="2467" spans="1:72" x14ac:dyDescent="0.25">
      <c r="A2467" t="s">
        <v>72</v>
      </c>
      <c r="B2467" t="s">
        <v>41523</v>
      </c>
      <c r="C2467" t="s">
        <v>74</v>
      </c>
      <c r="D2467" t="s">
        <v>74</v>
      </c>
      <c r="E2467" t="s">
        <v>74</v>
      </c>
      <c r="F2467" t="s">
        <v>41524</v>
      </c>
      <c r="G2467" t="s">
        <v>74</v>
      </c>
      <c r="H2467" t="s">
        <v>74</v>
      </c>
      <c r="I2467" t="s">
        <v>41525</v>
      </c>
      <c r="J2467" t="s">
        <v>41526</v>
      </c>
      <c r="K2467" t="s">
        <v>74</v>
      </c>
      <c r="L2467" t="s">
        <v>74</v>
      </c>
      <c r="M2467" t="s">
        <v>78</v>
      </c>
      <c r="N2467" t="s">
        <v>79</v>
      </c>
      <c r="O2467" t="s">
        <v>74</v>
      </c>
      <c r="P2467" t="s">
        <v>74</v>
      </c>
      <c r="Q2467" t="s">
        <v>74</v>
      </c>
      <c r="R2467" t="s">
        <v>74</v>
      </c>
      <c r="S2467" t="s">
        <v>74</v>
      </c>
      <c r="T2467" t="s">
        <v>41527</v>
      </c>
      <c r="U2467" t="s">
        <v>74</v>
      </c>
      <c r="V2467" t="s">
        <v>41528</v>
      </c>
      <c r="W2467" t="s">
        <v>41529</v>
      </c>
      <c r="X2467" t="s">
        <v>74</v>
      </c>
      <c r="Y2467" t="s">
        <v>41530</v>
      </c>
      <c r="Z2467" t="s">
        <v>41531</v>
      </c>
      <c r="AA2467" t="s">
        <v>74</v>
      </c>
      <c r="AB2467" t="s">
        <v>74</v>
      </c>
      <c r="AC2467" t="s">
        <v>74</v>
      </c>
      <c r="AD2467" t="s">
        <v>74</v>
      </c>
      <c r="AE2467" t="s">
        <v>74</v>
      </c>
      <c r="AF2467" t="s">
        <v>74</v>
      </c>
      <c r="AG2467">
        <v>29</v>
      </c>
      <c r="AH2467">
        <v>3</v>
      </c>
      <c r="AI2467">
        <v>4</v>
      </c>
      <c r="AJ2467">
        <v>0</v>
      </c>
      <c r="AK2467">
        <v>4</v>
      </c>
      <c r="AL2467" t="s">
        <v>41532</v>
      </c>
      <c r="AM2467" t="s">
        <v>41533</v>
      </c>
      <c r="AN2467" t="s">
        <v>41534</v>
      </c>
      <c r="AO2467" t="s">
        <v>41535</v>
      </c>
      <c r="AP2467" t="s">
        <v>41536</v>
      </c>
      <c r="AQ2467" t="s">
        <v>74</v>
      </c>
      <c r="AR2467" t="s">
        <v>41537</v>
      </c>
      <c r="AS2467" t="s">
        <v>41538</v>
      </c>
      <c r="AT2467" t="s">
        <v>124</v>
      </c>
      <c r="AU2467">
        <v>2016</v>
      </c>
      <c r="AV2467">
        <v>33</v>
      </c>
      <c r="AW2467">
        <v>3</v>
      </c>
      <c r="AX2467" t="s">
        <v>74</v>
      </c>
      <c r="AY2467" t="s">
        <v>74</v>
      </c>
      <c r="AZ2467" t="s">
        <v>74</v>
      </c>
      <c r="BA2467" t="s">
        <v>74</v>
      </c>
      <c r="BB2467">
        <v>387</v>
      </c>
      <c r="BC2467">
        <v>397</v>
      </c>
      <c r="BD2467" t="s">
        <v>74</v>
      </c>
      <c r="BE2467" t="s">
        <v>41539</v>
      </c>
      <c r="BF2467" t="str">
        <f>HYPERLINK("http://dx.doi.org/10.1355/ae33-3f","http://dx.doi.org/10.1355/ae33-3f")</f>
        <v>http://dx.doi.org/10.1355/ae33-3f</v>
      </c>
      <c r="BG2467" t="s">
        <v>74</v>
      </c>
      <c r="BH2467" t="s">
        <v>74</v>
      </c>
      <c r="BI2467">
        <v>11</v>
      </c>
      <c r="BJ2467" t="s">
        <v>291</v>
      </c>
      <c r="BK2467" t="s">
        <v>313</v>
      </c>
      <c r="BL2467" t="s">
        <v>100</v>
      </c>
      <c r="BM2467" t="s">
        <v>41540</v>
      </c>
      <c r="BN2467" t="s">
        <v>74</v>
      </c>
      <c r="BO2467" t="s">
        <v>74</v>
      </c>
      <c r="BP2467" t="s">
        <v>74</v>
      </c>
      <c r="BQ2467" t="s">
        <v>74</v>
      </c>
      <c r="BR2467" t="s">
        <v>102</v>
      </c>
      <c r="BS2467" t="s">
        <v>41541</v>
      </c>
      <c r="BT2467" t="str">
        <f>HYPERLINK("https%3A%2F%2Fwww.webofscience.com%2Fwos%2Fwoscc%2Ffull-record%2FWOS:000412298900006","View Full Record in Web of Science")</f>
        <v>View Full Record in Web of Science</v>
      </c>
    </row>
    <row r="2468" spans="1:72" x14ac:dyDescent="0.25">
      <c r="A2468" t="s">
        <v>72</v>
      </c>
      <c r="B2468" t="s">
        <v>41542</v>
      </c>
      <c r="C2468" t="s">
        <v>74</v>
      </c>
      <c r="D2468" t="s">
        <v>74</v>
      </c>
      <c r="E2468" t="s">
        <v>74</v>
      </c>
      <c r="F2468" t="s">
        <v>41543</v>
      </c>
      <c r="G2468" t="s">
        <v>74</v>
      </c>
      <c r="H2468" t="s">
        <v>74</v>
      </c>
      <c r="I2468" t="s">
        <v>41544</v>
      </c>
      <c r="J2468" t="s">
        <v>41545</v>
      </c>
      <c r="K2468" t="s">
        <v>74</v>
      </c>
      <c r="L2468" t="s">
        <v>74</v>
      </c>
      <c r="M2468" t="s">
        <v>78</v>
      </c>
      <c r="N2468" t="s">
        <v>79</v>
      </c>
      <c r="O2468" t="s">
        <v>74</v>
      </c>
      <c r="P2468" t="s">
        <v>74</v>
      </c>
      <c r="Q2468" t="s">
        <v>74</v>
      </c>
      <c r="R2468" t="s">
        <v>74</v>
      </c>
      <c r="S2468" t="s">
        <v>74</v>
      </c>
      <c r="T2468" t="s">
        <v>41546</v>
      </c>
      <c r="U2468" t="s">
        <v>41547</v>
      </c>
      <c r="V2468" t="s">
        <v>41548</v>
      </c>
      <c r="W2468" t="s">
        <v>41549</v>
      </c>
      <c r="X2468" t="s">
        <v>74</v>
      </c>
      <c r="Y2468" t="s">
        <v>41550</v>
      </c>
      <c r="Z2468" t="s">
        <v>41551</v>
      </c>
      <c r="AA2468" t="s">
        <v>74</v>
      </c>
      <c r="AB2468" t="s">
        <v>74</v>
      </c>
      <c r="AC2468" t="s">
        <v>74</v>
      </c>
      <c r="AD2468" t="s">
        <v>74</v>
      </c>
      <c r="AE2468" t="s">
        <v>74</v>
      </c>
      <c r="AF2468" t="s">
        <v>74</v>
      </c>
      <c r="AG2468">
        <v>30</v>
      </c>
      <c r="AH2468">
        <v>0</v>
      </c>
      <c r="AI2468">
        <v>0</v>
      </c>
      <c r="AJ2468">
        <v>0</v>
      </c>
      <c r="AK2468">
        <v>0</v>
      </c>
      <c r="AL2468" t="s">
        <v>409</v>
      </c>
      <c r="AM2468" t="s">
        <v>410</v>
      </c>
      <c r="AN2468" t="s">
        <v>411</v>
      </c>
      <c r="AO2468" t="s">
        <v>41552</v>
      </c>
      <c r="AP2468" t="s">
        <v>41553</v>
      </c>
      <c r="AQ2468" t="s">
        <v>74</v>
      </c>
      <c r="AR2468" t="s">
        <v>41554</v>
      </c>
      <c r="AS2468" t="s">
        <v>41555</v>
      </c>
      <c r="AT2468" t="s">
        <v>891</v>
      </c>
      <c r="AU2468">
        <v>2025</v>
      </c>
      <c r="AV2468">
        <v>19</v>
      </c>
      <c r="AW2468">
        <v>2</v>
      </c>
      <c r="AX2468" t="s">
        <v>74</v>
      </c>
      <c r="AY2468" t="s">
        <v>74</v>
      </c>
      <c r="AZ2468" t="s">
        <v>74</v>
      </c>
      <c r="BA2468" t="s">
        <v>74</v>
      </c>
      <c r="BB2468">
        <v>205</v>
      </c>
      <c r="BC2468">
        <v>228</v>
      </c>
      <c r="BD2468" t="s">
        <v>74</v>
      </c>
      <c r="BE2468" t="s">
        <v>41556</v>
      </c>
      <c r="BF2468" t="str">
        <f>HYPERLINK("http://dx.doi.org/10.1177/00252921251394817","http://dx.doi.org/10.1177/00252921251394817")</f>
        <v>http://dx.doi.org/10.1177/00252921251394817</v>
      </c>
      <c r="BG2468" t="s">
        <v>74</v>
      </c>
      <c r="BH2468" t="s">
        <v>2044</v>
      </c>
      <c r="BI2468">
        <v>24</v>
      </c>
      <c r="BJ2468" t="s">
        <v>291</v>
      </c>
      <c r="BK2468" t="s">
        <v>313</v>
      </c>
      <c r="BL2468" t="s">
        <v>100</v>
      </c>
      <c r="BM2468" t="s">
        <v>41557</v>
      </c>
      <c r="BN2468" t="s">
        <v>74</v>
      </c>
      <c r="BO2468" t="s">
        <v>270</v>
      </c>
      <c r="BP2468" t="s">
        <v>74</v>
      </c>
      <c r="BQ2468" t="s">
        <v>74</v>
      </c>
      <c r="BR2468" t="s">
        <v>102</v>
      </c>
      <c r="BS2468" t="s">
        <v>41558</v>
      </c>
      <c r="BT2468" t="str">
        <f>HYPERLINK("https%3A%2F%2Fwww.webofscience.com%2Fwos%2Fwoscc%2Ffull-record%2FWOS:001626365200001","View Full Record in Web of Science")</f>
        <v>View Full Record in Web of Science</v>
      </c>
    </row>
    <row r="2469" spans="1:72" x14ac:dyDescent="0.25">
      <c r="A2469" t="s">
        <v>72</v>
      </c>
      <c r="B2469" t="s">
        <v>41559</v>
      </c>
      <c r="C2469" t="s">
        <v>74</v>
      </c>
      <c r="D2469" t="s">
        <v>74</v>
      </c>
      <c r="E2469" t="s">
        <v>74</v>
      </c>
      <c r="F2469" t="s">
        <v>41560</v>
      </c>
      <c r="G2469" t="s">
        <v>74</v>
      </c>
      <c r="H2469" t="s">
        <v>74</v>
      </c>
      <c r="I2469" t="s">
        <v>41561</v>
      </c>
      <c r="J2469" t="s">
        <v>15799</v>
      </c>
      <c r="K2469" t="s">
        <v>74</v>
      </c>
      <c r="L2469" t="s">
        <v>74</v>
      </c>
      <c r="M2469" t="s">
        <v>78</v>
      </c>
      <c r="N2469" t="s">
        <v>79</v>
      </c>
      <c r="O2469" t="s">
        <v>74</v>
      </c>
      <c r="P2469" t="s">
        <v>74</v>
      </c>
      <c r="Q2469" t="s">
        <v>74</v>
      </c>
      <c r="R2469" t="s">
        <v>74</v>
      </c>
      <c r="S2469" t="s">
        <v>74</v>
      </c>
      <c r="T2469" t="s">
        <v>41562</v>
      </c>
      <c r="U2469" t="s">
        <v>41563</v>
      </c>
      <c r="V2469" t="s">
        <v>41564</v>
      </c>
      <c r="W2469" t="s">
        <v>41565</v>
      </c>
      <c r="X2469" t="s">
        <v>41566</v>
      </c>
      <c r="Y2469" t="s">
        <v>41567</v>
      </c>
      <c r="Z2469" t="s">
        <v>41568</v>
      </c>
      <c r="AA2469" t="s">
        <v>74</v>
      </c>
      <c r="AB2469" t="s">
        <v>41569</v>
      </c>
      <c r="AC2469" t="s">
        <v>41570</v>
      </c>
      <c r="AD2469" t="s">
        <v>19652</v>
      </c>
      <c r="AE2469" t="s">
        <v>41571</v>
      </c>
      <c r="AF2469" t="s">
        <v>74</v>
      </c>
      <c r="AG2469">
        <v>53</v>
      </c>
      <c r="AH2469">
        <v>46</v>
      </c>
      <c r="AI2469">
        <v>55</v>
      </c>
      <c r="AJ2469">
        <v>2</v>
      </c>
      <c r="AK2469">
        <v>30</v>
      </c>
      <c r="AL2469" t="s">
        <v>332</v>
      </c>
      <c r="AM2469" t="s">
        <v>333</v>
      </c>
      <c r="AN2469" t="s">
        <v>334</v>
      </c>
      <c r="AO2469" t="s">
        <v>15807</v>
      </c>
      <c r="AP2469" t="s">
        <v>15808</v>
      </c>
      <c r="AQ2469" t="s">
        <v>74</v>
      </c>
      <c r="AR2469" t="s">
        <v>15809</v>
      </c>
      <c r="AS2469" t="s">
        <v>15810</v>
      </c>
      <c r="AT2469" t="s">
        <v>74</v>
      </c>
      <c r="AU2469">
        <v>2017</v>
      </c>
      <c r="AV2469">
        <v>46</v>
      </c>
      <c r="AW2469" t="s">
        <v>5324</v>
      </c>
      <c r="AX2469" t="s">
        <v>74</v>
      </c>
      <c r="AY2469" t="s">
        <v>74</v>
      </c>
      <c r="AZ2469" t="s">
        <v>74</v>
      </c>
      <c r="BA2469" t="s">
        <v>74</v>
      </c>
      <c r="BB2469">
        <v>346</v>
      </c>
      <c r="BC2469">
        <v>368</v>
      </c>
      <c r="BD2469" t="s">
        <v>74</v>
      </c>
      <c r="BE2469" t="s">
        <v>41572</v>
      </c>
      <c r="BF2469" t="str">
        <f>HYPERLINK("http://dx.doi.org/10.1080/03085147.2017.1412642","http://dx.doi.org/10.1080/03085147.2017.1412642")</f>
        <v>http://dx.doi.org/10.1080/03085147.2017.1412642</v>
      </c>
      <c r="BG2469" t="s">
        <v>74</v>
      </c>
      <c r="BH2469" t="s">
        <v>74</v>
      </c>
      <c r="BI2469">
        <v>23</v>
      </c>
      <c r="BJ2469" t="s">
        <v>15812</v>
      </c>
      <c r="BK2469" t="s">
        <v>99</v>
      </c>
      <c r="BL2469" t="s">
        <v>15813</v>
      </c>
      <c r="BM2469" t="s">
        <v>15814</v>
      </c>
      <c r="BN2469" t="s">
        <v>74</v>
      </c>
      <c r="BO2469" t="s">
        <v>74</v>
      </c>
      <c r="BP2469" t="s">
        <v>74</v>
      </c>
      <c r="BQ2469" t="s">
        <v>74</v>
      </c>
      <c r="BR2469" t="s">
        <v>102</v>
      </c>
      <c r="BS2469" t="s">
        <v>41573</v>
      </c>
      <c r="BT2469" t="str">
        <f>HYPERLINK("https%3A%2F%2Fwww.webofscience.com%2Fwos%2Fwoscc%2Ffull-record%2FWOS:000424166300003","View Full Record in Web of Science")</f>
        <v>View Full Record in Web of Science</v>
      </c>
    </row>
    <row r="2470" spans="1:72" x14ac:dyDescent="0.25">
      <c r="A2470" t="s">
        <v>132</v>
      </c>
      <c r="B2470" t="s">
        <v>41574</v>
      </c>
      <c r="C2470" t="s">
        <v>74</v>
      </c>
      <c r="D2470" t="s">
        <v>41575</v>
      </c>
      <c r="E2470" t="s">
        <v>74</v>
      </c>
      <c r="F2470" t="s">
        <v>41576</v>
      </c>
      <c r="G2470" t="s">
        <v>74</v>
      </c>
      <c r="H2470" t="s">
        <v>74</v>
      </c>
      <c r="I2470" t="s">
        <v>41577</v>
      </c>
      <c r="J2470" t="s">
        <v>41578</v>
      </c>
      <c r="K2470" t="s">
        <v>41579</v>
      </c>
      <c r="L2470" t="s">
        <v>74</v>
      </c>
      <c r="M2470" t="s">
        <v>78</v>
      </c>
      <c r="N2470" t="s">
        <v>138</v>
      </c>
      <c r="O2470" t="s">
        <v>41580</v>
      </c>
      <c r="P2470" t="s">
        <v>41581</v>
      </c>
      <c r="Q2470" t="s">
        <v>35147</v>
      </c>
      <c r="R2470" t="s">
        <v>41582</v>
      </c>
      <c r="S2470" t="s">
        <v>74</v>
      </c>
      <c r="T2470" t="s">
        <v>41583</v>
      </c>
      <c r="U2470" t="s">
        <v>8579</v>
      </c>
      <c r="V2470" t="s">
        <v>41584</v>
      </c>
      <c r="W2470" t="s">
        <v>41585</v>
      </c>
      <c r="X2470" t="s">
        <v>35152</v>
      </c>
      <c r="Y2470" t="s">
        <v>41586</v>
      </c>
      <c r="Z2470" t="s">
        <v>41587</v>
      </c>
      <c r="AA2470" t="s">
        <v>41588</v>
      </c>
      <c r="AB2470" t="s">
        <v>74</v>
      </c>
      <c r="AC2470" t="s">
        <v>74</v>
      </c>
      <c r="AD2470" t="s">
        <v>74</v>
      </c>
      <c r="AE2470" t="s">
        <v>74</v>
      </c>
      <c r="AF2470" t="s">
        <v>74</v>
      </c>
      <c r="AG2470">
        <v>18</v>
      </c>
      <c r="AH2470">
        <v>0</v>
      </c>
      <c r="AI2470">
        <v>0</v>
      </c>
      <c r="AJ2470">
        <v>0</v>
      </c>
      <c r="AK2470">
        <v>6</v>
      </c>
      <c r="AL2470" t="s">
        <v>11756</v>
      </c>
      <c r="AM2470" t="s">
        <v>11757</v>
      </c>
      <c r="AN2470" t="s">
        <v>16910</v>
      </c>
      <c r="AO2470" t="s">
        <v>41589</v>
      </c>
      <c r="AP2470" t="s">
        <v>74</v>
      </c>
      <c r="AQ2470" t="s">
        <v>74</v>
      </c>
      <c r="AR2470" t="s">
        <v>41590</v>
      </c>
      <c r="AS2470" t="s">
        <v>74</v>
      </c>
      <c r="AT2470" t="s">
        <v>74</v>
      </c>
      <c r="AU2470">
        <v>2020</v>
      </c>
      <c r="AV2470" t="s">
        <v>74</v>
      </c>
      <c r="AW2470" t="s">
        <v>74</v>
      </c>
      <c r="AX2470" t="s">
        <v>74</v>
      </c>
      <c r="AY2470" t="s">
        <v>74</v>
      </c>
      <c r="AZ2470" t="s">
        <v>74</v>
      </c>
      <c r="BA2470" t="s">
        <v>74</v>
      </c>
      <c r="BB2470">
        <v>1418</v>
      </c>
      <c r="BC2470">
        <v>1429</v>
      </c>
      <c r="BD2470" t="s">
        <v>74</v>
      </c>
      <c r="BE2470" t="s">
        <v>74</v>
      </c>
      <c r="BF2470" t="s">
        <v>74</v>
      </c>
      <c r="BG2470" t="s">
        <v>74</v>
      </c>
      <c r="BH2470" t="s">
        <v>74</v>
      </c>
      <c r="BI2470">
        <v>12</v>
      </c>
      <c r="BJ2470" t="s">
        <v>41591</v>
      </c>
      <c r="BK2470" t="s">
        <v>183</v>
      </c>
      <c r="BL2470" t="s">
        <v>22339</v>
      </c>
      <c r="BM2470" t="s">
        <v>41592</v>
      </c>
      <c r="BN2470" t="s">
        <v>74</v>
      </c>
      <c r="BO2470" t="s">
        <v>74</v>
      </c>
      <c r="BP2470" t="s">
        <v>74</v>
      </c>
      <c r="BQ2470" t="s">
        <v>74</v>
      </c>
      <c r="BR2470" t="s">
        <v>102</v>
      </c>
      <c r="BS2470" t="s">
        <v>41593</v>
      </c>
      <c r="BT2470" t="str">
        <f>HYPERLINK("https%3A%2F%2Fwww.webofscience.com%2Fwos%2Fwoscc%2Ffull-record%2FWOS:000728402200104","View Full Record in Web of Science")</f>
        <v>View Full Record in Web of Science</v>
      </c>
    </row>
    <row r="2471" spans="1:72" x14ac:dyDescent="0.25">
      <c r="A2471" t="s">
        <v>72</v>
      </c>
      <c r="B2471" t="s">
        <v>24994</v>
      </c>
      <c r="C2471" t="s">
        <v>74</v>
      </c>
      <c r="D2471" t="s">
        <v>74</v>
      </c>
      <c r="E2471" t="s">
        <v>74</v>
      </c>
      <c r="F2471" t="s">
        <v>24993</v>
      </c>
      <c r="G2471" t="s">
        <v>74</v>
      </c>
      <c r="H2471" t="s">
        <v>74</v>
      </c>
      <c r="I2471" t="s">
        <v>41594</v>
      </c>
      <c r="J2471" t="s">
        <v>36604</v>
      </c>
      <c r="K2471" t="s">
        <v>74</v>
      </c>
      <c r="L2471" t="s">
        <v>74</v>
      </c>
      <c r="M2471" t="s">
        <v>78</v>
      </c>
      <c r="N2471" t="s">
        <v>1766</v>
      </c>
      <c r="O2471" t="s">
        <v>74</v>
      </c>
      <c r="P2471" t="s">
        <v>74</v>
      </c>
      <c r="Q2471" t="s">
        <v>74</v>
      </c>
      <c r="R2471" t="s">
        <v>74</v>
      </c>
      <c r="S2471" t="s">
        <v>74</v>
      </c>
      <c r="T2471" t="s">
        <v>41595</v>
      </c>
      <c r="U2471" t="s">
        <v>41596</v>
      </c>
      <c r="V2471" t="s">
        <v>41597</v>
      </c>
      <c r="W2471" t="s">
        <v>41598</v>
      </c>
      <c r="X2471" t="s">
        <v>24987</v>
      </c>
      <c r="Y2471" t="s">
        <v>41599</v>
      </c>
      <c r="Z2471" t="s">
        <v>24985</v>
      </c>
      <c r="AA2471" t="s">
        <v>41600</v>
      </c>
      <c r="AB2471" t="s">
        <v>74</v>
      </c>
      <c r="AC2471" t="s">
        <v>74</v>
      </c>
      <c r="AD2471" t="s">
        <v>74</v>
      </c>
      <c r="AE2471" t="s">
        <v>74</v>
      </c>
      <c r="AF2471" t="s">
        <v>74</v>
      </c>
      <c r="AG2471">
        <v>151</v>
      </c>
      <c r="AH2471">
        <v>3</v>
      </c>
      <c r="AI2471">
        <v>3</v>
      </c>
      <c r="AJ2471">
        <v>4</v>
      </c>
      <c r="AK2471">
        <v>16</v>
      </c>
      <c r="AL2471" t="s">
        <v>89</v>
      </c>
      <c r="AM2471" t="s">
        <v>90</v>
      </c>
      <c r="AN2471" t="s">
        <v>91</v>
      </c>
      <c r="AO2471" t="s">
        <v>36614</v>
      </c>
      <c r="AP2471" t="s">
        <v>36615</v>
      </c>
      <c r="AQ2471" t="s">
        <v>74</v>
      </c>
      <c r="AR2471" t="s">
        <v>36616</v>
      </c>
      <c r="AS2471" t="s">
        <v>36617</v>
      </c>
      <c r="AT2471" t="s">
        <v>13030</v>
      </c>
      <c r="AU2471">
        <v>2025</v>
      </c>
      <c r="AV2471">
        <v>17</v>
      </c>
      <c r="AW2471">
        <v>3</v>
      </c>
      <c r="AX2471" t="s">
        <v>74</v>
      </c>
      <c r="AY2471" t="s">
        <v>74</v>
      </c>
      <c r="AZ2471" t="s">
        <v>74</v>
      </c>
      <c r="BA2471" t="s">
        <v>74</v>
      </c>
      <c r="BB2471">
        <v>632</v>
      </c>
      <c r="BC2471">
        <v>656</v>
      </c>
      <c r="BD2471" t="s">
        <v>74</v>
      </c>
      <c r="BE2471" t="s">
        <v>41601</v>
      </c>
      <c r="BF2471" t="str">
        <f>HYPERLINK("http://dx.doi.org/10.1108/APJBA-12-2023-0619","http://dx.doi.org/10.1108/APJBA-12-2023-0619")</f>
        <v>http://dx.doi.org/10.1108/APJBA-12-2023-0619</v>
      </c>
      <c r="BG2471" t="s">
        <v>74</v>
      </c>
      <c r="BH2471" t="s">
        <v>1136</v>
      </c>
      <c r="BI2471">
        <v>25</v>
      </c>
      <c r="BJ2471" t="s">
        <v>418</v>
      </c>
      <c r="BK2471" t="s">
        <v>313</v>
      </c>
      <c r="BL2471" t="s">
        <v>100</v>
      </c>
      <c r="BM2471" t="s">
        <v>41602</v>
      </c>
      <c r="BN2471" t="s">
        <v>74</v>
      </c>
      <c r="BO2471" t="s">
        <v>74</v>
      </c>
      <c r="BP2471" t="s">
        <v>74</v>
      </c>
      <c r="BQ2471" t="s">
        <v>74</v>
      </c>
      <c r="BR2471" t="s">
        <v>102</v>
      </c>
      <c r="BS2471" t="s">
        <v>41603</v>
      </c>
      <c r="BT2471" t="str">
        <f>HYPERLINK("https%3A%2F%2Fwww.webofscience.com%2Fwos%2Fwoscc%2Ffull-record%2FWOS:001331593000001","View Full Record in Web of Science")</f>
        <v>View Full Record in Web of Science</v>
      </c>
    </row>
    <row r="2472" spans="1:72" x14ac:dyDescent="0.25">
      <c r="A2472" t="s">
        <v>72</v>
      </c>
      <c r="B2472" t="s">
        <v>41604</v>
      </c>
      <c r="C2472" t="s">
        <v>74</v>
      </c>
      <c r="D2472" t="s">
        <v>74</v>
      </c>
      <c r="E2472" t="s">
        <v>74</v>
      </c>
      <c r="F2472" t="s">
        <v>41605</v>
      </c>
      <c r="G2472" t="s">
        <v>74</v>
      </c>
      <c r="H2472" t="s">
        <v>74</v>
      </c>
      <c r="I2472" t="s">
        <v>41606</v>
      </c>
      <c r="J2472" t="s">
        <v>9616</v>
      </c>
      <c r="K2472" t="s">
        <v>74</v>
      </c>
      <c r="L2472" t="s">
        <v>74</v>
      </c>
      <c r="M2472" t="s">
        <v>78</v>
      </c>
      <c r="N2472" t="s">
        <v>79</v>
      </c>
      <c r="O2472" t="s">
        <v>74</v>
      </c>
      <c r="P2472" t="s">
        <v>74</v>
      </c>
      <c r="Q2472" t="s">
        <v>74</v>
      </c>
      <c r="R2472" t="s">
        <v>74</v>
      </c>
      <c r="S2472" t="s">
        <v>74</v>
      </c>
      <c r="T2472" t="s">
        <v>41607</v>
      </c>
      <c r="U2472" t="s">
        <v>8288</v>
      </c>
      <c r="V2472" t="s">
        <v>41608</v>
      </c>
      <c r="W2472" t="s">
        <v>41609</v>
      </c>
      <c r="X2472" t="s">
        <v>41610</v>
      </c>
      <c r="Y2472" t="s">
        <v>41611</v>
      </c>
      <c r="Z2472" t="s">
        <v>41612</v>
      </c>
      <c r="AA2472" t="s">
        <v>41613</v>
      </c>
      <c r="AB2472" t="s">
        <v>41614</v>
      </c>
      <c r="AC2472" t="s">
        <v>74</v>
      </c>
      <c r="AD2472" t="s">
        <v>74</v>
      </c>
      <c r="AE2472" t="s">
        <v>74</v>
      </c>
      <c r="AF2472" t="s">
        <v>74</v>
      </c>
      <c r="AG2472">
        <v>41</v>
      </c>
      <c r="AH2472">
        <v>0</v>
      </c>
      <c r="AI2472">
        <v>0</v>
      </c>
      <c r="AJ2472">
        <v>0</v>
      </c>
      <c r="AK2472">
        <v>0</v>
      </c>
      <c r="AL2472" t="s">
        <v>575</v>
      </c>
      <c r="AM2472" t="s">
        <v>576</v>
      </c>
      <c r="AN2472" t="s">
        <v>577</v>
      </c>
      <c r="AO2472" t="s">
        <v>74</v>
      </c>
      <c r="AP2472" t="s">
        <v>9626</v>
      </c>
      <c r="AQ2472" t="s">
        <v>74</v>
      </c>
      <c r="AR2472" t="s">
        <v>9616</v>
      </c>
      <c r="AS2472" t="s">
        <v>9627</v>
      </c>
      <c r="AT2472" t="s">
        <v>22963</v>
      </c>
      <c r="AU2472">
        <v>2025</v>
      </c>
      <c r="AV2472">
        <v>13</v>
      </c>
      <c r="AW2472">
        <v>8</v>
      </c>
      <c r="AX2472" t="s">
        <v>74</v>
      </c>
      <c r="AY2472" t="s">
        <v>74</v>
      </c>
      <c r="AZ2472" t="s">
        <v>74</v>
      </c>
      <c r="BA2472" t="s">
        <v>74</v>
      </c>
      <c r="BB2472" t="s">
        <v>74</v>
      </c>
      <c r="BC2472" t="s">
        <v>74</v>
      </c>
      <c r="BD2472">
        <v>227</v>
      </c>
      <c r="BE2472" t="s">
        <v>41615</v>
      </c>
      <c r="BF2472" t="str">
        <f>HYPERLINK("http://dx.doi.org/10.3390/economies13080227","http://dx.doi.org/10.3390/economies13080227")</f>
        <v>http://dx.doi.org/10.3390/economies13080227</v>
      </c>
      <c r="BG2472" t="s">
        <v>74</v>
      </c>
      <c r="BH2472" t="s">
        <v>74</v>
      </c>
      <c r="BI2472">
        <v>21</v>
      </c>
      <c r="BJ2472" t="s">
        <v>291</v>
      </c>
      <c r="BK2472" t="s">
        <v>313</v>
      </c>
      <c r="BL2472" t="s">
        <v>100</v>
      </c>
      <c r="BM2472" t="s">
        <v>41616</v>
      </c>
      <c r="BN2472" t="s">
        <v>74</v>
      </c>
      <c r="BO2472" t="s">
        <v>916</v>
      </c>
      <c r="BP2472" t="s">
        <v>74</v>
      </c>
      <c r="BQ2472" t="s">
        <v>74</v>
      </c>
      <c r="BR2472" t="s">
        <v>102</v>
      </c>
      <c r="BS2472" t="s">
        <v>41617</v>
      </c>
      <c r="BT2472" t="str">
        <f>HYPERLINK("https%3A%2F%2Fwww.webofscience.com%2Fwos%2Fwoscc%2Ffull-record%2FWOS:001557414400001","View Full Record in Web of Science")</f>
        <v>View Full Record in Web of Science</v>
      </c>
    </row>
    <row r="2473" spans="1:72" x14ac:dyDescent="0.25">
      <c r="A2473" t="s">
        <v>72</v>
      </c>
      <c r="B2473" t="s">
        <v>41618</v>
      </c>
      <c r="C2473" t="s">
        <v>74</v>
      </c>
      <c r="D2473" t="s">
        <v>74</v>
      </c>
      <c r="E2473" t="s">
        <v>74</v>
      </c>
      <c r="F2473" t="s">
        <v>41619</v>
      </c>
      <c r="G2473" t="s">
        <v>74</v>
      </c>
      <c r="H2473" t="s">
        <v>74</v>
      </c>
      <c r="I2473" t="s">
        <v>41620</v>
      </c>
      <c r="J2473" t="s">
        <v>2309</v>
      </c>
      <c r="K2473" t="s">
        <v>74</v>
      </c>
      <c r="L2473" t="s">
        <v>74</v>
      </c>
      <c r="M2473" t="s">
        <v>78</v>
      </c>
      <c r="N2473" t="s">
        <v>79</v>
      </c>
      <c r="O2473" t="s">
        <v>74</v>
      </c>
      <c r="P2473" t="s">
        <v>74</v>
      </c>
      <c r="Q2473" t="s">
        <v>74</v>
      </c>
      <c r="R2473" t="s">
        <v>74</v>
      </c>
      <c r="S2473" t="s">
        <v>74</v>
      </c>
      <c r="T2473" t="s">
        <v>74</v>
      </c>
      <c r="U2473" t="s">
        <v>41621</v>
      </c>
      <c r="V2473" t="s">
        <v>41622</v>
      </c>
      <c r="W2473" t="s">
        <v>41623</v>
      </c>
      <c r="X2473" t="s">
        <v>41624</v>
      </c>
      <c r="Y2473" t="s">
        <v>41625</v>
      </c>
      <c r="Z2473" t="s">
        <v>41626</v>
      </c>
      <c r="AA2473" t="s">
        <v>74</v>
      </c>
      <c r="AB2473" t="s">
        <v>41627</v>
      </c>
      <c r="AC2473" t="s">
        <v>74</v>
      </c>
      <c r="AD2473" t="s">
        <v>74</v>
      </c>
      <c r="AE2473" t="s">
        <v>74</v>
      </c>
      <c r="AF2473" t="s">
        <v>74</v>
      </c>
      <c r="AG2473">
        <v>40</v>
      </c>
      <c r="AH2473">
        <v>13</v>
      </c>
      <c r="AI2473">
        <v>15</v>
      </c>
      <c r="AJ2473">
        <v>0</v>
      </c>
      <c r="AK2473">
        <v>39</v>
      </c>
      <c r="AL2473" t="s">
        <v>332</v>
      </c>
      <c r="AM2473" t="s">
        <v>333</v>
      </c>
      <c r="AN2473" t="s">
        <v>334</v>
      </c>
      <c r="AO2473" t="s">
        <v>2322</v>
      </c>
      <c r="AP2473" t="s">
        <v>2323</v>
      </c>
      <c r="AQ2473" t="s">
        <v>74</v>
      </c>
      <c r="AR2473" t="s">
        <v>2324</v>
      </c>
      <c r="AS2473" t="s">
        <v>2325</v>
      </c>
      <c r="AT2473" t="s">
        <v>19701</v>
      </c>
      <c r="AU2473">
        <v>2013</v>
      </c>
      <c r="AV2473">
        <v>49</v>
      </c>
      <c r="AW2473">
        <v>3</v>
      </c>
      <c r="AX2473" t="s">
        <v>74</v>
      </c>
      <c r="AY2473" t="s">
        <v>74</v>
      </c>
      <c r="AZ2473" t="s">
        <v>74</v>
      </c>
      <c r="BA2473" t="s">
        <v>74</v>
      </c>
      <c r="BB2473">
        <v>334</v>
      </c>
      <c r="BC2473">
        <v>347</v>
      </c>
      <c r="BD2473" t="s">
        <v>74</v>
      </c>
      <c r="BE2473" t="s">
        <v>41628</v>
      </c>
      <c r="BF2473" t="str">
        <f>HYPERLINK("http://dx.doi.org/10.1080/00220388.2012.740018","http://dx.doi.org/10.1080/00220388.2012.740018")</f>
        <v>http://dx.doi.org/10.1080/00220388.2012.740018</v>
      </c>
      <c r="BG2473" t="s">
        <v>74</v>
      </c>
      <c r="BH2473" t="s">
        <v>74</v>
      </c>
      <c r="BI2473">
        <v>14</v>
      </c>
      <c r="BJ2473" t="s">
        <v>701</v>
      </c>
      <c r="BK2473" t="s">
        <v>99</v>
      </c>
      <c r="BL2473" t="s">
        <v>702</v>
      </c>
      <c r="BM2473" t="s">
        <v>41629</v>
      </c>
      <c r="BN2473" t="s">
        <v>74</v>
      </c>
      <c r="BO2473" t="s">
        <v>74</v>
      </c>
      <c r="BP2473" t="s">
        <v>74</v>
      </c>
      <c r="BQ2473" t="s">
        <v>74</v>
      </c>
      <c r="BR2473" t="s">
        <v>102</v>
      </c>
      <c r="BS2473" t="s">
        <v>41630</v>
      </c>
      <c r="BT2473" t="str">
        <f>HYPERLINK("https%3A%2F%2Fwww.webofscience.com%2Fwos%2Fwoscc%2Ffull-record%2FWOS:000314634600002","View Full Record in Web of Science")</f>
        <v>View Full Record in Web of Science</v>
      </c>
    </row>
    <row r="2474" spans="1:72" x14ac:dyDescent="0.25">
      <c r="A2474" t="s">
        <v>72</v>
      </c>
      <c r="B2474" t="s">
        <v>41631</v>
      </c>
      <c r="C2474" t="s">
        <v>74</v>
      </c>
      <c r="D2474" t="s">
        <v>74</v>
      </c>
      <c r="E2474" t="s">
        <v>74</v>
      </c>
      <c r="F2474" t="s">
        <v>41632</v>
      </c>
      <c r="G2474" t="s">
        <v>74</v>
      </c>
      <c r="H2474" t="s">
        <v>74</v>
      </c>
      <c r="I2474" t="s">
        <v>41633</v>
      </c>
      <c r="J2474" t="s">
        <v>3439</v>
      </c>
      <c r="K2474" t="s">
        <v>74</v>
      </c>
      <c r="L2474" t="s">
        <v>74</v>
      </c>
      <c r="M2474" t="s">
        <v>78</v>
      </c>
      <c r="N2474" t="s">
        <v>79</v>
      </c>
      <c r="O2474" t="s">
        <v>74</v>
      </c>
      <c r="P2474" t="s">
        <v>74</v>
      </c>
      <c r="Q2474" t="s">
        <v>74</v>
      </c>
      <c r="R2474" t="s">
        <v>74</v>
      </c>
      <c r="S2474" t="s">
        <v>74</v>
      </c>
      <c r="T2474" t="s">
        <v>41634</v>
      </c>
      <c r="U2474" t="s">
        <v>41635</v>
      </c>
      <c r="V2474" t="s">
        <v>41636</v>
      </c>
      <c r="W2474" t="s">
        <v>41637</v>
      </c>
      <c r="X2474" t="s">
        <v>41638</v>
      </c>
      <c r="Y2474" t="s">
        <v>41639</v>
      </c>
      <c r="Z2474" t="s">
        <v>41640</v>
      </c>
      <c r="AA2474" t="s">
        <v>41641</v>
      </c>
      <c r="AB2474" t="s">
        <v>41642</v>
      </c>
      <c r="AC2474" t="s">
        <v>41643</v>
      </c>
      <c r="AD2474" t="s">
        <v>41643</v>
      </c>
      <c r="AE2474" t="s">
        <v>41644</v>
      </c>
      <c r="AF2474" t="s">
        <v>74</v>
      </c>
      <c r="AG2474">
        <v>34</v>
      </c>
      <c r="AH2474">
        <v>6</v>
      </c>
      <c r="AI2474">
        <v>8</v>
      </c>
      <c r="AJ2474">
        <v>1</v>
      </c>
      <c r="AK2474">
        <v>6</v>
      </c>
      <c r="AL2474" t="s">
        <v>823</v>
      </c>
      <c r="AM2474" t="s">
        <v>333</v>
      </c>
      <c r="AN2474" t="s">
        <v>824</v>
      </c>
      <c r="AO2474" t="s">
        <v>3443</v>
      </c>
      <c r="AP2474" t="s">
        <v>74</v>
      </c>
      <c r="AQ2474" t="s">
        <v>74</v>
      </c>
      <c r="AR2474" t="s">
        <v>3444</v>
      </c>
      <c r="AS2474" t="s">
        <v>3445</v>
      </c>
      <c r="AT2474" t="s">
        <v>2970</v>
      </c>
      <c r="AU2474">
        <v>2024</v>
      </c>
      <c r="AV2474">
        <v>12</v>
      </c>
      <c r="AW2474">
        <v>1</v>
      </c>
      <c r="AX2474" t="s">
        <v>74</v>
      </c>
      <c r="AY2474" t="s">
        <v>74</v>
      </c>
      <c r="AZ2474" t="s">
        <v>74</v>
      </c>
      <c r="BA2474" t="s">
        <v>74</v>
      </c>
      <c r="BB2474" t="s">
        <v>74</v>
      </c>
      <c r="BC2474" t="s">
        <v>74</v>
      </c>
      <c r="BD2474">
        <v>2391937</v>
      </c>
      <c r="BE2474" t="s">
        <v>41645</v>
      </c>
      <c r="BF2474" t="str">
        <f>HYPERLINK("http://dx.doi.org/10.1080/23322039.2024.2391937","http://dx.doi.org/10.1080/23322039.2024.2391937")</f>
        <v>http://dx.doi.org/10.1080/23322039.2024.2391937</v>
      </c>
      <c r="BG2474" t="s">
        <v>74</v>
      </c>
      <c r="BH2474" t="s">
        <v>74</v>
      </c>
      <c r="BI2474">
        <v>15</v>
      </c>
      <c r="BJ2474" t="s">
        <v>291</v>
      </c>
      <c r="BK2474" t="s">
        <v>313</v>
      </c>
      <c r="BL2474" t="s">
        <v>100</v>
      </c>
      <c r="BM2474" t="s">
        <v>41646</v>
      </c>
      <c r="BN2474" t="s">
        <v>74</v>
      </c>
      <c r="BO2474" t="s">
        <v>916</v>
      </c>
      <c r="BP2474" t="s">
        <v>74</v>
      </c>
      <c r="BQ2474" t="s">
        <v>74</v>
      </c>
      <c r="BR2474" t="s">
        <v>102</v>
      </c>
      <c r="BS2474" t="s">
        <v>41647</v>
      </c>
      <c r="BT2474" t="str">
        <f>HYPERLINK("https%3A%2F%2Fwww.webofscience.com%2Fwos%2Fwoscc%2Ffull-record%2FWOS:001297431300001","View Full Record in Web of Science")</f>
        <v>View Full Record in Web of Science</v>
      </c>
    </row>
    <row r="2475" spans="1:72" x14ac:dyDescent="0.25">
      <c r="A2475" t="s">
        <v>72</v>
      </c>
      <c r="B2475" t="s">
        <v>41648</v>
      </c>
      <c r="C2475" t="s">
        <v>74</v>
      </c>
      <c r="D2475" t="s">
        <v>74</v>
      </c>
      <c r="E2475" t="s">
        <v>74</v>
      </c>
      <c r="F2475" t="s">
        <v>41649</v>
      </c>
      <c r="G2475" t="s">
        <v>74</v>
      </c>
      <c r="H2475" t="s">
        <v>74</v>
      </c>
      <c r="I2475" t="s">
        <v>41650</v>
      </c>
      <c r="J2475" t="s">
        <v>1328</v>
      </c>
      <c r="K2475" t="s">
        <v>74</v>
      </c>
      <c r="L2475" t="s">
        <v>74</v>
      </c>
      <c r="M2475" t="s">
        <v>78</v>
      </c>
      <c r="N2475" t="s">
        <v>79</v>
      </c>
      <c r="O2475" t="s">
        <v>74</v>
      </c>
      <c r="P2475" t="s">
        <v>74</v>
      </c>
      <c r="Q2475" t="s">
        <v>74</v>
      </c>
      <c r="R2475" t="s">
        <v>74</v>
      </c>
      <c r="S2475" t="s">
        <v>74</v>
      </c>
      <c r="T2475" t="s">
        <v>41651</v>
      </c>
      <c r="U2475" t="s">
        <v>74</v>
      </c>
      <c r="V2475" t="s">
        <v>41652</v>
      </c>
      <c r="W2475" t="s">
        <v>41653</v>
      </c>
      <c r="X2475" t="s">
        <v>5041</v>
      </c>
      <c r="Y2475" t="s">
        <v>41654</v>
      </c>
      <c r="Z2475" t="s">
        <v>74</v>
      </c>
      <c r="AA2475" t="s">
        <v>74</v>
      </c>
      <c r="AB2475" t="s">
        <v>74</v>
      </c>
      <c r="AC2475" t="s">
        <v>74</v>
      </c>
      <c r="AD2475" t="s">
        <v>74</v>
      </c>
      <c r="AE2475" t="s">
        <v>74</v>
      </c>
      <c r="AF2475" t="s">
        <v>74</v>
      </c>
      <c r="AG2475">
        <v>31</v>
      </c>
      <c r="AH2475">
        <v>23</v>
      </c>
      <c r="AI2475">
        <v>29</v>
      </c>
      <c r="AJ2475">
        <v>3</v>
      </c>
      <c r="AK2475">
        <v>33</v>
      </c>
      <c r="AL2475" t="s">
        <v>1335</v>
      </c>
      <c r="AM2475" t="s">
        <v>1336</v>
      </c>
      <c r="AN2475" t="s">
        <v>1337</v>
      </c>
      <c r="AO2475" t="s">
        <v>1338</v>
      </c>
      <c r="AP2475" t="s">
        <v>1339</v>
      </c>
      <c r="AQ2475" t="s">
        <v>74</v>
      </c>
      <c r="AR2475" t="s">
        <v>1340</v>
      </c>
      <c r="AS2475" t="s">
        <v>1341</v>
      </c>
      <c r="AT2475" t="s">
        <v>74</v>
      </c>
      <c r="AU2475">
        <v>2021</v>
      </c>
      <c r="AV2475">
        <v>15</v>
      </c>
      <c r="AW2475">
        <v>3</v>
      </c>
      <c r="AX2475" t="s">
        <v>74</v>
      </c>
      <c r="AY2475" t="s">
        <v>74</v>
      </c>
      <c r="AZ2475" t="s">
        <v>74</v>
      </c>
      <c r="BA2475" t="s">
        <v>74</v>
      </c>
      <c r="BB2475">
        <v>95</v>
      </c>
      <c r="BC2475">
        <v>118</v>
      </c>
      <c r="BD2475" t="s">
        <v>74</v>
      </c>
      <c r="BE2475" t="s">
        <v>74</v>
      </c>
      <c r="BF2475" t="s">
        <v>74</v>
      </c>
      <c r="BG2475" t="s">
        <v>74</v>
      </c>
      <c r="BH2475" t="s">
        <v>74</v>
      </c>
      <c r="BI2475">
        <v>24</v>
      </c>
      <c r="BJ2475" t="s">
        <v>268</v>
      </c>
      <c r="BK2475" t="s">
        <v>313</v>
      </c>
      <c r="BL2475" t="s">
        <v>100</v>
      </c>
      <c r="BM2475" t="s">
        <v>41655</v>
      </c>
      <c r="BN2475" t="s">
        <v>74</v>
      </c>
      <c r="BO2475" t="s">
        <v>74</v>
      </c>
      <c r="BP2475" t="s">
        <v>74</v>
      </c>
      <c r="BQ2475" t="s">
        <v>74</v>
      </c>
      <c r="BR2475" t="s">
        <v>102</v>
      </c>
      <c r="BS2475" t="s">
        <v>41656</v>
      </c>
      <c r="BT2475" t="str">
        <f>HYPERLINK("https%3A%2F%2Fwww.webofscience.com%2Fwos%2Fwoscc%2Ffull-record%2FWOS:000681351200005","View Full Record in Web of Science")</f>
        <v>View Full Record in Web of Science</v>
      </c>
    </row>
    <row r="2476" spans="1:72" x14ac:dyDescent="0.25">
      <c r="A2476" t="s">
        <v>72</v>
      </c>
      <c r="B2476" t="s">
        <v>41657</v>
      </c>
      <c r="C2476" t="s">
        <v>74</v>
      </c>
      <c r="D2476" t="s">
        <v>74</v>
      </c>
      <c r="E2476" t="s">
        <v>74</v>
      </c>
      <c r="F2476" t="s">
        <v>41658</v>
      </c>
      <c r="G2476" t="s">
        <v>74</v>
      </c>
      <c r="H2476" t="s">
        <v>74</v>
      </c>
      <c r="I2476" t="s">
        <v>41659</v>
      </c>
      <c r="J2476" t="s">
        <v>24169</v>
      </c>
      <c r="K2476" t="s">
        <v>74</v>
      </c>
      <c r="L2476" t="s">
        <v>74</v>
      </c>
      <c r="M2476" t="s">
        <v>78</v>
      </c>
      <c r="N2476" t="s">
        <v>79</v>
      </c>
      <c r="O2476" t="s">
        <v>74</v>
      </c>
      <c r="P2476" t="s">
        <v>74</v>
      </c>
      <c r="Q2476" t="s">
        <v>74</v>
      </c>
      <c r="R2476" t="s">
        <v>74</v>
      </c>
      <c r="S2476" t="s">
        <v>74</v>
      </c>
      <c r="T2476" t="s">
        <v>41660</v>
      </c>
      <c r="U2476" t="s">
        <v>41661</v>
      </c>
      <c r="V2476" t="s">
        <v>41662</v>
      </c>
      <c r="W2476" t="s">
        <v>41663</v>
      </c>
      <c r="X2476" t="s">
        <v>41664</v>
      </c>
      <c r="Y2476" t="s">
        <v>41665</v>
      </c>
      <c r="Z2476" t="s">
        <v>41666</v>
      </c>
      <c r="AA2476" t="s">
        <v>74</v>
      </c>
      <c r="AB2476" t="s">
        <v>74</v>
      </c>
      <c r="AC2476" t="s">
        <v>74</v>
      </c>
      <c r="AD2476" t="s">
        <v>74</v>
      </c>
      <c r="AE2476" t="s">
        <v>74</v>
      </c>
      <c r="AF2476" t="s">
        <v>74</v>
      </c>
      <c r="AG2476">
        <v>78</v>
      </c>
      <c r="AH2476">
        <v>49</v>
      </c>
      <c r="AI2476">
        <v>61</v>
      </c>
      <c r="AJ2476">
        <v>0</v>
      </c>
      <c r="AK2476">
        <v>22</v>
      </c>
      <c r="AL2476" t="s">
        <v>332</v>
      </c>
      <c r="AM2476" t="s">
        <v>333</v>
      </c>
      <c r="AN2476" t="s">
        <v>334</v>
      </c>
      <c r="AO2476" t="s">
        <v>24158</v>
      </c>
      <c r="AP2476" t="s">
        <v>24157</v>
      </c>
      <c r="AQ2476" t="s">
        <v>74</v>
      </c>
      <c r="AR2476" t="s">
        <v>24156</v>
      </c>
      <c r="AS2476" t="s">
        <v>24155</v>
      </c>
      <c r="AT2476" t="s">
        <v>74</v>
      </c>
      <c r="AU2476">
        <v>2014</v>
      </c>
      <c r="AV2476">
        <v>17</v>
      </c>
      <c r="AW2476">
        <v>5</v>
      </c>
      <c r="AX2476" t="s">
        <v>74</v>
      </c>
      <c r="AY2476" t="s">
        <v>74</v>
      </c>
      <c r="AZ2476" t="s">
        <v>441</v>
      </c>
      <c r="BA2476" t="s">
        <v>74</v>
      </c>
      <c r="BB2476">
        <v>491</v>
      </c>
      <c r="BC2476">
        <v>511</v>
      </c>
      <c r="BD2476" t="s">
        <v>74</v>
      </c>
      <c r="BE2476" t="s">
        <v>41667</v>
      </c>
      <c r="BF2476" t="str">
        <f>HYPERLINK("http://dx.doi.org/10.1080/10253866.2013.849590","http://dx.doi.org/10.1080/10253866.2013.849590")</f>
        <v>http://dx.doi.org/10.1080/10253866.2013.849590</v>
      </c>
      <c r="BG2476" t="s">
        <v>74</v>
      </c>
      <c r="BH2476" t="s">
        <v>74</v>
      </c>
      <c r="BI2476">
        <v>21</v>
      </c>
      <c r="BJ2476" t="s">
        <v>418</v>
      </c>
      <c r="BK2476" t="s">
        <v>99</v>
      </c>
      <c r="BL2476" t="s">
        <v>100</v>
      </c>
      <c r="BM2476" t="s">
        <v>41668</v>
      </c>
      <c r="BN2476" t="s">
        <v>74</v>
      </c>
      <c r="BO2476" t="s">
        <v>74</v>
      </c>
      <c r="BP2476" t="s">
        <v>74</v>
      </c>
      <c r="BQ2476" t="s">
        <v>74</v>
      </c>
      <c r="BR2476" t="s">
        <v>102</v>
      </c>
      <c r="BS2476" t="s">
        <v>41669</v>
      </c>
      <c r="BT2476" t="str">
        <f>HYPERLINK("https%3A%2F%2Fwww.webofscience.com%2Fwos%2Fwoscc%2Ffull-record%2FWOS:000340101000006","View Full Record in Web of Science")</f>
        <v>View Full Record in Web of Science</v>
      </c>
    </row>
    <row r="2477" spans="1:72" x14ac:dyDescent="0.25">
      <c r="A2477" t="s">
        <v>72</v>
      </c>
      <c r="B2477" t="s">
        <v>41670</v>
      </c>
      <c r="C2477" t="s">
        <v>74</v>
      </c>
      <c r="D2477" t="s">
        <v>74</v>
      </c>
      <c r="E2477" t="s">
        <v>74</v>
      </c>
      <c r="F2477" t="s">
        <v>41671</v>
      </c>
      <c r="G2477" t="s">
        <v>74</v>
      </c>
      <c r="H2477" t="s">
        <v>74</v>
      </c>
      <c r="I2477" t="s">
        <v>41672</v>
      </c>
      <c r="J2477" t="s">
        <v>8715</v>
      </c>
      <c r="K2477" t="s">
        <v>74</v>
      </c>
      <c r="L2477" t="s">
        <v>74</v>
      </c>
      <c r="M2477" t="s">
        <v>78</v>
      </c>
      <c r="N2477" t="s">
        <v>79</v>
      </c>
      <c r="O2477" t="s">
        <v>74</v>
      </c>
      <c r="P2477" t="s">
        <v>74</v>
      </c>
      <c r="Q2477" t="s">
        <v>74</v>
      </c>
      <c r="R2477" t="s">
        <v>74</v>
      </c>
      <c r="S2477" t="s">
        <v>74</v>
      </c>
      <c r="T2477" t="s">
        <v>41673</v>
      </c>
      <c r="U2477" t="s">
        <v>74</v>
      </c>
      <c r="V2477" t="s">
        <v>41674</v>
      </c>
      <c r="W2477" t="s">
        <v>41675</v>
      </c>
      <c r="X2477" t="s">
        <v>38101</v>
      </c>
      <c r="Y2477" t="s">
        <v>41676</v>
      </c>
      <c r="Z2477" t="s">
        <v>41677</v>
      </c>
      <c r="AA2477" t="s">
        <v>41678</v>
      </c>
      <c r="AB2477" t="s">
        <v>74</v>
      </c>
      <c r="AC2477" t="s">
        <v>74</v>
      </c>
      <c r="AD2477" t="s">
        <v>74</v>
      </c>
      <c r="AE2477" t="s">
        <v>74</v>
      </c>
      <c r="AF2477" t="s">
        <v>74</v>
      </c>
      <c r="AG2477">
        <v>32</v>
      </c>
      <c r="AH2477">
        <v>0</v>
      </c>
      <c r="AI2477">
        <v>0</v>
      </c>
      <c r="AJ2477">
        <v>0</v>
      </c>
      <c r="AK2477">
        <v>2</v>
      </c>
      <c r="AL2477" t="s">
        <v>41679</v>
      </c>
      <c r="AM2477" t="s">
        <v>41680</v>
      </c>
      <c r="AN2477" t="s">
        <v>41681</v>
      </c>
      <c r="AO2477" t="s">
        <v>8721</v>
      </c>
      <c r="AP2477" t="s">
        <v>74</v>
      </c>
      <c r="AQ2477" t="s">
        <v>74</v>
      </c>
      <c r="AR2477" t="s">
        <v>8722</v>
      </c>
      <c r="AS2477" t="s">
        <v>8723</v>
      </c>
      <c r="AT2477" t="s">
        <v>2537</v>
      </c>
      <c r="AU2477">
        <v>2016</v>
      </c>
      <c r="AV2477">
        <v>28</v>
      </c>
      <c r="AW2477" t="s">
        <v>74</v>
      </c>
      <c r="AX2477" t="s">
        <v>74</v>
      </c>
      <c r="AY2477" t="s">
        <v>74</v>
      </c>
      <c r="AZ2477" t="s">
        <v>74</v>
      </c>
      <c r="BA2477" t="s">
        <v>74</v>
      </c>
      <c r="BB2477">
        <v>73</v>
      </c>
      <c r="BC2477">
        <v>92</v>
      </c>
      <c r="BD2477" t="s">
        <v>74</v>
      </c>
      <c r="BE2477" t="s">
        <v>74</v>
      </c>
      <c r="BF2477" t="s">
        <v>74</v>
      </c>
      <c r="BG2477" t="s">
        <v>74</v>
      </c>
      <c r="BH2477" t="s">
        <v>74</v>
      </c>
      <c r="BI2477">
        <v>20</v>
      </c>
      <c r="BJ2477" t="s">
        <v>583</v>
      </c>
      <c r="BK2477" t="s">
        <v>313</v>
      </c>
      <c r="BL2477" t="s">
        <v>100</v>
      </c>
      <c r="BM2477" t="s">
        <v>41682</v>
      </c>
      <c r="BN2477" t="s">
        <v>74</v>
      </c>
      <c r="BO2477" t="s">
        <v>74</v>
      </c>
      <c r="BP2477" t="s">
        <v>74</v>
      </c>
      <c r="BQ2477" t="s">
        <v>74</v>
      </c>
      <c r="BR2477" t="s">
        <v>102</v>
      </c>
      <c r="BS2477" t="s">
        <v>41683</v>
      </c>
      <c r="BT2477" t="str">
        <f>HYPERLINK("https%3A%2F%2Fwww.webofscience.com%2Fwos%2Fwoscc%2Ffull-record%2FWOS:000442726700005","View Full Record in Web of Science")</f>
        <v>View Full Record in Web of Science</v>
      </c>
    </row>
    <row r="2478" spans="1:72" x14ac:dyDescent="0.25">
      <c r="A2478" t="s">
        <v>72</v>
      </c>
      <c r="B2478" t="s">
        <v>41684</v>
      </c>
      <c r="C2478" t="s">
        <v>74</v>
      </c>
      <c r="D2478" t="s">
        <v>74</v>
      </c>
      <c r="E2478" t="s">
        <v>74</v>
      </c>
      <c r="F2478" t="s">
        <v>41685</v>
      </c>
      <c r="G2478" t="s">
        <v>74</v>
      </c>
      <c r="H2478" t="s">
        <v>74</v>
      </c>
      <c r="I2478" t="s">
        <v>41686</v>
      </c>
      <c r="J2478" t="s">
        <v>2288</v>
      </c>
      <c r="K2478" t="s">
        <v>74</v>
      </c>
      <c r="L2478" t="s">
        <v>74</v>
      </c>
      <c r="M2478" t="s">
        <v>78</v>
      </c>
      <c r="N2478" t="s">
        <v>79</v>
      </c>
      <c r="O2478" t="s">
        <v>74</v>
      </c>
      <c r="P2478" t="s">
        <v>74</v>
      </c>
      <c r="Q2478" t="s">
        <v>74</v>
      </c>
      <c r="R2478" t="s">
        <v>74</v>
      </c>
      <c r="S2478" t="s">
        <v>74</v>
      </c>
      <c r="T2478" t="s">
        <v>41687</v>
      </c>
      <c r="U2478" t="s">
        <v>41688</v>
      </c>
      <c r="V2478" t="s">
        <v>41689</v>
      </c>
      <c r="W2478" t="s">
        <v>41690</v>
      </c>
      <c r="X2478" t="s">
        <v>41691</v>
      </c>
      <c r="Y2478" t="s">
        <v>41692</v>
      </c>
      <c r="Z2478" t="s">
        <v>41693</v>
      </c>
      <c r="AA2478" t="s">
        <v>41694</v>
      </c>
      <c r="AB2478" t="s">
        <v>41695</v>
      </c>
      <c r="AC2478" t="s">
        <v>41696</v>
      </c>
      <c r="AD2478" t="s">
        <v>41697</v>
      </c>
      <c r="AE2478" t="s">
        <v>41698</v>
      </c>
      <c r="AF2478" t="s">
        <v>74</v>
      </c>
      <c r="AG2478">
        <v>62</v>
      </c>
      <c r="AH2478">
        <v>2</v>
      </c>
      <c r="AI2478">
        <v>2</v>
      </c>
      <c r="AJ2478">
        <v>8</v>
      </c>
      <c r="AK2478">
        <v>19</v>
      </c>
      <c r="AL2478" t="s">
        <v>201</v>
      </c>
      <c r="AM2478" t="s">
        <v>202</v>
      </c>
      <c r="AN2478" t="s">
        <v>203</v>
      </c>
      <c r="AO2478" t="s">
        <v>2299</v>
      </c>
      <c r="AP2478" t="s">
        <v>2300</v>
      </c>
      <c r="AQ2478" t="s">
        <v>74</v>
      </c>
      <c r="AR2478" t="s">
        <v>2301</v>
      </c>
      <c r="AS2478" t="s">
        <v>2302</v>
      </c>
      <c r="AT2478" t="s">
        <v>1540</v>
      </c>
      <c r="AU2478">
        <v>2025</v>
      </c>
      <c r="AV2478">
        <v>174</v>
      </c>
      <c r="AW2478" t="s">
        <v>74</v>
      </c>
      <c r="AX2478" t="s">
        <v>74</v>
      </c>
      <c r="AY2478" t="s">
        <v>74</v>
      </c>
      <c r="AZ2478" t="s">
        <v>74</v>
      </c>
      <c r="BA2478" t="s">
        <v>74</v>
      </c>
      <c r="BB2478" t="s">
        <v>74</v>
      </c>
      <c r="BC2478" t="s">
        <v>74</v>
      </c>
      <c r="BD2478">
        <v>103427</v>
      </c>
      <c r="BE2478" t="s">
        <v>41699</v>
      </c>
      <c r="BF2478" t="str">
        <f>HYPERLINK("http://dx.doi.org/10.1016/j.jdeveco.2024.103427","http://dx.doi.org/10.1016/j.jdeveco.2024.103427")</f>
        <v>http://dx.doi.org/10.1016/j.jdeveco.2024.103427</v>
      </c>
      <c r="BG2478" t="s">
        <v>74</v>
      </c>
      <c r="BH2478" t="s">
        <v>809</v>
      </c>
      <c r="BI2478">
        <v>15</v>
      </c>
      <c r="BJ2478" t="s">
        <v>291</v>
      </c>
      <c r="BK2478" t="s">
        <v>99</v>
      </c>
      <c r="BL2478" t="s">
        <v>100</v>
      </c>
      <c r="BM2478" t="s">
        <v>41700</v>
      </c>
      <c r="BN2478" t="s">
        <v>74</v>
      </c>
      <c r="BO2478" t="s">
        <v>74</v>
      </c>
      <c r="BP2478" t="s">
        <v>74</v>
      </c>
      <c r="BQ2478" t="s">
        <v>74</v>
      </c>
      <c r="BR2478" t="s">
        <v>102</v>
      </c>
      <c r="BS2478" t="s">
        <v>41701</v>
      </c>
      <c r="BT2478" t="str">
        <f>HYPERLINK("https%3A%2F%2Fwww.webofscience.com%2Fwos%2Fwoscc%2Ffull-record%2FWOS:001390813300001","View Full Record in Web of Science")</f>
        <v>View Full Record in Web of Science</v>
      </c>
    </row>
    <row r="2479" spans="1:72" x14ac:dyDescent="0.25">
      <c r="A2479" t="s">
        <v>72</v>
      </c>
      <c r="B2479" t="s">
        <v>41702</v>
      </c>
      <c r="C2479" t="s">
        <v>74</v>
      </c>
      <c r="D2479" t="s">
        <v>74</v>
      </c>
      <c r="E2479" t="s">
        <v>74</v>
      </c>
      <c r="F2479" t="s">
        <v>41703</v>
      </c>
      <c r="G2479" t="s">
        <v>74</v>
      </c>
      <c r="H2479" t="s">
        <v>74</v>
      </c>
      <c r="I2479" t="s">
        <v>41704</v>
      </c>
      <c r="J2479" t="s">
        <v>6044</v>
      </c>
      <c r="K2479" t="s">
        <v>74</v>
      </c>
      <c r="L2479" t="s">
        <v>74</v>
      </c>
      <c r="M2479" t="s">
        <v>78</v>
      </c>
      <c r="N2479" t="s">
        <v>79</v>
      </c>
      <c r="O2479" t="s">
        <v>74</v>
      </c>
      <c r="P2479" t="s">
        <v>74</v>
      </c>
      <c r="Q2479" t="s">
        <v>74</v>
      </c>
      <c r="R2479" t="s">
        <v>74</v>
      </c>
      <c r="S2479" t="s">
        <v>74</v>
      </c>
      <c r="T2479" t="s">
        <v>41705</v>
      </c>
      <c r="U2479" t="s">
        <v>41706</v>
      </c>
      <c r="V2479" t="s">
        <v>41707</v>
      </c>
      <c r="W2479" t="s">
        <v>41708</v>
      </c>
      <c r="X2479" t="s">
        <v>12191</v>
      </c>
      <c r="Y2479" t="s">
        <v>41709</v>
      </c>
      <c r="Z2479" t="s">
        <v>41710</v>
      </c>
      <c r="AA2479" t="s">
        <v>41711</v>
      </c>
      <c r="AB2479" t="s">
        <v>41712</v>
      </c>
      <c r="AC2479" t="s">
        <v>74</v>
      </c>
      <c r="AD2479" t="s">
        <v>74</v>
      </c>
      <c r="AE2479" t="s">
        <v>74</v>
      </c>
      <c r="AF2479" t="s">
        <v>74</v>
      </c>
      <c r="AG2479">
        <v>41</v>
      </c>
      <c r="AH2479">
        <v>15</v>
      </c>
      <c r="AI2479">
        <v>17</v>
      </c>
      <c r="AJ2479">
        <v>0</v>
      </c>
      <c r="AK2479">
        <v>16</v>
      </c>
      <c r="AL2479" t="s">
        <v>1889</v>
      </c>
      <c r="AM2479" t="s">
        <v>1890</v>
      </c>
      <c r="AN2479" t="s">
        <v>1891</v>
      </c>
      <c r="AO2479" t="s">
        <v>6052</v>
      </c>
      <c r="AP2479" t="s">
        <v>6053</v>
      </c>
      <c r="AQ2479" t="s">
        <v>74</v>
      </c>
      <c r="AR2479" t="s">
        <v>6054</v>
      </c>
      <c r="AS2479" t="s">
        <v>6055</v>
      </c>
      <c r="AT2479" t="s">
        <v>1652</v>
      </c>
      <c r="AU2479">
        <v>2018</v>
      </c>
      <c r="AV2479">
        <v>23</v>
      </c>
      <c r="AW2479">
        <v>2</v>
      </c>
      <c r="AX2479" t="s">
        <v>74</v>
      </c>
      <c r="AY2479" t="s">
        <v>74</v>
      </c>
      <c r="AZ2479" t="s">
        <v>74</v>
      </c>
      <c r="BA2479" t="s">
        <v>74</v>
      </c>
      <c r="BB2479" t="s">
        <v>74</v>
      </c>
      <c r="BC2479" t="s">
        <v>74</v>
      </c>
      <c r="BD2479">
        <v>1850008</v>
      </c>
      <c r="BE2479" t="s">
        <v>41713</v>
      </c>
      <c r="BF2479" t="str">
        <f>HYPERLINK("http://dx.doi.org/10.1142/S1084946718500085","http://dx.doi.org/10.1142/S1084946718500085")</f>
        <v>http://dx.doi.org/10.1142/S1084946718500085</v>
      </c>
      <c r="BG2479" t="s">
        <v>74</v>
      </c>
      <c r="BH2479" t="s">
        <v>74</v>
      </c>
      <c r="BI2479">
        <v>24</v>
      </c>
      <c r="BJ2479" t="s">
        <v>418</v>
      </c>
      <c r="BK2479" t="s">
        <v>313</v>
      </c>
      <c r="BL2479" t="s">
        <v>100</v>
      </c>
      <c r="BM2479" t="s">
        <v>41714</v>
      </c>
      <c r="BN2479" t="s">
        <v>74</v>
      </c>
      <c r="BO2479" t="s">
        <v>74</v>
      </c>
      <c r="BP2479" t="s">
        <v>74</v>
      </c>
      <c r="BQ2479" t="s">
        <v>74</v>
      </c>
      <c r="BR2479" t="s">
        <v>102</v>
      </c>
      <c r="BS2479" t="s">
        <v>41715</v>
      </c>
      <c r="BT2479" t="str">
        <f>HYPERLINK("https%3A%2F%2Fwww.webofscience.com%2Fwos%2Fwoscc%2Ffull-record%2FWOS:000440823700002","View Full Record in Web of Science")</f>
        <v>View Full Record in Web of Science</v>
      </c>
    </row>
    <row r="2480" spans="1:72" x14ac:dyDescent="0.25">
      <c r="A2480" t="s">
        <v>72</v>
      </c>
      <c r="B2480" t="s">
        <v>41716</v>
      </c>
      <c r="C2480" t="s">
        <v>74</v>
      </c>
      <c r="D2480" t="s">
        <v>74</v>
      </c>
      <c r="E2480" t="s">
        <v>74</v>
      </c>
      <c r="F2480" t="s">
        <v>41717</v>
      </c>
      <c r="G2480" t="s">
        <v>74</v>
      </c>
      <c r="H2480" t="s">
        <v>74</v>
      </c>
      <c r="I2480" t="s">
        <v>41718</v>
      </c>
      <c r="J2480" t="s">
        <v>12620</v>
      </c>
      <c r="K2480" t="s">
        <v>74</v>
      </c>
      <c r="L2480" t="s">
        <v>74</v>
      </c>
      <c r="M2480" t="s">
        <v>78</v>
      </c>
      <c r="N2480" t="s">
        <v>79</v>
      </c>
      <c r="O2480" t="s">
        <v>74</v>
      </c>
      <c r="P2480" t="s">
        <v>74</v>
      </c>
      <c r="Q2480" t="s">
        <v>74</v>
      </c>
      <c r="R2480" t="s">
        <v>74</v>
      </c>
      <c r="S2480" t="s">
        <v>74</v>
      </c>
      <c r="T2480" t="s">
        <v>41719</v>
      </c>
      <c r="U2480" t="s">
        <v>41720</v>
      </c>
      <c r="V2480" t="s">
        <v>41721</v>
      </c>
      <c r="W2480" t="s">
        <v>41722</v>
      </c>
      <c r="X2480" t="s">
        <v>26950</v>
      </c>
      <c r="Y2480" t="s">
        <v>41723</v>
      </c>
      <c r="Z2480" t="s">
        <v>41724</v>
      </c>
      <c r="AA2480" t="s">
        <v>74</v>
      </c>
      <c r="AB2480" t="s">
        <v>41725</v>
      </c>
      <c r="AC2480" t="s">
        <v>74</v>
      </c>
      <c r="AD2480" t="s">
        <v>74</v>
      </c>
      <c r="AE2480" t="s">
        <v>74</v>
      </c>
      <c r="AF2480" t="s">
        <v>74</v>
      </c>
      <c r="AG2480">
        <v>67</v>
      </c>
      <c r="AH2480">
        <v>1</v>
      </c>
      <c r="AI2480">
        <v>1</v>
      </c>
      <c r="AJ2480">
        <v>1</v>
      </c>
      <c r="AK2480">
        <v>1</v>
      </c>
      <c r="AL2480" t="s">
        <v>89</v>
      </c>
      <c r="AM2480" t="s">
        <v>90</v>
      </c>
      <c r="AN2480" t="s">
        <v>91</v>
      </c>
      <c r="AO2480" t="s">
        <v>12628</v>
      </c>
      <c r="AP2480" t="s">
        <v>12629</v>
      </c>
      <c r="AQ2480" t="s">
        <v>74</v>
      </c>
      <c r="AR2480" t="s">
        <v>12630</v>
      </c>
      <c r="AS2480" t="s">
        <v>12631</v>
      </c>
      <c r="AT2480" t="s">
        <v>5472</v>
      </c>
      <c r="AU2480">
        <v>2025</v>
      </c>
      <c r="AV2480">
        <v>45</v>
      </c>
      <c r="AW2480" t="s">
        <v>14854</v>
      </c>
      <c r="AX2480" t="s">
        <v>74</v>
      </c>
      <c r="AY2480" t="s">
        <v>74</v>
      </c>
      <c r="AZ2480" t="s">
        <v>74</v>
      </c>
      <c r="BA2480" t="s">
        <v>74</v>
      </c>
      <c r="BB2480">
        <v>606</v>
      </c>
      <c r="BC2480">
        <v>625</v>
      </c>
      <c r="BD2480" t="s">
        <v>74</v>
      </c>
      <c r="BE2480" t="s">
        <v>41726</v>
      </c>
      <c r="BF2480" t="str">
        <f>HYPERLINK("http://dx.doi.org/10.1108/IJSSP-02-2025-0104","http://dx.doi.org/10.1108/IJSSP-02-2025-0104")</f>
        <v>http://dx.doi.org/10.1108/IJSSP-02-2025-0104</v>
      </c>
      <c r="BG2480" t="s">
        <v>74</v>
      </c>
      <c r="BH2480" t="s">
        <v>7657</v>
      </c>
      <c r="BI2480">
        <v>20</v>
      </c>
      <c r="BJ2480" t="s">
        <v>5129</v>
      </c>
      <c r="BK2480" t="s">
        <v>313</v>
      </c>
      <c r="BL2480" t="s">
        <v>5129</v>
      </c>
      <c r="BM2480" t="s">
        <v>41727</v>
      </c>
      <c r="BN2480" t="s">
        <v>74</v>
      </c>
      <c r="BO2480" t="s">
        <v>74</v>
      </c>
      <c r="BP2480" t="s">
        <v>74</v>
      </c>
      <c r="BQ2480" t="s">
        <v>74</v>
      </c>
      <c r="BR2480" t="s">
        <v>102</v>
      </c>
      <c r="BS2480" t="s">
        <v>41728</v>
      </c>
      <c r="BT2480" t="str">
        <f>HYPERLINK("https%3A%2F%2Fwww.webofscience.com%2Fwos%2Fwoscc%2Ffull-record%2FWOS:001509703000001","View Full Record in Web of Science")</f>
        <v>View Full Record in Web of Science</v>
      </c>
    </row>
    <row r="2481" spans="1:72" x14ac:dyDescent="0.25">
      <c r="A2481" t="s">
        <v>72</v>
      </c>
      <c r="B2481" t="s">
        <v>41729</v>
      </c>
      <c r="C2481" t="s">
        <v>74</v>
      </c>
      <c r="D2481" t="s">
        <v>74</v>
      </c>
      <c r="E2481" t="s">
        <v>74</v>
      </c>
      <c r="F2481" t="s">
        <v>41730</v>
      </c>
      <c r="G2481" t="s">
        <v>74</v>
      </c>
      <c r="H2481" t="s">
        <v>74</v>
      </c>
      <c r="I2481" t="s">
        <v>41731</v>
      </c>
      <c r="J2481" t="s">
        <v>4250</v>
      </c>
      <c r="K2481" t="s">
        <v>74</v>
      </c>
      <c r="L2481" t="s">
        <v>74</v>
      </c>
      <c r="M2481" t="s">
        <v>78</v>
      </c>
      <c r="N2481" t="s">
        <v>79</v>
      </c>
      <c r="O2481" t="s">
        <v>74</v>
      </c>
      <c r="P2481" t="s">
        <v>74</v>
      </c>
      <c r="Q2481" t="s">
        <v>74</v>
      </c>
      <c r="R2481" t="s">
        <v>74</v>
      </c>
      <c r="S2481" t="s">
        <v>74</v>
      </c>
      <c r="T2481" t="s">
        <v>41732</v>
      </c>
      <c r="U2481" t="s">
        <v>41733</v>
      </c>
      <c r="V2481" t="s">
        <v>41734</v>
      </c>
      <c r="W2481" t="s">
        <v>41735</v>
      </c>
      <c r="X2481" t="s">
        <v>41736</v>
      </c>
      <c r="Y2481" t="s">
        <v>41737</v>
      </c>
      <c r="Z2481" t="s">
        <v>41738</v>
      </c>
      <c r="AA2481" t="s">
        <v>74</v>
      </c>
      <c r="AB2481" t="s">
        <v>41739</v>
      </c>
      <c r="AC2481" t="s">
        <v>74</v>
      </c>
      <c r="AD2481" t="s">
        <v>74</v>
      </c>
      <c r="AE2481" t="s">
        <v>74</v>
      </c>
      <c r="AF2481" t="s">
        <v>74</v>
      </c>
      <c r="AG2481">
        <v>51</v>
      </c>
      <c r="AH2481">
        <v>1</v>
      </c>
      <c r="AI2481">
        <v>2</v>
      </c>
      <c r="AJ2481">
        <v>2</v>
      </c>
      <c r="AK2481">
        <v>15</v>
      </c>
      <c r="AL2481" t="s">
        <v>4258</v>
      </c>
      <c r="AM2481" t="s">
        <v>118</v>
      </c>
      <c r="AN2481" t="s">
        <v>4259</v>
      </c>
      <c r="AO2481" t="s">
        <v>4260</v>
      </c>
      <c r="AP2481" t="s">
        <v>4261</v>
      </c>
      <c r="AQ2481" t="s">
        <v>74</v>
      </c>
      <c r="AR2481" t="s">
        <v>4262</v>
      </c>
      <c r="AS2481" t="s">
        <v>4263</v>
      </c>
      <c r="AT2481" t="s">
        <v>848</v>
      </c>
      <c r="AU2481">
        <v>2023</v>
      </c>
      <c r="AV2481">
        <v>65</v>
      </c>
      <c r="AW2481">
        <v>1</v>
      </c>
      <c r="AX2481" t="s">
        <v>74</v>
      </c>
      <c r="AY2481" t="s">
        <v>74</v>
      </c>
      <c r="AZ2481" t="s">
        <v>74</v>
      </c>
      <c r="BA2481" t="s">
        <v>74</v>
      </c>
      <c r="BB2481">
        <v>341</v>
      </c>
      <c r="BC2481">
        <v>370</v>
      </c>
      <c r="BD2481" t="s">
        <v>74</v>
      </c>
      <c r="BE2481" t="s">
        <v>41740</v>
      </c>
      <c r="BF2481" t="str">
        <f>HYPERLINK("http://dx.doi.org/10.1007/s00181-022-02331-4","http://dx.doi.org/10.1007/s00181-022-02331-4")</f>
        <v>http://dx.doi.org/10.1007/s00181-022-02331-4</v>
      </c>
      <c r="BG2481" t="s">
        <v>74</v>
      </c>
      <c r="BH2481" t="s">
        <v>5112</v>
      </c>
      <c r="BI2481">
        <v>30</v>
      </c>
      <c r="BJ2481" t="s">
        <v>2023</v>
      </c>
      <c r="BK2481" t="s">
        <v>99</v>
      </c>
      <c r="BL2481" t="s">
        <v>2024</v>
      </c>
      <c r="BM2481" t="s">
        <v>41741</v>
      </c>
      <c r="BN2481" t="s">
        <v>74</v>
      </c>
      <c r="BO2481" t="s">
        <v>74</v>
      </c>
      <c r="BP2481" t="s">
        <v>74</v>
      </c>
      <c r="BQ2481" t="s">
        <v>74</v>
      </c>
      <c r="BR2481" t="s">
        <v>102</v>
      </c>
      <c r="BS2481" t="s">
        <v>41742</v>
      </c>
      <c r="BT2481" t="str">
        <f>HYPERLINK("https%3A%2F%2Fwww.webofscience.com%2Fwos%2Fwoscc%2Ffull-record%2FWOS:000881744300002","View Full Record in Web of Science")</f>
        <v>View Full Record in Web of Science</v>
      </c>
    </row>
    <row r="2482" spans="1:72" x14ac:dyDescent="0.25">
      <c r="A2482" t="s">
        <v>72</v>
      </c>
      <c r="B2482" t="s">
        <v>41743</v>
      </c>
      <c r="C2482" t="s">
        <v>74</v>
      </c>
      <c r="D2482" t="s">
        <v>74</v>
      </c>
      <c r="E2482" t="s">
        <v>74</v>
      </c>
      <c r="F2482" t="s">
        <v>41744</v>
      </c>
      <c r="G2482" t="s">
        <v>74</v>
      </c>
      <c r="H2482" t="s">
        <v>74</v>
      </c>
      <c r="I2482" t="s">
        <v>41745</v>
      </c>
      <c r="J2482" t="s">
        <v>41746</v>
      </c>
      <c r="K2482" t="s">
        <v>74</v>
      </c>
      <c r="L2482" t="s">
        <v>74</v>
      </c>
      <c r="M2482" t="s">
        <v>78</v>
      </c>
      <c r="N2482" t="s">
        <v>1766</v>
      </c>
      <c r="O2482" t="s">
        <v>74</v>
      </c>
      <c r="P2482" t="s">
        <v>74</v>
      </c>
      <c r="Q2482" t="s">
        <v>74</v>
      </c>
      <c r="R2482" t="s">
        <v>74</v>
      </c>
      <c r="S2482" t="s">
        <v>74</v>
      </c>
      <c r="T2482" t="s">
        <v>41747</v>
      </c>
      <c r="U2482" t="s">
        <v>41748</v>
      </c>
      <c r="V2482" t="s">
        <v>41749</v>
      </c>
      <c r="W2482" t="s">
        <v>41750</v>
      </c>
      <c r="X2482" t="s">
        <v>41751</v>
      </c>
      <c r="Y2482" t="s">
        <v>41752</v>
      </c>
      <c r="Z2482" t="s">
        <v>41753</v>
      </c>
      <c r="AA2482" t="s">
        <v>41754</v>
      </c>
      <c r="AB2482" t="s">
        <v>74</v>
      </c>
      <c r="AC2482" t="s">
        <v>8250</v>
      </c>
      <c r="AD2482" t="s">
        <v>41755</v>
      </c>
      <c r="AE2482" t="s">
        <v>41756</v>
      </c>
      <c r="AF2482" t="s">
        <v>74</v>
      </c>
      <c r="AG2482">
        <v>75</v>
      </c>
      <c r="AH2482">
        <v>0</v>
      </c>
      <c r="AI2482">
        <v>0</v>
      </c>
      <c r="AJ2482">
        <v>0</v>
      </c>
      <c r="AK2482">
        <v>0</v>
      </c>
      <c r="AL2482" t="s">
        <v>575</v>
      </c>
      <c r="AM2482" t="s">
        <v>576</v>
      </c>
      <c r="AN2482" t="s">
        <v>577</v>
      </c>
      <c r="AO2482" t="s">
        <v>74</v>
      </c>
      <c r="AP2482" t="s">
        <v>41757</v>
      </c>
      <c r="AQ2482" t="s">
        <v>74</v>
      </c>
      <c r="AR2482" t="s">
        <v>41746</v>
      </c>
      <c r="AS2482" t="s">
        <v>41758</v>
      </c>
      <c r="AT2482" t="s">
        <v>24489</v>
      </c>
      <c r="AU2482">
        <v>2025</v>
      </c>
      <c r="AV2482">
        <v>15</v>
      </c>
      <c r="AW2482">
        <v>11</v>
      </c>
      <c r="AX2482" t="s">
        <v>74</v>
      </c>
      <c r="AY2482" t="s">
        <v>74</v>
      </c>
      <c r="AZ2482" t="s">
        <v>74</v>
      </c>
      <c r="BA2482" t="s">
        <v>74</v>
      </c>
      <c r="BB2482" t="s">
        <v>74</v>
      </c>
      <c r="BC2482" t="s">
        <v>74</v>
      </c>
      <c r="BD2482">
        <v>304</v>
      </c>
      <c r="BE2482" t="s">
        <v>41759</v>
      </c>
      <c r="BF2482" t="str">
        <f>HYPERLINK("http://dx.doi.org/10.3390/soc15110304","http://dx.doi.org/10.3390/soc15110304")</f>
        <v>http://dx.doi.org/10.3390/soc15110304</v>
      </c>
      <c r="BG2482" t="s">
        <v>74</v>
      </c>
      <c r="BH2482" t="s">
        <v>74</v>
      </c>
      <c r="BI2482">
        <v>16</v>
      </c>
      <c r="BJ2482" t="s">
        <v>5129</v>
      </c>
      <c r="BK2482" t="s">
        <v>313</v>
      </c>
      <c r="BL2482" t="s">
        <v>5129</v>
      </c>
      <c r="BM2482" t="s">
        <v>41760</v>
      </c>
      <c r="BN2482" t="s">
        <v>74</v>
      </c>
      <c r="BO2482" t="s">
        <v>212</v>
      </c>
      <c r="BP2482" t="s">
        <v>74</v>
      </c>
      <c r="BQ2482" t="s">
        <v>74</v>
      </c>
      <c r="BR2482" t="s">
        <v>102</v>
      </c>
      <c r="BS2482" t="s">
        <v>41761</v>
      </c>
      <c r="BT2482" t="str">
        <f>HYPERLINK("https%3A%2F%2Fwww.webofscience.com%2Fwos%2Fwoscc%2Ffull-record%2FWOS:001624349100001","View Full Record in Web of Science")</f>
        <v>View Full Record in Web of Science</v>
      </c>
    </row>
    <row r="2483" spans="1:72" x14ac:dyDescent="0.25">
      <c r="A2483" t="s">
        <v>72</v>
      </c>
      <c r="B2483" t="s">
        <v>41762</v>
      </c>
      <c r="C2483" t="s">
        <v>74</v>
      </c>
      <c r="D2483" t="s">
        <v>74</v>
      </c>
      <c r="E2483" t="s">
        <v>74</v>
      </c>
      <c r="F2483" t="s">
        <v>41763</v>
      </c>
      <c r="G2483" t="s">
        <v>74</v>
      </c>
      <c r="H2483" t="s">
        <v>74</v>
      </c>
      <c r="I2483" t="s">
        <v>41764</v>
      </c>
      <c r="J2483" t="s">
        <v>9191</v>
      </c>
      <c r="K2483" t="s">
        <v>74</v>
      </c>
      <c r="L2483" t="s">
        <v>74</v>
      </c>
      <c r="M2483" t="s">
        <v>78</v>
      </c>
      <c r="N2483" t="s">
        <v>79</v>
      </c>
      <c r="O2483" t="s">
        <v>74</v>
      </c>
      <c r="P2483" t="s">
        <v>74</v>
      </c>
      <c r="Q2483" t="s">
        <v>74</v>
      </c>
      <c r="R2483" t="s">
        <v>74</v>
      </c>
      <c r="S2483" t="s">
        <v>74</v>
      </c>
      <c r="T2483" t="s">
        <v>41765</v>
      </c>
      <c r="U2483" t="s">
        <v>35410</v>
      </c>
      <c r="V2483" t="s">
        <v>41766</v>
      </c>
      <c r="W2483" t="s">
        <v>41767</v>
      </c>
      <c r="X2483" t="s">
        <v>41768</v>
      </c>
      <c r="Y2483" t="s">
        <v>41769</v>
      </c>
      <c r="Z2483" t="s">
        <v>41770</v>
      </c>
      <c r="AA2483" t="s">
        <v>41771</v>
      </c>
      <c r="AB2483" t="s">
        <v>14588</v>
      </c>
      <c r="AC2483" t="s">
        <v>41772</v>
      </c>
      <c r="AD2483" t="s">
        <v>41772</v>
      </c>
      <c r="AE2483" t="s">
        <v>41773</v>
      </c>
      <c r="AF2483" t="s">
        <v>74</v>
      </c>
      <c r="AG2483">
        <v>40</v>
      </c>
      <c r="AH2483">
        <v>3</v>
      </c>
      <c r="AI2483">
        <v>6</v>
      </c>
      <c r="AJ2483">
        <v>2</v>
      </c>
      <c r="AK2483">
        <v>22</v>
      </c>
      <c r="AL2483" t="s">
        <v>9204</v>
      </c>
      <c r="AM2483" t="s">
        <v>2016</v>
      </c>
      <c r="AN2483" t="s">
        <v>9205</v>
      </c>
      <c r="AO2483" t="s">
        <v>74</v>
      </c>
      <c r="AP2483" t="s">
        <v>9206</v>
      </c>
      <c r="AQ2483" t="s">
        <v>74</v>
      </c>
      <c r="AR2483" t="s">
        <v>9191</v>
      </c>
      <c r="AS2483" t="s">
        <v>9207</v>
      </c>
      <c r="AT2483" t="s">
        <v>743</v>
      </c>
      <c r="AU2483">
        <v>2023</v>
      </c>
      <c r="AV2483">
        <v>9</v>
      </c>
      <c r="AW2483">
        <v>4</v>
      </c>
      <c r="AX2483" t="s">
        <v>74</v>
      </c>
      <c r="AY2483" t="s">
        <v>74</v>
      </c>
      <c r="AZ2483" t="s">
        <v>74</v>
      </c>
      <c r="BA2483" t="s">
        <v>74</v>
      </c>
      <c r="BB2483" t="s">
        <v>74</v>
      </c>
      <c r="BC2483" t="s">
        <v>74</v>
      </c>
      <c r="BD2483" t="s">
        <v>41774</v>
      </c>
      <c r="BE2483" t="s">
        <v>41775</v>
      </c>
      <c r="BF2483" t="str">
        <f>HYPERLINK("http://dx.doi.org/10.1016/j.heliyon.2023.e15440","http://dx.doi.org/10.1016/j.heliyon.2023.e15440")</f>
        <v>http://dx.doi.org/10.1016/j.heliyon.2023.e15440</v>
      </c>
      <c r="BG2483" t="s">
        <v>74</v>
      </c>
      <c r="BH2483" t="s">
        <v>6298</v>
      </c>
      <c r="BI2483">
        <v>10</v>
      </c>
      <c r="BJ2483" t="s">
        <v>559</v>
      </c>
      <c r="BK2483" t="s">
        <v>128</v>
      </c>
      <c r="BL2483" t="s">
        <v>560</v>
      </c>
      <c r="BM2483" t="s">
        <v>41776</v>
      </c>
      <c r="BN2483">
        <v>37123909</v>
      </c>
      <c r="BO2483" t="s">
        <v>916</v>
      </c>
      <c r="BP2483" t="s">
        <v>74</v>
      </c>
      <c r="BQ2483" t="s">
        <v>74</v>
      </c>
      <c r="BR2483" t="s">
        <v>102</v>
      </c>
      <c r="BS2483" t="s">
        <v>41777</v>
      </c>
      <c r="BT2483" t="str">
        <f>HYPERLINK("https%3A%2F%2Fwww.webofscience.com%2Fwos%2Fwoscc%2Ffull-record%2FWOS:000999801000001","View Full Record in Web of Science")</f>
        <v>View Full Record in Web of Science</v>
      </c>
    </row>
    <row r="2484" spans="1:72" x14ac:dyDescent="0.25">
      <c r="A2484" t="s">
        <v>72</v>
      </c>
      <c r="B2484" t="s">
        <v>41778</v>
      </c>
      <c r="C2484" t="s">
        <v>74</v>
      </c>
      <c r="D2484" t="s">
        <v>74</v>
      </c>
      <c r="E2484" t="s">
        <v>74</v>
      </c>
      <c r="F2484" t="s">
        <v>41779</v>
      </c>
      <c r="G2484" t="s">
        <v>74</v>
      </c>
      <c r="H2484" t="s">
        <v>74</v>
      </c>
      <c r="I2484" t="s">
        <v>41780</v>
      </c>
      <c r="J2484" t="s">
        <v>41781</v>
      </c>
      <c r="K2484" t="s">
        <v>74</v>
      </c>
      <c r="L2484" t="s">
        <v>74</v>
      </c>
      <c r="M2484" t="s">
        <v>78</v>
      </c>
      <c r="N2484" t="s">
        <v>16500</v>
      </c>
      <c r="O2484" t="s">
        <v>74</v>
      </c>
      <c r="P2484" t="s">
        <v>74</v>
      </c>
      <c r="Q2484" t="s">
        <v>74</v>
      </c>
      <c r="R2484" t="s">
        <v>74</v>
      </c>
      <c r="S2484" t="s">
        <v>74</v>
      </c>
      <c r="T2484" t="s">
        <v>41782</v>
      </c>
      <c r="U2484" t="s">
        <v>41783</v>
      </c>
      <c r="V2484" t="s">
        <v>41784</v>
      </c>
      <c r="W2484" t="s">
        <v>41785</v>
      </c>
      <c r="X2484" t="s">
        <v>41786</v>
      </c>
      <c r="Y2484" t="s">
        <v>41787</v>
      </c>
      <c r="Z2484" t="s">
        <v>41788</v>
      </c>
      <c r="AA2484" t="s">
        <v>74</v>
      </c>
      <c r="AB2484" t="s">
        <v>74</v>
      </c>
      <c r="AC2484" t="s">
        <v>74</v>
      </c>
      <c r="AD2484" t="s">
        <v>74</v>
      </c>
      <c r="AE2484" t="s">
        <v>74</v>
      </c>
      <c r="AF2484" t="s">
        <v>74</v>
      </c>
      <c r="AG2484">
        <v>20</v>
      </c>
      <c r="AH2484">
        <v>0</v>
      </c>
      <c r="AI2484">
        <v>0</v>
      </c>
      <c r="AJ2484">
        <v>0</v>
      </c>
      <c r="AK2484">
        <v>0</v>
      </c>
      <c r="AL2484" t="s">
        <v>89</v>
      </c>
      <c r="AM2484" t="s">
        <v>90</v>
      </c>
      <c r="AN2484" t="s">
        <v>91</v>
      </c>
      <c r="AO2484" t="s">
        <v>41789</v>
      </c>
      <c r="AP2484" t="s">
        <v>41790</v>
      </c>
      <c r="AQ2484" t="s">
        <v>74</v>
      </c>
      <c r="AR2484" t="s">
        <v>41791</v>
      </c>
      <c r="AS2484" t="s">
        <v>41792</v>
      </c>
      <c r="AT2484" t="s">
        <v>41793</v>
      </c>
      <c r="AU2484">
        <v>2025</v>
      </c>
      <c r="AV2484" t="s">
        <v>74</v>
      </c>
      <c r="AW2484" t="s">
        <v>74</v>
      </c>
      <c r="AX2484" t="s">
        <v>74</v>
      </c>
      <c r="AY2484" t="s">
        <v>74</v>
      </c>
      <c r="AZ2484" t="s">
        <v>74</v>
      </c>
      <c r="BA2484" t="s">
        <v>74</v>
      </c>
      <c r="BB2484" t="s">
        <v>74</v>
      </c>
      <c r="BC2484" t="s">
        <v>74</v>
      </c>
      <c r="BD2484" t="s">
        <v>74</v>
      </c>
      <c r="BE2484" t="s">
        <v>41794</v>
      </c>
      <c r="BF2484" t="str">
        <f>HYPERLINK("http://dx.doi.org/10.1108/MHSI-09-2025-0248","http://dx.doi.org/10.1108/MHSI-09-2025-0248")</f>
        <v>http://dx.doi.org/10.1108/MHSI-09-2025-0248</v>
      </c>
      <c r="BG2484" t="s">
        <v>74</v>
      </c>
      <c r="BH2484" t="s">
        <v>12078</v>
      </c>
      <c r="BI2484">
        <v>11</v>
      </c>
      <c r="BJ2484" t="s">
        <v>2045</v>
      </c>
      <c r="BK2484" t="s">
        <v>313</v>
      </c>
      <c r="BL2484" t="s">
        <v>2045</v>
      </c>
      <c r="BM2484" t="s">
        <v>41795</v>
      </c>
      <c r="BN2484" t="s">
        <v>74</v>
      </c>
      <c r="BO2484" t="s">
        <v>74</v>
      </c>
      <c r="BP2484" t="s">
        <v>74</v>
      </c>
      <c r="BQ2484" t="s">
        <v>74</v>
      </c>
      <c r="BR2484" t="s">
        <v>102</v>
      </c>
      <c r="BS2484" t="s">
        <v>41796</v>
      </c>
      <c r="BT2484" t="str">
        <f>HYPERLINK("https%3A%2F%2Fwww.webofscience.com%2Fwos%2Fwoscc%2Ffull-record%2FWOS:001591333500001","View Full Record in Web of Science")</f>
        <v>View Full Record in Web of Science</v>
      </c>
    </row>
    <row r="2485" spans="1:72" x14ac:dyDescent="0.25">
      <c r="A2485" t="s">
        <v>72</v>
      </c>
      <c r="B2485" t="s">
        <v>41797</v>
      </c>
      <c r="C2485" t="s">
        <v>74</v>
      </c>
      <c r="D2485" t="s">
        <v>74</v>
      </c>
      <c r="E2485" t="s">
        <v>74</v>
      </c>
      <c r="F2485" t="s">
        <v>41798</v>
      </c>
      <c r="G2485" t="s">
        <v>74</v>
      </c>
      <c r="H2485" t="s">
        <v>74</v>
      </c>
      <c r="I2485" t="s">
        <v>41799</v>
      </c>
      <c r="J2485" t="s">
        <v>41800</v>
      </c>
      <c r="K2485" t="s">
        <v>74</v>
      </c>
      <c r="L2485" t="s">
        <v>74</v>
      </c>
      <c r="M2485" t="s">
        <v>78</v>
      </c>
      <c r="N2485" t="s">
        <v>79</v>
      </c>
      <c r="O2485" t="s">
        <v>74</v>
      </c>
      <c r="P2485" t="s">
        <v>74</v>
      </c>
      <c r="Q2485" t="s">
        <v>74</v>
      </c>
      <c r="R2485" t="s">
        <v>74</v>
      </c>
      <c r="S2485" t="s">
        <v>74</v>
      </c>
      <c r="T2485" t="s">
        <v>41801</v>
      </c>
      <c r="U2485" t="s">
        <v>41802</v>
      </c>
      <c r="V2485" t="s">
        <v>41803</v>
      </c>
      <c r="W2485" t="s">
        <v>41804</v>
      </c>
      <c r="X2485" t="s">
        <v>41805</v>
      </c>
      <c r="Y2485" t="s">
        <v>41806</v>
      </c>
      <c r="Z2485" t="s">
        <v>41807</v>
      </c>
      <c r="AA2485" t="s">
        <v>74</v>
      </c>
      <c r="AB2485" t="s">
        <v>36400</v>
      </c>
      <c r="AC2485" t="s">
        <v>74</v>
      </c>
      <c r="AD2485" t="s">
        <v>74</v>
      </c>
      <c r="AE2485" t="s">
        <v>74</v>
      </c>
      <c r="AF2485" t="s">
        <v>74</v>
      </c>
      <c r="AG2485">
        <v>82</v>
      </c>
      <c r="AH2485">
        <v>21</v>
      </c>
      <c r="AI2485">
        <v>26</v>
      </c>
      <c r="AJ2485">
        <v>2</v>
      </c>
      <c r="AK2485">
        <v>27</v>
      </c>
      <c r="AL2485" t="s">
        <v>503</v>
      </c>
      <c r="AM2485" t="s">
        <v>151</v>
      </c>
      <c r="AN2485" t="s">
        <v>504</v>
      </c>
      <c r="AO2485" t="s">
        <v>41808</v>
      </c>
      <c r="AP2485" t="s">
        <v>41809</v>
      </c>
      <c r="AQ2485" t="s">
        <v>74</v>
      </c>
      <c r="AR2485" t="s">
        <v>41810</v>
      </c>
      <c r="AS2485" t="s">
        <v>41811</v>
      </c>
      <c r="AT2485" t="s">
        <v>289</v>
      </c>
      <c r="AU2485">
        <v>2020</v>
      </c>
      <c r="AV2485">
        <v>55</v>
      </c>
      <c r="AW2485">
        <v>5</v>
      </c>
      <c r="AX2485" t="s">
        <v>74</v>
      </c>
      <c r="AY2485" t="s">
        <v>74</v>
      </c>
      <c r="AZ2485" t="s">
        <v>74</v>
      </c>
      <c r="BA2485" t="s">
        <v>74</v>
      </c>
      <c r="BB2485" t="s">
        <v>74</v>
      </c>
      <c r="BC2485" t="s">
        <v>74</v>
      </c>
      <c r="BD2485">
        <v>100985</v>
      </c>
      <c r="BE2485" t="s">
        <v>41812</v>
      </c>
      <c r="BF2485" t="str">
        <f>HYPERLINK("http://dx.doi.org/10.1016/j.jwb.2019.02.004","http://dx.doi.org/10.1016/j.jwb.2019.02.004")</f>
        <v>http://dx.doi.org/10.1016/j.jwb.2019.02.004</v>
      </c>
      <c r="BG2485" t="s">
        <v>74</v>
      </c>
      <c r="BH2485" t="s">
        <v>74</v>
      </c>
      <c r="BI2485">
        <v>15</v>
      </c>
      <c r="BJ2485" t="s">
        <v>418</v>
      </c>
      <c r="BK2485" t="s">
        <v>99</v>
      </c>
      <c r="BL2485" t="s">
        <v>100</v>
      </c>
      <c r="BM2485" t="s">
        <v>41813</v>
      </c>
      <c r="BN2485" t="s">
        <v>74</v>
      </c>
      <c r="BO2485" t="s">
        <v>1696</v>
      </c>
      <c r="BP2485" t="s">
        <v>74</v>
      </c>
      <c r="BQ2485" t="s">
        <v>74</v>
      </c>
      <c r="BR2485" t="s">
        <v>102</v>
      </c>
      <c r="BS2485" t="s">
        <v>41814</v>
      </c>
      <c r="BT2485" t="str">
        <f>HYPERLINK("https%3A%2F%2Fwww.webofscience.com%2Fwos%2Fwoscc%2Ffull-record%2FWOS:000554535000003","View Full Record in Web of Science")</f>
        <v>View Full Record in Web of Science</v>
      </c>
    </row>
    <row r="2486" spans="1:72" x14ac:dyDescent="0.25">
      <c r="A2486" t="s">
        <v>72</v>
      </c>
      <c r="B2486" t="s">
        <v>41815</v>
      </c>
      <c r="C2486" t="s">
        <v>74</v>
      </c>
      <c r="D2486" t="s">
        <v>74</v>
      </c>
      <c r="E2486" t="s">
        <v>74</v>
      </c>
      <c r="F2486" t="s">
        <v>41816</v>
      </c>
      <c r="G2486" t="s">
        <v>74</v>
      </c>
      <c r="H2486" t="s">
        <v>74</v>
      </c>
      <c r="I2486" t="s">
        <v>41817</v>
      </c>
      <c r="J2486" t="s">
        <v>8087</v>
      </c>
      <c r="K2486" t="s">
        <v>74</v>
      </c>
      <c r="L2486" t="s">
        <v>74</v>
      </c>
      <c r="M2486" t="s">
        <v>78</v>
      </c>
      <c r="N2486" t="s">
        <v>79</v>
      </c>
      <c r="O2486" t="s">
        <v>74</v>
      </c>
      <c r="P2486" t="s">
        <v>74</v>
      </c>
      <c r="Q2486" t="s">
        <v>74</v>
      </c>
      <c r="R2486" t="s">
        <v>74</v>
      </c>
      <c r="S2486" t="s">
        <v>74</v>
      </c>
      <c r="T2486" t="s">
        <v>41818</v>
      </c>
      <c r="U2486" t="s">
        <v>41819</v>
      </c>
      <c r="V2486" t="s">
        <v>41820</v>
      </c>
      <c r="W2486" t="s">
        <v>41821</v>
      </c>
      <c r="X2486" t="s">
        <v>41822</v>
      </c>
      <c r="Y2486" t="s">
        <v>41823</v>
      </c>
      <c r="Z2486" t="s">
        <v>41824</v>
      </c>
      <c r="AA2486" t="s">
        <v>41825</v>
      </c>
      <c r="AB2486" t="s">
        <v>41826</v>
      </c>
      <c r="AC2486" t="s">
        <v>41827</v>
      </c>
      <c r="AD2486" t="s">
        <v>41827</v>
      </c>
      <c r="AE2486" t="s">
        <v>41828</v>
      </c>
      <c r="AF2486" t="s">
        <v>74</v>
      </c>
      <c r="AG2486">
        <v>92</v>
      </c>
      <c r="AH2486">
        <v>2</v>
      </c>
      <c r="AI2486">
        <v>5</v>
      </c>
      <c r="AJ2486">
        <v>5</v>
      </c>
      <c r="AK2486">
        <v>21</v>
      </c>
      <c r="AL2486" t="s">
        <v>479</v>
      </c>
      <c r="AM2486" t="s">
        <v>480</v>
      </c>
      <c r="AN2486" t="s">
        <v>481</v>
      </c>
      <c r="AO2486" t="s">
        <v>8097</v>
      </c>
      <c r="AP2486" t="s">
        <v>8098</v>
      </c>
      <c r="AQ2486" t="s">
        <v>74</v>
      </c>
      <c r="AR2486" t="s">
        <v>8099</v>
      </c>
      <c r="AS2486" t="s">
        <v>8100</v>
      </c>
      <c r="AT2486" t="s">
        <v>38056</v>
      </c>
      <c r="AU2486">
        <v>2024</v>
      </c>
      <c r="AV2486">
        <v>49</v>
      </c>
      <c r="AW2486">
        <v>1</v>
      </c>
      <c r="AX2486" t="s">
        <v>74</v>
      </c>
      <c r="AY2486" t="s">
        <v>74</v>
      </c>
      <c r="AZ2486" t="s">
        <v>74</v>
      </c>
      <c r="BA2486" t="s">
        <v>74</v>
      </c>
      <c r="BB2486" t="s">
        <v>74</v>
      </c>
      <c r="BC2486" t="s">
        <v>74</v>
      </c>
      <c r="BD2486" t="s">
        <v>41829</v>
      </c>
      <c r="BE2486" t="s">
        <v>41830</v>
      </c>
      <c r="BF2486" t="str">
        <f>HYPERLINK("http://dx.doi.org/10.1111/ijcs.13097","http://dx.doi.org/10.1111/ijcs.13097")</f>
        <v>http://dx.doi.org/10.1111/ijcs.13097</v>
      </c>
      <c r="BG2486" t="s">
        <v>74</v>
      </c>
      <c r="BH2486" t="s">
        <v>74</v>
      </c>
      <c r="BI2486">
        <v>38</v>
      </c>
      <c r="BJ2486" t="s">
        <v>418</v>
      </c>
      <c r="BK2486" t="s">
        <v>99</v>
      </c>
      <c r="BL2486" t="s">
        <v>100</v>
      </c>
      <c r="BM2486" t="s">
        <v>41831</v>
      </c>
      <c r="BN2486" t="s">
        <v>74</v>
      </c>
      <c r="BO2486" t="s">
        <v>270</v>
      </c>
      <c r="BP2486" t="s">
        <v>74</v>
      </c>
      <c r="BQ2486" t="s">
        <v>74</v>
      </c>
      <c r="BR2486" t="s">
        <v>102</v>
      </c>
      <c r="BS2486" t="s">
        <v>41832</v>
      </c>
      <c r="BT2486" t="str">
        <f>HYPERLINK("https%3A%2F%2Fwww.webofscience.com%2Fwos%2Fwoscc%2Ffull-record%2FWOS:001371753400001","View Full Record in Web of Science")</f>
        <v>View Full Record in Web of Science</v>
      </c>
    </row>
    <row r="2487" spans="1:72" x14ac:dyDescent="0.25">
      <c r="A2487" t="s">
        <v>72</v>
      </c>
      <c r="B2487" t="s">
        <v>41833</v>
      </c>
      <c r="C2487" t="s">
        <v>74</v>
      </c>
      <c r="D2487" t="s">
        <v>74</v>
      </c>
      <c r="E2487" t="s">
        <v>74</v>
      </c>
      <c r="F2487" t="s">
        <v>41834</v>
      </c>
      <c r="G2487" t="s">
        <v>74</v>
      </c>
      <c r="H2487" t="s">
        <v>74</v>
      </c>
      <c r="I2487" t="s">
        <v>41835</v>
      </c>
      <c r="J2487" t="s">
        <v>2214</v>
      </c>
      <c r="K2487" t="s">
        <v>74</v>
      </c>
      <c r="L2487" t="s">
        <v>74</v>
      </c>
      <c r="M2487" t="s">
        <v>78</v>
      </c>
      <c r="N2487" t="s">
        <v>79</v>
      </c>
      <c r="O2487" t="s">
        <v>74</v>
      </c>
      <c r="P2487" t="s">
        <v>74</v>
      </c>
      <c r="Q2487" t="s">
        <v>74</v>
      </c>
      <c r="R2487" t="s">
        <v>74</v>
      </c>
      <c r="S2487" t="s">
        <v>74</v>
      </c>
      <c r="T2487" t="s">
        <v>41836</v>
      </c>
      <c r="U2487" t="s">
        <v>41837</v>
      </c>
      <c r="V2487" t="s">
        <v>41838</v>
      </c>
      <c r="W2487" t="s">
        <v>41839</v>
      </c>
      <c r="X2487" t="s">
        <v>41840</v>
      </c>
      <c r="Y2487" t="s">
        <v>41841</v>
      </c>
      <c r="Z2487" t="s">
        <v>41842</v>
      </c>
      <c r="AA2487" t="s">
        <v>41843</v>
      </c>
      <c r="AB2487" t="s">
        <v>41844</v>
      </c>
      <c r="AC2487" t="s">
        <v>74</v>
      </c>
      <c r="AD2487" t="s">
        <v>74</v>
      </c>
      <c r="AE2487" t="s">
        <v>74</v>
      </c>
      <c r="AF2487" t="s">
        <v>74</v>
      </c>
      <c r="AG2487">
        <v>61</v>
      </c>
      <c r="AH2487">
        <v>4</v>
      </c>
      <c r="AI2487">
        <v>9</v>
      </c>
      <c r="AJ2487">
        <v>0</v>
      </c>
      <c r="AK2487">
        <v>12</v>
      </c>
      <c r="AL2487" t="s">
        <v>2223</v>
      </c>
      <c r="AM2487" t="s">
        <v>2224</v>
      </c>
      <c r="AN2487" t="s">
        <v>2225</v>
      </c>
      <c r="AO2487" t="s">
        <v>2226</v>
      </c>
      <c r="AP2487" t="s">
        <v>74</v>
      </c>
      <c r="AQ2487" t="s">
        <v>74</v>
      </c>
      <c r="AR2487" t="s">
        <v>2227</v>
      </c>
      <c r="AS2487" t="s">
        <v>2228</v>
      </c>
      <c r="AT2487" t="s">
        <v>74</v>
      </c>
      <c r="AU2487">
        <v>2021</v>
      </c>
      <c r="AV2487">
        <v>22</v>
      </c>
      <c r="AW2487">
        <v>1</v>
      </c>
      <c r="AX2487" t="s">
        <v>74</v>
      </c>
      <c r="AY2487" t="s">
        <v>74</v>
      </c>
      <c r="AZ2487" t="s">
        <v>74</v>
      </c>
      <c r="BA2487" t="s">
        <v>74</v>
      </c>
      <c r="BB2487">
        <v>276</v>
      </c>
      <c r="BC2487">
        <v>295</v>
      </c>
      <c r="BD2487" t="s">
        <v>74</v>
      </c>
      <c r="BE2487" t="s">
        <v>41845</v>
      </c>
      <c r="BF2487" t="str">
        <f>HYPERLINK("http://dx.doi.org/10.33736/ijbs.3175.2021","http://dx.doi.org/10.33736/ijbs.3175.2021")</f>
        <v>http://dx.doi.org/10.33736/ijbs.3175.2021</v>
      </c>
      <c r="BG2487" t="s">
        <v>74</v>
      </c>
      <c r="BH2487" t="s">
        <v>74</v>
      </c>
      <c r="BI2487">
        <v>20</v>
      </c>
      <c r="BJ2487" t="s">
        <v>418</v>
      </c>
      <c r="BK2487" t="s">
        <v>313</v>
      </c>
      <c r="BL2487" t="s">
        <v>100</v>
      </c>
      <c r="BM2487" t="s">
        <v>41846</v>
      </c>
      <c r="BN2487" t="s">
        <v>74</v>
      </c>
      <c r="BO2487" t="s">
        <v>212</v>
      </c>
      <c r="BP2487" t="s">
        <v>74</v>
      </c>
      <c r="BQ2487" t="s">
        <v>74</v>
      </c>
      <c r="BR2487" t="s">
        <v>102</v>
      </c>
      <c r="BS2487" t="s">
        <v>41847</v>
      </c>
      <c r="BT2487" t="str">
        <f>HYPERLINK("https%3A%2F%2Fwww.webofscience.com%2Fwos%2Fwoscc%2Ffull-record%2FWOS:000685542400016","View Full Record in Web of Science")</f>
        <v>View Full Record in Web of Science</v>
      </c>
    </row>
    <row r="2488" spans="1:72" x14ac:dyDescent="0.25">
      <c r="A2488" t="s">
        <v>72</v>
      </c>
      <c r="B2488" t="s">
        <v>41848</v>
      </c>
      <c r="C2488" t="s">
        <v>74</v>
      </c>
      <c r="D2488" t="s">
        <v>74</v>
      </c>
      <c r="E2488" t="s">
        <v>74</v>
      </c>
      <c r="F2488" t="s">
        <v>41849</v>
      </c>
      <c r="G2488" t="s">
        <v>74</v>
      </c>
      <c r="H2488" t="s">
        <v>74</v>
      </c>
      <c r="I2488" t="s">
        <v>41850</v>
      </c>
      <c r="J2488" t="s">
        <v>2896</v>
      </c>
      <c r="K2488" t="s">
        <v>74</v>
      </c>
      <c r="L2488" t="s">
        <v>74</v>
      </c>
      <c r="M2488" t="s">
        <v>78</v>
      </c>
      <c r="N2488" t="s">
        <v>79</v>
      </c>
      <c r="O2488" t="s">
        <v>74</v>
      </c>
      <c r="P2488" t="s">
        <v>74</v>
      </c>
      <c r="Q2488" t="s">
        <v>74</v>
      </c>
      <c r="R2488" t="s">
        <v>74</v>
      </c>
      <c r="S2488" t="s">
        <v>74</v>
      </c>
      <c r="T2488" t="s">
        <v>41851</v>
      </c>
      <c r="U2488" t="s">
        <v>41852</v>
      </c>
      <c r="V2488" t="s">
        <v>41853</v>
      </c>
      <c r="W2488" t="s">
        <v>41854</v>
      </c>
      <c r="X2488" t="s">
        <v>33598</v>
      </c>
      <c r="Y2488" t="s">
        <v>41855</v>
      </c>
      <c r="Z2488" t="s">
        <v>41856</v>
      </c>
      <c r="AA2488" t="s">
        <v>74</v>
      </c>
      <c r="AB2488" t="s">
        <v>14564</v>
      </c>
      <c r="AC2488" t="s">
        <v>41857</v>
      </c>
      <c r="AD2488" t="s">
        <v>41858</v>
      </c>
      <c r="AE2488" t="s">
        <v>41859</v>
      </c>
      <c r="AF2488" t="s">
        <v>74</v>
      </c>
      <c r="AG2488">
        <v>83</v>
      </c>
      <c r="AH2488">
        <v>0</v>
      </c>
      <c r="AI2488">
        <v>0</v>
      </c>
      <c r="AJ2488">
        <v>0</v>
      </c>
      <c r="AK2488">
        <v>6</v>
      </c>
      <c r="AL2488" t="s">
        <v>2907</v>
      </c>
      <c r="AM2488" t="s">
        <v>2908</v>
      </c>
      <c r="AN2488" t="s">
        <v>2909</v>
      </c>
      <c r="AO2488" t="s">
        <v>2910</v>
      </c>
      <c r="AP2488" t="s">
        <v>12978</v>
      </c>
      <c r="AQ2488" t="s">
        <v>74</v>
      </c>
      <c r="AR2488" t="s">
        <v>2911</v>
      </c>
      <c r="AS2488" t="s">
        <v>2912</v>
      </c>
      <c r="AT2488" t="s">
        <v>1159</v>
      </c>
      <c r="AU2488">
        <v>2023</v>
      </c>
      <c r="AV2488">
        <v>35</v>
      </c>
      <c r="AW2488">
        <v>5</v>
      </c>
      <c r="AX2488" t="s">
        <v>74</v>
      </c>
      <c r="AY2488" t="s">
        <v>74</v>
      </c>
      <c r="AZ2488" t="s">
        <v>74</v>
      </c>
      <c r="BA2488" t="s">
        <v>74</v>
      </c>
      <c r="BB2488">
        <v>1028</v>
      </c>
      <c r="BC2488">
        <v>1058</v>
      </c>
      <c r="BD2488" t="s">
        <v>74</v>
      </c>
      <c r="BE2488" t="s">
        <v>41860</v>
      </c>
      <c r="BF2488" t="str">
        <f>HYPERLINK("http://dx.doi.org/10.1057/s41287-022-00557-7","http://dx.doi.org/10.1057/s41287-022-00557-7")</f>
        <v>http://dx.doi.org/10.1057/s41287-022-00557-7</v>
      </c>
      <c r="BG2488" t="s">
        <v>74</v>
      </c>
      <c r="BH2488" t="s">
        <v>126</v>
      </c>
      <c r="BI2488">
        <v>31</v>
      </c>
      <c r="BJ2488" t="s">
        <v>1137</v>
      </c>
      <c r="BK2488" t="s">
        <v>99</v>
      </c>
      <c r="BL2488" t="s">
        <v>1137</v>
      </c>
      <c r="BM2488" t="s">
        <v>41861</v>
      </c>
      <c r="BN2488" t="s">
        <v>74</v>
      </c>
      <c r="BO2488" t="s">
        <v>1696</v>
      </c>
      <c r="BP2488" t="s">
        <v>74</v>
      </c>
      <c r="BQ2488" t="s">
        <v>74</v>
      </c>
      <c r="BR2488" t="s">
        <v>102</v>
      </c>
      <c r="BS2488" t="s">
        <v>41862</v>
      </c>
      <c r="BT2488" t="str">
        <f>HYPERLINK("https%3A%2F%2Fwww.webofscience.com%2Fwos%2Fwoscc%2Ffull-record%2FWOS:000828454700001","View Full Record in Web of Science")</f>
        <v>View Full Record in Web of Science</v>
      </c>
    </row>
    <row r="2489" spans="1:72" x14ac:dyDescent="0.25">
      <c r="A2489" t="s">
        <v>72</v>
      </c>
      <c r="B2489" t="s">
        <v>41863</v>
      </c>
      <c r="C2489" t="s">
        <v>74</v>
      </c>
      <c r="D2489" t="s">
        <v>74</v>
      </c>
      <c r="E2489" t="s">
        <v>74</v>
      </c>
      <c r="F2489" t="s">
        <v>41864</v>
      </c>
      <c r="G2489" t="s">
        <v>74</v>
      </c>
      <c r="H2489" t="s">
        <v>74</v>
      </c>
      <c r="I2489" t="s">
        <v>41865</v>
      </c>
      <c r="J2489" t="s">
        <v>22805</v>
      </c>
      <c r="K2489" t="s">
        <v>74</v>
      </c>
      <c r="L2489" t="s">
        <v>74</v>
      </c>
      <c r="M2489" t="s">
        <v>78</v>
      </c>
      <c r="N2489" t="s">
        <v>79</v>
      </c>
      <c r="O2489" t="s">
        <v>74</v>
      </c>
      <c r="P2489" t="s">
        <v>74</v>
      </c>
      <c r="Q2489" t="s">
        <v>74</v>
      </c>
      <c r="R2489" t="s">
        <v>74</v>
      </c>
      <c r="S2489" t="s">
        <v>74</v>
      </c>
      <c r="T2489" t="s">
        <v>41866</v>
      </c>
      <c r="U2489" t="s">
        <v>41867</v>
      </c>
      <c r="V2489" t="s">
        <v>41868</v>
      </c>
      <c r="W2489" t="s">
        <v>41869</v>
      </c>
      <c r="X2489" t="s">
        <v>41870</v>
      </c>
      <c r="Y2489" t="s">
        <v>41871</v>
      </c>
      <c r="Z2489" t="s">
        <v>41872</v>
      </c>
      <c r="AA2489" t="s">
        <v>41873</v>
      </c>
      <c r="AB2489" t="s">
        <v>41874</v>
      </c>
      <c r="AC2489" t="s">
        <v>74</v>
      </c>
      <c r="AD2489" t="s">
        <v>74</v>
      </c>
      <c r="AE2489" t="s">
        <v>74</v>
      </c>
      <c r="AF2489" t="s">
        <v>74</v>
      </c>
      <c r="AG2489">
        <v>150</v>
      </c>
      <c r="AH2489">
        <v>2</v>
      </c>
      <c r="AI2489">
        <v>2</v>
      </c>
      <c r="AJ2489">
        <v>25</v>
      </c>
      <c r="AK2489">
        <v>25</v>
      </c>
      <c r="AL2489" t="s">
        <v>201</v>
      </c>
      <c r="AM2489" t="s">
        <v>202</v>
      </c>
      <c r="AN2489" t="s">
        <v>203</v>
      </c>
      <c r="AO2489" t="s">
        <v>22797</v>
      </c>
      <c r="AP2489" t="s">
        <v>22796</v>
      </c>
      <c r="AQ2489" t="s">
        <v>74</v>
      </c>
      <c r="AR2489" t="s">
        <v>22795</v>
      </c>
      <c r="AS2489" t="s">
        <v>22794</v>
      </c>
      <c r="AT2489" t="s">
        <v>698</v>
      </c>
      <c r="AU2489">
        <v>2025</v>
      </c>
      <c r="AV2489">
        <v>103</v>
      </c>
      <c r="AW2489" t="s">
        <v>74</v>
      </c>
      <c r="AX2489" t="s">
        <v>74</v>
      </c>
      <c r="AY2489" t="s">
        <v>74</v>
      </c>
      <c r="AZ2489" t="s">
        <v>74</v>
      </c>
      <c r="BA2489" t="s">
        <v>74</v>
      </c>
      <c r="BB2489" t="s">
        <v>74</v>
      </c>
      <c r="BC2489" t="s">
        <v>74</v>
      </c>
      <c r="BD2489">
        <v>102198</v>
      </c>
      <c r="BE2489" t="s">
        <v>41875</v>
      </c>
      <c r="BF2489" t="str">
        <f>HYPERLINK("http://dx.doi.org/10.1016/j.intfin.2025.102198","http://dx.doi.org/10.1016/j.intfin.2025.102198")</f>
        <v>http://dx.doi.org/10.1016/j.intfin.2025.102198</v>
      </c>
      <c r="BG2489" t="s">
        <v>74</v>
      </c>
      <c r="BH2489" t="s">
        <v>3389</v>
      </c>
      <c r="BI2489">
        <v>34</v>
      </c>
      <c r="BJ2489" t="s">
        <v>210</v>
      </c>
      <c r="BK2489" t="s">
        <v>99</v>
      </c>
      <c r="BL2489" t="s">
        <v>100</v>
      </c>
      <c r="BM2489" t="s">
        <v>41876</v>
      </c>
      <c r="BN2489" t="s">
        <v>74</v>
      </c>
      <c r="BO2489" t="s">
        <v>74</v>
      </c>
      <c r="BP2489" t="s">
        <v>74</v>
      </c>
      <c r="BQ2489" t="s">
        <v>74</v>
      </c>
      <c r="BR2489" t="s">
        <v>102</v>
      </c>
      <c r="BS2489" t="s">
        <v>41877</v>
      </c>
      <c r="BT2489" t="str">
        <f>HYPERLINK("https%3A%2F%2Fwww.webofscience.com%2Fwos%2Fwoscc%2Ffull-record%2FWOS:001525970900003","View Full Record in Web of Science")</f>
        <v>View Full Record in Web of Science</v>
      </c>
    </row>
    <row r="2490" spans="1:72" x14ac:dyDescent="0.25">
      <c r="A2490" t="s">
        <v>72</v>
      </c>
      <c r="B2490" t="s">
        <v>41878</v>
      </c>
      <c r="C2490" t="s">
        <v>74</v>
      </c>
      <c r="D2490" t="s">
        <v>74</v>
      </c>
      <c r="E2490" t="s">
        <v>74</v>
      </c>
      <c r="F2490" t="s">
        <v>41879</v>
      </c>
      <c r="G2490" t="s">
        <v>74</v>
      </c>
      <c r="H2490" t="s">
        <v>74</v>
      </c>
      <c r="I2490" t="s">
        <v>41880</v>
      </c>
      <c r="J2490" t="s">
        <v>1878</v>
      </c>
      <c r="K2490" t="s">
        <v>74</v>
      </c>
      <c r="L2490" t="s">
        <v>74</v>
      </c>
      <c r="M2490" t="s">
        <v>78</v>
      </c>
      <c r="N2490" t="s">
        <v>79</v>
      </c>
      <c r="O2490" t="s">
        <v>74</v>
      </c>
      <c r="P2490" t="s">
        <v>74</v>
      </c>
      <c r="Q2490" t="s">
        <v>74</v>
      </c>
      <c r="R2490" t="s">
        <v>74</v>
      </c>
      <c r="S2490" t="s">
        <v>74</v>
      </c>
      <c r="T2490" t="s">
        <v>41881</v>
      </c>
      <c r="U2490" t="s">
        <v>74</v>
      </c>
      <c r="V2490" t="s">
        <v>41882</v>
      </c>
      <c r="W2490" t="s">
        <v>41883</v>
      </c>
      <c r="X2490" t="s">
        <v>74</v>
      </c>
      <c r="Y2490" t="s">
        <v>41884</v>
      </c>
      <c r="Z2490" t="s">
        <v>41885</v>
      </c>
      <c r="AA2490" t="s">
        <v>74</v>
      </c>
      <c r="AB2490" t="s">
        <v>41886</v>
      </c>
      <c r="AC2490" t="s">
        <v>74</v>
      </c>
      <c r="AD2490" t="s">
        <v>74</v>
      </c>
      <c r="AE2490" t="s">
        <v>74</v>
      </c>
      <c r="AF2490" t="s">
        <v>74</v>
      </c>
      <c r="AG2490">
        <v>27</v>
      </c>
      <c r="AH2490">
        <v>1</v>
      </c>
      <c r="AI2490">
        <v>1</v>
      </c>
      <c r="AJ2490">
        <v>3</v>
      </c>
      <c r="AK2490">
        <v>15</v>
      </c>
      <c r="AL2490" t="s">
        <v>1889</v>
      </c>
      <c r="AM2490" t="s">
        <v>1890</v>
      </c>
      <c r="AN2490" t="s">
        <v>1891</v>
      </c>
      <c r="AO2490" t="s">
        <v>1892</v>
      </c>
      <c r="AP2490" t="s">
        <v>1893</v>
      </c>
      <c r="AQ2490" t="s">
        <v>74</v>
      </c>
      <c r="AR2490" t="s">
        <v>1894</v>
      </c>
      <c r="AS2490" t="s">
        <v>1895</v>
      </c>
      <c r="AT2490" t="s">
        <v>124</v>
      </c>
      <c r="AU2490">
        <v>2024</v>
      </c>
      <c r="AV2490">
        <v>11</v>
      </c>
      <c r="AW2490">
        <v>4</v>
      </c>
      <c r="AX2490" t="s">
        <v>74</v>
      </c>
      <c r="AY2490" t="s">
        <v>74</v>
      </c>
      <c r="AZ2490" t="s">
        <v>74</v>
      </c>
      <c r="BA2490" t="s">
        <v>74</v>
      </c>
      <c r="BB2490" t="s">
        <v>74</v>
      </c>
      <c r="BC2490" t="s">
        <v>74</v>
      </c>
      <c r="BD2490" t="s">
        <v>74</v>
      </c>
      <c r="BE2490" t="s">
        <v>41887</v>
      </c>
      <c r="BF2490" t="str">
        <f>HYPERLINK("http://dx.doi.org/10.1142/S2424786324420015","http://dx.doi.org/10.1142/S2424786324420015")</f>
        <v>http://dx.doi.org/10.1142/S2424786324420015</v>
      </c>
      <c r="BG2490" t="s">
        <v>74</v>
      </c>
      <c r="BH2490" t="s">
        <v>6256</v>
      </c>
      <c r="BI2490">
        <v>12</v>
      </c>
      <c r="BJ2490" t="s">
        <v>268</v>
      </c>
      <c r="BK2490" t="s">
        <v>313</v>
      </c>
      <c r="BL2490" t="s">
        <v>100</v>
      </c>
      <c r="BM2490" t="s">
        <v>41888</v>
      </c>
      <c r="BN2490" t="s">
        <v>74</v>
      </c>
      <c r="BO2490" t="s">
        <v>74</v>
      </c>
      <c r="BP2490" t="s">
        <v>74</v>
      </c>
      <c r="BQ2490" t="s">
        <v>74</v>
      </c>
      <c r="BR2490" t="s">
        <v>102</v>
      </c>
      <c r="BS2490" t="s">
        <v>41889</v>
      </c>
      <c r="BT2490" t="str">
        <f>HYPERLINK("https%3A%2F%2Fwww.webofscience.com%2Fwos%2Fwoscc%2Ffull-record%2FWOS:001248268400001","View Full Record in Web of Science")</f>
        <v>View Full Record in Web of Science</v>
      </c>
    </row>
    <row r="2491" spans="1:72" x14ac:dyDescent="0.25">
      <c r="A2491" t="s">
        <v>72</v>
      </c>
      <c r="B2491" t="s">
        <v>41890</v>
      </c>
      <c r="C2491" t="s">
        <v>74</v>
      </c>
      <c r="D2491" t="s">
        <v>74</v>
      </c>
      <c r="E2491" t="s">
        <v>74</v>
      </c>
      <c r="F2491" t="s">
        <v>41891</v>
      </c>
      <c r="G2491" t="s">
        <v>74</v>
      </c>
      <c r="H2491" t="s">
        <v>74</v>
      </c>
      <c r="I2491" t="s">
        <v>41892</v>
      </c>
      <c r="J2491" t="s">
        <v>4250</v>
      </c>
      <c r="K2491" t="s">
        <v>74</v>
      </c>
      <c r="L2491" t="s">
        <v>74</v>
      </c>
      <c r="M2491" t="s">
        <v>78</v>
      </c>
      <c r="N2491" t="s">
        <v>79</v>
      </c>
      <c r="O2491" t="s">
        <v>74</v>
      </c>
      <c r="P2491" t="s">
        <v>74</v>
      </c>
      <c r="Q2491" t="s">
        <v>74</v>
      </c>
      <c r="R2491" t="s">
        <v>74</v>
      </c>
      <c r="S2491" t="s">
        <v>74</v>
      </c>
      <c r="T2491" t="s">
        <v>41893</v>
      </c>
      <c r="U2491" t="s">
        <v>41894</v>
      </c>
      <c r="V2491" t="s">
        <v>41895</v>
      </c>
      <c r="W2491" t="s">
        <v>41896</v>
      </c>
      <c r="X2491" t="s">
        <v>41897</v>
      </c>
      <c r="Y2491" t="s">
        <v>41898</v>
      </c>
      <c r="Z2491" t="s">
        <v>41899</v>
      </c>
      <c r="AA2491" t="s">
        <v>41900</v>
      </c>
      <c r="AB2491" t="s">
        <v>41901</v>
      </c>
      <c r="AC2491" t="s">
        <v>41902</v>
      </c>
      <c r="AD2491" t="s">
        <v>41902</v>
      </c>
      <c r="AE2491" t="s">
        <v>41903</v>
      </c>
      <c r="AF2491" t="s">
        <v>74</v>
      </c>
      <c r="AG2491">
        <v>51</v>
      </c>
      <c r="AH2491">
        <v>1</v>
      </c>
      <c r="AI2491">
        <v>1</v>
      </c>
      <c r="AJ2491">
        <v>4</v>
      </c>
      <c r="AK2491">
        <v>5</v>
      </c>
      <c r="AL2491" t="s">
        <v>4258</v>
      </c>
      <c r="AM2491" t="s">
        <v>118</v>
      </c>
      <c r="AN2491" t="s">
        <v>4259</v>
      </c>
      <c r="AO2491" t="s">
        <v>4260</v>
      </c>
      <c r="AP2491" t="s">
        <v>4261</v>
      </c>
      <c r="AQ2491" t="s">
        <v>74</v>
      </c>
      <c r="AR2491" t="s">
        <v>4262</v>
      </c>
      <c r="AS2491" t="s">
        <v>4263</v>
      </c>
      <c r="AT2491" t="s">
        <v>1652</v>
      </c>
      <c r="AU2491">
        <v>2025</v>
      </c>
      <c r="AV2491">
        <v>68</v>
      </c>
      <c r="AW2491">
        <v>6</v>
      </c>
      <c r="AX2491" t="s">
        <v>74</v>
      </c>
      <c r="AY2491" t="s">
        <v>74</v>
      </c>
      <c r="AZ2491" t="s">
        <v>74</v>
      </c>
      <c r="BA2491" t="s">
        <v>74</v>
      </c>
      <c r="BB2491">
        <v>2767</v>
      </c>
      <c r="BC2491">
        <v>2798</v>
      </c>
      <c r="BD2491" t="s">
        <v>74</v>
      </c>
      <c r="BE2491" t="s">
        <v>41904</v>
      </c>
      <c r="BF2491" t="str">
        <f>HYPERLINK("http://dx.doi.org/10.1007/s00181-025-02714-3","http://dx.doi.org/10.1007/s00181-025-02714-3")</f>
        <v>http://dx.doi.org/10.1007/s00181-025-02714-3</v>
      </c>
      <c r="BG2491" t="s">
        <v>74</v>
      </c>
      <c r="BH2491" t="s">
        <v>417</v>
      </c>
      <c r="BI2491">
        <v>32</v>
      </c>
      <c r="BJ2491" t="s">
        <v>2023</v>
      </c>
      <c r="BK2491" t="s">
        <v>99</v>
      </c>
      <c r="BL2491" t="s">
        <v>2024</v>
      </c>
      <c r="BM2491" t="s">
        <v>41905</v>
      </c>
      <c r="BN2491" t="s">
        <v>74</v>
      </c>
      <c r="BO2491" t="s">
        <v>74</v>
      </c>
      <c r="BP2491" t="s">
        <v>74</v>
      </c>
      <c r="BQ2491" t="s">
        <v>74</v>
      </c>
      <c r="BR2491" t="s">
        <v>102</v>
      </c>
      <c r="BS2491" t="s">
        <v>41906</v>
      </c>
      <c r="BT2491" t="str">
        <f>HYPERLINK("https%3A%2F%2Fwww.webofscience.com%2Fwos%2Fwoscc%2Ffull-record%2FWOS:001415257900001","View Full Record in Web of Science")</f>
        <v>View Full Record in Web of Science</v>
      </c>
    </row>
    <row r="2492" spans="1:72" x14ac:dyDescent="0.25">
      <c r="A2492" t="s">
        <v>72</v>
      </c>
      <c r="B2492" t="s">
        <v>41907</v>
      </c>
      <c r="C2492" t="s">
        <v>74</v>
      </c>
      <c r="D2492" t="s">
        <v>74</v>
      </c>
      <c r="E2492" t="s">
        <v>74</v>
      </c>
      <c r="F2492" t="s">
        <v>41908</v>
      </c>
      <c r="G2492" t="s">
        <v>74</v>
      </c>
      <c r="H2492" t="s">
        <v>74</v>
      </c>
      <c r="I2492" t="s">
        <v>41909</v>
      </c>
      <c r="J2492" t="s">
        <v>29395</v>
      </c>
      <c r="K2492" t="s">
        <v>74</v>
      </c>
      <c r="L2492" t="s">
        <v>74</v>
      </c>
      <c r="M2492" t="s">
        <v>78</v>
      </c>
      <c r="N2492" t="s">
        <v>79</v>
      </c>
      <c r="O2492" t="s">
        <v>74</v>
      </c>
      <c r="P2492" t="s">
        <v>74</v>
      </c>
      <c r="Q2492" t="s">
        <v>74</v>
      </c>
      <c r="R2492" t="s">
        <v>74</v>
      </c>
      <c r="S2492" t="s">
        <v>74</v>
      </c>
      <c r="T2492" t="s">
        <v>41910</v>
      </c>
      <c r="U2492" t="s">
        <v>74</v>
      </c>
      <c r="V2492" t="s">
        <v>41911</v>
      </c>
      <c r="W2492" t="s">
        <v>41912</v>
      </c>
      <c r="X2492" t="s">
        <v>19523</v>
      </c>
      <c r="Y2492" t="s">
        <v>41913</v>
      </c>
      <c r="Z2492" t="s">
        <v>41914</v>
      </c>
      <c r="AA2492" t="s">
        <v>41915</v>
      </c>
      <c r="AB2492" t="s">
        <v>74</v>
      </c>
      <c r="AC2492" t="s">
        <v>74</v>
      </c>
      <c r="AD2492" t="s">
        <v>74</v>
      </c>
      <c r="AE2492" t="s">
        <v>74</v>
      </c>
      <c r="AF2492" t="s">
        <v>74</v>
      </c>
      <c r="AG2492">
        <v>20</v>
      </c>
      <c r="AH2492">
        <v>10</v>
      </c>
      <c r="AI2492">
        <v>10</v>
      </c>
      <c r="AJ2492">
        <v>0</v>
      </c>
      <c r="AK2492">
        <v>13</v>
      </c>
      <c r="AL2492" t="s">
        <v>29383</v>
      </c>
      <c r="AM2492" t="s">
        <v>29382</v>
      </c>
      <c r="AN2492" t="s">
        <v>41916</v>
      </c>
      <c r="AO2492" t="s">
        <v>29380</v>
      </c>
      <c r="AP2492" t="s">
        <v>74</v>
      </c>
      <c r="AQ2492" t="s">
        <v>74</v>
      </c>
      <c r="AR2492" t="s">
        <v>29379</v>
      </c>
      <c r="AS2492" t="s">
        <v>29378</v>
      </c>
      <c r="AT2492" t="s">
        <v>74</v>
      </c>
      <c r="AU2492">
        <v>2020</v>
      </c>
      <c r="AV2492">
        <v>4</v>
      </c>
      <c r="AW2492">
        <v>1</v>
      </c>
      <c r="AX2492" t="s">
        <v>74</v>
      </c>
      <c r="AY2492" t="s">
        <v>74</v>
      </c>
      <c r="AZ2492" t="s">
        <v>74</v>
      </c>
      <c r="BA2492" t="s">
        <v>74</v>
      </c>
      <c r="BB2492">
        <v>19</v>
      </c>
      <c r="BC2492">
        <v>35</v>
      </c>
      <c r="BD2492" t="s">
        <v>74</v>
      </c>
      <c r="BE2492" t="s">
        <v>41917</v>
      </c>
      <c r="BF2492" t="str">
        <f>HYPERLINK("http://dx.doi.org/10.3934/QFE.2020002","http://dx.doi.org/10.3934/QFE.2020002")</f>
        <v>http://dx.doi.org/10.3934/QFE.2020002</v>
      </c>
      <c r="BG2492" t="s">
        <v>74</v>
      </c>
      <c r="BH2492" t="s">
        <v>74</v>
      </c>
      <c r="BI2492">
        <v>17</v>
      </c>
      <c r="BJ2492" t="s">
        <v>268</v>
      </c>
      <c r="BK2492" t="s">
        <v>313</v>
      </c>
      <c r="BL2492" t="s">
        <v>100</v>
      </c>
      <c r="BM2492" t="s">
        <v>41918</v>
      </c>
      <c r="BN2492" t="s">
        <v>74</v>
      </c>
      <c r="BO2492" t="s">
        <v>916</v>
      </c>
      <c r="BP2492" t="s">
        <v>74</v>
      </c>
      <c r="BQ2492" t="s">
        <v>74</v>
      </c>
      <c r="BR2492" t="s">
        <v>102</v>
      </c>
      <c r="BS2492" t="s">
        <v>41919</v>
      </c>
      <c r="BT2492" t="str">
        <f>HYPERLINK("https%3A%2F%2Fwww.webofscience.com%2Fwos%2Fwoscc%2Ffull-record%2FWOS:000525758100002","View Full Record in Web of Science")</f>
        <v>View Full Record in Web of Science</v>
      </c>
    </row>
    <row r="2493" spans="1:72" x14ac:dyDescent="0.25">
      <c r="A2493" t="s">
        <v>72</v>
      </c>
      <c r="B2493" t="s">
        <v>41920</v>
      </c>
      <c r="C2493" t="s">
        <v>74</v>
      </c>
      <c r="D2493" t="s">
        <v>74</v>
      </c>
      <c r="E2493" t="s">
        <v>74</v>
      </c>
      <c r="F2493" t="s">
        <v>41921</v>
      </c>
      <c r="G2493" t="s">
        <v>74</v>
      </c>
      <c r="H2493" t="s">
        <v>74</v>
      </c>
      <c r="I2493" t="s">
        <v>41922</v>
      </c>
      <c r="J2493" t="s">
        <v>41923</v>
      </c>
      <c r="K2493" t="s">
        <v>74</v>
      </c>
      <c r="L2493" t="s">
        <v>74</v>
      </c>
      <c r="M2493" t="s">
        <v>78</v>
      </c>
      <c r="N2493" t="s">
        <v>79</v>
      </c>
      <c r="O2493" t="s">
        <v>74</v>
      </c>
      <c r="P2493" t="s">
        <v>74</v>
      </c>
      <c r="Q2493" t="s">
        <v>74</v>
      </c>
      <c r="R2493" t="s">
        <v>74</v>
      </c>
      <c r="S2493" t="s">
        <v>74</v>
      </c>
      <c r="T2493" t="s">
        <v>41924</v>
      </c>
      <c r="U2493" t="s">
        <v>41925</v>
      </c>
      <c r="V2493" t="s">
        <v>41926</v>
      </c>
      <c r="W2493" t="s">
        <v>41927</v>
      </c>
      <c r="X2493" t="s">
        <v>41928</v>
      </c>
      <c r="Y2493" t="s">
        <v>41929</v>
      </c>
      <c r="Z2493" t="s">
        <v>41930</v>
      </c>
      <c r="AA2493" t="s">
        <v>41931</v>
      </c>
      <c r="AB2493" t="s">
        <v>74</v>
      </c>
      <c r="AC2493" t="s">
        <v>41932</v>
      </c>
      <c r="AD2493" t="s">
        <v>41933</v>
      </c>
      <c r="AE2493" t="s">
        <v>41934</v>
      </c>
      <c r="AF2493" t="s">
        <v>74</v>
      </c>
      <c r="AG2493">
        <v>56</v>
      </c>
      <c r="AH2493">
        <v>22</v>
      </c>
      <c r="AI2493">
        <v>25</v>
      </c>
      <c r="AJ2493">
        <v>3</v>
      </c>
      <c r="AK2493">
        <v>103</v>
      </c>
      <c r="AL2493" t="s">
        <v>41935</v>
      </c>
      <c r="AM2493" t="s">
        <v>10034</v>
      </c>
      <c r="AN2493" t="s">
        <v>41936</v>
      </c>
      <c r="AO2493" t="s">
        <v>41937</v>
      </c>
      <c r="AP2493" t="s">
        <v>41938</v>
      </c>
      <c r="AQ2493" t="s">
        <v>74</v>
      </c>
      <c r="AR2493" t="s">
        <v>41939</v>
      </c>
      <c r="AS2493" t="s">
        <v>41940</v>
      </c>
      <c r="AT2493" t="s">
        <v>289</v>
      </c>
      <c r="AU2493">
        <v>2020</v>
      </c>
      <c r="AV2493">
        <v>16</v>
      </c>
      <c r="AW2493">
        <v>4</v>
      </c>
      <c r="AX2493" t="s">
        <v>74</v>
      </c>
      <c r="AY2493" t="s">
        <v>74</v>
      </c>
      <c r="AZ2493" t="s">
        <v>74</v>
      </c>
      <c r="BA2493" t="s">
        <v>74</v>
      </c>
      <c r="BB2493">
        <v>935</v>
      </c>
      <c r="BC2493">
        <v>958</v>
      </c>
      <c r="BD2493" t="s">
        <v>74</v>
      </c>
      <c r="BE2493" t="s">
        <v>41941</v>
      </c>
      <c r="BF2493" t="str">
        <f>HYPERLINK("http://dx.doi.org/10.3745/JIPS.04.0185","http://dx.doi.org/10.3745/JIPS.04.0185")</f>
        <v>http://dx.doi.org/10.3745/JIPS.04.0185</v>
      </c>
      <c r="BG2493" t="s">
        <v>74</v>
      </c>
      <c r="BH2493" t="s">
        <v>74</v>
      </c>
      <c r="BI2493">
        <v>24</v>
      </c>
      <c r="BJ2493" t="s">
        <v>1779</v>
      </c>
      <c r="BK2493" t="s">
        <v>313</v>
      </c>
      <c r="BL2493" t="s">
        <v>157</v>
      </c>
      <c r="BM2493" t="s">
        <v>41942</v>
      </c>
      <c r="BN2493" t="s">
        <v>74</v>
      </c>
      <c r="BO2493" t="s">
        <v>74</v>
      </c>
      <c r="BP2493" t="s">
        <v>74</v>
      </c>
      <c r="BQ2493" t="s">
        <v>74</v>
      </c>
      <c r="BR2493" t="s">
        <v>102</v>
      </c>
      <c r="BS2493" t="s">
        <v>41943</v>
      </c>
      <c r="BT2493" t="str">
        <f>HYPERLINK("https%3A%2F%2Fwww.webofscience.com%2Fwos%2Fwoscc%2Ffull-record%2FWOS:000580325500016","View Full Record in Web of Science")</f>
        <v>View Full Record in Web of Science</v>
      </c>
    </row>
    <row r="2494" spans="1:72" x14ac:dyDescent="0.25">
      <c r="A2494" t="s">
        <v>72</v>
      </c>
      <c r="B2494" t="s">
        <v>41944</v>
      </c>
      <c r="C2494" t="s">
        <v>74</v>
      </c>
      <c r="D2494" t="s">
        <v>74</v>
      </c>
      <c r="E2494" t="s">
        <v>74</v>
      </c>
      <c r="F2494" t="s">
        <v>41945</v>
      </c>
      <c r="G2494" t="s">
        <v>74</v>
      </c>
      <c r="H2494" t="s">
        <v>74</v>
      </c>
      <c r="I2494" t="s">
        <v>41946</v>
      </c>
      <c r="J2494" t="s">
        <v>40833</v>
      </c>
      <c r="K2494" t="s">
        <v>74</v>
      </c>
      <c r="L2494" t="s">
        <v>74</v>
      </c>
      <c r="M2494" t="s">
        <v>78</v>
      </c>
      <c r="N2494" t="s">
        <v>79</v>
      </c>
      <c r="O2494" t="s">
        <v>74</v>
      </c>
      <c r="P2494" t="s">
        <v>74</v>
      </c>
      <c r="Q2494" t="s">
        <v>74</v>
      </c>
      <c r="R2494" t="s">
        <v>74</v>
      </c>
      <c r="S2494" t="s">
        <v>74</v>
      </c>
      <c r="T2494" t="s">
        <v>41947</v>
      </c>
      <c r="U2494" t="s">
        <v>41948</v>
      </c>
      <c r="V2494" t="s">
        <v>41949</v>
      </c>
      <c r="W2494" t="s">
        <v>41950</v>
      </c>
      <c r="X2494" t="s">
        <v>41951</v>
      </c>
      <c r="Y2494" t="s">
        <v>41952</v>
      </c>
      <c r="Z2494" t="s">
        <v>41953</v>
      </c>
      <c r="AA2494" t="s">
        <v>41954</v>
      </c>
      <c r="AB2494" t="s">
        <v>41955</v>
      </c>
      <c r="AC2494" t="s">
        <v>74</v>
      </c>
      <c r="AD2494" t="s">
        <v>74</v>
      </c>
      <c r="AE2494" t="s">
        <v>74</v>
      </c>
      <c r="AF2494" t="s">
        <v>74</v>
      </c>
      <c r="AG2494">
        <v>36</v>
      </c>
      <c r="AH2494">
        <v>1</v>
      </c>
      <c r="AI2494">
        <v>4</v>
      </c>
      <c r="AJ2494">
        <v>0</v>
      </c>
      <c r="AK2494">
        <v>11</v>
      </c>
      <c r="AL2494" t="s">
        <v>40840</v>
      </c>
      <c r="AM2494" t="s">
        <v>40841</v>
      </c>
      <c r="AN2494" t="s">
        <v>40842</v>
      </c>
      <c r="AO2494" t="s">
        <v>40843</v>
      </c>
      <c r="AP2494" t="s">
        <v>40844</v>
      </c>
      <c r="AQ2494" t="s">
        <v>74</v>
      </c>
      <c r="AR2494" t="s">
        <v>40845</v>
      </c>
      <c r="AS2494" t="s">
        <v>40846</v>
      </c>
      <c r="AT2494" t="s">
        <v>2537</v>
      </c>
      <c r="AU2494">
        <v>2020</v>
      </c>
      <c r="AV2494">
        <v>54</v>
      </c>
      <c r="AW2494">
        <v>1</v>
      </c>
      <c r="AX2494" t="s">
        <v>74</v>
      </c>
      <c r="AY2494" t="s">
        <v>74</v>
      </c>
      <c r="AZ2494" t="s">
        <v>74</v>
      </c>
      <c r="BA2494" t="s">
        <v>74</v>
      </c>
      <c r="BB2494">
        <v>162</v>
      </c>
      <c r="BC2494">
        <v>180</v>
      </c>
      <c r="BD2494" t="s">
        <v>74</v>
      </c>
      <c r="BE2494" t="s">
        <v>41956</v>
      </c>
      <c r="BF2494" t="str">
        <f>HYPERLINK("http://dx.doi.org/10.1590/0034-761220180382x","http://dx.doi.org/10.1590/0034-761220180382x")</f>
        <v>http://dx.doi.org/10.1590/0034-761220180382x</v>
      </c>
      <c r="BG2494" t="s">
        <v>74</v>
      </c>
      <c r="BH2494" t="s">
        <v>74</v>
      </c>
      <c r="BI2494">
        <v>19</v>
      </c>
      <c r="BJ2494" t="s">
        <v>3868</v>
      </c>
      <c r="BK2494" t="s">
        <v>313</v>
      </c>
      <c r="BL2494" t="s">
        <v>3868</v>
      </c>
      <c r="BM2494" t="s">
        <v>41957</v>
      </c>
      <c r="BN2494" t="s">
        <v>74</v>
      </c>
      <c r="BO2494" t="s">
        <v>212</v>
      </c>
      <c r="BP2494" t="s">
        <v>74</v>
      </c>
      <c r="BQ2494" t="s">
        <v>74</v>
      </c>
      <c r="BR2494" t="s">
        <v>102</v>
      </c>
      <c r="BS2494" t="s">
        <v>41958</v>
      </c>
      <c r="BT2494" t="str">
        <f>HYPERLINK("https%3A%2F%2Fwww.webofscience.com%2Fwos%2Fwoscc%2Ffull-record%2FWOS:000561876900008","View Full Record in Web of Science")</f>
        <v>View Full Record in Web of Science</v>
      </c>
    </row>
    <row r="2495" spans="1:72" x14ac:dyDescent="0.25">
      <c r="A2495" t="s">
        <v>72</v>
      </c>
      <c r="B2495" t="s">
        <v>41959</v>
      </c>
      <c r="C2495" t="s">
        <v>74</v>
      </c>
      <c r="D2495" t="s">
        <v>74</v>
      </c>
      <c r="E2495" t="s">
        <v>74</v>
      </c>
      <c r="F2495" t="s">
        <v>41960</v>
      </c>
      <c r="G2495" t="s">
        <v>74</v>
      </c>
      <c r="H2495" t="s">
        <v>74</v>
      </c>
      <c r="I2495" t="s">
        <v>41961</v>
      </c>
      <c r="J2495" t="s">
        <v>27396</v>
      </c>
      <c r="K2495" t="s">
        <v>74</v>
      </c>
      <c r="L2495" t="s">
        <v>74</v>
      </c>
      <c r="M2495" t="s">
        <v>78</v>
      </c>
      <c r="N2495" t="s">
        <v>79</v>
      </c>
      <c r="O2495" t="s">
        <v>74</v>
      </c>
      <c r="P2495" t="s">
        <v>74</v>
      </c>
      <c r="Q2495" t="s">
        <v>74</v>
      </c>
      <c r="R2495" t="s">
        <v>74</v>
      </c>
      <c r="S2495" t="s">
        <v>74</v>
      </c>
      <c r="T2495" t="s">
        <v>41962</v>
      </c>
      <c r="U2495" t="s">
        <v>41963</v>
      </c>
      <c r="V2495" t="s">
        <v>41964</v>
      </c>
      <c r="W2495" t="s">
        <v>41965</v>
      </c>
      <c r="X2495" t="s">
        <v>74</v>
      </c>
      <c r="Y2495" t="s">
        <v>41966</v>
      </c>
      <c r="Z2495" t="s">
        <v>41967</v>
      </c>
      <c r="AA2495" t="s">
        <v>41968</v>
      </c>
      <c r="AB2495" t="s">
        <v>41969</v>
      </c>
      <c r="AC2495" t="s">
        <v>41970</v>
      </c>
      <c r="AD2495" t="s">
        <v>41971</v>
      </c>
      <c r="AE2495" t="s">
        <v>41972</v>
      </c>
      <c r="AF2495" t="s">
        <v>74</v>
      </c>
      <c r="AG2495">
        <v>9</v>
      </c>
      <c r="AH2495">
        <v>7</v>
      </c>
      <c r="AI2495">
        <v>8</v>
      </c>
      <c r="AJ2495">
        <v>0</v>
      </c>
      <c r="AK2495">
        <v>11</v>
      </c>
      <c r="AL2495" t="s">
        <v>823</v>
      </c>
      <c r="AM2495" t="s">
        <v>333</v>
      </c>
      <c r="AN2495" t="s">
        <v>824</v>
      </c>
      <c r="AO2495" t="s">
        <v>27397</v>
      </c>
      <c r="AP2495" t="s">
        <v>74</v>
      </c>
      <c r="AQ2495" t="s">
        <v>74</v>
      </c>
      <c r="AR2495" t="s">
        <v>27396</v>
      </c>
      <c r="AS2495" t="s">
        <v>27395</v>
      </c>
      <c r="AT2495" t="s">
        <v>6830</v>
      </c>
      <c r="AU2495">
        <v>2017</v>
      </c>
      <c r="AV2495">
        <v>10</v>
      </c>
      <c r="AW2495" t="s">
        <v>74</v>
      </c>
      <c r="AX2495" t="s">
        <v>74</v>
      </c>
      <c r="AY2495" t="s">
        <v>74</v>
      </c>
      <c r="AZ2495" t="s">
        <v>74</v>
      </c>
      <c r="BA2495" t="s">
        <v>74</v>
      </c>
      <c r="BB2495" t="s">
        <v>74</v>
      </c>
      <c r="BC2495" t="s">
        <v>74</v>
      </c>
      <c r="BD2495" t="s">
        <v>74</v>
      </c>
      <c r="BE2495" t="s">
        <v>41973</v>
      </c>
      <c r="BF2495" t="str">
        <f>HYPERLINK("http://dx.doi.org/10.1080/16549716.2017.1321272","http://dx.doi.org/10.1080/16549716.2017.1321272")</f>
        <v>http://dx.doi.org/10.1080/16549716.2017.1321272</v>
      </c>
      <c r="BG2495" t="s">
        <v>74</v>
      </c>
      <c r="BH2495" t="s">
        <v>74</v>
      </c>
      <c r="BI2495">
        <v>3</v>
      </c>
      <c r="BJ2495" t="s">
        <v>7080</v>
      </c>
      <c r="BK2495" t="s">
        <v>2623</v>
      </c>
      <c r="BL2495" t="s">
        <v>7080</v>
      </c>
      <c r="BM2495" t="s">
        <v>41974</v>
      </c>
      <c r="BN2495">
        <v>28562231</v>
      </c>
      <c r="BO2495" t="s">
        <v>916</v>
      </c>
      <c r="BP2495" t="s">
        <v>74</v>
      </c>
      <c r="BQ2495" t="s">
        <v>74</v>
      </c>
      <c r="BR2495" t="s">
        <v>102</v>
      </c>
      <c r="BS2495" t="s">
        <v>41975</v>
      </c>
      <c r="BT2495" t="str">
        <f>HYPERLINK("https%3A%2F%2Fwww.webofscience.com%2Fwos%2Fwoscc%2Ffull-record%2FWOS:000402548000001","View Full Record in Web of Science")</f>
        <v>View Full Record in Web of Science</v>
      </c>
    </row>
    <row r="2496" spans="1:72" x14ac:dyDescent="0.25">
      <c r="A2496" t="s">
        <v>72</v>
      </c>
      <c r="B2496" t="s">
        <v>41976</v>
      </c>
      <c r="C2496" t="s">
        <v>74</v>
      </c>
      <c r="D2496" t="s">
        <v>74</v>
      </c>
      <c r="E2496" t="s">
        <v>74</v>
      </c>
      <c r="F2496" t="s">
        <v>41977</v>
      </c>
      <c r="G2496" t="s">
        <v>74</v>
      </c>
      <c r="H2496" t="s">
        <v>74</v>
      </c>
      <c r="I2496" t="s">
        <v>41978</v>
      </c>
      <c r="J2496" t="s">
        <v>41979</v>
      </c>
      <c r="K2496" t="s">
        <v>74</v>
      </c>
      <c r="L2496" t="s">
        <v>74</v>
      </c>
      <c r="M2496" t="s">
        <v>78</v>
      </c>
      <c r="N2496" t="s">
        <v>1766</v>
      </c>
      <c r="O2496" t="s">
        <v>74</v>
      </c>
      <c r="P2496" t="s">
        <v>74</v>
      </c>
      <c r="Q2496" t="s">
        <v>74</v>
      </c>
      <c r="R2496" t="s">
        <v>74</v>
      </c>
      <c r="S2496" t="s">
        <v>74</v>
      </c>
      <c r="T2496" t="s">
        <v>41980</v>
      </c>
      <c r="U2496" t="s">
        <v>41981</v>
      </c>
      <c r="V2496" t="s">
        <v>41982</v>
      </c>
      <c r="W2496" t="s">
        <v>41983</v>
      </c>
      <c r="X2496" t="s">
        <v>15381</v>
      </c>
      <c r="Y2496" t="s">
        <v>41984</v>
      </c>
      <c r="Z2496" t="s">
        <v>41985</v>
      </c>
      <c r="AA2496" t="s">
        <v>74</v>
      </c>
      <c r="AB2496" t="s">
        <v>74</v>
      </c>
      <c r="AC2496" t="s">
        <v>41986</v>
      </c>
      <c r="AD2496" t="s">
        <v>41987</v>
      </c>
      <c r="AE2496" t="s">
        <v>41988</v>
      </c>
      <c r="AF2496" t="s">
        <v>74</v>
      </c>
      <c r="AG2496">
        <v>40</v>
      </c>
      <c r="AH2496">
        <v>2</v>
      </c>
      <c r="AI2496">
        <v>4</v>
      </c>
      <c r="AJ2496">
        <v>0</v>
      </c>
      <c r="AK2496">
        <v>12</v>
      </c>
      <c r="AL2496" t="s">
        <v>332</v>
      </c>
      <c r="AM2496" t="s">
        <v>333</v>
      </c>
      <c r="AN2496" t="s">
        <v>334</v>
      </c>
      <c r="AO2496" t="s">
        <v>41989</v>
      </c>
      <c r="AP2496" t="s">
        <v>41990</v>
      </c>
      <c r="AQ2496" t="s">
        <v>74</v>
      </c>
      <c r="AR2496" t="s">
        <v>41991</v>
      </c>
      <c r="AS2496" t="s">
        <v>41992</v>
      </c>
      <c r="AT2496" t="s">
        <v>74</v>
      </c>
      <c r="AU2496">
        <v>2019</v>
      </c>
      <c r="AV2496">
        <v>14</v>
      </c>
      <c r="AW2496">
        <v>3</v>
      </c>
      <c r="AX2496" t="s">
        <v>74</v>
      </c>
      <c r="AY2496" t="s">
        <v>74</v>
      </c>
      <c r="AZ2496" t="s">
        <v>74</v>
      </c>
      <c r="BA2496" t="s">
        <v>74</v>
      </c>
      <c r="BB2496">
        <v>191</v>
      </c>
      <c r="BC2496">
        <v>218</v>
      </c>
      <c r="BD2496" t="s">
        <v>74</v>
      </c>
      <c r="BE2496" t="s">
        <v>41993</v>
      </c>
      <c r="BF2496" t="str">
        <f>HYPERLINK("http://dx.doi.org/10.1080/17450128.2019.1612128","http://dx.doi.org/10.1080/17450128.2019.1612128")</f>
        <v>http://dx.doi.org/10.1080/17450128.2019.1612128</v>
      </c>
      <c r="BG2496" t="s">
        <v>74</v>
      </c>
      <c r="BH2496" t="s">
        <v>74</v>
      </c>
      <c r="BI2496">
        <v>28</v>
      </c>
      <c r="BJ2496" t="s">
        <v>18391</v>
      </c>
      <c r="BK2496" t="s">
        <v>313</v>
      </c>
      <c r="BL2496" t="s">
        <v>18391</v>
      </c>
      <c r="BM2496" t="s">
        <v>41994</v>
      </c>
      <c r="BN2496" t="s">
        <v>74</v>
      </c>
      <c r="BO2496" t="s">
        <v>270</v>
      </c>
      <c r="BP2496" t="s">
        <v>74</v>
      </c>
      <c r="BQ2496" t="s">
        <v>74</v>
      </c>
      <c r="BR2496" t="s">
        <v>102</v>
      </c>
      <c r="BS2496" t="s">
        <v>41995</v>
      </c>
      <c r="BT2496" t="str">
        <f>HYPERLINK("https%3A%2F%2Fwww.webofscience.com%2Fwos%2Fwoscc%2Ffull-record%2FWOS:000474596300001","View Full Record in Web of Science")</f>
        <v>View Full Record in Web of Science</v>
      </c>
    </row>
    <row r="2497" spans="1:72" x14ac:dyDescent="0.25">
      <c r="A2497" t="s">
        <v>72</v>
      </c>
      <c r="B2497" t="s">
        <v>41996</v>
      </c>
      <c r="C2497" t="s">
        <v>74</v>
      </c>
      <c r="D2497" t="s">
        <v>74</v>
      </c>
      <c r="E2497" t="s">
        <v>74</v>
      </c>
      <c r="F2497" t="s">
        <v>41997</v>
      </c>
      <c r="G2497" t="s">
        <v>74</v>
      </c>
      <c r="H2497" t="s">
        <v>74</v>
      </c>
      <c r="I2497" t="s">
        <v>41998</v>
      </c>
      <c r="J2497" t="s">
        <v>18798</v>
      </c>
      <c r="K2497" t="s">
        <v>74</v>
      </c>
      <c r="L2497" t="s">
        <v>74</v>
      </c>
      <c r="M2497" t="s">
        <v>78</v>
      </c>
      <c r="N2497" t="s">
        <v>79</v>
      </c>
      <c r="O2497" t="s">
        <v>74</v>
      </c>
      <c r="P2497" t="s">
        <v>74</v>
      </c>
      <c r="Q2497" t="s">
        <v>74</v>
      </c>
      <c r="R2497" t="s">
        <v>74</v>
      </c>
      <c r="S2497" t="s">
        <v>74</v>
      </c>
      <c r="T2497" t="s">
        <v>41999</v>
      </c>
      <c r="U2497" t="s">
        <v>74</v>
      </c>
      <c r="V2497" t="s">
        <v>42000</v>
      </c>
      <c r="W2497" t="s">
        <v>74</v>
      </c>
      <c r="X2497" t="s">
        <v>74</v>
      </c>
      <c r="Y2497" t="s">
        <v>74</v>
      </c>
      <c r="Z2497" t="s">
        <v>42001</v>
      </c>
      <c r="AA2497" t="s">
        <v>74</v>
      </c>
      <c r="AB2497" t="s">
        <v>74</v>
      </c>
      <c r="AC2497" t="s">
        <v>74</v>
      </c>
      <c r="AD2497" t="s">
        <v>74</v>
      </c>
      <c r="AE2497" t="s">
        <v>74</v>
      </c>
      <c r="AF2497" t="s">
        <v>74</v>
      </c>
      <c r="AG2497">
        <v>46</v>
      </c>
      <c r="AH2497">
        <v>9</v>
      </c>
      <c r="AI2497">
        <v>9</v>
      </c>
      <c r="AJ2497">
        <v>1</v>
      </c>
      <c r="AK2497">
        <v>1</v>
      </c>
      <c r="AL2497" t="s">
        <v>18792</v>
      </c>
      <c r="AM2497" t="s">
        <v>18791</v>
      </c>
      <c r="AN2497" t="s">
        <v>18790</v>
      </c>
      <c r="AO2497" t="s">
        <v>18789</v>
      </c>
      <c r="AP2497" t="s">
        <v>18788</v>
      </c>
      <c r="AQ2497" t="s">
        <v>74</v>
      </c>
      <c r="AR2497" t="s">
        <v>18787</v>
      </c>
      <c r="AS2497" t="s">
        <v>18786</v>
      </c>
      <c r="AT2497" t="s">
        <v>16433</v>
      </c>
      <c r="AU2497">
        <v>2020</v>
      </c>
      <c r="AV2497">
        <v>10</v>
      </c>
      <c r="AW2497">
        <v>1</v>
      </c>
      <c r="AX2497" t="s">
        <v>74</v>
      </c>
      <c r="AY2497" t="s">
        <v>74</v>
      </c>
      <c r="AZ2497" t="s">
        <v>74</v>
      </c>
      <c r="BA2497" t="s">
        <v>74</v>
      </c>
      <c r="BB2497">
        <v>7</v>
      </c>
      <c r="BC2497">
        <v>36</v>
      </c>
      <c r="BD2497" t="s">
        <v>74</v>
      </c>
      <c r="BE2497" t="s">
        <v>74</v>
      </c>
      <c r="BF2497" t="s">
        <v>74</v>
      </c>
      <c r="BG2497" t="s">
        <v>74</v>
      </c>
      <c r="BH2497" t="s">
        <v>74</v>
      </c>
      <c r="BI2497">
        <v>30</v>
      </c>
      <c r="BJ2497" t="s">
        <v>1137</v>
      </c>
      <c r="BK2497" t="s">
        <v>313</v>
      </c>
      <c r="BL2497" t="s">
        <v>1137</v>
      </c>
      <c r="BM2497" t="s">
        <v>42002</v>
      </c>
      <c r="BN2497" t="s">
        <v>74</v>
      </c>
      <c r="BO2497" t="s">
        <v>74</v>
      </c>
      <c r="BP2497" t="s">
        <v>74</v>
      </c>
      <c r="BQ2497" t="s">
        <v>74</v>
      </c>
      <c r="BR2497" t="s">
        <v>102</v>
      </c>
      <c r="BS2497" t="s">
        <v>42003</v>
      </c>
      <c r="BT2497" t="str">
        <f>HYPERLINK("https%3A%2F%2Fwww.webofscience.com%2Fwos%2Fwoscc%2Ffull-record%2FWOS:000591533000004","View Full Record in Web of Science")</f>
        <v>View Full Record in Web of Science</v>
      </c>
    </row>
    <row r="2498" spans="1:72" x14ac:dyDescent="0.25">
      <c r="A2498" t="s">
        <v>72</v>
      </c>
      <c r="B2498" t="s">
        <v>42004</v>
      </c>
      <c r="C2498" t="s">
        <v>74</v>
      </c>
      <c r="D2498" t="s">
        <v>74</v>
      </c>
      <c r="E2498" t="s">
        <v>74</v>
      </c>
      <c r="F2498" t="s">
        <v>42005</v>
      </c>
      <c r="G2498" t="s">
        <v>74</v>
      </c>
      <c r="H2498" t="s">
        <v>74</v>
      </c>
      <c r="I2498" t="s">
        <v>42006</v>
      </c>
      <c r="J2498" t="s">
        <v>22601</v>
      </c>
      <c r="K2498" t="s">
        <v>74</v>
      </c>
      <c r="L2498" t="s">
        <v>74</v>
      </c>
      <c r="M2498" t="s">
        <v>78</v>
      </c>
      <c r="N2498" t="s">
        <v>79</v>
      </c>
      <c r="O2498" t="s">
        <v>74</v>
      </c>
      <c r="P2498" t="s">
        <v>74</v>
      </c>
      <c r="Q2498" t="s">
        <v>74</v>
      </c>
      <c r="R2498" t="s">
        <v>74</v>
      </c>
      <c r="S2498" t="s">
        <v>74</v>
      </c>
      <c r="T2498" t="s">
        <v>42007</v>
      </c>
      <c r="U2498" t="s">
        <v>31137</v>
      </c>
      <c r="V2498" t="s">
        <v>42008</v>
      </c>
      <c r="W2498" t="s">
        <v>42009</v>
      </c>
      <c r="X2498" t="s">
        <v>74</v>
      </c>
      <c r="Y2498" t="s">
        <v>42010</v>
      </c>
      <c r="Z2498" t="s">
        <v>42011</v>
      </c>
      <c r="AA2498" t="s">
        <v>74</v>
      </c>
      <c r="AB2498" t="s">
        <v>42012</v>
      </c>
      <c r="AC2498" t="s">
        <v>42013</v>
      </c>
      <c r="AD2498" t="s">
        <v>42013</v>
      </c>
      <c r="AE2498" t="s">
        <v>42014</v>
      </c>
      <c r="AF2498" t="s">
        <v>74</v>
      </c>
      <c r="AG2498">
        <v>24</v>
      </c>
      <c r="AH2498">
        <v>1</v>
      </c>
      <c r="AI2498">
        <v>1</v>
      </c>
      <c r="AJ2498">
        <v>3</v>
      </c>
      <c r="AK2498">
        <v>12</v>
      </c>
      <c r="AL2498" t="s">
        <v>201</v>
      </c>
      <c r="AM2498" t="s">
        <v>202</v>
      </c>
      <c r="AN2498" t="s">
        <v>203</v>
      </c>
      <c r="AO2498" t="s">
        <v>22593</v>
      </c>
      <c r="AP2498" t="s">
        <v>74</v>
      </c>
      <c r="AQ2498" t="s">
        <v>74</v>
      </c>
      <c r="AR2498" t="s">
        <v>22592</v>
      </c>
      <c r="AS2498" t="s">
        <v>22591</v>
      </c>
      <c r="AT2498" t="s">
        <v>124</v>
      </c>
      <c r="AU2498">
        <v>2024</v>
      </c>
      <c r="AV2498">
        <v>26</v>
      </c>
      <c r="AW2498" t="s">
        <v>74</v>
      </c>
      <c r="AX2498" t="s">
        <v>74</v>
      </c>
      <c r="AY2498" t="s">
        <v>74</v>
      </c>
      <c r="AZ2498" t="s">
        <v>74</v>
      </c>
      <c r="BA2498" t="s">
        <v>74</v>
      </c>
      <c r="BB2498" t="s">
        <v>74</v>
      </c>
      <c r="BC2498" t="s">
        <v>74</v>
      </c>
      <c r="BD2498" t="s">
        <v>42015</v>
      </c>
      <c r="BE2498" t="s">
        <v>42016</v>
      </c>
      <c r="BF2498" t="str">
        <f>HYPERLINK("http://dx.doi.org/10.1016/j.sciaf.2024.e02384","http://dx.doi.org/10.1016/j.sciaf.2024.e02384")</f>
        <v>http://dx.doi.org/10.1016/j.sciaf.2024.e02384</v>
      </c>
      <c r="BG2498" t="s">
        <v>74</v>
      </c>
      <c r="BH2498" t="s">
        <v>1136</v>
      </c>
      <c r="BI2498">
        <v>16</v>
      </c>
      <c r="BJ2498" t="s">
        <v>559</v>
      </c>
      <c r="BK2498" t="s">
        <v>313</v>
      </c>
      <c r="BL2498" t="s">
        <v>560</v>
      </c>
      <c r="BM2498" t="s">
        <v>42017</v>
      </c>
      <c r="BN2498" t="s">
        <v>74</v>
      </c>
      <c r="BO2498" t="s">
        <v>212</v>
      </c>
      <c r="BP2498" t="s">
        <v>74</v>
      </c>
      <c r="BQ2498" t="s">
        <v>74</v>
      </c>
      <c r="BR2498" t="s">
        <v>102</v>
      </c>
      <c r="BS2498" t="s">
        <v>42018</v>
      </c>
      <c r="BT2498" t="str">
        <f>HYPERLINK("https%3A%2F%2Fwww.webofscience.com%2Fwos%2Fwoscc%2Ffull-record%2FWOS:001335765500001","View Full Record in Web of Science")</f>
        <v>View Full Record in Web of Science</v>
      </c>
    </row>
    <row r="2499" spans="1:72" x14ac:dyDescent="0.25">
      <c r="A2499" t="s">
        <v>72</v>
      </c>
      <c r="B2499" t="s">
        <v>42019</v>
      </c>
      <c r="C2499" t="s">
        <v>74</v>
      </c>
      <c r="D2499" t="s">
        <v>74</v>
      </c>
      <c r="E2499" t="s">
        <v>74</v>
      </c>
      <c r="F2499" t="s">
        <v>42020</v>
      </c>
      <c r="G2499" t="s">
        <v>74</v>
      </c>
      <c r="H2499" t="s">
        <v>74</v>
      </c>
      <c r="I2499" t="s">
        <v>42021</v>
      </c>
      <c r="J2499" t="s">
        <v>3231</v>
      </c>
      <c r="K2499" t="s">
        <v>74</v>
      </c>
      <c r="L2499" t="s">
        <v>74</v>
      </c>
      <c r="M2499" t="s">
        <v>78</v>
      </c>
      <c r="N2499" t="s">
        <v>79</v>
      </c>
      <c r="O2499" t="s">
        <v>74</v>
      </c>
      <c r="P2499" t="s">
        <v>74</v>
      </c>
      <c r="Q2499" t="s">
        <v>74</v>
      </c>
      <c r="R2499" t="s">
        <v>74</v>
      </c>
      <c r="S2499" t="s">
        <v>74</v>
      </c>
      <c r="T2499" t="s">
        <v>42022</v>
      </c>
      <c r="U2499" t="s">
        <v>42023</v>
      </c>
      <c r="V2499" t="s">
        <v>42024</v>
      </c>
      <c r="W2499" t="s">
        <v>42025</v>
      </c>
      <c r="X2499" t="s">
        <v>42026</v>
      </c>
      <c r="Y2499" t="s">
        <v>42027</v>
      </c>
      <c r="Z2499" t="s">
        <v>42028</v>
      </c>
      <c r="AA2499" t="s">
        <v>42029</v>
      </c>
      <c r="AB2499" t="s">
        <v>42030</v>
      </c>
      <c r="AC2499" t="s">
        <v>42031</v>
      </c>
      <c r="AD2499" t="s">
        <v>42032</v>
      </c>
      <c r="AE2499" t="s">
        <v>42033</v>
      </c>
      <c r="AF2499" t="s">
        <v>74</v>
      </c>
      <c r="AG2499">
        <v>75</v>
      </c>
      <c r="AH2499">
        <v>16</v>
      </c>
      <c r="AI2499">
        <v>22</v>
      </c>
      <c r="AJ2499">
        <v>10</v>
      </c>
      <c r="AK2499">
        <v>28</v>
      </c>
      <c r="AL2499" t="s">
        <v>575</v>
      </c>
      <c r="AM2499" t="s">
        <v>576</v>
      </c>
      <c r="AN2499" t="s">
        <v>3242</v>
      </c>
      <c r="AO2499" t="s">
        <v>74</v>
      </c>
      <c r="AP2499" t="s">
        <v>3243</v>
      </c>
      <c r="AQ2499" t="s">
        <v>74</v>
      </c>
      <c r="AR2499" t="s">
        <v>3244</v>
      </c>
      <c r="AS2499" t="s">
        <v>3245</v>
      </c>
      <c r="AT2499" t="s">
        <v>289</v>
      </c>
      <c r="AU2499">
        <v>2024</v>
      </c>
      <c r="AV2499">
        <v>16</v>
      </c>
      <c r="AW2499">
        <v>15</v>
      </c>
      <c r="AX2499" t="s">
        <v>74</v>
      </c>
      <c r="AY2499" t="s">
        <v>74</v>
      </c>
      <c r="AZ2499" t="s">
        <v>74</v>
      </c>
      <c r="BA2499" t="s">
        <v>74</v>
      </c>
      <c r="BB2499" t="s">
        <v>74</v>
      </c>
      <c r="BC2499" t="s">
        <v>74</v>
      </c>
      <c r="BD2499">
        <v>6430</v>
      </c>
      <c r="BE2499" t="s">
        <v>42034</v>
      </c>
      <c r="BF2499" t="str">
        <f>HYPERLINK("http://dx.doi.org/10.3390/su16156430","http://dx.doi.org/10.3390/su16156430")</f>
        <v>http://dx.doi.org/10.3390/su16156430</v>
      </c>
      <c r="BG2499" t="s">
        <v>74</v>
      </c>
      <c r="BH2499" t="s">
        <v>74</v>
      </c>
      <c r="BI2499">
        <v>19</v>
      </c>
      <c r="BJ2499" t="s">
        <v>3247</v>
      </c>
      <c r="BK2499" t="s">
        <v>2623</v>
      </c>
      <c r="BL2499" t="s">
        <v>3248</v>
      </c>
      <c r="BM2499" t="s">
        <v>42035</v>
      </c>
      <c r="BN2499" t="s">
        <v>74</v>
      </c>
      <c r="BO2499" t="s">
        <v>212</v>
      </c>
      <c r="BP2499" t="s">
        <v>74</v>
      </c>
      <c r="BQ2499" t="s">
        <v>74</v>
      </c>
      <c r="BR2499" t="s">
        <v>102</v>
      </c>
      <c r="BS2499" t="s">
        <v>42036</v>
      </c>
      <c r="BT2499" t="str">
        <f>HYPERLINK("https%3A%2F%2Fwww.webofscience.com%2Fwos%2Fwoscc%2Ffull-record%2FWOS:001287230900001","View Full Record in Web of Science")</f>
        <v>View Full Record in Web of Science</v>
      </c>
    </row>
    <row r="2500" spans="1:72" x14ac:dyDescent="0.25">
      <c r="A2500" t="s">
        <v>72</v>
      </c>
      <c r="B2500" t="s">
        <v>42037</v>
      </c>
      <c r="C2500" t="s">
        <v>74</v>
      </c>
      <c r="D2500" t="s">
        <v>74</v>
      </c>
      <c r="E2500" t="s">
        <v>74</v>
      </c>
      <c r="F2500" t="s">
        <v>42038</v>
      </c>
      <c r="G2500" t="s">
        <v>74</v>
      </c>
      <c r="H2500" t="s">
        <v>74</v>
      </c>
      <c r="I2500" t="s">
        <v>42039</v>
      </c>
      <c r="J2500" t="s">
        <v>7274</v>
      </c>
      <c r="K2500" t="s">
        <v>74</v>
      </c>
      <c r="L2500" t="s">
        <v>74</v>
      </c>
      <c r="M2500" t="s">
        <v>78</v>
      </c>
      <c r="N2500" t="s">
        <v>79</v>
      </c>
      <c r="O2500" t="s">
        <v>74</v>
      </c>
      <c r="P2500" t="s">
        <v>74</v>
      </c>
      <c r="Q2500" t="s">
        <v>74</v>
      </c>
      <c r="R2500" t="s">
        <v>74</v>
      </c>
      <c r="S2500" t="s">
        <v>74</v>
      </c>
      <c r="T2500" t="s">
        <v>74</v>
      </c>
      <c r="U2500" t="s">
        <v>42040</v>
      </c>
      <c r="V2500" t="s">
        <v>42041</v>
      </c>
      <c r="W2500" t="s">
        <v>42042</v>
      </c>
      <c r="X2500" t="s">
        <v>42043</v>
      </c>
      <c r="Y2500" t="s">
        <v>42044</v>
      </c>
      <c r="Z2500" t="s">
        <v>42045</v>
      </c>
      <c r="AA2500" t="s">
        <v>74</v>
      </c>
      <c r="AB2500" t="s">
        <v>42046</v>
      </c>
      <c r="AC2500" t="s">
        <v>74</v>
      </c>
      <c r="AD2500" t="s">
        <v>74</v>
      </c>
      <c r="AE2500" t="s">
        <v>74</v>
      </c>
      <c r="AF2500" t="s">
        <v>74</v>
      </c>
      <c r="AG2500">
        <v>23</v>
      </c>
      <c r="AH2500">
        <v>21</v>
      </c>
      <c r="AI2500">
        <v>31</v>
      </c>
      <c r="AJ2500">
        <v>1</v>
      </c>
      <c r="AK2500">
        <v>14</v>
      </c>
      <c r="AL2500" t="s">
        <v>2551</v>
      </c>
      <c r="AM2500" t="s">
        <v>231</v>
      </c>
      <c r="AN2500" t="s">
        <v>2552</v>
      </c>
      <c r="AO2500" t="s">
        <v>7284</v>
      </c>
      <c r="AP2500" t="s">
        <v>7285</v>
      </c>
      <c r="AQ2500" t="s">
        <v>74</v>
      </c>
      <c r="AR2500" t="s">
        <v>7286</v>
      </c>
      <c r="AS2500" t="s">
        <v>7287</v>
      </c>
      <c r="AT2500" t="s">
        <v>19701</v>
      </c>
      <c r="AU2500">
        <v>2017</v>
      </c>
      <c r="AV2500">
        <v>30</v>
      </c>
      <c r="AW2500" t="s">
        <v>74</v>
      </c>
      <c r="AX2500" t="s">
        <v>74</v>
      </c>
      <c r="AY2500">
        <v>1</v>
      </c>
      <c r="AZ2500" t="s">
        <v>74</v>
      </c>
      <c r="BA2500" t="s">
        <v>74</v>
      </c>
      <c r="BB2500" t="s">
        <v>42047</v>
      </c>
      <c r="BC2500" t="s">
        <v>42048</v>
      </c>
      <c r="BD2500" t="s">
        <v>74</v>
      </c>
      <c r="BE2500" t="s">
        <v>42049</v>
      </c>
      <c r="BF2500" t="str">
        <f>HYPERLINK("http://dx.doi.org/10.1093/wber/lhw016","http://dx.doi.org/10.1093/wber/lhw016")</f>
        <v>http://dx.doi.org/10.1093/wber/lhw016</v>
      </c>
      <c r="BG2500" t="s">
        <v>74</v>
      </c>
      <c r="BH2500" t="s">
        <v>74</v>
      </c>
      <c r="BI2500">
        <v>10</v>
      </c>
      <c r="BJ2500" t="s">
        <v>7291</v>
      </c>
      <c r="BK2500" t="s">
        <v>99</v>
      </c>
      <c r="BL2500" t="s">
        <v>7292</v>
      </c>
      <c r="BM2500" t="s">
        <v>42050</v>
      </c>
      <c r="BN2500" t="s">
        <v>74</v>
      </c>
      <c r="BO2500" t="s">
        <v>1205</v>
      </c>
      <c r="BP2500" t="s">
        <v>74</v>
      </c>
      <c r="BQ2500" t="s">
        <v>74</v>
      </c>
      <c r="BR2500" t="s">
        <v>102</v>
      </c>
      <c r="BS2500" t="s">
        <v>42051</v>
      </c>
      <c r="BT2500" t="str">
        <f>HYPERLINK("https%3A%2F%2Fwww.webofscience.com%2Fwos%2Fwoscc%2Ffull-record%2FWOS:000402865100007","View Full Record in Web of Science")</f>
        <v>View Full Record in Web of Science</v>
      </c>
    </row>
    <row r="2501" spans="1:72" x14ac:dyDescent="0.25">
      <c r="A2501" t="s">
        <v>72</v>
      </c>
      <c r="B2501" t="s">
        <v>11404</v>
      </c>
      <c r="C2501" t="s">
        <v>74</v>
      </c>
      <c r="D2501" t="s">
        <v>74</v>
      </c>
      <c r="E2501" t="s">
        <v>74</v>
      </c>
      <c r="F2501" t="s">
        <v>11405</v>
      </c>
      <c r="G2501" t="s">
        <v>74</v>
      </c>
      <c r="H2501" t="s">
        <v>74</v>
      </c>
      <c r="I2501" t="s">
        <v>42052</v>
      </c>
      <c r="J2501" t="s">
        <v>2117</v>
      </c>
      <c r="K2501" t="s">
        <v>74</v>
      </c>
      <c r="L2501" t="s">
        <v>74</v>
      </c>
      <c r="M2501" t="s">
        <v>78</v>
      </c>
      <c r="N2501" t="s">
        <v>79</v>
      </c>
      <c r="O2501" t="s">
        <v>74</v>
      </c>
      <c r="P2501" t="s">
        <v>74</v>
      </c>
      <c r="Q2501" t="s">
        <v>74</v>
      </c>
      <c r="R2501" t="s">
        <v>74</v>
      </c>
      <c r="S2501" t="s">
        <v>74</v>
      </c>
      <c r="T2501" t="s">
        <v>42053</v>
      </c>
      <c r="U2501" t="s">
        <v>42054</v>
      </c>
      <c r="V2501" t="s">
        <v>42055</v>
      </c>
      <c r="W2501" t="s">
        <v>42056</v>
      </c>
      <c r="X2501" t="s">
        <v>11410</v>
      </c>
      <c r="Y2501" t="s">
        <v>42057</v>
      </c>
      <c r="Z2501" t="s">
        <v>11412</v>
      </c>
      <c r="AA2501" t="s">
        <v>20956</v>
      </c>
      <c r="AB2501" t="s">
        <v>42058</v>
      </c>
      <c r="AC2501" t="s">
        <v>74</v>
      </c>
      <c r="AD2501" t="s">
        <v>74</v>
      </c>
      <c r="AE2501" t="s">
        <v>74</v>
      </c>
      <c r="AF2501" t="s">
        <v>74</v>
      </c>
      <c r="AG2501">
        <v>63</v>
      </c>
      <c r="AH2501">
        <v>7</v>
      </c>
      <c r="AI2501">
        <v>13</v>
      </c>
      <c r="AJ2501">
        <v>2</v>
      </c>
      <c r="AK2501">
        <v>12</v>
      </c>
      <c r="AL2501" t="s">
        <v>201</v>
      </c>
      <c r="AM2501" t="s">
        <v>202</v>
      </c>
      <c r="AN2501" t="s">
        <v>203</v>
      </c>
      <c r="AO2501" t="s">
        <v>2127</v>
      </c>
      <c r="AP2501" t="s">
        <v>2128</v>
      </c>
      <c r="AQ2501" t="s">
        <v>74</v>
      </c>
      <c r="AR2501" t="s">
        <v>2129</v>
      </c>
      <c r="AS2501" t="s">
        <v>2130</v>
      </c>
      <c r="AT2501" t="s">
        <v>605</v>
      </c>
      <c r="AU2501">
        <v>2024</v>
      </c>
      <c r="AV2501">
        <v>59</v>
      </c>
      <c r="AW2501" t="s">
        <v>74</v>
      </c>
      <c r="AX2501" t="s">
        <v>74</v>
      </c>
      <c r="AY2501" t="s">
        <v>74</v>
      </c>
      <c r="AZ2501" t="s">
        <v>74</v>
      </c>
      <c r="BA2501" t="s">
        <v>74</v>
      </c>
      <c r="BB2501" t="s">
        <v>74</v>
      </c>
      <c r="BC2501" t="s">
        <v>74</v>
      </c>
      <c r="BD2501">
        <v>101118</v>
      </c>
      <c r="BE2501" t="s">
        <v>42059</v>
      </c>
      <c r="BF2501" t="str">
        <f>HYPERLINK("http://dx.doi.org/10.1016/j.ememar.2024.101118","http://dx.doi.org/10.1016/j.ememar.2024.101118")</f>
        <v>http://dx.doi.org/10.1016/j.ememar.2024.101118</v>
      </c>
      <c r="BG2501" t="s">
        <v>74</v>
      </c>
      <c r="BH2501" t="s">
        <v>1981</v>
      </c>
      <c r="BI2501">
        <v>15</v>
      </c>
      <c r="BJ2501" t="s">
        <v>210</v>
      </c>
      <c r="BK2501" t="s">
        <v>99</v>
      </c>
      <c r="BL2501" t="s">
        <v>100</v>
      </c>
      <c r="BM2501" t="s">
        <v>42060</v>
      </c>
      <c r="BN2501" t="s">
        <v>74</v>
      </c>
      <c r="BO2501" t="s">
        <v>74</v>
      </c>
      <c r="BP2501" t="s">
        <v>74</v>
      </c>
      <c r="BQ2501" t="s">
        <v>74</v>
      </c>
      <c r="BR2501" t="s">
        <v>102</v>
      </c>
      <c r="BS2501" t="s">
        <v>42061</v>
      </c>
      <c r="BT2501" t="str">
        <f>HYPERLINK("https%3A%2F%2Fwww.webofscience.com%2Fwos%2Fwoscc%2Ffull-record%2FWOS:001203555000001","View Full Record in Web of Science")</f>
        <v>View Full Record in Web of Science</v>
      </c>
    </row>
    <row r="2502" spans="1:72" x14ac:dyDescent="0.25">
      <c r="A2502" t="s">
        <v>72</v>
      </c>
      <c r="B2502" t="s">
        <v>42062</v>
      </c>
      <c r="C2502" t="s">
        <v>74</v>
      </c>
      <c r="D2502" t="s">
        <v>74</v>
      </c>
      <c r="E2502" t="s">
        <v>74</v>
      </c>
      <c r="F2502" t="s">
        <v>42063</v>
      </c>
      <c r="G2502" t="s">
        <v>74</v>
      </c>
      <c r="H2502" t="s">
        <v>74</v>
      </c>
      <c r="I2502" t="s">
        <v>42064</v>
      </c>
      <c r="J2502" t="s">
        <v>729</v>
      </c>
      <c r="K2502" t="s">
        <v>74</v>
      </c>
      <c r="L2502" t="s">
        <v>74</v>
      </c>
      <c r="M2502" t="s">
        <v>78</v>
      </c>
      <c r="N2502" t="s">
        <v>79</v>
      </c>
      <c r="O2502" t="s">
        <v>74</v>
      </c>
      <c r="P2502" t="s">
        <v>74</v>
      </c>
      <c r="Q2502" t="s">
        <v>74</v>
      </c>
      <c r="R2502" t="s">
        <v>74</v>
      </c>
      <c r="S2502" t="s">
        <v>74</v>
      </c>
      <c r="T2502" t="s">
        <v>42065</v>
      </c>
      <c r="U2502" t="s">
        <v>42066</v>
      </c>
      <c r="V2502" t="s">
        <v>42067</v>
      </c>
      <c r="W2502" t="s">
        <v>42068</v>
      </c>
      <c r="X2502" t="s">
        <v>38401</v>
      </c>
      <c r="Y2502" t="s">
        <v>42069</v>
      </c>
      <c r="Z2502" t="s">
        <v>42070</v>
      </c>
      <c r="AA2502" t="s">
        <v>42071</v>
      </c>
      <c r="AB2502" t="s">
        <v>42072</v>
      </c>
      <c r="AC2502" t="s">
        <v>42073</v>
      </c>
      <c r="AD2502" t="s">
        <v>42074</v>
      </c>
      <c r="AE2502" t="s">
        <v>42075</v>
      </c>
      <c r="AF2502" t="s">
        <v>74</v>
      </c>
      <c r="AG2502">
        <v>80</v>
      </c>
      <c r="AH2502">
        <v>46</v>
      </c>
      <c r="AI2502">
        <v>49</v>
      </c>
      <c r="AJ2502">
        <v>1</v>
      </c>
      <c r="AK2502">
        <v>100</v>
      </c>
      <c r="AL2502" t="s">
        <v>479</v>
      </c>
      <c r="AM2502" t="s">
        <v>480</v>
      </c>
      <c r="AN2502" t="s">
        <v>481</v>
      </c>
      <c r="AO2502" t="s">
        <v>739</v>
      </c>
      <c r="AP2502" t="s">
        <v>740</v>
      </c>
      <c r="AQ2502" t="s">
        <v>74</v>
      </c>
      <c r="AR2502" t="s">
        <v>741</v>
      </c>
      <c r="AS2502" t="s">
        <v>742</v>
      </c>
      <c r="AT2502" t="s">
        <v>208</v>
      </c>
      <c r="AU2502">
        <v>2023</v>
      </c>
      <c r="AV2502">
        <v>28</v>
      </c>
      <c r="AW2502">
        <v>1</v>
      </c>
      <c r="AX2502" t="s">
        <v>74</v>
      </c>
      <c r="AY2502" t="s">
        <v>74</v>
      </c>
      <c r="AZ2502" t="s">
        <v>74</v>
      </c>
      <c r="BA2502" t="s">
        <v>74</v>
      </c>
      <c r="BB2502">
        <v>372</v>
      </c>
      <c r="BC2502">
        <v>391</v>
      </c>
      <c r="BD2502" t="s">
        <v>74</v>
      </c>
      <c r="BE2502" t="s">
        <v>42076</v>
      </c>
      <c r="BF2502" t="str">
        <f>HYPERLINK("http://dx.doi.org/10.1002/ijfe.2425","http://dx.doi.org/10.1002/ijfe.2425")</f>
        <v>http://dx.doi.org/10.1002/ijfe.2425</v>
      </c>
      <c r="BG2502" t="s">
        <v>74</v>
      </c>
      <c r="BH2502" t="s">
        <v>11556</v>
      </c>
      <c r="BI2502">
        <v>20</v>
      </c>
      <c r="BJ2502" t="s">
        <v>268</v>
      </c>
      <c r="BK2502" t="s">
        <v>99</v>
      </c>
      <c r="BL2502" t="s">
        <v>100</v>
      </c>
      <c r="BM2502" t="s">
        <v>42077</v>
      </c>
      <c r="BN2502" t="s">
        <v>74</v>
      </c>
      <c r="BO2502" t="s">
        <v>74</v>
      </c>
      <c r="BP2502" t="s">
        <v>74</v>
      </c>
      <c r="BQ2502" t="s">
        <v>74</v>
      </c>
      <c r="BR2502" t="s">
        <v>102</v>
      </c>
      <c r="BS2502" t="s">
        <v>42078</v>
      </c>
      <c r="BT2502" t="str">
        <f>HYPERLINK("https%3A%2F%2Fwww.webofscience.com%2Fwos%2Fwoscc%2Ffull-record%2FWOS:000605198500001","View Full Record in Web of Science")</f>
        <v>View Full Record in Web of Science</v>
      </c>
    </row>
    <row r="2503" spans="1:72" x14ac:dyDescent="0.25">
      <c r="A2503" t="s">
        <v>132</v>
      </c>
      <c r="B2503" t="s">
        <v>42079</v>
      </c>
      <c r="C2503" t="s">
        <v>74</v>
      </c>
      <c r="D2503" t="s">
        <v>42080</v>
      </c>
      <c r="E2503" t="s">
        <v>74</v>
      </c>
      <c r="F2503" t="s">
        <v>42081</v>
      </c>
      <c r="G2503" t="s">
        <v>74</v>
      </c>
      <c r="H2503" t="s">
        <v>74</v>
      </c>
      <c r="I2503" t="s">
        <v>42082</v>
      </c>
      <c r="J2503" t="s">
        <v>42083</v>
      </c>
      <c r="K2503" t="s">
        <v>42084</v>
      </c>
      <c r="L2503" t="s">
        <v>74</v>
      </c>
      <c r="M2503" t="s">
        <v>78</v>
      </c>
      <c r="N2503" t="s">
        <v>138</v>
      </c>
      <c r="O2503" t="s">
        <v>42085</v>
      </c>
      <c r="P2503" t="s">
        <v>42086</v>
      </c>
      <c r="Q2503" t="s">
        <v>5770</v>
      </c>
      <c r="R2503" t="s">
        <v>74</v>
      </c>
      <c r="S2503" t="s">
        <v>74</v>
      </c>
      <c r="T2503" t="s">
        <v>42087</v>
      </c>
      <c r="U2503" t="s">
        <v>24096</v>
      </c>
      <c r="V2503" t="s">
        <v>42088</v>
      </c>
      <c r="W2503" t="s">
        <v>42089</v>
      </c>
      <c r="X2503" t="s">
        <v>1398</v>
      </c>
      <c r="Y2503" t="s">
        <v>74</v>
      </c>
      <c r="Z2503" t="s">
        <v>42090</v>
      </c>
      <c r="AA2503" t="s">
        <v>42091</v>
      </c>
      <c r="AB2503" t="s">
        <v>42092</v>
      </c>
      <c r="AC2503" t="s">
        <v>74</v>
      </c>
      <c r="AD2503" t="s">
        <v>74</v>
      </c>
      <c r="AE2503" t="s">
        <v>74</v>
      </c>
      <c r="AF2503" t="s">
        <v>74</v>
      </c>
      <c r="AG2503">
        <v>19</v>
      </c>
      <c r="AH2503">
        <v>0</v>
      </c>
      <c r="AI2503">
        <v>0</v>
      </c>
      <c r="AJ2503">
        <v>0</v>
      </c>
      <c r="AK2503">
        <v>10</v>
      </c>
      <c r="AL2503" t="s">
        <v>42093</v>
      </c>
      <c r="AM2503" t="s">
        <v>6135</v>
      </c>
      <c r="AN2503" t="s">
        <v>6136</v>
      </c>
      <c r="AO2503" t="s">
        <v>42094</v>
      </c>
      <c r="AP2503" t="s">
        <v>74</v>
      </c>
      <c r="AQ2503" t="s">
        <v>42095</v>
      </c>
      <c r="AR2503" t="s">
        <v>42096</v>
      </c>
      <c r="AS2503" t="s">
        <v>74</v>
      </c>
      <c r="AT2503" t="s">
        <v>74</v>
      </c>
      <c r="AU2503">
        <v>2012</v>
      </c>
      <c r="AV2503" t="s">
        <v>74</v>
      </c>
      <c r="AW2503" t="s">
        <v>74</v>
      </c>
      <c r="AX2503" t="s">
        <v>74</v>
      </c>
      <c r="AY2503" t="s">
        <v>74</v>
      </c>
      <c r="AZ2503" t="s">
        <v>74</v>
      </c>
      <c r="BA2503" t="s">
        <v>74</v>
      </c>
      <c r="BB2503">
        <v>1909</v>
      </c>
      <c r="BC2503">
        <v>1918</v>
      </c>
      <c r="BD2503" t="s">
        <v>74</v>
      </c>
      <c r="BE2503" t="s">
        <v>74</v>
      </c>
      <c r="BF2503" t="s">
        <v>74</v>
      </c>
      <c r="BG2503" t="s">
        <v>74</v>
      </c>
      <c r="BH2503" t="s">
        <v>74</v>
      </c>
      <c r="BI2503">
        <v>10</v>
      </c>
      <c r="BJ2503" t="s">
        <v>4031</v>
      </c>
      <c r="BK2503" t="s">
        <v>183</v>
      </c>
      <c r="BL2503" t="s">
        <v>4031</v>
      </c>
      <c r="BM2503" t="s">
        <v>42097</v>
      </c>
      <c r="BN2503" t="s">
        <v>74</v>
      </c>
      <c r="BO2503" t="s">
        <v>74</v>
      </c>
      <c r="BP2503" t="s">
        <v>74</v>
      </c>
      <c r="BQ2503" t="s">
        <v>74</v>
      </c>
      <c r="BR2503" t="s">
        <v>102</v>
      </c>
      <c r="BS2503" t="s">
        <v>42098</v>
      </c>
      <c r="BT2503" t="str">
        <f>HYPERLINK("https%3A%2F%2Fwww.webofscience.com%2Fwos%2Fwoscc%2Ffull-record%2FWOS:000326239301139","View Full Record in Web of Science")</f>
        <v>View Full Record in Web of Science</v>
      </c>
    </row>
    <row r="2504" spans="1:72" x14ac:dyDescent="0.25">
      <c r="A2504" t="s">
        <v>72</v>
      </c>
      <c r="B2504" t="s">
        <v>42099</v>
      </c>
      <c r="C2504" t="s">
        <v>74</v>
      </c>
      <c r="D2504" t="s">
        <v>74</v>
      </c>
      <c r="E2504" t="s">
        <v>74</v>
      </c>
      <c r="F2504" t="s">
        <v>42100</v>
      </c>
      <c r="G2504" t="s">
        <v>74</v>
      </c>
      <c r="H2504" t="s">
        <v>74</v>
      </c>
      <c r="I2504" t="s">
        <v>42101</v>
      </c>
      <c r="J2504" t="s">
        <v>9896</v>
      </c>
      <c r="K2504" t="s">
        <v>74</v>
      </c>
      <c r="L2504" t="s">
        <v>74</v>
      </c>
      <c r="M2504" t="s">
        <v>78</v>
      </c>
      <c r="N2504" t="s">
        <v>79</v>
      </c>
      <c r="O2504" t="s">
        <v>74</v>
      </c>
      <c r="P2504" t="s">
        <v>74</v>
      </c>
      <c r="Q2504" t="s">
        <v>74</v>
      </c>
      <c r="R2504" t="s">
        <v>74</v>
      </c>
      <c r="S2504" t="s">
        <v>74</v>
      </c>
      <c r="T2504" t="s">
        <v>42102</v>
      </c>
      <c r="U2504" t="s">
        <v>42103</v>
      </c>
      <c r="V2504" t="s">
        <v>42104</v>
      </c>
      <c r="W2504" t="s">
        <v>42105</v>
      </c>
      <c r="X2504" t="s">
        <v>36876</v>
      </c>
      <c r="Y2504" t="s">
        <v>42106</v>
      </c>
      <c r="Z2504" t="s">
        <v>42107</v>
      </c>
      <c r="AA2504" t="s">
        <v>42108</v>
      </c>
      <c r="AB2504" t="s">
        <v>42109</v>
      </c>
      <c r="AC2504" t="s">
        <v>74</v>
      </c>
      <c r="AD2504" t="s">
        <v>74</v>
      </c>
      <c r="AE2504" t="s">
        <v>74</v>
      </c>
      <c r="AF2504" t="s">
        <v>74</v>
      </c>
      <c r="AG2504">
        <v>52</v>
      </c>
      <c r="AH2504">
        <v>16</v>
      </c>
      <c r="AI2504">
        <v>20</v>
      </c>
      <c r="AJ2504">
        <v>1</v>
      </c>
      <c r="AK2504">
        <v>7</v>
      </c>
      <c r="AL2504" t="s">
        <v>89</v>
      </c>
      <c r="AM2504" t="s">
        <v>90</v>
      </c>
      <c r="AN2504" t="s">
        <v>91</v>
      </c>
      <c r="AO2504" t="s">
        <v>9905</v>
      </c>
      <c r="AP2504" t="s">
        <v>9906</v>
      </c>
      <c r="AQ2504" t="s">
        <v>74</v>
      </c>
      <c r="AR2504" t="s">
        <v>9907</v>
      </c>
      <c r="AS2504" t="s">
        <v>9908</v>
      </c>
      <c r="AT2504" t="s">
        <v>42110</v>
      </c>
      <c r="AU2504">
        <v>2023</v>
      </c>
      <c r="AV2504">
        <v>83</v>
      </c>
      <c r="AW2504">
        <v>1</v>
      </c>
      <c r="AX2504" t="s">
        <v>74</v>
      </c>
      <c r="AY2504" t="s">
        <v>74</v>
      </c>
      <c r="AZ2504" t="s">
        <v>74</v>
      </c>
      <c r="BA2504" t="s">
        <v>74</v>
      </c>
      <c r="BB2504">
        <v>124</v>
      </c>
      <c r="BC2504">
        <v>143</v>
      </c>
      <c r="BD2504" t="s">
        <v>74</v>
      </c>
      <c r="BE2504" t="s">
        <v>42111</v>
      </c>
      <c r="BF2504" t="str">
        <f>HYPERLINK("http://dx.doi.org/10.1108/AFR-01-2022-0009","http://dx.doi.org/10.1108/AFR-01-2022-0009")</f>
        <v>http://dx.doi.org/10.1108/AFR-01-2022-0009</v>
      </c>
      <c r="BG2504" t="s">
        <v>74</v>
      </c>
      <c r="BH2504" t="s">
        <v>1802</v>
      </c>
      <c r="BI2504">
        <v>20</v>
      </c>
      <c r="BJ2504" t="s">
        <v>5151</v>
      </c>
      <c r="BK2504" t="s">
        <v>313</v>
      </c>
      <c r="BL2504" t="s">
        <v>5152</v>
      </c>
      <c r="BM2504" t="s">
        <v>42112</v>
      </c>
      <c r="BN2504" t="s">
        <v>74</v>
      </c>
      <c r="BO2504" t="s">
        <v>74</v>
      </c>
      <c r="BP2504" t="s">
        <v>74</v>
      </c>
      <c r="BQ2504" t="s">
        <v>74</v>
      </c>
      <c r="BR2504" t="s">
        <v>102</v>
      </c>
      <c r="BS2504" t="s">
        <v>42113</v>
      </c>
      <c r="BT2504" t="str">
        <f>HYPERLINK("https%3A%2F%2Fwww.webofscience.com%2Fwos%2Fwoscc%2Ffull-record%2FWOS:000813115800001","View Full Record in Web of Science")</f>
        <v>View Full Record in Web of Science</v>
      </c>
    </row>
    <row r="2505" spans="1:72" x14ac:dyDescent="0.25">
      <c r="A2505" t="s">
        <v>72</v>
      </c>
      <c r="B2505" t="s">
        <v>42114</v>
      </c>
      <c r="C2505" t="s">
        <v>74</v>
      </c>
      <c r="D2505" t="s">
        <v>74</v>
      </c>
      <c r="E2505" t="s">
        <v>74</v>
      </c>
      <c r="F2505" t="s">
        <v>42115</v>
      </c>
      <c r="G2505" t="s">
        <v>74</v>
      </c>
      <c r="H2505" t="s">
        <v>74</v>
      </c>
      <c r="I2505" t="s">
        <v>42116</v>
      </c>
      <c r="J2505" t="s">
        <v>29395</v>
      </c>
      <c r="K2505" t="s">
        <v>74</v>
      </c>
      <c r="L2505" t="s">
        <v>74</v>
      </c>
      <c r="M2505" t="s">
        <v>78</v>
      </c>
      <c r="N2505" t="s">
        <v>79</v>
      </c>
      <c r="O2505" t="s">
        <v>74</v>
      </c>
      <c r="P2505" t="s">
        <v>74</v>
      </c>
      <c r="Q2505" t="s">
        <v>74</v>
      </c>
      <c r="R2505" t="s">
        <v>74</v>
      </c>
      <c r="S2505" t="s">
        <v>74</v>
      </c>
      <c r="T2505" t="s">
        <v>42117</v>
      </c>
      <c r="U2505" t="s">
        <v>74</v>
      </c>
      <c r="V2505" t="s">
        <v>42118</v>
      </c>
      <c r="W2505" t="s">
        <v>42119</v>
      </c>
      <c r="X2505" t="s">
        <v>42120</v>
      </c>
      <c r="Y2505" t="s">
        <v>42121</v>
      </c>
      <c r="Z2505" t="s">
        <v>11554</v>
      </c>
      <c r="AA2505" t="s">
        <v>42122</v>
      </c>
      <c r="AB2505" t="s">
        <v>74</v>
      </c>
      <c r="AC2505" t="s">
        <v>74</v>
      </c>
      <c r="AD2505" t="s">
        <v>74</v>
      </c>
      <c r="AE2505" t="s">
        <v>74</v>
      </c>
      <c r="AF2505" t="s">
        <v>74</v>
      </c>
      <c r="AG2505">
        <v>35</v>
      </c>
      <c r="AH2505">
        <v>3</v>
      </c>
      <c r="AI2505">
        <v>3</v>
      </c>
      <c r="AJ2505">
        <v>3</v>
      </c>
      <c r="AK2505">
        <v>16</v>
      </c>
      <c r="AL2505" t="s">
        <v>29383</v>
      </c>
      <c r="AM2505" t="s">
        <v>29382</v>
      </c>
      <c r="AN2505" t="s">
        <v>29381</v>
      </c>
      <c r="AO2505" t="s">
        <v>29380</v>
      </c>
      <c r="AP2505" t="s">
        <v>74</v>
      </c>
      <c r="AQ2505" t="s">
        <v>74</v>
      </c>
      <c r="AR2505" t="s">
        <v>29379</v>
      </c>
      <c r="AS2505" t="s">
        <v>29378</v>
      </c>
      <c r="AT2505" t="s">
        <v>74</v>
      </c>
      <c r="AU2505">
        <v>2023</v>
      </c>
      <c r="AV2505">
        <v>7</v>
      </c>
      <c r="AW2505">
        <v>4</v>
      </c>
      <c r="AX2505" t="s">
        <v>74</v>
      </c>
      <c r="AY2505" t="s">
        <v>74</v>
      </c>
      <c r="AZ2505" t="s">
        <v>74</v>
      </c>
      <c r="BA2505" t="s">
        <v>74</v>
      </c>
      <c r="BB2505">
        <v>665</v>
      </c>
      <c r="BC2505">
        <v>696</v>
      </c>
      <c r="BD2505" t="s">
        <v>74</v>
      </c>
      <c r="BE2505" t="s">
        <v>42123</v>
      </c>
      <c r="BF2505" t="str">
        <f>HYPERLINK("http://dx.doi.org/10.3934/QFE.2023032","http://dx.doi.org/10.3934/QFE.2023032")</f>
        <v>http://dx.doi.org/10.3934/QFE.2023032</v>
      </c>
      <c r="BG2505" t="s">
        <v>74</v>
      </c>
      <c r="BH2505" t="s">
        <v>74</v>
      </c>
      <c r="BI2505">
        <v>32</v>
      </c>
      <c r="BJ2505" t="s">
        <v>268</v>
      </c>
      <c r="BK2505" t="s">
        <v>313</v>
      </c>
      <c r="BL2505" t="s">
        <v>100</v>
      </c>
      <c r="BM2505" t="s">
        <v>42124</v>
      </c>
      <c r="BN2505" t="s">
        <v>74</v>
      </c>
      <c r="BO2505" t="s">
        <v>212</v>
      </c>
      <c r="BP2505" t="s">
        <v>74</v>
      </c>
      <c r="BQ2505" t="s">
        <v>74</v>
      </c>
      <c r="BR2505" t="s">
        <v>102</v>
      </c>
      <c r="BS2505" t="s">
        <v>42125</v>
      </c>
      <c r="BT2505" t="str">
        <f>HYPERLINK("https%3A%2F%2Fwww.webofscience.com%2Fwos%2Fwoscc%2Ffull-record%2FWOS:001181557400001","View Full Record in Web of Science")</f>
        <v>View Full Record in Web of Science</v>
      </c>
    </row>
    <row r="2506" spans="1:72" x14ac:dyDescent="0.25">
      <c r="A2506" t="s">
        <v>72</v>
      </c>
      <c r="B2506" t="s">
        <v>42126</v>
      </c>
      <c r="C2506" t="s">
        <v>74</v>
      </c>
      <c r="D2506" t="s">
        <v>74</v>
      </c>
      <c r="E2506" t="s">
        <v>74</v>
      </c>
      <c r="F2506" t="s">
        <v>42127</v>
      </c>
      <c r="G2506" t="s">
        <v>74</v>
      </c>
      <c r="H2506" t="s">
        <v>74</v>
      </c>
      <c r="I2506" t="s">
        <v>42128</v>
      </c>
      <c r="J2506" t="s">
        <v>12172</v>
      </c>
      <c r="K2506" t="s">
        <v>74</v>
      </c>
      <c r="L2506" t="s">
        <v>74</v>
      </c>
      <c r="M2506" t="s">
        <v>78</v>
      </c>
      <c r="N2506" t="s">
        <v>79</v>
      </c>
      <c r="O2506" t="s">
        <v>74</v>
      </c>
      <c r="P2506" t="s">
        <v>74</v>
      </c>
      <c r="Q2506" t="s">
        <v>74</v>
      </c>
      <c r="R2506" t="s">
        <v>74</v>
      </c>
      <c r="S2506" t="s">
        <v>74</v>
      </c>
      <c r="T2506" t="s">
        <v>42129</v>
      </c>
      <c r="U2506" t="s">
        <v>7029</v>
      </c>
      <c r="V2506" t="s">
        <v>42130</v>
      </c>
      <c r="W2506" t="s">
        <v>42131</v>
      </c>
      <c r="X2506" t="s">
        <v>21132</v>
      </c>
      <c r="Y2506" t="s">
        <v>42132</v>
      </c>
      <c r="Z2506" t="s">
        <v>42133</v>
      </c>
      <c r="AA2506" t="s">
        <v>74</v>
      </c>
      <c r="AB2506" t="s">
        <v>42134</v>
      </c>
      <c r="AC2506" t="s">
        <v>74</v>
      </c>
      <c r="AD2506" t="s">
        <v>74</v>
      </c>
      <c r="AE2506" t="s">
        <v>74</v>
      </c>
      <c r="AF2506" t="s">
        <v>74</v>
      </c>
      <c r="AG2506">
        <v>60</v>
      </c>
      <c r="AH2506">
        <v>2</v>
      </c>
      <c r="AI2506">
        <v>3</v>
      </c>
      <c r="AJ2506">
        <v>3</v>
      </c>
      <c r="AK2506">
        <v>12</v>
      </c>
      <c r="AL2506" t="s">
        <v>757</v>
      </c>
      <c r="AM2506" t="s">
        <v>758</v>
      </c>
      <c r="AN2506" t="s">
        <v>759</v>
      </c>
      <c r="AO2506" t="s">
        <v>12179</v>
      </c>
      <c r="AP2506" t="s">
        <v>74</v>
      </c>
      <c r="AQ2506" t="s">
        <v>74</v>
      </c>
      <c r="AR2506" t="s">
        <v>12172</v>
      </c>
      <c r="AS2506" t="s">
        <v>12180</v>
      </c>
      <c r="AT2506" t="s">
        <v>743</v>
      </c>
      <c r="AU2506">
        <v>2024</v>
      </c>
      <c r="AV2506">
        <v>14</v>
      </c>
      <c r="AW2506">
        <v>2</v>
      </c>
      <c r="AX2506" t="s">
        <v>74</v>
      </c>
      <c r="AY2506" t="s">
        <v>74</v>
      </c>
      <c r="AZ2506" t="s">
        <v>74</v>
      </c>
      <c r="BA2506" t="s">
        <v>74</v>
      </c>
      <c r="BB2506" t="s">
        <v>74</v>
      </c>
      <c r="BC2506" t="s">
        <v>74</v>
      </c>
      <c r="BD2506">
        <v>2.1582440241244684E+16</v>
      </c>
      <c r="BE2506" t="s">
        <v>42135</v>
      </c>
      <c r="BF2506" t="str">
        <f>HYPERLINK("http://dx.doi.org/10.1177/21582440241244685","http://dx.doi.org/10.1177/21582440241244685")</f>
        <v>http://dx.doi.org/10.1177/21582440241244685</v>
      </c>
      <c r="BG2506" t="s">
        <v>74</v>
      </c>
      <c r="BH2506" t="s">
        <v>74</v>
      </c>
      <c r="BI2506">
        <v>14</v>
      </c>
      <c r="BJ2506" t="s">
        <v>364</v>
      </c>
      <c r="BK2506" t="s">
        <v>99</v>
      </c>
      <c r="BL2506" t="s">
        <v>365</v>
      </c>
      <c r="BM2506" t="s">
        <v>42136</v>
      </c>
      <c r="BN2506" t="s">
        <v>74</v>
      </c>
      <c r="BO2506" t="s">
        <v>212</v>
      </c>
      <c r="BP2506" t="s">
        <v>74</v>
      </c>
      <c r="BQ2506" t="s">
        <v>74</v>
      </c>
      <c r="BR2506" t="s">
        <v>102</v>
      </c>
      <c r="BS2506" t="s">
        <v>42137</v>
      </c>
      <c r="BT2506" t="str">
        <f>HYPERLINK("https%3A%2F%2Fwww.webofscience.com%2Fwos%2Fwoscc%2Ffull-record%2FWOS:001219564400001","View Full Record in Web of Science")</f>
        <v>View Full Record in Web of Science</v>
      </c>
    </row>
    <row r="2507" spans="1:72" x14ac:dyDescent="0.25">
      <c r="A2507" t="s">
        <v>132</v>
      </c>
      <c r="B2507" t="s">
        <v>42138</v>
      </c>
      <c r="C2507" t="s">
        <v>74</v>
      </c>
      <c r="D2507" t="s">
        <v>631</v>
      </c>
      <c r="E2507" t="s">
        <v>74</v>
      </c>
      <c r="F2507" t="s">
        <v>42139</v>
      </c>
      <c r="G2507" t="s">
        <v>74</v>
      </c>
      <c r="H2507" t="s">
        <v>74</v>
      </c>
      <c r="I2507" t="s">
        <v>42140</v>
      </c>
      <c r="J2507" t="s">
        <v>42141</v>
      </c>
      <c r="K2507" t="s">
        <v>74</v>
      </c>
      <c r="L2507" t="s">
        <v>74</v>
      </c>
      <c r="M2507" t="s">
        <v>78</v>
      </c>
      <c r="N2507" t="s">
        <v>138</v>
      </c>
      <c r="O2507" t="s">
        <v>42142</v>
      </c>
      <c r="P2507" t="s">
        <v>42143</v>
      </c>
      <c r="Q2507" t="s">
        <v>42144</v>
      </c>
      <c r="R2507" t="s">
        <v>638</v>
      </c>
      <c r="S2507" t="s">
        <v>74</v>
      </c>
      <c r="T2507" t="s">
        <v>42145</v>
      </c>
      <c r="U2507" t="s">
        <v>42146</v>
      </c>
      <c r="V2507" t="s">
        <v>42147</v>
      </c>
      <c r="W2507" t="s">
        <v>42148</v>
      </c>
      <c r="X2507" t="s">
        <v>548</v>
      </c>
      <c r="Y2507" t="s">
        <v>42149</v>
      </c>
      <c r="Z2507" t="s">
        <v>42150</v>
      </c>
      <c r="AA2507" t="s">
        <v>42151</v>
      </c>
      <c r="AB2507" t="s">
        <v>42152</v>
      </c>
      <c r="AC2507" t="s">
        <v>42153</v>
      </c>
      <c r="AD2507" t="s">
        <v>42154</v>
      </c>
      <c r="AE2507" t="s">
        <v>42155</v>
      </c>
      <c r="AF2507" t="s">
        <v>74</v>
      </c>
      <c r="AG2507">
        <v>25</v>
      </c>
      <c r="AH2507">
        <v>0</v>
      </c>
      <c r="AI2507">
        <v>0</v>
      </c>
      <c r="AJ2507">
        <v>0</v>
      </c>
      <c r="AK2507">
        <v>2</v>
      </c>
      <c r="AL2507" t="s">
        <v>645</v>
      </c>
      <c r="AM2507" t="s">
        <v>646</v>
      </c>
      <c r="AN2507" t="s">
        <v>647</v>
      </c>
      <c r="AO2507" t="s">
        <v>74</v>
      </c>
      <c r="AP2507" t="s">
        <v>74</v>
      </c>
      <c r="AQ2507" t="s">
        <v>42156</v>
      </c>
      <c r="AR2507" t="s">
        <v>74</v>
      </c>
      <c r="AS2507" t="s">
        <v>74</v>
      </c>
      <c r="AT2507" t="s">
        <v>74</v>
      </c>
      <c r="AU2507">
        <v>2019</v>
      </c>
      <c r="AV2507" t="s">
        <v>74</v>
      </c>
      <c r="AW2507" t="s">
        <v>74</v>
      </c>
      <c r="AX2507" t="s">
        <v>74</v>
      </c>
      <c r="AY2507" t="s">
        <v>74</v>
      </c>
      <c r="AZ2507" t="s">
        <v>74</v>
      </c>
      <c r="BA2507" t="s">
        <v>74</v>
      </c>
      <c r="BB2507">
        <v>5260</v>
      </c>
      <c r="BC2507">
        <v>5276</v>
      </c>
      <c r="BD2507" t="s">
        <v>74</v>
      </c>
      <c r="BE2507" t="s">
        <v>74</v>
      </c>
      <c r="BF2507" t="s">
        <v>74</v>
      </c>
      <c r="BG2507" t="s">
        <v>74</v>
      </c>
      <c r="BH2507" t="s">
        <v>74</v>
      </c>
      <c r="BI2507">
        <v>17</v>
      </c>
      <c r="BJ2507" t="s">
        <v>42157</v>
      </c>
      <c r="BK2507" t="s">
        <v>183</v>
      </c>
      <c r="BL2507" t="s">
        <v>42158</v>
      </c>
      <c r="BM2507" t="s">
        <v>42159</v>
      </c>
      <c r="BN2507" t="s">
        <v>74</v>
      </c>
      <c r="BO2507" t="s">
        <v>74</v>
      </c>
      <c r="BP2507" t="s">
        <v>74</v>
      </c>
      <c r="BQ2507" t="s">
        <v>74</v>
      </c>
      <c r="BR2507" t="s">
        <v>102</v>
      </c>
      <c r="BS2507" t="s">
        <v>42160</v>
      </c>
      <c r="BT2507" t="str">
        <f>HYPERLINK("https%3A%2F%2Fwww.webofscience.com%2Fwos%2Fwoscc%2Ffull-record%2FWOS:000510675600016","View Full Record in Web of Science")</f>
        <v>View Full Record in Web of Science</v>
      </c>
    </row>
    <row r="2508" spans="1:72" x14ac:dyDescent="0.25">
      <c r="A2508" t="s">
        <v>72</v>
      </c>
      <c r="B2508" t="s">
        <v>42161</v>
      </c>
      <c r="C2508" t="s">
        <v>74</v>
      </c>
      <c r="D2508" t="s">
        <v>74</v>
      </c>
      <c r="E2508" t="s">
        <v>74</v>
      </c>
      <c r="F2508" t="s">
        <v>42162</v>
      </c>
      <c r="G2508" t="s">
        <v>74</v>
      </c>
      <c r="H2508" t="s">
        <v>74</v>
      </c>
      <c r="I2508" t="s">
        <v>42163</v>
      </c>
      <c r="J2508" t="s">
        <v>1510</v>
      </c>
      <c r="K2508" t="s">
        <v>74</v>
      </c>
      <c r="L2508" t="s">
        <v>74</v>
      </c>
      <c r="M2508" t="s">
        <v>78</v>
      </c>
      <c r="N2508" t="s">
        <v>79</v>
      </c>
      <c r="O2508" t="s">
        <v>74</v>
      </c>
      <c r="P2508" t="s">
        <v>74</v>
      </c>
      <c r="Q2508" t="s">
        <v>74</v>
      </c>
      <c r="R2508" t="s">
        <v>74</v>
      </c>
      <c r="S2508" t="s">
        <v>74</v>
      </c>
      <c r="T2508" t="s">
        <v>42164</v>
      </c>
      <c r="U2508" t="s">
        <v>74</v>
      </c>
      <c r="V2508" t="s">
        <v>42165</v>
      </c>
      <c r="W2508" t="s">
        <v>42166</v>
      </c>
      <c r="X2508" t="s">
        <v>36876</v>
      </c>
      <c r="Y2508" t="s">
        <v>40476</v>
      </c>
      <c r="Z2508" t="s">
        <v>42167</v>
      </c>
      <c r="AA2508" t="s">
        <v>42168</v>
      </c>
      <c r="AB2508" t="s">
        <v>42169</v>
      </c>
      <c r="AC2508" t="s">
        <v>74</v>
      </c>
      <c r="AD2508" t="s">
        <v>74</v>
      </c>
      <c r="AE2508" t="s">
        <v>74</v>
      </c>
      <c r="AF2508" t="s">
        <v>74</v>
      </c>
      <c r="AG2508">
        <v>35</v>
      </c>
      <c r="AH2508">
        <v>5</v>
      </c>
      <c r="AI2508">
        <v>11</v>
      </c>
      <c r="AJ2508">
        <v>1</v>
      </c>
      <c r="AK2508">
        <v>9</v>
      </c>
      <c r="AL2508" t="s">
        <v>89</v>
      </c>
      <c r="AM2508" t="s">
        <v>90</v>
      </c>
      <c r="AN2508" t="s">
        <v>91</v>
      </c>
      <c r="AO2508" t="s">
        <v>1519</v>
      </c>
      <c r="AP2508" t="s">
        <v>1520</v>
      </c>
      <c r="AQ2508" t="s">
        <v>74</v>
      </c>
      <c r="AR2508" t="s">
        <v>1521</v>
      </c>
      <c r="AS2508" t="s">
        <v>1522</v>
      </c>
      <c r="AT2508" t="s">
        <v>37412</v>
      </c>
      <c r="AU2508">
        <v>2023</v>
      </c>
      <c r="AV2508">
        <v>50</v>
      </c>
      <c r="AW2508">
        <v>9</v>
      </c>
      <c r="AX2508" t="s">
        <v>74</v>
      </c>
      <c r="AY2508" t="s">
        <v>74</v>
      </c>
      <c r="AZ2508" t="s">
        <v>74</v>
      </c>
      <c r="BA2508" t="s">
        <v>74</v>
      </c>
      <c r="BB2508">
        <v>1341</v>
      </c>
      <c r="BC2508">
        <v>1354</v>
      </c>
      <c r="BD2508" t="s">
        <v>74</v>
      </c>
      <c r="BE2508" t="s">
        <v>42170</v>
      </c>
      <c r="BF2508" t="str">
        <f>HYPERLINK("http://dx.doi.org/10.1108/IJSE-12-2022-0776","http://dx.doi.org/10.1108/IJSE-12-2022-0776")</f>
        <v>http://dx.doi.org/10.1108/IJSE-12-2022-0776</v>
      </c>
      <c r="BG2508" t="s">
        <v>74</v>
      </c>
      <c r="BH2508" t="s">
        <v>3595</v>
      </c>
      <c r="BI2508">
        <v>14</v>
      </c>
      <c r="BJ2508" t="s">
        <v>291</v>
      </c>
      <c r="BK2508" t="s">
        <v>313</v>
      </c>
      <c r="BL2508" t="s">
        <v>100</v>
      </c>
      <c r="BM2508" t="s">
        <v>37414</v>
      </c>
      <c r="BN2508" t="s">
        <v>74</v>
      </c>
      <c r="BO2508" t="s">
        <v>74</v>
      </c>
      <c r="BP2508" t="s">
        <v>74</v>
      </c>
      <c r="BQ2508" t="s">
        <v>74</v>
      </c>
      <c r="BR2508" t="s">
        <v>102</v>
      </c>
      <c r="BS2508" t="s">
        <v>42171</v>
      </c>
      <c r="BT2508" t="str">
        <f>HYPERLINK("https%3A%2F%2Fwww.webofscience.com%2Fwos%2Fwoscc%2Ffull-record%2FWOS:000959215300001","View Full Record in Web of Science")</f>
        <v>View Full Record in Web of Science</v>
      </c>
    </row>
    <row r="2509" spans="1:72" x14ac:dyDescent="0.25">
      <c r="A2509" t="s">
        <v>72</v>
      </c>
      <c r="B2509" t="s">
        <v>42172</v>
      </c>
      <c r="C2509" t="s">
        <v>74</v>
      </c>
      <c r="D2509" t="s">
        <v>74</v>
      </c>
      <c r="E2509" t="s">
        <v>74</v>
      </c>
      <c r="F2509" t="s">
        <v>42173</v>
      </c>
      <c r="G2509" t="s">
        <v>74</v>
      </c>
      <c r="H2509" t="s">
        <v>74</v>
      </c>
      <c r="I2509" t="s">
        <v>42174</v>
      </c>
      <c r="J2509" t="s">
        <v>1309</v>
      </c>
      <c r="K2509" t="s">
        <v>74</v>
      </c>
      <c r="L2509" t="s">
        <v>74</v>
      </c>
      <c r="M2509" t="s">
        <v>78</v>
      </c>
      <c r="N2509" t="s">
        <v>79</v>
      </c>
      <c r="O2509" t="s">
        <v>74</v>
      </c>
      <c r="P2509" t="s">
        <v>74</v>
      </c>
      <c r="Q2509" t="s">
        <v>74</v>
      </c>
      <c r="R2509" t="s">
        <v>74</v>
      </c>
      <c r="S2509" t="s">
        <v>74</v>
      </c>
      <c r="T2509" t="s">
        <v>42175</v>
      </c>
      <c r="U2509" t="s">
        <v>42176</v>
      </c>
      <c r="V2509" t="s">
        <v>42177</v>
      </c>
      <c r="W2509" t="s">
        <v>42178</v>
      </c>
      <c r="X2509" t="s">
        <v>42179</v>
      </c>
      <c r="Y2509" t="s">
        <v>42180</v>
      </c>
      <c r="Z2509" t="s">
        <v>42181</v>
      </c>
      <c r="AA2509" t="s">
        <v>42182</v>
      </c>
      <c r="AB2509" t="s">
        <v>42183</v>
      </c>
      <c r="AC2509" t="s">
        <v>74</v>
      </c>
      <c r="AD2509" t="s">
        <v>74</v>
      </c>
      <c r="AE2509" t="s">
        <v>74</v>
      </c>
      <c r="AF2509" t="s">
        <v>74</v>
      </c>
      <c r="AG2509">
        <v>55</v>
      </c>
      <c r="AH2509">
        <v>65</v>
      </c>
      <c r="AI2509">
        <v>81</v>
      </c>
      <c r="AJ2509">
        <v>0</v>
      </c>
      <c r="AK2509">
        <v>30</v>
      </c>
      <c r="AL2509" t="s">
        <v>89</v>
      </c>
      <c r="AM2509" t="s">
        <v>1497</v>
      </c>
      <c r="AN2509" t="s">
        <v>1498</v>
      </c>
      <c r="AO2509" t="s">
        <v>1317</v>
      </c>
      <c r="AP2509" t="s">
        <v>74</v>
      </c>
      <c r="AQ2509" t="s">
        <v>74</v>
      </c>
      <c r="AR2509" t="s">
        <v>1319</v>
      </c>
      <c r="AS2509" t="s">
        <v>74</v>
      </c>
      <c r="AT2509" t="s">
        <v>42184</v>
      </c>
      <c r="AU2509">
        <v>2022</v>
      </c>
      <c r="AV2509">
        <v>49</v>
      </c>
      <c r="AW2509">
        <v>2</v>
      </c>
      <c r="AX2509" t="s">
        <v>74</v>
      </c>
      <c r="AY2509" t="s">
        <v>74</v>
      </c>
      <c r="AZ2509" t="s">
        <v>74</v>
      </c>
      <c r="BA2509" t="s">
        <v>74</v>
      </c>
      <c r="BB2509">
        <v>303</v>
      </c>
      <c r="BC2509">
        <v>314</v>
      </c>
      <c r="BD2509" t="s">
        <v>74</v>
      </c>
      <c r="BE2509" t="s">
        <v>42185</v>
      </c>
      <c r="BF2509" t="str">
        <f>HYPERLINK("http://dx.doi.org/10.1108/JES-07-2020-0317","http://dx.doi.org/10.1108/JES-07-2020-0317")</f>
        <v>http://dx.doi.org/10.1108/JES-07-2020-0317</v>
      </c>
      <c r="BG2509" t="s">
        <v>74</v>
      </c>
      <c r="BH2509" t="s">
        <v>10160</v>
      </c>
      <c r="BI2509">
        <v>12</v>
      </c>
      <c r="BJ2509" t="s">
        <v>291</v>
      </c>
      <c r="BK2509" t="s">
        <v>313</v>
      </c>
      <c r="BL2509" t="s">
        <v>100</v>
      </c>
      <c r="BM2509" t="s">
        <v>42186</v>
      </c>
      <c r="BN2509" t="s">
        <v>74</v>
      </c>
      <c r="BO2509" t="s">
        <v>74</v>
      </c>
      <c r="BP2509" t="s">
        <v>74</v>
      </c>
      <c r="BQ2509" t="s">
        <v>74</v>
      </c>
      <c r="BR2509" t="s">
        <v>102</v>
      </c>
      <c r="BS2509" t="s">
        <v>42187</v>
      </c>
      <c r="BT2509" t="str">
        <f>HYPERLINK("https%3A%2F%2Fwww.webofscience.com%2Fwos%2Fwoscc%2Ffull-record%2FWOS:000627908500001","View Full Record in Web of Science")</f>
        <v>View Full Record in Web of Science</v>
      </c>
    </row>
    <row r="2510" spans="1:72" x14ac:dyDescent="0.25">
      <c r="A2510" t="s">
        <v>72</v>
      </c>
      <c r="B2510" t="s">
        <v>42188</v>
      </c>
      <c r="C2510" t="s">
        <v>74</v>
      </c>
      <c r="D2510" t="s">
        <v>74</v>
      </c>
      <c r="E2510" t="s">
        <v>74</v>
      </c>
      <c r="F2510" t="s">
        <v>42189</v>
      </c>
      <c r="G2510" t="s">
        <v>74</v>
      </c>
      <c r="H2510" t="s">
        <v>74</v>
      </c>
      <c r="I2510" t="s">
        <v>42190</v>
      </c>
      <c r="J2510" t="s">
        <v>42191</v>
      </c>
      <c r="K2510" t="s">
        <v>74</v>
      </c>
      <c r="L2510" t="s">
        <v>74</v>
      </c>
      <c r="M2510" t="s">
        <v>78</v>
      </c>
      <c r="N2510" t="s">
        <v>372</v>
      </c>
      <c r="O2510" t="s">
        <v>74</v>
      </c>
      <c r="P2510" t="s">
        <v>74</v>
      </c>
      <c r="Q2510" t="s">
        <v>74</v>
      </c>
      <c r="R2510" t="s">
        <v>74</v>
      </c>
      <c r="S2510" t="s">
        <v>74</v>
      </c>
      <c r="T2510" t="s">
        <v>42192</v>
      </c>
      <c r="U2510" t="s">
        <v>42193</v>
      </c>
      <c r="V2510" t="s">
        <v>42194</v>
      </c>
      <c r="W2510" t="s">
        <v>42195</v>
      </c>
      <c r="X2510" t="s">
        <v>42196</v>
      </c>
      <c r="Y2510" t="s">
        <v>42197</v>
      </c>
      <c r="Z2510" t="s">
        <v>42198</v>
      </c>
      <c r="AA2510" t="s">
        <v>42199</v>
      </c>
      <c r="AB2510" t="s">
        <v>42200</v>
      </c>
      <c r="AC2510" t="s">
        <v>74</v>
      </c>
      <c r="AD2510" t="s">
        <v>74</v>
      </c>
      <c r="AE2510" t="s">
        <v>74</v>
      </c>
      <c r="AF2510" t="s">
        <v>74</v>
      </c>
      <c r="AG2510">
        <v>84</v>
      </c>
      <c r="AH2510">
        <v>3</v>
      </c>
      <c r="AI2510">
        <v>3</v>
      </c>
      <c r="AJ2510">
        <v>1</v>
      </c>
      <c r="AK2510">
        <v>5</v>
      </c>
      <c r="AL2510" t="s">
        <v>89</v>
      </c>
      <c r="AM2510" t="s">
        <v>90</v>
      </c>
      <c r="AN2510" t="s">
        <v>91</v>
      </c>
      <c r="AO2510" t="s">
        <v>42201</v>
      </c>
      <c r="AP2510" t="s">
        <v>42202</v>
      </c>
      <c r="AQ2510" t="s">
        <v>74</v>
      </c>
      <c r="AR2510" t="s">
        <v>42203</v>
      </c>
      <c r="AS2510" t="s">
        <v>42204</v>
      </c>
      <c r="AT2510" t="s">
        <v>42205</v>
      </c>
      <c r="AU2510">
        <v>2024</v>
      </c>
      <c r="AV2510" t="s">
        <v>74</v>
      </c>
      <c r="AW2510" t="s">
        <v>74</v>
      </c>
      <c r="AX2510" t="s">
        <v>74</v>
      </c>
      <c r="AY2510" t="s">
        <v>74</v>
      </c>
      <c r="AZ2510" t="s">
        <v>74</v>
      </c>
      <c r="BA2510" t="s">
        <v>74</v>
      </c>
      <c r="BB2510" t="s">
        <v>74</v>
      </c>
      <c r="BC2510" t="s">
        <v>74</v>
      </c>
      <c r="BD2510" t="s">
        <v>74</v>
      </c>
      <c r="BE2510" t="s">
        <v>42206</v>
      </c>
      <c r="BF2510" t="str">
        <f>HYPERLINK("http://dx.doi.org/10.1108/GKMC-11-2023-0452","http://dx.doi.org/10.1108/GKMC-11-2023-0452")</f>
        <v>http://dx.doi.org/10.1108/GKMC-11-2023-0452</v>
      </c>
      <c r="BG2510" t="s">
        <v>74</v>
      </c>
      <c r="BH2510" t="s">
        <v>6256</v>
      </c>
      <c r="BI2510">
        <v>24</v>
      </c>
      <c r="BJ2510" t="s">
        <v>2351</v>
      </c>
      <c r="BK2510" t="s">
        <v>313</v>
      </c>
      <c r="BL2510" t="s">
        <v>2351</v>
      </c>
      <c r="BM2510" t="s">
        <v>42207</v>
      </c>
      <c r="BN2510" t="s">
        <v>74</v>
      </c>
      <c r="BO2510" t="s">
        <v>74</v>
      </c>
      <c r="BP2510" t="s">
        <v>74</v>
      </c>
      <c r="BQ2510" t="s">
        <v>74</v>
      </c>
      <c r="BR2510" t="s">
        <v>102</v>
      </c>
      <c r="BS2510" t="s">
        <v>42208</v>
      </c>
      <c r="BT2510" t="str">
        <f>HYPERLINK("https%3A%2F%2Fwww.webofscience.com%2Fwos%2Fwoscc%2Ffull-record%2FWOS:001244978800001","View Full Record in Web of Science")</f>
        <v>View Full Record in Web of Science</v>
      </c>
    </row>
    <row r="2511" spans="1:72" x14ac:dyDescent="0.25">
      <c r="A2511" t="s">
        <v>72</v>
      </c>
      <c r="B2511" t="s">
        <v>42209</v>
      </c>
      <c r="C2511" t="s">
        <v>74</v>
      </c>
      <c r="D2511" t="s">
        <v>74</v>
      </c>
      <c r="E2511" t="s">
        <v>74</v>
      </c>
      <c r="F2511" t="s">
        <v>42210</v>
      </c>
      <c r="G2511" t="s">
        <v>74</v>
      </c>
      <c r="H2511" t="s">
        <v>74</v>
      </c>
      <c r="I2511" t="s">
        <v>42211</v>
      </c>
      <c r="J2511" t="s">
        <v>4618</v>
      </c>
      <c r="K2511" t="s">
        <v>74</v>
      </c>
      <c r="L2511" t="s">
        <v>74</v>
      </c>
      <c r="M2511" t="s">
        <v>78</v>
      </c>
      <c r="N2511" t="s">
        <v>79</v>
      </c>
      <c r="O2511" t="s">
        <v>74</v>
      </c>
      <c r="P2511" t="s">
        <v>74</v>
      </c>
      <c r="Q2511" t="s">
        <v>74</v>
      </c>
      <c r="R2511" t="s">
        <v>74</v>
      </c>
      <c r="S2511" t="s">
        <v>74</v>
      </c>
      <c r="T2511" t="s">
        <v>42212</v>
      </c>
      <c r="U2511" t="s">
        <v>74</v>
      </c>
      <c r="V2511" t="s">
        <v>42213</v>
      </c>
      <c r="W2511" t="s">
        <v>42214</v>
      </c>
      <c r="X2511" t="s">
        <v>33085</v>
      </c>
      <c r="Y2511" t="s">
        <v>42215</v>
      </c>
      <c r="Z2511" t="s">
        <v>42216</v>
      </c>
      <c r="AA2511" t="s">
        <v>74</v>
      </c>
      <c r="AB2511" t="s">
        <v>74</v>
      </c>
      <c r="AC2511" t="s">
        <v>74</v>
      </c>
      <c r="AD2511" t="s">
        <v>74</v>
      </c>
      <c r="AE2511" t="s">
        <v>74</v>
      </c>
      <c r="AF2511" t="s">
        <v>74</v>
      </c>
      <c r="AG2511">
        <v>33</v>
      </c>
      <c r="AH2511">
        <v>21</v>
      </c>
      <c r="AI2511">
        <v>26</v>
      </c>
      <c r="AJ2511">
        <v>0</v>
      </c>
      <c r="AK2511">
        <v>19</v>
      </c>
      <c r="AL2511" t="s">
        <v>89</v>
      </c>
      <c r="AM2511" t="s">
        <v>1497</v>
      </c>
      <c r="AN2511" t="s">
        <v>1498</v>
      </c>
      <c r="AO2511" t="s">
        <v>4627</v>
      </c>
      <c r="AP2511" t="s">
        <v>4628</v>
      </c>
      <c r="AQ2511" t="s">
        <v>74</v>
      </c>
      <c r="AR2511" t="s">
        <v>4629</v>
      </c>
      <c r="AS2511" t="s">
        <v>4630</v>
      </c>
      <c r="AT2511" t="s">
        <v>74</v>
      </c>
      <c r="AU2511">
        <v>2019</v>
      </c>
      <c r="AV2511">
        <v>12</v>
      </c>
      <c r="AW2511">
        <v>1</v>
      </c>
      <c r="AX2511" t="s">
        <v>74</v>
      </c>
      <c r="AY2511" t="s">
        <v>74</v>
      </c>
      <c r="AZ2511" t="s">
        <v>74</v>
      </c>
      <c r="BA2511" t="s">
        <v>74</v>
      </c>
      <c r="BB2511">
        <v>115</v>
      </c>
      <c r="BC2511">
        <v>129</v>
      </c>
      <c r="BD2511" t="s">
        <v>74</v>
      </c>
      <c r="BE2511" t="s">
        <v>42217</v>
      </c>
      <c r="BF2511" t="str">
        <f>HYPERLINK("http://dx.doi.org/10.1108/IMEFM-01-2017-0021","http://dx.doi.org/10.1108/IMEFM-01-2017-0021")</f>
        <v>http://dx.doi.org/10.1108/IMEFM-01-2017-0021</v>
      </c>
      <c r="BG2511" t="s">
        <v>74</v>
      </c>
      <c r="BH2511" t="s">
        <v>74</v>
      </c>
      <c r="BI2511">
        <v>15</v>
      </c>
      <c r="BJ2511" t="s">
        <v>4632</v>
      </c>
      <c r="BK2511" t="s">
        <v>99</v>
      </c>
      <c r="BL2511" t="s">
        <v>100</v>
      </c>
      <c r="BM2511" t="s">
        <v>42218</v>
      </c>
      <c r="BN2511" t="s">
        <v>74</v>
      </c>
      <c r="BO2511" t="s">
        <v>74</v>
      </c>
      <c r="BP2511" t="s">
        <v>74</v>
      </c>
      <c r="BQ2511" t="s">
        <v>74</v>
      </c>
      <c r="BR2511" t="s">
        <v>102</v>
      </c>
      <c r="BS2511" t="s">
        <v>42219</v>
      </c>
      <c r="BT2511" t="str">
        <f>HYPERLINK("https%3A%2F%2Fwww.webofscience.com%2Fwos%2Fwoscc%2Ffull-record%2FWOS:000500939200006","View Full Record in Web of Science")</f>
        <v>View Full Record in Web of Science</v>
      </c>
    </row>
    <row r="2512" spans="1:72" x14ac:dyDescent="0.25">
      <c r="A2512" t="s">
        <v>72</v>
      </c>
      <c r="B2512" t="s">
        <v>42220</v>
      </c>
      <c r="C2512" t="s">
        <v>74</v>
      </c>
      <c r="D2512" t="s">
        <v>74</v>
      </c>
      <c r="E2512" t="s">
        <v>74</v>
      </c>
      <c r="F2512" t="s">
        <v>42221</v>
      </c>
      <c r="G2512" t="s">
        <v>74</v>
      </c>
      <c r="H2512" t="s">
        <v>74</v>
      </c>
      <c r="I2512" t="s">
        <v>42222</v>
      </c>
      <c r="J2512" t="s">
        <v>1586</v>
      </c>
      <c r="K2512" t="s">
        <v>74</v>
      </c>
      <c r="L2512" t="s">
        <v>74</v>
      </c>
      <c r="M2512" t="s">
        <v>78</v>
      </c>
      <c r="N2512" t="s">
        <v>79</v>
      </c>
      <c r="O2512" t="s">
        <v>74</v>
      </c>
      <c r="P2512" t="s">
        <v>74</v>
      </c>
      <c r="Q2512" t="s">
        <v>74</v>
      </c>
      <c r="R2512" t="s">
        <v>74</v>
      </c>
      <c r="S2512" t="s">
        <v>74</v>
      </c>
      <c r="T2512" t="s">
        <v>42223</v>
      </c>
      <c r="U2512" t="s">
        <v>42224</v>
      </c>
      <c r="V2512" t="s">
        <v>42225</v>
      </c>
      <c r="W2512" t="s">
        <v>42226</v>
      </c>
      <c r="X2512" t="s">
        <v>42227</v>
      </c>
      <c r="Y2512" t="s">
        <v>42228</v>
      </c>
      <c r="Z2512" t="s">
        <v>42229</v>
      </c>
      <c r="AA2512" t="s">
        <v>42230</v>
      </c>
      <c r="AB2512" t="s">
        <v>74</v>
      </c>
      <c r="AC2512" t="s">
        <v>74</v>
      </c>
      <c r="AD2512" t="s">
        <v>74</v>
      </c>
      <c r="AE2512" t="s">
        <v>74</v>
      </c>
      <c r="AF2512" t="s">
        <v>74</v>
      </c>
      <c r="AG2512">
        <v>38</v>
      </c>
      <c r="AH2512">
        <v>3</v>
      </c>
      <c r="AI2512">
        <v>3</v>
      </c>
      <c r="AJ2512">
        <v>0</v>
      </c>
      <c r="AK2512">
        <v>7</v>
      </c>
      <c r="AL2512" t="s">
        <v>35182</v>
      </c>
      <c r="AM2512" t="s">
        <v>9793</v>
      </c>
      <c r="AN2512" t="s">
        <v>35183</v>
      </c>
      <c r="AO2512" t="s">
        <v>1596</v>
      </c>
      <c r="AP2512" t="s">
        <v>1597</v>
      </c>
      <c r="AQ2512" t="s">
        <v>74</v>
      </c>
      <c r="AR2512" t="s">
        <v>1598</v>
      </c>
      <c r="AS2512" t="s">
        <v>1599</v>
      </c>
      <c r="AT2512" t="s">
        <v>605</v>
      </c>
      <c r="AU2512">
        <v>2023</v>
      </c>
      <c r="AV2512">
        <v>15</v>
      </c>
      <c r="AW2512">
        <v>1</v>
      </c>
      <c r="AX2512" t="s">
        <v>74</v>
      </c>
      <c r="AY2512" t="s">
        <v>74</v>
      </c>
      <c r="AZ2512" t="s">
        <v>74</v>
      </c>
      <c r="BA2512" t="s">
        <v>74</v>
      </c>
      <c r="BB2512">
        <v>22</v>
      </c>
      <c r="BC2512">
        <v>35</v>
      </c>
      <c r="BD2512" t="s">
        <v>74</v>
      </c>
      <c r="BE2512" t="s">
        <v>42231</v>
      </c>
      <c r="BF2512" t="str">
        <f>HYPERLINK("http://dx.doi.org/10.55188/ijif.v15i1.483","http://dx.doi.org/10.55188/ijif.v15i1.483")</f>
        <v>http://dx.doi.org/10.55188/ijif.v15i1.483</v>
      </c>
      <c r="BG2512" t="s">
        <v>74</v>
      </c>
      <c r="BH2512" t="s">
        <v>74</v>
      </c>
      <c r="BI2512">
        <v>14</v>
      </c>
      <c r="BJ2512" t="s">
        <v>268</v>
      </c>
      <c r="BK2512" t="s">
        <v>313</v>
      </c>
      <c r="BL2512" t="s">
        <v>100</v>
      </c>
      <c r="BM2512" t="s">
        <v>42232</v>
      </c>
      <c r="BN2512" t="s">
        <v>74</v>
      </c>
      <c r="BO2512" t="s">
        <v>212</v>
      </c>
      <c r="BP2512" t="s">
        <v>74</v>
      </c>
      <c r="BQ2512" t="s">
        <v>74</v>
      </c>
      <c r="BR2512" t="s">
        <v>102</v>
      </c>
      <c r="BS2512" t="s">
        <v>42233</v>
      </c>
      <c r="BT2512" t="str">
        <f>HYPERLINK("https%3A%2F%2Fwww.webofscience.com%2Fwos%2Fwoscc%2Ffull-record%2FWOS:001157663700003","View Full Record in Web of Science")</f>
        <v>View Full Record in Web of Science</v>
      </c>
    </row>
    <row r="2513" spans="1:72" x14ac:dyDescent="0.25">
      <c r="A2513" t="s">
        <v>72</v>
      </c>
      <c r="B2513" t="s">
        <v>42234</v>
      </c>
      <c r="C2513" t="s">
        <v>74</v>
      </c>
      <c r="D2513" t="s">
        <v>74</v>
      </c>
      <c r="E2513" t="s">
        <v>74</v>
      </c>
      <c r="F2513" t="s">
        <v>42235</v>
      </c>
      <c r="G2513" t="s">
        <v>74</v>
      </c>
      <c r="H2513" t="s">
        <v>74</v>
      </c>
      <c r="I2513" t="s">
        <v>42236</v>
      </c>
      <c r="J2513" t="s">
        <v>28279</v>
      </c>
      <c r="K2513" t="s">
        <v>74</v>
      </c>
      <c r="L2513" t="s">
        <v>74</v>
      </c>
      <c r="M2513" t="s">
        <v>78</v>
      </c>
      <c r="N2513" t="s">
        <v>372</v>
      </c>
      <c r="O2513" t="s">
        <v>74</v>
      </c>
      <c r="P2513" t="s">
        <v>74</v>
      </c>
      <c r="Q2513" t="s">
        <v>74</v>
      </c>
      <c r="R2513" t="s">
        <v>74</v>
      </c>
      <c r="S2513" t="s">
        <v>74</v>
      </c>
      <c r="T2513" t="s">
        <v>42237</v>
      </c>
      <c r="U2513" t="s">
        <v>42238</v>
      </c>
      <c r="V2513" t="s">
        <v>42239</v>
      </c>
      <c r="W2513" t="s">
        <v>42240</v>
      </c>
      <c r="X2513" t="s">
        <v>34698</v>
      </c>
      <c r="Y2513" t="s">
        <v>42241</v>
      </c>
      <c r="Z2513" t="s">
        <v>42242</v>
      </c>
      <c r="AA2513" t="s">
        <v>42243</v>
      </c>
      <c r="AB2513" t="s">
        <v>42244</v>
      </c>
      <c r="AC2513" t="s">
        <v>42245</v>
      </c>
      <c r="AD2513" t="s">
        <v>34698</v>
      </c>
      <c r="AE2513" t="s">
        <v>42246</v>
      </c>
      <c r="AF2513" t="s">
        <v>74</v>
      </c>
      <c r="AG2513">
        <v>111</v>
      </c>
      <c r="AH2513">
        <v>0</v>
      </c>
      <c r="AI2513">
        <v>0</v>
      </c>
      <c r="AJ2513">
        <v>5</v>
      </c>
      <c r="AK2513">
        <v>15</v>
      </c>
      <c r="AL2513" t="s">
        <v>89</v>
      </c>
      <c r="AM2513" t="s">
        <v>90</v>
      </c>
      <c r="AN2513" t="s">
        <v>91</v>
      </c>
      <c r="AO2513" t="s">
        <v>28269</v>
      </c>
      <c r="AP2513" t="s">
        <v>28268</v>
      </c>
      <c r="AQ2513" t="s">
        <v>74</v>
      </c>
      <c r="AR2513" t="s">
        <v>28267</v>
      </c>
      <c r="AS2513" t="s">
        <v>28266</v>
      </c>
      <c r="AT2513" t="s">
        <v>42247</v>
      </c>
      <c r="AU2513">
        <v>2024</v>
      </c>
      <c r="AV2513" t="s">
        <v>74</v>
      </c>
      <c r="AW2513" t="s">
        <v>74</v>
      </c>
      <c r="AX2513" t="s">
        <v>74</v>
      </c>
      <c r="AY2513" t="s">
        <v>74</v>
      </c>
      <c r="AZ2513" t="s">
        <v>74</v>
      </c>
      <c r="BA2513" t="s">
        <v>74</v>
      </c>
      <c r="BB2513" t="s">
        <v>74</v>
      </c>
      <c r="BC2513" t="s">
        <v>74</v>
      </c>
      <c r="BD2513" t="s">
        <v>74</v>
      </c>
      <c r="BE2513" t="s">
        <v>42248</v>
      </c>
      <c r="BF2513" t="str">
        <f>HYPERLINK("http://dx.doi.org/10.1108/JSBED-03-2024-0172","http://dx.doi.org/10.1108/JSBED-03-2024-0172")</f>
        <v>http://dx.doi.org/10.1108/JSBED-03-2024-0172</v>
      </c>
      <c r="BG2513" t="s">
        <v>74</v>
      </c>
      <c r="BH2513" t="s">
        <v>267</v>
      </c>
      <c r="BI2513">
        <v>23</v>
      </c>
      <c r="BJ2513" t="s">
        <v>418</v>
      </c>
      <c r="BK2513" t="s">
        <v>313</v>
      </c>
      <c r="BL2513" t="s">
        <v>100</v>
      </c>
      <c r="BM2513" t="s">
        <v>42249</v>
      </c>
      <c r="BN2513" t="s">
        <v>74</v>
      </c>
      <c r="BO2513" t="s">
        <v>74</v>
      </c>
      <c r="BP2513" t="s">
        <v>74</v>
      </c>
      <c r="BQ2513" t="s">
        <v>74</v>
      </c>
      <c r="BR2513" t="s">
        <v>102</v>
      </c>
      <c r="BS2513" t="s">
        <v>42250</v>
      </c>
      <c r="BT2513" t="str">
        <f>HYPERLINK("https%3A%2F%2Fwww.webofscience.com%2Fwos%2Fwoscc%2Ffull-record%2FWOS:001351649300001","View Full Record in Web of Science")</f>
        <v>View Full Record in Web of Science</v>
      </c>
    </row>
    <row r="2514" spans="1:72" x14ac:dyDescent="0.25">
      <c r="A2514" t="s">
        <v>72</v>
      </c>
      <c r="B2514" t="s">
        <v>42251</v>
      </c>
      <c r="C2514" t="s">
        <v>74</v>
      </c>
      <c r="D2514" t="s">
        <v>74</v>
      </c>
      <c r="E2514" t="s">
        <v>74</v>
      </c>
      <c r="F2514" t="s">
        <v>42252</v>
      </c>
      <c r="G2514" t="s">
        <v>74</v>
      </c>
      <c r="H2514" t="s">
        <v>74</v>
      </c>
      <c r="I2514" t="s">
        <v>42253</v>
      </c>
      <c r="J2514" t="s">
        <v>30643</v>
      </c>
      <c r="K2514" t="s">
        <v>74</v>
      </c>
      <c r="L2514" t="s">
        <v>74</v>
      </c>
      <c r="M2514" t="s">
        <v>78</v>
      </c>
      <c r="N2514" t="s">
        <v>79</v>
      </c>
      <c r="O2514" t="s">
        <v>74</v>
      </c>
      <c r="P2514" t="s">
        <v>74</v>
      </c>
      <c r="Q2514" t="s">
        <v>74</v>
      </c>
      <c r="R2514" t="s">
        <v>74</v>
      </c>
      <c r="S2514" t="s">
        <v>74</v>
      </c>
      <c r="T2514" t="s">
        <v>42254</v>
      </c>
      <c r="U2514" t="s">
        <v>74</v>
      </c>
      <c r="V2514" t="s">
        <v>42255</v>
      </c>
      <c r="W2514" t="s">
        <v>42256</v>
      </c>
      <c r="X2514" t="s">
        <v>42257</v>
      </c>
      <c r="Y2514" t="s">
        <v>42258</v>
      </c>
      <c r="Z2514" t="s">
        <v>42259</v>
      </c>
      <c r="AA2514" t="s">
        <v>42260</v>
      </c>
      <c r="AB2514" t="s">
        <v>42261</v>
      </c>
      <c r="AC2514" t="s">
        <v>74</v>
      </c>
      <c r="AD2514" t="s">
        <v>74</v>
      </c>
      <c r="AE2514" t="s">
        <v>74</v>
      </c>
      <c r="AF2514" t="s">
        <v>74</v>
      </c>
      <c r="AG2514">
        <v>25</v>
      </c>
      <c r="AH2514">
        <v>5</v>
      </c>
      <c r="AI2514">
        <v>5</v>
      </c>
      <c r="AJ2514">
        <v>0</v>
      </c>
      <c r="AK2514">
        <v>9</v>
      </c>
      <c r="AL2514" t="s">
        <v>994</v>
      </c>
      <c r="AM2514" t="s">
        <v>995</v>
      </c>
      <c r="AN2514" t="s">
        <v>2061</v>
      </c>
      <c r="AO2514" t="s">
        <v>30633</v>
      </c>
      <c r="AP2514" t="s">
        <v>30632</v>
      </c>
      <c r="AQ2514" t="s">
        <v>74</v>
      </c>
      <c r="AR2514" t="s">
        <v>30631</v>
      </c>
      <c r="AS2514" t="s">
        <v>30630</v>
      </c>
      <c r="AT2514" t="s">
        <v>698</v>
      </c>
      <c r="AU2514">
        <v>2021</v>
      </c>
      <c r="AV2514">
        <v>30</v>
      </c>
      <c r="AW2514">
        <v>3</v>
      </c>
      <c r="AX2514" t="s">
        <v>74</v>
      </c>
      <c r="AY2514" t="s">
        <v>74</v>
      </c>
      <c r="AZ2514" t="s">
        <v>74</v>
      </c>
      <c r="BA2514" t="s">
        <v>74</v>
      </c>
      <c r="BB2514">
        <v>370</v>
      </c>
      <c r="BC2514">
        <v>385</v>
      </c>
      <c r="BD2514">
        <v>1171968211044573</v>
      </c>
      <c r="BE2514" t="s">
        <v>42262</v>
      </c>
      <c r="BF2514" t="str">
        <f>HYPERLINK("http://dx.doi.org/10.1177/01171968211044573","http://dx.doi.org/10.1177/01171968211044573")</f>
        <v>http://dx.doi.org/10.1177/01171968211044573</v>
      </c>
      <c r="BG2514" t="s">
        <v>74</v>
      </c>
      <c r="BH2514" t="s">
        <v>10889</v>
      </c>
      <c r="BI2514">
        <v>16</v>
      </c>
      <c r="BJ2514" t="s">
        <v>3635</v>
      </c>
      <c r="BK2514" t="s">
        <v>99</v>
      </c>
      <c r="BL2514" t="s">
        <v>3635</v>
      </c>
      <c r="BM2514" t="s">
        <v>42263</v>
      </c>
      <c r="BN2514" t="s">
        <v>74</v>
      </c>
      <c r="BO2514" t="s">
        <v>74</v>
      </c>
      <c r="BP2514" t="s">
        <v>74</v>
      </c>
      <c r="BQ2514" t="s">
        <v>74</v>
      </c>
      <c r="BR2514" t="s">
        <v>102</v>
      </c>
      <c r="BS2514" t="s">
        <v>42264</v>
      </c>
      <c r="BT2514" t="str">
        <f>HYPERLINK("https%3A%2F%2Fwww.webofscience.com%2Fwos%2Fwoscc%2Ffull-record%2FWOS:000699947900001","View Full Record in Web of Science")</f>
        <v>View Full Record in Web of Science</v>
      </c>
    </row>
    <row r="2515" spans="1:72" x14ac:dyDescent="0.25">
      <c r="A2515" t="s">
        <v>72</v>
      </c>
      <c r="B2515" t="s">
        <v>42265</v>
      </c>
      <c r="C2515" t="s">
        <v>74</v>
      </c>
      <c r="D2515" t="s">
        <v>74</v>
      </c>
      <c r="E2515" t="s">
        <v>74</v>
      </c>
      <c r="F2515" t="s">
        <v>42266</v>
      </c>
      <c r="G2515" t="s">
        <v>74</v>
      </c>
      <c r="H2515" t="s">
        <v>74</v>
      </c>
      <c r="I2515" t="s">
        <v>42267</v>
      </c>
      <c r="J2515" t="s">
        <v>9372</v>
      </c>
      <c r="K2515" t="s">
        <v>74</v>
      </c>
      <c r="L2515" t="s">
        <v>74</v>
      </c>
      <c r="M2515" t="s">
        <v>78</v>
      </c>
      <c r="N2515" t="s">
        <v>79</v>
      </c>
      <c r="O2515" t="s">
        <v>74</v>
      </c>
      <c r="P2515" t="s">
        <v>74</v>
      </c>
      <c r="Q2515" t="s">
        <v>74</v>
      </c>
      <c r="R2515" t="s">
        <v>74</v>
      </c>
      <c r="S2515" t="s">
        <v>74</v>
      </c>
      <c r="T2515" t="s">
        <v>42268</v>
      </c>
      <c r="U2515" t="s">
        <v>42269</v>
      </c>
      <c r="V2515" t="s">
        <v>42270</v>
      </c>
      <c r="W2515" t="s">
        <v>42271</v>
      </c>
      <c r="X2515" t="s">
        <v>42272</v>
      </c>
      <c r="Y2515" t="s">
        <v>42273</v>
      </c>
      <c r="Z2515" t="s">
        <v>42274</v>
      </c>
      <c r="AA2515" t="s">
        <v>42275</v>
      </c>
      <c r="AB2515" t="s">
        <v>42276</v>
      </c>
      <c r="AC2515" t="s">
        <v>42277</v>
      </c>
      <c r="AD2515" t="s">
        <v>2774</v>
      </c>
      <c r="AE2515" t="s">
        <v>42278</v>
      </c>
      <c r="AF2515" t="s">
        <v>74</v>
      </c>
      <c r="AG2515">
        <v>54</v>
      </c>
      <c r="AH2515">
        <v>39</v>
      </c>
      <c r="AI2515">
        <v>52</v>
      </c>
      <c r="AJ2515">
        <v>38</v>
      </c>
      <c r="AK2515">
        <v>106</v>
      </c>
      <c r="AL2515" t="s">
        <v>201</v>
      </c>
      <c r="AM2515" t="s">
        <v>202</v>
      </c>
      <c r="AN2515" t="s">
        <v>203</v>
      </c>
      <c r="AO2515" t="s">
        <v>9384</v>
      </c>
      <c r="AP2515" t="s">
        <v>9385</v>
      </c>
      <c r="AQ2515" t="s">
        <v>74</v>
      </c>
      <c r="AR2515" t="s">
        <v>9386</v>
      </c>
      <c r="AS2515" t="s">
        <v>9387</v>
      </c>
      <c r="AT2515" t="s">
        <v>743</v>
      </c>
      <c r="AU2515">
        <v>2024</v>
      </c>
      <c r="AV2515">
        <v>69</v>
      </c>
      <c r="AW2515" t="s">
        <v>74</v>
      </c>
      <c r="AX2515" t="s">
        <v>74</v>
      </c>
      <c r="AY2515" t="s">
        <v>74</v>
      </c>
      <c r="AZ2515" t="s">
        <v>74</v>
      </c>
      <c r="BA2515" t="s">
        <v>74</v>
      </c>
      <c r="BB2515" t="s">
        <v>74</v>
      </c>
      <c r="BC2515" t="s">
        <v>74</v>
      </c>
      <c r="BD2515">
        <v>102218</v>
      </c>
      <c r="BE2515" t="s">
        <v>42279</v>
      </c>
      <c r="BF2515" t="str">
        <f>HYPERLINK("http://dx.doi.org/10.1016/j.ribaf.2024.102218","http://dx.doi.org/10.1016/j.ribaf.2024.102218")</f>
        <v>http://dx.doi.org/10.1016/j.ribaf.2024.102218</v>
      </c>
      <c r="BG2515" t="s">
        <v>74</v>
      </c>
      <c r="BH2515" t="s">
        <v>239</v>
      </c>
      <c r="BI2515">
        <v>17</v>
      </c>
      <c r="BJ2515" t="s">
        <v>268</v>
      </c>
      <c r="BK2515" t="s">
        <v>99</v>
      </c>
      <c r="BL2515" t="s">
        <v>100</v>
      </c>
      <c r="BM2515" t="s">
        <v>42280</v>
      </c>
      <c r="BN2515" t="s">
        <v>74</v>
      </c>
      <c r="BO2515" t="s">
        <v>270</v>
      </c>
      <c r="BP2515" t="s">
        <v>74</v>
      </c>
      <c r="BQ2515" t="s">
        <v>74</v>
      </c>
      <c r="BR2515" t="s">
        <v>102</v>
      </c>
      <c r="BS2515" t="s">
        <v>42281</v>
      </c>
      <c r="BT2515" t="str">
        <f>HYPERLINK("https%3A%2F%2Fwww.webofscience.com%2Fwos%2Fwoscc%2Ffull-record%2FWOS:001172190100001","View Full Record in Web of Science")</f>
        <v>View Full Record in Web of Science</v>
      </c>
    </row>
    <row r="2516" spans="1:72" x14ac:dyDescent="0.25">
      <c r="A2516" t="s">
        <v>72</v>
      </c>
      <c r="B2516" t="s">
        <v>42282</v>
      </c>
      <c r="C2516" t="s">
        <v>74</v>
      </c>
      <c r="D2516" t="s">
        <v>74</v>
      </c>
      <c r="E2516" t="s">
        <v>74</v>
      </c>
      <c r="F2516" t="s">
        <v>42283</v>
      </c>
      <c r="G2516" t="s">
        <v>74</v>
      </c>
      <c r="H2516" t="s">
        <v>74</v>
      </c>
      <c r="I2516" t="s">
        <v>42284</v>
      </c>
      <c r="J2516" t="s">
        <v>8546</v>
      </c>
      <c r="K2516" t="s">
        <v>74</v>
      </c>
      <c r="L2516" t="s">
        <v>74</v>
      </c>
      <c r="M2516" t="s">
        <v>78</v>
      </c>
      <c r="N2516" t="s">
        <v>79</v>
      </c>
      <c r="O2516" t="s">
        <v>74</v>
      </c>
      <c r="P2516" t="s">
        <v>74</v>
      </c>
      <c r="Q2516" t="s">
        <v>74</v>
      </c>
      <c r="R2516" t="s">
        <v>74</v>
      </c>
      <c r="S2516" t="s">
        <v>74</v>
      </c>
      <c r="T2516" t="s">
        <v>42285</v>
      </c>
      <c r="U2516" t="s">
        <v>42286</v>
      </c>
      <c r="V2516" t="s">
        <v>42287</v>
      </c>
      <c r="W2516" t="s">
        <v>42288</v>
      </c>
      <c r="X2516" t="s">
        <v>4147</v>
      </c>
      <c r="Y2516" t="s">
        <v>42289</v>
      </c>
      <c r="Z2516" t="s">
        <v>42290</v>
      </c>
      <c r="AA2516" t="s">
        <v>74</v>
      </c>
      <c r="AB2516" t="s">
        <v>42291</v>
      </c>
      <c r="AC2516" t="s">
        <v>42292</v>
      </c>
      <c r="AD2516" t="s">
        <v>42292</v>
      </c>
      <c r="AE2516" t="s">
        <v>42293</v>
      </c>
      <c r="AF2516" t="s">
        <v>74</v>
      </c>
      <c r="AG2516">
        <v>71</v>
      </c>
      <c r="AH2516">
        <v>2</v>
      </c>
      <c r="AI2516">
        <v>4</v>
      </c>
      <c r="AJ2516">
        <v>2</v>
      </c>
      <c r="AK2516">
        <v>31</v>
      </c>
      <c r="AL2516" t="s">
        <v>332</v>
      </c>
      <c r="AM2516" t="s">
        <v>333</v>
      </c>
      <c r="AN2516" t="s">
        <v>334</v>
      </c>
      <c r="AO2516" t="s">
        <v>8553</v>
      </c>
      <c r="AP2516" t="s">
        <v>8554</v>
      </c>
      <c r="AQ2516" t="s">
        <v>74</v>
      </c>
      <c r="AR2516" t="s">
        <v>8555</v>
      </c>
      <c r="AS2516" t="s">
        <v>8556</v>
      </c>
      <c r="AT2516" t="s">
        <v>1693</v>
      </c>
      <c r="AU2516">
        <v>2021</v>
      </c>
      <c r="AV2516">
        <v>11</v>
      </c>
      <c r="AW2516">
        <v>2</v>
      </c>
      <c r="AX2516" t="s">
        <v>74</v>
      </c>
      <c r="AY2516" t="s">
        <v>74</v>
      </c>
      <c r="AZ2516" t="s">
        <v>74</v>
      </c>
      <c r="BA2516" t="s">
        <v>74</v>
      </c>
      <c r="BB2516">
        <v>163</v>
      </c>
      <c r="BC2516">
        <v>186</v>
      </c>
      <c r="BD2516" t="s">
        <v>74</v>
      </c>
      <c r="BE2516" t="s">
        <v>42294</v>
      </c>
      <c r="BF2516" t="str">
        <f>HYPERLINK("http://dx.doi.org/10.1080/20430795.2020.1715094","http://dx.doi.org/10.1080/20430795.2020.1715094")</f>
        <v>http://dx.doi.org/10.1080/20430795.2020.1715094</v>
      </c>
      <c r="BG2516" t="s">
        <v>74</v>
      </c>
      <c r="BH2516" t="s">
        <v>2621</v>
      </c>
      <c r="BI2516">
        <v>24</v>
      </c>
      <c r="BJ2516" t="s">
        <v>8558</v>
      </c>
      <c r="BK2516" t="s">
        <v>313</v>
      </c>
      <c r="BL2516" t="s">
        <v>650</v>
      </c>
      <c r="BM2516" t="s">
        <v>42295</v>
      </c>
      <c r="BN2516" t="s">
        <v>74</v>
      </c>
      <c r="BO2516" t="s">
        <v>74</v>
      </c>
      <c r="BP2516" t="s">
        <v>74</v>
      </c>
      <c r="BQ2516" t="s">
        <v>74</v>
      </c>
      <c r="BR2516" t="s">
        <v>102</v>
      </c>
      <c r="BS2516" t="s">
        <v>42296</v>
      </c>
      <c r="BT2516" t="str">
        <f>HYPERLINK("https%3A%2F%2Fwww.webofscience.com%2Fwos%2Fwoscc%2Ffull-record%2FWOS:000512763700001","View Full Record in Web of Science")</f>
        <v>View Full Record in Web of Science</v>
      </c>
    </row>
    <row r="2517" spans="1:72" x14ac:dyDescent="0.25">
      <c r="A2517" t="s">
        <v>72</v>
      </c>
      <c r="B2517" t="s">
        <v>42297</v>
      </c>
      <c r="C2517" t="s">
        <v>74</v>
      </c>
      <c r="D2517" t="s">
        <v>74</v>
      </c>
      <c r="E2517" t="s">
        <v>74</v>
      </c>
      <c r="F2517" t="s">
        <v>42298</v>
      </c>
      <c r="G2517" t="s">
        <v>74</v>
      </c>
      <c r="H2517" t="s">
        <v>74</v>
      </c>
      <c r="I2517" t="s">
        <v>42299</v>
      </c>
      <c r="J2517" t="s">
        <v>17444</v>
      </c>
      <c r="K2517" t="s">
        <v>74</v>
      </c>
      <c r="L2517" t="s">
        <v>74</v>
      </c>
      <c r="M2517" t="s">
        <v>78</v>
      </c>
      <c r="N2517" t="s">
        <v>79</v>
      </c>
      <c r="O2517" t="s">
        <v>74</v>
      </c>
      <c r="P2517" t="s">
        <v>74</v>
      </c>
      <c r="Q2517" t="s">
        <v>74</v>
      </c>
      <c r="R2517" t="s">
        <v>74</v>
      </c>
      <c r="S2517" t="s">
        <v>74</v>
      </c>
      <c r="T2517" t="s">
        <v>42300</v>
      </c>
      <c r="U2517" t="s">
        <v>42301</v>
      </c>
      <c r="V2517" t="s">
        <v>42302</v>
      </c>
      <c r="W2517" t="s">
        <v>42303</v>
      </c>
      <c r="X2517" t="s">
        <v>41566</v>
      </c>
      <c r="Y2517" t="s">
        <v>42304</v>
      </c>
      <c r="Z2517" t="s">
        <v>42305</v>
      </c>
      <c r="AA2517" t="s">
        <v>74</v>
      </c>
      <c r="AB2517" t="s">
        <v>42306</v>
      </c>
      <c r="AC2517" t="s">
        <v>42307</v>
      </c>
      <c r="AD2517" t="s">
        <v>42307</v>
      </c>
      <c r="AE2517" t="s">
        <v>42308</v>
      </c>
      <c r="AF2517" t="s">
        <v>74</v>
      </c>
      <c r="AG2517">
        <v>63</v>
      </c>
      <c r="AH2517">
        <v>0</v>
      </c>
      <c r="AI2517">
        <v>2</v>
      </c>
      <c r="AJ2517">
        <v>0</v>
      </c>
      <c r="AK2517">
        <v>9</v>
      </c>
      <c r="AL2517" t="s">
        <v>89</v>
      </c>
      <c r="AM2517" t="s">
        <v>90</v>
      </c>
      <c r="AN2517" t="s">
        <v>91</v>
      </c>
      <c r="AO2517" t="s">
        <v>17454</v>
      </c>
      <c r="AP2517" t="s">
        <v>17455</v>
      </c>
      <c r="AQ2517" t="s">
        <v>74</v>
      </c>
      <c r="AR2517" t="s">
        <v>17456</v>
      </c>
      <c r="AS2517" t="s">
        <v>17457</v>
      </c>
      <c r="AT2517" t="s">
        <v>42309</v>
      </c>
      <c r="AU2517">
        <v>2024</v>
      </c>
      <c r="AV2517">
        <v>50</v>
      </c>
      <c r="AW2517">
        <v>4</v>
      </c>
      <c r="AX2517" t="s">
        <v>74</v>
      </c>
      <c r="AY2517" t="s">
        <v>74</v>
      </c>
      <c r="AZ2517" t="s">
        <v>74</v>
      </c>
      <c r="BA2517" t="s">
        <v>74</v>
      </c>
      <c r="BB2517">
        <v>791</v>
      </c>
      <c r="BC2517">
        <v>810</v>
      </c>
      <c r="BD2517" t="s">
        <v>74</v>
      </c>
      <c r="BE2517" t="s">
        <v>42310</v>
      </c>
      <c r="BF2517" t="str">
        <f>HYPERLINK("http://dx.doi.org/10.1108/MF-11-2022-0543","http://dx.doi.org/10.1108/MF-11-2022-0543")</f>
        <v>http://dx.doi.org/10.1108/MF-11-2022-0543</v>
      </c>
      <c r="BG2517" t="s">
        <v>74</v>
      </c>
      <c r="BH2517" t="s">
        <v>3535</v>
      </c>
      <c r="BI2517">
        <v>20</v>
      </c>
      <c r="BJ2517" t="s">
        <v>268</v>
      </c>
      <c r="BK2517" t="s">
        <v>313</v>
      </c>
      <c r="BL2517" t="s">
        <v>100</v>
      </c>
      <c r="BM2517" t="s">
        <v>42311</v>
      </c>
      <c r="BN2517" t="s">
        <v>74</v>
      </c>
      <c r="BO2517" t="s">
        <v>74</v>
      </c>
      <c r="BP2517" t="s">
        <v>74</v>
      </c>
      <c r="BQ2517" t="s">
        <v>74</v>
      </c>
      <c r="BR2517" t="s">
        <v>102</v>
      </c>
      <c r="BS2517" t="s">
        <v>42312</v>
      </c>
      <c r="BT2517" t="str">
        <f>HYPERLINK("https%3A%2F%2Fwww.webofscience.com%2Fwos%2Fwoscc%2Ffull-record%2FWOS:001109471200001","View Full Record in Web of Science")</f>
        <v>View Full Record in Web of Science</v>
      </c>
    </row>
    <row r="2518" spans="1:72" x14ac:dyDescent="0.25">
      <c r="A2518" t="s">
        <v>72</v>
      </c>
      <c r="B2518" t="s">
        <v>42313</v>
      </c>
      <c r="C2518" t="s">
        <v>74</v>
      </c>
      <c r="D2518" t="s">
        <v>74</v>
      </c>
      <c r="E2518" t="s">
        <v>74</v>
      </c>
      <c r="F2518" t="s">
        <v>42314</v>
      </c>
      <c r="G2518" t="s">
        <v>74</v>
      </c>
      <c r="H2518" t="s">
        <v>74</v>
      </c>
      <c r="I2518" t="s">
        <v>42315</v>
      </c>
      <c r="J2518" t="s">
        <v>424</v>
      </c>
      <c r="K2518" t="s">
        <v>74</v>
      </c>
      <c r="L2518" t="s">
        <v>74</v>
      </c>
      <c r="M2518" t="s">
        <v>78</v>
      </c>
      <c r="N2518" t="s">
        <v>372</v>
      </c>
      <c r="O2518" t="s">
        <v>74</v>
      </c>
      <c r="P2518" t="s">
        <v>74</v>
      </c>
      <c r="Q2518" t="s">
        <v>74</v>
      </c>
      <c r="R2518" t="s">
        <v>74</v>
      </c>
      <c r="S2518" t="s">
        <v>74</v>
      </c>
      <c r="T2518" t="s">
        <v>42316</v>
      </c>
      <c r="U2518" t="s">
        <v>42317</v>
      </c>
      <c r="V2518" t="s">
        <v>42318</v>
      </c>
      <c r="W2518" t="s">
        <v>42319</v>
      </c>
      <c r="X2518" t="s">
        <v>42320</v>
      </c>
      <c r="Y2518" t="s">
        <v>42321</v>
      </c>
      <c r="Z2518" t="s">
        <v>42322</v>
      </c>
      <c r="AA2518" t="s">
        <v>42323</v>
      </c>
      <c r="AB2518" t="s">
        <v>42324</v>
      </c>
      <c r="AC2518" t="s">
        <v>74</v>
      </c>
      <c r="AD2518" t="s">
        <v>74</v>
      </c>
      <c r="AE2518" t="s">
        <v>74</v>
      </c>
      <c r="AF2518" t="s">
        <v>74</v>
      </c>
      <c r="AG2518">
        <v>204</v>
      </c>
      <c r="AH2518">
        <v>8</v>
      </c>
      <c r="AI2518">
        <v>9</v>
      </c>
      <c r="AJ2518">
        <v>2</v>
      </c>
      <c r="AK2518">
        <v>56</v>
      </c>
      <c r="AL2518" t="s">
        <v>89</v>
      </c>
      <c r="AM2518" t="s">
        <v>1497</v>
      </c>
      <c r="AN2518" t="s">
        <v>1498</v>
      </c>
      <c r="AO2518" t="s">
        <v>436</v>
      </c>
      <c r="AP2518" t="s">
        <v>437</v>
      </c>
      <c r="AQ2518" t="s">
        <v>74</v>
      </c>
      <c r="AR2518" t="s">
        <v>438</v>
      </c>
      <c r="AS2518" t="s">
        <v>439</v>
      </c>
      <c r="AT2518" t="s">
        <v>42325</v>
      </c>
      <c r="AU2518">
        <v>2023</v>
      </c>
      <c r="AV2518" t="s">
        <v>74</v>
      </c>
      <c r="AW2518" t="s">
        <v>74</v>
      </c>
      <c r="AX2518" t="s">
        <v>74</v>
      </c>
      <c r="AY2518" t="s">
        <v>74</v>
      </c>
      <c r="AZ2518" t="s">
        <v>74</v>
      </c>
      <c r="BA2518" t="s">
        <v>74</v>
      </c>
      <c r="BB2518" t="s">
        <v>74</v>
      </c>
      <c r="BC2518" t="s">
        <v>74</v>
      </c>
      <c r="BD2518" t="s">
        <v>74</v>
      </c>
      <c r="BE2518" t="s">
        <v>42326</v>
      </c>
      <c r="BF2518" t="str">
        <f>HYPERLINK("http://dx.doi.org/10.1108/IJBM-01-2023-0039","http://dx.doi.org/10.1108/IJBM-01-2023-0039")</f>
        <v>http://dx.doi.org/10.1108/IJBM-01-2023-0039</v>
      </c>
      <c r="BG2518" t="s">
        <v>74</v>
      </c>
      <c r="BH2518" t="s">
        <v>7993</v>
      </c>
      <c r="BI2518">
        <v>34</v>
      </c>
      <c r="BJ2518" t="s">
        <v>418</v>
      </c>
      <c r="BK2518" t="s">
        <v>99</v>
      </c>
      <c r="BL2518" t="s">
        <v>100</v>
      </c>
      <c r="BM2518" t="s">
        <v>42327</v>
      </c>
      <c r="BN2518" t="s">
        <v>74</v>
      </c>
      <c r="BO2518" t="s">
        <v>74</v>
      </c>
      <c r="BP2518" t="s">
        <v>74</v>
      </c>
      <c r="BQ2518" t="s">
        <v>74</v>
      </c>
      <c r="BR2518" t="s">
        <v>102</v>
      </c>
      <c r="BS2518" t="s">
        <v>42328</v>
      </c>
      <c r="BT2518" t="str">
        <f>HYPERLINK("https%3A%2F%2Fwww.webofscience.com%2Fwos%2Fwoscc%2Ffull-record%2FWOS:001046668400001","View Full Record in Web of Science")</f>
        <v>View Full Record in Web of Science</v>
      </c>
    </row>
    <row r="2519" spans="1:72" x14ac:dyDescent="0.25">
      <c r="A2519" t="s">
        <v>132</v>
      </c>
      <c r="B2519" t="s">
        <v>42329</v>
      </c>
      <c r="C2519" t="s">
        <v>74</v>
      </c>
      <c r="D2519" t="s">
        <v>42330</v>
      </c>
      <c r="E2519" t="s">
        <v>74</v>
      </c>
      <c r="F2519" t="s">
        <v>42331</v>
      </c>
      <c r="G2519" t="s">
        <v>74</v>
      </c>
      <c r="H2519" t="s">
        <v>74</v>
      </c>
      <c r="I2519" t="s">
        <v>42332</v>
      </c>
      <c r="J2519" t="s">
        <v>42333</v>
      </c>
      <c r="K2519" t="s">
        <v>2828</v>
      </c>
      <c r="L2519" t="s">
        <v>74</v>
      </c>
      <c r="M2519" t="s">
        <v>78</v>
      </c>
      <c r="N2519" t="s">
        <v>138</v>
      </c>
      <c r="O2519" t="s">
        <v>42334</v>
      </c>
      <c r="P2519" t="s">
        <v>42335</v>
      </c>
      <c r="Q2519" t="s">
        <v>15741</v>
      </c>
      <c r="R2519" t="s">
        <v>42336</v>
      </c>
      <c r="S2519" t="s">
        <v>74</v>
      </c>
      <c r="T2519" t="s">
        <v>42337</v>
      </c>
      <c r="U2519" t="s">
        <v>74</v>
      </c>
      <c r="V2519" t="s">
        <v>42338</v>
      </c>
      <c r="W2519" t="s">
        <v>42339</v>
      </c>
      <c r="X2519" t="s">
        <v>27478</v>
      </c>
      <c r="Y2519" t="s">
        <v>31863</v>
      </c>
      <c r="Z2519" t="s">
        <v>42340</v>
      </c>
      <c r="AA2519" t="s">
        <v>27475</v>
      </c>
      <c r="AB2519" t="s">
        <v>27474</v>
      </c>
      <c r="AC2519" t="s">
        <v>74</v>
      </c>
      <c r="AD2519" t="s">
        <v>74</v>
      </c>
      <c r="AE2519" t="s">
        <v>74</v>
      </c>
      <c r="AF2519" t="s">
        <v>74</v>
      </c>
      <c r="AG2519">
        <v>30</v>
      </c>
      <c r="AH2519">
        <v>2</v>
      </c>
      <c r="AI2519">
        <v>3</v>
      </c>
      <c r="AJ2519">
        <v>2</v>
      </c>
      <c r="AK2519">
        <v>10</v>
      </c>
      <c r="AL2519" t="s">
        <v>771</v>
      </c>
      <c r="AM2519" t="s">
        <v>151</v>
      </c>
      <c r="AN2519" t="s">
        <v>785</v>
      </c>
      <c r="AO2519" t="s">
        <v>2840</v>
      </c>
      <c r="AP2519" t="s">
        <v>74</v>
      </c>
      <c r="AQ2519" t="s">
        <v>42341</v>
      </c>
      <c r="AR2519" t="s">
        <v>2842</v>
      </c>
      <c r="AS2519" t="s">
        <v>74</v>
      </c>
      <c r="AT2519" t="s">
        <v>74</v>
      </c>
      <c r="AU2519">
        <v>2017</v>
      </c>
      <c r="AV2519" t="s">
        <v>74</v>
      </c>
      <c r="AW2519" t="s">
        <v>74</v>
      </c>
      <c r="AX2519" t="s">
        <v>74</v>
      </c>
      <c r="AY2519" t="s">
        <v>74</v>
      </c>
      <c r="AZ2519" t="s">
        <v>74</v>
      </c>
      <c r="BA2519" t="s">
        <v>74</v>
      </c>
      <c r="BB2519">
        <v>4714</v>
      </c>
      <c r="BC2519">
        <v>4721</v>
      </c>
      <c r="BD2519" t="s">
        <v>74</v>
      </c>
      <c r="BE2519" t="s">
        <v>74</v>
      </c>
      <c r="BF2519" t="s">
        <v>74</v>
      </c>
      <c r="BG2519" t="s">
        <v>74</v>
      </c>
      <c r="BH2519" t="s">
        <v>74</v>
      </c>
      <c r="BI2519">
        <v>8</v>
      </c>
      <c r="BJ2519" t="s">
        <v>2686</v>
      </c>
      <c r="BK2519" t="s">
        <v>156</v>
      </c>
      <c r="BL2519" t="s">
        <v>157</v>
      </c>
      <c r="BM2519" t="s">
        <v>42342</v>
      </c>
      <c r="BN2519" t="s">
        <v>74</v>
      </c>
      <c r="BO2519" t="s">
        <v>74</v>
      </c>
      <c r="BP2519" t="s">
        <v>74</v>
      </c>
      <c r="BQ2519" t="s">
        <v>74</v>
      </c>
      <c r="BR2519" t="s">
        <v>102</v>
      </c>
      <c r="BS2519" t="s">
        <v>42343</v>
      </c>
      <c r="BT2519" t="str">
        <f>HYPERLINK("https%3A%2F%2Fwww.webofscience.com%2Fwos%2Fwoscc%2Ffull-record%2FWOS:000428073704101","View Full Record in Web of Science")</f>
        <v>View Full Record in Web of Science</v>
      </c>
    </row>
    <row r="2520" spans="1:72" x14ac:dyDescent="0.25">
      <c r="A2520" t="s">
        <v>72</v>
      </c>
      <c r="B2520" t="s">
        <v>42344</v>
      </c>
      <c r="C2520" t="s">
        <v>74</v>
      </c>
      <c r="D2520" t="s">
        <v>74</v>
      </c>
      <c r="E2520" t="s">
        <v>74</v>
      </c>
      <c r="F2520" t="s">
        <v>42345</v>
      </c>
      <c r="G2520" t="s">
        <v>74</v>
      </c>
      <c r="H2520" t="s">
        <v>74</v>
      </c>
      <c r="I2520" t="s">
        <v>42346</v>
      </c>
      <c r="J2520" t="s">
        <v>3439</v>
      </c>
      <c r="K2520" t="s">
        <v>74</v>
      </c>
      <c r="L2520" t="s">
        <v>74</v>
      </c>
      <c r="M2520" t="s">
        <v>78</v>
      </c>
      <c r="N2520" t="s">
        <v>79</v>
      </c>
      <c r="O2520" t="s">
        <v>74</v>
      </c>
      <c r="P2520" t="s">
        <v>74</v>
      </c>
      <c r="Q2520" t="s">
        <v>74</v>
      </c>
      <c r="R2520" t="s">
        <v>74</v>
      </c>
      <c r="S2520" t="s">
        <v>74</v>
      </c>
      <c r="T2520" t="s">
        <v>42347</v>
      </c>
      <c r="U2520" t="s">
        <v>42348</v>
      </c>
      <c r="V2520" t="s">
        <v>42349</v>
      </c>
      <c r="W2520" t="s">
        <v>42350</v>
      </c>
      <c r="X2520" t="s">
        <v>74</v>
      </c>
      <c r="Y2520" t="s">
        <v>42351</v>
      </c>
      <c r="Z2520" t="s">
        <v>74</v>
      </c>
      <c r="AA2520" t="s">
        <v>74</v>
      </c>
      <c r="AB2520" t="s">
        <v>42352</v>
      </c>
      <c r="AC2520" t="s">
        <v>74</v>
      </c>
      <c r="AD2520" t="s">
        <v>74</v>
      </c>
      <c r="AE2520" t="s">
        <v>74</v>
      </c>
      <c r="AF2520" t="s">
        <v>74</v>
      </c>
      <c r="AG2520">
        <v>101</v>
      </c>
      <c r="AH2520">
        <v>4</v>
      </c>
      <c r="AI2520">
        <v>4</v>
      </c>
      <c r="AJ2520">
        <v>1</v>
      </c>
      <c r="AK2520">
        <v>4</v>
      </c>
      <c r="AL2520" t="s">
        <v>823</v>
      </c>
      <c r="AM2520" t="s">
        <v>333</v>
      </c>
      <c r="AN2520" t="s">
        <v>824</v>
      </c>
      <c r="AO2520" t="s">
        <v>3443</v>
      </c>
      <c r="AP2520" t="s">
        <v>74</v>
      </c>
      <c r="AQ2520" t="s">
        <v>74</v>
      </c>
      <c r="AR2520" t="s">
        <v>3444</v>
      </c>
      <c r="AS2520" t="s">
        <v>3445</v>
      </c>
      <c r="AT2520" t="s">
        <v>2970</v>
      </c>
      <c r="AU2520">
        <v>2024</v>
      </c>
      <c r="AV2520">
        <v>12</v>
      </c>
      <c r="AW2520">
        <v>1</v>
      </c>
      <c r="AX2520" t="s">
        <v>74</v>
      </c>
      <c r="AY2520" t="s">
        <v>74</v>
      </c>
      <c r="AZ2520" t="s">
        <v>74</v>
      </c>
      <c r="BA2520" t="s">
        <v>74</v>
      </c>
      <c r="BB2520" t="s">
        <v>74</v>
      </c>
      <c r="BC2520" t="s">
        <v>74</v>
      </c>
      <c r="BD2520">
        <v>2399758</v>
      </c>
      <c r="BE2520" t="s">
        <v>42353</v>
      </c>
      <c r="BF2520" t="str">
        <f>HYPERLINK("http://dx.doi.org/10.1080/23322039.2024.2399758","http://dx.doi.org/10.1080/23322039.2024.2399758")</f>
        <v>http://dx.doi.org/10.1080/23322039.2024.2399758</v>
      </c>
      <c r="BG2520" t="s">
        <v>74</v>
      </c>
      <c r="BH2520" t="s">
        <v>74</v>
      </c>
      <c r="BI2520">
        <v>24</v>
      </c>
      <c r="BJ2520" t="s">
        <v>291</v>
      </c>
      <c r="BK2520" t="s">
        <v>313</v>
      </c>
      <c r="BL2520" t="s">
        <v>100</v>
      </c>
      <c r="BM2520" t="s">
        <v>42354</v>
      </c>
      <c r="BN2520" t="s">
        <v>74</v>
      </c>
      <c r="BO2520" t="s">
        <v>916</v>
      </c>
      <c r="BP2520" t="s">
        <v>74</v>
      </c>
      <c r="BQ2520" t="s">
        <v>74</v>
      </c>
      <c r="BR2520" t="s">
        <v>102</v>
      </c>
      <c r="BS2520" t="s">
        <v>42355</v>
      </c>
      <c r="BT2520" t="str">
        <f>HYPERLINK("https%3A%2F%2Fwww.webofscience.com%2Fwos%2Fwoscc%2Ffull-record%2FWOS:001306505200001","View Full Record in Web of Science")</f>
        <v>View Full Record in Web of Science</v>
      </c>
    </row>
    <row r="2521" spans="1:72" x14ac:dyDescent="0.25">
      <c r="A2521" t="s">
        <v>72</v>
      </c>
      <c r="B2521" t="s">
        <v>42356</v>
      </c>
      <c r="C2521" t="s">
        <v>74</v>
      </c>
      <c r="D2521" t="s">
        <v>74</v>
      </c>
      <c r="E2521" t="s">
        <v>74</v>
      </c>
      <c r="F2521" t="s">
        <v>42357</v>
      </c>
      <c r="G2521" t="s">
        <v>74</v>
      </c>
      <c r="H2521" t="s">
        <v>74</v>
      </c>
      <c r="I2521" t="s">
        <v>42358</v>
      </c>
      <c r="J2521" t="s">
        <v>7274</v>
      </c>
      <c r="K2521" t="s">
        <v>74</v>
      </c>
      <c r="L2521" t="s">
        <v>74</v>
      </c>
      <c r="M2521" t="s">
        <v>78</v>
      </c>
      <c r="N2521" t="s">
        <v>79</v>
      </c>
      <c r="O2521" t="s">
        <v>74</v>
      </c>
      <c r="P2521" t="s">
        <v>74</v>
      </c>
      <c r="Q2521" t="s">
        <v>74</v>
      </c>
      <c r="R2521" t="s">
        <v>74</v>
      </c>
      <c r="S2521" t="s">
        <v>74</v>
      </c>
      <c r="T2521" t="s">
        <v>74</v>
      </c>
      <c r="U2521" t="s">
        <v>26859</v>
      </c>
      <c r="V2521" t="s">
        <v>42359</v>
      </c>
      <c r="W2521" t="s">
        <v>42360</v>
      </c>
      <c r="X2521" t="s">
        <v>42361</v>
      </c>
      <c r="Y2521" t="s">
        <v>42362</v>
      </c>
      <c r="Z2521" t="s">
        <v>42363</v>
      </c>
      <c r="AA2521" t="s">
        <v>74</v>
      </c>
      <c r="AB2521" t="s">
        <v>74</v>
      </c>
      <c r="AC2521" t="s">
        <v>74</v>
      </c>
      <c r="AD2521" t="s">
        <v>74</v>
      </c>
      <c r="AE2521" t="s">
        <v>74</v>
      </c>
      <c r="AF2521" t="s">
        <v>74</v>
      </c>
      <c r="AG2521">
        <v>18</v>
      </c>
      <c r="AH2521">
        <v>144</v>
      </c>
      <c r="AI2521">
        <v>224</v>
      </c>
      <c r="AJ2521">
        <v>1</v>
      </c>
      <c r="AK2521">
        <v>32</v>
      </c>
      <c r="AL2521" t="s">
        <v>2551</v>
      </c>
      <c r="AM2521" t="s">
        <v>231</v>
      </c>
      <c r="AN2521" t="s">
        <v>2552</v>
      </c>
      <c r="AO2521" t="s">
        <v>7284</v>
      </c>
      <c r="AP2521" t="s">
        <v>74</v>
      </c>
      <c r="AQ2521" t="s">
        <v>74</v>
      </c>
      <c r="AR2521" t="s">
        <v>7286</v>
      </c>
      <c r="AS2521" t="s">
        <v>7287</v>
      </c>
      <c r="AT2521" t="s">
        <v>74</v>
      </c>
      <c r="AU2521">
        <v>2008</v>
      </c>
      <c r="AV2521">
        <v>22</v>
      </c>
      <c r="AW2521">
        <v>3</v>
      </c>
      <c r="AX2521" t="s">
        <v>74</v>
      </c>
      <c r="AY2521" t="s">
        <v>74</v>
      </c>
      <c r="AZ2521" t="s">
        <v>74</v>
      </c>
      <c r="BA2521" t="s">
        <v>74</v>
      </c>
      <c r="BB2521">
        <v>457</v>
      </c>
      <c r="BC2521">
        <v>482</v>
      </c>
      <c r="BD2521" t="s">
        <v>74</v>
      </c>
      <c r="BE2521" t="s">
        <v>42364</v>
      </c>
      <c r="BF2521" t="str">
        <f>HYPERLINK("http://dx.doi.org/10.1093/wber/lhn017","http://dx.doi.org/10.1093/wber/lhn017")</f>
        <v>http://dx.doi.org/10.1093/wber/lhn017</v>
      </c>
      <c r="BG2521" t="s">
        <v>74</v>
      </c>
      <c r="BH2521" t="s">
        <v>74</v>
      </c>
      <c r="BI2521">
        <v>26</v>
      </c>
      <c r="BJ2521" t="s">
        <v>7291</v>
      </c>
      <c r="BK2521" t="s">
        <v>99</v>
      </c>
      <c r="BL2521" t="s">
        <v>7292</v>
      </c>
      <c r="BM2521" t="s">
        <v>28982</v>
      </c>
      <c r="BN2521" t="s">
        <v>74</v>
      </c>
      <c r="BO2521" t="s">
        <v>74</v>
      </c>
      <c r="BP2521" t="s">
        <v>74</v>
      </c>
      <c r="BQ2521" t="s">
        <v>74</v>
      </c>
      <c r="BR2521" t="s">
        <v>102</v>
      </c>
      <c r="BS2521" t="s">
        <v>42365</v>
      </c>
      <c r="BT2521" t="str">
        <f>HYPERLINK("https%3A%2F%2Fwww.webofscience.com%2Fwos%2Fwoscc%2Ffull-record%2FWOS:000261892200004","View Full Record in Web of Science")</f>
        <v>View Full Record in Web of Science</v>
      </c>
    </row>
    <row r="2522" spans="1:72" x14ac:dyDescent="0.25">
      <c r="A2522" t="s">
        <v>72</v>
      </c>
      <c r="B2522" t="s">
        <v>42366</v>
      </c>
      <c r="C2522" t="s">
        <v>74</v>
      </c>
      <c r="D2522" t="s">
        <v>74</v>
      </c>
      <c r="E2522" t="s">
        <v>74</v>
      </c>
      <c r="F2522" t="s">
        <v>42367</v>
      </c>
      <c r="G2522" t="s">
        <v>74</v>
      </c>
      <c r="H2522" t="s">
        <v>74</v>
      </c>
      <c r="I2522" t="s">
        <v>42368</v>
      </c>
      <c r="J2522" t="s">
        <v>12878</v>
      </c>
      <c r="K2522" t="s">
        <v>74</v>
      </c>
      <c r="L2522" t="s">
        <v>74</v>
      </c>
      <c r="M2522" t="s">
        <v>78</v>
      </c>
      <c r="N2522" t="s">
        <v>372</v>
      </c>
      <c r="O2522" t="s">
        <v>74</v>
      </c>
      <c r="P2522" t="s">
        <v>74</v>
      </c>
      <c r="Q2522" t="s">
        <v>74</v>
      </c>
      <c r="R2522" t="s">
        <v>74</v>
      </c>
      <c r="S2522" t="s">
        <v>74</v>
      </c>
      <c r="T2522" t="s">
        <v>42369</v>
      </c>
      <c r="U2522" t="s">
        <v>42370</v>
      </c>
      <c r="V2522" t="s">
        <v>42371</v>
      </c>
      <c r="W2522" t="s">
        <v>42372</v>
      </c>
      <c r="X2522" t="s">
        <v>42373</v>
      </c>
      <c r="Y2522" t="s">
        <v>20590</v>
      </c>
      <c r="Z2522" t="s">
        <v>24945</v>
      </c>
      <c r="AA2522" t="s">
        <v>74</v>
      </c>
      <c r="AB2522" t="s">
        <v>74</v>
      </c>
      <c r="AC2522" t="s">
        <v>74</v>
      </c>
      <c r="AD2522" t="s">
        <v>74</v>
      </c>
      <c r="AE2522" t="s">
        <v>74</v>
      </c>
      <c r="AF2522" t="s">
        <v>74</v>
      </c>
      <c r="AG2522">
        <v>70</v>
      </c>
      <c r="AH2522">
        <v>0</v>
      </c>
      <c r="AI2522">
        <v>0</v>
      </c>
      <c r="AJ2522">
        <v>4</v>
      </c>
      <c r="AK2522">
        <v>4</v>
      </c>
      <c r="AL2522" t="s">
        <v>117</v>
      </c>
      <c r="AM2522" t="s">
        <v>118</v>
      </c>
      <c r="AN2522" t="s">
        <v>119</v>
      </c>
      <c r="AO2522" t="s">
        <v>12888</v>
      </c>
      <c r="AP2522" t="s">
        <v>12889</v>
      </c>
      <c r="AQ2522" t="s">
        <v>74</v>
      </c>
      <c r="AR2522" t="s">
        <v>12890</v>
      </c>
      <c r="AS2522" t="s">
        <v>12891</v>
      </c>
      <c r="AT2522" t="s">
        <v>16449</v>
      </c>
      <c r="AU2522">
        <v>2025</v>
      </c>
      <c r="AV2522" t="s">
        <v>74</v>
      </c>
      <c r="AW2522" t="s">
        <v>74</v>
      </c>
      <c r="AX2522" t="s">
        <v>74</v>
      </c>
      <c r="AY2522" t="s">
        <v>74</v>
      </c>
      <c r="AZ2522" t="s">
        <v>74</v>
      </c>
      <c r="BA2522" t="s">
        <v>74</v>
      </c>
      <c r="BB2522" t="s">
        <v>74</v>
      </c>
      <c r="BC2522" t="s">
        <v>74</v>
      </c>
      <c r="BD2522" t="s">
        <v>74</v>
      </c>
      <c r="BE2522" t="s">
        <v>42374</v>
      </c>
      <c r="BF2522" t="str">
        <f>HYPERLINK("http://dx.doi.org/10.1007/s40822-025-00340-z","http://dx.doi.org/10.1007/s40822-025-00340-z")</f>
        <v>http://dx.doi.org/10.1007/s40822-025-00340-z</v>
      </c>
      <c r="BG2522" t="s">
        <v>74</v>
      </c>
      <c r="BH2522" t="s">
        <v>2044</v>
      </c>
      <c r="BI2522">
        <v>21</v>
      </c>
      <c r="BJ2522" t="s">
        <v>291</v>
      </c>
      <c r="BK2522" t="s">
        <v>313</v>
      </c>
      <c r="BL2522" t="s">
        <v>100</v>
      </c>
      <c r="BM2522" t="s">
        <v>42375</v>
      </c>
      <c r="BN2522" t="s">
        <v>74</v>
      </c>
      <c r="BO2522" t="s">
        <v>74</v>
      </c>
      <c r="BP2522" t="s">
        <v>74</v>
      </c>
      <c r="BQ2522" t="s">
        <v>74</v>
      </c>
      <c r="BR2522" t="s">
        <v>102</v>
      </c>
      <c r="BS2522" t="s">
        <v>42376</v>
      </c>
      <c r="BT2522" t="str">
        <f>HYPERLINK("https%3A%2F%2Fwww.webofscience.com%2Fwos%2Fwoscc%2Ffull-record%2FWOS:001606201200001","View Full Record in Web of Science")</f>
        <v>View Full Record in Web of Science</v>
      </c>
    </row>
    <row r="2523" spans="1:72" x14ac:dyDescent="0.25">
      <c r="A2523" t="s">
        <v>72</v>
      </c>
      <c r="B2523" t="s">
        <v>42377</v>
      </c>
      <c r="C2523" t="s">
        <v>74</v>
      </c>
      <c r="D2523" t="s">
        <v>74</v>
      </c>
      <c r="E2523" t="s">
        <v>74</v>
      </c>
      <c r="F2523" t="s">
        <v>42378</v>
      </c>
      <c r="G2523" t="s">
        <v>74</v>
      </c>
      <c r="H2523" t="s">
        <v>74</v>
      </c>
      <c r="I2523" t="s">
        <v>42379</v>
      </c>
      <c r="J2523" t="s">
        <v>1290</v>
      </c>
      <c r="K2523" t="s">
        <v>74</v>
      </c>
      <c r="L2523" t="s">
        <v>74</v>
      </c>
      <c r="M2523" t="s">
        <v>78</v>
      </c>
      <c r="N2523" t="s">
        <v>79</v>
      </c>
      <c r="O2523" t="s">
        <v>74</v>
      </c>
      <c r="P2523" t="s">
        <v>74</v>
      </c>
      <c r="Q2523" t="s">
        <v>74</v>
      </c>
      <c r="R2523" t="s">
        <v>74</v>
      </c>
      <c r="S2523" t="s">
        <v>74</v>
      </c>
      <c r="T2523" t="s">
        <v>42380</v>
      </c>
      <c r="U2523" t="s">
        <v>42381</v>
      </c>
      <c r="V2523" t="s">
        <v>42382</v>
      </c>
      <c r="W2523" t="s">
        <v>42383</v>
      </c>
      <c r="X2523" t="s">
        <v>42384</v>
      </c>
      <c r="Y2523" t="s">
        <v>42385</v>
      </c>
      <c r="Z2523" t="s">
        <v>42386</v>
      </c>
      <c r="AA2523" t="s">
        <v>42387</v>
      </c>
      <c r="AB2523" t="s">
        <v>74</v>
      </c>
      <c r="AC2523" t="s">
        <v>74</v>
      </c>
      <c r="AD2523" t="s">
        <v>74</v>
      </c>
      <c r="AE2523" t="s">
        <v>74</v>
      </c>
      <c r="AF2523" t="s">
        <v>74</v>
      </c>
      <c r="AG2523">
        <v>44</v>
      </c>
      <c r="AH2523">
        <v>2</v>
      </c>
      <c r="AI2523">
        <v>2</v>
      </c>
      <c r="AJ2523">
        <v>1</v>
      </c>
      <c r="AK2523">
        <v>1</v>
      </c>
      <c r="AL2523" t="s">
        <v>575</v>
      </c>
      <c r="AM2523" t="s">
        <v>576</v>
      </c>
      <c r="AN2523" t="s">
        <v>577</v>
      </c>
      <c r="AO2523" t="s">
        <v>1299</v>
      </c>
      <c r="AP2523" t="s">
        <v>74</v>
      </c>
      <c r="AQ2523" t="s">
        <v>74</v>
      </c>
      <c r="AR2523" t="s">
        <v>1300</v>
      </c>
      <c r="AS2523" t="s">
        <v>1301</v>
      </c>
      <c r="AT2523" t="s">
        <v>958</v>
      </c>
      <c r="AU2523">
        <v>2025</v>
      </c>
      <c r="AV2523">
        <v>13</v>
      </c>
      <c r="AW2523">
        <v>3</v>
      </c>
      <c r="AX2523" t="s">
        <v>74</v>
      </c>
      <c r="AY2523" t="s">
        <v>74</v>
      </c>
      <c r="AZ2523" t="s">
        <v>74</v>
      </c>
      <c r="BA2523" t="s">
        <v>74</v>
      </c>
      <c r="BB2523" t="s">
        <v>74</v>
      </c>
      <c r="BC2523" t="s">
        <v>74</v>
      </c>
      <c r="BD2523">
        <v>122</v>
      </c>
      <c r="BE2523" t="s">
        <v>42388</v>
      </c>
      <c r="BF2523" t="str">
        <f>HYPERLINK("http://dx.doi.org/10.3390/ijfs13030122","http://dx.doi.org/10.3390/ijfs13030122")</f>
        <v>http://dx.doi.org/10.3390/ijfs13030122</v>
      </c>
      <c r="BG2523" t="s">
        <v>74</v>
      </c>
      <c r="BH2523" t="s">
        <v>74</v>
      </c>
      <c r="BI2523">
        <v>22</v>
      </c>
      <c r="BJ2523" t="s">
        <v>268</v>
      </c>
      <c r="BK2523" t="s">
        <v>313</v>
      </c>
      <c r="BL2523" t="s">
        <v>100</v>
      </c>
      <c r="BM2523" t="s">
        <v>42389</v>
      </c>
      <c r="BN2523" t="s">
        <v>74</v>
      </c>
      <c r="BO2523" t="s">
        <v>916</v>
      </c>
      <c r="BP2523" t="s">
        <v>74</v>
      </c>
      <c r="BQ2523" t="s">
        <v>74</v>
      </c>
      <c r="BR2523" t="s">
        <v>102</v>
      </c>
      <c r="BS2523" t="s">
        <v>42390</v>
      </c>
      <c r="BT2523" t="str">
        <f>HYPERLINK("https%3A%2F%2Fwww.webofscience.com%2Fwos%2Fwoscc%2Ffull-record%2FWOS:001580079900001","View Full Record in Web of Science")</f>
        <v>View Full Record in Web of Science</v>
      </c>
    </row>
    <row r="2524" spans="1:72" x14ac:dyDescent="0.25">
      <c r="A2524" t="s">
        <v>72</v>
      </c>
      <c r="B2524" t="s">
        <v>42391</v>
      </c>
      <c r="C2524" t="s">
        <v>74</v>
      </c>
      <c r="D2524" t="s">
        <v>74</v>
      </c>
      <c r="E2524" t="s">
        <v>74</v>
      </c>
      <c r="F2524" t="s">
        <v>42392</v>
      </c>
      <c r="G2524" t="s">
        <v>74</v>
      </c>
      <c r="H2524" t="s">
        <v>74</v>
      </c>
      <c r="I2524" t="s">
        <v>42393</v>
      </c>
      <c r="J2524" t="s">
        <v>42394</v>
      </c>
      <c r="K2524" t="s">
        <v>74</v>
      </c>
      <c r="L2524" t="s">
        <v>74</v>
      </c>
      <c r="M2524" t="s">
        <v>298</v>
      </c>
      <c r="N2524" t="s">
        <v>79</v>
      </c>
      <c r="O2524" t="s">
        <v>74</v>
      </c>
      <c r="P2524" t="s">
        <v>74</v>
      </c>
      <c r="Q2524" t="s">
        <v>74</v>
      </c>
      <c r="R2524" t="s">
        <v>74</v>
      </c>
      <c r="S2524" t="s">
        <v>74</v>
      </c>
      <c r="T2524" t="s">
        <v>42395</v>
      </c>
      <c r="U2524" t="s">
        <v>74</v>
      </c>
      <c r="V2524" t="s">
        <v>42396</v>
      </c>
      <c r="W2524" t="s">
        <v>42397</v>
      </c>
      <c r="X2524" t="s">
        <v>42398</v>
      </c>
      <c r="Y2524" t="s">
        <v>42399</v>
      </c>
      <c r="Z2524" t="s">
        <v>42400</v>
      </c>
      <c r="AA2524" t="s">
        <v>74</v>
      </c>
      <c r="AB2524" t="s">
        <v>74</v>
      </c>
      <c r="AC2524" t="s">
        <v>74</v>
      </c>
      <c r="AD2524" t="s">
        <v>74</v>
      </c>
      <c r="AE2524" t="s">
        <v>74</v>
      </c>
      <c r="AF2524" t="s">
        <v>74</v>
      </c>
      <c r="AG2524">
        <v>13</v>
      </c>
      <c r="AH2524">
        <v>0</v>
      </c>
      <c r="AI2524">
        <v>0</v>
      </c>
      <c r="AJ2524">
        <v>0</v>
      </c>
      <c r="AK2524">
        <v>2</v>
      </c>
      <c r="AL2524" t="s">
        <v>357</v>
      </c>
      <c r="AM2524" t="s">
        <v>358</v>
      </c>
      <c r="AN2524" t="s">
        <v>359</v>
      </c>
      <c r="AO2524" t="s">
        <v>42401</v>
      </c>
      <c r="AP2524" t="s">
        <v>74</v>
      </c>
      <c r="AQ2524" t="s">
        <v>74</v>
      </c>
      <c r="AR2524" t="s">
        <v>42402</v>
      </c>
      <c r="AS2524" t="s">
        <v>42403</v>
      </c>
      <c r="AT2524" t="s">
        <v>1159</v>
      </c>
      <c r="AU2524">
        <v>2020</v>
      </c>
      <c r="AV2524">
        <v>16</v>
      </c>
      <c r="AW2524" t="s">
        <v>74</v>
      </c>
      <c r="AX2524" t="s">
        <v>74</v>
      </c>
      <c r="AY2524">
        <v>1</v>
      </c>
      <c r="AZ2524" t="s">
        <v>74</v>
      </c>
      <c r="BA2524" t="s">
        <v>74</v>
      </c>
      <c r="BB2524">
        <v>113</v>
      </c>
      <c r="BC2524">
        <v>120</v>
      </c>
      <c r="BD2524" t="s">
        <v>74</v>
      </c>
      <c r="BE2524" t="s">
        <v>74</v>
      </c>
      <c r="BF2524" t="s">
        <v>74</v>
      </c>
      <c r="BG2524" t="s">
        <v>74</v>
      </c>
      <c r="BH2524" t="s">
        <v>74</v>
      </c>
      <c r="BI2524">
        <v>8</v>
      </c>
      <c r="BJ2524" t="s">
        <v>4031</v>
      </c>
      <c r="BK2524" t="s">
        <v>313</v>
      </c>
      <c r="BL2524" t="s">
        <v>4031</v>
      </c>
      <c r="BM2524" t="s">
        <v>42404</v>
      </c>
      <c r="BN2524" t="s">
        <v>74</v>
      </c>
      <c r="BO2524" t="s">
        <v>74</v>
      </c>
      <c r="BP2524" t="s">
        <v>74</v>
      </c>
      <c r="BQ2524" t="s">
        <v>74</v>
      </c>
      <c r="BR2524" t="s">
        <v>102</v>
      </c>
      <c r="BS2524" t="s">
        <v>42405</v>
      </c>
      <c r="BT2524" t="str">
        <f>HYPERLINK("https%3A%2F%2Fwww.webofscience.com%2Fwos%2Fwoscc%2Ffull-record%2FWOS:000593045400015","View Full Record in Web of Science")</f>
        <v>View Full Record in Web of Science</v>
      </c>
    </row>
    <row r="2525" spans="1:72" x14ac:dyDescent="0.25">
      <c r="A2525" t="s">
        <v>72</v>
      </c>
      <c r="B2525" t="s">
        <v>42406</v>
      </c>
      <c r="C2525" t="s">
        <v>74</v>
      </c>
      <c r="D2525" t="s">
        <v>74</v>
      </c>
      <c r="E2525" t="s">
        <v>74</v>
      </c>
      <c r="F2525" t="s">
        <v>42407</v>
      </c>
      <c r="G2525" t="s">
        <v>74</v>
      </c>
      <c r="H2525" t="s">
        <v>74</v>
      </c>
      <c r="I2525" t="s">
        <v>42408</v>
      </c>
      <c r="J2525" t="s">
        <v>4657</v>
      </c>
      <c r="K2525" t="s">
        <v>74</v>
      </c>
      <c r="L2525" t="s">
        <v>74</v>
      </c>
      <c r="M2525" t="s">
        <v>78</v>
      </c>
      <c r="N2525" t="s">
        <v>79</v>
      </c>
      <c r="O2525" t="s">
        <v>74</v>
      </c>
      <c r="P2525" t="s">
        <v>74</v>
      </c>
      <c r="Q2525" t="s">
        <v>74</v>
      </c>
      <c r="R2525" t="s">
        <v>74</v>
      </c>
      <c r="S2525" t="s">
        <v>74</v>
      </c>
      <c r="T2525" t="s">
        <v>42409</v>
      </c>
      <c r="U2525" t="s">
        <v>42410</v>
      </c>
      <c r="V2525" t="s">
        <v>42411</v>
      </c>
      <c r="W2525" t="s">
        <v>42412</v>
      </c>
      <c r="X2525" t="s">
        <v>42413</v>
      </c>
      <c r="Y2525" t="s">
        <v>42414</v>
      </c>
      <c r="Z2525" t="s">
        <v>42415</v>
      </c>
      <c r="AA2525" t="s">
        <v>42416</v>
      </c>
      <c r="AB2525" t="s">
        <v>74</v>
      </c>
      <c r="AC2525" t="s">
        <v>74</v>
      </c>
      <c r="AD2525" t="s">
        <v>74</v>
      </c>
      <c r="AE2525" t="s">
        <v>74</v>
      </c>
      <c r="AF2525" t="s">
        <v>74</v>
      </c>
      <c r="AG2525">
        <v>86</v>
      </c>
      <c r="AH2525">
        <v>0</v>
      </c>
      <c r="AI2525">
        <v>0</v>
      </c>
      <c r="AJ2525">
        <v>2</v>
      </c>
      <c r="AK2525">
        <v>2</v>
      </c>
      <c r="AL2525" t="s">
        <v>4666</v>
      </c>
      <c r="AM2525" t="s">
        <v>995</v>
      </c>
      <c r="AN2525" t="s">
        <v>4025</v>
      </c>
      <c r="AO2525" t="s">
        <v>74</v>
      </c>
      <c r="AP2525" t="s">
        <v>4667</v>
      </c>
      <c r="AQ2525" t="s">
        <v>74</v>
      </c>
      <c r="AR2525" t="s">
        <v>4668</v>
      </c>
      <c r="AS2525" t="s">
        <v>4669</v>
      </c>
      <c r="AT2525" t="s">
        <v>1221</v>
      </c>
      <c r="AU2525">
        <v>2025</v>
      </c>
      <c r="AV2525">
        <v>6</v>
      </c>
      <c r="AW2525">
        <v>1</v>
      </c>
      <c r="AX2525" t="s">
        <v>74</v>
      </c>
      <c r="AY2525" t="s">
        <v>74</v>
      </c>
      <c r="AZ2525" t="s">
        <v>74</v>
      </c>
      <c r="BA2525" t="s">
        <v>74</v>
      </c>
      <c r="BB2525" t="s">
        <v>74</v>
      </c>
      <c r="BC2525" t="s">
        <v>74</v>
      </c>
      <c r="BD2525">
        <v>1309</v>
      </c>
      <c r="BE2525" t="s">
        <v>42417</v>
      </c>
      <c r="BF2525" t="str">
        <f>HYPERLINK("http://dx.doi.org/10.1007/s43621-025-02041-8","http://dx.doi.org/10.1007/s43621-025-02041-8")</f>
        <v>http://dx.doi.org/10.1007/s43621-025-02041-8</v>
      </c>
      <c r="BG2525" t="s">
        <v>74</v>
      </c>
      <c r="BH2525" t="s">
        <v>74</v>
      </c>
      <c r="BI2525">
        <v>38</v>
      </c>
      <c r="BJ2525" t="s">
        <v>3247</v>
      </c>
      <c r="BK2525" t="s">
        <v>313</v>
      </c>
      <c r="BL2525" t="s">
        <v>3248</v>
      </c>
      <c r="BM2525" t="s">
        <v>15573</v>
      </c>
      <c r="BN2525" t="s">
        <v>74</v>
      </c>
      <c r="BO2525" t="s">
        <v>212</v>
      </c>
      <c r="BP2525" t="s">
        <v>74</v>
      </c>
      <c r="BQ2525" t="s">
        <v>74</v>
      </c>
      <c r="BR2525" t="s">
        <v>102</v>
      </c>
      <c r="BS2525" t="s">
        <v>42418</v>
      </c>
      <c r="BT2525" t="str">
        <f>HYPERLINK("https%3A%2F%2Fwww.webofscience.com%2Fwos%2Fwoscc%2Ffull-record%2FWOS:001626502300010","View Full Record in Web of Science")</f>
        <v>View Full Record in Web of Science</v>
      </c>
    </row>
    <row r="2526" spans="1:72" x14ac:dyDescent="0.25">
      <c r="A2526" t="s">
        <v>72</v>
      </c>
      <c r="B2526" t="s">
        <v>42419</v>
      </c>
      <c r="C2526" t="s">
        <v>74</v>
      </c>
      <c r="D2526" t="s">
        <v>74</v>
      </c>
      <c r="E2526" t="s">
        <v>74</v>
      </c>
      <c r="F2526" t="s">
        <v>42420</v>
      </c>
      <c r="G2526" t="s">
        <v>74</v>
      </c>
      <c r="H2526" t="s">
        <v>74</v>
      </c>
      <c r="I2526" t="s">
        <v>42421</v>
      </c>
      <c r="J2526" t="s">
        <v>13869</v>
      </c>
      <c r="K2526" t="s">
        <v>74</v>
      </c>
      <c r="L2526" t="s">
        <v>74</v>
      </c>
      <c r="M2526" t="s">
        <v>78</v>
      </c>
      <c r="N2526" t="s">
        <v>79</v>
      </c>
      <c r="O2526" t="s">
        <v>74</v>
      </c>
      <c r="P2526" t="s">
        <v>74</v>
      </c>
      <c r="Q2526" t="s">
        <v>74</v>
      </c>
      <c r="R2526" t="s">
        <v>74</v>
      </c>
      <c r="S2526" t="s">
        <v>74</v>
      </c>
      <c r="T2526" t="s">
        <v>42422</v>
      </c>
      <c r="U2526" t="s">
        <v>74</v>
      </c>
      <c r="V2526" t="s">
        <v>42423</v>
      </c>
      <c r="W2526" t="s">
        <v>42424</v>
      </c>
      <c r="X2526" t="s">
        <v>42425</v>
      </c>
      <c r="Y2526" t="s">
        <v>42426</v>
      </c>
      <c r="Z2526" t="s">
        <v>42427</v>
      </c>
      <c r="AA2526" t="s">
        <v>74</v>
      </c>
      <c r="AB2526" t="s">
        <v>42428</v>
      </c>
      <c r="AC2526" t="s">
        <v>42429</v>
      </c>
      <c r="AD2526" t="s">
        <v>42429</v>
      </c>
      <c r="AE2526" t="s">
        <v>42430</v>
      </c>
      <c r="AF2526" t="s">
        <v>74</v>
      </c>
      <c r="AG2526">
        <v>46</v>
      </c>
      <c r="AH2526">
        <v>9</v>
      </c>
      <c r="AI2526">
        <v>9</v>
      </c>
      <c r="AJ2526">
        <v>17</v>
      </c>
      <c r="AK2526">
        <v>70</v>
      </c>
      <c r="AL2526" t="s">
        <v>13881</v>
      </c>
      <c r="AM2526" t="s">
        <v>3098</v>
      </c>
      <c r="AN2526" t="s">
        <v>13882</v>
      </c>
      <c r="AO2526" t="s">
        <v>13883</v>
      </c>
      <c r="AP2526" t="s">
        <v>74</v>
      </c>
      <c r="AQ2526" t="s">
        <v>74</v>
      </c>
      <c r="AR2526" t="s">
        <v>13884</v>
      </c>
      <c r="AS2526" t="s">
        <v>13885</v>
      </c>
      <c r="AT2526" t="s">
        <v>25762</v>
      </c>
      <c r="AU2526">
        <v>2024</v>
      </c>
      <c r="AV2526">
        <v>14</v>
      </c>
      <c r="AW2526">
        <v>1</v>
      </c>
      <c r="AX2526" t="s">
        <v>74</v>
      </c>
      <c r="AY2526" t="s">
        <v>74</v>
      </c>
      <c r="AZ2526" t="s">
        <v>74</v>
      </c>
      <c r="BA2526" t="s">
        <v>74</v>
      </c>
      <c r="BB2526" t="s">
        <v>74</v>
      </c>
      <c r="BC2526" t="s">
        <v>74</v>
      </c>
      <c r="BD2526">
        <v>22077</v>
      </c>
      <c r="BE2526" t="s">
        <v>42431</v>
      </c>
      <c r="BF2526" t="str">
        <f>HYPERLINK("http://dx.doi.org/10.1038/s41598-024-72691-7","http://dx.doi.org/10.1038/s41598-024-72691-7")</f>
        <v>http://dx.doi.org/10.1038/s41598-024-72691-7</v>
      </c>
      <c r="BG2526" t="s">
        <v>74</v>
      </c>
      <c r="BH2526" t="s">
        <v>74</v>
      </c>
      <c r="BI2526">
        <v>18</v>
      </c>
      <c r="BJ2526" t="s">
        <v>559</v>
      </c>
      <c r="BK2526" t="s">
        <v>128</v>
      </c>
      <c r="BL2526" t="s">
        <v>560</v>
      </c>
      <c r="BM2526" t="s">
        <v>42432</v>
      </c>
      <c r="BN2526">
        <v>39333591</v>
      </c>
      <c r="BO2526" t="s">
        <v>916</v>
      </c>
      <c r="BP2526" t="s">
        <v>74</v>
      </c>
      <c r="BQ2526" t="s">
        <v>74</v>
      </c>
      <c r="BR2526" t="s">
        <v>102</v>
      </c>
      <c r="BS2526" t="s">
        <v>42433</v>
      </c>
      <c r="BT2526" t="str">
        <f>HYPERLINK("https%3A%2F%2Fwww.webofscience.com%2Fwos%2Fwoscc%2Ffull-record%2FWOS:001354536300078","View Full Record in Web of Science")</f>
        <v>View Full Record in Web of Science</v>
      </c>
    </row>
    <row r="2527" spans="1:72" x14ac:dyDescent="0.25">
      <c r="A2527" t="s">
        <v>72</v>
      </c>
      <c r="B2527" t="s">
        <v>42434</v>
      </c>
      <c r="C2527" t="s">
        <v>74</v>
      </c>
      <c r="D2527" t="s">
        <v>74</v>
      </c>
      <c r="E2527" t="s">
        <v>74</v>
      </c>
      <c r="F2527" t="s">
        <v>42435</v>
      </c>
      <c r="G2527" t="s">
        <v>74</v>
      </c>
      <c r="H2527" t="s">
        <v>74</v>
      </c>
      <c r="I2527" t="s">
        <v>42436</v>
      </c>
      <c r="J2527" t="s">
        <v>42437</v>
      </c>
      <c r="K2527" t="s">
        <v>74</v>
      </c>
      <c r="L2527" t="s">
        <v>74</v>
      </c>
      <c r="M2527" t="s">
        <v>78</v>
      </c>
      <c r="N2527" t="s">
        <v>372</v>
      </c>
      <c r="O2527" t="s">
        <v>74</v>
      </c>
      <c r="P2527" t="s">
        <v>74</v>
      </c>
      <c r="Q2527" t="s">
        <v>74</v>
      </c>
      <c r="R2527" t="s">
        <v>74</v>
      </c>
      <c r="S2527" t="s">
        <v>74</v>
      </c>
      <c r="T2527" t="s">
        <v>42438</v>
      </c>
      <c r="U2527" t="s">
        <v>42439</v>
      </c>
      <c r="V2527" t="s">
        <v>42440</v>
      </c>
      <c r="W2527" t="s">
        <v>42441</v>
      </c>
      <c r="X2527" t="s">
        <v>42442</v>
      </c>
      <c r="Y2527" t="s">
        <v>42443</v>
      </c>
      <c r="Z2527" t="s">
        <v>42444</v>
      </c>
      <c r="AA2527" t="s">
        <v>42445</v>
      </c>
      <c r="AB2527" t="s">
        <v>42446</v>
      </c>
      <c r="AC2527" t="s">
        <v>74</v>
      </c>
      <c r="AD2527" t="s">
        <v>74</v>
      </c>
      <c r="AE2527" t="s">
        <v>74</v>
      </c>
      <c r="AF2527" t="s">
        <v>74</v>
      </c>
      <c r="AG2527">
        <v>76</v>
      </c>
      <c r="AH2527">
        <v>3</v>
      </c>
      <c r="AI2527">
        <v>3</v>
      </c>
      <c r="AJ2527">
        <v>0</v>
      </c>
      <c r="AK2527">
        <v>3</v>
      </c>
      <c r="AL2527" t="s">
        <v>479</v>
      </c>
      <c r="AM2527" t="s">
        <v>480</v>
      </c>
      <c r="AN2527" t="s">
        <v>481</v>
      </c>
      <c r="AO2527" t="s">
        <v>42447</v>
      </c>
      <c r="AP2527" t="s">
        <v>42448</v>
      </c>
      <c r="AQ2527" t="s">
        <v>74</v>
      </c>
      <c r="AR2527" t="s">
        <v>42449</v>
      </c>
      <c r="AS2527" t="s">
        <v>42450</v>
      </c>
      <c r="AT2527" t="s">
        <v>42451</v>
      </c>
      <c r="AU2527">
        <v>2024</v>
      </c>
      <c r="AV2527" t="s">
        <v>74</v>
      </c>
      <c r="AW2527" t="s">
        <v>74</v>
      </c>
      <c r="AX2527" t="s">
        <v>74</v>
      </c>
      <c r="AY2527" t="s">
        <v>74</v>
      </c>
      <c r="AZ2527" t="s">
        <v>74</v>
      </c>
      <c r="BA2527" t="s">
        <v>74</v>
      </c>
      <c r="BB2527" t="s">
        <v>74</v>
      </c>
      <c r="BC2527" t="s">
        <v>74</v>
      </c>
      <c r="BD2527" t="s">
        <v>74</v>
      </c>
      <c r="BE2527" t="s">
        <v>42452</v>
      </c>
      <c r="BF2527" t="str">
        <f>HYPERLINK("http://dx.doi.org/10.1111/1477-8947.12575","http://dx.doi.org/10.1111/1477-8947.12575")</f>
        <v>http://dx.doi.org/10.1111/1477-8947.12575</v>
      </c>
      <c r="BG2527" t="s">
        <v>74</v>
      </c>
      <c r="BH2527" t="s">
        <v>1136</v>
      </c>
      <c r="BI2527">
        <v>19</v>
      </c>
      <c r="BJ2527" t="s">
        <v>42453</v>
      </c>
      <c r="BK2527" t="s">
        <v>2623</v>
      </c>
      <c r="BL2527" t="s">
        <v>129</v>
      </c>
      <c r="BM2527" t="s">
        <v>42454</v>
      </c>
      <c r="BN2527" t="s">
        <v>74</v>
      </c>
      <c r="BO2527" t="s">
        <v>1205</v>
      </c>
      <c r="BP2527" t="s">
        <v>74</v>
      </c>
      <c r="BQ2527" t="s">
        <v>74</v>
      </c>
      <c r="BR2527" t="s">
        <v>102</v>
      </c>
      <c r="BS2527" t="s">
        <v>42455</v>
      </c>
      <c r="BT2527" t="str">
        <f>HYPERLINK("https%3A%2F%2Fwww.webofscience.com%2Fwos%2Fwoscc%2Ffull-record%2FWOS:001340585900001","View Full Record in Web of Science")</f>
        <v>View Full Record in Web of Science</v>
      </c>
    </row>
    <row r="2528" spans="1:72" x14ac:dyDescent="0.25">
      <c r="A2528" t="s">
        <v>72</v>
      </c>
      <c r="B2528" t="s">
        <v>42456</v>
      </c>
      <c r="C2528" t="s">
        <v>74</v>
      </c>
      <c r="D2528" t="s">
        <v>74</v>
      </c>
      <c r="E2528" t="s">
        <v>74</v>
      </c>
      <c r="F2528" t="s">
        <v>42457</v>
      </c>
      <c r="G2528" t="s">
        <v>74</v>
      </c>
      <c r="H2528" t="s">
        <v>74</v>
      </c>
      <c r="I2528" t="s">
        <v>42458</v>
      </c>
      <c r="J2528" t="s">
        <v>3231</v>
      </c>
      <c r="K2528" t="s">
        <v>74</v>
      </c>
      <c r="L2528" t="s">
        <v>74</v>
      </c>
      <c r="M2528" t="s">
        <v>78</v>
      </c>
      <c r="N2528" t="s">
        <v>79</v>
      </c>
      <c r="O2528" t="s">
        <v>74</v>
      </c>
      <c r="P2528" t="s">
        <v>74</v>
      </c>
      <c r="Q2528" t="s">
        <v>74</v>
      </c>
      <c r="R2528" t="s">
        <v>74</v>
      </c>
      <c r="S2528" t="s">
        <v>74</v>
      </c>
      <c r="T2528" t="s">
        <v>42459</v>
      </c>
      <c r="U2528" t="s">
        <v>42460</v>
      </c>
      <c r="V2528" t="s">
        <v>42461</v>
      </c>
      <c r="W2528" t="s">
        <v>42462</v>
      </c>
      <c r="X2528" t="s">
        <v>33825</v>
      </c>
      <c r="Y2528" t="s">
        <v>33824</v>
      </c>
      <c r="Z2528" t="s">
        <v>42463</v>
      </c>
      <c r="AA2528" t="s">
        <v>33823</v>
      </c>
      <c r="AB2528" t="s">
        <v>42464</v>
      </c>
      <c r="AC2528" t="s">
        <v>74</v>
      </c>
      <c r="AD2528" t="s">
        <v>74</v>
      </c>
      <c r="AE2528" t="s">
        <v>74</v>
      </c>
      <c r="AF2528" t="s">
        <v>74</v>
      </c>
      <c r="AG2528">
        <v>102</v>
      </c>
      <c r="AH2528">
        <v>36</v>
      </c>
      <c r="AI2528">
        <v>50</v>
      </c>
      <c r="AJ2528">
        <v>5</v>
      </c>
      <c r="AK2528">
        <v>67</v>
      </c>
      <c r="AL2528" t="s">
        <v>575</v>
      </c>
      <c r="AM2528" t="s">
        <v>576</v>
      </c>
      <c r="AN2528" t="s">
        <v>577</v>
      </c>
      <c r="AO2528" t="s">
        <v>74</v>
      </c>
      <c r="AP2528" t="s">
        <v>3243</v>
      </c>
      <c r="AQ2528" t="s">
        <v>74</v>
      </c>
      <c r="AR2528" t="s">
        <v>3244</v>
      </c>
      <c r="AS2528" t="s">
        <v>3245</v>
      </c>
      <c r="AT2528" t="s">
        <v>743</v>
      </c>
      <c r="AU2528">
        <v>2021</v>
      </c>
      <c r="AV2528">
        <v>13</v>
      </c>
      <c r="AW2528">
        <v>8</v>
      </c>
      <c r="AX2528" t="s">
        <v>74</v>
      </c>
      <c r="AY2528" t="s">
        <v>74</v>
      </c>
      <c r="AZ2528" t="s">
        <v>74</v>
      </c>
      <c r="BA2528" t="s">
        <v>74</v>
      </c>
      <c r="BB2528" t="s">
        <v>74</v>
      </c>
      <c r="BC2528" t="s">
        <v>74</v>
      </c>
      <c r="BD2528">
        <v>4303</v>
      </c>
      <c r="BE2528" t="s">
        <v>42465</v>
      </c>
      <c r="BF2528" t="str">
        <f>HYPERLINK("http://dx.doi.org/10.3390/su13084303","http://dx.doi.org/10.3390/su13084303")</f>
        <v>http://dx.doi.org/10.3390/su13084303</v>
      </c>
      <c r="BG2528" t="s">
        <v>74</v>
      </c>
      <c r="BH2528" t="s">
        <v>74</v>
      </c>
      <c r="BI2528">
        <v>18</v>
      </c>
      <c r="BJ2528" t="s">
        <v>3247</v>
      </c>
      <c r="BK2528" t="s">
        <v>2623</v>
      </c>
      <c r="BL2528" t="s">
        <v>3248</v>
      </c>
      <c r="BM2528" t="s">
        <v>42466</v>
      </c>
      <c r="BN2528" t="s">
        <v>74</v>
      </c>
      <c r="BO2528" t="s">
        <v>916</v>
      </c>
      <c r="BP2528" t="s">
        <v>74</v>
      </c>
      <c r="BQ2528" t="s">
        <v>74</v>
      </c>
      <c r="BR2528" t="s">
        <v>102</v>
      </c>
      <c r="BS2528" t="s">
        <v>42467</v>
      </c>
      <c r="BT2528" t="str">
        <f>HYPERLINK("https%3A%2F%2Fwww.webofscience.com%2Fwos%2Fwoscc%2Ffull-record%2FWOS:000645319800001","View Full Record in Web of Science")</f>
        <v>View Full Record in Web of Science</v>
      </c>
    </row>
    <row r="2529" spans="1:72" x14ac:dyDescent="0.25">
      <c r="A2529" t="s">
        <v>72</v>
      </c>
      <c r="B2529" t="s">
        <v>42468</v>
      </c>
      <c r="C2529" t="s">
        <v>74</v>
      </c>
      <c r="D2529" t="s">
        <v>74</v>
      </c>
      <c r="E2529" t="s">
        <v>74</v>
      </c>
      <c r="F2529" t="s">
        <v>42469</v>
      </c>
      <c r="G2529" t="s">
        <v>74</v>
      </c>
      <c r="H2529" t="s">
        <v>74</v>
      </c>
      <c r="I2529" t="s">
        <v>42470</v>
      </c>
      <c r="J2529" t="s">
        <v>42471</v>
      </c>
      <c r="K2529" t="s">
        <v>74</v>
      </c>
      <c r="L2529" t="s">
        <v>74</v>
      </c>
      <c r="M2529" t="s">
        <v>78</v>
      </c>
      <c r="N2529" t="s">
        <v>79</v>
      </c>
      <c r="O2529" t="s">
        <v>74</v>
      </c>
      <c r="P2529" t="s">
        <v>74</v>
      </c>
      <c r="Q2529" t="s">
        <v>74</v>
      </c>
      <c r="R2529" t="s">
        <v>74</v>
      </c>
      <c r="S2529" t="s">
        <v>74</v>
      </c>
      <c r="T2529" t="s">
        <v>74</v>
      </c>
      <c r="U2529" t="s">
        <v>42472</v>
      </c>
      <c r="V2529" t="s">
        <v>42473</v>
      </c>
      <c r="W2529" t="s">
        <v>42474</v>
      </c>
      <c r="X2529" t="s">
        <v>42475</v>
      </c>
      <c r="Y2529" t="s">
        <v>42476</v>
      </c>
      <c r="Z2529" t="s">
        <v>42477</v>
      </c>
      <c r="AA2529" t="s">
        <v>74</v>
      </c>
      <c r="AB2529" t="s">
        <v>42478</v>
      </c>
      <c r="AC2529" t="s">
        <v>42479</v>
      </c>
      <c r="AD2529" t="s">
        <v>42480</v>
      </c>
      <c r="AE2529" t="s">
        <v>42481</v>
      </c>
      <c r="AF2529" t="s">
        <v>74</v>
      </c>
      <c r="AG2529">
        <v>53</v>
      </c>
      <c r="AH2529">
        <v>22</v>
      </c>
      <c r="AI2529">
        <v>25</v>
      </c>
      <c r="AJ2529">
        <v>0</v>
      </c>
      <c r="AK2529">
        <v>20</v>
      </c>
      <c r="AL2529" t="s">
        <v>2551</v>
      </c>
      <c r="AM2529" t="s">
        <v>231</v>
      </c>
      <c r="AN2529" t="s">
        <v>2552</v>
      </c>
      <c r="AO2529" t="s">
        <v>42482</v>
      </c>
      <c r="AP2529" t="s">
        <v>42483</v>
      </c>
      <c r="AQ2529" t="s">
        <v>74</v>
      </c>
      <c r="AR2529" t="s">
        <v>42484</v>
      </c>
      <c r="AS2529" t="s">
        <v>42485</v>
      </c>
      <c r="AT2529" t="s">
        <v>42486</v>
      </c>
      <c r="AU2529">
        <v>2016</v>
      </c>
      <c r="AV2529">
        <v>51</v>
      </c>
      <c r="AW2529">
        <v>4</v>
      </c>
      <c r="AX2529" t="s">
        <v>74</v>
      </c>
      <c r="AY2529" t="s">
        <v>74</v>
      </c>
      <c r="AZ2529" t="s">
        <v>74</v>
      </c>
      <c r="BA2529" t="s">
        <v>74</v>
      </c>
      <c r="BB2529">
        <v>499</v>
      </c>
      <c r="BC2529">
        <v>516</v>
      </c>
      <c r="BD2529" t="s">
        <v>74</v>
      </c>
      <c r="BE2529" t="s">
        <v>42487</v>
      </c>
      <c r="BF2529" t="str">
        <f>HYPERLINK("http://dx.doi.org/10.1093/cdj/bsv050","http://dx.doi.org/10.1093/cdj/bsv050")</f>
        <v>http://dx.doi.org/10.1093/cdj/bsv050</v>
      </c>
      <c r="BG2529" t="s">
        <v>74</v>
      </c>
      <c r="BH2529" t="s">
        <v>74</v>
      </c>
      <c r="BI2529">
        <v>18</v>
      </c>
      <c r="BJ2529" t="s">
        <v>1137</v>
      </c>
      <c r="BK2529" t="s">
        <v>99</v>
      </c>
      <c r="BL2529" t="s">
        <v>1137</v>
      </c>
      <c r="BM2529" t="s">
        <v>42488</v>
      </c>
      <c r="BN2529" t="s">
        <v>74</v>
      </c>
      <c r="BO2529" t="s">
        <v>1205</v>
      </c>
      <c r="BP2529" t="s">
        <v>74</v>
      </c>
      <c r="BQ2529" t="s">
        <v>74</v>
      </c>
      <c r="BR2529" t="s">
        <v>102</v>
      </c>
      <c r="BS2529" t="s">
        <v>42489</v>
      </c>
      <c r="BT2529" t="str">
        <f>HYPERLINK("https%3A%2F%2Fwww.webofscience.com%2Fwos%2Fwoscc%2Ffull-record%2FWOS:000392732600004","View Full Record in Web of Science")</f>
        <v>View Full Record in Web of Science</v>
      </c>
    </row>
    <row r="2530" spans="1:72" x14ac:dyDescent="0.25">
      <c r="A2530" t="s">
        <v>72</v>
      </c>
      <c r="B2530" t="s">
        <v>42490</v>
      </c>
      <c r="C2530" t="s">
        <v>74</v>
      </c>
      <c r="D2530" t="s">
        <v>74</v>
      </c>
      <c r="E2530" t="s">
        <v>74</v>
      </c>
      <c r="F2530" t="s">
        <v>42491</v>
      </c>
      <c r="G2530" t="s">
        <v>74</v>
      </c>
      <c r="H2530" t="s">
        <v>74</v>
      </c>
      <c r="I2530" t="s">
        <v>42492</v>
      </c>
      <c r="J2530" t="s">
        <v>42493</v>
      </c>
      <c r="K2530" t="s">
        <v>74</v>
      </c>
      <c r="L2530" t="s">
        <v>74</v>
      </c>
      <c r="M2530" t="s">
        <v>78</v>
      </c>
      <c r="N2530" t="s">
        <v>79</v>
      </c>
      <c r="O2530" t="s">
        <v>74</v>
      </c>
      <c r="P2530" t="s">
        <v>74</v>
      </c>
      <c r="Q2530" t="s">
        <v>74</v>
      </c>
      <c r="R2530" t="s">
        <v>74</v>
      </c>
      <c r="S2530" t="s">
        <v>74</v>
      </c>
      <c r="T2530" t="s">
        <v>42494</v>
      </c>
      <c r="U2530" t="s">
        <v>42495</v>
      </c>
      <c r="V2530" t="s">
        <v>42496</v>
      </c>
      <c r="W2530" t="s">
        <v>42497</v>
      </c>
      <c r="X2530" t="s">
        <v>42498</v>
      </c>
      <c r="Y2530" t="s">
        <v>42499</v>
      </c>
      <c r="Z2530" t="s">
        <v>42500</v>
      </c>
      <c r="AA2530" t="s">
        <v>74</v>
      </c>
      <c r="AB2530" t="s">
        <v>42501</v>
      </c>
      <c r="AC2530" t="s">
        <v>74</v>
      </c>
      <c r="AD2530" t="s">
        <v>74</v>
      </c>
      <c r="AE2530" t="s">
        <v>74</v>
      </c>
      <c r="AF2530" t="s">
        <v>74</v>
      </c>
      <c r="AG2530">
        <v>38</v>
      </c>
      <c r="AH2530">
        <v>7</v>
      </c>
      <c r="AI2530">
        <v>8</v>
      </c>
      <c r="AJ2530">
        <v>0</v>
      </c>
      <c r="AK2530">
        <v>8</v>
      </c>
      <c r="AL2530" t="s">
        <v>332</v>
      </c>
      <c r="AM2530" t="s">
        <v>333</v>
      </c>
      <c r="AN2530" t="s">
        <v>334</v>
      </c>
      <c r="AO2530" t="s">
        <v>42502</v>
      </c>
      <c r="AP2530" t="s">
        <v>42503</v>
      </c>
      <c r="AQ2530" t="s">
        <v>74</v>
      </c>
      <c r="AR2530" t="s">
        <v>42504</v>
      </c>
      <c r="AS2530" t="s">
        <v>42505</v>
      </c>
      <c r="AT2530" t="s">
        <v>42506</v>
      </c>
      <c r="AU2530">
        <v>2023</v>
      </c>
      <c r="AV2530">
        <v>44</v>
      </c>
      <c r="AW2530">
        <v>5</v>
      </c>
      <c r="AX2530" t="s">
        <v>74</v>
      </c>
      <c r="AY2530" t="s">
        <v>74</v>
      </c>
      <c r="AZ2530" t="s">
        <v>74</v>
      </c>
      <c r="BA2530" t="s">
        <v>74</v>
      </c>
      <c r="BB2530">
        <v>1050</v>
      </c>
      <c r="BC2530">
        <v>1058</v>
      </c>
      <c r="BD2530" t="s">
        <v>74</v>
      </c>
      <c r="BE2530" t="s">
        <v>42507</v>
      </c>
      <c r="BF2530" t="str">
        <f>HYPERLINK("http://dx.doi.org/10.1080/02723638.2023.2188853","http://dx.doi.org/10.1080/02723638.2023.2188853")</f>
        <v>http://dx.doi.org/10.1080/02723638.2023.2188853</v>
      </c>
      <c r="BG2530" t="s">
        <v>74</v>
      </c>
      <c r="BH2530" t="s">
        <v>3595</v>
      </c>
      <c r="BI2530">
        <v>9</v>
      </c>
      <c r="BJ2530" t="s">
        <v>42508</v>
      </c>
      <c r="BK2530" t="s">
        <v>99</v>
      </c>
      <c r="BL2530" t="s">
        <v>42508</v>
      </c>
      <c r="BM2530" t="s">
        <v>42509</v>
      </c>
      <c r="BN2530" t="s">
        <v>74</v>
      </c>
      <c r="BO2530" t="s">
        <v>270</v>
      </c>
      <c r="BP2530" t="s">
        <v>74</v>
      </c>
      <c r="BQ2530" t="s">
        <v>74</v>
      </c>
      <c r="BR2530" t="s">
        <v>102</v>
      </c>
      <c r="BS2530" t="s">
        <v>42510</v>
      </c>
      <c r="BT2530" t="str">
        <f>HYPERLINK("https%3A%2F%2Fwww.webofscience.com%2Fwos%2Fwoscc%2Ffull-record%2FWOS:000957908200001","View Full Record in Web of Science")</f>
        <v>View Full Record in Web of Science</v>
      </c>
    </row>
    <row r="2531" spans="1:72" x14ac:dyDescent="0.25">
      <c r="A2531" t="s">
        <v>72</v>
      </c>
      <c r="B2531" t="s">
        <v>11007</v>
      </c>
      <c r="C2531" t="s">
        <v>74</v>
      </c>
      <c r="D2531" t="s">
        <v>74</v>
      </c>
      <c r="E2531" t="s">
        <v>74</v>
      </c>
      <c r="F2531" t="s">
        <v>11008</v>
      </c>
      <c r="G2531" t="s">
        <v>74</v>
      </c>
      <c r="H2531" t="s">
        <v>74</v>
      </c>
      <c r="I2531" t="s">
        <v>42511</v>
      </c>
      <c r="J2531" t="s">
        <v>2137</v>
      </c>
      <c r="K2531" t="s">
        <v>74</v>
      </c>
      <c r="L2531" t="s">
        <v>74</v>
      </c>
      <c r="M2531" t="s">
        <v>78</v>
      </c>
      <c r="N2531" t="s">
        <v>79</v>
      </c>
      <c r="O2531" t="s">
        <v>74</v>
      </c>
      <c r="P2531" t="s">
        <v>74</v>
      </c>
      <c r="Q2531" t="s">
        <v>74</v>
      </c>
      <c r="R2531" t="s">
        <v>74</v>
      </c>
      <c r="S2531" t="s">
        <v>74</v>
      </c>
      <c r="T2531" t="s">
        <v>42512</v>
      </c>
      <c r="U2531" t="s">
        <v>42513</v>
      </c>
      <c r="V2531" t="s">
        <v>42514</v>
      </c>
      <c r="W2531" t="s">
        <v>42515</v>
      </c>
      <c r="X2531" t="s">
        <v>6810</v>
      </c>
      <c r="Y2531" t="s">
        <v>42516</v>
      </c>
      <c r="Z2531" t="s">
        <v>42517</v>
      </c>
      <c r="AA2531" t="s">
        <v>11017</v>
      </c>
      <c r="AB2531" t="s">
        <v>74</v>
      </c>
      <c r="AC2531" t="s">
        <v>74</v>
      </c>
      <c r="AD2531" t="s">
        <v>74</v>
      </c>
      <c r="AE2531" t="s">
        <v>74</v>
      </c>
      <c r="AF2531" t="s">
        <v>74</v>
      </c>
      <c r="AG2531">
        <v>50</v>
      </c>
      <c r="AH2531">
        <v>5</v>
      </c>
      <c r="AI2531">
        <v>6</v>
      </c>
      <c r="AJ2531">
        <v>0</v>
      </c>
      <c r="AK2531">
        <v>10</v>
      </c>
      <c r="AL2531" t="s">
        <v>2145</v>
      </c>
      <c r="AM2531" t="s">
        <v>151</v>
      </c>
      <c r="AN2531" t="s">
        <v>2146</v>
      </c>
      <c r="AO2531" t="s">
        <v>2147</v>
      </c>
      <c r="AP2531" t="s">
        <v>2148</v>
      </c>
      <c r="AQ2531" t="s">
        <v>74</v>
      </c>
      <c r="AR2531" t="s">
        <v>2149</v>
      </c>
      <c r="AS2531" t="s">
        <v>2150</v>
      </c>
      <c r="AT2531" t="s">
        <v>74</v>
      </c>
      <c r="AU2531">
        <v>2023</v>
      </c>
      <c r="AV2531">
        <v>34</v>
      </c>
      <c r="AW2531">
        <v>3</v>
      </c>
      <c r="AX2531" t="s">
        <v>74</v>
      </c>
      <c r="AY2531" t="s">
        <v>74</v>
      </c>
      <c r="AZ2531" t="s">
        <v>74</v>
      </c>
      <c r="BA2531" t="s">
        <v>74</v>
      </c>
      <c r="BB2531">
        <v>354</v>
      </c>
      <c r="BC2531">
        <v>366</v>
      </c>
      <c r="BD2531" t="s">
        <v>74</v>
      </c>
      <c r="BE2531" t="s">
        <v>42518</v>
      </c>
      <c r="BF2531" t="str">
        <f>HYPERLINK("http://dx.doi.org/10.1891/JFCP-2022-0061","http://dx.doi.org/10.1891/JFCP-2022-0061")</f>
        <v>http://dx.doi.org/10.1891/JFCP-2022-0061</v>
      </c>
      <c r="BG2531" t="s">
        <v>74</v>
      </c>
      <c r="BH2531" t="s">
        <v>74</v>
      </c>
      <c r="BI2531">
        <v>13</v>
      </c>
      <c r="BJ2531" t="s">
        <v>1453</v>
      </c>
      <c r="BK2531" t="s">
        <v>313</v>
      </c>
      <c r="BL2531" t="s">
        <v>100</v>
      </c>
      <c r="BM2531" t="s">
        <v>42519</v>
      </c>
      <c r="BN2531" t="s">
        <v>74</v>
      </c>
      <c r="BO2531" t="s">
        <v>74</v>
      </c>
      <c r="BP2531" t="s">
        <v>74</v>
      </c>
      <c r="BQ2531" t="s">
        <v>74</v>
      </c>
      <c r="BR2531" t="s">
        <v>102</v>
      </c>
      <c r="BS2531" t="s">
        <v>42520</v>
      </c>
      <c r="BT2531" t="str">
        <f>HYPERLINK("https%3A%2F%2Fwww.webofscience.com%2Fwos%2Fwoscc%2Ffull-record%2FWOS:001105218800005","View Full Record in Web of Science")</f>
        <v>View Full Record in Web of Science</v>
      </c>
    </row>
    <row r="2532" spans="1:72" x14ac:dyDescent="0.25">
      <c r="A2532" t="s">
        <v>72</v>
      </c>
      <c r="B2532" t="s">
        <v>42521</v>
      </c>
      <c r="C2532" t="s">
        <v>74</v>
      </c>
      <c r="D2532" t="s">
        <v>74</v>
      </c>
      <c r="E2532" t="s">
        <v>74</v>
      </c>
      <c r="F2532" t="s">
        <v>42522</v>
      </c>
      <c r="G2532" t="s">
        <v>74</v>
      </c>
      <c r="H2532" t="s">
        <v>74</v>
      </c>
      <c r="I2532" t="s">
        <v>42523</v>
      </c>
      <c r="J2532" t="s">
        <v>42524</v>
      </c>
      <c r="K2532" t="s">
        <v>74</v>
      </c>
      <c r="L2532" t="s">
        <v>74</v>
      </c>
      <c r="M2532" t="s">
        <v>78</v>
      </c>
      <c r="N2532" t="s">
        <v>79</v>
      </c>
      <c r="O2532" t="s">
        <v>74</v>
      </c>
      <c r="P2532" t="s">
        <v>74</v>
      </c>
      <c r="Q2532" t="s">
        <v>74</v>
      </c>
      <c r="R2532" t="s">
        <v>74</v>
      </c>
      <c r="S2532" t="s">
        <v>74</v>
      </c>
      <c r="T2532" t="s">
        <v>42525</v>
      </c>
      <c r="U2532" t="s">
        <v>42526</v>
      </c>
      <c r="V2532" t="s">
        <v>42527</v>
      </c>
      <c r="W2532" t="s">
        <v>42528</v>
      </c>
      <c r="X2532" t="s">
        <v>42529</v>
      </c>
      <c r="Y2532" t="s">
        <v>42530</v>
      </c>
      <c r="Z2532" t="s">
        <v>42531</v>
      </c>
      <c r="AA2532" t="s">
        <v>42532</v>
      </c>
      <c r="AB2532" t="s">
        <v>42533</v>
      </c>
      <c r="AC2532" t="s">
        <v>74</v>
      </c>
      <c r="AD2532" t="s">
        <v>74</v>
      </c>
      <c r="AE2532" t="s">
        <v>42534</v>
      </c>
      <c r="AF2532" t="s">
        <v>74</v>
      </c>
      <c r="AG2532">
        <v>44</v>
      </c>
      <c r="AH2532">
        <v>0</v>
      </c>
      <c r="AI2532">
        <v>0</v>
      </c>
      <c r="AJ2532">
        <v>0</v>
      </c>
      <c r="AK2532">
        <v>3</v>
      </c>
      <c r="AL2532" t="s">
        <v>332</v>
      </c>
      <c r="AM2532" t="s">
        <v>333</v>
      </c>
      <c r="AN2532" t="s">
        <v>334</v>
      </c>
      <c r="AO2532" t="s">
        <v>42535</v>
      </c>
      <c r="AP2532" t="s">
        <v>42536</v>
      </c>
      <c r="AQ2532" t="s">
        <v>74</v>
      </c>
      <c r="AR2532" t="s">
        <v>42537</v>
      </c>
      <c r="AS2532" t="s">
        <v>42538</v>
      </c>
      <c r="AT2532" t="s">
        <v>2970</v>
      </c>
      <c r="AU2532">
        <v>2024</v>
      </c>
      <c r="AV2532">
        <v>19</v>
      </c>
      <c r="AW2532">
        <v>1</v>
      </c>
      <c r="AX2532" t="s">
        <v>74</v>
      </c>
      <c r="AY2532" t="s">
        <v>74</v>
      </c>
      <c r="AZ2532" t="s">
        <v>74</v>
      </c>
      <c r="BA2532" t="s">
        <v>74</v>
      </c>
      <c r="BB2532" t="s">
        <v>74</v>
      </c>
      <c r="BC2532" t="s">
        <v>74</v>
      </c>
      <c r="BD2532">
        <v>2396941</v>
      </c>
      <c r="BE2532" t="s">
        <v>42539</v>
      </c>
      <c r="BF2532" t="str">
        <f>HYPERLINK("http://dx.doi.org/10.1080/17441692.2024.2396941","http://dx.doi.org/10.1080/17441692.2024.2396941")</f>
        <v>http://dx.doi.org/10.1080/17441692.2024.2396941</v>
      </c>
      <c r="BG2532" t="s">
        <v>74</v>
      </c>
      <c r="BH2532" t="s">
        <v>74</v>
      </c>
      <c r="BI2532">
        <v>11</v>
      </c>
      <c r="BJ2532" t="s">
        <v>7080</v>
      </c>
      <c r="BK2532" t="s">
        <v>99</v>
      </c>
      <c r="BL2532" t="s">
        <v>7080</v>
      </c>
      <c r="BM2532" t="s">
        <v>42540</v>
      </c>
      <c r="BN2532">
        <v>39258305</v>
      </c>
      <c r="BO2532" t="s">
        <v>916</v>
      </c>
      <c r="BP2532" t="s">
        <v>74</v>
      </c>
      <c r="BQ2532" t="s">
        <v>74</v>
      </c>
      <c r="BR2532" t="s">
        <v>102</v>
      </c>
      <c r="BS2532" t="s">
        <v>42541</v>
      </c>
      <c r="BT2532" t="str">
        <f>HYPERLINK("https%3A%2F%2Fwww.webofscience.com%2Fwos%2Fwoscc%2Ffull-record%2FWOS:001310458100001","View Full Record in Web of Science")</f>
        <v>View Full Record in Web of Science</v>
      </c>
    </row>
    <row r="2533" spans="1:72" x14ac:dyDescent="0.25">
      <c r="A2533" t="s">
        <v>72</v>
      </c>
      <c r="B2533" t="s">
        <v>42542</v>
      </c>
      <c r="C2533" t="s">
        <v>74</v>
      </c>
      <c r="D2533" t="s">
        <v>74</v>
      </c>
      <c r="E2533" t="s">
        <v>74</v>
      </c>
      <c r="F2533" t="s">
        <v>42543</v>
      </c>
      <c r="G2533" t="s">
        <v>74</v>
      </c>
      <c r="H2533" t="s">
        <v>74</v>
      </c>
      <c r="I2533" t="s">
        <v>42544</v>
      </c>
      <c r="J2533" t="s">
        <v>424</v>
      </c>
      <c r="K2533" t="s">
        <v>74</v>
      </c>
      <c r="L2533" t="s">
        <v>74</v>
      </c>
      <c r="M2533" t="s">
        <v>78</v>
      </c>
      <c r="N2533" t="s">
        <v>79</v>
      </c>
      <c r="O2533" t="s">
        <v>74</v>
      </c>
      <c r="P2533" t="s">
        <v>74</v>
      </c>
      <c r="Q2533" t="s">
        <v>74</v>
      </c>
      <c r="R2533" t="s">
        <v>74</v>
      </c>
      <c r="S2533" t="s">
        <v>74</v>
      </c>
      <c r="T2533" t="s">
        <v>42545</v>
      </c>
      <c r="U2533" t="s">
        <v>74</v>
      </c>
      <c r="V2533" t="s">
        <v>42546</v>
      </c>
      <c r="W2533" t="s">
        <v>42547</v>
      </c>
      <c r="X2533" t="s">
        <v>42548</v>
      </c>
      <c r="Y2533" t="s">
        <v>42549</v>
      </c>
      <c r="Z2533" t="s">
        <v>42550</v>
      </c>
      <c r="AA2533" t="s">
        <v>74</v>
      </c>
      <c r="AB2533" t="s">
        <v>42551</v>
      </c>
      <c r="AC2533" t="s">
        <v>74</v>
      </c>
      <c r="AD2533" t="s">
        <v>74</v>
      </c>
      <c r="AE2533" t="s">
        <v>74</v>
      </c>
      <c r="AF2533" t="s">
        <v>74</v>
      </c>
      <c r="AG2533">
        <v>73</v>
      </c>
      <c r="AH2533">
        <v>0</v>
      </c>
      <c r="AI2533">
        <v>0</v>
      </c>
      <c r="AJ2533">
        <v>14</v>
      </c>
      <c r="AK2533">
        <v>14</v>
      </c>
      <c r="AL2533" t="s">
        <v>89</v>
      </c>
      <c r="AM2533" t="s">
        <v>90</v>
      </c>
      <c r="AN2533" t="s">
        <v>91</v>
      </c>
      <c r="AO2533" t="s">
        <v>436</v>
      </c>
      <c r="AP2533" t="s">
        <v>437</v>
      </c>
      <c r="AQ2533" t="s">
        <v>74</v>
      </c>
      <c r="AR2533" t="s">
        <v>438</v>
      </c>
      <c r="AS2533" t="s">
        <v>439</v>
      </c>
      <c r="AT2533" t="s">
        <v>1221</v>
      </c>
      <c r="AU2533">
        <v>2025</v>
      </c>
      <c r="AV2533">
        <v>43</v>
      </c>
      <c r="AW2533">
        <v>9</v>
      </c>
      <c r="AX2533" t="s">
        <v>74</v>
      </c>
      <c r="AY2533" t="s">
        <v>74</v>
      </c>
      <c r="AZ2533" t="s">
        <v>74</v>
      </c>
      <c r="BA2533" t="s">
        <v>74</v>
      </c>
      <c r="BB2533">
        <v>1863</v>
      </c>
      <c r="BC2533">
        <v>1883</v>
      </c>
      <c r="BD2533" t="s">
        <v>74</v>
      </c>
      <c r="BE2533" t="s">
        <v>42552</v>
      </c>
      <c r="BF2533" t="str">
        <f>HYPERLINK("http://dx.doi.org/10.1108/IJBM-10-2024-0622","http://dx.doi.org/10.1108/IJBM-10-2024-0622")</f>
        <v>http://dx.doi.org/10.1108/IJBM-10-2024-0622</v>
      </c>
      <c r="BG2533" t="s">
        <v>74</v>
      </c>
      <c r="BH2533" t="s">
        <v>3411</v>
      </c>
      <c r="BI2533">
        <v>21</v>
      </c>
      <c r="BJ2533" t="s">
        <v>418</v>
      </c>
      <c r="BK2533" t="s">
        <v>99</v>
      </c>
      <c r="BL2533" t="s">
        <v>100</v>
      </c>
      <c r="BM2533" t="s">
        <v>33659</v>
      </c>
      <c r="BN2533" t="s">
        <v>74</v>
      </c>
      <c r="BO2533" t="s">
        <v>1696</v>
      </c>
      <c r="BP2533" t="s">
        <v>74</v>
      </c>
      <c r="BQ2533" t="s">
        <v>74</v>
      </c>
      <c r="BR2533" t="s">
        <v>102</v>
      </c>
      <c r="BS2533" t="s">
        <v>42553</v>
      </c>
      <c r="BT2533" t="str">
        <f>HYPERLINK("https%3A%2F%2Fwww.webofscience.com%2Fwos%2Fwoscc%2Ffull-record%2FWOS:001564439200001","View Full Record in Web of Science")</f>
        <v>View Full Record in Web of Science</v>
      </c>
    </row>
    <row r="2534" spans="1:72" x14ac:dyDescent="0.25">
      <c r="A2534" t="s">
        <v>72</v>
      </c>
      <c r="B2534" t="s">
        <v>42554</v>
      </c>
      <c r="C2534" t="s">
        <v>74</v>
      </c>
      <c r="D2534" t="s">
        <v>74</v>
      </c>
      <c r="E2534" t="s">
        <v>74</v>
      </c>
      <c r="F2534" t="s">
        <v>42555</v>
      </c>
      <c r="G2534" t="s">
        <v>74</v>
      </c>
      <c r="H2534" t="s">
        <v>74</v>
      </c>
      <c r="I2534" t="s">
        <v>42556</v>
      </c>
      <c r="J2534" t="s">
        <v>24263</v>
      </c>
      <c r="K2534" t="s">
        <v>74</v>
      </c>
      <c r="L2534" t="s">
        <v>74</v>
      </c>
      <c r="M2534" t="s">
        <v>78</v>
      </c>
      <c r="N2534" t="s">
        <v>79</v>
      </c>
      <c r="O2534" t="s">
        <v>74</v>
      </c>
      <c r="P2534" t="s">
        <v>74</v>
      </c>
      <c r="Q2534" t="s">
        <v>74</v>
      </c>
      <c r="R2534" t="s">
        <v>74</v>
      </c>
      <c r="S2534" t="s">
        <v>74</v>
      </c>
      <c r="T2534" t="s">
        <v>74</v>
      </c>
      <c r="U2534" t="s">
        <v>42557</v>
      </c>
      <c r="V2534" t="s">
        <v>42558</v>
      </c>
      <c r="W2534" t="s">
        <v>42559</v>
      </c>
      <c r="X2534" t="s">
        <v>42560</v>
      </c>
      <c r="Y2534" t="s">
        <v>42561</v>
      </c>
      <c r="Z2534" t="s">
        <v>42562</v>
      </c>
      <c r="AA2534" t="s">
        <v>74</v>
      </c>
      <c r="AB2534" t="s">
        <v>42563</v>
      </c>
      <c r="AC2534" t="s">
        <v>42564</v>
      </c>
      <c r="AD2534" t="s">
        <v>42564</v>
      </c>
      <c r="AE2534" t="s">
        <v>42565</v>
      </c>
      <c r="AF2534" t="s">
        <v>74</v>
      </c>
      <c r="AG2534">
        <v>114</v>
      </c>
      <c r="AH2534">
        <v>22</v>
      </c>
      <c r="AI2534">
        <v>24</v>
      </c>
      <c r="AJ2534">
        <v>0</v>
      </c>
      <c r="AK2534">
        <v>33</v>
      </c>
      <c r="AL2534" t="s">
        <v>230</v>
      </c>
      <c r="AM2534" t="s">
        <v>231</v>
      </c>
      <c r="AN2534" t="s">
        <v>232</v>
      </c>
      <c r="AO2534" t="s">
        <v>24265</v>
      </c>
      <c r="AP2534" t="s">
        <v>24264</v>
      </c>
      <c r="AQ2534" t="s">
        <v>74</v>
      </c>
      <c r="AR2534" t="s">
        <v>24263</v>
      </c>
      <c r="AS2534" t="s">
        <v>24262</v>
      </c>
      <c r="AT2534" t="s">
        <v>891</v>
      </c>
      <c r="AU2534">
        <v>2019</v>
      </c>
      <c r="AV2534">
        <v>106</v>
      </c>
      <c r="AW2534" t="s">
        <v>74</v>
      </c>
      <c r="AX2534" t="s">
        <v>74</v>
      </c>
      <c r="AY2534" t="s">
        <v>74</v>
      </c>
      <c r="AZ2534" t="s">
        <v>74</v>
      </c>
      <c r="BA2534" t="s">
        <v>74</v>
      </c>
      <c r="BB2534">
        <v>253</v>
      </c>
      <c r="BC2534">
        <v>262</v>
      </c>
      <c r="BD2534" t="s">
        <v>74</v>
      </c>
      <c r="BE2534" t="s">
        <v>42566</v>
      </c>
      <c r="BF2534" t="str">
        <f>HYPERLINK("http://dx.doi.org/10.1016/j.geoforum.2019.08.012","http://dx.doi.org/10.1016/j.geoforum.2019.08.012")</f>
        <v>http://dx.doi.org/10.1016/j.geoforum.2019.08.012</v>
      </c>
      <c r="BG2534" t="s">
        <v>74</v>
      </c>
      <c r="BH2534" t="s">
        <v>74</v>
      </c>
      <c r="BI2534">
        <v>10</v>
      </c>
      <c r="BJ2534" t="s">
        <v>20950</v>
      </c>
      <c r="BK2534" t="s">
        <v>99</v>
      </c>
      <c r="BL2534" t="s">
        <v>20950</v>
      </c>
      <c r="BM2534" t="s">
        <v>42567</v>
      </c>
      <c r="BN2534" t="s">
        <v>74</v>
      </c>
      <c r="BO2534" t="s">
        <v>74</v>
      </c>
      <c r="BP2534" t="s">
        <v>74</v>
      </c>
      <c r="BQ2534" t="s">
        <v>74</v>
      </c>
      <c r="BR2534" t="s">
        <v>102</v>
      </c>
      <c r="BS2534" t="s">
        <v>42568</v>
      </c>
      <c r="BT2534" t="str">
        <f>HYPERLINK("https%3A%2F%2Fwww.webofscience.com%2Fwos%2Fwoscc%2Ffull-record%2FWOS:000496340900024","View Full Record in Web of Science")</f>
        <v>View Full Record in Web of Science</v>
      </c>
    </row>
    <row r="2535" spans="1:72" x14ac:dyDescent="0.25">
      <c r="A2535" t="s">
        <v>72</v>
      </c>
      <c r="B2535" t="s">
        <v>42569</v>
      </c>
      <c r="C2535" t="s">
        <v>74</v>
      </c>
      <c r="D2535" t="s">
        <v>74</v>
      </c>
      <c r="E2535" t="s">
        <v>74</v>
      </c>
      <c r="F2535" t="s">
        <v>42570</v>
      </c>
      <c r="G2535" t="s">
        <v>74</v>
      </c>
      <c r="H2535" t="s">
        <v>74</v>
      </c>
      <c r="I2535" t="s">
        <v>42571</v>
      </c>
      <c r="J2535" t="s">
        <v>6437</v>
      </c>
      <c r="K2535" t="s">
        <v>74</v>
      </c>
      <c r="L2535" t="s">
        <v>74</v>
      </c>
      <c r="M2535" t="s">
        <v>78</v>
      </c>
      <c r="N2535" t="s">
        <v>79</v>
      </c>
      <c r="O2535" t="s">
        <v>74</v>
      </c>
      <c r="P2535" t="s">
        <v>74</v>
      </c>
      <c r="Q2535" t="s">
        <v>74</v>
      </c>
      <c r="R2535" t="s">
        <v>74</v>
      </c>
      <c r="S2535" t="s">
        <v>74</v>
      </c>
      <c r="T2535" t="s">
        <v>42572</v>
      </c>
      <c r="U2535" t="s">
        <v>42573</v>
      </c>
      <c r="V2535" t="s">
        <v>42574</v>
      </c>
      <c r="W2535" t="s">
        <v>42575</v>
      </c>
      <c r="X2535" t="s">
        <v>42576</v>
      </c>
      <c r="Y2535" t="s">
        <v>42577</v>
      </c>
      <c r="Z2535" t="s">
        <v>42578</v>
      </c>
      <c r="AA2535" t="s">
        <v>74</v>
      </c>
      <c r="AB2535" t="s">
        <v>74</v>
      </c>
      <c r="AC2535" t="s">
        <v>74</v>
      </c>
      <c r="AD2535" t="s">
        <v>74</v>
      </c>
      <c r="AE2535" t="s">
        <v>74</v>
      </c>
      <c r="AF2535" t="s">
        <v>74</v>
      </c>
      <c r="AG2535">
        <v>28</v>
      </c>
      <c r="AH2535">
        <v>1</v>
      </c>
      <c r="AI2535">
        <v>1</v>
      </c>
      <c r="AJ2535">
        <v>0</v>
      </c>
      <c r="AK2535">
        <v>10</v>
      </c>
      <c r="AL2535" t="s">
        <v>479</v>
      </c>
      <c r="AM2535" t="s">
        <v>480</v>
      </c>
      <c r="AN2535" t="s">
        <v>481</v>
      </c>
      <c r="AO2535" t="s">
        <v>6446</v>
      </c>
      <c r="AP2535" t="s">
        <v>6447</v>
      </c>
      <c r="AQ2535" t="s">
        <v>74</v>
      </c>
      <c r="AR2535" t="s">
        <v>6448</v>
      </c>
      <c r="AS2535" t="s">
        <v>6449</v>
      </c>
      <c r="AT2535" t="s">
        <v>891</v>
      </c>
      <c r="AU2535">
        <v>2019</v>
      </c>
      <c r="AV2535">
        <v>48</v>
      </c>
      <c r="AW2535">
        <v>3</v>
      </c>
      <c r="AX2535" t="s">
        <v>74</v>
      </c>
      <c r="AY2535" t="s">
        <v>74</v>
      </c>
      <c r="AZ2535" t="s">
        <v>441</v>
      </c>
      <c r="BA2535" t="s">
        <v>74</v>
      </c>
      <c r="BB2535" t="s">
        <v>74</v>
      </c>
      <c r="BC2535" t="s">
        <v>74</v>
      </c>
      <c r="BD2535" t="s">
        <v>42579</v>
      </c>
      <c r="BE2535" t="s">
        <v>42580</v>
      </c>
      <c r="BF2535" t="str">
        <f>HYPERLINK("http://dx.doi.org/10.1111/ecno.12138","http://dx.doi.org/10.1111/ecno.12138")</f>
        <v>http://dx.doi.org/10.1111/ecno.12138</v>
      </c>
      <c r="BG2535" t="s">
        <v>74</v>
      </c>
      <c r="BH2535" t="s">
        <v>74</v>
      </c>
      <c r="BI2535">
        <v>18</v>
      </c>
      <c r="BJ2535" t="s">
        <v>291</v>
      </c>
      <c r="BK2535" t="s">
        <v>313</v>
      </c>
      <c r="BL2535" t="s">
        <v>100</v>
      </c>
      <c r="BM2535" t="s">
        <v>42581</v>
      </c>
      <c r="BN2535" t="s">
        <v>74</v>
      </c>
      <c r="BO2535" t="s">
        <v>74</v>
      </c>
      <c r="BP2535" t="s">
        <v>74</v>
      </c>
      <c r="BQ2535" t="s">
        <v>74</v>
      </c>
      <c r="BR2535" t="s">
        <v>102</v>
      </c>
      <c r="BS2535" t="s">
        <v>42582</v>
      </c>
      <c r="BT2535" t="str">
        <f>HYPERLINK("https%3A%2F%2Fwww.webofscience.com%2Fwos%2Fwoscc%2Ffull-record%2FWOS:000488968100004","View Full Record in Web of Science")</f>
        <v>View Full Record in Web of Science</v>
      </c>
    </row>
    <row r="2536" spans="1:72" x14ac:dyDescent="0.25">
      <c r="A2536" t="s">
        <v>132</v>
      </c>
      <c r="B2536" t="s">
        <v>42583</v>
      </c>
      <c r="C2536" t="s">
        <v>74</v>
      </c>
      <c r="D2536" t="s">
        <v>42584</v>
      </c>
      <c r="E2536" t="s">
        <v>74</v>
      </c>
      <c r="F2536" t="s">
        <v>42585</v>
      </c>
      <c r="G2536" t="s">
        <v>74</v>
      </c>
      <c r="H2536" t="s">
        <v>74</v>
      </c>
      <c r="I2536" t="s">
        <v>42586</v>
      </c>
      <c r="J2536" t="s">
        <v>42587</v>
      </c>
      <c r="K2536" t="s">
        <v>17423</v>
      </c>
      <c r="L2536" t="s">
        <v>74</v>
      </c>
      <c r="M2536" t="s">
        <v>78</v>
      </c>
      <c r="N2536" t="s">
        <v>138</v>
      </c>
      <c r="O2536" t="s">
        <v>42588</v>
      </c>
      <c r="P2536" t="s">
        <v>42589</v>
      </c>
      <c r="Q2536" t="s">
        <v>1890</v>
      </c>
      <c r="R2536" t="s">
        <v>74</v>
      </c>
      <c r="S2536" t="s">
        <v>74</v>
      </c>
      <c r="T2536" t="s">
        <v>42590</v>
      </c>
      <c r="U2536" t="s">
        <v>74</v>
      </c>
      <c r="V2536" t="s">
        <v>42591</v>
      </c>
      <c r="W2536" t="s">
        <v>42592</v>
      </c>
      <c r="X2536" t="s">
        <v>42593</v>
      </c>
      <c r="Y2536" t="s">
        <v>42594</v>
      </c>
      <c r="Z2536" t="s">
        <v>42595</v>
      </c>
      <c r="AA2536" t="s">
        <v>74</v>
      </c>
      <c r="AB2536" t="s">
        <v>74</v>
      </c>
      <c r="AC2536" t="s">
        <v>74</v>
      </c>
      <c r="AD2536" t="s">
        <v>74</v>
      </c>
      <c r="AE2536" t="s">
        <v>74</v>
      </c>
      <c r="AF2536" t="s">
        <v>74</v>
      </c>
      <c r="AG2536">
        <v>27</v>
      </c>
      <c r="AH2536">
        <v>0</v>
      </c>
      <c r="AI2536">
        <v>0</v>
      </c>
      <c r="AJ2536">
        <v>6</v>
      </c>
      <c r="AK2536">
        <v>7</v>
      </c>
      <c r="AL2536" t="s">
        <v>2105</v>
      </c>
      <c r="AM2536" t="s">
        <v>1890</v>
      </c>
      <c r="AN2536" t="s">
        <v>4110</v>
      </c>
      <c r="AO2536" t="s">
        <v>17434</v>
      </c>
      <c r="AP2536" t="s">
        <v>17435</v>
      </c>
      <c r="AQ2536" t="s">
        <v>42596</v>
      </c>
      <c r="AR2536" t="s">
        <v>17437</v>
      </c>
      <c r="AS2536" t="s">
        <v>74</v>
      </c>
      <c r="AT2536" t="s">
        <v>74</v>
      </c>
      <c r="AU2536">
        <v>2025</v>
      </c>
      <c r="AV2536">
        <v>2437</v>
      </c>
      <c r="AW2536" t="s">
        <v>74</v>
      </c>
      <c r="AX2536" t="s">
        <v>74</v>
      </c>
      <c r="AY2536" t="s">
        <v>74</v>
      </c>
      <c r="AZ2536" t="s">
        <v>74</v>
      </c>
      <c r="BA2536" t="s">
        <v>74</v>
      </c>
      <c r="BB2536">
        <v>9</v>
      </c>
      <c r="BC2536">
        <v>19</v>
      </c>
      <c r="BD2536" t="s">
        <v>74</v>
      </c>
      <c r="BE2536" t="s">
        <v>42597</v>
      </c>
      <c r="BF2536" t="str">
        <f>HYPERLINK("http://dx.doi.org/10.1007/978-981-96-3811-6_2","http://dx.doi.org/10.1007/978-981-96-3811-6_2")</f>
        <v>http://dx.doi.org/10.1007/978-981-96-3811-6_2</v>
      </c>
      <c r="BG2536" t="s">
        <v>74</v>
      </c>
      <c r="BH2536" t="s">
        <v>74</v>
      </c>
      <c r="BI2536">
        <v>11</v>
      </c>
      <c r="BJ2536" t="s">
        <v>42598</v>
      </c>
      <c r="BK2536" t="s">
        <v>1069</v>
      </c>
      <c r="BL2536" t="s">
        <v>1070</v>
      </c>
      <c r="BM2536" t="s">
        <v>42599</v>
      </c>
      <c r="BN2536" t="s">
        <v>74</v>
      </c>
      <c r="BO2536" t="s">
        <v>74</v>
      </c>
      <c r="BP2536" t="s">
        <v>74</v>
      </c>
      <c r="BQ2536" t="s">
        <v>74</v>
      </c>
      <c r="BR2536" t="s">
        <v>102</v>
      </c>
      <c r="BS2536" t="s">
        <v>42600</v>
      </c>
      <c r="BT2536" t="str">
        <f>HYPERLINK("https%3A%2F%2Fwww.webofscience.com%2Fwos%2Fwoscc%2Ffull-record%2FWOS:001479724400002","View Full Record in Web of Science")</f>
        <v>View Full Record in Web of Science</v>
      </c>
    </row>
    <row r="2537" spans="1:72" x14ac:dyDescent="0.25">
      <c r="A2537" t="s">
        <v>72</v>
      </c>
      <c r="B2537" t="s">
        <v>42601</v>
      </c>
      <c r="C2537" t="s">
        <v>74</v>
      </c>
      <c r="D2537" t="s">
        <v>74</v>
      </c>
      <c r="E2537" t="s">
        <v>74</v>
      </c>
      <c r="F2537" t="s">
        <v>42602</v>
      </c>
      <c r="G2537" t="s">
        <v>74</v>
      </c>
      <c r="H2537" t="s">
        <v>74</v>
      </c>
      <c r="I2537" t="s">
        <v>42603</v>
      </c>
      <c r="J2537" t="s">
        <v>23912</v>
      </c>
      <c r="K2537" t="s">
        <v>74</v>
      </c>
      <c r="L2537" t="s">
        <v>74</v>
      </c>
      <c r="M2537" t="s">
        <v>78</v>
      </c>
      <c r="N2537" t="s">
        <v>79</v>
      </c>
      <c r="O2537" t="s">
        <v>74</v>
      </c>
      <c r="P2537" t="s">
        <v>74</v>
      </c>
      <c r="Q2537" t="s">
        <v>74</v>
      </c>
      <c r="R2537" t="s">
        <v>74</v>
      </c>
      <c r="S2537" t="s">
        <v>74</v>
      </c>
      <c r="T2537" t="s">
        <v>74</v>
      </c>
      <c r="U2537" t="s">
        <v>42604</v>
      </c>
      <c r="V2537" t="s">
        <v>42605</v>
      </c>
      <c r="W2537" t="s">
        <v>42606</v>
      </c>
      <c r="X2537" t="s">
        <v>42607</v>
      </c>
      <c r="Y2537" t="s">
        <v>42608</v>
      </c>
      <c r="Z2537" t="s">
        <v>42609</v>
      </c>
      <c r="AA2537" t="s">
        <v>74</v>
      </c>
      <c r="AB2537" t="s">
        <v>74</v>
      </c>
      <c r="AC2537" t="s">
        <v>74</v>
      </c>
      <c r="AD2537" t="s">
        <v>74</v>
      </c>
      <c r="AE2537" t="s">
        <v>74</v>
      </c>
      <c r="AF2537" t="s">
        <v>74</v>
      </c>
      <c r="AG2537">
        <v>37</v>
      </c>
      <c r="AH2537">
        <v>2</v>
      </c>
      <c r="AI2537">
        <v>2</v>
      </c>
      <c r="AJ2537">
        <v>2</v>
      </c>
      <c r="AK2537">
        <v>4</v>
      </c>
      <c r="AL2537" t="s">
        <v>23912</v>
      </c>
      <c r="AM2537" t="s">
        <v>3024</v>
      </c>
      <c r="AN2537" t="s">
        <v>23911</v>
      </c>
      <c r="AO2537" t="s">
        <v>23910</v>
      </c>
      <c r="AP2537" t="s">
        <v>74</v>
      </c>
      <c r="AQ2537" t="s">
        <v>74</v>
      </c>
      <c r="AR2537" t="s">
        <v>23909</v>
      </c>
      <c r="AS2537" t="s">
        <v>23908</v>
      </c>
      <c r="AT2537" t="s">
        <v>74</v>
      </c>
      <c r="AU2537">
        <v>2022</v>
      </c>
      <c r="AV2537">
        <v>42</v>
      </c>
      <c r="AW2537">
        <v>4</v>
      </c>
      <c r="AX2537" t="s">
        <v>74</v>
      </c>
      <c r="AY2537" t="s">
        <v>74</v>
      </c>
      <c r="AZ2537" t="s">
        <v>74</v>
      </c>
      <c r="BA2537" t="s">
        <v>74</v>
      </c>
      <c r="BB2537" t="s">
        <v>74</v>
      </c>
      <c r="BC2537" t="s">
        <v>74</v>
      </c>
      <c r="BD2537" t="s">
        <v>74</v>
      </c>
      <c r="BE2537" t="s">
        <v>74</v>
      </c>
      <c r="BF2537" t="s">
        <v>74</v>
      </c>
      <c r="BG2537" t="s">
        <v>74</v>
      </c>
      <c r="BH2537" t="s">
        <v>74</v>
      </c>
      <c r="BI2537">
        <v>13</v>
      </c>
      <c r="BJ2537" t="s">
        <v>291</v>
      </c>
      <c r="BK2537" t="s">
        <v>313</v>
      </c>
      <c r="BL2537" t="s">
        <v>100</v>
      </c>
      <c r="BM2537" t="s">
        <v>42610</v>
      </c>
      <c r="BN2537" t="s">
        <v>74</v>
      </c>
      <c r="BO2537" t="s">
        <v>74</v>
      </c>
      <c r="BP2537" t="s">
        <v>74</v>
      </c>
      <c r="BQ2537" t="s">
        <v>74</v>
      </c>
      <c r="BR2537" t="s">
        <v>102</v>
      </c>
      <c r="BS2537" t="s">
        <v>42611</v>
      </c>
      <c r="BT2537" t="str">
        <f>HYPERLINK("https%3A%2F%2Fwww.webofscience.com%2Fwos%2Fwoscc%2Ffull-record%2FWOS:001228456800004","View Full Record in Web of Science")</f>
        <v>View Full Record in Web of Science</v>
      </c>
    </row>
    <row r="2538" spans="1:72" x14ac:dyDescent="0.25">
      <c r="A2538" t="s">
        <v>132</v>
      </c>
      <c r="B2538" t="s">
        <v>42612</v>
      </c>
      <c r="C2538" t="s">
        <v>74</v>
      </c>
      <c r="D2538" t="s">
        <v>42613</v>
      </c>
      <c r="E2538" t="s">
        <v>74</v>
      </c>
      <c r="F2538" t="s">
        <v>42614</v>
      </c>
      <c r="G2538" t="s">
        <v>74</v>
      </c>
      <c r="H2538" t="s">
        <v>74</v>
      </c>
      <c r="I2538" t="s">
        <v>42615</v>
      </c>
      <c r="J2538" t="s">
        <v>42616</v>
      </c>
      <c r="K2538" t="s">
        <v>42617</v>
      </c>
      <c r="L2538" t="s">
        <v>74</v>
      </c>
      <c r="M2538" t="s">
        <v>78</v>
      </c>
      <c r="N2538" t="s">
        <v>138</v>
      </c>
      <c r="O2538" t="s">
        <v>42618</v>
      </c>
      <c r="P2538" t="s">
        <v>42619</v>
      </c>
      <c r="Q2538" t="s">
        <v>42620</v>
      </c>
      <c r="R2538" t="s">
        <v>5796</v>
      </c>
      <c r="S2538" t="s">
        <v>74</v>
      </c>
      <c r="T2538" t="s">
        <v>42621</v>
      </c>
      <c r="U2538" t="s">
        <v>74</v>
      </c>
      <c r="V2538" t="s">
        <v>42622</v>
      </c>
      <c r="W2538" t="s">
        <v>42623</v>
      </c>
      <c r="X2538" t="s">
        <v>42624</v>
      </c>
      <c r="Y2538" t="s">
        <v>42625</v>
      </c>
      <c r="Z2538" t="s">
        <v>74</v>
      </c>
      <c r="AA2538" t="s">
        <v>74</v>
      </c>
      <c r="AB2538" t="s">
        <v>74</v>
      </c>
      <c r="AC2538" t="s">
        <v>74</v>
      </c>
      <c r="AD2538" t="s">
        <v>74</v>
      </c>
      <c r="AE2538" t="s">
        <v>74</v>
      </c>
      <c r="AF2538" t="s">
        <v>74</v>
      </c>
      <c r="AG2538">
        <v>47</v>
      </c>
      <c r="AH2538">
        <v>0</v>
      </c>
      <c r="AI2538">
        <v>0</v>
      </c>
      <c r="AJ2538">
        <v>0</v>
      </c>
      <c r="AK2538">
        <v>0</v>
      </c>
      <c r="AL2538" t="s">
        <v>771</v>
      </c>
      <c r="AM2538" t="s">
        <v>151</v>
      </c>
      <c r="AN2538" t="s">
        <v>785</v>
      </c>
      <c r="AO2538" t="s">
        <v>42626</v>
      </c>
      <c r="AP2538" t="s">
        <v>42627</v>
      </c>
      <c r="AQ2538" t="s">
        <v>42628</v>
      </c>
      <c r="AR2538" t="s">
        <v>42629</v>
      </c>
      <c r="AS2538" t="s">
        <v>74</v>
      </c>
      <c r="AT2538" t="s">
        <v>74</v>
      </c>
      <c r="AU2538">
        <v>2025</v>
      </c>
      <c r="AV2538" t="s">
        <v>74</v>
      </c>
      <c r="AW2538" t="s">
        <v>74</v>
      </c>
      <c r="AX2538" t="s">
        <v>74</v>
      </c>
      <c r="AY2538" t="s">
        <v>74</v>
      </c>
      <c r="AZ2538" t="s">
        <v>74</v>
      </c>
      <c r="BA2538" t="s">
        <v>74</v>
      </c>
      <c r="BB2538">
        <v>898</v>
      </c>
      <c r="BC2538">
        <v>904</v>
      </c>
      <c r="BD2538" t="s">
        <v>74</v>
      </c>
      <c r="BE2538" t="s">
        <v>42630</v>
      </c>
      <c r="BF2538" t="str">
        <f>HYPERLINK("http://dx.doi.org/10.1109/LOGISTIQUA66323.2025.11122766","http://dx.doi.org/10.1109/LOGISTIQUA66323.2025.11122766")</f>
        <v>http://dx.doi.org/10.1109/LOGISTIQUA66323.2025.11122766</v>
      </c>
      <c r="BG2538" t="s">
        <v>74</v>
      </c>
      <c r="BH2538" t="s">
        <v>74</v>
      </c>
      <c r="BI2538">
        <v>7</v>
      </c>
      <c r="BJ2538" t="s">
        <v>33957</v>
      </c>
      <c r="BK2538" t="s">
        <v>1069</v>
      </c>
      <c r="BL2538" t="s">
        <v>33956</v>
      </c>
      <c r="BM2538" t="s">
        <v>42631</v>
      </c>
      <c r="BN2538" t="s">
        <v>74</v>
      </c>
      <c r="BO2538" t="s">
        <v>74</v>
      </c>
      <c r="BP2538" t="s">
        <v>74</v>
      </c>
      <c r="BQ2538" t="s">
        <v>74</v>
      </c>
      <c r="BR2538" t="s">
        <v>102</v>
      </c>
      <c r="BS2538" t="s">
        <v>42632</v>
      </c>
      <c r="BT2538" t="str">
        <f>HYPERLINK("https%3A%2F%2Fwww.webofscience.com%2Fwos%2Fwoscc%2Ffull-record%2FWOS:001586065100117","View Full Record in Web of Science")</f>
        <v>View Full Record in Web of Science</v>
      </c>
    </row>
    <row r="2539" spans="1:72" x14ac:dyDescent="0.25">
      <c r="A2539" t="s">
        <v>72</v>
      </c>
      <c r="B2539" t="s">
        <v>42633</v>
      </c>
      <c r="C2539" t="s">
        <v>74</v>
      </c>
      <c r="D2539" t="s">
        <v>74</v>
      </c>
      <c r="E2539" t="s">
        <v>74</v>
      </c>
      <c r="F2539" t="s">
        <v>42634</v>
      </c>
      <c r="G2539" t="s">
        <v>74</v>
      </c>
      <c r="H2539" t="s">
        <v>74</v>
      </c>
      <c r="I2539" t="s">
        <v>42635</v>
      </c>
      <c r="J2539" t="s">
        <v>42636</v>
      </c>
      <c r="K2539" t="s">
        <v>74</v>
      </c>
      <c r="L2539" t="s">
        <v>74</v>
      </c>
      <c r="M2539" t="s">
        <v>78</v>
      </c>
      <c r="N2539" t="s">
        <v>79</v>
      </c>
      <c r="O2539" t="s">
        <v>74</v>
      </c>
      <c r="P2539" t="s">
        <v>74</v>
      </c>
      <c r="Q2539" t="s">
        <v>74</v>
      </c>
      <c r="R2539" t="s">
        <v>74</v>
      </c>
      <c r="S2539" t="s">
        <v>74</v>
      </c>
      <c r="T2539" t="s">
        <v>42637</v>
      </c>
      <c r="U2539" t="s">
        <v>42638</v>
      </c>
      <c r="V2539" t="s">
        <v>42639</v>
      </c>
      <c r="W2539" t="s">
        <v>42640</v>
      </c>
      <c r="X2539" t="s">
        <v>42641</v>
      </c>
      <c r="Y2539" t="s">
        <v>42642</v>
      </c>
      <c r="Z2539" t="s">
        <v>42643</v>
      </c>
      <c r="AA2539" t="s">
        <v>74</v>
      </c>
      <c r="AB2539" t="s">
        <v>74</v>
      </c>
      <c r="AC2539" t="s">
        <v>74</v>
      </c>
      <c r="AD2539" t="s">
        <v>74</v>
      </c>
      <c r="AE2539" t="s">
        <v>74</v>
      </c>
      <c r="AF2539" t="s">
        <v>74</v>
      </c>
      <c r="AG2539">
        <v>48</v>
      </c>
      <c r="AH2539">
        <v>10</v>
      </c>
      <c r="AI2539">
        <v>13</v>
      </c>
      <c r="AJ2539">
        <v>0</v>
      </c>
      <c r="AK2539">
        <v>8</v>
      </c>
      <c r="AL2539" t="s">
        <v>89</v>
      </c>
      <c r="AM2539" t="s">
        <v>90</v>
      </c>
      <c r="AN2539" t="s">
        <v>91</v>
      </c>
      <c r="AO2539" t="s">
        <v>42644</v>
      </c>
      <c r="AP2539" t="s">
        <v>42645</v>
      </c>
      <c r="AQ2539" t="s">
        <v>74</v>
      </c>
      <c r="AR2539" t="s">
        <v>42646</v>
      </c>
      <c r="AS2539" t="s">
        <v>42647</v>
      </c>
      <c r="AT2539" t="s">
        <v>11018</v>
      </c>
      <c r="AU2539">
        <v>2023</v>
      </c>
      <c r="AV2539">
        <v>38</v>
      </c>
      <c r="AW2539">
        <v>11</v>
      </c>
      <c r="AX2539" t="s">
        <v>74</v>
      </c>
      <c r="AY2539" t="s">
        <v>74</v>
      </c>
      <c r="AZ2539" t="s">
        <v>74</v>
      </c>
      <c r="BA2539" t="s">
        <v>74</v>
      </c>
      <c r="BB2539">
        <v>2460</v>
      </c>
      <c r="BC2539">
        <v>2470</v>
      </c>
      <c r="BD2539" t="s">
        <v>74</v>
      </c>
      <c r="BE2539" t="s">
        <v>42648</v>
      </c>
      <c r="BF2539" t="str">
        <f>HYPERLINK("http://dx.doi.org/10.1108/JBIM-10-2022-0459","http://dx.doi.org/10.1108/JBIM-10-2022-0459")</f>
        <v>http://dx.doi.org/10.1108/JBIM-10-2022-0459</v>
      </c>
      <c r="BG2539" t="s">
        <v>74</v>
      </c>
      <c r="BH2539" t="s">
        <v>6298</v>
      </c>
      <c r="BI2539">
        <v>11</v>
      </c>
      <c r="BJ2539" t="s">
        <v>418</v>
      </c>
      <c r="BK2539" t="s">
        <v>99</v>
      </c>
      <c r="BL2539" t="s">
        <v>100</v>
      </c>
      <c r="BM2539" t="s">
        <v>42649</v>
      </c>
      <c r="BN2539" t="s">
        <v>74</v>
      </c>
      <c r="BO2539" t="s">
        <v>74</v>
      </c>
      <c r="BP2539" t="s">
        <v>74</v>
      </c>
      <c r="BQ2539" t="s">
        <v>74</v>
      </c>
      <c r="BR2539" t="s">
        <v>102</v>
      </c>
      <c r="BS2539" t="s">
        <v>42650</v>
      </c>
      <c r="BT2539" t="str">
        <f>HYPERLINK("https%3A%2F%2Fwww.webofscience.com%2Fwos%2Fwoscc%2Ffull-record%2FWOS:000966622700001","View Full Record in Web of Science")</f>
        <v>View Full Record in Web of Science</v>
      </c>
    </row>
    <row r="2540" spans="1:72" x14ac:dyDescent="0.25">
      <c r="A2540" t="s">
        <v>72</v>
      </c>
      <c r="B2540" t="s">
        <v>42651</v>
      </c>
      <c r="C2540" t="s">
        <v>74</v>
      </c>
      <c r="D2540" t="s">
        <v>74</v>
      </c>
      <c r="E2540" t="s">
        <v>74</v>
      </c>
      <c r="F2540" t="s">
        <v>42652</v>
      </c>
      <c r="G2540" t="s">
        <v>74</v>
      </c>
      <c r="H2540" t="s">
        <v>74</v>
      </c>
      <c r="I2540" t="s">
        <v>42653</v>
      </c>
      <c r="J2540" t="s">
        <v>42654</v>
      </c>
      <c r="K2540" t="s">
        <v>74</v>
      </c>
      <c r="L2540" t="s">
        <v>74</v>
      </c>
      <c r="M2540" t="s">
        <v>78</v>
      </c>
      <c r="N2540" t="s">
        <v>79</v>
      </c>
      <c r="O2540" t="s">
        <v>74</v>
      </c>
      <c r="P2540" t="s">
        <v>74</v>
      </c>
      <c r="Q2540" t="s">
        <v>74</v>
      </c>
      <c r="R2540" t="s">
        <v>74</v>
      </c>
      <c r="S2540" t="s">
        <v>74</v>
      </c>
      <c r="T2540" t="s">
        <v>42655</v>
      </c>
      <c r="U2540" t="s">
        <v>6283</v>
      </c>
      <c r="V2540" t="s">
        <v>42656</v>
      </c>
      <c r="W2540" t="s">
        <v>42657</v>
      </c>
      <c r="X2540" t="s">
        <v>38130</v>
      </c>
      <c r="Y2540" t="s">
        <v>42658</v>
      </c>
      <c r="Z2540" t="s">
        <v>42659</v>
      </c>
      <c r="AA2540" t="s">
        <v>42660</v>
      </c>
      <c r="AB2540" t="s">
        <v>42661</v>
      </c>
      <c r="AC2540" t="s">
        <v>42662</v>
      </c>
      <c r="AD2540" t="s">
        <v>42662</v>
      </c>
      <c r="AE2540" t="s">
        <v>42663</v>
      </c>
      <c r="AF2540" t="s">
        <v>74</v>
      </c>
      <c r="AG2540">
        <v>33</v>
      </c>
      <c r="AH2540">
        <v>6</v>
      </c>
      <c r="AI2540">
        <v>7</v>
      </c>
      <c r="AJ2540">
        <v>0</v>
      </c>
      <c r="AK2540">
        <v>15</v>
      </c>
      <c r="AL2540" t="s">
        <v>42664</v>
      </c>
      <c r="AM2540" t="s">
        <v>42665</v>
      </c>
      <c r="AN2540" t="s">
        <v>42666</v>
      </c>
      <c r="AO2540" t="s">
        <v>42667</v>
      </c>
      <c r="AP2540" t="s">
        <v>74</v>
      </c>
      <c r="AQ2540" t="s">
        <v>74</v>
      </c>
      <c r="AR2540" t="s">
        <v>42668</v>
      </c>
      <c r="AS2540" t="s">
        <v>42669</v>
      </c>
      <c r="AT2540" t="s">
        <v>605</v>
      </c>
      <c r="AU2540">
        <v>2019</v>
      </c>
      <c r="AV2540">
        <v>6</v>
      </c>
      <c r="AW2540">
        <v>3</v>
      </c>
      <c r="AX2540" t="s">
        <v>74</v>
      </c>
      <c r="AY2540" t="s">
        <v>74</v>
      </c>
      <c r="AZ2540" t="s">
        <v>74</v>
      </c>
      <c r="BA2540" t="s">
        <v>74</v>
      </c>
      <c r="BB2540">
        <v>1485</v>
      </c>
      <c r="BC2540">
        <v>1496</v>
      </c>
      <c r="BD2540" t="s">
        <v>74</v>
      </c>
      <c r="BE2540" t="s">
        <v>42670</v>
      </c>
      <c r="BF2540" t="str">
        <f>HYPERLINK("http://dx.doi.org/10.9770/jssi.2019.6.3(30)","http://dx.doi.org/10.9770/jssi.2019.6.3(30)")</f>
        <v>http://dx.doi.org/10.9770/jssi.2019.6.3(30)</v>
      </c>
      <c r="BG2540" t="s">
        <v>74</v>
      </c>
      <c r="BH2540" t="s">
        <v>74</v>
      </c>
      <c r="BI2540">
        <v>12</v>
      </c>
      <c r="BJ2540" t="s">
        <v>418</v>
      </c>
      <c r="BK2540" t="s">
        <v>313</v>
      </c>
      <c r="BL2540" t="s">
        <v>100</v>
      </c>
      <c r="BM2540" t="s">
        <v>42671</v>
      </c>
      <c r="BN2540" t="s">
        <v>74</v>
      </c>
      <c r="BO2540" t="s">
        <v>74</v>
      </c>
      <c r="BP2540" t="s">
        <v>74</v>
      </c>
      <c r="BQ2540" t="s">
        <v>74</v>
      </c>
      <c r="BR2540" t="s">
        <v>102</v>
      </c>
      <c r="BS2540" t="s">
        <v>42672</v>
      </c>
      <c r="BT2540" t="str">
        <f>HYPERLINK("https%3A%2F%2Fwww.webofscience.com%2Fwos%2Fwoscc%2Ffull-record%2FWOS:000460934100030","View Full Record in Web of Science")</f>
        <v>View Full Record in Web of Science</v>
      </c>
    </row>
    <row r="2541" spans="1:72" x14ac:dyDescent="0.25">
      <c r="A2541" t="s">
        <v>72</v>
      </c>
      <c r="B2541" t="s">
        <v>42673</v>
      </c>
      <c r="C2541" t="s">
        <v>74</v>
      </c>
      <c r="D2541" t="s">
        <v>74</v>
      </c>
      <c r="E2541" t="s">
        <v>74</v>
      </c>
      <c r="F2541" t="s">
        <v>42674</v>
      </c>
      <c r="G2541" t="s">
        <v>74</v>
      </c>
      <c r="H2541" t="s">
        <v>74</v>
      </c>
      <c r="I2541" t="s">
        <v>42675</v>
      </c>
      <c r="J2541" t="s">
        <v>1143</v>
      </c>
      <c r="K2541" t="s">
        <v>74</v>
      </c>
      <c r="L2541" t="s">
        <v>74</v>
      </c>
      <c r="M2541" t="s">
        <v>78</v>
      </c>
      <c r="N2541" t="s">
        <v>372</v>
      </c>
      <c r="O2541" t="s">
        <v>74</v>
      </c>
      <c r="P2541" t="s">
        <v>74</v>
      </c>
      <c r="Q2541" t="s">
        <v>74</v>
      </c>
      <c r="R2541" t="s">
        <v>74</v>
      </c>
      <c r="S2541" t="s">
        <v>74</v>
      </c>
      <c r="T2541" t="s">
        <v>42676</v>
      </c>
      <c r="U2541" t="s">
        <v>42677</v>
      </c>
      <c r="V2541" t="s">
        <v>42678</v>
      </c>
      <c r="W2541" t="s">
        <v>42679</v>
      </c>
      <c r="X2541" t="s">
        <v>42680</v>
      </c>
      <c r="Y2541" t="s">
        <v>42681</v>
      </c>
      <c r="Z2541" t="s">
        <v>42682</v>
      </c>
      <c r="AA2541" t="s">
        <v>42683</v>
      </c>
      <c r="AB2541" t="s">
        <v>42684</v>
      </c>
      <c r="AC2541" t="s">
        <v>42685</v>
      </c>
      <c r="AD2541" t="s">
        <v>42685</v>
      </c>
      <c r="AE2541" t="s">
        <v>42685</v>
      </c>
      <c r="AF2541" t="s">
        <v>74</v>
      </c>
      <c r="AG2541">
        <v>81</v>
      </c>
      <c r="AH2541">
        <v>0</v>
      </c>
      <c r="AI2541">
        <v>2</v>
      </c>
      <c r="AJ2541">
        <v>0</v>
      </c>
      <c r="AK2541">
        <v>7</v>
      </c>
      <c r="AL2541" t="s">
        <v>385</v>
      </c>
      <c r="AM2541" t="s">
        <v>1153</v>
      </c>
      <c r="AN2541" t="s">
        <v>1154</v>
      </c>
      <c r="AO2541" t="s">
        <v>1155</v>
      </c>
      <c r="AP2541" t="s">
        <v>1156</v>
      </c>
      <c r="AQ2541" t="s">
        <v>74</v>
      </c>
      <c r="AR2541" t="s">
        <v>1157</v>
      </c>
      <c r="AS2541" t="s">
        <v>1158</v>
      </c>
      <c r="AT2541" t="s">
        <v>42686</v>
      </c>
      <c r="AU2541">
        <v>2023</v>
      </c>
      <c r="AV2541" t="s">
        <v>74</v>
      </c>
      <c r="AW2541" t="s">
        <v>74</v>
      </c>
      <c r="AX2541" t="s">
        <v>74</v>
      </c>
      <c r="AY2541" t="s">
        <v>74</v>
      </c>
      <c r="AZ2541" t="s">
        <v>74</v>
      </c>
      <c r="BA2541" t="s">
        <v>74</v>
      </c>
      <c r="BB2541" t="s">
        <v>74</v>
      </c>
      <c r="BC2541" t="s">
        <v>74</v>
      </c>
      <c r="BD2541" t="s">
        <v>74</v>
      </c>
      <c r="BE2541" t="s">
        <v>42687</v>
      </c>
      <c r="BF2541" t="str">
        <f>HYPERLINK("http://dx.doi.org/10.1007/s11205-023-03200-y","http://dx.doi.org/10.1007/s11205-023-03200-y")</f>
        <v>http://dx.doi.org/10.1007/s11205-023-03200-y</v>
      </c>
      <c r="BG2541" t="s">
        <v>74</v>
      </c>
      <c r="BH2541" t="s">
        <v>7993</v>
      </c>
      <c r="BI2541">
        <v>22</v>
      </c>
      <c r="BJ2541" t="s">
        <v>1161</v>
      </c>
      <c r="BK2541" t="s">
        <v>99</v>
      </c>
      <c r="BL2541" t="s">
        <v>1162</v>
      </c>
      <c r="BM2541" t="s">
        <v>42688</v>
      </c>
      <c r="BN2541" t="s">
        <v>74</v>
      </c>
      <c r="BO2541" t="s">
        <v>74</v>
      </c>
      <c r="BP2541" t="s">
        <v>74</v>
      </c>
      <c r="BQ2541" t="s">
        <v>74</v>
      </c>
      <c r="BR2541" t="s">
        <v>102</v>
      </c>
      <c r="BS2541" t="s">
        <v>42689</v>
      </c>
      <c r="BT2541" t="str">
        <f>HYPERLINK("https%3A%2F%2Fwww.webofscience.com%2Fwos%2Fwoscc%2Ffull-record%2FWOS:001061969800001","View Full Record in Web of Science")</f>
        <v>View Full Record in Web of Science</v>
      </c>
    </row>
    <row r="2542" spans="1:72" x14ac:dyDescent="0.25">
      <c r="A2542" t="s">
        <v>72</v>
      </c>
      <c r="B2542" t="s">
        <v>42690</v>
      </c>
      <c r="C2542" t="s">
        <v>74</v>
      </c>
      <c r="D2542" t="s">
        <v>74</v>
      </c>
      <c r="E2542" t="s">
        <v>74</v>
      </c>
      <c r="F2542" t="s">
        <v>42691</v>
      </c>
      <c r="G2542" t="s">
        <v>74</v>
      </c>
      <c r="H2542" t="s">
        <v>74</v>
      </c>
      <c r="I2542" t="s">
        <v>42692</v>
      </c>
      <c r="J2542" t="s">
        <v>656</v>
      </c>
      <c r="K2542" t="s">
        <v>74</v>
      </c>
      <c r="L2542" t="s">
        <v>74</v>
      </c>
      <c r="M2542" t="s">
        <v>78</v>
      </c>
      <c r="N2542" t="s">
        <v>79</v>
      </c>
      <c r="O2542" t="s">
        <v>74</v>
      </c>
      <c r="P2542" t="s">
        <v>74</v>
      </c>
      <c r="Q2542" t="s">
        <v>74</v>
      </c>
      <c r="R2542" t="s">
        <v>74</v>
      </c>
      <c r="S2542" t="s">
        <v>74</v>
      </c>
      <c r="T2542" t="s">
        <v>42693</v>
      </c>
      <c r="U2542" t="s">
        <v>42694</v>
      </c>
      <c r="V2542" t="s">
        <v>42695</v>
      </c>
      <c r="W2542" t="s">
        <v>42696</v>
      </c>
      <c r="X2542" t="s">
        <v>42697</v>
      </c>
      <c r="Y2542" t="s">
        <v>42698</v>
      </c>
      <c r="Z2542" t="s">
        <v>42699</v>
      </c>
      <c r="AA2542" t="s">
        <v>42700</v>
      </c>
      <c r="AB2542" t="s">
        <v>42701</v>
      </c>
      <c r="AC2542" t="s">
        <v>74</v>
      </c>
      <c r="AD2542" t="s">
        <v>74</v>
      </c>
      <c r="AE2542" t="s">
        <v>74</v>
      </c>
      <c r="AF2542" t="s">
        <v>74</v>
      </c>
      <c r="AG2542">
        <v>38</v>
      </c>
      <c r="AH2542">
        <v>17</v>
      </c>
      <c r="AI2542">
        <v>23</v>
      </c>
      <c r="AJ2542">
        <v>3</v>
      </c>
      <c r="AK2542">
        <v>123</v>
      </c>
      <c r="AL2542" t="s">
        <v>666</v>
      </c>
      <c r="AM2542" t="s">
        <v>667</v>
      </c>
      <c r="AN2542" t="s">
        <v>668</v>
      </c>
      <c r="AO2542" t="s">
        <v>669</v>
      </c>
      <c r="AP2542" t="s">
        <v>670</v>
      </c>
      <c r="AQ2542" t="s">
        <v>74</v>
      </c>
      <c r="AR2542" t="s">
        <v>671</v>
      </c>
      <c r="AS2542" t="s">
        <v>672</v>
      </c>
      <c r="AT2542" t="s">
        <v>698</v>
      </c>
      <c r="AU2542">
        <v>2021</v>
      </c>
      <c r="AV2542">
        <v>42</v>
      </c>
      <c r="AW2542">
        <v>3</v>
      </c>
      <c r="AX2542" t="s">
        <v>74</v>
      </c>
      <c r="AY2542" t="s">
        <v>74</v>
      </c>
      <c r="AZ2542" t="s">
        <v>74</v>
      </c>
      <c r="BA2542" t="s">
        <v>74</v>
      </c>
      <c r="BB2542">
        <v>413</v>
      </c>
      <c r="BC2542">
        <v>428</v>
      </c>
      <c r="BD2542" t="s">
        <v>74</v>
      </c>
      <c r="BE2542" t="s">
        <v>42702</v>
      </c>
      <c r="BF2542" t="str">
        <f>HYPERLINK("http://dx.doi.org/10.1007/s10834-020-09720-w","http://dx.doi.org/10.1007/s10834-020-09720-w")</f>
        <v>http://dx.doi.org/10.1007/s10834-020-09720-w</v>
      </c>
      <c r="BG2542" t="s">
        <v>74</v>
      </c>
      <c r="BH2542" t="s">
        <v>22961</v>
      </c>
      <c r="BI2542">
        <v>16</v>
      </c>
      <c r="BJ2542" t="s">
        <v>675</v>
      </c>
      <c r="BK2542" t="s">
        <v>99</v>
      </c>
      <c r="BL2542" t="s">
        <v>676</v>
      </c>
      <c r="BM2542" t="s">
        <v>42703</v>
      </c>
      <c r="BN2542" t="s">
        <v>74</v>
      </c>
      <c r="BO2542" t="s">
        <v>74</v>
      </c>
      <c r="BP2542" t="s">
        <v>74</v>
      </c>
      <c r="BQ2542" t="s">
        <v>74</v>
      </c>
      <c r="BR2542" t="s">
        <v>102</v>
      </c>
      <c r="BS2542" t="s">
        <v>42704</v>
      </c>
      <c r="BT2542" t="str">
        <f>HYPERLINK("https%3A%2F%2Fwww.webofscience.com%2Fwos%2Fwoscc%2Ffull-record%2FWOS:000577398300001","View Full Record in Web of Science")</f>
        <v>View Full Record in Web of Science</v>
      </c>
    </row>
    <row r="2543" spans="1:72" x14ac:dyDescent="0.25">
      <c r="A2543" t="s">
        <v>72</v>
      </c>
      <c r="B2543" t="s">
        <v>42705</v>
      </c>
      <c r="C2543" t="s">
        <v>74</v>
      </c>
      <c r="D2543" t="s">
        <v>74</v>
      </c>
      <c r="E2543" t="s">
        <v>74</v>
      </c>
      <c r="F2543" t="s">
        <v>42706</v>
      </c>
      <c r="G2543" t="s">
        <v>74</v>
      </c>
      <c r="H2543" t="s">
        <v>74</v>
      </c>
      <c r="I2543" t="s">
        <v>42707</v>
      </c>
      <c r="J2543" t="s">
        <v>42708</v>
      </c>
      <c r="K2543" t="s">
        <v>74</v>
      </c>
      <c r="L2543" t="s">
        <v>74</v>
      </c>
      <c r="M2543" t="s">
        <v>78</v>
      </c>
      <c r="N2543" t="s">
        <v>79</v>
      </c>
      <c r="O2543" t="s">
        <v>74</v>
      </c>
      <c r="P2543" t="s">
        <v>74</v>
      </c>
      <c r="Q2543" t="s">
        <v>74</v>
      </c>
      <c r="R2543" t="s">
        <v>74</v>
      </c>
      <c r="S2543" t="s">
        <v>74</v>
      </c>
      <c r="T2543" t="s">
        <v>42709</v>
      </c>
      <c r="U2543" t="s">
        <v>42710</v>
      </c>
      <c r="V2543" t="s">
        <v>42711</v>
      </c>
      <c r="W2543" t="s">
        <v>42712</v>
      </c>
      <c r="X2543" t="s">
        <v>42713</v>
      </c>
      <c r="Y2543" t="s">
        <v>42714</v>
      </c>
      <c r="Z2543" t="s">
        <v>42715</v>
      </c>
      <c r="AA2543" t="s">
        <v>42716</v>
      </c>
      <c r="AB2543" t="s">
        <v>42717</v>
      </c>
      <c r="AC2543" t="s">
        <v>42718</v>
      </c>
      <c r="AD2543" t="s">
        <v>42719</v>
      </c>
      <c r="AE2543" t="s">
        <v>42720</v>
      </c>
      <c r="AF2543" t="s">
        <v>74</v>
      </c>
      <c r="AG2543">
        <v>115</v>
      </c>
      <c r="AH2543">
        <v>12</v>
      </c>
      <c r="AI2543">
        <v>14</v>
      </c>
      <c r="AJ2543">
        <v>1</v>
      </c>
      <c r="AK2543">
        <v>53</v>
      </c>
      <c r="AL2543" t="s">
        <v>2907</v>
      </c>
      <c r="AM2543" t="s">
        <v>2908</v>
      </c>
      <c r="AN2543" t="s">
        <v>2909</v>
      </c>
      <c r="AO2543" t="s">
        <v>42721</v>
      </c>
      <c r="AP2543" t="s">
        <v>42722</v>
      </c>
      <c r="AQ2543" t="s">
        <v>74</v>
      </c>
      <c r="AR2543" t="s">
        <v>42723</v>
      </c>
      <c r="AS2543" t="s">
        <v>42724</v>
      </c>
      <c r="AT2543" t="s">
        <v>1652</v>
      </c>
      <c r="AU2543">
        <v>2021</v>
      </c>
      <c r="AV2543">
        <v>24</v>
      </c>
      <c r="AW2543">
        <v>2</v>
      </c>
      <c r="AX2543" t="s">
        <v>74</v>
      </c>
      <c r="AY2543" t="s">
        <v>74</v>
      </c>
      <c r="AZ2543" t="s">
        <v>74</v>
      </c>
      <c r="BA2543" t="s">
        <v>74</v>
      </c>
      <c r="BB2543">
        <v>455</v>
      </c>
      <c r="BC2543">
        <v>482</v>
      </c>
      <c r="BD2543" t="s">
        <v>74</v>
      </c>
      <c r="BE2543" t="s">
        <v>42725</v>
      </c>
      <c r="BF2543" t="str">
        <f>HYPERLINK("http://dx.doi.org/10.1057/s41268-020-00198-5","http://dx.doi.org/10.1057/s41268-020-00198-5")</f>
        <v>http://dx.doi.org/10.1057/s41268-020-00198-5</v>
      </c>
      <c r="BG2543" t="s">
        <v>74</v>
      </c>
      <c r="BH2543" t="s">
        <v>2937</v>
      </c>
      <c r="BI2543">
        <v>28</v>
      </c>
      <c r="BJ2543" t="s">
        <v>1040</v>
      </c>
      <c r="BK2543" t="s">
        <v>99</v>
      </c>
      <c r="BL2543" t="s">
        <v>1041</v>
      </c>
      <c r="BM2543" t="s">
        <v>42726</v>
      </c>
      <c r="BN2543" t="s">
        <v>74</v>
      </c>
      <c r="BO2543" t="s">
        <v>74</v>
      </c>
      <c r="BP2543" t="s">
        <v>74</v>
      </c>
      <c r="BQ2543" t="s">
        <v>74</v>
      </c>
      <c r="BR2543" t="s">
        <v>102</v>
      </c>
      <c r="BS2543" t="s">
        <v>42727</v>
      </c>
      <c r="BT2543" t="str">
        <f>HYPERLINK("https%3A%2F%2Fwww.webofscience.com%2Fwos%2Fwoscc%2Ffull-record%2FWOS:000559701500001","View Full Record in Web of Science")</f>
        <v>View Full Record in Web of Science</v>
      </c>
    </row>
    <row r="2544" spans="1:72" x14ac:dyDescent="0.25">
      <c r="A2544" t="s">
        <v>72</v>
      </c>
      <c r="B2544" t="s">
        <v>42728</v>
      </c>
      <c r="C2544" t="s">
        <v>74</v>
      </c>
      <c r="D2544" t="s">
        <v>74</v>
      </c>
      <c r="E2544" t="s">
        <v>74</v>
      </c>
      <c r="F2544" t="s">
        <v>42729</v>
      </c>
      <c r="G2544" t="s">
        <v>74</v>
      </c>
      <c r="H2544" t="s">
        <v>74</v>
      </c>
      <c r="I2544" t="s">
        <v>42730</v>
      </c>
      <c r="J2544" t="s">
        <v>2214</v>
      </c>
      <c r="K2544" t="s">
        <v>74</v>
      </c>
      <c r="L2544" t="s">
        <v>74</v>
      </c>
      <c r="M2544" t="s">
        <v>78</v>
      </c>
      <c r="N2544" t="s">
        <v>79</v>
      </c>
      <c r="O2544" t="s">
        <v>74</v>
      </c>
      <c r="P2544" t="s">
        <v>74</v>
      </c>
      <c r="Q2544" t="s">
        <v>74</v>
      </c>
      <c r="R2544" t="s">
        <v>74</v>
      </c>
      <c r="S2544" t="s">
        <v>74</v>
      </c>
      <c r="T2544" t="s">
        <v>42731</v>
      </c>
      <c r="U2544" t="s">
        <v>74</v>
      </c>
      <c r="V2544" t="s">
        <v>42732</v>
      </c>
      <c r="W2544" t="s">
        <v>42733</v>
      </c>
      <c r="X2544" t="s">
        <v>42734</v>
      </c>
      <c r="Y2544" t="s">
        <v>42735</v>
      </c>
      <c r="Z2544" t="s">
        <v>42736</v>
      </c>
      <c r="AA2544" t="s">
        <v>42737</v>
      </c>
      <c r="AB2544" t="s">
        <v>74</v>
      </c>
      <c r="AC2544" t="s">
        <v>74</v>
      </c>
      <c r="AD2544" t="s">
        <v>74</v>
      </c>
      <c r="AE2544" t="s">
        <v>74</v>
      </c>
      <c r="AF2544" t="s">
        <v>74</v>
      </c>
      <c r="AG2544">
        <v>36</v>
      </c>
      <c r="AH2544">
        <v>2</v>
      </c>
      <c r="AI2544">
        <v>3</v>
      </c>
      <c r="AJ2544">
        <v>1</v>
      </c>
      <c r="AK2544">
        <v>1</v>
      </c>
      <c r="AL2544" t="s">
        <v>2223</v>
      </c>
      <c r="AM2544" t="s">
        <v>2224</v>
      </c>
      <c r="AN2544" t="s">
        <v>2225</v>
      </c>
      <c r="AO2544" t="s">
        <v>2226</v>
      </c>
      <c r="AP2544" t="s">
        <v>74</v>
      </c>
      <c r="AQ2544" t="s">
        <v>74</v>
      </c>
      <c r="AR2544" t="s">
        <v>2227</v>
      </c>
      <c r="AS2544" t="s">
        <v>2228</v>
      </c>
      <c r="AT2544" t="s">
        <v>74</v>
      </c>
      <c r="AU2544">
        <v>2024</v>
      </c>
      <c r="AV2544">
        <v>25</v>
      </c>
      <c r="AW2544">
        <v>3</v>
      </c>
      <c r="AX2544" t="s">
        <v>74</v>
      </c>
      <c r="AY2544" t="s">
        <v>74</v>
      </c>
      <c r="AZ2544" t="s">
        <v>74</v>
      </c>
      <c r="BA2544" t="s">
        <v>74</v>
      </c>
      <c r="BB2544">
        <v>1253</v>
      </c>
      <c r="BC2544">
        <v>1272</v>
      </c>
      <c r="BD2544" t="s">
        <v>74</v>
      </c>
      <c r="BE2544" t="s">
        <v>42738</v>
      </c>
      <c r="BF2544" t="str">
        <f>HYPERLINK("http://dx.doi.org/10.33736/ijbs.8578.2024","http://dx.doi.org/10.33736/ijbs.8578.2024")</f>
        <v>http://dx.doi.org/10.33736/ijbs.8578.2024</v>
      </c>
      <c r="BG2544" t="s">
        <v>74</v>
      </c>
      <c r="BH2544" t="s">
        <v>74</v>
      </c>
      <c r="BI2544">
        <v>20</v>
      </c>
      <c r="BJ2544" t="s">
        <v>418</v>
      </c>
      <c r="BK2544" t="s">
        <v>313</v>
      </c>
      <c r="BL2544" t="s">
        <v>100</v>
      </c>
      <c r="BM2544" t="s">
        <v>28710</v>
      </c>
      <c r="BN2544" t="s">
        <v>74</v>
      </c>
      <c r="BO2544" t="s">
        <v>212</v>
      </c>
      <c r="BP2544" t="s">
        <v>74</v>
      </c>
      <c r="BQ2544" t="s">
        <v>74</v>
      </c>
      <c r="BR2544" t="s">
        <v>102</v>
      </c>
      <c r="BS2544" t="s">
        <v>42739</v>
      </c>
      <c r="BT2544" t="str">
        <f>HYPERLINK("https%3A%2F%2Fwww.webofscience.com%2Fwos%2Fwoscc%2Ffull-record%2FWOS:001417292000021","View Full Record in Web of Science")</f>
        <v>View Full Record in Web of Science</v>
      </c>
    </row>
    <row r="2545" spans="1:72" x14ac:dyDescent="0.25">
      <c r="A2545" t="s">
        <v>72</v>
      </c>
      <c r="B2545" t="s">
        <v>42740</v>
      </c>
      <c r="C2545" t="s">
        <v>74</v>
      </c>
      <c r="D2545" t="s">
        <v>74</v>
      </c>
      <c r="E2545" t="s">
        <v>74</v>
      </c>
      <c r="F2545" t="s">
        <v>42741</v>
      </c>
      <c r="G2545" t="s">
        <v>74</v>
      </c>
      <c r="H2545" t="s">
        <v>74</v>
      </c>
      <c r="I2545" t="s">
        <v>42742</v>
      </c>
      <c r="J2545" t="s">
        <v>15964</v>
      </c>
      <c r="K2545" t="s">
        <v>74</v>
      </c>
      <c r="L2545" t="s">
        <v>74</v>
      </c>
      <c r="M2545" t="s">
        <v>78</v>
      </c>
      <c r="N2545" t="s">
        <v>79</v>
      </c>
      <c r="O2545" t="s">
        <v>74</v>
      </c>
      <c r="P2545" t="s">
        <v>74</v>
      </c>
      <c r="Q2545" t="s">
        <v>74</v>
      </c>
      <c r="R2545" t="s">
        <v>74</v>
      </c>
      <c r="S2545" t="s">
        <v>74</v>
      </c>
      <c r="T2545" t="s">
        <v>42743</v>
      </c>
      <c r="U2545" t="s">
        <v>42744</v>
      </c>
      <c r="V2545" t="s">
        <v>42745</v>
      </c>
      <c r="W2545" t="s">
        <v>42746</v>
      </c>
      <c r="X2545" t="s">
        <v>42747</v>
      </c>
      <c r="Y2545" t="s">
        <v>42748</v>
      </c>
      <c r="Z2545" t="s">
        <v>42749</v>
      </c>
      <c r="AA2545" t="s">
        <v>42750</v>
      </c>
      <c r="AB2545" t="s">
        <v>74</v>
      </c>
      <c r="AC2545" t="s">
        <v>42751</v>
      </c>
      <c r="AD2545" t="s">
        <v>42752</v>
      </c>
      <c r="AE2545" t="s">
        <v>42753</v>
      </c>
      <c r="AF2545" t="s">
        <v>74</v>
      </c>
      <c r="AG2545">
        <v>47</v>
      </c>
      <c r="AH2545">
        <v>5</v>
      </c>
      <c r="AI2545">
        <v>8</v>
      </c>
      <c r="AJ2545">
        <v>1</v>
      </c>
      <c r="AK2545">
        <v>21</v>
      </c>
      <c r="AL2545" t="s">
        <v>4485</v>
      </c>
      <c r="AM2545" t="s">
        <v>6724</v>
      </c>
      <c r="AN2545" t="s">
        <v>6725</v>
      </c>
      <c r="AO2545" t="s">
        <v>15973</v>
      </c>
      <c r="AP2545" t="s">
        <v>15974</v>
      </c>
      <c r="AQ2545" t="s">
        <v>74</v>
      </c>
      <c r="AR2545" t="s">
        <v>15975</v>
      </c>
      <c r="AS2545" t="s">
        <v>15976</v>
      </c>
      <c r="AT2545" t="s">
        <v>1540</v>
      </c>
      <c r="AU2545">
        <v>2024</v>
      </c>
      <c r="AV2545">
        <v>143</v>
      </c>
      <c r="AW2545" t="s">
        <v>74</v>
      </c>
      <c r="AX2545" t="s">
        <v>74</v>
      </c>
      <c r="AY2545" t="s">
        <v>74</v>
      </c>
      <c r="AZ2545" t="s">
        <v>74</v>
      </c>
      <c r="BA2545" t="s">
        <v>74</v>
      </c>
      <c r="BB2545" t="s">
        <v>74</v>
      </c>
      <c r="BC2545" t="s">
        <v>74</v>
      </c>
      <c r="BD2545">
        <v>103066</v>
      </c>
      <c r="BE2545" t="s">
        <v>42754</v>
      </c>
      <c r="BF2545" t="str">
        <f>HYPERLINK("http://dx.doi.org/10.1016/j.jimonfin.2024.103066","http://dx.doi.org/10.1016/j.jimonfin.2024.103066")</f>
        <v>http://dx.doi.org/10.1016/j.jimonfin.2024.103066</v>
      </c>
      <c r="BG2545" t="s">
        <v>74</v>
      </c>
      <c r="BH2545" t="s">
        <v>938</v>
      </c>
      <c r="BI2545">
        <v>20</v>
      </c>
      <c r="BJ2545" t="s">
        <v>268</v>
      </c>
      <c r="BK2545" t="s">
        <v>99</v>
      </c>
      <c r="BL2545" t="s">
        <v>100</v>
      </c>
      <c r="BM2545" t="s">
        <v>42755</v>
      </c>
      <c r="BN2545" t="s">
        <v>74</v>
      </c>
      <c r="BO2545" t="s">
        <v>74</v>
      </c>
      <c r="BP2545" t="s">
        <v>74</v>
      </c>
      <c r="BQ2545" t="s">
        <v>74</v>
      </c>
      <c r="BR2545" t="s">
        <v>102</v>
      </c>
      <c r="BS2545" t="s">
        <v>42756</v>
      </c>
      <c r="BT2545" t="str">
        <f>HYPERLINK("https%3A%2F%2Fwww.webofscience.com%2Fwos%2Fwoscc%2Ffull-record%2FWOS:001226151700001","View Full Record in Web of Science")</f>
        <v>View Full Record in Web of Science</v>
      </c>
    </row>
    <row r="2546" spans="1:72" x14ac:dyDescent="0.25">
      <c r="A2546" t="s">
        <v>72</v>
      </c>
      <c r="B2546" t="s">
        <v>42757</v>
      </c>
      <c r="C2546" t="s">
        <v>74</v>
      </c>
      <c r="D2546" t="s">
        <v>74</v>
      </c>
      <c r="E2546" t="s">
        <v>74</v>
      </c>
      <c r="F2546" t="s">
        <v>42758</v>
      </c>
      <c r="G2546" t="s">
        <v>74</v>
      </c>
      <c r="H2546" t="s">
        <v>74</v>
      </c>
      <c r="I2546" t="s">
        <v>42759</v>
      </c>
      <c r="J2546" t="s">
        <v>12172</v>
      </c>
      <c r="K2546" t="s">
        <v>74</v>
      </c>
      <c r="L2546" t="s">
        <v>74</v>
      </c>
      <c r="M2546" t="s">
        <v>78</v>
      </c>
      <c r="N2546" t="s">
        <v>1766</v>
      </c>
      <c r="O2546" t="s">
        <v>74</v>
      </c>
      <c r="P2546" t="s">
        <v>74</v>
      </c>
      <c r="Q2546" t="s">
        <v>74</v>
      </c>
      <c r="R2546" t="s">
        <v>74</v>
      </c>
      <c r="S2546" t="s">
        <v>74</v>
      </c>
      <c r="T2546" t="s">
        <v>42760</v>
      </c>
      <c r="U2546" t="s">
        <v>42761</v>
      </c>
      <c r="V2546" t="s">
        <v>42762</v>
      </c>
      <c r="W2546" t="s">
        <v>42763</v>
      </c>
      <c r="X2546" t="s">
        <v>42764</v>
      </c>
      <c r="Y2546" t="s">
        <v>42765</v>
      </c>
      <c r="Z2546" t="s">
        <v>42766</v>
      </c>
      <c r="AA2546" t="s">
        <v>42767</v>
      </c>
      <c r="AB2546" t="s">
        <v>74</v>
      </c>
      <c r="AC2546" t="s">
        <v>42768</v>
      </c>
      <c r="AD2546" t="s">
        <v>42768</v>
      </c>
      <c r="AE2546" t="s">
        <v>42769</v>
      </c>
      <c r="AF2546" t="s">
        <v>74</v>
      </c>
      <c r="AG2546">
        <v>90</v>
      </c>
      <c r="AH2546">
        <v>0</v>
      </c>
      <c r="AI2546">
        <v>0</v>
      </c>
      <c r="AJ2546">
        <v>3</v>
      </c>
      <c r="AK2546">
        <v>11</v>
      </c>
      <c r="AL2546" t="s">
        <v>757</v>
      </c>
      <c r="AM2546" t="s">
        <v>758</v>
      </c>
      <c r="AN2546" t="s">
        <v>759</v>
      </c>
      <c r="AO2546" t="s">
        <v>12179</v>
      </c>
      <c r="AP2546" t="s">
        <v>74</v>
      </c>
      <c r="AQ2546" t="s">
        <v>74</v>
      </c>
      <c r="AR2546" t="s">
        <v>12172</v>
      </c>
      <c r="AS2546" t="s">
        <v>12180</v>
      </c>
      <c r="AT2546" t="s">
        <v>743</v>
      </c>
      <c r="AU2546">
        <v>2024</v>
      </c>
      <c r="AV2546">
        <v>14</v>
      </c>
      <c r="AW2546">
        <v>2</v>
      </c>
      <c r="AX2546" t="s">
        <v>74</v>
      </c>
      <c r="AY2546" t="s">
        <v>74</v>
      </c>
      <c r="AZ2546" t="s">
        <v>74</v>
      </c>
      <c r="BA2546" t="s">
        <v>74</v>
      </c>
      <c r="BB2546" t="s">
        <v>74</v>
      </c>
      <c r="BC2546" t="s">
        <v>74</v>
      </c>
      <c r="BD2546">
        <v>2.1582440241252268E+16</v>
      </c>
      <c r="BE2546" t="s">
        <v>42770</v>
      </c>
      <c r="BF2546" t="str">
        <f>HYPERLINK("http://dx.doi.org/10.1177/21582440241252269","http://dx.doi.org/10.1177/21582440241252269")</f>
        <v>http://dx.doi.org/10.1177/21582440241252269</v>
      </c>
      <c r="BG2546" t="s">
        <v>74</v>
      </c>
      <c r="BH2546" t="s">
        <v>74</v>
      </c>
      <c r="BI2546">
        <v>14</v>
      </c>
      <c r="BJ2546" t="s">
        <v>364</v>
      </c>
      <c r="BK2546" t="s">
        <v>99</v>
      </c>
      <c r="BL2546" t="s">
        <v>365</v>
      </c>
      <c r="BM2546" t="s">
        <v>42771</v>
      </c>
      <c r="BN2546" t="s">
        <v>74</v>
      </c>
      <c r="BO2546" t="s">
        <v>212</v>
      </c>
      <c r="BP2546" t="s">
        <v>74</v>
      </c>
      <c r="BQ2546" t="s">
        <v>74</v>
      </c>
      <c r="BR2546" t="s">
        <v>102</v>
      </c>
      <c r="BS2546" t="s">
        <v>42772</v>
      </c>
      <c r="BT2546" t="str">
        <f>HYPERLINK("https%3A%2F%2Fwww.webofscience.com%2Fwos%2Fwoscc%2Ffull-record%2FWOS:001227878300001","View Full Record in Web of Science")</f>
        <v>View Full Record in Web of Science</v>
      </c>
    </row>
    <row r="2547" spans="1:72" x14ac:dyDescent="0.25">
      <c r="A2547" t="s">
        <v>72</v>
      </c>
      <c r="B2547" t="s">
        <v>42773</v>
      </c>
      <c r="C2547" t="s">
        <v>74</v>
      </c>
      <c r="D2547" t="s">
        <v>74</v>
      </c>
      <c r="E2547" t="s">
        <v>74</v>
      </c>
      <c r="F2547" t="s">
        <v>42774</v>
      </c>
      <c r="G2547" t="s">
        <v>74</v>
      </c>
      <c r="H2547" t="s">
        <v>74</v>
      </c>
      <c r="I2547" t="s">
        <v>42775</v>
      </c>
      <c r="J2547" t="s">
        <v>20579</v>
      </c>
      <c r="K2547" t="s">
        <v>74</v>
      </c>
      <c r="L2547" t="s">
        <v>74</v>
      </c>
      <c r="M2547" t="s">
        <v>78</v>
      </c>
      <c r="N2547" t="s">
        <v>79</v>
      </c>
      <c r="O2547" t="s">
        <v>74</v>
      </c>
      <c r="P2547" t="s">
        <v>74</v>
      </c>
      <c r="Q2547" t="s">
        <v>74</v>
      </c>
      <c r="R2547" t="s">
        <v>74</v>
      </c>
      <c r="S2547" t="s">
        <v>74</v>
      </c>
      <c r="T2547" t="s">
        <v>42776</v>
      </c>
      <c r="U2547" t="s">
        <v>42777</v>
      </c>
      <c r="V2547" t="s">
        <v>42778</v>
      </c>
      <c r="W2547" t="s">
        <v>42779</v>
      </c>
      <c r="X2547" t="s">
        <v>42780</v>
      </c>
      <c r="Y2547" t="s">
        <v>42781</v>
      </c>
      <c r="Z2547" t="s">
        <v>42782</v>
      </c>
      <c r="AA2547" t="s">
        <v>42783</v>
      </c>
      <c r="AB2547" t="s">
        <v>74</v>
      </c>
      <c r="AC2547" t="s">
        <v>74</v>
      </c>
      <c r="AD2547" t="s">
        <v>74</v>
      </c>
      <c r="AE2547" t="s">
        <v>74</v>
      </c>
      <c r="AF2547" t="s">
        <v>74</v>
      </c>
      <c r="AG2547">
        <v>95</v>
      </c>
      <c r="AH2547">
        <v>13</v>
      </c>
      <c r="AI2547">
        <v>18</v>
      </c>
      <c r="AJ2547">
        <v>2</v>
      </c>
      <c r="AK2547">
        <v>5</v>
      </c>
      <c r="AL2547" t="s">
        <v>89</v>
      </c>
      <c r="AM2547" t="s">
        <v>90</v>
      </c>
      <c r="AN2547" t="s">
        <v>91</v>
      </c>
      <c r="AO2547" t="s">
        <v>20569</v>
      </c>
      <c r="AP2547" t="s">
        <v>20568</v>
      </c>
      <c r="AQ2547" t="s">
        <v>74</v>
      </c>
      <c r="AR2547" t="s">
        <v>20567</v>
      </c>
      <c r="AS2547" t="s">
        <v>20566</v>
      </c>
      <c r="AT2547" t="s">
        <v>9129</v>
      </c>
      <c r="AU2547">
        <v>2025</v>
      </c>
      <c r="AV2547">
        <v>23</v>
      </c>
      <c r="AW2547">
        <v>6</v>
      </c>
      <c r="AX2547" t="s">
        <v>74</v>
      </c>
      <c r="AY2547" t="s">
        <v>74</v>
      </c>
      <c r="AZ2547" t="s">
        <v>74</v>
      </c>
      <c r="BA2547" t="s">
        <v>74</v>
      </c>
      <c r="BB2547">
        <v>2738</v>
      </c>
      <c r="BC2547">
        <v>2757</v>
      </c>
      <c r="BD2547" t="s">
        <v>74</v>
      </c>
      <c r="BE2547" t="s">
        <v>42784</v>
      </c>
      <c r="BF2547" t="str">
        <f>HYPERLINK("http://dx.doi.org/10.1108/JFRA-05-2023-0256","http://dx.doi.org/10.1108/JFRA-05-2023-0256")</f>
        <v>http://dx.doi.org/10.1108/JFRA-05-2023-0256</v>
      </c>
      <c r="BG2547" t="s">
        <v>74</v>
      </c>
      <c r="BH2547" t="s">
        <v>5567</v>
      </c>
      <c r="BI2547">
        <v>20</v>
      </c>
      <c r="BJ2547" t="s">
        <v>268</v>
      </c>
      <c r="BK2547" t="s">
        <v>313</v>
      </c>
      <c r="BL2547" t="s">
        <v>100</v>
      </c>
      <c r="BM2547" t="s">
        <v>42785</v>
      </c>
      <c r="BN2547" t="s">
        <v>74</v>
      </c>
      <c r="BO2547" t="s">
        <v>74</v>
      </c>
      <c r="BP2547" t="s">
        <v>74</v>
      </c>
      <c r="BQ2547" t="s">
        <v>74</v>
      </c>
      <c r="BR2547" t="s">
        <v>102</v>
      </c>
      <c r="BS2547" t="s">
        <v>42786</v>
      </c>
      <c r="BT2547" t="str">
        <f>HYPERLINK("https%3A%2F%2Fwww.webofscience.com%2Fwos%2Fwoscc%2Ffull-record%2FWOS:001133249400001","View Full Record in Web of Science")</f>
        <v>View Full Record in Web of Science</v>
      </c>
    </row>
    <row r="2548" spans="1:72" x14ac:dyDescent="0.25">
      <c r="A2548" t="s">
        <v>72</v>
      </c>
      <c r="B2548" t="s">
        <v>17969</v>
      </c>
      <c r="C2548" t="s">
        <v>74</v>
      </c>
      <c r="D2548" t="s">
        <v>74</v>
      </c>
      <c r="E2548" t="s">
        <v>74</v>
      </c>
      <c r="F2548" t="s">
        <v>17970</v>
      </c>
      <c r="G2548" t="s">
        <v>74</v>
      </c>
      <c r="H2548" t="s">
        <v>74</v>
      </c>
      <c r="I2548" t="s">
        <v>42787</v>
      </c>
      <c r="J2548" t="s">
        <v>190</v>
      </c>
      <c r="K2548" t="s">
        <v>74</v>
      </c>
      <c r="L2548" t="s">
        <v>74</v>
      </c>
      <c r="M2548" t="s">
        <v>78</v>
      </c>
      <c r="N2548" t="s">
        <v>79</v>
      </c>
      <c r="O2548" t="s">
        <v>74</v>
      </c>
      <c r="P2548" t="s">
        <v>74</v>
      </c>
      <c r="Q2548" t="s">
        <v>74</v>
      </c>
      <c r="R2548" t="s">
        <v>74</v>
      </c>
      <c r="S2548" t="s">
        <v>74</v>
      </c>
      <c r="T2548" t="s">
        <v>42788</v>
      </c>
      <c r="U2548" t="s">
        <v>42789</v>
      </c>
      <c r="V2548" t="s">
        <v>42790</v>
      </c>
      <c r="W2548" t="s">
        <v>42791</v>
      </c>
      <c r="X2548" t="s">
        <v>74</v>
      </c>
      <c r="Y2548" t="s">
        <v>42792</v>
      </c>
      <c r="Z2548" t="s">
        <v>42793</v>
      </c>
      <c r="AA2548" t="s">
        <v>17984</v>
      </c>
      <c r="AB2548" t="s">
        <v>17985</v>
      </c>
      <c r="AC2548" t="s">
        <v>74</v>
      </c>
      <c r="AD2548" t="s">
        <v>74</v>
      </c>
      <c r="AE2548" t="s">
        <v>74</v>
      </c>
      <c r="AF2548" t="s">
        <v>74</v>
      </c>
      <c r="AG2548">
        <v>93</v>
      </c>
      <c r="AH2548">
        <v>3</v>
      </c>
      <c r="AI2548">
        <v>4</v>
      </c>
      <c r="AJ2548">
        <v>8</v>
      </c>
      <c r="AK2548">
        <v>25</v>
      </c>
      <c r="AL2548" t="s">
        <v>201</v>
      </c>
      <c r="AM2548" t="s">
        <v>202</v>
      </c>
      <c r="AN2548" t="s">
        <v>203</v>
      </c>
      <c r="AO2548" t="s">
        <v>204</v>
      </c>
      <c r="AP2548" t="s">
        <v>205</v>
      </c>
      <c r="AQ2548" t="s">
        <v>74</v>
      </c>
      <c r="AR2548" t="s">
        <v>206</v>
      </c>
      <c r="AS2548" t="s">
        <v>207</v>
      </c>
      <c r="AT2548" t="s">
        <v>891</v>
      </c>
      <c r="AU2548">
        <v>2024</v>
      </c>
      <c r="AV2548">
        <v>96</v>
      </c>
      <c r="AW2548" t="s">
        <v>74</v>
      </c>
      <c r="AX2548" t="s">
        <v>8303</v>
      </c>
      <c r="AY2548" t="s">
        <v>74</v>
      </c>
      <c r="AZ2548" t="s">
        <v>74</v>
      </c>
      <c r="BA2548" t="s">
        <v>74</v>
      </c>
      <c r="BB2548" t="s">
        <v>74</v>
      </c>
      <c r="BC2548" t="s">
        <v>74</v>
      </c>
      <c r="BD2548">
        <v>103671</v>
      </c>
      <c r="BE2548" t="s">
        <v>42794</v>
      </c>
      <c r="BF2548" t="str">
        <f>HYPERLINK("http://dx.doi.org/10.1016/j.iref.2024.103671","http://dx.doi.org/10.1016/j.iref.2024.103671")</f>
        <v>http://dx.doi.org/10.1016/j.iref.2024.103671</v>
      </c>
      <c r="BG2548" t="s">
        <v>74</v>
      </c>
      <c r="BH2548" t="s">
        <v>1136</v>
      </c>
      <c r="BI2548">
        <v>27</v>
      </c>
      <c r="BJ2548" t="s">
        <v>210</v>
      </c>
      <c r="BK2548" t="s">
        <v>99</v>
      </c>
      <c r="BL2548" t="s">
        <v>100</v>
      </c>
      <c r="BM2548" t="s">
        <v>42795</v>
      </c>
      <c r="BN2548" t="s">
        <v>74</v>
      </c>
      <c r="BO2548" t="s">
        <v>270</v>
      </c>
      <c r="BP2548" t="s">
        <v>74</v>
      </c>
      <c r="BQ2548" t="s">
        <v>74</v>
      </c>
      <c r="BR2548" t="s">
        <v>102</v>
      </c>
      <c r="BS2548" t="s">
        <v>42796</v>
      </c>
      <c r="BT2548" t="str">
        <f>HYPERLINK("https%3A%2F%2Fwww.webofscience.com%2Fwos%2Fwoscc%2Ffull-record%2FWOS:001339085700001","View Full Record in Web of Science")</f>
        <v>View Full Record in Web of Science</v>
      </c>
    </row>
    <row r="2549" spans="1:72" x14ac:dyDescent="0.25">
      <c r="A2549" t="s">
        <v>72</v>
      </c>
      <c r="B2549" t="s">
        <v>42797</v>
      </c>
      <c r="C2549" t="s">
        <v>74</v>
      </c>
      <c r="D2549" t="s">
        <v>74</v>
      </c>
      <c r="E2549" t="s">
        <v>74</v>
      </c>
      <c r="F2549" t="s">
        <v>42798</v>
      </c>
      <c r="G2549" t="s">
        <v>74</v>
      </c>
      <c r="H2549" t="s">
        <v>74</v>
      </c>
      <c r="I2549" t="s">
        <v>42799</v>
      </c>
      <c r="J2549" t="s">
        <v>22355</v>
      </c>
      <c r="K2549" t="s">
        <v>74</v>
      </c>
      <c r="L2549" t="s">
        <v>74</v>
      </c>
      <c r="M2549" t="s">
        <v>78</v>
      </c>
      <c r="N2549" t="s">
        <v>79</v>
      </c>
      <c r="O2549" t="s">
        <v>74</v>
      </c>
      <c r="P2549" t="s">
        <v>74</v>
      </c>
      <c r="Q2549" t="s">
        <v>74</v>
      </c>
      <c r="R2549" t="s">
        <v>74</v>
      </c>
      <c r="S2549" t="s">
        <v>74</v>
      </c>
      <c r="T2549" t="s">
        <v>42800</v>
      </c>
      <c r="U2549" t="s">
        <v>42801</v>
      </c>
      <c r="V2549" t="s">
        <v>42802</v>
      </c>
      <c r="W2549" t="s">
        <v>42803</v>
      </c>
      <c r="X2549" t="s">
        <v>6388</v>
      </c>
      <c r="Y2549" t="s">
        <v>42804</v>
      </c>
      <c r="Z2549" t="s">
        <v>42805</v>
      </c>
      <c r="AA2549" t="s">
        <v>74</v>
      </c>
      <c r="AB2549" t="s">
        <v>42806</v>
      </c>
      <c r="AC2549" t="s">
        <v>74</v>
      </c>
      <c r="AD2549" t="s">
        <v>74</v>
      </c>
      <c r="AE2549" t="s">
        <v>74</v>
      </c>
      <c r="AF2549" t="s">
        <v>74</v>
      </c>
      <c r="AG2549">
        <v>69</v>
      </c>
      <c r="AH2549">
        <v>46</v>
      </c>
      <c r="AI2549">
        <v>58</v>
      </c>
      <c r="AJ2549">
        <v>3</v>
      </c>
      <c r="AK2549">
        <v>60</v>
      </c>
      <c r="AL2549" t="s">
        <v>385</v>
      </c>
      <c r="AM2549" t="s">
        <v>1153</v>
      </c>
      <c r="AN2549" t="s">
        <v>1154</v>
      </c>
      <c r="AO2549" t="s">
        <v>22345</v>
      </c>
      <c r="AP2549" t="s">
        <v>22344</v>
      </c>
      <c r="AQ2549" t="s">
        <v>74</v>
      </c>
      <c r="AR2549" t="s">
        <v>22343</v>
      </c>
      <c r="AS2549" t="s">
        <v>22342</v>
      </c>
      <c r="AT2549" t="s">
        <v>1652</v>
      </c>
      <c r="AU2549">
        <v>2021</v>
      </c>
      <c r="AV2549">
        <v>171</v>
      </c>
      <c r="AW2549">
        <v>1</v>
      </c>
      <c r="AX2549" t="s">
        <v>74</v>
      </c>
      <c r="AY2549" t="s">
        <v>74</v>
      </c>
      <c r="AZ2549" t="s">
        <v>74</v>
      </c>
      <c r="BA2549" t="s">
        <v>74</v>
      </c>
      <c r="BB2549">
        <v>51</v>
      </c>
      <c r="BC2549">
        <v>71</v>
      </c>
      <c r="BD2549" t="s">
        <v>74</v>
      </c>
      <c r="BE2549" t="s">
        <v>42807</v>
      </c>
      <c r="BF2549" t="str">
        <f>HYPERLINK("http://dx.doi.org/10.1007/s10551-019-04417-z","http://dx.doi.org/10.1007/s10551-019-04417-z")</f>
        <v>http://dx.doi.org/10.1007/s10551-019-04417-z</v>
      </c>
      <c r="BG2549" t="s">
        <v>74</v>
      </c>
      <c r="BH2549" t="s">
        <v>9265</v>
      </c>
      <c r="BI2549">
        <v>21</v>
      </c>
      <c r="BJ2549" t="s">
        <v>22340</v>
      </c>
      <c r="BK2549" t="s">
        <v>99</v>
      </c>
      <c r="BL2549" t="s">
        <v>22339</v>
      </c>
      <c r="BM2549" t="s">
        <v>42808</v>
      </c>
      <c r="BN2549" t="s">
        <v>74</v>
      </c>
      <c r="BO2549" t="s">
        <v>1696</v>
      </c>
      <c r="BP2549" t="s">
        <v>74</v>
      </c>
      <c r="BQ2549" t="s">
        <v>74</v>
      </c>
      <c r="BR2549" t="s">
        <v>102</v>
      </c>
      <c r="BS2549" t="s">
        <v>42809</v>
      </c>
      <c r="BT2549" t="str">
        <f>HYPERLINK("https%3A%2F%2Fwww.webofscience.com%2Fwos%2Fwoscc%2Ffull-record%2FWOS:000574119700001","View Full Record in Web of Science")</f>
        <v>View Full Record in Web of Science</v>
      </c>
    </row>
    <row r="2550" spans="1:72" x14ac:dyDescent="0.25">
      <c r="A2550" t="s">
        <v>72</v>
      </c>
      <c r="B2550" t="s">
        <v>42810</v>
      </c>
      <c r="C2550" t="s">
        <v>74</v>
      </c>
      <c r="D2550" t="s">
        <v>74</v>
      </c>
      <c r="E2550" t="s">
        <v>74</v>
      </c>
      <c r="F2550" t="s">
        <v>42811</v>
      </c>
      <c r="G2550" t="s">
        <v>74</v>
      </c>
      <c r="H2550" t="s">
        <v>74</v>
      </c>
      <c r="I2550" t="s">
        <v>42812</v>
      </c>
      <c r="J2550" t="s">
        <v>42813</v>
      </c>
      <c r="K2550" t="s">
        <v>74</v>
      </c>
      <c r="L2550" t="s">
        <v>74</v>
      </c>
      <c r="M2550" t="s">
        <v>78</v>
      </c>
      <c r="N2550" t="s">
        <v>79</v>
      </c>
      <c r="O2550" t="s">
        <v>74</v>
      </c>
      <c r="P2550" t="s">
        <v>74</v>
      </c>
      <c r="Q2550" t="s">
        <v>74</v>
      </c>
      <c r="R2550" t="s">
        <v>74</v>
      </c>
      <c r="S2550" t="s">
        <v>74</v>
      </c>
      <c r="T2550" t="s">
        <v>42814</v>
      </c>
      <c r="U2550" t="s">
        <v>42815</v>
      </c>
      <c r="V2550" t="s">
        <v>42816</v>
      </c>
      <c r="W2550" t="s">
        <v>42817</v>
      </c>
      <c r="X2550" t="s">
        <v>42818</v>
      </c>
      <c r="Y2550" t="s">
        <v>42819</v>
      </c>
      <c r="Z2550" t="s">
        <v>42820</v>
      </c>
      <c r="AA2550" t="s">
        <v>74</v>
      </c>
      <c r="AB2550" t="s">
        <v>74</v>
      </c>
      <c r="AC2550" t="s">
        <v>74</v>
      </c>
      <c r="AD2550" t="s">
        <v>74</v>
      </c>
      <c r="AE2550" t="s">
        <v>74</v>
      </c>
      <c r="AF2550" t="s">
        <v>74</v>
      </c>
      <c r="AG2550">
        <v>39</v>
      </c>
      <c r="AH2550">
        <v>11</v>
      </c>
      <c r="AI2550">
        <v>26</v>
      </c>
      <c r="AJ2550">
        <v>0</v>
      </c>
      <c r="AK2550">
        <v>7</v>
      </c>
      <c r="AL2550" t="s">
        <v>332</v>
      </c>
      <c r="AM2550" t="s">
        <v>333</v>
      </c>
      <c r="AN2550" t="s">
        <v>334</v>
      </c>
      <c r="AO2550" t="s">
        <v>42821</v>
      </c>
      <c r="AP2550" t="s">
        <v>42822</v>
      </c>
      <c r="AQ2550" t="s">
        <v>74</v>
      </c>
      <c r="AR2550" t="s">
        <v>42823</v>
      </c>
      <c r="AS2550" t="s">
        <v>42824</v>
      </c>
      <c r="AT2550" t="s">
        <v>74</v>
      </c>
      <c r="AU2550">
        <v>2016</v>
      </c>
      <c r="AV2550">
        <v>10</v>
      </c>
      <c r="AW2550">
        <v>1</v>
      </c>
      <c r="AX2550" t="s">
        <v>74</v>
      </c>
      <c r="AY2550" t="s">
        <v>74</v>
      </c>
      <c r="AZ2550" t="s">
        <v>74</v>
      </c>
      <c r="BA2550" t="s">
        <v>74</v>
      </c>
      <c r="BB2550">
        <v>39</v>
      </c>
      <c r="BC2550">
        <v>58</v>
      </c>
      <c r="BD2550" t="s">
        <v>74</v>
      </c>
      <c r="BE2550" t="s">
        <v>42825</v>
      </c>
      <c r="BF2550" t="str">
        <f>HYPERLINK("http://dx.doi.org/10.1080/15548732.2015.1090940","http://dx.doi.org/10.1080/15548732.2015.1090940")</f>
        <v>http://dx.doi.org/10.1080/15548732.2015.1090940</v>
      </c>
      <c r="BG2550" t="s">
        <v>74</v>
      </c>
      <c r="BH2550" t="s">
        <v>74</v>
      </c>
      <c r="BI2550">
        <v>20</v>
      </c>
      <c r="BJ2550" t="s">
        <v>2045</v>
      </c>
      <c r="BK2550" t="s">
        <v>313</v>
      </c>
      <c r="BL2550" t="s">
        <v>2045</v>
      </c>
      <c r="BM2550" t="s">
        <v>42826</v>
      </c>
      <c r="BN2550" t="s">
        <v>74</v>
      </c>
      <c r="BO2550" t="s">
        <v>74</v>
      </c>
      <c r="BP2550" t="s">
        <v>74</v>
      </c>
      <c r="BQ2550" t="s">
        <v>74</v>
      </c>
      <c r="BR2550" t="s">
        <v>102</v>
      </c>
      <c r="BS2550" t="s">
        <v>42827</v>
      </c>
      <c r="BT2550" t="str">
        <f>HYPERLINK("https%3A%2F%2Fwww.webofscience.com%2Fwos%2Fwoscc%2Ffull-record%2FWOS:000386936500003","View Full Record in Web of Science")</f>
        <v>View Full Record in Web of Science</v>
      </c>
    </row>
    <row r="2551" spans="1:72" x14ac:dyDescent="0.25">
      <c r="A2551" t="s">
        <v>72</v>
      </c>
      <c r="B2551" t="s">
        <v>42828</v>
      </c>
      <c r="C2551" t="s">
        <v>74</v>
      </c>
      <c r="D2551" t="s">
        <v>74</v>
      </c>
      <c r="E2551" t="s">
        <v>74</v>
      </c>
      <c r="F2551" t="s">
        <v>42829</v>
      </c>
      <c r="G2551" t="s">
        <v>74</v>
      </c>
      <c r="H2551" t="s">
        <v>74</v>
      </c>
      <c r="I2551" t="s">
        <v>42830</v>
      </c>
      <c r="J2551" t="s">
        <v>12172</v>
      </c>
      <c r="K2551" t="s">
        <v>74</v>
      </c>
      <c r="L2551" t="s">
        <v>74</v>
      </c>
      <c r="M2551" t="s">
        <v>78</v>
      </c>
      <c r="N2551" t="s">
        <v>1766</v>
      </c>
      <c r="O2551" t="s">
        <v>74</v>
      </c>
      <c r="P2551" t="s">
        <v>74</v>
      </c>
      <c r="Q2551" t="s">
        <v>74</v>
      </c>
      <c r="R2551" t="s">
        <v>74</v>
      </c>
      <c r="S2551" t="s">
        <v>74</v>
      </c>
      <c r="T2551" t="s">
        <v>42831</v>
      </c>
      <c r="U2551" t="s">
        <v>42832</v>
      </c>
      <c r="V2551" t="s">
        <v>42833</v>
      </c>
      <c r="W2551" t="s">
        <v>42834</v>
      </c>
      <c r="X2551" t="s">
        <v>42835</v>
      </c>
      <c r="Y2551" t="s">
        <v>42836</v>
      </c>
      <c r="Z2551" t="s">
        <v>42837</v>
      </c>
      <c r="AA2551" t="s">
        <v>74</v>
      </c>
      <c r="AB2551" t="s">
        <v>74</v>
      </c>
      <c r="AC2551" t="s">
        <v>74</v>
      </c>
      <c r="AD2551" t="s">
        <v>74</v>
      </c>
      <c r="AE2551" t="s">
        <v>74</v>
      </c>
      <c r="AF2551" t="s">
        <v>74</v>
      </c>
      <c r="AG2551">
        <v>45</v>
      </c>
      <c r="AH2551">
        <v>0</v>
      </c>
      <c r="AI2551">
        <v>0</v>
      </c>
      <c r="AJ2551">
        <v>0</v>
      </c>
      <c r="AK2551">
        <v>1</v>
      </c>
      <c r="AL2551" t="s">
        <v>757</v>
      </c>
      <c r="AM2551" t="s">
        <v>758</v>
      </c>
      <c r="AN2551" t="s">
        <v>759</v>
      </c>
      <c r="AO2551" t="s">
        <v>12179</v>
      </c>
      <c r="AP2551" t="s">
        <v>74</v>
      </c>
      <c r="AQ2551" t="s">
        <v>74</v>
      </c>
      <c r="AR2551" t="s">
        <v>12172</v>
      </c>
      <c r="AS2551" t="s">
        <v>12180</v>
      </c>
      <c r="AT2551" t="s">
        <v>743</v>
      </c>
      <c r="AU2551">
        <v>2025</v>
      </c>
      <c r="AV2551">
        <v>15</v>
      </c>
      <c r="AW2551">
        <v>2</v>
      </c>
      <c r="AX2551" t="s">
        <v>74</v>
      </c>
      <c r="AY2551" t="s">
        <v>74</v>
      </c>
      <c r="AZ2551" t="s">
        <v>74</v>
      </c>
      <c r="BA2551" t="s">
        <v>74</v>
      </c>
      <c r="BB2551" t="s">
        <v>74</v>
      </c>
      <c r="BC2551" t="s">
        <v>74</v>
      </c>
      <c r="BD2551">
        <v>2.1582440251340772E+16</v>
      </c>
      <c r="BE2551" t="s">
        <v>42838</v>
      </c>
      <c r="BF2551" t="str">
        <f>HYPERLINK("http://dx.doi.org/10.1177/21582440251340771","http://dx.doi.org/10.1177/21582440251340771")</f>
        <v>http://dx.doi.org/10.1177/21582440251340771</v>
      </c>
      <c r="BG2551" t="s">
        <v>74</v>
      </c>
      <c r="BH2551" t="s">
        <v>74</v>
      </c>
      <c r="BI2551">
        <v>21</v>
      </c>
      <c r="BJ2551" t="s">
        <v>364</v>
      </c>
      <c r="BK2551" t="s">
        <v>99</v>
      </c>
      <c r="BL2551" t="s">
        <v>365</v>
      </c>
      <c r="BM2551" t="s">
        <v>42839</v>
      </c>
      <c r="BN2551" t="s">
        <v>74</v>
      </c>
      <c r="BO2551" t="s">
        <v>212</v>
      </c>
      <c r="BP2551" t="s">
        <v>74</v>
      </c>
      <c r="BQ2551" t="s">
        <v>74</v>
      </c>
      <c r="BR2551" t="s">
        <v>102</v>
      </c>
      <c r="BS2551" t="s">
        <v>42840</v>
      </c>
      <c r="BT2551" t="str">
        <f>HYPERLINK("https%3A%2F%2Fwww.webofscience.com%2Fwos%2Fwoscc%2Ffull-record%2FWOS:001497788400001","View Full Record in Web of Science")</f>
        <v>View Full Record in Web of Science</v>
      </c>
    </row>
    <row r="2552" spans="1:72" x14ac:dyDescent="0.25">
      <c r="A2552" t="s">
        <v>72</v>
      </c>
      <c r="B2552" t="s">
        <v>42841</v>
      </c>
      <c r="C2552" t="s">
        <v>74</v>
      </c>
      <c r="D2552" t="s">
        <v>74</v>
      </c>
      <c r="E2552" t="s">
        <v>74</v>
      </c>
      <c r="F2552" t="s">
        <v>42842</v>
      </c>
      <c r="G2552" t="s">
        <v>74</v>
      </c>
      <c r="H2552" t="s">
        <v>74</v>
      </c>
      <c r="I2552" t="s">
        <v>42843</v>
      </c>
      <c r="J2552" t="s">
        <v>17640</v>
      </c>
      <c r="K2552" t="s">
        <v>74</v>
      </c>
      <c r="L2552" t="s">
        <v>74</v>
      </c>
      <c r="M2552" t="s">
        <v>78</v>
      </c>
      <c r="N2552" t="s">
        <v>1766</v>
      </c>
      <c r="O2552" t="s">
        <v>74</v>
      </c>
      <c r="P2552" t="s">
        <v>74</v>
      </c>
      <c r="Q2552" t="s">
        <v>74</v>
      </c>
      <c r="R2552" t="s">
        <v>74</v>
      </c>
      <c r="S2552" t="s">
        <v>74</v>
      </c>
      <c r="T2552" t="s">
        <v>74</v>
      </c>
      <c r="U2552" t="s">
        <v>42844</v>
      </c>
      <c r="V2552" t="s">
        <v>42845</v>
      </c>
      <c r="W2552" t="s">
        <v>42846</v>
      </c>
      <c r="X2552" t="s">
        <v>42847</v>
      </c>
      <c r="Y2552" t="s">
        <v>42848</v>
      </c>
      <c r="Z2552" t="s">
        <v>42849</v>
      </c>
      <c r="AA2552" t="s">
        <v>42850</v>
      </c>
      <c r="AB2552" t="s">
        <v>42851</v>
      </c>
      <c r="AC2552" t="s">
        <v>42852</v>
      </c>
      <c r="AD2552" t="s">
        <v>42853</v>
      </c>
      <c r="AE2552" t="s">
        <v>42854</v>
      </c>
      <c r="AF2552" t="s">
        <v>74</v>
      </c>
      <c r="AG2552">
        <v>202</v>
      </c>
      <c r="AH2552">
        <v>14</v>
      </c>
      <c r="AI2552">
        <v>22</v>
      </c>
      <c r="AJ2552">
        <v>56</v>
      </c>
      <c r="AK2552">
        <v>78</v>
      </c>
      <c r="AL2552" t="s">
        <v>4666</v>
      </c>
      <c r="AM2552" t="s">
        <v>995</v>
      </c>
      <c r="AN2552" t="s">
        <v>4025</v>
      </c>
      <c r="AO2552" t="s">
        <v>74</v>
      </c>
      <c r="AP2552" t="s">
        <v>17649</v>
      </c>
      <c r="AQ2552" t="s">
        <v>74</v>
      </c>
      <c r="AR2552" t="s">
        <v>17650</v>
      </c>
      <c r="AS2552" t="s">
        <v>17651</v>
      </c>
      <c r="AT2552" t="s">
        <v>42855</v>
      </c>
      <c r="AU2552">
        <v>2025</v>
      </c>
      <c r="AV2552">
        <v>12</v>
      </c>
      <c r="AW2552">
        <v>1</v>
      </c>
      <c r="AX2552" t="s">
        <v>74</v>
      </c>
      <c r="AY2552" t="s">
        <v>74</v>
      </c>
      <c r="AZ2552" t="s">
        <v>74</v>
      </c>
      <c r="BA2552" t="s">
        <v>74</v>
      </c>
      <c r="BB2552" t="s">
        <v>74</v>
      </c>
      <c r="BC2552" t="s">
        <v>74</v>
      </c>
      <c r="BD2552">
        <v>562</v>
      </c>
      <c r="BE2552" t="s">
        <v>42856</v>
      </c>
      <c r="BF2552" t="str">
        <f>HYPERLINK("http://dx.doi.org/10.1057/s41599-025-04850-8","http://dx.doi.org/10.1057/s41599-025-04850-8")</f>
        <v>http://dx.doi.org/10.1057/s41599-025-04850-8</v>
      </c>
      <c r="BG2552" t="s">
        <v>74</v>
      </c>
      <c r="BH2552" t="s">
        <v>74</v>
      </c>
      <c r="BI2552">
        <v>29</v>
      </c>
      <c r="BJ2552" t="s">
        <v>17654</v>
      </c>
      <c r="BK2552" t="s">
        <v>871</v>
      </c>
      <c r="BL2552" t="s">
        <v>17655</v>
      </c>
      <c r="BM2552" t="s">
        <v>42857</v>
      </c>
      <c r="BN2552" t="s">
        <v>74</v>
      </c>
      <c r="BO2552" t="s">
        <v>212</v>
      </c>
      <c r="BP2552" t="s">
        <v>74</v>
      </c>
      <c r="BQ2552" t="s">
        <v>74</v>
      </c>
      <c r="BR2552" t="s">
        <v>102</v>
      </c>
      <c r="BS2552" t="s">
        <v>42858</v>
      </c>
      <c r="BT2552" t="str">
        <f>HYPERLINK("https%3A%2F%2Fwww.webofscience.com%2Fwos%2Fwoscc%2Ffull-record%2FWOS:001471773700001","View Full Record in Web of Science")</f>
        <v>View Full Record in Web of Science</v>
      </c>
    </row>
    <row r="2553" spans="1:72" x14ac:dyDescent="0.25">
      <c r="A2553" t="s">
        <v>72</v>
      </c>
      <c r="B2553" t="s">
        <v>42859</v>
      </c>
      <c r="C2553" t="s">
        <v>74</v>
      </c>
      <c r="D2553" t="s">
        <v>74</v>
      </c>
      <c r="E2553" t="s">
        <v>74</v>
      </c>
      <c r="F2553" t="s">
        <v>42860</v>
      </c>
      <c r="G2553" t="s">
        <v>74</v>
      </c>
      <c r="H2553" t="s">
        <v>74</v>
      </c>
      <c r="I2553" t="s">
        <v>42861</v>
      </c>
      <c r="J2553" t="s">
        <v>42636</v>
      </c>
      <c r="K2553" t="s">
        <v>74</v>
      </c>
      <c r="L2553" t="s">
        <v>74</v>
      </c>
      <c r="M2553" t="s">
        <v>78</v>
      </c>
      <c r="N2553" t="s">
        <v>79</v>
      </c>
      <c r="O2553" t="s">
        <v>74</v>
      </c>
      <c r="P2553" t="s">
        <v>74</v>
      </c>
      <c r="Q2553" t="s">
        <v>74</v>
      </c>
      <c r="R2553" t="s">
        <v>74</v>
      </c>
      <c r="S2553" t="s">
        <v>74</v>
      </c>
      <c r="T2553" t="s">
        <v>42862</v>
      </c>
      <c r="U2553" t="s">
        <v>42863</v>
      </c>
      <c r="V2553" t="s">
        <v>42864</v>
      </c>
      <c r="W2553" t="s">
        <v>42865</v>
      </c>
      <c r="X2553" t="s">
        <v>74</v>
      </c>
      <c r="Y2553" t="s">
        <v>42866</v>
      </c>
      <c r="Z2553" t="s">
        <v>42867</v>
      </c>
      <c r="AA2553" t="s">
        <v>42868</v>
      </c>
      <c r="AB2553" t="s">
        <v>42869</v>
      </c>
      <c r="AC2553" t="s">
        <v>74</v>
      </c>
      <c r="AD2553" t="s">
        <v>74</v>
      </c>
      <c r="AE2553" t="s">
        <v>74</v>
      </c>
      <c r="AF2553" t="s">
        <v>74</v>
      </c>
      <c r="AG2553">
        <v>100</v>
      </c>
      <c r="AH2553">
        <v>20</v>
      </c>
      <c r="AI2553">
        <v>27</v>
      </c>
      <c r="AJ2553">
        <v>11</v>
      </c>
      <c r="AK2553">
        <v>61</v>
      </c>
      <c r="AL2553" t="s">
        <v>89</v>
      </c>
      <c r="AM2553" t="s">
        <v>90</v>
      </c>
      <c r="AN2553" t="s">
        <v>91</v>
      </c>
      <c r="AO2553" t="s">
        <v>42644</v>
      </c>
      <c r="AP2553" t="s">
        <v>42645</v>
      </c>
      <c r="AQ2553" t="s">
        <v>74</v>
      </c>
      <c r="AR2553" t="s">
        <v>42646</v>
      </c>
      <c r="AS2553" t="s">
        <v>42647</v>
      </c>
      <c r="AT2553" t="s">
        <v>11018</v>
      </c>
      <c r="AU2553">
        <v>2023</v>
      </c>
      <c r="AV2553">
        <v>38</v>
      </c>
      <c r="AW2553">
        <v>11</v>
      </c>
      <c r="AX2553" t="s">
        <v>74</v>
      </c>
      <c r="AY2553" t="s">
        <v>74</v>
      </c>
      <c r="AZ2553" t="s">
        <v>74</v>
      </c>
      <c r="BA2553" t="s">
        <v>74</v>
      </c>
      <c r="BB2553">
        <v>2379</v>
      </c>
      <c r="BC2553">
        <v>2389</v>
      </c>
      <c r="BD2553" t="s">
        <v>74</v>
      </c>
      <c r="BE2553" t="s">
        <v>42870</v>
      </c>
      <c r="BF2553" t="str">
        <f>HYPERLINK("http://dx.doi.org/10.1108/JBIM-05-2022-0191","http://dx.doi.org/10.1108/JBIM-05-2022-0191")</f>
        <v>http://dx.doi.org/10.1108/JBIM-05-2022-0191</v>
      </c>
      <c r="BG2553" t="s">
        <v>74</v>
      </c>
      <c r="BH2553" t="s">
        <v>9145</v>
      </c>
      <c r="BI2553">
        <v>11</v>
      </c>
      <c r="BJ2553" t="s">
        <v>418</v>
      </c>
      <c r="BK2553" t="s">
        <v>99</v>
      </c>
      <c r="BL2553" t="s">
        <v>100</v>
      </c>
      <c r="BM2553" t="s">
        <v>42649</v>
      </c>
      <c r="BN2553" t="s">
        <v>74</v>
      </c>
      <c r="BO2553" t="s">
        <v>74</v>
      </c>
      <c r="BP2553" t="s">
        <v>74</v>
      </c>
      <c r="BQ2553" t="s">
        <v>74</v>
      </c>
      <c r="BR2553" t="s">
        <v>102</v>
      </c>
      <c r="BS2553" t="s">
        <v>42871</v>
      </c>
      <c r="BT2553" t="str">
        <f>HYPERLINK("https%3A%2F%2Fwww.webofscience.com%2Fwos%2Fwoscc%2Ffull-record%2FWOS:000929805300001","View Full Record in Web of Science")</f>
        <v>View Full Record in Web of Science</v>
      </c>
    </row>
    <row r="2554" spans="1:72" x14ac:dyDescent="0.25">
      <c r="A2554" t="s">
        <v>72</v>
      </c>
      <c r="B2554" t="s">
        <v>42872</v>
      </c>
      <c r="C2554" t="s">
        <v>74</v>
      </c>
      <c r="D2554" t="s">
        <v>74</v>
      </c>
      <c r="E2554" t="s">
        <v>74</v>
      </c>
      <c r="F2554" t="s">
        <v>42873</v>
      </c>
      <c r="G2554" t="s">
        <v>74</v>
      </c>
      <c r="H2554" t="s">
        <v>74</v>
      </c>
      <c r="I2554" t="s">
        <v>42874</v>
      </c>
      <c r="J2554" t="s">
        <v>4055</v>
      </c>
      <c r="K2554" t="s">
        <v>74</v>
      </c>
      <c r="L2554" t="s">
        <v>74</v>
      </c>
      <c r="M2554" t="s">
        <v>78</v>
      </c>
      <c r="N2554" t="s">
        <v>79</v>
      </c>
      <c r="O2554" t="s">
        <v>74</v>
      </c>
      <c r="P2554" t="s">
        <v>74</v>
      </c>
      <c r="Q2554" t="s">
        <v>74</v>
      </c>
      <c r="R2554" t="s">
        <v>74</v>
      </c>
      <c r="S2554" t="s">
        <v>74</v>
      </c>
      <c r="T2554" t="s">
        <v>42875</v>
      </c>
      <c r="U2554" t="s">
        <v>42876</v>
      </c>
      <c r="V2554" t="s">
        <v>42877</v>
      </c>
      <c r="W2554" t="s">
        <v>42878</v>
      </c>
      <c r="X2554" t="s">
        <v>9303</v>
      </c>
      <c r="Y2554" t="s">
        <v>42879</v>
      </c>
      <c r="Z2554" t="s">
        <v>42880</v>
      </c>
      <c r="AA2554" t="s">
        <v>74</v>
      </c>
      <c r="AB2554" t="s">
        <v>42881</v>
      </c>
      <c r="AC2554" t="s">
        <v>74</v>
      </c>
      <c r="AD2554" t="s">
        <v>74</v>
      </c>
      <c r="AE2554" t="s">
        <v>74</v>
      </c>
      <c r="AF2554" t="s">
        <v>74</v>
      </c>
      <c r="AG2554">
        <v>45</v>
      </c>
      <c r="AH2554">
        <v>4</v>
      </c>
      <c r="AI2554">
        <v>5</v>
      </c>
      <c r="AJ2554">
        <v>3</v>
      </c>
      <c r="AK2554">
        <v>12</v>
      </c>
      <c r="AL2554" t="s">
        <v>2907</v>
      </c>
      <c r="AM2554" t="s">
        <v>2908</v>
      </c>
      <c r="AN2554" t="s">
        <v>2909</v>
      </c>
      <c r="AO2554" t="s">
        <v>4064</v>
      </c>
      <c r="AP2554" t="s">
        <v>4065</v>
      </c>
      <c r="AQ2554" t="s">
        <v>74</v>
      </c>
      <c r="AR2554" t="s">
        <v>4066</v>
      </c>
      <c r="AS2554" t="s">
        <v>4067</v>
      </c>
      <c r="AT2554" t="s">
        <v>1652</v>
      </c>
      <c r="AU2554">
        <v>2022</v>
      </c>
      <c r="AV2554">
        <v>27</v>
      </c>
      <c r="AW2554">
        <v>2</v>
      </c>
      <c r="AX2554" t="s">
        <v>74</v>
      </c>
      <c r="AY2554" t="s">
        <v>74</v>
      </c>
      <c r="AZ2554" t="s">
        <v>74</v>
      </c>
      <c r="BA2554" t="s">
        <v>74</v>
      </c>
      <c r="BB2554">
        <v>136</v>
      </c>
      <c r="BC2554">
        <v>146</v>
      </c>
      <c r="BD2554" t="s">
        <v>74</v>
      </c>
      <c r="BE2554" t="s">
        <v>42882</v>
      </c>
      <c r="BF2554" t="str">
        <f>HYPERLINK("http://dx.doi.org/10.1057/s41264-021-00107-y","http://dx.doi.org/10.1057/s41264-021-00107-y")</f>
        <v>http://dx.doi.org/10.1057/s41264-021-00107-y</v>
      </c>
      <c r="BG2554" t="s">
        <v>74</v>
      </c>
      <c r="BH2554" t="s">
        <v>11151</v>
      </c>
      <c r="BI2554">
        <v>11</v>
      </c>
      <c r="BJ2554" t="s">
        <v>418</v>
      </c>
      <c r="BK2554" t="s">
        <v>313</v>
      </c>
      <c r="BL2554" t="s">
        <v>100</v>
      </c>
      <c r="BM2554" t="s">
        <v>42883</v>
      </c>
      <c r="BN2554" t="s">
        <v>74</v>
      </c>
      <c r="BO2554" t="s">
        <v>74</v>
      </c>
      <c r="BP2554" t="s">
        <v>74</v>
      </c>
      <c r="BQ2554" t="s">
        <v>74</v>
      </c>
      <c r="BR2554" t="s">
        <v>102</v>
      </c>
      <c r="BS2554" t="s">
        <v>42884</v>
      </c>
      <c r="BT2554" t="str">
        <f>HYPERLINK("https%3A%2F%2Fwww.webofscience.com%2Fwos%2Fwoscc%2Ffull-record%2FWOS:000673437900001","View Full Record in Web of Science")</f>
        <v>View Full Record in Web of Science</v>
      </c>
    </row>
    <row r="2555" spans="1:72" x14ac:dyDescent="0.25">
      <c r="A2555" t="s">
        <v>72</v>
      </c>
      <c r="B2555" t="s">
        <v>42885</v>
      </c>
      <c r="C2555" t="s">
        <v>74</v>
      </c>
      <c r="D2555" t="s">
        <v>74</v>
      </c>
      <c r="E2555" t="s">
        <v>74</v>
      </c>
      <c r="F2555" t="s">
        <v>42886</v>
      </c>
      <c r="G2555" t="s">
        <v>74</v>
      </c>
      <c r="H2555" t="s">
        <v>74</v>
      </c>
      <c r="I2555" t="s">
        <v>42887</v>
      </c>
      <c r="J2555" t="s">
        <v>3439</v>
      </c>
      <c r="K2555" t="s">
        <v>74</v>
      </c>
      <c r="L2555" t="s">
        <v>74</v>
      </c>
      <c r="M2555" t="s">
        <v>78</v>
      </c>
      <c r="N2555" t="s">
        <v>1766</v>
      </c>
      <c r="O2555" t="s">
        <v>74</v>
      </c>
      <c r="P2555" t="s">
        <v>74</v>
      </c>
      <c r="Q2555" t="s">
        <v>74</v>
      </c>
      <c r="R2555" t="s">
        <v>74</v>
      </c>
      <c r="S2555" t="s">
        <v>74</v>
      </c>
      <c r="T2555" t="s">
        <v>42888</v>
      </c>
      <c r="U2555" t="s">
        <v>42889</v>
      </c>
      <c r="V2555" t="s">
        <v>42890</v>
      </c>
      <c r="W2555" t="s">
        <v>42891</v>
      </c>
      <c r="X2555" t="s">
        <v>42892</v>
      </c>
      <c r="Y2555" t="s">
        <v>42893</v>
      </c>
      <c r="Z2555" t="s">
        <v>42894</v>
      </c>
      <c r="AA2555" t="s">
        <v>74</v>
      </c>
      <c r="AB2555" t="s">
        <v>74</v>
      </c>
      <c r="AC2555" t="s">
        <v>74</v>
      </c>
      <c r="AD2555" t="s">
        <v>74</v>
      </c>
      <c r="AE2555" t="s">
        <v>74</v>
      </c>
      <c r="AF2555" t="s">
        <v>74</v>
      </c>
      <c r="AG2555">
        <v>62</v>
      </c>
      <c r="AH2555">
        <v>0</v>
      </c>
      <c r="AI2555">
        <v>0</v>
      </c>
      <c r="AJ2555">
        <v>6</v>
      </c>
      <c r="AK2555">
        <v>6</v>
      </c>
      <c r="AL2555" t="s">
        <v>823</v>
      </c>
      <c r="AM2555" t="s">
        <v>333</v>
      </c>
      <c r="AN2555" t="s">
        <v>824</v>
      </c>
      <c r="AO2555" t="s">
        <v>3443</v>
      </c>
      <c r="AP2555" t="s">
        <v>74</v>
      </c>
      <c r="AQ2555" t="s">
        <v>74</v>
      </c>
      <c r="AR2555" t="s">
        <v>3444</v>
      </c>
      <c r="AS2555" t="s">
        <v>3445</v>
      </c>
      <c r="AT2555" t="s">
        <v>2970</v>
      </c>
      <c r="AU2555">
        <v>2025</v>
      </c>
      <c r="AV2555">
        <v>13</v>
      </c>
      <c r="AW2555">
        <v>1</v>
      </c>
      <c r="AX2555" t="s">
        <v>74</v>
      </c>
      <c r="AY2555" t="s">
        <v>74</v>
      </c>
      <c r="AZ2555" t="s">
        <v>74</v>
      </c>
      <c r="BA2555" t="s">
        <v>74</v>
      </c>
      <c r="BB2555" t="s">
        <v>74</v>
      </c>
      <c r="BC2555" t="s">
        <v>74</v>
      </c>
      <c r="BD2555">
        <v>2511883</v>
      </c>
      <c r="BE2555" t="s">
        <v>42895</v>
      </c>
      <c r="BF2555" t="str">
        <f>HYPERLINK("http://dx.doi.org/10.1080/23322039.2025.2511883","http://dx.doi.org/10.1080/23322039.2025.2511883")</f>
        <v>http://dx.doi.org/10.1080/23322039.2025.2511883</v>
      </c>
      <c r="BG2555" t="s">
        <v>74</v>
      </c>
      <c r="BH2555" t="s">
        <v>74</v>
      </c>
      <c r="BI2555">
        <v>24</v>
      </c>
      <c r="BJ2555" t="s">
        <v>291</v>
      </c>
      <c r="BK2555" t="s">
        <v>313</v>
      </c>
      <c r="BL2555" t="s">
        <v>100</v>
      </c>
      <c r="BM2555" t="s">
        <v>42896</v>
      </c>
      <c r="BN2555" t="s">
        <v>74</v>
      </c>
      <c r="BO2555" t="s">
        <v>916</v>
      </c>
      <c r="BP2555" t="s">
        <v>74</v>
      </c>
      <c r="BQ2555" t="s">
        <v>74</v>
      </c>
      <c r="BR2555" t="s">
        <v>102</v>
      </c>
      <c r="BS2555" t="s">
        <v>42897</v>
      </c>
      <c r="BT2555" t="str">
        <f>HYPERLINK("https%3A%2F%2Fwww.webofscience.com%2Fwos%2Fwoscc%2Ffull-record%2FWOS:001502038700001","View Full Record in Web of Science")</f>
        <v>View Full Record in Web of Science</v>
      </c>
    </row>
    <row r="2556" spans="1:72" x14ac:dyDescent="0.25">
      <c r="A2556" t="s">
        <v>72</v>
      </c>
      <c r="B2556" t="s">
        <v>42898</v>
      </c>
      <c r="C2556" t="s">
        <v>74</v>
      </c>
      <c r="D2556" t="s">
        <v>74</v>
      </c>
      <c r="E2556" t="s">
        <v>74</v>
      </c>
      <c r="F2556" t="s">
        <v>42899</v>
      </c>
      <c r="G2556" t="s">
        <v>74</v>
      </c>
      <c r="H2556" t="s">
        <v>74</v>
      </c>
      <c r="I2556" t="s">
        <v>42900</v>
      </c>
      <c r="J2556" t="s">
        <v>2288</v>
      </c>
      <c r="K2556" t="s">
        <v>74</v>
      </c>
      <c r="L2556" t="s">
        <v>74</v>
      </c>
      <c r="M2556" t="s">
        <v>78</v>
      </c>
      <c r="N2556" t="s">
        <v>79</v>
      </c>
      <c r="O2556" t="s">
        <v>74</v>
      </c>
      <c r="P2556" t="s">
        <v>74</v>
      </c>
      <c r="Q2556" t="s">
        <v>74</v>
      </c>
      <c r="R2556" t="s">
        <v>74</v>
      </c>
      <c r="S2556" t="s">
        <v>74</v>
      </c>
      <c r="T2556" t="s">
        <v>42901</v>
      </c>
      <c r="U2556" t="s">
        <v>42902</v>
      </c>
      <c r="V2556" t="s">
        <v>42903</v>
      </c>
      <c r="W2556" t="s">
        <v>42904</v>
      </c>
      <c r="X2556" t="s">
        <v>42905</v>
      </c>
      <c r="Y2556" t="s">
        <v>42906</v>
      </c>
      <c r="Z2556" t="s">
        <v>42907</v>
      </c>
      <c r="AA2556" t="s">
        <v>42908</v>
      </c>
      <c r="AB2556" t="s">
        <v>42909</v>
      </c>
      <c r="AC2556" t="s">
        <v>42910</v>
      </c>
      <c r="AD2556" t="s">
        <v>42911</v>
      </c>
      <c r="AE2556" t="s">
        <v>42912</v>
      </c>
      <c r="AF2556" t="s">
        <v>74</v>
      </c>
      <c r="AG2556">
        <v>32</v>
      </c>
      <c r="AH2556">
        <v>1</v>
      </c>
      <c r="AI2556">
        <v>1</v>
      </c>
      <c r="AJ2556">
        <v>1</v>
      </c>
      <c r="AK2556">
        <v>9</v>
      </c>
      <c r="AL2556" t="s">
        <v>201</v>
      </c>
      <c r="AM2556" t="s">
        <v>202</v>
      </c>
      <c r="AN2556" t="s">
        <v>203</v>
      </c>
      <c r="AO2556" t="s">
        <v>2299</v>
      </c>
      <c r="AP2556" t="s">
        <v>2300</v>
      </c>
      <c r="AQ2556" t="s">
        <v>74</v>
      </c>
      <c r="AR2556" t="s">
        <v>2301</v>
      </c>
      <c r="AS2556" t="s">
        <v>2302</v>
      </c>
      <c r="AT2556" t="s">
        <v>1159</v>
      </c>
      <c r="AU2556">
        <v>2024</v>
      </c>
      <c r="AV2556">
        <v>171</v>
      </c>
      <c r="AW2556" t="s">
        <v>74</v>
      </c>
      <c r="AX2556" t="s">
        <v>74</v>
      </c>
      <c r="AY2556" t="s">
        <v>74</v>
      </c>
      <c r="AZ2556" t="s">
        <v>74</v>
      </c>
      <c r="BA2556" t="s">
        <v>74</v>
      </c>
      <c r="BB2556" t="s">
        <v>74</v>
      </c>
      <c r="BC2556" t="s">
        <v>74</v>
      </c>
      <c r="BD2556">
        <v>103346</v>
      </c>
      <c r="BE2556" t="s">
        <v>42913</v>
      </c>
      <c r="BF2556" t="str">
        <f>HYPERLINK("http://dx.doi.org/10.1016/j.jdeveco.2024.103346","http://dx.doi.org/10.1016/j.jdeveco.2024.103346")</f>
        <v>http://dx.doi.org/10.1016/j.jdeveco.2024.103346</v>
      </c>
      <c r="BG2556" t="s">
        <v>74</v>
      </c>
      <c r="BH2556" t="s">
        <v>393</v>
      </c>
      <c r="BI2556">
        <v>9</v>
      </c>
      <c r="BJ2556" t="s">
        <v>291</v>
      </c>
      <c r="BK2556" t="s">
        <v>99</v>
      </c>
      <c r="BL2556" t="s">
        <v>100</v>
      </c>
      <c r="BM2556" t="s">
        <v>42914</v>
      </c>
      <c r="BN2556" t="s">
        <v>74</v>
      </c>
      <c r="BO2556" t="s">
        <v>74</v>
      </c>
      <c r="BP2556" t="s">
        <v>74</v>
      </c>
      <c r="BQ2556" t="s">
        <v>74</v>
      </c>
      <c r="BR2556" t="s">
        <v>102</v>
      </c>
      <c r="BS2556" t="s">
        <v>42915</v>
      </c>
      <c r="BT2556" t="str">
        <f>HYPERLINK("https%3A%2F%2Fwww.webofscience.com%2Fwos%2Fwoscc%2Ffull-record%2FWOS:001300073100001","View Full Record in Web of Science")</f>
        <v>View Full Record in Web of Science</v>
      </c>
    </row>
    <row r="2557" spans="1:72" x14ac:dyDescent="0.25">
      <c r="A2557" t="s">
        <v>72</v>
      </c>
      <c r="B2557" t="s">
        <v>42916</v>
      </c>
      <c r="C2557" t="s">
        <v>74</v>
      </c>
      <c r="D2557" t="s">
        <v>74</v>
      </c>
      <c r="E2557" t="s">
        <v>74</v>
      </c>
      <c r="F2557" t="s">
        <v>42917</v>
      </c>
      <c r="G2557" t="s">
        <v>74</v>
      </c>
      <c r="H2557" t="s">
        <v>74</v>
      </c>
      <c r="I2557" t="s">
        <v>42918</v>
      </c>
      <c r="J2557" t="s">
        <v>42919</v>
      </c>
      <c r="K2557" t="s">
        <v>74</v>
      </c>
      <c r="L2557" t="s">
        <v>74</v>
      </c>
      <c r="M2557" t="s">
        <v>78</v>
      </c>
      <c r="N2557" t="s">
        <v>79</v>
      </c>
      <c r="O2557" t="s">
        <v>74</v>
      </c>
      <c r="P2557" t="s">
        <v>74</v>
      </c>
      <c r="Q2557" t="s">
        <v>74</v>
      </c>
      <c r="R2557" t="s">
        <v>74</v>
      </c>
      <c r="S2557" t="s">
        <v>74</v>
      </c>
      <c r="T2557" t="s">
        <v>42920</v>
      </c>
      <c r="U2557" t="s">
        <v>42921</v>
      </c>
      <c r="V2557" t="s">
        <v>42922</v>
      </c>
      <c r="W2557" t="s">
        <v>42923</v>
      </c>
      <c r="X2557" t="s">
        <v>15931</v>
      </c>
      <c r="Y2557" t="s">
        <v>42924</v>
      </c>
      <c r="Z2557" t="s">
        <v>74</v>
      </c>
      <c r="AA2557" t="s">
        <v>74</v>
      </c>
      <c r="AB2557" t="s">
        <v>74</v>
      </c>
      <c r="AC2557" t="s">
        <v>74</v>
      </c>
      <c r="AD2557" t="s">
        <v>74</v>
      </c>
      <c r="AE2557" t="s">
        <v>74</v>
      </c>
      <c r="AF2557" t="s">
        <v>74</v>
      </c>
      <c r="AG2557">
        <v>48</v>
      </c>
      <c r="AH2557">
        <v>29</v>
      </c>
      <c r="AI2557">
        <v>46</v>
      </c>
      <c r="AJ2557">
        <v>0</v>
      </c>
      <c r="AK2557">
        <v>15</v>
      </c>
      <c r="AL2557" t="s">
        <v>30993</v>
      </c>
      <c r="AM2557" t="s">
        <v>4219</v>
      </c>
      <c r="AN2557" t="s">
        <v>30992</v>
      </c>
      <c r="AO2557" t="s">
        <v>42925</v>
      </c>
      <c r="AP2557" t="s">
        <v>42926</v>
      </c>
      <c r="AQ2557" t="s">
        <v>74</v>
      </c>
      <c r="AR2557" t="s">
        <v>42927</v>
      </c>
      <c r="AS2557" t="s">
        <v>42928</v>
      </c>
      <c r="AT2557" t="s">
        <v>1540</v>
      </c>
      <c r="AU2557">
        <v>2014</v>
      </c>
      <c r="AV2557">
        <v>37</v>
      </c>
      <c r="AW2557">
        <v>1</v>
      </c>
      <c r="AX2557" t="s">
        <v>74</v>
      </c>
      <c r="AY2557" t="s">
        <v>74</v>
      </c>
      <c r="AZ2557" t="s">
        <v>74</v>
      </c>
      <c r="BA2557" t="s">
        <v>74</v>
      </c>
      <c r="BB2557">
        <v>29</v>
      </c>
      <c r="BC2557">
        <v>47</v>
      </c>
      <c r="BD2557" t="s">
        <v>74</v>
      </c>
      <c r="BE2557" t="s">
        <v>42929</v>
      </c>
      <c r="BF2557" t="str">
        <f>HYPERLINK("http://dx.doi.org/10.1111/plar.12049","http://dx.doi.org/10.1111/plar.12049")</f>
        <v>http://dx.doi.org/10.1111/plar.12049</v>
      </c>
      <c r="BG2557" t="s">
        <v>74</v>
      </c>
      <c r="BH2557" t="s">
        <v>74</v>
      </c>
      <c r="BI2557">
        <v>19</v>
      </c>
      <c r="BJ2557" t="s">
        <v>3890</v>
      </c>
      <c r="BK2557" t="s">
        <v>99</v>
      </c>
      <c r="BL2557" t="s">
        <v>3890</v>
      </c>
      <c r="BM2557" t="s">
        <v>42930</v>
      </c>
      <c r="BN2557" t="s">
        <v>74</v>
      </c>
      <c r="BO2557" t="s">
        <v>212</v>
      </c>
      <c r="BP2557" t="s">
        <v>74</v>
      </c>
      <c r="BQ2557" t="s">
        <v>74</v>
      </c>
      <c r="BR2557" t="s">
        <v>102</v>
      </c>
      <c r="BS2557" t="s">
        <v>42931</v>
      </c>
      <c r="BT2557" t="str">
        <f>HYPERLINK("https%3A%2F%2Fwww.webofscience.com%2Fwos%2Fwoscc%2Ffull-record%2FWOS:000335459100004","View Full Record in Web of Science")</f>
        <v>View Full Record in Web of Science</v>
      </c>
    </row>
    <row r="2558" spans="1:72" x14ac:dyDescent="0.25">
      <c r="A2558" t="s">
        <v>72</v>
      </c>
      <c r="B2558" t="s">
        <v>42932</v>
      </c>
      <c r="C2558" t="s">
        <v>74</v>
      </c>
      <c r="D2558" t="s">
        <v>74</v>
      </c>
      <c r="E2558" t="s">
        <v>74</v>
      </c>
      <c r="F2558" t="s">
        <v>42933</v>
      </c>
      <c r="G2558" t="s">
        <v>74</v>
      </c>
      <c r="H2558" t="s">
        <v>74</v>
      </c>
      <c r="I2558" t="s">
        <v>42934</v>
      </c>
      <c r="J2558" t="s">
        <v>40133</v>
      </c>
      <c r="K2558" t="s">
        <v>74</v>
      </c>
      <c r="L2558" t="s">
        <v>74</v>
      </c>
      <c r="M2558" t="s">
        <v>78</v>
      </c>
      <c r="N2558" t="s">
        <v>79</v>
      </c>
      <c r="O2558" t="s">
        <v>74</v>
      </c>
      <c r="P2558" t="s">
        <v>74</v>
      </c>
      <c r="Q2558" t="s">
        <v>74</v>
      </c>
      <c r="R2558" t="s">
        <v>74</v>
      </c>
      <c r="S2558" t="s">
        <v>74</v>
      </c>
      <c r="T2558" t="s">
        <v>42935</v>
      </c>
      <c r="U2558" t="s">
        <v>42936</v>
      </c>
      <c r="V2558" t="s">
        <v>42937</v>
      </c>
      <c r="W2558" t="s">
        <v>42938</v>
      </c>
      <c r="X2558" t="s">
        <v>42939</v>
      </c>
      <c r="Y2558" t="s">
        <v>42940</v>
      </c>
      <c r="Z2558" t="s">
        <v>42941</v>
      </c>
      <c r="AA2558" t="s">
        <v>380</v>
      </c>
      <c r="AB2558" t="s">
        <v>381</v>
      </c>
      <c r="AC2558" t="s">
        <v>74</v>
      </c>
      <c r="AD2558" t="s">
        <v>74</v>
      </c>
      <c r="AE2558" t="s">
        <v>74</v>
      </c>
      <c r="AF2558" t="s">
        <v>74</v>
      </c>
      <c r="AG2558">
        <v>77</v>
      </c>
      <c r="AH2558">
        <v>24</v>
      </c>
      <c r="AI2558">
        <v>36</v>
      </c>
      <c r="AJ2558">
        <v>1</v>
      </c>
      <c r="AK2558">
        <v>33</v>
      </c>
      <c r="AL2558" t="s">
        <v>332</v>
      </c>
      <c r="AM2558" t="s">
        <v>333</v>
      </c>
      <c r="AN2558" t="s">
        <v>334</v>
      </c>
      <c r="AO2558" t="s">
        <v>40140</v>
      </c>
      <c r="AP2558" t="s">
        <v>40141</v>
      </c>
      <c r="AQ2558" t="s">
        <v>74</v>
      </c>
      <c r="AR2558" t="s">
        <v>40142</v>
      </c>
      <c r="AS2558" t="s">
        <v>40143</v>
      </c>
      <c r="AT2558" t="s">
        <v>1427</v>
      </c>
      <c r="AU2558">
        <v>2015</v>
      </c>
      <c r="AV2558">
        <v>46</v>
      </c>
      <c r="AW2558">
        <v>1</v>
      </c>
      <c r="AX2558" t="s">
        <v>74</v>
      </c>
      <c r="AY2558" t="s">
        <v>74</v>
      </c>
      <c r="AZ2558" t="s">
        <v>74</v>
      </c>
      <c r="BA2558" t="s">
        <v>74</v>
      </c>
      <c r="BB2558">
        <v>105</v>
      </c>
      <c r="BC2558">
        <v>120</v>
      </c>
      <c r="BD2558" t="s">
        <v>74</v>
      </c>
      <c r="BE2558" t="s">
        <v>42942</v>
      </c>
      <c r="BF2558" t="str">
        <f>HYPERLINK("http://dx.doi.org/10.1080/00220485.2014.976325","http://dx.doi.org/10.1080/00220485.2014.976325")</f>
        <v>http://dx.doi.org/10.1080/00220485.2014.976325</v>
      </c>
      <c r="BG2558" t="s">
        <v>74</v>
      </c>
      <c r="BH2558" t="s">
        <v>74</v>
      </c>
      <c r="BI2558">
        <v>16</v>
      </c>
      <c r="BJ2558" t="s">
        <v>4180</v>
      </c>
      <c r="BK2558" t="s">
        <v>99</v>
      </c>
      <c r="BL2558" t="s">
        <v>4181</v>
      </c>
      <c r="BM2558" t="s">
        <v>42943</v>
      </c>
      <c r="BN2558" t="s">
        <v>74</v>
      </c>
      <c r="BO2558" t="s">
        <v>74</v>
      </c>
      <c r="BP2558" t="s">
        <v>74</v>
      </c>
      <c r="BQ2558" t="s">
        <v>74</v>
      </c>
      <c r="BR2558" t="s">
        <v>102</v>
      </c>
      <c r="BS2558" t="s">
        <v>42944</v>
      </c>
      <c r="BT2558" t="str">
        <f>HYPERLINK("https%3A%2F%2Fwww.webofscience.com%2Fwos%2Fwoscc%2Ffull-record%2FWOS:000349039400008","View Full Record in Web of Science")</f>
        <v>View Full Record in Web of Science</v>
      </c>
    </row>
    <row r="2559" spans="1:72" x14ac:dyDescent="0.25">
      <c r="A2559" t="s">
        <v>72</v>
      </c>
      <c r="B2559" t="s">
        <v>42945</v>
      </c>
      <c r="C2559" t="s">
        <v>74</v>
      </c>
      <c r="D2559" t="s">
        <v>74</v>
      </c>
      <c r="E2559" t="s">
        <v>74</v>
      </c>
      <c r="F2559" t="s">
        <v>42946</v>
      </c>
      <c r="G2559" t="s">
        <v>74</v>
      </c>
      <c r="H2559" t="s">
        <v>74</v>
      </c>
      <c r="I2559" t="s">
        <v>42947</v>
      </c>
      <c r="J2559" t="s">
        <v>1491</v>
      </c>
      <c r="K2559" t="s">
        <v>74</v>
      </c>
      <c r="L2559" t="s">
        <v>74</v>
      </c>
      <c r="M2559" t="s">
        <v>78</v>
      </c>
      <c r="N2559" t="s">
        <v>79</v>
      </c>
      <c r="O2559" t="s">
        <v>74</v>
      </c>
      <c r="P2559" t="s">
        <v>74</v>
      </c>
      <c r="Q2559" t="s">
        <v>74</v>
      </c>
      <c r="R2559" t="s">
        <v>74</v>
      </c>
      <c r="S2559" t="s">
        <v>74</v>
      </c>
      <c r="T2559" t="s">
        <v>42948</v>
      </c>
      <c r="U2559" t="s">
        <v>42949</v>
      </c>
      <c r="V2559" t="s">
        <v>42950</v>
      </c>
      <c r="W2559" t="s">
        <v>42951</v>
      </c>
      <c r="X2559" t="s">
        <v>39996</v>
      </c>
      <c r="Y2559" t="s">
        <v>42952</v>
      </c>
      <c r="Z2559" t="s">
        <v>42953</v>
      </c>
      <c r="AA2559" t="s">
        <v>42954</v>
      </c>
      <c r="AB2559" t="s">
        <v>74</v>
      </c>
      <c r="AC2559" t="s">
        <v>74</v>
      </c>
      <c r="AD2559" t="s">
        <v>74</v>
      </c>
      <c r="AE2559" t="s">
        <v>74</v>
      </c>
      <c r="AF2559" t="s">
        <v>74</v>
      </c>
      <c r="AG2559">
        <v>68</v>
      </c>
      <c r="AH2559">
        <v>2</v>
      </c>
      <c r="AI2559">
        <v>2</v>
      </c>
      <c r="AJ2559">
        <v>0</v>
      </c>
      <c r="AK2559">
        <v>1</v>
      </c>
      <c r="AL2559" t="s">
        <v>89</v>
      </c>
      <c r="AM2559" t="s">
        <v>90</v>
      </c>
      <c r="AN2559" t="s">
        <v>91</v>
      </c>
      <c r="AO2559" t="s">
        <v>1499</v>
      </c>
      <c r="AP2559" t="s">
        <v>1500</v>
      </c>
      <c r="AQ2559" t="s">
        <v>74</v>
      </c>
      <c r="AR2559" t="s">
        <v>1501</v>
      </c>
      <c r="AS2559" t="s">
        <v>1502</v>
      </c>
      <c r="AT2559" t="s">
        <v>1427</v>
      </c>
      <c r="AU2559">
        <v>2025</v>
      </c>
      <c r="AV2559">
        <v>33</v>
      </c>
      <c r="AW2559">
        <v>1</v>
      </c>
      <c r="AX2559" t="s">
        <v>74</v>
      </c>
      <c r="AY2559" t="s">
        <v>74</v>
      </c>
      <c r="AZ2559" t="s">
        <v>74</v>
      </c>
      <c r="BA2559" t="s">
        <v>74</v>
      </c>
      <c r="BB2559">
        <v>87</v>
      </c>
      <c r="BC2559">
        <v>108</v>
      </c>
      <c r="BD2559" t="s">
        <v>74</v>
      </c>
      <c r="BE2559" t="s">
        <v>42955</v>
      </c>
      <c r="BF2559" t="str">
        <f>HYPERLINK("http://dx.doi.org/10.1108/JFRC-05-2024-0089","http://dx.doi.org/10.1108/JFRC-05-2024-0089")</f>
        <v>http://dx.doi.org/10.1108/JFRC-05-2024-0089</v>
      </c>
      <c r="BG2559" t="s">
        <v>74</v>
      </c>
      <c r="BH2559" t="s">
        <v>809</v>
      </c>
      <c r="BI2559">
        <v>22</v>
      </c>
      <c r="BJ2559" t="s">
        <v>268</v>
      </c>
      <c r="BK2559" t="s">
        <v>313</v>
      </c>
      <c r="BL2559" t="s">
        <v>100</v>
      </c>
      <c r="BM2559" t="s">
        <v>42956</v>
      </c>
      <c r="BN2559" t="s">
        <v>74</v>
      </c>
      <c r="BO2559" t="s">
        <v>74</v>
      </c>
      <c r="BP2559" t="s">
        <v>74</v>
      </c>
      <c r="BQ2559" t="s">
        <v>74</v>
      </c>
      <c r="BR2559" t="s">
        <v>102</v>
      </c>
      <c r="BS2559" t="s">
        <v>42957</v>
      </c>
      <c r="BT2559" t="str">
        <f>HYPERLINK("https%3A%2F%2Fwww.webofscience.com%2Fwos%2Fwoscc%2Ffull-record%2FWOS:001378463000001","View Full Record in Web of Science")</f>
        <v>View Full Record in Web of Science</v>
      </c>
    </row>
    <row r="2560" spans="1:72" x14ac:dyDescent="0.25">
      <c r="A2560" t="s">
        <v>72</v>
      </c>
      <c r="B2560" t="s">
        <v>42958</v>
      </c>
      <c r="C2560" t="s">
        <v>74</v>
      </c>
      <c r="D2560" t="s">
        <v>74</v>
      </c>
      <c r="E2560" t="s">
        <v>74</v>
      </c>
      <c r="F2560" t="s">
        <v>42959</v>
      </c>
      <c r="G2560" t="s">
        <v>74</v>
      </c>
      <c r="H2560" t="s">
        <v>74</v>
      </c>
      <c r="I2560" t="s">
        <v>42960</v>
      </c>
      <c r="J2560" t="s">
        <v>20213</v>
      </c>
      <c r="K2560" t="s">
        <v>74</v>
      </c>
      <c r="L2560" t="s">
        <v>74</v>
      </c>
      <c r="M2560" t="s">
        <v>78</v>
      </c>
      <c r="N2560" t="s">
        <v>79</v>
      </c>
      <c r="O2560" t="s">
        <v>74</v>
      </c>
      <c r="P2560" t="s">
        <v>74</v>
      </c>
      <c r="Q2560" t="s">
        <v>74</v>
      </c>
      <c r="R2560" t="s">
        <v>74</v>
      </c>
      <c r="S2560" t="s">
        <v>74</v>
      </c>
      <c r="T2560" t="s">
        <v>42961</v>
      </c>
      <c r="U2560" t="s">
        <v>42962</v>
      </c>
      <c r="V2560" t="s">
        <v>42963</v>
      </c>
      <c r="W2560" t="s">
        <v>42964</v>
      </c>
      <c r="X2560" t="s">
        <v>42965</v>
      </c>
      <c r="Y2560" t="s">
        <v>42966</v>
      </c>
      <c r="Z2560" t="s">
        <v>42967</v>
      </c>
      <c r="AA2560" t="s">
        <v>42968</v>
      </c>
      <c r="AB2560" t="s">
        <v>42969</v>
      </c>
      <c r="AC2560" t="s">
        <v>74</v>
      </c>
      <c r="AD2560" t="s">
        <v>74</v>
      </c>
      <c r="AE2560" t="s">
        <v>74</v>
      </c>
      <c r="AF2560" t="s">
        <v>74</v>
      </c>
      <c r="AG2560">
        <v>69</v>
      </c>
      <c r="AH2560">
        <v>5</v>
      </c>
      <c r="AI2560">
        <v>6</v>
      </c>
      <c r="AJ2560">
        <v>0</v>
      </c>
      <c r="AK2560">
        <v>7</v>
      </c>
      <c r="AL2560" t="s">
        <v>89</v>
      </c>
      <c r="AM2560" t="s">
        <v>90</v>
      </c>
      <c r="AN2560" t="s">
        <v>13029</v>
      </c>
      <c r="AO2560" t="s">
        <v>20205</v>
      </c>
      <c r="AP2560" t="s">
        <v>20204</v>
      </c>
      <c r="AQ2560" t="s">
        <v>74</v>
      </c>
      <c r="AR2560" t="s">
        <v>20203</v>
      </c>
      <c r="AS2560" t="s">
        <v>20202</v>
      </c>
      <c r="AT2560" t="s">
        <v>28113</v>
      </c>
      <c r="AU2560">
        <v>2023</v>
      </c>
      <c r="AV2560">
        <v>14</v>
      </c>
      <c r="AW2560">
        <v>7</v>
      </c>
      <c r="AX2560" t="s">
        <v>74</v>
      </c>
      <c r="AY2560" t="s">
        <v>74</v>
      </c>
      <c r="AZ2560" t="s">
        <v>74</v>
      </c>
      <c r="BA2560" t="s">
        <v>74</v>
      </c>
      <c r="BB2560">
        <v>1088</v>
      </c>
      <c r="BC2560">
        <v>1105</v>
      </c>
      <c r="BD2560" t="s">
        <v>74</v>
      </c>
      <c r="BE2560" t="s">
        <v>42970</v>
      </c>
      <c r="BF2560" t="str">
        <f>HYPERLINK("http://dx.doi.org/10.1108/JIABR-12-2021-0322","http://dx.doi.org/10.1108/JIABR-12-2021-0322")</f>
        <v>http://dx.doi.org/10.1108/JIABR-12-2021-0322</v>
      </c>
      <c r="BG2560" t="s">
        <v>74</v>
      </c>
      <c r="BH2560" t="s">
        <v>7904</v>
      </c>
      <c r="BI2560">
        <v>18</v>
      </c>
      <c r="BJ2560" t="s">
        <v>268</v>
      </c>
      <c r="BK2560" t="s">
        <v>313</v>
      </c>
      <c r="BL2560" t="s">
        <v>100</v>
      </c>
      <c r="BM2560" t="s">
        <v>42971</v>
      </c>
      <c r="BN2560" t="s">
        <v>74</v>
      </c>
      <c r="BO2560" t="s">
        <v>74</v>
      </c>
      <c r="BP2560" t="s">
        <v>74</v>
      </c>
      <c r="BQ2560" t="s">
        <v>74</v>
      </c>
      <c r="BR2560" t="s">
        <v>102</v>
      </c>
      <c r="BS2560" t="s">
        <v>42972</v>
      </c>
      <c r="BT2560" t="str">
        <f>HYPERLINK("https%3A%2F%2Fwww.webofscience.com%2Fwos%2Fwoscc%2Ffull-record%2FWOS:000899696200001","View Full Record in Web of Science")</f>
        <v>View Full Record in Web of Science</v>
      </c>
    </row>
    <row r="2561" spans="1:72" x14ac:dyDescent="0.25">
      <c r="A2561" t="s">
        <v>72</v>
      </c>
      <c r="B2561" t="s">
        <v>42973</v>
      </c>
      <c r="C2561" t="s">
        <v>74</v>
      </c>
      <c r="D2561" t="s">
        <v>74</v>
      </c>
      <c r="E2561" t="s">
        <v>74</v>
      </c>
      <c r="F2561" t="s">
        <v>42974</v>
      </c>
      <c r="G2561" t="s">
        <v>74</v>
      </c>
      <c r="H2561" t="s">
        <v>74</v>
      </c>
      <c r="I2561" t="s">
        <v>42975</v>
      </c>
      <c r="J2561" t="s">
        <v>42976</v>
      </c>
      <c r="K2561" t="s">
        <v>74</v>
      </c>
      <c r="L2561" t="s">
        <v>74</v>
      </c>
      <c r="M2561" t="s">
        <v>78</v>
      </c>
      <c r="N2561" t="s">
        <v>79</v>
      </c>
      <c r="O2561" t="s">
        <v>74</v>
      </c>
      <c r="P2561" t="s">
        <v>74</v>
      </c>
      <c r="Q2561" t="s">
        <v>74</v>
      </c>
      <c r="R2561" t="s">
        <v>74</v>
      </c>
      <c r="S2561" t="s">
        <v>74</v>
      </c>
      <c r="T2561" t="s">
        <v>74</v>
      </c>
      <c r="U2561" t="s">
        <v>42977</v>
      </c>
      <c r="V2561" t="s">
        <v>42978</v>
      </c>
      <c r="W2561" t="s">
        <v>42979</v>
      </c>
      <c r="X2561" t="s">
        <v>42980</v>
      </c>
      <c r="Y2561" t="s">
        <v>42981</v>
      </c>
      <c r="Z2561" t="s">
        <v>42982</v>
      </c>
      <c r="AA2561" t="s">
        <v>42983</v>
      </c>
      <c r="AB2561" t="s">
        <v>42984</v>
      </c>
      <c r="AC2561" t="s">
        <v>42985</v>
      </c>
      <c r="AD2561" t="s">
        <v>42985</v>
      </c>
      <c r="AE2561" t="s">
        <v>42986</v>
      </c>
      <c r="AF2561" t="s">
        <v>74</v>
      </c>
      <c r="AG2561">
        <v>130</v>
      </c>
      <c r="AH2561">
        <v>151</v>
      </c>
      <c r="AI2561">
        <v>183</v>
      </c>
      <c r="AJ2561">
        <v>6</v>
      </c>
      <c r="AK2561">
        <v>168</v>
      </c>
      <c r="AL2561" t="s">
        <v>42987</v>
      </c>
      <c r="AM2561" t="s">
        <v>42988</v>
      </c>
      <c r="AN2561" t="s">
        <v>42989</v>
      </c>
      <c r="AO2561" t="s">
        <v>42990</v>
      </c>
      <c r="AP2561" t="s">
        <v>42991</v>
      </c>
      <c r="AQ2561" t="s">
        <v>74</v>
      </c>
      <c r="AR2561" t="s">
        <v>42992</v>
      </c>
      <c r="AS2561" t="s">
        <v>42993</v>
      </c>
      <c r="AT2561" t="s">
        <v>124</v>
      </c>
      <c r="AU2561">
        <v>2016</v>
      </c>
      <c r="AV2561">
        <v>59</v>
      </c>
      <c r="AW2561">
        <v>6</v>
      </c>
      <c r="AX2561" t="s">
        <v>74</v>
      </c>
      <c r="AY2561" t="s">
        <v>74</v>
      </c>
      <c r="AZ2561" t="s">
        <v>74</v>
      </c>
      <c r="BA2561" t="s">
        <v>74</v>
      </c>
      <c r="BB2561">
        <v>2103</v>
      </c>
      <c r="BC2561">
        <v>2131</v>
      </c>
      <c r="BD2561" t="s">
        <v>74</v>
      </c>
      <c r="BE2561" t="s">
        <v>42994</v>
      </c>
      <c r="BF2561" t="str">
        <f>HYPERLINK("http://dx.doi.org/10.5465/amj.2015.0715","http://dx.doi.org/10.5465/amj.2015.0715")</f>
        <v>http://dx.doi.org/10.5465/amj.2015.0715</v>
      </c>
      <c r="BG2561" t="s">
        <v>74</v>
      </c>
      <c r="BH2561" t="s">
        <v>74</v>
      </c>
      <c r="BI2561">
        <v>29</v>
      </c>
      <c r="BJ2561" t="s">
        <v>98</v>
      </c>
      <c r="BK2561" t="s">
        <v>99</v>
      </c>
      <c r="BL2561" t="s">
        <v>100</v>
      </c>
      <c r="BM2561" t="s">
        <v>42995</v>
      </c>
      <c r="BN2561" t="s">
        <v>74</v>
      </c>
      <c r="BO2561" t="s">
        <v>1696</v>
      </c>
      <c r="BP2561" t="s">
        <v>74</v>
      </c>
      <c r="BQ2561" t="s">
        <v>74</v>
      </c>
      <c r="BR2561" t="s">
        <v>102</v>
      </c>
      <c r="BS2561" t="s">
        <v>42996</v>
      </c>
      <c r="BT2561" t="str">
        <f>HYPERLINK("https%3A%2F%2Fwww.webofscience.com%2Fwos%2Fwoscc%2Ffull-record%2FWOS:000390615500011","View Full Record in Web of Science")</f>
        <v>View Full Record in Web of Science</v>
      </c>
    </row>
    <row r="2562" spans="1:72" x14ac:dyDescent="0.25">
      <c r="A2562" t="s">
        <v>72</v>
      </c>
      <c r="B2562" t="s">
        <v>30481</v>
      </c>
      <c r="C2562" t="s">
        <v>74</v>
      </c>
      <c r="D2562" t="s">
        <v>74</v>
      </c>
      <c r="E2562" t="s">
        <v>74</v>
      </c>
      <c r="F2562" t="s">
        <v>30480</v>
      </c>
      <c r="G2562" t="s">
        <v>74</v>
      </c>
      <c r="H2562" t="s">
        <v>74</v>
      </c>
      <c r="I2562" t="s">
        <v>42997</v>
      </c>
      <c r="J2562" t="s">
        <v>9435</v>
      </c>
      <c r="K2562" t="s">
        <v>74</v>
      </c>
      <c r="L2562" t="s">
        <v>74</v>
      </c>
      <c r="M2562" t="s">
        <v>78</v>
      </c>
      <c r="N2562" t="s">
        <v>79</v>
      </c>
      <c r="O2562" t="s">
        <v>74</v>
      </c>
      <c r="P2562" t="s">
        <v>74</v>
      </c>
      <c r="Q2562" t="s">
        <v>74</v>
      </c>
      <c r="R2562" t="s">
        <v>74</v>
      </c>
      <c r="S2562" t="s">
        <v>74</v>
      </c>
      <c r="T2562" t="s">
        <v>42998</v>
      </c>
      <c r="U2562" t="s">
        <v>42999</v>
      </c>
      <c r="V2562" t="s">
        <v>43000</v>
      </c>
      <c r="W2562" t="s">
        <v>30475</v>
      </c>
      <c r="X2562" t="s">
        <v>30474</v>
      </c>
      <c r="Y2562" t="s">
        <v>30473</v>
      </c>
      <c r="Z2562" t="s">
        <v>43001</v>
      </c>
      <c r="AA2562" t="s">
        <v>74</v>
      </c>
      <c r="AB2562" t="s">
        <v>30471</v>
      </c>
      <c r="AC2562" t="s">
        <v>74</v>
      </c>
      <c r="AD2562" t="s">
        <v>74</v>
      </c>
      <c r="AE2562" t="s">
        <v>74</v>
      </c>
      <c r="AF2562" t="s">
        <v>74</v>
      </c>
      <c r="AG2562">
        <v>147</v>
      </c>
      <c r="AH2562">
        <v>2</v>
      </c>
      <c r="AI2562">
        <v>2</v>
      </c>
      <c r="AJ2562">
        <v>0</v>
      </c>
      <c r="AK2562">
        <v>1</v>
      </c>
      <c r="AL2562" t="s">
        <v>5619</v>
      </c>
      <c r="AM2562" t="s">
        <v>5620</v>
      </c>
      <c r="AN2562" t="s">
        <v>9445</v>
      </c>
      <c r="AO2562" t="s">
        <v>9446</v>
      </c>
      <c r="AP2562" t="s">
        <v>9447</v>
      </c>
      <c r="AQ2562" t="s">
        <v>74</v>
      </c>
      <c r="AR2562" t="s">
        <v>9448</v>
      </c>
      <c r="AS2562" t="s">
        <v>9449</v>
      </c>
      <c r="AT2562" t="s">
        <v>1652</v>
      </c>
      <c r="AU2562">
        <v>2024</v>
      </c>
      <c r="AV2562">
        <v>22</v>
      </c>
      <c r="AW2562" t="s">
        <v>7213</v>
      </c>
      <c r="AX2562" t="s">
        <v>74</v>
      </c>
      <c r="AY2562" t="s">
        <v>74</v>
      </c>
      <c r="AZ2562" t="s">
        <v>74</v>
      </c>
      <c r="BA2562" t="s">
        <v>74</v>
      </c>
      <c r="BB2562">
        <v>321</v>
      </c>
      <c r="BC2562">
        <v>368</v>
      </c>
      <c r="BD2562" t="s">
        <v>74</v>
      </c>
      <c r="BE2562" t="s">
        <v>43002</v>
      </c>
      <c r="BF2562" t="str">
        <f>HYPERLINK("http://dx.doi.org/10.1163/15691497-12341665","http://dx.doi.org/10.1163/15691497-12341665")</f>
        <v>http://dx.doi.org/10.1163/15691497-12341665</v>
      </c>
      <c r="BG2562" t="s">
        <v>74</v>
      </c>
      <c r="BH2562" t="s">
        <v>74</v>
      </c>
      <c r="BI2562">
        <v>48</v>
      </c>
      <c r="BJ2562" t="s">
        <v>1137</v>
      </c>
      <c r="BK2562" t="s">
        <v>313</v>
      </c>
      <c r="BL2562" t="s">
        <v>1137</v>
      </c>
      <c r="BM2562" t="s">
        <v>43003</v>
      </c>
      <c r="BN2562" t="s">
        <v>74</v>
      </c>
      <c r="BO2562" t="s">
        <v>270</v>
      </c>
      <c r="BP2562" t="s">
        <v>74</v>
      </c>
      <c r="BQ2562" t="s">
        <v>74</v>
      </c>
      <c r="BR2562" t="s">
        <v>102</v>
      </c>
      <c r="BS2562" t="s">
        <v>43004</v>
      </c>
      <c r="BT2562" t="str">
        <f>HYPERLINK("https%3A%2F%2Fwww.webofscience.com%2Fwos%2Fwoscc%2Ffull-record%2FWOS:001266892500002","View Full Record in Web of Science")</f>
        <v>View Full Record in Web of Science</v>
      </c>
    </row>
    <row r="2563" spans="1:72" x14ac:dyDescent="0.25">
      <c r="A2563" t="s">
        <v>72</v>
      </c>
      <c r="B2563" t="s">
        <v>43005</v>
      </c>
      <c r="C2563" t="s">
        <v>74</v>
      </c>
      <c r="D2563" t="s">
        <v>74</v>
      </c>
      <c r="E2563" t="s">
        <v>74</v>
      </c>
      <c r="F2563" t="s">
        <v>43006</v>
      </c>
      <c r="G2563" t="s">
        <v>74</v>
      </c>
      <c r="H2563" t="s">
        <v>74</v>
      </c>
      <c r="I2563" t="s">
        <v>43007</v>
      </c>
      <c r="J2563" t="s">
        <v>566</v>
      </c>
      <c r="K2563" t="s">
        <v>74</v>
      </c>
      <c r="L2563" t="s">
        <v>74</v>
      </c>
      <c r="M2563" t="s">
        <v>78</v>
      </c>
      <c r="N2563" t="s">
        <v>79</v>
      </c>
      <c r="O2563" t="s">
        <v>74</v>
      </c>
      <c r="P2563" t="s">
        <v>74</v>
      </c>
      <c r="Q2563" t="s">
        <v>74</v>
      </c>
      <c r="R2563" t="s">
        <v>74</v>
      </c>
      <c r="S2563" t="s">
        <v>74</v>
      </c>
      <c r="T2563" t="s">
        <v>43008</v>
      </c>
      <c r="U2563" t="s">
        <v>43009</v>
      </c>
      <c r="V2563" t="s">
        <v>43010</v>
      </c>
      <c r="W2563" t="s">
        <v>43011</v>
      </c>
      <c r="X2563" t="s">
        <v>43012</v>
      </c>
      <c r="Y2563" t="s">
        <v>43013</v>
      </c>
      <c r="Z2563" t="s">
        <v>43014</v>
      </c>
      <c r="AA2563" t="s">
        <v>43015</v>
      </c>
      <c r="AB2563" t="s">
        <v>43016</v>
      </c>
      <c r="AC2563" t="s">
        <v>74</v>
      </c>
      <c r="AD2563" t="s">
        <v>74</v>
      </c>
      <c r="AE2563" t="s">
        <v>74</v>
      </c>
      <c r="AF2563" t="s">
        <v>74</v>
      </c>
      <c r="AG2563">
        <v>74</v>
      </c>
      <c r="AH2563">
        <v>1</v>
      </c>
      <c r="AI2563">
        <v>2</v>
      </c>
      <c r="AJ2563">
        <v>3</v>
      </c>
      <c r="AK2563">
        <v>3</v>
      </c>
      <c r="AL2563" t="s">
        <v>575</v>
      </c>
      <c r="AM2563" t="s">
        <v>576</v>
      </c>
      <c r="AN2563" t="s">
        <v>577</v>
      </c>
      <c r="AO2563" t="s">
        <v>74</v>
      </c>
      <c r="AP2563" t="s">
        <v>578</v>
      </c>
      <c r="AQ2563" t="s">
        <v>74</v>
      </c>
      <c r="AR2563" t="s">
        <v>579</v>
      </c>
      <c r="AS2563" t="s">
        <v>580</v>
      </c>
      <c r="AT2563" t="s">
        <v>14074</v>
      </c>
      <c r="AU2563">
        <v>2025</v>
      </c>
      <c r="AV2563">
        <v>15</v>
      </c>
      <c r="AW2563">
        <v>8</v>
      </c>
      <c r="AX2563" t="s">
        <v>74</v>
      </c>
      <c r="AY2563" t="s">
        <v>74</v>
      </c>
      <c r="AZ2563" t="s">
        <v>74</v>
      </c>
      <c r="BA2563" t="s">
        <v>74</v>
      </c>
      <c r="BB2563" t="s">
        <v>74</v>
      </c>
      <c r="BC2563" t="s">
        <v>74</v>
      </c>
      <c r="BD2563">
        <v>323</v>
      </c>
      <c r="BE2563" t="s">
        <v>43017</v>
      </c>
      <c r="BF2563" t="str">
        <f>HYPERLINK("http://dx.doi.org/10.3390/admsci15080323","http://dx.doi.org/10.3390/admsci15080323")</f>
        <v>http://dx.doi.org/10.3390/admsci15080323</v>
      </c>
      <c r="BG2563" t="s">
        <v>74</v>
      </c>
      <c r="BH2563" t="s">
        <v>74</v>
      </c>
      <c r="BI2563">
        <v>24</v>
      </c>
      <c r="BJ2563" t="s">
        <v>583</v>
      </c>
      <c r="BK2563" t="s">
        <v>313</v>
      </c>
      <c r="BL2563" t="s">
        <v>100</v>
      </c>
      <c r="BM2563" t="s">
        <v>43018</v>
      </c>
      <c r="BN2563" t="s">
        <v>74</v>
      </c>
      <c r="BO2563" t="s">
        <v>212</v>
      </c>
      <c r="BP2563" t="s">
        <v>74</v>
      </c>
      <c r="BQ2563" t="s">
        <v>74</v>
      </c>
      <c r="BR2563" t="s">
        <v>102</v>
      </c>
      <c r="BS2563" t="s">
        <v>43019</v>
      </c>
      <c r="BT2563" t="str">
        <f>HYPERLINK("https%3A%2F%2Fwww.webofscience.com%2Fwos%2Fwoscc%2Ffull-record%2FWOS:001557109000001","View Full Record in Web of Science")</f>
        <v>View Full Record in Web of Science</v>
      </c>
    </row>
    <row r="2564" spans="1:72" x14ac:dyDescent="0.25">
      <c r="A2564" t="s">
        <v>72</v>
      </c>
      <c r="B2564" t="s">
        <v>43020</v>
      </c>
      <c r="C2564" t="s">
        <v>74</v>
      </c>
      <c r="D2564" t="s">
        <v>74</v>
      </c>
      <c r="E2564" t="s">
        <v>74</v>
      </c>
      <c r="F2564" t="s">
        <v>43021</v>
      </c>
      <c r="G2564" t="s">
        <v>74</v>
      </c>
      <c r="H2564" t="s">
        <v>74</v>
      </c>
      <c r="I2564" t="s">
        <v>43022</v>
      </c>
      <c r="J2564" t="s">
        <v>424</v>
      </c>
      <c r="K2564" t="s">
        <v>74</v>
      </c>
      <c r="L2564" t="s">
        <v>74</v>
      </c>
      <c r="M2564" t="s">
        <v>78</v>
      </c>
      <c r="N2564" t="s">
        <v>79</v>
      </c>
      <c r="O2564" t="s">
        <v>74</v>
      </c>
      <c r="P2564" t="s">
        <v>74</v>
      </c>
      <c r="Q2564" t="s">
        <v>74</v>
      </c>
      <c r="R2564" t="s">
        <v>74</v>
      </c>
      <c r="S2564" t="s">
        <v>74</v>
      </c>
      <c r="T2564" t="s">
        <v>43023</v>
      </c>
      <c r="U2564" t="s">
        <v>43024</v>
      </c>
      <c r="V2564" t="s">
        <v>43025</v>
      </c>
      <c r="W2564" t="s">
        <v>43026</v>
      </c>
      <c r="X2564" t="s">
        <v>43027</v>
      </c>
      <c r="Y2564" t="s">
        <v>43028</v>
      </c>
      <c r="Z2564" t="s">
        <v>43029</v>
      </c>
      <c r="AA2564" t="s">
        <v>43030</v>
      </c>
      <c r="AB2564" t="s">
        <v>74</v>
      </c>
      <c r="AC2564" t="s">
        <v>43031</v>
      </c>
      <c r="AD2564" t="s">
        <v>43031</v>
      </c>
      <c r="AE2564" t="s">
        <v>43031</v>
      </c>
      <c r="AF2564" t="s">
        <v>74</v>
      </c>
      <c r="AG2564">
        <v>91</v>
      </c>
      <c r="AH2564">
        <v>2</v>
      </c>
      <c r="AI2564">
        <v>2</v>
      </c>
      <c r="AJ2564">
        <v>9</v>
      </c>
      <c r="AK2564">
        <v>9</v>
      </c>
      <c r="AL2564" t="s">
        <v>89</v>
      </c>
      <c r="AM2564" t="s">
        <v>90</v>
      </c>
      <c r="AN2564" t="s">
        <v>91</v>
      </c>
      <c r="AO2564" t="s">
        <v>436</v>
      </c>
      <c r="AP2564" t="s">
        <v>437</v>
      </c>
      <c r="AQ2564" t="s">
        <v>74</v>
      </c>
      <c r="AR2564" t="s">
        <v>438</v>
      </c>
      <c r="AS2564" t="s">
        <v>439</v>
      </c>
      <c r="AT2564" t="s">
        <v>41131</v>
      </c>
      <c r="AU2564">
        <v>2026</v>
      </c>
      <c r="AV2564">
        <v>44</v>
      </c>
      <c r="AW2564">
        <v>1</v>
      </c>
      <c r="AX2564" t="s">
        <v>74</v>
      </c>
      <c r="AY2564" t="s">
        <v>74</v>
      </c>
      <c r="AZ2564" t="s">
        <v>441</v>
      </c>
      <c r="BA2564" t="s">
        <v>74</v>
      </c>
      <c r="BB2564">
        <v>120</v>
      </c>
      <c r="BC2564">
        <v>139</v>
      </c>
      <c r="BD2564" t="s">
        <v>74</v>
      </c>
      <c r="BE2564" t="s">
        <v>43032</v>
      </c>
      <c r="BF2564" t="str">
        <f>HYPERLINK("http://dx.doi.org/10.1108/IJBM-02-2025-0095","http://dx.doi.org/10.1108/IJBM-02-2025-0095")</f>
        <v>http://dx.doi.org/10.1108/IJBM-02-2025-0095</v>
      </c>
      <c r="BG2564" t="s">
        <v>74</v>
      </c>
      <c r="BH2564" t="s">
        <v>3411</v>
      </c>
      <c r="BI2564">
        <v>20</v>
      </c>
      <c r="BJ2564" t="s">
        <v>418</v>
      </c>
      <c r="BK2564" t="s">
        <v>99</v>
      </c>
      <c r="BL2564" t="s">
        <v>100</v>
      </c>
      <c r="BM2564" t="s">
        <v>43033</v>
      </c>
      <c r="BN2564" t="s">
        <v>74</v>
      </c>
      <c r="BO2564" t="s">
        <v>74</v>
      </c>
      <c r="BP2564" t="s">
        <v>74</v>
      </c>
      <c r="BQ2564" t="s">
        <v>74</v>
      </c>
      <c r="BR2564" t="s">
        <v>102</v>
      </c>
      <c r="BS2564" t="s">
        <v>43034</v>
      </c>
      <c r="BT2564" t="str">
        <f>HYPERLINK("https%3A%2F%2Fwww.webofscience.com%2Fwos%2Fwoscc%2Ffull-record%2FWOS:001575537700001","View Full Record in Web of Science")</f>
        <v>View Full Record in Web of Science</v>
      </c>
    </row>
    <row r="2565" spans="1:72" x14ac:dyDescent="0.25">
      <c r="A2565" t="s">
        <v>72</v>
      </c>
      <c r="B2565" t="s">
        <v>43035</v>
      </c>
      <c r="C2565" t="s">
        <v>74</v>
      </c>
      <c r="D2565" t="s">
        <v>74</v>
      </c>
      <c r="E2565" t="s">
        <v>74</v>
      </c>
      <c r="F2565" t="s">
        <v>43036</v>
      </c>
      <c r="G2565" t="s">
        <v>74</v>
      </c>
      <c r="H2565" t="s">
        <v>74</v>
      </c>
      <c r="I2565" t="s">
        <v>43037</v>
      </c>
      <c r="J2565" t="s">
        <v>9964</v>
      </c>
      <c r="K2565" t="s">
        <v>74</v>
      </c>
      <c r="L2565" t="s">
        <v>74</v>
      </c>
      <c r="M2565" t="s">
        <v>78</v>
      </c>
      <c r="N2565" t="s">
        <v>79</v>
      </c>
      <c r="O2565" t="s">
        <v>74</v>
      </c>
      <c r="P2565" t="s">
        <v>74</v>
      </c>
      <c r="Q2565" t="s">
        <v>74</v>
      </c>
      <c r="R2565" t="s">
        <v>74</v>
      </c>
      <c r="S2565" t="s">
        <v>74</v>
      </c>
      <c r="T2565" t="s">
        <v>43038</v>
      </c>
      <c r="U2565" t="s">
        <v>43039</v>
      </c>
      <c r="V2565" t="s">
        <v>43040</v>
      </c>
      <c r="W2565" t="s">
        <v>43041</v>
      </c>
      <c r="X2565" t="s">
        <v>74</v>
      </c>
      <c r="Y2565" t="s">
        <v>43042</v>
      </c>
      <c r="Z2565" t="s">
        <v>43043</v>
      </c>
      <c r="AA2565" t="s">
        <v>43044</v>
      </c>
      <c r="AB2565" t="s">
        <v>43045</v>
      </c>
      <c r="AC2565" t="s">
        <v>74</v>
      </c>
      <c r="AD2565" t="s">
        <v>74</v>
      </c>
      <c r="AE2565" t="s">
        <v>74</v>
      </c>
      <c r="AF2565" t="s">
        <v>74</v>
      </c>
      <c r="AG2565">
        <v>63</v>
      </c>
      <c r="AH2565">
        <v>16</v>
      </c>
      <c r="AI2565">
        <v>23</v>
      </c>
      <c r="AJ2565">
        <v>0</v>
      </c>
      <c r="AK2565">
        <v>14</v>
      </c>
      <c r="AL2565" t="s">
        <v>89</v>
      </c>
      <c r="AM2565" t="s">
        <v>90</v>
      </c>
      <c r="AN2565" t="s">
        <v>91</v>
      </c>
      <c r="AO2565" t="s">
        <v>9972</v>
      </c>
      <c r="AP2565" t="s">
        <v>9973</v>
      </c>
      <c r="AQ2565" t="s">
        <v>74</v>
      </c>
      <c r="AR2565" t="s">
        <v>9974</v>
      </c>
      <c r="AS2565" t="s">
        <v>9975</v>
      </c>
      <c r="AT2565" t="s">
        <v>8352</v>
      </c>
      <c r="AU2565">
        <v>2024</v>
      </c>
      <c r="AV2565">
        <v>18</v>
      </c>
      <c r="AW2565">
        <v>5</v>
      </c>
      <c r="AX2565" t="s">
        <v>74</v>
      </c>
      <c r="AY2565" t="s">
        <v>74</v>
      </c>
      <c r="AZ2565" t="s">
        <v>74</v>
      </c>
      <c r="BA2565" t="s">
        <v>74</v>
      </c>
      <c r="BB2565">
        <v>1088</v>
      </c>
      <c r="BC2565">
        <v>1108</v>
      </c>
      <c r="BD2565" t="s">
        <v>74</v>
      </c>
      <c r="BE2565" t="s">
        <v>43046</v>
      </c>
      <c r="BF2565" t="str">
        <f>HYPERLINK("http://dx.doi.org/10.1108/IJESM-07-2023-0012","http://dx.doi.org/10.1108/IJESM-07-2023-0012")</f>
        <v>http://dx.doi.org/10.1108/IJESM-07-2023-0012</v>
      </c>
      <c r="BG2565" t="s">
        <v>74</v>
      </c>
      <c r="BH2565" t="s">
        <v>5567</v>
      </c>
      <c r="BI2565">
        <v>21</v>
      </c>
      <c r="BJ2565" t="s">
        <v>583</v>
      </c>
      <c r="BK2565" t="s">
        <v>313</v>
      </c>
      <c r="BL2565" t="s">
        <v>100</v>
      </c>
      <c r="BM2565" t="s">
        <v>43047</v>
      </c>
      <c r="BN2565" t="s">
        <v>74</v>
      </c>
      <c r="BO2565" t="s">
        <v>74</v>
      </c>
      <c r="BP2565" t="s">
        <v>74</v>
      </c>
      <c r="BQ2565" t="s">
        <v>74</v>
      </c>
      <c r="BR2565" t="s">
        <v>102</v>
      </c>
      <c r="BS2565" t="s">
        <v>43048</v>
      </c>
      <c r="BT2565" t="str">
        <f>HYPERLINK("https%3A%2F%2Fwww.webofscience.com%2Fwos%2Fwoscc%2Ffull-record%2FWOS:001093040400001","View Full Record in Web of Science")</f>
        <v>View Full Record in Web of Science</v>
      </c>
    </row>
    <row r="2566" spans="1:72" x14ac:dyDescent="0.25">
      <c r="A2566" t="s">
        <v>72</v>
      </c>
      <c r="B2566" t="s">
        <v>43049</v>
      </c>
      <c r="C2566" t="s">
        <v>74</v>
      </c>
      <c r="D2566" t="s">
        <v>74</v>
      </c>
      <c r="E2566" t="s">
        <v>74</v>
      </c>
      <c r="F2566" t="s">
        <v>43050</v>
      </c>
      <c r="G2566" t="s">
        <v>74</v>
      </c>
      <c r="H2566" t="s">
        <v>74</v>
      </c>
      <c r="I2566" t="s">
        <v>43051</v>
      </c>
      <c r="J2566" t="s">
        <v>3231</v>
      </c>
      <c r="K2566" t="s">
        <v>74</v>
      </c>
      <c r="L2566" t="s">
        <v>74</v>
      </c>
      <c r="M2566" t="s">
        <v>78</v>
      </c>
      <c r="N2566" t="s">
        <v>79</v>
      </c>
      <c r="O2566" t="s">
        <v>74</v>
      </c>
      <c r="P2566" t="s">
        <v>74</v>
      </c>
      <c r="Q2566" t="s">
        <v>74</v>
      </c>
      <c r="R2566" t="s">
        <v>74</v>
      </c>
      <c r="S2566" t="s">
        <v>74</v>
      </c>
      <c r="T2566" t="s">
        <v>43052</v>
      </c>
      <c r="U2566" t="s">
        <v>43053</v>
      </c>
      <c r="V2566" t="s">
        <v>43054</v>
      </c>
      <c r="W2566" t="s">
        <v>43055</v>
      </c>
      <c r="X2566" t="s">
        <v>43056</v>
      </c>
      <c r="Y2566" t="s">
        <v>43057</v>
      </c>
      <c r="Z2566" t="s">
        <v>43058</v>
      </c>
      <c r="AA2566" t="s">
        <v>24765</v>
      </c>
      <c r="AB2566" t="s">
        <v>24764</v>
      </c>
      <c r="AC2566" t="s">
        <v>74</v>
      </c>
      <c r="AD2566" t="s">
        <v>74</v>
      </c>
      <c r="AE2566" t="s">
        <v>74</v>
      </c>
      <c r="AF2566" t="s">
        <v>74</v>
      </c>
      <c r="AG2566">
        <v>62</v>
      </c>
      <c r="AH2566">
        <v>41</v>
      </c>
      <c r="AI2566">
        <v>59</v>
      </c>
      <c r="AJ2566">
        <v>2</v>
      </c>
      <c r="AK2566">
        <v>22</v>
      </c>
      <c r="AL2566" t="s">
        <v>575</v>
      </c>
      <c r="AM2566" t="s">
        <v>576</v>
      </c>
      <c r="AN2566" t="s">
        <v>3242</v>
      </c>
      <c r="AO2566" t="s">
        <v>3243</v>
      </c>
      <c r="AP2566" t="s">
        <v>74</v>
      </c>
      <c r="AQ2566" t="s">
        <v>74</v>
      </c>
      <c r="AR2566" t="s">
        <v>3244</v>
      </c>
      <c r="AS2566" t="s">
        <v>3245</v>
      </c>
      <c r="AT2566" t="s">
        <v>29909</v>
      </c>
      <c r="AU2566">
        <v>2019</v>
      </c>
      <c r="AV2566">
        <v>11</v>
      </c>
      <c r="AW2566">
        <v>3</v>
      </c>
      <c r="AX2566" t="s">
        <v>74</v>
      </c>
      <c r="AY2566" t="s">
        <v>74</v>
      </c>
      <c r="AZ2566" t="s">
        <v>74</v>
      </c>
      <c r="BA2566" t="s">
        <v>74</v>
      </c>
      <c r="BB2566" t="s">
        <v>74</v>
      </c>
      <c r="BC2566" t="s">
        <v>74</v>
      </c>
      <c r="BD2566">
        <v>568</v>
      </c>
      <c r="BE2566" t="s">
        <v>43059</v>
      </c>
      <c r="BF2566" t="str">
        <f>HYPERLINK("http://dx.doi.org/10.3390/su11030568","http://dx.doi.org/10.3390/su11030568")</f>
        <v>http://dx.doi.org/10.3390/su11030568</v>
      </c>
      <c r="BG2566" t="s">
        <v>74</v>
      </c>
      <c r="BH2566" t="s">
        <v>74</v>
      </c>
      <c r="BI2566">
        <v>26</v>
      </c>
      <c r="BJ2566" t="s">
        <v>3247</v>
      </c>
      <c r="BK2566" t="s">
        <v>2623</v>
      </c>
      <c r="BL2566" t="s">
        <v>3248</v>
      </c>
      <c r="BM2566" t="s">
        <v>43060</v>
      </c>
      <c r="BN2566" t="s">
        <v>74</v>
      </c>
      <c r="BO2566" t="s">
        <v>916</v>
      </c>
      <c r="BP2566" t="s">
        <v>74</v>
      </c>
      <c r="BQ2566" t="s">
        <v>74</v>
      </c>
      <c r="BR2566" t="s">
        <v>102</v>
      </c>
      <c r="BS2566" t="s">
        <v>43061</v>
      </c>
      <c r="BT2566" t="str">
        <f>HYPERLINK("https%3A%2F%2Fwww.webofscience.com%2Fwos%2Fwoscc%2Ffull-record%2FWOS:000458929500013","View Full Record in Web of Science")</f>
        <v>View Full Record in Web of Science</v>
      </c>
    </row>
    <row r="2567" spans="1:72" x14ac:dyDescent="0.25">
      <c r="A2567" t="s">
        <v>8303</v>
      </c>
      <c r="B2567" t="s">
        <v>20975</v>
      </c>
      <c r="C2567" t="s">
        <v>20973</v>
      </c>
      <c r="D2567" t="s">
        <v>74</v>
      </c>
      <c r="E2567" t="s">
        <v>74</v>
      </c>
      <c r="F2567" t="s">
        <v>20974</v>
      </c>
      <c r="G2567" t="s">
        <v>20973</v>
      </c>
      <c r="H2567" t="s">
        <v>74</v>
      </c>
      <c r="I2567" t="s">
        <v>43062</v>
      </c>
      <c r="J2567" t="s">
        <v>20971</v>
      </c>
      <c r="K2567" t="s">
        <v>74</v>
      </c>
      <c r="L2567" t="s">
        <v>74</v>
      </c>
      <c r="M2567" t="s">
        <v>78</v>
      </c>
      <c r="N2567" t="s">
        <v>6023</v>
      </c>
      <c r="O2567" t="s">
        <v>74</v>
      </c>
      <c r="P2567" t="s">
        <v>74</v>
      </c>
      <c r="Q2567" t="s">
        <v>74</v>
      </c>
      <c r="R2567" t="s">
        <v>74</v>
      </c>
      <c r="S2567" t="s">
        <v>74</v>
      </c>
      <c r="T2567" t="s">
        <v>74</v>
      </c>
      <c r="U2567" t="s">
        <v>74</v>
      </c>
      <c r="V2567" t="s">
        <v>43063</v>
      </c>
      <c r="W2567" t="s">
        <v>74</v>
      </c>
      <c r="X2567" t="s">
        <v>74</v>
      </c>
      <c r="Y2567" t="s">
        <v>74</v>
      </c>
      <c r="Z2567" t="s">
        <v>74</v>
      </c>
      <c r="AA2567" t="s">
        <v>74</v>
      </c>
      <c r="AB2567" t="s">
        <v>74</v>
      </c>
      <c r="AC2567" t="s">
        <v>74</v>
      </c>
      <c r="AD2567" t="s">
        <v>74</v>
      </c>
      <c r="AE2567" t="s">
        <v>74</v>
      </c>
      <c r="AF2567" t="s">
        <v>74</v>
      </c>
      <c r="AG2567">
        <v>0</v>
      </c>
      <c r="AH2567">
        <v>0</v>
      </c>
      <c r="AI2567">
        <v>0</v>
      </c>
      <c r="AJ2567">
        <v>0</v>
      </c>
      <c r="AK2567">
        <v>1</v>
      </c>
      <c r="AL2567" t="s">
        <v>16367</v>
      </c>
      <c r="AM2567" t="s">
        <v>2661</v>
      </c>
      <c r="AN2567" t="s">
        <v>16368</v>
      </c>
      <c r="AO2567" t="s">
        <v>74</v>
      </c>
      <c r="AP2567" t="s">
        <v>74</v>
      </c>
      <c r="AQ2567" t="s">
        <v>20969</v>
      </c>
      <c r="AR2567" t="s">
        <v>74</v>
      </c>
      <c r="AS2567" t="s">
        <v>74</v>
      </c>
      <c r="AT2567" t="s">
        <v>74</v>
      </c>
      <c r="AU2567">
        <v>2009</v>
      </c>
      <c r="AV2567" t="s">
        <v>74</v>
      </c>
      <c r="AW2567" t="s">
        <v>74</v>
      </c>
      <c r="AX2567" t="s">
        <v>74</v>
      </c>
      <c r="AY2567" t="s">
        <v>74</v>
      </c>
      <c r="AZ2567" t="s">
        <v>74</v>
      </c>
      <c r="BA2567" t="s">
        <v>74</v>
      </c>
      <c r="BB2567">
        <v>145</v>
      </c>
      <c r="BC2567">
        <v>184</v>
      </c>
      <c r="BD2567" t="s">
        <v>74</v>
      </c>
      <c r="BE2567" t="s">
        <v>74</v>
      </c>
      <c r="BF2567" t="s">
        <v>74</v>
      </c>
      <c r="BG2567" t="s">
        <v>20968</v>
      </c>
      <c r="BH2567" t="s">
        <v>74</v>
      </c>
      <c r="BI2567">
        <v>40</v>
      </c>
      <c r="BJ2567" t="s">
        <v>210</v>
      </c>
      <c r="BK2567" t="s">
        <v>8314</v>
      </c>
      <c r="BL2567" t="s">
        <v>100</v>
      </c>
      <c r="BM2567" t="s">
        <v>20967</v>
      </c>
      <c r="BN2567" t="s">
        <v>74</v>
      </c>
      <c r="BO2567" t="s">
        <v>74</v>
      </c>
      <c r="BP2567" t="s">
        <v>74</v>
      </c>
      <c r="BQ2567" t="s">
        <v>74</v>
      </c>
      <c r="BR2567" t="s">
        <v>102</v>
      </c>
      <c r="BS2567" t="s">
        <v>43064</v>
      </c>
      <c r="BT2567" t="str">
        <f>HYPERLINK("https%3A%2F%2Fwww.webofscience.com%2Fwos%2Fwoscc%2Ffull-record%2FWOS:000304007600005","View Full Record in Web of Science")</f>
        <v>View Full Record in Web of Science</v>
      </c>
    </row>
    <row r="2568" spans="1:72" x14ac:dyDescent="0.25">
      <c r="A2568" t="s">
        <v>72</v>
      </c>
      <c r="B2568" t="s">
        <v>43065</v>
      </c>
      <c r="C2568" t="s">
        <v>74</v>
      </c>
      <c r="D2568" t="s">
        <v>74</v>
      </c>
      <c r="E2568" t="s">
        <v>74</v>
      </c>
      <c r="F2568" t="s">
        <v>43066</v>
      </c>
      <c r="G2568" t="s">
        <v>74</v>
      </c>
      <c r="H2568" t="s">
        <v>74</v>
      </c>
      <c r="I2568" t="s">
        <v>43067</v>
      </c>
      <c r="J2568" t="s">
        <v>2137</v>
      </c>
      <c r="K2568" t="s">
        <v>74</v>
      </c>
      <c r="L2568" t="s">
        <v>74</v>
      </c>
      <c r="M2568" t="s">
        <v>78</v>
      </c>
      <c r="N2568" t="s">
        <v>79</v>
      </c>
      <c r="O2568" t="s">
        <v>74</v>
      </c>
      <c r="P2568" t="s">
        <v>74</v>
      </c>
      <c r="Q2568" t="s">
        <v>74</v>
      </c>
      <c r="R2568" t="s">
        <v>74</v>
      </c>
      <c r="S2568" t="s">
        <v>74</v>
      </c>
      <c r="T2568" t="s">
        <v>43068</v>
      </c>
      <c r="U2568" t="s">
        <v>43069</v>
      </c>
      <c r="V2568" t="s">
        <v>43070</v>
      </c>
      <c r="W2568" t="s">
        <v>43071</v>
      </c>
      <c r="X2568" t="s">
        <v>43072</v>
      </c>
      <c r="Y2568" t="s">
        <v>39032</v>
      </c>
      <c r="Z2568" t="s">
        <v>43073</v>
      </c>
      <c r="AA2568" t="s">
        <v>74</v>
      </c>
      <c r="AB2568" t="s">
        <v>40960</v>
      </c>
      <c r="AC2568" t="s">
        <v>74</v>
      </c>
      <c r="AD2568" t="s">
        <v>74</v>
      </c>
      <c r="AE2568" t="s">
        <v>74</v>
      </c>
      <c r="AF2568" t="s">
        <v>74</v>
      </c>
      <c r="AG2568">
        <v>49</v>
      </c>
      <c r="AH2568">
        <v>9</v>
      </c>
      <c r="AI2568">
        <v>11</v>
      </c>
      <c r="AJ2568">
        <v>1</v>
      </c>
      <c r="AK2568">
        <v>7</v>
      </c>
      <c r="AL2568" t="s">
        <v>2145</v>
      </c>
      <c r="AM2568" t="s">
        <v>151</v>
      </c>
      <c r="AN2568" t="s">
        <v>2146</v>
      </c>
      <c r="AO2568" t="s">
        <v>2147</v>
      </c>
      <c r="AP2568" t="s">
        <v>2148</v>
      </c>
      <c r="AQ2568" t="s">
        <v>74</v>
      </c>
      <c r="AR2568" t="s">
        <v>2149</v>
      </c>
      <c r="AS2568" t="s">
        <v>2150</v>
      </c>
      <c r="AT2568" t="s">
        <v>74</v>
      </c>
      <c r="AU2568">
        <v>2022</v>
      </c>
      <c r="AV2568">
        <v>33</v>
      </c>
      <c r="AW2568">
        <v>2</v>
      </c>
      <c r="AX2568" t="s">
        <v>74</v>
      </c>
      <c r="AY2568" t="s">
        <v>74</v>
      </c>
      <c r="AZ2568" t="s">
        <v>74</v>
      </c>
      <c r="BA2568" t="s">
        <v>74</v>
      </c>
      <c r="BB2568">
        <v>205</v>
      </c>
      <c r="BC2568">
        <v>216</v>
      </c>
      <c r="BD2568" t="s">
        <v>74</v>
      </c>
      <c r="BE2568" t="s">
        <v>43074</v>
      </c>
      <c r="BF2568" t="str">
        <f>HYPERLINK("http://dx.doi.org/10.1891/JFCP-2021-0049","http://dx.doi.org/10.1891/JFCP-2021-0049")</f>
        <v>http://dx.doi.org/10.1891/JFCP-2021-0049</v>
      </c>
      <c r="BG2568" t="s">
        <v>74</v>
      </c>
      <c r="BH2568" t="s">
        <v>74</v>
      </c>
      <c r="BI2568">
        <v>12</v>
      </c>
      <c r="BJ2568" t="s">
        <v>1453</v>
      </c>
      <c r="BK2568" t="s">
        <v>313</v>
      </c>
      <c r="BL2568" t="s">
        <v>100</v>
      </c>
      <c r="BM2568" t="s">
        <v>2152</v>
      </c>
      <c r="BN2568" t="s">
        <v>74</v>
      </c>
      <c r="BO2568" t="s">
        <v>74</v>
      </c>
      <c r="BP2568" t="s">
        <v>74</v>
      </c>
      <c r="BQ2568" t="s">
        <v>74</v>
      </c>
      <c r="BR2568" t="s">
        <v>102</v>
      </c>
      <c r="BS2568" t="s">
        <v>43075</v>
      </c>
      <c r="BT2568" t="str">
        <f>HYPERLINK("https%3A%2F%2Fwww.webofscience.com%2Fwos%2Fwoscc%2Ffull-record%2FWOS:000825261300006","View Full Record in Web of Science")</f>
        <v>View Full Record in Web of Science</v>
      </c>
    </row>
    <row r="2569" spans="1:72" x14ac:dyDescent="0.25">
      <c r="A2569" t="s">
        <v>72</v>
      </c>
      <c r="B2569" t="s">
        <v>43076</v>
      </c>
      <c r="C2569" t="s">
        <v>74</v>
      </c>
      <c r="D2569" t="s">
        <v>74</v>
      </c>
      <c r="E2569" t="s">
        <v>74</v>
      </c>
      <c r="F2569" t="s">
        <v>43077</v>
      </c>
      <c r="G2569" t="s">
        <v>74</v>
      </c>
      <c r="H2569" t="s">
        <v>74</v>
      </c>
      <c r="I2569" t="s">
        <v>43078</v>
      </c>
      <c r="J2569" t="s">
        <v>43079</v>
      </c>
      <c r="K2569" t="s">
        <v>74</v>
      </c>
      <c r="L2569" t="s">
        <v>74</v>
      </c>
      <c r="M2569" t="s">
        <v>78</v>
      </c>
      <c r="N2569" t="s">
        <v>79</v>
      </c>
      <c r="O2569" t="s">
        <v>74</v>
      </c>
      <c r="P2569" t="s">
        <v>74</v>
      </c>
      <c r="Q2569" t="s">
        <v>74</v>
      </c>
      <c r="R2569" t="s">
        <v>74</v>
      </c>
      <c r="S2569" t="s">
        <v>74</v>
      </c>
      <c r="T2569" t="s">
        <v>43080</v>
      </c>
      <c r="U2569" t="s">
        <v>43081</v>
      </c>
      <c r="V2569" t="s">
        <v>43082</v>
      </c>
      <c r="W2569" t="s">
        <v>43083</v>
      </c>
      <c r="X2569" t="s">
        <v>43084</v>
      </c>
      <c r="Y2569" t="s">
        <v>43085</v>
      </c>
      <c r="Z2569" t="s">
        <v>43086</v>
      </c>
      <c r="AA2569" t="s">
        <v>43087</v>
      </c>
      <c r="AB2569" t="s">
        <v>43088</v>
      </c>
      <c r="AC2569" t="s">
        <v>43089</v>
      </c>
      <c r="AD2569" t="s">
        <v>43090</v>
      </c>
      <c r="AE2569" t="s">
        <v>43091</v>
      </c>
      <c r="AF2569" t="s">
        <v>74</v>
      </c>
      <c r="AG2569">
        <v>55</v>
      </c>
      <c r="AH2569">
        <v>19</v>
      </c>
      <c r="AI2569">
        <v>23</v>
      </c>
      <c r="AJ2569">
        <v>4</v>
      </c>
      <c r="AK2569">
        <v>63</v>
      </c>
      <c r="AL2569" t="s">
        <v>43092</v>
      </c>
      <c r="AM2569" t="s">
        <v>43093</v>
      </c>
      <c r="AN2569" t="s">
        <v>43094</v>
      </c>
      <c r="AO2569" t="s">
        <v>43095</v>
      </c>
      <c r="AP2569" t="s">
        <v>74</v>
      </c>
      <c r="AQ2569" t="s">
        <v>74</v>
      </c>
      <c r="AR2569" t="s">
        <v>43096</v>
      </c>
      <c r="AS2569" t="s">
        <v>43097</v>
      </c>
      <c r="AT2569" t="s">
        <v>1540</v>
      </c>
      <c r="AU2569">
        <v>2021</v>
      </c>
      <c r="AV2569">
        <v>16</v>
      </c>
      <c r="AW2569">
        <v>5</v>
      </c>
      <c r="AX2569" t="s">
        <v>74</v>
      </c>
      <c r="AY2569" t="s">
        <v>74</v>
      </c>
      <c r="AZ2569" t="s">
        <v>74</v>
      </c>
      <c r="BA2569" t="s">
        <v>74</v>
      </c>
      <c r="BB2569" t="s">
        <v>74</v>
      </c>
      <c r="BC2569" t="s">
        <v>74</v>
      </c>
      <c r="BD2569">
        <v>54049</v>
      </c>
      <c r="BE2569" t="s">
        <v>43098</v>
      </c>
      <c r="BF2569" t="str">
        <f>HYPERLINK("http://dx.doi.org/10.1088/1748-9326/abf465","http://dx.doi.org/10.1088/1748-9326/abf465")</f>
        <v>http://dx.doi.org/10.1088/1748-9326/abf465</v>
      </c>
      <c r="BG2569" t="s">
        <v>74</v>
      </c>
      <c r="BH2569" t="s">
        <v>74</v>
      </c>
      <c r="BI2569">
        <v>13</v>
      </c>
      <c r="BJ2569" t="s">
        <v>43099</v>
      </c>
      <c r="BK2569" t="s">
        <v>2623</v>
      </c>
      <c r="BL2569" t="s">
        <v>43100</v>
      </c>
      <c r="BM2569" t="s">
        <v>43101</v>
      </c>
      <c r="BN2569" t="s">
        <v>74</v>
      </c>
      <c r="BO2569" t="s">
        <v>212</v>
      </c>
      <c r="BP2569" t="s">
        <v>74</v>
      </c>
      <c r="BQ2569" t="s">
        <v>74</v>
      </c>
      <c r="BR2569" t="s">
        <v>102</v>
      </c>
      <c r="BS2569" t="s">
        <v>43102</v>
      </c>
      <c r="BT2569" t="str">
        <f>HYPERLINK("https%3A%2F%2Fwww.webofscience.com%2Fwos%2Fwoscc%2Ffull-record%2FWOS:000647277700001","View Full Record in Web of Science")</f>
        <v>View Full Record in Web of Science</v>
      </c>
    </row>
    <row r="2570" spans="1:72" x14ac:dyDescent="0.25">
      <c r="A2570" t="s">
        <v>72</v>
      </c>
      <c r="B2570" t="s">
        <v>41008</v>
      </c>
      <c r="C2570" t="s">
        <v>74</v>
      </c>
      <c r="D2570" t="s">
        <v>74</v>
      </c>
      <c r="E2570" t="s">
        <v>74</v>
      </c>
      <c r="F2570" t="s">
        <v>43103</v>
      </c>
      <c r="G2570" t="s">
        <v>74</v>
      </c>
      <c r="H2570" t="s">
        <v>74</v>
      </c>
      <c r="I2570" t="s">
        <v>43104</v>
      </c>
      <c r="J2570" t="s">
        <v>2137</v>
      </c>
      <c r="K2570" t="s">
        <v>74</v>
      </c>
      <c r="L2570" t="s">
        <v>74</v>
      </c>
      <c r="M2570" t="s">
        <v>78</v>
      </c>
      <c r="N2570" t="s">
        <v>79</v>
      </c>
      <c r="O2570" t="s">
        <v>74</v>
      </c>
      <c r="P2570" t="s">
        <v>74</v>
      </c>
      <c r="Q2570" t="s">
        <v>74</v>
      </c>
      <c r="R2570" t="s">
        <v>74</v>
      </c>
      <c r="S2570" t="s">
        <v>74</v>
      </c>
      <c r="T2570" t="s">
        <v>43105</v>
      </c>
      <c r="U2570" t="s">
        <v>43106</v>
      </c>
      <c r="V2570" t="s">
        <v>43107</v>
      </c>
      <c r="W2570" t="s">
        <v>43108</v>
      </c>
      <c r="X2570" t="s">
        <v>41015</v>
      </c>
      <c r="Y2570" t="s">
        <v>41016</v>
      </c>
      <c r="Z2570" t="s">
        <v>41017</v>
      </c>
      <c r="AA2570" t="s">
        <v>43109</v>
      </c>
      <c r="AB2570" t="s">
        <v>43110</v>
      </c>
      <c r="AC2570" t="s">
        <v>74</v>
      </c>
      <c r="AD2570" t="s">
        <v>74</v>
      </c>
      <c r="AE2570" t="s">
        <v>74</v>
      </c>
      <c r="AF2570" t="s">
        <v>74</v>
      </c>
      <c r="AG2570">
        <v>42</v>
      </c>
      <c r="AH2570">
        <v>41</v>
      </c>
      <c r="AI2570">
        <v>56</v>
      </c>
      <c r="AJ2570">
        <v>3</v>
      </c>
      <c r="AK2570">
        <v>57</v>
      </c>
      <c r="AL2570" t="s">
        <v>2145</v>
      </c>
      <c r="AM2570" t="s">
        <v>151</v>
      </c>
      <c r="AN2570" t="s">
        <v>2146</v>
      </c>
      <c r="AO2570" t="s">
        <v>2147</v>
      </c>
      <c r="AP2570" t="s">
        <v>2148</v>
      </c>
      <c r="AQ2570" t="s">
        <v>74</v>
      </c>
      <c r="AR2570" t="s">
        <v>2149</v>
      </c>
      <c r="AS2570" t="s">
        <v>2150</v>
      </c>
      <c r="AT2570" t="s">
        <v>74</v>
      </c>
      <c r="AU2570">
        <v>2020</v>
      </c>
      <c r="AV2570">
        <v>31</v>
      </c>
      <c r="AW2570">
        <v>1</v>
      </c>
      <c r="AX2570" t="s">
        <v>74</v>
      </c>
      <c r="AY2570" t="s">
        <v>74</v>
      </c>
      <c r="AZ2570" t="s">
        <v>74</v>
      </c>
      <c r="BA2570" t="s">
        <v>74</v>
      </c>
      <c r="BB2570">
        <v>130</v>
      </c>
      <c r="BC2570">
        <v>145</v>
      </c>
      <c r="BD2570" t="s">
        <v>74</v>
      </c>
      <c r="BE2570" t="s">
        <v>43111</v>
      </c>
      <c r="BF2570" t="str">
        <f>HYPERLINK("http://dx.doi.org/10.1891/JFCP-18-00078","http://dx.doi.org/10.1891/JFCP-18-00078")</f>
        <v>http://dx.doi.org/10.1891/JFCP-18-00078</v>
      </c>
      <c r="BG2570" t="s">
        <v>74</v>
      </c>
      <c r="BH2570" t="s">
        <v>74</v>
      </c>
      <c r="BI2570">
        <v>16</v>
      </c>
      <c r="BJ2570" t="s">
        <v>1453</v>
      </c>
      <c r="BK2570" t="s">
        <v>313</v>
      </c>
      <c r="BL2570" t="s">
        <v>100</v>
      </c>
      <c r="BM2570" t="s">
        <v>9294</v>
      </c>
      <c r="BN2570" t="s">
        <v>74</v>
      </c>
      <c r="BO2570" t="s">
        <v>74</v>
      </c>
      <c r="BP2570" t="s">
        <v>74</v>
      </c>
      <c r="BQ2570" t="s">
        <v>74</v>
      </c>
      <c r="BR2570" t="s">
        <v>102</v>
      </c>
      <c r="BS2570" t="s">
        <v>43112</v>
      </c>
      <c r="BT2570" t="str">
        <f>HYPERLINK("https%3A%2F%2Fwww.webofscience.com%2Fwos%2Fwoscc%2Ffull-record%2FWOS:000543736300010","View Full Record in Web of Science")</f>
        <v>View Full Record in Web of Science</v>
      </c>
    </row>
    <row r="2571" spans="1:72" x14ac:dyDescent="0.25">
      <c r="A2571" t="s">
        <v>72</v>
      </c>
      <c r="B2571" t="s">
        <v>43113</v>
      </c>
      <c r="C2571" t="s">
        <v>74</v>
      </c>
      <c r="D2571" t="s">
        <v>74</v>
      </c>
      <c r="E2571" t="s">
        <v>74</v>
      </c>
      <c r="F2571" t="s">
        <v>43114</v>
      </c>
      <c r="G2571" t="s">
        <v>74</v>
      </c>
      <c r="H2571" t="s">
        <v>74</v>
      </c>
      <c r="I2571" t="s">
        <v>43115</v>
      </c>
      <c r="J2571" t="s">
        <v>5937</v>
      </c>
      <c r="K2571" t="s">
        <v>74</v>
      </c>
      <c r="L2571" t="s">
        <v>74</v>
      </c>
      <c r="M2571" t="s">
        <v>78</v>
      </c>
      <c r="N2571" t="s">
        <v>372</v>
      </c>
      <c r="O2571" t="s">
        <v>74</v>
      </c>
      <c r="P2571" t="s">
        <v>74</v>
      </c>
      <c r="Q2571" t="s">
        <v>74</v>
      </c>
      <c r="R2571" t="s">
        <v>74</v>
      </c>
      <c r="S2571" t="s">
        <v>74</v>
      </c>
      <c r="T2571" t="s">
        <v>43116</v>
      </c>
      <c r="U2571" t="s">
        <v>43117</v>
      </c>
      <c r="V2571" t="s">
        <v>43118</v>
      </c>
      <c r="W2571" t="s">
        <v>43119</v>
      </c>
      <c r="X2571" t="s">
        <v>43120</v>
      </c>
      <c r="Y2571" t="s">
        <v>43121</v>
      </c>
      <c r="Z2571" t="s">
        <v>43122</v>
      </c>
      <c r="AA2571" t="s">
        <v>43123</v>
      </c>
      <c r="AB2571" t="s">
        <v>43124</v>
      </c>
      <c r="AC2571" t="s">
        <v>43125</v>
      </c>
      <c r="AD2571" t="s">
        <v>43125</v>
      </c>
      <c r="AE2571" t="s">
        <v>43126</v>
      </c>
      <c r="AF2571" t="s">
        <v>74</v>
      </c>
      <c r="AG2571">
        <v>99</v>
      </c>
      <c r="AH2571">
        <v>0</v>
      </c>
      <c r="AI2571">
        <v>1</v>
      </c>
      <c r="AJ2571">
        <v>3</v>
      </c>
      <c r="AK2571">
        <v>3</v>
      </c>
      <c r="AL2571" t="s">
        <v>89</v>
      </c>
      <c r="AM2571" t="s">
        <v>90</v>
      </c>
      <c r="AN2571" t="s">
        <v>91</v>
      </c>
      <c r="AO2571" t="s">
        <v>5946</v>
      </c>
      <c r="AP2571" t="s">
        <v>5947</v>
      </c>
      <c r="AQ2571" t="s">
        <v>74</v>
      </c>
      <c r="AR2571" t="s">
        <v>5948</v>
      </c>
      <c r="AS2571" t="s">
        <v>5949</v>
      </c>
      <c r="AT2571" t="s">
        <v>43127</v>
      </c>
      <c r="AU2571">
        <v>2025</v>
      </c>
      <c r="AV2571" t="s">
        <v>74</v>
      </c>
      <c r="AW2571" t="s">
        <v>74</v>
      </c>
      <c r="AX2571" t="s">
        <v>74</v>
      </c>
      <c r="AY2571" t="s">
        <v>74</v>
      </c>
      <c r="AZ2571" t="s">
        <v>74</v>
      </c>
      <c r="BA2571" t="s">
        <v>74</v>
      </c>
      <c r="BB2571" t="s">
        <v>74</v>
      </c>
      <c r="BC2571" t="s">
        <v>74</v>
      </c>
      <c r="BD2571" t="s">
        <v>74</v>
      </c>
      <c r="BE2571" t="s">
        <v>43128</v>
      </c>
      <c r="BF2571" t="str">
        <f>HYPERLINK("http://dx.doi.org/10.1108/JSTPM-02-2025-0033","http://dx.doi.org/10.1108/JSTPM-02-2025-0033")</f>
        <v>http://dx.doi.org/10.1108/JSTPM-02-2025-0033</v>
      </c>
      <c r="BG2571" t="s">
        <v>74</v>
      </c>
      <c r="BH2571" t="s">
        <v>3411</v>
      </c>
      <c r="BI2571">
        <v>28</v>
      </c>
      <c r="BJ2571" t="s">
        <v>583</v>
      </c>
      <c r="BK2571" t="s">
        <v>313</v>
      </c>
      <c r="BL2571" t="s">
        <v>100</v>
      </c>
      <c r="BM2571" t="s">
        <v>43129</v>
      </c>
      <c r="BN2571" t="s">
        <v>74</v>
      </c>
      <c r="BO2571" t="s">
        <v>74</v>
      </c>
      <c r="BP2571" t="s">
        <v>74</v>
      </c>
      <c r="BQ2571" t="s">
        <v>74</v>
      </c>
      <c r="BR2571" t="s">
        <v>102</v>
      </c>
      <c r="BS2571" t="s">
        <v>43130</v>
      </c>
      <c r="BT2571" t="str">
        <f>HYPERLINK("https%3A%2F%2Fwww.webofscience.com%2Fwos%2Fwoscc%2Ffull-record%2FWOS:001565249200001","View Full Record in Web of Science")</f>
        <v>View Full Record in Web of Science</v>
      </c>
    </row>
    <row r="2572" spans="1:72" x14ac:dyDescent="0.25">
      <c r="A2572" t="s">
        <v>72</v>
      </c>
      <c r="B2572" t="s">
        <v>43131</v>
      </c>
      <c r="C2572" t="s">
        <v>74</v>
      </c>
      <c r="D2572" t="s">
        <v>74</v>
      </c>
      <c r="E2572" t="s">
        <v>74</v>
      </c>
      <c r="F2572" t="s">
        <v>43132</v>
      </c>
      <c r="G2572" t="s">
        <v>74</v>
      </c>
      <c r="H2572" t="s">
        <v>74</v>
      </c>
      <c r="I2572" t="s">
        <v>43133</v>
      </c>
      <c r="J2572" t="s">
        <v>43134</v>
      </c>
      <c r="K2572" t="s">
        <v>74</v>
      </c>
      <c r="L2572" t="s">
        <v>74</v>
      </c>
      <c r="M2572" t="s">
        <v>78</v>
      </c>
      <c r="N2572" t="s">
        <v>79</v>
      </c>
      <c r="O2572" t="s">
        <v>74</v>
      </c>
      <c r="P2572" t="s">
        <v>74</v>
      </c>
      <c r="Q2572" t="s">
        <v>74</v>
      </c>
      <c r="R2572" t="s">
        <v>74</v>
      </c>
      <c r="S2572" t="s">
        <v>74</v>
      </c>
      <c r="T2572" t="s">
        <v>43135</v>
      </c>
      <c r="U2572" t="s">
        <v>43136</v>
      </c>
      <c r="V2572" t="s">
        <v>43137</v>
      </c>
      <c r="W2572" t="s">
        <v>43138</v>
      </c>
      <c r="X2572" t="s">
        <v>43139</v>
      </c>
      <c r="Y2572" t="s">
        <v>43140</v>
      </c>
      <c r="Z2572" t="s">
        <v>43141</v>
      </c>
      <c r="AA2572" t="s">
        <v>74</v>
      </c>
      <c r="AB2572" t="s">
        <v>74</v>
      </c>
      <c r="AC2572" t="s">
        <v>74</v>
      </c>
      <c r="AD2572" t="s">
        <v>74</v>
      </c>
      <c r="AE2572" t="s">
        <v>43142</v>
      </c>
      <c r="AF2572" t="s">
        <v>74</v>
      </c>
      <c r="AG2572">
        <v>44</v>
      </c>
      <c r="AH2572">
        <v>0</v>
      </c>
      <c r="AI2572">
        <v>0</v>
      </c>
      <c r="AJ2572">
        <v>2</v>
      </c>
      <c r="AK2572">
        <v>9</v>
      </c>
      <c r="AL2572" t="s">
        <v>43143</v>
      </c>
      <c r="AM2572" t="s">
        <v>18791</v>
      </c>
      <c r="AN2572" t="s">
        <v>43144</v>
      </c>
      <c r="AO2572" t="s">
        <v>43145</v>
      </c>
      <c r="AP2572" t="s">
        <v>74</v>
      </c>
      <c r="AQ2572" t="s">
        <v>74</v>
      </c>
      <c r="AR2572" t="s">
        <v>43146</v>
      </c>
      <c r="AS2572" t="s">
        <v>43147</v>
      </c>
      <c r="AT2572" t="s">
        <v>16315</v>
      </c>
      <c r="AU2572">
        <v>2024</v>
      </c>
      <c r="AV2572">
        <v>127</v>
      </c>
      <c r="AW2572">
        <v>2</v>
      </c>
      <c r="AX2572" t="s">
        <v>74</v>
      </c>
      <c r="AY2572" t="s">
        <v>74</v>
      </c>
      <c r="AZ2572" t="s">
        <v>74</v>
      </c>
      <c r="BA2572" t="s">
        <v>74</v>
      </c>
      <c r="BB2572">
        <v>182</v>
      </c>
      <c r="BC2572">
        <v>193</v>
      </c>
      <c r="BD2572" t="s">
        <v>74</v>
      </c>
      <c r="BE2572" t="s">
        <v>43148</v>
      </c>
      <c r="BF2572" t="str">
        <f>HYPERLINK("http://dx.doi.org/10.18520/cs/v127/i2/182-193","http://dx.doi.org/10.18520/cs/v127/i2/182-193")</f>
        <v>http://dx.doi.org/10.18520/cs/v127/i2/182-193</v>
      </c>
      <c r="BG2572" t="s">
        <v>74</v>
      </c>
      <c r="BH2572" t="s">
        <v>74</v>
      </c>
      <c r="BI2572">
        <v>12</v>
      </c>
      <c r="BJ2572" t="s">
        <v>559</v>
      </c>
      <c r="BK2572" t="s">
        <v>128</v>
      </c>
      <c r="BL2572" t="s">
        <v>560</v>
      </c>
      <c r="BM2572" t="s">
        <v>43149</v>
      </c>
      <c r="BN2572" t="s">
        <v>74</v>
      </c>
      <c r="BO2572" t="s">
        <v>212</v>
      </c>
      <c r="BP2572" t="s">
        <v>74</v>
      </c>
      <c r="BQ2572" t="s">
        <v>74</v>
      </c>
      <c r="BR2572" t="s">
        <v>102</v>
      </c>
      <c r="BS2572" t="s">
        <v>43150</v>
      </c>
      <c r="BT2572" t="str">
        <f>HYPERLINK("https%3A%2F%2Fwww.webofscience.com%2Fwos%2Fwoscc%2Ffull-record%2FWOS:001280923300011","View Full Record in Web of Science")</f>
        <v>View Full Record in Web of Science</v>
      </c>
    </row>
    <row r="2573" spans="1:72" x14ac:dyDescent="0.25">
      <c r="A2573" t="s">
        <v>72</v>
      </c>
      <c r="B2573" t="s">
        <v>38232</v>
      </c>
      <c r="C2573" t="s">
        <v>74</v>
      </c>
      <c r="D2573" t="s">
        <v>74</v>
      </c>
      <c r="E2573" t="s">
        <v>74</v>
      </c>
      <c r="F2573" t="s">
        <v>38233</v>
      </c>
      <c r="G2573" t="s">
        <v>74</v>
      </c>
      <c r="H2573" t="s">
        <v>74</v>
      </c>
      <c r="I2573" t="s">
        <v>43151</v>
      </c>
      <c r="J2573" t="s">
        <v>17444</v>
      </c>
      <c r="K2573" t="s">
        <v>74</v>
      </c>
      <c r="L2573" t="s">
        <v>74</v>
      </c>
      <c r="M2573" t="s">
        <v>78</v>
      </c>
      <c r="N2573" t="s">
        <v>79</v>
      </c>
      <c r="O2573" t="s">
        <v>74</v>
      </c>
      <c r="P2573" t="s">
        <v>74</v>
      </c>
      <c r="Q2573" t="s">
        <v>74</v>
      </c>
      <c r="R2573" t="s">
        <v>74</v>
      </c>
      <c r="S2573" t="s">
        <v>74</v>
      </c>
      <c r="T2573" t="s">
        <v>43152</v>
      </c>
      <c r="U2573" t="s">
        <v>43153</v>
      </c>
      <c r="V2573" t="s">
        <v>43154</v>
      </c>
      <c r="W2573" t="s">
        <v>43155</v>
      </c>
      <c r="X2573" t="s">
        <v>38239</v>
      </c>
      <c r="Y2573" t="s">
        <v>43156</v>
      </c>
      <c r="Z2573" t="s">
        <v>38241</v>
      </c>
      <c r="AA2573" t="s">
        <v>74</v>
      </c>
      <c r="AB2573" t="s">
        <v>38242</v>
      </c>
      <c r="AC2573" t="s">
        <v>74</v>
      </c>
      <c r="AD2573" t="s">
        <v>74</v>
      </c>
      <c r="AE2573" t="s">
        <v>74</v>
      </c>
      <c r="AF2573" t="s">
        <v>74</v>
      </c>
      <c r="AG2573">
        <v>42</v>
      </c>
      <c r="AH2573">
        <v>5</v>
      </c>
      <c r="AI2573">
        <v>6</v>
      </c>
      <c r="AJ2573">
        <v>1</v>
      </c>
      <c r="AK2573">
        <v>6</v>
      </c>
      <c r="AL2573" t="s">
        <v>89</v>
      </c>
      <c r="AM2573" t="s">
        <v>1497</v>
      </c>
      <c r="AN2573" t="s">
        <v>1498</v>
      </c>
      <c r="AO2573" t="s">
        <v>17454</v>
      </c>
      <c r="AP2573" t="s">
        <v>17455</v>
      </c>
      <c r="AQ2573" t="s">
        <v>74</v>
      </c>
      <c r="AR2573" t="s">
        <v>17456</v>
      </c>
      <c r="AS2573" t="s">
        <v>17457</v>
      </c>
      <c r="AT2573" t="s">
        <v>43157</v>
      </c>
      <c r="AU2573">
        <v>2023</v>
      </c>
      <c r="AV2573">
        <v>49</v>
      </c>
      <c r="AW2573">
        <v>2</v>
      </c>
      <c r="AX2573" t="s">
        <v>74</v>
      </c>
      <c r="AY2573" t="s">
        <v>74</v>
      </c>
      <c r="AZ2573" t="s">
        <v>74</v>
      </c>
      <c r="BA2573" t="s">
        <v>74</v>
      </c>
      <c r="BB2573">
        <v>315</v>
      </c>
      <c r="BC2573">
        <v>337</v>
      </c>
      <c r="BD2573" t="s">
        <v>74</v>
      </c>
      <c r="BE2573" t="s">
        <v>43158</v>
      </c>
      <c r="BF2573" t="str">
        <f>HYPERLINK("http://dx.doi.org/10.1108/MF-07-2021-0329","http://dx.doi.org/10.1108/MF-07-2021-0329")</f>
        <v>http://dx.doi.org/10.1108/MF-07-2021-0329</v>
      </c>
      <c r="BG2573" t="s">
        <v>74</v>
      </c>
      <c r="BH2573" t="s">
        <v>6014</v>
      </c>
      <c r="BI2573">
        <v>23</v>
      </c>
      <c r="BJ2573" t="s">
        <v>268</v>
      </c>
      <c r="BK2573" t="s">
        <v>313</v>
      </c>
      <c r="BL2573" t="s">
        <v>100</v>
      </c>
      <c r="BM2573" t="s">
        <v>43159</v>
      </c>
      <c r="BN2573" t="s">
        <v>74</v>
      </c>
      <c r="BO2573" t="s">
        <v>74</v>
      </c>
      <c r="BP2573" t="s">
        <v>74</v>
      </c>
      <c r="BQ2573" t="s">
        <v>74</v>
      </c>
      <c r="BR2573" t="s">
        <v>102</v>
      </c>
      <c r="BS2573" t="s">
        <v>43160</v>
      </c>
      <c r="BT2573" t="str">
        <f>HYPERLINK("https%3A%2F%2Fwww.webofscience.com%2Fwos%2Fwoscc%2Ffull-record%2FWOS:000852710000001","View Full Record in Web of Science")</f>
        <v>View Full Record in Web of Science</v>
      </c>
    </row>
    <row r="2574" spans="1:72" x14ac:dyDescent="0.25">
      <c r="A2574" t="s">
        <v>72</v>
      </c>
      <c r="B2574" t="s">
        <v>43161</v>
      </c>
      <c r="C2574" t="s">
        <v>74</v>
      </c>
      <c r="D2574" t="s">
        <v>74</v>
      </c>
      <c r="E2574" t="s">
        <v>74</v>
      </c>
      <c r="F2574" t="s">
        <v>43162</v>
      </c>
      <c r="G2574" t="s">
        <v>74</v>
      </c>
      <c r="H2574" t="s">
        <v>74</v>
      </c>
      <c r="I2574" t="s">
        <v>43163</v>
      </c>
      <c r="J2574" t="s">
        <v>43164</v>
      </c>
      <c r="K2574" t="s">
        <v>74</v>
      </c>
      <c r="L2574" t="s">
        <v>74</v>
      </c>
      <c r="M2574" t="s">
        <v>78</v>
      </c>
      <c r="N2574" t="s">
        <v>79</v>
      </c>
      <c r="O2574" t="s">
        <v>74</v>
      </c>
      <c r="P2574" t="s">
        <v>74</v>
      </c>
      <c r="Q2574" t="s">
        <v>74</v>
      </c>
      <c r="R2574" t="s">
        <v>74</v>
      </c>
      <c r="S2574" t="s">
        <v>74</v>
      </c>
      <c r="T2574" t="s">
        <v>43165</v>
      </c>
      <c r="U2574" t="s">
        <v>43166</v>
      </c>
      <c r="V2574" t="s">
        <v>43167</v>
      </c>
      <c r="W2574" t="s">
        <v>43168</v>
      </c>
      <c r="X2574" t="s">
        <v>43169</v>
      </c>
      <c r="Y2574" t="s">
        <v>43170</v>
      </c>
      <c r="Z2574" t="s">
        <v>43171</v>
      </c>
      <c r="AA2574" t="s">
        <v>43172</v>
      </c>
      <c r="AB2574" t="s">
        <v>43173</v>
      </c>
      <c r="AC2574" t="s">
        <v>74</v>
      </c>
      <c r="AD2574" t="s">
        <v>74</v>
      </c>
      <c r="AE2574" t="s">
        <v>74</v>
      </c>
      <c r="AF2574" t="s">
        <v>74</v>
      </c>
      <c r="AG2574">
        <v>39</v>
      </c>
      <c r="AH2574">
        <v>5</v>
      </c>
      <c r="AI2574">
        <v>5</v>
      </c>
      <c r="AJ2574">
        <v>4</v>
      </c>
      <c r="AK2574">
        <v>8</v>
      </c>
      <c r="AL2574" t="s">
        <v>43174</v>
      </c>
      <c r="AM2574" t="s">
        <v>2344</v>
      </c>
      <c r="AN2574" t="s">
        <v>43175</v>
      </c>
      <c r="AO2574" t="s">
        <v>43176</v>
      </c>
      <c r="AP2574" t="s">
        <v>43177</v>
      </c>
      <c r="AQ2574" t="s">
        <v>74</v>
      </c>
      <c r="AR2574" t="s">
        <v>43178</v>
      </c>
      <c r="AS2574" t="s">
        <v>43179</v>
      </c>
      <c r="AT2574" t="s">
        <v>363</v>
      </c>
      <c r="AU2574">
        <v>2025</v>
      </c>
      <c r="AV2574">
        <v>48</v>
      </c>
      <c r="AW2574">
        <v>2</v>
      </c>
      <c r="AX2574" t="s">
        <v>74</v>
      </c>
      <c r="AY2574" t="s">
        <v>74</v>
      </c>
      <c r="AZ2574" t="s">
        <v>74</v>
      </c>
      <c r="BA2574" t="s">
        <v>74</v>
      </c>
      <c r="BB2574">
        <v>97</v>
      </c>
      <c r="BC2574">
        <v>107</v>
      </c>
      <c r="BD2574" t="s">
        <v>74</v>
      </c>
      <c r="BE2574" t="s">
        <v>43180</v>
      </c>
      <c r="BF2574" t="str">
        <f>HYPERLINK("http://dx.doi.org/10.1097/FCH.0000000000000426","http://dx.doi.org/10.1097/FCH.0000000000000426")</f>
        <v>http://dx.doi.org/10.1097/FCH.0000000000000426</v>
      </c>
      <c r="BG2574" t="s">
        <v>74</v>
      </c>
      <c r="BH2574" t="s">
        <v>74</v>
      </c>
      <c r="BI2574">
        <v>11</v>
      </c>
      <c r="BJ2574" t="s">
        <v>43181</v>
      </c>
      <c r="BK2574" t="s">
        <v>99</v>
      </c>
      <c r="BL2574" t="s">
        <v>43181</v>
      </c>
      <c r="BM2574" t="s">
        <v>43182</v>
      </c>
      <c r="BN2574">
        <v>39774658</v>
      </c>
      <c r="BO2574" t="s">
        <v>74</v>
      </c>
      <c r="BP2574" t="s">
        <v>74</v>
      </c>
      <c r="BQ2574" t="s">
        <v>74</v>
      </c>
      <c r="BR2574" t="s">
        <v>102</v>
      </c>
      <c r="BS2574" t="s">
        <v>43183</v>
      </c>
      <c r="BT2574" t="str">
        <f>HYPERLINK("https%3A%2F%2Fwww.webofscience.com%2Fwos%2Fwoscc%2Ffull-record%2FWOS:001423500000007","View Full Record in Web of Science")</f>
        <v>View Full Record in Web of Science</v>
      </c>
    </row>
    <row r="2575" spans="1:72" x14ac:dyDescent="0.25">
      <c r="A2575" t="s">
        <v>72</v>
      </c>
      <c r="B2575" t="s">
        <v>43184</v>
      </c>
      <c r="C2575" t="s">
        <v>74</v>
      </c>
      <c r="D2575" t="s">
        <v>74</v>
      </c>
      <c r="E2575" t="s">
        <v>74</v>
      </c>
      <c r="F2575" t="s">
        <v>43185</v>
      </c>
      <c r="G2575" t="s">
        <v>74</v>
      </c>
      <c r="H2575" t="s">
        <v>74</v>
      </c>
      <c r="I2575" t="s">
        <v>43186</v>
      </c>
      <c r="J2575" t="s">
        <v>15944</v>
      </c>
      <c r="K2575" t="s">
        <v>74</v>
      </c>
      <c r="L2575" t="s">
        <v>74</v>
      </c>
      <c r="M2575" t="s">
        <v>298</v>
      </c>
      <c r="N2575" t="s">
        <v>79</v>
      </c>
      <c r="O2575" t="s">
        <v>74</v>
      </c>
      <c r="P2575" t="s">
        <v>74</v>
      </c>
      <c r="Q2575" t="s">
        <v>74</v>
      </c>
      <c r="R2575" t="s">
        <v>74</v>
      </c>
      <c r="S2575" t="s">
        <v>74</v>
      </c>
      <c r="T2575" t="s">
        <v>43187</v>
      </c>
      <c r="U2575" t="s">
        <v>43188</v>
      </c>
      <c r="V2575" t="s">
        <v>43189</v>
      </c>
      <c r="W2575" t="s">
        <v>43190</v>
      </c>
      <c r="X2575" t="s">
        <v>74</v>
      </c>
      <c r="Y2575" t="s">
        <v>43191</v>
      </c>
      <c r="Z2575" t="s">
        <v>43192</v>
      </c>
      <c r="AA2575" t="s">
        <v>43193</v>
      </c>
      <c r="AB2575" t="s">
        <v>74</v>
      </c>
      <c r="AC2575" t="s">
        <v>74</v>
      </c>
      <c r="AD2575" t="s">
        <v>74</v>
      </c>
      <c r="AE2575" t="s">
        <v>74</v>
      </c>
      <c r="AF2575" t="s">
        <v>74</v>
      </c>
      <c r="AG2575">
        <v>35</v>
      </c>
      <c r="AH2575">
        <v>0</v>
      </c>
      <c r="AI2575">
        <v>1</v>
      </c>
      <c r="AJ2575">
        <v>0</v>
      </c>
      <c r="AK2575">
        <v>5</v>
      </c>
      <c r="AL2575" t="s">
        <v>15951</v>
      </c>
      <c r="AM2575" t="s">
        <v>15952</v>
      </c>
      <c r="AN2575" t="s">
        <v>15953</v>
      </c>
      <c r="AO2575" t="s">
        <v>15954</v>
      </c>
      <c r="AP2575" t="s">
        <v>43194</v>
      </c>
      <c r="AQ2575" t="s">
        <v>74</v>
      </c>
      <c r="AR2575" t="s">
        <v>15955</v>
      </c>
      <c r="AS2575" t="s">
        <v>15956</v>
      </c>
      <c r="AT2575" t="s">
        <v>74</v>
      </c>
      <c r="AU2575">
        <v>2018</v>
      </c>
      <c r="AV2575">
        <v>22</v>
      </c>
      <c r="AW2575">
        <v>46</v>
      </c>
      <c r="AX2575" t="s">
        <v>74</v>
      </c>
      <c r="AY2575" t="s">
        <v>74</v>
      </c>
      <c r="AZ2575" t="s">
        <v>74</v>
      </c>
      <c r="BA2575" t="s">
        <v>74</v>
      </c>
      <c r="BB2575">
        <v>91</v>
      </c>
      <c r="BC2575">
        <v>110</v>
      </c>
      <c r="BD2575" t="s">
        <v>74</v>
      </c>
      <c r="BE2575" t="s">
        <v>43195</v>
      </c>
      <c r="BF2575" t="str">
        <f>HYPERLINK("http://dx.doi.org/10.17230/ecos.2018.46.4","http://dx.doi.org/10.17230/ecos.2018.46.4")</f>
        <v>http://dx.doi.org/10.17230/ecos.2018.46.4</v>
      </c>
      <c r="BG2575" t="s">
        <v>74</v>
      </c>
      <c r="BH2575" t="s">
        <v>74</v>
      </c>
      <c r="BI2575">
        <v>20</v>
      </c>
      <c r="BJ2575" t="s">
        <v>291</v>
      </c>
      <c r="BK2575" t="s">
        <v>313</v>
      </c>
      <c r="BL2575" t="s">
        <v>100</v>
      </c>
      <c r="BM2575" t="s">
        <v>15958</v>
      </c>
      <c r="BN2575" t="s">
        <v>74</v>
      </c>
      <c r="BO2575" t="s">
        <v>916</v>
      </c>
      <c r="BP2575" t="s">
        <v>74</v>
      </c>
      <c r="BQ2575" t="s">
        <v>74</v>
      </c>
      <c r="BR2575" t="s">
        <v>102</v>
      </c>
      <c r="BS2575" t="s">
        <v>43196</v>
      </c>
      <c r="BT2575" t="str">
        <f>HYPERLINK("https%3A%2F%2Fwww.webofscience.com%2Fwos%2Fwoscc%2Ffull-record%2FWOS:000438024600004","View Full Record in Web of Science")</f>
        <v>View Full Record in Web of Science</v>
      </c>
    </row>
    <row r="2576" spans="1:72" x14ac:dyDescent="0.25">
      <c r="A2576" t="s">
        <v>72</v>
      </c>
      <c r="B2576" t="s">
        <v>43197</v>
      </c>
      <c r="C2576" t="s">
        <v>74</v>
      </c>
      <c r="D2576" t="s">
        <v>74</v>
      </c>
      <c r="E2576" t="s">
        <v>74</v>
      </c>
      <c r="F2576" t="s">
        <v>43198</v>
      </c>
      <c r="G2576" t="s">
        <v>74</v>
      </c>
      <c r="H2576" t="s">
        <v>74</v>
      </c>
      <c r="I2576" t="s">
        <v>43199</v>
      </c>
      <c r="J2576" t="s">
        <v>3561</v>
      </c>
      <c r="K2576" t="s">
        <v>74</v>
      </c>
      <c r="L2576" t="s">
        <v>74</v>
      </c>
      <c r="M2576" t="s">
        <v>78</v>
      </c>
      <c r="N2576" t="s">
        <v>79</v>
      </c>
      <c r="O2576" t="s">
        <v>74</v>
      </c>
      <c r="P2576" t="s">
        <v>74</v>
      </c>
      <c r="Q2576" t="s">
        <v>74</v>
      </c>
      <c r="R2576" t="s">
        <v>74</v>
      </c>
      <c r="S2576" t="s">
        <v>74</v>
      </c>
      <c r="T2576" t="s">
        <v>43200</v>
      </c>
      <c r="U2576" t="s">
        <v>43201</v>
      </c>
      <c r="V2576" t="s">
        <v>43202</v>
      </c>
      <c r="W2576" t="s">
        <v>43203</v>
      </c>
      <c r="X2576" t="s">
        <v>74</v>
      </c>
      <c r="Y2576" t="s">
        <v>43204</v>
      </c>
      <c r="Z2576" t="s">
        <v>43205</v>
      </c>
      <c r="AA2576" t="s">
        <v>74</v>
      </c>
      <c r="AB2576" t="s">
        <v>74</v>
      </c>
      <c r="AC2576" t="s">
        <v>74</v>
      </c>
      <c r="AD2576" t="s">
        <v>74</v>
      </c>
      <c r="AE2576" t="s">
        <v>74</v>
      </c>
      <c r="AF2576" t="s">
        <v>74</v>
      </c>
      <c r="AG2576">
        <v>38</v>
      </c>
      <c r="AH2576">
        <v>3</v>
      </c>
      <c r="AI2576">
        <v>4</v>
      </c>
      <c r="AJ2576">
        <v>3</v>
      </c>
      <c r="AK2576">
        <v>7</v>
      </c>
      <c r="AL2576" t="s">
        <v>89</v>
      </c>
      <c r="AM2576" t="s">
        <v>90</v>
      </c>
      <c r="AN2576" t="s">
        <v>91</v>
      </c>
      <c r="AO2576" t="s">
        <v>3568</v>
      </c>
      <c r="AP2576" t="s">
        <v>3569</v>
      </c>
      <c r="AQ2576" t="s">
        <v>74</v>
      </c>
      <c r="AR2576" t="s">
        <v>3570</v>
      </c>
      <c r="AS2576" t="s">
        <v>3571</v>
      </c>
      <c r="AT2576" t="s">
        <v>16891</v>
      </c>
      <c r="AU2576">
        <v>2024</v>
      </c>
      <c r="AV2576">
        <v>27</v>
      </c>
      <c r="AW2576">
        <v>4</v>
      </c>
      <c r="AX2576" t="s">
        <v>74</v>
      </c>
      <c r="AY2576" t="s">
        <v>74</v>
      </c>
      <c r="AZ2576" t="s">
        <v>74</v>
      </c>
      <c r="BA2576" t="s">
        <v>74</v>
      </c>
      <c r="BB2576">
        <v>696</v>
      </c>
      <c r="BC2576">
        <v>709</v>
      </c>
      <c r="BD2576" t="s">
        <v>74</v>
      </c>
      <c r="BE2576" t="s">
        <v>43206</v>
      </c>
      <c r="BF2576" t="str">
        <f>HYPERLINK("http://dx.doi.org/10.1108/JMLC-07-2023-0128","http://dx.doi.org/10.1108/JMLC-07-2023-0128")</f>
        <v>http://dx.doi.org/10.1108/JMLC-07-2023-0128</v>
      </c>
      <c r="BG2576" t="s">
        <v>74</v>
      </c>
      <c r="BH2576" t="s">
        <v>3535</v>
      </c>
      <c r="BI2576">
        <v>14</v>
      </c>
      <c r="BJ2576" t="s">
        <v>3573</v>
      </c>
      <c r="BK2576" t="s">
        <v>313</v>
      </c>
      <c r="BL2576" t="s">
        <v>3573</v>
      </c>
      <c r="BM2576" t="s">
        <v>43207</v>
      </c>
      <c r="BN2576" t="s">
        <v>74</v>
      </c>
      <c r="BO2576" t="s">
        <v>74</v>
      </c>
      <c r="BP2576" t="s">
        <v>74</v>
      </c>
      <c r="BQ2576" t="s">
        <v>74</v>
      </c>
      <c r="BR2576" t="s">
        <v>102</v>
      </c>
      <c r="BS2576" t="s">
        <v>43208</v>
      </c>
      <c r="BT2576" t="str">
        <f>HYPERLINK("https%3A%2F%2Fwww.webofscience.com%2Fwos%2Fwoscc%2Ffull-record%2FWOS:001092256100001","View Full Record in Web of Science")</f>
        <v>View Full Record in Web of Science</v>
      </c>
    </row>
    <row r="2577" spans="1:72" x14ac:dyDescent="0.25">
      <c r="A2577" t="s">
        <v>72</v>
      </c>
      <c r="B2577" t="s">
        <v>43209</v>
      </c>
      <c r="C2577" t="s">
        <v>74</v>
      </c>
      <c r="D2577" t="s">
        <v>74</v>
      </c>
      <c r="E2577" t="s">
        <v>74</v>
      </c>
      <c r="F2577" t="s">
        <v>43210</v>
      </c>
      <c r="G2577" t="s">
        <v>74</v>
      </c>
      <c r="H2577" t="s">
        <v>74</v>
      </c>
      <c r="I2577" t="s">
        <v>43211</v>
      </c>
      <c r="J2577" t="s">
        <v>43212</v>
      </c>
      <c r="K2577" t="s">
        <v>74</v>
      </c>
      <c r="L2577" t="s">
        <v>74</v>
      </c>
      <c r="M2577" t="s">
        <v>78</v>
      </c>
      <c r="N2577" t="s">
        <v>79</v>
      </c>
      <c r="O2577" t="s">
        <v>74</v>
      </c>
      <c r="P2577" t="s">
        <v>74</v>
      </c>
      <c r="Q2577" t="s">
        <v>74</v>
      </c>
      <c r="R2577" t="s">
        <v>74</v>
      </c>
      <c r="S2577" t="s">
        <v>74</v>
      </c>
      <c r="T2577" t="s">
        <v>43213</v>
      </c>
      <c r="U2577" t="s">
        <v>74</v>
      </c>
      <c r="V2577" t="s">
        <v>43214</v>
      </c>
      <c r="W2577" t="s">
        <v>43215</v>
      </c>
      <c r="X2577" t="s">
        <v>43216</v>
      </c>
      <c r="Y2577" t="s">
        <v>43217</v>
      </c>
      <c r="Z2577" t="s">
        <v>43218</v>
      </c>
      <c r="AA2577" t="s">
        <v>74</v>
      </c>
      <c r="AB2577" t="s">
        <v>74</v>
      </c>
      <c r="AC2577" t="s">
        <v>74</v>
      </c>
      <c r="AD2577" t="s">
        <v>74</v>
      </c>
      <c r="AE2577" t="s">
        <v>74</v>
      </c>
      <c r="AF2577" t="s">
        <v>74</v>
      </c>
      <c r="AG2577">
        <v>40</v>
      </c>
      <c r="AH2577">
        <v>12</v>
      </c>
      <c r="AI2577">
        <v>13</v>
      </c>
      <c r="AJ2577">
        <v>0</v>
      </c>
      <c r="AK2577">
        <v>12</v>
      </c>
      <c r="AL2577" t="s">
        <v>2551</v>
      </c>
      <c r="AM2577" t="s">
        <v>231</v>
      </c>
      <c r="AN2577" t="s">
        <v>2552</v>
      </c>
      <c r="AO2577" t="s">
        <v>43219</v>
      </c>
      <c r="AP2577" t="s">
        <v>43220</v>
      </c>
      <c r="AQ2577" t="s">
        <v>74</v>
      </c>
      <c r="AR2577" t="s">
        <v>43221</v>
      </c>
      <c r="AS2577" t="s">
        <v>43222</v>
      </c>
      <c r="AT2577" t="s">
        <v>29065</v>
      </c>
      <c r="AU2577">
        <v>2015</v>
      </c>
      <c r="AV2577">
        <v>23</v>
      </c>
      <c r="AW2577">
        <v>4</v>
      </c>
      <c r="AX2577" t="s">
        <v>74</v>
      </c>
      <c r="AY2577" t="s">
        <v>74</v>
      </c>
      <c r="AZ2577" t="s">
        <v>74</v>
      </c>
      <c r="BA2577" t="s">
        <v>74</v>
      </c>
      <c r="BB2577">
        <v>372</v>
      </c>
      <c r="BC2577">
        <v>391</v>
      </c>
      <c r="BD2577" t="s">
        <v>74</v>
      </c>
      <c r="BE2577" t="s">
        <v>43223</v>
      </c>
      <c r="BF2577" t="str">
        <f>HYPERLINK("http://dx.doi.org/10.1093/ijlit/eav014","http://dx.doi.org/10.1093/ijlit/eav014")</f>
        <v>http://dx.doi.org/10.1093/ijlit/eav014</v>
      </c>
      <c r="BG2577" t="s">
        <v>74</v>
      </c>
      <c r="BH2577" t="s">
        <v>74</v>
      </c>
      <c r="BI2577">
        <v>20</v>
      </c>
      <c r="BJ2577" t="s">
        <v>182</v>
      </c>
      <c r="BK2577" t="s">
        <v>313</v>
      </c>
      <c r="BL2577" t="s">
        <v>184</v>
      </c>
      <c r="BM2577" t="s">
        <v>43224</v>
      </c>
      <c r="BN2577" t="s">
        <v>74</v>
      </c>
      <c r="BO2577" t="s">
        <v>74</v>
      </c>
      <c r="BP2577" t="s">
        <v>74</v>
      </c>
      <c r="BQ2577" t="s">
        <v>74</v>
      </c>
      <c r="BR2577" t="s">
        <v>102</v>
      </c>
      <c r="BS2577" t="s">
        <v>43225</v>
      </c>
      <c r="BT2577" t="str">
        <f>HYPERLINK("https%3A%2F%2Fwww.webofscience.com%2Fwos%2Fwoscc%2Ffull-record%2FWOS:000211102500003","View Full Record in Web of Science")</f>
        <v>View Full Record in Web of Science</v>
      </c>
    </row>
    <row r="2578" spans="1:72" x14ac:dyDescent="0.25">
      <c r="A2578" t="s">
        <v>72</v>
      </c>
      <c r="B2578" t="s">
        <v>20108</v>
      </c>
      <c r="C2578" t="s">
        <v>74</v>
      </c>
      <c r="D2578" t="s">
        <v>74</v>
      </c>
      <c r="E2578" t="s">
        <v>74</v>
      </c>
      <c r="F2578" t="s">
        <v>20107</v>
      </c>
      <c r="G2578" t="s">
        <v>74</v>
      </c>
      <c r="H2578" t="s">
        <v>74</v>
      </c>
      <c r="I2578" t="s">
        <v>43226</v>
      </c>
      <c r="J2578" t="s">
        <v>3231</v>
      </c>
      <c r="K2578" t="s">
        <v>74</v>
      </c>
      <c r="L2578" t="s">
        <v>74</v>
      </c>
      <c r="M2578" t="s">
        <v>78</v>
      </c>
      <c r="N2578" t="s">
        <v>79</v>
      </c>
      <c r="O2578" t="s">
        <v>74</v>
      </c>
      <c r="P2578" t="s">
        <v>74</v>
      </c>
      <c r="Q2578" t="s">
        <v>74</v>
      </c>
      <c r="R2578" t="s">
        <v>74</v>
      </c>
      <c r="S2578" t="s">
        <v>74</v>
      </c>
      <c r="T2578" t="s">
        <v>43227</v>
      </c>
      <c r="U2578" t="s">
        <v>43228</v>
      </c>
      <c r="V2578" t="s">
        <v>43229</v>
      </c>
      <c r="W2578" t="s">
        <v>20102</v>
      </c>
      <c r="X2578" t="s">
        <v>20101</v>
      </c>
      <c r="Y2578" t="s">
        <v>20100</v>
      </c>
      <c r="Z2578" t="s">
        <v>20099</v>
      </c>
      <c r="AA2578" t="s">
        <v>20098</v>
      </c>
      <c r="AB2578" t="s">
        <v>43230</v>
      </c>
      <c r="AC2578" t="s">
        <v>43231</v>
      </c>
      <c r="AD2578" t="s">
        <v>43232</v>
      </c>
      <c r="AE2578" t="s">
        <v>43233</v>
      </c>
      <c r="AF2578" t="s">
        <v>74</v>
      </c>
      <c r="AG2578">
        <v>42</v>
      </c>
      <c r="AH2578">
        <v>0</v>
      </c>
      <c r="AI2578">
        <v>0</v>
      </c>
      <c r="AJ2578">
        <v>8</v>
      </c>
      <c r="AK2578">
        <v>8</v>
      </c>
      <c r="AL2578" t="s">
        <v>575</v>
      </c>
      <c r="AM2578" t="s">
        <v>576</v>
      </c>
      <c r="AN2578" t="s">
        <v>577</v>
      </c>
      <c r="AO2578" t="s">
        <v>74</v>
      </c>
      <c r="AP2578" t="s">
        <v>3243</v>
      </c>
      <c r="AQ2578" t="s">
        <v>74</v>
      </c>
      <c r="AR2578" t="s">
        <v>3244</v>
      </c>
      <c r="AS2578" t="s">
        <v>3245</v>
      </c>
      <c r="AT2578" t="s">
        <v>11521</v>
      </c>
      <c r="AU2578">
        <v>2025</v>
      </c>
      <c r="AV2578">
        <v>17</v>
      </c>
      <c r="AW2578">
        <v>20</v>
      </c>
      <c r="AX2578" t="s">
        <v>74</v>
      </c>
      <c r="AY2578" t="s">
        <v>74</v>
      </c>
      <c r="AZ2578" t="s">
        <v>74</v>
      </c>
      <c r="BA2578" t="s">
        <v>74</v>
      </c>
      <c r="BB2578" t="s">
        <v>74</v>
      </c>
      <c r="BC2578" t="s">
        <v>74</v>
      </c>
      <c r="BD2578">
        <v>8976</v>
      </c>
      <c r="BE2578" t="s">
        <v>43234</v>
      </c>
      <c r="BF2578" t="str">
        <f>HYPERLINK("http://dx.doi.org/10.3390/su17208976","http://dx.doi.org/10.3390/su17208976")</f>
        <v>http://dx.doi.org/10.3390/su17208976</v>
      </c>
      <c r="BG2578" t="s">
        <v>74</v>
      </c>
      <c r="BH2578" t="s">
        <v>74</v>
      </c>
      <c r="BI2578">
        <v>26</v>
      </c>
      <c r="BJ2578" t="s">
        <v>3247</v>
      </c>
      <c r="BK2578" t="s">
        <v>2623</v>
      </c>
      <c r="BL2578" t="s">
        <v>3248</v>
      </c>
      <c r="BM2578" t="s">
        <v>43235</v>
      </c>
      <c r="BN2578" t="s">
        <v>74</v>
      </c>
      <c r="BO2578" t="s">
        <v>212</v>
      </c>
      <c r="BP2578" t="s">
        <v>74</v>
      </c>
      <c r="BQ2578" t="s">
        <v>74</v>
      </c>
      <c r="BR2578" t="s">
        <v>102</v>
      </c>
      <c r="BS2578" t="s">
        <v>43236</v>
      </c>
      <c r="BT2578" t="str">
        <f>HYPERLINK("https%3A%2F%2Fwww.webofscience.com%2Fwos%2Fwoscc%2Ffull-record%2FWOS:001602418400001","View Full Record in Web of Science")</f>
        <v>View Full Record in Web of Science</v>
      </c>
    </row>
    <row r="2579" spans="1:72" x14ac:dyDescent="0.25">
      <c r="A2579" t="s">
        <v>72</v>
      </c>
      <c r="B2579" t="s">
        <v>43237</v>
      </c>
      <c r="C2579" t="s">
        <v>74</v>
      </c>
      <c r="D2579" t="s">
        <v>74</v>
      </c>
      <c r="E2579" t="s">
        <v>74</v>
      </c>
      <c r="F2579" t="s">
        <v>43238</v>
      </c>
      <c r="G2579" t="s">
        <v>74</v>
      </c>
      <c r="H2579" t="s">
        <v>74</v>
      </c>
      <c r="I2579" t="s">
        <v>43239</v>
      </c>
      <c r="J2579" t="s">
        <v>8200</v>
      </c>
      <c r="K2579" t="s">
        <v>74</v>
      </c>
      <c r="L2579" t="s">
        <v>74</v>
      </c>
      <c r="M2579" t="s">
        <v>78</v>
      </c>
      <c r="N2579" t="s">
        <v>79</v>
      </c>
      <c r="O2579" t="s">
        <v>74</v>
      </c>
      <c r="P2579" t="s">
        <v>74</v>
      </c>
      <c r="Q2579" t="s">
        <v>74</v>
      </c>
      <c r="R2579" t="s">
        <v>74</v>
      </c>
      <c r="S2579" t="s">
        <v>74</v>
      </c>
      <c r="T2579" t="s">
        <v>43240</v>
      </c>
      <c r="U2579" t="s">
        <v>74</v>
      </c>
      <c r="V2579" t="s">
        <v>43241</v>
      </c>
      <c r="W2579" t="s">
        <v>43242</v>
      </c>
      <c r="X2579" t="s">
        <v>43243</v>
      </c>
      <c r="Y2579" t="s">
        <v>43244</v>
      </c>
      <c r="Z2579" t="s">
        <v>74</v>
      </c>
      <c r="AA2579" t="s">
        <v>74</v>
      </c>
      <c r="AB2579" t="s">
        <v>43245</v>
      </c>
      <c r="AC2579" t="s">
        <v>74</v>
      </c>
      <c r="AD2579" t="s">
        <v>74</v>
      </c>
      <c r="AE2579" t="s">
        <v>74</v>
      </c>
      <c r="AF2579" t="s">
        <v>74</v>
      </c>
      <c r="AG2579">
        <v>14</v>
      </c>
      <c r="AH2579">
        <v>6</v>
      </c>
      <c r="AI2579">
        <v>7</v>
      </c>
      <c r="AJ2579">
        <v>0</v>
      </c>
      <c r="AK2579">
        <v>3</v>
      </c>
      <c r="AL2579" t="s">
        <v>8210</v>
      </c>
      <c r="AM2579" t="s">
        <v>8211</v>
      </c>
      <c r="AN2579" t="s">
        <v>8212</v>
      </c>
      <c r="AO2579" t="s">
        <v>8213</v>
      </c>
      <c r="AP2579" t="s">
        <v>74</v>
      </c>
      <c r="AQ2579" t="s">
        <v>74</v>
      </c>
      <c r="AR2579" t="s">
        <v>8214</v>
      </c>
      <c r="AS2579" t="s">
        <v>8215</v>
      </c>
      <c r="AT2579" t="s">
        <v>1159</v>
      </c>
      <c r="AU2579">
        <v>2017</v>
      </c>
      <c r="AV2579">
        <v>10</v>
      </c>
      <c r="AW2579">
        <v>4</v>
      </c>
      <c r="AX2579" t="s">
        <v>74</v>
      </c>
      <c r="AY2579" t="s">
        <v>74</v>
      </c>
      <c r="AZ2579" t="s">
        <v>74</v>
      </c>
      <c r="BA2579" t="s">
        <v>74</v>
      </c>
      <c r="BB2579">
        <v>39</v>
      </c>
      <c r="BC2579">
        <v>49</v>
      </c>
      <c r="BD2579" t="s">
        <v>74</v>
      </c>
      <c r="BE2579" t="s">
        <v>74</v>
      </c>
      <c r="BF2579" t="s">
        <v>74</v>
      </c>
      <c r="BG2579" t="s">
        <v>74</v>
      </c>
      <c r="BH2579" t="s">
        <v>74</v>
      </c>
      <c r="BI2579">
        <v>11</v>
      </c>
      <c r="BJ2579" t="s">
        <v>418</v>
      </c>
      <c r="BK2579" t="s">
        <v>313</v>
      </c>
      <c r="BL2579" t="s">
        <v>100</v>
      </c>
      <c r="BM2579" t="s">
        <v>40104</v>
      </c>
      <c r="BN2579" t="s">
        <v>74</v>
      </c>
      <c r="BO2579" t="s">
        <v>74</v>
      </c>
      <c r="BP2579" t="s">
        <v>74</v>
      </c>
      <c r="BQ2579" t="s">
        <v>74</v>
      </c>
      <c r="BR2579" t="s">
        <v>102</v>
      </c>
      <c r="BS2579" t="s">
        <v>43246</v>
      </c>
      <c r="BT2579" t="str">
        <f>HYPERLINK("https%3A%2F%2Fwww.webofscience.com%2Fwos%2Fwoscc%2Ffull-record%2FWOS:000430112400006","View Full Record in Web of Science")</f>
        <v>View Full Record in Web of Science</v>
      </c>
    </row>
    <row r="2580" spans="1:72" x14ac:dyDescent="0.25">
      <c r="A2580" t="s">
        <v>72</v>
      </c>
      <c r="B2580" t="s">
        <v>43247</v>
      </c>
      <c r="C2580" t="s">
        <v>74</v>
      </c>
      <c r="D2580" t="s">
        <v>74</v>
      </c>
      <c r="E2580" t="s">
        <v>74</v>
      </c>
      <c r="F2580" t="s">
        <v>43248</v>
      </c>
      <c r="G2580" t="s">
        <v>74</v>
      </c>
      <c r="H2580" t="s">
        <v>74</v>
      </c>
      <c r="I2580" t="s">
        <v>43249</v>
      </c>
      <c r="J2580" t="s">
        <v>27125</v>
      </c>
      <c r="K2580" t="s">
        <v>74</v>
      </c>
      <c r="L2580" t="s">
        <v>74</v>
      </c>
      <c r="M2580" t="s">
        <v>78</v>
      </c>
      <c r="N2580" t="s">
        <v>79</v>
      </c>
      <c r="O2580" t="s">
        <v>74</v>
      </c>
      <c r="P2580" t="s">
        <v>74</v>
      </c>
      <c r="Q2580" t="s">
        <v>74</v>
      </c>
      <c r="R2580" t="s">
        <v>74</v>
      </c>
      <c r="S2580" t="s">
        <v>74</v>
      </c>
      <c r="T2580" t="s">
        <v>43250</v>
      </c>
      <c r="U2580" t="s">
        <v>43251</v>
      </c>
      <c r="V2580" t="s">
        <v>43252</v>
      </c>
      <c r="W2580" t="s">
        <v>43253</v>
      </c>
      <c r="X2580" t="s">
        <v>43254</v>
      </c>
      <c r="Y2580" t="s">
        <v>43255</v>
      </c>
      <c r="Z2580" t="s">
        <v>43256</v>
      </c>
      <c r="AA2580" t="s">
        <v>43257</v>
      </c>
      <c r="AB2580" t="s">
        <v>16842</v>
      </c>
      <c r="AC2580" t="s">
        <v>43258</v>
      </c>
      <c r="AD2580" t="s">
        <v>43259</v>
      </c>
      <c r="AE2580" t="s">
        <v>43260</v>
      </c>
      <c r="AF2580" t="s">
        <v>74</v>
      </c>
      <c r="AG2580">
        <v>52</v>
      </c>
      <c r="AH2580">
        <v>51</v>
      </c>
      <c r="AI2580">
        <v>64</v>
      </c>
      <c r="AJ2580">
        <v>1</v>
      </c>
      <c r="AK2580">
        <v>93</v>
      </c>
      <c r="AL2580" t="s">
        <v>27113</v>
      </c>
      <c r="AM2580" t="s">
        <v>16865</v>
      </c>
      <c r="AN2580" t="s">
        <v>27112</v>
      </c>
      <c r="AO2580" t="s">
        <v>27111</v>
      </c>
      <c r="AP2580" t="s">
        <v>74</v>
      </c>
      <c r="AQ2580" t="s">
        <v>74</v>
      </c>
      <c r="AR2580" t="s">
        <v>27110</v>
      </c>
      <c r="AS2580" t="s">
        <v>27109</v>
      </c>
      <c r="AT2580" t="s">
        <v>1652</v>
      </c>
      <c r="AU2580">
        <v>2016</v>
      </c>
      <c r="AV2580">
        <v>40</v>
      </c>
      <c r="AW2580">
        <v>2</v>
      </c>
      <c r="AX2580" t="s">
        <v>74</v>
      </c>
      <c r="AY2580" t="s">
        <v>74</v>
      </c>
      <c r="AZ2580" t="s">
        <v>441</v>
      </c>
      <c r="BA2580" t="s">
        <v>74</v>
      </c>
      <c r="BB2580">
        <v>461</v>
      </c>
      <c r="BC2580">
        <v>473</v>
      </c>
      <c r="BD2580" t="s">
        <v>74</v>
      </c>
      <c r="BE2580" t="s">
        <v>43261</v>
      </c>
      <c r="BF2580" t="str">
        <f>HYPERLINK("http://dx.doi.org/10.25300/MISQ/2016/40.2.10","http://dx.doi.org/10.25300/MISQ/2016/40.2.10")</f>
        <v>http://dx.doi.org/10.25300/MISQ/2016/40.2.10</v>
      </c>
      <c r="BG2580" t="s">
        <v>74</v>
      </c>
      <c r="BH2580" t="s">
        <v>74</v>
      </c>
      <c r="BI2580">
        <v>13</v>
      </c>
      <c r="BJ2580" t="s">
        <v>10890</v>
      </c>
      <c r="BK2580" t="s">
        <v>2623</v>
      </c>
      <c r="BL2580" t="s">
        <v>10891</v>
      </c>
      <c r="BM2580" t="s">
        <v>43262</v>
      </c>
      <c r="BN2580" t="s">
        <v>74</v>
      </c>
      <c r="BO2580" t="s">
        <v>74</v>
      </c>
      <c r="BP2580" t="s">
        <v>74</v>
      </c>
      <c r="BQ2580" t="s">
        <v>74</v>
      </c>
      <c r="BR2580" t="s">
        <v>102</v>
      </c>
      <c r="BS2580" t="s">
        <v>43263</v>
      </c>
      <c r="BT2580" t="str">
        <f>HYPERLINK("https%3A%2F%2Fwww.webofscience.com%2Fwos%2Fwoscc%2Ffull-record%2FWOS:000376783300010","View Full Record in Web of Science")</f>
        <v>View Full Record in Web of Science</v>
      </c>
    </row>
    <row r="2581" spans="1:72" x14ac:dyDescent="0.25">
      <c r="A2581" t="s">
        <v>72</v>
      </c>
      <c r="B2581" t="s">
        <v>43264</v>
      </c>
      <c r="C2581" t="s">
        <v>74</v>
      </c>
      <c r="D2581" t="s">
        <v>74</v>
      </c>
      <c r="E2581" t="s">
        <v>74</v>
      </c>
      <c r="F2581" t="s">
        <v>43265</v>
      </c>
      <c r="G2581" t="s">
        <v>74</v>
      </c>
      <c r="H2581" t="s">
        <v>74</v>
      </c>
      <c r="I2581" t="s">
        <v>43266</v>
      </c>
      <c r="J2581" t="s">
        <v>5078</v>
      </c>
      <c r="K2581" t="s">
        <v>74</v>
      </c>
      <c r="L2581" t="s">
        <v>74</v>
      </c>
      <c r="M2581" t="s">
        <v>78</v>
      </c>
      <c r="N2581" t="s">
        <v>79</v>
      </c>
      <c r="O2581" t="s">
        <v>74</v>
      </c>
      <c r="P2581" t="s">
        <v>74</v>
      </c>
      <c r="Q2581" t="s">
        <v>74</v>
      </c>
      <c r="R2581" t="s">
        <v>74</v>
      </c>
      <c r="S2581" t="s">
        <v>74</v>
      </c>
      <c r="T2581" t="s">
        <v>43267</v>
      </c>
      <c r="U2581" t="s">
        <v>74</v>
      </c>
      <c r="V2581" t="s">
        <v>43268</v>
      </c>
      <c r="W2581" t="s">
        <v>43269</v>
      </c>
      <c r="X2581" t="s">
        <v>74</v>
      </c>
      <c r="Y2581" t="s">
        <v>43270</v>
      </c>
      <c r="Z2581" t="s">
        <v>43271</v>
      </c>
      <c r="AA2581" t="s">
        <v>74</v>
      </c>
      <c r="AB2581" t="s">
        <v>74</v>
      </c>
      <c r="AC2581" t="s">
        <v>43272</v>
      </c>
      <c r="AD2581" t="s">
        <v>43273</v>
      </c>
      <c r="AE2581" t="s">
        <v>43274</v>
      </c>
      <c r="AF2581" t="s">
        <v>74</v>
      </c>
      <c r="AG2581">
        <v>45</v>
      </c>
      <c r="AH2581">
        <v>28</v>
      </c>
      <c r="AI2581">
        <v>38</v>
      </c>
      <c r="AJ2581">
        <v>0</v>
      </c>
      <c r="AK2581">
        <v>32</v>
      </c>
      <c r="AL2581" t="s">
        <v>385</v>
      </c>
      <c r="AM2581" t="s">
        <v>151</v>
      </c>
      <c r="AN2581" t="s">
        <v>386</v>
      </c>
      <c r="AO2581" t="s">
        <v>74</v>
      </c>
      <c r="AP2581" t="s">
        <v>5087</v>
      </c>
      <c r="AQ2581" t="s">
        <v>74</v>
      </c>
      <c r="AR2581" t="s">
        <v>5088</v>
      </c>
      <c r="AS2581" t="s">
        <v>5089</v>
      </c>
      <c r="AT2581" t="s">
        <v>12473</v>
      </c>
      <c r="AU2581">
        <v>2018</v>
      </c>
      <c r="AV2581">
        <v>4</v>
      </c>
      <c r="AW2581">
        <v>1</v>
      </c>
      <c r="AX2581" t="s">
        <v>74</v>
      </c>
      <c r="AY2581" t="s">
        <v>74</v>
      </c>
      <c r="AZ2581" t="s">
        <v>74</v>
      </c>
      <c r="BA2581" t="s">
        <v>74</v>
      </c>
      <c r="BB2581" t="s">
        <v>74</v>
      </c>
      <c r="BC2581" t="s">
        <v>74</v>
      </c>
      <c r="BD2581">
        <v>25</v>
      </c>
      <c r="BE2581" t="s">
        <v>43275</v>
      </c>
      <c r="BF2581" t="str">
        <f>HYPERLINK("http://dx.doi.org/10.1186/s40854-018-0112-2","http://dx.doi.org/10.1186/s40854-018-0112-2")</f>
        <v>http://dx.doi.org/10.1186/s40854-018-0112-2</v>
      </c>
      <c r="BG2581" t="s">
        <v>74</v>
      </c>
      <c r="BH2581" t="s">
        <v>74</v>
      </c>
      <c r="BI2581">
        <v>20</v>
      </c>
      <c r="BJ2581" t="s">
        <v>5092</v>
      </c>
      <c r="BK2581" t="s">
        <v>99</v>
      </c>
      <c r="BL2581" t="s">
        <v>2024</v>
      </c>
      <c r="BM2581" t="s">
        <v>43276</v>
      </c>
      <c r="BN2581" t="s">
        <v>74</v>
      </c>
      <c r="BO2581" t="s">
        <v>916</v>
      </c>
      <c r="BP2581" t="s">
        <v>74</v>
      </c>
      <c r="BQ2581" t="s">
        <v>74</v>
      </c>
      <c r="BR2581" t="s">
        <v>102</v>
      </c>
      <c r="BS2581" t="s">
        <v>43277</v>
      </c>
      <c r="BT2581" t="str">
        <f>HYPERLINK("https%3A%2F%2Fwww.webofscience.com%2Fwos%2Fwoscc%2Ffull-record%2FWOS:000463479800001","View Full Record in Web of Science")</f>
        <v>View Full Record in Web of Science</v>
      </c>
    </row>
    <row r="2582" spans="1:72" x14ac:dyDescent="0.25">
      <c r="A2582" t="s">
        <v>72</v>
      </c>
      <c r="B2582" t="s">
        <v>43278</v>
      </c>
      <c r="C2582" t="s">
        <v>74</v>
      </c>
      <c r="D2582" t="s">
        <v>74</v>
      </c>
      <c r="E2582" t="s">
        <v>74</v>
      </c>
      <c r="F2582" t="s">
        <v>43279</v>
      </c>
      <c r="G2582" t="s">
        <v>74</v>
      </c>
      <c r="H2582" t="s">
        <v>74</v>
      </c>
      <c r="I2582" t="s">
        <v>43280</v>
      </c>
      <c r="J2582" t="s">
        <v>2071</v>
      </c>
      <c r="K2582" t="s">
        <v>74</v>
      </c>
      <c r="L2582" t="s">
        <v>74</v>
      </c>
      <c r="M2582" t="s">
        <v>78</v>
      </c>
      <c r="N2582" t="s">
        <v>79</v>
      </c>
      <c r="O2582" t="s">
        <v>74</v>
      </c>
      <c r="P2582" t="s">
        <v>74</v>
      </c>
      <c r="Q2582" t="s">
        <v>74</v>
      </c>
      <c r="R2582" t="s">
        <v>74</v>
      </c>
      <c r="S2582" t="s">
        <v>74</v>
      </c>
      <c r="T2582" t="s">
        <v>43281</v>
      </c>
      <c r="U2582" t="s">
        <v>74</v>
      </c>
      <c r="V2582" t="s">
        <v>43282</v>
      </c>
      <c r="W2582" t="s">
        <v>43283</v>
      </c>
      <c r="X2582" t="s">
        <v>10117</v>
      </c>
      <c r="Y2582" t="s">
        <v>43284</v>
      </c>
      <c r="Z2582" t="s">
        <v>43285</v>
      </c>
      <c r="AA2582" t="s">
        <v>43286</v>
      </c>
      <c r="AB2582" t="s">
        <v>43287</v>
      </c>
      <c r="AC2582" t="s">
        <v>74</v>
      </c>
      <c r="AD2582" t="s">
        <v>74</v>
      </c>
      <c r="AE2582" t="s">
        <v>74</v>
      </c>
      <c r="AF2582" t="s">
        <v>74</v>
      </c>
      <c r="AG2582">
        <v>29</v>
      </c>
      <c r="AH2582">
        <v>4</v>
      </c>
      <c r="AI2582">
        <v>4</v>
      </c>
      <c r="AJ2582">
        <v>0</v>
      </c>
      <c r="AK2582">
        <v>27</v>
      </c>
      <c r="AL2582" t="s">
        <v>332</v>
      </c>
      <c r="AM2582" t="s">
        <v>333</v>
      </c>
      <c r="AN2582" t="s">
        <v>334</v>
      </c>
      <c r="AO2582" t="s">
        <v>2078</v>
      </c>
      <c r="AP2582" t="s">
        <v>2079</v>
      </c>
      <c r="AQ2582" t="s">
        <v>74</v>
      </c>
      <c r="AR2582" t="s">
        <v>2080</v>
      </c>
      <c r="AS2582" t="s">
        <v>2081</v>
      </c>
      <c r="AT2582" t="s">
        <v>3349</v>
      </c>
      <c r="AU2582">
        <v>2022</v>
      </c>
      <c r="AV2582">
        <v>39</v>
      </c>
      <c r="AW2582">
        <v>6</v>
      </c>
      <c r="AX2582" t="s">
        <v>74</v>
      </c>
      <c r="AY2582" t="s">
        <v>74</v>
      </c>
      <c r="AZ2582" t="s">
        <v>74</v>
      </c>
      <c r="BA2582" t="s">
        <v>74</v>
      </c>
      <c r="BB2582">
        <v>830</v>
      </c>
      <c r="BC2582">
        <v>840</v>
      </c>
      <c r="BD2582" t="s">
        <v>74</v>
      </c>
      <c r="BE2582" t="s">
        <v>43288</v>
      </c>
      <c r="BF2582" t="str">
        <f>HYPERLINK("http://dx.doi.org/10.1080/0376835X.2021.1906630","http://dx.doi.org/10.1080/0376835X.2021.1906630")</f>
        <v>http://dx.doi.org/10.1080/0376835X.2021.1906630</v>
      </c>
      <c r="BG2582" t="s">
        <v>74</v>
      </c>
      <c r="BH2582" t="s">
        <v>443</v>
      </c>
      <c r="BI2582">
        <v>11</v>
      </c>
      <c r="BJ2582" t="s">
        <v>2084</v>
      </c>
      <c r="BK2582" t="s">
        <v>99</v>
      </c>
      <c r="BL2582" t="s">
        <v>2085</v>
      </c>
      <c r="BM2582" t="s">
        <v>43289</v>
      </c>
      <c r="BN2582" t="s">
        <v>74</v>
      </c>
      <c r="BO2582" t="s">
        <v>74</v>
      </c>
      <c r="BP2582" t="s">
        <v>74</v>
      </c>
      <c r="BQ2582" t="s">
        <v>74</v>
      </c>
      <c r="BR2582" t="s">
        <v>102</v>
      </c>
      <c r="BS2582" t="s">
        <v>43290</v>
      </c>
      <c r="BT2582" t="str">
        <f>HYPERLINK("https%3A%2F%2Fwww.webofscience.com%2Fwos%2Fwoscc%2Ffull-record%2FWOS:000639762800001","View Full Record in Web of Science")</f>
        <v>View Full Record in Web of Science</v>
      </c>
    </row>
    <row r="2583" spans="1:72" x14ac:dyDescent="0.25">
      <c r="A2583" t="s">
        <v>72</v>
      </c>
      <c r="B2583" t="s">
        <v>43291</v>
      </c>
      <c r="C2583" t="s">
        <v>74</v>
      </c>
      <c r="D2583" t="s">
        <v>74</v>
      </c>
      <c r="E2583" t="s">
        <v>74</v>
      </c>
      <c r="F2583" t="s">
        <v>43292</v>
      </c>
      <c r="G2583" t="s">
        <v>74</v>
      </c>
      <c r="H2583" t="s">
        <v>74</v>
      </c>
      <c r="I2583" t="s">
        <v>43293</v>
      </c>
      <c r="J2583" t="s">
        <v>26494</v>
      </c>
      <c r="K2583" t="s">
        <v>74</v>
      </c>
      <c r="L2583" t="s">
        <v>74</v>
      </c>
      <c r="M2583" t="s">
        <v>78</v>
      </c>
      <c r="N2583" t="s">
        <v>79</v>
      </c>
      <c r="O2583" t="s">
        <v>74</v>
      </c>
      <c r="P2583" t="s">
        <v>74</v>
      </c>
      <c r="Q2583" t="s">
        <v>74</v>
      </c>
      <c r="R2583" t="s">
        <v>74</v>
      </c>
      <c r="S2583" t="s">
        <v>74</v>
      </c>
      <c r="T2583" t="s">
        <v>74</v>
      </c>
      <c r="U2583" t="s">
        <v>74</v>
      </c>
      <c r="V2583" t="s">
        <v>43294</v>
      </c>
      <c r="W2583" t="s">
        <v>43295</v>
      </c>
      <c r="X2583" t="s">
        <v>84</v>
      </c>
      <c r="Y2583" t="s">
        <v>43296</v>
      </c>
      <c r="Z2583" t="s">
        <v>74</v>
      </c>
      <c r="AA2583" t="s">
        <v>74</v>
      </c>
      <c r="AB2583" t="s">
        <v>43297</v>
      </c>
      <c r="AC2583" t="s">
        <v>74</v>
      </c>
      <c r="AD2583" t="s">
        <v>74</v>
      </c>
      <c r="AE2583" t="s">
        <v>74</v>
      </c>
      <c r="AF2583" t="s">
        <v>74</v>
      </c>
      <c r="AG2583">
        <v>25</v>
      </c>
      <c r="AH2583">
        <v>17</v>
      </c>
      <c r="AI2583">
        <v>18</v>
      </c>
      <c r="AJ2583">
        <v>1</v>
      </c>
      <c r="AK2583">
        <v>16</v>
      </c>
      <c r="AL2583" t="s">
        <v>43298</v>
      </c>
      <c r="AM2583" t="s">
        <v>231</v>
      </c>
      <c r="AN2583" t="s">
        <v>43299</v>
      </c>
      <c r="AO2583" t="s">
        <v>26487</v>
      </c>
      <c r="AP2583" t="s">
        <v>74</v>
      </c>
      <c r="AQ2583" t="s">
        <v>74</v>
      </c>
      <c r="AR2583" t="s">
        <v>26485</v>
      </c>
      <c r="AS2583" t="s">
        <v>26484</v>
      </c>
      <c r="AT2583" t="s">
        <v>237</v>
      </c>
      <c r="AU2583">
        <v>2007</v>
      </c>
      <c r="AV2583">
        <v>27</v>
      </c>
      <c r="AW2583">
        <v>1</v>
      </c>
      <c r="AX2583" t="s">
        <v>74</v>
      </c>
      <c r="AY2583" t="s">
        <v>74</v>
      </c>
      <c r="AZ2583" t="s">
        <v>74</v>
      </c>
      <c r="BA2583" t="s">
        <v>74</v>
      </c>
      <c r="BB2583">
        <v>45</v>
      </c>
      <c r="BC2583">
        <v>52</v>
      </c>
      <c r="BD2583" t="s">
        <v>74</v>
      </c>
      <c r="BE2583" t="s">
        <v>43300</v>
      </c>
      <c r="BF2583" t="str">
        <f>HYPERLINK("http://dx.doi.org/10.1111/j.1467-9302.2007.00554.x","http://dx.doi.org/10.1111/j.1467-9302.2007.00554.x")</f>
        <v>http://dx.doi.org/10.1111/j.1467-9302.2007.00554.x</v>
      </c>
      <c r="BG2583" t="s">
        <v>74</v>
      </c>
      <c r="BH2583" t="s">
        <v>74</v>
      </c>
      <c r="BI2583">
        <v>8</v>
      </c>
      <c r="BJ2583" t="s">
        <v>2803</v>
      </c>
      <c r="BK2583" t="s">
        <v>99</v>
      </c>
      <c r="BL2583" t="s">
        <v>1406</v>
      </c>
      <c r="BM2583" t="s">
        <v>26482</v>
      </c>
      <c r="BN2583" t="s">
        <v>74</v>
      </c>
      <c r="BO2583" t="s">
        <v>74</v>
      </c>
      <c r="BP2583" t="s">
        <v>74</v>
      </c>
      <c r="BQ2583" t="s">
        <v>74</v>
      </c>
      <c r="BR2583" t="s">
        <v>102</v>
      </c>
      <c r="BS2583" t="s">
        <v>43301</v>
      </c>
      <c r="BT2583" t="str">
        <f>HYPERLINK("https%3A%2F%2Fwww.webofscience.com%2Fwos%2Fwoscc%2Ffull-record%2FWOS:000243756000008","View Full Record in Web of Science")</f>
        <v>View Full Record in Web of Science</v>
      </c>
    </row>
    <row r="2584" spans="1:72" x14ac:dyDescent="0.25">
      <c r="A2584" t="s">
        <v>72</v>
      </c>
      <c r="B2584" t="s">
        <v>43302</v>
      </c>
      <c r="C2584" t="s">
        <v>74</v>
      </c>
      <c r="D2584" t="s">
        <v>74</v>
      </c>
      <c r="E2584" t="s">
        <v>74</v>
      </c>
      <c r="F2584" t="s">
        <v>43303</v>
      </c>
      <c r="G2584" t="s">
        <v>74</v>
      </c>
      <c r="H2584" t="s">
        <v>74</v>
      </c>
      <c r="I2584" t="s">
        <v>43304</v>
      </c>
      <c r="J2584" t="s">
        <v>43305</v>
      </c>
      <c r="K2584" t="s">
        <v>74</v>
      </c>
      <c r="L2584" t="s">
        <v>74</v>
      </c>
      <c r="M2584" t="s">
        <v>78</v>
      </c>
      <c r="N2584" t="s">
        <v>79</v>
      </c>
      <c r="O2584" t="s">
        <v>74</v>
      </c>
      <c r="P2584" t="s">
        <v>74</v>
      </c>
      <c r="Q2584" t="s">
        <v>74</v>
      </c>
      <c r="R2584" t="s">
        <v>74</v>
      </c>
      <c r="S2584" t="s">
        <v>74</v>
      </c>
      <c r="T2584" t="s">
        <v>43306</v>
      </c>
      <c r="U2584" t="s">
        <v>43307</v>
      </c>
      <c r="V2584" t="s">
        <v>43308</v>
      </c>
      <c r="W2584" t="s">
        <v>43309</v>
      </c>
      <c r="X2584" t="s">
        <v>21558</v>
      </c>
      <c r="Y2584" t="s">
        <v>43310</v>
      </c>
      <c r="Z2584" t="s">
        <v>43311</v>
      </c>
      <c r="AA2584" t="s">
        <v>74</v>
      </c>
      <c r="AB2584" t="s">
        <v>74</v>
      </c>
      <c r="AC2584" t="s">
        <v>74</v>
      </c>
      <c r="AD2584" t="s">
        <v>74</v>
      </c>
      <c r="AE2584" t="s">
        <v>74</v>
      </c>
      <c r="AF2584" t="s">
        <v>74</v>
      </c>
      <c r="AG2584">
        <v>81</v>
      </c>
      <c r="AH2584">
        <v>1</v>
      </c>
      <c r="AI2584">
        <v>1</v>
      </c>
      <c r="AJ2584">
        <v>14</v>
      </c>
      <c r="AK2584">
        <v>25</v>
      </c>
      <c r="AL2584" t="s">
        <v>43312</v>
      </c>
      <c r="AM2584" t="s">
        <v>22382</v>
      </c>
      <c r="AN2584" t="s">
        <v>43313</v>
      </c>
      <c r="AO2584" t="s">
        <v>43314</v>
      </c>
      <c r="AP2584" t="s">
        <v>43315</v>
      </c>
      <c r="AQ2584" t="s">
        <v>74</v>
      </c>
      <c r="AR2584" t="s">
        <v>43316</v>
      </c>
      <c r="AS2584" t="s">
        <v>43317</v>
      </c>
      <c r="AT2584" t="s">
        <v>74</v>
      </c>
      <c r="AU2584">
        <v>2024</v>
      </c>
      <c r="AV2584">
        <v>35</v>
      </c>
      <c r="AW2584">
        <v>5</v>
      </c>
      <c r="AX2584" t="s">
        <v>74</v>
      </c>
      <c r="AY2584" t="s">
        <v>74</v>
      </c>
      <c r="AZ2584" t="s">
        <v>74</v>
      </c>
      <c r="BA2584" t="s">
        <v>74</v>
      </c>
      <c r="BB2584">
        <v>537</v>
      </c>
      <c r="BC2584">
        <v>550</v>
      </c>
      <c r="BD2584" t="s">
        <v>74</v>
      </c>
      <c r="BE2584" t="s">
        <v>43318</v>
      </c>
      <c r="BF2584" t="str">
        <f>HYPERLINK("http://dx.doi.org/10.5755/j01.ee.35.5.34631","http://dx.doi.org/10.5755/j01.ee.35.5.34631")</f>
        <v>http://dx.doi.org/10.5755/j01.ee.35.5.34631</v>
      </c>
      <c r="BG2584" t="s">
        <v>74</v>
      </c>
      <c r="BH2584" t="s">
        <v>74</v>
      </c>
      <c r="BI2584">
        <v>14</v>
      </c>
      <c r="BJ2584" t="s">
        <v>291</v>
      </c>
      <c r="BK2584" t="s">
        <v>99</v>
      </c>
      <c r="BL2584" t="s">
        <v>100</v>
      </c>
      <c r="BM2584" t="s">
        <v>43319</v>
      </c>
      <c r="BN2584" t="s">
        <v>74</v>
      </c>
      <c r="BO2584" t="s">
        <v>212</v>
      </c>
      <c r="BP2584" t="s">
        <v>74</v>
      </c>
      <c r="BQ2584" t="s">
        <v>74</v>
      </c>
      <c r="BR2584" t="s">
        <v>102</v>
      </c>
      <c r="BS2584" t="s">
        <v>43320</v>
      </c>
      <c r="BT2584" t="str">
        <f>HYPERLINK("https%3A%2F%2Fwww.webofscience.com%2Fwos%2Fwoscc%2Ffull-record%2FWOS:001382064000003","View Full Record in Web of Science")</f>
        <v>View Full Record in Web of Science</v>
      </c>
    </row>
    <row r="2585" spans="1:72" x14ac:dyDescent="0.25">
      <c r="A2585" t="s">
        <v>132</v>
      </c>
      <c r="B2585" t="s">
        <v>43321</v>
      </c>
      <c r="C2585" t="s">
        <v>74</v>
      </c>
      <c r="D2585" t="s">
        <v>4422</v>
      </c>
      <c r="E2585" t="s">
        <v>74</v>
      </c>
      <c r="F2585" t="s">
        <v>43322</v>
      </c>
      <c r="G2585" t="s">
        <v>74</v>
      </c>
      <c r="H2585" t="s">
        <v>74</v>
      </c>
      <c r="I2585" t="s">
        <v>43323</v>
      </c>
      <c r="J2585" t="s">
        <v>43324</v>
      </c>
      <c r="K2585" t="s">
        <v>25976</v>
      </c>
      <c r="L2585" t="s">
        <v>74</v>
      </c>
      <c r="M2585" t="s">
        <v>78</v>
      </c>
      <c r="N2585" t="s">
        <v>138</v>
      </c>
      <c r="O2585" t="s">
        <v>43325</v>
      </c>
      <c r="P2585" t="s">
        <v>43326</v>
      </c>
      <c r="Q2585" t="s">
        <v>4428</v>
      </c>
      <c r="R2585" t="s">
        <v>43327</v>
      </c>
      <c r="S2585" t="s">
        <v>74</v>
      </c>
      <c r="T2585" t="s">
        <v>43328</v>
      </c>
      <c r="U2585" t="s">
        <v>1765</v>
      </c>
      <c r="V2585" t="s">
        <v>43329</v>
      </c>
      <c r="W2585" t="s">
        <v>43330</v>
      </c>
      <c r="X2585" t="s">
        <v>43331</v>
      </c>
      <c r="Y2585" t="s">
        <v>43332</v>
      </c>
      <c r="Z2585" t="s">
        <v>43333</v>
      </c>
      <c r="AA2585" t="s">
        <v>74</v>
      </c>
      <c r="AB2585" t="s">
        <v>74</v>
      </c>
      <c r="AC2585" t="s">
        <v>74</v>
      </c>
      <c r="AD2585" t="s">
        <v>74</v>
      </c>
      <c r="AE2585" t="s">
        <v>74</v>
      </c>
      <c r="AF2585" t="s">
        <v>74</v>
      </c>
      <c r="AG2585">
        <v>36</v>
      </c>
      <c r="AH2585">
        <v>0</v>
      </c>
      <c r="AI2585">
        <v>0</v>
      </c>
      <c r="AJ2585">
        <v>0</v>
      </c>
      <c r="AK2585">
        <v>0</v>
      </c>
      <c r="AL2585" t="s">
        <v>4439</v>
      </c>
      <c r="AM2585" t="s">
        <v>4440</v>
      </c>
      <c r="AN2585" t="s">
        <v>4441</v>
      </c>
      <c r="AO2585" t="s">
        <v>74</v>
      </c>
      <c r="AP2585" t="s">
        <v>74</v>
      </c>
      <c r="AQ2585" t="s">
        <v>43334</v>
      </c>
      <c r="AR2585" t="s">
        <v>25964</v>
      </c>
      <c r="AS2585" t="s">
        <v>74</v>
      </c>
      <c r="AT2585" t="s">
        <v>74</v>
      </c>
      <c r="AU2585">
        <v>2025</v>
      </c>
      <c r="AV2585" t="s">
        <v>74</v>
      </c>
      <c r="AW2585" t="s">
        <v>74</v>
      </c>
      <c r="AX2585" t="s">
        <v>74</v>
      </c>
      <c r="AY2585" t="s">
        <v>74</v>
      </c>
      <c r="AZ2585" t="s">
        <v>74</v>
      </c>
      <c r="BA2585" t="s">
        <v>74</v>
      </c>
      <c r="BB2585">
        <v>5248</v>
      </c>
      <c r="BC2585">
        <v>5257</v>
      </c>
      <c r="BD2585" t="s">
        <v>74</v>
      </c>
      <c r="BE2585" t="s">
        <v>74</v>
      </c>
      <c r="BF2585" t="s">
        <v>74</v>
      </c>
      <c r="BG2585" t="s">
        <v>74</v>
      </c>
      <c r="BH2585" t="s">
        <v>74</v>
      </c>
      <c r="BI2585">
        <v>10</v>
      </c>
      <c r="BJ2585" t="s">
        <v>43335</v>
      </c>
      <c r="BK2585" t="s">
        <v>156</v>
      </c>
      <c r="BL2585" t="s">
        <v>157</v>
      </c>
      <c r="BM2585" t="s">
        <v>43336</v>
      </c>
      <c r="BN2585" t="s">
        <v>74</v>
      </c>
      <c r="BO2585" t="s">
        <v>74</v>
      </c>
      <c r="BP2585" t="s">
        <v>74</v>
      </c>
      <c r="BQ2585" t="s">
        <v>74</v>
      </c>
      <c r="BR2585" t="s">
        <v>102</v>
      </c>
      <c r="BS2585" t="s">
        <v>43337</v>
      </c>
      <c r="BT2585" t="str">
        <f>HYPERLINK("https%3A%2F%2Fwww.webofscience.com%2Fwos%2Fwoscc%2Ffull-record%2FWOS:001443246900617","View Full Record in Web of Science")</f>
        <v>View Full Record in Web of Science</v>
      </c>
    </row>
    <row r="2586" spans="1:72" x14ac:dyDescent="0.25">
      <c r="A2586" t="s">
        <v>132</v>
      </c>
      <c r="B2586" t="s">
        <v>43338</v>
      </c>
      <c r="C2586" t="s">
        <v>74</v>
      </c>
      <c r="D2586" t="s">
        <v>6120</v>
      </c>
      <c r="E2586" t="s">
        <v>74</v>
      </c>
      <c r="F2586" t="s">
        <v>43339</v>
      </c>
      <c r="G2586" t="s">
        <v>74</v>
      </c>
      <c r="H2586" t="s">
        <v>74</v>
      </c>
      <c r="I2586" t="s">
        <v>43340</v>
      </c>
      <c r="J2586" t="s">
        <v>43341</v>
      </c>
      <c r="K2586" t="s">
        <v>42084</v>
      </c>
      <c r="L2586" t="s">
        <v>74</v>
      </c>
      <c r="M2586" t="s">
        <v>78</v>
      </c>
      <c r="N2586" t="s">
        <v>138</v>
      </c>
      <c r="O2586" t="s">
        <v>43342</v>
      </c>
      <c r="P2586" t="s">
        <v>43343</v>
      </c>
      <c r="Q2586" t="s">
        <v>5770</v>
      </c>
      <c r="R2586" t="s">
        <v>74</v>
      </c>
      <c r="S2586" t="s">
        <v>74</v>
      </c>
      <c r="T2586" t="s">
        <v>43344</v>
      </c>
      <c r="U2586" t="s">
        <v>74</v>
      </c>
      <c r="V2586" t="s">
        <v>43345</v>
      </c>
      <c r="W2586" t="s">
        <v>43346</v>
      </c>
      <c r="X2586" t="s">
        <v>1575</v>
      </c>
      <c r="Y2586" t="s">
        <v>43347</v>
      </c>
      <c r="Z2586" t="s">
        <v>74</v>
      </c>
      <c r="AA2586" t="s">
        <v>43348</v>
      </c>
      <c r="AB2586" t="s">
        <v>74</v>
      </c>
      <c r="AC2586" t="s">
        <v>74</v>
      </c>
      <c r="AD2586" t="s">
        <v>74</v>
      </c>
      <c r="AE2586" t="s">
        <v>74</v>
      </c>
      <c r="AF2586" t="s">
        <v>74</v>
      </c>
      <c r="AG2586">
        <v>15</v>
      </c>
      <c r="AH2586">
        <v>0</v>
      </c>
      <c r="AI2586">
        <v>0</v>
      </c>
      <c r="AJ2586">
        <v>0</v>
      </c>
      <c r="AK2586">
        <v>5</v>
      </c>
      <c r="AL2586" t="s">
        <v>6134</v>
      </c>
      <c r="AM2586" t="s">
        <v>6135</v>
      </c>
      <c r="AN2586" t="s">
        <v>6136</v>
      </c>
      <c r="AO2586" t="s">
        <v>42094</v>
      </c>
      <c r="AP2586" t="s">
        <v>74</v>
      </c>
      <c r="AQ2586" t="s">
        <v>43349</v>
      </c>
      <c r="AR2586" t="s">
        <v>42096</v>
      </c>
      <c r="AS2586" t="s">
        <v>74</v>
      </c>
      <c r="AT2586" t="s">
        <v>74</v>
      </c>
      <c r="AU2586">
        <v>2014</v>
      </c>
      <c r="AV2586" t="s">
        <v>74</v>
      </c>
      <c r="AW2586" t="s">
        <v>74</v>
      </c>
      <c r="AX2586" t="s">
        <v>74</v>
      </c>
      <c r="AY2586" t="s">
        <v>74</v>
      </c>
      <c r="AZ2586" t="s">
        <v>74</v>
      </c>
      <c r="BA2586" t="s">
        <v>74</v>
      </c>
      <c r="BB2586">
        <v>4993</v>
      </c>
      <c r="BC2586">
        <v>4999</v>
      </c>
      <c r="BD2586" t="s">
        <v>74</v>
      </c>
      <c r="BE2586" t="s">
        <v>74</v>
      </c>
      <c r="BF2586" t="s">
        <v>74</v>
      </c>
      <c r="BG2586" t="s">
        <v>74</v>
      </c>
      <c r="BH2586" t="s">
        <v>74</v>
      </c>
      <c r="BI2586">
        <v>7</v>
      </c>
      <c r="BJ2586" t="s">
        <v>4031</v>
      </c>
      <c r="BK2586" t="s">
        <v>183</v>
      </c>
      <c r="BL2586" t="s">
        <v>4031</v>
      </c>
      <c r="BM2586" t="s">
        <v>43350</v>
      </c>
      <c r="BN2586" t="s">
        <v>74</v>
      </c>
      <c r="BO2586" t="s">
        <v>74</v>
      </c>
      <c r="BP2586" t="s">
        <v>74</v>
      </c>
      <c r="BQ2586" t="s">
        <v>74</v>
      </c>
      <c r="BR2586" t="s">
        <v>102</v>
      </c>
      <c r="BS2586" t="s">
        <v>43351</v>
      </c>
      <c r="BT2586" t="str">
        <f>HYPERLINK("https%3A%2F%2Fwww.webofscience.com%2Fwos%2Fwoscc%2Ffull-record%2FWOS:000366837205002","View Full Record in Web of Science")</f>
        <v>View Full Record in Web of Science</v>
      </c>
    </row>
    <row r="2587" spans="1:72" x14ac:dyDescent="0.25">
      <c r="A2587" t="s">
        <v>132</v>
      </c>
      <c r="B2587" t="s">
        <v>43352</v>
      </c>
      <c r="C2587" t="s">
        <v>74</v>
      </c>
      <c r="D2587" t="s">
        <v>43353</v>
      </c>
      <c r="E2587" t="s">
        <v>74</v>
      </c>
      <c r="F2587" t="s">
        <v>43354</v>
      </c>
      <c r="G2587" t="s">
        <v>74</v>
      </c>
      <c r="H2587" t="s">
        <v>74</v>
      </c>
      <c r="I2587" t="s">
        <v>43355</v>
      </c>
      <c r="J2587" t="s">
        <v>43356</v>
      </c>
      <c r="K2587" t="s">
        <v>1049</v>
      </c>
      <c r="L2587" t="s">
        <v>74</v>
      </c>
      <c r="M2587" t="s">
        <v>78</v>
      </c>
      <c r="N2587" t="s">
        <v>138</v>
      </c>
      <c r="O2587" t="s">
        <v>43357</v>
      </c>
      <c r="P2587" t="s">
        <v>43358</v>
      </c>
      <c r="Q2587" t="s">
        <v>43359</v>
      </c>
      <c r="R2587" t="s">
        <v>37683</v>
      </c>
      <c r="S2587" t="s">
        <v>74</v>
      </c>
      <c r="T2587" t="s">
        <v>43360</v>
      </c>
      <c r="U2587" t="s">
        <v>74</v>
      </c>
      <c r="V2587" t="s">
        <v>43361</v>
      </c>
      <c r="W2587" t="s">
        <v>43362</v>
      </c>
      <c r="X2587" t="s">
        <v>74</v>
      </c>
      <c r="Y2587" t="s">
        <v>43363</v>
      </c>
      <c r="Z2587" t="s">
        <v>43364</v>
      </c>
      <c r="AA2587" t="s">
        <v>74</v>
      </c>
      <c r="AB2587" t="s">
        <v>74</v>
      </c>
      <c r="AC2587" t="s">
        <v>74</v>
      </c>
      <c r="AD2587" t="s">
        <v>74</v>
      </c>
      <c r="AE2587" t="s">
        <v>74</v>
      </c>
      <c r="AF2587" t="s">
        <v>74</v>
      </c>
      <c r="AG2587">
        <v>15</v>
      </c>
      <c r="AH2587">
        <v>0</v>
      </c>
      <c r="AI2587">
        <v>0</v>
      </c>
      <c r="AJ2587">
        <v>0</v>
      </c>
      <c r="AK2587">
        <v>0</v>
      </c>
      <c r="AL2587" t="s">
        <v>1062</v>
      </c>
      <c r="AM2587" t="s">
        <v>667</v>
      </c>
      <c r="AN2587" t="s">
        <v>668</v>
      </c>
      <c r="AO2587" t="s">
        <v>1063</v>
      </c>
      <c r="AP2587" t="s">
        <v>1064</v>
      </c>
      <c r="AQ2587" t="s">
        <v>43365</v>
      </c>
      <c r="AR2587" t="s">
        <v>1066</v>
      </c>
      <c r="AS2587" t="s">
        <v>74</v>
      </c>
      <c r="AT2587" t="s">
        <v>74</v>
      </c>
      <c r="AU2587">
        <v>2025</v>
      </c>
      <c r="AV2587">
        <v>1428</v>
      </c>
      <c r="AW2587" t="s">
        <v>74</v>
      </c>
      <c r="AX2587" t="s">
        <v>74</v>
      </c>
      <c r="AY2587" t="s">
        <v>74</v>
      </c>
      <c r="AZ2587" t="s">
        <v>74</v>
      </c>
      <c r="BA2587" t="s">
        <v>74</v>
      </c>
      <c r="BB2587">
        <v>69</v>
      </c>
      <c r="BC2587">
        <v>85</v>
      </c>
      <c r="BD2587" t="s">
        <v>74</v>
      </c>
      <c r="BE2587" t="s">
        <v>43366</v>
      </c>
      <c r="BF2587" t="str">
        <f>HYPERLINK("http://dx.doi.org/10.1007/978-3-031-99342-8_6","http://dx.doi.org/10.1007/978-3-031-99342-8_6")</f>
        <v>http://dx.doi.org/10.1007/978-3-031-99342-8_6</v>
      </c>
      <c r="BG2587" t="s">
        <v>74</v>
      </c>
      <c r="BH2587" t="s">
        <v>74</v>
      </c>
      <c r="BI2587">
        <v>17</v>
      </c>
      <c r="BJ2587" t="s">
        <v>2111</v>
      </c>
      <c r="BK2587" t="s">
        <v>156</v>
      </c>
      <c r="BL2587" t="s">
        <v>157</v>
      </c>
      <c r="BM2587" t="s">
        <v>43367</v>
      </c>
      <c r="BN2587" t="s">
        <v>74</v>
      </c>
      <c r="BO2587" t="s">
        <v>74</v>
      </c>
      <c r="BP2587" t="s">
        <v>74</v>
      </c>
      <c r="BQ2587" t="s">
        <v>74</v>
      </c>
      <c r="BR2587" t="s">
        <v>102</v>
      </c>
      <c r="BS2587" t="s">
        <v>43368</v>
      </c>
      <c r="BT2587" t="str">
        <f>HYPERLINK("https%3A%2F%2Fwww.webofscience.com%2Fwos%2Fwoscc%2Ffull-record%2FWOS:001601238000006","View Full Record in Web of Science")</f>
        <v>View Full Record in Web of Science</v>
      </c>
    </row>
    <row r="2588" spans="1:72" x14ac:dyDescent="0.25">
      <c r="A2588" t="s">
        <v>72</v>
      </c>
      <c r="B2588" t="s">
        <v>36768</v>
      </c>
      <c r="C2588" t="s">
        <v>74</v>
      </c>
      <c r="D2588" t="s">
        <v>74</v>
      </c>
      <c r="E2588" t="s">
        <v>74</v>
      </c>
      <c r="F2588" t="s">
        <v>36769</v>
      </c>
      <c r="G2588" t="s">
        <v>74</v>
      </c>
      <c r="H2588" t="s">
        <v>74</v>
      </c>
      <c r="I2588" t="s">
        <v>43369</v>
      </c>
      <c r="J2588" t="s">
        <v>8200</v>
      </c>
      <c r="K2588" t="s">
        <v>74</v>
      </c>
      <c r="L2588" t="s">
        <v>74</v>
      </c>
      <c r="M2588" t="s">
        <v>78</v>
      </c>
      <c r="N2588" t="s">
        <v>79</v>
      </c>
      <c r="O2588" t="s">
        <v>74</v>
      </c>
      <c r="P2588" t="s">
        <v>74</v>
      </c>
      <c r="Q2588" t="s">
        <v>74</v>
      </c>
      <c r="R2588" t="s">
        <v>74</v>
      </c>
      <c r="S2588" t="s">
        <v>74</v>
      </c>
      <c r="T2588" t="s">
        <v>43370</v>
      </c>
      <c r="U2588" t="s">
        <v>43371</v>
      </c>
      <c r="V2588" t="s">
        <v>43372</v>
      </c>
      <c r="W2588" t="s">
        <v>43373</v>
      </c>
      <c r="X2588" t="s">
        <v>21747</v>
      </c>
      <c r="Y2588" t="s">
        <v>36776</v>
      </c>
      <c r="Z2588" t="s">
        <v>36777</v>
      </c>
      <c r="AA2588" t="s">
        <v>38293</v>
      </c>
      <c r="AB2588" t="s">
        <v>74</v>
      </c>
      <c r="AC2588" t="s">
        <v>74</v>
      </c>
      <c r="AD2588" t="s">
        <v>74</v>
      </c>
      <c r="AE2588" t="s">
        <v>74</v>
      </c>
      <c r="AF2588" t="s">
        <v>74</v>
      </c>
      <c r="AG2588">
        <v>42</v>
      </c>
      <c r="AH2588">
        <v>1</v>
      </c>
      <c r="AI2588">
        <v>2</v>
      </c>
      <c r="AJ2588">
        <v>0</v>
      </c>
      <c r="AK2588">
        <v>0</v>
      </c>
      <c r="AL2588" t="s">
        <v>8210</v>
      </c>
      <c r="AM2588" t="s">
        <v>8211</v>
      </c>
      <c r="AN2588" t="s">
        <v>8212</v>
      </c>
      <c r="AO2588" t="s">
        <v>8213</v>
      </c>
      <c r="AP2588" t="s">
        <v>74</v>
      </c>
      <c r="AQ2588" t="s">
        <v>74</v>
      </c>
      <c r="AR2588" t="s">
        <v>8214</v>
      </c>
      <c r="AS2588" t="s">
        <v>8215</v>
      </c>
      <c r="AT2588" t="s">
        <v>1540</v>
      </c>
      <c r="AU2588">
        <v>2025</v>
      </c>
      <c r="AV2588">
        <v>17</v>
      </c>
      <c r="AW2588">
        <v>11</v>
      </c>
      <c r="AX2588" t="s">
        <v>74</v>
      </c>
      <c r="AY2588" t="s">
        <v>74</v>
      </c>
      <c r="AZ2588" t="s">
        <v>74</v>
      </c>
      <c r="BA2588" t="s">
        <v>74</v>
      </c>
      <c r="BB2588">
        <v>1</v>
      </c>
      <c r="BC2588">
        <v>17</v>
      </c>
      <c r="BD2588" t="s">
        <v>74</v>
      </c>
      <c r="BE2588" t="s">
        <v>74</v>
      </c>
      <c r="BF2588" t="s">
        <v>74</v>
      </c>
      <c r="BG2588" t="s">
        <v>74</v>
      </c>
      <c r="BH2588" t="s">
        <v>74</v>
      </c>
      <c r="BI2588">
        <v>17</v>
      </c>
      <c r="BJ2588" t="s">
        <v>418</v>
      </c>
      <c r="BK2588" t="s">
        <v>313</v>
      </c>
      <c r="BL2588" t="s">
        <v>100</v>
      </c>
      <c r="BM2588" t="s">
        <v>43374</v>
      </c>
      <c r="BN2588" t="s">
        <v>74</v>
      </c>
      <c r="BO2588" t="s">
        <v>74</v>
      </c>
      <c r="BP2588" t="s">
        <v>74</v>
      </c>
      <c r="BQ2588" t="s">
        <v>74</v>
      </c>
      <c r="BR2588" t="s">
        <v>102</v>
      </c>
      <c r="BS2588" t="s">
        <v>43375</v>
      </c>
      <c r="BT2588" t="str">
        <f>HYPERLINK("https%3A%2F%2Fwww.webofscience.com%2Fwos%2Fwoscc%2Ffull-record%2FWOS:001499686400001","View Full Record in Web of Science")</f>
        <v>View Full Record in Web of Science</v>
      </c>
    </row>
    <row r="2589" spans="1:72" x14ac:dyDescent="0.25">
      <c r="A2589" t="s">
        <v>72</v>
      </c>
      <c r="B2589" t="s">
        <v>42161</v>
      </c>
      <c r="C2589" t="s">
        <v>74</v>
      </c>
      <c r="D2589" t="s">
        <v>74</v>
      </c>
      <c r="E2589" t="s">
        <v>74</v>
      </c>
      <c r="F2589" t="s">
        <v>42162</v>
      </c>
      <c r="G2589" t="s">
        <v>74</v>
      </c>
      <c r="H2589" t="s">
        <v>74</v>
      </c>
      <c r="I2589" t="s">
        <v>43376</v>
      </c>
      <c r="J2589" t="s">
        <v>9896</v>
      </c>
      <c r="K2589" t="s">
        <v>74</v>
      </c>
      <c r="L2589" t="s">
        <v>74</v>
      </c>
      <c r="M2589" t="s">
        <v>78</v>
      </c>
      <c r="N2589" t="s">
        <v>79</v>
      </c>
      <c r="O2589" t="s">
        <v>74</v>
      </c>
      <c r="P2589" t="s">
        <v>74</v>
      </c>
      <c r="Q2589" t="s">
        <v>74</v>
      </c>
      <c r="R2589" t="s">
        <v>74</v>
      </c>
      <c r="S2589" t="s">
        <v>74</v>
      </c>
      <c r="T2589" t="s">
        <v>43377</v>
      </c>
      <c r="U2589" t="s">
        <v>43378</v>
      </c>
      <c r="V2589" t="s">
        <v>43379</v>
      </c>
      <c r="W2589" t="s">
        <v>42166</v>
      </c>
      <c r="X2589" t="s">
        <v>36876</v>
      </c>
      <c r="Y2589" t="s">
        <v>40476</v>
      </c>
      <c r="Z2589" t="s">
        <v>36878</v>
      </c>
      <c r="AA2589" t="s">
        <v>43380</v>
      </c>
      <c r="AB2589" t="s">
        <v>43381</v>
      </c>
      <c r="AC2589" t="s">
        <v>43382</v>
      </c>
      <c r="AD2589" t="s">
        <v>43382</v>
      </c>
      <c r="AE2589" t="s">
        <v>43383</v>
      </c>
      <c r="AF2589" t="s">
        <v>74</v>
      </c>
      <c r="AG2589">
        <v>82</v>
      </c>
      <c r="AH2589">
        <v>6</v>
      </c>
      <c r="AI2589">
        <v>8</v>
      </c>
      <c r="AJ2589">
        <v>1</v>
      </c>
      <c r="AK2589">
        <v>18</v>
      </c>
      <c r="AL2589" t="s">
        <v>89</v>
      </c>
      <c r="AM2589" t="s">
        <v>90</v>
      </c>
      <c r="AN2589" t="s">
        <v>91</v>
      </c>
      <c r="AO2589" t="s">
        <v>9905</v>
      </c>
      <c r="AP2589" t="s">
        <v>9906</v>
      </c>
      <c r="AQ2589" t="s">
        <v>74</v>
      </c>
      <c r="AR2589" t="s">
        <v>9907</v>
      </c>
      <c r="AS2589" t="s">
        <v>9908</v>
      </c>
      <c r="AT2589" t="s">
        <v>8970</v>
      </c>
      <c r="AU2589">
        <v>2023</v>
      </c>
      <c r="AV2589">
        <v>83</v>
      </c>
      <c r="AW2589" t="s">
        <v>23650</v>
      </c>
      <c r="AX2589" t="s">
        <v>74</v>
      </c>
      <c r="AY2589" t="s">
        <v>74</v>
      </c>
      <c r="AZ2589" t="s">
        <v>74</v>
      </c>
      <c r="BA2589" t="s">
        <v>74</v>
      </c>
      <c r="BB2589">
        <v>845</v>
      </c>
      <c r="BC2589">
        <v>861</v>
      </c>
      <c r="BD2589" t="s">
        <v>74</v>
      </c>
      <c r="BE2589" t="s">
        <v>43384</v>
      </c>
      <c r="BF2589" t="str">
        <f>HYPERLINK("http://dx.doi.org/10.1108/AFR-05-2023-0056","http://dx.doi.org/10.1108/AFR-05-2023-0056")</f>
        <v>http://dx.doi.org/10.1108/AFR-05-2023-0056</v>
      </c>
      <c r="BG2589" t="s">
        <v>74</v>
      </c>
      <c r="BH2589" t="s">
        <v>3535</v>
      </c>
      <c r="BI2589">
        <v>17</v>
      </c>
      <c r="BJ2589" t="s">
        <v>5151</v>
      </c>
      <c r="BK2589" t="s">
        <v>313</v>
      </c>
      <c r="BL2589" t="s">
        <v>5152</v>
      </c>
      <c r="BM2589" t="s">
        <v>23648</v>
      </c>
      <c r="BN2589" t="s">
        <v>74</v>
      </c>
      <c r="BO2589" t="s">
        <v>74</v>
      </c>
      <c r="BP2589" t="s">
        <v>74</v>
      </c>
      <c r="BQ2589" t="s">
        <v>74</v>
      </c>
      <c r="BR2589" t="s">
        <v>102</v>
      </c>
      <c r="BS2589" t="s">
        <v>43385</v>
      </c>
      <c r="BT2589" t="str">
        <f>HYPERLINK("https%3A%2F%2Fwww.webofscience.com%2Fwos%2Fwoscc%2Ffull-record%2FWOS:001100625300001","View Full Record in Web of Science")</f>
        <v>View Full Record in Web of Science</v>
      </c>
    </row>
    <row r="2590" spans="1:72" x14ac:dyDescent="0.25">
      <c r="A2590" t="s">
        <v>72</v>
      </c>
      <c r="B2590" t="s">
        <v>32140</v>
      </c>
      <c r="C2590" t="s">
        <v>74</v>
      </c>
      <c r="D2590" t="s">
        <v>74</v>
      </c>
      <c r="E2590" t="s">
        <v>74</v>
      </c>
      <c r="F2590" t="s">
        <v>32139</v>
      </c>
      <c r="G2590" t="s">
        <v>74</v>
      </c>
      <c r="H2590" t="s">
        <v>74</v>
      </c>
      <c r="I2590" t="s">
        <v>43386</v>
      </c>
      <c r="J2590" t="s">
        <v>5540</v>
      </c>
      <c r="K2590" t="s">
        <v>74</v>
      </c>
      <c r="L2590" t="s">
        <v>74</v>
      </c>
      <c r="M2590" t="s">
        <v>78</v>
      </c>
      <c r="N2590" t="s">
        <v>1766</v>
      </c>
      <c r="O2590" t="s">
        <v>74</v>
      </c>
      <c r="P2590" t="s">
        <v>74</v>
      </c>
      <c r="Q2590" t="s">
        <v>74</v>
      </c>
      <c r="R2590" t="s">
        <v>74</v>
      </c>
      <c r="S2590" t="s">
        <v>74</v>
      </c>
      <c r="T2590" t="s">
        <v>43387</v>
      </c>
      <c r="U2590" t="s">
        <v>43388</v>
      </c>
      <c r="V2590" t="s">
        <v>43389</v>
      </c>
      <c r="W2590" t="s">
        <v>43390</v>
      </c>
      <c r="X2590" t="s">
        <v>33598</v>
      </c>
      <c r="Y2590" t="s">
        <v>41855</v>
      </c>
      <c r="Z2590" t="s">
        <v>43391</v>
      </c>
      <c r="AA2590" t="s">
        <v>74</v>
      </c>
      <c r="AB2590" t="s">
        <v>43392</v>
      </c>
      <c r="AC2590" t="s">
        <v>74</v>
      </c>
      <c r="AD2590" t="s">
        <v>74</v>
      </c>
      <c r="AE2590" t="s">
        <v>74</v>
      </c>
      <c r="AF2590" t="s">
        <v>74</v>
      </c>
      <c r="AG2590">
        <v>65</v>
      </c>
      <c r="AH2590">
        <v>75</v>
      </c>
      <c r="AI2590">
        <v>93</v>
      </c>
      <c r="AJ2590">
        <v>7</v>
      </c>
      <c r="AK2590">
        <v>97</v>
      </c>
      <c r="AL2590" t="s">
        <v>479</v>
      </c>
      <c r="AM2590" t="s">
        <v>480</v>
      </c>
      <c r="AN2590" t="s">
        <v>481</v>
      </c>
      <c r="AO2590" t="s">
        <v>5549</v>
      </c>
      <c r="AP2590" t="s">
        <v>5550</v>
      </c>
      <c r="AQ2590" t="s">
        <v>74</v>
      </c>
      <c r="AR2590" t="s">
        <v>5551</v>
      </c>
      <c r="AS2590" t="s">
        <v>5552</v>
      </c>
      <c r="AT2590" t="s">
        <v>848</v>
      </c>
      <c r="AU2590">
        <v>2020</v>
      </c>
      <c r="AV2590">
        <v>34</v>
      </c>
      <c r="AW2590">
        <v>3</v>
      </c>
      <c r="AX2590" t="s">
        <v>74</v>
      </c>
      <c r="AY2590" t="s">
        <v>74</v>
      </c>
      <c r="AZ2590" t="s">
        <v>74</v>
      </c>
      <c r="BA2590" t="s">
        <v>74</v>
      </c>
      <c r="BB2590">
        <v>594</v>
      </c>
      <c r="BC2590">
        <v>629</v>
      </c>
      <c r="BD2590" t="s">
        <v>74</v>
      </c>
      <c r="BE2590" t="s">
        <v>43393</v>
      </c>
      <c r="BF2590" t="str">
        <f>HYPERLINK("http://dx.doi.org/10.1111/joes.12367","http://dx.doi.org/10.1111/joes.12367")</f>
        <v>http://dx.doi.org/10.1111/joes.12367</v>
      </c>
      <c r="BG2590" t="s">
        <v>74</v>
      </c>
      <c r="BH2590" t="s">
        <v>341</v>
      </c>
      <c r="BI2590">
        <v>36</v>
      </c>
      <c r="BJ2590" t="s">
        <v>291</v>
      </c>
      <c r="BK2590" t="s">
        <v>99</v>
      </c>
      <c r="BL2590" t="s">
        <v>100</v>
      </c>
      <c r="BM2590" t="s">
        <v>43394</v>
      </c>
      <c r="BN2590" t="s">
        <v>74</v>
      </c>
      <c r="BO2590" t="s">
        <v>74</v>
      </c>
      <c r="BP2590" t="s">
        <v>74</v>
      </c>
      <c r="BQ2590" t="s">
        <v>74</v>
      </c>
      <c r="BR2590" t="s">
        <v>102</v>
      </c>
      <c r="BS2590" t="s">
        <v>43395</v>
      </c>
      <c r="BT2590" t="str">
        <f>HYPERLINK("https%3A%2F%2Fwww.webofscience.com%2Fwos%2Fwoscc%2Ffull-record%2FWOS:000530833400001","View Full Record in Web of Science")</f>
        <v>View Full Record in Web of Science</v>
      </c>
    </row>
    <row r="2591" spans="1:72" x14ac:dyDescent="0.25">
      <c r="A2591" t="s">
        <v>72</v>
      </c>
      <c r="B2591" t="s">
        <v>43396</v>
      </c>
      <c r="C2591" t="s">
        <v>74</v>
      </c>
      <c r="D2591" t="s">
        <v>74</v>
      </c>
      <c r="E2591" t="s">
        <v>74</v>
      </c>
      <c r="F2591" t="s">
        <v>43397</v>
      </c>
      <c r="G2591" t="s">
        <v>74</v>
      </c>
      <c r="H2591" t="s">
        <v>74</v>
      </c>
      <c r="I2591" t="s">
        <v>43398</v>
      </c>
      <c r="J2591" t="s">
        <v>1963</v>
      </c>
      <c r="K2591" t="s">
        <v>74</v>
      </c>
      <c r="L2591" t="s">
        <v>74</v>
      </c>
      <c r="M2591" t="s">
        <v>78</v>
      </c>
      <c r="N2591" t="s">
        <v>79</v>
      </c>
      <c r="O2591" t="s">
        <v>74</v>
      </c>
      <c r="P2591" t="s">
        <v>74</v>
      </c>
      <c r="Q2591" t="s">
        <v>74</v>
      </c>
      <c r="R2591" t="s">
        <v>74</v>
      </c>
      <c r="S2591" t="s">
        <v>74</v>
      </c>
      <c r="T2591" t="s">
        <v>43399</v>
      </c>
      <c r="U2591" t="s">
        <v>43400</v>
      </c>
      <c r="V2591" t="s">
        <v>43401</v>
      </c>
      <c r="W2591" t="s">
        <v>43402</v>
      </c>
      <c r="X2591" t="s">
        <v>43403</v>
      </c>
      <c r="Y2591" t="s">
        <v>43404</v>
      </c>
      <c r="Z2591" t="s">
        <v>43405</v>
      </c>
      <c r="AA2591" t="s">
        <v>43406</v>
      </c>
      <c r="AB2591" t="s">
        <v>43407</v>
      </c>
      <c r="AC2591" t="s">
        <v>43408</v>
      </c>
      <c r="AD2591" t="s">
        <v>43408</v>
      </c>
      <c r="AE2591" t="s">
        <v>43409</v>
      </c>
      <c r="AF2591" t="s">
        <v>74</v>
      </c>
      <c r="AG2591">
        <v>52</v>
      </c>
      <c r="AH2591">
        <v>2</v>
      </c>
      <c r="AI2591">
        <v>2</v>
      </c>
      <c r="AJ2591">
        <v>1</v>
      </c>
      <c r="AK2591">
        <v>9</v>
      </c>
      <c r="AL2591" t="s">
        <v>332</v>
      </c>
      <c r="AM2591" t="s">
        <v>333</v>
      </c>
      <c r="AN2591" t="s">
        <v>334</v>
      </c>
      <c r="AO2591" t="s">
        <v>1975</v>
      </c>
      <c r="AP2591" t="s">
        <v>1976</v>
      </c>
      <c r="AQ2591" t="s">
        <v>74</v>
      </c>
      <c r="AR2591" t="s">
        <v>1977</v>
      </c>
      <c r="AS2591" t="s">
        <v>1978</v>
      </c>
      <c r="AT2591" t="s">
        <v>31732</v>
      </c>
      <c r="AU2591">
        <v>2025</v>
      </c>
      <c r="AV2591">
        <v>57</v>
      </c>
      <c r="AW2591">
        <v>48</v>
      </c>
      <c r="AX2591" t="s">
        <v>74</v>
      </c>
      <c r="AY2591" t="s">
        <v>74</v>
      </c>
      <c r="AZ2591" t="s">
        <v>74</v>
      </c>
      <c r="BA2591" t="s">
        <v>74</v>
      </c>
      <c r="BB2591">
        <v>7873</v>
      </c>
      <c r="BC2591">
        <v>7888</v>
      </c>
      <c r="BD2591" t="s">
        <v>74</v>
      </c>
      <c r="BE2591" t="s">
        <v>43410</v>
      </c>
      <c r="BF2591" t="str">
        <f>HYPERLINK("http://dx.doi.org/10.1080/00036846.2024.2393900","http://dx.doi.org/10.1080/00036846.2024.2393900")</f>
        <v>http://dx.doi.org/10.1080/00036846.2024.2393900</v>
      </c>
      <c r="BG2591" t="s">
        <v>74</v>
      </c>
      <c r="BH2591" t="s">
        <v>393</v>
      </c>
      <c r="BI2591">
        <v>16</v>
      </c>
      <c r="BJ2591" t="s">
        <v>291</v>
      </c>
      <c r="BK2591" t="s">
        <v>99</v>
      </c>
      <c r="BL2591" t="s">
        <v>100</v>
      </c>
      <c r="BM2591" t="s">
        <v>43411</v>
      </c>
      <c r="BN2591" t="s">
        <v>74</v>
      </c>
      <c r="BO2591" t="s">
        <v>74</v>
      </c>
      <c r="BP2591" t="s">
        <v>74</v>
      </c>
      <c r="BQ2591" t="s">
        <v>74</v>
      </c>
      <c r="BR2591" t="s">
        <v>102</v>
      </c>
      <c r="BS2591" t="s">
        <v>43412</v>
      </c>
      <c r="BT2591" t="str">
        <f>HYPERLINK("https%3A%2F%2Fwww.webofscience.com%2Fwos%2Fwoscc%2Ffull-record%2FWOS:001298434900001","View Full Record in Web of Science")</f>
        <v>View Full Record in Web of Science</v>
      </c>
    </row>
    <row r="2592" spans="1:72" x14ac:dyDescent="0.25">
      <c r="A2592" t="s">
        <v>72</v>
      </c>
      <c r="B2592" t="s">
        <v>43413</v>
      </c>
      <c r="C2592" t="s">
        <v>74</v>
      </c>
      <c r="D2592" t="s">
        <v>74</v>
      </c>
      <c r="E2592" t="s">
        <v>74</v>
      </c>
      <c r="F2592" t="s">
        <v>43414</v>
      </c>
      <c r="G2592" t="s">
        <v>74</v>
      </c>
      <c r="H2592" t="s">
        <v>74</v>
      </c>
      <c r="I2592" t="s">
        <v>43415</v>
      </c>
      <c r="J2592" t="s">
        <v>19577</v>
      </c>
      <c r="K2592" t="s">
        <v>74</v>
      </c>
      <c r="L2592" t="s">
        <v>74</v>
      </c>
      <c r="M2592" t="s">
        <v>78</v>
      </c>
      <c r="N2592" t="s">
        <v>372</v>
      </c>
      <c r="O2592" t="s">
        <v>74</v>
      </c>
      <c r="P2592" t="s">
        <v>74</v>
      </c>
      <c r="Q2592" t="s">
        <v>74</v>
      </c>
      <c r="R2592" t="s">
        <v>74</v>
      </c>
      <c r="S2592" t="s">
        <v>74</v>
      </c>
      <c r="T2592" t="s">
        <v>43416</v>
      </c>
      <c r="U2592" t="s">
        <v>43417</v>
      </c>
      <c r="V2592" t="s">
        <v>43418</v>
      </c>
      <c r="W2592" t="s">
        <v>43419</v>
      </c>
      <c r="X2592" t="s">
        <v>43420</v>
      </c>
      <c r="Y2592" t="s">
        <v>43421</v>
      </c>
      <c r="Z2592" t="s">
        <v>43422</v>
      </c>
      <c r="AA2592" t="s">
        <v>43423</v>
      </c>
      <c r="AB2592" t="s">
        <v>74</v>
      </c>
      <c r="AC2592" t="s">
        <v>74</v>
      </c>
      <c r="AD2592" t="s">
        <v>74</v>
      </c>
      <c r="AE2592" t="s">
        <v>74</v>
      </c>
      <c r="AF2592" t="s">
        <v>74</v>
      </c>
      <c r="AG2592">
        <v>90</v>
      </c>
      <c r="AH2592">
        <v>0</v>
      </c>
      <c r="AI2592">
        <v>0</v>
      </c>
      <c r="AJ2592">
        <v>0</v>
      </c>
      <c r="AK2592">
        <v>0</v>
      </c>
      <c r="AL2592" t="s">
        <v>19567</v>
      </c>
      <c r="AM2592" t="s">
        <v>1953</v>
      </c>
      <c r="AN2592" t="s">
        <v>43424</v>
      </c>
      <c r="AO2592" t="s">
        <v>74</v>
      </c>
      <c r="AP2592" t="s">
        <v>43425</v>
      </c>
      <c r="AQ2592" t="s">
        <v>74</v>
      </c>
      <c r="AR2592" t="s">
        <v>19563</v>
      </c>
      <c r="AS2592" t="s">
        <v>19562</v>
      </c>
      <c r="AT2592" t="s">
        <v>31423</v>
      </c>
      <c r="AU2592">
        <v>2025</v>
      </c>
      <c r="AV2592" t="s">
        <v>74</v>
      </c>
      <c r="AW2592" t="s">
        <v>74</v>
      </c>
      <c r="AX2592" t="s">
        <v>74</v>
      </c>
      <c r="AY2592" t="s">
        <v>74</v>
      </c>
      <c r="AZ2592" t="s">
        <v>74</v>
      </c>
      <c r="BA2592" t="s">
        <v>74</v>
      </c>
      <c r="BB2592" t="s">
        <v>74</v>
      </c>
      <c r="BC2592" t="s">
        <v>74</v>
      </c>
      <c r="BD2592" t="s">
        <v>74</v>
      </c>
      <c r="BE2592" t="s">
        <v>43426</v>
      </c>
      <c r="BF2592" t="str">
        <f>HYPERLINK("http://dx.doi.org/10.26414/A539","http://dx.doi.org/10.26414/A539")</f>
        <v>http://dx.doi.org/10.26414/A539</v>
      </c>
      <c r="BG2592" t="s">
        <v>74</v>
      </c>
      <c r="BH2592" t="s">
        <v>5030</v>
      </c>
      <c r="BI2592">
        <v>35</v>
      </c>
      <c r="BJ2592" t="s">
        <v>291</v>
      </c>
      <c r="BK2592" t="s">
        <v>313</v>
      </c>
      <c r="BL2592" t="s">
        <v>100</v>
      </c>
      <c r="BM2592" t="s">
        <v>43427</v>
      </c>
      <c r="BN2592" t="s">
        <v>74</v>
      </c>
      <c r="BO2592" t="s">
        <v>212</v>
      </c>
      <c r="BP2592" t="s">
        <v>74</v>
      </c>
      <c r="BQ2592" t="s">
        <v>74</v>
      </c>
      <c r="BR2592" t="s">
        <v>102</v>
      </c>
      <c r="BS2592" t="s">
        <v>43428</v>
      </c>
      <c r="BT2592" t="str">
        <f>HYPERLINK("https%3A%2F%2Fwww.webofscience.com%2Fwos%2Fwoscc%2Ffull-record%2FWOS:001612336200001","View Full Record in Web of Science")</f>
        <v>View Full Record in Web of Science</v>
      </c>
    </row>
    <row r="2593" spans="1:72" x14ac:dyDescent="0.25">
      <c r="A2593" t="s">
        <v>132</v>
      </c>
      <c r="B2593" t="s">
        <v>43429</v>
      </c>
      <c r="C2593" t="s">
        <v>74</v>
      </c>
      <c r="D2593" t="s">
        <v>1938</v>
      </c>
      <c r="E2593" t="s">
        <v>74</v>
      </c>
      <c r="F2593" t="s">
        <v>43430</v>
      </c>
      <c r="G2593" t="s">
        <v>74</v>
      </c>
      <c r="H2593" t="s">
        <v>74</v>
      </c>
      <c r="I2593" t="s">
        <v>43431</v>
      </c>
      <c r="J2593" t="s">
        <v>43432</v>
      </c>
      <c r="K2593" t="s">
        <v>74</v>
      </c>
      <c r="L2593" t="s">
        <v>74</v>
      </c>
      <c r="M2593" t="s">
        <v>78</v>
      </c>
      <c r="N2593" t="s">
        <v>138</v>
      </c>
      <c r="O2593" t="s">
        <v>43433</v>
      </c>
      <c r="P2593" t="s">
        <v>43434</v>
      </c>
      <c r="Q2593" t="s">
        <v>1052</v>
      </c>
      <c r="R2593" t="s">
        <v>43435</v>
      </c>
      <c r="S2593" t="s">
        <v>74</v>
      </c>
      <c r="T2593" t="s">
        <v>43436</v>
      </c>
      <c r="U2593" t="s">
        <v>74</v>
      </c>
      <c r="V2593" t="s">
        <v>43437</v>
      </c>
      <c r="W2593" t="s">
        <v>43438</v>
      </c>
      <c r="X2593" t="s">
        <v>43439</v>
      </c>
      <c r="Y2593" t="s">
        <v>43440</v>
      </c>
      <c r="Z2593" t="s">
        <v>43441</v>
      </c>
      <c r="AA2593" t="s">
        <v>43442</v>
      </c>
      <c r="AB2593" t="s">
        <v>74</v>
      </c>
      <c r="AC2593" t="s">
        <v>74</v>
      </c>
      <c r="AD2593" t="s">
        <v>74</v>
      </c>
      <c r="AE2593" t="s">
        <v>74</v>
      </c>
      <c r="AF2593" t="s">
        <v>74</v>
      </c>
      <c r="AG2593">
        <v>5</v>
      </c>
      <c r="AH2593">
        <v>3</v>
      </c>
      <c r="AI2593">
        <v>4</v>
      </c>
      <c r="AJ2593">
        <v>0</v>
      </c>
      <c r="AK2593">
        <v>3</v>
      </c>
      <c r="AL2593" t="s">
        <v>1952</v>
      </c>
      <c r="AM2593" t="s">
        <v>1953</v>
      </c>
      <c r="AN2593" t="s">
        <v>1954</v>
      </c>
      <c r="AO2593" t="s">
        <v>74</v>
      </c>
      <c r="AP2593" t="s">
        <v>74</v>
      </c>
      <c r="AQ2593" t="s">
        <v>43443</v>
      </c>
      <c r="AR2593" t="s">
        <v>74</v>
      </c>
      <c r="AS2593" t="s">
        <v>74</v>
      </c>
      <c r="AT2593" t="s">
        <v>74</v>
      </c>
      <c r="AU2593">
        <v>2015</v>
      </c>
      <c r="AV2593" t="s">
        <v>74</v>
      </c>
      <c r="AW2593" t="s">
        <v>74</v>
      </c>
      <c r="AX2593" t="s">
        <v>74</v>
      </c>
      <c r="AY2593" t="s">
        <v>74</v>
      </c>
      <c r="AZ2593" t="s">
        <v>74</v>
      </c>
      <c r="BA2593" t="s">
        <v>74</v>
      </c>
      <c r="BB2593">
        <v>919</v>
      </c>
      <c r="BC2593">
        <v>924</v>
      </c>
      <c r="BD2593" t="s">
        <v>74</v>
      </c>
      <c r="BE2593" t="s">
        <v>74</v>
      </c>
      <c r="BF2593" t="s">
        <v>74</v>
      </c>
      <c r="BG2593" t="s">
        <v>74</v>
      </c>
      <c r="BH2593" t="s">
        <v>74</v>
      </c>
      <c r="BI2593">
        <v>6</v>
      </c>
      <c r="BJ2593" t="s">
        <v>1956</v>
      </c>
      <c r="BK2593" t="s">
        <v>183</v>
      </c>
      <c r="BL2593" t="s">
        <v>1957</v>
      </c>
      <c r="BM2593" t="s">
        <v>43444</v>
      </c>
      <c r="BN2593" t="s">
        <v>74</v>
      </c>
      <c r="BO2593" t="s">
        <v>74</v>
      </c>
      <c r="BP2593" t="s">
        <v>74</v>
      </c>
      <c r="BQ2593" t="s">
        <v>74</v>
      </c>
      <c r="BR2593" t="s">
        <v>102</v>
      </c>
      <c r="BS2593" t="s">
        <v>43445</v>
      </c>
      <c r="BT2593" t="str">
        <f>HYPERLINK("https%3A%2F%2Fwww.webofscience.com%2Fwos%2Fwoscc%2Ffull-record%2FWOS:000369591700102","View Full Record in Web of Science")</f>
        <v>View Full Record in Web of Science</v>
      </c>
    </row>
    <row r="2594" spans="1:72" x14ac:dyDescent="0.25">
      <c r="A2594" t="s">
        <v>72</v>
      </c>
      <c r="B2594" t="s">
        <v>43446</v>
      </c>
      <c r="C2594" t="s">
        <v>74</v>
      </c>
      <c r="D2594" t="s">
        <v>74</v>
      </c>
      <c r="E2594" t="s">
        <v>74</v>
      </c>
      <c r="F2594" t="s">
        <v>43447</v>
      </c>
      <c r="G2594" t="s">
        <v>74</v>
      </c>
      <c r="H2594" t="s">
        <v>74</v>
      </c>
      <c r="I2594" t="s">
        <v>43448</v>
      </c>
      <c r="J2594" t="s">
        <v>7119</v>
      </c>
      <c r="K2594" t="s">
        <v>74</v>
      </c>
      <c r="L2594" t="s">
        <v>74</v>
      </c>
      <c r="M2594" t="s">
        <v>78</v>
      </c>
      <c r="N2594" t="s">
        <v>372</v>
      </c>
      <c r="O2594" t="s">
        <v>74</v>
      </c>
      <c r="P2594" t="s">
        <v>74</v>
      </c>
      <c r="Q2594" t="s">
        <v>74</v>
      </c>
      <c r="R2594" t="s">
        <v>74</v>
      </c>
      <c r="S2594" t="s">
        <v>74</v>
      </c>
      <c r="T2594" t="s">
        <v>43449</v>
      </c>
      <c r="U2594" t="s">
        <v>43450</v>
      </c>
      <c r="V2594" t="s">
        <v>43451</v>
      </c>
      <c r="W2594" t="s">
        <v>43452</v>
      </c>
      <c r="X2594" t="s">
        <v>43453</v>
      </c>
      <c r="Y2594" t="s">
        <v>43454</v>
      </c>
      <c r="Z2594" t="s">
        <v>43455</v>
      </c>
      <c r="AA2594" t="s">
        <v>43456</v>
      </c>
      <c r="AB2594" t="s">
        <v>74</v>
      </c>
      <c r="AC2594" t="s">
        <v>74</v>
      </c>
      <c r="AD2594" t="s">
        <v>74</v>
      </c>
      <c r="AE2594" t="s">
        <v>74</v>
      </c>
      <c r="AF2594" t="s">
        <v>74</v>
      </c>
      <c r="AG2594">
        <v>65</v>
      </c>
      <c r="AH2594">
        <v>0</v>
      </c>
      <c r="AI2594">
        <v>0</v>
      </c>
      <c r="AJ2594">
        <v>2</v>
      </c>
      <c r="AK2594">
        <v>2</v>
      </c>
      <c r="AL2594" t="s">
        <v>89</v>
      </c>
      <c r="AM2594" t="s">
        <v>90</v>
      </c>
      <c r="AN2594" t="s">
        <v>91</v>
      </c>
      <c r="AO2594" t="s">
        <v>7128</v>
      </c>
      <c r="AP2594" t="s">
        <v>74</v>
      </c>
      <c r="AQ2594" t="s">
        <v>74</v>
      </c>
      <c r="AR2594" t="s">
        <v>7129</v>
      </c>
      <c r="AS2594" t="s">
        <v>7130</v>
      </c>
      <c r="AT2594" t="s">
        <v>43457</v>
      </c>
      <c r="AU2594">
        <v>2025</v>
      </c>
      <c r="AV2594" t="s">
        <v>74</v>
      </c>
      <c r="AW2594" t="s">
        <v>74</v>
      </c>
      <c r="AX2594" t="s">
        <v>74</v>
      </c>
      <c r="AY2594" t="s">
        <v>74</v>
      </c>
      <c r="AZ2594" t="s">
        <v>74</v>
      </c>
      <c r="BA2594" t="s">
        <v>74</v>
      </c>
      <c r="BB2594" t="s">
        <v>74</v>
      </c>
      <c r="BC2594" t="s">
        <v>74</v>
      </c>
      <c r="BD2594" t="s">
        <v>74</v>
      </c>
      <c r="BE2594" t="s">
        <v>43458</v>
      </c>
      <c r="BF2594" t="str">
        <f>HYPERLINK("http://dx.doi.org/10.1108/QRFM-11-2024-0330","http://dx.doi.org/10.1108/QRFM-11-2024-0330")</f>
        <v>http://dx.doi.org/10.1108/QRFM-11-2024-0330</v>
      </c>
      <c r="BG2594" t="s">
        <v>74</v>
      </c>
      <c r="BH2594" t="s">
        <v>12078</v>
      </c>
      <c r="BI2594">
        <v>19</v>
      </c>
      <c r="BJ2594" t="s">
        <v>268</v>
      </c>
      <c r="BK2594" t="s">
        <v>313</v>
      </c>
      <c r="BL2594" t="s">
        <v>100</v>
      </c>
      <c r="BM2594" t="s">
        <v>43459</v>
      </c>
      <c r="BN2594" t="s">
        <v>74</v>
      </c>
      <c r="BO2594" t="s">
        <v>74</v>
      </c>
      <c r="BP2594" t="s">
        <v>74</v>
      </c>
      <c r="BQ2594" t="s">
        <v>74</v>
      </c>
      <c r="BR2594" t="s">
        <v>102</v>
      </c>
      <c r="BS2594" t="s">
        <v>43460</v>
      </c>
      <c r="BT2594" t="str">
        <f>HYPERLINK("https%3A%2F%2Fwww.webofscience.com%2Fwos%2Fwoscc%2Ffull-record%2FWOS:001584075600001","View Full Record in Web of Science")</f>
        <v>View Full Record in Web of Science</v>
      </c>
    </row>
    <row r="2595" spans="1:72" x14ac:dyDescent="0.25">
      <c r="A2595" t="s">
        <v>72</v>
      </c>
      <c r="B2595" t="s">
        <v>43461</v>
      </c>
      <c r="C2595" t="s">
        <v>74</v>
      </c>
      <c r="D2595" t="s">
        <v>74</v>
      </c>
      <c r="E2595" t="s">
        <v>74</v>
      </c>
      <c r="F2595" t="s">
        <v>43462</v>
      </c>
      <c r="G2595" t="s">
        <v>74</v>
      </c>
      <c r="H2595" t="s">
        <v>74</v>
      </c>
      <c r="I2595" t="s">
        <v>43463</v>
      </c>
      <c r="J2595" t="s">
        <v>424</v>
      </c>
      <c r="K2595" t="s">
        <v>74</v>
      </c>
      <c r="L2595" t="s">
        <v>74</v>
      </c>
      <c r="M2595" t="s">
        <v>78</v>
      </c>
      <c r="N2595" t="s">
        <v>79</v>
      </c>
      <c r="O2595" t="s">
        <v>74</v>
      </c>
      <c r="P2595" t="s">
        <v>74</v>
      </c>
      <c r="Q2595" t="s">
        <v>74</v>
      </c>
      <c r="R2595" t="s">
        <v>74</v>
      </c>
      <c r="S2595" t="s">
        <v>74</v>
      </c>
      <c r="T2595" t="s">
        <v>43464</v>
      </c>
      <c r="U2595" t="s">
        <v>43465</v>
      </c>
      <c r="V2595" t="s">
        <v>43466</v>
      </c>
      <c r="W2595" t="s">
        <v>43467</v>
      </c>
      <c r="X2595" t="s">
        <v>43468</v>
      </c>
      <c r="Y2595" t="s">
        <v>43469</v>
      </c>
      <c r="Z2595" t="s">
        <v>43470</v>
      </c>
      <c r="AA2595" t="s">
        <v>43471</v>
      </c>
      <c r="AB2595" t="s">
        <v>74</v>
      </c>
      <c r="AC2595" t="s">
        <v>74</v>
      </c>
      <c r="AD2595" t="s">
        <v>74</v>
      </c>
      <c r="AE2595" t="s">
        <v>74</v>
      </c>
      <c r="AF2595" t="s">
        <v>74</v>
      </c>
      <c r="AG2595">
        <v>62</v>
      </c>
      <c r="AH2595">
        <v>41</v>
      </c>
      <c r="AI2595">
        <v>51</v>
      </c>
      <c r="AJ2595">
        <v>6</v>
      </c>
      <c r="AK2595">
        <v>72</v>
      </c>
      <c r="AL2595" t="s">
        <v>89</v>
      </c>
      <c r="AM2595" t="s">
        <v>90</v>
      </c>
      <c r="AN2595" t="s">
        <v>91</v>
      </c>
      <c r="AO2595" t="s">
        <v>436</v>
      </c>
      <c r="AP2595" t="s">
        <v>437</v>
      </c>
      <c r="AQ2595" t="s">
        <v>74</v>
      </c>
      <c r="AR2595" t="s">
        <v>438</v>
      </c>
      <c r="AS2595" t="s">
        <v>439</v>
      </c>
      <c r="AT2595" t="s">
        <v>29909</v>
      </c>
      <c r="AU2595">
        <v>2022</v>
      </c>
      <c r="AV2595">
        <v>40</v>
      </c>
      <c r="AW2595">
        <v>1</v>
      </c>
      <c r="AX2595" t="s">
        <v>74</v>
      </c>
      <c r="AY2595" t="s">
        <v>74</v>
      </c>
      <c r="AZ2595" t="s">
        <v>74</v>
      </c>
      <c r="BA2595" t="s">
        <v>74</v>
      </c>
      <c r="BB2595">
        <v>50</v>
      </c>
      <c r="BC2595">
        <v>67</v>
      </c>
      <c r="BD2595" t="s">
        <v>74</v>
      </c>
      <c r="BE2595" t="s">
        <v>43472</v>
      </c>
      <c r="BF2595" t="str">
        <f>HYPERLINK("http://dx.doi.org/10.1108/IJBM-11-2020-0551","http://dx.doi.org/10.1108/IJBM-11-2020-0551")</f>
        <v>http://dx.doi.org/10.1108/IJBM-11-2020-0551</v>
      </c>
      <c r="BG2595" t="s">
        <v>74</v>
      </c>
      <c r="BH2595" t="s">
        <v>10889</v>
      </c>
      <c r="BI2595">
        <v>18</v>
      </c>
      <c r="BJ2595" t="s">
        <v>418</v>
      </c>
      <c r="BK2595" t="s">
        <v>99</v>
      </c>
      <c r="BL2595" t="s">
        <v>100</v>
      </c>
      <c r="BM2595" t="s">
        <v>43473</v>
      </c>
      <c r="BN2595" t="s">
        <v>74</v>
      </c>
      <c r="BO2595" t="s">
        <v>74</v>
      </c>
      <c r="BP2595" t="s">
        <v>74</v>
      </c>
      <c r="BQ2595" t="s">
        <v>74</v>
      </c>
      <c r="BR2595" t="s">
        <v>102</v>
      </c>
      <c r="BS2595" t="s">
        <v>43474</v>
      </c>
      <c r="BT2595" t="str">
        <f>HYPERLINK("https%3A%2F%2Fwww.webofscience.com%2Fwos%2Fwoscc%2Ffull-record%2FWOS:000694802400001","View Full Record in Web of Science")</f>
        <v>View Full Record in Web of Science</v>
      </c>
    </row>
    <row r="2596" spans="1:72" x14ac:dyDescent="0.25">
      <c r="A2596" t="s">
        <v>72</v>
      </c>
      <c r="B2596" t="s">
        <v>43475</v>
      </c>
      <c r="C2596" t="s">
        <v>74</v>
      </c>
      <c r="D2596" t="s">
        <v>74</v>
      </c>
      <c r="E2596" t="s">
        <v>74</v>
      </c>
      <c r="F2596" t="s">
        <v>43476</v>
      </c>
      <c r="G2596" t="s">
        <v>74</v>
      </c>
      <c r="H2596" t="s">
        <v>74</v>
      </c>
      <c r="I2596" t="s">
        <v>43477</v>
      </c>
      <c r="J2596" t="s">
        <v>43478</v>
      </c>
      <c r="K2596" t="s">
        <v>74</v>
      </c>
      <c r="L2596" t="s">
        <v>74</v>
      </c>
      <c r="M2596" t="s">
        <v>78</v>
      </c>
      <c r="N2596" t="s">
        <v>79</v>
      </c>
      <c r="O2596" t="s">
        <v>74</v>
      </c>
      <c r="P2596" t="s">
        <v>74</v>
      </c>
      <c r="Q2596" t="s">
        <v>74</v>
      </c>
      <c r="R2596" t="s">
        <v>74</v>
      </c>
      <c r="S2596" t="s">
        <v>74</v>
      </c>
      <c r="T2596" t="s">
        <v>74</v>
      </c>
      <c r="U2596" t="s">
        <v>74</v>
      </c>
      <c r="V2596" t="s">
        <v>43479</v>
      </c>
      <c r="W2596" t="s">
        <v>43480</v>
      </c>
      <c r="X2596" t="s">
        <v>43481</v>
      </c>
      <c r="Y2596" t="s">
        <v>43482</v>
      </c>
      <c r="Z2596" t="s">
        <v>74</v>
      </c>
      <c r="AA2596" t="s">
        <v>74</v>
      </c>
      <c r="AB2596" t="s">
        <v>74</v>
      </c>
      <c r="AC2596" t="s">
        <v>74</v>
      </c>
      <c r="AD2596" t="s">
        <v>74</v>
      </c>
      <c r="AE2596" t="s">
        <v>74</v>
      </c>
      <c r="AF2596" t="s">
        <v>74</v>
      </c>
      <c r="AG2596">
        <v>154</v>
      </c>
      <c r="AH2596">
        <v>10</v>
      </c>
      <c r="AI2596">
        <v>12</v>
      </c>
      <c r="AJ2596">
        <v>4</v>
      </c>
      <c r="AK2596">
        <v>24</v>
      </c>
      <c r="AL2596" t="s">
        <v>43483</v>
      </c>
      <c r="AM2596" t="s">
        <v>43484</v>
      </c>
      <c r="AN2596" t="s">
        <v>43485</v>
      </c>
      <c r="AO2596" t="s">
        <v>43486</v>
      </c>
      <c r="AP2596" t="s">
        <v>74</v>
      </c>
      <c r="AQ2596" t="s">
        <v>74</v>
      </c>
      <c r="AR2596" t="s">
        <v>43487</v>
      </c>
      <c r="AS2596" t="s">
        <v>43488</v>
      </c>
      <c r="AT2596" t="s">
        <v>743</v>
      </c>
      <c r="AU2596">
        <v>2022</v>
      </c>
      <c r="AV2596">
        <v>102</v>
      </c>
      <c r="AW2596">
        <v>3</v>
      </c>
      <c r="AX2596" t="s">
        <v>74</v>
      </c>
      <c r="AY2596" t="s">
        <v>74</v>
      </c>
      <c r="AZ2596" t="s">
        <v>74</v>
      </c>
      <c r="BA2596" t="s">
        <v>74</v>
      </c>
      <c r="BB2596">
        <v>1037</v>
      </c>
      <c r="BC2596">
        <v>1081</v>
      </c>
      <c r="BD2596" t="s">
        <v>74</v>
      </c>
      <c r="BE2596" t="s">
        <v>74</v>
      </c>
      <c r="BF2596" t="s">
        <v>74</v>
      </c>
      <c r="BG2596" t="s">
        <v>74</v>
      </c>
      <c r="BH2596" t="s">
        <v>74</v>
      </c>
      <c r="BI2596">
        <v>45</v>
      </c>
      <c r="BJ2596" t="s">
        <v>182</v>
      </c>
      <c r="BK2596" t="s">
        <v>99</v>
      </c>
      <c r="BL2596" t="s">
        <v>184</v>
      </c>
      <c r="BM2596" t="s">
        <v>43489</v>
      </c>
      <c r="BN2596" t="s">
        <v>74</v>
      </c>
      <c r="BO2596" t="s">
        <v>74</v>
      </c>
      <c r="BP2596" t="s">
        <v>74</v>
      </c>
      <c r="BQ2596" t="s">
        <v>74</v>
      </c>
      <c r="BR2596" t="s">
        <v>102</v>
      </c>
      <c r="BS2596" t="s">
        <v>43490</v>
      </c>
      <c r="BT2596" t="str">
        <f>HYPERLINK("https%3A%2F%2Fwww.webofscience.com%2Fwos%2Fwoscc%2Ffull-record%2FWOS:000789036800005","View Full Record in Web of Science")</f>
        <v>View Full Record in Web of Science</v>
      </c>
    </row>
    <row r="2597" spans="1:72" x14ac:dyDescent="0.25">
      <c r="A2597" t="s">
        <v>72</v>
      </c>
      <c r="B2597" t="s">
        <v>43491</v>
      </c>
      <c r="C2597" t="s">
        <v>74</v>
      </c>
      <c r="D2597" t="s">
        <v>74</v>
      </c>
      <c r="E2597" t="s">
        <v>74</v>
      </c>
      <c r="F2597" t="s">
        <v>43492</v>
      </c>
      <c r="G2597" t="s">
        <v>74</v>
      </c>
      <c r="H2597" t="s">
        <v>74</v>
      </c>
      <c r="I2597" t="s">
        <v>43493</v>
      </c>
      <c r="J2597" t="s">
        <v>43494</v>
      </c>
      <c r="K2597" t="s">
        <v>74</v>
      </c>
      <c r="L2597" t="s">
        <v>74</v>
      </c>
      <c r="M2597" t="s">
        <v>78</v>
      </c>
      <c r="N2597" t="s">
        <v>79</v>
      </c>
      <c r="O2597" t="s">
        <v>74</v>
      </c>
      <c r="P2597" t="s">
        <v>74</v>
      </c>
      <c r="Q2597" t="s">
        <v>74</v>
      </c>
      <c r="R2597" t="s">
        <v>74</v>
      </c>
      <c r="S2597" t="s">
        <v>74</v>
      </c>
      <c r="T2597" t="s">
        <v>43495</v>
      </c>
      <c r="U2597" t="s">
        <v>8579</v>
      </c>
      <c r="V2597" t="s">
        <v>43496</v>
      </c>
      <c r="W2597" t="s">
        <v>43497</v>
      </c>
      <c r="X2597" t="s">
        <v>43498</v>
      </c>
      <c r="Y2597" t="s">
        <v>43499</v>
      </c>
      <c r="Z2597" t="s">
        <v>43500</v>
      </c>
      <c r="AA2597" t="s">
        <v>74</v>
      </c>
      <c r="AB2597" t="s">
        <v>74</v>
      </c>
      <c r="AC2597" t="s">
        <v>74</v>
      </c>
      <c r="AD2597" t="s">
        <v>74</v>
      </c>
      <c r="AE2597" t="s">
        <v>74</v>
      </c>
      <c r="AF2597" t="s">
        <v>74</v>
      </c>
      <c r="AG2597">
        <v>34</v>
      </c>
      <c r="AH2597">
        <v>21</v>
      </c>
      <c r="AI2597">
        <v>62</v>
      </c>
      <c r="AJ2597">
        <v>0</v>
      </c>
      <c r="AK2597">
        <v>14</v>
      </c>
      <c r="AL2597" t="s">
        <v>43501</v>
      </c>
      <c r="AM2597" t="s">
        <v>2661</v>
      </c>
      <c r="AN2597" t="s">
        <v>43502</v>
      </c>
      <c r="AO2597" t="s">
        <v>43503</v>
      </c>
      <c r="AP2597" t="s">
        <v>74</v>
      </c>
      <c r="AQ2597" t="s">
        <v>74</v>
      </c>
      <c r="AR2597" t="s">
        <v>43504</v>
      </c>
      <c r="AS2597" t="s">
        <v>43505</v>
      </c>
      <c r="AT2597" t="s">
        <v>74</v>
      </c>
      <c r="AU2597">
        <v>2017</v>
      </c>
      <c r="AV2597">
        <v>47</v>
      </c>
      <c r="AW2597">
        <v>3</v>
      </c>
      <c r="AX2597" t="s">
        <v>74</v>
      </c>
      <c r="AY2597" t="s">
        <v>74</v>
      </c>
      <c r="AZ2597" t="s">
        <v>74</v>
      </c>
      <c r="BA2597" t="s">
        <v>74</v>
      </c>
      <c r="BB2597">
        <v>70</v>
      </c>
      <c r="BC2597">
        <v>87</v>
      </c>
      <c r="BD2597">
        <v>5</v>
      </c>
      <c r="BE2597" t="s">
        <v>74</v>
      </c>
      <c r="BF2597" t="s">
        <v>74</v>
      </c>
      <c r="BG2597" t="s">
        <v>74</v>
      </c>
      <c r="BH2597" t="s">
        <v>74</v>
      </c>
      <c r="BI2597">
        <v>18</v>
      </c>
      <c r="BJ2597" t="s">
        <v>4031</v>
      </c>
      <c r="BK2597" t="s">
        <v>313</v>
      </c>
      <c r="BL2597" t="s">
        <v>4031</v>
      </c>
      <c r="BM2597" t="s">
        <v>43506</v>
      </c>
      <c r="BN2597" t="s">
        <v>74</v>
      </c>
      <c r="BO2597" t="s">
        <v>74</v>
      </c>
      <c r="BP2597" t="s">
        <v>74</v>
      </c>
      <c r="BQ2597" t="s">
        <v>74</v>
      </c>
      <c r="BR2597" t="s">
        <v>102</v>
      </c>
      <c r="BS2597" t="s">
        <v>43507</v>
      </c>
      <c r="BT2597" t="str">
        <f>HYPERLINK("https%3A%2F%2Fwww.webofscience.com%2Fwos%2Fwoscc%2Ffull-record%2FWOS:000418767300005","View Full Record in Web of Science")</f>
        <v>View Full Record in Web of Science</v>
      </c>
    </row>
    <row r="2598" spans="1:72" x14ac:dyDescent="0.25">
      <c r="A2598" t="s">
        <v>72</v>
      </c>
      <c r="B2598" t="s">
        <v>43508</v>
      </c>
      <c r="C2598" t="s">
        <v>74</v>
      </c>
      <c r="D2598" t="s">
        <v>74</v>
      </c>
      <c r="E2598" t="s">
        <v>74</v>
      </c>
      <c r="F2598" t="s">
        <v>43509</v>
      </c>
      <c r="G2598" t="s">
        <v>74</v>
      </c>
      <c r="H2598" t="s">
        <v>74</v>
      </c>
      <c r="I2598" t="s">
        <v>43510</v>
      </c>
      <c r="J2598" t="s">
        <v>43511</v>
      </c>
      <c r="K2598" t="s">
        <v>74</v>
      </c>
      <c r="L2598" t="s">
        <v>74</v>
      </c>
      <c r="M2598" t="s">
        <v>78</v>
      </c>
      <c r="N2598" t="s">
        <v>79</v>
      </c>
      <c r="O2598" t="s">
        <v>74</v>
      </c>
      <c r="P2598" t="s">
        <v>74</v>
      </c>
      <c r="Q2598" t="s">
        <v>74</v>
      </c>
      <c r="R2598" t="s">
        <v>74</v>
      </c>
      <c r="S2598" t="s">
        <v>74</v>
      </c>
      <c r="T2598" t="s">
        <v>43512</v>
      </c>
      <c r="U2598" t="s">
        <v>43513</v>
      </c>
      <c r="V2598" t="s">
        <v>43514</v>
      </c>
      <c r="W2598" t="s">
        <v>43515</v>
      </c>
      <c r="X2598" t="s">
        <v>6005</v>
      </c>
      <c r="Y2598" t="s">
        <v>43516</v>
      </c>
      <c r="Z2598" t="s">
        <v>43517</v>
      </c>
      <c r="AA2598" t="s">
        <v>43518</v>
      </c>
      <c r="AB2598" t="s">
        <v>43519</v>
      </c>
      <c r="AC2598" t="s">
        <v>43520</v>
      </c>
      <c r="AD2598" t="s">
        <v>43521</v>
      </c>
      <c r="AE2598" t="s">
        <v>43522</v>
      </c>
      <c r="AF2598" t="s">
        <v>74</v>
      </c>
      <c r="AG2598">
        <v>73</v>
      </c>
      <c r="AH2598">
        <v>12</v>
      </c>
      <c r="AI2598">
        <v>15</v>
      </c>
      <c r="AJ2598">
        <v>0</v>
      </c>
      <c r="AK2598">
        <v>6</v>
      </c>
      <c r="AL2598" t="s">
        <v>479</v>
      </c>
      <c r="AM2598" t="s">
        <v>480</v>
      </c>
      <c r="AN2598" t="s">
        <v>481</v>
      </c>
      <c r="AO2598" t="s">
        <v>43523</v>
      </c>
      <c r="AP2598" t="s">
        <v>43524</v>
      </c>
      <c r="AQ2598" t="s">
        <v>74</v>
      </c>
      <c r="AR2598" t="s">
        <v>43511</v>
      </c>
      <c r="AS2598" t="s">
        <v>43525</v>
      </c>
      <c r="AT2598" t="s">
        <v>848</v>
      </c>
      <c r="AU2598">
        <v>2023</v>
      </c>
      <c r="AV2598">
        <v>55</v>
      </c>
      <c r="AW2598">
        <v>4</v>
      </c>
      <c r="AX2598" t="s">
        <v>74</v>
      </c>
      <c r="AY2598" t="s">
        <v>74</v>
      </c>
      <c r="AZ2598" t="s">
        <v>74</v>
      </c>
      <c r="BA2598" t="s">
        <v>74</v>
      </c>
      <c r="BB2598">
        <v>1172</v>
      </c>
      <c r="BC2598">
        <v>1192</v>
      </c>
      <c r="BD2598" t="s">
        <v>74</v>
      </c>
      <c r="BE2598" t="s">
        <v>43526</v>
      </c>
      <c r="BF2598" t="str">
        <f>HYPERLINK("http://dx.doi.org/10.1111/anti.12920","http://dx.doi.org/10.1111/anti.12920")</f>
        <v>http://dx.doi.org/10.1111/anti.12920</v>
      </c>
      <c r="BG2598" t="s">
        <v>74</v>
      </c>
      <c r="BH2598" t="s">
        <v>11288</v>
      </c>
      <c r="BI2598">
        <v>21</v>
      </c>
      <c r="BJ2598" t="s">
        <v>20950</v>
      </c>
      <c r="BK2598" t="s">
        <v>99</v>
      </c>
      <c r="BL2598" t="s">
        <v>20950</v>
      </c>
      <c r="BM2598" t="s">
        <v>43527</v>
      </c>
      <c r="BN2598" t="s">
        <v>74</v>
      </c>
      <c r="BO2598" t="s">
        <v>74</v>
      </c>
      <c r="BP2598" t="s">
        <v>74</v>
      </c>
      <c r="BQ2598" t="s">
        <v>74</v>
      </c>
      <c r="BR2598" t="s">
        <v>102</v>
      </c>
      <c r="BS2598" t="s">
        <v>43528</v>
      </c>
      <c r="BT2598" t="str">
        <f>HYPERLINK("https%3A%2F%2Fwww.webofscience.com%2Fwos%2Fwoscc%2Ffull-record%2FWOS:000915408300001","View Full Record in Web of Science")</f>
        <v>View Full Record in Web of Science</v>
      </c>
    </row>
    <row r="2599" spans="1:72" x14ac:dyDescent="0.25">
      <c r="A2599" t="s">
        <v>72</v>
      </c>
      <c r="B2599" t="s">
        <v>43529</v>
      </c>
      <c r="C2599" t="s">
        <v>74</v>
      </c>
      <c r="D2599" t="s">
        <v>74</v>
      </c>
      <c r="E2599" t="s">
        <v>74</v>
      </c>
      <c r="F2599" t="s">
        <v>43530</v>
      </c>
      <c r="G2599" t="s">
        <v>74</v>
      </c>
      <c r="H2599" t="s">
        <v>74</v>
      </c>
      <c r="I2599" t="s">
        <v>43531</v>
      </c>
      <c r="J2599" t="s">
        <v>43532</v>
      </c>
      <c r="K2599" t="s">
        <v>74</v>
      </c>
      <c r="L2599" t="s">
        <v>74</v>
      </c>
      <c r="M2599" t="s">
        <v>78</v>
      </c>
      <c r="N2599" t="s">
        <v>79</v>
      </c>
      <c r="O2599" t="s">
        <v>74</v>
      </c>
      <c r="P2599" t="s">
        <v>74</v>
      </c>
      <c r="Q2599" t="s">
        <v>74</v>
      </c>
      <c r="R2599" t="s">
        <v>74</v>
      </c>
      <c r="S2599" t="s">
        <v>74</v>
      </c>
      <c r="T2599" t="s">
        <v>43533</v>
      </c>
      <c r="U2599" t="s">
        <v>43534</v>
      </c>
      <c r="V2599" t="s">
        <v>43535</v>
      </c>
      <c r="W2599" t="s">
        <v>43536</v>
      </c>
      <c r="X2599" t="s">
        <v>43537</v>
      </c>
      <c r="Y2599" t="s">
        <v>43538</v>
      </c>
      <c r="Z2599" t="s">
        <v>43539</v>
      </c>
      <c r="AA2599" t="s">
        <v>43540</v>
      </c>
      <c r="AB2599" t="s">
        <v>43541</v>
      </c>
      <c r="AC2599" t="s">
        <v>74</v>
      </c>
      <c r="AD2599" t="s">
        <v>74</v>
      </c>
      <c r="AE2599" t="s">
        <v>74</v>
      </c>
      <c r="AF2599" t="s">
        <v>74</v>
      </c>
      <c r="AG2599">
        <v>37</v>
      </c>
      <c r="AH2599">
        <v>5</v>
      </c>
      <c r="AI2599">
        <v>5</v>
      </c>
      <c r="AJ2599">
        <v>0</v>
      </c>
      <c r="AK2599">
        <v>14</v>
      </c>
      <c r="AL2599" t="s">
        <v>3861</v>
      </c>
      <c r="AM2599" t="s">
        <v>2016</v>
      </c>
      <c r="AN2599" t="s">
        <v>3862</v>
      </c>
      <c r="AO2599" t="s">
        <v>43542</v>
      </c>
      <c r="AP2599" t="s">
        <v>43543</v>
      </c>
      <c r="AQ2599" t="s">
        <v>74</v>
      </c>
      <c r="AR2599" t="s">
        <v>43544</v>
      </c>
      <c r="AS2599" t="s">
        <v>43545</v>
      </c>
      <c r="AT2599" t="s">
        <v>848</v>
      </c>
      <c r="AU2599">
        <v>2016</v>
      </c>
      <c r="AV2599">
        <v>65</v>
      </c>
      <c r="AW2599">
        <v>3</v>
      </c>
      <c r="AX2599" t="s">
        <v>74</v>
      </c>
      <c r="AY2599" t="s">
        <v>74</v>
      </c>
      <c r="AZ2599" t="s">
        <v>74</v>
      </c>
      <c r="BA2599" t="s">
        <v>74</v>
      </c>
      <c r="BB2599">
        <v>705</v>
      </c>
      <c r="BC2599">
        <v>739</v>
      </c>
      <c r="BD2599" t="s">
        <v>74</v>
      </c>
      <c r="BE2599" t="s">
        <v>43546</v>
      </c>
      <c r="BF2599" t="str">
        <f>HYPERLINK("http://dx.doi.org/10.1017/S0020589316000142","http://dx.doi.org/10.1017/S0020589316000142")</f>
        <v>http://dx.doi.org/10.1017/S0020589316000142</v>
      </c>
      <c r="BG2599" t="s">
        <v>74</v>
      </c>
      <c r="BH2599" t="s">
        <v>74</v>
      </c>
      <c r="BI2599">
        <v>35</v>
      </c>
      <c r="BJ2599" t="s">
        <v>182</v>
      </c>
      <c r="BK2599" t="s">
        <v>99</v>
      </c>
      <c r="BL2599" t="s">
        <v>184</v>
      </c>
      <c r="BM2599" t="s">
        <v>43547</v>
      </c>
      <c r="BN2599" t="s">
        <v>74</v>
      </c>
      <c r="BO2599" t="s">
        <v>74</v>
      </c>
      <c r="BP2599" t="s">
        <v>74</v>
      </c>
      <c r="BQ2599" t="s">
        <v>74</v>
      </c>
      <c r="BR2599" t="s">
        <v>102</v>
      </c>
      <c r="BS2599" t="s">
        <v>43548</v>
      </c>
      <c r="BT2599" t="str">
        <f>HYPERLINK("https%3A%2F%2Fwww.webofscience.com%2Fwos%2Fwoscc%2Ffull-record%2FWOS:000384820100007","View Full Record in Web of Science")</f>
        <v>View Full Record in Web of Science</v>
      </c>
    </row>
    <row r="2600" spans="1:72" x14ac:dyDescent="0.25">
      <c r="A2600" t="s">
        <v>72</v>
      </c>
      <c r="B2600" t="s">
        <v>43549</v>
      </c>
      <c r="C2600" t="s">
        <v>74</v>
      </c>
      <c r="D2600" t="s">
        <v>74</v>
      </c>
      <c r="E2600" t="s">
        <v>74</v>
      </c>
      <c r="F2600" t="s">
        <v>43550</v>
      </c>
      <c r="G2600" t="s">
        <v>74</v>
      </c>
      <c r="H2600" t="s">
        <v>74</v>
      </c>
      <c r="I2600" t="s">
        <v>43551</v>
      </c>
      <c r="J2600" t="s">
        <v>4956</v>
      </c>
      <c r="K2600" t="s">
        <v>74</v>
      </c>
      <c r="L2600" t="s">
        <v>74</v>
      </c>
      <c r="M2600" t="s">
        <v>78</v>
      </c>
      <c r="N2600" t="s">
        <v>79</v>
      </c>
      <c r="O2600" t="s">
        <v>74</v>
      </c>
      <c r="P2600" t="s">
        <v>74</v>
      </c>
      <c r="Q2600" t="s">
        <v>74</v>
      </c>
      <c r="R2600" t="s">
        <v>74</v>
      </c>
      <c r="S2600" t="s">
        <v>74</v>
      </c>
      <c r="T2600" t="s">
        <v>43552</v>
      </c>
      <c r="U2600" t="s">
        <v>43553</v>
      </c>
      <c r="V2600" t="s">
        <v>43554</v>
      </c>
      <c r="W2600" t="s">
        <v>43555</v>
      </c>
      <c r="X2600" t="s">
        <v>33448</v>
      </c>
      <c r="Y2600" t="s">
        <v>43556</v>
      </c>
      <c r="Z2600" t="s">
        <v>74</v>
      </c>
      <c r="AA2600" t="s">
        <v>43557</v>
      </c>
      <c r="AB2600" t="s">
        <v>43558</v>
      </c>
      <c r="AC2600" t="s">
        <v>74</v>
      </c>
      <c r="AD2600" t="s">
        <v>74</v>
      </c>
      <c r="AE2600" t="s">
        <v>74</v>
      </c>
      <c r="AF2600" t="s">
        <v>74</v>
      </c>
      <c r="AG2600">
        <v>60</v>
      </c>
      <c r="AH2600">
        <v>211</v>
      </c>
      <c r="AI2600">
        <v>298</v>
      </c>
      <c r="AJ2600">
        <v>5</v>
      </c>
      <c r="AK2600">
        <v>162</v>
      </c>
      <c r="AL2600" t="s">
        <v>230</v>
      </c>
      <c r="AM2600" t="s">
        <v>231</v>
      </c>
      <c r="AN2600" t="s">
        <v>232</v>
      </c>
      <c r="AO2600" t="s">
        <v>4966</v>
      </c>
      <c r="AP2600" t="s">
        <v>74</v>
      </c>
      <c r="AQ2600" t="s">
        <v>74</v>
      </c>
      <c r="AR2600" t="s">
        <v>4968</v>
      </c>
      <c r="AS2600" t="s">
        <v>4969</v>
      </c>
      <c r="AT2600" t="s">
        <v>743</v>
      </c>
      <c r="AU2600">
        <v>2014</v>
      </c>
      <c r="AV2600">
        <v>56</v>
      </c>
      <c r="AW2600" t="s">
        <v>74</v>
      </c>
      <c r="AX2600" t="s">
        <v>74</v>
      </c>
      <c r="AY2600" t="s">
        <v>74</v>
      </c>
      <c r="AZ2600" t="s">
        <v>74</v>
      </c>
      <c r="BA2600" t="s">
        <v>74</v>
      </c>
      <c r="BB2600">
        <v>1</v>
      </c>
      <c r="BC2600">
        <v>15</v>
      </c>
      <c r="BD2600" t="s">
        <v>74</v>
      </c>
      <c r="BE2600" t="s">
        <v>43559</v>
      </c>
      <c r="BF2600" t="str">
        <f>HYPERLINK("http://dx.doi.org/10.1016/j.worlddev.2013.10.019","http://dx.doi.org/10.1016/j.worlddev.2013.10.019")</f>
        <v>http://dx.doi.org/10.1016/j.worlddev.2013.10.019</v>
      </c>
      <c r="BG2600" t="s">
        <v>74</v>
      </c>
      <c r="BH2600" t="s">
        <v>74</v>
      </c>
      <c r="BI2600">
        <v>15</v>
      </c>
      <c r="BJ2600" t="s">
        <v>701</v>
      </c>
      <c r="BK2600" t="s">
        <v>99</v>
      </c>
      <c r="BL2600" t="s">
        <v>702</v>
      </c>
      <c r="BM2600" t="s">
        <v>43560</v>
      </c>
      <c r="BN2600" t="s">
        <v>74</v>
      </c>
      <c r="BO2600" t="s">
        <v>74</v>
      </c>
      <c r="BP2600" t="s">
        <v>74</v>
      </c>
      <c r="BQ2600" t="s">
        <v>74</v>
      </c>
      <c r="BR2600" t="s">
        <v>102</v>
      </c>
      <c r="BS2600" t="s">
        <v>43561</v>
      </c>
      <c r="BT2600" t="str">
        <f>HYPERLINK("https%3A%2F%2Fwww.webofscience.com%2Fwos%2Fwoscc%2Ffull-record%2FWOS:000330496000001","View Full Record in Web of Science")</f>
        <v>View Full Record in Web of Science</v>
      </c>
    </row>
    <row r="2601" spans="1:72" x14ac:dyDescent="0.25">
      <c r="A2601" t="s">
        <v>72</v>
      </c>
      <c r="B2601" t="s">
        <v>43562</v>
      </c>
      <c r="C2601" t="s">
        <v>74</v>
      </c>
      <c r="D2601" t="s">
        <v>74</v>
      </c>
      <c r="E2601" t="s">
        <v>74</v>
      </c>
      <c r="F2601" t="s">
        <v>43563</v>
      </c>
      <c r="G2601" t="s">
        <v>74</v>
      </c>
      <c r="H2601" t="s">
        <v>74</v>
      </c>
      <c r="I2601" t="s">
        <v>43564</v>
      </c>
      <c r="J2601" t="s">
        <v>4638</v>
      </c>
      <c r="K2601" t="s">
        <v>74</v>
      </c>
      <c r="L2601" t="s">
        <v>74</v>
      </c>
      <c r="M2601" t="s">
        <v>78</v>
      </c>
      <c r="N2601" t="s">
        <v>79</v>
      </c>
      <c r="O2601" t="s">
        <v>74</v>
      </c>
      <c r="P2601" t="s">
        <v>74</v>
      </c>
      <c r="Q2601" t="s">
        <v>74</v>
      </c>
      <c r="R2601" t="s">
        <v>74</v>
      </c>
      <c r="S2601" t="s">
        <v>74</v>
      </c>
      <c r="T2601" t="s">
        <v>43565</v>
      </c>
      <c r="U2601" t="s">
        <v>74</v>
      </c>
      <c r="V2601" t="s">
        <v>43566</v>
      </c>
      <c r="W2601" t="s">
        <v>43567</v>
      </c>
      <c r="X2601" t="s">
        <v>23898</v>
      </c>
      <c r="Y2601" t="s">
        <v>43568</v>
      </c>
      <c r="Z2601" t="s">
        <v>43569</v>
      </c>
      <c r="AA2601" t="s">
        <v>74</v>
      </c>
      <c r="AB2601" t="s">
        <v>74</v>
      </c>
      <c r="AC2601" t="s">
        <v>74</v>
      </c>
      <c r="AD2601" t="s">
        <v>74</v>
      </c>
      <c r="AE2601" t="s">
        <v>74</v>
      </c>
      <c r="AF2601" t="s">
        <v>74</v>
      </c>
      <c r="AG2601">
        <v>51</v>
      </c>
      <c r="AH2601">
        <v>12</v>
      </c>
      <c r="AI2601">
        <v>16</v>
      </c>
      <c r="AJ2601">
        <v>0</v>
      </c>
      <c r="AK2601">
        <v>3</v>
      </c>
      <c r="AL2601" t="s">
        <v>332</v>
      </c>
      <c r="AM2601" t="s">
        <v>333</v>
      </c>
      <c r="AN2601" t="s">
        <v>334</v>
      </c>
      <c r="AO2601" t="s">
        <v>4646</v>
      </c>
      <c r="AP2601" t="s">
        <v>4647</v>
      </c>
      <c r="AQ2601" t="s">
        <v>74</v>
      </c>
      <c r="AR2601" t="s">
        <v>4648</v>
      </c>
      <c r="AS2601" t="s">
        <v>4649</v>
      </c>
      <c r="AT2601" t="s">
        <v>74</v>
      </c>
      <c r="AU2601">
        <v>2019</v>
      </c>
      <c r="AV2601">
        <v>48</v>
      </c>
      <c r="AW2601">
        <v>1</v>
      </c>
      <c r="AX2601" t="s">
        <v>74</v>
      </c>
      <c r="AY2601" t="s">
        <v>74</v>
      </c>
      <c r="AZ2601" t="s">
        <v>74</v>
      </c>
      <c r="BA2601" t="s">
        <v>74</v>
      </c>
      <c r="BB2601">
        <v>49</v>
      </c>
      <c r="BC2601">
        <v>68</v>
      </c>
      <c r="BD2601" t="s">
        <v>74</v>
      </c>
      <c r="BE2601" t="s">
        <v>43570</v>
      </c>
      <c r="BF2601" t="str">
        <f>HYPERLINK("http://dx.doi.org/10.1080/07360932.2015.1056205","http://dx.doi.org/10.1080/07360932.2015.1056205")</f>
        <v>http://dx.doi.org/10.1080/07360932.2015.1056205</v>
      </c>
      <c r="BG2601" t="s">
        <v>74</v>
      </c>
      <c r="BH2601" t="s">
        <v>74</v>
      </c>
      <c r="BI2601">
        <v>20</v>
      </c>
      <c r="BJ2601" t="s">
        <v>291</v>
      </c>
      <c r="BK2601" t="s">
        <v>313</v>
      </c>
      <c r="BL2601" t="s">
        <v>100</v>
      </c>
      <c r="BM2601" t="s">
        <v>21567</v>
      </c>
      <c r="BN2601" t="s">
        <v>74</v>
      </c>
      <c r="BO2601" t="s">
        <v>74</v>
      </c>
      <c r="BP2601" t="s">
        <v>74</v>
      </c>
      <c r="BQ2601" t="s">
        <v>74</v>
      </c>
      <c r="BR2601" t="s">
        <v>102</v>
      </c>
      <c r="BS2601" t="s">
        <v>43571</v>
      </c>
      <c r="BT2601" t="str">
        <f>HYPERLINK("https%3A%2F%2Fwww.webofscience.com%2Fwos%2Fwoscc%2Ffull-record%2FWOS:000471816700004","View Full Record in Web of Science")</f>
        <v>View Full Record in Web of Science</v>
      </c>
    </row>
    <row r="2602" spans="1:72" x14ac:dyDescent="0.25">
      <c r="A2602" t="s">
        <v>72</v>
      </c>
      <c r="B2602" t="s">
        <v>43572</v>
      </c>
      <c r="C2602" t="s">
        <v>74</v>
      </c>
      <c r="D2602" t="s">
        <v>74</v>
      </c>
      <c r="E2602" t="s">
        <v>74</v>
      </c>
      <c r="F2602" t="s">
        <v>43573</v>
      </c>
      <c r="G2602" t="s">
        <v>74</v>
      </c>
      <c r="H2602" t="s">
        <v>74</v>
      </c>
      <c r="I2602" t="s">
        <v>43574</v>
      </c>
      <c r="J2602" t="s">
        <v>27125</v>
      </c>
      <c r="K2602" t="s">
        <v>74</v>
      </c>
      <c r="L2602" t="s">
        <v>74</v>
      </c>
      <c r="M2602" t="s">
        <v>78</v>
      </c>
      <c r="N2602" t="s">
        <v>79</v>
      </c>
      <c r="O2602" t="s">
        <v>74</v>
      </c>
      <c r="P2602" t="s">
        <v>74</v>
      </c>
      <c r="Q2602" t="s">
        <v>74</v>
      </c>
      <c r="R2602" t="s">
        <v>74</v>
      </c>
      <c r="S2602" t="s">
        <v>74</v>
      </c>
      <c r="T2602" t="s">
        <v>43575</v>
      </c>
      <c r="U2602" t="s">
        <v>43576</v>
      </c>
      <c r="V2602" t="s">
        <v>43577</v>
      </c>
      <c r="W2602" t="s">
        <v>43578</v>
      </c>
      <c r="X2602" t="s">
        <v>12740</v>
      </c>
      <c r="Y2602" t="s">
        <v>43579</v>
      </c>
      <c r="Z2602" t="s">
        <v>43580</v>
      </c>
      <c r="AA2602" t="s">
        <v>43581</v>
      </c>
      <c r="AB2602" t="s">
        <v>43582</v>
      </c>
      <c r="AC2602" t="s">
        <v>74</v>
      </c>
      <c r="AD2602" t="s">
        <v>74</v>
      </c>
      <c r="AE2602" t="s">
        <v>74</v>
      </c>
      <c r="AF2602" t="s">
        <v>74</v>
      </c>
      <c r="AG2602">
        <v>97</v>
      </c>
      <c r="AH2602">
        <v>4</v>
      </c>
      <c r="AI2602">
        <v>4</v>
      </c>
      <c r="AJ2602">
        <v>15</v>
      </c>
      <c r="AK2602">
        <v>24</v>
      </c>
      <c r="AL2602" t="s">
        <v>27113</v>
      </c>
      <c r="AM2602" t="s">
        <v>16865</v>
      </c>
      <c r="AN2602" t="s">
        <v>27112</v>
      </c>
      <c r="AO2602" t="s">
        <v>27111</v>
      </c>
      <c r="AP2602" t="s">
        <v>74</v>
      </c>
      <c r="AQ2602" t="s">
        <v>74</v>
      </c>
      <c r="AR2602" t="s">
        <v>27110</v>
      </c>
      <c r="AS2602" t="s">
        <v>27109</v>
      </c>
      <c r="AT2602" t="s">
        <v>124</v>
      </c>
      <c r="AU2602">
        <v>2024</v>
      </c>
      <c r="AV2602">
        <v>48</v>
      </c>
      <c r="AW2602">
        <v>4</v>
      </c>
      <c r="AX2602" t="s">
        <v>74</v>
      </c>
      <c r="AY2602" t="s">
        <v>74</v>
      </c>
      <c r="AZ2602" t="s">
        <v>74</v>
      </c>
      <c r="BA2602" t="s">
        <v>74</v>
      </c>
      <c r="BB2602">
        <v>1721</v>
      </c>
      <c r="BC2602">
        <v>1744</v>
      </c>
      <c r="BD2602" t="s">
        <v>74</v>
      </c>
      <c r="BE2602" t="s">
        <v>43583</v>
      </c>
      <c r="BF2602" t="str">
        <f>HYPERLINK("http://dx.doi.org/10.25300/MISQ/2024/18288","http://dx.doi.org/10.25300/MISQ/2024/18288")</f>
        <v>http://dx.doi.org/10.25300/MISQ/2024/18288</v>
      </c>
      <c r="BG2602" t="s">
        <v>74</v>
      </c>
      <c r="BH2602" t="s">
        <v>74</v>
      </c>
      <c r="BI2602">
        <v>24</v>
      </c>
      <c r="BJ2602" t="s">
        <v>10890</v>
      </c>
      <c r="BK2602" t="s">
        <v>2623</v>
      </c>
      <c r="BL2602" t="s">
        <v>10891</v>
      </c>
      <c r="BM2602" t="s">
        <v>27107</v>
      </c>
      <c r="BN2602" t="s">
        <v>74</v>
      </c>
      <c r="BO2602" t="s">
        <v>74</v>
      </c>
      <c r="BP2602" t="s">
        <v>74</v>
      </c>
      <c r="BQ2602" t="s">
        <v>74</v>
      </c>
      <c r="BR2602" t="s">
        <v>102</v>
      </c>
      <c r="BS2602" t="s">
        <v>43584</v>
      </c>
      <c r="BT2602" t="str">
        <f>HYPERLINK("https%3A%2F%2Fwww.webofscience.com%2Fwos%2Fwoscc%2Ffull-record%2FWOS:001411539400018","View Full Record in Web of Science")</f>
        <v>View Full Record in Web of Science</v>
      </c>
    </row>
    <row r="2603" spans="1:72" x14ac:dyDescent="0.25">
      <c r="A2603" t="s">
        <v>72</v>
      </c>
      <c r="B2603" t="s">
        <v>43585</v>
      </c>
      <c r="C2603" t="s">
        <v>74</v>
      </c>
      <c r="D2603" t="s">
        <v>74</v>
      </c>
      <c r="E2603" t="s">
        <v>74</v>
      </c>
      <c r="F2603" t="s">
        <v>43586</v>
      </c>
      <c r="G2603" t="s">
        <v>74</v>
      </c>
      <c r="H2603" t="s">
        <v>74</v>
      </c>
      <c r="I2603" t="s">
        <v>43587</v>
      </c>
      <c r="J2603" t="s">
        <v>8200</v>
      </c>
      <c r="K2603" t="s">
        <v>74</v>
      </c>
      <c r="L2603" t="s">
        <v>74</v>
      </c>
      <c r="M2603" t="s">
        <v>78</v>
      </c>
      <c r="N2603" t="s">
        <v>79</v>
      </c>
      <c r="O2603" t="s">
        <v>74</v>
      </c>
      <c r="P2603" t="s">
        <v>74</v>
      </c>
      <c r="Q2603" t="s">
        <v>74</v>
      </c>
      <c r="R2603" t="s">
        <v>74</v>
      </c>
      <c r="S2603" t="s">
        <v>74</v>
      </c>
      <c r="T2603" t="s">
        <v>43588</v>
      </c>
      <c r="U2603" t="s">
        <v>8579</v>
      </c>
      <c r="V2603" t="s">
        <v>43589</v>
      </c>
      <c r="W2603" t="s">
        <v>43590</v>
      </c>
      <c r="X2603" t="s">
        <v>43591</v>
      </c>
      <c r="Y2603" t="s">
        <v>43592</v>
      </c>
      <c r="Z2603" t="s">
        <v>74</v>
      </c>
      <c r="AA2603" t="s">
        <v>43593</v>
      </c>
      <c r="AB2603" t="s">
        <v>74</v>
      </c>
      <c r="AC2603" t="s">
        <v>74</v>
      </c>
      <c r="AD2603" t="s">
        <v>74</v>
      </c>
      <c r="AE2603" t="s">
        <v>74</v>
      </c>
      <c r="AF2603" t="s">
        <v>74</v>
      </c>
      <c r="AG2603">
        <v>54</v>
      </c>
      <c r="AH2603">
        <v>1</v>
      </c>
      <c r="AI2603">
        <v>1</v>
      </c>
      <c r="AJ2603">
        <v>0</v>
      </c>
      <c r="AK2603">
        <v>8</v>
      </c>
      <c r="AL2603" t="s">
        <v>8210</v>
      </c>
      <c r="AM2603" t="s">
        <v>8211</v>
      </c>
      <c r="AN2603" t="s">
        <v>8212</v>
      </c>
      <c r="AO2603" t="s">
        <v>8213</v>
      </c>
      <c r="AP2603" t="s">
        <v>74</v>
      </c>
      <c r="AQ2603" t="s">
        <v>74</v>
      </c>
      <c r="AR2603" t="s">
        <v>8214</v>
      </c>
      <c r="AS2603" t="s">
        <v>8215</v>
      </c>
      <c r="AT2603" t="s">
        <v>289</v>
      </c>
      <c r="AU2603">
        <v>2021</v>
      </c>
      <c r="AV2603">
        <v>14</v>
      </c>
      <c r="AW2603">
        <v>2</v>
      </c>
      <c r="AX2603" t="s">
        <v>74</v>
      </c>
      <c r="AY2603" t="s">
        <v>74</v>
      </c>
      <c r="AZ2603" t="s">
        <v>74</v>
      </c>
      <c r="BA2603" t="s">
        <v>74</v>
      </c>
      <c r="BB2603">
        <v>147</v>
      </c>
      <c r="BC2603">
        <v>158</v>
      </c>
      <c r="BD2603" t="s">
        <v>74</v>
      </c>
      <c r="BE2603" t="s">
        <v>74</v>
      </c>
      <c r="BF2603" t="s">
        <v>74</v>
      </c>
      <c r="BG2603" t="s">
        <v>74</v>
      </c>
      <c r="BH2603" t="s">
        <v>74</v>
      </c>
      <c r="BI2603">
        <v>12</v>
      </c>
      <c r="BJ2603" t="s">
        <v>418</v>
      </c>
      <c r="BK2603" t="s">
        <v>313</v>
      </c>
      <c r="BL2603" t="s">
        <v>100</v>
      </c>
      <c r="BM2603" t="s">
        <v>43594</v>
      </c>
      <c r="BN2603" t="s">
        <v>74</v>
      </c>
      <c r="BO2603" t="s">
        <v>74</v>
      </c>
      <c r="BP2603" t="s">
        <v>74</v>
      </c>
      <c r="BQ2603" t="s">
        <v>74</v>
      </c>
      <c r="BR2603" t="s">
        <v>102</v>
      </c>
      <c r="BS2603" t="s">
        <v>43595</v>
      </c>
      <c r="BT2603" t="str">
        <f>HYPERLINK("https%3A%2F%2Fwww.webofscience.com%2Fwos%2Fwoscc%2Ffull-record%2FWOS:000719845200014","View Full Record in Web of Science")</f>
        <v>View Full Record in Web of Science</v>
      </c>
    </row>
    <row r="2604" spans="1:72" x14ac:dyDescent="0.25">
      <c r="A2604" t="s">
        <v>72</v>
      </c>
      <c r="B2604" t="s">
        <v>43596</v>
      </c>
      <c r="C2604" t="s">
        <v>74</v>
      </c>
      <c r="D2604" t="s">
        <v>74</v>
      </c>
      <c r="E2604" t="s">
        <v>74</v>
      </c>
      <c r="F2604" t="s">
        <v>43597</v>
      </c>
      <c r="G2604" t="s">
        <v>74</v>
      </c>
      <c r="H2604" t="s">
        <v>74</v>
      </c>
      <c r="I2604" t="s">
        <v>43598</v>
      </c>
      <c r="J2604" t="s">
        <v>43599</v>
      </c>
      <c r="K2604" t="s">
        <v>74</v>
      </c>
      <c r="L2604" t="s">
        <v>74</v>
      </c>
      <c r="M2604" t="s">
        <v>78</v>
      </c>
      <c r="N2604" t="s">
        <v>79</v>
      </c>
      <c r="O2604" t="s">
        <v>74</v>
      </c>
      <c r="P2604" t="s">
        <v>74</v>
      </c>
      <c r="Q2604" t="s">
        <v>74</v>
      </c>
      <c r="R2604" t="s">
        <v>74</v>
      </c>
      <c r="S2604" t="s">
        <v>74</v>
      </c>
      <c r="T2604" t="s">
        <v>43600</v>
      </c>
      <c r="U2604" t="s">
        <v>43601</v>
      </c>
      <c r="V2604" t="s">
        <v>43602</v>
      </c>
      <c r="W2604" t="s">
        <v>43603</v>
      </c>
      <c r="X2604" t="s">
        <v>43604</v>
      </c>
      <c r="Y2604" t="s">
        <v>43605</v>
      </c>
      <c r="Z2604" t="s">
        <v>43606</v>
      </c>
      <c r="AA2604" t="s">
        <v>43607</v>
      </c>
      <c r="AB2604" t="s">
        <v>43608</v>
      </c>
      <c r="AC2604" t="s">
        <v>74</v>
      </c>
      <c r="AD2604" t="s">
        <v>74</v>
      </c>
      <c r="AE2604" t="s">
        <v>74</v>
      </c>
      <c r="AF2604" t="s">
        <v>74</v>
      </c>
      <c r="AG2604">
        <v>71</v>
      </c>
      <c r="AH2604">
        <v>13</v>
      </c>
      <c r="AI2604">
        <v>19</v>
      </c>
      <c r="AJ2604">
        <v>1</v>
      </c>
      <c r="AK2604">
        <v>6</v>
      </c>
      <c r="AL2604" t="s">
        <v>40646</v>
      </c>
      <c r="AM2604" t="s">
        <v>2251</v>
      </c>
      <c r="AN2604" t="s">
        <v>40647</v>
      </c>
      <c r="AO2604" t="s">
        <v>43609</v>
      </c>
      <c r="AP2604" t="s">
        <v>43610</v>
      </c>
      <c r="AQ2604" t="s">
        <v>74</v>
      </c>
      <c r="AR2604" t="s">
        <v>43611</v>
      </c>
      <c r="AS2604" t="s">
        <v>43612</v>
      </c>
      <c r="AT2604" t="s">
        <v>891</v>
      </c>
      <c r="AU2604">
        <v>2019</v>
      </c>
      <c r="AV2604">
        <v>1</v>
      </c>
      <c r="AW2604">
        <v>2</v>
      </c>
      <c r="AX2604" t="s">
        <v>74</v>
      </c>
      <c r="AY2604" t="s">
        <v>74</v>
      </c>
      <c r="AZ2604" t="s">
        <v>74</v>
      </c>
      <c r="BA2604" t="s">
        <v>74</v>
      </c>
      <c r="BB2604">
        <v>181</v>
      </c>
      <c r="BC2604">
        <v>196</v>
      </c>
      <c r="BD2604" t="s">
        <v>74</v>
      </c>
      <c r="BE2604" t="s">
        <v>43613</v>
      </c>
      <c r="BF2604" t="str">
        <f>HYPERLINK("http://dx.doi.org/10.1332/263168919X15653391247919","http://dx.doi.org/10.1332/263168919X15653391247919")</f>
        <v>http://dx.doi.org/10.1332/263168919X15653391247919</v>
      </c>
      <c r="BG2604" t="s">
        <v>74</v>
      </c>
      <c r="BH2604" t="s">
        <v>74</v>
      </c>
      <c r="BI2604">
        <v>16</v>
      </c>
      <c r="BJ2604" t="s">
        <v>5129</v>
      </c>
      <c r="BK2604" t="s">
        <v>313</v>
      </c>
      <c r="BL2604" t="s">
        <v>5129</v>
      </c>
      <c r="BM2604" t="s">
        <v>43614</v>
      </c>
      <c r="BN2604" t="s">
        <v>74</v>
      </c>
      <c r="BO2604" t="s">
        <v>74</v>
      </c>
      <c r="BP2604" t="s">
        <v>74</v>
      </c>
      <c r="BQ2604" t="s">
        <v>74</v>
      </c>
      <c r="BR2604" t="s">
        <v>102</v>
      </c>
      <c r="BS2604" t="s">
        <v>43615</v>
      </c>
      <c r="BT2604" t="str">
        <f>HYPERLINK("https%3A%2F%2Fwww.webofscience.com%2Fwos%2Fwoscc%2Ffull-record%2FWOS:000788484100004","View Full Record in Web of Science")</f>
        <v>View Full Record in Web of Science</v>
      </c>
    </row>
    <row r="2605" spans="1:72" x14ac:dyDescent="0.25">
      <c r="A2605" t="s">
        <v>72</v>
      </c>
      <c r="B2605" t="s">
        <v>43616</v>
      </c>
      <c r="C2605" t="s">
        <v>74</v>
      </c>
      <c r="D2605" t="s">
        <v>74</v>
      </c>
      <c r="E2605" t="s">
        <v>74</v>
      </c>
      <c r="F2605" t="s">
        <v>43617</v>
      </c>
      <c r="G2605" t="s">
        <v>74</v>
      </c>
      <c r="H2605" t="s">
        <v>74</v>
      </c>
      <c r="I2605" t="s">
        <v>43618</v>
      </c>
      <c r="J2605" t="s">
        <v>683</v>
      </c>
      <c r="K2605" t="s">
        <v>74</v>
      </c>
      <c r="L2605" t="s">
        <v>74</v>
      </c>
      <c r="M2605" t="s">
        <v>78</v>
      </c>
      <c r="N2605" t="s">
        <v>79</v>
      </c>
      <c r="O2605" t="s">
        <v>74</v>
      </c>
      <c r="P2605" t="s">
        <v>74</v>
      </c>
      <c r="Q2605" t="s">
        <v>74</v>
      </c>
      <c r="R2605" t="s">
        <v>74</v>
      </c>
      <c r="S2605" t="s">
        <v>74</v>
      </c>
      <c r="T2605" t="s">
        <v>43619</v>
      </c>
      <c r="U2605" t="s">
        <v>43620</v>
      </c>
      <c r="V2605" t="s">
        <v>43621</v>
      </c>
      <c r="W2605" t="s">
        <v>43622</v>
      </c>
      <c r="X2605" t="s">
        <v>10962</v>
      </c>
      <c r="Y2605" t="s">
        <v>43623</v>
      </c>
      <c r="Z2605" t="s">
        <v>74</v>
      </c>
      <c r="AA2605" t="s">
        <v>74</v>
      </c>
      <c r="AB2605" t="s">
        <v>43624</v>
      </c>
      <c r="AC2605" t="s">
        <v>74</v>
      </c>
      <c r="AD2605" t="s">
        <v>74</v>
      </c>
      <c r="AE2605" t="s">
        <v>74</v>
      </c>
      <c r="AF2605" t="s">
        <v>74</v>
      </c>
      <c r="AG2605">
        <v>37</v>
      </c>
      <c r="AH2605">
        <v>5</v>
      </c>
      <c r="AI2605">
        <v>8</v>
      </c>
      <c r="AJ2605">
        <v>1</v>
      </c>
      <c r="AK2605">
        <v>8</v>
      </c>
      <c r="AL2605" t="s">
        <v>201</v>
      </c>
      <c r="AM2605" t="s">
        <v>202</v>
      </c>
      <c r="AN2605" t="s">
        <v>203</v>
      </c>
      <c r="AO2605" t="s">
        <v>695</v>
      </c>
      <c r="AP2605" t="s">
        <v>74</v>
      </c>
      <c r="AQ2605" t="s">
        <v>74</v>
      </c>
      <c r="AR2605" t="s">
        <v>696</v>
      </c>
      <c r="AS2605" t="s">
        <v>697</v>
      </c>
      <c r="AT2605" t="s">
        <v>124</v>
      </c>
      <c r="AU2605">
        <v>2022</v>
      </c>
      <c r="AV2605">
        <v>28</v>
      </c>
      <c r="AW2605" t="s">
        <v>74</v>
      </c>
      <c r="AX2605" t="s">
        <v>74</v>
      </c>
      <c r="AY2605" t="s">
        <v>74</v>
      </c>
      <c r="AZ2605" t="s">
        <v>74</v>
      </c>
      <c r="BA2605" t="s">
        <v>74</v>
      </c>
      <c r="BB2605" t="s">
        <v>74</v>
      </c>
      <c r="BC2605" t="s">
        <v>74</v>
      </c>
      <c r="BD2605">
        <v>100466</v>
      </c>
      <c r="BE2605" t="s">
        <v>43625</v>
      </c>
      <c r="BF2605" t="str">
        <f>HYPERLINK("http://dx.doi.org/10.1016/j.wdp.2022.100466","http://dx.doi.org/10.1016/j.wdp.2022.100466")</f>
        <v>http://dx.doi.org/10.1016/j.wdp.2022.100466</v>
      </c>
      <c r="BG2605" t="s">
        <v>74</v>
      </c>
      <c r="BH2605" t="s">
        <v>3050</v>
      </c>
      <c r="BI2605">
        <v>10</v>
      </c>
      <c r="BJ2605" t="s">
        <v>701</v>
      </c>
      <c r="BK2605" t="s">
        <v>313</v>
      </c>
      <c r="BL2605" t="s">
        <v>702</v>
      </c>
      <c r="BM2605" t="s">
        <v>43626</v>
      </c>
      <c r="BN2605" t="s">
        <v>74</v>
      </c>
      <c r="BO2605" t="s">
        <v>74</v>
      </c>
      <c r="BP2605" t="s">
        <v>74</v>
      </c>
      <c r="BQ2605" t="s">
        <v>74</v>
      </c>
      <c r="BR2605" t="s">
        <v>102</v>
      </c>
      <c r="BS2605" t="s">
        <v>43627</v>
      </c>
      <c r="BT2605" t="str">
        <f>HYPERLINK("https%3A%2F%2Fwww.webofscience.com%2Fwos%2Fwoscc%2Ffull-record%2FWOS:000876691900004","View Full Record in Web of Science")</f>
        <v>View Full Record in Web of Science</v>
      </c>
    </row>
    <row r="2606" spans="1:72" x14ac:dyDescent="0.25">
      <c r="A2606" t="s">
        <v>72</v>
      </c>
      <c r="B2606" t="s">
        <v>43628</v>
      </c>
      <c r="C2606" t="s">
        <v>74</v>
      </c>
      <c r="D2606" t="s">
        <v>74</v>
      </c>
      <c r="E2606" t="s">
        <v>74</v>
      </c>
      <c r="F2606" t="s">
        <v>43629</v>
      </c>
      <c r="G2606" t="s">
        <v>74</v>
      </c>
      <c r="H2606" t="s">
        <v>74</v>
      </c>
      <c r="I2606" t="s">
        <v>43630</v>
      </c>
      <c r="J2606" t="s">
        <v>43631</v>
      </c>
      <c r="K2606" t="s">
        <v>74</v>
      </c>
      <c r="L2606" t="s">
        <v>74</v>
      </c>
      <c r="M2606" t="s">
        <v>78</v>
      </c>
      <c r="N2606" t="s">
        <v>79</v>
      </c>
      <c r="O2606" t="s">
        <v>74</v>
      </c>
      <c r="P2606" t="s">
        <v>74</v>
      </c>
      <c r="Q2606" t="s">
        <v>74</v>
      </c>
      <c r="R2606" t="s">
        <v>74</v>
      </c>
      <c r="S2606" t="s">
        <v>74</v>
      </c>
      <c r="T2606" t="s">
        <v>43632</v>
      </c>
      <c r="U2606" t="s">
        <v>43633</v>
      </c>
      <c r="V2606" t="s">
        <v>43634</v>
      </c>
      <c r="W2606" t="s">
        <v>43635</v>
      </c>
      <c r="X2606" t="s">
        <v>43636</v>
      </c>
      <c r="Y2606" t="s">
        <v>43637</v>
      </c>
      <c r="Z2606" t="s">
        <v>43638</v>
      </c>
      <c r="AA2606" t="s">
        <v>43639</v>
      </c>
      <c r="AB2606" t="s">
        <v>43640</v>
      </c>
      <c r="AC2606" t="s">
        <v>43641</v>
      </c>
      <c r="AD2606" t="s">
        <v>43642</v>
      </c>
      <c r="AE2606" t="s">
        <v>43643</v>
      </c>
      <c r="AF2606" t="s">
        <v>74</v>
      </c>
      <c r="AG2606">
        <v>117</v>
      </c>
      <c r="AH2606">
        <v>16</v>
      </c>
      <c r="AI2606">
        <v>18</v>
      </c>
      <c r="AJ2606">
        <v>0</v>
      </c>
      <c r="AK2606">
        <v>12</v>
      </c>
      <c r="AL2606" t="s">
        <v>4485</v>
      </c>
      <c r="AM2606" t="s">
        <v>6724</v>
      </c>
      <c r="AN2606" t="s">
        <v>6725</v>
      </c>
      <c r="AO2606" t="s">
        <v>43644</v>
      </c>
      <c r="AP2606" t="s">
        <v>43645</v>
      </c>
      <c r="AQ2606" t="s">
        <v>74</v>
      </c>
      <c r="AR2606" t="s">
        <v>43646</v>
      </c>
      <c r="AS2606" t="s">
        <v>43647</v>
      </c>
      <c r="AT2606" t="s">
        <v>1540</v>
      </c>
      <c r="AU2606">
        <v>2023</v>
      </c>
      <c r="AV2606">
        <v>82</v>
      </c>
      <c r="AW2606" t="s">
        <v>74</v>
      </c>
      <c r="AX2606" t="s">
        <v>74</v>
      </c>
      <c r="AY2606" t="s">
        <v>74</v>
      </c>
      <c r="AZ2606" t="s">
        <v>74</v>
      </c>
      <c r="BA2606" t="s">
        <v>74</v>
      </c>
      <c r="BB2606" t="s">
        <v>74</v>
      </c>
      <c r="BC2606" t="s">
        <v>74</v>
      </c>
      <c r="BD2606">
        <v>103466</v>
      </c>
      <c r="BE2606" t="s">
        <v>43648</v>
      </c>
      <c r="BF2606" t="str">
        <f>HYPERLINK("http://dx.doi.org/10.1016/j.resourpol.2023.103466","http://dx.doi.org/10.1016/j.resourpol.2023.103466")</f>
        <v>http://dx.doi.org/10.1016/j.resourpol.2023.103466</v>
      </c>
      <c r="BG2606" t="s">
        <v>74</v>
      </c>
      <c r="BH2606" t="s">
        <v>3595</v>
      </c>
      <c r="BI2606">
        <v>14</v>
      </c>
      <c r="BJ2606" t="s">
        <v>14327</v>
      </c>
      <c r="BK2606" t="s">
        <v>99</v>
      </c>
      <c r="BL2606" t="s">
        <v>129</v>
      </c>
      <c r="BM2606" t="s">
        <v>43649</v>
      </c>
      <c r="BN2606" t="s">
        <v>74</v>
      </c>
      <c r="BO2606" t="s">
        <v>74</v>
      </c>
      <c r="BP2606" t="s">
        <v>74</v>
      </c>
      <c r="BQ2606" t="s">
        <v>74</v>
      </c>
      <c r="BR2606" t="s">
        <v>102</v>
      </c>
      <c r="BS2606" t="s">
        <v>43650</v>
      </c>
      <c r="BT2606" t="str">
        <f>HYPERLINK("https%3A%2F%2Fwww.webofscience.com%2Fwos%2Fwoscc%2Ffull-record%2FWOS:000971944300001","View Full Record in Web of Science")</f>
        <v>View Full Record in Web of Science</v>
      </c>
    </row>
    <row r="2607" spans="1:72" x14ac:dyDescent="0.25">
      <c r="A2607" t="s">
        <v>72</v>
      </c>
      <c r="B2607" t="s">
        <v>43651</v>
      </c>
      <c r="C2607" t="s">
        <v>74</v>
      </c>
      <c r="D2607" t="s">
        <v>74</v>
      </c>
      <c r="E2607" t="s">
        <v>74</v>
      </c>
      <c r="F2607" t="s">
        <v>43652</v>
      </c>
      <c r="G2607" t="s">
        <v>74</v>
      </c>
      <c r="H2607" t="s">
        <v>74</v>
      </c>
      <c r="I2607" t="s">
        <v>43653</v>
      </c>
      <c r="J2607" t="s">
        <v>19928</v>
      </c>
      <c r="K2607" t="s">
        <v>74</v>
      </c>
      <c r="L2607" t="s">
        <v>74</v>
      </c>
      <c r="M2607" t="s">
        <v>78</v>
      </c>
      <c r="N2607" t="s">
        <v>79</v>
      </c>
      <c r="O2607" t="s">
        <v>74</v>
      </c>
      <c r="P2607" t="s">
        <v>74</v>
      </c>
      <c r="Q2607" t="s">
        <v>74</v>
      </c>
      <c r="R2607" t="s">
        <v>74</v>
      </c>
      <c r="S2607" t="s">
        <v>74</v>
      </c>
      <c r="T2607" t="s">
        <v>43654</v>
      </c>
      <c r="U2607" t="s">
        <v>43655</v>
      </c>
      <c r="V2607" t="s">
        <v>43656</v>
      </c>
      <c r="W2607" t="s">
        <v>43657</v>
      </c>
      <c r="X2607" t="s">
        <v>3960</v>
      </c>
      <c r="Y2607" t="s">
        <v>43658</v>
      </c>
      <c r="Z2607" t="s">
        <v>43659</v>
      </c>
      <c r="AA2607" t="s">
        <v>43660</v>
      </c>
      <c r="AB2607" t="s">
        <v>74</v>
      </c>
      <c r="AC2607" t="s">
        <v>43661</v>
      </c>
      <c r="AD2607" t="s">
        <v>43662</v>
      </c>
      <c r="AE2607" t="s">
        <v>43663</v>
      </c>
      <c r="AF2607" t="s">
        <v>74</v>
      </c>
      <c r="AG2607">
        <v>43</v>
      </c>
      <c r="AH2607">
        <v>3</v>
      </c>
      <c r="AI2607">
        <v>3</v>
      </c>
      <c r="AJ2607">
        <v>0</v>
      </c>
      <c r="AK2607">
        <v>4</v>
      </c>
      <c r="AL2607" t="s">
        <v>19920</v>
      </c>
      <c r="AM2607" t="s">
        <v>19919</v>
      </c>
      <c r="AN2607" t="s">
        <v>19918</v>
      </c>
      <c r="AO2607" t="s">
        <v>19917</v>
      </c>
      <c r="AP2607" t="s">
        <v>19916</v>
      </c>
      <c r="AQ2607" t="s">
        <v>74</v>
      </c>
      <c r="AR2607" t="s">
        <v>19915</v>
      </c>
      <c r="AS2607" t="s">
        <v>19914</v>
      </c>
      <c r="AT2607" t="s">
        <v>1652</v>
      </c>
      <c r="AU2607">
        <v>2021</v>
      </c>
      <c r="AV2607">
        <v>13</v>
      </c>
      <c r="AW2607">
        <v>1</v>
      </c>
      <c r="AX2607" t="s">
        <v>74</v>
      </c>
      <c r="AY2607" t="s">
        <v>74</v>
      </c>
      <c r="AZ2607" t="s">
        <v>74</v>
      </c>
      <c r="BA2607" t="s">
        <v>74</v>
      </c>
      <c r="BB2607">
        <v>298</v>
      </c>
      <c r="BC2607">
        <v>320</v>
      </c>
      <c r="BD2607" t="s">
        <v>74</v>
      </c>
      <c r="BE2607" t="s">
        <v>74</v>
      </c>
      <c r="BF2607" t="s">
        <v>74</v>
      </c>
      <c r="BG2607" t="s">
        <v>74</v>
      </c>
      <c r="BH2607" t="s">
        <v>74</v>
      </c>
      <c r="BI2607">
        <v>23</v>
      </c>
      <c r="BJ2607" t="s">
        <v>291</v>
      </c>
      <c r="BK2607" t="s">
        <v>313</v>
      </c>
      <c r="BL2607" t="s">
        <v>100</v>
      </c>
      <c r="BM2607" t="s">
        <v>43664</v>
      </c>
      <c r="BN2607" t="s">
        <v>74</v>
      </c>
      <c r="BO2607" t="s">
        <v>74</v>
      </c>
      <c r="BP2607" t="s">
        <v>74</v>
      </c>
      <c r="BQ2607" t="s">
        <v>74</v>
      </c>
      <c r="BR2607" t="s">
        <v>102</v>
      </c>
      <c r="BS2607" t="s">
        <v>43665</v>
      </c>
      <c r="BT2607" t="str">
        <f>HYPERLINK("https%3A%2F%2Fwww.webofscience.com%2Fwos%2Fwoscc%2Ffull-record%2FWOS:000683367800012","View Full Record in Web of Science")</f>
        <v>View Full Record in Web of Science</v>
      </c>
    </row>
    <row r="2608" spans="1:72" x14ac:dyDescent="0.25">
      <c r="A2608" t="s">
        <v>72</v>
      </c>
      <c r="B2608" t="s">
        <v>43666</v>
      </c>
      <c r="C2608" t="s">
        <v>74</v>
      </c>
      <c r="D2608" t="s">
        <v>74</v>
      </c>
      <c r="E2608" t="s">
        <v>74</v>
      </c>
      <c r="F2608" t="s">
        <v>43667</v>
      </c>
      <c r="G2608" t="s">
        <v>74</v>
      </c>
      <c r="H2608" t="s">
        <v>74</v>
      </c>
      <c r="I2608" t="s">
        <v>43668</v>
      </c>
      <c r="J2608" t="s">
        <v>43669</v>
      </c>
      <c r="K2608" t="s">
        <v>74</v>
      </c>
      <c r="L2608" t="s">
        <v>74</v>
      </c>
      <c r="M2608" t="s">
        <v>78</v>
      </c>
      <c r="N2608" t="s">
        <v>79</v>
      </c>
      <c r="O2608" t="s">
        <v>74</v>
      </c>
      <c r="P2608" t="s">
        <v>74</v>
      </c>
      <c r="Q2608" t="s">
        <v>74</v>
      </c>
      <c r="R2608" t="s">
        <v>74</v>
      </c>
      <c r="S2608" t="s">
        <v>74</v>
      </c>
      <c r="T2608" t="s">
        <v>74</v>
      </c>
      <c r="U2608" t="s">
        <v>43670</v>
      </c>
      <c r="V2608" t="s">
        <v>43671</v>
      </c>
      <c r="W2608" t="s">
        <v>43672</v>
      </c>
      <c r="X2608" t="s">
        <v>43673</v>
      </c>
      <c r="Y2608" t="s">
        <v>32145</v>
      </c>
      <c r="Z2608" t="s">
        <v>32144</v>
      </c>
      <c r="AA2608" t="s">
        <v>74</v>
      </c>
      <c r="AB2608" t="s">
        <v>74</v>
      </c>
      <c r="AC2608" t="s">
        <v>33302</v>
      </c>
      <c r="AD2608" t="s">
        <v>33302</v>
      </c>
      <c r="AE2608" t="s">
        <v>43674</v>
      </c>
      <c r="AF2608" t="s">
        <v>74</v>
      </c>
      <c r="AG2608">
        <v>35</v>
      </c>
      <c r="AH2608">
        <v>7</v>
      </c>
      <c r="AI2608">
        <v>7</v>
      </c>
      <c r="AJ2608">
        <v>0</v>
      </c>
      <c r="AK2608">
        <v>6</v>
      </c>
      <c r="AL2608" t="s">
        <v>3861</v>
      </c>
      <c r="AM2608" t="s">
        <v>151</v>
      </c>
      <c r="AN2608" t="s">
        <v>43675</v>
      </c>
      <c r="AO2608" t="s">
        <v>43676</v>
      </c>
      <c r="AP2608" t="s">
        <v>43677</v>
      </c>
      <c r="AQ2608" t="s">
        <v>74</v>
      </c>
      <c r="AR2608" t="s">
        <v>43678</v>
      </c>
      <c r="AS2608" t="s">
        <v>43679</v>
      </c>
      <c r="AT2608" t="s">
        <v>124</v>
      </c>
      <c r="AU2608">
        <v>2018</v>
      </c>
      <c r="AV2608">
        <v>56</v>
      </c>
      <c r="AW2608">
        <v>4</v>
      </c>
      <c r="AX2608" t="s">
        <v>74</v>
      </c>
      <c r="AY2608" t="s">
        <v>74</v>
      </c>
      <c r="AZ2608" t="s">
        <v>74</v>
      </c>
      <c r="BA2608" t="s">
        <v>74</v>
      </c>
      <c r="BB2608">
        <v>569</v>
      </c>
      <c r="BC2608">
        <v>594</v>
      </c>
      <c r="BD2608" t="s">
        <v>74</v>
      </c>
      <c r="BE2608" t="s">
        <v>43680</v>
      </c>
      <c r="BF2608" t="str">
        <f>HYPERLINK("http://dx.doi.org/10.1017/S0022278X18000435","http://dx.doi.org/10.1017/S0022278X18000435")</f>
        <v>http://dx.doi.org/10.1017/S0022278X18000435</v>
      </c>
      <c r="BG2608" t="s">
        <v>74</v>
      </c>
      <c r="BH2608" t="s">
        <v>74</v>
      </c>
      <c r="BI2608">
        <v>26</v>
      </c>
      <c r="BJ2608" t="s">
        <v>1674</v>
      </c>
      <c r="BK2608" t="s">
        <v>99</v>
      </c>
      <c r="BL2608" t="s">
        <v>1674</v>
      </c>
      <c r="BM2608" t="s">
        <v>43681</v>
      </c>
      <c r="BN2608" t="s">
        <v>74</v>
      </c>
      <c r="BO2608" t="s">
        <v>74</v>
      </c>
      <c r="BP2608" t="s">
        <v>74</v>
      </c>
      <c r="BQ2608" t="s">
        <v>74</v>
      </c>
      <c r="BR2608" t="s">
        <v>102</v>
      </c>
      <c r="BS2608" t="s">
        <v>43682</v>
      </c>
      <c r="BT2608" t="str">
        <f>HYPERLINK("https%3A%2F%2Fwww.webofscience.com%2Fwos%2Fwoscc%2Ffull-record%2FWOS:000451288600002","View Full Record in Web of Science")</f>
        <v>View Full Record in Web of Science</v>
      </c>
    </row>
    <row r="2609" spans="1:72" x14ac:dyDescent="0.25">
      <c r="A2609" t="s">
        <v>72</v>
      </c>
      <c r="B2609" t="s">
        <v>43683</v>
      </c>
      <c r="C2609" t="s">
        <v>74</v>
      </c>
      <c r="D2609" t="s">
        <v>74</v>
      </c>
      <c r="E2609" t="s">
        <v>74</v>
      </c>
      <c r="F2609" t="s">
        <v>43684</v>
      </c>
      <c r="G2609" t="s">
        <v>74</v>
      </c>
      <c r="H2609" t="s">
        <v>74</v>
      </c>
      <c r="I2609" t="s">
        <v>43685</v>
      </c>
      <c r="J2609" t="s">
        <v>43686</v>
      </c>
      <c r="K2609" t="s">
        <v>74</v>
      </c>
      <c r="L2609" t="s">
        <v>74</v>
      </c>
      <c r="M2609" t="s">
        <v>78</v>
      </c>
      <c r="N2609" t="s">
        <v>372</v>
      </c>
      <c r="O2609" t="s">
        <v>74</v>
      </c>
      <c r="P2609" t="s">
        <v>74</v>
      </c>
      <c r="Q2609" t="s">
        <v>74</v>
      </c>
      <c r="R2609" t="s">
        <v>74</v>
      </c>
      <c r="S2609" t="s">
        <v>74</v>
      </c>
      <c r="T2609" t="s">
        <v>43687</v>
      </c>
      <c r="U2609" t="s">
        <v>43688</v>
      </c>
      <c r="V2609" t="s">
        <v>43689</v>
      </c>
      <c r="W2609" t="s">
        <v>43690</v>
      </c>
      <c r="X2609" t="s">
        <v>43691</v>
      </c>
      <c r="Y2609" t="s">
        <v>43692</v>
      </c>
      <c r="Z2609" t="s">
        <v>43693</v>
      </c>
      <c r="AA2609" t="s">
        <v>74</v>
      </c>
      <c r="AB2609" t="s">
        <v>43694</v>
      </c>
      <c r="AC2609" t="s">
        <v>43695</v>
      </c>
      <c r="AD2609" t="s">
        <v>43695</v>
      </c>
      <c r="AE2609" t="s">
        <v>43696</v>
      </c>
      <c r="AF2609" t="s">
        <v>74</v>
      </c>
      <c r="AG2609">
        <v>53</v>
      </c>
      <c r="AH2609">
        <v>0</v>
      </c>
      <c r="AI2609">
        <v>0</v>
      </c>
      <c r="AJ2609">
        <v>0</v>
      </c>
      <c r="AK2609">
        <v>0</v>
      </c>
      <c r="AL2609" t="s">
        <v>332</v>
      </c>
      <c r="AM2609" t="s">
        <v>333</v>
      </c>
      <c r="AN2609" t="s">
        <v>334</v>
      </c>
      <c r="AO2609" t="s">
        <v>43697</v>
      </c>
      <c r="AP2609" t="s">
        <v>43698</v>
      </c>
      <c r="AQ2609" t="s">
        <v>74</v>
      </c>
      <c r="AR2609" t="s">
        <v>43699</v>
      </c>
      <c r="AS2609" t="s">
        <v>43700</v>
      </c>
      <c r="AT2609" t="s">
        <v>43701</v>
      </c>
      <c r="AU2609">
        <v>2025</v>
      </c>
      <c r="AV2609" t="s">
        <v>74</v>
      </c>
      <c r="AW2609" t="s">
        <v>74</v>
      </c>
      <c r="AX2609" t="s">
        <v>74</v>
      </c>
      <c r="AY2609" t="s">
        <v>74</v>
      </c>
      <c r="AZ2609" t="s">
        <v>74</v>
      </c>
      <c r="BA2609" t="s">
        <v>74</v>
      </c>
      <c r="BB2609" t="s">
        <v>74</v>
      </c>
      <c r="BC2609" t="s">
        <v>74</v>
      </c>
      <c r="BD2609" t="s">
        <v>74</v>
      </c>
      <c r="BE2609" t="s">
        <v>43702</v>
      </c>
      <c r="BF2609" t="str">
        <f>HYPERLINK("http://dx.doi.org/10.1080/15562948.2025.2459257","http://dx.doi.org/10.1080/15562948.2025.2459257")</f>
        <v>http://dx.doi.org/10.1080/15562948.2025.2459257</v>
      </c>
      <c r="BG2609" t="s">
        <v>74</v>
      </c>
      <c r="BH2609" t="s">
        <v>1737</v>
      </c>
      <c r="BI2609">
        <v>15</v>
      </c>
      <c r="BJ2609" t="s">
        <v>43703</v>
      </c>
      <c r="BK2609" t="s">
        <v>99</v>
      </c>
      <c r="BL2609" t="s">
        <v>43703</v>
      </c>
      <c r="BM2609" t="s">
        <v>43704</v>
      </c>
      <c r="BN2609" t="s">
        <v>74</v>
      </c>
      <c r="BO2609" t="s">
        <v>74</v>
      </c>
      <c r="BP2609" t="s">
        <v>74</v>
      </c>
      <c r="BQ2609" t="s">
        <v>74</v>
      </c>
      <c r="BR2609" t="s">
        <v>102</v>
      </c>
      <c r="BS2609" t="s">
        <v>43705</v>
      </c>
      <c r="BT2609" t="str">
        <f>HYPERLINK("https%3A%2F%2Fwww.webofscience.com%2Fwos%2Fwoscc%2Ffull-record%2FWOS:001467260200001","View Full Record in Web of Science")</f>
        <v>View Full Record in Web of Science</v>
      </c>
    </row>
    <row r="2610" spans="1:72" x14ac:dyDescent="0.25">
      <c r="A2610" t="s">
        <v>72</v>
      </c>
      <c r="B2610" t="s">
        <v>43706</v>
      </c>
      <c r="C2610" t="s">
        <v>74</v>
      </c>
      <c r="D2610" t="s">
        <v>74</v>
      </c>
      <c r="E2610" t="s">
        <v>74</v>
      </c>
      <c r="F2610" t="s">
        <v>43707</v>
      </c>
      <c r="G2610" t="s">
        <v>74</v>
      </c>
      <c r="H2610" t="s">
        <v>74</v>
      </c>
      <c r="I2610" t="s">
        <v>43708</v>
      </c>
      <c r="J2610" t="s">
        <v>4743</v>
      </c>
      <c r="K2610" t="s">
        <v>74</v>
      </c>
      <c r="L2610" t="s">
        <v>74</v>
      </c>
      <c r="M2610" t="s">
        <v>78</v>
      </c>
      <c r="N2610" t="s">
        <v>79</v>
      </c>
      <c r="O2610" t="s">
        <v>74</v>
      </c>
      <c r="P2610" t="s">
        <v>74</v>
      </c>
      <c r="Q2610" t="s">
        <v>74</v>
      </c>
      <c r="R2610" t="s">
        <v>74</v>
      </c>
      <c r="S2610" t="s">
        <v>74</v>
      </c>
      <c r="T2610" t="s">
        <v>43709</v>
      </c>
      <c r="U2610" t="s">
        <v>3837</v>
      </c>
      <c r="V2610" t="s">
        <v>43710</v>
      </c>
      <c r="W2610" t="s">
        <v>43711</v>
      </c>
      <c r="X2610" t="s">
        <v>43712</v>
      </c>
      <c r="Y2610" t="s">
        <v>43713</v>
      </c>
      <c r="Z2610" t="s">
        <v>43714</v>
      </c>
      <c r="AA2610" t="s">
        <v>74</v>
      </c>
      <c r="AB2610" t="s">
        <v>74</v>
      </c>
      <c r="AC2610" t="s">
        <v>74</v>
      </c>
      <c r="AD2610" t="s">
        <v>74</v>
      </c>
      <c r="AE2610" t="s">
        <v>74</v>
      </c>
      <c r="AF2610" t="s">
        <v>74</v>
      </c>
      <c r="AG2610">
        <v>50</v>
      </c>
      <c r="AH2610">
        <v>1</v>
      </c>
      <c r="AI2610">
        <v>2</v>
      </c>
      <c r="AJ2610">
        <v>0</v>
      </c>
      <c r="AK2610">
        <v>0</v>
      </c>
      <c r="AL2610" t="s">
        <v>230</v>
      </c>
      <c r="AM2610" t="s">
        <v>231</v>
      </c>
      <c r="AN2610" t="s">
        <v>232</v>
      </c>
      <c r="AO2610" t="s">
        <v>4755</v>
      </c>
      <c r="AP2610" t="s">
        <v>4756</v>
      </c>
      <c r="AQ2610" t="s">
        <v>74</v>
      </c>
      <c r="AR2610" t="s">
        <v>4757</v>
      </c>
      <c r="AS2610" t="s">
        <v>4758</v>
      </c>
      <c r="AT2610" t="s">
        <v>2801</v>
      </c>
      <c r="AU2610">
        <v>2024</v>
      </c>
      <c r="AV2610">
        <v>104</v>
      </c>
      <c r="AW2610" t="s">
        <v>74</v>
      </c>
      <c r="AX2610" t="s">
        <v>74</v>
      </c>
      <c r="AY2610" t="s">
        <v>74</v>
      </c>
      <c r="AZ2610" t="s">
        <v>74</v>
      </c>
      <c r="BA2610" t="s">
        <v>74</v>
      </c>
      <c r="BB2610" t="s">
        <v>74</v>
      </c>
      <c r="BC2610" t="s">
        <v>74</v>
      </c>
      <c r="BD2610">
        <v>102919</v>
      </c>
      <c r="BE2610" t="s">
        <v>43715</v>
      </c>
      <c r="BF2610" t="str">
        <f>HYPERLINK("http://dx.doi.org/10.1016/j.wsif.2024.102919","http://dx.doi.org/10.1016/j.wsif.2024.102919")</f>
        <v>http://dx.doi.org/10.1016/j.wsif.2024.102919</v>
      </c>
      <c r="BG2610" t="s">
        <v>74</v>
      </c>
      <c r="BH2610" t="s">
        <v>5285</v>
      </c>
      <c r="BI2610">
        <v>8</v>
      </c>
      <c r="BJ2610" t="s">
        <v>4761</v>
      </c>
      <c r="BK2610" t="s">
        <v>99</v>
      </c>
      <c r="BL2610" t="s">
        <v>4761</v>
      </c>
      <c r="BM2610" t="s">
        <v>43716</v>
      </c>
      <c r="BN2610" t="s">
        <v>74</v>
      </c>
      <c r="BO2610" t="s">
        <v>74</v>
      </c>
      <c r="BP2610" t="s">
        <v>74</v>
      </c>
      <c r="BQ2610" t="s">
        <v>74</v>
      </c>
      <c r="BR2610" t="s">
        <v>102</v>
      </c>
      <c r="BS2610" t="s">
        <v>43717</v>
      </c>
      <c r="BT2610" t="str">
        <f>HYPERLINK("https%3A%2F%2Fwww.webofscience.com%2Fwos%2Fwoscc%2Ffull-record%2FWOS:001294630000001","View Full Record in Web of Science")</f>
        <v>View Full Record in Web of Science</v>
      </c>
    </row>
    <row r="2611" spans="1:72" x14ac:dyDescent="0.25">
      <c r="A2611" t="s">
        <v>72</v>
      </c>
      <c r="B2611" t="s">
        <v>43718</v>
      </c>
      <c r="C2611" t="s">
        <v>74</v>
      </c>
      <c r="D2611" t="s">
        <v>74</v>
      </c>
      <c r="E2611" t="s">
        <v>74</v>
      </c>
      <c r="F2611" t="s">
        <v>43719</v>
      </c>
      <c r="G2611" t="s">
        <v>74</v>
      </c>
      <c r="H2611" t="s">
        <v>74</v>
      </c>
      <c r="I2611" t="s">
        <v>43720</v>
      </c>
      <c r="J2611" t="s">
        <v>1290</v>
      </c>
      <c r="K2611" t="s">
        <v>74</v>
      </c>
      <c r="L2611" t="s">
        <v>74</v>
      </c>
      <c r="M2611" t="s">
        <v>78</v>
      </c>
      <c r="N2611" t="s">
        <v>79</v>
      </c>
      <c r="O2611" t="s">
        <v>74</v>
      </c>
      <c r="P2611" t="s">
        <v>74</v>
      </c>
      <c r="Q2611" t="s">
        <v>74</v>
      </c>
      <c r="R2611" t="s">
        <v>74</v>
      </c>
      <c r="S2611" t="s">
        <v>74</v>
      </c>
      <c r="T2611" t="s">
        <v>43721</v>
      </c>
      <c r="U2611" t="s">
        <v>43722</v>
      </c>
      <c r="V2611" t="s">
        <v>43723</v>
      </c>
      <c r="W2611" t="s">
        <v>43724</v>
      </c>
      <c r="X2611" t="s">
        <v>43725</v>
      </c>
      <c r="Y2611" t="s">
        <v>43726</v>
      </c>
      <c r="Z2611" t="s">
        <v>43727</v>
      </c>
      <c r="AA2611" t="s">
        <v>43728</v>
      </c>
      <c r="AB2611" t="s">
        <v>43729</v>
      </c>
      <c r="AC2611" t="s">
        <v>74</v>
      </c>
      <c r="AD2611" t="s">
        <v>74</v>
      </c>
      <c r="AE2611" t="s">
        <v>74</v>
      </c>
      <c r="AF2611" t="s">
        <v>74</v>
      </c>
      <c r="AG2611">
        <v>73</v>
      </c>
      <c r="AH2611">
        <v>0</v>
      </c>
      <c r="AI2611">
        <v>0</v>
      </c>
      <c r="AJ2611">
        <v>3</v>
      </c>
      <c r="AK2611">
        <v>5</v>
      </c>
      <c r="AL2611" t="s">
        <v>575</v>
      </c>
      <c r="AM2611" t="s">
        <v>576</v>
      </c>
      <c r="AN2611" t="s">
        <v>3242</v>
      </c>
      <c r="AO2611" t="s">
        <v>1299</v>
      </c>
      <c r="AP2611" t="s">
        <v>74</v>
      </c>
      <c r="AQ2611" t="s">
        <v>74</v>
      </c>
      <c r="AR2611" t="s">
        <v>1300</v>
      </c>
      <c r="AS2611" t="s">
        <v>1301</v>
      </c>
      <c r="AT2611" t="s">
        <v>124</v>
      </c>
      <c r="AU2611">
        <v>2024</v>
      </c>
      <c r="AV2611">
        <v>12</v>
      </c>
      <c r="AW2611">
        <v>4</v>
      </c>
      <c r="AX2611" t="s">
        <v>74</v>
      </c>
      <c r="AY2611" t="s">
        <v>74</v>
      </c>
      <c r="AZ2611" t="s">
        <v>74</v>
      </c>
      <c r="BA2611" t="s">
        <v>74</v>
      </c>
      <c r="BB2611" t="s">
        <v>74</v>
      </c>
      <c r="BC2611" t="s">
        <v>74</v>
      </c>
      <c r="BD2611">
        <v>116</v>
      </c>
      <c r="BE2611" t="s">
        <v>43730</v>
      </c>
      <c r="BF2611" t="str">
        <f>HYPERLINK("http://dx.doi.org/10.3390/ijfs12040116","http://dx.doi.org/10.3390/ijfs12040116")</f>
        <v>http://dx.doi.org/10.3390/ijfs12040116</v>
      </c>
      <c r="BG2611" t="s">
        <v>74</v>
      </c>
      <c r="BH2611" t="s">
        <v>74</v>
      </c>
      <c r="BI2611">
        <v>13</v>
      </c>
      <c r="BJ2611" t="s">
        <v>268</v>
      </c>
      <c r="BK2611" t="s">
        <v>313</v>
      </c>
      <c r="BL2611" t="s">
        <v>100</v>
      </c>
      <c r="BM2611" t="s">
        <v>43731</v>
      </c>
      <c r="BN2611" t="s">
        <v>74</v>
      </c>
      <c r="BO2611" t="s">
        <v>212</v>
      </c>
      <c r="BP2611" t="s">
        <v>74</v>
      </c>
      <c r="BQ2611" t="s">
        <v>74</v>
      </c>
      <c r="BR2611" t="s">
        <v>102</v>
      </c>
      <c r="BS2611" t="s">
        <v>43732</v>
      </c>
      <c r="BT2611" t="str">
        <f>HYPERLINK("https%3A%2F%2Fwww.webofscience.com%2Fwos%2Fwoscc%2Ffull-record%2FWOS:001384816600001","View Full Record in Web of Science")</f>
        <v>View Full Record in Web of Science</v>
      </c>
    </row>
    <row r="2612" spans="1:72" x14ac:dyDescent="0.25">
      <c r="A2612" t="s">
        <v>72</v>
      </c>
      <c r="B2612" t="s">
        <v>43733</v>
      </c>
      <c r="C2612" t="s">
        <v>74</v>
      </c>
      <c r="D2612" t="s">
        <v>74</v>
      </c>
      <c r="E2612" t="s">
        <v>74</v>
      </c>
      <c r="F2612" t="s">
        <v>43734</v>
      </c>
      <c r="G2612" t="s">
        <v>74</v>
      </c>
      <c r="H2612" t="s">
        <v>74</v>
      </c>
      <c r="I2612" t="s">
        <v>43735</v>
      </c>
      <c r="J2612" t="s">
        <v>656</v>
      </c>
      <c r="K2612" t="s">
        <v>74</v>
      </c>
      <c r="L2612" t="s">
        <v>74</v>
      </c>
      <c r="M2612" t="s">
        <v>78</v>
      </c>
      <c r="N2612" t="s">
        <v>79</v>
      </c>
      <c r="O2612" t="s">
        <v>74</v>
      </c>
      <c r="P2612" t="s">
        <v>74</v>
      </c>
      <c r="Q2612" t="s">
        <v>74</v>
      </c>
      <c r="R2612" t="s">
        <v>74</v>
      </c>
      <c r="S2612" t="s">
        <v>74</v>
      </c>
      <c r="T2612" t="s">
        <v>43736</v>
      </c>
      <c r="U2612" t="s">
        <v>43737</v>
      </c>
      <c r="V2612" t="s">
        <v>43738</v>
      </c>
      <c r="W2612" t="s">
        <v>43739</v>
      </c>
      <c r="X2612" t="s">
        <v>43740</v>
      </c>
      <c r="Y2612" t="s">
        <v>43741</v>
      </c>
      <c r="Z2612" t="s">
        <v>43742</v>
      </c>
      <c r="AA2612" t="s">
        <v>74</v>
      </c>
      <c r="AB2612" t="s">
        <v>74</v>
      </c>
      <c r="AC2612" t="s">
        <v>74</v>
      </c>
      <c r="AD2612" t="s">
        <v>74</v>
      </c>
      <c r="AE2612" t="s">
        <v>74</v>
      </c>
      <c r="AF2612" t="s">
        <v>74</v>
      </c>
      <c r="AG2612">
        <v>54</v>
      </c>
      <c r="AH2612">
        <v>40</v>
      </c>
      <c r="AI2612">
        <v>54</v>
      </c>
      <c r="AJ2612">
        <v>0</v>
      </c>
      <c r="AK2612">
        <v>42</v>
      </c>
      <c r="AL2612" t="s">
        <v>1062</v>
      </c>
      <c r="AM2612" t="s">
        <v>667</v>
      </c>
      <c r="AN2612" t="s">
        <v>668</v>
      </c>
      <c r="AO2612" t="s">
        <v>669</v>
      </c>
      <c r="AP2612" t="s">
        <v>670</v>
      </c>
      <c r="AQ2612" t="s">
        <v>74</v>
      </c>
      <c r="AR2612" t="s">
        <v>671</v>
      </c>
      <c r="AS2612" t="s">
        <v>672</v>
      </c>
      <c r="AT2612" t="s">
        <v>124</v>
      </c>
      <c r="AU2612">
        <v>2017</v>
      </c>
      <c r="AV2612">
        <v>38</v>
      </c>
      <c r="AW2612">
        <v>4</v>
      </c>
      <c r="AX2612" t="s">
        <v>74</v>
      </c>
      <c r="AY2612" t="s">
        <v>74</v>
      </c>
      <c r="AZ2612" t="s">
        <v>74</v>
      </c>
      <c r="BA2612" t="s">
        <v>74</v>
      </c>
      <c r="BB2612">
        <v>528</v>
      </c>
      <c r="BC2612">
        <v>540</v>
      </c>
      <c r="BD2612" t="s">
        <v>74</v>
      </c>
      <c r="BE2612" t="s">
        <v>43743</v>
      </c>
      <c r="BF2612" t="str">
        <f>HYPERLINK("http://dx.doi.org/10.1007/s10834-017-9531-x","http://dx.doi.org/10.1007/s10834-017-9531-x")</f>
        <v>http://dx.doi.org/10.1007/s10834-017-9531-x</v>
      </c>
      <c r="BG2612" t="s">
        <v>74</v>
      </c>
      <c r="BH2612" t="s">
        <v>74</v>
      </c>
      <c r="BI2612">
        <v>13</v>
      </c>
      <c r="BJ2612" t="s">
        <v>675</v>
      </c>
      <c r="BK2612" t="s">
        <v>99</v>
      </c>
      <c r="BL2612" t="s">
        <v>676</v>
      </c>
      <c r="BM2612" t="s">
        <v>43744</v>
      </c>
      <c r="BN2612" t="s">
        <v>74</v>
      </c>
      <c r="BO2612" t="s">
        <v>74</v>
      </c>
      <c r="BP2612" t="s">
        <v>74</v>
      </c>
      <c r="BQ2612" t="s">
        <v>74</v>
      </c>
      <c r="BR2612" t="s">
        <v>102</v>
      </c>
      <c r="BS2612" t="s">
        <v>43745</v>
      </c>
      <c r="BT2612" t="str">
        <f>HYPERLINK("https%3A%2F%2Fwww.webofscience.com%2Fwos%2Fwoscc%2Ffull-record%2FWOS:000414077700005","View Full Record in Web of Science")</f>
        <v>View Full Record in Web of Science</v>
      </c>
    </row>
    <row r="2613" spans="1:72" x14ac:dyDescent="0.25">
      <c r="A2613" t="s">
        <v>132</v>
      </c>
      <c r="B2613" t="s">
        <v>43746</v>
      </c>
      <c r="C2613" t="s">
        <v>74</v>
      </c>
      <c r="D2613" t="s">
        <v>12024</v>
      </c>
      <c r="E2613" t="s">
        <v>74</v>
      </c>
      <c r="F2613" t="s">
        <v>43747</v>
      </c>
      <c r="G2613" t="s">
        <v>74</v>
      </c>
      <c r="H2613" t="s">
        <v>74</v>
      </c>
      <c r="I2613" t="s">
        <v>43748</v>
      </c>
      <c r="J2613" t="s">
        <v>12027</v>
      </c>
      <c r="K2613" t="s">
        <v>12028</v>
      </c>
      <c r="L2613" t="s">
        <v>74</v>
      </c>
      <c r="M2613" t="s">
        <v>78</v>
      </c>
      <c r="N2613" t="s">
        <v>138</v>
      </c>
      <c r="O2613" t="s">
        <v>12029</v>
      </c>
      <c r="P2613" t="s">
        <v>12030</v>
      </c>
      <c r="Q2613" t="s">
        <v>12031</v>
      </c>
      <c r="R2613" t="s">
        <v>74</v>
      </c>
      <c r="S2613" t="s">
        <v>74</v>
      </c>
      <c r="T2613" t="s">
        <v>43749</v>
      </c>
      <c r="U2613" t="s">
        <v>43750</v>
      </c>
      <c r="V2613" t="s">
        <v>43751</v>
      </c>
      <c r="W2613" t="s">
        <v>43752</v>
      </c>
      <c r="X2613" t="s">
        <v>43753</v>
      </c>
      <c r="Y2613" t="s">
        <v>43754</v>
      </c>
      <c r="Z2613" t="s">
        <v>74</v>
      </c>
      <c r="AA2613" t="s">
        <v>74</v>
      </c>
      <c r="AB2613" t="s">
        <v>74</v>
      </c>
      <c r="AC2613" t="s">
        <v>74</v>
      </c>
      <c r="AD2613" t="s">
        <v>74</v>
      </c>
      <c r="AE2613" t="s">
        <v>74</v>
      </c>
      <c r="AF2613" t="s">
        <v>74</v>
      </c>
      <c r="AG2613">
        <v>35</v>
      </c>
      <c r="AH2613">
        <v>0</v>
      </c>
      <c r="AI2613">
        <v>0</v>
      </c>
      <c r="AJ2613">
        <v>0</v>
      </c>
      <c r="AK2613">
        <v>0</v>
      </c>
      <c r="AL2613" t="s">
        <v>12038</v>
      </c>
      <c r="AM2613" t="s">
        <v>12039</v>
      </c>
      <c r="AN2613" t="s">
        <v>12040</v>
      </c>
      <c r="AO2613" t="s">
        <v>12041</v>
      </c>
      <c r="AP2613" t="s">
        <v>74</v>
      </c>
      <c r="AQ2613" t="s">
        <v>12042</v>
      </c>
      <c r="AR2613" t="s">
        <v>12043</v>
      </c>
      <c r="AS2613" t="s">
        <v>74</v>
      </c>
      <c r="AT2613" t="s">
        <v>74</v>
      </c>
      <c r="AU2613">
        <v>2024</v>
      </c>
      <c r="AV2613" t="s">
        <v>74</v>
      </c>
      <c r="AW2613" t="s">
        <v>74</v>
      </c>
      <c r="AX2613" t="s">
        <v>74</v>
      </c>
      <c r="AY2613" t="s">
        <v>74</v>
      </c>
      <c r="AZ2613" t="s">
        <v>74</v>
      </c>
      <c r="BA2613" t="s">
        <v>74</v>
      </c>
      <c r="BB2613">
        <v>1782</v>
      </c>
      <c r="BC2613">
        <v>1794</v>
      </c>
      <c r="BD2613" t="s">
        <v>74</v>
      </c>
      <c r="BE2613" t="s">
        <v>74</v>
      </c>
      <c r="BF2613" t="s">
        <v>74</v>
      </c>
      <c r="BG2613" t="s">
        <v>74</v>
      </c>
      <c r="BH2613" t="s">
        <v>74</v>
      </c>
      <c r="BI2613">
        <v>13</v>
      </c>
      <c r="BJ2613" t="s">
        <v>12044</v>
      </c>
      <c r="BK2613" t="s">
        <v>1069</v>
      </c>
      <c r="BL2613" t="s">
        <v>12045</v>
      </c>
      <c r="BM2613" t="s">
        <v>12046</v>
      </c>
      <c r="BN2613" t="s">
        <v>74</v>
      </c>
      <c r="BO2613" t="s">
        <v>74</v>
      </c>
      <c r="BP2613" t="s">
        <v>74</v>
      </c>
      <c r="BQ2613" t="s">
        <v>74</v>
      </c>
      <c r="BR2613" t="s">
        <v>102</v>
      </c>
      <c r="BS2613" t="s">
        <v>43755</v>
      </c>
      <c r="BT2613" t="str">
        <f>HYPERLINK("https%3A%2F%2Fwww.webofscience.com%2Fwos%2Fwoscc%2Ffull-record%2FWOS:001524978800120","View Full Record in Web of Science")</f>
        <v>View Full Record in Web of Science</v>
      </c>
    </row>
    <row r="2614" spans="1:72" x14ac:dyDescent="0.25">
      <c r="A2614" t="s">
        <v>72</v>
      </c>
      <c r="B2614" t="s">
        <v>43756</v>
      </c>
      <c r="C2614" t="s">
        <v>74</v>
      </c>
      <c r="D2614" t="s">
        <v>74</v>
      </c>
      <c r="E2614" t="s">
        <v>74</v>
      </c>
      <c r="F2614" t="s">
        <v>43757</v>
      </c>
      <c r="G2614" t="s">
        <v>74</v>
      </c>
      <c r="H2614" t="s">
        <v>74</v>
      </c>
      <c r="I2614" t="s">
        <v>43758</v>
      </c>
      <c r="J2614" t="s">
        <v>2288</v>
      </c>
      <c r="K2614" t="s">
        <v>74</v>
      </c>
      <c r="L2614" t="s">
        <v>74</v>
      </c>
      <c r="M2614" t="s">
        <v>78</v>
      </c>
      <c r="N2614" t="s">
        <v>79</v>
      </c>
      <c r="O2614" t="s">
        <v>74</v>
      </c>
      <c r="P2614" t="s">
        <v>74</v>
      </c>
      <c r="Q2614" t="s">
        <v>74</v>
      </c>
      <c r="R2614" t="s">
        <v>74</v>
      </c>
      <c r="S2614" t="s">
        <v>74</v>
      </c>
      <c r="T2614" t="s">
        <v>43759</v>
      </c>
      <c r="U2614" t="s">
        <v>74</v>
      </c>
      <c r="V2614" t="s">
        <v>43760</v>
      </c>
      <c r="W2614" t="s">
        <v>43761</v>
      </c>
      <c r="X2614" t="s">
        <v>43762</v>
      </c>
      <c r="Y2614" t="s">
        <v>43763</v>
      </c>
      <c r="Z2614" t="s">
        <v>43764</v>
      </c>
      <c r="AA2614" t="s">
        <v>74</v>
      </c>
      <c r="AB2614" t="s">
        <v>74</v>
      </c>
      <c r="AC2614" t="s">
        <v>43765</v>
      </c>
      <c r="AD2614" t="s">
        <v>43766</v>
      </c>
      <c r="AE2614" t="s">
        <v>43767</v>
      </c>
      <c r="AF2614" t="s">
        <v>74</v>
      </c>
      <c r="AG2614">
        <v>24</v>
      </c>
      <c r="AH2614">
        <v>26</v>
      </c>
      <c r="AI2614">
        <v>34</v>
      </c>
      <c r="AJ2614">
        <v>2</v>
      </c>
      <c r="AK2614">
        <v>28</v>
      </c>
      <c r="AL2614" t="s">
        <v>3298</v>
      </c>
      <c r="AM2614" t="s">
        <v>202</v>
      </c>
      <c r="AN2614" t="s">
        <v>3299</v>
      </c>
      <c r="AO2614" t="s">
        <v>2299</v>
      </c>
      <c r="AP2614" t="s">
        <v>2300</v>
      </c>
      <c r="AQ2614" t="s">
        <v>74</v>
      </c>
      <c r="AR2614" t="s">
        <v>2301</v>
      </c>
      <c r="AS2614" t="s">
        <v>2302</v>
      </c>
      <c r="AT2614" t="s">
        <v>698</v>
      </c>
      <c r="AU2614">
        <v>2017</v>
      </c>
      <c r="AV2614">
        <v>128</v>
      </c>
      <c r="AW2614" t="s">
        <v>74</v>
      </c>
      <c r="AX2614" t="s">
        <v>74</v>
      </c>
      <c r="AY2614" t="s">
        <v>74</v>
      </c>
      <c r="AZ2614" t="s">
        <v>74</v>
      </c>
      <c r="BA2614" t="s">
        <v>74</v>
      </c>
      <c r="BB2614">
        <v>24</v>
      </c>
      <c r="BC2614">
        <v>48</v>
      </c>
      <c r="BD2614" t="s">
        <v>74</v>
      </c>
      <c r="BE2614" t="s">
        <v>43768</v>
      </c>
      <c r="BF2614" t="str">
        <f>HYPERLINK("http://dx.doi.org/10.1016/j.jdeveco.2017.05.001","http://dx.doi.org/10.1016/j.jdeveco.2017.05.001")</f>
        <v>http://dx.doi.org/10.1016/j.jdeveco.2017.05.001</v>
      </c>
      <c r="BG2614" t="s">
        <v>74</v>
      </c>
      <c r="BH2614" t="s">
        <v>74</v>
      </c>
      <c r="BI2614">
        <v>25</v>
      </c>
      <c r="BJ2614" t="s">
        <v>291</v>
      </c>
      <c r="BK2614" t="s">
        <v>99</v>
      </c>
      <c r="BL2614" t="s">
        <v>100</v>
      </c>
      <c r="BM2614" t="s">
        <v>43769</v>
      </c>
      <c r="BN2614" t="s">
        <v>74</v>
      </c>
      <c r="BO2614" t="s">
        <v>74</v>
      </c>
      <c r="BP2614" t="s">
        <v>74</v>
      </c>
      <c r="BQ2614" t="s">
        <v>74</v>
      </c>
      <c r="BR2614" t="s">
        <v>102</v>
      </c>
      <c r="BS2614" t="s">
        <v>43770</v>
      </c>
      <c r="BT2614" t="str">
        <f>HYPERLINK("https%3A%2F%2Fwww.webofscience.com%2Fwos%2Fwoscc%2Ffull-record%2FWOS:000407980900002","View Full Record in Web of Science")</f>
        <v>View Full Record in Web of Science</v>
      </c>
    </row>
    <row r="2615" spans="1:72" x14ac:dyDescent="0.25">
      <c r="A2615" t="s">
        <v>72</v>
      </c>
      <c r="B2615" t="s">
        <v>43771</v>
      </c>
      <c r="C2615" t="s">
        <v>74</v>
      </c>
      <c r="D2615" t="s">
        <v>74</v>
      </c>
      <c r="E2615" t="s">
        <v>74</v>
      </c>
      <c r="F2615" t="s">
        <v>43772</v>
      </c>
      <c r="G2615" t="s">
        <v>74</v>
      </c>
      <c r="H2615" t="s">
        <v>74</v>
      </c>
      <c r="I2615" t="s">
        <v>43773</v>
      </c>
      <c r="J2615" t="s">
        <v>43774</v>
      </c>
      <c r="K2615" t="s">
        <v>74</v>
      </c>
      <c r="L2615" t="s">
        <v>74</v>
      </c>
      <c r="M2615" t="s">
        <v>78</v>
      </c>
      <c r="N2615" t="s">
        <v>79</v>
      </c>
      <c r="O2615" t="s">
        <v>74</v>
      </c>
      <c r="P2615" t="s">
        <v>74</v>
      </c>
      <c r="Q2615" t="s">
        <v>74</v>
      </c>
      <c r="R2615" t="s">
        <v>74</v>
      </c>
      <c r="S2615" t="s">
        <v>74</v>
      </c>
      <c r="T2615" t="s">
        <v>43775</v>
      </c>
      <c r="U2615" t="s">
        <v>43776</v>
      </c>
      <c r="V2615" t="s">
        <v>43777</v>
      </c>
      <c r="W2615" t="s">
        <v>43778</v>
      </c>
      <c r="X2615" t="s">
        <v>43779</v>
      </c>
      <c r="Y2615" t="s">
        <v>43780</v>
      </c>
      <c r="Z2615" t="s">
        <v>43781</v>
      </c>
      <c r="AA2615" t="s">
        <v>43782</v>
      </c>
      <c r="AB2615" t="s">
        <v>43783</v>
      </c>
      <c r="AC2615" t="s">
        <v>74</v>
      </c>
      <c r="AD2615" t="s">
        <v>74</v>
      </c>
      <c r="AE2615" t="s">
        <v>74</v>
      </c>
      <c r="AF2615" t="s">
        <v>74</v>
      </c>
      <c r="AG2615">
        <v>33</v>
      </c>
      <c r="AH2615">
        <v>0</v>
      </c>
      <c r="AI2615">
        <v>0</v>
      </c>
      <c r="AJ2615">
        <v>0</v>
      </c>
      <c r="AK2615">
        <v>24</v>
      </c>
      <c r="AL2615" t="s">
        <v>43784</v>
      </c>
      <c r="AM2615" t="s">
        <v>43785</v>
      </c>
      <c r="AN2615" t="s">
        <v>43786</v>
      </c>
      <c r="AO2615" t="s">
        <v>43787</v>
      </c>
      <c r="AP2615" t="s">
        <v>43788</v>
      </c>
      <c r="AQ2615" t="s">
        <v>74</v>
      </c>
      <c r="AR2615" t="s">
        <v>43789</v>
      </c>
      <c r="AS2615" t="s">
        <v>43790</v>
      </c>
      <c r="AT2615" t="s">
        <v>311</v>
      </c>
      <c r="AU2615">
        <v>2020</v>
      </c>
      <c r="AV2615">
        <v>16</v>
      </c>
      <c r="AW2615">
        <v>1</v>
      </c>
      <c r="AX2615" t="s">
        <v>74</v>
      </c>
      <c r="AY2615" t="s">
        <v>74</v>
      </c>
      <c r="AZ2615" t="s">
        <v>74</v>
      </c>
      <c r="BA2615" t="s">
        <v>74</v>
      </c>
      <c r="BB2615" t="s">
        <v>74</v>
      </c>
      <c r="BC2615" t="s">
        <v>74</v>
      </c>
      <c r="BD2615" t="s">
        <v>74</v>
      </c>
      <c r="BE2615" t="s">
        <v>43791</v>
      </c>
      <c r="BF2615" t="str">
        <f>HYPERLINK("http://dx.doi.org/10.18256/2238-0604.2020.v16i1.3825","http://dx.doi.org/10.18256/2238-0604.2020.v16i1.3825")</f>
        <v>http://dx.doi.org/10.18256/2238-0604.2020.v16i1.3825</v>
      </c>
      <c r="BG2615" t="s">
        <v>74</v>
      </c>
      <c r="BH2615" t="s">
        <v>74</v>
      </c>
      <c r="BI2615">
        <v>18</v>
      </c>
      <c r="BJ2615" t="s">
        <v>182</v>
      </c>
      <c r="BK2615" t="s">
        <v>313</v>
      </c>
      <c r="BL2615" t="s">
        <v>184</v>
      </c>
      <c r="BM2615" t="s">
        <v>43792</v>
      </c>
      <c r="BN2615" t="s">
        <v>74</v>
      </c>
      <c r="BO2615" t="s">
        <v>212</v>
      </c>
      <c r="BP2615" t="s">
        <v>74</v>
      </c>
      <c r="BQ2615" t="s">
        <v>74</v>
      </c>
      <c r="BR2615" t="s">
        <v>102</v>
      </c>
      <c r="BS2615" t="s">
        <v>43793</v>
      </c>
      <c r="BT2615" t="str">
        <f>HYPERLINK("https%3A%2F%2Fwww.webofscience.com%2Fwos%2Fwoscc%2Ffull-record%2FWOS:000752470900010","View Full Record in Web of Science")</f>
        <v>View Full Record in Web of Science</v>
      </c>
    </row>
    <row r="2616" spans="1:72" x14ac:dyDescent="0.25">
      <c r="A2616" t="s">
        <v>72</v>
      </c>
      <c r="B2616" t="s">
        <v>43794</v>
      </c>
      <c r="C2616" t="s">
        <v>74</v>
      </c>
      <c r="D2616" t="s">
        <v>74</v>
      </c>
      <c r="E2616" t="s">
        <v>74</v>
      </c>
      <c r="F2616" t="s">
        <v>43795</v>
      </c>
      <c r="G2616" t="s">
        <v>74</v>
      </c>
      <c r="H2616" t="s">
        <v>74</v>
      </c>
      <c r="I2616" t="s">
        <v>43796</v>
      </c>
      <c r="J2616" t="s">
        <v>16089</v>
      </c>
      <c r="K2616" t="s">
        <v>74</v>
      </c>
      <c r="L2616" t="s">
        <v>74</v>
      </c>
      <c r="M2616" t="s">
        <v>78</v>
      </c>
      <c r="N2616" t="s">
        <v>79</v>
      </c>
      <c r="O2616" t="s">
        <v>74</v>
      </c>
      <c r="P2616" t="s">
        <v>74</v>
      </c>
      <c r="Q2616" t="s">
        <v>74</v>
      </c>
      <c r="R2616" t="s">
        <v>74</v>
      </c>
      <c r="S2616" t="s">
        <v>74</v>
      </c>
      <c r="T2616" t="s">
        <v>74</v>
      </c>
      <c r="U2616" t="s">
        <v>43797</v>
      </c>
      <c r="V2616" t="s">
        <v>43798</v>
      </c>
      <c r="W2616" t="s">
        <v>43799</v>
      </c>
      <c r="X2616" t="s">
        <v>43800</v>
      </c>
      <c r="Y2616" t="s">
        <v>43801</v>
      </c>
      <c r="Z2616" t="s">
        <v>43802</v>
      </c>
      <c r="AA2616" t="s">
        <v>74</v>
      </c>
      <c r="AB2616" t="s">
        <v>74</v>
      </c>
      <c r="AC2616" t="s">
        <v>43803</v>
      </c>
      <c r="AD2616" t="s">
        <v>43803</v>
      </c>
      <c r="AE2616" t="s">
        <v>43803</v>
      </c>
      <c r="AF2616" t="s">
        <v>74</v>
      </c>
      <c r="AG2616">
        <v>44</v>
      </c>
      <c r="AH2616">
        <v>11</v>
      </c>
      <c r="AI2616">
        <v>13</v>
      </c>
      <c r="AJ2616">
        <v>1</v>
      </c>
      <c r="AK2616">
        <v>6</v>
      </c>
      <c r="AL2616" t="s">
        <v>16099</v>
      </c>
      <c r="AM2616" t="s">
        <v>16100</v>
      </c>
      <c r="AN2616" t="s">
        <v>16101</v>
      </c>
      <c r="AO2616" t="s">
        <v>16102</v>
      </c>
      <c r="AP2616" t="s">
        <v>16103</v>
      </c>
      <c r="AQ2616" t="s">
        <v>74</v>
      </c>
      <c r="AR2616" t="s">
        <v>16104</v>
      </c>
      <c r="AS2616" t="s">
        <v>16105</v>
      </c>
      <c r="AT2616" t="s">
        <v>891</v>
      </c>
      <c r="AU2616">
        <v>2017</v>
      </c>
      <c r="AV2616">
        <v>26</v>
      </c>
      <c r="AW2616">
        <v>6</v>
      </c>
      <c r="AX2616" t="s">
        <v>74</v>
      </c>
      <c r="AY2616" t="s">
        <v>74</v>
      </c>
      <c r="AZ2616" t="s">
        <v>441</v>
      </c>
      <c r="BA2616" t="s">
        <v>74</v>
      </c>
      <c r="BB2616">
        <v>563</v>
      </c>
      <c r="BC2616">
        <v>574</v>
      </c>
      <c r="BD2616" t="s">
        <v>74</v>
      </c>
      <c r="BE2616" t="s">
        <v>43804</v>
      </c>
      <c r="BF2616" t="str">
        <f>HYPERLINK("http://dx.doi.org/10.1002/jsc.2168","http://dx.doi.org/10.1002/jsc.2168")</f>
        <v>http://dx.doi.org/10.1002/jsc.2168</v>
      </c>
      <c r="BG2616" t="s">
        <v>74</v>
      </c>
      <c r="BH2616" t="s">
        <v>74</v>
      </c>
      <c r="BI2616">
        <v>12</v>
      </c>
      <c r="BJ2616" t="s">
        <v>268</v>
      </c>
      <c r="BK2616" t="s">
        <v>313</v>
      </c>
      <c r="BL2616" t="s">
        <v>100</v>
      </c>
      <c r="BM2616" t="s">
        <v>20055</v>
      </c>
      <c r="BN2616" t="s">
        <v>74</v>
      </c>
      <c r="BO2616" t="s">
        <v>74</v>
      </c>
      <c r="BP2616" t="s">
        <v>74</v>
      </c>
      <c r="BQ2616" t="s">
        <v>74</v>
      </c>
      <c r="BR2616" t="s">
        <v>102</v>
      </c>
      <c r="BS2616" t="s">
        <v>43805</v>
      </c>
      <c r="BT2616" t="str">
        <f>HYPERLINK("https%3A%2F%2Fwww.webofscience.com%2Fwos%2Fwoscc%2Ffull-record%2FWOS:000415925100004","View Full Record in Web of Science")</f>
        <v>View Full Record in Web of Science</v>
      </c>
    </row>
    <row r="2617" spans="1:72" x14ac:dyDescent="0.25">
      <c r="A2617" t="s">
        <v>72</v>
      </c>
      <c r="B2617" t="s">
        <v>39119</v>
      </c>
      <c r="C2617" t="s">
        <v>74</v>
      </c>
      <c r="D2617" t="s">
        <v>74</v>
      </c>
      <c r="E2617" t="s">
        <v>74</v>
      </c>
      <c r="F2617" t="s">
        <v>39120</v>
      </c>
      <c r="G2617" t="s">
        <v>74</v>
      </c>
      <c r="H2617" t="s">
        <v>74</v>
      </c>
      <c r="I2617" t="s">
        <v>43806</v>
      </c>
      <c r="J2617" t="s">
        <v>17640</v>
      </c>
      <c r="K2617" t="s">
        <v>74</v>
      </c>
      <c r="L2617" t="s">
        <v>74</v>
      </c>
      <c r="M2617" t="s">
        <v>78</v>
      </c>
      <c r="N2617" t="s">
        <v>79</v>
      </c>
      <c r="O2617" t="s">
        <v>74</v>
      </c>
      <c r="P2617" t="s">
        <v>74</v>
      </c>
      <c r="Q2617" t="s">
        <v>74</v>
      </c>
      <c r="R2617" t="s">
        <v>74</v>
      </c>
      <c r="S2617" t="s">
        <v>74</v>
      </c>
      <c r="T2617" t="s">
        <v>74</v>
      </c>
      <c r="U2617" t="s">
        <v>43807</v>
      </c>
      <c r="V2617" t="s">
        <v>43808</v>
      </c>
      <c r="W2617" t="s">
        <v>43809</v>
      </c>
      <c r="X2617" t="s">
        <v>37147</v>
      </c>
      <c r="Y2617" t="s">
        <v>43810</v>
      </c>
      <c r="Z2617" t="s">
        <v>40794</v>
      </c>
      <c r="AA2617" t="s">
        <v>39128</v>
      </c>
      <c r="AB2617" t="s">
        <v>39129</v>
      </c>
      <c r="AC2617" t="s">
        <v>74</v>
      </c>
      <c r="AD2617" t="s">
        <v>74</v>
      </c>
      <c r="AE2617" t="s">
        <v>74</v>
      </c>
      <c r="AF2617" t="s">
        <v>74</v>
      </c>
      <c r="AG2617">
        <v>82</v>
      </c>
      <c r="AH2617">
        <v>0</v>
      </c>
      <c r="AI2617">
        <v>0</v>
      </c>
      <c r="AJ2617">
        <v>1</v>
      </c>
      <c r="AK2617">
        <v>4</v>
      </c>
      <c r="AL2617" t="s">
        <v>4666</v>
      </c>
      <c r="AM2617" t="s">
        <v>995</v>
      </c>
      <c r="AN2617" t="s">
        <v>4025</v>
      </c>
      <c r="AO2617" t="s">
        <v>74</v>
      </c>
      <c r="AP2617" t="s">
        <v>17649</v>
      </c>
      <c r="AQ2617" t="s">
        <v>74</v>
      </c>
      <c r="AR2617" t="s">
        <v>17650</v>
      </c>
      <c r="AS2617" t="s">
        <v>17651</v>
      </c>
      <c r="AT2617" t="s">
        <v>5915</v>
      </c>
      <c r="AU2617">
        <v>2024</v>
      </c>
      <c r="AV2617">
        <v>11</v>
      </c>
      <c r="AW2617">
        <v>1</v>
      </c>
      <c r="AX2617" t="s">
        <v>74</v>
      </c>
      <c r="AY2617" t="s">
        <v>74</v>
      </c>
      <c r="AZ2617" t="s">
        <v>74</v>
      </c>
      <c r="BA2617" t="s">
        <v>74</v>
      </c>
      <c r="BB2617" t="s">
        <v>74</v>
      </c>
      <c r="BC2617" t="s">
        <v>74</v>
      </c>
      <c r="BD2617">
        <v>764</v>
      </c>
      <c r="BE2617" t="s">
        <v>43811</v>
      </c>
      <c r="BF2617" t="str">
        <f>HYPERLINK("http://dx.doi.org/10.1057/s41599-024-03213-z","http://dx.doi.org/10.1057/s41599-024-03213-z")</f>
        <v>http://dx.doi.org/10.1057/s41599-024-03213-z</v>
      </c>
      <c r="BG2617" t="s">
        <v>74</v>
      </c>
      <c r="BH2617" t="s">
        <v>74</v>
      </c>
      <c r="BI2617">
        <v>11</v>
      </c>
      <c r="BJ2617" t="s">
        <v>17654</v>
      </c>
      <c r="BK2617" t="s">
        <v>871</v>
      </c>
      <c r="BL2617" t="s">
        <v>17655</v>
      </c>
      <c r="BM2617" t="s">
        <v>43812</v>
      </c>
      <c r="BN2617" t="s">
        <v>74</v>
      </c>
      <c r="BO2617" t="s">
        <v>916</v>
      </c>
      <c r="BP2617" t="s">
        <v>74</v>
      </c>
      <c r="BQ2617" t="s">
        <v>74</v>
      </c>
      <c r="BR2617" t="s">
        <v>102</v>
      </c>
      <c r="BS2617" t="s">
        <v>43813</v>
      </c>
      <c r="BT2617" t="str">
        <f>HYPERLINK("https%3A%2F%2Fwww.webofscience.com%2Fwos%2Fwoscc%2Ffull-record%2FWOS:001249163400001","View Full Record in Web of Science")</f>
        <v>View Full Record in Web of Science</v>
      </c>
    </row>
    <row r="2618" spans="1:72" x14ac:dyDescent="0.25">
      <c r="A2618" t="s">
        <v>132</v>
      </c>
      <c r="B2618" t="s">
        <v>43814</v>
      </c>
      <c r="C2618" t="s">
        <v>74</v>
      </c>
      <c r="D2618" t="s">
        <v>43815</v>
      </c>
      <c r="E2618" t="s">
        <v>74</v>
      </c>
      <c r="F2618" t="s">
        <v>43816</v>
      </c>
      <c r="G2618" t="s">
        <v>74</v>
      </c>
      <c r="H2618" t="s">
        <v>74</v>
      </c>
      <c r="I2618" t="s">
        <v>43817</v>
      </c>
      <c r="J2618" t="s">
        <v>43818</v>
      </c>
      <c r="K2618" t="s">
        <v>7155</v>
      </c>
      <c r="L2618" t="s">
        <v>74</v>
      </c>
      <c r="M2618" t="s">
        <v>78</v>
      </c>
      <c r="N2618" t="s">
        <v>138</v>
      </c>
      <c r="O2618" t="s">
        <v>43819</v>
      </c>
      <c r="P2618" t="s">
        <v>43820</v>
      </c>
      <c r="Q2618" t="s">
        <v>543</v>
      </c>
      <c r="R2618" t="s">
        <v>74</v>
      </c>
      <c r="S2618" t="s">
        <v>74</v>
      </c>
      <c r="T2618" t="s">
        <v>43821</v>
      </c>
      <c r="U2618" t="s">
        <v>74</v>
      </c>
      <c r="V2618" t="s">
        <v>43822</v>
      </c>
      <c r="W2618" t="s">
        <v>43823</v>
      </c>
      <c r="X2618" t="s">
        <v>43824</v>
      </c>
      <c r="Y2618" t="s">
        <v>43825</v>
      </c>
      <c r="Z2618" t="s">
        <v>43826</v>
      </c>
      <c r="AA2618" t="s">
        <v>43827</v>
      </c>
      <c r="AB2618" t="s">
        <v>74</v>
      </c>
      <c r="AC2618" t="s">
        <v>74</v>
      </c>
      <c r="AD2618" t="s">
        <v>74</v>
      </c>
      <c r="AE2618" t="s">
        <v>74</v>
      </c>
      <c r="AF2618" t="s">
        <v>74</v>
      </c>
      <c r="AG2618">
        <v>4</v>
      </c>
      <c r="AH2618">
        <v>0</v>
      </c>
      <c r="AI2618">
        <v>0</v>
      </c>
      <c r="AJ2618">
        <v>0</v>
      </c>
      <c r="AK2618">
        <v>10</v>
      </c>
      <c r="AL2618" t="s">
        <v>7166</v>
      </c>
      <c r="AM2618" t="s">
        <v>7167</v>
      </c>
      <c r="AN2618" t="s">
        <v>7168</v>
      </c>
      <c r="AO2618" t="s">
        <v>7169</v>
      </c>
      <c r="AP2618" t="s">
        <v>74</v>
      </c>
      <c r="AQ2618" t="s">
        <v>43828</v>
      </c>
      <c r="AR2618" t="s">
        <v>7171</v>
      </c>
      <c r="AS2618" t="s">
        <v>74</v>
      </c>
      <c r="AT2618" t="s">
        <v>74</v>
      </c>
      <c r="AU2618">
        <v>2016</v>
      </c>
      <c r="AV2618">
        <v>18</v>
      </c>
      <c r="AW2618" t="s">
        <v>74</v>
      </c>
      <c r="AX2618" t="s">
        <v>74</v>
      </c>
      <c r="AY2618" t="s">
        <v>74</v>
      </c>
      <c r="AZ2618" t="s">
        <v>74</v>
      </c>
      <c r="BA2618" t="s">
        <v>74</v>
      </c>
      <c r="BB2618">
        <v>101</v>
      </c>
      <c r="BC2618">
        <v>108</v>
      </c>
      <c r="BD2618" t="s">
        <v>74</v>
      </c>
      <c r="BE2618" t="s">
        <v>74</v>
      </c>
      <c r="BF2618" t="s">
        <v>74</v>
      </c>
      <c r="BG2618" t="s">
        <v>74</v>
      </c>
      <c r="BH2618" t="s">
        <v>74</v>
      </c>
      <c r="BI2618">
        <v>8</v>
      </c>
      <c r="BJ2618" t="s">
        <v>43829</v>
      </c>
      <c r="BK2618" t="s">
        <v>183</v>
      </c>
      <c r="BL2618" t="s">
        <v>100</v>
      </c>
      <c r="BM2618" t="s">
        <v>43830</v>
      </c>
      <c r="BN2618" t="s">
        <v>74</v>
      </c>
      <c r="BO2618" t="s">
        <v>74</v>
      </c>
      <c r="BP2618" t="s">
        <v>74</v>
      </c>
      <c r="BQ2618" t="s">
        <v>74</v>
      </c>
      <c r="BR2618" t="s">
        <v>102</v>
      </c>
      <c r="BS2618" t="s">
        <v>43831</v>
      </c>
      <c r="BT2618" t="str">
        <f>HYPERLINK("https%3A%2F%2Fwww.webofscience.com%2Fwos%2Fwoscc%2Ffull-record%2FWOS:000390913100016","View Full Record in Web of Science")</f>
        <v>View Full Record in Web of Science</v>
      </c>
    </row>
    <row r="2619" spans="1:72" x14ac:dyDescent="0.25">
      <c r="A2619" t="s">
        <v>72</v>
      </c>
      <c r="B2619" t="s">
        <v>43832</v>
      </c>
      <c r="C2619" t="s">
        <v>74</v>
      </c>
      <c r="D2619" t="s">
        <v>74</v>
      </c>
      <c r="E2619" t="s">
        <v>74</v>
      </c>
      <c r="F2619" t="s">
        <v>43833</v>
      </c>
      <c r="G2619" t="s">
        <v>74</v>
      </c>
      <c r="H2619" t="s">
        <v>74</v>
      </c>
      <c r="I2619" t="s">
        <v>43834</v>
      </c>
      <c r="J2619" t="s">
        <v>43835</v>
      </c>
      <c r="K2619" t="s">
        <v>74</v>
      </c>
      <c r="L2619" t="s">
        <v>74</v>
      </c>
      <c r="M2619" t="s">
        <v>78</v>
      </c>
      <c r="N2619" t="s">
        <v>79</v>
      </c>
      <c r="O2619" t="s">
        <v>74</v>
      </c>
      <c r="P2619" t="s">
        <v>74</v>
      </c>
      <c r="Q2619" t="s">
        <v>74</v>
      </c>
      <c r="R2619" t="s">
        <v>74</v>
      </c>
      <c r="S2619" t="s">
        <v>74</v>
      </c>
      <c r="T2619" t="s">
        <v>43836</v>
      </c>
      <c r="U2619" t="s">
        <v>43837</v>
      </c>
      <c r="V2619" t="s">
        <v>43838</v>
      </c>
      <c r="W2619" t="s">
        <v>43839</v>
      </c>
      <c r="X2619" t="s">
        <v>43840</v>
      </c>
      <c r="Y2619" t="s">
        <v>43841</v>
      </c>
      <c r="Z2619" t="s">
        <v>43842</v>
      </c>
      <c r="AA2619" t="s">
        <v>43843</v>
      </c>
      <c r="AB2619" t="s">
        <v>43844</v>
      </c>
      <c r="AC2619" t="s">
        <v>74</v>
      </c>
      <c r="AD2619" t="s">
        <v>74</v>
      </c>
      <c r="AE2619" t="s">
        <v>74</v>
      </c>
      <c r="AF2619" t="s">
        <v>74</v>
      </c>
      <c r="AG2619">
        <v>46</v>
      </c>
      <c r="AH2619">
        <v>1</v>
      </c>
      <c r="AI2619">
        <v>3</v>
      </c>
      <c r="AJ2619">
        <v>0</v>
      </c>
      <c r="AK2619">
        <v>6</v>
      </c>
      <c r="AL2619" t="s">
        <v>2371</v>
      </c>
      <c r="AM2619" t="s">
        <v>2372</v>
      </c>
      <c r="AN2619" t="s">
        <v>2373</v>
      </c>
      <c r="AO2619" t="s">
        <v>43845</v>
      </c>
      <c r="AP2619" t="s">
        <v>43846</v>
      </c>
      <c r="AQ2619" t="s">
        <v>74</v>
      </c>
      <c r="AR2619" t="s">
        <v>43847</v>
      </c>
      <c r="AS2619" t="s">
        <v>43848</v>
      </c>
      <c r="AT2619" t="s">
        <v>74</v>
      </c>
      <c r="AU2619">
        <v>2020</v>
      </c>
      <c r="AV2619">
        <v>12</v>
      </c>
      <c r="AW2619">
        <v>4</v>
      </c>
      <c r="AX2619" t="s">
        <v>74</v>
      </c>
      <c r="AY2619" t="s">
        <v>74</v>
      </c>
      <c r="AZ2619" t="s">
        <v>441</v>
      </c>
      <c r="BA2619" t="s">
        <v>74</v>
      </c>
      <c r="BB2619">
        <v>395</v>
      </c>
      <c r="BC2619">
        <v>419</v>
      </c>
      <c r="BD2619" t="s">
        <v>74</v>
      </c>
      <c r="BE2619" t="s">
        <v>74</v>
      </c>
      <c r="BF2619" t="s">
        <v>74</v>
      </c>
      <c r="BG2619" t="s">
        <v>74</v>
      </c>
      <c r="BH2619" t="s">
        <v>74</v>
      </c>
      <c r="BI2619">
        <v>25</v>
      </c>
      <c r="BJ2619" t="s">
        <v>583</v>
      </c>
      <c r="BK2619" t="s">
        <v>313</v>
      </c>
      <c r="BL2619" t="s">
        <v>100</v>
      </c>
      <c r="BM2619" t="s">
        <v>43849</v>
      </c>
      <c r="BN2619" t="s">
        <v>74</v>
      </c>
      <c r="BO2619" t="s">
        <v>74</v>
      </c>
      <c r="BP2619" t="s">
        <v>74</v>
      </c>
      <c r="BQ2619" t="s">
        <v>74</v>
      </c>
      <c r="BR2619" t="s">
        <v>102</v>
      </c>
      <c r="BS2619" t="s">
        <v>43850</v>
      </c>
      <c r="BT2619" t="str">
        <f>HYPERLINK("https%3A%2F%2Fwww.webofscience.com%2Fwos%2Fwoscc%2Ffull-record%2FWOS:000573075200003","View Full Record in Web of Science")</f>
        <v>View Full Record in Web of Science</v>
      </c>
    </row>
    <row r="2620" spans="1:72" x14ac:dyDescent="0.25">
      <c r="A2620" t="s">
        <v>72</v>
      </c>
      <c r="B2620" t="s">
        <v>43851</v>
      </c>
      <c r="C2620" t="s">
        <v>74</v>
      </c>
      <c r="D2620" t="s">
        <v>74</v>
      </c>
      <c r="E2620" t="s">
        <v>74</v>
      </c>
      <c r="F2620" t="s">
        <v>43852</v>
      </c>
      <c r="G2620" t="s">
        <v>74</v>
      </c>
      <c r="H2620" t="s">
        <v>74</v>
      </c>
      <c r="I2620" t="s">
        <v>43853</v>
      </c>
      <c r="J2620" t="s">
        <v>10469</v>
      </c>
      <c r="K2620" t="s">
        <v>74</v>
      </c>
      <c r="L2620" t="s">
        <v>74</v>
      </c>
      <c r="M2620" t="s">
        <v>78</v>
      </c>
      <c r="N2620" t="s">
        <v>79</v>
      </c>
      <c r="O2620" t="s">
        <v>74</v>
      </c>
      <c r="P2620" t="s">
        <v>74</v>
      </c>
      <c r="Q2620" t="s">
        <v>74</v>
      </c>
      <c r="R2620" t="s">
        <v>74</v>
      </c>
      <c r="S2620" t="s">
        <v>74</v>
      </c>
      <c r="T2620" t="s">
        <v>43854</v>
      </c>
      <c r="U2620" t="s">
        <v>74</v>
      </c>
      <c r="V2620" t="s">
        <v>43855</v>
      </c>
      <c r="W2620" t="s">
        <v>43856</v>
      </c>
      <c r="X2620" t="s">
        <v>43857</v>
      </c>
      <c r="Y2620" t="s">
        <v>43858</v>
      </c>
      <c r="Z2620" t="s">
        <v>43859</v>
      </c>
      <c r="AA2620" t="s">
        <v>74</v>
      </c>
      <c r="AB2620" t="s">
        <v>43860</v>
      </c>
      <c r="AC2620" t="s">
        <v>43861</v>
      </c>
      <c r="AD2620" t="s">
        <v>43861</v>
      </c>
      <c r="AE2620" t="s">
        <v>43862</v>
      </c>
      <c r="AF2620" t="s">
        <v>74</v>
      </c>
      <c r="AG2620">
        <v>36</v>
      </c>
      <c r="AH2620">
        <v>21</v>
      </c>
      <c r="AI2620">
        <v>27</v>
      </c>
      <c r="AJ2620">
        <v>0</v>
      </c>
      <c r="AK2620">
        <v>8</v>
      </c>
      <c r="AL2620" t="s">
        <v>332</v>
      </c>
      <c r="AM2620" t="s">
        <v>333</v>
      </c>
      <c r="AN2620" t="s">
        <v>334</v>
      </c>
      <c r="AO2620" t="s">
        <v>10477</v>
      </c>
      <c r="AP2620" t="s">
        <v>10478</v>
      </c>
      <c r="AQ2620" t="s">
        <v>74</v>
      </c>
      <c r="AR2620" t="s">
        <v>10479</v>
      </c>
      <c r="AS2620" t="s">
        <v>10480</v>
      </c>
      <c r="AT2620" t="s">
        <v>74</v>
      </c>
      <c r="AU2620">
        <v>2018</v>
      </c>
      <c r="AV2620">
        <v>28</v>
      </c>
      <c r="AW2620">
        <v>1</v>
      </c>
      <c r="AX2620" t="s">
        <v>74</v>
      </c>
      <c r="AY2620" t="s">
        <v>74</v>
      </c>
      <c r="AZ2620" t="s">
        <v>74</v>
      </c>
      <c r="BA2620" t="s">
        <v>74</v>
      </c>
      <c r="BB2620">
        <v>51</v>
      </c>
      <c r="BC2620">
        <v>64</v>
      </c>
      <c r="BD2620" t="s">
        <v>74</v>
      </c>
      <c r="BE2620" t="s">
        <v>43863</v>
      </c>
      <c r="BF2620" t="str">
        <f>HYPERLINK("http://dx.doi.org/10.1080/09614524.2018.1397102","http://dx.doi.org/10.1080/09614524.2018.1397102")</f>
        <v>http://dx.doi.org/10.1080/09614524.2018.1397102</v>
      </c>
      <c r="BG2620" t="s">
        <v>74</v>
      </c>
      <c r="BH2620" t="s">
        <v>74</v>
      </c>
      <c r="BI2620">
        <v>14</v>
      </c>
      <c r="BJ2620" t="s">
        <v>1137</v>
      </c>
      <c r="BK2620" t="s">
        <v>313</v>
      </c>
      <c r="BL2620" t="s">
        <v>1137</v>
      </c>
      <c r="BM2620" t="s">
        <v>43864</v>
      </c>
      <c r="BN2620" t="s">
        <v>74</v>
      </c>
      <c r="BO2620" t="s">
        <v>1205</v>
      </c>
      <c r="BP2620" t="s">
        <v>74</v>
      </c>
      <c r="BQ2620" t="s">
        <v>74</v>
      </c>
      <c r="BR2620" t="s">
        <v>102</v>
      </c>
      <c r="BS2620" t="s">
        <v>43865</v>
      </c>
      <c r="BT2620" t="str">
        <f>HYPERLINK("https%3A%2F%2Fwww.webofscience.com%2Fwos%2Fwoscc%2Ffull-record%2FWOS:000423427800005","View Full Record in Web of Science")</f>
        <v>View Full Record in Web of Science</v>
      </c>
    </row>
    <row r="2621" spans="1:72" x14ac:dyDescent="0.25">
      <c r="A2621" t="s">
        <v>72</v>
      </c>
      <c r="B2621" t="s">
        <v>38060</v>
      </c>
      <c r="C2621" t="s">
        <v>74</v>
      </c>
      <c r="D2621" t="s">
        <v>74</v>
      </c>
      <c r="E2621" t="s">
        <v>74</v>
      </c>
      <c r="F2621" t="s">
        <v>38061</v>
      </c>
      <c r="G2621" t="s">
        <v>74</v>
      </c>
      <c r="H2621" t="s">
        <v>74</v>
      </c>
      <c r="I2621" t="s">
        <v>43866</v>
      </c>
      <c r="J2621" t="s">
        <v>20670</v>
      </c>
      <c r="K2621" t="s">
        <v>74</v>
      </c>
      <c r="L2621" t="s">
        <v>74</v>
      </c>
      <c r="M2621" t="s">
        <v>78</v>
      </c>
      <c r="N2621" t="s">
        <v>79</v>
      </c>
      <c r="O2621" t="s">
        <v>74</v>
      </c>
      <c r="P2621" t="s">
        <v>74</v>
      </c>
      <c r="Q2621" t="s">
        <v>74</v>
      </c>
      <c r="R2621" t="s">
        <v>74</v>
      </c>
      <c r="S2621" t="s">
        <v>74</v>
      </c>
      <c r="T2621" t="s">
        <v>43867</v>
      </c>
      <c r="U2621" t="s">
        <v>43868</v>
      </c>
      <c r="V2621" t="s">
        <v>43869</v>
      </c>
      <c r="W2621" t="s">
        <v>43870</v>
      </c>
      <c r="X2621" t="s">
        <v>29100</v>
      </c>
      <c r="Y2621" t="s">
        <v>43871</v>
      </c>
      <c r="Z2621" t="s">
        <v>43872</v>
      </c>
      <c r="AA2621" t="s">
        <v>38071</v>
      </c>
      <c r="AB2621" t="s">
        <v>74</v>
      </c>
      <c r="AC2621" t="s">
        <v>74</v>
      </c>
      <c r="AD2621" t="s">
        <v>74</v>
      </c>
      <c r="AE2621" t="s">
        <v>74</v>
      </c>
      <c r="AF2621" t="s">
        <v>74</v>
      </c>
      <c r="AG2621">
        <v>108</v>
      </c>
      <c r="AH2621">
        <v>22</v>
      </c>
      <c r="AI2621">
        <v>26</v>
      </c>
      <c r="AJ2621">
        <v>2</v>
      </c>
      <c r="AK2621">
        <v>33</v>
      </c>
      <c r="AL2621" t="s">
        <v>201</v>
      </c>
      <c r="AM2621" t="s">
        <v>202</v>
      </c>
      <c r="AN2621" t="s">
        <v>203</v>
      </c>
      <c r="AO2621" t="s">
        <v>20660</v>
      </c>
      <c r="AP2621" t="s">
        <v>20659</v>
      </c>
      <c r="AQ2621" t="s">
        <v>74</v>
      </c>
      <c r="AR2621" t="s">
        <v>20658</v>
      </c>
      <c r="AS2621" t="s">
        <v>20657</v>
      </c>
      <c r="AT2621" t="s">
        <v>605</v>
      </c>
      <c r="AU2621">
        <v>2021</v>
      </c>
      <c r="AV2621">
        <v>29</v>
      </c>
      <c r="AW2621" t="s">
        <v>74</v>
      </c>
      <c r="AX2621" t="s">
        <v>74</v>
      </c>
      <c r="AY2621" t="s">
        <v>74</v>
      </c>
      <c r="AZ2621" t="s">
        <v>74</v>
      </c>
      <c r="BA2621" t="s">
        <v>74</v>
      </c>
      <c r="BB2621" t="s">
        <v>74</v>
      </c>
      <c r="BC2621" t="s">
        <v>74</v>
      </c>
      <c r="BD2621">
        <v>100461</v>
      </c>
      <c r="BE2621" t="s">
        <v>43873</v>
      </c>
      <c r="BF2621" t="str">
        <f>HYPERLINK("http://dx.doi.org/10.1016/j.jbef.2021.100461","http://dx.doi.org/10.1016/j.jbef.2021.100461")</f>
        <v>http://dx.doi.org/10.1016/j.jbef.2021.100461</v>
      </c>
      <c r="BG2621" t="s">
        <v>74</v>
      </c>
      <c r="BH2621" t="s">
        <v>11556</v>
      </c>
      <c r="BI2621">
        <v>12</v>
      </c>
      <c r="BJ2621" t="s">
        <v>210</v>
      </c>
      <c r="BK2621" t="s">
        <v>99</v>
      </c>
      <c r="BL2621" t="s">
        <v>100</v>
      </c>
      <c r="BM2621" t="s">
        <v>43874</v>
      </c>
      <c r="BN2621" t="s">
        <v>74</v>
      </c>
      <c r="BO2621" t="s">
        <v>74</v>
      </c>
      <c r="BP2621" t="s">
        <v>74</v>
      </c>
      <c r="BQ2621" t="s">
        <v>74</v>
      </c>
      <c r="BR2621" t="s">
        <v>102</v>
      </c>
      <c r="BS2621" t="s">
        <v>43875</v>
      </c>
      <c r="BT2621" t="str">
        <f>HYPERLINK("https%3A%2F%2Fwww.webofscience.com%2Fwos%2Fwoscc%2Ffull-record%2FWOS:000632618200011","View Full Record in Web of Science")</f>
        <v>View Full Record in Web of Science</v>
      </c>
    </row>
    <row r="2622" spans="1:72" x14ac:dyDescent="0.25">
      <c r="A2622" t="s">
        <v>72</v>
      </c>
      <c r="B2622" t="s">
        <v>43876</v>
      </c>
      <c r="C2622" t="s">
        <v>74</v>
      </c>
      <c r="D2622" t="s">
        <v>74</v>
      </c>
      <c r="E2622" t="s">
        <v>74</v>
      </c>
      <c r="F2622" t="s">
        <v>43877</v>
      </c>
      <c r="G2622" t="s">
        <v>74</v>
      </c>
      <c r="H2622" t="s">
        <v>74</v>
      </c>
      <c r="I2622" t="s">
        <v>43878</v>
      </c>
      <c r="J2622" t="s">
        <v>43879</v>
      </c>
      <c r="K2622" t="s">
        <v>74</v>
      </c>
      <c r="L2622" t="s">
        <v>74</v>
      </c>
      <c r="M2622" t="s">
        <v>78</v>
      </c>
      <c r="N2622" t="s">
        <v>79</v>
      </c>
      <c r="O2622" t="s">
        <v>74</v>
      </c>
      <c r="P2622" t="s">
        <v>74</v>
      </c>
      <c r="Q2622" t="s">
        <v>74</v>
      </c>
      <c r="R2622" t="s">
        <v>74</v>
      </c>
      <c r="S2622" t="s">
        <v>74</v>
      </c>
      <c r="T2622" t="s">
        <v>43880</v>
      </c>
      <c r="U2622" t="s">
        <v>74</v>
      </c>
      <c r="V2622" t="s">
        <v>43881</v>
      </c>
      <c r="W2622" t="s">
        <v>43882</v>
      </c>
      <c r="X2622" t="s">
        <v>9052</v>
      </c>
      <c r="Y2622" t="s">
        <v>43883</v>
      </c>
      <c r="Z2622" t="s">
        <v>43884</v>
      </c>
      <c r="AA2622" t="s">
        <v>74</v>
      </c>
      <c r="AB2622" t="s">
        <v>74</v>
      </c>
      <c r="AC2622" t="s">
        <v>74</v>
      </c>
      <c r="AD2622" t="s">
        <v>74</v>
      </c>
      <c r="AE2622" t="s">
        <v>74</v>
      </c>
      <c r="AF2622" t="s">
        <v>74</v>
      </c>
      <c r="AG2622">
        <v>31</v>
      </c>
      <c r="AH2622">
        <v>0</v>
      </c>
      <c r="AI2622">
        <v>0</v>
      </c>
      <c r="AJ2622">
        <v>0</v>
      </c>
      <c r="AK2622">
        <v>1</v>
      </c>
      <c r="AL2622" t="s">
        <v>43885</v>
      </c>
      <c r="AM2622" t="s">
        <v>600</v>
      </c>
      <c r="AN2622" t="s">
        <v>43886</v>
      </c>
      <c r="AO2622" t="s">
        <v>43887</v>
      </c>
      <c r="AP2622" t="s">
        <v>43888</v>
      </c>
      <c r="AQ2622" t="s">
        <v>74</v>
      </c>
      <c r="AR2622" t="s">
        <v>43889</v>
      </c>
      <c r="AS2622" t="s">
        <v>43890</v>
      </c>
      <c r="AT2622" t="s">
        <v>74</v>
      </c>
      <c r="AU2622">
        <v>2024</v>
      </c>
      <c r="AV2622">
        <v>30</v>
      </c>
      <c r="AW2622" t="s">
        <v>74</v>
      </c>
      <c r="AX2622" t="s">
        <v>74</v>
      </c>
      <c r="AY2622" t="s">
        <v>74</v>
      </c>
      <c r="AZ2622" t="s">
        <v>74</v>
      </c>
      <c r="BA2622" t="s">
        <v>74</v>
      </c>
      <c r="BB2622" t="s">
        <v>74</v>
      </c>
      <c r="BC2622" t="s">
        <v>74</v>
      </c>
      <c r="BD2622" t="s">
        <v>43891</v>
      </c>
      <c r="BE2622" t="s">
        <v>74</v>
      </c>
      <c r="BF2622" t="s">
        <v>74</v>
      </c>
      <c r="BG2622" t="s">
        <v>74</v>
      </c>
      <c r="BH2622" t="s">
        <v>74</v>
      </c>
      <c r="BI2622">
        <v>13</v>
      </c>
      <c r="BJ2622" t="s">
        <v>583</v>
      </c>
      <c r="BK2622" t="s">
        <v>313</v>
      </c>
      <c r="BL2622" t="s">
        <v>100</v>
      </c>
      <c r="BM2622" t="s">
        <v>43892</v>
      </c>
      <c r="BN2622" t="s">
        <v>74</v>
      </c>
      <c r="BO2622" t="s">
        <v>74</v>
      </c>
      <c r="BP2622" t="s">
        <v>74</v>
      </c>
      <c r="BQ2622" t="s">
        <v>74</v>
      </c>
      <c r="BR2622" t="s">
        <v>102</v>
      </c>
      <c r="BS2622" t="s">
        <v>43893</v>
      </c>
      <c r="BT2622" t="str">
        <f>HYPERLINK("https%3A%2F%2Fwww.webofscience.com%2Fwos%2Fwoscc%2Ffull-record%2FWOS:001458818400001","View Full Record in Web of Science")</f>
        <v>View Full Record in Web of Science</v>
      </c>
    </row>
    <row r="2623" spans="1:72" x14ac:dyDescent="0.25">
      <c r="A2623" t="s">
        <v>72</v>
      </c>
      <c r="B2623" t="s">
        <v>43894</v>
      </c>
      <c r="C2623" t="s">
        <v>74</v>
      </c>
      <c r="D2623" t="s">
        <v>74</v>
      </c>
      <c r="E2623" t="s">
        <v>74</v>
      </c>
      <c r="F2623" t="s">
        <v>43895</v>
      </c>
      <c r="G2623" t="s">
        <v>74</v>
      </c>
      <c r="H2623" t="s">
        <v>74</v>
      </c>
      <c r="I2623" t="s">
        <v>43896</v>
      </c>
      <c r="J2623" t="s">
        <v>17444</v>
      </c>
      <c r="K2623" t="s">
        <v>74</v>
      </c>
      <c r="L2623" t="s">
        <v>74</v>
      </c>
      <c r="M2623" t="s">
        <v>78</v>
      </c>
      <c r="N2623" t="s">
        <v>79</v>
      </c>
      <c r="O2623" t="s">
        <v>74</v>
      </c>
      <c r="P2623" t="s">
        <v>74</v>
      </c>
      <c r="Q2623" t="s">
        <v>74</v>
      </c>
      <c r="R2623" t="s">
        <v>74</v>
      </c>
      <c r="S2623" t="s">
        <v>74</v>
      </c>
      <c r="T2623" t="s">
        <v>43897</v>
      </c>
      <c r="U2623" t="s">
        <v>43898</v>
      </c>
      <c r="V2623" t="s">
        <v>43899</v>
      </c>
      <c r="W2623" t="s">
        <v>43900</v>
      </c>
      <c r="X2623" t="s">
        <v>37497</v>
      </c>
      <c r="Y2623" t="s">
        <v>43901</v>
      </c>
      <c r="Z2623" t="s">
        <v>43902</v>
      </c>
      <c r="AA2623" t="s">
        <v>74</v>
      </c>
      <c r="AB2623" t="s">
        <v>74</v>
      </c>
      <c r="AC2623" t="s">
        <v>74</v>
      </c>
      <c r="AD2623" t="s">
        <v>74</v>
      </c>
      <c r="AE2623" t="s">
        <v>74</v>
      </c>
      <c r="AF2623" t="s">
        <v>74</v>
      </c>
      <c r="AG2623">
        <v>79</v>
      </c>
      <c r="AH2623">
        <v>9</v>
      </c>
      <c r="AI2623">
        <v>11</v>
      </c>
      <c r="AJ2623">
        <v>1</v>
      </c>
      <c r="AK2623">
        <v>17</v>
      </c>
      <c r="AL2623" t="s">
        <v>89</v>
      </c>
      <c r="AM2623" t="s">
        <v>1497</v>
      </c>
      <c r="AN2623" t="s">
        <v>1498</v>
      </c>
      <c r="AO2623" t="s">
        <v>17454</v>
      </c>
      <c r="AP2623" t="s">
        <v>17455</v>
      </c>
      <c r="AQ2623" t="s">
        <v>74</v>
      </c>
      <c r="AR2623" t="s">
        <v>17456</v>
      </c>
      <c r="AS2623" t="s">
        <v>17457</v>
      </c>
      <c r="AT2623" t="s">
        <v>6815</v>
      </c>
      <c r="AU2623">
        <v>2022</v>
      </c>
      <c r="AV2623">
        <v>48</v>
      </c>
      <c r="AW2623">
        <v>4</v>
      </c>
      <c r="AX2623" t="s">
        <v>74</v>
      </c>
      <c r="AY2623" t="s">
        <v>74</v>
      </c>
      <c r="AZ2623" t="s">
        <v>74</v>
      </c>
      <c r="BA2623" t="s">
        <v>74</v>
      </c>
      <c r="BB2623">
        <v>611</v>
      </c>
      <c r="BC2623">
        <v>628</v>
      </c>
      <c r="BD2623" t="s">
        <v>74</v>
      </c>
      <c r="BE2623" t="s">
        <v>43903</v>
      </c>
      <c r="BF2623" t="str">
        <f>HYPERLINK("http://dx.doi.org/10.1108/MF-05-2021-0195","http://dx.doi.org/10.1108/MF-05-2021-0195")</f>
        <v>http://dx.doi.org/10.1108/MF-05-2021-0195</v>
      </c>
      <c r="BG2623" t="s">
        <v>74</v>
      </c>
      <c r="BH2623" t="s">
        <v>674</v>
      </c>
      <c r="BI2623">
        <v>18</v>
      </c>
      <c r="BJ2623" t="s">
        <v>268</v>
      </c>
      <c r="BK2623" t="s">
        <v>313</v>
      </c>
      <c r="BL2623" t="s">
        <v>100</v>
      </c>
      <c r="BM2623" t="s">
        <v>43904</v>
      </c>
      <c r="BN2623" t="s">
        <v>74</v>
      </c>
      <c r="BO2623" t="s">
        <v>74</v>
      </c>
      <c r="BP2623" t="s">
        <v>74</v>
      </c>
      <c r="BQ2623" t="s">
        <v>74</v>
      </c>
      <c r="BR2623" t="s">
        <v>102</v>
      </c>
      <c r="BS2623" t="s">
        <v>43905</v>
      </c>
      <c r="BT2623" t="str">
        <f>HYPERLINK("https%3A%2F%2Fwww.webofscience.com%2Fwos%2Fwoscc%2Ffull-record%2FWOS:000758973400001","View Full Record in Web of Science")</f>
        <v>View Full Record in Web of Science</v>
      </c>
    </row>
    <row r="2624" spans="1:72" x14ac:dyDescent="0.25">
      <c r="A2624" t="s">
        <v>72</v>
      </c>
      <c r="B2624" t="s">
        <v>43906</v>
      </c>
      <c r="C2624" t="s">
        <v>74</v>
      </c>
      <c r="D2624" t="s">
        <v>74</v>
      </c>
      <c r="E2624" t="s">
        <v>74</v>
      </c>
      <c r="F2624" t="s">
        <v>43907</v>
      </c>
      <c r="G2624" t="s">
        <v>74</v>
      </c>
      <c r="H2624" t="s">
        <v>74</v>
      </c>
      <c r="I2624" t="s">
        <v>43908</v>
      </c>
      <c r="J2624" t="s">
        <v>7004</v>
      </c>
      <c r="K2624" t="s">
        <v>74</v>
      </c>
      <c r="L2624" t="s">
        <v>74</v>
      </c>
      <c r="M2624" t="s">
        <v>78</v>
      </c>
      <c r="N2624" t="s">
        <v>79</v>
      </c>
      <c r="O2624" t="s">
        <v>74</v>
      </c>
      <c r="P2624" t="s">
        <v>74</v>
      </c>
      <c r="Q2624" t="s">
        <v>74</v>
      </c>
      <c r="R2624" t="s">
        <v>74</v>
      </c>
      <c r="S2624" t="s">
        <v>74</v>
      </c>
      <c r="T2624" t="s">
        <v>43909</v>
      </c>
      <c r="U2624" t="s">
        <v>43910</v>
      </c>
      <c r="V2624" t="s">
        <v>43911</v>
      </c>
      <c r="W2624" t="s">
        <v>43912</v>
      </c>
      <c r="X2624" t="s">
        <v>43913</v>
      </c>
      <c r="Y2624" t="s">
        <v>43914</v>
      </c>
      <c r="Z2624" t="s">
        <v>43915</v>
      </c>
      <c r="AA2624" t="s">
        <v>74</v>
      </c>
      <c r="AB2624" t="s">
        <v>43916</v>
      </c>
      <c r="AC2624" t="s">
        <v>74</v>
      </c>
      <c r="AD2624" t="s">
        <v>74</v>
      </c>
      <c r="AE2624" t="s">
        <v>74</v>
      </c>
      <c r="AF2624" t="s">
        <v>74</v>
      </c>
      <c r="AG2624">
        <v>101</v>
      </c>
      <c r="AH2624">
        <v>0</v>
      </c>
      <c r="AI2624">
        <v>0</v>
      </c>
      <c r="AJ2624">
        <v>1</v>
      </c>
      <c r="AK2624">
        <v>1</v>
      </c>
      <c r="AL2624" t="s">
        <v>7014</v>
      </c>
      <c r="AM2624" t="s">
        <v>7015</v>
      </c>
      <c r="AN2624" t="s">
        <v>7016</v>
      </c>
      <c r="AO2624" t="s">
        <v>74</v>
      </c>
      <c r="AP2624" t="s">
        <v>7017</v>
      </c>
      <c r="AQ2624" t="s">
        <v>74</v>
      </c>
      <c r="AR2624" t="s">
        <v>7018</v>
      </c>
      <c r="AS2624" t="s">
        <v>7019</v>
      </c>
      <c r="AT2624" t="s">
        <v>7558</v>
      </c>
      <c r="AU2624">
        <v>2025</v>
      </c>
      <c r="AV2624">
        <v>20</v>
      </c>
      <c r="AW2624">
        <v>4</v>
      </c>
      <c r="AX2624" t="s">
        <v>74</v>
      </c>
      <c r="AY2624" t="s">
        <v>74</v>
      </c>
      <c r="AZ2624" t="s">
        <v>74</v>
      </c>
      <c r="BA2624" t="s">
        <v>74</v>
      </c>
      <c r="BB2624" t="s">
        <v>74</v>
      </c>
      <c r="BC2624" t="s">
        <v>74</v>
      </c>
      <c r="BD2624" t="s">
        <v>43917</v>
      </c>
      <c r="BE2624" t="s">
        <v>43918</v>
      </c>
      <c r="BF2624" t="str">
        <f>HYPERLINK("http://dx.doi.org/10.21919/remef.v20i4.1294","http://dx.doi.org/10.21919/remef.v20i4.1294")</f>
        <v>http://dx.doi.org/10.21919/remef.v20i4.1294</v>
      </c>
      <c r="BG2624" t="s">
        <v>74</v>
      </c>
      <c r="BH2624" t="s">
        <v>74</v>
      </c>
      <c r="BI2624">
        <v>22</v>
      </c>
      <c r="BJ2624" t="s">
        <v>210</v>
      </c>
      <c r="BK2624" t="s">
        <v>313</v>
      </c>
      <c r="BL2624" t="s">
        <v>100</v>
      </c>
      <c r="BM2624" t="s">
        <v>43919</v>
      </c>
      <c r="BN2624" t="s">
        <v>74</v>
      </c>
      <c r="BO2624" t="s">
        <v>212</v>
      </c>
      <c r="BP2624" t="s">
        <v>74</v>
      </c>
      <c r="BQ2624" t="s">
        <v>74</v>
      </c>
      <c r="BR2624" t="s">
        <v>102</v>
      </c>
      <c r="BS2624" t="s">
        <v>43920</v>
      </c>
      <c r="BT2624" t="str">
        <f>HYPERLINK("https%3A%2F%2Fwww.webofscience.com%2Fwos%2Fwoscc%2Ffull-record%2FWOS:001635601000006","View Full Record in Web of Science")</f>
        <v>View Full Record in Web of Science</v>
      </c>
    </row>
    <row r="2625" spans="1:72" x14ac:dyDescent="0.25">
      <c r="A2625" t="s">
        <v>72</v>
      </c>
      <c r="B2625" t="s">
        <v>43921</v>
      </c>
      <c r="C2625" t="s">
        <v>74</v>
      </c>
      <c r="D2625" t="s">
        <v>74</v>
      </c>
      <c r="E2625" t="s">
        <v>74</v>
      </c>
      <c r="F2625" t="s">
        <v>43922</v>
      </c>
      <c r="G2625" t="s">
        <v>74</v>
      </c>
      <c r="H2625" t="s">
        <v>74</v>
      </c>
      <c r="I2625" t="s">
        <v>43923</v>
      </c>
      <c r="J2625" t="s">
        <v>36505</v>
      </c>
      <c r="K2625" t="s">
        <v>74</v>
      </c>
      <c r="L2625" t="s">
        <v>74</v>
      </c>
      <c r="M2625" t="s">
        <v>78</v>
      </c>
      <c r="N2625" t="s">
        <v>79</v>
      </c>
      <c r="O2625" t="s">
        <v>74</v>
      </c>
      <c r="P2625" t="s">
        <v>74</v>
      </c>
      <c r="Q2625" t="s">
        <v>74</v>
      </c>
      <c r="R2625" t="s">
        <v>74</v>
      </c>
      <c r="S2625" t="s">
        <v>74</v>
      </c>
      <c r="T2625" t="s">
        <v>43924</v>
      </c>
      <c r="U2625" t="s">
        <v>43925</v>
      </c>
      <c r="V2625" t="s">
        <v>43926</v>
      </c>
      <c r="W2625" t="s">
        <v>43927</v>
      </c>
      <c r="X2625" t="s">
        <v>43928</v>
      </c>
      <c r="Y2625" t="s">
        <v>43929</v>
      </c>
      <c r="Z2625" t="s">
        <v>43930</v>
      </c>
      <c r="AA2625" t="s">
        <v>43931</v>
      </c>
      <c r="AB2625" t="s">
        <v>43932</v>
      </c>
      <c r="AC2625" t="s">
        <v>43933</v>
      </c>
      <c r="AD2625" t="s">
        <v>17529</v>
      </c>
      <c r="AE2625" t="s">
        <v>43934</v>
      </c>
      <c r="AF2625" t="s">
        <v>74</v>
      </c>
      <c r="AG2625">
        <v>32</v>
      </c>
      <c r="AH2625">
        <v>90</v>
      </c>
      <c r="AI2625">
        <v>94</v>
      </c>
      <c r="AJ2625">
        <v>33</v>
      </c>
      <c r="AK2625">
        <v>246</v>
      </c>
      <c r="AL2625" t="s">
        <v>4485</v>
      </c>
      <c r="AM2625" t="s">
        <v>6724</v>
      </c>
      <c r="AN2625" t="s">
        <v>6725</v>
      </c>
      <c r="AO2625" t="s">
        <v>36514</v>
      </c>
      <c r="AP2625" t="s">
        <v>36515</v>
      </c>
      <c r="AQ2625" t="s">
        <v>74</v>
      </c>
      <c r="AR2625" t="s">
        <v>36505</v>
      </c>
      <c r="AS2625" t="s">
        <v>36516</v>
      </c>
      <c r="AT2625" t="s">
        <v>124</v>
      </c>
      <c r="AU2625">
        <v>2022</v>
      </c>
      <c r="AV2625">
        <v>131</v>
      </c>
      <c r="AW2625" t="s">
        <v>74</v>
      </c>
      <c r="AX2625" t="s">
        <v>74</v>
      </c>
      <c r="AY2625" t="s">
        <v>74</v>
      </c>
      <c r="AZ2625" t="s">
        <v>74</v>
      </c>
      <c r="BA2625" t="s">
        <v>74</v>
      </c>
      <c r="BB2625" t="s">
        <v>74</v>
      </c>
      <c r="BC2625" t="s">
        <v>74</v>
      </c>
      <c r="BD2625">
        <v>103896</v>
      </c>
      <c r="BE2625" t="s">
        <v>43935</v>
      </c>
      <c r="BF2625" t="str">
        <f>HYPERLINK("http://dx.doi.org/10.1016/j.cities.2022.103896","http://dx.doi.org/10.1016/j.cities.2022.103896")</f>
        <v>http://dx.doi.org/10.1016/j.cities.2022.103896</v>
      </c>
      <c r="BG2625" t="s">
        <v>74</v>
      </c>
      <c r="BH2625" t="s">
        <v>2328</v>
      </c>
      <c r="BI2625">
        <v>9</v>
      </c>
      <c r="BJ2625" t="s">
        <v>36518</v>
      </c>
      <c r="BK2625" t="s">
        <v>99</v>
      </c>
      <c r="BL2625" t="s">
        <v>36518</v>
      </c>
      <c r="BM2625" t="s">
        <v>43936</v>
      </c>
      <c r="BN2625" t="s">
        <v>74</v>
      </c>
      <c r="BO2625" t="s">
        <v>15979</v>
      </c>
      <c r="BP2625" t="s">
        <v>74</v>
      </c>
      <c r="BQ2625" t="s">
        <v>74</v>
      </c>
      <c r="BR2625" t="s">
        <v>102</v>
      </c>
      <c r="BS2625" t="s">
        <v>43937</v>
      </c>
      <c r="BT2625" t="str">
        <f>HYPERLINK("https%3A%2F%2Fwww.webofscience.com%2Fwos%2Fwoscc%2Ffull-record%2FWOS:000858637500003","View Full Record in Web of Science")</f>
        <v>View Full Record in Web of Science</v>
      </c>
    </row>
    <row r="2626" spans="1:72" x14ac:dyDescent="0.25">
      <c r="A2626" t="s">
        <v>72</v>
      </c>
      <c r="B2626" t="s">
        <v>43938</v>
      </c>
      <c r="C2626" t="s">
        <v>74</v>
      </c>
      <c r="D2626" t="s">
        <v>74</v>
      </c>
      <c r="E2626" t="s">
        <v>74</v>
      </c>
      <c r="F2626" t="s">
        <v>43939</v>
      </c>
      <c r="G2626" t="s">
        <v>74</v>
      </c>
      <c r="H2626" t="s">
        <v>74</v>
      </c>
      <c r="I2626" t="s">
        <v>43940</v>
      </c>
      <c r="J2626" t="s">
        <v>20165</v>
      </c>
      <c r="K2626" t="s">
        <v>74</v>
      </c>
      <c r="L2626" t="s">
        <v>74</v>
      </c>
      <c r="M2626" t="s">
        <v>78</v>
      </c>
      <c r="N2626" t="s">
        <v>79</v>
      </c>
      <c r="O2626" t="s">
        <v>74</v>
      </c>
      <c r="P2626" t="s">
        <v>74</v>
      </c>
      <c r="Q2626" t="s">
        <v>74</v>
      </c>
      <c r="R2626" t="s">
        <v>74</v>
      </c>
      <c r="S2626" t="s">
        <v>74</v>
      </c>
      <c r="T2626" t="s">
        <v>43941</v>
      </c>
      <c r="U2626" t="s">
        <v>43942</v>
      </c>
      <c r="V2626" t="s">
        <v>43943</v>
      </c>
      <c r="W2626" t="s">
        <v>43944</v>
      </c>
      <c r="X2626" t="s">
        <v>33369</v>
      </c>
      <c r="Y2626" t="s">
        <v>43945</v>
      </c>
      <c r="Z2626" t="s">
        <v>43946</v>
      </c>
      <c r="AA2626" t="s">
        <v>74</v>
      </c>
      <c r="AB2626" t="s">
        <v>43947</v>
      </c>
      <c r="AC2626" t="s">
        <v>43948</v>
      </c>
      <c r="AD2626" t="s">
        <v>43949</v>
      </c>
      <c r="AE2626" t="s">
        <v>43950</v>
      </c>
      <c r="AF2626" t="s">
        <v>74</v>
      </c>
      <c r="AG2626">
        <v>168</v>
      </c>
      <c r="AH2626">
        <v>7</v>
      </c>
      <c r="AI2626">
        <v>8</v>
      </c>
      <c r="AJ2626">
        <v>26</v>
      </c>
      <c r="AK2626">
        <v>55</v>
      </c>
      <c r="AL2626" t="s">
        <v>20157</v>
      </c>
      <c r="AM2626" t="s">
        <v>11717</v>
      </c>
      <c r="AN2626" t="s">
        <v>20156</v>
      </c>
      <c r="AO2626" t="s">
        <v>20155</v>
      </c>
      <c r="AP2626" t="s">
        <v>20154</v>
      </c>
      <c r="AQ2626" t="s">
        <v>74</v>
      </c>
      <c r="AR2626" t="s">
        <v>20153</v>
      </c>
      <c r="AS2626" t="s">
        <v>20152</v>
      </c>
      <c r="AT2626" t="s">
        <v>2801</v>
      </c>
      <c r="AU2626">
        <v>2025</v>
      </c>
      <c r="AV2626">
        <v>10</v>
      </c>
      <c r="AW2626">
        <v>3</v>
      </c>
      <c r="AX2626" t="s">
        <v>74</v>
      </c>
      <c r="AY2626" t="s">
        <v>74</v>
      </c>
      <c r="AZ2626" t="s">
        <v>74</v>
      </c>
      <c r="BA2626" t="s">
        <v>74</v>
      </c>
      <c r="BB2626" t="s">
        <v>74</v>
      </c>
      <c r="BC2626" t="s">
        <v>74</v>
      </c>
      <c r="BD2626">
        <v>100697</v>
      </c>
      <c r="BE2626" t="s">
        <v>43951</v>
      </c>
      <c r="BF2626" t="str">
        <f>HYPERLINK("http://dx.doi.org/10.1016/j.jik.2025.100697","http://dx.doi.org/10.1016/j.jik.2025.100697")</f>
        <v>http://dx.doi.org/10.1016/j.jik.2025.100697</v>
      </c>
      <c r="BG2626" t="s">
        <v>74</v>
      </c>
      <c r="BH2626" t="s">
        <v>2781</v>
      </c>
      <c r="BI2626">
        <v>23</v>
      </c>
      <c r="BJ2626" t="s">
        <v>98</v>
      </c>
      <c r="BK2626" t="s">
        <v>99</v>
      </c>
      <c r="BL2626" t="s">
        <v>100</v>
      </c>
      <c r="BM2626" t="s">
        <v>43952</v>
      </c>
      <c r="BN2626" t="s">
        <v>74</v>
      </c>
      <c r="BO2626" t="s">
        <v>212</v>
      </c>
      <c r="BP2626" t="s">
        <v>74</v>
      </c>
      <c r="BQ2626" t="s">
        <v>74</v>
      </c>
      <c r="BR2626" t="s">
        <v>102</v>
      </c>
      <c r="BS2626" t="s">
        <v>43953</v>
      </c>
      <c r="BT2626" t="str">
        <f>HYPERLINK("https%3A%2F%2Fwww.webofscience.com%2Fwos%2Fwoscc%2Ffull-record%2FWOS:001455345800001","View Full Record in Web of Science")</f>
        <v>View Full Record in Web of Science</v>
      </c>
    </row>
    <row r="2627" spans="1:72" x14ac:dyDescent="0.25">
      <c r="A2627" t="s">
        <v>72</v>
      </c>
      <c r="B2627" t="s">
        <v>43954</v>
      </c>
      <c r="C2627" t="s">
        <v>74</v>
      </c>
      <c r="D2627" t="s">
        <v>74</v>
      </c>
      <c r="E2627" t="s">
        <v>74</v>
      </c>
      <c r="F2627" t="s">
        <v>43955</v>
      </c>
      <c r="G2627" t="s">
        <v>74</v>
      </c>
      <c r="H2627" t="s">
        <v>74</v>
      </c>
      <c r="I2627" t="s">
        <v>43956</v>
      </c>
      <c r="J2627" t="s">
        <v>4270</v>
      </c>
      <c r="K2627" t="s">
        <v>74</v>
      </c>
      <c r="L2627" t="s">
        <v>74</v>
      </c>
      <c r="M2627" t="s">
        <v>78</v>
      </c>
      <c r="N2627" t="s">
        <v>79</v>
      </c>
      <c r="O2627" t="s">
        <v>74</v>
      </c>
      <c r="P2627" t="s">
        <v>74</v>
      </c>
      <c r="Q2627" t="s">
        <v>74</v>
      </c>
      <c r="R2627" t="s">
        <v>74</v>
      </c>
      <c r="S2627" t="s">
        <v>74</v>
      </c>
      <c r="T2627" t="s">
        <v>43957</v>
      </c>
      <c r="U2627" t="s">
        <v>74</v>
      </c>
      <c r="V2627" t="s">
        <v>43958</v>
      </c>
      <c r="W2627" t="s">
        <v>43959</v>
      </c>
      <c r="X2627" t="s">
        <v>43960</v>
      </c>
      <c r="Y2627" t="s">
        <v>43961</v>
      </c>
      <c r="Z2627" t="s">
        <v>74</v>
      </c>
      <c r="AA2627" t="s">
        <v>43962</v>
      </c>
      <c r="AB2627" t="s">
        <v>43963</v>
      </c>
      <c r="AC2627" t="s">
        <v>74</v>
      </c>
      <c r="AD2627" t="s">
        <v>74</v>
      </c>
      <c r="AE2627" t="s">
        <v>74</v>
      </c>
      <c r="AF2627" t="s">
        <v>74</v>
      </c>
      <c r="AG2627">
        <v>50</v>
      </c>
      <c r="AH2627">
        <v>0</v>
      </c>
      <c r="AI2627">
        <v>0</v>
      </c>
      <c r="AJ2627">
        <v>1</v>
      </c>
      <c r="AK2627">
        <v>6</v>
      </c>
      <c r="AL2627" t="s">
        <v>4279</v>
      </c>
      <c r="AM2627" t="s">
        <v>4280</v>
      </c>
      <c r="AN2627" t="s">
        <v>4281</v>
      </c>
      <c r="AO2627" t="s">
        <v>4282</v>
      </c>
      <c r="AP2627" t="s">
        <v>4283</v>
      </c>
      <c r="AQ2627" t="s">
        <v>74</v>
      </c>
      <c r="AR2627" t="s">
        <v>4270</v>
      </c>
      <c r="AS2627" t="s">
        <v>4284</v>
      </c>
      <c r="AT2627" t="s">
        <v>74</v>
      </c>
      <c r="AU2627">
        <v>2024</v>
      </c>
      <c r="AV2627" t="s">
        <v>74</v>
      </c>
      <c r="AW2627">
        <v>4</v>
      </c>
      <c r="AX2627" t="s">
        <v>74</v>
      </c>
      <c r="AY2627" t="s">
        <v>74</v>
      </c>
      <c r="AZ2627" t="s">
        <v>74</v>
      </c>
      <c r="BA2627" t="s">
        <v>74</v>
      </c>
      <c r="BB2627" t="s">
        <v>74</v>
      </c>
      <c r="BC2627" t="s">
        <v>74</v>
      </c>
      <c r="BD2627" t="s">
        <v>74</v>
      </c>
      <c r="BE2627" t="s">
        <v>43964</v>
      </c>
      <c r="BF2627" t="str">
        <f>HYPERLINK("http://dx.doi.org/10.15219/em106.1676","http://dx.doi.org/10.15219/em106.1676")</f>
        <v>http://dx.doi.org/10.15219/em106.1676</v>
      </c>
      <c r="BG2627" t="s">
        <v>74</v>
      </c>
      <c r="BH2627" t="s">
        <v>74</v>
      </c>
      <c r="BI2627">
        <v>10</v>
      </c>
      <c r="BJ2627" t="s">
        <v>4031</v>
      </c>
      <c r="BK2627" t="s">
        <v>313</v>
      </c>
      <c r="BL2627" t="s">
        <v>4031</v>
      </c>
      <c r="BM2627" t="s">
        <v>43965</v>
      </c>
      <c r="BN2627" t="s">
        <v>74</v>
      </c>
      <c r="BO2627" t="s">
        <v>74</v>
      </c>
      <c r="BP2627" t="s">
        <v>74</v>
      </c>
      <c r="BQ2627" t="s">
        <v>74</v>
      </c>
      <c r="BR2627" t="s">
        <v>102</v>
      </c>
      <c r="BS2627" t="s">
        <v>43966</v>
      </c>
      <c r="BT2627" t="str">
        <f>HYPERLINK("https%3A%2F%2Fwww.webofscience.com%2Fwos%2Fwoscc%2Ffull-record%2FWOS:001337497500003","View Full Record in Web of Science")</f>
        <v>View Full Record in Web of Science</v>
      </c>
    </row>
    <row r="2628" spans="1:72" x14ac:dyDescent="0.25">
      <c r="A2628" t="s">
        <v>72</v>
      </c>
      <c r="B2628" t="s">
        <v>43967</v>
      </c>
      <c r="C2628" t="s">
        <v>74</v>
      </c>
      <c r="D2628" t="s">
        <v>74</v>
      </c>
      <c r="E2628" t="s">
        <v>74</v>
      </c>
      <c r="F2628" t="s">
        <v>43968</v>
      </c>
      <c r="G2628" t="s">
        <v>74</v>
      </c>
      <c r="H2628" t="s">
        <v>74</v>
      </c>
      <c r="I2628" t="s">
        <v>43969</v>
      </c>
      <c r="J2628" t="s">
        <v>2809</v>
      </c>
      <c r="K2628" t="s">
        <v>74</v>
      </c>
      <c r="L2628" t="s">
        <v>74</v>
      </c>
      <c r="M2628" t="s">
        <v>78</v>
      </c>
      <c r="N2628" t="s">
        <v>79</v>
      </c>
      <c r="O2628" t="s">
        <v>74</v>
      </c>
      <c r="P2628" t="s">
        <v>74</v>
      </c>
      <c r="Q2628" t="s">
        <v>74</v>
      </c>
      <c r="R2628" t="s">
        <v>74</v>
      </c>
      <c r="S2628" t="s">
        <v>74</v>
      </c>
      <c r="T2628" t="s">
        <v>74</v>
      </c>
      <c r="U2628" t="s">
        <v>43970</v>
      </c>
      <c r="V2628" t="s">
        <v>43971</v>
      </c>
      <c r="W2628" t="s">
        <v>43972</v>
      </c>
      <c r="X2628" t="s">
        <v>43973</v>
      </c>
      <c r="Y2628" t="s">
        <v>43974</v>
      </c>
      <c r="Z2628" t="s">
        <v>43975</v>
      </c>
      <c r="AA2628" t="s">
        <v>74</v>
      </c>
      <c r="AB2628" t="s">
        <v>74</v>
      </c>
      <c r="AC2628" t="s">
        <v>74</v>
      </c>
      <c r="AD2628" t="s">
        <v>74</v>
      </c>
      <c r="AE2628" t="s">
        <v>74</v>
      </c>
      <c r="AF2628" t="s">
        <v>74</v>
      </c>
      <c r="AG2628">
        <v>25</v>
      </c>
      <c r="AH2628">
        <v>91</v>
      </c>
      <c r="AI2628">
        <v>128</v>
      </c>
      <c r="AJ2628">
        <v>5</v>
      </c>
      <c r="AK2628">
        <v>43</v>
      </c>
      <c r="AL2628" t="s">
        <v>479</v>
      </c>
      <c r="AM2628" t="s">
        <v>480</v>
      </c>
      <c r="AN2628" t="s">
        <v>481</v>
      </c>
      <c r="AO2628" t="s">
        <v>2816</v>
      </c>
      <c r="AP2628" t="s">
        <v>2817</v>
      </c>
      <c r="AQ2628" t="s">
        <v>74</v>
      </c>
      <c r="AR2628" t="s">
        <v>2818</v>
      </c>
      <c r="AS2628" t="s">
        <v>2819</v>
      </c>
      <c r="AT2628" t="s">
        <v>605</v>
      </c>
      <c r="AU2628">
        <v>2019</v>
      </c>
      <c r="AV2628">
        <v>53</v>
      </c>
      <c r="AW2628">
        <v>1</v>
      </c>
      <c r="AX2628" t="s">
        <v>74</v>
      </c>
      <c r="AY2628" t="s">
        <v>74</v>
      </c>
      <c r="AZ2628" t="s">
        <v>74</v>
      </c>
      <c r="BA2628" t="s">
        <v>74</v>
      </c>
      <c r="BB2628">
        <v>234</v>
      </c>
      <c r="BC2628">
        <v>259</v>
      </c>
      <c r="BD2628" t="s">
        <v>74</v>
      </c>
      <c r="BE2628" t="s">
        <v>43976</v>
      </c>
      <c r="BF2628" t="str">
        <f>HYPERLINK("http://dx.doi.org/10.1111/joca.12210","http://dx.doi.org/10.1111/joca.12210")</f>
        <v>http://dx.doi.org/10.1111/joca.12210</v>
      </c>
      <c r="BG2628" t="s">
        <v>74</v>
      </c>
      <c r="BH2628" t="s">
        <v>74</v>
      </c>
      <c r="BI2628">
        <v>26</v>
      </c>
      <c r="BJ2628" t="s">
        <v>1453</v>
      </c>
      <c r="BK2628" t="s">
        <v>99</v>
      </c>
      <c r="BL2628" t="s">
        <v>100</v>
      </c>
      <c r="BM2628" t="s">
        <v>43977</v>
      </c>
      <c r="BN2628" t="s">
        <v>74</v>
      </c>
      <c r="BO2628" t="s">
        <v>74</v>
      </c>
      <c r="BP2628" t="s">
        <v>74</v>
      </c>
      <c r="BQ2628" t="s">
        <v>74</v>
      </c>
      <c r="BR2628" t="s">
        <v>102</v>
      </c>
      <c r="BS2628" t="s">
        <v>43978</v>
      </c>
      <c r="BT2628" t="str">
        <f>HYPERLINK("https%3A%2F%2Fwww.webofscience.com%2Fwos%2Fwoscc%2Ffull-record%2FWOS:000460409600009","View Full Record in Web of Science")</f>
        <v>View Full Record in Web of Science</v>
      </c>
    </row>
    <row r="2629" spans="1:72" x14ac:dyDescent="0.25">
      <c r="A2629" t="s">
        <v>72</v>
      </c>
      <c r="B2629" t="s">
        <v>43979</v>
      </c>
      <c r="C2629" t="s">
        <v>74</v>
      </c>
      <c r="D2629" t="s">
        <v>74</v>
      </c>
      <c r="E2629" t="s">
        <v>74</v>
      </c>
      <c r="F2629" t="s">
        <v>43980</v>
      </c>
      <c r="G2629" t="s">
        <v>74</v>
      </c>
      <c r="H2629" t="s">
        <v>74</v>
      </c>
      <c r="I2629" t="s">
        <v>43981</v>
      </c>
      <c r="J2629" t="s">
        <v>4842</v>
      </c>
      <c r="K2629" t="s">
        <v>74</v>
      </c>
      <c r="L2629" t="s">
        <v>74</v>
      </c>
      <c r="M2629" t="s">
        <v>78</v>
      </c>
      <c r="N2629" t="s">
        <v>79</v>
      </c>
      <c r="O2629" t="s">
        <v>74</v>
      </c>
      <c r="P2629" t="s">
        <v>74</v>
      </c>
      <c r="Q2629" t="s">
        <v>74</v>
      </c>
      <c r="R2629" t="s">
        <v>74</v>
      </c>
      <c r="S2629" t="s">
        <v>74</v>
      </c>
      <c r="T2629" t="s">
        <v>43982</v>
      </c>
      <c r="U2629" t="s">
        <v>74</v>
      </c>
      <c r="V2629" t="s">
        <v>43983</v>
      </c>
      <c r="W2629" t="s">
        <v>43984</v>
      </c>
      <c r="X2629" t="s">
        <v>74</v>
      </c>
      <c r="Y2629" t="s">
        <v>43985</v>
      </c>
      <c r="Z2629" t="s">
        <v>43986</v>
      </c>
      <c r="AA2629" t="s">
        <v>43987</v>
      </c>
      <c r="AB2629" t="s">
        <v>74</v>
      </c>
      <c r="AC2629" t="s">
        <v>43988</v>
      </c>
      <c r="AD2629" t="s">
        <v>43988</v>
      </c>
      <c r="AE2629" t="s">
        <v>43989</v>
      </c>
      <c r="AF2629" t="s">
        <v>74</v>
      </c>
      <c r="AG2629">
        <v>16</v>
      </c>
      <c r="AH2629">
        <v>0</v>
      </c>
      <c r="AI2629">
        <v>0</v>
      </c>
      <c r="AJ2629">
        <v>3</v>
      </c>
      <c r="AK2629">
        <v>3</v>
      </c>
      <c r="AL2629" t="s">
        <v>823</v>
      </c>
      <c r="AM2629" t="s">
        <v>333</v>
      </c>
      <c r="AN2629" t="s">
        <v>824</v>
      </c>
      <c r="AO2629" t="s">
        <v>4853</v>
      </c>
      <c r="AP2629" t="s">
        <v>74</v>
      </c>
      <c r="AQ2629" t="s">
        <v>74</v>
      </c>
      <c r="AR2629" t="s">
        <v>4854</v>
      </c>
      <c r="AS2629" t="s">
        <v>4855</v>
      </c>
      <c r="AT2629" t="s">
        <v>4856</v>
      </c>
      <c r="AU2629">
        <v>2025</v>
      </c>
      <c r="AV2629">
        <v>12</v>
      </c>
      <c r="AW2629">
        <v>1</v>
      </c>
      <c r="AX2629" t="s">
        <v>74</v>
      </c>
      <c r="AY2629" t="s">
        <v>74</v>
      </c>
      <c r="AZ2629" t="s">
        <v>74</v>
      </c>
      <c r="BA2629" t="s">
        <v>74</v>
      </c>
      <c r="BB2629" t="s">
        <v>74</v>
      </c>
      <c r="BC2629" t="s">
        <v>74</v>
      </c>
      <c r="BD2629">
        <v>2593090</v>
      </c>
      <c r="BE2629" t="s">
        <v>43990</v>
      </c>
      <c r="BF2629" t="str">
        <f>HYPERLINK("http://dx.doi.org/10.1080/23311975.2025.2593090","http://dx.doi.org/10.1080/23311975.2025.2593090")</f>
        <v>http://dx.doi.org/10.1080/23311975.2025.2593090</v>
      </c>
      <c r="BG2629" t="s">
        <v>74</v>
      </c>
      <c r="BH2629" t="s">
        <v>74</v>
      </c>
      <c r="BI2629">
        <v>21</v>
      </c>
      <c r="BJ2629" t="s">
        <v>418</v>
      </c>
      <c r="BK2629" t="s">
        <v>313</v>
      </c>
      <c r="BL2629" t="s">
        <v>100</v>
      </c>
      <c r="BM2629" t="s">
        <v>43991</v>
      </c>
      <c r="BN2629" t="s">
        <v>74</v>
      </c>
      <c r="BO2629" t="s">
        <v>212</v>
      </c>
      <c r="BP2629" t="s">
        <v>74</v>
      </c>
      <c r="BQ2629" t="s">
        <v>74</v>
      </c>
      <c r="BR2629" t="s">
        <v>102</v>
      </c>
      <c r="BS2629" t="s">
        <v>43992</v>
      </c>
      <c r="BT2629" t="str">
        <f>HYPERLINK("https%3A%2F%2Fwww.webofscience.com%2Fwos%2Fwoscc%2Ffull-record%2FWOS:001631288300001","View Full Record in Web of Science")</f>
        <v>View Full Record in Web of Science</v>
      </c>
    </row>
    <row r="2630" spans="1:72" x14ac:dyDescent="0.25">
      <c r="A2630" t="s">
        <v>72</v>
      </c>
      <c r="B2630" t="s">
        <v>43993</v>
      </c>
      <c r="C2630" t="s">
        <v>74</v>
      </c>
      <c r="D2630" t="s">
        <v>74</v>
      </c>
      <c r="E2630" t="s">
        <v>74</v>
      </c>
      <c r="F2630" t="s">
        <v>43994</v>
      </c>
      <c r="G2630" t="s">
        <v>74</v>
      </c>
      <c r="H2630" t="s">
        <v>74</v>
      </c>
      <c r="I2630" t="s">
        <v>43995</v>
      </c>
      <c r="J2630" t="s">
        <v>1987</v>
      </c>
      <c r="K2630" t="s">
        <v>74</v>
      </c>
      <c r="L2630" t="s">
        <v>74</v>
      </c>
      <c r="M2630" t="s">
        <v>78</v>
      </c>
      <c r="N2630" t="s">
        <v>79</v>
      </c>
      <c r="O2630" t="s">
        <v>74</v>
      </c>
      <c r="P2630" t="s">
        <v>74</v>
      </c>
      <c r="Q2630" t="s">
        <v>74</v>
      </c>
      <c r="R2630" t="s">
        <v>74</v>
      </c>
      <c r="S2630" t="s">
        <v>74</v>
      </c>
      <c r="T2630" t="s">
        <v>43996</v>
      </c>
      <c r="U2630" t="s">
        <v>43997</v>
      </c>
      <c r="V2630" t="s">
        <v>43998</v>
      </c>
      <c r="W2630" t="s">
        <v>43999</v>
      </c>
      <c r="X2630" t="s">
        <v>44000</v>
      </c>
      <c r="Y2630" t="s">
        <v>44001</v>
      </c>
      <c r="Z2630" t="s">
        <v>44002</v>
      </c>
      <c r="AA2630" t="s">
        <v>44003</v>
      </c>
      <c r="AB2630" t="s">
        <v>44004</v>
      </c>
      <c r="AC2630" t="s">
        <v>74</v>
      </c>
      <c r="AD2630" t="s">
        <v>74</v>
      </c>
      <c r="AE2630" t="s">
        <v>74</v>
      </c>
      <c r="AF2630" t="s">
        <v>74</v>
      </c>
      <c r="AG2630">
        <v>105</v>
      </c>
      <c r="AH2630">
        <v>0</v>
      </c>
      <c r="AI2630">
        <v>1</v>
      </c>
      <c r="AJ2630">
        <v>1</v>
      </c>
      <c r="AK2630">
        <v>8</v>
      </c>
      <c r="AL2630" t="s">
        <v>479</v>
      </c>
      <c r="AM2630" t="s">
        <v>480</v>
      </c>
      <c r="AN2630" t="s">
        <v>481</v>
      </c>
      <c r="AO2630" t="s">
        <v>1997</v>
      </c>
      <c r="AP2630" t="s">
        <v>1998</v>
      </c>
      <c r="AQ2630" t="s">
        <v>74</v>
      </c>
      <c r="AR2630" t="s">
        <v>1999</v>
      </c>
      <c r="AS2630" t="s">
        <v>2000</v>
      </c>
      <c r="AT2630" t="s">
        <v>208</v>
      </c>
      <c r="AU2630">
        <v>2024</v>
      </c>
      <c r="AV2630">
        <v>36</v>
      </c>
      <c r="AW2630">
        <v>1</v>
      </c>
      <c r="AX2630" t="s">
        <v>74</v>
      </c>
      <c r="AY2630" t="s">
        <v>74</v>
      </c>
      <c r="AZ2630" t="s">
        <v>74</v>
      </c>
      <c r="BA2630" t="s">
        <v>74</v>
      </c>
      <c r="BB2630">
        <v>84</v>
      </c>
      <c r="BC2630">
        <v>108</v>
      </c>
      <c r="BD2630" t="s">
        <v>74</v>
      </c>
      <c r="BE2630" t="s">
        <v>44005</v>
      </c>
      <c r="BF2630" t="str">
        <f>HYPERLINK("http://dx.doi.org/10.1002/jid.3806","http://dx.doi.org/10.1002/jid.3806")</f>
        <v>http://dx.doi.org/10.1002/jid.3806</v>
      </c>
      <c r="BG2630" t="s">
        <v>74</v>
      </c>
      <c r="BH2630" t="s">
        <v>7993</v>
      </c>
      <c r="BI2630">
        <v>25</v>
      </c>
      <c r="BJ2630" t="s">
        <v>1137</v>
      </c>
      <c r="BK2630" t="s">
        <v>99</v>
      </c>
      <c r="BL2630" t="s">
        <v>1137</v>
      </c>
      <c r="BM2630" t="s">
        <v>12320</v>
      </c>
      <c r="BN2630" t="s">
        <v>74</v>
      </c>
      <c r="BO2630" t="s">
        <v>1205</v>
      </c>
      <c r="BP2630" t="s">
        <v>74</v>
      </c>
      <c r="BQ2630" t="s">
        <v>74</v>
      </c>
      <c r="BR2630" t="s">
        <v>102</v>
      </c>
      <c r="BS2630" t="s">
        <v>44006</v>
      </c>
      <c r="BT2630" t="str">
        <f>HYPERLINK("https%3A%2F%2Fwww.webofscience.com%2Fwos%2Fwoscc%2Ffull-record%2FWOS:001047716700001","View Full Record in Web of Science")</f>
        <v>View Full Record in Web of Science</v>
      </c>
    </row>
    <row r="2631" spans="1:72" x14ac:dyDescent="0.25">
      <c r="A2631" t="s">
        <v>72</v>
      </c>
      <c r="B2631" t="s">
        <v>44007</v>
      </c>
      <c r="C2631" t="s">
        <v>74</v>
      </c>
      <c r="D2631" t="s">
        <v>74</v>
      </c>
      <c r="E2631" t="s">
        <v>74</v>
      </c>
      <c r="F2631" t="s">
        <v>44008</v>
      </c>
      <c r="G2631" t="s">
        <v>74</v>
      </c>
      <c r="H2631" t="s">
        <v>74</v>
      </c>
      <c r="I2631" t="s">
        <v>44009</v>
      </c>
      <c r="J2631" t="s">
        <v>33742</v>
      </c>
      <c r="K2631" t="s">
        <v>74</v>
      </c>
      <c r="L2631" t="s">
        <v>74</v>
      </c>
      <c r="M2631" t="s">
        <v>78</v>
      </c>
      <c r="N2631" t="s">
        <v>79</v>
      </c>
      <c r="O2631" t="s">
        <v>74</v>
      </c>
      <c r="P2631" t="s">
        <v>74</v>
      </c>
      <c r="Q2631" t="s">
        <v>74</v>
      </c>
      <c r="R2631" t="s">
        <v>74</v>
      </c>
      <c r="S2631" t="s">
        <v>74</v>
      </c>
      <c r="T2631" t="s">
        <v>44010</v>
      </c>
      <c r="U2631" t="s">
        <v>44011</v>
      </c>
      <c r="V2631" t="s">
        <v>44012</v>
      </c>
      <c r="W2631" t="s">
        <v>44013</v>
      </c>
      <c r="X2631" t="s">
        <v>44014</v>
      </c>
      <c r="Y2631" t="s">
        <v>44015</v>
      </c>
      <c r="Z2631" t="s">
        <v>44016</v>
      </c>
      <c r="AA2631" t="s">
        <v>44017</v>
      </c>
      <c r="AB2631" t="s">
        <v>44018</v>
      </c>
      <c r="AC2631" t="s">
        <v>44019</v>
      </c>
      <c r="AD2631" t="s">
        <v>44020</v>
      </c>
      <c r="AE2631" t="s">
        <v>44021</v>
      </c>
      <c r="AF2631" t="s">
        <v>74</v>
      </c>
      <c r="AG2631">
        <v>109</v>
      </c>
      <c r="AH2631">
        <v>0</v>
      </c>
      <c r="AI2631">
        <v>0</v>
      </c>
      <c r="AJ2631">
        <v>2</v>
      </c>
      <c r="AK2631">
        <v>4</v>
      </c>
      <c r="AL2631" t="s">
        <v>29383</v>
      </c>
      <c r="AM2631" t="s">
        <v>29382</v>
      </c>
      <c r="AN2631" t="s">
        <v>29381</v>
      </c>
      <c r="AO2631" t="s">
        <v>33730</v>
      </c>
      <c r="AP2631" t="s">
        <v>74</v>
      </c>
      <c r="AQ2631" t="s">
        <v>74</v>
      </c>
      <c r="AR2631" t="s">
        <v>33729</v>
      </c>
      <c r="AS2631" t="s">
        <v>33728</v>
      </c>
      <c r="AT2631" t="s">
        <v>74</v>
      </c>
      <c r="AU2631">
        <v>2025</v>
      </c>
      <c r="AV2631">
        <v>7</v>
      </c>
      <c r="AW2631">
        <v>1</v>
      </c>
      <c r="AX2631" t="s">
        <v>74</v>
      </c>
      <c r="AY2631" t="s">
        <v>74</v>
      </c>
      <c r="AZ2631" t="s">
        <v>74</v>
      </c>
      <c r="BA2631" t="s">
        <v>74</v>
      </c>
      <c r="BB2631">
        <v>83</v>
      </c>
      <c r="BC2631">
        <v>116</v>
      </c>
      <c r="BD2631" t="s">
        <v>74</v>
      </c>
      <c r="BE2631" t="s">
        <v>44022</v>
      </c>
      <c r="BF2631" t="str">
        <f>HYPERLINK("http://dx.doi.org/10.3934/GF.2025004","http://dx.doi.org/10.3934/GF.2025004")</f>
        <v>http://dx.doi.org/10.3934/GF.2025004</v>
      </c>
      <c r="BG2631" t="s">
        <v>74</v>
      </c>
      <c r="BH2631" t="s">
        <v>74</v>
      </c>
      <c r="BI2631">
        <v>34</v>
      </c>
      <c r="BJ2631" t="s">
        <v>8558</v>
      </c>
      <c r="BK2631" t="s">
        <v>313</v>
      </c>
      <c r="BL2631" t="s">
        <v>650</v>
      </c>
      <c r="BM2631" t="s">
        <v>44023</v>
      </c>
      <c r="BN2631" t="s">
        <v>74</v>
      </c>
      <c r="BO2631" t="s">
        <v>212</v>
      </c>
      <c r="BP2631" t="s">
        <v>74</v>
      </c>
      <c r="BQ2631" t="s">
        <v>74</v>
      </c>
      <c r="BR2631" t="s">
        <v>102</v>
      </c>
      <c r="BS2631" t="s">
        <v>44024</v>
      </c>
      <c r="BT2631" t="str">
        <f>HYPERLINK("https%3A%2F%2Fwww.webofscience.com%2Fwos%2Fwoscc%2Ffull-record%2FWOS:001426043600001","View Full Record in Web of Science")</f>
        <v>View Full Record in Web of Science</v>
      </c>
    </row>
    <row r="2632" spans="1:72" x14ac:dyDescent="0.25">
      <c r="A2632" t="s">
        <v>72</v>
      </c>
      <c r="B2632" t="s">
        <v>44025</v>
      </c>
      <c r="C2632" t="s">
        <v>74</v>
      </c>
      <c r="D2632" t="s">
        <v>74</v>
      </c>
      <c r="E2632" t="s">
        <v>74</v>
      </c>
      <c r="F2632" t="s">
        <v>44026</v>
      </c>
      <c r="G2632" t="s">
        <v>74</v>
      </c>
      <c r="H2632" t="s">
        <v>74</v>
      </c>
      <c r="I2632" t="s">
        <v>44027</v>
      </c>
      <c r="J2632" t="s">
        <v>9191</v>
      </c>
      <c r="K2632" t="s">
        <v>74</v>
      </c>
      <c r="L2632" t="s">
        <v>74</v>
      </c>
      <c r="M2632" t="s">
        <v>78</v>
      </c>
      <c r="N2632" t="s">
        <v>1766</v>
      </c>
      <c r="O2632" t="s">
        <v>74</v>
      </c>
      <c r="P2632" t="s">
        <v>74</v>
      </c>
      <c r="Q2632" t="s">
        <v>74</v>
      </c>
      <c r="R2632" t="s">
        <v>74</v>
      </c>
      <c r="S2632" t="s">
        <v>74</v>
      </c>
      <c r="T2632" t="s">
        <v>44028</v>
      </c>
      <c r="U2632" t="s">
        <v>44029</v>
      </c>
      <c r="V2632" t="s">
        <v>44030</v>
      </c>
      <c r="W2632" t="s">
        <v>44031</v>
      </c>
      <c r="X2632" t="s">
        <v>43439</v>
      </c>
      <c r="Y2632" t="s">
        <v>44032</v>
      </c>
      <c r="Z2632" t="s">
        <v>35899</v>
      </c>
      <c r="AA2632" t="s">
        <v>44033</v>
      </c>
      <c r="AB2632" t="s">
        <v>44034</v>
      </c>
      <c r="AC2632" t="s">
        <v>44035</v>
      </c>
      <c r="AD2632" t="s">
        <v>44035</v>
      </c>
      <c r="AE2632" t="s">
        <v>44036</v>
      </c>
      <c r="AF2632" t="s">
        <v>74</v>
      </c>
      <c r="AG2632">
        <v>76</v>
      </c>
      <c r="AH2632">
        <v>19</v>
      </c>
      <c r="AI2632">
        <v>25</v>
      </c>
      <c r="AJ2632">
        <v>3</v>
      </c>
      <c r="AK2632">
        <v>29</v>
      </c>
      <c r="AL2632" t="s">
        <v>9204</v>
      </c>
      <c r="AM2632" t="s">
        <v>2016</v>
      </c>
      <c r="AN2632" t="s">
        <v>9205</v>
      </c>
      <c r="AO2632" t="s">
        <v>74</v>
      </c>
      <c r="AP2632" t="s">
        <v>9206</v>
      </c>
      <c r="AQ2632" t="s">
        <v>74</v>
      </c>
      <c r="AR2632" t="s">
        <v>9191</v>
      </c>
      <c r="AS2632" t="s">
        <v>9207</v>
      </c>
      <c r="AT2632" t="s">
        <v>124</v>
      </c>
      <c r="AU2632">
        <v>2021</v>
      </c>
      <c r="AV2632">
        <v>7</v>
      </c>
      <c r="AW2632">
        <v>12</v>
      </c>
      <c r="AX2632" t="s">
        <v>74</v>
      </c>
      <c r="AY2632" t="s">
        <v>74</v>
      </c>
      <c r="AZ2632" t="s">
        <v>74</v>
      </c>
      <c r="BA2632" t="s">
        <v>74</v>
      </c>
      <c r="BB2632" t="s">
        <v>74</v>
      </c>
      <c r="BC2632" t="s">
        <v>74</v>
      </c>
      <c r="BD2632" t="s">
        <v>44037</v>
      </c>
      <c r="BE2632" t="s">
        <v>44038</v>
      </c>
      <c r="BF2632" t="str">
        <f>HYPERLINK("http://dx.doi.org/10.1016/j.heliyon.2021.e08549","http://dx.doi.org/10.1016/j.heliyon.2021.e08549")</f>
        <v>http://dx.doi.org/10.1016/j.heliyon.2021.e08549</v>
      </c>
      <c r="BG2632" t="s">
        <v>74</v>
      </c>
      <c r="BH2632" t="s">
        <v>2730</v>
      </c>
      <c r="BI2632">
        <v>11</v>
      </c>
      <c r="BJ2632" t="s">
        <v>559</v>
      </c>
      <c r="BK2632" t="s">
        <v>128</v>
      </c>
      <c r="BL2632" t="s">
        <v>560</v>
      </c>
      <c r="BM2632" t="s">
        <v>44039</v>
      </c>
      <c r="BN2632">
        <v>34917818</v>
      </c>
      <c r="BO2632" t="s">
        <v>916</v>
      </c>
      <c r="BP2632" t="s">
        <v>74</v>
      </c>
      <c r="BQ2632" t="s">
        <v>74</v>
      </c>
      <c r="BR2632" t="s">
        <v>102</v>
      </c>
      <c r="BS2632" t="s">
        <v>44040</v>
      </c>
      <c r="BT2632" t="str">
        <f>HYPERLINK("https%3A%2F%2Fwww.webofscience.com%2Fwos%2Fwoscc%2Ffull-record%2FWOS:000740772600007","View Full Record in Web of Science")</f>
        <v>View Full Record in Web of Science</v>
      </c>
    </row>
    <row r="2633" spans="1:72" x14ac:dyDescent="0.25">
      <c r="A2633" t="s">
        <v>72</v>
      </c>
      <c r="B2633" t="s">
        <v>44041</v>
      </c>
      <c r="C2633" t="s">
        <v>74</v>
      </c>
      <c r="D2633" t="s">
        <v>74</v>
      </c>
      <c r="E2633" t="s">
        <v>74</v>
      </c>
      <c r="F2633" t="s">
        <v>44042</v>
      </c>
      <c r="G2633" t="s">
        <v>74</v>
      </c>
      <c r="H2633" t="s">
        <v>74</v>
      </c>
      <c r="I2633" t="s">
        <v>44043</v>
      </c>
      <c r="J2633" t="s">
        <v>9372</v>
      </c>
      <c r="K2633" t="s">
        <v>74</v>
      </c>
      <c r="L2633" t="s">
        <v>74</v>
      </c>
      <c r="M2633" t="s">
        <v>78</v>
      </c>
      <c r="N2633" t="s">
        <v>79</v>
      </c>
      <c r="O2633" t="s">
        <v>74</v>
      </c>
      <c r="P2633" t="s">
        <v>74</v>
      </c>
      <c r="Q2633" t="s">
        <v>74</v>
      </c>
      <c r="R2633" t="s">
        <v>74</v>
      </c>
      <c r="S2633" t="s">
        <v>74</v>
      </c>
      <c r="T2633" t="s">
        <v>44044</v>
      </c>
      <c r="U2633" t="s">
        <v>44045</v>
      </c>
      <c r="V2633" t="s">
        <v>44046</v>
      </c>
      <c r="W2633" t="s">
        <v>44047</v>
      </c>
      <c r="X2633" t="s">
        <v>44048</v>
      </c>
      <c r="Y2633" t="s">
        <v>44049</v>
      </c>
      <c r="Z2633" t="s">
        <v>44050</v>
      </c>
      <c r="AA2633" t="s">
        <v>44051</v>
      </c>
      <c r="AB2633" t="s">
        <v>74</v>
      </c>
      <c r="AC2633" t="s">
        <v>44052</v>
      </c>
      <c r="AD2633" t="s">
        <v>44052</v>
      </c>
      <c r="AE2633" t="s">
        <v>44053</v>
      </c>
      <c r="AF2633" t="s">
        <v>74</v>
      </c>
      <c r="AG2633">
        <v>108</v>
      </c>
      <c r="AH2633">
        <v>0</v>
      </c>
      <c r="AI2633">
        <v>0</v>
      </c>
      <c r="AJ2633">
        <v>3</v>
      </c>
      <c r="AK2633">
        <v>3</v>
      </c>
      <c r="AL2633" t="s">
        <v>201</v>
      </c>
      <c r="AM2633" t="s">
        <v>202</v>
      </c>
      <c r="AN2633" t="s">
        <v>203</v>
      </c>
      <c r="AO2633" t="s">
        <v>9384</v>
      </c>
      <c r="AP2633" t="s">
        <v>9385</v>
      </c>
      <c r="AQ2633" t="s">
        <v>74</v>
      </c>
      <c r="AR2633" t="s">
        <v>9386</v>
      </c>
      <c r="AS2633" t="s">
        <v>9387</v>
      </c>
      <c r="AT2633" t="s">
        <v>208</v>
      </c>
      <c r="AU2633">
        <v>2026</v>
      </c>
      <c r="AV2633">
        <v>81</v>
      </c>
      <c r="AW2633" t="s">
        <v>74</v>
      </c>
      <c r="AX2633" t="s">
        <v>74</v>
      </c>
      <c r="AY2633" t="s">
        <v>74</v>
      </c>
      <c r="AZ2633" t="s">
        <v>74</v>
      </c>
      <c r="BA2633" t="s">
        <v>74</v>
      </c>
      <c r="BB2633" t="s">
        <v>74</v>
      </c>
      <c r="BC2633" t="s">
        <v>74</v>
      </c>
      <c r="BD2633">
        <v>103188</v>
      </c>
      <c r="BE2633" t="s">
        <v>44054</v>
      </c>
      <c r="BF2633" t="str">
        <f>HYPERLINK("http://dx.doi.org/10.1016/j.ribaf.2025.103188","http://dx.doi.org/10.1016/j.ribaf.2025.103188")</f>
        <v>http://dx.doi.org/10.1016/j.ribaf.2025.103188</v>
      </c>
      <c r="BG2633" t="s">
        <v>74</v>
      </c>
      <c r="BH2633" t="s">
        <v>74</v>
      </c>
      <c r="BI2633">
        <v>25</v>
      </c>
      <c r="BJ2633" t="s">
        <v>268</v>
      </c>
      <c r="BK2633" t="s">
        <v>99</v>
      </c>
      <c r="BL2633" t="s">
        <v>100</v>
      </c>
      <c r="BM2633" t="s">
        <v>44055</v>
      </c>
      <c r="BN2633" t="s">
        <v>74</v>
      </c>
      <c r="BO2633" t="s">
        <v>270</v>
      </c>
      <c r="BP2633" t="s">
        <v>74</v>
      </c>
      <c r="BQ2633" t="s">
        <v>74</v>
      </c>
      <c r="BR2633" t="s">
        <v>102</v>
      </c>
      <c r="BS2633" t="s">
        <v>44056</v>
      </c>
      <c r="BT2633" t="str">
        <f>HYPERLINK("https%3A%2F%2Fwww.webofscience.com%2Fwos%2Fwoscc%2Ffull-record%2FWOS:001617488400001","View Full Record in Web of Science")</f>
        <v>View Full Record in Web of Science</v>
      </c>
    </row>
    <row r="2634" spans="1:72" x14ac:dyDescent="0.25">
      <c r="A2634" t="s">
        <v>72</v>
      </c>
      <c r="B2634" t="s">
        <v>44057</v>
      </c>
      <c r="C2634" t="s">
        <v>74</v>
      </c>
      <c r="D2634" t="s">
        <v>74</v>
      </c>
      <c r="E2634" t="s">
        <v>74</v>
      </c>
      <c r="F2634" t="s">
        <v>44058</v>
      </c>
      <c r="G2634" t="s">
        <v>74</v>
      </c>
      <c r="H2634" t="s">
        <v>74</v>
      </c>
      <c r="I2634" t="s">
        <v>44059</v>
      </c>
      <c r="J2634" t="s">
        <v>15203</v>
      </c>
      <c r="K2634" t="s">
        <v>74</v>
      </c>
      <c r="L2634" t="s">
        <v>74</v>
      </c>
      <c r="M2634" t="s">
        <v>78</v>
      </c>
      <c r="N2634" t="s">
        <v>79</v>
      </c>
      <c r="O2634" t="s">
        <v>74</v>
      </c>
      <c r="P2634" t="s">
        <v>74</v>
      </c>
      <c r="Q2634" t="s">
        <v>74</v>
      </c>
      <c r="R2634" t="s">
        <v>74</v>
      </c>
      <c r="S2634" t="s">
        <v>74</v>
      </c>
      <c r="T2634" t="s">
        <v>44060</v>
      </c>
      <c r="U2634" t="s">
        <v>44061</v>
      </c>
      <c r="V2634" t="s">
        <v>44062</v>
      </c>
      <c r="W2634" t="s">
        <v>44063</v>
      </c>
      <c r="X2634" t="s">
        <v>44064</v>
      </c>
      <c r="Y2634" t="s">
        <v>44065</v>
      </c>
      <c r="Z2634" t="s">
        <v>44066</v>
      </c>
      <c r="AA2634" t="s">
        <v>44067</v>
      </c>
      <c r="AB2634" t="s">
        <v>44068</v>
      </c>
      <c r="AC2634" t="s">
        <v>44069</v>
      </c>
      <c r="AD2634" t="s">
        <v>44070</v>
      </c>
      <c r="AE2634" t="s">
        <v>44071</v>
      </c>
      <c r="AF2634" t="s">
        <v>74</v>
      </c>
      <c r="AG2634">
        <v>66</v>
      </c>
      <c r="AH2634">
        <v>18</v>
      </c>
      <c r="AI2634">
        <v>19</v>
      </c>
      <c r="AJ2634">
        <v>6</v>
      </c>
      <c r="AK2634">
        <v>94</v>
      </c>
      <c r="AL2634" t="s">
        <v>1216</v>
      </c>
      <c r="AM2634" t="s">
        <v>283</v>
      </c>
      <c r="AN2634" t="s">
        <v>1217</v>
      </c>
      <c r="AO2634" t="s">
        <v>74</v>
      </c>
      <c r="AP2634" t="s">
        <v>15215</v>
      </c>
      <c r="AQ2634" t="s">
        <v>74</v>
      </c>
      <c r="AR2634" t="s">
        <v>15216</v>
      </c>
      <c r="AS2634" t="s">
        <v>15217</v>
      </c>
      <c r="AT2634" t="s">
        <v>15697</v>
      </c>
      <c r="AU2634">
        <v>2022</v>
      </c>
      <c r="AV2634">
        <v>10</v>
      </c>
      <c r="AW2634" t="s">
        <v>74</v>
      </c>
      <c r="AX2634" t="s">
        <v>74</v>
      </c>
      <c r="AY2634" t="s">
        <v>74</v>
      </c>
      <c r="AZ2634" t="s">
        <v>74</v>
      </c>
      <c r="BA2634" t="s">
        <v>74</v>
      </c>
      <c r="BB2634" t="s">
        <v>74</v>
      </c>
      <c r="BC2634" t="s">
        <v>74</v>
      </c>
      <c r="BD2634">
        <v>1055162</v>
      </c>
      <c r="BE2634" t="s">
        <v>44072</v>
      </c>
      <c r="BF2634" t="str">
        <f>HYPERLINK("http://dx.doi.org/10.3389/fenvs.2022.1055162","http://dx.doi.org/10.3389/fenvs.2022.1055162")</f>
        <v>http://dx.doi.org/10.3389/fenvs.2022.1055162</v>
      </c>
      <c r="BG2634" t="s">
        <v>74</v>
      </c>
      <c r="BH2634" t="s">
        <v>74</v>
      </c>
      <c r="BI2634">
        <v>21</v>
      </c>
      <c r="BJ2634" t="s">
        <v>127</v>
      </c>
      <c r="BK2634" t="s">
        <v>128</v>
      </c>
      <c r="BL2634" t="s">
        <v>129</v>
      </c>
      <c r="BM2634" t="s">
        <v>44073</v>
      </c>
      <c r="BN2634" t="s">
        <v>74</v>
      </c>
      <c r="BO2634" t="s">
        <v>916</v>
      </c>
      <c r="BP2634" t="s">
        <v>74</v>
      </c>
      <c r="BQ2634" t="s">
        <v>74</v>
      </c>
      <c r="BR2634" t="s">
        <v>102</v>
      </c>
      <c r="BS2634" t="s">
        <v>44074</v>
      </c>
      <c r="BT2634" t="str">
        <f>HYPERLINK("https%3A%2F%2Fwww.webofscience.com%2Fwos%2Fwoscc%2Ffull-record%2FWOS:000893887700001","View Full Record in Web of Science")</f>
        <v>View Full Record in Web of Science</v>
      </c>
    </row>
    <row r="2635" spans="1:72" x14ac:dyDescent="0.25">
      <c r="A2635" t="s">
        <v>72</v>
      </c>
      <c r="B2635" t="s">
        <v>44075</v>
      </c>
      <c r="C2635" t="s">
        <v>74</v>
      </c>
      <c r="D2635" t="s">
        <v>74</v>
      </c>
      <c r="E2635" t="s">
        <v>74</v>
      </c>
      <c r="F2635" t="s">
        <v>44076</v>
      </c>
      <c r="G2635" t="s">
        <v>74</v>
      </c>
      <c r="H2635" t="s">
        <v>74</v>
      </c>
      <c r="I2635" t="s">
        <v>44077</v>
      </c>
      <c r="J2635" t="s">
        <v>7220</v>
      </c>
      <c r="K2635" t="s">
        <v>74</v>
      </c>
      <c r="L2635" t="s">
        <v>74</v>
      </c>
      <c r="M2635" t="s">
        <v>78</v>
      </c>
      <c r="N2635" t="s">
        <v>79</v>
      </c>
      <c r="O2635" t="s">
        <v>74</v>
      </c>
      <c r="P2635" t="s">
        <v>74</v>
      </c>
      <c r="Q2635" t="s">
        <v>74</v>
      </c>
      <c r="R2635" t="s">
        <v>74</v>
      </c>
      <c r="S2635" t="s">
        <v>74</v>
      </c>
      <c r="T2635" t="s">
        <v>44078</v>
      </c>
      <c r="U2635" t="s">
        <v>44079</v>
      </c>
      <c r="V2635" t="s">
        <v>44080</v>
      </c>
      <c r="W2635" t="s">
        <v>44081</v>
      </c>
      <c r="X2635" t="s">
        <v>44082</v>
      </c>
      <c r="Y2635" t="s">
        <v>44083</v>
      </c>
      <c r="Z2635" t="s">
        <v>44084</v>
      </c>
      <c r="AA2635" t="s">
        <v>44085</v>
      </c>
      <c r="AB2635" t="s">
        <v>44086</v>
      </c>
      <c r="AC2635" t="s">
        <v>74</v>
      </c>
      <c r="AD2635" t="s">
        <v>74</v>
      </c>
      <c r="AE2635" t="s">
        <v>74</v>
      </c>
      <c r="AF2635" t="s">
        <v>74</v>
      </c>
      <c r="AG2635">
        <v>55</v>
      </c>
      <c r="AH2635">
        <v>17</v>
      </c>
      <c r="AI2635">
        <v>28</v>
      </c>
      <c r="AJ2635">
        <v>0</v>
      </c>
      <c r="AK2635">
        <v>39</v>
      </c>
      <c r="AL2635" t="s">
        <v>89</v>
      </c>
      <c r="AM2635" t="s">
        <v>1497</v>
      </c>
      <c r="AN2635" t="s">
        <v>1498</v>
      </c>
      <c r="AO2635" t="s">
        <v>7230</v>
      </c>
      <c r="AP2635" t="s">
        <v>7231</v>
      </c>
      <c r="AQ2635" t="s">
        <v>74</v>
      </c>
      <c r="AR2635" t="s">
        <v>7232</v>
      </c>
      <c r="AS2635" t="s">
        <v>7233</v>
      </c>
      <c r="AT2635" t="s">
        <v>20892</v>
      </c>
      <c r="AU2635">
        <v>2019</v>
      </c>
      <c r="AV2635">
        <v>35</v>
      </c>
      <c r="AW2635">
        <v>3</v>
      </c>
      <c r="AX2635" t="s">
        <v>74</v>
      </c>
      <c r="AY2635" t="s">
        <v>74</v>
      </c>
      <c r="AZ2635" t="s">
        <v>441</v>
      </c>
      <c r="BA2635" t="s">
        <v>74</v>
      </c>
      <c r="BB2635">
        <v>143</v>
      </c>
      <c r="BC2635">
        <v>157</v>
      </c>
      <c r="BD2635" t="s">
        <v>74</v>
      </c>
      <c r="BE2635" t="s">
        <v>44087</v>
      </c>
      <c r="BF2635" t="str">
        <f>HYPERLINK("http://dx.doi.org/10.1108/JEAS-01-2018-0007","http://dx.doi.org/10.1108/JEAS-01-2018-0007")</f>
        <v>http://dx.doi.org/10.1108/JEAS-01-2018-0007</v>
      </c>
      <c r="BG2635" t="s">
        <v>74</v>
      </c>
      <c r="BH2635" t="s">
        <v>74</v>
      </c>
      <c r="BI2635">
        <v>15</v>
      </c>
      <c r="BJ2635" t="s">
        <v>291</v>
      </c>
      <c r="BK2635" t="s">
        <v>313</v>
      </c>
      <c r="BL2635" t="s">
        <v>100</v>
      </c>
      <c r="BM2635" t="s">
        <v>44088</v>
      </c>
      <c r="BN2635" t="s">
        <v>74</v>
      </c>
      <c r="BO2635" t="s">
        <v>74</v>
      </c>
      <c r="BP2635" t="s">
        <v>74</v>
      </c>
      <c r="BQ2635" t="s">
        <v>74</v>
      </c>
      <c r="BR2635" t="s">
        <v>102</v>
      </c>
      <c r="BS2635" t="s">
        <v>44089</v>
      </c>
      <c r="BT2635" t="str">
        <f>HYPERLINK("https%3A%2F%2Fwww.webofscience.com%2Fwos%2Fwoscc%2Ffull-record%2FWOS:000485302500002","View Full Record in Web of Science")</f>
        <v>View Full Record in Web of Science</v>
      </c>
    </row>
    <row r="2636" spans="1:72" x14ac:dyDescent="0.25">
      <c r="A2636" t="s">
        <v>72</v>
      </c>
      <c r="B2636" t="s">
        <v>44090</v>
      </c>
      <c r="C2636" t="s">
        <v>74</v>
      </c>
      <c r="D2636" t="s">
        <v>74</v>
      </c>
      <c r="E2636" t="s">
        <v>74</v>
      </c>
      <c r="F2636" t="s">
        <v>44091</v>
      </c>
      <c r="G2636" t="s">
        <v>74</v>
      </c>
      <c r="H2636" t="s">
        <v>74</v>
      </c>
      <c r="I2636" t="s">
        <v>44092</v>
      </c>
      <c r="J2636" t="s">
        <v>44093</v>
      </c>
      <c r="K2636" t="s">
        <v>74</v>
      </c>
      <c r="L2636" t="s">
        <v>74</v>
      </c>
      <c r="M2636" t="s">
        <v>78</v>
      </c>
      <c r="N2636" t="s">
        <v>79</v>
      </c>
      <c r="O2636" t="s">
        <v>74</v>
      </c>
      <c r="P2636" t="s">
        <v>74</v>
      </c>
      <c r="Q2636" t="s">
        <v>74</v>
      </c>
      <c r="R2636" t="s">
        <v>74</v>
      </c>
      <c r="S2636" t="s">
        <v>74</v>
      </c>
      <c r="T2636" t="s">
        <v>44094</v>
      </c>
      <c r="U2636" t="s">
        <v>44095</v>
      </c>
      <c r="V2636" t="s">
        <v>44096</v>
      </c>
      <c r="W2636" t="s">
        <v>44097</v>
      </c>
      <c r="X2636" t="s">
        <v>32376</v>
      </c>
      <c r="Y2636" t="s">
        <v>44098</v>
      </c>
      <c r="Z2636" t="s">
        <v>44099</v>
      </c>
      <c r="AA2636" t="s">
        <v>44100</v>
      </c>
      <c r="AB2636" t="s">
        <v>74</v>
      </c>
      <c r="AC2636" t="s">
        <v>74</v>
      </c>
      <c r="AD2636" t="s">
        <v>74</v>
      </c>
      <c r="AE2636" t="s">
        <v>74</v>
      </c>
      <c r="AF2636" t="s">
        <v>74</v>
      </c>
      <c r="AG2636">
        <v>61</v>
      </c>
      <c r="AH2636">
        <v>2</v>
      </c>
      <c r="AI2636">
        <v>2</v>
      </c>
      <c r="AJ2636">
        <v>0</v>
      </c>
      <c r="AK2636">
        <v>4</v>
      </c>
      <c r="AL2636" t="s">
        <v>44101</v>
      </c>
      <c r="AM2636" t="s">
        <v>44102</v>
      </c>
      <c r="AN2636" t="s">
        <v>44103</v>
      </c>
      <c r="AO2636" t="s">
        <v>44104</v>
      </c>
      <c r="AP2636" t="s">
        <v>74</v>
      </c>
      <c r="AQ2636" t="s">
        <v>74</v>
      </c>
      <c r="AR2636" t="s">
        <v>44105</v>
      </c>
      <c r="AS2636" t="s">
        <v>44106</v>
      </c>
      <c r="AT2636" t="s">
        <v>1652</v>
      </c>
      <c r="AU2636">
        <v>2020</v>
      </c>
      <c r="AV2636">
        <v>17</v>
      </c>
      <c r="AW2636">
        <v>1</v>
      </c>
      <c r="AX2636" t="s">
        <v>74</v>
      </c>
      <c r="AY2636" t="s">
        <v>74</v>
      </c>
      <c r="AZ2636" t="s">
        <v>74</v>
      </c>
      <c r="BA2636" t="s">
        <v>74</v>
      </c>
      <c r="BB2636">
        <v>15</v>
      </c>
      <c r="BC2636">
        <v>29</v>
      </c>
      <c r="BD2636" t="s">
        <v>74</v>
      </c>
      <c r="BE2636" t="s">
        <v>44107</v>
      </c>
      <c r="BF2636" t="str">
        <f>HYPERLINK("http://dx.doi.org/10.37801/ajad2020.17.1.2","http://dx.doi.org/10.37801/ajad2020.17.1.2")</f>
        <v>http://dx.doi.org/10.37801/ajad2020.17.1.2</v>
      </c>
      <c r="BG2636" t="s">
        <v>74</v>
      </c>
      <c r="BH2636" t="s">
        <v>74</v>
      </c>
      <c r="BI2636">
        <v>15</v>
      </c>
      <c r="BJ2636" t="s">
        <v>18208</v>
      </c>
      <c r="BK2636" t="s">
        <v>313</v>
      </c>
      <c r="BL2636" t="s">
        <v>5152</v>
      </c>
      <c r="BM2636" t="s">
        <v>44108</v>
      </c>
      <c r="BN2636" t="s">
        <v>74</v>
      </c>
      <c r="BO2636" t="s">
        <v>74</v>
      </c>
      <c r="BP2636" t="s">
        <v>74</v>
      </c>
      <c r="BQ2636" t="s">
        <v>74</v>
      </c>
      <c r="BR2636" t="s">
        <v>102</v>
      </c>
      <c r="BS2636" t="s">
        <v>44109</v>
      </c>
      <c r="BT2636" t="str">
        <f>HYPERLINK("https%3A%2F%2Fwww.webofscience.com%2Fwos%2Fwoscc%2Ffull-record%2FWOS:000538021000002","View Full Record in Web of Science")</f>
        <v>View Full Record in Web of Science</v>
      </c>
    </row>
    <row r="2637" spans="1:72" x14ac:dyDescent="0.25">
      <c r="A2637" t="s">
        <v>72</v>
      </c>
      <c r="B2637" t="s">
        <v>44110</v>
      </c>
      <c r="C2637" t="s">
        <v>74</v>
      </c>
      <c r="D2637" t="s">
        <v>74</v>
      </c>
      <c r="E2637" t="s">
        <v>74</v>
      </c>
      <c r="F2637" t="s">
        <v>44111</v>
      </c>
      <c r="G2637" t="s">
        <v>74</v>
      </c>
      <c r="H2637" t="s">
        <v>74</v>
      </c>
      <c r="I2637" t="s">
        <v>44112</v>
      </c>
      <c r="J2637" t="s">
        <v>2214</v>
      </c>
      <c r="K2637" t="s">
        <v>74</v>
      </c>
      <c r="L2637" t="s">
        <v>74</v>
      </c>
      <c r="M2637" t="s">
        <v>78</v>
      </c>
      <c r="N2637" t="s">
        <v>79</v>
      </c>
      <c r="O2637" t="s">
        <v>74</v>
      </c>
      <c r="P2637" t="s">
        <v>74</v>
      </c>
      <c r="Q2637" t="s">
        <v>74</v>
      </c>
      <c r="R2637" t="s">
        <v>74</v>
      </c>
      <c r="S2637" t="s">
        <v>74</v>
      </c>
      <c r="T2637" t="s">
        <v>44113</v>
      </c>
      <c r="U2637" t="s">
        <v>44114</v>
      </c>
      <c r="V2637" t="s">
        <v>44115</v>
      </c>
      <c r="W2637" t="s">
        <v>44116</v>
      </c>
      <c r="X2637" t="s">
        <v>19403</v>
      </c>
      <c r="Y2637" t="s">
        <v>44117</v>
      </c>
      <c r="Z2637" t="s">
        <v>44118</v>
      </c>
      <c r="AA2637" t="s">
        <v>44119</v>
      </c>
      <c r="AB2637" t="s">
        <v>44120</v>
      </c>
      <c r="AC2637" t="s">
        <v>44121</v>
      </c>
      <c r="AD2637" t="s">
        <v>37720</v>
      </c>
      <c r="AE2637" t="s">
        <v>44122</v>
      </c>
      <c r="AF2637" t="s">
        <v>74</v>
      </c>
      <c r="AG2637">
        <v>48</v>
      </c>
      <c r="AH2637">
        <v>24</v>
      </c>
      <c r="AI2637">
        <v>26</v>
      </c>
      <c r="AJ2637">
        <v>0</v>
      </c>
      <c r="AK2637">
        <v>8</v>
      </c>
      <c r="AL2637" t="s">
        <v>2223</v>
      </c>
      <c r="AM2637" t="s">
        <v>2224</v>
      </c>
      <c r="AN2637" t="s">
        <v>2225</v>
      </c>
      <c r="AO2637" t="s">
        <v>2226</v>
      </c>
      <c r="AP2637" t="s">
        <v>74</v>
      </c>
      <c r="AQ2637" t="s">
        <v>74</v>
      </c>
      <c r="AR2637" t="s">
        <v>2227</v>
      </c>
      <c r="AS2637" t="s">
        <v>2228</v>
      </c>
      <c r="AT2637" t="s">
        <v>74</v>
      </c>
      <c r="AU2637">
        <v>2017</v>
      </c>
      <c r="AV2637">
        <v>18</v>
      </c>
      <c r="AW2637">
        <v>1</v>
      </c>
      <c r="AX2637" t="s">
        <v>74</v>
      </c>
      <c r="AY2637" t="s">
        <v>74</v>
      </c>
      <c r="AZ2637" t="s">
        <v>74</v>
      </c>
      <c r="BA2637" t="s">
        <v>74</v>
      </c>
      <c r="BB2637">
        <v>33</v>
      </c>
      <c r="BC2637">
        <v>50</v>
      </c>
      <c r="BD2637" t="s">
        <v>74</v>
      </c>
      <c r="BE2637" t="s">
        <v>74</v>
      </c>
      <c r="BF2637" t="s">
        <v>74</v>
      </c>
      <c r="BG2637" t="s">
        <v>74</v>
      </c>
      <c r="BH2637" t="s">
        <v>74</v>
      </c>
      <c r="BI2637">
        <v>18</v>
      </c>
      <c r="BJ2637" t="s">
        <v>418</v>
      </c>
      <c r="BK2637" t="s">
        <v>313</v>
      </c>
      <c r="BL2637" t="s">
        <v>100</v>
      </c>
      <c r="BM2637" t="s">
        <v>44123</v>
      </c>
      <c r="BN2637" t="s">
        <v>74</v>
      </c>
      <c r="BO2637" t="s">
        <v>74</v>
      </c>
      <c r="BP2637" t="s">
        <v>74</v>
      </c>
      <c r="BQ2637" t="s">
        <v>74</v>
      </c>
      <c r="BR2637" t="s">
        <v>102</v>
      </c>
      <c r="BS2637" t="s">
        <v>44124</v>
      </c>
      <c r="BT2637" t="str">
        <f>HYPERLINK("https%3A%2F%2Fwww.webofscience.com%2Fwos%2Fwoscc%2Ffull-record%2FWOS:000404764400003","View Full Record in Web of Science")</f>
        <v>View Full Record in Web of Science</v>
      </c>
    </row>
    <row r="2638" spans="1:72" x14ac:dyDescent="0.25">
      <c r="A2638" t="s">
        <v>72</v>
      </c>
      <c r="B2638" t="s">
        <v>44125</v>
      </c>
      <c r="C2638" t="s">
        <v>74</v>
      </c>
      <c r="D2638" t="s">
        <v>74</v>
      </c>
      <c r="E2638" t="s">
        <v>74</v>
      </c>
      <c r="F2638" t="s">
        <v>44126</v>
      </c>
      <c r="G2638" t="s">
        <v>74</v>
      </c>
      <c r="H2638" t="s">
        <v>74</v>
      </c>
      <c r="I2638" t="s">
        <v>44127</v>
      </c>
      <c r="J2638" t="s">
        <v>7004</v>
      </c>
      <c r="K2638" t="s">
        <v>74</v>
      </c>
      <c r="L2638" t="s">
        <v>74</v>
      </c>
      <c r="M2638" t="s">
        <v>298</v>
      </c>
      <c r="N2638" t="s">
        <v>79</v>
      </c>
      <c r="O2638" t="s">
        <v>74</v>
      </c>
      <c r="P2638" t="s">
        <v>74</v>
      </c>
      <c r="Q2638" t="s">
        <v>74</v>
      </c>
      <c r="R2638" t="s">
        <v>74</v>
      </c>
      <c r="S2638" t="s">
        <v>74</v>
      </c>
      <c r="T2638" t="s">
        <v>44128</v>
      </c>
      <c r="U2638" t="s">
        <v>44129</v>
      </c>
      <c r="V2638" t="s">
        <v>44130</v>
      </c>
      <c r="W2638" t="s">
        <v>44131</v>
      </c>
      <c r="X2638" t="s">
        <v>74</v>
      </c>
      <c r="Y2638" t="s">
        <v>44132</v>
      </c>
      <c r="Z2638" t="s">
        <v>44133</v>
      </c>
      <c r="AA2638" t="s">
        <v>44134</v>
      </c>
      <c r="AB2638" t="s">
        <v>74</v>
      </c>
      <c r="AC2638" t="s">
        <v>74</v>
      </c>
      <c r="AD2638" t="s">
        <v>74</v>
      </c>
      <c r="AE2638" t="s">
        <v>74</v>
      </c>
      <c r="AF2638" t="s">
        <v>74</v>
      </c>
      <c r="AG2638">
        <v>52</v>
      </c>
      <c r="AH2638">
        <v>1</v>
      </c>
      <c r="AI2638">
        <v>1</v>
      </c>
      <c r="AJ2638">
        <v>0</v>
      </c>
      <c r="AK2638">
        <v>0</v>
      </c>
      <c r="AL2638" t="s">
        <v>7014</v>
      </c>
      <c r="AM2638" t="s">
        <v>7015</v>
      </c>
      <c r="AN2638" t="s">
        <v>7016</v>
      </c>
      <c r="AO2638" t="s">
        <v>74</v>
      </c>
      <c r="AP2638" t="s">
        <v>7017</v>
      </c>
      <c r="AQ2638" t="s">
        <v>74</v>
      </c>
      <c r="AR2638" t="s">
        <v>7018</v>
      </c>
      <c r="AS2638" t="s">
        <v>7019</v>
      </c>
      <c r="AT2638" t="s">
        <v>363</v>
      </c>
      <c r="AU2638">
        <v>2025</v>
      </c>
      <c r="AV2638">
        <v>20</v>
      </c>
      <c r="AW2638">
        <v>2</v>
      </c>
      <c r="AX2638" t="s">
        <v>74</v>
      </c>
      <c r="AY2638" t="s">
        <v>74</v>
      </c>
      <c r="AZ2638" t="s">
        <v>74</v>
      </c>
      <c r="BA2638" t="s">
        <v>74</v>
      </c>
      <c r="BB2638" t="s">
        <v>74</v>
      </c>
      <c r="BC2638" t="s">
        <v>74</v>
      </c>
      <c r="BD2638" t="s">
        <v>44135</v>
      </c>
      <c r="BE2638" t="s">
        <v>44136</v>
      </c>
      <c r="BF2638" t="str">
        <f>HYPERLINK("http://dx.doi.org/10.21919/remef.v20i2.1256","http://dx.doi.org/10.21919/remef.v20i2.1256")</f>
        <v>http://dx.doi.org/10.21919/remef.v20i2.1256</v>
      </c>
      <c r="BG2638" t="s">
        <v>74</v>
      </c>
      <c r="BH2638" t="s">
        <v>74</v>
      </c>
      <c r="BI2638">
        <v>23</v>
      </c>
      <c r="BJ2638" t="s">
        <v>210</v>
      </c>
      <c r="BK2638" t="s">
        <v>313</v>
      </c>
      <c r="BL2638" t="s">
        <v>100</v>
      </c>
      <c r="BM2638" t="s">
        <v>44137</v>
      </c>
      <c r="BN2638" t="s">
        <v>74</v>
      </c>
      <c r="BO2638" t="s">
        <v>212</v>
      </c>
      <c r="BP2638" t="s">
        <v>74</v>
      </c>
      <c r="BQ2638" t="s">
        <v>74</v>
      </c>
      <c r="BR2638" t="s">
        <v>102</v>
      </c>
      <c r="BS2638" t="s">
        <v>44138</v>
      </c>
      <c r="BT2638" t="str">
        <f>HYPERLINK("https%3A%2F%2Fwww.webofscience.com%2Fwos%2Fwoscc%2Ffull-record%2FWOS:001635602500002","View Full Record in Web of Science")</f>
        <v>View Full Record in Web of Science</v>
      </c>
    </row>
    <row r="2639" spans="1:72" x14ac:dyDescent="0.25">
      <c r="A2639" t="s">
        <v>72</v>
      </c>
      <c r="B2639" t="s">
        <v>44139</v>
      </c>
      <c r="C2639" t="s">
        <v>74</v>
      </c>
      <c r="D2639" t="s">
        <v>74</v>
      </c>
      <c r="E2639" t="s">
        <v>74</v>
      </c>
      <c r="F2639" t="s">
        <v>44140</v>
      </c>
      <c r="G2639" t="s">
        <v>74</v>
      </c>
      <c r="H2639" t="s">
        <v>74</v>
      </c>
      <c r="I2639" t="s">
        <v>44141</v>
      </c>
      <c r="J2639" t="s">
        <v>4842</v>
      </c>
      <c r="K2639" t="s">
        <v>74</v>
      </c>
      <c r="L2639" t="s">
        <v>74</v>
      </c>
      <c r="M2639" t="s">
        <v>78</v>
      </c>
      <c r="N2639" t="s">
        <v>79</v>
      </c>
      <c r="O2639" t="s">
        <v>74</v>
      </c>
      <c r="P2639" t="s">
        <v>74</v>
      </c>
      <c r="Q2639" t="s">
        <v>74</v>
      </c>
      <c r="R2639" t="s">
        <v>74</v>
      </c>
      <c r="S2639" t="s">
        <v>74</v>
      </c>
      <c r="T2639" t="s">
        <v>44142</v>
      </c>
      <c r="U2639" t="s">
        <v>44143</v>
      </c>
      <c r="V2639" t="s">
        <v>44144</v>
      </c>
      <c r="W2639" t="s">
        <v>44145</v>
      </c>
      <c r="X2639" t="s">
        <v>44146</v>
      </c>
      <c r="Y2639" t="s">
        <v>44147</v>
      </c>
      <c r="Z2639" t="s">
        <v>44148</v>
      </c>
      <c r="AA2639" t="s">
        <v>44149</v>
      </c>
      <c r="AB2639" t="s">
        <v>44150</v>
      </c>
      <c r="AC2639" t="s">
        <v>74</v>
      </c>
      <c r="AD2639" t="s">
        <v>74</v>
      </c>
      <c r="AE2639" t="s">
        <v>74</v>
      </c>
      <c r="AF2639" t="s">
        <v>74</v>
      </c>
      <c r="AG2639">
        <v>67</v>
      </c>
      <c r="AH2639">
        <v>0</v>
      </c>
      <c r="AI2639">
        <v>1</v>
      </c>
      <c r="AJ2639">
        <v>10</v>
      </c>
      <c r="AK2639">
        <v>11</v>
      </c>
      <c r="AL2639" t="s">
        <v>823</v>
      </c>
      <c r="AM2639" t="s">
        <v>333</v>
      </c>
      <c r="AN2639" t="s">
        <v>824</v>
      </c>
      <c r="AO2639" t="s">
        <v>4853</v>
      </c>
      <c r="AP2639" t="s">
        <v>74</v>
      </c>
      <c r="AQ2639" t="s">
        <v>74</v>
      </c>
      <c r="AR2639" t="s">
        <v>4854</v>
      </c>
      <c r="AS2639" t="s">
        <v>4855</v>
      </c>
      <c r="AT2639" t="s">
        <v>4856</v>
      </c>
      <c r="AU2639">
        <v>2025</v>
      </c>
      <c r="AV2639">
        <v>12</v>
      </c>
      <c r="AW2639">
        <v>1</v>
      </c>
      <c r="AX2639" t="s">
        <v>74</v>
      </c>
      <c r="AY2639" t="s">
        <v>74</v>
      </c>
      <c r="AZ2639" t="s">
        <v>74</v>
      </c>
      <c r="BA2639" t="s">
        <v>74</v>
      </c>
      <c r="BB2639" t="s">
        <v>74</v>
      </c>
      <c r="BC2639" t="s">
        <v>74</v>
      </c>
      <c r="BD2639">
        <v>2508368</v>
      </c>
      <c r="BE2639" t="s">
        <v>44151</v>
      </c>
      <c r="BF2639" t="str">
        <f>HYPERLINK("http://dx.doi.org/10.1080/23311975.2025.2508368","http://dx.doi.org/10.1080/23311975.2025.2508368")</f>
        <v>http://dx.doi.org/10.1080/23311975.2025.2508368</v>
      </c>
      <c r="BG2639" t="s">
        <v>74</v>
      </c>
      <c r="BH2639" t="s">
        <v>74</v>
      </c>
      <c r="BI2639">
        <v>18</v>
      </c>
      <c r="BJ2639" t="s">
        <v>418</v>
      </c>
      <c r="BK2639" t="s">
        <v>313</v>
      </c>
      <c r="BL2639" t="s">
        <v>100</v>
      </c>
      <c r="BM2639" t="s">
        <v>44152</v>
      </c>
      <c r="BN2639" t="s">
        <v>74</v>
      </c>
      <c r="BO2639" t="s">
        <v>916</v>
      </c>
      <c r="BP2639" t="s">
        <v>74</v>
      </c>
      <c r="BQ2639" t="s">
        <v>74</v>
      </c>
      <c r="BR2639" t="s">
        <v>102</v>
      </c>
      <c r="BS2639" t="s">
        <v>44153</v>
      </c>
      <c r="BT2639" t="str">
        <f>HYPERLINK("https%3A%2F%2Fwww.webofscience.com%2Fwos%2Fwoscc%2Ffull-record%2FWOS:001500249800001","View Full Record in Web of Science")</f>
        <v>View Full Record in Web of Science</v>
      </c>
    </row>
    <row r="2640" spans="1:72" x14ac:dyDescent="0.25">
      <c r="A2640" t="s">
        <v>72</v>
      </c>
      <c r="B2640" t="s">
        <v>44154</v>
      </c>
      <c r="C2640" t="s">
        <v>74</v>
      </c>
      <c r="D2640" t="s">
        <v>74</v>
      </c>
      <c r="E2640" t="s">
        <v>74</v>
      </c>
      <c r="F2640" t="s">
        <v>44155</v>
      </c>
      <c r="G2640" t="s">
        <v>74</v>
      </c>
      <c r="H2640" t="s">
        <v>74</v>
      </c>
      <c r="I2640" t="s">
        <v>44156</v>
      </c>
      <c r="J2640" t="s">
        <v>44157</v>
      </c>
      <c r="K2640" t="s">
        <v>74</v>
      </c>
      <c r="L2640" t="s">
        <v>74</v>
      </c>
      <c r="M2640" t="s">
        <v>78</v>
      </c>
      <c r="N2640" t="s">
        <v>79</v>
      </c>
      <c r="O2640" t="s">
        <v>74</v>
      </c>
      <c r="P2640" t="s">
        <v>74</v>
      </c>
      <c r="Q2640" t="s">
        <v>74</v>
      </c>
      <c r="R2640" t="s">
        <v>74</v>
      </c>
      <c r="S2640" t="s">
        <v>74</v>
      </c>
      <c r="T2640" t="s">
        <v>44158</v>
      </c>
      <c r="U2640" t="s">
        <v>44159</v>
      </c>
      <c r="V2640" t="s">
        <v>44160</v>
      </c>
      <c r="W2640" t="s">
        <v>44161</v>
      </c>
      <c r="X2640" t="s">
        <v>74</v>
      </c>
      <c r="Y2640" t="s">
        <v>44162</v>
      </c>
      <c r="Z2640" t="s">
        <v>25452</v>
      </c>
      <c r="AA2640" t="s">
        <v>74</v>
      </c>
      <c r="AB2640" t="s">
        <v>74</v>
      </c>
      <c r="AC2640" t="s">
        <v>74</v>
      </c>
      <c r="AD2640" t="s">
        <v>74</v>
      </c>
      <c r="AE2640" t="s">
        <v>74</v>
      </c>
      <c r="AF2640" t="s">
        <v>74</v>
      </c>
      <c r="AG2640">
        <v>54</v>
      </c>
      <c r="AH2640">
        <v>4</v>
      </c>
      <c r="AI2640">
        <v>5</v>
      </c>
      <c r="AJ2640">
        <v>0</v>
      </c>
      <c r="AK2640">
        <v>5</v>
      </c>
      <c r="AL2640" t="s">
        <v>332</v>
      </c>
      <c r="AM2640" t="s">
        <v>333</v>
      </c>
      <c r="AN2640" t="s">
        <v>334</v>
      </c>
      <c r="AO2640" t="s">
        <v>44163</v>
      </c>
      <c r="AP2640" t="s">
        <v>44164</v>
      </c>
      <c r="AQ2640" t="s">
        <v>74</v>
      </c>
      <c r="AR2640" t="s">
        <v>44165</v>
      </c>
      <c r="AS2640" t="s">
        <v>44166</v>
      </c>
      <c r="AT2640" t="s">
        <v>5028</v>
      </c>
      <c r="AU2640">
        <v>2021</v>
      </c>
      <c r="AV2640">
        <v>21</v>
      </c>
      <c r="AW2640">
        <v>4</v>
      </c>
      <c r="AX2640" t="s">
        <v>74</v>
      </c>
      <c r="AY2640" t="s">
        <v>74</v>
      </c>
      <c r="AZ2640" t="s">
        <v>441</v>
      </c>
      <c r="BA2640" t="s">
        <v>74</v>
      </c>
      <c r="BB2640">
        <v>534</v>
      </c>
      <c r="BC2640">
        <v>558</v>
      </c>
      <c r="BD2640" t="s">
        <v>74</v>
      </c>
      <c r="BE2640" t="s">
        <v>44167</v>
      </c>
      <c r="BF2640" t="str">
        <f>HYPERLINK("http://dx.doi.org/10.1080/19491247.2021.1898897","http://dx.doi.org/10.1080/19491247.2021.1898897")</f>
        <v>http://dx.doi.org/10.1080/19491247.2021.1898897</v>
      </c>
      <c r="BG2640" t="s">
        <v>74</v>
      </c>
      <c r="BH2640" t="s">
        <v>74</v>
      </c>
      <c r="BI2640">
        <v>25</v>
      </c>
      <c r="BJ2640" t="s">
        <v>44168</v>
      </c>
      <c r="BK2640" t="s">
        <v>99</v>
      </c>
      <c r="BL2640" t="s">
        <v>44169</v>
      </c>
      <c r="BM2640" t="s">
        <v>44170</v>
      </c>
      <c r="BN2640" t="s">
        <v>74</v>
      </c>
      <c r="BO2640" t="s">
        <v>1205</v>
      </c>
      <c r="BP2640" t="s">
        <v>74</v>
      </c>
      <c r="BQ2640" t="s">
        <v>74</v>
      </c>
      <c r="BR2640" t="s">
        <v>102</v>
      </c>
      <c r="BS2640" t="s">
        <v>44171</v>
      </c>
      <c r="BT2640" t="str">
        <f>HYPERLINK("https%3A%2F%2Fwww.webofscience.com%2Fwos%2Fwoscc%2Ffull-record%2FWOS:000723029800001","View Full Record in Web of Science")</f>
        <v>View Full Record in Web of Science</v>
      </c>
    </row>
    <row r="2641" spans="1:72" x14ac:dyDescent="0.25">
      <c r="A2641" t="s">
        <v>72</v>
      </c>
      <c r="B2641" t="s">
        <v>44172</v>
      </c>
      <c r="C2641" t="s">
        <v>74</v>
      </c>
      <c r="D2641" t="s">
        <v>74</v>
      </c>
      <c r="E2641" t="s">
        <v>74</v>
      </c>
      <c r="F2641" t="s">
        <v>44173</v>
      </c>
      <c r="G2641" t="s">
        <v>74</v>
      </c>
      <c r="H2641" t="s">
        <v>74</v>
      </c>
      <c r="I2641" t="s">
        <v>44174</v>
      </c>
      <c r="J2641" t="s">
        <v>3439</v>
      </c>
      <c r="K2641" t="s">
        <v>74</v>
      </c>
      <c r="L2641" t="s">
        <v>74</v>
      </c>
      <c r="M2641" t="s">
        <v>78</v>
      </c>
      <c r="N2641" t="s">
        <v>79</v>
      </c>
      <c r="O2641" t="s">
        <v>74</v>
      </c>
      <c r="P2641" t="s">
        <v>74</v>
      </c>
      <c r="Q2641" t="s">
        <v>74</v>
      </c>
      <c r="R2641" t="s">
        <v>74</v>
      </c>
      <c r="S2641" t="s">
        <v>74</v>
      </c>
      <c r="T2641" t="s">
        <v>44175</v>
      </c>
      <c r="U2641" t="s">
        <v>74</v>
      </c>
      <c r="V2641" t="s">
        <v>44176</v>
      </c>
      <c r="W2641" t="s">
        <v>44177</v>
      </c>
      <c r="X2641" t="s">
        <v>74</v>
      </c>
      <c r="Y2641" t="s">
        <v>44178</v>
      </c>
      <c r="Z2641" t="s">
        <v>44179</v>
      </c>
      <c r="AA2641" t="s">
        <v>44180</v>
      </c>
      <c r="AB2641" t="s">
        <v>44181</v>
      </c>
      <c r="AC2641" t="s">
        <v>44182</v>
      </c>
      <c r="AD2641" t="s">
        <v>44182</v>
      </c>
      <c r="AE2641" t="s">
        <v>44183</v>
      </c>
      <c r="AF2641" t="s">
        <v>74</v>
      </c>
      <c r="AG2641">
        <v>36</v>
      </c>
      <c r="AH2641">
        <v>4</v>
      </c>
      <c r="AI2641">
        <v>4</v>
      </c>
      <c r="AJ2641">
        <v>1</v>
      </c>
      <c r="AK2641">
        <v>12</v>
      </c>
      <c r="AL2641" t="s">
        <v>823</v>
      </c>
      <c r="AM2641" t="s">
        <v>333</v>
      </c>
      <c r="AN2641" t="s">
        <v>824</v>
      </c>
      <c r="AO2641" t="s">
        <v>3443</v>
      </c>
      <c r="AP2641" t="s">
        <v>74</v>
      </c>
      <c r="AQ2641" t="s">
        <v>74</v>
      </c>
      <c r="AR2641" t="s">
        <v>3444</v>
      </c>
      <c r="AS2641" t="s">
        <v>3445</v>
      </c>
      <c r="AT2641" t="s">
        <v>2970</v>
      </c>
      <c r="AU2641">
        <v>2022</v>
      </c>
      <c r="AV2641">
        <v>10</v>
      </c>
      <c r="AW2641">
        <v>1</v>
      </c>
      <c r="AX2641" t="s">
        <v>74</v>
      </c>
      <c r="AY2641" t="s">
        <v>74</v>
      </c>
      <c r="AZ2641" t="s">
        <v>74</v>
      </c>
      <c r="BA2641" t="s">
        <v>74</v>
      </c>
      <c r="BB2641" t="s">
        <v>74</v>
      </c>
      <c r="BC2641" t="s">
        <v>74</v>
      </c>
      <c r="BD2641">
        <v>2146298</v>
      </c>
      <c r="BE2641" t="s">
        <v>44184</v>
      </c>
      <c r="BF2641" t="str">
        <f>HYPERLINK("http://dx.doi.org/10.1080/23322039.2022.2146298","http://dx.doi.org/10.1080/23322039.2022.2146298")</f>
        <v>http://dx.doi.org/10.1080/23322039.2022.2146298</v>
      </c>
      <c r="BG2641" t="s">
        <v>74</v>
      </c>
      <c r="BH2641" t="s">
        <v>74</v>
      </c>
      <c r="BI2641">
        <v>16</v>
      </c>
      <c r="BJ2641" t="s">
        <v>291</v>
      </c>
      <c r="BK2641" t="s">
        <v>313</v>
      </c>
      <c r="BL2641" t="s">
        <v>100</v>
      </c>
      <c r="BM2641" t="s">
        <v>44185</v>
      </c>
      <c r="BN2641" t="s">
        <v>74</v>
      </c>
      <c r="BO2641" t="s">
        <v>916</v>
      </c>
      <c r="BP2641" t="s">
        <v>74</v>
      </c>
      <c r="BQ2641" t="s">
        <v>74</v>
      </c>
      <c r="BR2641" t="s">
        <v>102</v>
      </c>
      <c r="BS2641" t="s">
        <v>44186</v>
      </c>
      <c r="BT2641" t="str">
        <f>HYPERLINK("https%3A%2F%2Fwww.webofscience.com%2Fwos%2Fwoscc%2Ffull-record%2FWOS:000882807600001","View Full Record in Web of Science")</f>
        <v>View Full Record in Web of Science</v>
      </c>
    </row>
    <row r="2642" spans="1:72" x14ac:dyDescent="0.25">
      <c r="A2642" t="s">
        <v>72</v>
      </c>
      <c r="B2642" t="s">
        <v>44187</v>
      </c>
      <c r="C2642" t="s">
        <v>74</v>
      </c>
      <c r="D2642" t="s">
        <v>74</v>
      </c>
      <c r="E2642" t="s">
        <v>74</v>
      </c>
      <c r="F2642" t="s">
        <v>44188</v>
      </c>
      <c r="G2642" t="s">
        <v>74</v>
      </c>
      <c r="H2642" t="s">
        <v>74</v>
      </c>
      <c r="I2642" t="s">
        <v>44189</v>
      </c>
      <c r="J2642" t="s">
        <v>3439</v>
      </c>
      <c r="K2642" t="s">
        <v>74</v>
      </c>
      <c r="L2642" t="s">
        <v>74</v>
      </c>
      <c r="M2642" t="s">
        <v>78</v>
      </c>
      <c r="N2642" t="s">
        <v>79</v>
      </c>
      <c r="O2642" t="s">
        <v>74</v>
      </c>
      <c r="P2642" t="s">
        <v>74</v>
      </c>
      <c r="Q2642" t="s">
        <v>74</v>
      </c>
      <c r="R2642" t="s">
        <v>74</v>
      </c>
      <c r="S2642" t="s">
        <v>74</v>
      </c>
      <c r="T2642" t="s">
        <v>44190</v>
      </c>
      <c r="U2642" t="s">
        <v>44191</v>
      </c>
      <c r="V2642" t="s">
        <v>44192</v>
      </c>
      <c r="W2642" t="s">
        <v>44193</v>
      </c>
      <c r="X2642" t="s">
        <v>17508</v>
      </c>
      <c r="Y2642" t="s">
        <v>44194</v>
      </c>
      <c r="Z2642" t="s">
        <v>44195</v>
      </c>
      <c r="AA2642" t="s">
        <v>44196</v>
      </c>
      <c r="AB2642" t="s">
        <v>44197</v>
      </c>
      <c r="AC2642" t="s">
        <v>74</v>
      </c>
      <c r="AD2642" t="s">
        <v>74</v>
      </c>
      <c r="AE2642" t="s">
        <v>74</v>
      </c>
      <c r="AF2642" t="s">
        <v>74</v>
      </c>
      <c r="AG2642">
        <v>64</v>
      </c>
      <c r="AH2642">
        <v>10</v>
      </c>
      <c r="AI2642">
        <v>12</v>
      </c>
      <c r="AJ2642">
        <v>7</v>
      </c>
      <c r="AK2642">
        <v>28</v>
      </c>
      <c r="AL2642" t="s">
        <v>2481</v>
      </c>
      <c r="AM2642" t="s">
        <v>2482</v>
      </c>
      <c r="AN2642" t="s">
        <v>2483</v>
      </c>
      <c r="AO2642" t="s">
        <v>3443</v>
      </c>
      <c r="AP2642" t="s">
        <v>74</v>
      </c>
      <c r="AQ2642" t="s">
        <v>74</v>
      </c>
      <c r="AR2642" t="s">
        <v>3444</v>
      </c>
      <c r="AS2642" t="s">
        <v>3445</v>
      </c>
      <c r="AT2642" t="s">
        <v>2970</v>
      </c>
      <c r="AU2642">
        <v>2024</v>
      </c>
      <c r="AV2642">
        <v>12</v>
      </c>
      <c r="AW2642">
        <v>1</v>
      </c>
      <c r="AX2642" t="s">
        <v>74</v>
      </c>
      <c r="AY2642" t="s">
        <v>74</v>
      </c>
      <c r="AZ2642" t="s">
        <v>74</v>
      </c>
      <c r="BA2642" t="s">
        <v>74</v>
      </c>
      <c r="BB2642" t="s">
        <v>74</v>
      </c>
      <c r="BC2642" t="s">
        <v>74</v>
      </c>
      <c r="BD2642">
        <v>2330434</v>
      </c>
      <c r="BE2642" t="s">
        <v>44198</v>
      </c>
      <c r="BF2642" t="str">
        <f>HYPERLINK("http://dx.doi.org/10.1080/23322039.2024.2330434","http://dx.doi.org/10.1080/23322039.2024.2330434")</f>
        <v>http://dx.doi.org/10.1080/23322039.2024.2330434</v>
      </c>
      <c r="BG2642" t="s">
        <v>74</v>
      </c>
      <c r="BH2642" t="s">
        <v>74</v>
      </c>
      <c r="BI2642">
        <v>20</v>
      </c>
      <c r="BJ2642" t="s">
        <v>291</v>
      </c>
      <c r="BK2642" t="s">
        <v>313</v>
      </c>
      <c r="BL2642" t="s">
        <v>100</v>
      </c>
      <c r="BM2642" t="s">
        <v>44199</v>
      </c>
      <c r="BN2642" t="s">
        <v>74</v>
      </c>
      <c r="BO2642" t="s">
        <v>916</v>
      </c>
      <c r="BP2642" t="s">
        <v>74</v>
      </c>
      <c r="BQ2642" t="s">
        <v>74</v>
      </c>
      <c r="BR2642" t="s">
        <v>102</v>
      </c>
      <c r="BS2642" t="s">
        <v>44200</v>
      </c>
      <c r="BT2642" t="str">
        <f>HYPERLINK("https%3A%2F%2Fwww.webofscience.com%2Fwos%2Fwoscc%2Ffull-record%2FWOS:001197383200001","View Full Record in Web of Science")</f>
        <v>View Full Record in Web of Science</v>
      </c>
    </row>
    <row r="2643" spans="1:72" x14ac:dyDescent="0.25">
      <c r="A2643" t="s">
        <v>72</v>
      </c>
      <c r="B2643" t="s">
        <v>35299</v>
      </c>
      <c r="C2643" t="s">
        <v>74</v>
      </c>
      <c r="D2643" t="s">
        <v>74</v>
      </c>
      <c r="E2643" t="s">
        <v>74</v>
      </c>
      <c r="F2643" t="s">
        <v>35300</v>
      </c>
      <c r="G2643" t="s">
        <v>74</v>
      </c>
      <c r="H2643" t="s">
        <v>74</v>
      </c>
      <c r="I2643" t="s">
        <v>44201</v>
      </c>
      <c r="J2643" t="s">
        <v>6538</v>
      </c>
      <c r="K2643" t="s">
        <v>74</v>
      </c>
      <c r="L2643" t="s">
        <v>74</v>
      </c>
      <c r="M2643" t="s">
        <v>78</v>
      </c>
      <c r="N2643" t="s">
        <v>79</v>
      </c>
      <c r="O2643" t="s">
        <v>74</v>
      </c>
      <c r="P2643" t="s">
        <v>74</v>
      </c>
      <c r="Q2643" t="s">
        <v>74</v>
      </c>
      <c r="R2643" t="s">
        <v>74</v>
      </c>
      <c r="S2643" t="s">
        <v>74</v>
      </c>
      <c r="T2643" t="s">
        <v>44202</v>
      </c>
      <c r="U2643" t="s">
        <v>74</v>
      </c>
      <c r="V2643" t="s">
        <v>44203</v>
      </c>
      <c r="W2643" t="s">
        <v>44204</v>
      </c>
      <c r="X2643" t="s">
        <v>35305</v>
      </c>
      <c r="Y2643" t="s">
        <v>44205</v>
      </c>
      <c r="Z2643" t="s">
        <v>35307</v>
      </c>
      <c r="AA2643" t="s">
        <v>35308</v>
      </c>
      <c r="AB2643" t="s">
        <v>40252</v>
      </c>
      <c r="AC2643" t="s">
        <v>74</v>
      </c>
      <c r="AD2643" t="s">
        <v>74</v>
      </c>
      <c r="AE2643" t="s">
        <v>74</v>
      </c>
      <c r="AF2643" t="s">
        <v>74</v>
      </c>
      <c r="AG2643">
        <v>54</v>
      </c>
      <c r="AH2643">
        <v>0</v>
      </c>
      <c r="AI2643">
        <v>2</v>
      </c>
      <c r="AJ2643">
        <v>2</v>
      </c>
      <c r="AK2643">
        <v>3</v>
      </c>
      <c r="AL2643" t="s">
        <v>2907</v>
      </c>
      <c r="AM2643" t="s">
        <v>2908</v>
      </c>
      <c r="AN2643" t="s">
        <v>2909</v>
      </c>
      <c r="AO2643" t="s">
        <v>6543</v>
      </c>
      <c r="AP2643" t="s">
        <v>6544</v>
      </c>
      <c r="AQ2643" t="s">
        <v>74</v>
      </c>
      <c r="AR2643" t="s">
        <v>6545</v>
      </c>
      <c r="AS2643" t="s">
        <v>6546</v>
      </c>
      <c r="AT2643" t="s">
        <v>698</v>
      </c>
      <c r="AU2643">
        <v>2025</v>
      </c>
      <c r="AV2643">
        <v>26</v>
      </c>
      <c r="AW2643">
        <v>3</v>
      </c>
      <c r="AX2643" t="s">
        <v>74</v>
      </c>
      <c r="AY2643" t="s">
        <v>74</v>
      </c>
      <c r="AZ2643" t="s">
        <v>441</v>
      </c>
      <c r="BA2643" t="s">
        <v>74</v>
      </c>
      <c r="BB2643">
        <v>503</v>
      </c>
      <c r="BC2643">
        <v>517</v>
      </c>
      <c r="BD2643" t="s">
        <v>74</v>
      </c>
      <c r="BE2643" t="s">
        <v>44206</v>
      </c>
      <c r="BF2643" t="str">
        <f>HYPERLINK("http://dx.doi.org/10.1057/s41261-025-00273-2","http://dx.doi.org/10.1057/s41261-025-00273-2")</f>
        <v>http://dx.doi.org/10.1057/s41261-025-00273-2</v>
      </c>
      <c r="BG2643" t="s">
        <v>74</v>
      </c>
      <c r="BH2643" t="s">
        <v>1485</v>
      </c>
      <c r="BI2643">
        <v>15</v>
      </c>
      <c r="BJ2643" t="s">
        <v>268</v>
      </c>
      <c r="BK2643" t="s">
        <v>313</v>
      </c>
      <c r="BL2643" t="s">
        <v>100</v>
      </c>
      <c r="BM2643" t="s">
        <v>44207</v>
      </c>
      <c r="BN2643" t="s">
        <v>74</v>
      </c>
      <c r="BO2643" t="s">
        <v>270</v>
      </c>
      <c r="BP2643" t="s">
        <v>74</v>
      </c>
      <c r="BQ2643" t="s">
        <v>74</v>
      </c>
      <c r="BR2643" t="s">
        <v>102</v>
      </c>
      <c r="BS2643" t="s">
        <v>44208</v>
      </c>
      <c r="BT2643" t="str">
        <f>HYPERLINK("https%3A%2F%2Fwww.webofscience.com%2Fwos%2Fwoscc%2Ffull-record%2FWOS:001456604800001","View Full Record in Web of Science")</f>
        <v>View Full Record in Web of Science</v>
      </c>
    </row>
    <row r="2644" spans="1:72" x14ac:dyDescent="0.25">
      <c r="A2644" t="s">
        <v>72</v>
      </c>
      <c r="B2644" t="s">
        <v>44209</v>
      </c>
      <c r="C2644" t="s">
        <v>74</v>
      </c>
      <c r="D2644" t="s">
        <v>74</v>
      </c>
      <c r="E2644" t="s">
        <v>74</v>
      </c>
      <c r="F2644" t="s">
        <v>44210</v>
      </c>
      <c r="G2644" t="s">
        <v>74</v>
      </c>
      <c r="H2644" t="s">
        <v>74</v>
      </c>
      <c r="I2644" t="s">
        <v>44211</v>
      </c>
      <c r="J2644" t="s">
        <v>34159</v>
      </c>
      <c r="K2644" t="s">
        <v>74</v>
      </c>
      <c r="L2644" t="s">
        <v>74</v>
      </c>
      <c r="M2644" t="s">
        <v>78</v>
      </c>
      <c r="N2644" t="s">
        <v>372</v>
      </c>
      <c r="O2644" t="s">
        <v>74</v>
      </c>
      <c r="P2644" t="s">
        <v>74</v>
      </c>
      <c r="Q2644" t="s">
        <v>74</v>
      </c>
      <c r="R2644" t="s">
        <v>74</v>
      </c>
      <c r="S2644" t="s">
        <v>74</v>
      </c>
      <c r="T2644" t="s">
        <v>44212</v>
      </c>
      <c r="U2644" t="s">
        <v>44213</v>
      </c>
      <c r="V2644" t="s">
        <v>44214</v>
      </c>
      <c r="W2644" t="s">
        <v>44215</v>
      </c>
      <c r="X2644" t="s">
        <v>44216</v>
      </c>
      <c r="Y2644" t="s">
        <v>44217</v>
      </c>
      <c r="Z2644" t="s">
        <v>44218</v>
      </c>
      <c r="AA2644" t="s">
        <v>44219</v>
      </c>
      <c r="AB2644" t="s">
        <v>74</v>
      </c>
      <c r="AC2644" t="s">
        <v>44220</v>
      </c>
      <c r="AD2644" t="s">
        <v>44221</v>
      </c>
      <c r="AE2644" t="s">
        <v>44222</v>
      </c>
      <c r="AF2644" t="s">
        <v>74</v>
      </c>
      <c r="AG2644">
        <v>99</v>
      </c>
      <c r="AH2644">
        <v>0</v>
      </c>
      <c r="AI2644">
        <v>0</v>
      </c>
      <c r="AJ2644">
        <v>0</v>
      </c>
      <c r="AK2644">
        <v>0</v>
      </c>
      <c r="AL2644" t="s">
        <v>757</v>
      </c>
      <c r="AM2644" t="s">
        <v>758</v>
      </c>
      <c r="AN2644" t="s">
        <v>759</v>
      </c>
      <c r="AO2644" t="s">
        <v>34148</v>
      </c>
      <c r="AP2644" t="s">
        <v>34147</v>
      </c>
      <c r="AQ2644" t="s">
        <v>74</v>
      </c>
      <c r="AR2644" t="s">
        <v>34146</v>
      </c>
      <c r="AS2644" t="s">
        <v>34145</v>
      </c>
      <c r="AT2644" t="s">
        <v>44223</v>
      </c>
      <c r="AU2644">
        <v>2025</v>
      </c>
      <c r="AV2644" t="s">
        <v>74</v>
      </c>
      <c r="AW2644" t="s">
        <v>74</v>
      </c>
      <c r="AX2644" t="s">
        <v>74</v>
      </c>
      <c r="AY2644" t="s">
        <v>74</v>
      </c>
      <c r="AZ2644" t="s">
        <v>74</v>
      </c>
      <c r="BA2644" t="s">
        <v>74</v>
      </c>
      <c r="BB2644" t="s">
        <v>74</v>
      </c>
      <c r="BC2644" t="s">
        <v>74</v>
      </c>
      <c r="BD2644" t="s">
        <v>74</v>
      </c>
      <c r="BE2644" t="s">
        <v>44224</v>
      </c>
      <c r="BF2644" t="str">
        <f>HYPERLINK("http://dx.doi.org/10.1177/0308518X251396422","http://dx.doi.org/10.1177/0308518X251396422")</f>
        <v>http://dx.doi.org/10.1177/0308518X251396422</v>
      </c>
      <c r="BG2644" t="s">
        <v>74</v>
      </c>
      <c r="BH2644" t="s">
        <v>2044</v>
      </c>
      <c r="BI2644">
        <v>20</v>
      </c>
      <c r="BJ2644" t="s">
        <v>34142</v>
      </c>
      <c r="BK2644" t="s">
        <v>99</v>
      </c>
      <c r="BL2644" t="s">
        <v>34141</v>
      </c>
      <c r="BM2644" t="s">
        <v>44225</v>
      </c>
      <c r="BN2644" t="s">
        <v>74</v>
      </c>
      <c r="BO2644" t="s">
        <v>270</v>
      </c>
      <c r="BP2644" t="s">
        <v>74</v>
      </c>
      <c r="BQ2644" t="s">
        <v>74</v>
      </c>
      <c r="BR2644" t="s">
        <v>102</v>
      </c>
      <c r="BS2644" t="s">
        <v>44226</v>
      </c>
      <c r="BT2644" t="str">
        <f>HYPERLINK("https%3A%2F%2Fwww.webofscience.com%2Fwos%2Fwoscc%2Ffull-record%2FWOS:001620021000001","View Full Record in Web of Science")</f>
        <v>View Full Record in Web of Science</v>
      </c>
    </row>
    <row r="2645" spans="1:72" x14ac:dyDescent="0.25">
      <c r="A2645" t="s">
        <v>72</v>
      </c>
      <c r="B2645" t="s">
        <v>44227</v>
      </c>
      <c r="C2645" t="s">
        <v>74</v>
      </c>
      <c r="D2645" t="s">
        <v>74</v>
      </c>
      <c r="E2645" t="s">
        <v>74</v>
      </c>
      <c r="F2645" t="s">
        <v>44228</v>
      </c>
      <c r="G2645" t="s">
        <v>74</v>
      </c>
      <c r="H2645" t="s">
        <v>74</v>
      </c>
      <c r="I2645" t="s">
        <v>44229</v>
      </c>
      <c r="J2645" t="s">
        <v>3439</v>
      </c>
      <c r="K2645" t="s">
        <v>74</v>
      </c>
      <c r="L2645" t="s">
        <v>74</v>
      </c>
      <c r="M2645" t="s">
        <v>78</v>
      </c>
      <c r="N2645" t="s">
        <v>79</v>
      </c>
      <c r="O2645" t="s">
        <v>74</v>
      </c>
      <c r="P2645" t="s">
        <v>74</v>
      </c>
      <c r="Q2645" t="s">
        <v>74</v>
      </c>
      <c r="R2645" t="s">
        <v>74</v>
      </c>
      <c r="S2645" t="s">
        <v>74</v>
      </c>
      <c r="T2645" t="s">
        <v>44230</v>
      </c>
      <c r="U2645" t="s">
        <v>2964</v>
      </c>
      <c r="V2645" t="s">
        <v>44231</v>
      </c>
      <c r="W2645" t="s">
        <v>44232</v>
      </c>
      <c r="X2645" t="s">
        <v>36356</v>
      </c>
      <c r="Y2645" t="s">
        <v>44233</v>
      </c>
      <c r="Z2645" t="s">
        <v>44234</v>
      </c>
      <c r="AA2645" t="s">
        <v>44235</v>
      </c>
      <c r="AB2645" t="s">
        <v>74</v>
      </c>
      <c r="AC2645" t="s">
        <v>74</v>
      </c>
      <c r="AD2645" t="s">
        <v>74</v>
      </c>
      <c r="AE2645" t="s">
        <v>74</v>
      </c>
      <c r="AF2645" t="s">
        <v>74</v>
      </c>
      <c r="AG2645">
        <v>70</v>
      </c>
      <c r="AH2645">
        <v>2</v>
      </c>
      <c r="AI2645">
        <v>3</v>
      </c>
      <c r="AJ2645">
        <v>0</v>
      </c>
      <c r="AK2645">
        <v>8</v>
      </c>
      <c r="AL2645" t="s">
        <v>2481</v>
      </c>
      <c r="AM2645" t="s">
        <v>2482</v>
      </c>
      <c r="AN2645" t="s">
        <v>2483</v>
      </c>
      <c r="AO2645" t="s">
        <v>3443</v>
      </c>
      <c r="AP2645" t="s">
        <v>74</v>
      </c>
      <c r="AQ2645" t="s">
        <v>74</v>
      </c>
      <c r="AR2645" t="s">
        <v>3444</v>
      </c>
      <c r="AS2645" t="s">
        <v>3445</v>
      </c>
      <c r="AT2645" t="s">
        <v>22161</v>
      </c>
      <c r="AU2645">
        <v>2023</v>
      </c>
      <c r="AV2645">
        <v>11</v>
      </c>
      <c r="AW2645">
        <v>2</v>
      </c>
      <c r="AX2645" t="s">
        <v>74</v>
      </c>
      <c r="AY2645" t="s">
        <v>74</v>
      </c>
      <c r="AZ2645" t="s">
        <v>74</v>
      </c>
      <c r="BA2645" t="s">
        <v>74</v>
      </c>
      <c r="BB2645" t="s">
        <v>74</v>
      </c>
      <c r="BC2645" t="s">
        <v>74</v>
      </c>
      <c r="BD2645">
        <v>2267854</v>
      </c>
      <c r="BE2645" t="s">
        <v>44236</v>
      </c>
      <c r="BF2645" t="str">
        <f>HYPERLINK("http://dx.doi.org/10.1080/23322039.2023.2267854","http://dx.doi.org/10.1080/23322039.2023.2267854")</f>
        <v>http://dx.doi.org/10.1080/23322039.2023.2267854</v>
      </c>
      <c r="BG2645" t="s">
        <v>74</v>
      </c>
      <c r="BH2645" t="s">
        <v>74</v>
      </c>
      <c r="BI2645">
        <v>14</v>
      </c>
      <c r="BJ2645" t="s">
        <v>291</v>
      </c>
      <c r="BK2645" t="s">
        <v>313</v>
      </c>
      <c r="BL2645" t="s">
        <v>100</v>
      </c>
      <c r="BM2645" t="s">
        <v>44237</v>
      </c>
      <c r="BN2645" t="s">
        <v>74</v>
      </c>
      <c r="BO2645" t="s">
        <v>916</v>
      </c>
      <c r="BP2645" t="s">
        <v>74</v>
      </c>
      <c r="BQ2645" t="s">
        <v>74</v>
      </c>
      <c r="BR2645" t="s">
        <v>102</v>
      </c>
      <c r="BS2645" t="s">
        <v>44238</v>
      </c>
      <c r="BT2645" t="str">
        <f>HYPERLINK("https%3A%2F%2Fwww.webofscience.com%2Fwos%2Fwoscc%2Ffull-record%2FWOS:001080574400001","View Full Record in Web of Science")</f>
        <v>View Full Record in Web of Science</v>
      </c>
    </row>
    <row r="2646" spans="1:72" x14ac:dyDescent="0.25">
      <c r="A2646" t="s">
        <v>72</v>
      </c>
      <c r="B2646" t="s">
        <v>44239</v>
      </c>
      <c r="C2646" t="s">
        <v>74</v>
      </c>
      <c r="D2646" t="s">
        <v>74</v>
      </c>
      <c r="E2646" t="s">
        <v>74</v>
      </c>
      <c r="F2646" t="s">
        <v>44240</v>
      </c>
      <c r="G2646" t="s">
        <v>74</v>
      </c>
      <c r="H2646" t="s">
        <v>74</v>
      </c>
      <c r="I2646" t="s">
        <v>44241</v>
      </c>
      <c r="J2646" t="s">
        <v>14448</v>
      </c>
      <c r="K2646" t="s">
        <v>74</v>
      </c>
      <c r="L2646" t="s">
        <v>74</v>
      </c>
      <c r="M2646" t="s">
        <v>78</v>
      </c>
      <c r="N2646" t="s">
        <v>79</v>
      </c>
      <c r="O2646" t="s">
        <v>74</v>
      </c>
      <c r="P2646" t="s">
        <v>74</v>
      </c>
      <c r="Q2646" t="s">
        <v>74</v>
      </c>
      <c r="R2646" t="s">
        <v>74</v>
      </c>
      <c r="S2646" t="s">
        <v>74</v>
      </c>
      <c r="T2646" t="s">
        <v>44242</v>
      </c>
      <c r="U2646" t="s">
        <v>44243</v>
      </c>
      <c r="V2646" t="s">
        <v>44244</v>
      </c>
      <c r="W2646" t="s">
        <v>44245</v>
      </c>
      <c r="X2646" t="s">
        <v>33667</v>
      </c>
      <c r="Y2646" t="s">
        <v>44246</v>
      </c>
      <c r="Z2646" t="s">
        <v>44247</v>
      </c>
      <c r="AA2646" t="s">
        <v>44248</v>
      </c>
      <c r="AB2646" t="s">
        <v>44249</v>
      </c>
      <c r="AC2646" t="s">
        <v>44250</v>
      </c>
      <c r="AD2646" t="s">
        <v>44251</v>
      </c>
      <c r="AE2646" t="s">
        <v>44252</v>
      </c>
      <c r="AF2646" t="s">
        <v>74</v>
      </c>
      <c r="AG2646">
        <v>69</v>
      </c>
      <c r="AH2646">
        <v>56</v>
      </c>
      <c r="AI2646">
        <v>63</v>
      </c>
      <c r="AJ2646">
        <v>0</v>
      </c>
      <c r="AK2646">
        <v>60</v>
      </c>
      <c r="AL2646" t="s">
        <v>4485</v>
      </c>
      <c r="AM2646" t="s">
        <v>231</v>
      </c>
      <c r="AN2646" t="s">
        <v>4486</v>
      </c>
      <c r="AO2646" t="s">
        <v>14458</v>
      </c>
      <c r="AP2646" t="s">
        <v>14459</v>
      </c>
      <c r="AQ2646" t="s">
        <v>74</v>
      </c>
      <c r="AR2646" t="s">
        <v>14460</v>
      </c>
      <c r="AS2646" t="s">
        <v>14461</v>
      </c>
      <c r="AT2646" t="s">
        <v>38311</v>
      </c>
      <c r="AU2646">
        <v>2017</v>
      </c>
      <c r="AV2646">
        <v>164</v>
      </c>
      <c r="AW2646" t="s">
        <v>74</v>
      </c>
      <c r="AX2646" t="s">
        <v>74</v>
      </c>
      <c r="AY2646" t="s">
        <v>74</v>
      </c>
      <c r="AZ2646" t="s">
        <v>74</v>
      </c>
      <c r="BA2646" t="s">
        <v>74</v>
      </c>
      <c r="BB2646">
        <v>102</v>
      </c>
      <c r="BC2646">
        <v>114</v>
      </c>
      <c r="BD2646" t="s">
        <v>74</v>
      </c>
      <c r="BE2646" t="s">
        <v>44253</v>
      </c>
      <c r="BF2646" t="str">
        <f>HYPERLINK("http://dx.doi.org/10.1016/j.jclepro.2017.06.176","http://dx.doi.org/10.1016/j.jclepro.2017.06.176")</f>
        <v>http://dx.doi.org/10.1016/j.jclepro.2017.06.176</v>
      </c>
      <c r="BG2646" t="s">
        <v>74</v>
      </c>
      <c r="BH2646" t="s">
        <v>74</v>
      </c>
      <c r="BI2646">
        <v>13</v>
      </c>
      <c r="BJ2646" t="s">
        <v>14463</v>
      </c>
      <c r="BK2646" t="s">
        <v>2623</v>
      </c>
      <c r="BL2646" t="s">
        <v>14464</v>
      </c>
      <c r="BM2646" t="s">
        <v>44254</v>
      </c>
      <c r="BN2646" t="s">
        <v>74</v>
      </c>
      <c r="BO2646" t="s">
        <v>74</v>
      </c>
      <c r="BP2646" t="s">
        <v>74</v>
      </c>
      <c r="BQ2646" t="s">
        <v>74</v>
      </c>
      <c r="BR2646" t="s">
        <v>102</v>
      </c>
      <c r="BS2646" t="s">
        <v>44255</v>
      </c>
      <c r="BT2646" t="str">
        <f>HYPERLINK("https%3A%2F%2Fwww.webofscience.com%2Fwos%2Fwoscc%2Ffull-record%2FWOS:000409290700010","View Full Record in Web of Science")</f>
        <v>View Full Record in Web of Science</v>
      </c>
    </row>
    <row r="2647" spans="1:72" x14ac:dyDescent="0.25">
      <c r="A2647" t="s">
        <v>72</v>
      </c>
      <c r="B2647" t="s">
        <v>44256</v>
      </c>
      <c r="C2647" t="s">
        <v>74</v>
      </c>
      <c r="D2647" t="s">
        <v>74</v>
      </c>
      <c r="E2647" t="s">
        <v>74</v>
      </c>
      <c r="F2647" t="s">
        <v>44257</v>
      </c>
      <c r="G2647" t="s">
        <v>74</v>
      </c>
      <c r="H2647" t="s">
        <v>74</v>
      </c>
      <c r="I2647" t="s">
        <v>44258</v>
      </c>
      <c r="J2647" t="s">
        <v>877</v>
      </c>
      <c r="K2647" t="s">
        <v>74</v>
      </c>
      <c r="L2647" t="s">
        <v>74</v>
      </c>
      <c r="M2647" t="s">
        <v>78</v>
      </c>
      <c r="N2647" t="s">
        <v>79</v>
      </c>
      <c r="O2647" t="s">
        <v>74</v>
      </c>
      <c r="P2647" t="s">
        <v>74</v>
      </c>
      <c r="Q2647" t="s">
        <v>74</v>
      </c>
      <c r="R2647" t="s">
        <v>74</v>
      </c>
      <c r="S2647" t="s">
        <v>74</v>
      </c>
      <c r="T2647" t="s">
        <v>44259</v>
      </c>
      <c r="U2647" t="s">
        <v>74</v>
      </c>
      <c r="V2647" t="s">
        <v>44260</v>
      </c>
      <c r="W2647" t="s">
        <v>44261</v>
      </c>
      <c r="X2647" t="s">
        <v>44262</v>
      </c>
      <c r="Y2647" t="s">
        <v>44263</v>
      </c>
      <c r="Z2647" t="s">
        <v>44264</v>
      </c>
      <c r="AA2647" t="s">
        <v>74</v>
      </c>
      <c r="AB2647" t="s">
        <v>74</v>
      </c>
      <c r="AC2647" t="s">
        <v>74</v>
      </c>
      <c r="AD2647" t="s">
        <v>74</v>
      </c>
      <c r="AE2647" t="s">
        <v>74</v>
      </c>
      <c r="AF2647" t="s">
        <v>74</v>
      </c>
      <c r="AG2647">
        <v>16</v>
      </c>
      <c r="AH2647">
        <v>7</v>
      </c>
      <c r="AI2647">
        <v>13</v>
      </c>
      <c r="AJ2647">
        <v>2</v>
      </c>
      <c r="AK2647">
        <v>30</v>
      </c>
      <c r="AL2647" t="s">
        <v>884</v>
      </c>
      <c r="AM2647" t="s">
        <v>885</v>
      </c>
      <c r="AN2647" t="s">
        <v>886</v>
      </c>
      <c r="AO2647" t="s">
        <v>887</v>
      </c>
      <c r="AP2647" t="s">
        <v>888</v>
      </c>
      <c r="AQ2647" t="s">
        <v>74</v>
      </c>
      <c r="AR2647" t="s">
        <v>889</v>
      </c>
      <c r="AS2647" t="s">
        <v>890</v>
      </c>
      <c r="AT2647" t="s">
        <v>605</v>
      </c>
      <c r="AU2647">
        <v>2021</v>
      </c>
      <c r="AV2647">
        <v>8</v>
      </c>
      <c r="AW2647">
        <v>3</v>
      </c>
      <c r="AX2647" t="s">
        <v>74</v>
      </c>
      <c r="AY2647" t="s">
        <v>74</v>
      </c>
      <c r="AZ2647" t="s">
        <v>74</v>
      </c>
      <c r="BA2647" t="s">
        <v>74</v>
      </c>
      <c r="BB2647">
        <v>637</v>
      </c>
      <c r="BC2647">
        <v>643</v>
      </c>
      <c r="BD2647" t="s">
        <v>74</v>
      </c>
      <c r="BE2647" t="s">
        <v>44265</v>
      </c>
      <c r="BF2647" t="str">
        <f>HYPERLINK("http://dx.doi.org/10.13106/jafeb.2021.vol8.no3.0637","http://dx.doi.org/10.13106/jafeb.2021.vol8.no3.0637")</f>
        <v>http://dx.doi.org/10.13106/jafeb.2021.vol8.no3.0637</v>
      </c>
      <c r="BG2647" t="s">
        <v>74</v>
      </c>
      <c r="BH2647" t="s">
        <v>74</v>
      </c>
      <c r="BI2647">
        <v>7</v>
      </c>
      <c r="BJ2647" t="s">
        <v>418</v>
      </c>
      <c r="BK2647" t="s">
        <v>313</v>
      </c>
      <c r="BL2647" t="s">
        <v>100</v>
      </c>
      <c r="BM2647" t="s">
        <v>3152</v>
      </c>
      <c r="BN2647" t="s">
        <v>74</v>
      </c>
      <c r="BO2647" t="s">
        <v>74</v>
      </c>
      <c r="BP2647" t="s">
        <v>74</v>
      </c>
      <c r="BQ2647" t="s">
        <v>74</v>
      </c>
      <c r="BR2647" t="s">
        <v>102</v>
      </c>
      <c r="BS2647" t="s">
        <v>44266</v>
      </c>
      <c r="BT2647" t="str">
        <f>HYPERLINK("https%3A%2F%2Fwww.webofscience.com%2Fwos%2Fwoscc%2Ffull-record%2FWOS:000639112300063","View Full Record in Web of Science")</f>
        <v>View Full Record in Web of Science</v>
      </c>
    </row>
    <row r="2648" spans="1:72" x14ac:dyDescent="0.25">
      <c r="A2648" t="s">
        <v>72</v>
      </c>
      <c r="B2648" t="s">
        <v>44267</v>
      </c>
      <c r="C2648" t="s">
        <v>74</v>
      </c>
      <c r="D2648" t="s">
        <v>74</v>
      </c>
      <c r="E2648" t="s">
        <v>74</v>
      </c>
      <c r="F2648" t="s">
        <v>44268</v>
      </c>
      <c r="G2648" t="s">
        <v>74</v>
      </c>
      <c r="H2648" t="s">
        <v>74</v>
      </c>
      <c r="I2648" t="s">
        <v>44269</v>
      </c>
      <c r="J2648" t="s">
        <v>44270</v>
      </c>
      <c r="K2648" t="s">
        <v>74</v>
      </c>
      <c r="L2648" t="s">
        <v>74</v>
      </c>
      <c r="M2648" t="s">
        <v>78</v>
      </c>
      <c r="N2648" t="s">
        <v>79</v>
      </c>
      <c r="O2648" t="s">
        <v>74</v>
      </c>
      <c r="P2648" t="s">
        <v>74</v>
      </c>
      <c r="Q2648" t="s">
        <v>74</v>
      </c>
      <c r="R2648" t="s">
        <v>74</v>
      </c>
      <c r="S2648" t="s">
        <v>74</v>
      </c>
      <c r="T2648" t="s">
        <v>44271</v>
      </c>
      <c r="U2648" t="s">
        <v>74</v>
      </c>
      <c r="V2648" t="s">
        <v>44272</v>
      </c>
      <c r="W2648" t="s">
        <v>44273</v>
      </c>
      <c r="X2648" t="s">
        <v>15152</v>
      </c>
      <c r="Y2648" t="s">
        <v>44274</v>
      </c>
      <c r="Z2648" t="s">
        <v>44275</v>
      </c>
      <c r="AA2648" t="s">
        <v>74</v>
      </c>
      <c r="AB2648" t="s">
        <v>44276</v>
      </c>
      <c r="AC2648" t="s">
        <v>74</v>
      </c>
      <c r="AD2648" t="s">
        <v>74</v>
      </c>
      <c r="AE2648" t="s">
        <v>74</v>
      </c>
      <c r="AF2648" t="s">
        <v>74</v>
      </c>
      <c r="AG2648">
        <v>4</v>
      </c>
      <c r="AH2648">
        <v>0</v>
      </c>
      <c r="AI2648">
        <v>0</v>
      </c>
      <c r="AJ2648">
        <v>0</v>
      </c>
      <c r="AK2648">
        <v>23</v>
      </c>
      <c r="AL2648" t="s">
        <v>117</v>
      </c>
      <c r="AM2648" t="s">
        <v>118</v>
      </c>
      <c r="AN2648" t="s">
        <v>119</v>
      </c>
      <c r="AO2648" t="s">
        <v>44277</v>
      </c>
      <c r="AP2648" t="s">
        <v>44278</v>
      </c>
      <c r="AQ2648" t="s">
        <v>74</v>
      </c>
      <c r="AR2648" t="s">
        <v>44279</v>
      </c>
      <c r="AS2648" t="s">
        <v>44280</v>
      </c>
      <c r="AT2648" t="s">
        <v>743</v>
      </c>
      <c r="AU2648">
        <v>2021</v>
      </c>
      <c r="AV2648">
        <v>18</v>
      </c>
      <c r="AW2648">
        <v>1</v>
      </c>
      <c r="AX2648" t="s">
        <v>74</v>
      </c>
      <c r="AY2648" t="s">
        <v>74</v>
      </c>
      <c r="AZ2648" t="s">
        <v>74</v>
      </c>
      <c r="BA2648" t="s">
        <v>74</v>
      </c>
      <c r="BB2648">
        <v>335</v>
      </c>
      <c r="BC2648">
        <v>339</v>
      </c>
      <c r="BD2648" t="s">
        <v>74</v>
      </c>
      <c r="BE2648" t="s">
        <v>44281</v>
      </c>
      <c r="BF2648" t="str">
        <f>HYPERLINK("http://dx.doi.org/10.1007/s40844-020-00165-2","http://dx.doi.org/10.1007/s40844-020-00165-2")</f>
        <v>http://dx.doi.org/10.1007/s40844-020-00165-2</v>
      </c>
      <c r="BG2648" t="s">
        <v>74</v>
      </c>
      <c r="BH2648" t="s">
        <v>2506</v>
      </c>
      <c r="BI2648">
        <v>5</v>
      </c>
      <c r="BJ2648" t="s">
        <v>291</v>
      </c>
      <c r="BK2648" t="s">
        <v>313</v>
      </c>
      <c r="BL2648" t="s">
        <v>100</v>
      </c>
      <c r="BM2648" t="s">
        <v>44282</v>
      </c>
      <c r="BN2648" t="s">
        <v>74</v>
      </c>
      <c r="BO2648" t="s">
        <v>74</v>
      </c>
      <c r="BP2648" t="s">
        <v>74</v>
      </c>
      <c r="BQ2648" t="s">
        <v>74</v>
      </c>
      <c r="BR2648" t="s">
        <v>102</v>
      </c>
      <c r="BS2648" t="s">
        <v>44283</v>
      </c>
      <c r="BT2648" t="str">
        <f>HYPERLINK("https%3A%2F%2Fwww.webofscience.com%2Fwos%2Fwoscc%2Ffull-record%2FWOS:000562487600001","View Full Record in Web of Science")</f>
        <v>View Full Record in Web of Science</v>
      </c>
    </row>
    <row r="2649" spans="1:72" x14ac:dyDescent="0.25">
      <c r="A2649" t="s">
        <v>72</v>
      </c>
      <c r="B2649" t="s">
        <v>44284</v>
      </c>
      <c r="C2649" t="s">
        <v>74</v>
      </c>
      <c r="D2649" t="s">
        <v>74</v>
      </c>
      <c r="E2649" t="s">
        <v>74</v>
      </c>
      <c r="F2649" t="s">
        <v>44285</v>
      </c>
      <c r="G2649" t="s">
        <v>74</v>
      </c>
      <c r="H2649" t="s">
        <v>74</v>
      </c>
      <c r="I2649" t="s">
        <v>44286</v>
      </c>
      <c r="J2649" t="s">
        <v>44287</v>
      </c>
      <c r="K2649" t="s">
        <v>74</v>
      </c>
      <c r="L2649" t="s">
        <v>74</v>
      </c>
      <c r="M2649" t="s">
        <v>78</v>
      </c>
      <c r="N2649" t="s">
        <v>79</v>
      </c>
      <c r="O2649" t="s">
        <v>74</v>
      </c>
      <c r="P2649" t="s">
        <v>74</v>
      </c>
      <c r="Q2649" t="s">
        <v>74</v>
      </c>
      <c r="R2649" t="s">
        <v>74</v>
      </c>
      <c r="S2649" t="s">
        <v>74</v>
      </c>
      <c r="T2649" t="s">
        <v>44288</v>
      </c>
      <c r="U2649" t="s">
        <v>74</v>
      </c>
      <c r="V2649" t="s">
        <v>44289</v>
      </c>
      <c r="W2649" t="s">
        <v>44290</v>
      </c>
      <c r="X2649" t="s">
        <v>74</v>
      </c>
      <c r="Y2649" t="s">
        <v>44291</v>
      </c>
      <c r="Z2649" t="s">
        <v>44292</v>
      </c>
      <c r="AA2649" t="s">
        <v>74</v>
      </c>
      <c r="AB2649" t="s">
        <v>74</v>
      </c>
      <c r="AC2649" t="s">
        <v>74</v>
      </c>
      <c r="AD2649" t="s">
        <v>74</v>
      </c>
      <c r="AE2649" t="s">
        <v>74</v>
      </c>
      <c r="AF2649" t="s">
        <v>74</v>
      </c>
      <c r="AG2649">
        <v>25</v>
      </c>
      <c r="AH2649">
        <v>19</v>
      </c>
      <c r="AI2649">
        <v>23</v>
      </c>
      <c r="AJ2649">
        <v>1</v>
      </c>
      <c r="AK2649">
        <v>14</v>
      </c>
      <c r="AL2649" t="s">
        <v>4485</v>
      </c>
      <c r="AM2649" t="s">
        <v>231</v>
      </c>
      <c r="AN2649" t="s">
        <v>4486</v>
      </c>
      <c r="AO2649" t="s">
        <v>44293</v>
      </c>
      <c r="AP2649" t="s">
        <v>44294</v>
      </c>
      <c r="AQ2649" t="s">
        <v>74</v>
      </c>
      <c r="AR2649" t="s">
        <v>44295</v>
      </c>
      <c r="AS2649" t="s">
        <v>44296</v>
      </c>
      <c r="AT2649" t="s">
        <v>743</v>
      </c>
      <c r="AU2649">
        <v>2020</v>
      </c>
      <c r="AV2649">
        <v>7</v>
      </c>
      <c r="AW2649">
        <v>2</v>
      </c>
      <c r="AX2649" t="s">
        <v>74</v>
      </c>
      <c r="AY2649" t="s">
        <v>74</v>
      </c>
      <c r="AZ2649" t="s">
        <v>441</v>
      </c>
      <c r="BA2649" t="s">
        <v>74</v>
      </c>
      <c r="BB2649">
        <v>412</v>
      </c>
      <c r="BC2649">
        <v>419</v>
      </c>
      <c r="BD2649" t="s">
        <v>74</v>
      </c>
      <c r="BE2649" t="s">
        <v>44297</v>
      </c>
      <c r="BF2649" t="str">
        <f>HYPERLINK("http://dx.doi.org/10.1016/j.exis.2019.05.003","http://dx.doi.org/10.1016/j.exis.2019.05.003")</f>
        <v>http://dx.doi.org/10.1016/j.exis.2019.05.003</v>
      </c>
      <c r="BG2649" t="s">
        <v>74</v>
      </c>
      <c r="BH2649" t="s">
        <v>74</v>
      </c>
      <c r="BI2649">
        <v>8</v>
      </c>
      <c r="BJ2649" t="s">
        <v>14327</v>
      </c>
      <c r="BK2649" t="s">
        <v>99</v>
      </c>
      <c r="BL2649" t="s">
        <v>129</v>
      </c>
      <c r="BM2649" t="s">
        <v>44298</v>
      </c>
      <c r="BN2649" t="s">
        <v>74</v>
      </c>
      <c r="BO2649" t="s">
        <v>74</v>
      </c>
      <c r="BP2649" t="s">
        <v>74</v>
      </c>
      <c r="BQ2649" t="s">
        <v>74</v>
      </c>
      <c r="BR2649" t="s">
        <v>102</v>
      </c>
      <c r="BS2649" t="s">
        <v>44299</v>
      </c>
      <c r="BT2649" t="str">
        <f>HYPERLINK("https%3A%2F%2Fwww.webofscience.com%2Fwos%2Fwoscc%2Ffull-record%2FWOS:000541817900021","View Full Record in Web of Science")</f>
        <v>View Full Record in Web of Science</v>
      </c>
    </row>
    <row r="2650" spans="1:72" x14ac:dyDescent="0.25">
      <c r="A2650" t="s">
        <v>72</v>
      </c>
      <c r="B2650" t="s">
        <v>44300</v>
      </c>
      <c r="C2650" t="s">
        <v>74</v>
      </c>
      <c r="D2650" t="s">
        <v>74</v>
      </c>
      <c r="E2650" t="s">
        <v>74</v>
      </c>
      <c r="F2650" t="s">
        <v>44301</v>
      </c>
      <c r="G2650" t="s">
        <v>74</v>
      </c>
      <c r="H2650" t="s">
        <v>74</v>
      </c>
      <c r="I2650" t="s">
        <v>44302</v>
      </c>
      <c r="J2650" t="s">
        <v>44303</v>
      </c>
      <c r="K2650" t="s">
        <v>74</v>
      </c>
      <c r="L2650" t="s">
        <v>74</v>
      </c>
      <c r="M2650" t="s">
        <v>78</v>
      </c>
      <c r="N2650" t="s">
        <v>79</v>
      </c>
      <c r="O2650" t="s">
        <v>74</v>
      </c>
      <c r="P2650" t="s">
        <v>74</v>
      </c>
      <c r="Q2650" t="s">
        <v>74</v>
      </c>
      <c r="R2650" t="s">
        <v>74</v>
      </c>
      <c r="S2650" t="s">
        <v>74</v>
      </c>
      <c r="T2650" t="s">
        <v>44304</v>
      </c>
      <c r="U2650" t="s">
        <v>44305</v>
      </c>
      <c r="V2650" t="s">
        <v>44306</v>
      </c>
      <c r="W2650" t="s">
        <v>44307</v>
      </c>
      <c r="X2650" t="s">
        <v>44308</v>
      </c>
      <c r="Y2650" t="s">
        <v>44309</v>
      </c>
      <c r="Z2650" t="s">
        <v>44310</v>
      </c>
      <c r="AA2650" t="s">
        <v>44311</v>
      </c>
      <c r="AB2650" t="s">
        <v>44312</v>
      </c>
      <c r="AC2650" t="s">
        <v>44313</v>
      </c>
      <c r="AD2650" t="s">
        <v>44314</v>
      </c>
      <c r="AE2650" t="s">
        <v>44315</v>
      </c>
      <c r="AF2650" t="s">
        <v>74</v>
      </c>
      <c r="AG2650">
        <v>65</v>
      </c>
      <c r="AH2650">
        <v>8</v>
      </c>
      <c r="AI2650">
        <v>9</v>
      </c>
      <c r="AJ2650">
        <v>1</v>
      </c>
      <c r="AK2650">
        <v>15</v>
      </c>
      <c r="AL2650" t="s">
        <v>4485</v>
      </c>
      <c r="AM2650" t="s">
        <v>231</v>
      </c>
      <c r="AN2650" t="s">
        <v>4486</v>
      </c>
      <c r="AO2650" t="s">
        <v>44316</v>
      </c>
      <c r="AP2650" t="s">
        <v>44317</v>
      </c>
      <c r="AQ2650" t="s">
        <v>74</v>
      </c>
      <c r="AR2650" t="s">
        <v>44318</v>
      </c>
      <c r="AS2650" t="s">
        <v>44319</v>
      </c>
      <c r="AT2650" t="s">
        <v>743</v>
      </c>
      <c r="AU2650">
        <v>2019</v>
      </c>
      <c r="AV2650">
        <v>105</v>
      </c>
      <c r="AW2650" t="s">
        <v>74</v>
      </c>
      <c r="AX2650" t="s">
        <v>74</v>
      </c>
      <c r="AY2650" t="s">
        <v>74</v>
      </c>
      <c r="AZ2650" t="s">
        <v>74</v>
      </c>
      <c r="BA2650" t="s">
        <v>74</v>
      </c>
      <c r="BB2650">
        <v>25</v>
      </c>
      <c r="BC2650">
        <v>36</v>
      </c>
      <c r="BD2650" t="s">
        <v>74</v>
      </c>
      <c r="BE2650" t="s">
        <v>44320</v>
      </c>
      <c r="BF2650" t="str">
        <f>HYPERLINK("http://dx.doi.org/10.1016/j.apgeog.2019.02.005","http://dx.doi.org/10.1016/j.apgeog.2019.02.005")</f>
        <v>http://dx.doi.org/10.1016/j.apgeog.2019.02.005</v>
      </c>
      <c r="BG2650" t="s">
        <v>74</v>
      </c>
      <c r="BH2650" t="s">
        <v>74</v>
      </c>
      <c r="BI2650">
        <v>12</v>
      </c>
      <c r="BJ2650" t="s">
        <v>20950</v>
      </c>
      <c r="BK2650" t="s">
        <v>99</v>
      </c>
      <c r="BL2650" t="s">
        <v>20950</v>
      </c>
      <c r="BM2650" t="s">
        <v>44321</v>
      </c>
      <c r="BN2650">
        <v>31007312</v>
      </c>
      <c r="BO2650" t="s">
        <v>466</v>
      </c>
      <c r="BP2650" t="s">
        <v>74</v>
      </c>
      <c r="BQ2650" t="s">
        <v>74</v>
      </c>
      <c r="BR2650" t="s">
        <v>102</v>
      </c>
      <c r="BS2650" t="s">
        <v>44322</v>
      </c>
      <c r="BT2650" t="str">
        <f>HYPERLINK("https%3A%2F%2Fwww.webofscience.com%2Fwos%2Fwoscc%2Ffull-record%2FWOS:000464479200003","View Full Record in Web of Science")</f>
        <v>View Full Record in Web of Science</v>
      </c>
    </row>
    <row r="2651" spans="1:72" x14ac:dyDescent="0.25">
      <c r="A2651" t="s">
        <v>72</v>
      </c>
      <c r="B2651" t="s">
        <v>44323</v>
      </c>
      <c r="C2651" t="s">
        <v>74</v>
      </c>
      <c r="D2651" t="s">
        <v>74</v>
      </c>
      <c r="E2651" t="s">
        <v>74</v>
      </c>
      <c r="F2651" t="s">
        <v>44324</v>
      </c>
      <c r="G2651" t="s">
        <v>74</v>
      </c>
      <c r="H2651" t="s">
        <v>74</v>
      </c>
      <c r="I2651" t="s">
        <v>44325</v>
      </c>
      <c r="J2651" t="s">
        <v>3439</v>
      </c>
      <c r="K2651" t="s">
        <v>74</v>
      </c>
      <c r="L2651" t="s">
        <v>74</v>
      </c>
      <c r="M2651" t="s">
        <v>78</v>
      </c>
      <c r="N2651" t="s">
        <v>79</v>
      </c>
      <c r="O2651" t="s">
        <v>74</v>
      </c>
      <c r="P2651" t="s">
        <v>74</v>
      </c>
      <c r="Q2651" t="s">
        <v>74</v>
      </c>
      <c r="R2651" t="s">
        <v>74</v>
      </c>
      <c r="S2651" t="s">
        <v>74</v>
      </c>
      <c r="T2651" t="s">
        <v>44326</v>
      </c>
      <c r="U2651" t="s">
        <v>44327</v>
      </c>
      <c r="V2651" t="s">
        <v>44328</v>
      </c>
      <c r="W2651" t="s">
        <v>44329</v>
      </c>
      <c r="X2651" t="s">
        <v>44330</v>
      </c>
      <c r="Y2651" t="s">
        <v>44331</v>
      </c>
      <c r="Z2651" t="s">
        <v>44332</v>
      </c>
      <c r="AA2651" t="s">
        <v>44333</v>
      </c>
      <c r="AB2651" t="s">
        <v>44334</v>
      </c>
      <c r="AC2651" t="s">
        <v>74</v>
      </c>
      <c r="AD2651" t="s">
        <v>74</v>
      </c>
      <c r="AE2651" t="s">
        <v>74</v>
      </c>
      <c r="AF2651" t="s">
        <v>74</v>
      </c>
      <c r="AG2651">
        <v>64</v>
      </c>
      <c r="AH2651">
        <v>3</v>
      </c>
      <c r="AI2651">
        <v>4</v>
      </c>
      <c r="AJ2651">
        <v>1</v>
      </c>
      <c r="AK2651">
        <v>14</v>
      </c>
      <c r="AL2651" t="s">
        <v>2481</v>
      </c>
      <c r="AM2651" t="s">
        <v>2482</v>
      </c>
      <c r="AN2651" t="s">
        <v>2483</v>
      </c>
      <c r="AO2651" t="s">
        <v>3443</v>
      </c>
      <c r="AP2651" t="s">
        <v>74</v>
      </c>
      <c r="AQ2651" t="s">
        <v>74</v>
      </c>
      <c r="AR2651" t="s">
        <v>3444</v>
      </c>
      <c r="AS2651" t="s">
        <v>3445</v>
      </c>
      <c r="AT2651" t="s">
        <v>2970</v>
      </c>
      <c r="AU2651">
        <v>2023</v>
      </c>
      <c r="AV2651">
        <v>11</v>
      </c>
      <c r="AW2651">
        <v>1</v>
      </c>
      <c r="AX2651" t="s">
        <v>74</v>
      </c>
      <c r="AY2651" t="s">
        <v>74</v>
      </c>
      <c r="AZ2651" t="s">
        <v>74</v>
      </c>
      <c r="BA2651" t="s">
        <v>74</v>
      </c>
      <c r="BB2651" t="s">
        <v>74</v>
      </c>
      <c r="BC2651" t="s">
        <v>74</v>
      </c>
      <c r="BD2651">
        <v>2202964</v>
      </c>
      <c r="BE2651" t="s">
        <v>44335</v>
      </c>
      <c r="BF2651" t="str">
        <f>HYPERLINK("http://dx.doi.org/10.1080/23322039.2023.2202964","http://dx.doi.org/10.1080/23322039.2023.2202964")</f>
        <v>http://dx.doi.org/10.1080/23322039.2023.2202964</v>
      </c>
      <c r="BG2651" t="s">
        <v>74</v>
      </c>
      <c r="BH2651" t="s">
        <v>74</v>
      </c>
      <c r="BI2651">
        <v>16</v>
      </c>
      <c r="BJ2651" t="s">
        <v>291</v>
      </c>
      <c r="BK2651" t="s">
        <v>313</v>
      </c>
      <c r="BL2651" t="s">
        <v>100</v>
      </c>
      <c r="BM2651" t="s">
        <v>44336</v>
      </c>
      <c r="BN2651" t="s">
        <v>74</v>
      </c>
      <c r="BO2651" t="s">
        <v>916</v>
      </c>
      <c r="BP2651" t="s">
        <v>74</v>
      </c>
      <c r="BQ2651" t="s">
        <v>74</v>
      </c>
      <c r="BR2651" t="s">
        <v>102</v>
      </c>
      <c r="BS2651" t="s">
        <v>44337</v>
      </c>
      <c r="BT2651" t="str">
        <f>HYPERLINK("https%3A%2F%2Fwww.webofscience.com%2Fwos%2Fwoscc%2Ffull-record%2FWOS:000980236600001","View Full Record in Web of Science")</f>
        <v>View Full Record in Web of Science</v>
      </c>
    </row>
    <row r="2652" spans="1:72" x14ac:dyDescent="0.25">
      <c r="A2652" t="s">
        <v>132</v>
      </c>
      <c r="B2652" t="s">
        <v>44338</v>
      </c>
      <c r="C2652" t="s">
        <v>74</v>
      </c>
      <c r="D2652" t="s">
        <v>12024</v>
      </c>
      <c r="E2652" t="s">
        <v>74</v>
      </c>
      <c r="F2652" t="s">
        <v>44339</v>
      </c>
      <c r="G2652" t="s">
        <v>74</v>
      </c>
      <c r="H2652" t="s">
        <v>74</v>
      </c>
      <c r="I2652" t="s">
        <v>44340</v>
      </c>
      <c r="J2652" t="s">
        <v>12027</v>
      </c>
      <c r="K2652" t="s">
        <v>12028</v>
      </c>
      <c r="L2652" t="s">
        <v>74</v>
      </c>
      <c r="M2652" t="s">
        <v>78</v>
      </c>
      <c r="N2652" t="s">
        <v>138</v>
      </c>
      <c r="O2652" t="s">
        <v>12029</v>
      </c>
      <c r="P2652" t="s">
        <v>12030</v>
      </c>
      <c r="Q2652" t="s">
        <v>12031</v>
      </c>
      <c r="R2652" t="s">
        <v>74</v>
      </c>
      <c r="S2652" t="s">
        <v>74</v>
      </c>
      <c r="T2652" t="s">
        <v>44341</v>
      </c>
      <c r="U2652" t="s">
        <v>44342</v>
      </c>
      <c r="V2652" t="s">
        <v>44343</v>
      </c>
      <c r="W2652" t="s">
        <v>44344</v>
      </c>
      <c r="X2652" t="s">
        <v>44345</v>
      </c>
      <c r="Y2652" t="s">
        <v>44346</v>
      </c>
      <c r="Z2652" t="s">
        <v>74</v>
      </c>
      <c r="AA2652" t="s">
        <v>74</v>
      </c>
      <c r="AB2652" t="s">
        <v>74</v>
      </c>
      <c r="AC2652" t="s">
        <v>74</v>
      </c>
      <c r="AD2652" t="s">
        <v>74</v>
      </c>
      <c r="AE2652" t="s">
        <v>74</v>
      </c>
      <c r="AF2652" t="s">
        <v>74</v>
      </c>
      <c r="AG2652">
        <v>51</v>
      </c>
      <c r="AH2652">
        <v>0</v>
      </c>
      <c r="AI2652">
        <v>0</v>
      </c>
      <c r="AJ2652">
        <v>1</v>
      </c>
      <c r="AK2652">
        <v>1</v>
      </c>
      <c r="AL2652" t="s">
        <v>12038</v>
      </c>
      <c r="AM2652" t="s">
        <v>12039</v>
      </c>
      <c r="AN2652" t="s">
        <v>12040</v>
      </c>
      <c r="AO2652" t="s">
        <v>12041</v>
      </c>
      <c r="AP2652" t="s">
        <v>74</v>
      </c>
      <c r="AQ2652" t="s">
        <v>12042</v>
      </c>
      <c r="AR2652" t="s">
        <v>12043</v>
      </c>
      <c r="AS2652" t="s">
        <v>74</v>
      </c>
      <c r="AT2652" t="s">
        <v>74</v>
      </c>
      <c r="AU2652">
        <v>2024</v>
      </c>
      <c r="AV2652" t="s">
        <v>74</v>
      </c>
      <c r="AW2652" t="s">
        <v>74</v>
      </c>
      <c r="AX2652" t="s">
        <v>74</v>
      </c>
      <c r="AY2652" t="s">
        <v>74</v>
      </c>
      <c r="AZ2652" t="s">
        <v>74</v>
      </c>
      <c r="BA2652" t="s">
        <v>74</v>
      </c>
      <c r="BB2652">
        <v>2346</v>
      </c>
      <c r="BC2652">
        <v>2361</v>
      </c>
      <c r="BD2652" t="s">
        <v>74</v>
      </c>
      <c r="BE2652" t="s">
        <v>74</v>
      </c>
      <c r="BF2652" t="s">
        <v>74</v>
      </c>
      <c r="BG2652" t="s">
        <v>74</v>
      </c>
      <c r="BH2652" t="s">
        <v>74</v>
      </c>
      <c r="BI2652">
        <v>16</v>
      </c>
      <c r="BJ2652" t="s">
        <v>12044</v>
      </c>
      <c r="BK2652" t="s">
        <v>1069</v>
      </c>
      <c r="BL2652" t="s">
        <v>12045</v>
      </c>
      <c r="BM2652" t="s">
        <v>12046</v>
      </c>
      <c r="BN2652" t="s">
        <v>74</v>
      </c>
      <c r="BO2652" t="s">
        <v>74</v>
      </c>
      <c r="BP2652" t="s">
        <v>74</v>
      </c>
      <c r="BQ2652" t="s">
        <v>74</v>
      </c>
      <c r="BR2652" t="s">
        <v>102</v>
      </c>
      <c r="BS2652" t="s">
        <v>44347</v>
      </c>
      <c r="BT2652" t="str">
        <f>HYPERLINK("https%3A%2F%2Fwww.webofscience.com%2Fwos%2Fwoscc%2Ffull-record%2FWOS:001524978800158","View Full Record in Web of Science")</f>
        <v>View Full Record in Web of Science</v>
      </c>
    </row>
    <row r="2653" spans="1:72" x14ac:dyDescent="0.25">
      <c r="A2653" t="s">
        <v>72</v>
      </c>
      <c r="B2653" t="s">
        <v>44348</v>
      </c>
      <c r="C2653" t="s">
        <v>74</v>
      </c>
      <c r="D2653" t="s">
        <v>74</v>
      </c>
      <c r="E2653" t="s">
        <v>74</v>
      </c>
      <c r="F2653" t="s">
        <v>44349</v>
      </c>
      <c r="G2653" t="s">
        <v>74</v>
      </c>
      <c r="H2653" t="s">
        <v>74</v>
      </c>
      <c r="I2653" t="s">
        <v>44350</v>
      </c>
      <c r="J2653" t="s">
        <v>4618</v>
      </c>
      <c r="K2653" t="s">
        <v>74</v>
      </c>
      <c r="L2653" t="s">
        <v>74</v>
      </c>
      <c r="M2653" t="s">
        <v>78</v>
      </c>
      <c r="N2653" t="s">
        <v>79</v>
      </c>
      <c r="O2653" t="s">
        <v>74</v>
      </c>
      <c r="P2653" t="s">
        <v>74</v>
      </c>
      <c r="Q2653" t="s">
        <v>74</v>
      </c>
      <c r="R2653" t="s">
        <v>74</v>
      </c>
      <c r="S2653" t="s">
        <v>74</v>
      </c>
      <c r="T2653" t="s">
        <v>44351</v>
      </c>
      <c r="U2653" t="s">
        <v>44352</v>
      </c>
      <c r="V2653" t="s">
        <v>44353</v>
      </c>
      <c r="W2653" t="s">
        <v>44354</v>
      </c>
      <c r="X2653" t="s">
        <v>44355</v>
      </c>
      <c r="Y2653" t="s">
        <v>44356</v>
      </c>
      <c r="Z2653" t="s">
        <v>44357</v>
      </c>
      <c r="AA2653" t="s">
        <v>44358</v>
      </c>
      <c r="AB2653" t="s">
        <v>44359</v>
      </c>
      <c r="AC2653" t="s">
        <v>74</v>
      </c>
      <c r="AD2653" t="s">
        <v>74</v>
      </c>
      <c r="AE2653" t="s">
        <v>44360</v>
      </c>
      <c r="AF2653" t="s">
        <v>74</v>
      </c>
      <c r="AG2653">
        <v>66</v>
      </c>
      <c r="AH2653">
        <v>0</v>
      </c>
      <c r="AI2653">
        <v>1</v>
      </c>
      <c r="AJ2653">
        <v>0</v>
      </c>
      <c r="AK2653">
        <v>3</v>
      </c>
      <c r="AL2653" t="s">
        <v>89</v>
      </c>
      <c r="AM2653" t="s">
        <v>90</v>
      </c>
      <c r="AN2653" t="s">
        <v>91</v>
      </c>
      <c r="AO2653" t="s">
        <v>4627</v>
      </c>
      <c r="AP2653" t="s">
        <v>4628</v>
      </c>
      <c r="AQ2653" t="s">
        <v>74</v>
      </c>
      <c r="AR2653" t="s">
        <v>4629</v>
      </c>
      <c r="AS2653" t="s">
        <v>4630</v>
      </c>
      <c r="AT2653" t="s">
        <v>74</v>
      </c>
      <c r="AU2653">
        <v>2024</v>
      </c>
      <c r="AV2653">
        <v>17</v>
      </c>
      <c r="AW2653">
        <v>4</v>
      </c>
      <c r="AX2653" t="s">
        <v>74</v>
      </c>
      <c r="AY2653" t="s">
        <v>74</v>
      </c>
      <c r="AZ2653" t="s">
        <v>74</v>
      </c>
      <c r="BA2653" t="s">
        <v>74</v>
      </c>
      <c r="BB2653">
        <v>770</v>
      </c>
      <c r="BC2653">
        <v>788</v>
      </c>
      <c r="BD2653" t="s">
        <v>74</v>
      </c>
      <c r="BE2653" t="s">
        <v>44361</v>
      </c>
      <c r="BF2653" t="str">
        <f>HYPERLINK("http://dx.doi.org/10.1108/IMEFM-09-2023-0327","http://dx.doi.org/10.1108/IMEFM-09-2023-0327")</f>
        <v>http://dx.doi.org/10.1108/IMEFM-09-2023-0327</v>
      </c>
      <c r="BG2653" t="s">
        <v>74</v>
      </c>
      <c r="BH2653" t="s">
        <v>2524</v>
      </c>
      <c r="BI2653">
        <v>19</v>
      </c>
      <c r="BJ2653" t="s">
        <v>4632</v>
      </c>
      <c r="BK2653" t="s">
        <v>99</v>
      </c>
      <c r="BL2653" t="s">
        <v>100</v>
      </c>
      <c r="BM2653" t="s">
        <v>35310</v>
      </c>
      <c r="BN2653" t="s">
        <v>74</v>
      </c>
      <c r="BO2653" t="s">
        <v>74</v>
      </c>
      <c r="BP2653" t="s">
        <v>74</v>
      </c>
      <c r="BQ2653" t="s">
        <v>74</v>
      </c>
      <c r="BR2653" t="s">
        <v>102</v>
      </c>
      <c r="BS2653" t="s">
        <v>44362</v>
      </c>
      <c r="BT2653" t="str">
        <f>HYPERLINK("https%3A%2F%2Fwww.webofscience.com%2Fwos%2Fwoscc%2Ffull-record%2FWOS:001269281700001","View Full Record in Web of Science")</f>
        <v>View Full Record in Web of Science</v>
      </c>
    </row>
    <row r="2654" spans="1:72" x14ac:dyDescent="0.25">
      <c r="A2654" t="s">
        <v>72</v>
      </c>
      <c r="B2654" t="s">
        <v>44363</v>
      </c>
      <c r="C2654" t="s">
        <v>74</v>
      </c>
      <c r="D2654" t="s">
        <v>74</v>
      </c>
      <c r="E2654" t="s">
        <v>74</v>
      </c>
      <c r="F2654" t="s">
        <v>44364</v>
      </c>
      <c r="G2654" t="s">
        <v>74</v>
      </c>
      <c r="H2654" t="s">
        <v>74</v>
      </c>
      <c r="I2654" t="s">
        <v>44365</v>
      </c>
      <c r="J2654" t="s">
        <v>44366</v>
      </c>
      <c r="K2654" t="s">
        <v>74</v>
      </c>
      <c r="L2654" t="s">
        <v>74</v>
      </c>
      <c r="M2654" t="s">
        <v>78</v>
      </c>
      <c r="N2654" t="s">
        <v>79</v>
      </c>
      <c r="O2654" t="s">
        <v>74</v>
      </c>
      <c r="P2654" t="s">
        <v>74</v>
      </c>
      <c r="Q2654" t="s">
        <v>74</v>
      </c>
      <c r="R2654" t="s">
        <v>74</v>
      </c>
      <c r="S2654" t="s">
        <v>74</v>
      </c>
      <c r="T2654" t="s">
        <v>44367</v>
      </c>
      <c r="U2654" t="s">
        <v>44368</v>
      </c>
      <c r="V2654" t="s">
        <v>44369</v>
      </c>
      <c r="W2654" t="s">
        <v>44370</v>
      </c>
      <c r="X2654" t="s">
        <v>2516</v>
      </c>
      <c r="Y2654" t="s">
        <v>44371</v>
      </c>
      <c r="Z2654" t="s">
        <v>44372</v>
      </c>
      <c r="AA2654" t="s">
        <v>74</v>
      </c>
      <c r="AB2654" t="s">
        <v>44373</v>
      </c>
      <c r="AC2654" t="s">
        <v>74</v>
      </c>
      <c r="AD2654" t="s">
        <v>74</v>
      </c>
      <c r="AE2654" t="s">
        <v>74</v>
      </c>
      <c r="AF2654" t="s">
        <v>74</v>
      </c>
      <c r="AG2654">
        <v>43</v>
      </c>
      <c r="AH2654">
        <v>3</v>
      </c>
      <c r="AI2654">
        <v>3</v>
      </c>
      <c r="AJ2654">
        <v>7</v>
      </c>
      <c r="AK2654">
        <v>10</v>
      </c>
      <c r="AL2654" t="s">
        <v>479</v>
      </c>
      <c r="AM2654" t="s">
        <v>480</v>
      </c>
      <c r="AN2654" t="s">
        <v>481</v>
      </c>
      <c r="AO2654" t="s">
        <v>44374</v>
      </c>
      <c r="AP2654" t="s">
        <v>44375</v>
      </c>
      <c r="AQ2654" t="s">
        <v>74</v>
      </c>
      <c r="AR2654" t="s">
        <v>44376</v>
      </c>
      <c r="AS2654" t="s">
        <v>44377</v>
      </c>
      <c r="AT2654" t="s">
        <v>848</v>
      </c>
      <c r="AU2654">
        <v>2025</v>
      </c>
      <c r="AV2654">
        <v>72</v>
      </c>
      <c r="AW2654">
        <v>3</v>
      </c>
      <c r="AX2654" t="s">
        <v>74</v>
      </c>
      <c r="AY2654" t="s">
        <v>74</v>
      </c>
      <c r="AZ2654" t="s">
        <v>74</v>
      </c>
      <c r="BA2654" t="s">
        <v>74</v>
      </c>
      <c r="BB2654" t="s">
        <v>74</v>
      </c>
      <c r="BC2654" t="s">
        <v>74</v>
      </c>
      <c r="BD2654" t="s">
        <v>74</v>
      </c>
      <c r="BE2654" t="s">
        <v>44378</v>
      </c>
      <c r="BF2654" t="str">
        <f>HYPERLINK("http://dx.doi.org/10.1111/sjpe.70012","http://dx.doi.org/10.1111/sjpe.70012")</f>
        <v>http://dx.doi.org/10.1111/sjpe.70012</v>
      </c>
      <c r="BG2654" t="s">
        <v>74</v>
      </c>
      <c r="BH2654" t="s">
        <v>1485</v>
      </c>
      <c r="BI2654">
        <v>8</v>
      </c>
      <c r="BJ2654" t="s">
        <v>11289</v>
      </c>
      <c r="BK2654" t="s">
        <v>99</v>
      </c>
      <c r="BL2654" t="s">
        <v>2282</v>
      </c>
      <c r="BM2654" t="s">
        <v>44379</v>
      </c>
      <c r="BN2654" t="s">
        <v>74</v>
      </c>
      <c r="BO2654" t="s">
        <v>74</v>
      </c>
      <c r="BP2654" t="s">
        <v>74</v>
      </c>
      <c r="BQ2654" t="s">
        <v>74</v>
      </c>
      <c r="BR2654" t="s">
        <v>102</v>
      </c>
      <c r="BS2654" t="s">
        <v>44380</v>
      </c>
      <c r="BT2654" t="str">
        <f>HYPERLINK("https%3A%2F%2Fwww.webofscience.com%2Fwos%2Fwoscc%2Ffull-record%2FWOS:001479152300001","View Full Record in Web of Science")</f>
        <v>View Full Record in Web of Science</v>
      </c>
    </row>
    <row r="2655" spans="1:72" x14ac:dyDescent="0.25">
      <c r="A2655" t="s">
        <v>72</v>
      </c>
      <c r="B2655" t="s">
        <v>44381</v>
      </c>
      <c r="C2655" t="s">
        <v>74</v>
      </c>
      <c r="D2655" t="s">
        <v>74</v>
      </c>
      <c r="E2655" t="s">
        <v>74</v>
      </c>
      <c r="F2655" t="s">
        <v>44382</v>
      </c>
      <c r="G2655" t="s">
        <v>74</v>
      </c>
      <c r="H2655" t="s">
        <v>74</v>
      </c>
      <c r="I2655" t="s">
        <v>44383</v>
      </c>
      <c r="J2655" t="s">
        <v>2763</v>
      </c>
      <c r="K2655" t="s">
        <v>74</v>
      </c>
      <c r="L2655" t="s">
        <v>74</v>
      </c>
      <c r="M2655" t="s">
        <v>78</v>
      </c>
      <c r="N2655" t="s">
        <v>79</v>
      </c>
      <c r="O2655" t="s">
        <v>74</v>
      </c>
      <c r="P2655" t="s">
        <v>74</v>
      </c>
      <c r="Q2655" t="s">
        <v>74</v>
      </c>
      <c r="R2655" t="s">
        <v>74</v>
      </c>
      <c r="S2655" t="s">
        <v>74</v>
      </c>
      <c r="T2655" t="s">
        <v>44384</v>
      </c>
      <c r="U2655" t="s">
        <v>44385</v>
      </c>
      <c r="V2655" t="s">
        <v>44386</v>
      </c>
      <c r="W2655" t="s">
        <v>44387</v>
      </c>
      <c r="X2655" t="s">
        <v>44388</v>
      </c>
      <c r="Y2655" t="s">
        <v>44389</v>
      </c>
      <c r="Z2655" t="s">
        <v>44390</v>
      </c>
      <c r="AA2655" t="s">
        <v>44391</v>
      </c>
      <c r="AB2655" t="s">
        <v>44392</v>
      </c>
      <c r="AC2655" t="s">
        <v>74</v>
      </c>
      <c r="AD2655" t="s">
        <v>74</v>
      </c>
      <c r="AE2655" t="s">
        <v>74</v>
      </c>
      <c r="AF2655" t="s">
        <v>74</v>
      </c>
      <c r="AG2655">
        <v>56</v>
      </c>
      <c r="AH2655">
        <v>16</v>
      </c>
      <c r="AI2655">
        <v>21</v>
      </c>
      <c r="AJ2655">
        <v>1</v>
      </c>
      <c r="AK2655">
        <v>24</v>
      </c>
      <c r="AL2655" t="s">
        <v>479</v>
      </c>
      <c r="AM2655" t="s">
        <v>480</v>
      </c>
      <c r="AN2655" t="s">
        <v>481</v>
      </c>
      <c r="AO2655" t="s">
        <v>2776</v>
      </c>
      <c r="AP2655" t="s">
        <v>2777</v>
      </c>
      <c r="AQ2655" t="s">
        <v>74</v>
      </c>
      <c r="AR2655" t="s">
        <v>2778</v>
      </c>
      <c r="AS2655" t="s">
        <v>2779</v>
      </c>
      <c r="AT2655" t="s">
        <v>289</v>
      </c>
      <c r="AU2655">
        <v>2022</v>
      </c>
      <c r="AV2655">
        <v>26</v>
      </c>
      <c r="AW2655">
        <v>3</v>
      </c>
      <c r="AX2655" t="s">
        <v>74</v>
      </c>
      <c r="AY2655" t="s">
        <v>74</v>
      </c>
      <c r="AZ2655" t="s">
        <v>74</v>
      </c>
      <c r="BA2655" t="s">
        <v>74</v>
      </c>
      <c r="BB2655">
        <v>1785</v>
      </c>
      <c r="BC2655">
        <v>1797</v>
      </c>
      <c r="BD2655" t="s">
        <v>74</v>
      </c>
      <c r="BE2655" t="s">
        <v>44393</v>
      </c>
      <c r="BF2655" t="str">
        <f>HYPERLINK("http://dx.doi.org/10.1111/rode.12884","http://dx.doi.org/10.1111/rode.12884")</f>
        <v>http://dx.doi.org/10.1111/rode.12884</v>
      </c>
      <c r="BG2655" t="s">
        <v>74</v>
      </c>
      <c r="BH2655" t="s">
        <v>12980</v>
      </c>
      <c r="BI2655">
        <v>13</v>
      </c>
      <c r="BJ2655" t="s">
        <v>701</v>
      </c>
      <c r="BK2655" t="s">
        <v>99</v>
      </c>
      <c r="BL2655" t="s">
        <v>702</v>
      </c>
      <c r="BM2655" t="s">
        <v>44394</v>
      </c>
      <c r="BN2655">
        <v>35602309</v>
      </c>
      <c r="BO2655" t="s">
        <v>1696</v>
      </c>
      <c r="BP2655" t="s">
        <v>74</v>
      </c>
      <c r="BQ2655" t="s">
        <v>74</v>
      </c>
      <c r="BR2655" t="s">
        <v>102</v>
      </c>
      <c r="BS2655" t="s">
        <v>44395</v>
      </c>
      <c r="BT2655" t="str">
        <f>HYPERLINK("https%3A%2F%2Fwww.webofscience.com%2Fwos%2Fwoscc%2Ffull-record%2FWOS:000777557900001","View Full Record in Web of Science")</f>
        <v>View Full Record in Web of Science</v>
      </c>
    </row>
    <row r="2656" spans="1:72" x14ac:dyDescent="0.25">
      <c r="A2656" t="s">
        <v>72</v>
      </c>
      <c r="B2656" t="s">
        <v>44396</v>
      </c>
      <c r="C2656" t="s">
        <v>74</v>
      </c>
      <c r="D2656" t="s">
        <v>74</v>
      </c>
      <c r="E2656" t="s">
        <v>74</v>
      </c>
      <c r="F2656" t="s">
        <v>44397</v>
      </c>
      <c r="G2656" t="s">
        <v>74</v>
      </c>
      <c r="H2656" t="s">
        <v>74</v>
      </c>
      <c r="I2656" t="s">
        <v>44398</v>
      </c>
      <c r="J2656" t="s">
        <v>29789</v>
      </c>
      <c r="K2656" t="s">
        <v>74</v>
      </c>
      <c r="L2656" t="s">
        <v>74</v>
      </c>
      <c r="M2656" t="s">
        <v>78</v>
      </c>
      <c r="N2656" t="s">
        <v>79</v>
      </c>
      <c r="O2656" t="s">
        <v>74</v>
      </c>
      <c r="P2656" t="s">
        <v>74</v>
      </c>
      <c r="Q2656" t="s">
        <v>74</v>
      </c>
      <c r="R2656" t="s">
        <v>74</v>
      </c>
      <c r="S2656" t="s">
        <v>74</v>
      </c>
      <c r="T2656" t="s">
        <v>44399</v>
      </c>
      <c r="U2656" t="s">
        <v>44400</v>
      </c>
      <c r="V2656" t="s">
        <v>44401</v>
      </c>
      <c r="W2656" t="s">
        <v>44402</v>
      </c>
      <c r="X2656" t="s">
        <v>44403</v>
      </c>
      <c r="Y2656" t="s">
        <v>44404</v>
      </c>
      <c r="Z2656" t="s">
        <v>44405</v>
      </c>
      <c r="AA2656" t="s">
        <v>31772</v>
      </c>
      <c r="AB2656" t="s">
        <v>31771</v>
      </c>
      <c r="AC2656" t="s">
        <v>44406</v>
      </c>
      <c r="AD2656" t="s">
        <v>44407</v>
      </c>
      <c r="AE2656" t="s">
        <v>44408</v>
      </c>
      <c r="AF2656" t="s">
        <v>74</v>
      </c>
      <c r="AG2656">
        <v>30</v>
      </c>
      <c r="AH2656">
        <v>5</v>
      </c>
      <c r="AI2656">
        <v>7</v>
      </c>
      <c r="AJ2656">
        <v>0</v>
      </c>
      <c r="AK2656">
        <v>14</v>
      </c>
      <c r="AL2656" t="s">
        <v>2907</v>
      </c>
      <c r="AM2656" t="s">
        <v>2908</v>
      </c>
      <c r="AN2656" t="s">
        <v>2909</v>
      </c>
      <c r="AO2656" t="s">
        <v>29781</v>
      </c>
      <c r="AP2656" t="s">
        <v>29780</v>
      </c>
      <c r="AQ2656" t="s">
        <v>74</v>
      </c>
      <c r="AR2656" t="s">
        <v>29779</v>
      </c>
      <c r="AS2656" t="s">
        <v>29778</v>
      </c>
      <c r="AT2656" t="s">
        <v>743</v>
      </c>
      <c r="AU2656">
        <v>2016</v>
      </c>
      <c r="AV2656">
        <v>41</v>
      </c>
      <c r="AW2656">
        <v>2</v>
      </c>
      <c r="AX2656" t="s">
        <v>74</v>
      </c>
      <c r="AY2656" t="s">
        <v>74</v>
      </c>
      <c r="AZ2656" t="s">
        <v>441</v>
      </c>
      <c r="BA2656" t="s">
        <v>74</v>
      </c>
      <c r="BB2656">
        <v>205</v>
      </c>
      <c r="BC2656">
        <v>224</v>
      </c>
      <c r="BD2656" t="s">
        <v>74</v>
      </c>
      <c r="BE2656" t="s">
        <v>44409</v>
      </c>
      <c r="BF2656" t="str">
        <f>HYPERLINK("http://dx.doi.org/10.1057/gpp.2015.36","http://dx.doi.org/10.1057/gpp.2015.36")</f>
        <v>http://dx.doi.org/10.1057/gpp.2015.36</v>
      </c>
      <c r="BG2656" t="s">
        <v>74</v>
      </c>
      <c r="BH2656" t="s">
        <v>74</v>
      </c>
      <c r="BI2656">
        <v>20</v>
      </c>
      <c r="BJ2656" t="s">
        <v>268</v>
      </c>
      <c r="BK2656" t="s">
        <v>99</v>
      </c>
      <c r="BL2656" t="s">
        <v>100</v>
      </c>
      <c r="BM2656" t="s">
        <v>44410</v>
      </c>
      <c r="BN2656" t="s">
        <v>74</v>
      </c>
      <c r="BO2656" t="s">
        <v>74</v>
      </c>
      <c r="BP2656" t="s">
        <v>74</v>
      </c>
      <c r="BQ2656" t="s">
        <v>74</v>
      </c>
      <c r="BR2656" t="s">
        <v>102</v>
      </c>
      <c r="BS2656" t="s">
        <v>44411</v>
      </c>
      <c r="BT2656" t="str">
        <f>HYPERLINK("https%3A%2F%2Fwww.webofscience.com%2Fwos%2Fwoscc%2Ffull-record%2FWOS:000373427000003","View Full Record in Web of Science")</f>
        <v>View Full Record in Web of Science</v>
      </c>
    </row>
    <row r="2657" spans="1:72" x14ac:dyDescent="0.25">
      <c r="A2657" t="s">
        <v>72</v>
      </c>
      <c r="B2657" t="s">
        <v>44412</v>
      </c>
      <c r="C2657" t="s">
        <v>74</v>
      </c>
      <c r="D2657" t="s">
        <v>74</v>
      </c>
      <c r="E2657" t="s">
        <v>74</v>
      </c>
      <c r="F2657" t="s">
        <v>44413</v>
      </c>
      <c r="G2657" t="s">
        <v>74</v>
      </c>
      <c r="H2657" t="s">
        <v>74</v>
      </c>
      <c r="I2657" t="s">
        <v>44414</v>
      </c>
      <c r="J2657" t="s">
        <v>35174</v>
      </c>
      <c r="K2657" t="s">
        <v>74</v>
      </c>
      <c r="L2657" t="s">
        <v>74</v>
      </c>
      <c r="M2657" t="s">
        <v>78</v>
      </c>
      <c r="N2657" t="s">
        <v>79</v>
      </c>
      <c r="O2657" t="s">
        <v>74</v>
      </c>
      <c r="P2657" t="s">
        <v>74</v>
      </c>
      <c r="Q2657" t="s">
        <v>74</v>
      </c>
      <c r="R2657" t="s">
        <v>74</v>
      </c>
      <c r="S2657" t="s">
        <v>74</v>
      </c>
      <c r="T2657" t="s">
        <v>44415</v>
      </c>
      <c r="U2657" t="s">
        <v>44416</v>
      </c>
      <c r="V2657" t="s">
        <v>44417</v>
      </c>
      <c r="W2657" t="s">
        <v>44418</v>
      </c>
      <c r="X2657" t="s">
        <v>44419</v>
      </c>
      <c r="Y2657" t="s">
        <v>44420</v>
      </c>
      <c r="Z2657" t="s">
        <v>44421</v>
      </c>
      <c r="AA2657" t="s">
        <v>44422</v>
      </c>
      <c r="AB2657" t="s">
        <v>44423</v>
      </c>
      <c r="AC2657" t="s">
        <v>74</v>
      </c>
      <c r="AD2657" t="s">
        <v>74</v>
      </c>
      <c r="AE2657" t="s">
        <v>74</v>
      </c>
      <c r="AF2657" t="s">
        <v>74</v>
      </c>
      <c r="AG2657">
        <v>91</v>
      </c>
      <c r="AH2657">
        <v>0</v>
      </c>
      <c r="AI2657">
        <v>0</v>
      </c>
      <c r="AJ2657">
        <v>1</v>
      </c>
      <c r="AK2657">
        <v>2</v>
      </c>
      <c r="AL2657" t="s">
        <v>35182</v>
      </c>
      <c r="AM2657" t="s">
        <v>9793</v>
      </c>
      <c r="AN2657" t="s">
        <v>35183</v>
      </c>
      <c r="AO2657" t="s">
        <v>35184</v>
      </c>
      <c r="AP2657" t="s">
        <v>74</v>
      </c>
      <c r="AQ2657" t="s">
        <v>74</v>
      </c>
      <c r="AR2657" t="s">
        <v>35185</v>
      </c>
      <c r="AS2657" t="s">
        <v>35186</v>
      </c>
      <c r="AT2657" t="s">
        <v>124</v>
      </c>
      <c r="AU2657">
        <v>2024</v>
      </c>
      <c r="AV2657">
        <v>16</v>
      </c>
      <c r="AW2657">
        <v>4</v>
      </c>
      <c r="AX2657" t="s">
        <v>74</v>
      </c>
      <c r="AY2657" t="s">
        <v>74</v>
      </c>
      <c r="AZ2657" t="s">
        <v>74</v>
      </c>
      <c r="BA2657" t="s">
        <v>74</v>
      </c>
      <c r="BB2657" t="s">
        <v>74</v>
      </c>
      <c r="BC2657" t="s">
        <v>74</v>
      </c>
      <c r="BD2657" t="s">
        <v>74</v>
      </c>
      <c r="BE2657" t="s">
        <v>44424</v>
      </c>
      <c r="BF2657" t="str">
        <f>HYPERLINK("http://dx.doi.org/10.55188/ijifsd.v16i4.807","http://dx.doi.org/10.55188/ijifsd.v16i4.807")</f>
        <v>http://dx.doi.org/10.55188/ijifsd.v16i4.807</v>
      </c>
      <c r="BG2657" t="s">
        <v>74</v>
      </c>
      <c r="BH2657" t="s">
        <v>74</v>
      </c>
      <c r="BI2657">
        <v>169</v>
      </c>
      <c r="BJ2657" t="s">
        <v>268</v>
      </c>
      <c r="BK2657" t="s">
        <v>313</v>
      </c>
      <c r="BL2657" t="s">
        <v>100</v>
      </c>
      <c r="BM2657" t="s">
        <v>40128</v>
      </c>
      <c r="BN2657" t="s">
        <v>74</v>
      </c>
      <c r="BO2657" t="s">
        <v>74</v>
      </c>
      <c r="BP2657" t="s">
        <v>74</v>
      </c>
      <c r="BQ2657" t="s">
        <v>74</v>
      </c>
      <c r="BR2657" t="s">
        <v>102</v>
      </c>
      <c r="BS2657" t="s">
        <v>44425</v>
      </c>
      <c r="BT2657" t="str">
        <f>HYPERLINK("https%3A%2F%2Fwww.webofscience.com%2Fwos%2Fwoscc%2Ffull-record%2FWOS:001444377700006","View Full Record in Web of Science")</f>
        <v>View Full Record in Web of Science</v>
      </c>
    </row>
    <row r="2658" spans="1:72" x14ac:dyDescent="0.25">
      <c r="A2658" t="s">
        <v>72</v>
      </c>
      <c r="B2658" t="s">
        <v>44426</v>
      </c>
      <c r="C2658" t="s">
        <v>74</v>
      </c>
      <c r="D2658" t="s">
        <v>74</v>
      </c>
      <c r="E2658" t="s">
        <v>74</v>
      </c>
      <c r="F2658" t="s">
        <v>44427</v>
      </c>
      <c r="G2658" t="s">
        <v>74</v>
      </c>
      <c r="H2658" t="s">
        <v>74</v>
      </c>
      <c r="I2658" t="s">
        <v>44428</v>
      </c>
      <c r="J2658" t="s">
        <v>4789</v>
      </c>
      <c r="K2658" t="s">
        <v>74</v>
      </c>
      <c r="L2658" t="s">
        <v>74</v>
      </c>
      <c r="M2658" t="s">
        <v>78</v>
      </c>
      <c r="N2658" t="s">
        <v>79</v>
      </c>
      <c r="O2658" t="s">
        <v>74</v>
      </c>
      <c r="P2658" t="s">
        <v>74</v>
      </c>
      <c r="Q2658" t="s">
        <v>74</v>
      </c>
      <c r="R2658" t="s">
        <v>74</v>
      </c>
      <c r="S2658" t="s">
        <v>74</v>
      </c>
      <c r="T2658" t="s">
        <v>44429</v>
      </c>
      <c r="U2658" t="s">
        <v>44430</v>
      </c>
      <c r="V2658" t="s">
        <v>44431</v>
      </c>
      <c r="W2658" t="s">
        <v>44432</v>
      </c>
      <c r="X2658" t="s">
        <v>39866</v>
      </c>
      <c r="Y2658" t="s">
        <v>44433</v>
      </c>
      <c r="Z2658" t="s">
        <v>44434</v>
      </c>
      <c r="AA2658" t="s">
        <v>44435</v>
      </c>
      <c r="AB2658" t="s">
        <v>44436</v>
      </c>
      <c r="AC2658" t="s">
        <v>74</v>
      </c>
      <c r="AD2658" t="s">
        <v>74</v>
      </c>
      <c r="AE2658" t="s">
        <v>74</v>
      </c>
      <c r="AF2658" t="s">
        <v>74</v>
      </c>
      <c r="AG2658">
        <v>83</v>
      </c>
      <c r="AH2658">
        <v>23</v>
      </c>
      <c r="AI2658">
        <v>27</v>
      </c>
      <c r="AJ2658">
        <v>1</v>
      </c>
      <c r="AK2658">
        <v>30</v>
      </c>
      <c r="AL2658" t="s">
        <v>4485</v>
      </c>
      <c r="AM2658" t="s">
        <v>6724</v>
      </c>
      <c r="AN2658" t="s">
        <v>6725</v>
      </c>
      <c r="AO2658" t="s">
        <v>4797</v>
      </c>
      <c r="AP2658" t="s">
        <v>4798</v>
      </c>
      <c r="AQ2658" t="s">
        <v>74</v>
      </c>
      <c r="AR2658" t="s">
        <v>4799</v>
      </c>
      <c r="AS2658" t="s">
        <v>4800</v>
      </c>
      <c r="AT2658" t="s">
        <v>124</v>
      </c>
      <c r="AU2658">
        <v>2021</v>
      </c>
      <c r="AV2658">
        <v>61</v>
      </c>
      <c r="AW2658" t="s">
        <v>74</v>
      </c>
      <c r="AX2658" t="s">
        <v>74</v>
      </c>
      <c r="AY2658" t="s">
        <v>74</v>
      </c>
      <c r="AZ2658" t="s">
        <v>74</v>
      </c>
      <c r="BA2658" t="s">
        <v>74</v>
      </c>
      <c r="BB2658" t="s">
        <v>74</v>
      </c>
      <c r="BC2658" t="s">
        <v>74</v>
      </c>
      <c r="BD2658">
        <v>102400</v>
      </c>
      <c r="BE2658" t="s">
        <v>44437</v>
      </c>
      <c r="BF2658" t="str">
        <f>HYPERLINK("http://dx.doi.org/10.1016/j.ijinfomgt.2021.102400","http://dx.doi.org/10.1016/j.ijinfomgt.2021.102400")</f>
        <v>http://dx.doi.org/10.1016/j.ijinfomgt.2021.102400</v>
      </c>
      <c r="BG2658" t="s">
        <v>74</v>
      </c>
      <c r="BH2658" t="s">
        <v>1818</v>
      </c>
      <c r="BI2658">
        <v>10</v>
      </c>
      <c r="BJ2658" t="s">
        <v>2351</v>
      </c>
      <c r="BK2658" t="s">
        <v>99</v>
      </c>
      <c r="BL2658" t="s">
        <v>2351</v>
      </c>
      <c r="BM2658" t="s">
        <v>44438</v>
      </c>
      <c r="BN2658" t="s">
        <v>74</v>
      </c>
      <c r="BO2658" t="s">
        <v>74</v>
      </c>
      <c r="BP2658" t="s">
        <v>74</v>
      </c>
      <c r="BQ2658" t="s">
        <v>74</v>
      </c>
      <c r="BR2658" t="s">
        <v>102</v>
      </c>
      <c r="BS2658" t="s">
        <v>44439</v>
      </c>
      <c r="BT2658" t="str">
        <f>HYPERLINK("https%3A%2F%2Fwww.webofscience.com%2Fwos%2Fwoscc%2Ffull-record%2FWOS:000704367600004","View Full Record in Web of Science")</f>
        <v>View Full Record in Web of Science</v>
      </c>
    </row>
    <row r="2659" spans="1:72" x14ac:dyDescent="0.25">
      <c r="A2659" t="s">
        <v>72</v>
      </c>
      <c r="B2659" t="s">
        <v>44440</v>
      </c>
      <c r="C2659" t="s">
        <v>74</v>
      </c>
      <c r="D2659" t="s">
        <v>74</v>
      </c>
      <c r="E2659" t="s">
        <v>74</v>
      </c>
      <c r="F2659" t="s">
        <v>44441</v>
      </c>
      <c r="G2659" t="s">
        <v>74</v>
      </c>
      <c r="H2659" t="s">
        <v>74</v>
      </c>
      <c r="I2659" t="s">
        <v>44442</v>
      </c>
      <c r="J2659" t="s">
        <v>44443</v>
      </c>
      <c r="K2659" t="s">
        <v>74</v>
      </c>
      <c r="L2659" t="s">
        <v>74</v>
      </c>
      <c r="M2659" t="s">
        <v>78</v>
      </c>
      <c r="N2659" t="s">
        <v>79</v>
      </c>
      <c r="O2659" t="s">
        <v>74</v>
      </c>
      <c r="P2659" t="s">
        <v>74</v>
      </c>
      <c r="Q2659" t="s">
        <v>74</v>
      </c>
      <c r="R2659" t="s">
        <v>74</v>
      </c>
      <c r="S2659" t="s">
        <v>74</v>
      </c>
      <c r="T2659" t="s">
        <v>44444</v>
      </c>
      <c r="U2659" t="s">
        <v>44445</v>
      </c>
      <c r="V2659" t="s">
        <v>44446</v>
      </c>
      <c r="W2659" t="s">
        <v>44447</v>
      </c>
      <c r="X2659" t="s">
        <v>25291</v>
      </c>
      <c r="Y2659" t="s">
        <v>44448</v>
      </c>
      <c r="Z2659" t="s">
        <v>39599</v>
      </c>
      <c r="AA2659" t="s">
        <v>44449</v>
      </c>
      <c r="AB2659" t="s">
        <v>39587</v>
      </c>
      <c r="AC2659" t="s">
        <v>74</v>
      </c>
      <c r="AD2659" t="s">
        <v>74</v>
      </c>
      <c r="AE2659" t="s">
        <v>74</v>
      </c>
      <c r="AF2659" t="s">
        <v>74</v>
      </c>
      <c r="AG2659">
        <v>62</v>
      </c>
      <c r="AH2659">
        <v>17</v>
      </c>
      <c r="AI2659">
        <v>22</v>
      </c>
      <c r="AJ2659">
        <v>1</v>
      </c>
      <c r="AK2659">
        <v>18</v>
      </c>
      <c r="AL2659" t="s">
        <v>2597</v>
      </c>
      <c r="AM2659" t="s">
        <v>2598</v>
      </c>
      <c r="AN2659" t="s">
        <v>2599</v>
      </c>
      <c r="AO2659" t="s">
        <v>44450</v>
      </c>
      <c r="AP2659" t="s">
        <v>44451</v>
      </c>
      <c r="AQ2659" t="s">
        <v>74</v>
      </c>
      <c r="AR2659" t="s">
        <v>44452</v>
      </c>
      <c r="AS2659" t="s">
        <v>44453</v>
      </c>
      <c r="AT2659" t="s">
        <v>605</v>
      </c>
      <c r="AU2659">
        <v>2014</v>
      </c>
      <c r="AV2659">
        <v>38</v>
      </c>
      <c r="AW2659">
        <v>1</v>
      </c>
      <c r="AX2659" t="s">
        <v>74</v>
      </c>
      <c r="AY2659" t="s">
        <v>74</v>
      </c>
      <c r="AZ2659" t="s">
        <v>74</v>
      </c>
      <c r="BA2659" t="s">
        <v>74</v>
      </c>
      <c r="BB2659">
        <v>19</v>
      </c>
      <c r="BC2659">
        <v>35</v>
      </c>
      <c r="BD2659" t="s">
        <v>74</v>
      </c>
      <c r="BE2659" t="s">
        <v>44454</v>
      </c>
      <c r="BF2659" t="str">
        <f>HYPERLINK("http://dx.doi.org/10.1093/swr/svu002","http://dx.doi.org/10.1093/swr/svu002")</f>
        <v>http://dx.doi.org/10.1093/swr/svu002</v>
      </c>
      <c r="BG2659" t="s">
        <v>74</v>
      </c>
      <c r="BH2659" t="s">
        <v>74</v>
      </c>
      <c r="BI2659">
        <v>17</v>
      </c>
      <c r="BJ2659" t="s">
        <v>2045</v>
      </c>
      <c r="BK2659" t="s">
        <v>99</v>
      </c>
      <c r="BL2659" t="s">
        <v>2045</v>
      </c>
      <c r="BM2659" t="s">
        <v>44455</v>
      </c>
      <c r="BN2659" t="s">
        <v>74</v>
      </c>
      <c r="BO2659" t="s">
        <v>74</v>
      </c>
      <c r="BP2659" t="s">
        <v>74</v>
      </c>
      <c r="BQ2659" t="s">
        <v>74</v>
      </c>
      <c r="BR2659" t="s">
        <v>102</v>
      </c>
      <c r="BS2659" t="s">
        <v>44456</v>
      </c>
      <c r="BT2659" t="str">
        <f>HYPERLINK("https%3A%2F%2Fwww.webofscience.com%2Fwos%2Fwoscc%2Ffull-record%2FWOS:000335900700004","View Full Record in Web of Science")</f>
        <v>View Full Record in Web of Science</v>
      </c>
    </row>
    <row r="2660" spans="1:72" x14ac:dyDescent="0.25">
      <c r="A2660" t="s">
        <v>72</v>
      </c>
      <c r="B2660" t="s">
        <v>44457</v>
      </c>
      <c r="C2660" t="s">
        <v>74</v>
      </c>
      <c r="D2660" t="s">
        <v>74</v>
      </c>
      <c r="E2660" t="s">
        <v>74</v>
      </c>
      <c r="F2660" t="s">
        <v>44458</v>
      </c>
      <c r="G2660" t="s">
        <v>74</v>
      </c>
      <c r="H2660" t="s">
        <v>74</v>
      </c>
      <c r="I2660" t="s">
        <v>44459</v>
      </c>
      <c r="J2660" t="s">
        <v>320</v>
      </c>
      <c r="K2660" t="s">
        <v>74</v>
      </c>
      <c r="L2660" t="s">
        <v>74</v>
      </c>
      <c r="M2660" t="s">
        <v>78</v>
      </c>
      <c r="N2660" t="s">
        <v>79</v>
      </c>
      <c r="O2660" t="s">
        <v>74</v>
      </c>
      <c r="P2660" t="s">
        <v>74</v>
      </c>
      <c r="Q2660" t="s">
        <v>74</v>
      </c>
      <c r="R2660" t="s">
        <v>74</v>
      </c>
      <c r="S2660" t="s">
        <v>74</v>
      </c>
      <c r="T2660" t="s">
        <v>44460</v>
      </c>
      <c r="U2660" t="s">
        <v>44461</v>
      </c>
      <c r="V2660" t="s">
        <v>44462</v>
      </c>
      <c r="W2660" t="s">
        <v>44463</v>
      </c>
      <c r="X2660" t="s">
        <v>26538</v>
      </c>
      <c r="Y2660" t="s">
        <v>44464</v>
      </c>
      <c r="Z2660" t="s">
        <v>44465</v>
      </c>
      <c r="AA2660" t="s">
        <v>74</v>
      </c>
      <c r="AB2660" t="s">
        <v>44466</v>
      </c>
      <c r="AC2660" t="s">
        <v>74</v>
      </c>
      <c r="AD2660" t="s">
        <v>74</v>
      </c>
      <c r="AE2660" t="s">
        <v>74</v>
      </c>
      <c r="AF2660" t="s">
        <v>74</v>
      </c>
      <c r="AG2660">
        <v>103</v>
      </c>
      <c r="AH2660">
        <v>21</v>
      </c>
      <c r="AI2660">
        <v>22</v>
      </c>
      <c r="AJ2660">
        <v>2</v>
      </c>
      <c r="AK2660">
        <v>24</v>
      </c>
      <c r="AL2660" t="s">
        <v>332</v>
      </c>
      <c r="AM2660" t="s">
        <v>333</v>
      </c>
      <c r="AN2660" t="s">
        <v>334</v>
      </c>
      <c r="AO2660" t="s">
        <v>335</v>
      </c>
      <c r="AP2660" t="s">
        <v>336</v>
      </c>
      <c r="AQ2660" t="s">
        <v>74</v>
      </c>
      <c r="AR2660" t="s">
        <v>337</v>
      </c>
      <c r="AS2660" t="s">
        <v>338</v>
      </c>
      <c r="AT2660" t="s">
        <v>936</v>
      </c>
      <c r="AU2660">
        <v>2020</v>
      </c>
      <c r="AV2660">
        <v>27</v>
      </c>
      <c r="AW2660">
        <v>3</v>
      </c>
      <c r="AX2660" t="s">
        <v>74</v>
      </c>
      <c r="AY2660" t="s">
        <v>74</v>
      </c>
      <c r="AZ2660" t="s">
        <v>74</v>
      </c>
      <c r="BA2660" t="s">
        <v>74</v>
      </c>
      <c r="BB2660">
        <v>500</v>
      </c>
      <c r="BC2660">
        <v>524</v>
      </c>
      <c r="BD2660" t="s">
        <v>74</v>
      </c>
      <c r="BE2660" t="s">
        <v>44467</v>
      </c>
      <c r="BF2660" t="str">
        <f>HYPERLINK("http://dx.doi.org/10.1080/09692290.2019.1650093","http://dx.doi.org/10.1080/09692290.2019.1650093")</f>
        <v>http://dx.doi.org/10.1080/09692290.2019.1650093</v>
      </c>
      <c r="BG2660" t="s">
        <v>74</v>
      </c>
      <c r="BH2660" t="s">
        <v>10482</v>
      </c>
      <c r="BI2660">
        <v>25</v>
      </c>
      <c r="BJ2660" t="s">
        <v>342</v>
      </c>
      <c r="BK2660" t="s">
        <v>99</v>
      </c>
      <c r="BL2660" t="s">
        <v>343</v>
      </c>
      <c r="BM2660" t="s">
        <v>44468</v>
      </c>
      <c r="BN2660" t="s">
        <v>74</v>
      </c>
      <c r="BO2660" t="s">
        <v>74</v>
      </c>
      <c r="BP2660" t="s">
        <v>74</v>
      </c>
      <c r="BQ2660" t="s">
        <v>74</v>
      </c>
      <c r="BR2660" t="s">
        <v>102</v>
      </c>
      <c r="BS2660" t="s">
        <v>44469</v>
      </c>
      <c r="BT2660" t="str">
        <f>HYPERLINK("https%3A%2F%2Fwww.webofscience.com%2Fwos%2Fwoscc%2Ffull-record%2FWOS:000481136700001","View Full Record in Web of Science")</f>
        <v>View Full Record in Web of Science</v>
      </c>
    </row>
    <row r="2661" spans="1:72" x14ac:dyDescent="0.25">
      <c r="A2661" t="s">
        <v>72</v>
      </c>
      <c r="B2661" t="s">
        <v>44470</v>
      </c>
      <c r="C2661" t="s">
        <v>74</v>
      </c>
      <c r="D2661" t="s">
        <v>74</v>
      </c>
      <c r="E2661" t="s">
        <v>74</v>
      </c>
      <c r="F2661" t="s">
        <v>44471</v>
      </c>
      <c r="G2661" t="s">
        <v>74</v>
      </c>
      <c r="H2661" t="s">
        <v>74</v>
      </c>
      <c r="I2661" t="s">
        <v>44472</v>
      </c>
      <c r="J2661" t="s">
        <v>22083</v>
      </c>
      <c r="K2661" t="s">
        <v>74</v>
      </c>
      <c r="L2661" t="s">
        <v>74</v>
      </c>
      <c r="M2661" t="s">
        <v>78</v>
      </c>
      <c r="N2661" t="s">
        <v>79</v>
      </c>
      <c r="O2661" t="s">
        <v>74</v>
      </c>
      <c r="P2661" t="s">
        <v>74</v>
      </c>
      <c r="Q2661" t="s">
        <v>74</v>
      </c>
      <c r="R2661" t="s">
        <v>74</v>
      </c>
      <c r="S2661" t="s">
        <v>74</v>
      </c>
      <c r="T2661" t="s">
        <v>44473</v>
      </c>
      <c r="U2661" t="s">
        <v>36507</v>
      </c>
      <c r="V2661" t="s">
        <v>44474</v>
      </c>
      <c r="W2661" t="s">
        <v>44475</v>
      </c>
      <c r="X2661" t="s">
        <v>4275</v>
      </c>
      <c r="Y2661" t="s">
        <v>44476</v>
      </c>
      <c r="Z2661" t="s">
        <v>44477</v>
      </c>
      <c r="AA2661" t="s">
        <v>44478</v>
      </c>
      <c r="AB2661" t="s">
        <v>44479</v>
      </c>
      <c r="AC2661" t="s">
        <v>74</v>
      </c>
      <c r="AD2661" t="s">
        <v>74</v>
      </c>
      <c r="AE2661" t="s">
        <v>74</v>
      </c>
      <c r="AF2661" t="s">
        <v>74</v>
      </c>
      <c r="AG2661">
        <v>75</v>
      </c>
      <c r="AH2661">
        <v>4</v>
      </c>
      <c r="AI2661">
        <v>6</v>
      </c>
      <c r="AJ2661">
        <v>2</v>
      </c>
      <c r="AK2661">
        <v>11</v>
      </c>
      <c r="AL2661" t="s">
        <v>332</v>
      </c>
      <c r="AM2661" t="s">
        <v>333</v>
      </c>
      <c r="AN2661" t="s">
        <v>334</v>
      </c>
      <c r="AO2661" t="s">
        <v>22071</v>
      </c>
      <c r="AP2661" t="s">
        <v>22070</v>
      </c>
      <c r="AQ2661" t="s">
        <v>74</v>
      </c>
      <c r="AR2661" t="s">
        <v>22069</v>
      </c>
      <c r="AS2661" t="s">
        <v>22068</v>
      </c>
      <c r="AT2661" t="s">
        <v>10107</v>
      </c>
      <c r="AU2661">
        <v>2025</v>
      </c>
      <c r="AV2661">
        <v>40</v>
      </c>
      <c r="AW2661">
        <v>3</v>
      </c>
      <c r="AX2661" t="s">
        <v>74</v>
      </c>
      <c r="AY2661" t="s">
        <v>74</v>
      </c>
      <c r="AZ2661" t="s">
        <v>74</v>
      </c>
      <c r="BA2661" t="s">
        <v>74</v>
      </c>
      <c r="BB2661">
        <v>571</v>
      </c>
      <c r="BC2661">
        <v>592</v>
      </c>
      <c r="BD2661" t="s">
        <v>74</v>
      </c>
      <c r="BE2661" t="s">
        <v>44480</v>
      </c>
      <c r="BF2661" t="str">
        <f>HYPERLINK("http://dx.doi.org/10.1080/09687599.2023.2263631","http://dx.doi.org/10.1080/09687599.2023.2263631")</f>
        <v>http://dx.doi.org/10.1080/09687599.2023.2263631</v>
      </c>
      <c r="BG2661" t="s">
        <v>74</v>
      </c>
      <c r="BH2661" t="s">
        <v>5567</v>
      </c>
      <c r="BI2661">
        <v>22</v>
      </c>
      <c r="BJ2661" t="s">
        <v>22066</v>
      </c>
      <c r="BK2661" t="s">
        <v>99</v>
      </c>
      <c r="BL2661" t="s">
        <v>22065</v>
      </c>
      <c r="BM2661" t="s">
        <v>44481</v>
      </c>
      <c r="BN2661" t="s">
        <v>74</v>
      </c>
      <c r="BO2661" t="s">
        <v>74</v>
      </c>
      <c r="BP2661" t="s">
        <v>74</v>
      </c>
      <c r="BQ2661" t="s">
        <v>74</v>
      </c>
      <c r="BR2661" t="s">
        <v>102</v>
      </c>
      <c r="BS2661" t="s">
        <v>44482</v>
      </c>
      <c r="BT2661" t="str">
        <f>HYPERLINK("https%3A%2F%2Fwww.webofscience.com%2Fwos%2Fwoscc%2Ffull-record%2FWOS:001080675500001","View Full Record in Web of Science")</f>
        <v>View Full Record in Web of Science</v>
      </c>
    </row>
    <row r="2662" spans="1:72" x14ac:dyDescent="0.25">
      <c r="A2662" t="s">
        <v>72</v>
      </c>
      <c r="B2662" t="s">
        <v>44483</v>
      </c>
      <c r="C2662" t="s">
        <v>74</v>
      </c>
      <c r="D2662" t="s">
        <v>74</v>
      </c>
      <c r="E2662" t="s">
        <v>74</v>
      </c>
      <c r="F2662" t="s">
        <v>44484</v>
      </c>
      <c r="G2662" t="s">
        <v>74</v>
      </c>
      <c r="H2662" t="s">
        <v>74</v>
      </c>
      <c r="I2662" t="s">
        <v>44485</v>
      </c>
      <c r="J2662" t="s">
        <v>3579</v>
      </c>
      <c r="K2662" t="s">
        <v>74</v>
      </c>
      <c r="L2662" t="s">
        <v>74</v>
      </c>
      <c r="M2662" t="s">
        <v>78</v>
      </c>
      <c r="N2662" t="s">
        <v>79</v>
      </c>
      <c r="O2662" t="s">
        <v>74</v>
      </c>
      <c r="P2662" t="s">
        <v>74</v>
      </c>
      <c r="Q2662" t="s">
        <v>74</v>
      </c>
      <c r="R2662" t="s">
        <v>74</v>
      </c>
      <c r="S2662" t="s">
        <v>74</v>
      </c>
      <c r="T2662" t="s">
        <v>44486</v>
      </c>
      <c r="U2662" t="s">
        <v>44487</v>
      </c>
      <c r="V2662" t="s">
        <v>44488</v>
      </c>
      <c r="W2662" t="s">
        <v>44489</v>
      </c>
      <c r="X2662" t="s">
        <v>38180</v>
      </c>
      <c r="Y2662" t="s">
        <v>44490</v>
      </c>
      <c r="Z2662" t="s">
        <v>44491</v>
      </c>
      <c r="AA2662" t="s">
        <v>44492</v>
      </c>
      <c r="AB2662" t="s">
        <v>44493</v>
      </c>
      <c r="AC2662" t="s">
        <v>44494</v>
      </c>
      <c r="AD2662" t="s">
        <v>44495</v>
      </c>
      <c r="AE2662" t="s">
        <v>44496</v>
      </c>
      <c r="AF2662" t="s">
        <v>74</v>
      </c>
      <c r="AG2662">
        <v>83</v>
      </c>
      <c r="AH2662">
        <v>3</v>
      </c>
      <c r="AI2662">
        <v>3</v>
      </c>
      <c r="AJ2662">
        <v>0</v>
      </c>
      <c r="AK2662">
        <v>5</v>
      </c>
      <c r="AL2662" t="s">
        <v>3588</v>
      </c>
      <c r="AM2662" t="s">
        <v>410</v>
      </c>
      <c r="AN2662" t="s">
        <v>3589</v>
      </c>
      <c r="AO2662" t="s">
        <v>3590</v>
      </c>
      <c r="AP2662" t="s">
        <v>3591</v>
      </c>
      <c r="AQ2662" t="s">
        <v>74</v>
      </c>
      <c r="AR2662" t="s">
        <v>3592</v>
      </c>
      <c r="AS2662" t="s">
        <v>3593</v>
      </c>
      <c r="AT2662" t="s">
        <v>289</v>
      </c>
      <c r="AU2662">
        <v>2025</v>
      </c>
      <c r="AV2662">
        <v>27</v>
      </c>
      <c r="AW2662">
        <v>2</v>
      </c>
      <c r="AX2662" t="s">
        <v>74</v>
      </c>
      <c r="AY2662" t="s">
        <v>74</v>
      </c>
      <c r="AZ2662" t="s">
        <v>74</v>
      </c>
      <c r="BA2662" t="s">
        <v>74</v>
      </c>
      <c r="BB2662">
        <v>581</v>
      </c>
      <c r="BC2662">
        <v>603</v>
      </c>
      <c r="BD2662" t="s">
        <v>74</v>
      </c>
      <c r="BE2662" t="s">
        <v>44497</v>
      </c>
      <c r="BF2662" t="str">
        <f>HYPERLINK("http://dx.doi.org/10.1007/s40847-024-00346-4","http://dx.doi.org/10.1007/s40847-024-00346-4")</f>
        <v>http://dx.doi.org/10.1007/s40847-024-00346-4</v>
      </c>
      <c r="BG2662" t="s">
        <v>74</v>
      </c>
      <c r="BH2662" t="s">
        <v>5285</v>
      </c>
      <c r="BI2662">
        <v>23</v>
      </c>
      <c r="BJ2662" t="s">
        <v>701</v>
      </c>
      <c r="BK2662" t="s">
        <v>313</v>
      </c>
      <c r="BL2662" t="s">
        <v>702</v>
      </c>
      <c r="BM2662" t="s">
        <v>15765</v>
      </c>
      <c r="BN2662" t="s">
        <v>74</v>
      </c>
      <c r="BO2662" t="s">
        <v>466</v>
      </c>
      <c r="BP2662" t="s">
        <v>74</v>
      </c>
      <c r="BQ2662" t="s">
        <v>74</v>
      </c>
      <c r="BR2662" t="s">
        <v>102</v>
      </c>
      <c r="BS2662" t="s">
        <v>44498</v>
      </c>
      <c r="BT2662" t="str">
        <f>HYPERLINK("https%3A%2F%2Fwww.webofscience.com%2Fwos%2Fwoscc%2Ffull-record%2FWOS:001220730500001","View Full Record in Web of Science")</f>
        <v>View Full Record in Web of Science</v>
      </c>
    </row>
    <row r="2663" spans="1:72" x14ac:dyDescent="0.25">
      <c r="A2663" t="s">
        <v>72</v>
      </c>
      <c r="B2663" t="s">
        <v>44499</v>
      </c>
      <c r="C2663" t="s">
        <v>74</v>
      </c>
      <c r="D2663" t="s">
        <v>74</v>
      </c>
      <c r="E2663" t="s">
        <v>74</v>
      </c>
      <c r="F2663" t="s">
        <v>44500</v>
      </c>
      <c r="G2663" t="s">
        <v>74</v>
      </c>
      <c r="H2663" t="s">
        <v>74</v>
      </c>
      <c r="I2663" t="s">
        <v>44501</v>
      </c>
      <c r="J2663" t="s">
        <v>44502</v>
      </c>
      <c r="K2663" t="s">
        <v>74</v>
      </c>
      <c r="L2663" t="s">
        <v>74</v>
      </c>
      <c r="M2663" t="s">
        <v>78</v>
      </c>
      <c r="N2663" t="s">
        <v>79</v>
      </c>
      <c r="O2663" t="s">
        <v>74</v>
      </c>
      <c r="P2663" t="s">
        <v>74</v>
      </c>
      <c r="Q2663" t="s">
        <v>74</v>
      </c>
      <c r="R2663" t="s">
        <v>74</v>
      </c>
      <c r="S2663" t="s">
        <v>74</v>
      </c>
      <c r="T2663" t="s">
        <v>44503</v>
      </c>
      <c r="U2663" t="s">
        <v>44504</v>
      </c>
      <c r="V2663" t="s">
        <v>44505</v>
      </c>
      <c r="W2663" t="s">
        <v>44506</v>
      </c>
      <c r="X2663" t="s">
        <v>44507</v>
      </c>
      <c r="Y2663" t="s">
        <v>44508</v>
      </c>
      <c r="Z2663" t="s">
        <v>44509</v>
      </c>
      <c r="AA2663" t="s">
        <v>44510</v>
      </c>
      <c r="AB2663" t="s">
        <v>44511</v>
      </c>
      <c r="AC2663" t="s">
        <v>74</v>
      </c>
      <c r="AD2663" t="s">
        <v>74</v>
      </c>
      <c r="AE2663" t="s">
        <v>74</v>
      </c>
      <c r="AF2663" t="s">
        <v>74</v>
      </c>
      <c r="AG2663">
        <v>88</v>
      </c>
      <c r="AH2663">
        <v>56</v>
      </c>
      <c r="AI2663">
        <v>73</v>
      </c>
      <c r="AJ2663">
        <v>0</v>
      </c>
      <c r="AK2663">
        <v>37</v>
      </c>
      <c r="AL2663" t="s">
        <v>479</v>
      </c>
      <c r="AM2663" t="s">
        <v>480</v>
      </c>
      <c r="AN2663" t="s">
        <v>481</v>
      </c>
      <c r="AO2663" t="s">
        <v>44512</v>
      </c>
      <c r="AP2663" t="s">
        <v>44513</v>
      </c>
      <c r="AQ2663" t="s">
        <v>74</v>
      </c>
      <c r="AR2663" t="s">
        <v>44514</v>
      </c>
      <c r="AS2663" t="s">
        <v>44515</v>
      </c>
      <c r="AT2663" t="s">
        <v>1159</v>
      </c>
      <c r="AU2663">
        <v>2010</v>
      </c>
      <c r="AV2663">
        <v>19</v>
      </c>
      <c r="AW2663">
        <v>4</v>
      </c>
      <c r="AX2663" t="s">
        <v>74</v>
      </c>
      <c r="AY2663" t="s">
        <v>74</v>
      </c>
      <c r="AZ2663" t="s">
        <v>74</v>
      </c>
      <c r="BA2663" t="s">
        <v>74</v>
      </c>
      <c r="BB2663">
        <v>433</v>
      </c>
      <c r="BC2663">
        <v>443</v>
      </c>
      <c r="BD2663" t="s">
        <v>74</v>
      </c>
      <c r="BE2663" t="s">
        <v>44516</v>
      </c>
      <c r="BF2663" t="str">
        <f>HYPERLINK("http://dx.doi.org/10.1111/j.1468-2397.2010.00738.x","http://dx.doi.org/10.1111/j.1468-2397.2010.00738.x")</f>
        <v>http://dx.doi.org/10.1111/j.1468-2397.2010.00738.x</v>
      </c>
      <c r="BG2663" t="s">
        <v>74</v>
      </c>
      <c r="BH2663" t="s">
        <v>74</v>
      </c>
      <c r="BI2663">
        <v>11</v>
      </c>
      <c r="BJ2663" t="s">
        <v>2045</v>
      </c>
      <c r="BK2663" t="s">
        <v>99</v>
      </c>
      <c r="BL2663" t="s">
        <v>2045</v>
      </c>
      <c r="BM2663" t="s">
        <v>44517</v>
      </c>
      <c r="BN2663" t="s">
        <v>74</v>
      </c>
      <c r="BO2663" t="s">
        <v>74</v>
      </c>
      <c r="BP2663" t="s">
        <v>74</v>
      </c>
      <c r="BQ2663" t="s">
        <v>74</v>
      </c>
      <c r="BR2663" t="s">
        <v>102</v>
      </c>
      <c r="BS2663" t="s">
        <v>44518</v>
      </c>
      <c r="BT2663" t="str">
        <f>HYPERLINK("https%3A%2F%2Fwww.webofscience.com%2Fwos%2Fwoscc%2Ffull-record%2FWOS:000280975200008","View Full Record in Web of Science")</f>
        <v>View Full Record in Web of Science</v>
      </c>
    </row>
    <row r="2664" spans="1:72" x14ac:dyDescent="0.25">
      <c r="A2664" t="s">
        <v>72</v>
      </c>
      <c r="B2664" t="s">
        <v>44519</v>
      </c>
      <c r="C2664" t="s">
        <v>74</v>
      </c>
      <c r="D2664" t="s">
        <v>74</v>
      </c>
      <c r="E2664" t="s">
        <v>74</v>
      </c>
      <c r="F2664" t="s">
        <v>44520</v>
      </c>
      <c r="G2664" t="s">
        <v>74</v>
      </c>
      <c r="H2664" t="s">
        <v>74</v>
      </c>
      <c r="I2664" t="s">
        <v>44521</v>
      </c>
      <c r="J2664" t="s">
        <v>2137</v>
      </c>
      <c r="K2664" t="s">
        <v>74</v>
      </c>
      <c r="L2664" t="s">
        <v>74</v>
      </c>
      <c r="M2664" t="s">
        <v>78</v>
      </c>
      <c r="N2664" t="s">
        <v>79</v>
      </c>
      <c r="O2664" t="s">
        <v>74</v>
      </c>
      <c r="P2664" t="s">
        <v>74</v>
      </c>
      <c r="Q2664" t="s">
        <v>74</v>
      </c>
      <c r="R2664" t="s">
        <v>74</v>
      </c>
      <c r="S2664" t="s">
        <v>74</v>
      </c>
      <c r="T2664" t="s">
        <v>44522</v>
      </c>
      <c r="U2664" t="s">
        <v>44523</v>
      </c>
      <c r="V2664" t="s">
        <v>44524</v>
      </c>
      <c r="W2664" t="s">
        <v>44525</v>
      </c>
      <c r="X2664" t="s">
        <v>21882</v>
      </c>
      <c r="Y2664" t="s">
        <v>44526</v>
      </c>
      <c r="Z2664" t="s">
        <v>44527</v>
      </c>
      <c r="AA2664" t="s">
        <v>44528</v>
      </c>
      <c r="AB2664" t="s">
        <v>74</v>
      </c>
      <c r="AC2664" t="s">
        <v>2859</v>
      </c>
      <c r="AD2664" t="s">
        <v>2860</v>
      </c>
      <c r="AE2664" t="s">
        <v>44529</v>
      </c>
      <c r="AF2664" t="s">
        <v>74</v>
      </c>
      <c r="AG2664">
        <v>70</v>
      </c>
      <c r="AH2664">
        <v>0</v>
      </c>
      <c r="AI2664">
        <v>0</v>
      </c>
      <c r="AJ2664">
        <v>1</v>
      </c>
      <c r="AK2664">
        <v>1</v>
      </c>
      <c r="AL2664" t="s">
        <v>2145</v>
      </c>
      <c r="AM2664" t="s">
        <v>151</v>
      </c>
      <c r="AN2664" t="s">
        <v>2146</v>
      </c>
      <c r="AO2664" t="s">
        <v>2147</v>
      </c>
      <c r="AP2664" t="s">
        <v>2148</v>
      </c>
      <c r="AQ2664" t="s">
        <v>74</v>
      </c>
      <c r="AR2664" t="s">
        <v>2149</v>
      </c>
      <c r="AS2664" t="s">
        <v>2150</v>
      </c>
      <c r="AT2664" t="s">
        <v>74</v>
      </c>
      <c r="AU2664">
        <v>2025</v>
      </c>
      <c r="AV2664">
        <v>36</v>
      </c>
      <c r="AW2664">
        <v>1</v>
      </c>
      <c r="AX2664" t="s">
        <v>74</v>
      </c>
      <c r="AY2664" t="s">
        <v>74</v>
      </c>
      <c r="AZ2664" t="s">
        <v>74</v>
      </c>
      <c r="BA2664" t="s">
        <v>74</v>
      </c>
      <c r="BB2664">
        <v>50</v>
      </c>
      <c r="BC2664">
        <v>66</v>
      </c>
      <c r="BD2664" t="s">
        <v>74</v>
      </c>
      <c r="BE2664" t="s">
        <v>44530</v>
      </c>
      <c r="BF2664" t="str">
        <f>HYPERLINK("http://dx.doi.org/10.1891/JFCP-2023-0094","http://dx.doi.org/10.1891/JFCP-2023-0094")</f>
        <v>http://dx.doi.org/10.1891/JFCP-2023-0094</v>
      </c>
      <c r="BG2664" t="s">
        <v>74</v>
      </c>
      <c r="BH2664" t="s">
        <v>74</v>
      </c>
      <c r="BI2664">
        <v>17</v>
      </c>
      <c r="BJ2664" t="s">
        <v>1453</v>
      </c>
      <c r="BK2664" t="s">
        <v>313</v>
      </c>
      <c r="BL2664" t="s">
        <v>100</v>
      </c>
      <c r="BM2664" t="s">
        <v>44531</v>
      </c>
      <c r="BN2664" t="s">
        <v>74</v>
      </c>
      <c r="BO2664" t="s">
        <v>74</v>
      </c>
      <c r="BP2664" t="s">
        <v>74</v>
      </c>
      <c r="BQ2664" t="s">
        <v>74</v>
      </c>
      <c r="BR2664" t="s">
        <v>102</v>
      </c>
      <c r="BS2664" t="s">
        <v>44532</v>
      </c>
      <c r="BT2664" t="str">
        <f>HYPERLINK("https%3A%2F%2Fwww.webofscience.com%2Fwos%2Fwoscc%2Ffull-record%2FWOS:001541474400005","View Full Record in Web of Science")</f>
        <v>View Full Record in Web of Science</v>
      </c>
    </row>
    <row r="2665" spans="1:72" x14ac:dyDescent="0.25">
      <c r="A2665" t="s">
        <v>72</v>
      </c>
      <c r="B2665" t="s">
        <v>44533</v>
      </c>
      <c r="C2665" t="s">
        <v>74</v>
      </c>
      <c r="D2665" t="s">
        <v>74</v>
      </c>
      <c r="E2665" t="s">
        <v>74</v>
      </c>
      <c r="F2665" t="s">
        <v>44534</v>
      </c>
      <c r="G2665" t="s">
        <v>74</v>
      </c>
      <c r="H2665" t="s">
        <v>74</v>
      </c>
      <c r="I2665" t="s">
        <v>44535</v>
      </c>
      <c r="J2665" t="s">
        <v>16009</v>
      </c>
      <c r="K2665" t="s">
        <v>74</v>
      </c>
      <c r="L2665" t="s">
        <v>74</v>
      </c>
      <c r="M2665" t="s">
        <v>298</v>
      </c>
      <c r="N2665" t="s">
        <v>79</v>
      </c>
      <c r="O2665" t="s">
        <v>74</v>
      </c>
      <c r="P2665" t="s">
        <v>74</v>
      </c>
      <c r="Q2665" t="s">
        <v>74</v>
      </c>
      <c r="R2665" t="s">
        <v>74</v>
      </c>
      <c r="S2665" t="s">
        <v>74</v>
      </c>
      <c r="T2665" t="s">
        <v>44536</v>
      </c>
      <c r="U2665" t="s">
        <v>44537</v>
      </c>
      <c r="V2665" t="s">
        <v>44538</v>
      </c>
      <c r="W2665" t="s">
        <v>44539</v>
      </c>
      <c r="X2665" t="s">
        <v>44540</v>
      </c>
      <c r="Y2665" t="s">
        <v>44541</v>
      </c>
      <c r="Z2665" t="s">
        <v>44542</v>
      </c>
      <c r="AA2665" t="s">
        <v>44543</v>
      </c>
      <c r="AB2665" t="s">
        <v>44544</v>
      </c>
      <c r="AC2665" t="s">
        <v>74</v>
      </c>
      <c r="AD2665" t="s">
        <v>74</v>
      </c>
      <c r="AE2665" t="s">
        <v>74</v>
      </c>
      <c r="AF2665" t="s">
        <v>74</v>
      </c>
      <c r="AG2665">
        <v>59</v>
      </c>
      <c r="AH2665">
        <v>0</v>
      </c>
      <c r="AI2665">
        <v>3</v>
      </c>
      <c r="AJ2665">
        <v>0</v>
      </c>
      <c r="AK2665">
        <v>10</v>
      </c>
      <c r="AL2665" t="s">
        <v>16015</v>
      </c>
      <c r="AM2665" t="s">
        <v>16016</v>
      </c>
      <c r="AN2665" t="s">
        <v>16017</v>
      </c>
      <c r="AO2665" t="s">
        <v>16018</v>
      </c>
      <c r="AP2665" t="s">
        <v>16019</v>
      </c>
      <c r="AQ2665" t="s">
        <v>74</v>
      </c>
      <c r="AR2665" t="s">
        <v>16020</v>
      </c>
      <c r="AS2665" t="s">
        <v>16021</v>
      </c>
      <c r="AT2665" t="s">
        <v>723</v>
      </c>
      <c r="AU2665">
        <v>2019</v>
      </c>
      <c r="AV2665">
        <v>11</v>
      </c>
      <c r="AW2665">
        <v>2</v>
      </c>
      <c r="AX2665" t="s">
        <v>74</v>
      </c>
      <c r="AY2665" t="s">
        <v>74</v>
      </c>
      <c r="AZ2665" t="s">
        <v>74</v>
      </c>
      <c r="BA2665" t="s">
        <v>74</v>
      </c>
      <c r="BB2665">
        <v>299</v>
      </c>
      <c r="BC2665">
        <v>320</v>
      </c>
      <c r="BD2665" t="s">
        <v>74</v>
      </c>
      <c r="BE2665" t="s">
        <v>44545</v>
      </c>
      <c r="BF2665" t="str">
        <f>HYPERLINK("http://dx.doi.org/10.14718/revfinanzpolitecon.2019.11.2.5","http://dx.doi.org/10.14718/revfinanzpolitecon.2019.11.2.5")</f>
        <v>http://dx.doi.org/10.14718/revfinanzpolitecon.2019.11.2.5</v>
      </c>
      <c r="BG2665" t="s">
        <v>74</v>
      </c>
      <c r="BH2665" t="s">
        <v>74</v>
      </c>
      <c r="BI2665">
        <v>22</v>
      </c>
      <c r="BJ2665" t="s">
        <v>291</v>
      </c>
      <c r="BK2665" t="s">
        <v>313</v>
      </c>
      <c r="BL2665" t="s">
        <v>100</v>
      </c>
      <c r="BM2665" t="s">
        <v>44546</v>
      </c>
      <c r="BN2665" t="s">
        <v>74</v>
      </c>
      <c r="BO2665" t="s">
        <v>916</v>
      </c>
      <c r="BP2665" t="s">
        <v>74</v>
      </c>
      <c r="BQ2665" t="s">
        <v>74</v>
      </c>
      <c r="BR2665" t="s">
        <v>102</v>
      </c>
      <c r="BS2665" t="s">
        <v>44547</v>
      </c>
      <c r="BT2665" t="str">
        <f>HYPERLINK("https%3A%2F%2Fwww.webofscience.com%2Fwos%2Fwoscc%2Ffull-record%2FWOS:000564652300005","View Full Record in Web of Science")</f>
        <v>View Full Record in Web of Science</v>
      </c>
    </row>
    <row r="2666" spans="1:72" x14ac:dyDescent="0.25">
      <c r="A2666" t="s">
        <v>72</v>
      </c>
      <c r="B2666" t="s">
        <v>44548</v>
      </c>
      <c r="C2666" t="s">
        <v>74</v>
      </c>
      <c r="D2666" t="s">
        <v>74</v>
      </c>
      <c r="E2666" t="s">
        <v>74</v>
      </c>
      <c r="F2666" t="s">
        <v>44549</v>
      </c>
      <c r="G2666" t="s">
        <v>74</v>
      </c>
      <c r="H2666" t="s">
        <v>74</v>
      </c>
      <c r="I2666" t="s">
        <v>44550</v>
      </c>
      <c r="J2666" t="s">
        <v>44551</v>
      </c>
      <c r="K2666" t="s">
        <v>74</v>
      </c>
      <c r="L2666" t="s">
        <v>74</v>
      </c>
      <c r="M2666" t="s">
        <v>78</v>
      </c>
      <c r="N2666" t="s">
        <v>79</v>
      </c>
      <c r="O2666" t="s">
        <v>74</v>
      </c>
      <c r="P2666" t="s">
        <v>74</v>
      </c>
      <c r="Q2666" t="s">
        <v>74</v>
      </c>
      <c r="R2666" t="s">
        <v>74</v>
      </c>
      <c r="S2666" t="s">
        <v>74</v>
      </c>
      <c r="T2666" t="s">
        <v>74</v>
      </c>
      <c r="U2666" t="s">
        <v>44552</v>
      </c>
      <c r="V2666" t="s">
        <v>44553</v>
      </c>
      <c r="W2666" t="s">
        <v>44554</v>
      </c>
      <c r="X2666" t="s">
        <v>34905</v>
      </c>
      <c r="Y2666" t="s">
        <v>34906</v>
      </c>
      <c r="Z2666" t="s">
        <v>74</v>
      </c>
      <c r="AA2666" t="s">
        <v>74</v>
      </c>
      <c r="AB2666" t="s">
        <v>34908</v>
      </c>
      <c r="AC2666" t="s">
        <v>74</v>
      </c>
      <c r="AD2666" t="s">
        <v>74</v>
      </c>
      <c r="AE2666" t="s">
        <v>74</v>
      </c>
      <c r="AF2666" t="s">
        <v>74</v>
      </c>
      <c r="AG2666">
        <v>47</v>
      </c>
      <c r="AH2666">
        <v>8</v>
      </c>
      <c r="AI2666">
        <v>12</v>
      </c>
      <c r="AJ2666">
        <v>0</v>
      </c>
      <c r="AK2666">
        <v>21</v>
      </c>
      <c r="AL2666" t="s">
        <v>479</v>
      </c>
      <c r="AM2666" t="s">
        <v>480</v>
      </c>
      <c r="AN2666" t="s">
        <v>481</v>
      </c>
      <c r="AO2666" t="s">
        <v>44555</v>
      </c>
      <c r="AP2666" t="s">
        <v>44556</v>
      </c>
      <c r="AQ2666" t="s">
        <v>74</v>
      </c>
      <c r="AR2666" t="s">
        <v>44557</v>
      </c>
      <c r="AS2666" t="s">
        <v>44558</v>
      </c>
      <c r="AT2666" t="s">
        <v>848</v>
      </c>
      <c r="AU2666">
        <v>2016</v>
      </c>
      <c r="AV2666">
        <v>39</v>
      </c>
      <c r="AW2666">
        <v>7</v>
      </c>
      <c r="AX2666" t="s">
        <v>74</v>
      </c>
      <c r="AY2666" t="s">
        <v>74</v>
      </c>
      <c r="AZ2666" t="s">
        <v>74</v>
      </c>
      <c r="BA2666" t="s">
        <v>74</v>
      </c>
      <c r="BB2666">
        <v>964</v>
      </c>
      <c r="BC2666">
        <v>982</v>
      </c>
      <c r="BD2666" t="s">
        <v>74</v>
      </c>
      <c r="BE2666" t="s">
        <v>44559</v>
      </c>
      <c r="BF2666" t="str">
        <f>HYPERLINK("http://dx.doi.org/10.1111/twec.12287","http://dx.doi.org/10.1111/twec.12287")</f>
        <v>http://dx.doi.org/10.1111/twec.12287</v>
      </c>
      <c r="BG2666" t="s">
        <v>74</v>
      </c>
      <c r="BH2666" t="s">
        <v>74</v>
      </c>
      <c r="BI2666">
        <v>19</v>
      </c>
      <c r="BJ2666" t="s">
        <v>44560</v>
      </c>
      <c r="BK2666" t="s">
        <v>99</v>
      </c>
      <c r="BL2666" t="s">
        <v>1284</v>
      </c>
      <c r="BM2666" t="s">
        <v>44561</v>
      </c>
      <c r="BN2666" t="s">
        <v>74</v>
      </c>
      <c r="BO2666" t="s">
        <v>74</v>
      </c>
      <c r="BP2666" t="s">
        <v>74</v>
      </c>
      <c r="BQ2666" t="s">
        <v>74</v>
      </c>
      <c r="BR2666" t="s">
        <v>102</v>
      </c>
      <c r="BS2666" t="s">
        <v>44562</v>
      </c>
      <c r="BT2666" t="str">
        <f>HYPERLINK("https%3A%2F%2Fwww.webofscience.com%2Fwos%2Fwoscc%2Ffull-record%2FWOS:000379953100003","View Full Record in Web of Science")</f>
        <v>View Full Record in Web of Science</v>
      </c>
    </row>
    <row r="2667" spans="1:72" x14ac:dyDescent="0.25">
      <c r="A2667" t="s">
        <v>72</v>
      </c>
      <c r="B2667" t="s">
        <v>44563</v>
      </c>
      <c r="C2667" t="s">
        <v>74</v>
      </c>
      <c r="D2667" t="s">
        <v>74</v>
      </c>
      <c r="E2667" t="s">
        <v>74</v>
      </c>
      <c r="F2667" t="s">
        <v>44564</v>
      </c>
      <c r="G2667" t="s">
        <v>74</v>
      </c>
      <c r="H2667" t="s">
        <v>74</v>
      </c>
      <c r="I2667" t="s">
        <v>44565</v>
      </c>
      <c r="J2667" t="s">
        <v>11214</v>
      </c>
      <c r="K2667" t="s">
        <v>74</v>
      </c>
      <c r="L2667" t="s">
        <v>74</v>
      </c>
      <c r="M2667" t="s">
        <v>298</v>
      </c>
      <c r="N2667" t="s">
        <v>79</v>
      </c>
      <c r="O2667" t="s">
        <v>74</v>
      </c>
      <c r="P2667" t="s">
        <v>74</v>
      </c>
      <c r="Q2667" t="s">
        <v>74</v>
      </c>
      <c r="R2667" t="s">
        <v>74</v>
      </c>
      <c r="S2667" t="s">
        <v>74</v>
      </c>
      <c r="T2667" t="s">
        <v>44566</v>
      </c>
      <c r="U2667" t="s">
        <v>44567</v>
      </c>
      <c r="V2667" t="s">
        <v>44568</v>
      </c>
      <c r="W2667" t="s">
        <v>44569</v>
      </c>
      <c r="X2667" t="s">
        <v>44570</v>
      </c>
      <c r="Y2667" t="s">
        <v>44571</v>
      </c>
      <c r="Z2667" t="s">
        <v>44572</v>
      </c>
      <c r="AA2667" t="s">
        <v>44543</v>
      </c>
      <c r="AB2667" t="s">
        <v>44544</v>
      </c>
      <c r="AC2667" t="s">
        <v>74</v>
      </c>
      <c r="AD2667" t="s">
        <v>74</v>
      </c>
      <c r="AE2667" t="s">
        <v>74</v>
      </c>
      <c r="AF2667" t="s">
        <v>74</v>
      </c>
      <c r="AG2667">
        <v>41</v>
      </c>
      <c r="AH2667">
        <v>1</v>
      </c>
      <c r="AI2667">
        <v>2</v>
      </c>
      <c r="AJ2667">
        <v>0</v>
      </c>
      <c r="AK2667">
        <v>7</v>
      </c>
      <c r="AL2667" t="s">
        <v>11222</v>
      </c>
      <c r="AM2667" t="s">
        <v>11223</v>
      </c>
      <c r="AN2667" t="s">
        <v>11224</v>
      </c>
      <c r="AO2667" t="s">
        <v>11225</v>
      </c>
      <c r="AP2667" t="s">
        <v>74</v>
      </c>
      <c r="AQ2667" t="s">
        <v>74</v>
      </c>
      <c r="AR2667" t="s">
        <v>11226</v>
      </c>
      <c r="AS2667" t="s">
        <v>11227</v>
      </c>
      <c r="AT2667" t="s">
        <v>363</v>
      </c>
      <c r="AU2667">
        <v>2018</v>
      </c>
      <c r="AV2667">
        <v>85</v>
      </c>
      <c r="AW2667">
        <v>338</v>
      </c>
      <c r="AX2667" t="s">
        <v>74</v>
      </c>
      <c r="AY2667" t="s">
        <v>74</v>
      </c>
      <c r="AZ2667" t="s">
        <v>74</v>
      </c>
      <c r="BA2667" t="s">
        <v>74</v>
      </c>
      <c r="BB2667">
        <v>311</v>
      </c>
      <c r="BC2667">
        <v>339</v>
      </c>
      <c r="BD2667" t="s">
        <v>74</v>
      </c>
      <c r="BE2667" t="s">
        <v>74</v>
      </c>
      <c r="BF2667" t="s">
        <v>74</v>
      </c>
      <c r="BG2667" t="s">
        <v>74</v>
      </c>
      <c r="BH2667" t="s">
        <v>74</v>
      </c>
      <c r="BI2667">
        <v>29</v>
      </c>
      <c r="BJ2667" t="s">
        <v>291</v>
      </c>
      <c r="BK2667" t="s">
        <v>99</v>
      </c>
      <c r="BL2667" t="s">
        <v>100</v>
      </c>
      <c r="BM2667" t="s">
        <v>44573</v>
      </c>
      <c r="BN2667" t="s">
        <v>74</v>
      </c>
      <c r="BO2667" t="s">
        <v>74</v>
      </c>
      <c r="BP2667" t="s">
        <v>74</v>
      </c>
      <c r="BQ2667" t="s">
        <v>74</v>
      </c>
      <c r="BR2667" t="s">
        <v>102</v>
      </c>
      <c r="BS2667" t="s">
        <v>44574</v>
      </c>
      <c r="BT2667" t="str">
        <f>HYPERLINK("https%3A%2F%2Fwww.webofscience.com%2Fwos%2Fwoscc%2Ffull-record%2FWOS:000438943100004","View Full Record in Web of Science")</f>
        <v>View Full Record in Web of Science</v>
      </c>
    </row>
    <row r="2668" spans="1:72" x14ac:dyDescent="0.25">
      <c r="A2668" t="s">
        <v>72</v>
      </c>
      <c r="B2668" t="s">
        <v>44575</v>
      </c>
      <c r="C2668" t="s">
        <v>74</v>
      </c>
      <c r="D2668" t="s">
        <v>74</v>
      </c>
      <c r="E2668" t="s">
        <v>74</v>
      </c>
      <c r="F2668" t="s">
        <v>44576</v>
      </c>
      <c r="G2668" t="s">
        <v>74</v>
      </c>
      <c r="H2668" t="s">
        <v>74</v>
      </c>
      <c r="I2668" t="s">
        <v>44577</v>
      </c>
      <c r="J2668" t="s">
        <v>44578</v>
      </c>
      <c r="K2668" t="s">
        <v>74</v>
      </c>
      <c r="L2668" t="s">
        <v>74</v>
      </c>
      <c r="M2668" t="s">
        <v>78</v>
      </c>
      <c r="N2668" t="s">
        <v>79</v>
      </c>
      <c r="O2668" t="s">
        <v>74</v>
      </c>
      <c r="P2668" t="s">
        <v>74</v>
      </c>
      <c r="Q2668" t="s">
        <v>74</v>
      </c>
      <c r="R2668" t="s">
        <v>74</v>
      </c>
      <c r="S2668" t="s">
        <v>74</v>
      </c>
      <c r="T2668" t="s">
        <v>44579</v>
      </c>
      <c r="U2668" t="s">
        <v>15149</v>
      </c>
      <c r="V2668" t="s">
        <v>44580</v>
      </c>
      <c r="W2668" t="s">
        <v>44581</v>
      </c>
      <c r="X2668" t="s">
        <v>35115</v>
      </c>
      <c r="Y2668" t="s">
        <v>44582</v>
      </c>
      <c r="Z2668" t="s">
        <v>74</v>
      </c>
      <c r="AA2668" t="s">
        <v>35118</v>
      </c>
      <c r="AB2668" t="s">
        <v>74</v>
      </c>
      <c r="AC2668" t="s">
        <v>74</v>
      </c>
      <c r="AD2668" t="s">
        <v>74</v>
      </c>
      <c r="AE2668" t="s">
        <v>74</v>
      </c>
      <c r="AF2668" t="s">
        <v>74</v>
      </c>
      <c r="AG2668">
        <v>30</v>
      </c>
      <c r="AH2668">
        <v>0</v>
      </c>
      <c r="AI2668">
        <v>0</v>
      </c>
      <c r="AJ2668">
        <v>0</v>
      </c>
      <c r="AK2668">
        <v>0</v>
      </c>
      <c r="AL2668" t="s">
        <v>44583</v>
      </c>
      <c r="AM2668" t="s">
        <v>44584</v>
      </c>
      <c r="AN2668" t="s">
        <v>44585</v>
      </c>
      <c r="AO2668" t="s">
        <v>44586</v>
      </c>
      <c r="AP2668" t="s">
        <v>74</v>
      </c>
      <c r="AQ2668" t="s">
        <v>74</v>
      </c>
      <c r="AR2668" t="s">
        <v>44587</v>
      </c>
      <c r="AS2668" t="s">
        <v>44588</v>
      </c>
      <c r="AT2668" t="s">
        <v>208</v>
      </c>
      <c r="AU2668">
        <v>2024</v>
      </c>
      <c r="AV2668">
        <v>18</v>
      </c>
      <c r="AW2668">
        <v>1</v>
      </c>
      <c r="AX2668" t="s">
        <v>74</v>
      </c>
      <c r="AY2668" t="s">
        <v>74</v>
      </c>
      <c r="AZ2668" t="s">
        <v>74</v>
      </c>
      <c r="BA2668" t="s">
        <v>74</v>
      </c>
      <c r="BB2668" t="s">
        <v>74</v>
      </c>
      <c r="BC2668" t="s">
        <v>74</v>
      </c>
      <c r="BD2668" t="s">
        <v>74</v>
      </c>
      <c r="BE2668" t="s">
        <v>74</v>
      </c>
      <c r="BF2668" t="s">
        <v>74</v>
      </c>
      <c r="BG2668" t="s">
        <v>74</v>
      </c>
      <c r="BH2668" t="s">
        <v>74</v>
      </c>
      <c r="BI2668">
        <v>22</v>
      </c>
      <c r="BJ2668" t="s">
        <v>2992</v>
      </c>
      <c r="BK2668" t="s">
        <v>313</v>
      </c>
      <c r="BL2668" t="s">
        <v>2993</v>
      </c>
      <c r="BM2668" t="s">
        <v>44589</v>
      </c>
      <c r="BN2668" t="s">
        <v>74</v>
      </c>
      <c r="BO2668" t="s">
        <v>74</v>
      </c>
      <c r="BP2668" t="s">
        <v>74</v>
      </c>
      <c r="BQ2668" t="s">
        <v>74</v>
      </c>
      <c r="BR2668" t="s">
        <v>102</v>
      </c>
      <c r="BS2668" t="s">
        <v>44590</v>
      </c>
      <c r="BT2668" t="str">
        <f>HYPERLINK("https%3A%2F%2Fwww.webofscience.com%2Fwos%2Fwoscc%2Ffull-record%2FWOS:001492771700001","View Full Record in Web of Science")</f>
        <v>View Full Record in Web of Science</v>
      </c>
    </row>
    <row r="2669" spans="1:72" x14ac:dyDescent="0.25">
      <c r="A2669" t="s">
        <v>72</v>
      </c>
      <c r="B2669" t="s">
        <v>44591</v>
      </c>
      <c r="C2669" t="s">
        <v>74</v>
      </c>
      <c r="D2669" t="s">
        <v>74</v>
      </c>
      <c r="E2669" t="s">
        <v>74</v>
      </c>
      <c r="F2669" t="s">
        <v>44592</v>
      </c>
      <c r="G2669" t="s">
        <v>74</v>
      </c>
      <c r="H2669" t="s">
        <v>74</v>
      </c>
      <c r="I2669" t="s">
        <v>44593</v>
      </c>
      <c r="J2669" t="s">
        <v>14135</v>
      </c>
      <c r="K2669" t="s">
        <v>74</v>
      </c>
      <c r="L2669" t="s">
        <v>74</v>
      </c>
      <c r="M2669" t="s">
        <v>78</v>
      </c>
      <c r="N2669" t="s">
        <v>79</v>
      </c>
      <c r="O2669" t="s">
        <v>74</v>
      </c>
      <c r="P2669" t="s">
        <v>74</v>
      </c>
      <c r="Q2669" t="s">
        <v>74</v>
      </c>
      <c r="R2669" t="s">
        <v>74</v>
      </c>
      <c r="S2669" t="s">
        <v>74</v>
      </c>
      <c r="T2669" t="s">
        <v>74</v>
      </c>
      <c r="U2669" t="s">
        <v>44594</v>
      </c>
      <c r="V2669" t="s">
        <v>44595</v>
      </c>
      <c r="W2669" t="s">
        <v>44596</v>
      </c>
      <c r="X2669" t="s">
        <v>44597</v>
      </c>
      <c r="Y2669" t="s">
        <v>44598</v>
      </c>
      <c r="Z2669" t="s">
        <v>44599</v>
      </c>
      <c r="AA2669" t="s">
        <v>44600</v>
      </c>
      <c r="AB2669" t="s">
        <v>44601</v>
      </c>
      <c r="AC2669" t="s">
        <v>74</v>
      </c>
      <c r="AD2669" t="s">
        <v>74</v>
      </c>
      <c r="AE2669" t="s">
        <v>74</v>
      </c>
      <c r="AF2669" t="s">
        <v>74</v>
      </c>
      <c r="AG2669">
        <v>85</v>
      </c>
      <c r="AH2669">
        <v>21</v>
      </c>
      <c r="AI2669">
        <v>26</v>
      </c>
      <c r="AJ2669">
        <v>0</v>
      </c>
      <c r="AK2669">
        <v>32</v>
      </c>
      <c r="AL2669" t="s">
        <v>479</v>
      </c>
      <c r="AM2669" t="s">
        <v>480</v>
      </c>
      <c r="AN2669" t="s">
        <v>481</v>
      </c>
      <c r="AO2669" t="s">
        <v>14142</v>
      </c>
      <c r="AP2669" t="s">
        <v>14143</v>
      </c>
      <c r="AQ2669" t="s">
        <v>74</v>
      </c>
      <c r="AR2669" t="s">
        <v>14144</v>
      </c>
      <c r="AS2669" t="s">
        <v>14145</v>
      </c>
      <c r="AT2669" t="s">
        <v>605</v>
      </c>
      <c r="AU2669">
        <v>2017</v>
      </c>
      <c r="AV2669">
        <v>48</v>
      </c>
      <c r="AW2669">
        <v>2</v>
      </c>
      <c r="AX2669" t="s">
        <v>74</v>
      </c>
      <c r="AY2669" t="s">
        <v>74</v>
      </c>
      <c r="AZ2669" t="s">
        <v>74</v>
      </c>
      <c r="BA2669" t="s">
        <v>74</v>
      </c>
      <c r="BB2669">
        <v>205</v>
      </c>
      <c r="BC2669">
        <v>227</v>
      </c>
      <c r="BD2669" t="s">
        <v>74</v>
      </c>
      <c r="BE2669" t="s">
        <v>44602</v>
      </c>
      <c r="BF2669" t="str">
        <f>HYPERLINK("http://dx.doi.org/10.1111/dech.12296","http://dx.doi.org/10.1111/dech.12296")</f>
        <v>http://dx.doi.org/10.1111/dech.12296</v>
      </c>
      <c r="BG2669" t="s">
        <v>74</v>
      </c>
      <c r="BH2669" t="s">
        <v>74</v>
      </c>
      <c r="BI2669">
        <v>23</v>
      </c>
      <c r="BJ2669" t="s">
        <v>1137</v>
      </c>
      <c r="BK2669" t="s">
        <v>99</v>
      </c>
      <c r="BL2669" t="s">
        <v>1137</v>
      </c>
      <c r="BM2669" t="s">
        <v>44603</v>
      </c>
      <c r="BN2669" t="s">
        <v>74</v>
      </c>
      <c r="BO2669" t="s">
        <v>74</v>
      </c>
      <c r="BP2669" t="s">
        <v>74</v>
      </c>
      <c r="BQ2669" t="s">
        <v>74</v>
      </c>
      <c r="BR2669" t="s">
        <v>102</v>
      </c>
      <c r="BS2669" t="s">
        <v>44604</v>
      </c>
      <c r="BT2669" t="str">
        <f>HYPERLINK("https%3A%2F%2Fwww.webofscience.com%2Fwos%2Fwoscc%2Ffull-record%2FWOS:000395552600001","View Full Record in Web of Science")</f>
        <v>View Full Record in Web of Science</v>
      </c>
    </row>
    <row r="2670" spans="1:72" x14ac:dyDescent="0.25">
      <c r="A2670" t="s">
        <v>72</v>
      </c>
      <c r="B2670" t="s">
        <v>44605</v>
      </c>
      <c r="C2670" t="s">
        <v>74</v>
      </c>
      <c r="D2670" t="s">
        <v>74</v>
      </c>
      <c r="E2670" t="s">
        <v>74</v>
      </c>
      <c r="F2670" t="s">
        <v>44606</v>
      </c>
      <c r="G2670" t="s">
        <v>74</v>
      </c>
      <c r="H2670" t="s">
        <v>74</v>
      </c>
      <c r="I2670" t="s">
        <v>44607</v>
      </c>
      <c r="J2670" t="s">
        <v>1963</v>
      </c>
      <c r="K2670" t="s">
        <v>74</v>
      </c>
      <c r="L2670" t="s">
        <v>74</v>
      </c>
      <c r="M2670" t="s">
        <v>78</v>
      </c>
      <c r="N2670" t="s">
        <v>372</v>
      </c>
      <c r="O2670" t="s">
        <v>74</v>
      </c>
      <c r="P2670" t="s">
        <v>74</v>
      </c>
      <c r="Q2670" t="s">
        <v>74</v>
      </c>
      <c r="R2670" t="s">
        <v>74</v>
      </c>
      <c r="S2670" t="s">
        <v>74</v>
      </c>
      <c r="T2670" t="s">
        <v>44608</v>
      </c>
      <c r="U2670" t="s">
        <v>44609</v>
      </c>
      <c r="V2670" t="s">
        <v>44610</v>
      </c>
      <c r="W2670" t="s">
        <v>44611</v>
      </c>
      <c r="X2670" t="s">
        <v>44612</v>
      </c>
      <c r="Y2670" t="s">
        <v>44613</v>
      </c>
      <c r="Z2670" t="s">
        <v>44614</v>
      </c>
      <c r="AA2670" t="s">
        <v>74</v>
      </c>
      <c r="AB2670" t="s">
        <v>74</v>
      </c>
      <c r="AC2670" t="s">
        <v>44615</v>
      </c>
      <c r="AD2670" t="s">
        <v>44616</v>
      </c>
      <c r="AE2670" t="s">
        <v>44617</v>
      </c>
      <c r="AF2670" t="s">
        <v>74</v>
      </c>
      <c r="AG2670">
        <v>54</v>
      </c>
      <c r="AH2670">
        <v>0</v>
      </c>
      <c r="AI2670">
        <v>0</v>
      </c>
      <c r="AJ2670">
        <v>4</v>
      </c>
      <c r="AK2670">
        <v>4</v>
      </c>
      <c r="AL2670" t="s">
        <v>332</v>
      </c>
      <c r="AM2670" t="s">
        <v>333</v>
      </c>
      <c r="AN2670" t="s">
        <v>334</v>
      </c>
      <c r="AO2670" t="s">
        <v>1975</v>
      </c>
      <c r="AP2670" t="s">
        <v>1976</v>
      </c>
      <c r="AQ2670" t="s">
        <v>74</v>
      </c>
      <c r="AR2670" t="s">
        <v>1977</v>
      </c>
      <c r="AS2670" t="s">
        <v>1978</v>
      </c>
      <c r="AT2670" t="s">
        <v>44618</v>
      </c>
      <c r="AU2670">
        <v>2025</v>
      </c>
      <c r="AV2670" t="s">
        <v>74</v>
      </c>
      <c r="AW2670" t="s">
        <v>74</v>
      </c>
      <c r="AX2670" t="s">
        <v>74</v>
      </c>
      <c r="AY2670" t="s">
        <v>74</v>
      </c>
      <c r="AZ2670" t="s">
        <v>74</v>
      </c>
      <c r="BA2670" t="s">
        <v>74</v>
      </c>
      <c r="BB2670" t="s">
        <v>74</v>
      </c>
      <c r="BC2670" t="s">
        <v>74</v>
      </c>
      <c r="BD2670" t="s">
        <v>74</v>
      </c>
      <c r="BE2670" t="s">
        <v>44619</v>
      </c>
      <c r="BF2670" t="str">
        <f>HYPERLINK("http://dx.doi.org/10.1080/00036846.2025.2571518","http://dx.doi.org/10.1080/00036846.2025.2571518")</f>
        <v>http://dx.doi.org/10.1080/00036846.2025.2571518</v>
      </c>
      <c r="BG2670" t="s">
        <v>74</v>
      </c>
      <c r="BH2670" t="s">
        <v>12078</v>
      </c>
      <c r="BI2670">
        <v>16</v>
      </c>
      <c r="BJ2670" t="s">
        <v>291</v>
      </c>
      <c r="BK2670" t="s">
        <v>99</v>
      </c>
      <c r="BL2670" t="s">
        <v>100</v>
      </c>
      <c r="BM2670" t="s">
        <v>44620</v>
      </c>
      <c r="BN2670" t="s">
        <v>74</v>
      </c>
      <c r="BO2670" t="s">
        <v>74</v>
      </c>
      <c r="BP2670" t="s">
        <v>74</v>
      </c>
      <c r="BQ2670" t="s">
        <v>74</v>
      </c>
      <c r="BR2670" t="s">
        <v>102</v>
      </c>
      <c r="BS2670" t="s">
        <v>44621</v>
      </c>
      <c r="BT2670" t="str">
        <f>HYPERLINK("https%3A%2F%2Fwww.webofscience.com%2Fwos%2Fwoscc%2Ffull-record%2FWOS:001590106700001","View Full Record in Web of Science")</f>
        <v>View Full Record in Web of Science</v>
      </c>
    </row>
    <row r="2671" spans="1:72" x14ac:dyDescent="0.25">
      <c r="A2671" t="s">
        <v>72</v>
      </c>
      <c r="B2671" t="s">
        <v>44622</v>
      </c>
      <c r="C2671" t="s">
        <v>74</v>
      </c>
      <c r="D2671" t="s">
        <v>74</v>
      </c>
      <c r="E2671" t="s">
        <v>74</v>
      </c>
      <c r="F2671" t="s">
        <v>44623</v>
      </c>
      <c r="G2671" t="s">
        <v>74</v>
      </c>
      <c r="H2671" t="s">
        <v>74</v>
      </c>
      <c r="I2671" t="s">
        <v>44624</v>
      </c>
      <c r="J2671" t="s">
        <v>1168</v>
      </c>
      <c r="K2671" t="s">
        <v>74</v>
      </c>
      <c r="L2671" t="s">
        <v>74</v>
      </c>
      <c r="M2671" t="s">
        <v>78</v>
      </c>
      <c r="N2671" t="s">
        <v>79</v>
      </c>
      <c r="O2671" t="s">
        <v>74</v>
      </c>
      <c r="P2671" t="s">
        <v>74</v>
      </c>
      <c r="Q2671" t="s">
        <v>74</v>
      </c>
      <c r="R2671" t="s">
        <v>74</v>
      </c>
      <c r="S2671" t="s">
        <v>74</v>
      </c>
      <c r="T2671" t="s">
        <v>44625</v>
      </c>
      <c r="U2671" t="s">
        <v>44626</v>
      </c>
      <c r="V2671" t="s">
        <v>44627</v>
      </c>
      <c r="W2671" t="s">
        <v>44628</v>
      </c>
      <c r="X2671" t="s">
        <v>74</v>
      </c>
      <c r="Y2671" t="s">
        <v>44629</v>
      </c>
      <c r="Z2671" t="s">
        <v>44630</v>
      </c>
      <c r="AA2671" t="s">
        <v>44631</v>
      </c>
      <c r="AB2671" t="s">
        <v>44632</v>
      </c>
      <c r="AC2671" t="s">
        <v>74</v>
      </c>
      <c r="AD2671" t="s">
        <v>74</v>
      </c>
      <c r="AE2671" t="s">
        <v>74</v>
      </c>
      <c r="AF2671" t="s">
        <v>74</v>
      </c>
      <c r="AG2671">
        <v>44</v>
      </c>
      <c r="AH2671">
        <v>8</v>
      </c>
      <c r="AI2671">
        <v>10</v>
      </c>
      <c r="AJ2671">
        <v>0</v>
      </c>
      <c r="AK2671">
        <v>9</v>
      </c>
      <c r="AL2671" t="s">
        <v>332</v>
      </c>
      <c r="AM2671" t="s">
        <v>333</v>
      </c>
      <c r="AN2671" t="s">
        <v>334</v>
      </c>
      <c r="AO2671" t="s">
        <v>1179</v>
      </c>
      <c r="AP2671" t="s">
        <v>1180</v>
      </c>
      <c r="AQ2671" t="s">
        <v>74</v>
      </c>
      <c r="AR2671" t="s">
        <v>1181</v>
      </c>
      <c r="AS2671" t="s">
        <v>1182</v>
      </c>
      <c r="AT2671" t="s">
        <v>1427</v>
      </c>
      <c r="AU2671">
        <v>2024</v>
      </c>
      <c r="AV2671">
        <v>25</v>
      </c>
      <c r="AW2671">
        <v>1</v>
      </c>
      <c r="AX2671" t="s">
        <v>74</v>
      </c>
      <c r="AY2671" t="s">
        <v>74</v>
      </c>
      <c r="AZ2671" t="s">
        <v>441</v>
      </c>
      <c r="BA2671" t="s">
        <v>74</v>
      </c>
      <c r="BB2671">
        <v>142</v>
      </c>
      <c r="BC2671">
        <v>154</v>
      </c>
      <c r="BD2671" t="s">
        <v>74</v>
      </c>
      <c r="BE2671" t="s">
        <v>44633</v>
      </c>
      <c r="BF2671" t="str">
        <f>HYPERLINK("http://dx.doi.org/10.1080/15228916.2022.2064677","http://dx.doi.org/10.1080/15228916.2022.2064677")</f>
        <v>http://dx.doi.org/10.1080/15228916.2022.2064677</v>
      </c>
      <c r="BG2671" t="s">
        <v>74</v>
      </c>
      <c r="BH2671" t="s">
        <v>12980</v>
      </c>
      <c r="BI2671">
        <v>13</v>
      </c>
      <c r="BJ2671" t="s">
        <v>418</v>
      </c>
      <c r="BK2671" t="s">
        <v>313</v>
      </c>
      <c r="BL2671" t="s">
        <v>100</v>
      </c>
      <c r="BM2671" t="s">
        <v>44634</v>
      </c>
      <c r="BN2671" t="s">
        <v>74</v>
      </c>
      <c r="BO2671" t="s">
        <v>74</v>
      </c>
      <c r="BP2671" t="s">
        <v>74</v>
      </c>
      <c r="BQ2671" t="s">
        <v>74</v>
      </c>
      <c r="BR2671" t="s">
        <v>102</v>
      </c>
      <c r="BS2671" t="s">
        <v>44635</v>
      </c>
      <c r="BT2671" t="str">
        <f>HYPERLINK("https%3A%2F%2Fwww.webofscience.com%2Fwos%2Fwoscc%2Ffull-record%2FWOS:000784073000001","View Full Record in Web of Science")</f>
        <v>View Full Record in Web of Science</v>
      </c>
    </row>
    <row r="2672" spans="1:72" x14ac:dyDescent="0.25">
      <c r="A2672" t="s">
        <v>72</v>
      </c>
      <c r="B2672" t="s">
        <v>24531</v>
      </c>
      <c r="C2672" t="s">
        <v>74</v>
      </c>
      <c r="D2672" t="s">
        <v>74</v>
      </c>
      <c r="E2672" t="s">
        <v>74</v>
      </c>
      <c r="F2672" t="s">
        <v>24530</v>
      </c>
      <c r="G2672" t="s">
        <v>74</v>
      </c>
      <c r="H2672" t="s">
        <v>74</v>
      </c>
      <c r="I2672" t="s">
        <v>44636</v>
      </c>
      <c r="J2672" t="s">
        <v>246</v>
      </c>
      <c r="K2672" t="s">
        <v>74</v>
      </c>
      <c r="L2672" t="s">
        <v>74</v>
      </c>
      <c r="M2672" t="s">
        <v>78</v>
      </c>
      <c r="N2672" t="s">
        <v>79</v>
      </c>
      <c r="O2672" t="s">
        <v>74</v>
      </c>
      <c r="P2672" t="s">
        <v>74</v>
      </c>
      <c r="Q2672" t="s">
        <v>74</v>
      </c>
      <c r="R2672" t="s">
        <v>74</v>
      </c>
      <c r="S2672" t="s">
        <v>74</v>
      </c>
      <c r="T2672" t="s">
        <v>44637</v>
      </c>
      <c r="U2672" t="s">
        <v>23954</v>
      </c>
      <c r="V2672" t="s">
        <v>44638</v>
      </c>
      <c r="W2672" t="s">
        <v>44639</v>
      </c>
      <c r="X2672" t="s">
        <v>44640</v>
      </c>
      <c r="Y2672" t="s">
        <v>44641</v>
      </c>
      <c r="Z2672" t="s">
        <v>44642</v>
      </c>
      <c r="AA2672" t="s">
        <v>44643</v>
      </c>
      <c r="AB2672" t="s">
        <v>44644</v>
      </c>
      <c r="AC2672" t="s">
        <v>44645</v>
      </c>
      <c r="AD2672" t="s">
        <v>44646</v>
      </c>
      <c r="AE2672" t="s">
        <v>44647</v>
      </c>
      <c r="AF2672" t="s">
        <v>74</v>
      </c>
      <c r="AG2672">
        <v>31</v>
      </c>
      <c r="AH2672">
        <v>8</v>
      </c>
      <c r="AI2672">
        <v>13</v>
      </c>
      <c r="AJ2672">
        <v>1</v>
      </c>
      <c r="AK2672">
        <v>9</v>
      </c>
      <c r="AL2672" t="s">
        <v>259</v>
      </c>
      <c r="AM2672" t="s">
        <v>260</v>
      </c>
      <c r="AN2672" t="s">
        <v>261</v>
      </c>
      <c r="AO2672" t="s">
        <v>262</v>
      </c>
      <c r="AP2672" t="s">
        <v>263</v>
      </c>
      <c r="AQ2672" t="s">
        <v>74</v>
      </c>
      <c r="AR2672" t="s">
        <v>264</v>
      </c>
      <c r="AS2672" t="s">
        <v>265</v>
      </c>
      <c r="AT2672" t="s">
        <v>605</v>
      </c>
      <c r="AU2672">
        <v>2023</v>
      </c>
      <c r="AV2672">
        <v>52</v>
      </c>
      <c r="AW2672" t="s">
        <v>74</v>
      </c>
      <c r="AX2672" t="s">
        <v>74</v>
      </c>
      <c r="AY2672" t="s">
        <v>74</v>
      </c>
      <c r="AZ2672" t="s">
        <v>74</v>
      </c>
      <c r="BA2672" t="s">
        <v>74</v>
      </c>
      <c r="BB2672" t="s">
        <v>74</v>
      </c>
      <c r="BC2672" t="s">
        <v>74</v>
      </c>
      <c r="BD2672">
        <v>103368</v>
      </c>
      <c r="BE2672" t="s">
        <v>44648</v>
      </c>
      <c r="BF2672" t="str">
        <f>HYPERLINK("http://dx.doi.org/10.1016/j.frl.2022.103368","http://dx.doi.org/10.1016/j.frl.2022.103368")</f>
        <v>http://dx.doi.org/10.1016/j.frl.2022.103368</v>
      </c>
      <c r="BG2672" t="s">
        <v>74</v>
      </c>
      <c r="BH2672" t="s">
        <v>9145</v>
      </c>
      <c r="BI2672">
        <v>7</v>
      </c>
      <c r="BJ2672" t="s">
        <v>268</v>
      </c>
      <c r="BK2672" t="s">
        <v>99</v>
      </c>
      <c r="BL2672" t="s">
        <v>100</v>
      </c>
      <c r="BM2672" t="s">
        <v>44649</v>
      </c>
      <c r="BN2672" t="s">
        <v>74</v>
      </c>
      <c r="BO2672" t="s">
        <v>74</v>
      </c>
      <c r="BP2672" t="s">
        <v>74</v>
      </c>
      <c r="BQ2672" t="s">
        <v>74</v>
      </c>
      <c r="BR2672" t="s">
        <v>102</v>
      </c>
      <c r="BS2672" t="s">
        <v>44650</v>
      </c>
      <c r="BT2672" t="str">
        <f>HYPERLINK("https%3A%2F%2Fwww.webofscience.com%2Fwos%2Fwoscc%2Ffull-record%2FWOS:000948953300001","View Full Record in Web of Science")</f>
        <v>View Full Record in Web of Science</v>
      </c>
    </row>
    <row r="2673" spans="1:72" x14ac:dyDescent="0.25">
      <c r="A2673" t="s">
        <v>72</v>
      </c>
      <c r="B2673" t="s">
        <v>20673</v>
      </c>
      <c r="C2673" t="s">
        <v>74</v>
      </c>
      <c r="D2673" t="s">
        <v>74</v>
      </c>
      <c r="E2673" t="s">
        <v>74</v>
      </c>
      <c r="F2673" t="s">
        <v>20672</v>
      </c>
      <c r="G2673" t="s">
        <v>74</v>
      </c>
      <c r="H2673" t="s">
        <v>74</v>
      </c>
      <c r="I2673" t="s">
        <v>44651</v>
      </c>
      <c r="J2673" t="s">
        <v>4956</v>
      </c>
      <c r="K2673" t="s">
        <v>74</v>
      </c>
      <c r="L2673" t="s">
        <v>74</v>
      </c>
      <c r="M2673" t="s">
        <v>78</v>
      </c>
      <c r="N2673" t="s">
        <v>79</v>
      </c>
      <c r="O2673" t="s">
        <v>74</v>
      </c>
      <c r="P2673" t="s">
        <v>74</v>
      </c>
      <c r="Q2673" t="s">
        <v>74</v>
      </c>
      <c r="R2673" t="s">
        <v>74</v>
      </c>
      <c r="S2673" t="s">
        <v>74</v>
      </c>
      <c r="T2673" t="s">
        <v>44652</v>
      </c>
      <c r="U2673" t="s">
        <v>44653</v>
      </c>
      <c r="V2673" t="s">
        <v>44654</v>
      </c>
      <c r="W2673" t="s">
        <v>44655</v>
      </c>
      <c r="X2673" t="s">
        <v>17596</v>
      </c>
      <c r="Y2673" t="s">
        <v>44656</v>
      </c>
      <c r="Z2673" t="s">
        <v>44657</v>
      </c>
      <c r="AA2673" t="s">
        <v>20662</v>
      </c>
      <c r="AB2673" t="s">
        <v>20661</v>
      </c>
      <c r="AC2673" t="s">
        <v>74</v>
      </c>
      <c r="AD2673" t="s">
        <v>74</v>
      </c>
      <c r="AE2673" t="s">
        <v>74</v>
      </c>
      <c r="AF2673" t="s">
        <v>74</v>
      </c>
      <c r="AG2673">
        <v>86</v>
      </c>
      <c r="AH2673">
        <v>31</v>
      </c>
      <c r="AI2673">
        <v>41</v>
      </c>
      <c r="AJ2673">
        <v>2</v>
      </c>
      <c r="AK2673">
        <v>43</v>
      </c>
      <c r="AL2673" t="s">
        <v>230</v>
      </c>
      <c r="AM2673" t="s">
        <v>231</v>
      </c>
      <c r="AN2673" t="s">
        <v>232</v>
      </c>
      <c r="AO2673" t="s">
        <v>4966</v>
      </c>
      <c r="AP2673" t="s">
        <v>74</v>
      </c>
      <c r="AQ2673" t="s">
        <v>74</v>
      </c>
      <c r="AR2673" t="s">
        <v>4968</v>
      </c>
      <c r="AS2673" t="s">
        <v>4969</v>
      </c>
      <c r="AT2673" t="s">
        <v>124</v>
      </c>
      <c r="AU2673">
        <v>2020</v>
      </c>
      <c r="AV2673">
        <v>136</v>
      </c>
      <c r="AW2673" t="s">
        <v>74</v>
      </c>
      <c r="AX2673" t="s">
        <v>74</v>
      </c>
      <c r="AY2673" t="s">
        <v>74</v>
      </c>
      <c r="AZ2673" t="s">
        <v>74</v>
      </c>
      <c r="BA2673" t="s">
        <v>74</v>
      </c>
      <c r="BB2673" t="s">
        <v>74</v>
      </c>
      <c r="BC2673" t="s">
        <v>74</v>
      </c>
      <c r="BD2673">
        <v>105130</v>
      </c>
      <c r="BE2673" t="s">
        <v>44658</v>
      </c>
      <c r="BF2673" t="str">
        <f>HYPERLINK("http://dx.doi.org/10.1016/j.worlddev.2020.105130","http://dx.doi.org/10.1016/j.worlddev.2020.105130")</f>
        <v>http://dx.doi.org/10.1016/j.worlddev.2020.105130</v>
      </c>
      <c r="BG2673" t="s">
        <v>74</v>
      </c>
      <c r="BH2673" t="s">
        <v>74</v>
      </c>
      <c r="BI2673">
        <v>26</v>
      </c>
      <c r="BJ2673" t="s">
        <v>701</v>
      </c>
      <c r="BK2673" t="s">
        <v>99</v>
      </c>
      <c r="BL2673" t="s">
        <v>702</v>
      </c>
      <c r="BM2673" t="s">
        <v>44659</v>
      </c>
      <c r="BN2673" t="s">
        <v>74</v>
      </c>
      <c r="BO2673" t="s">
        <v>18646</v>
      </c>
      <c r="BP2673" t="s">
        <v>74</v>
      </c>
      <c r="BQ2673" t="s">
        <v>74</v>
      </c>
      <c r="BR2673" t="s">
        <v>102</v>
      </c>
      <c r="BS2673" t="s">
        <v>44660</v>
      </c>
      <c r="BT2673" t="str">
        <f>HYPERLINK("https%3A%2F%2Fwww.webofscience.com%2Fwos%2Fwoscc%2Ffull-record%2FWOS:000572442200024","View Full Record in Web of Science")</f>
        <v>View Full Record in Web of Science</v>
      </c>
    </row>
    <row r="2674" spans="1:72" x14ac:dyDescent="0.25">
      <c r="A2674" t="s">
        <v>72</v>
      </c>
      <c r="B2674" t="s">
        <v>44661</v>
      </c>
      <c r="C2674" t="s">
        <v>74</v>
      </c>
      <c r="D2674" t="s">
        <v>74</v>
      </c>
      <c r="E2674" t="s">
        <v>74</v>
      </c>
      <c r="F2674" t="s">
        <v>44662</v>
      </c>
      <c r="G2674" t="s">
        <v>74</v>
      </c>
      <c r="H2674" t="s">
        <v>74</v>
      </c>
      <c r="I2674" t="s">
        <v>44663</v>
      </c>
      <c r="J2674" t="s">
        <v>44664</v>
      </c>
      <c r="K2674" t="s">
        <v>74</v>
      </c>
      <c r="L2674" t="s">
        <v>74</v>
      </c>
      <c r="M2674" t="s">
        <v>78</v>
      </c>
      <c r="N2674" t="s">
        <v>79</v>
      </c>
      <c r="O2674" t="s">
        <v>74</v>
      </c>
      <c r="P2674" t="s">
        <v>74</v>
      </c>
      <c r="Q2674" t="s">
        <v>74</v>
      </c>
      <c r="R2674" t="s">
        <v>74</v>
      </c>
      <c r="S2674" t="s">
        <v>74</v>
      </c>
      <c r="T2674" t="s">
        <v>44665</v>
      </c>
      <c r="U2674" t="s">
        <v>7318</v>
      </c>
      <c r="V2674" t="s">
        <v>44666</v>
      </c>
      <c r="W2674" t="s">
        <v>44667</v>
      </c>
      <c r="X2674" t="s">
        <v>44668</v>
      </c>
      <c r="Y2674" t="s">
        <v>44669</v>
      </c>
      <c r="Z2674" t="s">
        <v>44670</v>
      </c>
      <c r="AA2674" t="s">
        <v>44671</v>
      </c>
      <c r="AB2674" t="s">
        <v>44672</v>
      </c>
      <c r="AC2674" t="s">
        <v>74</v>
      </c>
      <c r="AD2674" t="s">
        <v>74</v>
      </c>
      <c r="AE2674" t="s">
        <v>74</v>
      </c>
      <c r="AF2674" t="s">
        <v>74</v>
      </c>
      <c r="AG2674">
        <v>30</v>
      </c>
      <c r="AH2674">
        <v>4</v>
      </c>
      <c r="AI2674">
        <v>5</v>
      </c>
      <c r="AJ2674">
        <v>0</v>
      </c>
      <c r="AK2674">
        <v>15</v>
      </c>
      <c r="AL2674" t="s">
        <v>332</v>
      </c>
      <c r="AM2674" t="s">
        <v>333</v>
      </c>
      <c r="AN2674" t="s">
        <v>334</v>
      </c>
      <c r="AO2674" t="s">
        <v>44673</v>
      </c>
      <c r="AP2674" t="s">
        <v>44674</v>
      </c>
      <c r="AQ2674" t="s">
        <v>74</v>
      </c>
      <c r="AR2674" t="s">
        <v>44675</v>
      </c>
      <c r="AS2674" t="s">
        <v>44676</v>
      </c>
      <c r="AT2674" t="s">
        <v>74</v>
      </c>
      <c r="AU2674">
        <v>2019</v>
      </c>
      <c r="AV2674">
        <v>38</v>
      </c>
      <c r="AW2674">
        <v>2</v>
      </c>
      <c r="AX2674" t="s">
        <v>74</v>
      </c>
      <c r="AY2674" t="s">
        <v>74</v>
      </c>
      <c r="AZ2674" t="s">
        <v>74</v>
      </c>
      <c r="BA2674" t="s">
        <v>74</v>
      </c>
      <c r="BB2674">
        <v>184</v>
      </c>
      <c r="BC2674">
        <v>197</v>
      </c>
      <c r="BD2674" t="s">
        <v>74</v>
      </c>
      <c r="BE2674" t="s">
        <v>44677</v>
      </c>
      <c r="BF2674" t="str">
        <f>HYPERLINK("http://dx.doi.org/10.1080/02601370.2019.1579262","http://dx.doi.org/10.1080/02601370.2019.1579262")</f>
        <v>http://dx.doi.org/10.1080/02601370.2019.1579262</v>
      </c>
      <c r="BG2674" t="s">
        <v>74</v>
      </c>
      <c r="BH2674" t="s">
        <v>74</v>
      </c>
      <c r="BI2674">
        <v>14</v>
      </c>
      <c r="BJ2674" t="s">
        <v>4031</v>
      </c>
      <c r="BK2674" t="s">
        <v>313</v>
      </c>
      <c r="BL2674" t="s">
        <v>4031</v>
      </c>
      <c r="BM2674" t="s">
        <v>44678</v>
      </c>
      <c r="BN2674" t="s">
        <v>74</v>
      </c>
      <c r="BO2674" t="s">
        <v>74</v>
      </c>
      <c r="BP2674" t="s">
        <v>74</v>
      </c>
      <c r="BQ2674" t="s">
        <v>74</v>
      </c>
      <c r="BR2674" t="s">
        <v>102</v>
      </c>
      <c r="BS2674" t="s">
        <v>44679</v>
      </c>
      <c r="BT2674" t="str">
        <f>HYPERLINK("https%3A%2F%2Fwww.webofscience.com%2Fwos%2Fwoscc%2Ffull-record%2FWOS:000470188900006","View Full Record in Web of Science")</f>
        <v>View Full Record in Web of Science</v>
      </c>
    </row>
    <row r="2675" spans="1:72" x14ac:dyDescent="0.25">
      <c r="A2675" t="s">
        <v>72</v>
      </c>
      <c r="B2675" t="s">
        <v>5075</v>
      </c>
      <c r="C2675" t="s">
        <v>74</v>
      </c>
      <c r="D2675" t="s">
        <v>74</v>
      </c>
      <c r="E2675" t="s">
        <v>74</v>
      </c>
      <c r="F2675" t="s">
        <v>5076</v>
      </c>
      <c r="G2675" t="s">
        <v>74</v>
      </c>
      <c r="H2675" t="s">
        <v>74</v>
      </c>
      <c r="I2675" t="s">
        <v>44680</v>
      </c>
      <c r="J2675" t="s">
        <v>1290</v>
      </c>
      <c r="K2675" t="s">
        <v>74</v>
      </c>
      <c r="L2675" t="s">
        <v>74</v>
      </c>
      <c r="M2675" t="s">
        <v>78</v>
      </c>
      <c r="N2675" t="s">
        <v>79</v>
      </c>
      <c r="O2675" t="s">
        <v>74</v>
      </c>
      <c r="P2675" t="s">
        <v>74</v>
      </c>
      <c r="Q2675" t="s">
        <v>74</v>
      </c>
      <c r="R2675" t="s">
        <v>74</v>
      </c>
      <c r="S2675" t="s">
        <v>74</v>
      </c>
      <c r="T2675" t="s">
        <v>44681</v>
      </c>
      <c r="U2675" t="s">
        <v>44682</v>
      </c>
      <c r="V2675" t="s">
        <v>44683</v>
      </c>
      <c r="W2675" t="s">
        <v>44684</v>
      </c>
      <c r="X2675" t="s">
        <v>3960</v>
      </c>
      <c r="Y2675" t="s">
        <v>44685</v>
      </c>
      <c r="Z2675" t="s">
        <v>5085</v>
      </c>
      <c r="AA2675" t="s">
        <v>5086</v>
      </c>
      <c r="AB2675" t="s">
        <v>44686</v>
      </c>
      <c r="AC2675" t="s">
        <v>74</v>
      </c>
      <c r="AD2675" t="s">
        <v>74</v>
      </c>
      <c r="AE2675" t="s">
        <v>74</v>
      </c>
      <c r="AF2675" t="s">
        <v>74</v>
      </c>
      <c r="AG2675">
        <v>62</v>
      </c>
      <c r="AH2675">
        <v>7</v>
      </c>
      <c r="AI2675">
        <v>13</v>
      </c>
      <c r="AJ2675">
        <v>1</v>
      </c>
      <c r="AK2675">
        <v>16</v>
      </c>
      <c r="AL2675" t="s">
        <v>575</v>
      </c>
      <c r="AM2675" t="s">
        <v>576</v>
      </c>
      <c r="AN2675" t="s">
        <v>3242</v>
      </c>
      <c r="AO2675" t="s">
        <v>1299</v>
      </c>
      <c r="AP2675" t="s">
        <v>74</v>
      </c>
      <c r="AQ2675" t="s">
        <v>74</v>
      </c>
      <c r="AR2675" t="s">
        <v>1300</v>
      </c>
      <c r="AS2675" t="s">
        <v>1301</v>
      </c>
      <c r="AT2675" t="s">
        <v>698</v>
      </c>
      <c r="AU2675">
        <v>2022</v>
      </c>
      <c r="AV2675">
        <v>10</v>
      </c>
      <c r="AW2675">
        <v>3</v>
      </c>
      <c r="AX2675" t="s">
        <v>74</v>
      </c>
      <c r="AY2675" t="s">
        <v>74</v>
      </c>
      <c r="AZ2675" t="s">
        <v>74</v>
      </c>
      <c r="BA2675" t="s">
        <v>74</v>
      </c>
      <c r="BB2675" t="s">
        <v>74</v>
      </c>
      <c r="BC2675" t="s">
        <v>74</v>
      </c>
      <c r="BD2675">
        <v>82</v>
      </c>
      <c r="BE2675" t="s">
        <v>44687</v>
      </c>
      <c r="BF2675" t="str">
        <f>HYPERLINK("http://dx.doi.org/10.3390/ijfs10030082","http://dx.doi.org/10.3390/ijfs10030082")</f>
        <v>http://dx.doi.org/10.3390/ijfs10030082</v>
      </c>
      <c r="BG2675" t="s">
        <v>74</v>
      </c>
      <c r="BH2675" t="s">
        <v>74</v>
      </c>
      <c r="BI2675">
        <v>15</v>
      </c>
      <c r="BJ2675" t="s">
        <v>268</v>
      </c>
      <c r="BK2675" t="s">
        <v>313</v>
      </c>
      <c r="BL2675" t="s">
        <v>100</v>
      </c>
      <c r="BM2675" t="s">
        <v>44688</v>
      </c>
      <c r="BN2675" t="s">
        <v>74</v>
      </c>
      <c r="BO2675" t="s">
        <v>916</v>
      </c>
      <c r="BP2675" t="s">
        <v>74</v>
      </c>
      <c r="BQ2675" t="s">
        <v>74</v>
      </c>
      <c r="BR2675" t="s">
        <v>102</v>
      </c>
      <c r="BS2675" t="s">
        <v>44689</v>
      </c>
      <c r="BT2675" t="str">
        <f>HYPERLINK("https%3A%2F%2Fwww.webofscience.com%2Fwos%2Fwoscc%2Ffull-record%2FWOS:000858373000001","View Full Record in Web of Science")</f>
        <v>View Full Record in Web of Science</v>
      </c>
    </row>
    <row r="2676" spans="1:72" x14ac:dyDescent="0.25">
      <c r="A2676" t="s">
        <v>72</v>
      </c>
      <c r="B2676" t="s">
        <v>44690</v>
      </c>
      <c r="C2676" t="s">
        <v>74</v>
      </c>
      <c r="D2676" t="s">
        <v>74</v>
      </c>
      <c r="E2676" t="s">
        <v>74</v>
      </c>
      <c r="F2676" t="s">
        <v>44691</v>
      </c>
      <c r="G2676" t="s">
        <v>74</v>
      </c>
      <c r="H2676" t="s">
        <v>74</v>
      </c>
      <c r="I2676" t="s">
        <v>44692</v>
      </c>
      <c r="J2676" t="s">
        <v>4306</v>
      </c>
      <c r="K2676" t="s">
        <v>74</v>
      </c>
      <c r="L2676" t="s">
        <v>74</v>
      </c>
      <c r="M2676" t="s">
        <v>78</v>
      </c>
      <c r="N2676" t="s">
        <v>79</v>
      </c>
      <c r="O2676" t="s">
        <v>74</v>
      </c>
      <c r="P2676" t="s">
        <v>74</v>
      </c>
      <c r="Q2676" t="s">
        <v>74</v>
      </c>
      <c r="R2676" t="s">
        <v>74</v>
      </c>
      <c r="S2676" t="s">
        <v>74</v>
      </c>
      <c r="T2676" t="s">
        <v>44693</v>
      </c>
      <c r="U2676" t="s">
        <v>44694</v>
      </c>
      <c r="V2676" t="s">
        <v>44695</v>
      </c>
      <c r="W2676" t="s">
        <v>44696</v>
      </c>
      <c r="X2676" t="s">
        <v>44697</v>
      </c>
      <c r="Y2676" t="s">
        <v>44698</v>
      </c>
      <c r="Z2676" t="s">
        <v>44699</v>
      </c>
      <c r="AA2676" t="s">
        <v>28908</v>
      </c>
      <c r="AB2676" t="s">
        <v>44700</v>
      </c>
      <c r="AC2676" t="s">
        <v>74</v>
      </c>
      <c r="AD2676" t="s">
        <v>74</v>
      </c>
      <c r="AE2676" t="s">
        <v>74</v>
      </c>
      <c r="AF2676" t="s">
        <v>74</v>
      </c>
      <c r="AG2676">
        <v>102</v>
      </c>
      <c r="AH2676">
        <v>33</v>
      </c>
      <c r="AI2676">
        <v>38</v>
      </c>
      <c r="AJ2676">
        <v>7</v>
      </c>
      <c r="AK2676">
        <v>60</v>
      </c>
      <c r="AL2676" t="s">
        <v>503</v>
      </c>
      <c r="AM2676" t="s">
        <v>151</v>
      </c>
      <c r="AN2676" t="s">
        <v>504</v>
      </c>
      <c r="AO2676" t="s">
        <v>4315</v>
      </c>
      <c r="AP2676" t="s">
        <v>4316</v>
      </c>
      <c r="AQ2676" t="s">
        <v>74</v>
      </c>
      <c r="AR2676" t="s">
        <v>4317</v>
      </c>
      <c r="AS2676" t="s">
        <v>4318</v>
      </c>
      <c r="AT2676" t="s">
        <v>208</v>
      </c>
      <c r="AU2676">
        <v>2023</v>
      </c>
      <c r="AV2676">
        <v>186</v>
      </c>
      <c r="AW2676" t="s">
        <v>74</v>
      </c>
      <c r="AX2676" t="s">
        <v>3828</v>
      </c>
      <c r="AY2676" t="s">
        <v>74</v>
      </c>
      <c r="AZ2676" t="s">
        <v>74</v>
      </c>
      <c r="BA2676" t="s">
        <v>74</v>
      </c>
      <c r="BB2676" t="s">
        <v>74</v>
      </c>
      <c r="BC2676" t="s">
        <v>74</v>
      </c>
      <c r="BD2676">
        <v>122123</v>
      </c>
      <c r="BE2676" t="s">
        <v>44701</v>
      </c>
      <c r="BF2676" t="str">
        <f>HYPERLINK("http://dx.doi.org/10.1016/j.techfore.2022.122123","http://dx.doi.org/10.1016/j.techfore.2022.122123")</f>
        <v>http://dx.doi.org/10.1016/j.techfore.2022.122123</v>
      </c>
      <c r="BG2676" t="s">
        <v>74</v>
      </c>
      <c r="BH2676" t="s">
        <v>3050</v>
      </c>
      <c r="BI2676">
        <v>17</v>
      </c>
      <c r="BJ2676" t="s">
        <v>1627</v>
      </c>
      <c r="BK2676" t="s">
        <v>99</v>
      </c>
      <c r="BL2676" t="s">
        <v>1406</v>
      </c>
      <c r="BM2676" t="s">
        <v>44702</v>
      </c>
      <c r="BN2676" t="s">
        <v>74</v>
      </c>
      <c r="BO2676" t="s">
        <v>74</v>
      </c>
      <c r="BP2676" t="s">
        <v>74</v>
      </c>
      <c r="BQ2676" t="s">
        <v>74</v>
      </c>
      <c r="BR2676" t="s">
        <v>102</v>
      </c>
      <c r="BS2676" t="s">
        <v>44703</v>
      </c>
      <c r="BT2676" t="str">
        <f>HYPERLINK("https%3A%2F%2Fwww.webofscience.com%2Fwos%2Fwoscc%2Ffull-record%2FWOS:000981768200011","View Full Record in Web of Science")</f>
        <v>View Full Record in Web of Science</v>
      </c>
    </row>
    <row r="2677" spans="1:72" x14ac:dyDescent="0.25">
      <c r="A2677" t="s">
        <v>72</v>
      </c>
      <c r="B2677" t="s">
        <v>44704</v>
      </c>
      <c r="C2677" t="s">
        <v>74</v>
      </c>
      <c r="D2677" t="s">
        <v>74</v>
      </c>
      <c r="E2677" t="s">
        <v>74</v>
      </c>
      <c r="F2677" t="s">
        <v>44705</v>
      </c>
      <c r="G2677" t="s">
        <v>74</v>
      </c>
      <c r="H2677" t="s">
        <v>74</v>
      </c>
      <c r="I2677" t="s">
        <v>44706</v>
      </c>
      <c r="J2677" t="s">
        <v>6306</v>
      </c>
      <c r="K2677" t="s">
        <v>74</v>
      </c>
      <c r="L2677" t="s">
        <v>74</v>
      </c>
      <c r="M2677" t="s">
        <v>78</v>
      </c>
      <c r="N2677" t="s">
        <v>79</v>
      </c>
      <c r="O2677" t="s">
        <v>74</v>
      </c>
      <c r="P2677" t="s">
        <v>74</v>
      </c>
      <c r="Q2677" t="s">
        <v>74</v>
      </c>
      <c r="R2677" t="s">
        <v>74</v>
      </c>
      <c r="S2677" t="s">
        <v>74</v>
      </c>
      <c r="T2677" t="s">
        <v>44707</v>
      </c>
      <c r="U2677" t="s">
        <v>74</v>
      </c>
      <c r="V2677" t="s">
        <v>44708</v>
      </c>
      <c r="W2677" t="s">
        <v>44709</v>
      </c>
      <c r="X2677" t="s">
        <v>6311</v>
      </c>
      <c r="Y2677" t="s">
        <v>44710</v>
      </c>
      <c r="Z2677" t="s">
        <v>44711</v>
      </c>
      <c r="AA2677" t="s">
        <v>44712</v>
      </c>
      <c r="AB2677" t="s">
        <v>44713</v>
      </c>
      <c r="AC2677" t="s">
        <v>44714</v>
      </c>
      <c r="AD2677" t="s">
        <v>44715</v>
      </c>
      <c r="AE2677" t="s">
        <v>44716</v>
      </c>
      <c r="AF2677" t="s">
        <v>74</v>
      </c>
      <c r="AG2677">
        <v>98</v>
      </c>
      <c r="AH2677">
        <v>2</v>
      </c>
      <c r="AI2677">
        <v>2</v>
      </c>
      <c r="AJ2677">
        <v>6</v>
      </c>
      <c r="AK2677">
        <v>6</v>
      </c>
      <c r="AL2677" t="s">
        <v>575</v>
      </c>
      <c r="AM2677" t="s">
        <v>576</v>
      </c>
      <c r="AN2677" t="s">
        <v>577</v>
      </c>
      <c r="AO2677" t="s">
        <v>74</v>
      </c>
      <c r="AP2677" t="s">
        <v>6319</v>
      </c>
      <c r="AQ2677" t="s">
        <v>74</v>
      </c>
      <c r="AR2677" t="s">
        <v>6306</v>
      </c>
      <c r="AS2677" t="s">
        <v>6320</v>
      </c>
      <c r="AT2677" t="s">
        <v>7902</v>
      </c>
      <c r="AU2677">
        <v>2025</v>
      </c>
      <c r="AV2677">
        <v>13</v>
      </c>
      <c r="AW2677">
        <v>8</v>
      </c>
      <c r="AX2677" t="s">
        <v>74</v>
      </c>
      <c r="AY2677" t="s">
        <v>74</v>
      </c>
      <c r="AZ2677" t="s">
        <v>74</v>
      </c>
      <c r="BA2677" t="s">
        <v>74</v>
      </c>
      <c r="BB2677" t="s">
        <v>74</v>
      </c>
      <c r="BC2677" t="s">
        <v>74</v>
      </c>
      <c r="BD2677">
        <v>149</v>
      </c>
      <c r="BE2677" t="s">
        <v>44717</v>
      </c>
      <c r="BF2677" t="str">
        <f>HYPERLINK("http://dx.doi.org/10.3390/risks13080149","http://dx.doi.org/10.3390/risks13080149")</f>
        <v>http://dx.doi.org/10.3390/risks13080149</v>
      </c>
      <c r="BG2677" t="s">
        <v>74</v>
      </c>
      <c r="BH2677" t="s">
        <v>74</v>
      </c>
      <c r="BI2677">
        <v>26</v>
      </c>
      <c r="BJ2677" t="s">
        <v>268</v>
      </c>
      <c r="BK2677" t="s">
        <v>313</v>
      </c>
      <c r="BL2677" t="s">
        <v>100</v>
      </c>
      <c r="BM2677" t="s">
        <v>44718</v>
      </c>
      <c r="BN2677" t="s">
        <v>74</v>
      </c>
      <c r="BO2677" t="s">
        <v>212</v>
      </c>
      <c r="BP2677" t="s">
        <v>74</v>
      </c>
      <c r="BQ2677" t="s">
        <v>74</v>
      </c>
      <c r="BR2677" t="s">
        <v>102</v>
      </c>
      <c r="BS2677" t="s">
        <v>44719</v>
      </c>
      <c r="BT2677" t="str">
        <f>HYPERLINK("https%3A%2F%2Fwww.webofscience.com%2Fwos%2Fwoscc%2Ffull-record%2FWOS:001558507600001","View Full Record in Web of Science")</f>
        <v>View Full Record in Web of Science</v>
      </c>
    </row>
    <row r="2678" spans="1:72" x14ac:dyDescent="0.25">
      <c r="A2678" t="s">
        <v>72</v>
      </c>
      <c r="B2678" t="s">
        <v>44720</v>
      </c>
      <c r="C2678" t="s">
        <v>74</v>
      </c>
      <c r="D2678" t="s">
        <v>74</v>
      </c>
      <c r="E2678" t="s">
        <v>74</v>
      </c>
      <c r="F2678" t="s">
        <v>44721</v>
      </c>
      <c r="G2678" t="s">
        <v>74</v>
      </c>
      <c r="H2678" t="s">
        <v>74</v>
      </c>
      <c r="I2678" t="s">
        <v>44722</v>
      </c>
      <c r="J2678" t="s">
        <v>3439</v>
      </c>
      <c r="K2678" t="s">
        <v>74</v>
      </c>
      <c r="L2678" t="s">
        <v>74</v>
      </c>
      <c r="M2678" t="s">
        <v>78</v>
      </c>
      <c r="N2678" t="s">
        <v>79</v>
      </c>
      <c r="O2678" t="s">
        <v>74</v>
      </c>
      <c r="P2678" t="s">
        <v>74</v>
      </c>
      <c r="Q2678" t="s">
        <v>74</v>
      </c>
      <c r="R2678" t="s">
        <v>74</v>
      </c>
      <c r="S2678" t="s">
        <v>74</v>
      </c>
      <c r="T2678" t="s">
        <v>44723</v>
      </c>
      <c r="U2678" t="s">
        <v>44724</v>
      </c>
      <c r="V2678" t="s">
        <v>44725</v>
      </c>
      <c r="W2678" t="s">
        <v>44726</v>
      </c>
      <c r="X2678" t="s">
        <v>74</v>
      </c>
      <c r="Y2678" t="s">
        <v>44727</v>
      </c>
      <c r="Z2678" t="s">
        <v>44728</v>
      </c>
      <c r="AA2678" t="s">
        <v>74</v>
      </c>
      <c r="AB2678" t="s">
        <v>44729</v>
      </c>
      <c r="AC2678" t="s">
        <v>74</v>
      </c>
      <c r="AD2678" t="s">
        <v>74</v>
      </c>
      <c r="AE2678" t="s">
        <v>74</v>
      </c>
      <c r="AF2678" t="s">
        <v>74</v>
      </c>
      <c r="AG2678">
        <v>62</v>
      </c>
      <c r="AH2678">
        <v>3</v>
      </c>
      <c r="AI2678">
        <v>8</v>
      </c>
      <c r="AJ2678">
        <v>0</v>
      </c>
      <c r="AK2678">
        <v>3</v>
      </c>
      <c r="AL2678" t="s">
        <v>2481</v>
      </c>
      <c r="AM2678" t="s">
        <v>2482</v>
      </c>
      <c r="AN2678" t="s">
        <v>2483</v>
      </c>
      <c r="AO2678" t="s">
        <v>3443</v>
      </c>
      <c r="AP2678" t="s">
        <v>74</v>
      </c>
      <c r="AQ2678" t="s">
        <v>74</v>
      </c>
      <c r="AR2678" t="s">
        <v>3444</v>
      </c>
      <c r="AS2678" t="s">
        <v>3445</v>
      </c>
      <c r="AT2678" t="s">
        <v>2970</v>
      </c>
      <c r="AU2678">
        <v>2024</v>
      </c>
      <c r="AV2678">
        <v>12</v>
      </c>
      <c r="AW2678">
        <v>1</v>
      </c>
      <c r="AX2678" t="s">
        <v>74</v>
      </c>
      <c r="AY2678" t="s">
        <v>74</v>
      </c>
      <c r="AZ2678" t="s">
        <v>74</v>
      </c>
      <c r="BA2678" t="s">
        <v>74</v>
      </c>
      <c r="BB2678" t="s">
        <v>74</v>
      </c>
      <c r="BC2678" t="s">
        <v>74</v>
      </c>
      <c r="BD2678">
        <v>2300924</v>
      </c>
      <c r="BE2678" t="s">
        <v>44730</v>
      </c>
      <c r="BF2678" t="str">
        <f>HYPERLINK("http://dx.doi.org/10.1080/23322039.2023.2300924","http://dx.doi.org/10.1080/23322039.2023.2300924")</f>
        <v>http://dx.doi.org/10.1080/23322039.2023.2300924</v>
      </c>
      <c r="BG2678" t="s">
        <v>74</v>
      </c>
      <c r="BH2678" t="s">
        <v>74</v>
      </c>
      <c r="BI2678">
        <v>18</v>
      </c>
      <c r="BJ2678" t="s">
        <v>291</v>
      </c>
      <c r="BK2678" t="s">
        <v>313</v>
      </c>
      <c r="BL2678" t="s">
        <v>100</v>
      </c>
      <c r="BM2678" t="s">
        <v>44731</v>
      </c>
      <c r="BN2678" t="s">
        <v>74</v>
      </c>
      <c r="BO2678" t="s">
        <v>916</v>
      </c>
      <c r="BP2678" t="s">
        <v>74</v>
      </c>
      <c r="BQ2678" t="s">
        <v>74</v>
      </c>
      <c r="BR2678" t="s">
        <v>102</v>
      </c>
      <c r="BS2678" t="s">
        <v>44732</v>
      </c>
      <c r="BT2678" t="str">
        <f>HYPERLINK("https%3A%2F%2Fwww.webofscience.com%2Fwos%2Fwoscc%2Ffull-record%2FWOS:001151149100001","View Full Record in Web of Science")</f>
        <v>View Full Record in Web of Science</v>
      </c>
    </row>
    <row r="2679" spans="1:72" x14ac:dyDescent="0.25">
      <c r="A2679" t="s">
        <v>72</v>
      </c>
      <c r="B2679" t="s">
        <v>44733</v>
      </c>
      <c r="C2679" t="s">
        <v>74</v>
      </c>
      <c r="D2679" t="s">
        <v>74</v>
      </c>
      <c r="E2679" t="s">
        <v>74</v>
      </c>
      <c r="F2679" t="s">
        <v>44734</v>
      </c>
      <c r="G2679" t="s">
        <v>74</v>
      </c>
      <c r="H2679" t="s">
        <v>74</v>
      </c>
      <c r="I2679" t="s">
        <v>44735</v>
      </c>
      <c r="J2679" t="s">
        <v>515</v>
      </c>
      <c r="K2679" t="s">
        <v>74</v>
      </c>
      <c r="L2679" t="s">
        <v>74</v>
      </c>
      <c r="M2679" t="s">
        <v>78</v>
      </c>
      <c r="N2679" t="s">
        <v>79</v>
      </c>
      <c r="O2679" t="s">
        <v>74</v>
      </c>
      <c r="P2679" t="s">
        <v>74</v>
      </c>
      <c r="Q2679" t="s">
        <v>74</v>
      </c>
      <c r="R2679" t="s">
        <v>74</v>
      </c>
      <c r="S2679" t="s">
        <v>74</v>
      </c>
      <c r="T2679" t="s">
        <v>44736</v>
      </c>
      <c r="U2679" t="s">
        <v>74</v>
      </c>
      <c r="V2679" t="s">
        <v>44737</v>
      </c>
      <c r="W2679" t="s">
        <v>44738</v>
      </c>
      <c r="X2679" t="s">
        <v>74</v>
      </c>
      <c r="Y2679" t="s">
        <v>44739</v>
      </c>
      <c r="Z2679" t="s">
        <v>44740</v>
      </c>
      <c r="AA2679" t="s">
        <v>44741</v>
      </c>
      <c r="AB2679" t="s">
        <v>74</v>
      </c>
      <c r="AC2679" t="s">
        <v>74</v>
      </c>
      <c r="AD2679" t="s">
        <v>74</v>
      </c>
      <c r="AE2679" t="s">
        <v>74</v>
      </c>
      <c r="AF2679" t="s">
        <v>74</v>
      </c>
      <c r="AG2679">
        <v>61</v>
      </c>
      <c r="AH2679">
        <v>19</v>
      </c>
      <c r="AI2679">
        <v>28</v>
      </c>
      <c r="AJ2679">
        <v>1</v>
      </c>
      <c r="AK2679">
        <v>27</v>
      </c>
      <c r="AL2679" t="s">
        <v>230</v>
      </c>
      <c r="AM2679" t="s">
        <v>231</v>
      </c>
      <c r="AN2679" t="s">
        <v>232</v>
      </c>
      <c r="AO2679" t="s">
        <v>528</v>
      </c>
      <c r="AP2679" t="s">
        <v>74</v>
      </c>
      <c r="AQ2679" t="s">
        <v>74</v>
      </c>
      <c r="AR2679" t="s">
        <v>530</v>
      </c>
      <c r="AS2679" t="s">
        <v>531</v>
      </c>
      <c r="AT2679" t="s">
        <v>1159</v>
      </c>
      <c r="AU2679">
        <v>2017</v>
      </c>
      <c r="AV2679">
        <v>55</v>
      </c>
      <c r="AW2679" t="s">
        <v>74</v>
      </c>
      <c r="AX2679" t="s">
        <v>74</v>
      </c>
      <c r="AY2679" t="s">
        <v>74</v>
      </c>
      <c r="AZ2679" t="s">
        <v>74</v>
      </c>
      <c r="BA2679" t="s">
        <v>74</v>
      </c>
      <c r="BB2679">
        <v>157</v>
      </c>
      <c r="BC2679">
        <v>167</v>
      </c>
      <c r="BD2679" t="s">
        <v>74</v>
      </c>
      <c r="BE2679" t="s">
        <v>44742</v>
      </c>
      <c r="BF2679" t="str">
        <f>HYPERLINK("http://dx.doi.org/10.1016/j.jrurstud.2017.08.003","http://dx.doi.org/10.1016/j.jrurstud.2017.08.003")</f>
        <v>http://dx.doi.org/10.1016/j.jrurstud.2017.08.003</v>
      </c>
      <c r="BG2679" t="s">
        <v>74</v>
      </c>
      <c r="BH2679" t="s">
        <v>74</v>
      </c>
      <c r="BI2679">
        <v>11</v>
      </c>
      <c r="BJ2679" t="s">
        <v>533</v>
      </c>
      <c r="BK2679" t="s">
        <v>99</v>
      </c>
      <c r="BL2679" t="s">
        <v>534</v>
      </c>
      <c r="BM2679" t="s">
        <v>44743</v>
      </c>
      <c r="BN2679" t="s">
        <v>74</v>
      </c>
      <c r="BO2679" t="s">
        <v>74</v>
      </c>
      <c r="BP2679" t="s">
        <v>74</v>
      </c>
      <c r="BQ2679" t="s">
        <v>74</v>
      </c>
      <c r="BR2679" t="s">
        <v>102</v>
      </c>
      <c r="BS2679" t="s">
        <v>44744</v>
      </c>
      <c r="BT2679" t="str">
        <f>HYPERLINK("https%3A%2F%2Fwww.webofscience.com%2Fwos%2Fwoscc%2Ffull-record%2FWOS:000413281200014","View Full Record in Web of Science")</f>
        <v>View Full Record in Web of Science</v>
      </c>
    </row>
    <row r="2680" spans="1:72" x14ac:dyDescent="0.25">
      <c r="A2680" t="s">
        <v>72</v>
      </c>
      <c r="B2680" t="s">
        <v>44745</v>
      </c>
      <c r="C2680" t="s">
        <v>74</v>
      </c>
      <c r="D2680" t="s">
        <v>74</v>
      </c>
      <c r="E2680" t="s">
        <v>74</v>
      </c>
      <c r="F2680" t="s">
        <v>44746</v>
      </c>
      <c r="G2680" t="s">
        <v>74</v>
      </c>
      <c r="H2680" t="s">
        <v>74</v>
      </c>
      <c r="I2680" t="s">
        <v>44747</v>
      </c>
      <c r="J2680" t="s">
        <v>27125</v>
      </c>
      <c r="K2680" t="s">
        <v>74</v>
      </c>
      <c r="L2680" t="s">
        <v>74</v>
      </c>
      <c r="M2680" t="s">
        <v>78</v>
      </c>
      <c r="N2680" t="s">
        <v>79</v>
      </c>
      <c r="O2680" t="s">
        <v>74</v>
      </c>
      <c r="P2680" t="s">
        <v>74</v>
      </c>
      <c r="Q2680" t="s">
        <v>74</v>
      </c>
      <c r="R2680" t="s">
        <v>74</v>
      </c>
      <c r="S2680" t="s">
        <v>74</v>
      </c>
      <c r="T2680" t="s">
        <v>44748</v>
      </c>
      <c r="U2680" t="s">
        <v>44749</v>
      </c>
      <c r="V2680" t="s">
        <v>44750</v>
      </c>
      <c r="W2680" t="s">
        <v>44751</v>
      </c>
      <c r="X2680" t="s">
        <v>44752</v>
      </c>
      <c r="Y2680" t="s">
        <v>44753</v>
      </c>
      <c r="Z2680" t="s">
        <v>44754</v>
      </c>
      <c r="AA2680" t="s">
        <v>44755</v>
      </c>
      <c r="AB2680" t="s">
        <v>44756</v>
      </c>
      <c r="AC2680" t="s">
        <v>44757</v>
      </c>
      <c r="AD2680" t="s">
        <v>44758</v>
      </c>
      <c r="AE2680" t="s">
        <v>44759</v>
      </c>
      <c r="AF2680" t="s">
        <v>74</v>
      </c>
      <c r="AG2680">
        <v>71</v>
      </c>
      <c r="AH2680">
        <v>8</v>
      </c>
      <c r="AI2680">
        <v>10</v>
      </c>
      <c r="AJ2680">
        <v>14</v>
      </c>
      <c r="AK2680">
        <v>68</v>
      </c>
      <c r="AL2680" t="s">
        <v>27113</v>
      </c>
      <c r="AM2680" t="s">
        <v>16865</v>
      </c>
      <c r="AN2680" t="s">
        <v>27112</v>
      </c>
      <c r="AO2680" t="s">
        <v>27111</v>
      </c>
      <c r="AP2680" t="s">
        <v>74</v>
      </c>
      <c r="AQ2680" t="s">
        <v>74</v>
      </c>
      <c r="AR2680" t="s">
        <v>27110</v>
      </c>
      <c r="AS2680" t="s">
        <v>27109</v>
      </c>
      <c r="AT2680" t="s">
        <v>124</v>
      </c>
      <c r="AU2680">
        <v>2023</v>
      </c>
      <c r="AV2680">
        <v>47</v>
      </c>
      <c r="AW2680">
        <v>4</v>
      </c>
      <c r="AX2680" t="s">
        <v>74</v>
      </c>
      <c r="AY2680" t="s">
        <v>74</v>
      </c>
      <c r="AZ2680" t="s">
        <v>74</v>
      </c>
      <c r="BA2680" t="s">
        <v>74</v>
      </c>
      <c r="BB2680">
        <v>1517</v>
      </c>
      <c r="BC2680">
        <v>1556</v>
      </c>
      <c r="BD2680" t="s">
        <v>74</v>
      </c>
      <c r="BE2680" t="s">
        <v>44760</v>
      </c>
      <c r="BF2680" t="str">
        <f>HYPERLINK("http://dx.doi.org/10.25300/MISQ/2023/17330","http://dx.doi.org/10.25300/MISQ/2023/17330")</f>
        <v>http://dx.doi.org/10.25300/MISQ/2023/17330</v>
      </c>
      <c r="BG2680" t="s">
        <v>74</v>
      </c>
      <c r="BH2680" t="s">
        <v>74</v>
      </c>
      <c r="BI2680">
        <v>40</v>
      </c>
      <c r="BJ2680" t="s">
        <v>10890</v>
      </c>
      <c r="BK2680" t="s">
        <v>2623</v>
      </c>
      <c r="BL2680" t="s">
        <v>10891</v>
      </c>
      <c r="BM2680" t="s">
        <v>44761</v>
      </c>
      <c r="BN2680" t="s">
        <v>74</v>
      </c>
      <c r="BO2680" t="s">
        <v>74</v>
      </c>
      <c r="BP2680" t="s">
        <v>74</v>
      </c>
      <c r="BQ2680" t="s">
        <v>74</v>
      </c>
      <c r="BR2680" t="s">
        <v>102</v>
      </c>
      <c r="BS2680" t="s">
        <v>44762</v>
      </c>
      <c r="BT2680" t="str">
        <f>HYPERLINK("https%3A%2F%2Fwww.webofscience.com%2Fwos%2Fwoscc%2Ffull-record%2FWOS:001179740000008","View Full Record in Web of Science")</f>
        <v>View Full Record in Web of Science</v>
      </c>
    </row>
    <row r="2681" spans="1:72" x14ac:dyDescent="0.25">
      <c r="A2681" t="s">
        <v>72</v>
      </c>
      <c r="B2681" t="s">
        <v>44763</v>
      </c>
      <c r="C2681" t="s">
        <v>74</v>
      </c>
      <c r="D2681" t="s">
        <v>74</v>
      </c>
      <c r="E2681" t="s">
        <v>74</v>
      </c>
      <c r="F2681" t="s">
        <v>44764</v>
      </c>
      <c r="G2681" t="s">
        <v>74</v>
      </c>
      <c r="H2681" t="s">
        <v>74</v>
      </c>
      <c r="I2681" t="s">
        <v>44765</v>
      </c>
      <c r="J2681" t="s">
        <v>4822</v>
      </c>
      <c r="K2681" t="s">
        <v>74</v>
      </c>
      <c r="L2681" t="s">
        <v>74</v>
      </c>
      <c r="M2681" t="s">
        <v>78</v>
      </c>
      <c r="N2681" t="s">
        <v>79</v>
      </c>
      <c r="O2681" t="s">
        <v>74</v>
      </c>
      <c r="P2681" t="s">
        <v>74</v>
      </c>
      <c r="Q2681" t="s">
        <v>74</v>
      </c>
      <c r="R2681" t="s">
        <v>74</v>
      </c>
      <c r="S2681" t="s">
        <v>74</v>
      </c>
      <c r="T2681" t="s">
        <v>44766</v>
      </c>
      <c r="U2681" t="s">
        <v>44767</v>
      </c>
      <c r="V2681" t="s">
        <v>44768</v>
      </c>
      <c r="W2681" t="s">
        <v>44769</v>
      </c>
      <c r="X2681" t="s">
        <v>44770</v>
      </c>
      <c r="Y2681" t="s">
        <v>44771</v>
      </c>
      <c r="Z2681" t="s">
        <v>44772</v>
      </c>
      <c r="AA2681" t="s">
        <v>44773</v>
      </c>
      <c r="AB2681" t="s">
        <v>44774</v>
      </c>
      <c r="AC2681" t="s">
        <v>44775</v>
      </c>
      <c r="AD2681" t="s">
        <v>44776</v>
      </c>
      <c r="AE2681" t="s">
        <v>44777</v>
      </c>
      <c r="AF2681" t="s">
        <v>74</v>
      </c>
      <c r="AG2681">
        <v>53</v>
      </c>
      <c r="AH2681">
        <v>6</v>
      </c>
      <c r="AI2681">
        <v>6</v>
      </c>
      <c r="AJ2681">
        <v>6</v>
      </c>
      <c r="AK2681">
        <v>33</v>
      </c>
      <c r="AL2681" t="s">
        <v>201</v>
      </c>
      <c r="AM2681" t="s">
        <v>202</v>
      </c>
      <c r="AN2681" t="s">
        <v>203</v>
      </c>
      <c r="AO2681" t="s">
        <v>4833</v>
      </c>
      <c r="AP2681" t="s">
        <v>74</v>
      </c>
      <c r="AQ2681" t="s">
        <v>74</v>
      </c>
      <c r="AR2681" t="s">
        <v>4834</v>
      </c>
      <c r="AS2681" t="s">
        <v>4835</v>
      </c>
      <c r="AT2681" t="s">
        <v>605</v>
      </c>
      <c r="AU2681">
        <v>2024</v>
      </c>
      <c r="AV2681">
        <v>81</v>
      </c>
      <c r="AW2681" t="s">
        <v>74</v>
      </c>
      <c r="AX2681" t="s">
        <v>74</v>
      </c>
      <c r="AY2681" t="s">
        <v>74</v>
      </c>
      <c r="AZ2681" t="s">
        <v>74</v>
      </c>
      <c r="BA2681" t="s">
        <v>74</v>
      </c>
      <c r="BB2681">
        <v>964</v>
      </c>
      <c r="BC2681">
        <v>982</v>
      </c>
      <c r="BD2681" t="s">
        <v>74</v>
      </c>
      <c r="BE2681" t="s">
        <v>44778</v>
      </c>
      <c r="BF2681" t="str">
        <f>HYPERLINK("http://dx.doi.org/10.1016/j.eap.2024.01.012","http://dx.doi.org/10.1016/j.eap.2024.01.012")</f>
        <v>http://dx.doi.org/10.1016/j.eap.2024.01.012</v>
      </c>
      <c r="BG2681" t="s">
        <v>74</v>
      </c>
      <c r="BH2681" t="s">
        <v>1239</v>
      </c>
      <c r="BI2681">
        <v>19</v>
      </c>
      <c r="BJ2681" t="s">
        <v>291</v>
      </c>
      <c r="BK2681" t="s">
        <v>99</v>
      </c>
      <c r="BL2681" t="s">
        <v>100</v>
      </c>
      <c r="BM2681" t="s">
        <v>44779</v>
      </c>
      <c r="BN2681" t="s">
        <v>74</v>
      </c>
      <c r="BO2681" t="s">
        <v>74</v>
      </c>
      <c r="BP2681" t="s">
        <v>74</v>
      </c>
      <c r="BQ2681" t="s">
        <v>74</v>
      </c>
      <c r="BR2681" t="s">
        <v>102</v>
      </c>
      <c r="BS2681" t="s">
        <v>44780</v>
      </c>
      <c r="BT2681" t="str">
        <f>HYPERLINK("https%3A%2F%2Fwww.webofscience.com%2Fwos%2Fwoscc%2Ffull-record%2FWOS:001177201900001","View Full Record in Web of Science")</f>
        <v>View Full Record in Web of Science</v>
      </c>
    </row>
    <row r="2682" spans="1:72" x14ac:dyDescent="0.25">
      <c r="A2682" t="s">
        <v>72</v>
      </c>
      <c r="B2682" t="s">
        <v>44781</v>
      </c>
      <c r="C2682" t="s">
        <v>74</v>
      </c>
      <c r="D2682" t="s">
        <v>74</v>
      </c>
      <c r="E2682" t="s">
        <v>74</v>
      </c>
      <c r="F2682" t="s">
        <v>44782</v>
      </c>
      <c r="G2682" t="s">
        <v>74</v>
      </c>
      <c r="H2682" t="s">
        <v>74</v>
      </c>
      <c r="I2682" t="s">
        <v>44783</v>
      </c>
      <c r="J2682" t="s">
        <v>4657</v>
      </c>
      <c r="K2682" t="s">
        <v>74</v>
      </c>
      <c r="L2682" t="s">
        <v>74</v>
      </c>
      <c r="M2682" t="s">
        <v>78</v>
      </c>
      <c r="N2682" t="s">
        <v>1766</v>
      </c>
      <c r="O2682" t="s">
        <v>74</v>
      </c>
      <c r="P2682" t="s">
        <v>74</v>
      </c>
      <c r="Q2682" t="s">
        <v>74</v>
      </c>
      <c r="R2682" t="s">
        <v>74</v>
      </c>
      <c r="S2682" t="s">
        <v>74</v>
      </c>
      <c r="T2682" t="s">
        <v>44784</v>
      </c>
      <c r="U2682" t="s">
        <v>44785</v>
      </c>
      <c r="V2682" t="s">
        <v>44786</v>
      </c>
      <c r="W2682" t="s">
        <v>44787</v>
      </c>
      <c r="X2682" t="s">
        <v>44788</v>
      </c>
      <c r="Y2682" t="s">
        <v>44789</v>
      </c>
      <c r="Z2682" t="s">
        <v>44790</v>
      </c>
      <c r="AA2682" t="s">
        <v>44791</v>
      </c>
      <c r="AB2682" t="s">
        <v>44792</v>
      </c>
      <c r="AC2682" t="s">
        <v>44793</v>
      </c>
      <c r="AD2682" t="s">
        <v>44793</v>
      </c>
      <c r="AE2682" t="s">
        <v>44794</v>
      </c>
      <c r="AF2682" t="s">
        <v>74</v>
      </c>
      <c r="AG2682">
        <v>110</v>
      </c>
      <c r="AH2682">
        <v>4</v>
      </c>
      <c r="AI2682">
        <v>4</v>
      </c>
      <c r="AJ2682">
        <v>8</v>
      </c>
      <c r="AK2682">
        <v>22</v>
      </c>
      <c r="AL2682" t="s">
        <v>4666</v>
      </c>
      <c r="AM2682" t="s">
        <v>995</v>
      </c>
      <c r="AN2682" t="s">
        <v>4025</v>
      </c>
      <c r="AO2682" t="s">
        <v>74</v>
      </c>
      <c r="AP2682" t="s">
        <v>4667</v>
      </c>
      <c r="AQ2682" t="s">
        <v>74</v>
      </c>
      <c r="AR2682" t="s">
        <v>4668</v>
      </c>
      <c r="AS2682" t="s">
        <v>4669</v>
      </c>
      <c r="AT2682" t="s">
        <v>22424</v>
      </c>
      <c r="AU2682">
        <v>2025</v>
      </c>
      <c r="AV2682">
        <v>6</v>
      </c>
      <c r="AW2682">
        <v>1</v>
      </c>
      <c r="AX2682" t="s">
        <v>74</v>
      </c>
      <c r="AY2682" t="s">
        <v>74</v>
      </c>
      <c r="AZ2682" t="s">
        <v>74</v>
      </c>
      <c r="BA2682" t="s">
        <v>74</v>
      </c>
      <c r="BB2682" t="s">
        <v>74</v>
      </c>
      <c r="BC2682" t="s">
        <v>74</v>
      </c>
      <c r="BD2682">
        <v>72</v>
      </c>
      <c r="BE2682" t="s">
        <v>44795</v>
      </c>
      <c r="BF2682" t="str">
        <f>HYPERLINK("http://dx.doi.org/10.1007/s43621-025-00823-8","http://dx.doi.org/10.1007/s43621-025-00823-8")</f>
        <v>http://dx.doi.org/10.1007/s43621-025-00823-8</v>
      </c>
      <c r="BG2682" t="s">
        <v>74</v>
      </c>
      <c r="BH2682" t="s">
        <v>74</v>
      </c>
      <c r="BI2682">
        <v>37</v>
      </c>
      <c r="BJ2682" t="s">
        <v>3247</v>
      </c>
      <c r="BK2682" t="s">
        <v>313</v>
      </c>
      <c r="BL2682" t="s">
        <v>3248</v>
      </c>
      <c r="BM2682" t="s">
        <v>44796</v>
      </c>
      <c r="BN2682" t="s">
        <v>74</v>
      </c>
      <c r="BO2682" t="s">
        <v>212</v>
      </c>
      <c r="BP2682" t="s">
        <v>74</v>
      </c>
      <c r="BQ2682" t="s">
        <v>74</v>
      </c>
      <c r="BR2682" t="s">
        <v>102</v>
      </c>
      <c r="BS2682" t="s">
        <v>44797</v>
      </c>
      <c r="BT2682" t="str">
        <f>HYPERLINK("https%3A%2F%2Fwww.webofscience.com%2Fwos%2Fwoscc%2Ffull-record%2FWOS:001412860100001","View Full Record in Web of Science")</f>
        <v>View Full Record in Web of Science</v>
      </c>
    </row>
    <row r="2683" spans="1:72" x14ac:dyDescent="0.25">
      <c r="A2683" t="s">
        <v>72</v>
      </c>
      <c r="B2683" t="s">
        <v>44798</v>
      </c>
      <c r="C2683" t="s">
        <v>74</v>
      </c>
      <c r="D2683" t="s">
        <v>74</v>
      </c>
      <c r="E2683" t="s">
        <v>74</v>
      </c>
      <c r="F2683" t="s">
        <v>44799</v>
      </c>
      <c r="G2683" t="s">
        <v>74</v>
      </c>
      <c r="H2683" t="s">
        <v>74</v>
      </c>
      <c r="I2683" t="s">
        <v>44800</v>
      </c>
      <c r="J2683" t="s">
        <v>44801</v>
      </c>
      <c r="K2683" t="s">
        <v>74</v>
      </c>
      <c r="L2683" t="s">
        <v>74</v>
      </c>
      <c r="M2683" t="s">
        <v>78</v>
      </c>
      <c r="N2683" t="s">
        <v>79</v>
      </c>
      <c r="O2683" t="s">
        <v>74</v>
      </c>
      <c r="P2683" t="s">
        <v>74</v>
      </c>
      <c r="Q2683" t="s">
        <v>74</v>
      </c>
      <c r="R2683" t="s">
        <v>74</v>
      </c>
      <c r="S2683" t="s">
        <v>74</v>
      </c>
      <c r="T2683" t="s">
        <v>44802</v>
      </c>
      <c r="U2683" t="s">
        <v>44803</v>
      </c>
      <c r="V2683" t="s">
        <v>44804</v>
      </c>
      <c r="W2683" t="s">
        <v>44805</v>
      </c>
      <c r="X2683" t="s">
        <v>74</v>
      </c>
      <c r="Y2683" t="s">
        <v>44806</v>
      </c>
      <c r="Z2683" t="s">
        <v>74</v>
      </c>
      <c r="AA2683" t="s">
        <v>74</v>
      </c>
      <c r="AB2683" t="s">
        <v>74</v>
      </c>
      <c r="AC2683" t="s">
        <v>74</v>
      </c>
      <c r="AD2683" t="s">
        <v>74</v>
      </c>
      <c r="AE2683" t="s">
        <v>74</v>
      </c>
      <c r="AF2683" t="s">
        <v>74</v>
      </c>
      <c r="AG2683">
        <v>52</v>
      </c>
      <c r="AH2683">
        <v>3</v>
      </c>
      <c r="AI2683">
        <v>5</v>
      </c>
      <c r="AJ2683">
        <v>0</v>
      </c>
      <c r="AK2683">
        <v>29</v>
      </c>
      <c r="AL2683" t="s">
        <v>44807</v>
      </c>
      <c r="AM2683" t="s">
        <v>44808</v>
      </c>
      <c r="AN2683" t="s">
        <v>44809</v>
      </c>
      <c r="AO2683" t="s">
        <v>44810</v>
      </c>
      <c r="AP2683" t="s">
        <v>74</v>
      </c>
      <c r="AQ2683" t="s">
        <v>74</v>
      </c>
      <c r="AR2683" t="s">
        <v>44811</v>
      </c>
      <c r="AS2683" t="s">
        <v>44812</v>
      </c>
      <c r="AT2683" t="s">
        <v>124</v>
      </c>
      <c r="AU2683">
        <v>2020</v>
      </c>
      <c r="AV2683">
        <v>10</v>
      </c>
      <c r="AW2683">
        <v>12</v>
      </c>
      <c r="AX2683" t="s">
        <v>74</v>
      </c>
      <c r="AY2683" t="s">
        <v>74</v>
      </c>
      <c r="AZ2683" t="s">
        <v>74</v>
      </c>
      <c r="BA2683" t="s">
        <v>74</v>
      </c>
      <c r="BB2683">
        <v>19</v>
      </c>
      <c r="BC2683">
        <v>30</v>
      </c>
      <c r="BD2683" t="s">
        <v>74</v>
      </c>
      <c r="BE2683" t="s">
        <v>44813</v>
      </c>
      <c r="BF2683" t="str">
        <f>HYPERLINK("http://dx.doi.org/10.22215/timreview/1407","http://dx.doi.org/10.22215/timreview/1407")</f>
        <v>http://dx.doi.org/10.22215/timreview/1407</v>
      </c>
      <c r="BG2683" t="s">
        <v>74</v>
      </c>
      <c r="BH2683" t="s">
        <v>74</v>
      </c>
      <c r="BI2683">
        <v>12</v>
      </c>
      <c r="BJ2683" t="s">
        <v>583</v>
      </c>
      <c r="BK2683" t="s">
        <v>313</v>
      </c>
      <c r="BL2683" t="s">
        <v>100</v>
      </c>
      <c r="BM2683" t="s">
        <v>44814</v>
      </c>
      <c r="BN2683" t="s">
        <v>74</v>
      </c>
      <c r="BO2683" t="s">
        <v>916</v>
      </c>
      <c r="BP2683" t="s">
        <v>74</v>
      </c>
      <c r="BQ2683" t="s">
        <v>74</v>
      </c>
      <c r="BR2683" t="s">
        <v>102</v>
      </c>
      <c r="BS2683" t="s">
        <v>44815</v>
      </c>
      <c r="BT2683" t="str">
        <f>HYPERLINK("https%3A%2F%2Fwww.webofscience.com%2Fwos%2Fwoscc%2Ffull-record%2FWOS:000611878200003","View Full Record in Web of Science")</f>
        <v>View Full Record in Web of Science</v>
      </c>
    </row>
    <row r="2684" spans="1:72" x14ac:dyDescent="0.25">
      <c r="A2684" t="s">
        <v>72</v>
      </c>
      <c r="B2684" t="s">
        <v>44816</v>
      </c>
      <c r="C2684" t="s">
        <v>74</v>
      </c>
      <c r="D2684" t="s">
        <v>74</v>
      </c>
      <c r="E2684" t="s">
        <v>74</v>
      </c>
      <c r="F2684" t="s">
        <v>44817</v>
      </c>
      <c r="G2684" t="s">
        <v>74</v>
      </c>
      <c r="H2684" t="s">
        <v>74</v>
      </c>
      <c r="I2684" t="s">
        <v>44818</v>
      </c>
      <c r="J2684" t="s">
        <v>1878</v>
      </c>
      <c r="K2684" t="s">
        <v>74</v>
      </c>
      <c r="L2684" t="s">
        <v>74</v>
      </c>
      <c r="M2684" t="s">
        <v>78</v>
      </c>
      <c r="N2684" t="s">
        <v>79</v>
      </c>
      <c r="O2684" t="s">
        <v>74</v>
      </c>
      <c r="P2684" t="s">
        <v>74</v>
      </c>
      <c r="Q2684" t="s">
        <v>74</v>
      </c>
      <c r="R2684" t="s">
        <v>74</v>
      </c>
      <c r="S2684" t="s">
        <v>74</v>
      </c>
      <c r="T2684" t="s">
        <v>44819</v>
      </c>
      <c r="U2684" t="s">
        <v>44820</v>
      </c>
      <c r="V2684" t="s">
        <v>44821</v>
      </c>
      <c r="W2684" t="s">
        <v>44822</v>
      </c>
      <c r="X2684" t="s">
        <v>44823</v>
      </c>
      <c r="Y2684" t="s">
        <v>44824</v>
      </c>
      <c r="Z2684" t="s">
        <v>44825</v>
      </c>
      <c r="AA2684" t="s">
        <v>44826</v>
      </c>
      <c r="AB2684" t="s">
        <v>44827</v>
      </c>
      <c r="AC2684" t="s">
        <v>74</v>
      </c>
      <c r="AD2684" t="s">
        <v>74</v>
      </c>
      <c r="AE2684" t="s">
        <v>74</v>
      </c>
      <c r="AF2684" t="s">
        <v>74</v>
      </c>
      <c r="AG2684">
        <v>59</v>
      </c>
      <c r="AH2684">
        <v>1</v>
      </c>
      <c r="AI2684">
        <v>1</v>
      </c>
      <c r="AJ2684">
        <v>2</v>
      </c>
      <c r="AK2684">
        <v>5</v>
      </c>
      <c r="AL2684" t="s">
        <v>1889</v>
      </c>
      <c r="AM2684" t="s">
        <v>1890</v>
      </c>
      <c r="AN2684" t="s">
        <v>1891</v>
      </c>
      <c r="AO2684" t="s">
        <v>1892</v>
      </c>
      <c r="AP2684" t="s">
        <v>1893</v>
      </c>
      <c r="AQ2684" t="s">
        <v>74</v>
      </c>
      <c r="AR2684" t="s">
        <v>1894</v>
      </c>
      <c r="AS2684" t="s">
        <v>1895</v>
      </c>
      <c r="AT2684" t="s">
        <v>698</v>
      </c>
      <c r="AU2684">
        <v>2024</v>
      </c>
      <c r="AV2684">
        <v>11</v>
      </c>
      <c r="AW2684">
        <v>3</v>
      </c>
      <c r="AX2684" t="s">
        <v>74</v>
      </c>
      <c r="AY2684" t="s">
        <v>74</v>
      </c>
      <c r="AZ2684" t="s">
        <v>74</v>
      </c>
      <c r="BA2684" t="s">
        <v>74</v>
      </c>
      <c r="BB2684" t="s">
        <v>74</v>
      </c>
      <c r="BC2684" t="s">
        <v>74</v>
      </c>
      <c r="BD2684" t="s">
        <v>74</v>
      </c>
      <c r="BE2684" t="s">
        <v>44828</v>
      </c>
      <c r="BF2684" t="str">
        <f>HYPERLINK("http://dx.doi.org/10.1142/S2424786324430035","http://dx.doi.org/10.1142/S2424786324430035")</f>
        <v>http://dx.doi.org/10.1142/S2424786324430035</v>
      </c>
      <c r="BG2684" t="s">
        <v>74</v>
      </c>
      <c r="BH2684" t="s">
        <v>9389</v>
      </c>
      <c r="BI2684">
        <v>28</v>
      </c>
      <c r="BJ2684" t="s">
        <v>268</v>
      </c>
      <c r="BK2684" t="s">
        <v>313</v>
      </c>
      <c r="BL2684" t="s">
        <v>100</v>
      </c>
      <c r="BM2684" t="s">
        <v>44829</v>
      </c>
      <c r="BN2684" t="s">
        <v>74</v>
      </c>
      <c r="BO2684" t="s">
        <v>74</v>
      </c>
      <c r="BP2684" t="s">
        <v>74</v>
      </c>
      <c r="BQ2684" t="s">
        <v>74</v>
      </c>
      <c r="BR2684" t="s">
        <v>102</v>
      </c>
      <c r="BS2684" t="s">
        <v>44830</v>
      </c>
      <c r="BT2684" t="str">
        <f>HYPERLINK("https%3A%2F%2Fwww.webofscience.com%2Fwos%2Fwoscc%2Ffull-record%2FWOS:001316896000001","View Full Record in Web of Science")</f>
        <v>View Full Record in Web of Science</v>
      </c>
    </row>
    <row r="2685" spans="1:72" x14ac:dyDescent="0.25">
      <c r="A2685" t="s">
        <v>72</v>
      </c>
      <c r="B2685" t="s">
        <v>44831</v>
      </c>
      <c r="C2685" t="s">
        <v>74</v>
      </c>
      <c r="D2685" t="s">
        <v>74</v>
      </c>
      <c r="E2685" t="s">
        <v>74</v>
      </c>
      <c r="F2685" t="s">
        <v>44832</v>
      </c>
      <c r="G2685" t="s">
        <v>74</v>
      </c>
      <c r="H2685" t="s">
        <v>74</v>
      </c>
      <c r="I2685" t="s">
        <v>44833</v>
      </c>
      <c r="J2685" t="s">
        <v>12129</v>
      </c>
      <c r="K2685" t="s">
        <v>74</v>
      </c>
      <c r="L2685" t="s">
        <v>74</v>
      </c>
      <c r="M2685" t="s">
        <v>78</v>
      </c>
      <c r="N2685" t="s">
        <v>79</v>
      </c>
      <c r="O2685" t="s">
        <v>74</v>
      </c>
      <c r="P2685" t="s">
        <v>74</v>
      </c>
      <c r="Q2685" t="s">
        <v>74</v>
      </c>
      <c r="R2685" t="s">
        <v>74</v>
      </c>
      <c r="S2685" t="s">
        <v>74</v>
      </c>
      <c r="T2685" t="s">
        <v>44834</v>
      </c>
      <c r="U2685" t="s">
        <v>44835</v>
      </c>
      <c r="V2685" t="s">
        <v>44836</v>
      </c>
      <c r="W2685" t="s">
        <v>44837</v>
      </c>
      <c r="X2685" t="s">
        <v>44838</v>
      </c>
      <c r="Y2685" t="s">
        <v>44839</v>
      </c>
      <c r="Z2685" t="s">
        <v>44840</v>
      </c>
      <c r="AA2685" t="s">
        <v>74</v>
      </c>
      <c r="AB2685" t="s">
        <v>44841</v>
      </c>
      <c r="AC2685" t="s">
        <v>44842</v>
      </c>
      <c r="AD2685" t="s">
        <v>44843</v>
      </c>
      <c r="AE2685" t="s">
        <v>44844</v>
      </c>
      <c r="AF2685" t="s">
        <v>74</v>
      </c>
      <c r="AG2685">
        <v>38</v>
      </c>
      <c r="AH2685">
        <v>4</v>
      </c>
      <c r="AI2685">
        <v>4</v>
      </c>
      <c r="AJ2685">
        <v>3</v>
      </c>
      <c r="AK2685">
        <v>52</v>
      </c>
      <c r="AL2685" t="s">
        <v>479</v>
      </c>
      <c r="AM2685" t="s">
        <v>480</v>
      </c>
      <c r="AN2685" t="s">
        <v>481</v>
      </c>
      <c r="AO2685" t="s">
        <v>12140</v>
      </c>
      <c r="AP2685" t="s">
        <v>12141</v>
      </c>
      <c r="AQ2685" t="s">
        <v>74</v>
      </c>
      <c r="AR2685" t="s">
        <v>12142</v>
      </c>
      <c r="AS2685" t="s">
        <v>12143</v>
      </c>
      <c r="AT2685" t="s">
        <v>124</v>
      </c>
      <c r="AU2685">
        <v>2023</v>
      </c>
      <c r="AV2685">
        <v>63</v>
      </c>
      <c r="AW2685">
        <v>4</v>
      </c>
      <c r="AX2685" t="s">
        <v>74</v>
      </c>
      <c r="AY2685" t="s">
        <v>74</v>
      </c>
      <c r="AZ2685" t="s">
        <v>74</v>
      </c>
      <c r="BA2685" t="s">
        <v>74</v>
      </c>
      <c r="BB2685">
        <v>4761</v>
      </c>
      <c r="BC2685">
        <v>4777</v>
      </c>
      <c r="BD2685" t="s">
        <v>74</v>
      </c>
      <c r="BE2685" t="s">
        <v>44845</v>
      </c>
      <c r="BF2685" t="str">
        <f>HYPERLINK("http://dx.doi.org/10.1111/acfi.13130","http://dx.doi.org/10.1111/acfi.13130")</f>
        <v>http://dx.doi.org/10.1111/acfi.13130</v>
      </c>
      <c r="BG2685" t="s">
        <v>74</v>
      </c>
      <c r="BH2685" t="s">
        <v>13995</v>
      </c>
      <c r="BI2685">
        <v>17</v>
      </c>
      <c r="BJ2685" t="s">
        <v>268</v>
      </c>
      <c r="BK2685" t="s">
        <v>99</v>
      </c>
      <c r="BL2685" t="s">
        <v>100</v>
      </c>
      <c r="BM2685" t="s">
        <v>44846</v>
      </c>
      <c r="BN2685" t="s">
        <v>74</v>
      </c>
      <c r="BO2685" t="s">
        <v>74</v>
      </c>
      <c r="BP2685" t="s">
        <v>74</v>
      </c>
      <c r="BQ2685" t="s">
        <v>74</v>
      </c>
      <c r="BR2685" t="s">
        <v>102</v>
      </c>
      <c r="BS2685" t="s">
        <v>44847</v>
      </c>
      <c r="BT2685" t="str">
        <f>HYPERLINK("https%3A%2F%2Fwww.webofscience.com%2Fwos%2Fwoscc%2Ffull-record%2FWOS:001017827600001","View Full Record in Web of Science")</f>
        <v>View Full Record in Web of Science</v>
      </c>
    </row>
    <row r="2686" spans="1:72" x14ac:dyDescent="0.25">
      <c r="A2686" t="s">
        <v>72</v>
      </c>
      <c r="B2686" t="s">
        <v>44848</v>
      </c>
      <c r="C2686" t="s">
        <v>74</v>
      </c>
      <c r="D2686" t="s">
        <v>74</v>
      </c>
      <c r="E2686" t="s">
        <v>74</v>
      </c>
      <c r="F2686" t="s">
        <v>44849</v>
      </c>
      <c r="G2686" t="s">
        <v>74</v>
      </c>
      <c r="H2686" t="s">
        <v>74</v>
      </c>
      <c r="I2686" t="s">
        <v>44850</v>
      </c>
      <c r="J2686" t="s">
        <v>4055</v>
      </c>
      <c r="K2686" t="s">
        <v>74</v>
      </c>
      <c r="L2686" t="s">
        <v>74</v>
      </c>
      <c r="M2686" t="s">
        <v>78</v>
      </c>
      <c r="N2686" t="s">
        <v>79</v>
      </c>
      <c r="O2686" t="s">
        <v>74</v>
      </c>
      <c r="P2686" t="s">
        <v>74</v>
      </c>
      <c r="Q2686" t="s">
        <v>74</v>
      </c>
      <c r="R2686" t="s">
        <v>74</v>
      </c>
      <c r="S2686" t="s">
        <v>74</v>
      </c>
      <c r="T2686" t="s">
        <v>44851</v>
      </c>
      <c r="U2686" t="s">
        <v>44852</v>
      </c>
      <c r="V2686" t="s">
        <v>44853</v>
      </c>
      <c r="W2686" t="s">
        <v>44854</v>
      </c>
      <c r="X2686" t="s">
        <v>14744</v>
      </c>
      <c r="Y2686" t="s">
        <v>44855</v>
      </c>
      <c r="Z2686" t="s">
        <v>44856</v>
      </c>
      <c r="AA2686" t="s">
        <v>44857</v>
      </c>
      <c r="AB2686" t="s">
        <v>74</v>
      </c>
      <c r="AC2686" t="s">
        <v>74</v>
      </c>
      <c r="AD2686" t="s">
        <v>74</v>
      </c>
      <c r="AE2686" t="s">
        <v>74</v>
      </c>
      <c r="AF2686" t="s">
        <v>74</v>
      </c>
      <c r="AG2686">
        <v>117</v>
      </c>
      <c r="AH2686">
        <v>0</v>
      </c>
      <c r="AI2686">
        <v>0</v>
      </c>
      <c r="AJ2686">
        <v>1</v>
      </c>
      <c r="AK2686">
        <v>1</v>
      </c>
      <c r="AL2686" t="s">
        <v>2907</v>
      </c>
      <c r="AM2686" t="s">
        <v>2908</v>
      </c>
      <c r="AN2686" t="s">
        <v>2909</v>
      </c>
      <c r="AO2686" t="s">
        <v>4064</v>
      </c>
      <c r="AP2686" t="s">
        <v>4065</v>
      </c>
      <c r="AQ2686" t="s">
        <v>74</v>
      </c>
      <c r="AR2686" t="s">
        <v>4066</v>
      </c>
      <c r="AS2686" t="s">
        <v>4067</v>
      </c>
      <c r="AT2686" t="s">
        <v>25329</v>
      </c>
      <c r="AU2686">
        <v>2025</v>
      </c>
      <c r="AV2686">
        <v>31</v>
      </c>
      <c r="AW2686">
        <v>1</v>
      </c>
      <c r="AX2686" t="s">
        <v>74</v>
      </c>
      <c r="AY2686" t="s">
        <v>74</v>
      </c>
      <c r="AZ2686" t="s">
        <v>74</v>
      </c>
      <c r="BA2686" t="s">
        <v>74</v>
      </c>
      <c r="BB2686" t="s">
        <v>74</v>
      </c>
      <c r="BC2686" t="s">
        <v>74</v>
      </c>
      <c r="BD2686">
        <v>7</v>
      </c>
      <c r="BE2686" t="s">
        <v>44858</v>
      </c>
      <c r="BF2686" t="str">
        <f>HYPERLINK("http://dx.doi.org/10.1057/s41264-025-00335-6","http://dx.doi.org/10.1057/s41264-025-00335-6")</f>
        <v>http://dx.doi.org/10.1057/s41264-025-00335-6</v>
      </c>
      <c r="BG2686" t="s">
        <v>74</v>
      </c>
      <c r="BH2686" t="s">
        <v>74</v>
      </c>
      <c r="BI2686">
        <v>22</v>
      </c>
      <c r="BJ2686" t="s">
        <v>418</v>
      </c>
      <c r="BK2686" t="s">
        <v>313</v>
      </c>
      <c r="BL2686" t="s">
        <v>100</v>
      </c>
      <c r="BM2686" t="s">
        <v>44859</v>
      </c>
      <c r="BN2686" t="s">
        <v>74</v>
      </c>
      <c r="BO2686" t="s">
        <v>74</v>
      </c>
      <c r="BP2686" t="s">
        <v>74</v>
      </c>
      <c r="BQ2686" t="s">
        <v>74</v>
      </c>
      <c r="BR2686" t="s">
        <v>102</v>
      </c>
      <c r="BS2686" t="s">
        <v>44860</v>
      </c>
      <c r="BT2686" t="str">
        <f>HYPERLINK("https%3A%2F%2Fwww.webofscience.com%2Fwos%2Fwoscc%2Ffull-record%2FWOS:001621592000001","View Full Record in Web of Science")</f>
        <v>View Full Record in Web of Science</v>
      </c>
    </row>
    <row r="2687" spans="1:72" x14ac:dyDescent="0.25">
      <c r="A2687" t="s">
        <v>72</v>
      </c>
      <c r="B2687" t="s">
        <v>44861</v>
      </c>
      <c r="C2687" t="s">
        <v>74</v>
      </c>
      <c r="D2687" t="s">
        <v>74</v>
      </c>
      <c r="E2687" t="s">
        <v>74</v>
      </c>
      <c r="F2687" t="s">
        <v>44862</v>
      </c>
      <c r="G2687" t="s">
        <v>74</v>
      </c>
      <c r="H2687" t="s">
        <v>74</v>
      </c>
      <c r="I2687" t="s">
        <v>44863</v>
      </c>
      <c r="J2687" t="s">
        <v>44864</v>
      </c>
      <c r="K2687" t="s">
        <v>74</v>
      </c>
      <c r="L2687" t="s">
        <v>74</v>
      </c>
      <c r="M2687" t="s">
        <v>78</v>
      </c>
      <c r="N2687" t="s">
        <v>79</v>
      </c>
      <c r="O2687" t="s">
        <v>74</v>
      </c>
      <c r="P2687" t="s">
        <v>74</v>
      </c>
      <c r="Q2687" t="s">
        <v>74</v>
      </c>
      <c r="R2687" t="s">
        <v>74</v>
      </c>
      <c r="S2687" t="s">
        <v>74</v>
      </c>
      <c r="T2687" t="s">
        <v>44865</v>
      </c>
      <c r="U2687" t="s">
        <v>44866</v>
      </c>
      <c r="V2687" t="s">
        <v>44867</v>
      </c>
      <c r="W2687" t="s">
        <v>44868</v>
      </c>
      <c r="X2687" t="s">
        <v>44869</v>
      </c>
      <c r="Y2687" t="s">
        <v>44870</v>
      </c>
      <c r="Z2687" t="s">
        <v>44871</v>
      </c>
      <c r="AA2687" t="s">
        <v>44872</v>
      </c>
      <c r="AB2687" t="s">
        <v>44873</v>
      </c>
      <c r="AC2687" t="s">
        <v>74</v>
      </c>
      <c r="AD2687" t="s">
        <v>74</v>
      </c>
      <c r="AE2687" t="s">
        <v>74</v>
      </c>
      <c r="AF2687" t="s">
        <v>74</v>
      </c>
      <c r="AG2687">
        <v>75</v>
      </c>
      <c r="AH2687">
        <v>16</v>
      </c>
      <c r="AI2687">
        <v>20</v>
      </c>
      <c r="AJ2687">
        <v>0</v>
      </c>
      <c r="AK2687">
        <v>14</v>
      </c>
      <c r="AL2687" t="s">
        <v>89</v>
      </c>
      <c r="AM2687" t="s">
        <v>90</v>
      </c>
      <c r="AN2687" t="s">
        <v>91</v>
      </c>
      <c r="AO2687" t="s">
        <v>44874</v>
      </c>
      <c r="AP2687" t="s">
        <v>44875</v>
      </c>
      <c r="AQ2687" t="s">
        <v>74</v>
      </c>
      <c r="AR2687" t="s">
        <v>44876</v>
      </c>
      <c r="AS2687" t="s">
        <v>44877</v>
      </c>
      <c r="AT2687" t="s">
        <v>31831</v>
      </c>
      <c r="AU2687">
        <v>2024</v>
      </c>
      <c r="AV2687">
        <v>19</v>
      </c>
      <c r="AW2687">
        <v>1</v>
      </c>
      <c r="AX2687" t="s">
        <v>74</v>
      </c>
      <c r="AY2687" t="s">
        <v>74</v>
      </c>
      <c r="AZ2687" t="s">
        <v>441</v>
      </c>
      <c r="BA2687" t="s">
        <v>74</v>
      </c>
      <c r="BB2687">
        <v>46</v>
      </c>
      <c r="BC2687">
        <v>61</v>
      </c>
      <c r="BD2687" t="s">
        <v>74</v>
      </c>
      <c r="BE2687" t="s">
        <v>44878</v>
      </c>
      <c r="BF2687" t="str">
        <f>HYPERLINK("http://dx.doi.org/10.1108/EMJB-04-2023-0121","http://dx.doi.org/10.1108/EMJB-04-2023-0121")</f>
        <v>http://dx.doi.org/10.1108/EMJB-04-2023-0121</v>
      </c>
      <c r="BG2687" t="s">
        <v>74</v>
      </c>
      <c r="BH2687" t="s">
        <v>700</v>
      </c>
      <c r="BI2687">
        <v>16</v>
      </c>
      <c r="BJ2687" t="s">
        <v>418</v>
      </c>
      <c r="BK2687" t="s">
        <v>313</v>
      </c>
      <c r="BL2687" t="s">
        <v>100</v>
      </c>
      <c r="BM2687" t="s">
        <v>44879</v>
      </c>
      <c r="BN2687" t="s">
        <v>74</v>
      </c>
      <c r="BO2687" t="s">
        <v>74</v>
      </c>
      <c r="BP2687" t="s">
        <v>74</v>
      </c>
      <c r="BQ2687" t="s">
        <v>74</v>
      </c>
      <c r="BR2687" t="s">
        <v>102</v>
      </c>
      <c r="BS2687" t="s">
        <v>44880</v>
      </c>
      <c r="BT2687" t="str">
        <f>HYPERLINK("https%3A%2F%2Fwww.webofscience.com%2Fwos%2Fwoscc%2Ffull-record%2FWOS:001026730000001","View Full Record in Web of Science")</f>
        <v>View Full Record in Web of Science</v>
      </c>
    </row>
    <row r="2688" spans="1:72" x14ac:dyDescent="0.25">
      <c r="A2688" t="s">
        <v>72</v>
      </c>
      <c r="B2688" t="s">
        <v>44881</v>
      </c>
      <c r="C2688" t="s">
        <v>74</v>
      </c>
      <c r="D2688" t="s">
        <v>74</v>
      </c>
      <c r="E2688" t="s">
        <v>74</v>
      </c>
      <c r="F2688" t="s">
        <v>44882</v>
      </c>
      <c r="G2688" t="s">
        <v>74</v>
      </c>
      <c r="H2688" t="s">
        <v>74</v>
      </c>
      <c r="I2688" t="s">
        <v>44883</v>
      </c>
      <c r="J2688" t="s">
        <v>3231</v>
      </c>
      <c r="K2688" t="s">
        <v>74</v>
      </c>
      <c r="L2688" t="s">
        <v>74</v>
      </c>
      <c r="M2688" t="s">
        <v>78</v>
      </c>
      <c r="N2688" t="s">
        <v>79</v>
      </c>
      <c r="O2688" t="s">
        <v>74</v>
      </c>
      <c r="P2688" t="s">
        <v>74</v>
      </c>
      <c r="Q2688" t="s">
        <v>74</v>
      </c>
      <c r="R2688" t="s">
        <v>74</v>
      </c>
      <c r="S2688" t="s">
        <v>74</v>
      </c>
      <c r="T2688" t="s">
        <v>44884</v>
      </c>
      <c r="U2688" t="s">
        <v>74</v>
      </c>
      <c r="V2688" t="s">
        <v>44885</v>
      </c>
      <c r="W2688" t="s">
        <v>44886</v>
      </c>
      <c r="X2688" t="s">
        <v>44887</v>
      </c>
      <c r="Y2688" t="s">
        <v>44888</v>
      </c>
      <c r="Z2688" t="s">
        <v>44889</v>
      </c>
      <c r="AA2688" t="s">
        <v>44890</v>
      </c>
      <c r="AB2688" t="s">
        <v>44891</v>
      </c>
      <c r="AC2688" t="s">
        <v>74</v>
      </c>
      <c r="AD2688" t="s">
        <v>74</v>
      </c>
      <c r="AE2688" t="s">
        <v>74</v>
      </c>
      <c r="AF2688" t="s">
        <v>74</v>
      </c>
      <c r="AG2688">
        <v>69</v>
      </c>
      <c r="AH2688">
        <v>40</v>
      </c>
      <c r="AI2688">
        <v>54</v>
      </c>
      <c r="AJ2688">
        <v>10</v>
      </c>
      <c r="AK2688">
        <v>117</v>
      </c>
      <c r="AL2688" t="s">
        <v>575</v>
      </c>
      <c r="AM2688" t="s">
        <v>576</v>
      </c>
      <c r="AN2688" t="s">
        <v>577</v>
      </c>
      <c r="AO2688" t="s">
        <v>74</v>
      </c>
      <c r="AP2688" t="s">
        <v>3243</v>
      </c>
      <c r="AQ2688" t="s">
        <v>74</v>
      </c>
      <c r="AR2688" t="s">
        <v>3244</v>
      </c>
      <c r="AS2688" t="s">
        <v>3245</v>
      </c>
      <c r="AT2688" t="s">
        <v>1159</v>
      </c>
      <c r="AU2688">
        <v>2022</v>
      </c>
      <c r="AV2688">
        <v>14</v>
      </c>
      <c r="AW2688">
        <v>19</v>
      </c>
      <c r="AX2688" t="s">
        <v>74</v>
      </c>
      <c r="AY2688" t="s">
        <v>74</v>
      </c>
      <c r="AZ2688" t="s">
        <v>74</v>
      </c>
      <c r="BA2688" t="s">
        <v>74</v>
      </c>
      <c r="BB2688" t="s">
        <v>74</v>
      </c>
      <c r="BC2688" t="s">
        <v>74</v>
      </c>
      <c r="BD2688">
        <v>12414</v>
      </c>
      <c r="BE2688" t="s">
        <v>44892</v>
      </c>
      <c r="BF2688" t="str">
        <f>HYPERLINK("http://dx.doi.org/10.3390/su141912414","http://dx.doi.org/10.3390/su141912414")</f>
        <v>http://dx.doi.org/10.3390/su141912414</v>
      </c>
      <c r="BG2688" t="s">
        <v>74</v>
      </c>
      <c r="BH2688" t="s">
        <v>74</v>
      </c>
      <c r="BI2688">
        <v>25</v>
      </c>
      <c r="BJ2688" t="s">
        <v>3247</v>
      </c>
      <c r="BK2688" t="s">
        <v>2623</v>
      </c>
      <c r="BL2688" t="s">
        <v>3248</v>
      </c>
      <c r="BM2688" t="s">
        <v>44893</v>
      </c>
      <c r="BN2688" t="s">
        <v>74</v>
      </c>
      <c r="BO2688" t="s">
        <v>916</v>
      </c>
      <c r="BP2688" t="s">
        <v>74</v>
      </c>
      <c r="BQ2688" t="s">
        <v>74</v>
      </c>
      <c r="BR2688" t="s">
        <v>102</v>
      </c>
      <c r="BS2688" t="s">
        <v>44894</v>
      </c>
      <c r="BT2688" t="str">
        <f>HYPERLINK("https%3A%2F%2Fwww.webofscience.com%2Fwos%2Fwoscc%2Ffull-record%2FWOS:000867127600001","View Full Record in Web of Science")</f>
        <v>View Full Record in Web of Science</v>
      </c>
    </row>
    <row r="2689" spans="1:72" x14ac:dyDescent="0.25">
      <c r="A2689" t="s">
        <v>132</v>
      </c>
      <c r="B2689" t="s">
        <v>44895</v>
      </c>
      <c r="C2689" t="s">
        <v>74</v>
      </c>
      <c r="D2689" t="s">
        <v>27937</v>
      </c>
      <c r="E2689" t="s">
        <v>74</v>
      </c>
      <c r="F2689" t="s">
        <v>44896</v>
      </c>
      <c r="G2689" t="s">
        <v>74</v>
      </c>
      <c r="H2689" t="s">
        <v>74</v>
      </c>
      <c r="I2689" t="s">
        <v>44897</v>
      </c>
      <c r="J2689" t="s">
        <v>44898</v>
      </c>
      <c r="K2689" t="s">
        <v>2425</v>
      </c>
      <c r="L2689" t="s">
        <v>74</v>
      </c>
      <c r="M2689" t="s">
        <v>78</v>
      </c>
      <c r="N2689" t="s">
        <v>138</v>
      </c>
      <c r="O2689" t="s">
        <v>44899</v>
      </c>
      <c r="P2689" t="s">
        <v>44900</v>
      </c>
      <c r="Q2689" t="s">
        <v>44901</v>
      </c>
      <c r="R2689" t="s">
        <v>74</v>
      </c>
      <c r="S2689" t="s">
        <v>74</v>
      </c>
      <c r="T2689" t="s">
        <v>44902</v>
      </c>
      <c r="U2689" t="s">
        <v>74</v>
      </c>
      <c r="V2689" t="s">
        <v>44903</v>
      </c>
      <c r="W2689" t="s">
        <v>44904</v>
      </c>
      <c r="X2689" t="s">
        <v>44905</v>
      </c>
      <c r="Y2689" t="s">
        <v>74</v>
      </c>
      <c r="Z2689" t="s">
        <v>44906</v>
      </c>
      <c r="AA2689" t="s">
        <v>44907</v>
      </c>
      <c r="AB2689" t="s">
        <v>74</v>
      </c>
      <c r="AC2689" t="s">
        <v>74</v>
      </c>
      <c r="AD2689" t="s">
        <v>74</v>
      </c>
      <c r="AE2689" t="s">
        <v>74</v>
      </c>
      <c r="AF2689" t="s">
        <v>74</v>
      </c>
      <c r="AG2689">
        <v>23</v>
      </c>
      <c r="AH2689">
        <v>2</v>
      </c>
      <c r="AI2689">
        <v>2</v>
      </c>
      <c r="AJ2689">
        <v>0</v>
      </c>
      <c r="AK2689">
        <v>17</v>
      </c>
      <c r="AL2689" t="s">
        <v>44908</v>
      </c>
      <c r="AM2689" t="s">
        <v>667</v>
      </c>
      <c r="AN2689" t="s">
        <v>668</v>
      </c>
      <c r="AO2689" t="s">
        <v>2437</v>
      </c>
      <c r="AP2689" t="s">
        <v>74</v>
      </c>
      <c r="AQ2689" t="s">
        <v>44909</v>
      </c>
      <c r="AR2689" t="s">
        <v>2440</v>
      </c>
      <c r="AS2689" t="s">
        <v>74</v>
      </c>
      <c r="AT2689" t="s">
        <v>74</v>
      </c>
      <c r="AU2689">
        <v>2016</v>
      </c>
      <c r="AV2689">
        <v>9747</v>
      </c>
      <c r="AW2689" t="s">
        <v>74</v>
      </c>
      <c r="AX2689" t="s">
        <v>74</v>
      </c>
      <c r="AY2689" t="s">
        <v>74</v>
      </c>
      <c r="AZ2689" t="s">
        <v>74</v>
      </c>
      <c r="BA2689" t="s">
        <v>74</v>
      </c>
      <c r="BB2689">
        <v>439</v>
      </c>
      <c r="BC2689">
        <v>450</v>
      </c>
      <c r="BD2689" t="s">
        <v>74</v>
      </c>
      <c r="BE2689" t="s">
        <v>44910</v>
      </c>
      <c r="BF2689" t="str">
        <f>HYPERLINK("http://dx.doi.org/10.1007/978-3-319-40355-7_42","http://dx.doi.org/10.1007/978-3-319-40355-7_42")</f>
        <v>http://dx.doi.org/10.1007/978-3-319-40355-7_42</v>
      </c>
      <c r="BG2689" t="s">
        <v>74</v>
      </c>
      <c r="BH2689" t="s">
        <v>74</v>
      </c>
      <c r="BI2689">
        <v>12</v>
      </c>
      <c r="BJ2689" t="s">
        <v>44911</v>
      </c>
      <c r="BK2689" t="s">
        <v>156</v>
      </c>
      <c r="BL2689" t="s">
        <v>157</v>
      </c>
      <c r="BM2689" t="s">
        <v>44912</v>
      </c>
      <c r="BN2689" t="s">
        <v>74</v>
      </c>
      <c r="BO2689" t="s">
        <v>74</v>
      </c>
      <c r="BP2689" t="s">
        <v>74</v>
      </c>
      <c r="BQ2689" t="s">
        <v>74</v>
      </c>
      <c r="BR2689" t="s">
        <v>102</v>
      </c>
      <c r="BS2689" t="s">
        <v>44913</v>
      </c>
      <c r="BT2689" t="str">
        <f>HYPERLINK("https%3A%2F%2Fwww.webofscience.com%2Fwos%2Fwoscc%2Ffull-record%2FWOS:000389470000042","View Full Record in Web of Science")</f>
        <v>View Full Record in Web of Science</v>
      </c>
    </row>
    <row r="2690" spans="1:72" x14ac:dyDescent="0.25">
      <c r="A2690" t="s">
        <v>132</v>
      </c>
      <c r="B2690" t="s">
        <v>44914</v>
      </c>
      <c r="C2690" t="s">
        <v>74</v>
      </c>
      <c r="D2690" t="s">
        <v>44915</v>
      </c>
      <c r="E2690" t="s">
        <v>74</v>
      </c>
      <c r="F2690" t="s">
        <v>44916</v>
      </c>
      <c r="G2690" t="s">
        <v>74</v>
      </c>
      <c r="H2690" t="s">
        <v>74</v>
      </c>
      <c r="I2690" t="s">
        <v>44917</v>
      </c>
      <c r="J2690" t="s">
        <v>44918</v>
      </c>
      <c r="K2690" t="s">
        <v>74</v>
      </c>
      <c r="L2690" t="s">
        <v>74</v>
      </c>
      <c r="M2690" t="s">
        <v>78</v>
      </c>
      <c r="N2690" t="s">
        <v>138</v>
      </c>
      <c r="O2690" t="s">
        <v>44919</v>
      </c>
      <c r="P2690" t="s">
        <v>44920</v>
      </c>
      <c r="Q2690" t="s">
        <v>44921</v>
      </c>
      <c r="R2690" t="s">
        <v>44922</v>
      </c>
      <c r="S2690" t="s">
        <v>74</v>
      </c>
      <c r="T2690" t="s">
        <v>44923</v>
      </c>
      <c r="U2690" t="s">
        <v>74</v>
      </c>
      <c r="V2690" t="s">
        <v>44924</v>
      </c>
      <c r="W2690" t="s">
        <v>44925</v>
      </c>
      <c r="X2690" t="s">
        <v>44926</v>
      </c>
      <c r="Y2690" t="s">
        <v>44927</v>
      </c>
      <c r="Z2690" t="s">
        <v>44928</v>
      </c>
      <c r="AA2690" t="s">
        <v>74</v>
      </c>
      <c r="AB2690" t="s">
        <v>74</v>
      </c>
      <c r="AC2690" t="s">
        <v>74</v>
      </c>
      <c r="AD2690" t="s">
        <v>74</v>
      </c>
      <c r="AE2690" t="s">
        <v>74</v>
      </c>
      <c r="AF2690" t="s">
        <v>74</v>
      </c>
      <c r="AG2690">
        <v>21</v>
      </c>
      <c r="AH2690">
        <v>0</v>
      </c>
      <c r="AI2690">
        <v>1</v>
      </c>
      <c r="AJ2690">
        <v>0</v>
      </c>
      <c r="AK2690">
        <v>8</v>
      </c>
      <c r="AL2690" t="s">
        <v>44929</v>
      </c>
      <c r="AM2690" t="s">
        <v>44930</v>
      </c>
      <c r="AN2690" t="s">
        <v>44931</v>
      </c>
      <c r="AO2690" t="s">
        <v>74</v>
      </c>
      <c r="AP2690" t="s">
        <v>74</v>
      </c>
      <c r="AQ2690" t="s">
        <v>44932</v>
      </c>
      <c r="AR2690" t="s">
        <v>74</v>
      </c>
      <c r="AS2690" t="s">
        <v>74</v>
      </c>
      <c r="AT2690" t="s">
        <v>74</v>
      </c>
      <c r="AU2690">
        <v>2014</v>
      </c>
      <c r="AV2690" t="s">
        <v>74</v>
      </c>
      <c r="AW2690" t="s">
        <v>74</v>
      </c>
      <c r="AX2690" t="s">
        <v>74</v>
      </c>
      <c r="AY2690" t="s">
        <v>74</v>
      </c>
      <c r="AZ2690" t="s">
        <v>74</v>
      </c>
      <c r="BA2690" t="s">
        <v>74</v>
      </c>
      <c r="BB2690">
        <v>143</v>
      </c>
      <c r="BC2690">
        <v>150</v>
      </c>
      <c r="BD2690" t="s">
        <v>74</v>
      </c>
      <c r="BE2690" t="s">
        <v>74</v>
      </c>
      <c r="BF2690" t="s">
        <v>74</v>
      </c>
      <c r="BG2690" t="s">
        <v>74</v>
      </c>
      <c r="BH2690" t="s">
        <v>74</v>
      </c>
      <c r="BI2690">
        <v>8</v>
      </c>
      <c r="BJ2690" t="s">
        <v>291</v>
      </c>
      <c r="BK2690" t="s">
        <v>183</v>
      </c>
      <c r="BL2690" t="s">
        <v>100</v>
      </c>
      <c r="BM2690" t="s">
        <v>44933</v>
      </c>
      <c r="BN2690" t="s">
        <v>74</v>
      </c>
      <c r="BO2690" t="s">
        <v>74</v>
      </c>
      <c r="BP2690" t="s">
        <v>74</v>
      </c>
      <c r="BQ2690" t="s">
        <v>74</v>
      </c>
      <c r="BR2690" t="s">
        <v>102</v>
      </c>
      <c r="BS2690" t="s">
        <v>44934</v>
      </c>
      <c r="BT2690" t="str">
        <f>HYPERLINK("https%3A%2F%2Fwww.webofscience.com%2Fwos%2Fwoscc%2Ffull-record%2FWOS:000366474600019","View Full Record in Web of Science")</f>
        <v>View Full Record in Web of Science</v>
      </c>
    </row>
    <row r="2691" spans="1:72" x14ac:dyDescent="0.25">
      <c r="A2691" t="s">
        <v>72</v>
      </c>
      <c r="B2691" t="s">
        <v>44935</v>
      </c>
      <c r="C2691" t="s">
        <v>74</v>
      </c>
      <c r="D2691" t="s">
        <v>74</v>
      </c>
      <c r="E2691" t="s">
        <v>74</v>
      </c>
      <c r="F2691" t="s">
        <v>44936</v>
      </c>
      <c r="G2691" t="s">
        <v>74</v>
      </c>
      <c r="H2691" t="s">
        <v>74</v>
      </c>
      <c r="I2691" t="s">
        <v>44937</v>
      </c>
      <c r="J2691" t="s">
        <v>9983</v>
      </c>
      <c r="K2691" t="s">
        <v>74</v>
      </c>
      <c r="L2691" t="s">
        <v>74</v>
      </c>
      <c r="M2691" t="s">
        <v>78</v>
      </c>
      <c r="N2691" t="s">
        <v>79</v>
      </c>
      <c r="O2691" t="s">
        <v>74</v>
      </c>
      <c r="P2691" t="s">
        <v>74</v>
      </c>
      <c r="Q2691" t="s">
        <v>74</v>
      </c>
      <c r="R2691" t="s">
        <v>74</v>
      </c>
      <c r="S2691" t="s">
        <v>74</v>
      </c>
      <c r="T2691" t="s">
        <v>44938</v>
      </c>
      <c r="U2691" t="s">
        <v>44939</v>
      </c>
      <c r="V2691" t="s">
        <v>44940</v>
      </c>
      <c r="W2691" t="s">
        <v>44941</v>
      </c>
      <c r="X2691" t="s">
        <v>44942</v>
      </c>
      <c r="Y2691" t="s">
        <v>44943</v>
      </c>
      <c r="Z2691" t="s">
        <v>44944</v>
      </c>
      <c r="AA2691" t="s">
        <v>44945</v>
      </c>
      <c r="AB2691" t="s">
        <v>44946</v>
      </c>
      <c r="AC2691" t="s">
        <v>74</v>
      </c>
      <c r="AD2691" t="s">
        <v>74</v>
      </c>
      <c r="AE2691" t="s">
        <v>74</v>
      </c>
      <c r="AF2691" t="s">
        <v>74</v>
      </c>
      <c r="AG2691">
        <v>99</v>
      </c>
      <c r="AH2691">
        <v>7</v>
      </c>
      <c r="AI2691">
        <v>8</v>
      </c>
      <c r="AJ2691">
        <v>6</v>
      </c>
      <c r="AK2691">
        <v>24</v>
      </c>
      <c r="AL2691" t="s">
        <v>575</v>
      </c>
      <c r="AM2691" t="s">
        <v>576</v>
      </c>
      <c r="AN2691" t="s">
        <v>577</v>
      </c>
      <c r="AO2691" t="s">
        <v>74</v>
      </c>
      <c r="AP2691" t="s">
        <v>9995</v>
      </c>
      <c r="AQ2691" t="s">
        <v>74</v>
      </c>
      <c r="AR2691" t="s">
        <v>9996</v>
      </c>
      <c r="AS2691" t="s">
        <v>9997</v>
      </c>
      <c r="AT2691" t="s">
        <v>1159</v>
      </c>
      <c r="AU2691">
        <v>2022</v>
      </c>
      <c r="AV2691">
        <v>10</v>
      </c>
      <c r="AW2691">
        <v>5</v>
      </c>
      <c r="AX2691" t="s">
        <v>74</v>
      </c>
      <c r="AY2691" t="s">
        <v>74</v>
      </c>
      <c r="AZ2691" t="s">
        <v>74</v>
      </c>
      <c r="BA2691" t="s">
        <v>74</v>
      </c>
      <c r="BB2691" t="s">
        <v>74</v>
      </c>
      <c r="BC2691" t="s">
        <v>74</v>
      </c>
      <c r="BD2691">
        <v>155</v>
      </c>
      <c r="BE2691" t="s">
        <v>44947</v>
      </c>
      <c r="BF2691" t="str">
        <f>HYPERLINK("http://dx.doi.org/10.3390/systems10050155","http://dx.doi.org/10.3390/systems10050155")</f>
        <v>http://dx.doi.org/10.3390/systems10050155</v>
      </c>
      <c r="BG2691" t="s">
        <v>74</v>
      </c>
      <c r="BH2691" t="s">
        <v>74</v>
      </c>
      <c r="BI2691">
        <v>21</v>
      </c>
      <c r="BJ2691" t="s">
        <v>364</v>
      </c>
      <c r="BK2691" t="s">
        <v>99</v>
      </c>
      <c r="BL2691" t="s">
        <v>365</v>
      </c>
      <c r="BM2691" t="s">
        <v>44948</v>
      </c>
      <c r="BN2691" t="s">
        <v>74</v>
      </c>
      <c r="BO2691" t="s">
        <v>916</v>
      </c>
      <c r="BP2691" t="s">
        <v>74</v>
      </c>
      <c r="BQ2691" t="s">
        <v>74</v>
      </c>
      <c r="BR2691" t="s">
        <v>102</v>
      </c>
      <c r="BS2691" t="s">
        <v>44949</v>
      </c>
      <c r="BT2691" t="str">
        <f>HYPERLINK("https%3A%2F%2Fwww.webofscience.com%2Fwos%2Fwoscc%2Ffull-record%2FWOS:000873770400001","View Full Record in Web of Science")</f>
        <v>View Full Record in Web of Science</v>
      </c>
    </row>
    <row r="2692" spans="1:72" x14ac:dyDescent="0.25">
      <c r="A2692" t="s">
        <v>72</v>
      </c>
      <c r="B2692" t="s">
        <v>44950</v>
      </c>
      <c r="C2692" t="s">
        <v>74</v>
      </c>
      <c r="D2692" t="s">
        <v>74</v>
      </c>
      <c r="E2692" t="s">
        <v>74</v>
      </c>
      <c r="F2692" t="s">
        <v>44951</v>
      </c>
      <c r="G2692" t="s">
        <v>74</v>
      </c>
      <c r="H2692" t="s">
        <v>74</v>
      </c>
      <c r="I2692" t="s">
        <v>44952</v>
      </c>
      <c r="J2692" t="s">
        <v>2809</v>
      </c>
      <c r="K2692" t="s">
        <v>74</v>
      </c>
      <c r="L2692" t="s">
        <v>74</v>
      </c>
      <c r="M2692" t="s">
        <v>78</v>
      </c>
      <c r="N2692" t="s">
        <v>79</v>
      </c>
      <c r="O2692" t="s">
        <v>74</v>
      </c>
      <c r="P2692" t="s">
        <v>74</v>
      </c>
      <c r="Q2692" t="s">
        <v>74</v>
      </c>
      <c r="R2692" t="s">
        <v>74</v>
      </c>
      <c r="S2692" t="s">
        <v>74</v>
      </c>
      <c r="T2692" t="s">
        <v>74</v>
      </c>
      <c r="U2692" t="s">
        <v>44953</v>
      </c>
      <c r="V2692" t="s">
        <v>44954</v>
      </c>
      <c r="W2692" t="s">
        <v>44955</v>
      </c>
      <c r="X2692" t="s">
        <v>44956</v>
      </c>
      <c r="Y2692" t="s">
        <v>44957</v>
      </c>
      <c r="Z2692" t="s">
        <v>44958</v>
      </c>
      <c r="AA2692" t="s">
        <v>44959</v>
      </c>
      <c r="AB2692" t="s">
        <v>74</v>
      </c>
      <c r="AC2692" t="s">
        <v>74</v>
      </c>
      <c r="AD2692" t="s">
        <v>74</v>
      </c>
      <c r="AE2692" t="s">
        <v>74</v>
      </c>
      <c r="AF2692" t="s">
        <v>74</v>
      </c>
      <c r="AG2692">
        <v>59</v>
      </c>
      <c r="AH2692">
        <v>55</v>
      </c>
      <c r="AI2692">
        <v>77</v>
      </c>
      <c r="AJ2692">
        <v>1</v>
      </c>
      <c r="AK2692">
        <v>24</v>
      </c>
      <c r="AL2692" t="s">
        <v>479</v>
      </c>
      <c r="AM2692" t="s">
        <v>480</v>
      </c>
      <c r="AN2692" t="s">
        <v>481</v>
      </c>
      <c r="AO2692" t="s">
        <v>2816</v>
      </c>
      <c r="AP2692" t="s">
        <v>2817</v>
      </c>
      <c r="AQ2692" t="s">
        <v>74</v>
      </c>
      <c r="AR2692" t="s">
        <v>2818</v>
      </c>
      <c r="AS2692" t="s">
        <v>2819</v>
      </c>
      <c r="AT2692" t="s">
        <v>17887</v>
      </c>
      <c r="AU2692">
        <v>2015</v>
      </c>
      <c r="AV2692">
        <v>49</v>
      </c>
      <c r="AW2692">
        <v>1</v>
      </c>
      <c r="AX2692" t="s">
        <v>74</v>
      </c>
      <c r="AY2692" t="s">
        <v>74</v>
      </c>
      <c r="AZ2692" t="s">
        <v>441</v>
      </c>
      <c r="BA2692" t="s">
        <v>74</v>
      </c>
      <c r="BB2692">
        <v>97</v>
      </c>
      <c r="BC2692">
        <v>126</v>
      </c>
      <c r="BD2692" t="s">
        <v>74</v>
      </c>
      <c r="BE2692" t="s">
        <v>44960</v>
      </c>
      <c r="BF2692" t="str">
        <f>HYPERLINK("http://dx.doi.org/10.1111/joca.12066","http://dx.doi.org/10.1111/joca.12066")</f>
        <v>http://dx.doi.org/10.1111/joca.12066</v>
      </c>
      <c r="BG2692" t="s">
        <v>74</v>
      </c>
      <c r="BH2692" t="s">
        <v>74</v>
      </c>
      <c r="BI2692">
        <v>30</v>
      </c>
      <c r="BJ2692" t="s">
        <v>1453</v>
      </c>
      <c r="BK2692" t="s">
        <v>99</v>
      </c>
      <c r="BL2692" t="s">
        <v>100</v>
      </c>
      <c r="BM2692" t="s">
        <v>19109</v>
      </c>
      <c r="BN2692" t="s">
        <v>74</v>
      </c>
      <c r="BO2692" t="s">
        <v>74</v>
      </c>
      <c r="BP2692" t="s">
        <v>74</v>
      </c>
      <c r="BQ2692" t="s">
        <v>74</v>
      </c>
      <c r="BR2692" t="s">
        <v>102</v>
      </c>
      <c r="BS2692" t="s">
        <v>44961</v>
      </c>
      <c r="BT2692" t="str">
        <f>HYPERLINK("https%3A%2F%2Fwww.webofscience.com%2Fwos%2Fwoscc%2Ffull-record%2FWOS:000351219200005","View Full Record in Web of Science")</f>
        <v>View Full Record in Web of Science</v>
      </c>
    </row>
    <row r="2693" spans="1:72" x14ac:dyDescent="0.25">
      <c r="A2693" t="s">
        <v>72</v>
      </c>
      <c r="B2693" t="s">
        <v>44962</v>
      </c>
      <c r="C2693" t="s">
        <v>74</v>
      </c>
      <c r="D2693" t="s">
        <v>74</v>
      </c>
      <c r="E2693" t="s">
        <v>74</v>
      </c>
      <c r="F2693" t="s">
        <v>44963</v>
      </c>
      <c r="G2693" t="s">
        <v>74</v>
      </c>
      <c r="H2693" t="s">
        <v>74</v>
      </c>
      <c r="I2693" t="s">
        <v>44964</v>
      </c>
      <c r="J2693" t="s">
        <v>7910</v>
      </c>
      <c r="K2693" t="s">
        <v>74</v>
      </c>
      <c r="L2693" t="s">
        <v>74</v>
      </c>
      <c r="M2693" t="s">
        <v>78</v>
      </c>
      <c r="N2693" t="s">
        <v>79</v>
      </c>
      <c r="O2693" t="s">
        <v>74</v>
      </c>
      <c r="P2693" t="s">
        <v>74</v>
      </c>
      <c r="Q2693" t="s">
        <v>74</v>
      </c>
      <c r="R2693" t="s">
        <v>74</v>
      </c>
      <c r="S2693" t="s">
        <v>74</v>
      </c>
      <c r="T2693" t="s">
        <v>44965</v>
      </c>
      <c r="U2693" t="s">
        <v>74</v>
      </c>
      <c r="V2693" t="s">
        <v>44966</v>
      </c>
      <c r="W2693" t="s">
        <v>44967</v>
      </c>
      <c r="X2693" t="s">
        <v>74</v>
      </c>
      <c r="Y2693" t="s">
        <v>44968</v>
      </c>
      <c r="Z2693" t="s">
        <v>44969</v>
      </c>
      <c r="AA2693" t="s">
        <v>44970</v>
      </c>
      <c r="AB2693" t="s">
        <v>74</v>
      </c>
      <c r="AC2693" t="s">
        <v>74</v>
      </c>
      <c r="AD2693" t="s">
        <v>74</v>
      </c>
      <c r="AE2693" t="s">
        <v>74</v>
      </c>
      <c r="AF2693" t="s">
        <v>74</v>
      </c>
      <c r="AG2693">
        <v>43</v>
      </c>
      <c r="AH2693">
        <v>10</v>
      </c>
      <c r="AI2693">
        <v>16</v>
      </c>
      <c r="AJ2693">
        <v>0</v>
      </c>
      <c r="AK2693">
        <v>6</v>
      </c>
      <c r="AL2693" t="s">
        <v>994</v>
      </c>
      <c r="AM2693" t="s">
        <v>995</v>
      </c>
      <c r="AN2693" t="s">
        <v>2061</v>
      </c>
      <c r="AO2693" t="s">
        <v>7920</v>
      </c>
      <c r="AP2693" t="s">
        <v>7921</v>
      </c>
      <c r="AQ2693" t="s">
        <v>74</v>
      </c>
      <c r="AR2693" t="s">
        <v>7922</v>
      </c>
      <c r="AS2693" t="s">
        <v>7923</v>
      </c>
      <c r="AT2693" t="s">
        <v>1159</v>
      </c>
      <c r="AU2693">
        <v>2016</v>
      </c>
      <c r="AV2693">
        <v>17</v>
      </c>
      <c r="AW2693">
        <v>5</v>
      </c>
      <c r="AX2693" t="s">
        <v>74</v>
      </c>
      <c r="AY2693" t="s">
        <v>74</v>
      </c>
      <c r="AZ2693" t="s">
        <v>74</v>
      </c>
      <c r="BA2693" t="s">
        <v>74</v>
      </c>
      <c r="BB2693">
        <v>1179</v>
      </c>
      <c r="BC2693">
        <v>1195</v>
      </c>
      <c r="BD2693" t="s">
        <v>74</v>
      </c>
      <c r="BE2693" t="s">
        <v>44971</v>
      </c>
      <c r="BF2693" t="str">
        <f>HYPERLINK("http://dx.doi.org/10.1177/0972150916656685","http://dx.doi.org/10.1177/0972150916656685")</f>
        <v>http://dx.doi.org/10.1177/0972150916656685</v>
      </c>
      <c r="BG2693" t="s">
        <v>74</v>
      </c>
      <c r="BH2693" t="s">
        <v>74</v>
      </c>
      <c r="BI2693">
        <v>17</v>
      </c>
      <c r="BJ2693" t="s">
        <v>98</v>
      </c>
      <c r="BK2693" t="s">
        <v>313</v>
      </c>
      <c r="BL2693" t="s">
        <v>100</v>
      </c>
      <c r="BM2693" t="s">
        <v>44972</v>
      </c>
      <c r="BN2693" t="s">
        <v>74</v>
      </c>
      <c r="BO2693" t="s">
        <v>74</v>
      </c>
      <c r="BP2693" t="s">
        <v>74</v>
      </c>
      <c r="BQ2693" t="s">
        <v>74</v>
      </c>
      <c r="BR2693" t="s">
        <v>102</v>
      </c>
      <c r="BS2693" t="s">
        <v>44973</v>
      </c>
      <c r="BT2693" t="str">
        <f>HYPERLINK("https%3A%2F%2Fwww.webofscience.com%2Fwos%2Fwoscc%2Ffull-record%2FWOS:000436922000011","View Full Record in Web of Science")</f>
        <v>View Full Record in Web of Science</v>
      </c>
    </row>
    <row r="2694" spans="1:72" x14ac:dyDescent="0.25">
      <c r="A2694" t="s">
        <v>72</v>
      </c>
      <c r="B2694" t="s">
        <v>27949</v>
      </c>
      <c r="C2694" t="s">
        <v>74</v>
      </c>
      <c r="D2694" t="s">
        <v>74</v>
      </c>
      <c r="E2694" t="s">
        <v>74</v>
      </c>
      <c r="F2694" t="s">
        <v>27948</v>
      </c>
      <c r="G2694" t="s">
        <v>74</v>
      </c>
      <c r="H2694" t="s">
        <v>74</v>
      </c>
      <c r="I2694" t="s">
        <v>44974</v>
      </c>
      <c r="J2694" t="s">
        <v>1510</v>
      </c>
      <c r="K2694" t="s">
        <v>74</v>
      </c>
      <c r="L2694" t="s">
        <v>74</v>
      </c>
      <c r="M2694" t="s">
        <v>78</v>
      </c>
      <c r="N2694" t="s">
        <v>79</v>
      </c>
      <c r="O2694" t="s">
        <v>74</v>
      </c>
      <c r="P2694" t="s">
        <v>74</v>
      </c>
      <c r="Q2694" t="s">
        <v>74</v>
      </c>
      <c r="R2694" t="s">
        <v>74</v>
      </c>
      <c r="S2694" t="s">
        <v>74</v>
      </c>
      <c r="T2694" t="s">
        <v>44975</v>
      </c>
      <c r="U2694" t="s">
        <v>44976</v>
      </c>
      <c r="V2694" t="s">
        <v>44977</v>
      </c>
      <c r="W2694" t="s">
        <v>44978</v>
      </c>
      <c r="X2694" t="s">
        <v>13481</v>
      </c>
      <c r="Y2694" t="s">
        <v>26936</v>
      </c>
      <c r="Z2694" t="s">
        <v>12156</v>
      </c>
      <c r="AA2694" t="s">
        <v>14950</v>
      </c>
      <c r="AB2694" t="s">
        <v>12157</v>
      </c>
      <c r="AC2694" t="s">
        <v>74</v>
      </c>
      <c r="AD2694" t="s">
        <v>74</v>
      </c>
      <c r="AE2694" t="s">
        <v>74</v>
      </c>
      <c r="AF2694" t="s">
        <v>74</v>
      </c>
      <c r="AG2694">
        <v>99</v>
      </c>
      <c r="AH2694">
        <v>9</v>
      </c>
      <c r="AI2694">
        <v>17</v>
      </c>
      <c r="AJ2694">
        <v>0</v>
      </c>
      <c r="AK2694">
        <v>10</v>
      </c>
      <c r="AL2694" t="s">
        <v>89</v>
      </c>
      <c r="AM2694" t="s">
        <v>90</v>
      </c>
      <c r="AN2694" t="s">
        <v>91</v>
      </c>
      <c r="AO2694" t="s">
        <v>1519</v>
      </c>
      <c r="AP2694" t="s">
        <v>1520</v>
      </c>
      <c r="AQ2694" t="s">
        <v>74</v>
      </c>
      <c r="AR2694" t="s">
        <v>1521</v>
      </c>
      <c r="AS2694" t="s">
        <v>1522</v>
      </c>
      <c r="AT2694" t="s">
        <v>74</v>
      </c>
      <c r="AU2694">
        <v>2018</v>
      </c>
      <c r="AV2694">
        <v>45</v>
      </c>
      <c r="AW2694">
        <v>5</v>
      </c>
      <c r="AX2694" t="s">
        <v>74</v>
      </c>
      <c r="AY2694" t="s">
        <v>74</v>
      </c>
      <c r="AZ2694" t="s">
        <v>74</v>
      </c>
      <c r="BA2694" t="s">
        <v>74</v>
      </c>
      <c r="BB2694">
        <v>828</v>
      </c>
      <c r="BC2694">
        <v>846</v>
      </c>
      <c r="BD2694" t="s">
        <v>74</v>
      </c>
      <c r="BE2694" t="s">
        <v>44979</v>
      </c>
      <c r="BF2694" t="str">
        <f>HYPERLINK("http://dx.doi.org/10.1108/IJSE-08-2017-0357","http://dx.doi.org/10.1108/IJSE-08-2017-0357")</f>
        <v>http://dx.doi.org/10.1108/IJSE-08-2017-0357</v>
      </c>
      <c r="BG2694" t="s">
        <v>74</v>
      </c>
      <c r="BH2694" t="s">
        <v>74</v>
      </c>
      <c r="BI2694">
        <v>19</v>
      </c>
      <c r="BJ2694" t="s">
        <v>291</v>
      </c>
      <c r="BK2694" t="s">
        <v>313</v>
      </c>
      <c r="BL2694" t="s">
        <v>100</v>
      </c>
      <c r="BM2694" t="s">
        <v>44980</v>
      </c>
      <c r="BN2694" t="s">
        <v>74</v>
      </c>
      <c r="BO2694" t="s">
        <v>74</v>
      </c>
      <c r="BP2694" t="s">
        <v>74</v>
      </c>
      <c r="BQ2694" t="s">
        <v>74</v>
      </c>
      <c r="BR2694" t="s">
        <v>102</v>
      </c>
      <c r="BS2694" t="s">
        <v>44981</v>
      </c>
      <c r="BT2694" t="str">
        <f>HYPERLINK("https%3A%2F%2Fwww.webofscience.com%2Fwos%2Fwoscc%2Ffull-record%2FWOS:000430838200007","View Full Record in Web of Science")</f>
        <v>View Full Record in Web of Science</v>
      </c>
    </row>
    <row r="2695" spans="1:72" x14ac:dyDescent="0.25">
      <c r="A2695" t="s">
        <v>72</v>
      </c>
      <c r="B2695" t="s">
        <v>44982</v>
      </c>
      <c r="C2695" t="s">
        <v>74</v>
      </c>
      <c r="D2695" t="s">
        <v>74</v>
      </c>
      <c r="E2695" t="s">
        <v>74</v>
      </c>
      <c r="F2695" t="s">
        <v>44983</v>
      </c>
      <c r="G2695" t="s">
        <v>74</v>
      </c>
      <c r="H2695" t="s">
        <v>74</v>
      </c>
      <c r="I2695" t="s">
        <v>44984</v>
      </c>
      <c r="J2695" t="s">
        <v>31901</v>
      </c>
      <c r="K2695" t="s">
        <v>74</v>
      </c>
      <c r="L2695" t="s">
        <v>74</v>
      </c>
      <c r="M2695" t="s">
        <v>78</v>
      </c>
      <c r="N2695" t="s">
        <v>79</v>
      </c>
      <c r="O2695" t="s">
        <v>74</v>
      </c>
      <c r="P2695" t="s">
        <v>74</v>
      </c>
      <c r="Q2695" t="s">
        <v>74</v>
      </c>
      <c r="R2695" t="s">
        <v>74</v>
      </c>
      <c r="S2695" t="s">
        <v>74</v>
      </c>
      <c r="T2695" t="s">
        <v>44985</v>
      </c>
      <c r="U2695" t="s">
        <v>900</v>
      </c>
      <c r="V2695" t="s">
        <v>44986</v>
      </c>
      <c r="W2695" t="s">
        <v>44987</v>
      </c>
      <c r="X2695" t="s">
        <v>44988</v>
      </c>
      <c r="Y2695" t="s">
        <v>44989</v>
      </c>
      <c r="Z2695" t="s">
        <v>44990</v>
      </c>
      <c r="AA2695" t="s">
        <v>44991</v>
      </c>
      <c r="AB2695" t="s">
        <v>44992</v>
      </c>
      <c r="AC2695" t="s">
        <v>74</v>
      </c>
      <c r="AD2695" t="s">
        <v>74</v>
      </c>
      <c r="AE2695" t="s">
        <v>74</v>
      </c>
      <c r="AF2695" t="s">
        <v>74</v>
      </c>
      <c r="AG2695">
        <v>27</v>
      </c>
      <c r="AH2695">
        <v>0</v>
      </c>
      <c r="AI2695">
        <v>0</v>
      </c>
      <c r="AJ2695">
        <v>12</v>
      </c>
      <c r="AK2695">
        <v>12</v>
      </c>
      <c r="AL2695" t="s">
        <v>31895</v>
      </c>
      <c r="AM2695" t="s">
        <v>6748</v>
      </c>
      <c r="AN2695" t="s">
        <v>31894</v>
      </c>
      <c r="AO2695" t="s">
        <v>31893</v>
      </c>
      <c r="AP2695" t="s">
        <v>74</v>
      </c>
      <c r="AQ2695" t="s">
        <v>74</v>
      </c>
      <c r="AR2695" t="s">
        <v>31892</v>
      </c>
      <c r="AS2695" t="s">
        <v>31892</v>
      </c>
      <c r="AT2695" t="s">
        <v>2801</v>
      </c>
      <c r="AU2695">
        <v>2025</v>
      </c>
      <c r="AV2695">
        <v>16</v>
      </c>
      <c r="AW2695">
        <v>2</v>
      </c>
      <c r="AX2695" t="s">
        <v>74</v>
      </c>
      <c r="AY2695" t="s">
        <v>74</v>
      </c>
      <c r="AZ2695" t="s">
        <v>74</v>
      </c>
      <c r="BA2695" t="s">
        <v>74</v>
      </c>
      <c r="BB2695">
        <v>94</v>
      </c>
      <c r="BC2695">
        <v>106</v>
      </c>
      <c r="BD2695" t="s">
        <v>74</v>
      </c>
      <c r="BE2695" t="s">
        <v>44993</v>
      </c>
      <c r="BF2695" t="str">
        <f>HYPERLINK("http://dx.doi.org/10.23925/2179-3565.2025v16i2p94-106","http://dx.doi.org/10.23925/2179-3565.2025v16i2p94-106")</f>
        <v>http://dx.doi.org/10.23925/2179-3565.2025v16i2p94-106</v>
      </c>
      <c r="BG2695" t="s">
        <v>74</v>
      </c>
      <c r="BH2695" t="s">
        <v>74</v>
      </c>
      <c r="BI2695">
        <v>13</v>
      </c>
      <c r="BJ2695" t="s">
        <v>583</v>
      </c>
      <c r="BK2695" t="s">
        <v>313</v>
      </c>
      <c r="BL2695" t="s">
        <v>100</v>
      </c>
      <c r="BM2695" t="s">
        <v>44994</v>
      </c>
      <c r="BN2695" t="s">
        <v>74</v>
      </c>
      <c r="BO2695" t="s">
        <v>212</v>
      </c>
      <c r="BP2695" t="s">
        <v>74</v>
      </c>
      <c r="BQ2695" t="s">
        <v>74</v>
      </c>
      <c r="BR2695" t="s">
        <v>102</v>
      </c>
      <c r="BS2695" t="s">
        <v>44995</v>
      </c>
      <c r="BT2695" t="str">
        <f>HYPERLINK("https%3A%2F%2Fwww.webofscience.com%2Fwos%2Fwoscc%2Ffull-record%2FWOS:001538974600007","View Full Record in Web of Science")</f>
        <v>View Full Record in Web of Science</v>
      </c>
    </row>
    <row r="2696" spans="1:72" x14ac:dyDescent="0.25">
      <c r="A2696" t="s">
        <v>72</v>
      </c>
      <c r="B2696" t="s">
        <v>44996</v>
      </c>
      <c r="C2696" t="s">
        <v>74</v>
      </c>
      <c r="D2696" t="s">
        <v>74</v>
      </c>
      <c r="E2696" t="s">
        <v>74</v>
      </c>
      <c r="F2696" t="s">
        <v>44997</v>
      </c>
      <c r="G2696" t="s">
        <v>74</v>
      </c>
      <c r="H2696" t="s">
        <v>74</v>
      </c>
      <c r="I2696" t="s">
        <v>44998</v>
      </c>
      <c r="J2696" t="s">
        <v>1510</v>
      </c>
      <c r="K2696" t="s">
        <v>74</v>
      </c>
      <c r="L2696" t="s">
        <v>74</v>
      </c>
      <c r="M2696" t="s">
        <v>78</v>
      </c>
      <c r="N2696" t="s">
        <v>79</v>
      </c>
      <c r="O2696" t="s">
        <v>74</v>
      </c>
      <c r="P2696" t="s">
        <v>74</v>
      </c>
      <c r="Q2696" t="s">
        <v>74</v>
      </c>
      <c r="R2696" t="s">
        <v>74</v>
      </c>
      <c r="S2696" t="s">
        <v>74</v>
      </c>
      <c r="T2696" t="s">
        <v>44999</v>
      </c>
      <c r="U2696" t="s">
        <v>74</v>
      </c>
      <c r="V2696" t="s">
        <v>45000</v>
      </c>
      <c r="W2696" t="s">
        <v>45001</v>
      </c>
      <c r="X2696" t="s">
        <v>10117</v>
      </c>
      <c r="Y2696" t="s">
        <v>45002</v>
      </c>
      <c r="Z2696" t="s">
        <v>45003</v>
      </c>
      <c r="AA2696" t="s">
        <v>45004</v>
      </c>
      <c r="AB2696" t="s">
        <v>45005</v>
      </c>
      <c r="AC2696" t="s">
        <v>74</v>
      </c>
      <c r="AD2696" t="s">
        <v>74</v>
      </c>
      <c r="AE2696" t="s">
        <v>74</v>
      </c>
      <c r="AF2696" t="s">
        <v>74</v>
      </c>
      <c r="AG2696">
        <v>0</v>
      </c>
      <c r="AH2696">
        <v>24</v>
      </c>
      <c r="AI2696">
        <v>31</v>
      </c>
      <c r="AJ2696">
        <v>0</v>
      </c>
      <c r="AK2696">
        <v>18</v>
      </c>
      <c r="AL2696" t="s">
        <v>20923</v>
      </c>
      <c r="AM2696" t="s">
        <v>1497</v>
      </c>
      <c r="AN2696" t="s">
        <v>1498</v>
      </c>
      <c r="AO2696" t="s">
        <v>1519</v>
      </c>
      <c r="AP2696" t="s">
        <v>1520</v>
      </c>
      <c r="AQ2696" t="s">
        <v>74</v>
      </c>
      <c r="AR2696" t="s">
        <v>1521</v>
      </c>
      <c r="AS2696" t="s">
        <v>1522</v>
      </c>
      <c r="AT2696" t="s">
        <v>74</v>
      </c>
      <c r="AU2696">
        <v>2015</v>
      </c>
      <c r="AV2696">
        <v>42</v>
      </c>
      <c r="AW2696">
        <v>10</v>
      </c>
      <c r="AX2696" t="s">
        <v>74</v>
      </c>
      <c r="AY2696" t="s">
        <v>74</v>
      </c>
      <c r="AZ2696" t="s">
        <v>74</v>
      </c>
      <c r="BA2696" t="s">
        <v>74</v>
      </c>
      <c r="BB2696">
        <v>870</v>
      </c>
      <c r="BC2696">
        <v>887</v>
      </c>
      <c r="BD2696" t="s">
        <v>74</v>
      </c>
      <c r="BE2696" t="s">
        <v>45006</v>
      </c>
      <c r="BF2696" t="str">
        <f>HYPERLINK("http://dx.doi.org/10.1108/IJSE-06-2014-0127","http://dx.doi.org/10.1108/IJSE-06-2014-0127")</f>
        <v>http://dx.doi.org/10.1108/IJSE-06-2014-0127</v>
      </c>
      <c r="BG2696" t="s">
        <v>74</v>
      </c>
      <c r="BH2696" t="s">
        <v>74</v>
      </c>
      <c r="BI2696">
        <v>18</v>
      </c>
      <c r="BJ2696" t="s">
        <v>291</v>
      </c>
      <c r="BK2696" t="s">
        <v>313</v>
      </c>
      <c r="BL2696" t="s">
        <v>100</v>
      </c>
      <c r="BM2696" t="s">
        <v>45007</v>
      </c>
      <c r="BN2696" t="s">
        <v>74</v>
      </c>
      <c r="BO2696" t="s">
        <v>74</v>
      </c>
      <c r="BP2696" t="s">
        <v>74</v>
      </c>
      <c r="BQ2696" t="s">
        <v>74</v>
      </c>
      <c r="BR2696" t="s">
        <v>102</v>
      </c>
      <c r="BS2696" t="s">
        <v>45008</v>
      </c>
      <c r="BT2696" t="str">
        <f>HYPERLINK("https%3A%2F%2Fwww.webofscience.com%2Fwos%2Fwoscc%2Ffull-record%2FWOS:000366621500001","View Full Record in Web of Science")</f>
        <v>View Full Record in Web of Science</v>
      </c>
    </row>
    <row r="2697" spans="1:72" x14ac:dyDescent="0.25">
      <c r="A2697" t="s">
        <v>72</v>
      </c>
      <c r="B2697" t="s">
        <v>45009</v>
      </c>
      <c r="C2697" t="s">
        <v>74</v>
      </c>
      <c r="D2697" t="s">
        <v>74</v>
      </c>
      <c r="E2697" t="s">
        <v>74</v>
      </c>
      <c r="F2697" t="s">
        <v>45010</v>
      </c>
      <c r="G2697" t="s">
        <v>74</v>
      </c>
      <c r="H2697" t="s">
        <v>74</v>
      </c>
      <c r="I2697" t="s">
        <v>45011</v>
      </c>
      <c r="J2697" t="s">
        <v>1510</v>
      </c>
      <c r="K2697" t="s">
        <v>74</v>
      </c>
      <c r="L2697" t="s">
        <v>74</v>
      </c>
      <c r="M2697" t="s">
        <v>78</v>
      </c>
      <c r="N2697" t="s">
        <v>79</v>
      </c>
      <c r="O2697" t="s">
        <v>74</v>
      </c>
      <c r="P2697" t="s">
        <v>74</v>
      </c>
      <c r="Q2697" t="s">
        <v>74</v>
      </c>
      <c r="R2697" t="s">
        <v>74</v>
      </c>
      <c r="S2697" t="s">
        <v>74</v>
      </c>
      <c r="T2697" t="s">
        <v>45012</v>
      </c>
      <c r="U2697" t="s">
        <v>45013</v>
      </c>
      <c r="V2697" t="s">
        <v>45014</v>
      </c>
      <c r="W2697" t="s">
        <v>45015</v>
      </c>
      <c r="X2697" t="s">
        <v>74</v>
      </c>
      <c r="Y2697" t="s">
        <v>45016</v>
      </c>
      <c r="Z2697" t="s">
        <v>45017</v>
      </c>
      <c r="AA2697" t="s">
        <v>74</v>
      </c>
      <c r="AB2697" t="s">
        <v>74</v>
      </c>
      <c r="AC2697" t="s">
        <v>74</v>
      </c>
      <c r="AD2697" t="s">
        <v>74</v>
      </c>
      <c r="AE2697" t="s">
        <v>74</v>
      </c>
      <c r="AF2697" t="s">
        <v>74</v>
      </c>
      <c r="AG2697">
        <v>48</v>
      </c>
      <c r="AH2697">
        <v>3</v>
      </c>
      <c r="AI2697">
        <v>4</v>
      </c>
      <c r="AJ2697">
        <v>0</v>
      </c>
      <c r="AK2697">
        <v>16</v>
      </c>
      <c r="AL2697" t="s">
        <v>89</v>
      </c>
      <c r="AM2697" t="s">
        <v>90</v>
      </c>
      <c r="AN2697" t="s">
        <v>13029</v>
      </c>
      <c r="AO2697" t="s">
        <v>1519</v>
      </c>
      <c r="AP2697" t="s">
        <v>1520</v>
      </c>
      <c r="AQ2697" t="s">
        <v>74</v>
      </c>
      <c r="AR2697" t="s">
        <v>1521</v>
      </c>
      <c r="AS2697" t="s">
        <v>1522</v>
      </c>
      <c r="AT2697" t="s">
        <v>23220</v>
      </c>
      <c r="AU2697">
        <v>2019</v>
      </c>
      <c r="AV2697">
        <v>46</v>
      </c>
      <c r="AW2697">
        <v>10</v>
      </c>
      <c r="AX2697" t="s">
        <v>74</v>
      </c>
      <c r="AY2697" t="s">
        <v>74</v>
      </c>
      <c r="AZ2697" t="s">
        <v>74</v>
      </c>
      <c r="BA2697" t="s">
        <v>74</v>
      </c>
      <c r="BB2697">
        <v>1234</v>
      </c>
      <c r="BC2697">
        <v>1246</v>
      </c>
      <c r="BD2697" t="s">
        <v>74</v>
      </c>
      <c r="BE2697" t="s">
        <v>45018</v>
      </c>
      <c r="BF2697" t="str">
        <f>HYPERLINK("http://dx.doi.org/10.1108/IJSE-02-2019-0076","http://dx.doi.org/10.1108/IJSE-02-2019-0076")</f>
        <v>http://dx.doi.org/10.1108/IJSE-02-2019-0076</v>
      </c>
      <c r="BG2697" t="s">
        <v>74</v>
      </c>
      <c r="BH2697" t="s">
        <v>74</v>
      </c>
      <c r="BI2697">
        <v>13</v>
      </c>
      <c r="BJ2697" t="s">
        <v>291</v>
      </c>
      <c r="BK2697" t="s">
        <v>313</v>
      </c>
      <c r="BL2697" t="s">
        <v>100</v>
      </c>
      <c r="BM2697" t="s">
        <v>45019</v>
      </c>
      <c r="BN2697" t="s">
        <v>74</v>
      </c>
      <c r="BO2697" t="s">
        <v>74</v>
      </c>
      <c r="BP2697" t="s">
        <v>74</v>
      </c>
      <c r="BQ2697" t="s">
        <v>74</v>
      </c>
      <c r="BR2697" t="s">
        <v>102</v>
      </c>
      <c r="BS2697" t="s">
        <v>45020</v>
      </c>
      <c r="BT2697" t="str">
        <f>HYPERLINK("https%3A%2F%2Fwww.webofscience.com%2Fwos%2Fwoscc%2Ffull-record%2FWOS:000491476500005","View Full Record in Web of Science")</f>
        <v>View Full Record in Web of Science</v>
      </c>
    </row>
    <row r="2698" spans="1:72" x14ac:dyDescent="0.25">
      <c r="A2698" t="s">
        <v>72</v>
      </c>
      <c r="B2698" t="s">
        <v>45021</v>
      </c>
      <c r="C2698" t="s">
        <v>74</v>
      </c>
      <c r="D2698" t="s">
        <v>74</v>
      </c>
      <c r="E2698" t="s">
        <v>74</v>
      </c>
      <c r="F2698" t="s">
        <v>45022</v>
      </c>
      <c r="G2698" t="s">
        <v>74</v>
      </c>
      <c r="H2698" t="s">
        <v>74</v>
      </c>
      <c r="I2698" t="s">
        <v>45023</v>
      </c>
      <c r="J2698" t="s">
        <v>45024</v>
      </c>
      <c r="K2698" t="s">
        <v>74</v>
      </c>
      <c r="L2698" t="s">
        <v>74</v>
      </c>
      <c r="M2698" t="s">
        <v>78</v>
      </c>
      <c r="N2698" t="s">
        <v>79</v>
      </c>
      <c r="O2698" t="s">
        <v>74</v>
      </c>
      <c r="P2698" t="s">
        <v>74</v>
      </c>
      <c r="Q2698" t="s">
        <v>74</v>
      </c>
      <c r="R2698" t="s">
        <v>74</v>
      </c>
      <c r="S2698" t="s">
        <v>74</v>
      </c>
      <c r="T2698" t="s">
        <v>45025</v>
      </c>
      <c r="U2698" t="s">
        <v>74</v>
      </c>
      <c r="V2698" t="s">
        <v>45026</v>
      </c>
      <c r="W2698" t="s">
        <v>45027</v>
      </c>
      <c r="X2698" t="s">
        <v>45028</v>
      </c>
      <c r="Y2698" t="s">
        <v>45029</v>
      </c>
      <c r="Z2698" t="s">
        <v>45030</v>
      </c>
      <c r="AA2698" t="s">
        <v>74</v>
      </c>
      <c r="AB2698" t="s">
        <v>74</v>
      </c>
      <c r="AC2698" t="s">
        <v>74</v>
      </c>
      <c r="AD2698" t="s">
        <v>74</v>
      </c>
      <c r="AE2698" t="s">
        <v>74</v>
      </c>
      <c r="AF2698" t="s">
        <v>74</v>
      </c>
      <c r="AG2698">
        <v>59</v>
      </c>
      <c r="AH2698">
        <v>0</v>
      </c>
      <c r="AI2698">
        <v>0</v>
      </c>
      <c r="AJ2698">
        <v>0</v>
      </c>
      <c r="AK2698">
        <v>0</v>
      </c>
      <c r="AL2698" t="s">
        <v>45024</v>
      </c>
      <c r="AM2698" t="s">
        <v>45031</v>
      </c>
      <c r="AN2698" t="s">
        <v>45032</v>
      </c>
      <c r="AO2698" t="s">
        <v>45033</v>
      </c>
      <c r="AP2698" t="s">
        <v>74</v>
      </c>
      <c r="AQ2698" t="s">
        <v>74</v>
      </c>
      <c r="AR2698" t="s">
        <v>45024</v>
      </c>
      <c r="AS2698" t="s">
        <v>45034</v>
      </c>
      <c r="AT2698" t="s">
        <v>1652</v>
      </c>
      <c r="AU2698">
        <v>2025</v>
      </c>
      <c r="AV2698">
        <v>50</v>
      </c>
      <c r="AW2698">
        <v>6</v>
      </c>
      <c r="AX2698" t="s">
        <v>74</v>
      </c>
      <c r="AY2698" t="s">
        <v>74</v>
      </c>
      <c r="AZ2698" t="s">
        <v>74</v>
      </c>
      <c r="BA2698" t="s">
        <v>74</v>
      </c>
      <c r="BB2698">
        <v>337</v>
      </c>
      <c r="BC2698">
        <v>345</v>
      </c>
      <c r="BD2698" t="s">
        <v>74</v>
      </c>
      <c r="BE2698" t="s">
        <v>74</v>
      </c>
      <c r="BF2698" t="s">
        <v>74</v>
      </c>
      <c r="BG2698" t="s">
        <v>74</v>
      </c>
      <c r="BH2698" t="s">
        <v>74</v>
      </c>
      <c r="BI2698">
        <v>9</v>
      </c>
      <c r="BJ2698" t="s">
        <v>45035</v>
      </c>
      <c r="BK2698" t="s">
        <v>128</v>
      </c>
      <c r="BL2698" t="s">
        <v>129</v>
      </c>
      <c r="BM2698" t="s">
        <v>45036</v>
      </c>
      <c r="BN2698" t="s">
        <v>74</v>
      </c>
      <c r="BO2698" t="s">
        <v>74</v>
      </c>
      <c r="BP2698" t="s">
        <v>74</v>
      </c>
      <c r="BQ2698" t="s">
        <v>74</v>
      </c>
      <c r="BR2698" t="s">
        <v>102</v>
      </c>
      <c r="BS2698" t="s">
        <v>45037</v>
      </c>
      <c r="BT2698" t="str">
        <f>HYPERLINK("https%3A%2F%2Fwww.webofscience.com%2Fwos%2Fwoscc%2Ffull-record%2FWOS:001524767800006","View Full Record in Web of Science")</f>
        <v>View Full Record in Web of Science</v>
      </c>
    </row>
    <row r="2699" spans="1:72" x14ac:dyDescent="0.25">
      <c r="A2699" t="s">
        <v>72</v>
      </c>
      <c r="B2699" t="s">
        <v>45038</v>
      </c>
      <c r="C2699" t="s">
        <v>74</v>
      </c>
      <c r="D2699" t="s">
        <v>74</v>
      </c>
      <c r="E2699" t="s">
        <v>74</v>
      </c>
      <c r="F2699" t="s">
        <v>45039</v>
      </c>
      <c r="G2699" t="s">
        <v>74</v>
      </c>
      <c r="H2699" t="s">
        <v>74</v>
      </c>
      <c r="I2699" t="s">
        <v>45040</v>
      </c>
      <c r="J2699" t="s">
        <v>45041</v>
      </c>
      <c r="K2699" t="s">
        <v>74</v>
      </c>
      <c r="L2699" t="s">
        <v>74</v>
      </c>
      <c r="M2699" t="s">
        <v>78</v>
      </c>
      <c r="N2699" t="s">
        <v>79</v>
      </c>
      <c r="O2699" t="s">
        <v>74</v>
      </c>
      <c r="P2699" t="s">
        <v>74</v>
      </c>
      <c r="Q2699" t="s">
        <v>74</v>
      </c>
      <c r="R2699" t="s">
        <v>74</v>
      </c>
      <c r="S2699" t="s">
        <v>74</v>
      </c>
      <c r="T2699" t="s">
        <v>45042</v>
      </c>
      <c r="U2699" t="s">
        <v>74</v>
      </c>
      <c r="V2699" t="s">
        <v>45043</v>
      </c>
      <c r="W2699" t="s">
        <v>45044</v>
      </c>
      <c r="X2699" t="s">
        <v>222</v>
      </c>
      <c r="Y2699" t="s">
        <v>45045</v>
      </c>
      <c r="Z2699" t="s">
        <v>45046</v>
      </c>
      <c r="AA2699" t="s">
        <v>45047</v>
      </c>
      <c r="AB2699" t="s">
        <v>74</v>
      </c>
      <c r="AC2699" t="s">
        <v>74</v>
      </c>
      <c r="AD2699" t="s">
        <v>74</v>
      </c>
      <c r="AE2699" t="s">
        <v>74</v>
      </c>
      <c r="AF2699" t="s">
        <v>74</v>
      </c>
      <c r="AG2699">
        <v>12</v>
      </c>
      <c r="AH2699">
        <v>0</v>
      </c>
      <c r="AI2699">
        <v>0</v>
      </c>
      <c r="AJ2699">
        <v>0</v>
      </c>
      <c r="AK2699">
        <v>1</v>
      </c>
      <c r="AL2699" t="s">
        <v>45048</v>
      </c>
      <c r="AM2699" t="s">
        <v>20078</v>
      </c>
      <c r="AN2699" t="s">
        <v>45049</v>
      </c>
      <c r="AO2699" t="s">
        <v>45050</v>
      </c>
      <c r="AP2699" t="s">
        <v>45051</v>
      </c>
      <c r="AQ2699" t="s">
        <v>74</v>
      </c>
      <c r="AR2699" t="s">
        <v>45052</v>
      </c>
      <c r="AS2699" t="s">
        <v>45053</v>
      </c>
      <c r="AT2699" t="s">
        <v>1159</v>
      </c>
      <c r="AU2699">
        <v>2017</v>
      </c>
      <c r="AV2699">
        <v>55</v>
      </c>
      <c r="AW2699">
        <v>5</v>
      </c>
      <c r="AX2699" t="s">
        <v>74</v>
      </c>
      <c r="AY2699" t="s">
        <v>74</v>
      </c>
      <c r="AZ2699" t="s">
        <v>74</v>
      </c>
      <c r="BA2699" t="s">
        <v>74</v>
      </c>
      <c r="BB2699" t="s">
        <v>74</v>
      </c>
      <c r="BC2699" t="s">
        <v>74</v>
      </c>
      <c r="BD2699" t="s">
        <v>74</v>
      </c>
      <c r="BE2699" t="s">
        <v>74</v>
      </c>
      <c r="BF2699" t="s">
        <v>74</v>
      </c>
      <c r="BG2699" t="s">
        <v>74</v>
      </c>
      <c r="BH2699" t="s">
        <v>74</v>
      </c>
      <c r="BI2699">
        <v>11</v>
      </c>
      <c r="BJ2699" t="s">
        <v>4031</v>
      </c>
      <c r="BK2699" t="s">
        <v>313</v>
      </c>
      <c r="BL2699" t="s">
        <v>4031</v>
      </c>
      <c r="BM2699" t="s">
        <v>45054</v>
      </c>
      <c r="BN2699" t="s">
        <v>74</v>
      </c>
      <c r="BO2699" t="s">
        <v>74</v>
      </c>
      <c r="BP2699" t="s">
        <v>74</v>
      </c>
      <c r="BQ2699" t="s">
        <v>74</v>
      </c>
      <c r="BR2699" t="s">
        <v>102</v>
      </c>
      <c r="BS2699" t="s">
        <v>45055</v>
      </c>
      <c r="BT2699" t="str">
        <f>HYPERLINK("https%3A%2F%2Fwww.webofscience.com%2Fwos%2Fwoscc%2Ffull-record%2FWOS:000441290400006","View Full Record in Web of Science")</f>
        <v>View Full Record in Web of Science</v>
      </c>
    </row>
    <row r="2700" spans="1:72" x14ac:dyDescent="0.25">
      <c r="A2700" t="s">
        <v>72</v>
      </c>
      <c r="B2700" t="s">
        <v>45056</v>
      </c>
      <c r="C2700" t="s">
        <v>74</v>
      </c>
      <c r="D2700" t="s">
        <v>74</v>
      </c>
      <c r="E2700" t="s">
        <v>74</v>
      </c>
      <c r="F2700" t="s">
        <v>45057</v>
      </c>
      <c r="G2700" t="s">
        <v>74</v>
      </c>
      <c r="H2700" t="s">
        <v>74</v>
      </c>
      <c r="I2700" t="s">
        <v>45058</v>
      </c>
      <c r="J2700" t="s">
        <v>3231</v>
      </c>
      <c r="K2700" t="s">
        <v>74</v>
      </c>
      <c r="L2700" t="s">
        <v>74</v>
      </c>
      <c r="M2700" t="s">
        <v>78</v>
      </c>
      <c r="N2700" t="s">
        <v>79</v>
      </c>
      <c r="O2700" t="s">
        <v>74</v>
      </c>
      <c r="P2700" t="s">
        <v>74</v>
      </c>
      <c r="Q2700" t="s">
        <v>74</v>
      </c>
      <c r="R2700" t="s">
        <v>74</v>
      </c>
      <c r="S2700" t="s">
        <v>74</v>
      </c>
      <c r="T2700" t="s">
        <v>45059</v>
      </c>
      <c r="U2700" t="s">
        <v>45060</v>
      </c>
      <c r="V2700" t="s">
        <v>45061</v>
      </c>
      <c r="W2700" t="s">
        <v>45062</v>
      </c>
      <c r="X2700" t="s">
        <v>45063</v>
      </c>
      <c r="Y2700" t="s">
        <v>45064</v>
      </c>
      <c r="Z2700" t="s">
        <v>45065</v>
      </c>
      <c r="AA2700" t="s">
        <v>45066</v>
      </c>
      <c r="AB2700" t="s">
        <v>74</v>
      </c>
      <c r="AC2700" t="s">
        <v>74</v>
      </c>
      <c r="AD2700" t="s">
        <v>74</v>
      </c>
      <c r="AE2700" t="s">
        <v>74</v>
      </c>
      <c r="AF2700" t="s">
        <v>74</v>
      </c>
      <c r="AG2700">
        <v>98</v>
      </c>
      <c r="AH2700">
        <v>1</v>
      </c>
      <c r="AI2700">
        <v>1</v>
      </c>
      <c r="AJ2700">
        <v>7</v>
      </c>
      <c r="AK2700">
        <v>7</v>
      </c>
      <c r="AL2700" t="s">
        <v>575</v>
      </c>
      <c r="AM2700" t="s">
        <v>576</v>
      </c>
      <c r="AN2700" t="s">
        <v>577</v>
      </c>
      <c r="AO2700" t="s">
        <v>74</v>
      </c>
      <c r="AP2700" t="s">
        <v>3243</v>
      </c>
      <c r="AQ2700" t="s">
        <v>74</v>
      </c>
      <c r="AR2700" t="s">
        <v>3244</v>
      </c>
      <c r="AS2700" t="s">
        <v>3245</v>
      </c>
      <c r="AT2700" t="s">
        <v>6450</v>
      </c>
      <c r="AU2700">
        <v>2025</v>
      </c>
      <c r="AV2700">
        <v>17</v>
      </c>
      <c r="AW2700">
        <v>17</v>
      </c>
      <c r="AX2700" t="s">
        <v>74</v>
      </c>
      <c r="AY2700" t="s">
        <v>74</v>
      </c>
      <c r="AZ2700" t="s">
        <v>74</v>
      </c>
      <c r="BA2700" t="s">
        <v>74</v>
      </c>
      <c r="BB2700" t="s">
        <v>74</v>
      </c>
      <c r="BC2700" t="s">
        <v>74</v>
      </c>
      <c r="BD2700">
        <v>7954</v>
      </c>
      <c r="BE2700" t="s">
        <v>45067</v>
      </c>
      <c r="BF2700" t="str">
        <f>HYPERLINK("http://dx.doi.org/10.3390/su17177954","http://dx.doi.org/10.3390/su17177954")</f>
        <v>http://dx.doi.org/10.3390/su17177954</v>
      </c>
      <c r="BG2700" t="s">
        <v>74</v>
      </c>
      <c r="BH2700" t="s">
        <v>74</v>
      </c>
      <c r="BI2700">
        <v>23</v>
      </c>
      <c r="BJ2700" t="s">
        <v>3247</v>
      </c>
      <c r="BK2700" t="s">
        <v>2623</v>
      </c>
      <c r="BL2700" t="s">
        <v>3248</v>
      </c>
      <c r="BM2700" t="s">
        <v>45068</v>
      </c>
      <c r="BN2700" t="s">
        <v>74</v>
      </c>
      <c r="BO2700" t="s">
        <v>212</v>
      </c>
      <c r="BP2700" t="s">
        <v>74</v>
      </c>
      <c r="BQ2700" t="s">
        <v>74</v>
      </c>
      <c r="BR2700" t="s">
        <v>102</v>
      </c>
      <c r="BS2700" t="s">
        <v>45069</v>
      </c>
      <c r="BT2700" t="str">
        <f>HYPERLINK("https%3A%2F%2Fwww.webofscience.com%2Fwos%2Fwoscc%2Ffull-record%2FWOS:001570068300001","View Full Record in Web of Science")</f>
        <v>View Full Record in Web of Science</v>
      </c>
    </row>
    <row r="2701" spans="1:72" x14ac:dyDescent="0.25">
      <c r="A2701" t="s">
        <v>72</v>
      </c>
      <c r="B2701" t="s">
        <v>45070</v>
      </c>
      <c r="C2701" t="s">
        <v>74</v>
      </c>
      <c r="D2701" t="s">
        <v>74</v>
      </c>
      <c r="E2701" t="s">
        <v>74</v>
      </c>
      <c r="F2701" t="s">
        <v>45071</v>
      </c>
      <c r="G2701" t="s">
        <v>74</v>
      </c>
      <c r="H2701" t="s">
        <v>74</v>
      </c>
      <c r="I2701" t="s">
        <v>45072</v>
      </c>
      <c r="J2701" t="s">
        <v>566</v>
      </c>
      <c r="K2701" t="s">
        <v>74</v>
      </c>
      <c r="L2701" t="s">
        <v>74</v>
      </c>
      <c r="M2701" t="s">
        <v>78</v>
      </c>
      <c r="N2701" t="s">
        <v>1766</v>
      </c>
      <c r="O2701" t="s">
        <v>74</v>
      </c>
      <c r="P2701" t="s">
        <v>74</v>
      </c>
      <c r="Q2701" t="s">
        <v>74</v>
      </c>
      <c r="R2701" t="s">
        <v>74</v>
      </c>
      <c r="S2701" t="s">
        <v>74</v>
      </c>
      <c r="T2701" t="s">
        <v>45073</v>
      </c>
      <c r="U2701" t="s">
        <v>8288</v>
      </c>
      <c r="V2701" t="s">
        <v>45074</v>
      </c>
      <c r="W2701" t="s">
        <v>45075</v>
      </c>
      <c r="X2701" t="s">
        <v>74</v>
      </c>
      <c r="Y2701" t="s">
        <v>45076</v>
      </c>
      <c r="Z2701" t="s">
        <v>45077</v>
      </c>
      <c r="AA2701" t="s">
        <v>45078</v>
      </c>
      <c r="AB2701" t="s">
        <v>74</v>
      </c>
      <c r="AC2701" t="s">
        <v>74</v>
      </c>
      <c r="AD2701" t="s">
        <v>74</v>
      </c>
      <c r="AE2701" t="s">
        <v>74</v>
      </c>
      <c r="AF2701" t="s">
        <v>74</v>
      </c>
      <c r="AG2701">
        <v>30</v>
      </c>
      <c r="AH2701">
        <v>0</v>
      </c>
      <c r="AI2701">
        <v>0</v>
      </c>
      <c r="AJ2701">
        <v>5</v>
      </c>
      <c r="AK2701">
        <v>5</v>
      </c>
      <c r="AL2701" t="s">
        <v>575</v>
      </c>
      <c r="AM2701" t="s">
        <v>576</v>
      </c>
      <c r="AN2701" t="s">
        <v>577</v>
      </c>
      <c r="AO2701" t="s">
        <v>74</v>
      </c>
      <c r="AP2701" t="s">
        <v>578</v>
      </c>
      <c r="AQ2701" t="s">
        <v>74</v>
      </c>
      <c r="AR2701" t="s">
        <v>579</v>
      </c>
      <c r="AS2701" t="s">
        <v>580</v>
      </c>
      <c r="AT2701" t="s">
        <v>14074</v>
      </c>
      <c r="AU2701">
        <v>2025</v>
      </c>
      <c r="AV2701">
        <v>15</v>
      </c>
      <c r="AW2701">
        <v>8</v>
      </c>
      <c r="AX2701" t="s">
        <v>74</v>
      </c>
      <c r="AY2701" t="s">
        <v>74</v>
      </c>
      <c r="AZ2701" t="s">
        <v>74</v>
      </c>
      <c r="BA2701" t="s">
        <v>74</v>
      </c>
      <c r="BB2701" t="s">
        <v>74</v>
      </c>
      <c r="BC2701" t="s">
        <v>74</v>
      </c>
      <c r="BD2701">
        <v>319</v>
      </c>
      <c r="BE2701" t="s">
        <v>45079</v>
      </c>
      <c r="BF2701" t="str">
        <f>HYPERLINK("http://dx.doi.org/10.3390/admsci15080319","http://dx.doi.org/10.3390/admsci15080319")</f>
        <v>http://dx.doi.org/10.3390/admsci15080319</v>
      </c>
      <c r="BG2701" t="s">
        <v>74</v>
      </c>
      <c r="BH2701" t="s">
        <v>74</v>
      </c>
      <c r="BI2701">
        <v>16</v>
      </c>
      <c r="BJ2701" t="s">
        <v>583</v>
      </c>
      <c r="BK2701" t="s">
        <v>313</v>
      </c>
      <c r="BL2701" t="s">
        <v>100</v>
      </c>
      <c r="BM2701" t="s">
        <v>45080</v>
      </c>
      <c r="BN2701" t="s">
        <v>74</v>
      </c>
      <c r="BO2701" t="s">
        <v>212</v>
      </c>
      <c r="BP2701" t="s">
        <v>74</v>
      </c>
      <c r="BQ2701" t="s">
        <v>74</v>
      </c>
      <c r="BR2701" t="s">
        <v>102</v>
      </c>
      <c r="BS2701" t="s">
        <v>45081</v>
      </c>
      <c r="BT2701" t="str">
        <f>HYPERLINK("https%3A%2F%2Fwww.webofscience.com%2Fwos%2Fwoscc%2Ffull-record%2FWOS:001557109200001","View Full Record in Web of Science")</f>
        <v>View Full Record in Web of Science</v>
      </c>
    </row>
    <row r="2702" spans="1:72" x14ac:dyDescent="0.25">
      <c r="A2702" t="s">
        <v>72</v>
      </c>
      <c r="B2702" t="s">
        <v>45082</v>
      </c>
      <c r="C2702" t="s">
        <v>74</v>
      </c>
      <c r="D2702" t="s">
        <v>74</v>
      </c>
      <c r="E2702" t="s">
        <v>74</v>
      </c>
      <c r="F2702" t="s">
        <v>45083</v>
      </c>
      <c r="G2702" t="s">
        <v>74</v>
      </c>
      <c r="H2702" t="s">
        <v>74</v>
      </c>
      <c r="I2702" t="s">
        <v>45084</v>
      </c>
      <c r="J2702" t="s">
        <v>45085</v>
      </c>
      <c r="K2702" t="s">
        <v>74</v>
      </c>
      <c r="L2702" t="s">
        <v>74</v>
      </c>
      <c r="M2702" t="s">
        <v>78</v>
      </c>
      <c r="N2702" t="s">
        <v>79</v>
      </c>
      <c r="O2702" t="s">
        <v>74</v>
      </c>
      <c r="P2702" t="s">
        <v>74</v>
      </c>
      <c r="Q2702" t="s">
        <v>74</v>
      </c>
      <c r="R2702" t="s">
        <v>74</v>
      </c>
      <c r="S2702" t="s">
        <v>74</v>
      </c>
      <c r="T2702" t="s">
        <v>45086</v>
      </c>
      <c r="U2702" t="s">
        <v>45087</v>
      </c>
      <c r="V2702" t="s">
        <v>45088</v>
      </c>
      <c r="W2702" t="s">
        <v>45089</v>
      </c>
      <c r="X2702" t="s">
        <v>45090</v>
      </c>
      <c r="Y2702" t="s">
        <v>45091</v>
      </c>
      <c r="Z2702" t="s">
        <v>45092</v>
      </c>
      <c r="AA2702" t="s">
        <v>74</v>
      </c>
      <c r="AB2702" t="s">
        <v>45093</v>
      </c>
      <c r="AC2702" t="s">
        <v>45094</v>
      </c>
      <c r="AD2702" t="s">
        <v>45095</v>
      </c>
      <c r="AE2702" t="s">
        <v>45096</v>
      </c>
      <c r="AF2702" t="s">
        <v>74</v>
      </c>
      <c r="AG2702">
        <v>44</v>
      </c>
      <c r="AH2702">
        <v>3</v>
      </c>
      <c r="AI2702">
        <v>3</v>
      </c>
      <c r="AJ2702">
        <v>0</v>
      </c>
      <c r="AK2702">
        <v>7</v>
      </c>
      <c r="AL2702" t="s">
        <v>757</v>
      </c>
      <c r="AM2702" t="s">
        <v>758</v>
      </c>
      <c r="AN2702" t="s">
        <v>759</v>
      </c>
      <c r="AO2702" t="s">
        <v>45097</v>
      </c>
      <c r="AP2702" t="s">
        <v>45098</v>
      </c>
      <c r="AQ2702" t="s">
        <v>74</v>
      </c>
      <c r="AR2702" t="s">
        <v>45099</v>
      </c>
      <c r="AS2702" t="s">
        <v>45100</v>
      </c>
      <c r="AT2702" t="s">
        <v>208</v>
      </c>
      <c r="AU2702">
        <v>2022</v>
      </c>
      <c r="AV2702">
        <v>103</v>
      </c>
      <c r="AW2702">
        <v>1</v>
      </c>
      <c r="AX2702" t="s">
        <v>74</v>
      </c>
      <c r="AY2702" t="s">
        <v>74</v>
      </c>
      <c r="AZ2702" t="s">
        <v>441</v>
      </c>
      <c r="BA2702" t="s">
        <v>74</v>
      </c>
      <c r="BB2702">
        <v>65</v>
      </c>
      <c r="BC2702">
        <v>77</v>
      </c>
      <c r="BD2702">
        <v>1.0443894211031484E+16</v>
      </c>
      <c r="BE2702" t="s">
        <v>45101</v>
      </c>
      <c r="BF2702" t="str">
        <f>HYPERLINK("http://dx.doi.org/10.1177/10443894211031484","http://dx.doi.org/10.1177/10443894211031484")</f>
        <v>http://dx.doi.org/10.1177/10443894211031484</v>
      </c>
      <c r="BG2702" t="s">
        <v>74</v>
      </c>
      <c r="BH2702" t="s">
        <v>10889</v>
      </c>
      <c r="BI2702">
        <v>13</v>
      </c>
      <c r="BJ2702" t="s">
        <v>240</v>
      </c>
      <c r="BK2702" t="s">
        <v>99</v>
      </c>
      <c r="BL2702" t="s">
        <v>240</v>
      </c>
      <c r="BM2702" t="s">
        <v>45102</v>
      </c>
      <c r="BN2702" t="s">
        <v>74</v>
      </c>
      <c r="BO2702" t="s">
        <v>1205</v>
      </c>
      <c r="BP2702" t="s">
        <v>74</v>
      </c>
      <c r="BQ2702" t="s">
        <v>74</v>
      </c>
      <c r="BR2702" t="s">
        <v>102</v>
      </c>
      <c r="BS2702" t="s">
        <v>45103</v>
      </c>
      <c r="BT2702" t="str">
        <f>HYPERLINK("https%3A%2F%2Fwww.webofscience.com%2Fwos%2Fwoscc%2Ffull-record%2FWOS:000702405400001","View Full Record in Web of Science")</f>
        <v>View Full Record in Web of Science</v>
      </c>
    </row>
    <row r="2703" spans="1:72" x14ac:dyDescent="0.25">
      <c r="A2703" t="s">
        <v>132</v>
      </c>
      <c r="B2703" t="s">
        <v>45104</v>
      </c>
      <c r="C2703" t="s">
        <v>74</v>
      </c>
      <c r="D2703" t="s">
        <v>1045</v>
      </c>
      <c r="E2703" t="s">
        <v>74</v>
      </c>
      <c r="F2703" t="s">
        <v>45105</v>
      </c>
      <c r="G2703" t="s">
        <v>74</v>
      </c>
      <c r="H2703" t="s">
        <v>74</v>
      </c>
      <c r="I2703" t="s">
        <v>45106</v>
      </c>
      <c r="J2703" t="s">
        <v>10690</v>
      </c>
      <c r="K2703" t="s">
        <v>1049</v>
      </c>
      <c r="L2703" t="s">
        <v>74</v>
      </c>
      <c r="M2703" t="s">
        <v>78</v>
      </c>
      <c r="N2703" t="s">
        <v>138</v>
      </c>
      <c r="O2703" t="s">
        <v>1050</v>
      </c>
      <c r="P2703" t="s">
        <v>1051</v>
      </c>
      <c r="Q2703" t="s">
        <v>1052</v>
      </c>
      <c r="R2703" t="s">
        <v>1053</v>
      </c>
      <c r="S2703" t="s">
        <v>74</v>
      </c>
      <c r="T2703" t="s">
        <v>45107</v>
      </c>
      <c r="U2703" t="s">
        <v>45108</v>
      </c>
      <c r="V2703" t="s">
        <v>45109</v>
      </c>
      <c r="W2703" t="s">
        <v>45110</v>
      </c>
      <c r="X2703" t="s">
        <v>74</v>
      </c>
      <c r="Y2703" t="s">
        <v>45111</v>
      </c>
      <c r="Z2703" t="s">
        <v>45112</v>
      </c>
      <c r="AA2703" t="s">
        <v>45113</v>
      </c>
      <c r="AB2703" t="s">
        <v>19568</v>
      </c>
      <c r="AC2703" t="s">
        <v>74</v>
      </c>
      <c r="AD2703" t="s">
        <v>74</v>
      </c>
      <c r="AE2703" t="s">
        <v>74</v>
      </c>
      <c r="AF2703" t="s">
        <v>74</v>
      </c>
      <c r="AG2703">
        <v>114</v>
      </c>
      <c r="AH2703">
        <v>0</v>
      </c>
      <c r="AI2703">
        <v>0</v>
      </c>
      <c r="AJ2703">
        <v>0</v>
      </c>
      <c r="AK2703">
        <v>6</v>
      </c>
      <c r="AL2703" t="s">
        <v>1062</v>
      </c>
      <c r="AM2703" t="s">
        <v>667</v>
      </c>
      <c r="AN2703" t="s">
        <v>668</v>
      </c>
      <c r="AO2703" t="s">
        <v>1063</v>
      </c>
      <c r="AP2703" t="s">
        <v>1064</v>
      </c>
      <c r="AQ2703" t="s">
        <v>10701</v>
      </c>
      <c r="AR2703" t="s">
        <v>1066</v>
      </c>
      <c r="AS2703" t="s">
        <v>74</v>
      </c>
      <c r="AT2703" t="s">
        <v>74</v>
      </c>
      <c r="AU2703">
        <v>2023</v>
      </c>
      <c r="AV2703">
        <v>487</v>
      </c>
      <c r="AW2703" t="s">
        <v>74</v>
      </c>
      <c r="AX2703" t="s">
        <v>74</v>
      </c>
      <c r="AY2703" t="s">
        <v>74</v>
      </c>
      <c r="AZ2703" t="s">
        <v>74</v>
      </c>
      <c r="BA2703" t="s">
        <v>74</v>
      </c>
      <c r="BB2703">
        <v>963</v>
      </c>
      <c r="BC2703">
        <v>994</v>
      </c>
      <c r="BD2703" t="s">
        <v>74</v>
      </c>
      <c r="BE2703" t="s">
        <v>45114</v>
      </c>
      <c r="BF2703" t="str">
        <f>HYPERLINK("http://dx.doi.org/10.1007/978-3-031-08084-5_69","http://dx.doi.org/10.1007/978-3-031-08084-5_69")</f>
        <v>http://dx.doi.org/10.1007/978-3-031-08084-5_69</v>
      </c>
      <c r="BG2703" t="s">
        <v>74</v>
      </c>
      <c r="BH2703" t="s">
        <v>74</v>
      </c>
      <c r="BI2703">
        <v>32</v>
      </c>
      <c r="BJ2703" t="s">
        <v>1068</v>
      </c>
      <c r="BK2703" t="s">
        <v>1069</v>
      </c>
      <c r="BL2703" t="s">
        <v>1070</v>
      </c>
      <c r="BM2703" t="s">
        <v>10703</v>
      </c>
      <c r="BN2703" t="s">
        <v>74</v>
      </c>
      <c r="BO2703" t="s">
        <v>270</v>
      </c>
      <c r="BP2703" t="s">
        <v>74</v>
      </c>
      <c r="BQ2703" t="s">
        <v>74</v>
      </c>
      <c r="BR2703" t="s">
        <v>102</v>
      </c>
      <c r="BS2703" t="s">
        <v>45115</v>
      </c>
      <c r="BT2703" t="str">
        <f>HYPERLINK("https%3A%2F%2Fwww.webofscience.com%2Fwos%2Fwoscc%2Ffull-record%2FWOS:000892373200066","View Full Record in Web of Science")</f>
        <v>View Full Record in Web of Science</v>
      </c>
    </row>
    <row r="2704" spans="1:72" x14ac:dyDescent="0.25">
      <c r="A2704" t="s">
        <v>72</v>
      </c>
      <c r="B2704" t="s">
        <v>45116</v>
      </c>
      <c r="C2704" t="s">
        <v>74</v>
      </c>
      <c r="D2704" t="s">
        <v>74</v>
      </c>
      <c r="E2704" t="s">
        <v>74</v>
      </c>
      <c r="F2704" t="s">
        <v>45117</v>
      </c>
      <c r="G2704" t="s">
        <v>74</v>
      </c>
      <c r="H2704" t="s">
        <v>74</v>
      </c>
      <c r="I2704" t="s">
        <v>45118</v>
      </c>
      <c r="J2704" t="s">
        <v>43631</v>
      </c>
      <c r="K2704" t="s">
        <v>74</v>
      </c>
      <c r="L2704" t="s">
        <v>74</v>
      </c>
      <c r="M2704" t="s">
        <v>78</v>
      </c>
      <c r="N2704" t="s">
        <v>79</v>
      </c>
      <c r="O2704" t="s">
        <v>74</v>
      </c>
      <c r="P2704" t="s">
        <v>74</v>
      </c>
      <c r="Q2704" t="s">
        <v>74</v>
      </c>
      <c r="R2704" t="s">
        <v>74</v>
      </c>
      <c r="S2704" t="s">
        <v>74</v>
      </c>
      <c r="T2704" t="s">
        <v>45119</v>
      </c>
      <c r="U2704" t="s">
        <v>45120</v>
      </c>
      <c r="V2704" t="s">
        <v>45121</v>
      </c>
      <c r="W2704" t="s">
        <v>45122</v>
      </c>
      <c r="X2704" t="s">
        <v>45123</v>
      </c>
      <c r="Y2704" t="s">
        <v>45124</v>
      </c>
      <c r="Z2704" t="s">
        <v>45125</v>
      </c>
      <c r="AA2704" t="s">
        <v>45126</v>
      </c>
      <c r="AB2704" t="s">
        <v>45127</v>
      </c>
      <c r="AC2704" t="s">
        <v>74</v>
      </c>
      <c r="AD2704" t="s">
        <v>74</v>
      </c>
      <c r="AE2704" t="s">
        <v>74</v>
      </c>
      <c r="AF2704" t="s">
        <v>74</v>
      </c>
      <c r="AG2704">
        <v>67</v>
      </c>
      <c r="AH2704">
        <v>2</v>
      </c>
      <c r="AI2704">
        <v>4</v>
      </c>
      <c r="AJ2704">
        <v>0</v>
      </c>
      <c r="AK2704">
        <v>13</v>
      </c>
      <c r="AL2704" t="s">
        <v>4485</v>
      </c>
      <c r="AM2704" t="s">
        <v>6724</v>
      </c>
      <c r="AN2704" t="s">
        <v>6725</v>
      </c>
      <c r="AO2704" t="s">
        <v>43644</v>
      </c>
      <c r="AP2704" t="s">
        <v>43645</v>
      </c>
      <c r="AQ2704" t="s">
        <v>74</v>
      </c>
      <c r="AR2704" t="s">
        <v>43646</v>
      </c>
      <c r="AS2704" t="s">
        <v>43647</v>
      </c>
      <c r="AT2704" t="s">
        <v>237</v>
      </c>
      <c r="AU2704">
        <v>2024</v>
      </c>
      <c r="AV2704">
        <v>89</v>
      </c>
      <c r="AW2704" t="s">
        <v>74</v>
      </c>
      <c r="AX2704" t="s">
        <v>74</v>
      </c>
      <c r="AY2704" t="s">
        <v>74</v>
      </c>
      <c r="AZ2704" t="s">
        <v>74</v>
      </c>
      <c r="BA2704" t="s">
        <v>74</v>
      </c>
      <c r="BB2704" t="s">
        <v>74</v>
      </c>
      <c r="BC2704" t="s">
        <v>74</v>
      </c>
      <c r="BD2704">
        <v>104674</v>
      </c>
      <c r="BE2704" t="s">
        <v>45128</v>
      </c>
      <c r="BF2704" t="str">
        <f>HYPERLINK("http://dx.doi.org/10.1016/j.resourpol.2024.104674","http://dx.doi.org/10.1016/j.resourpol.2024.104674")</f>
        <v>http://dx.doi.org/10.1016/j.resourpol.2024.104674</v>
      </c>
      <c r="BG2704" t="s">
        <v>74</v>
      </c>
      <c r="BH2704" t="s">
        <v>239</v>
      </c>
      <c r="BI2704">
        <v>10</v>
      </c>
      <c r="BJ2704" t="s">
        <v>14327</v>
      </c>
      <c r="BK2704" t="s">
        <v>99</v>
      </c>
      <c r="BL2704" t="s">
        <v>129</v>
      </c>
      <c r="BM2704" t="s">
        <v>45129</v>
      </c>
      <c r="BN2704" t="s">
        <v>74</v>
      </c>
      <c r="BO2704" t="s">
        <v>74</v>
      </c>
      <c r="BP2704" t="s">
        <v>74</v>
      </c>
      <c r="BQ2704" t="s">
        <v>74</v>
      </c>
      <c r="BR2704" t="s">
        <v>102</v>
      </c>
      <c r="BS2704" t="s">
        <v>45130</v>
      </c>
      <c r="BT2704" t="str">
        <f>HYPERLINK("https%3A%2F%2Fwww.webofscience.com%2Fwos%2Fwoscc%2Ffull-record%2FWOS:001162506800001","View Full Record in Web of Science")</f>
        <v>View Full Record in Web of Science</v>
      </c>
    </row>
    <row r="2705" spans="1:72" x14ac:dyDescent="0.25">
      <c r="A2705" t="s">
        <v>72</v>
      </c>
      <c r="B2705" t="s">
        <v>45131</v>
      </c>
      <c r="C2705" t="s">
        <v>74</v>
      </c>
      <c r="D2705" t="s">
        <v>74</v>
      </c>
      <c r="E2705" t="s">
        <v>74</v>
      </c>
      <c r="F2705" t="s">
        <v>45132</v>
      </c>
      <c r="G2705" t="s">
        <v>74</v>
      </c>
      <c r="H2705" t="s">
        <v>74</v>
      </c>
      <c r="I2705" t="s">
        <v>45133</v>
      </c>
      <c r="J2705" t="s">
        <v>45134</v>
      </c>
      <c r="K2705" t="s">
        <v>74</v>
      </c>
      <c r="L2705" t="s">
        <v>74</v>
      </c>
      <c r="M2705" t="s">
        <v>78</v>
      </c>
      <c r="N2705" t="s">
        <v>79</v>
      </c>
      <c r="O2705" t="s">
        <v>74</v>
      </c>
      <c r="P2705" t="s">
        <v>74</v>
      </c>
      <c r="Q2705" t="s">
        <v>74</v>
      </c>
      <c r="R2705" t="s">
        <v>74</v>
      </c>
      <c r="S2705" t="s">
        <v>74</v>
      </c>
      <c r="T2705" t="s">
        <v>45135</v>
      </c>
      <c r="U2705" t="s">
        <v>45136</v>
      </c>
      <c r="V2705" t="s">
        <v>45137</v>
      </c>
      <c r="W2705" t="s">
        <v>45138</v>
      </c>
      <c r="X2705" t="s">
        <v>45139</v>
      </c>
      <c r="Y2705" t="s">
        <v>45140</v>
      </c>
      <c r="Z2705" t="s">
        <v>45141</v>
      </c>
      <c r="AA2705" t="s">
        <v>45142</v>
      </c>
      <c r="AB2705" t="s">
        <v>45143</v>
      </c>
      <c r="AC2705" t="s">
        <v>74</v>
      </c>
      <c r="AD2705" t="s">
        <v>74</v>
      </c>
      <c r="AE2705" t="s">
        <v>74</v>
      </c>
      <c r="AF2705" t="s">
        <v>74</v>
      </c>
      <c r="AG2705">
        <v>67</v>
      </c>
      <c r="AH2705">
        <v>3</v>
      </c>
      <c r="AI2705">
        <v>4</v>
      </c>
      <c r="AJ2705">
        <v>0</v>
      </c>
      <c r="AK2705">
        <v>4</v>
      </c>
      <c r="AL2705" t="s">
        <v>479</v>
      </c>
      <c r="AM2705" t="s">
        <v>480</v>
      </c>
      <c r="AN2705" t="s">
        <v>481</v>
      </c>
      <c r="AO2705" t="s">
        <v>45144</v>
      </c>
      <c r="AP2705" t="s">
        <v>45145</v>
      </c>
      <c r="AQ2705" t="s">
        <v>74</v>
      </c>
      <c r="AR2705" t="s">
        <v>45146</v>
      </c>
      <c r="AS2705" t="s">
        <v>45147</v>
      </c>
      <c r="AT2705" t="s">
        <v>237</v>
      </c>
      <c r="AU2705">
        <v>2023</v>
      </c>
      <c r="AV2705">
        <v>51</v>
      </c>
      <c r="AW2705">
        <v>1</v>
      </c>
      <c r="AX2705" t="s">
        <v>74</v>
      </c>
      <c r="AY2705" t="s">
        <v>74</v>
      </c>
      <c r="AZ2705" t="s">
        <v>74</v>
      </c>
      <c r="BA2705" t="s">
        <v>74</v>
      </c>
      <c r="BB2705">
        <v>114</v>
      </c>
      <c r="BC2705">
        <v>136</v>
      </c>
      <c r="BD2705" t="s">
        <v>74</v>
      </c>
      <c r="BE2705" t="s">
        <v>45148</v>
      </c>
      <c r="BF2705" t="str">
        <f>HYPERLINK("http://dx.doi.org/10.1111/polp.12514","http://dx.doi.org/10.1111/polp.12514")</f>
        <v>http://dx.doi.org/10.1111/polp.12514</v>
      </c>
      <c r="BG2705" t="s">
        <v>74</v>
      </c>
      <c r="BH2705" t="s">
        <v>11288</v>
      </c>
      <c r="BI2705">
        <v>23</v>
      </c>
      <c r="BJ2705" t="s">
        <v>3326</v>
      </c>
      <c r="BK2705" t="s">
        <v>313</v>
      </c>
      <c r="BL2705" t="s">
        <v>184</v>
      </c>
      <c r="BM2705" t="s">
        <v>45149</v>
      </c>
      <c r="BN2705" t="s">
        <v>74</v>
      </c>
      <c r="BO2705" t="s">
        <v>466</v>
      </c>
      <c r="BP2705" t="s">
        <v>74</v>
      </c>
      <c r="BQ2705" t="s">
        <v>74</v>
      </c>
      <c r="BR2705" t="s">
        <v>102</v>
      </c>
      <c r="BS2705" t="s">
        <v>45150</v>
      </c>
      <c r="BT2705" t="str">
        <f>HYPERLINK("https%3A%2F%2Fwww.webofscience.com%2Fwos%2Fwoscc%2Ffull-record%2FWOS:000912141000001","View Full Record in Web of Science")</f>
        <v>View Full Record in Web of Science</v>
      </c>
    </row>
    <row r="2706" spans="1:72" x14ac:dyDescent="0.25">
      <c r="A2706" t="s">
        <v>72</v>
      </c>
      <c r="B2706" t="s">
        <v>45151</v>
      </c>
      <c r="C2706" t="s">
        <v>74</v>
      </c>
      <c r="D2706" t="s">
        <v>74</v>
      </c>
      <c r="E2706" t="s">
        <v>74</v>
      </c>
      <c r="F2706" t="s">
        <v>45151</v>
      </c>
      <c r="G2706" t="s">
        <v>74</v>
      </c>
      <c r="H2706" t="s">
        <v>74</v>
      </c>
      <c r="I2706" t="s">
        <v>45152</v>
      </c>
      <c r="J2706" t="s">
        <v>45153</v>
      </c>
      <c r="K2706" t="s">
        <v>74</v>
      </c>
      <c r="L2706" t="s">
        <v>74</v>
      </c>
      <c r="M2706" t="s">
        <v>78</v>
      </c>
      <c r="N2706" t="s">
        <v>1766</v>
      </c>
      <c r="O2706" t="s">
        <v>74</v>
      </c>
      <c r="P2706" t="s">
        <v>74</v>
      </c>
      <c r="Q2706" t="s">
        <v>74</v>
      </c>
      <c r="R2706" t="s">
        <v>74</v>
      </c>
      <c r="S2706" t="s">
        <v>74</v>
      </c>
      <c r="T2706" t="s">
        <v>74</v>
      </c>
      <c r="U2706" t="s">
        <v>45154</v>
      </c>
      <c r="V2706" t="s">
        <v>45155</v>
      </c>
      <c r="W2706" t="s">
        <v>45156</v>
      </c>
      <c r="X2706" t="s">
        <v>45157</v>
      </c>
      <c r="Y2706" t="s">
        <v>45158</v>
      </c>
      <c r="Z2706" t="s">
        <v>45159</v>
      </c>
      <c r="AA2706" t="s">
        <v>45160</v>
      </c>
      <c r="AB2706" t="s">
        <v>45161</v>
      </c>
      <c r="AC2706" t="s">
        <v>74</v>
      </c>
      <c r="AD2706" t="s">
        <v>74</v>
      </c>
      <c r="AE2706" t="s">
        <v>74</v>
      </c>
      <c r="AF2706" t="s">
        <v>74</v>
      </c>
      <c r="AG2706">
        <v>119</v>
      </c>
      <c r="AH2706">
        <v>63</v>
      </c>
      <c r="AI2706">
        <v>75</v>
      </c>
      <c r="AJ2706">
        <v>2</v>
      </c>
      <c r="AK2706">
        <v>63</v>
      </c>
      <c r="AL2706" t="s">
        <v>45162</v>
      </c>
      <c r="AM2706" t="s">
        <v>995</v>
      </c>
      <c r="AN2706" t="s">
        <v>45163</v>
      </c>
      <c r="AO2706" t="s">
        <v>45164</v>
      </c>
      <c r="AP2706" t="s">
        <v>74</v>
      </c>
      <c r="AQ2706" t="s">
        <v>74</v>
      </c>
      <c r="AR2706" t="s">
        <v>45165</v>
      </c>
      <c r="AS2706" t="s">
        <v>45166</v>
      </c>
      <c r="AT2706" t="s">
        <v>237</v>
      </c>
      <c r="AU2706">
        <v>1998</v>
      </c>
      <c r="AV2706">
        <v>16</v>
      </c>
      <c r="AW2706">
        <v>1</v>
      </c>
      <c r="AX2706" t="s">
        <v>74</v>
      </c>
      <c r="AY2706" t="s">
        <v>74</v>
      </c>
      <c r="AZ2706" t="s">
        <v>74</v>
      </c>
      <c r="BA2706" t="s">
        <v>74</v>
      </c>
      <c r="BB2706">
        <v>29</v>
      </c>
      <c r="BC2706">
        <v>55</v>
      </c>
      <c r="BD2706" t="s">
        <v>74</v>
      </c>
      <c r="BE2706" t="s">
        <v>45167</v>
      </c>
      <c r="BF2706" t="str">
        <f>HYPERLINK("http://dx.doi.org/10.1068/d160029","http://dx.doi.org/10.1068/d160029")</f>
        <v>http://dx.doi.org/10.1068/d160029</v>
      </c>
      <c r="BG2706" t="s">
        <v>74</v>
      </c>
      <c r="BH2706" t="s">
        <v>74</v>
      </c>
      <c r="BI2706">
        <v>27</v>
      </c>
      <c r="BJ2706" t="s">
        <v>34142</v>
      </c>
      <c r="BK2706" t="s">
        <v>99</v>
      </c>
      <c r="BL2706" t="s">
        <v>34141</v>
      </c>
      <c r="BM2706" t="s">
        <v>45168</v>
      </c>
      <c r="BN2706" t="s">
        <v>74</v>
      </c>
      <c r="BO2706" t="s">
        <v>74</v>
      </c>
      <c r="BP2706" t="s">
        <v>74</v>
      </c>
      <c r="BQ2706" t="s">
        <v>74</v>
      </c>
      <c r="BR2706" t="s">
        <v>102</v>
      </c>
      <c r="BS2706" t="s">
        <v>45169</v>
      </c>
      <c r="BT2706" t="str">
        <f>HYPERLINK("https%3A%2F%2Fwww.webofscience.com%2Fwos%2Fwoscc%2Ffull-record%2FWOS:000071992400003","View Full Record in Web of Science")</f>
        <v>View Full Record in Web of Science</v>
      </c>
    </row>
    <row r="2707" spans="1:72" x14ac:dyDescent="0.25">
      <c r="A2707" t="s">
        <v>72</v>
      </c>
      <c r="B2707" t="s">
        <v>45170</v>
      </c>
      <c r="C2707" t="s">
        <v>74</v>
      </c>
      <c r="D2707" t="s">
        <v>74</v>
      </c>
      <c r="E2707" t="s">
        <v>74</v>
      </c>
      <c r="F2707" t="s">
        <v>45171</v>
      </c>
      <c r="G2707" t="s">
        <v>74</v>
      </c>
      <c r="H2707" t="s">
        <v>74</v>
      </c>
      <c r="I2707" t="s">
        <v>45172</v>
      </c>
      <c r="J2707" t="s">
        <v>19892</v>
      </c>
      <c r="K2707" t="s">
        <v>74</v>
      </c>
      <c r="L2707" t="s">
        <v>74</v>
      </c>
      <c r="M2707" t="s">
        <v>78</v>
      </c>
      <c r="N2707" t="s">
        <v>79</v>
      </c>
      <c r="O2707" t="s">
        <v>74</v>
      </c>
      <c r="P2707" t="s">
        <v>74</v>
      </c>
      <c r="Q2707" t="s">
        <v>74</v>
      </c>
      <c r="R2707" t="s">
        <v>74</v>
      </c>
      <c r="S2707" t="s">
        <v>74</v>
      </c>
      <c r="T2707" t="s">
        <v>45173</v>
      </c>
      <c r="U2707" t="s">
        <v>45174</v>
      </c>
      <c r="V2707" t="s">
        <v>45175</v>
      </c>
      <c r="W2707" t="s">
        <v>45176</v>
      </c>
      <c r="X2707" t="s">
        <v>45177</v>
      </c>
      <c r="Y2707" t="s">
        <v>45178</v>
      </c>
      <c r="Z2707" t="s">
        <v>45179</v>
      </c>
      <c r="AA2707" t="s">
        <v>45180</v>
      </c>
      <c r="AB2707" t="s">
        <v>74</v>
      </c>
      <c r="AC2707" t="s">
        <v>45181</v>
      </c>
      <c r="AD2707" t="s">
        <v>45181</v>
      </c>
      <c r="AE2707" t="s">
        <v>45182</v>
      </c>
      <c r="AF2707" t="s">
        <v>74</v>
      </c>
      <c r="AG2707">
        <v>33</v>
      </c>
      <c r="AH2707">
        <v>0</v>
      </c>
      <c r="AI2707">
        <v>0</v>
      </c>
      <c r="AJ2707">
        <v>1</v>
      </c>
      <c r="AK2707">
        <v>9</v>
      </c>
      <c r="AL2707" t="s">
        <v>332</v>
      </c>
      <c r="AM2707" t="s">
        <v>333</v>
      </c>
      <c r="AN2707" t="s">
        <v>334</v>
      </c>
      <c r="AO2707" t="s">
        <v>19881</v>
      </c>
      <c r="AP2707" t="s">
        <v>19880</v>
      </c>
      <c r="AQ2707" t="s">
        <v>74</v>
      </c>
      <c r="AR2707" t="s">
        <v>19879</v>
      </c>
      <c r="AS2707" t="s">
        <v>19878</v>
      </c>
      <c r="AT2707" t="s">
        <v>1693</v>
      </c>
      <c r="AU2707">
        <v>2023</v>
      </c>
      <c r="AV2707">
        <v>15</v>
      </c>
      <c r="AW2707">
        <v>2</v>
      </c>
      <c r="AX2707" t="s">
        <v>74</v>
      </c>
      <c r="AY2707" t="s">
        <v>74</v>
      </c>
      <c r="AZ2707" t="s">
        <v>74</v>
      </c>
      <c r="BA2707" t="s">
        <v>74</v>
      </c>
      <c r="BB2707">
        <v>183</v>
      </c>
      <c r="BC2707">
        <v>195</v>
      </c>
      <c r="BD2707" t="s">
        <v>74</v>
      </c>
      <c r="BE2707" t="s">
        <v>45183</v>
      </c>
      <c r="BF2707" t="str">
        <f>HYPERLINK("http://dx.doi.org/10.1080/19439342.2022.2089201","http://dx.doi.org/10.1080/19439342.2022.2089201")</f>
        <v>http://dx.doi.org/10.1080/19439342.2022.2089201</v>
      </c>
      <c r="BG2707" t="s">
        <v>74</v>
      </c>
      <c r="BH2707" t="s">
        <v>126</v>
      </c>
      <c r="BI2707">
        <v>13</v>
      </c>
      <c r="BJ2707" t="s">
        <v>1137</v>
      </c>
      <c r="BK2707" t="s">
        <v>99</v>
      </c>
      <c r="BL2707" t="s">
        <v>1137</v>
      </c>
      <c r="BM2707" t="s">
        <v>45184</v>
      </c>
      <c r="BN2707" t="s">
        <v>74</v>
      </c>
      <c r="BO2707" t="s">
        <v>270</v>
      </c>
      <c r="BP2707" t="s">
        <v>74</v>
      </c>
      <c r="BQ2707" t="s">
        <v>74</v>
      </c>
      <c r="BR2707" t="s">
        <v>102</v>
      </c>
      <c r="BS2707" t="s">
        <v>45185</v>
      </c>
      <c r="BT2707" t="str">
        <f>HYPERLINK("https%3A%2F%2Fwww.webofscience.com%2Fwos%2Fwoscc%2Ffull-record%2FWOS:000832496700001","View Full Record in Web of Science")</f>
        <v>View Full Record in Web of Science</v>
      </c>
    </row>
    <row r="2708" spans="1:72" x14ac:dyDescent="0.25">
      <c r="A2708" t="s">
        <v>72</v>
      </c>
      <c r="B2708" t="s">
        <v>45186</v>
      </c>
      <c r="C2708" t="s">
        <v>74</v>
      </c>
      <c r="D2708" t="s">
        <v>74</v>
      </c>
      <c r="E2708" t="s">
        <v>74</v>
      </c>
      <c r="F2708" t="s">
        <v>45187</v>
      </c>
      <c r="G2708" t="s">
        <v>74</v>
      </c>
      <c r="H2708" t="s">
        <v>74</v>
      </c>
      <c r="I2708" t="s">
        <v>45188</v>
      </c>
      <c r="J2708" t="s">
        <v>246</v>
      </c>
      <c r="K2708" t="s">
        <v>74</v>
      </c>
      <c r="L2708" t="s">
        <v>74</v>
      </c>
      <c r="M2708" t="s">
        <v>78</v>
      </c>
      <c r="N2708" t="s">
        <v>79</v>
      </c>
      <c r="O2708" t="s">
        <v>74</v>
      </c>
      <c r="P2708" t="s">
        <v>74</v>
      </c>
      <c r="Q2708" t="s">
        <v>74</v>
      </c>
      <c r="R2708" t="s">
        <v>74</v>
      </c>
      <c r="S2708" t="s">
        <v>74</v>
      </c>
      <c r="T2708" t="s">
        <v>45189</v>
      </c>
      <c r="U2708" t="s">
        <v>900</v>
      </c>
      <c r="V2708" t="s">
        <v>45190</v>
      </c>
      <c r="W2708" t="s">
        <v>45191</v>
      </c>
      <c r="X2708" t="s">
        <v>45192</v>
      </c>
      <c r="Y2708" t="s">
        <v>45193</v>
      </c>
      <c r="Z2708" t="s">
        <v>45194</v>
      </c>
      <c r="AA2708" t="s">
        <v>74</v>
      </c>
      <c r="AB2708" t="s">
        <v>45195</v>
      </c>
      <c r="AC2708" t="s">
        <v>45196</v>
      </c>
      <c r="AD2708" t="s">
        <v>8707</v>
      </c>
      <c r="AE2708" t="s">
        <v>45197</v>
      </c>
      <c r="AF2708" t="s">
        <v>74</v>
      </c>
      <c r="AG2708">
        <v>31</v>
      </c>
      <c r="AH2708">
        <v>47</v>
      </c>
      <c r="AI2708">
        <v>53</v>
      </c>
      <c r="AJ2708">
        <v>29</v>
      </c>
      <c r="AK2708">
        <v>218</v>
      </c>
      <c r="AL2708" t="s">
        <v>259</v>
      </c>
      <c r="AM2708" t="s">
        <v>260</v>
      </c>
      <c r="AN2708" t="s">
        <v>261</v>
      </c>
      <c r="AO2708" t="s">
        <v>262</v>
      </c>
      <c r="AP2708" t="s">
        <v>263</v>
      </c>
      <c r="AQ2708" t="s">
        <v>74</v>
      </c>
      <c r="AR2708" t="s">
        <v>264</v>
      </c>
      <c r="AS2708" t="s">
        <v>265</v>
      </c>
      <c r="AT2708" t="s">
        <v>237</v>
      </c>
      <c r="AU2708">
        <v>2024</v>
      </c>
      <c r="AV2708">
        <v>60</v>
      </c>
      <c r="AW2708" t="s">
        <v>74</v>
      </c>
      <c r="AX2708" t="s">
        <v>74</v>
      </c>
      <c r="AY2708" t="s">
        <v>74</v>
      </c>
      <c r="AZ2708" t="s">
        <v>74</v>
      </c>
      <c r="BA2708" t="s">
        <v>74</v>
      </c>
      <c r="BB2708" t="s">
        <v>74</v>
      </c>
      <c r="BC2708" t="s">
        <v>74</v>
      </c>
      <c r="BD2708">
        <v>104872</v>
      </c>
      <c r="BE2708" t="s">
        <v>45198</v>
      </c>
      <c r="BF2708" t="str">
        <f>HYPERLINK("http://dx.doi.org/10.1016/j.frl.2023.104872","http://dx.doi.org/10.1016/j.frl.2023.104872")</f>
        <v>http://dx.doi.org/10.1016/j.frl.2023.104872</v>
      </c>
      <c r="BG2708" t="s">
        <v>74</v>
      </c>
      <c r="BH2708" t="s">
        <v>1524</v>
      </c>
      <c r="BI2708">
        <v>13</v>
      </c>
      <c r="BJ2708" t="s">
        <v>268</v>
      </c>
      <c r="BK2708" t="s">
        <v>99</v>
      </c>
      <c r="BL2708" t="s">
        <v>100</v>
      </c>
      <c r="BM2708" t="s">
        <v>45199</v>
      </c>
      <c r="BN2708" t="s">
        <v>74</v>
      </c>
      <c r="BO2708" t="s">
        <v>74</v>
      </c>
      <c r="BP2708" t="s">
        <v>74</v>
      </c>
      <c r="BQ2708" t="s">
        <v>74</v>
      </c>
      <c r="BR2708" t="s">
        <v>102</v>
      </c>
      <c r="BS2708" t="s">
        <v>45200</v>
      </c>
      <c r="BT2708" t="str">
        <f>HYPERLINK("https%3A%2F%2Fwww.webofscience.com%2Fwos%2Fwoscc%2Ffull-record%2FWOS:001160979900001","View Full Record in Web of Science")</f>
        <v>View Full Record in Web of Science</v>
      </c>
    </row>
    <row r="2709" spans="1:72" x14ac:dyDescent="0.25">
      <c r="A2709" t="s">
        <v>72</v>
      </c>
      <c r="B2709" t="s">
        <v>45201</v>
      </c>
      <c r="C2709" t="s">
        <v>74</v>
      </c>
      <c r="D2709" t="s">
        <v>74</v>
      </c>
      <c r="E2709" t="s">
        <v>74</v>
      </c>
      <c r="F2709" t="s">
        <v>45202</v>
      </c>
      <c r="G2709" t="s">
        <v>74</v>
      </c>
      <c r="H2709" t="s">
        <v>74</v>
      </c>
      <c r="I2709" t="s">
        <v>45203</v>
      </c>
      <c r="J2709" t="s">
        <v>21954</v>
      </c>
      <c r="K2709" t="s">
        <v>74</v>
      </c>
      <c r="L2709" t="s">
        <v>74</v>
      </c>
      <c r="M2709" t="s">
        <v>78</v>
      </c>
      <c r="N2709" t="s">
        <v>79</v>
      </c>
      <c r="O2709" t="s">
        <v>74</v>
      </c>
      <c r="P2709" t="s">
        <v>74</v>
      </c>
      <c r="Q2709" t="s">
        <v>74</v>
      </c>
      <c r="R2709" t="s">
        <v>74</v>
      </c>
      <c r="S2709" t="s">
        <v>74</v>
      </c>
      <c r="T2709" t="s">
        <v>45204</v>
      </c>
      <c r="U2709" t="s">
        <v>45205</v>
      </c>
      <c r="V2709" t="s">
        <v>45206</v>
      </c>
      <c r="W2709" t="s">
        <v>45207</v>
      </c>
      <c r="X2709" t="s">
        <v>45208</v>
      </c>
      <c r="Y2709" t="s">
        <v>45209</v>
      </c>
      <c r="Z2709" t="s">
        <v>45210</v>
      </c>
      <c r="AA2709" t="s">
        <v>45211</v>
      </c>
      <c r="AB2709" t="s">
        <v>45212</v>
      </c>
      <c r="AC2709" t="s">
        <v>74</v>
      </c>
      <c r="AD2709" t="s">
        <v>74</v>
      </c>
      <c r="AE2709" t="s">
        <v>74</v>
      </c>
      <c r="AF2709" t="s">
        <v>74</v>
      </c>
      <c r="AG2709">
        <v>136</v>
      </c>
      <c r="AH2709">
        <v>67</v>
      </c>
      <c r="AI2709">
        <v>82</v>
      </c>
      <c r="AJ2709">
        <v>6</v>
      </c>
      <c r="AK2709">
        <v>74</v>
      </c>
      <c r="AL2709" t="s">
        <v>4485</v>
      </c>
      <c r="AM2709" t="s">
        <v>6724</v>
      </c>
      <c r="AN2709" t="s">
        <v>6725</v>
      </c>
      <c r="AO2709" t="s">
        <v>21942</v>
      </c>
      <c r="AP2709" t="s">
        <v>21941</v>
      </c>
      <c r="AQ2709" t="s">
        <v>74</v>
      </c>
      <c r="AR2709" t="s">
        <v>21940</v>
      </c>
      <c r="AS2709" t="s">
        <v>21939</v>
      </c>
      <c r="AT2709" t="s">
        <v>848</v>
      </c>
      <c r="AU2709">
        <v>2021</v>
      </c>
      <c r="AV2709">
        <v>61</v>
      </c>
      <c r="AW2709" t="s">
        <v>74</v>
      </c>
      <c r="AX2709" t="s">
        <v>74</v>
      </c>
      <c r="AY2709" t="s">
        <v>74</v>
      </c>
      <c r="AZ2709" t="s">
        <v>74</v>
      </c>
      <c r="BA2709" t="s">
        <v>74</v>
      </c>
      <c r="BB2709" t="s">
        <v>74</v>
      </c>
      <c r="BC2709" t="s">
        <v>74</v>
      </c>
      <c r="BD2709">
        <v>102509</v>
      </c>
      <c r="BE2709" t="s">
        <v>45213</v>
      </c>
      <c r="BF2709" t="str">
        <f>HYPERLINK("http://dx.doi.org/10.1016/j.jretconser.2021.102509","http://dx.doi.org/10.1016/j.jretconser.2021.102509")</f>
        <v>http://dx.doi.org/10.1016/j.jretconser.2021.102509</v>
      </c>
      <c r="BG2709" t="s">
        <v>74</v>
      </c>
      <c r="BH2709" t="s">
        <v>11376</v>
      </c>
      <c r="BI2709">
        <v>20</v>
      </c>
      <c r="BJ2709" t="s">
        <v>418</v>
      </c>
      <c r="BK2709" t="s">
        <v>99</v>
      </c>
      <c r="BL2709" t="s">
        <v>100</v>
      </c>
      <c r="BM2709" t="s">
        <v>45214</v>
      </c>
      <c r="BN2709" t="s">
        <v>74</v>
      </c>
      <c r="BO2709" t="s">
        <v>74</v>
      </c>
      <c r="BP2709" t="s">
        <v>74</v>
      </c>
      <c r="BQ2709" t="s">
        <v>74</v>
      </c>
      <c r="BR2709" t="s">
        <v>102</v>
      </c>
      <c r="BS2709" t="s">
        <v>45215</v>
      </c>
      <c r="BT2709" t="str">
        <f>HYPERLINK("https%3A%2F%2Fwww.webofscience.com%2Fwos%2Fwoscc%2Ffull-record%2FWOS:000663533200028","View Full Record in Web of Science")</f>
        <v>View Full Record in Web of Science</v>
      </c>
    </row>
    <row r="2710" spans="1:72" x14ac:dyDescent="0.25">
      <c r="A2710" t="s">
        <v>72</v>
      </c>
      <c r="B2710" t="s">
        <v>45216</v>
      </c>
      <c r="C2710" t="s">
        <v>74</v>
      </c>
      <c r="D2710" t="s">
        <v>74</v>
      </c>
      <c r="E2710" t="s">
        <v>74</v>
      </c>
      <c r="F2710" t="s">
        <v>45217</v>
      </c>
      <c r="G2710" t="s">
        <v>74</v>
      </c>
      <c r="H2710" t="s">
        <v>74</v>
      </c>
      <c r="I2710" t="s">
        <v>45218</v>
      </c>
      <c r="J2710" t="s">
        <v>4539</v>
      </c>
      <c r="K2710" t="s">
        <v>74</v>
      </c>
      <c r="L2710" t="s">
        <v>74</v>
      </c>
      <c r="M2710" t="s">
        <v>78</v>
      </c>
      <c r="N2710" t="s">
        <v>79</v>
      </c>
      <c r="O2710" t="s">
        <v>74</v>
      </c>
      <c r="P2710" t="s">
        <v>74</v>
      </c>
      <c r="Q2710" t="s">
        <v>74</v>
      </c>
      <c r="R2710" t="s">
        <v>74</v>
      </c>
      <c r="S2710" t="s">
        <v>74</v>
      </c>
      <c r="T2710" t="s">
        <v>45219</v>
      </c>
      <c r="U2710" t="s">
        <v>45220</v>
      </c>
      <c r="V2710" t="s">
        <v>45221</v>
      </c>
      <c r="W2710" t="s">
        <v>45222</v>
      </c>
      <c r="X2710" t="s">
        <v>15381</v>
      </c>
      <c r="Y2710" t="s">
        <v>45223</v>
      </c>
      <c r="Z2710" t="s">
        <v>20613</v>
      </c>
      <c r="AA2710" t="s">
        <v>74</v>
      </c>
      <c r="AB2710" t="s">
        <v>74</v>
      </c>
      <c r="AC2710" t="s">
        <v>45224</v>
      </c>
      <c r="AD2710" t="s">
        <v>45224</v>
      </c>
      <c r="AE2710" t="s">
        <v>45225</v>
      </c>
      <c r="AF2710" t="s">
        <v>74</v>
      </c>
      <c r="AG2710">
        <v>85</v>
      </c>
      <c r="AH2710">
        <v>2</v>
      </c>
      <c r="AI2710">
        <v>3</v>
      </c>
      <c r="AJ2710">
        <v>4</v>
      </c>
      <c r="AK2710">
        <v>8</v>
      </c>
      <c r="AL2710" t="s">
        <v>479</v>
      </c>
      <c r="AM2710" t="s">
        <v>480</v>
      </c>
      <c r="AN2710" t="s">
        <v>481</v>
      </c>
      <c r="AO2710" t="s">
        <v>4548</v>
      </c>
      <c r="AP2710" t="s">
        <v>4549</v>
      </c>
      <c r="AQ2710" t="s">
        <v>74</v>
      </c>
      <c r="AR2710" t="s">
        <v>4550</v>
      </c>
      <c r="AS2710" t="s">
        <v>4551</v>
      </c>
      <c r="AT2710" t="s">
        <v>891</v>
      </c>
      <c r="AU2710">
        <v>2023</v>
      </c>
      <c r="AV2710">
        <v>41</v>
      </c>
      <c r="AW2710">
        <v>6</v>
      </c>
      <c r="AX2710" t="s">
        <v>74</v>
      </c>
      <c r="AY2710" t="s">
        <v>74</v>
      </c>
      <c r="AZ2710" t="s">
        <v>74</v>
      </c>
      <c r="BA2710" t="s">
        <v>74</v>
      </c>
      <c r="BB2710" t="s">
        <v>74</v>
      </c>
      <c r="BC2710" t="s">
        <v>74</v>
      </c>
      <c r="BD2710" t="s">
        <v>45226</v>
      </c>
      <c r="BE2710" t="s">
        <v>45227</v>
      </c>
      <c r="BF2710" t="str">
        <f>HYPERLINK("http://dx.doi.org/10.1111/dpr.12725","http://dx.doi.org/10.1111/dpr.12725")</f>
        <v>http://dx.doi.org/10.1111/dpr.12725</v>
      </c>
      <c r="BG2710" t="s">
        <v>74</v>
      </c>
      <c r="BH2710" t="s">
        <v>74</v>
      </c>
      <c r="BI2710">
        <v>25</v>
      </c>
      <c r="BJ2710" t="s">
        <v>1137</v>
      </c>
      <c r="BK2710" t="s">
        <v>99</v>
      </c>
      <c r="BL2710" t="s">
        <v>1137</v>
      </c>
      <c r="BM2710" t="s">
        <v>45228</v>
      </c>
      <c r="BN2710" t="s">
        <v>74</v>
      </c>
      <c r="BO2710" t="s">
        <v>74</v>
      </c>
      <c r="BP2710" t="s">
        <v>74</v>
      </c>
      <c r="BQ2710" t="s">
        <v>74</v>
      </c>
      <c r="BR2710" t="s">
        <v>102</v>
      </c>
      <c r="BS2710" t="s">
        <v>45229</v>
      </c>
      <c r="BT2710" t="str">
        <f>HYPERLINK("https%3A%2F%2Fwww.webofscience.com%2Fwos%2Fwoscc%2Ffull-record%2FWOS:001157294600005","View Full Record in Web of Science")</f>
        <v>View Full Record in Web of Science</v>
      </c>
    </row>
    <row r="2711" spans="1:72" x14ac:dyDescent="0.25">
      <c r="A2711" t="s">
        <v>72</v>
      </c>
      <c r="B2711" t="s">
        <v>45230</v>
      </c>
      <c r="C2711" t="s">
        <v>74</v>
      </c>
      <c r="D2711" t="s">
        <v>74</v>
      </c>
      <c r="E2711" t="s">
        <v>74</v>
      </c>
      <c r="F2711" t="s">
        <v>45231</v>
      </c>
      <c r="G2711" t="s">
        <v>74</v>
      </c>
      <c r="H2711" t="s">
        <v>74</v>
      </c>
      <c r="I2711" t="s">
        <v>45232</v>
      </c>
      <c r="J2711" t="s">
        <v>246</v>
      </c>
      <c r="K2711" t="s">
        <v>74</v>
      </c>
      <c r="L2711" t="s">
        <v>74</v>
      </c>
      <c r="M2711" t="s">
        <v>78</v>
      </c>
      <c r="N2711" t="s">
        <v>79</v>
      </c>
      <c r="O2711" t="s">
        <v>74</v>
      </c>
      <c r="P2711" t="s">
        <v>74</v>
      </c>
      <c r="Q2711" t="s">
        <v>74</v>
      </c>
      <c r="R2711" t="s">
        <v>74</v>
      </c>
      <c r="S2711" t="s">
        <v>74</v>
      </c>
      <c r="T2711" t="s">
        <v>45233</v>
      </c>
      <c r="U2711" t="s">
        <v>45234</v>
      </c>
      <c r="V2711" t="s">
        <v>45235</v>
      </c>
      <c r="W2711" t="s">
        <v>45236</v>
      </c>
      <c r="X2711" t="s">
        <v>45237</v>
      </c>
      <c r="Y2711" t="s">
        <v>45238</v>
      </c>
      <c r="Z2711" t="s">
        <v>45239</v>
      </c>
      <c r="AA2711" t="s">
        <v>45240</v>
      </c>
      <c r="AB2711" t="s">
        <v>45241</v>
      </c>
      <c r="AC2711" t="s">
        <v>74</v>
      </c>
      <c r="AD2711" t="s">
        <v>74</v>
      </c>
      <c r="AE2711" t="s">
        <v>74</v>
      </c>
      <c r="AF2711" t="s">
        <v>74</v>
      </c>
      <c r="AG2711">
        <v>40</v>
      </c>
      <c r="AH2711">
        <v>2</v>
      </c>
      <c r="AI2711">
        <v>2</v>
      </c>
      <c r="AJ2711">
        <v>2</v>
      </c>
      <c r="AK2711">
        <v>20</v>
      </c>
      <c r="AL2711" t="s">
        <v>259</v>
      </c>
      <c r="AM2711" t="s">
        <v>260</v>
      </c>
      <c r="AN2711" t="s">
        <v>261</v>
      </c>
      <c r="AO2711" t="s">
        <v>262</v>
      </c>
      <c r="AP2711" t="s">
        <v>263</v>
      </c>
      <c r="AQ2711" t="s">
        <v>74</v>
      </c>
      <c r="AR2711" t="s">
        <v>264</v>
      </c>
      <c r="AS2711" t="s">
        <v>265</v>
      </c>
      <c r="AT2711" t="s">
        <v>1540</v>
      </c>
      <c r="AU2711">
        <v>2024</v>
      </c>
      <c r="AV2711">
        <v>63</v>
      </c>
      <c r="AW2711" t="s">
        <v>74</v>
      </c>
      <c r="AX2711" t="s">
        <v>74</v>
      </c>
      <c r="AY2711" t="s">
        <v>74</v>
      </c>
      <c r="AZ2711" t="s">
        <v>74</v>
      </c>
      <c r="BA2711" t="s">
        <v>74</v>
      </c>
      <c r="BB2711" t="s">
        <v>74</v>
      </c>
      <c r="BC2711" t="s">
        <v>74</v>
      </c>
      <c r="BD2711">
        <v>105292</v>
      </c>
      <c r="BE2711" t="s">
        <v>45242</v>
      </c>
      <c r="BF2711" t="str">
        <f>HYPERLINK("http://dx.doi.org/10.1016/j.frl.2024.105292","http://dx.doi.org/10.1016/j.frl.2024.105292")</f>
        <v>http://dx.doi.org/10.1016/j.frl.2024.105292</v>
      </c>
      <c r="BG2711" t="s">
        <v>74</v>
      </c>
      <c r="BH2711" t="s">
        <v>1981</v>
      </c>
      <c r="BI2711">
        <v>7</v>
      </c>
      <c r="BJ2711" t="s">
        <v>268</v>
      </c>
      <c r="BK2711" t="s">
        <v>99</v>
      </c>
      <c r="BL2711" t="s">
        <v>100</v>
      </c>
      <c r="BM2711" t="s">
        <v>45243</v>
      </c>
      <c r="BN2711" t="s">
        <v>74</v>
      </c>
      <c r="BO2711" t="s">
        <v>74</v>
      </c>
      <c r="BP2711" t="s">
        <v>74</v>
      </c>
      <c r="BQ2711" t="s">
        <v>74</v>
      </c>
      <c r="BR2711" t="s">
        <v>102</v>
      </c>
      <c r="BS2711" t="s">
        <v>45244</v>
      </c>
      <c r="BT2711" t="str">
        <f>HYPERLINK("https%3A%2F%2Fwww.webofscience.com%2Fwos%2Fwoscc%2Ffull-record%2FWOS:001223742600001","View Full Record in Web of Science")</f>
        <v>View Full Record in Web of Science</v>
      </c>
    </row>
    <row r="2712" spans="1:72" x14ac:dyDescent="0.25">
      <c r="A2712" t="s">
        <v>72</v>
      </c>
      <c r="B2712" t="s">
        <v>45245</v>
      </c>
      <c r="C2712" t="s">
        <v>74</v>
      </c>
      <c r="D2712" t="s">
        <v>74</v>
      </c>
      <c r="E2712" t="s">
        <v>74</v>
      </c>
      <c r="F2712" t="s">
        <v>45246</v>
      </c>
      <c r="G2712" t="s">
        <v>74</v>
      </c>
      <c r="H2712" t="s">
        <v>74</v>
      </c>
      <c r="I2712" t="s">
        <v>45247</v>
      </c>
      <c r="J2712" t="s">
        <v>35497</v>
      </c>
      <c r="K2712" t="s">
        <v>74</v>
      </c>
      <c r="L2712" t="s">
        <v>74</v>
      </c>
      <c r="M2712" t="s">
        <v>78</v>
      </c>
      <c r="N2712" t="s">
        <v>79</v>
      </c>
      <c r="O2712" t="s">
        <v>74</v>
      </c>
      <c r="P2712" t="s">
        <v>74</v>
      </c>
      <c r="Q2712" t="s">
        <v>74</v>
      </c>
      <c r="R2712" t="s">
        <v>74</v>
      </c>
      <c r="S2712" t="s">
        <v>74</v>
      </c>
      <c r="T2712" t="s">
        <v>45248</v>
      </c>
      <c r="U2712" t="s">
        <v>45249</v>
      </c>
      <c r="V2712" t="s">
        <v>45250</v>
      </c>
      <c r="W2712" t="s">
        <v>45251</v>
      </c>
      <c r="X2712" t="s">
        <v>45252</v>
      </c>
      <c r="Y2712" t="s">
        <v>45253</v>
      </c>
      <c r="Z2712" t="s">
        <v>45254</v>
      </c>
      <c r="AA2712" t="s">
        <v>74</v>
      </c>
      <c r="AB2712" t="s">
        <v>74</v>
      </c>
      <c r="AC2712" t="s">
        <v>74</v>
      </c>
      <c r="AD2712" t="s">
        <v>74</v>
      </c>
      <c r="AE2712" t="s">
        <v>45255</v>
      </c>
      <c r="AF2712" t="s">
        <v>74</v>
      </c>
      <c r="AG2712">
        <v>93</v>
      </c>
      <c r="AH2712">
        <v>0</v>
      </c>
      <c r="AI2712">
        <v>0</v>
      </c>
      <c r="AJ2712">
        <v>0</v>
      </c>
      <c r="AK2712">
        <v>3</v>
      </c>
      <c r="AL2712" t="s">
        <v>35503</v>
      </c>
      <c r="AM2712" t="s">
        <v>16016</v>
      </c>
      <c r="AN2712" t="s">
        <v>35504</v>
      </c>
      <c r="AO2712" t="s">
        <v>35505</v>
      </c>
      <c r="AP2712" t="s">
        <v>35506</v>
      </c>
      <c r="AQ2712" t="s">
        <v>74</v>
      </c>
      <c r="AR2712" t="s">
        <v>35507</v>
      </c>
      <c r="AS2712" t="s">
        <v>35508</v>
      </c>
      <c r="AT2712" t="s">
        <v>31451</v>
      </c>
      <c r="AU2712">
        <v>2023</v>
      </c>
      <c r="AV2712">
        <v>46</v>
      </c>
      <c r="AW2712">
        <v>132</v>
      </c>
      <c r="AX2712" t="s">
        <v>74</v>
      </c>
      <c r="AY2712" t="s">
        <v>74</v>
      </c>
      <c r="AZ2712" t="s">
        <v>74</v>
      </c>
      <c r="BA2712" t="s">
        <v>74</v>
      </c>
      <c r="BB2712" t="s">
        <v>74</v>
      </c>
      <c r="BC2712" t="s">
        <v>74</v>
      </c>
      <c r="BD2712" t="s">
        <v>74</v>
      </c>
      <c r="BE2712" t="s">
        <v>45256</v>
      </c>
      <c r="BF2712" t="str">
        <f>HYPERLINK("http://dx.doi.org/10.32826/cude.v46i132.1216","http://dx.doi.org/10.32826/cude.v46i132.1216")</f>
        <v>http://dx.doi.org/10.32826/cude.v46i132.1216</v>
      </c>
      <c r="BG2712" t="s">
        <v>74</v>
      </c>
      <c r="BH2712" t="s">
        <v>74</v>
      </c>
      <c r="BI2712">
        <v>19</v>
      </c>
      <c r="BJ2712" t="s">
        <v>291</v>
      </c>
      <c r="BK2712" t="s">
        <v>313</v>
      </c>
      <c r="BL2712" t="s">
        <v>100</v>
      </c>
      <c r="BM2712" t="s">
        <v>45257</v>
      </c>
      <c r="BN2712" t="s">
        <v>74</v>
      </c>
      <c r="BO2712" t="s">
        <v>74</v>
      </c>
      <c r="BP2712" t="s">
        <v>74</v>
      </c>
      <c r="BQ2712" t="s">
        <v>74</v>
      </c>
      <c r="BR2712" t="s">
        <v>102</v>
      </c>
      <c r="BS2712" t="s">
        <v>45258</v>
      </c>
      <c r="BT2712" t="str">
        <f>HYPERLINK("https%3A%2F%2Fwww.webofscience.com%2Fwos%2Fwoscc%2Ffull-record%2FWOS:001300984700006","View Full Record in Web of Science")</f>
        <v>View Full Record in Web of Science</v>
      </c>
    </row>
    <row r="2713" spans="1:72" x14ac:dyDescent="0.25">
      <c r="A2713" t="s">
        <v>72</v>
      </c>
      <c r="B2713" t="s">
        <v>45259</v>
      </c>
      <c r="C2713" t="s">
        <v>74</v>
      </c>
      <c r="D2713" t="s">
        <v>74</v>
      </c>
      <c r="E2713" t="s">
        <v>74</v>
      </c>
      <c r="F2713" t="s">
        <v>45260</v>
      </c>
      <c r="G2713" t="s">
        <v>74</v>
      </c>
      <c r="H2713" t="s">
        <v>74</v>
      </c>
      <c r="I2713" t="s">
        <v>45261</v>
      </c>
      <c r="J2713" t="s">
        <v>45262</v>
      </c>
      <c r="K2713" t="s">
        <v>74</v>
      </c>
      <c r="L2713" t="s">
        <v>74</v>
      </c>
      <c r="M2713" t="s">
        <v>78</v>
      </c>
      <c r="N2713" t="s">
        <v>79</v>
      </c>
      <c r="O2713" t="s">
        <v>74</v>
      </c>
      <c r="P2713" t="s">
        <v>74</v>
      </c>
      <c r="Q2713" t="s">
        <v>74</v>
      </c>
      <c r="R2713" t="s">
        <v>74</v>
      </c>
      <c r="S2713" t="s">
        <v>74</v>
      </c>
      <c r="T2713" t="s">
        <v>45263</v>
      </c>
      <c r="U2713" t="s">
        <v>74</v>
      </c>
      <c r="V2713" t="s">
        <v>45264</v>
      </c>
      <c r="W2713" t="s">
        <v>45265</v>
      </c>
      <c r="X2713" t="s">
        <v>74</v>
      </c>
      <c r="Y2713" t="s">
        <v>45266</v>
      </c>
      <c r="Z2713" t="s">
        <v>45267</v>
      </c>
      <c r="AA2713" t="s">
        <v>74</v>
      </c>
      <c r="AB2713" t="s">
        <v>74</v>
      </c>
      <c r="AC2713" t="s">
        <v>74</v>
      </c>
      <c r="AD2713" t="s">
        <v>74</v>
      </c>
      <c r="AE2713" t="s">
        <v>74</v>
      </c>
      <c r="AF2713" t="s">
        <v>74</v>
      </c>
      <c r="AG2713">
        <v>0</v>
      </c>
      <c r="AH2713">
        <v>1</v>
      </c>
      <c r="AI2713">
        <v>1</v>
      </c>
      <c r="AJ2713">
        <v>0</v>
      </c>
      <c r="AK2713">
        <v>3</v>
      </c>
      <c r="AL2713" t="s">
        <v>45268</v>
      </c>
      <c r="AM2713" t="s">
        <v>45269</v>
      </c>
      <c r="AN2713" t="s">
        <v>45270</v>
      </c>
      <c r="AO2713" t="s">
        <v>45271</v>
      </c>
      <c r="AP2713" t="s">
        <v>74</v>
      </c>
      <c r="AQ2713" t="s">
        <v>74</v>
      </c>
      <c r="AR2713" t="s">
        <v>45272</v>
      </c>
      <c r="AS2713" t="s">
        <v>45273</v>
      </c>
      <c r="AT2713" t="s">
        <v>743</v>
      </c>
      <c r="AU2713">
        <v>2017</v>
      </c>
      <c r="AV2713">
        <v>104</v>
      </c>
      <c r="AW2713">
        <v>2</v>
      </c>
      <c r="AX2713" t="s">
        <v>74</v>
      </c>
      <c r="AY2713" t="s">
        <v>74</v>
      </c>
      <c r="AZ2713" t="s">
        <v>74</v>
      </c>
      <c r="BA2713" t="s">
        <v>74</v>
      </c>
      <c r="BB2713">
        <v>203</v>
      </c>
      <c r="BC2713">
        <v>236</v>
      </c>
      <c r="BD2713" t="s">
        <v>74</v>
      </c>
      <c r="BE2713" t="s">
        <v>74</v>
      </c>
      <c r="BF2713" t="s">
        <v>74</v>
      </c>
      <c r="BG2713" t="s">
        <v>74</v>
      </c>
      <c r="BH2713" t="s">
        <v>74</v>
      </c>
      <c r="BI2713">
        <v>34</v>
      </c>
      <c r="BJ2713" t="s">
        <v>2464</v>
      </c>
      <c r="BK2713" t="s">
        <v>313</v>
      </c>
      <c r="BL2713" t="s">
        <v>2464</v>
      </c>
      <c r="BM2713" t="s">
        <v>45274</v>
      </c>
      <c r="BN2713" t="s">
        <v>74</v>
      </c>
      <c r="BO2713" t="s">
        <v>74</v>
      </c>
      <c r="BP2713" t="s">
        <v>74</v>
      </c>
      <c r="BQ2713" t="s">
        <v>74</v>
      </c>
      <c r="BR2713" t="s">
        <v>102</v>
      </c>
      <c r="BS2713" t="s">
        <v>45275</v>
      </c>
      <c r="BT2713" t="str">
        <f>HYPERLINK("https%3A%2F%2Fwww.webofscience.com%2Fwos%2Fwoscc%2Ffull-record%2FWOS:000414757800002","View Full Record in Web of Science")</f>
        <v>View Full Record in Web of Science</v>
      </c>
    </row>
    <row r="2714" spans="1:72" x14ac:dyDescent="0.25">
      <c r="A2714" t="s">
        <v>72</v>
      </c>
      <c r="B2714" t="s">
        <v>45276</v>
      </c>
      <c r="C2714" t="s">
        <v>74</v>
      </c>
      <c r="D2714" t="s">
        <v>74</v>
      </c>
      <c r="E2714" t="s">
        <v>74</v>
      </c>
      <c r="F2714" t="s">
        <v>45277</v>
      </c>
      <c r="G2714" t="s">
        <v>74</v>
      </c>
      <c r="H2714" t="s">
        <v>74</v>
      </c>
      <c r="I2714" t="s">
        <v>45278</v>
      </c>
      <c r="J2714" t="s">
        <v>656</v>
      </c>
      <c r="K2714" t="s">
        <v>74</v>
      </c>
      <c r="L2714" t="s">
        <v>74</v>
      </c>
      <c r="M2714" t="s">
        <v>78</v>
      </c>
      <c r="N2714" t="s">
        <v>79</v>
      </c>
      <c r="O2714" t="s">
        <v>74</v>
      </c>
      <c r="P2714" t="s">
        <v>74</v>
      </c>
      <c r="Q2714" t="s">
        <v>74</v>
      </c>
      <c r="R2714" t="s">
        <v>74</v>
      </c>
      <c r="S2714" t="s">
        <v>74</v>
      </c>
      <c r="T2714" t="s">
        <v>45279</v>
      </c>
      <c r="U2714" t="s">
        <v>45280</v>
      </c>
      <c r="V2714" t="s">
        <v>45281</v>
      </c>
      <c r="W2714" t="s">
        <v>45282</v>
      </c>
      <c r="X2714" t="s">
        <v>45283</v>
      </c>
      <c r="Y2714" t="s">
        <v>45284</v>
      </c>
      <c r="Z2714" t="s">
        <v>45285</v>
      </c>
      <c r="AA2714" t="s">
        <v>20789</v>
      </c>
      <c r="AB2714" t="s">
        <v>45286</v>
      </c>
      <c r="AC2714" t="s">
        <v>74</v>
      </c>
      <c r="AD2714" t="s">
        <v>74</v>
      </c>
      <c r="AE2714" t="s">
        <v>74</v>
      </c>
      <c r="AF2714" t="s">
        <v>74</v>
      </c>
      <c r="AG2714">
        <v>65</v>
      </c>
      <c r="AH2714">
        <v>24</v>
      </c>
      <c r="AI2714">
        <v>31</v>
      </c>
      <c r="AJ2714">
        <v>1</v>
      </c>
      <c r="AK2714">
        <v>20</v>
      </c>
      <c r="AL2714" t="s">
        <v>666</v>
      </c>
      <c r="AM2714" t="s">
        <v>667</v>
      </c>
      <c r="AN2714" t="s">
        <v>668</v>
      </c>
      <c r="AO2714" t="s">
        <v>669</v>
      </c>
      <c r="AP2714" t="s">
        <v>670</v>
      </c>
      <c r="AQ2714" t="s">
        <v>74</v>
      </c>
      <c r="AR2714" t="s">
        <v>671</v>
      </c>
      <c r="AS2714" t="s">
        <v>672</v>
      </c>
      <c r="AT2714" t="s">
        <v>124</v>
      </c>
      <c r="AU2714">
        <v>2022</v>
      </c>
      <c r="AV2714">
        <v>43</v>
      </c>
      <c r="AW2714">
        <v>4</v>
      </c>
      <c r="AX2714" t="s">
        <v>74</v>
      </c>
      <c r="AY2714" t="s">
        <v>74</v>
      </c>
      <c r="AZ2714" t="s">
        <v>441</v>
      </c>
      <c r="BA2714" t="s">
        <v>74</v>
      </c>
      <c r="BB2714">
        <v>730</v>
      </c>
      <c r="BC2714">
        <v>743</v>
      </c>
      <c r="BD2714" t="s">
        <v>74</v>
      </c>
      <c r="BE2714" t="s">
        <v>45287</v>
      </c>
      <c r="BF2714" t="str">
        <f>HYPERLINK("http://dx.doi.org/10.1007/s10834-022-09849-w","http://dx.doi.org/10.1007/s10834-022-09849-w")</f>
        <v>http://dx.doi.org/10.1007/s10834-022-09849-w</v>
      </c>
      <c r="BG2714" t="s">
        <v>74</v>
      </c>
      <c r="BH2714" t="s">
        <v>1802</v>
      </c>
      <c r="BI2714">
        <v>14</v>
      </c>
      <c r="BJ2714" t="s">
        <v>675</v>
      </c>
      <c r="BK2714" t="s">
        <v>99</v>
      </c>
      <c r="BL2714" t="s">
        <v>676</v>
      </c>
      <c r="BM2714" t="s">
        <v>677</v>
      </c>
      <c r="BN2714" t="s">
        <v>74</v>
      </c>
      <c r="BO2714" t="s">
        <v>74</v>
      </c>
      <c r="BP2714" t="s">
        <v>74</v>
      </c>
      <c r="BQ2714" t="s">
        <v>74</v>
      </c>
      <c r="BR2714" t="s">
        <v>102</v>
      </c>
      <c r="BS2714" t="s">
        <v>45288</v>
      </c>
      <c r="BT2714" t="str">
        <f>HYPERLINK("https%3A%2F%2Fwww.webofscience.com%2Fwos%2Fwoscc%2Ffull-record%2FWOS:000807978700001","View Full Record in Web of Science")</f>
        <v>View Full Record in Web of Science</v>
      </c>
    </row>
    <row r="2715" spans="1:72" x14ac:dyDescent="0.25">
      <c r="A2715" t="s">
        <v>132</v>
      </c>
      <c r="B2715" t="s">
        <v>45289</v>
      </c>
      <c r="C2715" t="s">
        <v>74</v>
      </c>
      <c r="D2715" t="s">
        <v>45290</v>
      </c>
      <c r="E2715" t="s">
        <v>74</v>
      </c>
      <c r="F2715" t="s">
        <v>45291</v>
      </c>
      <c r="G2715" t="s">
        <v>74</v>
      </c>
      <c r="H2715" t="s">
        <v>74</v>
      </c>
      <c r="I2715" t="s">
        <v>45292</v>
      </c>
      <c r="J2715" t="s">
        <v>45293</v>
      </c>
      <c r="K2715" t="s">
        <v>45294</v>
      </c>
      <c r="L2715" t="s">
        <v>74</v>
      </c>
      <c r="M2715" t="s">
        <v>78</v>
      </c>
      <c r="N2715" t="s">
        <v>138</v>
      </c>
      <c r="O2715" t="s">
        <v>45295</v>
      </c>
      <c r="P2715" t="s">
        <v>45296</v>
      </c>
      <c r="Q2715" t="s">
        <v>45297</v>
      </c>
      <c r="R2715" t="s">
        <v>45298</v>
      </c>
      <c r="S2715" t="s">
        <v>74</v>
      </c>
      <c r="T2715" t="s">
        <v>45299</v>
      </c>
      <c r="U2715" t="s">
        <v>74</v>
      </c>
      <c r="V2715" t="s">
        <v>45300</v>
      </c>
      <c r="W2715" t="s">
        <v>45301</v>
      </c>
      <c r="X2715" t="s">
        <v>45302</v>
      </c>
      <c r="Y2715" t="s">
        <v>45303</v>
      </c>
      <c r="Z2715" t="s">
        <v>74</v>
      </c>
      <c r="AA2715" t="s">
        <v>74</v>
      </c>
      <c r="AB2715" t="s">
        <v>74</v>
      </c>
      <c r="AC2715" t="s">
        <v>74</v>
      </c>
      <c r="AD2715" t="s">
        <v>74</v>
      </c>
      <c r="AE2715" t="s">
        <v>74</v>
      </c>
      <c r="AF2715" t="s">
        <v>74</v>
      </c>
      <c r="AG2715">
        <v>19</v>
      </c>
      <c r="AH2715">
        <v>0</v>
      </c>
      <c r="AI2715">
        <v>0</v>
      </c>
      <c r="AJ2715">
        <v>0</v>
      </c>
      <c r="AK2715">
        <v>6</v>
      </c>
      <c r="AL2715" t="s">
        <v>45304</v>
      </c>
      <c r="AM2715" t="s">
        <v>45305</v>
      </c>
      <c r="AN2715" t="s">
        <v>45306</v>
      </c>
      <c r="AO2715" t="s">
        <v>45307</v>
      </c>
      <c r="AP2715" t="s">
        <v>74</v>
      </c>
      <c r="AQ2715" t="s">
        <v>45308</v>
      </c>
      <c r="AR2715" t="s">
        <v>45309</v>
      </c>
      <c r="AS2715" t="s">
        <v>74</v>
      </c>
      <c r="AT2715" t="s">
        <v>74</v>
      </c>
      <c r="AU2715">
        <v>2008</v>
      </c>
      <c r="AV2715" t="s">
        <v>74</v>
      </c>
      <c r="AW2715">
        <v>17</v>
      </c>
      <c r="AX2715" t="s">
        <v>74</v>
      </c>
      <c r="AY2715" t="s">
        <v>74</v>
      </c>
      <c r="AZ2715" t="s">
        <v>74</v>
      </c>
      <c r="BA2715" t="s">
        <v>74</v>
      </c>
      <c r="BB2715">
        <v>166</v>
      </c>
      <c r="BC2715">
        <v>173</v>
      </c>
      <c r="BD2715" t="s">
        <v>74</v>
      </c>
      <c r="BE2715" t="s">
        <v>74</v>
      </c>
      <c r="BF2715" t="s">
        <v>74</v>
      </c>
      <c r="BG2715" t="s">
        <v>74</v>
      </c>
      <c r="BH2715" t="s">
        <v>74</v>
      </c>
      <c r="BI2715">
        <v>8</v>
      </c>
      <c r="BJ2715" t="s">
        <v>5151</v>
      </c>
      <c r="BK2715" t="s">
        <v>156</v>
      </c>
      <c r="BL2715" t="s">
        <v>5152</v>
      </c>
      <c r="BM2715" t="s">
        <v>45310</v>
      </c>
      <c r="BN2715" t="s">
        <v>74</v>
      </c>
      <c r="BO2715" t="s">
        <v>74</v>
      </c>
      <c r="BP2715" t="s">
        <v>74</v>
      </c>
      <c r="BQ2715" t="s">
        <v>74</v>
      </c>
      <c r="BR2715" t="s">
        <v>102</v>
      </c>
      <c r="BS2715" t="s">
        <v>45311</v>
      </c>
      <c r="BT2715" t="str">
        <f>HYPERLINK("https%3A%2F%2Fwww.webofscience.com%2Fwos%2Fwoscc%2Ffull-record%2FWOS:000288353100022","View Full Record in Web of Science")</f>
        <v>View Full Record in Web of Science</v>
      </c>
    </row>
    <row r="2716" spans="1:72" x14ac:dyDescent="0.25">
      <c r="A2716" t="s">
        <v>72</v>
      </c>
      <c r="B2716" t="s">
        <v>45312</v>
      </c>
      <c r="C2716" t="s">
        <v>74</v>
      </c>
      <c r="D2716" t="s">
        <v>74</v>
      </c>
      <c r="E2716" t="s">
        <v>74</v>
      </c>
      <c r="F2716" t="s">
        <v>45313</v>
      </c>
      <c r="G2716" t="s">
        <v>74</v>
      </c>
      <c r="H2716" t="s">
        <v>74</v>
      </c>
      <c r="I2716" t="s">
        <v>45314</v>
      </c>
      <c r="J2716" t="s">
        <v>45315</v>
      </c>
      <c r="K2716" t="s">
        <v>74</v>
      </c>
      <c r="L2716" t="s">
        <v>74</v>
      </c>
      <c r="M2716" t="s">
        <v>78</v>
      </c>
      <c r="N2716" t="s">
        <v>79</v>
      </c>
      <c r="O2716" t="s">
        <v>74</v>
      </c>
      <c r="P2716" t="s">
        <v>74</v>
      </c>
      <c r="Q2716" t="s">
        <v>74</v>
      </c>
      <c r="R2716" t="s">
        <v>74</v>
      </c>
      <c r="S2716" t="s">
        <v>74</v>
      </c>
      <c r="T2716" t="s">
        <v>45316</v>
      </c>
      <c r="U2716" t="s">
        <v>74</v>
      </c>
      <c r="V2716" t="s">
        <v>45317</v>
      </c>
      <c r="W2716" t="s">
        <v>45318</v>
      </c>
      <c r="X2716" t="s">
        <v>45319</v>
      </c>
      <c r="Y2716" t="s">
        <v>45320</v>
      </c>
      <c r="Z2716" t="s">
        <v>45321</v>
      </c>
      <c r="AA2716" t="s">
        <v>45322</v>
      </c>
      <c r="AB2716" t="s">
        <v>45323</v>
      </c>
      <c r="AC2716" t="s">
        <v>74</v>
      </c>
      <c r="AD2716" t="s">
        <v>74</v>
      </c>
      <c r="AE2716" t="s">
        <v>74</v>
      </c>
      <c r="AF2716" t="s">
        <v>74</v>
      </c>
      <c r="AG2716">
        <v>102</v>
      </c>
      <c r="AH2716">
        <v>4</v>
      </c>
      <c r="AI2716">
        <v>4</v>
      </c>
      <c r="AJ2716">
        <v>2</v>
      </c>
      <c r="AK2716">
        <v>8</v>
      </c>
      <c r="AL2716" t="s">
        <v>3861</v>
      </c>
      <c r="AM2716" t="s">
        <v>2016</v>
      </c>
      <c r="AN2716" t="s">
        <v>3862</v>
      </c>
      <c r="AO2716" t="s">
        <v>45324</v>
      </c>
      <c r="AP2716" t="s">
        <v>45325</v>
      </c>
      <c r="AQ2716" t="s">
        <v>74</v>
      </c>
      <c r="AR2716" t="s">
        <v>45326</v>
      </c>
      <c r="AS2716" t="s">
        <v>45327</v>
      </c>
      <c r="AT2716" t="s">
        <v>1652</v>
      </c>
      <c r="AU2716">
        <v>2022</v>
      </c>
      <c r="AV2716">
        <v>23</v>
      </c>
      <c r="AW2716">
        <v>2</v>
      </c>
      <c r="AX2716" t="s">
        <v>74</v>
      </c>
      <c r="AY2716" t="s">
        <v>74</v>
      </c>
      <c r="AZ2716" t="s">
        <v>74</v>
      </c>
      <c r="BA2716" t="s">
        <v>74</v>
      </c>
      <c r="BB2716">
        <v>548</v>
      </c>
      <c r="BC2716">
        <v>581</v>
      </c>
      <c r="BD2716" t="s">
        <v>74</v>
      </c>
      <c r="BE2716" t="s">
        <v>45328</v>
      </c>
      <c r="BF2716" t="str">
        <f>HYPERLINK("http://dx.doi.org/10.1017/eso.2020.67","http://dx.doi.org/10.1017/eso.2020.67")</f>
        <v>http://dx.doi.org/10.1017/eso.2020.67</v>
      </c>
      <c r="BG2716" t="s">
        <v>74</v>
      </c>
      <c r="BH2716" t="s">
        <v>11151</v>
      </c>
      <c r="BI2716">
        <v>34</v>
      </c>
      <c r="BJ2716" t="s">
        <v>45329</v>
      </c>
      <c r="BK2716" t="s">
        <v>99</v>
      </c>
      <c r="BL2716" t="s">
        <v>22339</v>
      </c>
      <c r="BM2716" t="s">
        <v>45330</v>
      </c>
      <c r="BN2716" t="s">
        <v>74</v>
      </c>
      <c r="BO2716" t="s">
        <v>1205</v>
      </c>
      <c r="BP2716" t="s">
        <v>74</v>
      </c>
      <c r="BQ2716" t="s">
        <v>74</v>
      </c>
      <c r="BR2716" t="s">
        <v>102</v>
      </c>
      <c r="BS2716" t="s">
        <v>45331</v>
      </c>
      <c r="BT2716" t="str">
        <f>HYPERLINK("https%3A%2F%2Fwww.webofscience.com%2Fwos%2Fwoscc%2Ffull-record%2FWOS:000757677900001","View Full Record in Web of Science")</f>
        <v>View Full Record in Web of Science</v>
      </c>
    </row>
    <row r="2717" spans="1:72" x14ac:dyDescent="0.25">
      <c r="A2717" t="s">
        <v>72</v>
      </c>
      <c r="B2717" t="s">
        <v>45332</v>
      </c>
      <c r="C2717" t="s">
        <v>74</v>
      </c>
      <c r="D2717" t="s">
        <v>74</v>
      </c>
      <c r="E2717" t="s">
        <v>74</v>
      </c>
      <c r="F2717" t="s">
        <v>45333</v>
      </c>
      <c r="G2717" t="s">
        <v>74</v>
      </c>
      <c r="H2717" t="s">
        <v>74</v>
      </c>
      <c r="I2717" t="s">
        <v>45334</v>
      </c>
      <c r="J2717" t="s">
        <v>5937</v>
      </c>
      <c r="K2717" t="s">
        <v>74</v>
      </c>
      <c r="L2717" t="s">
        <v>74</v>
      </c>
      <c r="M2717" t="s">
        <v>78</v>
      </c>
      <c r="N2717" t="s">
        <v>372</v>
      </c>
      <c r="O2717" t="s">
        <v>74</v>
      </c>
      <c r="P2717" t="s">
        <v>74</v>
      </c>
      <c r="Q2717" t="s">
        <v>74</v>
      </c>
      <c r="R2717" t="s">
        <v>74</v>
      </c>
      <c r="S2717" t="s">
        <v>74</v>
      </c>
      <c r="T2717" t="s">
        <v>45335</v>
      </c>
      <c r="U2717" t="s">
        <v>45336</v>
      </c>
      <c r="V2717" t="s">
        <v>45337</v>
      </c>
      <c r="W2717" t="s">
        <v>45338</v>
      </c>
      <c r="X2717" t="s">
        <v>45339</v>
      </c>
      <c r="Y2717" t="s">
        <v>45340</v>
      </c>
      <c r="Z2717" t="s">
        <v>45341</v>
      </c>
      <c r="AA2717" t="s">
        <v>45342</v>
      </c>
      <c r="AB2717" t="s">
        <v>74</v>
      </c>
      <c r="AC2717" t="s">
        <v>74</v>
      </c>
      <c r="AD2717" t="s">
        <v>74</v>
      </c>
      <c r="AE2717" t="s">
        <v>74</v>
      </c>
      <c r="AF2717" t="s">
        <v>74</v>
      </c>
      <c r="AG2717">
        <v>106</v>
      </c>
      <c r="AH2717">
        <v>0</v>
      </c>
      <c r="AI2717">
        <v>0</v>
      </c>
      <c r="AJ2717">
        <v>2</v>
      </c>
      <c r="AK2717">
        <v>2</v>
      </c>
      <c r="AL2717" t="s">
        <v>89</v>
      </c>
      <c r="AM2717" t="s">
        <v>90</v>
      </c>
      <c r="AN2717" t="s">
        <v>91</v>
      </c>
      <c r="AO2717" t="s">
        <v>5946</v>
      </c>
      <c r="AP2717" t="s">
        <v>5947</v>
      </c>
      <c r="AQ2717" t="s">
        <v>74</v>
      </c>
      <c r="AR2717" t="s">
        <v>5948</v>
      </c>
      <c r="AS2717" t="s">
        <v>5949</v>
      </c>
      <c r="AT2717" t="s">
        <v>12076</v>
      </c>
      <c r="AU2717">
        <v>2025</v>
      </c>
      <c r="AV2717" t="s">
        <v>74</v>
      </c>
      <c r="AW2717" t="s">
        <v>74</v>
      </c>
      <c r="AX2717" t="s">
        <v>74</v>
      </c>
      <c r="AY2717" t="s">
        <v>74</v>
      </c>
      <c r="AZ2717" t="s">
        <v>74</v>
      </c>
      <c r="BA2717" t="s">
        <v>74</v>
      </c>
      <c r="BB2717" t="s">
        <v>74</v>
      </c>
      <c r="BC2717" t="s">
        <v>74</v>
      </c>
      <c r="BD2717" t="s">
        <v>74</v>
      </c>
      <c r="BE2717" t="s">
        <v>45343</v>
      </c>
      <c r="BF2717" t="str">
        <f>HYPERLINK("http://dx.doi.org/10.1108/JSTPM-04-2025-0163","http://dx.doi.org/10.1108/JSTPM-04-2025-0163")</f>
        <v>http://dx.doi.org/10.1108/JSTPM-04-2025-0163</v>
      </c>
      <c r="BG2717" t="s">
        <v>74</v>
      </c>
      <c r="BH2717" t="s">
        <v>12078</v>
      </c>
      <c r="BI2717">
        <v>21</v>
      </c>
      <c r="BJ2717" t="s">
        <v>583</v>
      </c>
      <c r="BK2717" t="s">
        <v>313</v>
      </c>
      <c r="BL2717" t="s">
        <v>100</v>
      </c>
      <c r="BM2717" t="s">
        <v>45344</v>
      </c>
      <c r="BN2717" t="s">
        <v>74</v>
      </c>
      <c r="BO2717" t="s">
        <v>74</v>
      </c>
      <c r="BP2717" t="s">
        <v>74</v>
      </c>
      <c r="BQ2717" t="s">
        <v>74</v>
      </c>
      <c r="BR2717" t="s">
        <v>102</v>
      </c>
      <c r="BS2717" t="s">
        <v>45345</v>
      </c>
      <c r="BT2717" t="str">
        <f>HYPERLINK("https%3A%2F%2Fwww.webofscience.com%2Fwos%2Fwoscc%2Ffull-record%2FWOS:001588947800001","View Full Record in Web of Science")</f>
        <v>View Full Record in Web of Science</v>
      </c>
    </row>
    <row r="2718" spans="1:72" x14ac:dyDescent="0.25">
      <c r="A2718" t="s">
        <v>72</v>
      </c>
      <c r="B2718" t="s">
        <v>45346</v>
      </c>
      <c r="C2718" t="s">
        <v>74</v>
      </c>
      <c r="D2718" t="s">
        <v>74</v>
      </c>
      <c r="E2718" t="s">
        <v>74</v>
      </c>
      <c r="F2718" t="s">
        <v>45347</v>
      </c>
      <c r="G2718" t="s">
        <v>74</v>
      </c>
      <c r="H2718" t="s">
        <v>74</v>
      </c>
      <c r="I2718" t="s">
        <v>45348</v>
      </c>
      <c r="J2718" t="s">
        <v>3541</v>
      </c>
      <c r="K2718" t="s">
        <v>74</v>
      </c>
      <c r="L2718" t="s">
        <v>74</v>
      </c>
      <c r="M2718" t="s">
        <v>78</v>
      </c>
      <c r="N2718" t="s">
        <v>372</v>
      </c>
      <c r="O2718" t="s">
        <v>74</v>
      </c>
      <c r="P2718" t="s">
        <v>74</v>
      </c>
      <c r="Q2718" t="s">
        <v>74</v>
      </c>
      <c r="R2718" t="s">
        <v>74</v>
      </c>
      <c r="S2718" t="s">
        <v>74</v>
      </c>
      <c r="T2718" t="s">
        <v>45349</v>
      </c>
      <c r="U2718" t="s">
        <v>2945</v>
      </c>
      <c r="V2718" t="s">
        <v>45350</v>
      </c>
      <c r="W2718" t="s">
        <v>45351</v>
      </c>
      <c r="X2718" t="s">
        <v>45352</v>
      </c>
      <c r="Y2718" t="s">
        <v>45353</v>
      </c>
      <c r="Z2718" t="s">
        <v>45354</v>
      </c>
      <c r="AA2718" t="s">
        <v>45355</v>
      </c>
      <c r="AB2718" t="s">
        <v>45356</v>
      </c>
      <c r="AC2718" t="s">
        <v>74</v>
      </c>
      <c r="AD2718" t="s">
        <v>74</v>
      </c>
      <c r="AE2718" t="s">
        <v>74</v>
      </c>
      <c r="AF2718" t="s">
        <v>74</v>
      </c>
      <c r="AG2718">
        <v>46</v>
      </c>
      <c r="AH2718">
        <v>0</v>
      </c>
      <c r="AI2718">
        <v>1</v>
      </c>
      <c r="AJ2718">
        <v>0</v>
      </c>
      <c r="AK2718">
        <v>1</v>
      </c>
      <c r="AL2718" t="s">
        <v>757</v>
      </c>
      <c r="AM2718" t="s">
        <v>758</v>
      </c>
      <c r="AN2718" t="s">
        <v>759</v>
      </c>
      <c r="AO2718" t="s">
        <v>3550</v>
      </c>
      <c r="AP2718" t="s">
        <v>3551</v>
      </c>
      <c r="AQ2718" t="s">
        <v>74</v>
      </c>
      <c r="AR2718" t="s">
        <v>3552</v>
      </c>
      <c r="AS2718" t="s">
        <v>3553</v>
      </c>
      <c r="AT2718" t="s">
        <v>45357</v>
      </c>
      <c r="AU2718">
        <v>2024</v>
      </c>
      <c r="AV2718" t="s">
        <v>74</v>
      </c>
      <c r="AW2718" t="s">
        <v>74</v>
      </c>
      <c r="AX2718" t="s">
        <v>74</v>
      </c>
      <c r="AY2718" t="s">
        <v>74</v>
      </c>
      <c r="AZ2718" t="s">
        <v>74</v>
      </c>
      <c r="BA2718" t="s">
        <v>74</v>
      </c>
      <c r="BB2718" t="s">
        <v>74</v>
      </c>
      <c r="BC2718" t="s">
        <v>74</v>
      </c>
      <c r="BD2718" t="s">
        <v>74</v>
      </c>
      <c r="BE2718" t="s">
        <v>45358</v>
      </c>
      <c r="BF2718" t="str">
        <f>HYPERLINK("http://dx.doi.org/10.1177/00219096241300433","http://dx.doi.org/10.1177/00219096241300433")</f>
        <v>http://dx.doi.org/10.1177/00219096241300433</v>
      </c>
      <c r="BG2718" t="s">
        <v>74</v>
      </c>
      <c r="BH2718" t="s">
        <v>267</v>
      </c>
      <c r="BI2718">
        <v>18</v>
      </c>
      <c r="BJ2718" t="s">
        <v>1674</v>
      </c>
      <c r="BK2718" t="s">
        <v>99</v>
      </c>
      <c r="BL2718" t="s">
        <v>1674</v>
      </c>
      <c r="BM2718" t="s">
        <v>45359</v>
      </c>
      <c r="BN2718" t="s">
        <v>74</v>
      </c>
      <c r="BO2718" t="s">
        <v>270</v>
      </c>
      <c r="BP2718" t="s">
        <v>74</v>
      </c>
      <c r="BQ2718" t="s">
        <v>74</v>
      </c>
      <c r="BR2718" t="s">
        <v>102</v>
      </c>
      <c r="BS2718" t="s">
        <v>45360</v>
      </c>
      <c r="BT2718" t="str">
        <f>HYPERLINK("https%3A%2F%2Fwww.webofscience.com%2Fwos%2Fwoscc%2Ffull-record%2FWOS:001368454100001","View Full Record in Web of Science")</f>
        <v>View Full Record in Web of Science</v>
      </c>
    </row>
    <row r="2719" spans="1:72" x14ac:dyDescent="0.25">
      <c r="A2719" t="s">
        <v>132</v>
      </c>
      <c r="B2719" t="s">
        <v>45361</v>
      </c>
      <c r="C2719" t="s">
        <v>74</v>
      </c>
      <c r="D2719" t="s">
        <v>631</v>
      </c>
      <c r="E2719" t="s">
        <v>74</v>
      </c>
      <c r="F2719" t="s">
        <v>45362</v>
      </c>
      <c r="G2719" t="s">
        <v>74</v>
      </c>
      <c r="H2719" t="s">
        <v>74</v>
      </c>
      <c r="I2719" t="s">
        <v>45363</v>
      </c>
      <c r="J2719" t="s">
        <v>45364</v>
      </c>
      <c r="K2719" t="s">
        <v>74</v>
      </c>
      <c r="L2719" t="s">
        <v>74</v>
      </c>
      <c r="M2719" t="s">
        <v>78</v>
      </c>
      <c r="N2719" t="s">
        <v>138</v>
      </c>
      <c r="O2719" t="s">
        <v>45365</v>
      </c>
      <c r="P2719" t="s">
        <v>45366</v>
      </c>
      <c r="Q2719" t="s">
        <v>36627</v>
      </c>
      <c r="R2719" t="s">
        <v>638</v>
      </c>
      <c r="S2719" t="s">
        <v>74</v>
      </c>
      <c r="T2719" t="s">
        <v>45367</v>
      </c>
      <c r="U2719" t="s">
        <v>45368</v>
      </c>
      <c r="V2719" t="s">
        <v>45369</v>
      </c>
      <c r="W2719" t="s">
        <v>45370</v>
      </c>
      <c r="X2719" t="s">
        <v>1575</v>
      </c>
      <c r="Y2719" t="s">
        <v>45371</v>
      </c>
      <c r="Z2719" t="s">
        <v>45372</v>
      </c>
      <c r="AA2719" t="s">
        <v>45373</v>
      </c>
      <c r="AB2719" t="s">
        <v>45374</v>
      </c>
      <c r="AC2719" t="s">
        <v>74</v>
      </c>
      <c r="AD2719" t="s">
        <v>74</v>
      </c>
      <c r="AE2719" t="s">
        <v>74</v>
      </c>
      <c r="AF2719" t="s">
        <v>74</v>
      </c>
      <c r="AG2719">
        <v>22</v>
      </c>
      <c r="AH2719">
        <v>0</v>
      </c>
      <c r="AI2719">
        <v>0</v>
      </c>
      <c r="AJ2719">
        <v>0</v>
      </c>
      <c r="AK2719">
        <v>7</v>
      </c>
      <c r="AL2719" t="s">
        <v>645</v>
      </c>
      <c r="AM2719" t="s">
        <v>646</v>
      </c>
      <c r="AN2719" t="s">
        <v>647</v>
      </c>
      <c r="AO2719" t="s">
        <v>74</v>
      </c>
      <c r="AP2719" t="s">
        <v>74</v>
      </c>
      <c r="AQ2719" t="s">
        <v>45375</v>
      </c>
      <c r="AR2719" t="s">
        <v>74</v>
      </c>
      <c r="AS2719" t="s">
        <v>74</v>
      </c>
      <c r="AT2719" t="s">
        <v>74</v>
      </c>
      <c r="AU2719">
        <v>2011</v>
      </c>
      <c r="AV2719" t="s">
        <v>74</v>
      </c>
      <c r="AW2719" t="s">
        <v>74</v>
      </c>
      <c r="AX2719" t="s">
        <v>74</v>
      </c>
      <c r="AY2719" t="s">
        <v>74</v>
      </c>
      <c r="AZ2719" t="s">
        <v>74</v>
      </c>
      <c r="BA2719" t="s">
        <v>74</v>
      </c>
      <c r="BB2719">
        <v>38</v>
      </c>
      <c r="BC2719" t="s">
        <v>2190</v>
      </c>
      <c r="BD2719" t="s">
        <v>74</v>
      </c>
      <c r="BE2719" t="s">
        <v>74</v>
      </c>
      <c r="BF2719" t="s">
        <v>74</v>
      </c>
      <c r="BG2719" t="s">
        <v>74</v>
      </c>
      <c r="BH2719" t="s">
        <v>74</v>
      </c>
      <c r="BI2719">
        <v>3</v>
      </c>
      <c r="BJ2719" t="s">
        <v>6512</v>
      </c>
      <c r="BK2719" t="s">
        <v>183</v>
      </c>
      <c r="BL2719" t="s">
        <v>100</v>
      </c>
      <c r="BM2719" t="s">
        <v>45376</v>
      </c>
      <c r="BN2719" t="s">
        <v>74</v>
      </c>
      <c r="BO2719" t="s">
        <v>74</v>
      </c>
      <c r="BP2719" t="s">
        <v>74</v>
      </c>
      <c r="BQ2719" t="s">
        <v>74</v>
      </c>
      <c r="BR2719" t="s">
        <v>102</v>
      </c>
      <c r="BS2719" t="s">
        <v>45377</v>
      </c>
      <c r="BT2719" t="str">
        <f>HYPERLINK("https%3A%2F%2Fwww.webofscience.com%2Fwos%2Fwoscc%2Ffull-record%2FWOS:000317550000005","View Full Record in Web of Science")</f>
        <v>View Full Record in Web of Science</v>
      </c>
    </row>
    <row r="2720" spans="1:72" x14ac:dyDescent="0.25">
      <c r="A2720" t="s">
        <v>72</v>
      </c>
      <c r="B2720" t="s">
        <v>45378</v>
      </c>
      <c r="C2720" t="s">
        <v>74</v>
      </c>
      <c r="D2720" t="s">
        <v>74</v>
      </c>
      <c r="E2720" t="s">
        <v>74</v>
      </c>
      <c r="F2720" t="s">
        <v>45379</v>
      </c>
      <c r="G2720" t="s">
        <v>74</v>
      </c>
      <c r="H2720" t="s">
        <v>74</v>
      </c>
      <c r="I2720" t="s">
        <v>45380</v>
      </c>
      <c r="J2720" t="s">
        <v>8200</v>
      </c>
      <c r="K2720" t="s">
        <v>74</v>
      </c>
      <c r="L2720" t="s">
        <v>74</v>
      </c>
      <c r="M2720" t="s">
        <v>78</v>
      </c>
      <c r="N2720" t="s">
        <v>79</v>
      </c>
      <c r="O2720" t="s">
        <v>74</v>
      </c>
      <c r="P2720" t="s">
        <v>74</v>
      </c>
      <c r="Q2720" t="s">
        <v>74</v>
      </c>
      <c r="R2720" t="s">
        <v>74</v>
      </c>
      <c r="S2720" t="s">
        <v>74</v>
      </c>
      <c r="T2720" t="s">
        <v>45381</v>
      </c>
      <c r="U2720" t="s">
        <v>45382</v>
      </c>
      <c r="V2720" t="s">
        <v>45383</v>
      </c>
      <c r="W2720" t="s">
        <v>45384</v>
      </c>
      <c r="X2720" t="s">
        <v>45385</v>
      </c>
      <c r="Y2720" t="s">
        <v>45386</v>
      </c>
      <c r="Z2720" t="s">
        <v>74</v>
      </c>
      <c r="AA2720" t="s">
        <v>74</v>
      </c>
      <c r="AB2720" t="s">
        <v>74</v>
      </c>
      <c r="AC2720" t="s">
        <v>74</v>
      </c>
      <c r="AD2720" t="s">
        <v>74</v>
      </c>
      <c r="AE2720" t="s">
        <v>74</v>
      </c>
      <c r="AF2720" t="s">
        <v>74</v>
      </c>
      <c r="AG2720">
        <v>40</v>
      </c>
      <c r="AH2720">
        <v>0</v>
      </c>
      <c r="AI2720">
        <v>0</v>
      </c>
      <c r="AJ2720">
        <v>0</v>
      </c>
      <c r="AK2720">
        <v>4</v>
      </c>
      <c r="AL2720" t="s">
        <v>8210</v>
      </c>
      <c r="AM2720" t="s">
        <v>8211</v>
      </c>
      <c r="AN2720" t="s">
        <v>8212</v>
      </c>
      <c r="AO2720" t="s">
        <v>8213</v>
      </c>
      <c r="AP2720" t="s">
        <v>74</v>
      </c>
      <c r="AQ2720" t="s">
        <v>74</v>
      </c>
      <c r="AR2720" t="s">
        <v>8214</v>
      </c>
      <c r="AS2720" t="s">
        <v>8215</v>
      </c>
      <c r="AT2720" t="s">
        <v>848</v>
      </c>
      <c r="AU2720">
        <v>2021</v>
      </c>
      <c r="AV2720">
        <v>14</v>
      </c>
      <c r="AW2720">
        <v>1</v>
      </c>
      <c r="AX2720" t="s">
        <v>74</v>
      </c>
      <c r="AY2720" t="s">
        <v>74</v>
      </c>
      <c r="AZ2720" t="s">
        <v>74</v>
      </c>
      <c r="BA2720" t="s">
        <v>74</v>
      </c>
      <c r="BB2720">
        <v>125</v>
      </c>
      <c r="BC2720">
        <v>135</v>
      </c>
      <c r="BD2720" t="s">
        <v>74</v>
      </c>
      <c r="BE2720" t="s">
        <v>74</v>
      </c>
      <c r="BF2720" t="s">
        <v>74</v>
      </c>
      <c r="BG2720" t="s">
        <v>74</v>
      </c>
      <c r="BH2720" t="s">
        <v>74</v>
      </c>
      <c r="BI2720">
        <v>11</v>
      </c>
      <c r="BJ2720" t="s">
        <v>418</v>
      </c>
      <c r="BK2720" t="s">
        <v>313</v>
      </c>
      <c r="BL2720" t="s">
        <v>100</v>
      </c>
      <c r="BM2720" t="s">
        <v>45387</v>
      </c>
      <c r="BN2720" t="s">
        <v>74</v>
      </c>
      <c r="BO2720" t="s">
        <v>74</v>
      </c>
      <c r="BP2720" t="s">
        <v>74</v>
      </c>
      <c r="BQ2720" t="s">
        <v>74</v>
      </c>
      <c r="BR2720" t="s">
        <v>102</v>
      </c>
      <c r="BS2720" t="s">
        <v>45388</v>
      </c>
      <c r="BT2720" t="str">
        <f>HYPERLINK("https%3A%2F%2Fwww.webofscience.com%2Fwos%2Fwoscc%2Ffull-record%2FWOS:000708756900003","View Full Record in Web of Science")</f>
        <v>View Full Record in Web of Science</v>
      </c>
    </row>
    <row r="2721" spans="1:72" x14ac:dyDescent="0.25">
      <c r="A2721" t="s">
        <v>72</v>
      </c>
      <c r="B2721" t="s">
        <v>45389</v>
      </c>
      <c r="C2721" t="s">
        <v>74</v>
      </c>
      <c r="D2721" t="s">
        <v>74</v>
      </c>
      <c r="E2721" t="s">
        <v>74</v>
      </c>
      <c r="F2721" t="s">
        <v>45390</v>
      </c>
      <c r="G2721" t="s">
        <v>74</v>
      </c>
      <c r="H2721" t="s">
        <v>74</v>
      </c>
      <c r="I2721" t="s">
        <v>45391</v>
      </c>
      <c r="J2721" t="s">
        <v>9191</v>
      </c>
      <c r="K2721" t="s">
        <v>74</v>
      </c>
      <c r="L2721" t="s">
        <v>74</v>
      </c>
      <c r="M2721" t="s">
        <v>78</v>
      </c>
      <c r="N2721" t="s">
        <v>79</v>
      </c>
      <c r="O2721" t="s">
        <v>74</v>
      </c>
      <c r="P2721" t="s">
        <v>74</v>
      </c>
      <c r="Q2721" t="s">
        <v>74</v>
      </c>
      <c r="R2721" t="s">
        <v>74</v>
      </c>
      <c r="S2721" t="s">
        <v>74</v>
      </c>
      <c r="T2721" t="s">
        <v>45392</v>
      </c>
      <c r="U2721" t="s">
        <v>45393</v>
      </c>
      <c r="V2721" t="s">
        <v>45394</v>
      </c>
      <c r="W2721" t="s">
        <v>45395</v>
      </c>
      <c r="X2721" t="s">
        <v>45396</v>
      </c>
      <c r="Y2721" t="s">
        <v>45397</v>
      </c>
      <c r="Z2721" t="s">
        <v>45398</v>
      </c>
      <c r="AA2721" t="s">
        <v>45399</v>
      </c>
      <c r="AB2721" t="s">
        <v>45400</v>
      </c>
      <c r="AC2721" t="s">
        <v>74</v>
      </c>
      <c r="AD2721" t="s">
        <v>74</v>
      </c>
      <c r="AE2721" t="s">
        <v>74</v>
      </c>
      <c r="AF2721" t="s">
        <v>74</v>
      </c>
      <c r="AG2721">
        <v>111</v>
      </c>
      <c r="AH2721">
        <v>9</v>
      </c>
      <c r="AI2721">
        <v>12</v>
      </c>
      <c r="AJ2721">
        <v>7</v>
      </c>
      <c r="AK2721">
        <v>43</v>
      </c>
      <c r="AL2721" t="s">
        <v>9204</v>
      </c>
      <c r="AM2721" t="s">
        <v>2016</v>
      </c>
      <c r="AN2721" t="s">
        <v>9205</v>
      </c>
      <c r="AO2721" t="s">
        <v>74</v>
      </c>
      <c r="AP2721" t="s">
        <v>9206</v>
      </c>
      <c r="AQ2721" t="s">
        <v>74</v>
      </c>
      <c r="AR2721" t="s">
        <v>9191</v>
      </c>
      <c r="AS2721" t="s">
        <v>9207</v>
      </c>
      <c r="AT2721" t="s">
        <v>1159</v>
      </c>
      <c r="AU2721">
        <v>2023</v>
      </c>
      <c r="AV2721">
        <v>9</v>
      </c>
      <c r="AW2721">
        <v>10</v>
      </c>
      <c r="AX2721" t="s">
        <v>74</v>
      </c>
      <c r="AY2721" t="s">
        <v>74</v>
      </c>
      <c r="AZ2721" t="s">
        <v>74</v>
      </c>
      <c r="BA2721" t="s">
        <v>74</v>
      </c>
      <c r="BB2721" t="s">
        <v>74</v>
      </c>
      <c r="BC2721" t="s">
        <v>74</v>
      </c>
      <c r="BD2721" t="s">
        <v>45401</v>
      </c>
      <c r="BE2721" t="s">
        <v>45402</v>
      </c>
      <c r="BF2721" t="str">
        <f>HYPERLINK("http://dx.doi.org/10.1016/j.heliyon.2023.e20731","http://dx.doi.org/10.1016/j.heliyon.2023.e20731")</f>
        <v>http://dx.doi.org/10.1016/j.heliyon.2023.e20731</v>
      </c>
      <c r="BG2721" t="s">
        <v>74</v>
      </c>
      <c r="BH2721" t="s">
        <v>2417</v>
      </c>
      <c r="BI2721">
        <v>15</v>
      </c>
      <c r="BJ2721" t="s">
        <v>559</v>
      </c>
      <c r="BK2721" t="s">
        <v>128</v>
      </c>
      <c r="BL2721" t="s">
        <v>560</v>
      </c>
      <c r="BM2721" t="s">
        <v>45403</v>
      </c>
      <c r="BN2721">
        <v>37860530</v>
      </c>
      <c r="BO2721" t="s">
        <v>916</v>
      </c>
      <c r="BP2721" t="s">
        <v>74</v>
      </c>
      <c r="BQ2721" t="s">
        <v>74</v>
      </c>
      <c r="BR2721" t="s">
        <v>102</v>
      </c>
      <c r="BS2721" t="s">
        <v>45404</v>
      </c>
      <c r="BT2721" t="str">
        <f>HYPERLINK("https%3A%2F%2Fwww.webofscience.com%2Fwos%2Fwoscc%2Ffull-record%2FWOS:001110489400001","View Full Record in Web of Science")</f>
        <v>View Full Record in Web of Science</v>
      </c>
    </row>
    <row r="2722" spans="1:72" x14ac:dyDescent="0.25">
      <c r="A2722" t="s">
        <v>72</v>
      </c>
      <c r="B2722" t="s">
        <v>45405</v>
      </c>
      <c r="C2722" t="s">
        <v>74</v>
      </c>
      <c r="D2722" t="s">
        <v>74</v>
      </c>
      <c r="E2722" t="s">
        <v>74</v>
      </c>
      <c r="F2722" t="s">
        <v>45406</v>
      </c>
      <c r="G2722" t="s">
        <v>74</v>
      </c>
      <c r="H2722" t="s">
        <v>74</v>
      </c>
      <c r="I2722" t="s">
        <v>45407</v>
      </c>
      <c r="J2722" t="s">
        <v>8787</v>
      </c>
      <c r="K2722" t="s">
        <v>74</v>
      </c>
      <c r="L2722" t="s">
        <v>74</v>
      </c>
      <c r="M2722" t="s">
        <v>78</v>
      </c>
      <c r="N2722" t="s">
        <v>79</v>
      </c>
      <c r="O2722" t="s">
        <v>74</v>
      </c>
      <c r="P2722" t="s">
        <v>74</v>
      </c>
      <c r="Q2722" t="s">
        <v>74</v>
      </c>
      <c r="R2722" t="s">
        <v>74</v>
      </c>
      <c r="S2722" t="s">
        <v>74</v>
      </c>
      <c r="T2722" t="s">
        <v>74</v>
      </c>
      <c r="U2722" t="s">
        <v>74</v>
      </c>
      <c r="V2722" t="s">
        <v>45408</v>
      </c>
      <c r="W2722" t="s">
        <v>45409</v>
      </c>
      <c r="X2722" t="s">
        <v>20665</v>
      </c>
      <c r="Y2722" t="s">
        <v>45410</v>
      </c>
      <c r="Z2722" t="s">
        <v>45411</v>
      </c>
      <c r="AA2722" t="s">
        <v>45412</v>
      </c>
      <c r="AB2722" t="s">
        <v>45413</v>
      </c>
      <c r="AC2722" t="s">
        <v>45414</v>
      </c>
      <c r="AD2722" t="s">
        <v>45414</v>
      </c>
      <c r="AE2722" t="s">
        <v>45414</v>
      </c>
      <c r="AF2722" t="s">
        <v>74</v>
      </c>
      <c r="AG2722">
        <v>19</v>
      </c>
      <c r="AH2722">
        <v>6</v>
      </c>
      <c r="AI2722">
        <v>12</v>
      </c>
      <c r="AJ2722">
        <v>11</v>
      </c>
      <c r="AK2722">
        <v>50</v>
      </c>
      <c r="AL2722" t="s">
        <v>479</v>
      </c>
      <c r="AM2722" t="s">
        <v>480</v>
      </c>
      <c r="AN2722" t="s">
        <v>481</v>
      </c>
      <c r="AO2722" t="s">
        <v>74</v>
      </c>
      <c r="AP2722" t="s">
        <v>8792</v>
      </c>
      <c r="AQ2722" t="s">
        <v>74</v>
      </c>
      <c r="AR2722" t="s">
        <v>8793</v>
      </c>
      <c r="AS2722" t="s">
        <v>8794</v>
      </c>
      <c r="AT2722" t="s">
        <v>698</v>
      </c>
      <c r="AU2722">
        <v>2023</v>
      </c>
      <c r="AV2722">
        <v>19</v>
      </c>
      <c r="AW2722">
        <v>3</v>
      </c>
      <c r="AX2722" t="s">
        <v>74</v>
      </c>
      <c r="AY2722" t="s">
        <v>74</v>
      </c>
      <c r="AZ2722" t="s">
        <v>74</v>
      </c>
      <c r="BA2722" t="s">
        <v>74</v>
      </c>
      <c r="BB2722" t="s">
        <v>74</v>
      </c>
      <c r="BC2722" t="s">
        <v>74</v>
      </c>
      <c r="BD2722" t="s">
        <v>45415</v>
      </c>
      <c r="BE2722" t="s">
        <v>45416</v>
      </c>
      <c r="BF2722" t="str">
        <f>HYPERLINK("http://dx.doi.org/10.1002/cl2.1341","http://dx.doi.org/10.1002/cl2.1341")</f>
        <v>http://dx.doi.org/10.1002/cl2.1341</v>
      </c>
      <c r="BG2722" t="s">
        <v>74</v>
      </c>
      <c r="BH2722" t="s">
        <v>74</v>
      </c>
      <c r="BI2722">
        <v>12</v>
      </c>
      <c r="BJ2722" t="s">
        <v>364</v>
      </c>
      <c r="BK2722" t="s">
        <v>313</v>
      </c>
      <c r="BL2722" t="s">
        <v>365</v>
      </c>
      <c r="BM2722" t="s">
        <v>45417</v>
      </c>
      <c r="BN2722">
        <v>37415851</v>
      </c>
      <c r="BO2722" t="s">
        <v>8021</v>
      </c>
      <c r="BP2722" t="s">
        <v>74</v>
      </c>
      <c r="BQ2722" t="s">
        <v>74</v>
      </c>
      <c r="BR2722" t="s">
        <v>102</v>
      </c>
      <c r="BS2722" t="s">
        <v>45418</v>
      </c>
      <c r="BT2722" t="str">
        <f>HYPERLINK("https%3A%2F%2Fwww.webofscience.com%2Fwos%2Fwoscc%2Ffull-record%2FWOS:001022799500001","View Full Record in Web of Science")</f>
        <v>View Full Record in Web of Science</v>
      </c>
    </row>
    <row r="2723" spans="1:72" x14ac:dyDescent="0.25">
      <c r="A2723" t="s">
        <v>72</v>
      </c>
      <c r="B2723" t="s">
        <v>9780</v>
      </c>
      <c r="C2723" t="s">
        <v>74</v>
      </c>
      <c r="D2723" t="s">
        <v>74</v>
      </c>
      <c r="E2723" t="s">
        <v>74</v>
      </c>
      <c r="F2723" t="s">
        <v>9781</v>
      </c>
      <c r="G2723" t="s">
        <v>74</v>
      </c>
      <c r="H2723" t="s">
        <v>74</v>
      </c>
      <c r="I2723" t="s">
        <v>45419</v>
      </c>
      <c r="J2723" t="s">
        <v>21077</v>
      </c>
      <c r="K2723" t="s">
        <v>74</v>
      </c>
      <c r="L2723" t="s">
        <v>74</v>
      </c>
      <c r="M2723" t="s">
        <v>78</v>
      </c>
      <c r="N2723" t="s">
        <v>79</v>
      </c>
      <c r="O2723" t="s">
        <v>74</v>
      </c>
      <c r="P2723" t="s">
        <v>74</v>
      </c>
      <c r="Q2723" t="s">
        <v>74</v>
      </c>
      <c r="R2723" t="s">
        <v>74</v>
      </c>
      <c r="S2723" t="s">
        <v>74</v>
      </c>
      <c r="T2723" t="s">
        <v>45420</v>
      </c>
      <c r="U2723" t="s">
        <v>74</v>
      </c>
      <c r="V2723" t="s">
        <v>45421</v>
      </c>
      <c r="W2723" t="s">
        <v>45422</v>
      </c>
      <c r="X2723" t="s">
        <v>45423</v>
      </c>
      <c r="Y2723" t="s">
        <v>45424</v>
      </c>
      <c r="Z2723" t="s">
        <v>45425</v>
      </c>
      <c r="AA2723" t="s">
        <v>9790</v>
      </c>
      <c r="AB2723" t="s">
        <v>9791</v>
      </c>
      <c r="AC2723" t="s">
        <v>74</v>
      </c>
      <c r="AD2723" t="s">
        <v>74</v>
      </c>
      <c r="AE2723" t="s">
        <v>74</v>
      </c>
      <c r="AF2723" t="s">
        <v>74</v>
      </c>
      <c r="AG2723">
        <v>27</v>
      </c>
      <c r="AH2723">
        <v>4</v>
      </c>
      <c r="AI2723">
        <v>4</v>
      </c>
      <c r="AJ2723">
        <v>0</v>
      </c>
      <c r="AK2723">
        <v>7</v>
      </c>
      <c r="AL2723" t="s">
        <v>21080</v>
      </c>
      <c r="AM2723" t="s">
        <v>9793</v>
      </c>
      <c r="AN2723" t="s">
        <v>21079</v>
      </c>
      <c r="AO2723" t="s">
        <v>21078</v>
      </c>
      <c r="AP2723" t="s">
        <v>74</v>
      </c>
      <c r="AQ2723" t="s">
        <v>74</v>
      </c>
      <c r="AR2723" t="s">
        <v>21077</v>
      </c>
      <c r="AS2723" t="s">
        <v>21076</v>
      </c>
      <c r="AT2723" t="s">
        <v>74</v>
      </c>
      <c r="AU2723">
        <v>2016</v>
      </c>
      <c r="AV2723" t="s">
        <v>74</v>
      </c>
      <c r="AW2723" t="s">
        <v>74</v>
      </c>
      <c r="AX2723" t="s">
        <v>74</v>
      </c>
      <c r="AY2723" t="s">
        <v>74</v>
      </c>
      <c r="AZ2723" t="s">
        <v>441</v>
      </c>
      <c r="BA2723" t="s">
        <v>74</v>
      </c>
      <c r="BB2723">
        <v>161</v>
      </c>
      <c r="BC2723">
        <v>182</v>
      </c>
      <c r="BD2723" t="s">
        <v>74</v>
      </c>
      <c r="BE2723" t="s">
        <v>74</v>
      </c>
      <c r="BF2723" t="s">
        <v>74</v>
      </c>
      <c r="BG2723" t="s">
        <v>74</v>
      </c>
      <c r="BH2723" t="s">
        <v>74</v>
      </c>
      <c r="BI2723">
        <v>22</v>
      </c>
      <c r="BJ2723" t="s">
        <v>9799</v>
      </c>
      <c r="BK2723" t="s">
        <v>2465</v>
      </c>
      <c r="BL2723" t="s">
        <v>9799</v>
      </c>
      <c r="BM2723" t="s">
        <v>45426</v>
      </c>
      <c r="BN2723" t="s">
        <v>74</v>
      </c>
      <c r="BO2723" t="s">
        <v>74</v>
      </c>
      <c r="BP2723" t="s">
        <v>74</v>
      </c>
      <c r="BQ2723" t="s">
        <v>74</v>
      </c>
      <c r="BR2723" t="s">
        <v>102</v>
      </c>
      <c r="BS2723" t="s">
        <v>45427</v>
      </c>
      <c r="BT2723" t="str">
        <f>HYPERLINK("https%3A%2F%2Fwww.webofscience.com%2Fwos%2Fwoscc%2Ffull-record%2FWOS:000390985200008","View Full Record in Web of Science")</f>
        <v>View Full Record in Web of Science</v>
      </c>
    </row>
    <row r="2724" spans="1:72" x14ac:dyDescent="0.25">
      <c r="A2724" t="s">
        <v>72</v>
      </c>
      <c r="B2724" t="s">
        <v>45428</v>
      </c>
      <c r="C2724" t="s">
        <v>74</v>
      </c>
      <c r="D2724" t="s">
        <v>74</v>
      </c>
      <c r="E2724" t="s">
        <v>74</v>
      </c>
      <c r="F2724" t="s">
        <v>45429</v>
      </c>
      <c r="G2724" t="s">
        <v>74</v>
      </c>
      <c r="H2724" t="s">
        <v>74</v>
      </c>
      <c r="I2724" t="s">
        <v>45430</v>
      </c>
      <c r="J2724" t="s">
        <v>45431</v>
      </c>
      <c r="K2724" t="s">
        <v>74</v>
      </c>
      <c r="L2724" t="s">
        <v>74</v>
      </c>
      <c r="M2724" t="s">
        <v>78</v>
      </c>
      <c r="N2724" t="s">
        <v>372</v>
      </c>
      <c r="O2724" t="s">
        <v>74</v>
      </c>
      <c r="P2724" t="s">
        <v>74</v>
      </c>
      <c r="Q2724" t="s">
        <v>74</v>
      </c>
      <c r="R2724" t="s">
        <v>74</v>
      </c>
      <c r="S2724" t="s">
        <v>74</v>
      </c>
      <c r="T2724" t="s">
        <v>45432</v>
      </c>
      <c r="U2724" t="s">
        <v>27273</v>
      </c>
      <c r="V2724" t="s">
        <v>45433</v>
      </c>
      <c r="W2724" t="s">
        <v>45434</v>
      </c>
      <c r="X2724" t="s">
        <v>45435</v>
      </c>
      <c r="Y2724" t="s">
        <v>45436</v>
      </c>
      <c r="Z2724" t="s">
        <v>45437</v>
      </c>
      <c r="AA2724" t="s">
        <v>74</v>
      </c>
      <c r="AB2724" t="s">
        <v>74</v>
      </c>
      <c r="AC2724" t="s">
        <v>74</v>
      </c>
      <c r="AD2724" t="s">
        <v>74</v>
      </c>
      <c r="AE2724" t="s">
        <v>74</v>
      </c>
      <c r="AF2724" t="s">
        <v>74</v>
      </c>
      <c r="AG2724">
        <v>30</v>
      </c>
      <c r="AH2724">
        <v>0</v>
      </c>
      <c r="AI2724">
        <v>0</v>
      </c>
      <c r="AJ2724">
        <v>0</v>
      </c>
      <c r="AK2724">
        <v>0</v>
      </c>
      <c r="AL2724" t="s">
        <v>4605</v>
      </c>
      <c r="AM2724" t="s">
        <v>4280</v>
      </c>
      <c r="AN2724" t="s">
        <v>4606</v>
      </c>
      <c r="AO2724" t="s">
        <v>45438</v>
      </c>
      <c r="AP2724" t="s">
        <v>45439</v>
      </c>
      <c r="AQ2724" t="s">
        <v>74</v>
      </c>
      <c r="AR2724" t="s">
        <v>45440</v>
      </c>
      <c r="AS2724" t="s">
        <v>45441</v>
      </c>
      <c r="AT2724" t="s">
        <v>29650</v>
      </c>
      <c r="AU2724">
        <v>2025</v>
      </c>
      <c r="AV2724" t="s">
        <v>74</v>
      </c>
      <c r="AW2724" t="s">
        <v>74</v>
      </c>
      <c r="AX2724" t="s">
        <v>74</v>
      </c>
      <c r="AY2724" t="s">
        <v>74</v>
      </c>
      <c r="AZ2724" t="s">
        <v>74</v>
      </c>
      <c r="BA2724" t="s">
        <v>74</v>
      </c>
      <c r="BB2724" t="s">
        <v>74</v>
      </c>
      <c r="BC2724" t="s">
        <v>74</v>
      </c>
      <c r="BD2724" t="s">
        <v>74</v>
      </c>
      <c r="BE2724" t="s">
        <v>45442</v>
      </c>
      <c r="BF2724" t="str">
        <f>HYPERLINK("http://dx.doi.org/10.2478/bsrj-2026-0001","http://dx.doi.org/10.2478/bsrj-2026-0001")</f>
        <v>http://dx.doi.org/10.2478/bsrj-2026-0001</v>
      </c>
      <c r="BG2724" t="s">
        <v>74</v>
      </c>
      <c r="BH2724" t="s">
        <v>488</v>
      </c>
      <c r="BI2724">
        <v>17</v>
      </c>
      <c r="BJ2724" t="s">
        <v>418</v>
      </c>
      <c r="BK2724" t="s">
        <v>313</v>
      </c>
      <c r="BL2724" t="s">
        <v>100</v>
      </c>
      <c r="BM2724" t="s">
        <v>45443</v>
      </c>
      <c r="BN2724" t="s">
        <v>74</v>
      </c>
      <c r="BO2724" t="s">
        <v>916</v>
      </c>
      <c r="BP2724" t="s">
        <v>74</v>
      </c>
      <c r="BQ2724" t="s">
        <v>74</v>
      </c>
      <c r="BR2724" t="s">
        <v>102</v>
      </c>
      <c r="BS2724" t="s">
        <v>45444</v>
      </c>
      <c r="BT2724" t="str">
        <f>HYPERLINK("https%3A%2F%2Fwww.webofscience.com%2Fwos%2Fwoscc%2Ffull-record%2FWOS:001643936800001","View Full Record in Web of Science")</f>
        <v>View Full Record in Web of Science</v>
      </c>
    </row>
    <row r="2725" spans="1:72" x14ac:dyDescent="0.25">
      <c r="A2725" t="s">
        <v>72</v>
      </c>
      <c r="B2725" t="s">
        <v>45445</v>
      </c>
      <c r="C2725" t="s">
        <v>74</v>
      </c>
      <c r="D2725" t="s">
        <v>74</v>
      </c>
      <c r="E2725" t="s">
        <v>74</v>
      </c>
      <c r="F2725" t="s">
        <v>45446</v>
      </c>
      <c r="G2725" t="s">
        <v>74</v>
      </c>
      <c r="H2725" t="s">
        <v>74</v>
      </c>
      <c r="I2725" t="s">
        <v>45447</v>
      </c>
      <c r="J2725" t="s">
        <v>8087</v>
      </c>
      <c r="K2725" t="s">
        <v>74</v>
      </c>
      <c r="L2725" t="s">
        <v>74</v>
      </c>
      <c r="M2725" t="s">
        <v>78</v>
      </c>
      <c r="N2725" t="s">
        <v>79</v>
      </c>
      <c r="O2725" t="s">
        <v>74</v>
      </c>
      <c r="P2725" t="s">
        <v>74</v>
      </c>
      <c r="Q2725" t="s">
        <v>74</v>
      </c>
      <c r="R2725" t="s">
        <v>74</v>
      </c>
      <c r="S2725" t="s">
        <v>74</v>
      </c>
      <c r="T2725" t="s">
        <v>45448</v>
      </c>
      <c r="U2725" t="s">
        <v>45449</v>
      </c>
      <c r="V2725" t="s">
        <v>45450</v>
      </c>
      <c r="W2725" t="s">
        <v>45451</v>
      </c>
      <c r="X2725" t="s">
        <v>32537</v>
      </c>
      <c r="Y2725" t="s">
        <v>45452</v>
      </c>
      <c r="Z2725" t="s">
        <v>6812</v>
      </c>
      <c r="AA2725" t="s">
        <v>74</v>
      </c>
      <c r="AB2725" t="s">
        <v>74</v>
      </c>
      <c r="AC2725" t="s">
        <v>74</v>
      </c>
      <c r="AD2725" t="s">
        <v>74</v>
      </c>
      <c r="AE2725" t="s">
        <v>74</v>
      </c>
      <c r="AF2725" t="s">
        <v>74</v>
      </c>
      <c r="AG2725">
        <v>66</v>
      </c>
      <c r="AH2725">
        <v>12</v>
      </c>
      <c r="AI2725">
        <v>15</v>
      </c>
      <c r="AJ2725">
        <v>0</v>
      </c>
      <c r="AK2725">
        <v>20</v>
      </c>
      <c r="AL2725" t="s">
        <v>5317</v>
      </c>
      <c r="AM2725" t="s">
        <v>480</v>
      </c>
      <c r="AN2725" t="s">
        <v>481</v>
      </c>
      <c r="AO2725" t="s">
        <v>8097</v>
      </c>
      <c r="AP2725" t="s">
        <v>74</v>
      </c>
      <c r="AQ2725" t="s">
        <v>74</v>
      </c>
      <c r="AR2725" t="s">
        <v>8099</v>
      </c>
      <c r="AS2725" t="s">
        <v>8100</v>
      </c>
      <c r="AT2725" t="s">
        <v>848</v>
      </c>
      <c r="AU2725">
        <v>2013</v>
      </c>
      <c r="AV2725">
        <v>37</v>
      </c>
      <c r="AW2725">
        <v>4</v>
      </c>
      <c r="AX2725" t="s">
        <v>74</v>
      </c>
      <c r="AY2725" t="s">
        <v>74</v>
      </c>
      <c r="AZ2725" t="s">
        <v>441</v>
      </c>
      <c r="BA2725" t="s">
        <v>74</v>
      </c>
      <c r="BB2725">
        <v>453</v>
      </c>
      <c r="BC2725">
        <v>464</v>
      </c>
      <c r="BD2725" t="s">
        <v>74</v>
      </c>
      <c r="BE2725" t="s">
        <v>45453</v>
      </c>
      <c r="BF2725" t="str">
        <f>HYPERLINK("http://dx.doi.org/10.1111/ijcs.12014","http://dx.doi.org/10.1111/ijcs.12014")</f>
        <v>http://dx.doi.org/10.1111/ijcs.12014</v>
      </c>
      <c r="BG2725" t="s">
        <v>74</v>
      </c>
      <c r="BH2725" t="s">
        <v>74</v>
      </c>
      <c r="BI2725">
        <v>12</v>
      </c>
      <c r="BJ2725" t="s">
        <v>418</v>
      </c>
      <c r="BK2725" t="s">
        <v>99</v>
      </c>
      <c r="BL2725" t="s">
        <v>100</v>
      </c>
      <c r="BM2725" t="s">
        <v>45454</v>
      </c>
      <c r="BN2725" t="s">
        <v>74</v>
      </c>
      <c r="BO2725" t="s">
        <v>74</v>
      </c>
      <c r="BP2725" t="s">
        <v>74</v>
      </c>
      <c r="BQ2725" t="s">
        <v>74</v>
      </c>
      <c r="BR2725" t="s">
        <v>102</v>
      </c>
      <c r="BS2725" t="s">
        <v>45455</v>
      </c>
      <c r="BT2725" t="str">
        <f>HYPERLINK("https%3A%2F%2Fwww.webofscience.com%2Fwos%2Fwoscc%2Ffull-record%2FWOS:000320613300014","View Full Record in Web of Science")</f>
        <v>View Full Record in Web of Science</v>
      </c>
    </row>
    <row r="2726" spans="1:72" x14ac:dyDescent="0.25">
      <c r="A2726" t="s">
        <v>72</v>
      </c>
      <c r="B2726" t="s">
        <v>45456</v>
      </c>
      <c r="C2726" t="s">
        <v>74</v>
      </c>
      <c r="D2726" t="s">
        <v>74</v>
      </c>
      <c r="E2726" t="s">
        <v>74</v>
      </c>
      <c r="F2726" t="s">
        <v>45457</v>
      </c>
      <c r="G2726" t="s">
        <v>74</v>
      </c>
      <c r="H2726" t="s">
        <v>74</v>
      </c>
      <c r="I2726" t="s">
        <v>45458</v>
      </c>
      <c r="J2726" t="s">
        <v>4250</v>
      </c>
      <c r="K2726" t="s">
        <v>74</v>
      </c>
      <c r="L2726" t="s">
        <v>74</v>
      </c>
      <c r="M2726" t="s">
        <v>78</v>
      </c>
      <c r="N2726" t="s">
        <v>79</v>
      </c>
      <c r="O2726" t="s">
        <v>74</v>
      </c>
      <c r="P2726" t="s">
        <v>74</v>
      </c>
      <c r="Q2726" t="s">
        <v>74</v>
      </c>
      <c r="R2726" t="s">
        <v>74</v>
      </c>
      <c r="S2726" t="s">
        <v>74</v>
      </c>
      <c r="T2726" t="s">
        <v>45459</v>
      </c>
      <c r="U2726" t="s">
        <v>45460</v>
      </c>
      <c r="V2726" t="s">
        <v>45461</v>
      </c>
      <c r="W2726" t="s">
        <v>45462</v>
      </c>
      <c r="X2726" t="s">
        <v>45463</v>
      </c>
      <c r="Y2726" t="s">
        <v>45464</v>
      </c>
      <c r="Z2726" t="s">
        <v>16445</v>
      </c>
      <c r="AA2726" t="s">
        <v>74</v>
      </c>
      <c r="AB2726" t="s">
        <v>74</v>
      </c>
      <c r="AC2726" t="s">
        <v>45465</v>
      </c>
      <c r="AD2726" t="s">
        <v>45466</v>
      </c>
      <c r="AE2726" t="s">
        <v>45467</v>
      </c>
      <c r="AF2726" t="s">
        <v>74</v>
      </c>
      <c r="AG2726">
        <v>44</v>
      </c>
      <c r="AH2726">
        <v>2</v>
      </c>
      <c r="AI2726">
        <v>2</v>
      </c>
      <c r="AJ2726">
        <v>1</v>
      </c>
      <c r="AK2726">
        <v>11</v>
      </c>
      <c r="AL2726" t="s">
        <v>4258</v>
      </c>
      <c r="AM2726" t="s">
        <v>118</v>
      </c>
      <c r="AN2726" t="s">
        <v>4259</v>
      </c>
      <c r="AO2726" t="s">
        <v>4260</v>
      </c>
      <c r="AP2726" t="s">
        <v>4261</v>
      </c>
      <c r="AQ2726" t="s">
        <v>74</v>
      </c>
      <c r="AR2726" t="s">
        <v>4262</v>
      </c>
      <c r="AS2726" t="s">
        <v>4263</v>
      </c>
      <c r="AT2726" t="s">
        <v>124</v>
      </c>
      <c r="AU2726">
        <v>2023</v>
      </c>
      <c r="AV2726">
        <v>65</v>
      </c>
      <c r="AW2726">
        <v>6</v>
      </c>
      <c r="AX2726" t="s">
        <v>74</v>
      </c>
      <c r="AY2726" t="s">
        <v>74</v>
      </c>
      <c r="AZ2726" t="s">
        <v>74</v>
      </c>
      <c r="BA2726" t="s">
        <v>74</v>
      </c>
      <c r="BB2726">
        <v>2627</v>
      </c>
      <c r="BC2726">
        <v>2667</v>
      </c>
      <c r="BD2726" t="s">
        <v>74</v>
      </c>
      <c r="BE2726" t="s">
        <v>45468</v>
      </c>
      <c r="BF2726" t="str">
        <f>HYPERLINK("http://dx.doi.org/10.1007/s00181-023-02443-5","http://dx.doi.org/10.1007/s00181-023-02443-5")</f>
        <v>http://dx.doi.org/10.1007/s00181-023-02443-5</v>
      </c>
      <c r="BG2726" t="s">
        <v>74</v>
      </c>
      <c r="BH2726" t="s">
        <v>13995</v>
      </c>
      <c r="BI2726">
        <v>41</v>
      </c>
      <c r="BJ2726" t="s">
        <v>2023</v>
      </c>
      <c r="BK2726" t="s">
        <v>99</v>
      </c>
      <c r="BL2726" t="s">
        <v>2024</v>
      </c>
      <c r="BM2726" t="s">
        <v>45469</v>
      </c>
      <c r="BN2726" t="s">
        <v>74</v>
      </c>
      <c r="BO2726" t="s">
        <v>74</v>
      </c>
      <c r="BP2726" t="s">
        <v>74</v>
      </c>
      <c r="BQ2726" t="s">
        <v>74</v>
      </c>
      <c r="BR2726" t="s">
        <v>102</v>
      </c>
      <c r="BS2726" t="s">
        <v>45470</v>
      </c>
      <c r="BT2726" t="str">
        <f>HYPERLINK("https%3A%2F%2Fwww.webofscience.com%2Fwos%2Fwoscc%2Ffull-record%2FWOS:001005785800001","View Full Record in Web of Science")</f>
        <v>View Full Record in Web of Science</v>
      </c>
    </row>
    <row r="2727" spans="1:72" x14ac:dyDescent="0.25">
      <c r="A2727" t="s">
        <v>132</v>
      </c>
      <c r="B2727" t="s">
        <v>45471</v>
      </c>
      <c r="C2727" t="s">
        <v>74</v>
      </c>
      <c r="D2727" t="s">
        <v>45472</v>
      </c>
      <c r="E2727" t="s">
        <v>74</v>
      </c>
      <c r="F2727" t="s">
        <v>45473</v>
      </c>
      <c r="G2727" t="s">
        <v>74</v>
      </c>
      <c r="H2727" t="s">
        <v>74</v>
      </c>
      <c r="I2727" t="s">
        <v>45474</v>
      </c>
      <c r="J2727" t="s">
        <v>45475</v>
      </c>
      <c r="K2727" t="s">
        <v>74</v>
      </c>
      <c r="L2727" t="s">
        <v>74</v>
      </c>
      <c r="M2727" t="s">
        <v>78</v>
      </c>
      <c r="N2727" t="s">
        <v>138</v>
      </c>
      <c r="O2727" t="s">
        <v>45476</v>
      </c>
      <c r="P2727" t="s">
        <v>45477</v>
      </c>
      <c r="Q2727" t="s">
        <v>45478</v>
      </c>
      <c r="R2727" t="s">
        <v>45479</v>
      </c>
      <c r="S2727" t="s">
        <v>74</v>
      </c>
      <c r="T2727" t="s">
        <v>45480</v>
      </c>
      <c r="U2727" t="s">
        <v>74</v>
      </c>
      <c r="V2727" t="s">
        <v>45481</v>
      </c>
      <c r="W2727" t="s">
        <v>45482</v>
      </c>
      <c r="X2727" t="s">
        <v>22509</v>
      </c>
      <c r="Y2727" t="s">
        <v>45483</v>
      </c>
      <c r="Z2727" t="s">
        <v>45484</v>
      </c>
      <c r="AA2727" t="s">
        <v>45485</v>
      </c>
      <c r="AB2727" t="s">
        <v>74</v>
      </c>
      <c r="AC2727" t="s">
        <v>74</v>
      </c>
      <c r="AD2727" t="s">
        <v>74</v>
      </c>
      <c r="AE2727" t="s">
        <v>74</v>
      </c>
      <c r="AF2727" t="s">
        <v>74</v>
      </c>
      <c r="AG2727">
        <v>11</v>
      </c>
      <c r="AH2727">
        <v>2</v>
      </c>
      <c r="AI2727">
        <v>3</v>
      </c>
      <c r="AJ2727">
        <v>0</v>
      </c>
      <c r="AK2727">
        <v>5</v>
      </c>
      <c r="AL2727" t="s">
        <v>771</v>
      </c>
      <c r="AM2727" t="s">
        <v>151</v>
      </c>
      <c r="AN2727" t="s">
        <v>785</v>
      </c>
      <c r="AO2727" t="s">
        <v>74</v>
      </c>
      <c r="AP2727" t="s">
        <v>74</v>
      </c>
      <c r="AQ2727" t="s">
        <v>45486</v>
      </c>
      <c r="AR2727" t="s">
        <v>74</v>
      </c>
      <c r="AS2727" t="s">
        <v>74</v>
      </c>
      <c r="AT2727" t="s">
        <v>74</v>
      </c>
      <c r="AU2727">
        <v>2010</v>
      </c>
      <c r="AV2727" t="s">
        <v>74</v>
      </c>
      <c r="AW2727" t="s">
        <v>74</v>
      </c>
      <c r="AX2727" t="s">
        <v>74</v>
      </c>
      <c r="AY2727" t="s">
        <v>74</v>
      </c>
      <c r="AZ2727" t="s">
        <v>74</v>
      </c>
      <c r="BA2727" t="s">
        <v>74</v>
      </c>
      <c r="BB2727">
        <v>499</v>
      </c>
      <c r="BC2727">
        <v>502</v>
      </c>
      <c r="BD2727" t="s">
        <v>74</v>
      </c>
      <c r="BE2727" t="s">
        <v>45487</v>
      </c>
      <c r="BF2727" t="str">
        <f>HYPERLINK("http://dx.doi.org/10.1109/ICIFE.2010.5609408","http://dx.doi.org/10.1109/ICIFE.2010.5609408")</f>
        <v>http://dx.doi.org/10.1109/ICIFE.2010.5609408</v>
      </c>
      <c r="BG2727" t="s">
        <v>74</v>
      </c>
      <c r="BH2727" t="s">
        <v>74</v>
      </c>
      <c r="BI2727">
        <v>4</v>
      </c>
      <c r="BJ2727" t="s">
        <v>6075</v>
      </c>
      <c r="BK2727" t="s">
        <v>156</v>
      </c>
      <c r="BL2727" t="s">
        <v>981</v>
      </c>
      <c r="BM2727" t="s">
        <v>45488</v>
      </c>
      <c r="BN2727" t="s">
        <v>74</v>
      </c>
      <c r="BO2727" t="s">
        <v>74</v>
      </c>
      <c r="BP2727" t="s">
        <v>74</v>
      </c>
      <c r="BQ2727" t="s">
        <v>74</v>
      </c>
      <c r="BR2727" t="s">
        <v>102</v>
      </c>
      <c r="BS2727" t="s">
        <v>45489</v>
      </c>
      <c r="BT2727" t="str">
        <f>HYPERLINK("https%3A%2F%2Fwww.webofscience.com%2Fwos%2Fwoscc%2Ffull-record%2FWOS:000296350100113","View Full Record in Web of Science")</f>
        <v>View Full Record in Web of Science</v>
      </c>
    </row>
    <row r="2728" spans="1:72" x14ac:dyDescent="0.25">
      <c r="A2728" t="s">
        <v>72</v>
      </c>
      <c r="B2728" t="s">
        <v>45490</v>
      </c>
      <c r="C2728" t="s">
        <v>74</v>
      </c>
      <c r="D2728" t="s">
        <v>74</v>
      </c>
      <c r="E2728" t="s">
        <v>74</v>
      </c>
      <c r="F2728" t="s">
        <v>45491</v>
      </c>
      <c r="G2728" t="s">
        <v>74</v>
      </c>
      <c r="H2728" t="s">
        <v>74</v>
      </c>
      <c r="I2728" t="s">
        <v>45492</v>
      </c>
      <c r="J2728" t="s">
        <v>4822</v>
      </c>
      <c r="K2728" t="s">
        <v>74</v>
      </c>
      <c r="L2728" t="s">
        <v>74</v>
      </c>
      <c r="M2728" t="s">
        <v>78</v>
      </c>
      <c r="N2728" t="s">
        <v>79</v>
      </c>
      <c r="O2728" t="s">
        <v>74</v>
      </c>
      <c r="P2728" t="s">
        <v>74</v>
      </c>
      <c r="Q2728" t="s">
        <v>74</v>
      </c>
      <c r="R2728" t="s">
        <v>74</v>
      </c>
      <c r="S2728" t="s">
        <v>74</v>
      </c>
      <c r="T2728" t="s">
        <v>45493</v>
      </c>
      <c r="U2728" t="s">
        <v>45494</v>
      </c>
      <c r="V2728" t="s">
        <v>45495</v>
      </c>
      <c r="W2728" t="s">
        <v>45496</v>
      </c>
      <c r="X2728" t="s">
        <v>40348</v>
      </c>
      <c r="Y2728" t="s">
        <v>45497</v>
      </c>
      <c r="Z2728" t="s">
        <v>45498</v>
      </c>
      <c r="AA2728" t="s">
        <v>45499</v>
      </c>
      <c r="AB2728" t="s">
        <v>74</v>
      </c>
      <c r="AC2728" t="s">
        <v>74</v>
      </c>
      <c r="AD2728" t="s">
        <v>74</v>
      </c>
      <c r="AE2728" t="s">
        <v>74</v>
      </c>
      <c r="AF2728" t="s">
        <v>74</v>
      </c>
      <c r="AG2728">
        <v>36</v>
      </c>
      <c r="AH2728">
        <v>32</v>
      </c>
      <c r="AI2728">
        <v>41</v>
      </c>
      <c r="AJ2728">
        <v>1</v>
      </c>
      <c r="AK2728">
        <v>13</v>
      </c>
      <c r="AL2728" t="s">
        <v>201</v>
      </c>
      <c r="AM2728" t="s">
        <v>202</v>
      </c>
      <c r="AN2728" t="s">
        <v>203</v>
      </c>
      <c r="AO2728" t="s">
        <v>4833</v>
      </c>
      <c r="AP2728" t="s">
        <v>9515</v>
      </c>
      <c r="AQ2728" t="s">
        <v>74</v>
      </c>
      <c r="AR2728" t="s">
        <v>4834</v>
      </c>
      <c r="AS2728" t="s">
        <v>4835</v>
      </c>
      <c r="AT2728" t="s">
        <v>1652</v>
      </c>
      <c r="AU2728">
        <v>2021</v>
      </c>
      <c r="AV2728">
        <v>70</v>
      </c>
      <c r="AW2728" t="s">
        <v>74</v>
      </c>
      <c r="AX2728" t="s">
        <v>74</v>
      </c>
      <c r="AY2728" t="s">
        <v>74</v>
      </c>
      <c r="AZ2728" t="s">
        <v>74</v>
      </c>
      <c r="BA2728" t="s">
        <v>74</v>
      </c>
      <c r="BB2728">
        <v>365</v>
      </c>
      <c r="BC2728">
        <v>379</v>
      </c>
      <c r="BD2728" t="s">
        <v>74</v>
      </c>
      <c r="BE2728" t="s">
        <v>45500</v>
      </c>
      <c r="BF2728" t="str">
        <f>HYPERLINK("http://dx.doi.org/10.1016/j.eap.2021.03.008","http://dx.doi.org/10.1016/j.eap.2021.03.008")</f>
        <v>http://dx.doi.org/10.1016/j.eap.2021.03.008</v>
      </c>
      <c r="BG2728" t="s">
        <v>74</v>
      </c>
      <c r="BH2728" t="s">
        <v>10160</v>
      </c>
      <c r="BI2728">
        <v>15</v>
      </c>
      <c r="BJ2728" t="s">
        <v>291</v>
      </c>
      <c r="BK2728" t="s">
        <v>99</v>
      </c>
      <c r="BL2728" t="s">
        <v>100</v>
      </c>
      <c r="BM2728" t="s">
        <v>45501</v>
      </c>
      <c r="BN2728" t="s">
        <v>74</v>
      </c>
      <c r="BO2728" t="s">
        <v>1696</v>
      </c>
      <c r="BP2728" t="s">
        <v>74</v>
      </c>
      <c r="BQ2728" t="s">
        <v>74</v>
      </c>
      <c r="BR2728" t="s">
        <v>102</v>
      </c>
      <c r="BS2728" t="s">
        <v>45502</v>
      </c>
      <c r="BT2728" t="str">
        <f>HYPERLINK("https%3A%2F%2Fwww.webofscience.com%2Fwos%2Fwoscc%2Ffull-record%2FWOS:000652676400025","View Full Record in Web of Science")</f>
        <v>View Full Record in Web of Science</v>
      </c>
    </row>
    <row r="2729" spans="1:72" x14ac:dyDescent="0.25">
      <c r="A2729" t="s">
        <v>72</v>
      </c>
      <c r="B2729" t="s">
        <v>45503</v>
      </c>
      <c r="C2729" t="s">
        <v>74</v>
      </c>
      <c r="D2729" t="s">
        <v>74</v>
      </c>
      <c r="E2729" t="s">
        <v>74</v>
      </c>
      <c r="F2729" t="s">
        <v>45504</v>
      </c>
      <c r="G2729" t="s">
        <v>74</v>
      </c>
      <c r="H2729" t="s">
        <v>74</v>
      </c>
      <c r="I2729" t="s">
        <v>45505</v>
      </c>
      <c r="J2729" t="s">
        <v>34372</v>
      </c>
      <c r="K2729" t="s">
        <v>74</v>
      </c>
      <c r="L2729" t="s">
        <v>74</v>
      </c>
      <c r="M2729" t="s">
        <v>78</v>
      </c>
      <c r="N2729" t="s">
        <v>372</v>
      </c>
      <c r="O2729" t="s">
        <v>74</v>
      </c>
      <c r="P2729" t="s">
        <v>74</v>
      </c>
      <c r="Q2729" t="s">
        <v>74</v>
      </c>
      <c r="R2729" t="s">
        <v>74</v>
      </c>
      <c r="S2729" t="s">
        <v>74</v>
      </c>
      <c r="T2729" t="s">
        <v>45506</v>
      </c>
      <c r="U2729" t="s">
        <v>45507</v>
      </c>
      <c r="V2729" t="s">
        <v>45508</v>
      </c>
      <c r="W2729" t="s">
        <v>45509</v>
      </c>
      <c r="X2729" t="s">
        <v>13264</v>
      </c>
      <c r="Y2729" t="s">
        <v>45510</v>
      </c>
      <c r="Z2729" t="s">
        <v>45511</v>
      </c>
      <c r="AA2729" t="s">
        <v>74</v>
      </c>
      <c r="AB2729" t="s">
        <v>45512</v>
      </c>
      <c r="AC2729" t="s">
        <v>45513</v>
      </c>
      <c r="AD2729" t="s">
        <v>45514</v>
      </c>
      <c r="AE2729" t="s">
        <v>45515</v>
      </c>
      <c r="AF2729" t="s">
        <v>74</v>
      </c>
      <c r="AG2729">
        <v>56</v>
      </c>
      <c r="AH2729">
        <v>0</v>
      </c>
      <c r="AI2729">
        <v>0</v>
      </c>
      <c r="AJ2729">
        <v>4</v>
      </c>
      <c r="AK2729">
        <v>4</v>
      </c>
      <c r="AL2729" t="s">
        <v>823</v>
      </c>
      <c r="AM2729" t="s">
        <v>333</v>
      </c>
      <c r="AN2729" t="s">
        <v>824</v>
      </c>
      <c r="AO2729" t="s">
        <v>34363</v>
      </c>
      <c r="AP2729" t="s">
        <v>34362</v>
      </c>
      <c r="AQ2729" t="s">
        <v>74</v>
      </c>
      <c r="AR2729" t="s">
        <v>34361</v>
      </c>
      <c r="AS2729" t="s">
        <v>34360</v>
      </c>
      <c r="AT2729" t="s">
        <v>45516</v>
      </c>
      <c r="AU2729">
        <v>2025</v>
      </c>
      <c r="AV2729" t="s">
        <v>74</v>
      </c>
      <c r="AW2729" t="s">
        <v>74</v>
      </c>
      <c r="AX2729" t="s">
        <v>74</v>
      </c>
      <c r="AY2729" t="s">
        <v>74</v>
      </c>
      <c r="AZ2729" t="s">
        <v>74</v>
      </c>
      <c r="BA2729" t="s">
        <v>74</v>
      </c>
      <c r="BB2729" t="s">
        <v>74</v>
      </c>
      <c r="BC2729" t="s">
        <v>74</v>
      </c>
      <c r="BD2729" t="s">
        <v>74</v>
      </c>
      <c r="BE2729" t="s">
        <v>45517</v>
      </c>
      <c r="BF2729" t="str">
        <f>HYPERLINK("http://dx.doi.org/10.1080/2157930X.2025.2542637","http://dx.doi.org/10.1080/2157930X.2025.2542637")</f>
        <v>http://dx.doi.org/10.1080/2157930X.2025.2542637</v>
      </c>
      <c r="BG2729" t="s">
        <v>74</v>
      </c>
      <c r="BH2729" t="s">
        <v>5030</v>
      </c>
      <c r="BI2729">
        <v>18</v>
      </c>
      <c r="BJ2729" t="s">
        <v>701</v>
      </c>
      <c r="BK2729" t="s">
        <v>313</v>
      </c>
      <c r="BL2729" t="s">
        <v>702</v>
      </c>
      <c r="BM2729" t="s">
        <v>45518</v>
      </c>
      <c r="BN2729" t="s">
        <v>74</v>
      </c>
      <c r="BO2729" t="s">
        <v>270</v>
      </c>
      <c r="BP2729" t="s">
        <v>74</v>
      </c>
      <c r="BQ2729" t="s">
        <v>74</v>
      </c>
      <c r="BR2729" t="s">
        <v>102</v>
      </c>
      <c r="BS2729" t="s">
        <v>45519</v>
      </c>
      <c r="BT2729" t="str">
        <f>HYPERLINK("https%3A%2F%2Fwww.webofscience.com%2Fwos%2Fwoscc%2Ffull-record%2FWOS:001553459900001","View Full Record in Web of Science")</f>
        <v>View Full Record in Web of Science</v>
      </c>
    </row>
    <row r="2730" spans="1:72" x14ac:dyDescent="0.25">
      <c r="A2730" t="s">
        <v>72</v>
      </c>
      <c r="B2730" t="s">
        <v>45520</v>
      </c>
      <c r="C2730" t="s">
        <v>74</v>
      </c>
      <c r="D2730" t="s">
        <v>74</v>
      </c>
      <c r="E2730" t="s">
        <v>74</v>
      </c>
      <c r="F2730" t="s">
        <v>45521</v>
      </c>
      <c r="G2730" t="s">
        <v>74</v>
      </c>
      <c r="H2730" t="s">
        <v>74</v>
      </c>
      <c r="I2730" t="s">
        <v>45522</v>
      </c>
      <c r="J2730" t="s">
        <v>2309</v>
      </c>
      <c r="K2730" t="s">
        <v>74</v>
      </c>
      <c r="L2730" t="s">
        <v>74</v>
      </c>
      <c r="M2730" t="s">
        <v>78</v>
      </c>
      <c r="N2730" t="s">
        <v>372</v>
      </c>
      <c r="O2730" t="s">
        <v>74</v>
      </c>
      <c r="P2730" t="s">
        <v>74</v>
      </c>
      <c r="Q2730" t="s">
        <v>74</v>
      </c>
      <c r="R2730" t="s">
        <v>74</v>
      </c>
      <c r="S2730" t="s">
        <v>74</v>
      </c>
      <c r="T2730" t="s">
        <v>45523</v>
      </c>
      <c r="U2730" t="s">
        <v>45524</v>
      </c>
      <c r="V2730" t="s">
        <v>45525</v>
      </c>
      <c r="W2730" t="s">
        <v>45526</v>
      </c>
      <c r="X2730" t="s">
        <v>45527</v>
      </c>
      <c r="Y2730" t="s">
        <v>45528</v>
      </c>
      <c r="Z2730" t="s">
        <v>74</v>
      </c>
      <c r="AA2730" t="s">
        <v>45529</v>
      </c>
      <c r="AB2730" t="s">
        <v>45530</v>
      </c>
      <c r="AC2730" t="s">
        <v>45531</v>
      </c>
      <c r="AD2730" t="s">
        <v>45532</v>
      </c>
      <c r="AE2730" t="s">
        <v>45533</v>
      </c>
      <c r="AF2730" t="s">
        <v>74</v>
      </c>
      <c r="AG2730">
        <v>52</v>
      </c>
      <c r="AH2730">
        <v>0</v>
      </c>
      <c r="AI2730">
        <v>0</v>
      </c>
      <c r="AJ2730">
        <v>4</v>
      </c>
      <c r="AK2730">
        <v>4</v>
      </c>
      <c r="AL2730" t="s">
        <v>332</v>
      </c>
      <c r="AM2730" t="s">
        <v>333</v>
      </c>
      <c r="AN2730" t="s">
        <v>334</v>
      </c>
      <c r="AO2730" t="s">
        <v>2322</v>
      </c>
      <c r="AP2730" t="s">
        <v>2323</v>
      </c>
      <c r="AQ2730" t="s">
        <v>74</v>
      </c>
      <c r="AR2730" t="s">
        <v>2324</v>
      </c>
      <c r="AS2730" t="s">
        <v>2325</v>
      </c>
      <c r="AT2730" t="s">
        <v>45534</v>
      </c>
      <c r="AU2730">
        <v>2025</v>
      </c>
      <c r="AV2730" t="s">
        <v>74</v>
      </c>
      <c r="AW2730" t="s">
        <v>74</v>
      </c>
      <c r="AX2730" t="s">
        <v>74</v>
      </c>
      <c r="AY2730" t="s">
        <v>74</v>
      </c>
      <c r="AZ2730" t="s">
        <v>74</v>
      </c>
      <c r="BA2730" t="s">
        <v>74</v>
      </c>
      <c r="BB2730" t="s">
        <v>74</v>
      </c>
      <c r="BC2730" t="s">
        <v>74</v>
      </c>
      <c r="BD2730" t="s">
        <v>74</v>
      </c>
      <c r="BE2730" t="s">
        <v>45535</v>
      </c>
      <c r="BF2730" t="str">
        <f>HYPERLINK("http://dx.doi.org/10.1080/00220388.2025.2555199","http://dx.doi.org/10.1080/00220388.2025.2555199")</f>
        <v>http://dx.doi.org/10.1080/00220388.2025.2555199</v>
      </c>
      <c r="BG2730" t="s">
        <v>74</v>
      </c>
      <c r="BH2730" t="s">
        <v>3411</v>
      </c>
      <c r="BI2730">
        <v>23</v>
      </c>
      <c r="BJ2730" t="s">
        <v>701</v>
      </c>
      <c r="BK2730" t="s">
        <v>99</v>
      </c>
      <c r="BL2730" t="s">
        <v>702</v>
      </c>
      <c r="BM2730" t="s">
        <v>45536</v>
      </c>
      <c r="BN2730" t="s">
        <v>74</v>
      </c>
      <c r="BO2730" t="s">
        <v>74</v>
      </c>
      <c r="BP2730" t="s">
        <v>74</v>
      </c>
      <c r="BQ2730" t="s">
        <v>74</v>
      </c>
      <c r="BR2730" t="s">
        <v>102</v>
      </c>
      <c r="BS2730" t="s">
        <v>45537</v>
      </c>
      <c r="BT2730" t="str">
        <f>HYPERLINK("https%3A%2F%2Fwww.webofscience.com%2Fwos%2Fwoscc%2Ffull-record%2FWOS:001578028200001","View Full Record in Web of Science")</f>
        <v>View Full Record in Web of Science</v>
      </c>
    </row>
    <row r="2731" spans="1:72" x14ac:dyDescent="0.25">
      <c r="A2731" t="s">
        <v>72</v>
      </c>
      <c r="B2731" t="s">
        <v>45538</v>
      </c>
      <c r="C2731" t="s">
        <v>74</v>
      </c>
      <c r="D2731" t="s">
        <v>74</v>
      </c>
      <c r="E2731" t="s">
        <v>74</v>
      </c>
      <c r="F2731" t="s">
        <v>45539</v>
      </c>
      <c r="G2731" t="s">
        <v>74</v>
      </c>
      <c r="H2731" t="s">
        <v>74</v>
      </c>
      <c r="I2731" t="s">
        <v>45540</v>
      </c>
      <c r="J2731" t="s">
        <v>2288</v>
      </c>
      <c r="K2731" t="s">
        <v>74</v>
      </c>
      <c r="L2731" t="s">
        <v>74</v>
      </c>
      <c r="M2731" t="s">
        <v>78</v>
      </c>
      <c r="N2731" t="s">
        <v>79</v>
      </c>
      <c r="O2731" t="s">
        <v>74</v>
      </c>
      <c r="P2731" t="s">
        <v>74</v>
      </c>
      <c r="Q2731" t="s">
        <v>74</v>
      </c>
      <c r="R2731" t="s">
        <v>74</v>
      </c>
      <c r="S2731" t="s">
        <v>74</v>
      </c>
      <c r="T2731" t="s">
        <v>45541</v>
      </c>
      <c r="U2731" t="s">
        <v>45542</v>
      </c>
      <c r="V2731" t="s">
        <v>45543</v>
      </c>
      <c r="W2731" t="s">
        <v>45544</v>
      </c>
      <c r="X2731" t="s">
        <v>45545</v>
      </c>
      <c r="Y2731" t="s">
        <v>45546</v>
      </c>
      <c r="Z2731" t="s">
        <v>45547</v>
      </c>
      <c r="AA2731" t="s">
        <v>74</v>
      </c>
      <c r="AB2731" t="s">
        <v>45548</v>
      </c>
      <c r="AC2731" t="s">
        <v>45549</v>
      </c>
      <c r="AD2731" t="s">
        <v>45550</v>
      </c>
      <c r="AE2731" t="s">
        <v>45551</v>
      </c>
      <c r="AF2731" t="s">
        <v>74</v>
      </c>
      <c r="AG2731">
        <v>38</v>
      </c>
      <c r="AH2731">
        <v>0</v>
      </c>
      <c r="AI2731">
        <v>0</v>
      </c>
      <c r="AJ2731">
        <v>5</v>
      </c>
      <c r="AK2731">
        <v>5</v>
      </c>
      <c r="AL2731" t="s">
        <v>201</v>
      </c>
      <c r="AM2731" t="s">
        <v>202</v>
      </c>
      <c r="AN2731" t="s">
        <v>203</v>
      </c>
      <c r="AO2731" t="s">
        <v>2299</v>
      </c>
      <c r="AP2731" t="s">
        <v>2300</v>
      </c>
      <c r="AQ2731" t="s">
        <v>74</v>
      </c>
      <c r="AR2731" t="s">
        <v>2301</v>
      </c>
      <c r="AS2731" t="s">
        <v>2302</v>
      </c>
      <c r="AT2731" t="s">
        <v>237</v>
      </c>
      <c r="AU2731">
        <v>2026</v>
      </c>
      <c r="AV2731">
        <v>179</v>
      </c>
      <c r="AW2731" t="s">
        <v>74</v>
      </c>
      <c r="AX2731" t="s">
        <v>74</v>
      </c>
      <c r="AY2731" t="s">
        <v>74</v>
      </c>
      <c r="AZ2731" t="s">
        <v>74</v>
      </c>
      <c r="BA2731" t="s">
        <v>74</v>
      </c>
      <c r="BB2731" t="s">
        <v>74</v>
      </c>
      <c r="BC2731" t="s">
        <v>74</v>
      </c>
      <c r="BD2731">
        <v>103645</v>
      </c>
      <c r="BE2731" t="s">
        <v>45552</v>
      </c>
      <c r="BF2731" t="str">
        <f>HYPERLINK("http://dx.doi.org/10.1016/j.jdeveco.2025.103645","http://dx.doi.org/10.1016/j.jdeveco.2025.103645")</f>
        <v>http://dx.doi.org/10.1016/j.jdeveco.2025.103645</v>
      </c>
      <c r="BG2731" t="s">
        <v>74</v>
      </c>
      <c r="BH2731" t="s">
        <v>12078</v>
      </c>
      <c r="BI2731">
        <v>15</v>
      </c>
      <c r="BJ2731" t="s">
        <v>291</v>
      </c>
      <c r="BK2731" t="s">
        <v>99</v>
      </c>
      <c r="BL2731" t="s">
        <v>100</v>
      </c>
      <c r="BM2731" t="s">
        <v>45553</v>
      </c>
      <c r="BN2731" t="s">
        <v>74</v>
      </c>
      <c r="BO2731" t="s">
        <v>466</v>
      </c>
      <c r="BP2731" t="s">
        <v>74</v>
      </c>
      <c r="BQ2731" t="s">
        <v>74</v>
      </c>
      <c r="BR2731" t="s">
        <v>102</v>
      </c>
      <c r="BS2731" t="s">
        <v>45554</v>
      </c>
      <c r="BT2731" t="str">
        <f>HYPERLINK("https%3A%2F%2Fwww.webofscience.com%2Fwos%2Fwoscc%2Ffull-record%2FWOS:001595210500001","View Full Record in Web of Science")</f>
        <v>View Full Record in Web of Science</v>
      </c>
    </row>
    <row r="2732" spans="1:72" x14ac:dyDescent="0.25">
      <c r="A2732" t="s">
        <v>72</v>
      </c>
      <c r="B2732" t="s">
        <v>45555</v>
      </c>
      <c r="C2732" t="s">
        <v>74</v>
      </c>
      <c r="D2732" t="s">
        <v>74</v>
      </c>
      <c r="E2732" t="s">
        <v>74</v>
      </c>
      <c r="F2732" t="s">
        <v>45556</v>
      </c>
      <c r="G2732" t="s">
        <v>74</v>
      </c>
      <c r="H2732" t="s">
        <v>74</v>
      </c>
      <c r="I2732" t="s">
        <v>45557</v>
      </c>
      <c r="J2732" t="s">
        <v>14448</v>
      </c>
      <c r="K2732" t="s">
        <v>74</v>
      </c>
      <c r="L2732" t="s">
        <v>74</v>
      </c>
      <c r="M2732" t="s">
        <v>78</v>
      </c>
      <c r="N2732" t="s">
        <v>79</v>
      </c>
      <c r="O2732" t="s">
        <v>74</v>
      </c>
      <c r="P2732" t="s">
        <v>74</v>
      </c>
      <c r="Q2732" t="s">
        <v>74</v>
      </c>
      <c r="R2732" t="s">
        <v>74</v>
      </c>
      <c r="S2732" t="s">
        <v>74</v>
      </c>
      <c r="T2732" t="s">
        <v>45558</v>
      </c>
      <c r="U2732" t="s">
        <v>45559</v>
      </c>
      <c r="V2732" t="s">
        <v>45560</v>
      </c>
      <c r="W2732" t="s">
        <v>45561</v>
      </c>
      <c r="X2732" t="s">
        <v>45562</v>
      </c>
      <c r="Y2732" t="s">
        <v>45563</v>
      </c>
      <c r="Z2732" t="s">
        <v>45564</v>
      </c>
      <c r="AA2732" t="s">
        <v>45565</v>
      </c>
      <c r="AB2732" t="s">
        <v>45566</v>
      </c>
      <c r="AC2732" t="s">
        <v>45567</v>
      </c>
      <c r="AD2732" t="s">
        <v>45567</v>
      </c>
      <c r="AE2732" t="s">
        <v>45568</v>
      </c>
      <c r="AF2732" t="s">
        <v>74</v>
      </c>
      <c r="AG2732">
        <v>45</v>
      </c>
      <c r="AH2732">
        <v>25</v>
      </c>
      <c r="AI2732">
        <v>30</v>
      </c>
      <c r="AJ2732">
        <v>0</v>
      </c>
      <c r="AK2732">
        <v>59</v>
      </c>
      <c r="AL2732" t="s">
        <v>4485</v>
      </c>
      <c r="AM2732" t="s">
        <v>231</v>
      </c>
      <c r="AN2732" t="s">
        <v>4486</v>
      </c>
      <c r="AO2732" t="s">
        <v>14458</v>
      </c>
      <c r="AP2732" t="s">
        <v>14459</v>
      </c>
      <c r="AQ2732" t="s">
        <v>74</v>
      </c>
      <c r="AR2732" t="s">
        <v>14460</v>
      </c>
      <c r="AS2732" t="s">
        <v>14461</v>
      </c>
      <c r="AT2732" t="s">
        <v>45569</v>
      </c>
      <c r="AU2732">
        <v>2020</v>
      </c>
      <c r="AV2732">
        <v>267</v>
      </c>
      <c r="AW2732" t="s">
        <v>74</v>
      </c>
      <c r="AX2732" t="s">
        <v>74</v>
      </c>
      <c r="AY2732" t="s">
        <v>74</v>
      </c>
      <c r="AZ2732" t="s">
        <v>74</v>
      </c>
      <c r="BA2732" t="s">
        <v>74</v>
      </c>
      <c r="BB2732" t="s">
        <v>74</v>
      </c>
      <c r="BC2732" t="s">
        <v>74</v>
      </c>
      <c r="BD2732">
        <v>122153</v>
      </c>
      <c r="BE2732" t="s">
        <v>45570</v>
      </c>
      <c r="BF2732" t="str">
        <f>HYPERLINK("http://dx.doi.org/10.1016/j.jclepro.2020.122153","http://dx.doi.org/10.1016/j.jclepro.2020.122153")</f>
        <v>http://dx.doi.org/10.1016/j.jclepro.2020.122153</v>
      </c>
      <c r="BG2732" t="s">
        <v>74</v>
      </c>
      <c r="BH2732" t="s">
        <v>74</v>
      </c>
      <c r="BI2732">
        <v>10</v>
      </c>
      <c r="BJ2732" t="s">
        <v>14463</v>
      </c>
      <c r="BK2732" t="s">
        <v>2623</v>
      </c>
      <c r="BL2732" t="s">
        <v>14464</v>
      </c>
      <c r="BM2732" t="s">
        <v>45571</v>
      </c>
      <c r="BN2732" t="s">
        <v>74</v>
      </c>
      <c r="BO2732" t="s">
        <v>74</v>
      </c>
      <c r="BP2732" t="s">
        <v>74</v>
      </c>
      <c r="BQ2732" t="s">
        <v>74</v>
      </c>
      <c r="BR2732" t="s">
        <v>102</v>
      </c>
      <c r="BS2732" t="s">
        <v>45572</v>
      </c>
      <c r="BT2732" t="str">
        <f>HYPERLINK("https%3A%2F%2Fwww.webofscience.com%2Fwos%2Fwoscc%2Ffull-record%2FWOS:000542425300014","View Full Record in Web of Science")</f>
        <v>View Full Record in Web of Science</v>
      </c>
    </row>
    <row r="2733" spans="1:72" x14ac:dyDescent="0.25">
      <c r="A2733" t="s">
        <v>72</v>
      </c>
      <c r="B2733" t="s">
        <v>45573</v>
      </c>
      <c r="C2733" t="s">
        <v>74</v>
      </c>
      <c r="D2733" t="s">
        <v>74</v>
      </c>
      <c r="E2733" t="s">
        <v>74</v>
      </c>
      <c r="F2733" t="s">
        <v>45574</v>
      </c>
      <c r="G2733" t="s">
        <v>74</v>
      </c>
      <c r="H2733" t="s">
        <v>74</v>
      </c>
      <c r="I2733" t="s">
        <v>45575</v>
      </c>
      <c r="J2733" t="s">
        <v>77</v>
      </c>
      <c r="K2733" t="s">
        <v>74</v>
      </c>
      <c r="L2733" t="s">
        <v>74</v>
      </c>
      <c r="M2733" t="s">
        <v>78</v>
      </c>
      <c r="N2733" t="s">
        <v>79</v>
      </c>
      <c r="O2733" t="s">
        <v>74</v>
      </c>
      <c r="P2733" t="s">
        <v>74</v>
      </c>
      <c r="Q2733" t="s">
        <v>74</v>
      </c>
      <c r="R2733" t="s">
        <v>74</v>
      </c>
      <c r="S2733" t="s">
        <v>74</v>
      </c>
      <c r="T2733" t="s">
        <v>45576</v>
      </c>
      <c r="U2733" t="s">
        <v>45577</v>
      </c>
      <c r="V2733" t="s">
        <v>45578</v>
      </c>
      <c r="W2733" t="s">
        <v>45579</v>
      </c>
      <c r="X2733" t="s">
        <v>45580</v>
      </c>
      <c r="Y2733" t="s">
        <v>45581</v>
      </c>
      <c r="Z2733" t="s">
        <v>45582</v>
      </c>
      <c r="AA2733" t="s">
        <v>74</v>
      </c>
      <c r="AB2733" t="s">
        <v>74</v>
      </c>
      <c r="AC2733" t="s">
        <v>74</v>
      </c>
      <c r="AD2733" t="s">
        <v>74</v>
      </c>
      <c r="AE2733" t="s">
        <v>74</v>
      </c>
      <c r="AF2733" t="s">
        <v>74</v>
      </c>
      <c r="AG2733">
        <v>100</v>
      </c>
      <c r="AH2733">
        <v>10</v>
      </c>
      <c r="AI2733">
        <v>15</v>
      </c>
      <c r="AJ2733">
        <v>1</v>
      </c>
      <c r="AK2733">
        <v>59</v>
      </c>
      <c r="AL2733" t="s">
        <v>89</v>
      </c>
      <c r="AM2733" t="s">
        <v>1497</v>
      </c>
      <c r="AN2733" t="s">
        <v>1498</v>
      </c>
      <c r="AO2733" t="s">
        <v>92</v>
      </c>
      <c r="AP2733" t="s">
        <v>93</v>
      </c>
      <c r="AQ2733" t="s">
        <v>74</v>
      </c>
      <c r="AR2733" t="s">
        <v>94</v>
      </c>
      <c r="AS2733" t="s">
        <v>95</v>
      </c>
      <c r="AT2733" t="s">
        <v>74</v>
      </c>
      <c r="AU2733">
        <v>2017</v>
      </c>
      <c r="AV2733">
        <v>23</v>
      </c>
      <c r="AW2733">
        <v>6</v>
      </c>
      <c r="AX2733" t="s">
        <v>74</v>
      </c>
      <c r="AY2733" t="s">
        <v>74</v>
      </c>
      <c r="AZ2733" t="s">
        <v>441</v>
      </c>
      <c r="BA2733" t="s">
        <v>74</v>
      </c>
      <c r="BB2733">
        <v>1033</v>
      </c>
      <c r="BC2733">
        <v>1051</v>
      </c>
      <c r="BD2733" t="s">
        <v>74</v>
      </c>
      <c r="BE2733" t="s">
        <v>45583</v>
      </c>
      <c r="BF2733" t="str">
        <f>HYPERLINK("http://dx.doi.org/10.1108/IJEBR-05-2016-0168","http://dx.doi.org/10.1108/IJEBR-05-2016-0168")</f>
        <v>http://dx.doi.org/10.1108/IJEBR-05-2016-0168</v>
      </c>
      <c r="BG2733" t="s">
        <v>74</v>
      </c>
      <c r="BH2733" t="s">
        <v>74</v>
      </c>
      <c r="BI2733">
        <v>19</v>
      </c>
      <c r="BJ2733" t="s">
        <v>98</v>
      </c>
      <c r="BK2733" t="s">
        <v>99</v>
      </c>
      <c r="BL2733" t="s">
        <v>100</v>
      </c>
      <c r="BM2733" t="s">
        <v>45584</v>
      </c>
      <c r="BN2733" t="s">
        <v>74</v>
      </c>
      <c r="BO2733" t="s">
        <v>74</v>
      </c>
      <c r="BP2733" t="s">
        <v>74</v>
      </c>
      <c r="BQ2733" t="s">
        <v>74</v>
      </c>
      <c r="BR2733" t="s">
        <v>102</v>
      </c>
      <c r="BS2733" t="s">
        <v>45585</v>
      </c>
      <c r="BT2733" t="str">
        <f>HYPERLINK("https%3A%2F%2Fwww.webofscience.com%2Fwos%2Fwoscc%2Ffull-record%2FWOS:000413097000012","View Full Record in Web of Science")</f>
        <v>View Full Record in Web of Science</v>
      </c>
    </row>
    <row r="2734" spans="1:72" x14ac:dyDescent="0.25">
      <c r="A2734" t="s">
        <v>72</v>
      </c>
      <c r="B2734" t="s">
        <v>45586</v>
      </c>
      <c r="C2734" t="s">
        <v>74</v>
      </c>
      <c r="D2734" t="s">
        <v>74</v>
      </c>
      <c r="E2734" t="s">
        <v>74</v>
      </c>
      <c r="F2734" t="s">
        <v>45587</v>
      </c>
      <c r="G2734" t="s">
        <v>74</v>
      </c>
      <c r="H2734" t="s">
        <v>74</v>
      </c>
      <c r="I2734" t="s">
        <v>45588</v>
      </c>
      <c r="J2734" t="s">
        <v>3056</v>
      </c>
      <c r="K2734" t="s">
        <v>74</v>
      </c>
      <c r="L2734" t="s">
        <v>74</v>
      </c>
      <c r="M2734" t="s">
        <v>78</v>
      </c>
      <c r="N2734" t="s">
        <v>79</v>
      </c>
      <c r="O2734" t="s">
        <v>74</v>
      </c>
      <c r="P2734" t="s">
        <v>74</v>
      </c>
      <c r="Q2734" t="s">
        <v>74</v>
      </c>
      <c r="R2734" t="s">
        <v>74</v>
      </c>
      <c r="S2734" t="s">
        <v>74</v>
      </c>
      <c r="T2734" t="s">
        <v>45589</v>
      </c>
      <c r="U2734" t="s">
        <v>74</v>
      </c>
      <c r="V2734" t="s">
        <v>45590</v>
      </c>
      <c r="W2734" t="s">
        <v>45591</v>
      </c>
      <c r="X2734" t="s">
        <v>45592</v>
      </c>
      <c r="Y2734" t="s">
        <v>45593</v>
      </c>
      <c r="Z2734" t="s">
        <v>45594</v>
      </c>
      <c r="AA2734" t="s">
        <v>74</v>
      </c>
      <c r="AB2734" t="s">
        <v>74</v>
      </c>
      <c r="AC2734" t="s">
        <v>74</v>
      </c>
      <c r="AD2734" t="s">
        <v>74</v>
      </c>
      <c r="AE2734" t="s">
        <v>74</v>
      </c>
      <c r="AF2734" t="s">
        <v>74</v>
      </c>
      <c r="AG2734">
        <v>32</v>
      </c>
      <c r="AH2734">
        <v>1</v>
      </c>
      <c r="AI2734">
        <v>1</v>
      </c>
      <c r="AJ2734">
        <v>0</v>
      </c>
      <c r="AK2734">
        <v>10</v>
      </c>
      <c r="AL2734" t="s">
        <v>3064</v>
      </c>
      <c r="AM2734" t="s">
        <v>3065</v>
      </c>
      <c r="AN2734" t="s">
        <v>3066</v>
      </c>
      <c r="AO2734" t="s">
        <v>3067</v>
      </c>
      <c r="AP2734" t="s">
        <v>3068</v>
      </c>
      <c r="AQ2734" t="s">
        <v>74</v>
      </c>
      <c r="AR2734" t="s">
        <v>3069</v>
      </c>
      <c r="AS2734" t="s">
        <v>3070</v>
      </c>
      <c r="AT2734" t="s">
        <v>363</v>
      </c>
      <c r="AU2734">
        <v>2020</v>
      </c>
      <c r="AV2734">
        <v>16</v>
      </c>
      <c r="AW2734">
        <v>2</v>
      </c>
      <c r="AX2734" t="s">
        <v>74</v>
      </c>
      <c r="AY2734" t="s">
        <v>74</v>
      </c>
      <c r="AZ2734" t="s">
        <v>74</v>
      </c>
      <c r="BA2734" t="s">
        <v>74</v>
      </c>
      <c r="BB2734">
        <v>247</v>
      </c>
      <c r="BC2734">
        <v>255</v>
      </c>
      <c r="BD2734" t="s">
        <v>74</v>
      </c>
      <c r="BE2734" t="s">
        <v>45595</v>
      </c>
      <c r="BF2734" t="str">
        <f>HYPERLINK("http://dx.doi.org/10.35716/IJED/18110","http://dx.doi.org/10.35716/IJED/18110")</f>
        <v>http://dx.doi.org/10.35716/IJED/18110</v>
      </c>
      <c r="BG2734" t="s">
        <v>74</v>
      </c>
      <c r="BH2734" t="s">
        <v>74</v>
      </c>
      <c r="BI2734">
        <v>9</v>
      </c>
      <c r="BJ2734" t="s">
        <v>291</v>
      </c>
      <c r="BK2734" t="s">
        <v>313</v>
      </c>
      <c r="BL2734" t="s">
        <v>100</v>
      </c>
      <c r="BM2734" t="s">
        <v>21445</v>
      </c>
      <c r="BN2734" t="s">
        <v>74</v>
      </c>
      <c r="BO2734" t="s">
        <v>74</v>
      </c>
      <c r="BP2734" t="s">
        <v>74</v>
      </c>
      <c r="BQ2734" t="s">
        <v>74</v>
      </c>
      <c r="BR2734" t="s">
        <v>102</v>
      </c>
      <c r="BS2734" t="s">
        <v>45596</v>
      </c>
      <c r="BT2734" t="str">
        <f>HYPERLINK("https%3A%2F%2Fwww.webofscience.com%2Fwos%2Fwoscc%2Ffull-record%2FWOS:000562049800010","View Full Record in Web of Science")</f>
        <v>View Full Record in Web of Science</v>
      </c>
    </row>
    <row r="2735" spans="1:72" x14ac:dyDescent="0.25">
      <c r="A2735" t="s">
        <v>72</v>
      </c>
      <c r="B2735" t="s">
        <v>45597</v>
      </c>
      <c r="C2735" t="s">
        <v>74</v>
      </c>
      <c r="D2735" t="s">
        <v>74</v>
      </c>
      <c r="E2735" t="s">
        <v>74</v>
      </c>
      <c r="F2735" t="s">
        <v>45598</v>
      </c>
      <c r="G2735" t="s">
        <v>74</v>
      </c>
      <c r="H2735" t="s">
        <v>74</v>
      </c>
      <c r="I2735" t="s">
        <v>45599</v>
      </c>
      <c r="J2735" t="s">
        <v>2809</v>
      </c>
      <c r="K2735" t="s">
        <v>74</v>
      </c>
      <c r="L2735" t="s">
        <v>74</v>
      </c>
      <c r="M2735" t="s">
        <v>78</v>
      </c>
      <c r="N2735" t="s">
        <v>79</v>
      </c>
      <c r="O2735" t="s">
        <v>74</v>
      </c>
      <c r="P2735" t="s">
        <v>74</v>
      </c>
      <c r="Q2735" t="s">
        <v>74</v>
      </c>
      <c r="R2735" t="s">
        <v>74</v>
      </c>
      <c r="S2735" t="s">
        <v>74</v>
      </c>
      <c r="T2735" t="s">
        <v>74</v>
      </c>
      <c r="U2735" t="s">
        <v>45600</v>
      </c>
      <c r="V2735" t="s">
        <v>45601</v>
      </c>
      <c r="W2735" t="s">
        <v>45602</v>
      </c>
      <c r="X2735" t="s">
        <v>45603</v>
      </c>
      <c r="Y2735" t="s">
        <v>45604</v>
      </c>
      <c r="Z2735" t="s">
        <v>45605</v>
      </c>
      <c r="AA2735" t="s">
        <v>45606</v>
      </c>
      <c r="AB2735" t="s">
        <v>45607</v>
      </c>
      <c r="AC2735" t="s">
        <v>74</v>
      </c>
      <c r="AD2735" t="s">
        <v>74</v>
      </c>
      <c r="AE2735" t="s">
        <v>74</v>
      </c>
      <c r="AF2735" t="s">
        <v>74</v>
      </c>
      <c r="AG2735">
        <v>42</v>
      </c>
      <c r="AH2735">
        <v>19</v>
      </c>
      <c r="AI2735">
        <v>26</v>
      </c>
      <c r="AJ2735">
        <v>0</v>
      </c>
      <c r="AK2735">
        <v>22</v>
      </c>
      <c r="AL2735" t="s">
        <v>479</v>
      </c>
      <c r="AM2735" t="s">
        <v>480</v>
      </c>
      <c r="AN2735" t="s">
        <v>481</v>
      </c>
      <c r="AO2735" t="s">
        <v>2816</v>
      </c>
      <c r="AP2735" t="s">
        <v>2817</v>
      </c>
      <c r="AQ2735" t="s">
        <v>74</v>
      </c>
      <c r="AR2735" t="s">
        <v>2818</v>
      </c>
      <c r="AS2735" t="s">
        <v>2819</v>
      </c>
      <c r="AT2735" t="s">
        <v>29065</v>
      </c>
      <c r="AU2735">
        <v>2019</v>
      </c>
      <c r="AV2735">
        <v>53</v>
      </c>
      <c r="AW2735">
        <v>4</v>
      </c>
      <c r="AX2735" t="s">
        <v>74</v>
      </c>
      <c r="AY2735" t="s">
        <v>74</v>
      </c>
      <c r="AZ2735" t="s">
        <v>74</v>
      </c>
      <c r="BA2735" t="s">
        <v>74</v>
      </c>
      <c r="BB2735">
        <v>1948</v>
      </c>
      <c r="BC2735">
        <v>1969</v>
      </c>
      <c r="BD2735" t="s">
        <v>74</v>
      </c>
      <c r="BE2735" t="s">
        <v>45608</v>
      </c>
      <c r="BF2735" t="str">
        <f>HYPERLINK("http://dx.doi.org/10.1111/joca.12275","http://dx.doi.org/10.1111/joca.12275")</f>
        <v>http://dx.doi.org/10.1111/joca.12275</v>
      </c>
      <c r="BG2735" t="s">
        <v>74</v>
      </c>
      <c r="BH2735" t="s">
        <v>10482</v>
      </c>
      <c r="BI2735">
        <v>22</v>
      </c>
      <c r="BJ2735" t="s">
        <v>1453</v>
      </c>
      <c r="BK2735" t="s">
        <v>99</v>
      </c>
      <c r="BL2735" t="s">
        <v>100</v>
      </c>
      <c r="BM2735" t="s">
        <v>35367</v>
      </c>
      <c r="BN2735" t="s">
        <v>74</v>
      </c>
      <c r="BO2735" t="s">
        <v>74</v>
      </c>
      <c r="BP2735" t="s">
        <v>74</v>
      </c>
      <c r="BQ2735" t="s">
        <v>74</v>
      </c>
      <c r="BR2735" t="s">
        <v>102</v>
      </c>
      <c r="BS2735" t="s">
        <v>45609</v>
      </c>
      <c r="BT2735" t="str">
        <f>HYPERLINK("https%3A%2F%2Fwww.webofscience.com%2Fwos%2Fwoscc%2Ffull-record%2FWOS:000480943900001","View Full Record in Web of Science")</f>
        <v>View Full Record in Web of Science</v>
      </c>
    </row>
    <row r="2736" spans="1:72" x14ac:dyDescent="0.25">
      <c r="A2736" t="s">
        <v>72</v>
      </c>
      <c r="B2736" t="s">
        <v>45610</v>
      </c>
      <c r="C2736" t="s">
        <v>74</v>
      </c>
      <c r="D2736" t="s">
        <v>74</v>
      </c>
      <c r="E2736" t="s">
        <v>74</v>
      </c>
      <c r="F2736" t="s">
        <v>45611</v>
      </c>
      <c r="G2736" t="s">
        <v>74</v>
      </c>
      <c r="H2736" t="s">
        <v>74</v>
      </c>
      <c r="I2736" t="s">
        <v>45612</v>
      </c>
      <c r="J2736" t="s">
        <v>3231</v>
      </c>
      <c r="K2736" t="s">
        <v>74</v>
      </c>
      <c r="L2736" t="s">
        <v>74</v>
      </c>
      <c r="M2736" t="s">
        <v>78</v>
      </c>
      <c r="N2736" t="s">
        <v>79</v>
      </c>
      <c r="O2736" t="s">
        <v>74</v>
      </c>
      <c r="P2736" t="s">
        <v>74</v>
      </c>
      <c r="Q2736" t="s">
        <v>74</v>
      </c>
      <c r="R2736" t="s">
        <v>74</v>
      </c>
      <c r="S2736" t="s">
        <v>74</v>
      </c>
      <c r="T2736" t="s">
        <v>45613</v>
      </c>
      <c r="U2736" t="s">
        <v>74</v>
      </c>
      <c r="V2736" t="s">
        <v>45614</v>
      </c>
      <c r="W2736" t="s">
        <v>45615</v>
      </c>
      <c r="X2736" t="s">
        <v>45616</v>
      </c>
      <c r="Y2736" t="s">
        <v>45617</v>
      </c>
      <c r="Z2736" t="s">
        <v>45618</v>
      </c>
      <c r="AA2736" t="s">
        <v>45619</v>
      </c>
      <c r="AB2736" t="s">
        <v>45620</v>
      </c>
      <c r="AC2736" t="s">
        <v>45621</v>
      </c>
      <c r="AD2736" t="s">
        <v>45622</v>
      </c>
      <c r="AE2736" t="s">
        <v>45623</v>
      </c>
      <c r="AF2736" t="s">
        <v>74</v>
      </c>
      <c r="AG2736">
        <v>61</v>
      </c>
      <c r="AH2736">
        <v>33</v>
      </c>
      <c r="AI2736">
        <v>43</v>
      </c>
      <c r="AJ2736">
        <v>3</v>
      </c>
      <c r="AK2736">
        <v>41</v>
      </c>
      <c r="AL2736" t="s">
        <v>575</v>
      </c>
      <c r="AM2736" t="s">
        <v>576</v>
      </c>
      <c r="AN2736" t="s">
        <v>577</v>
      </c>
      <c r="AO2736" t="s">
        <v>74</v>
      </c>
      <c r="AP2736" t="s">
        <v>3243</v>
      </c>
      <c r="AQ2736" t="s">
        <v>74</v>
      </c>
      <c r="AR2736" t="s">
        <v>3244</v>
      </c>
      <c r="AS2736" t="s">
        <v>3245</v>
      </c>
      <c r="AT2736" t="s">
        <v>208</v>
      </c>
      <c r="AU2736">
        <v>2022</v>
      </c>
      <c r="AV2736">
        <v>14</v>
      </c>
      <c r="AW2736">
        <v>2</v>
      </c>
      <c r="AX2736" t="s">
        <v>74</v>
      </c>
      <c r="AY2736" t="s">
        <v>74</v>
      </c>
      <c r="AZ2736" t="s">
        <v>74</v>
      </c>
      <c r="BA2736" t="s">
        <v>74</v>
      </c>
      <c r="BB2736" t="s">
        <v>74</v>
      </c>
      <c r="BC2736" t="s">
        <v>74</v>
      </c>
      <c r="BD2736">
        <v>913</v>
      </c>
      <c r="BE2736" t="s">
        <v>45624</v>
      </c>
      <c r="BF2736" t="str">
        <f>HYPERLINK("http://dx.doi.org/10.3390/su14020913","http://dx.doi.org/10.3390/su14020913")</f>
        <v>http://dx.doi.org/10.3390/su14020913</v>
      </c>
      <c r="BG2736" t="s">
        <v>74</v>
      </c>
      <c r="BH2736" t="s">
        <v>74</v>
      </c>
      <c r="BI2736">
        <v>20</v>
      </c>
      <c r="BJ2736" t="s">
        <v>3247</v>
      </c>
      <c r="BK2736" t="s">
        <v>2623</v>
      </c>
      <c r="BL2736" t="s">
        <v>3248</v>
      </c>
      <c r="BM2736" t="s">
        <v>45625</v>
      </c>
      <c r="BN2736" t="s">
        <v>74</v>
      </c>
      <c r="BO2736" t="s">
        <v>916</v>
      </c>
      <c r="BP2736" t="s">
        <v>74</v>
      </c>
      <c r="BQ2736" t="s">
        <v>74</v>
      </c>
      <c r="BR2736" t="s">
        <v>102</v>
      </c>
      <c r="BS2736" t="s">
        <v>45626</v>
      </c>
      <c r="BT2736" t="str">
        <f>HYPERLINK("https%3A%2F%2Fwww.webofscience.com%2Fwos%2Fwoscc%2Ffull-record%2FWOS:000758216900001","View Full Record in Web of Science")</f>
        <v>View Full Record in Web of Science</v>
      </c>
    </row>
    <row r="2737" spans="1:72" x14ac:dyDescent="0.25">
      <c r="A2737" t="s">
        <v>72</v>
      </c>
      <c r="B2737" t="s">
        <v>45627</v>
      </c>
      <c r="C2737" t="s">
        <v>74</v>
      </c>
      <c r="D2737" t="s">
        <v>74</v>
      </c>
      <c r="E2737" t="s">
        <v>74</v>
      </c>
      <c r="F2737" t="s">
        <v>45628</v>
      </c>
      <c r="G2737" t="s">
        <v>74</v>
      </c>
      <c r="H2737" t="s">
        <v>74</v>
      </c>
      <c r="I2737" t="s">
        <v>45629</v>
      </c>
      <c r="J2737" t="s">
        <v>23316</v>
      </c>
      <c r="K2737" t="s">
        <v>74</v>
      </c>
      <c r="L2737" t="s">
        <v>74</v>
      </c>
      <c r="M2737" t="s">
        <v>78</v>
      </c>
      <c r="N2737" t="s">
        <v>3795</v>
      </c>
      <c r="O2737" t="s">
        <v>45630</v>
      </c>
      <c r="P2737" t="s">
        <v>45631</v>
      </c>
      <c r="Q2737" t="s">
        <v>11197</v>
      </c>
      <c r="R2737" t="s">
        <v>74</v>
      </c>
      <c r="S2737" t="s">
        <v>74</v>
      </c>
      <c r="T2737" t="s">
        <v>45632</v>
      </c>
      <c r="U2737" t="s">
        <v>74</v>
      </c>
      <c r="V2737" t="s">
        <v>45633</v>
      </c>
      <c r="W2737" t="s">
        <v>45634</v>
      </c>
      <c r="X2737" t="s">
        <v>11237</v>
      </c>
      <c r="Y2737" t="s">
        <v>45635</v>
      </c>
      <c r="Z2737" t="s">
        <v>45636</v>
      </c>
      <c r="AA2737" t="s">
        <v>74</v>
      </c>
      <c r="AB2737" t="s">
        <v>45637</v>
      </c>
      <c r="AC2737" t="s">
        <v>74</v>
      </c>
      <c r="AD2737" t="s">
        <v>74</v>
      </c>
      <c r="AE2737" t="s">
        <v>74</v>
      </c>
      <c r="AF2737" t="s">
        <v>74</v>
      </c>
      <c r="AG2737">
        <v>24</v>
      </c>
      <c r="AH2737">
        <v>5</v>
      </c>
      <c r="AI2737">
        <v>5</v>
      </c>
      <c r="AJ2737">
        <v>1</v>
      </c>
      <c r="AK2737">
        <v>5</v>
      </c>
      <c r="AL2737" t="s">
        <v>823</v>
      </c>
      <c r="AM2737" t="s">
        <v>333</v>
      </c>
      <c r="AN2737" t="s">
        <v>824</v>
      </c>
      <c r="AO2737" t="s">
        <v>23310</v>
      </c>
      <c r="AP2737" t="s">
        <v>23309</v>
      </c>
      <c r="AQ2737" t="s">
        <v>74</v>
      </c>
      <c r="AR2737" t="s">
        <v>23308</v>
      </c>
      <c r="AS2737" t="s">
        <v>23307</v>
      </c>
      <c r="AT2737" t="s">
        <v>5472</v>
      </c>
      <c r="AU2737">
        <v>2022</v>
      </c>
      <c r="AV2737">
        <v>3</v>
      </c>
      <c r="AW2737">
        <v>3</v>
      </c>
      <c r="AX2737" t="s">
        <v>74</v>
      </c>
      <c r="AY2737" t="s">
        <v>74</v>
      </c>
      <c r="AZ2737" t="s">
        <v>74</v>
      </c>
      <c r="BA2737" t="s">
        <v>74</v>
      </c>
      <c r="BB2737">
        <v>228</v>
      </c>
      <c r="BC2737">
        <v>236</v>
      </c>
      <c r="BD2737" t="s">
        <v>74</v>
      </c>
      <c r="BE2737" t="s">
        <v>45638</v>
      </c>
      <c r="BF2737" t="str">
        <f>HYPERLINK("http://dx.doi.org/10.1080/26437015.2021.1982369","http://dx.doi.org/10.1080/26437015.2021.1982369")</f>
        <v>http://dx.doi.org/10.1080/26437015.2021.1982369</v>
      </c>
      <c r="BG2737" t="s">
        <v>74</v>
      </c>
      <c r="BH2737" t="s">
        <v>74</v>
      </c>
      <c r="BI2737">
        <v>9</v>
      </c>
      <c r="BJ2737" t="s">
        <v>98</v>
      </c>
      <c r="BK2737" t="s">
        <v>313</v>
      </c>
      <c r="BL2737" t="s">
        <v>100</v>
      </c>
      <c r="BM2737" t="s">
        <v>45639</v>
      </c>
      <c r="BN2737" t="s">
        <v>74</v>
      </c>
      <c r="BO2737" t="s">
        <v>74</v>
      </c>
      <c r="BP2737" t="s">
        <v>74</v>
      </c>
      <c r="BQ2737" t="s">
        <v>74</v>
      </c>
      <c r="BR2737" t="s">
        <v>102</v>
      </c>
      <c r="BS2737" t="s">
        <v>45640</v>
      </c>
      <c r="BT2737" t="str">
        <f>HYPERLINK("https%3A%2F%2Fwww.webofscience.com%2Fwos%2Fwoscc%2Ffull-record%2FWOS:001128389200003","View Full Record in Web of Science")</f>
        <v>View Full Record in Web of Science</v>
      </c>
    </row>
    <row r="2738" spans="1:72" x14ac:dyDescent="0.25">
      <c r="A2738" t="s">
        <v>72</v>
      </c>
      <c r="B2738" t="s">
        <v>45641</v>
      </c>
      <c r="C2738" t="s">
        <v>74</v>
      </c>
      <c r="D2738" t="s">
        <v>74</v>
      </c>
      <c r="E2738" t="s">
        <v>74</v>
      </c>
      <c r="F2738" t="s">
        <v>45642</v>
      </c>
      <c r="G2738" t="s">
        <v>74</v>
      </c>
      <c r="H2738" t="s">
        <v>74</v>
      </c>
      <c r="I2738" t="s">
        <v>45643</v>
      </c>
      <c r="J2738" t="s">
        <v>656</v>
      </c>
      <c r="K2738" t="s">
        <v>74</v>
      </c>
      <c r="L2738" t="s">
        <v>74</v>
      </c>
      <c r="M2738" t="s">
        <v>78</v>
      </c>
      <c r="N2738" t="s">
        <v>79</v>
      </c>
      <c r="O2738" t="s">
        <v>74</v>
      </c>
      <c r="P2738" t="s">
        <v>74</v>
      </c>
      <c r="Q2738" t="s">
        <v>74</v>
      </c>
      <c r="R2738" t="s">
        <v>74</v>
      </c>
      <c r="S2738" t="s">
        <v>74</v>
      </c>
      <c r="T2738" t="s">
        <v>45644</v>
      </c>
      <c r="U2738" t="s">
        <v>45645</v>
      </c>
      <c r="V2738" t="s">
        <v>45646</v>
      </c>
      <c r="W2738" t="s">
        <v>45647</v>
      </c>
      <c r="X2738" t="s">
        <v>45648</v>
      </c>
      <c r="Y2738" t="s">
        <v>45649</v>
      </c>
      <c r="Z2738" t="s">
        <v>45650</v>
      </c>
      <c r="AA2738" t="s">
        <v>74</v>
      </c>
      <c r="AB2738" t="s">
        <v>45651</v>
      </c>
      <c r="AC2738" t="s">
        <v>74</v>
      </c>
      <c r="AD2738" t="s">
        <v>74</v>
      </c>
      <c r="AE2738" t="s">
        <v>74</v>
      </c>
      <c r="AF2738" t="s">
        <v>74</v>
      </c>
      <c r="AG2738">
        <v>111</v>
      </c>
      <c r="AH2738">
        <v>66</v>
      </c>
      <c r="AI2738">
        <v>129</v>
      </c>
      <c r="AJ2738">
        <v>4</v>
      </c>
      <c r="AK2738">
        <v>111</v>
      </c>
      <c r="AL2738" t="s">
        <v>1062</v>
      </c>
      <c r="AM2738" t="s">
        <v>667</v>
      </c>
      <c r="AN2738" t="s">
        <v>668</v>
      </c>
      <c r="AO2738" t="s">
        <v>669</v>
      </c>
      <c r="AP2738" t="s">
        <v>670</v>
      </c>
      <c r="AQ2738" t="s">
        <v>74</v>
      </c>
      <c r="AR2738" t="s">
        <v>671</v>
      </c>
      <c r="AS2738" t="s">
        <v>672</v>
      </c>
      <c r="AT2738" t="s">
        <v>605</v>
      </c>
      <c r="AU2738">
        <v>2019</v>
      </c>
      <c r="AV2738">
        <v>40</v>
      </c>
      <c r="AW2738">
        <v>1</v>
      </c>
      <c r="AX2738" t="s">
        <v>74</v>
      </c>
      <c r="AY2738" t="s">
        <v>74</v>
      </c>
      <c r="AZ2738" t="s">
        <v>441</v>
      </c>
      <c r="BA2738" t="s">
        <v>74</v>
      </c>
      <c r="BB2738">
        <v>3</v>
      </c>
      <c r="BC2738">
        <v>21</v>
      </c>
      <c r="BD2738" t="s">
        <v>74</v>
      </c>
      <c r="BE2738" t="s">
        <v>45652</v>
      </c>
      <c r="BF2738" t="str">
        <f>HYPERLINK("http://dx.doi.org/10.1007/s10834-018-9593-4","http://dx.doi.org/10.1007/s10834-018-9593-4")</f>
        <v>http://dx.doi.org/10.1007/s10834-018-9593-4</v>
      </c>
      <c r="BG2738" t="s">
        <v>74</v>
      </c>
      <c r="BH2738" t="s">
        <v>74</v>
      </c>
      <c r="BI2738">
        <v>19</v>
      </c>
      <c r="BJ2738" t="s">
        <v>675</v>
      </c>
      <c r="BK2738" t="s">
        <v>99</v>
      </c>
      <c r="BL2738" t="s">
        <v>676</v>
      </c>
      <c r="BM2738" t="s">
        <v>41021</v>
      </c>
      <c r="BN2738" t="s">
        <v>74</v>
      </c>
      <c r="BO2738" t="s">
        <v>74</v>
      </c>
      <c r="BP2738" t="s">
        <v>74</v>
      </c>
      <c r="BQ2738" t="s">
        <v>74</v>
      </c>
      <c r="BR2738" t="s">
        <v>102</v>
      </c>
      <c r="BS2738" t="s">
        <v>45653</v>
      </c>
      <c r="BT2738" t="str">
        <f>HYPERLINK("https%3A%2F%2Fwww.webofscience.com%2Fwos%2Fwoscc%2Ffull-record%2FWOS:000459534100002","View Full Record in Web of Science")</f>
        <v>View Full Record in Web of Science</v>
      </c>
    </row>
    <row r="2739" spans="1:72" x14ac:dyDescent="0.25">
      <c r="A2739" t="s">
        <v>72</v>
      </c>
      <c r="B2739" t="s">
        <v>45654</v>
      </c>
      <c r="C2739" t="s">
        <v>74</v>
      </c>
      <c r="D2739" t="s">
        <v>74</v>
      </c>
      <c r="E2739" t="s">
        <v>74</v>
      </c>
      <c r="F2739" t="s">
        <v>45655</v>
      </c>
      <c r="G2739" t="s">
        <v>74</v>
      </c>
      <c r="H2739" t="s">
        <v>74</v>
      </c>
      <c r="I2739" t="s">
        <v>45656</v>
      </c>
      <c r="J2739" t="s">
        <v>12172</v>
      </c>
      <c r="K2739" t="s">
        <v>74</v>
      </c>
      <c r="L2739" t="s">
        <v>74</v>
      </c>
      <c r="M2739" t="s">
        <v>78</v>
      </c>
      <c r="N2739" t="s">
        <v>79</v>
      </c>
      <c r="O2739" t="s">
        <v>74</v>
      </c>
      <c r="P2739" t="s">
        <v>74</v>
      </c>
      <c r="Q2739" t="s">
        <v>74</v>
      </c>
      <c r="R2739" t="s">
        <v>74</v>
      </c>
      <c r="S2739" t="s">
        <v>74</v>
      </c>
      <c r="T2739" t="s">
        <v>45657</v>
      </c>
      <c r="U2739" t="s">
        <v>45658</v>
      </c>
      <c r="V2739" t="s">
        <v>45659</v>
      </c>
      <c r="W2739" t="s">
        <v>45660</v>
      </c>
      <c r="X2739" t="s">
        <v>45661</v>
      </c>
      <c r="Y2739" t="s">
        <v>45662</v>
      </c>
      <c r="Z2739" t="s">
        <v>45663</v>
      </c>
      <c r="AA2739" t="s">
        <v>74</v>
      </c>
      <c r="AB2739" t="s">
        <v>74</v>
      </c>
      <c r="AC2739" t="s">
        <v>45664</v>
      </c>
      <c r="AD2739" t="s">
        <v>45665</v>
      </c>
      <c r="AE2739" t="s">
        <v>45666</v>
      </c>
      <c r="AF2739" t="s">
        <v>74</v>
      </c>
      <c r="AG2739">
        <v>95</v>
      </c>
      <c r="AH2739">
        <v>4</v>
      </c>
      <c r="AI2739">
        <v>8</v>
      </c>
      <c r="AJ2739">
        <v>34</v>
      </c>
      <c r="AK2739">
        <v>86</v>
      </c>
      <c r="AL2739" t="s">
        <v>757</v>
      </c>
      <c r="AM2739" t="s">
        <v>758</v>
      </c>
      <c r="AN2739" t="s">
        <v>759</v>
      </c>
      <c r="AO2739" t="s">
        <v>12179</v>
      </c>
      <c r="AP2739" t="s">
        <v>74</v>
      </c>
      <c r="AQ2739" t="s">
        <v>74</v>
      </c>
      <c r="AR2739" t="s">
        <v>12172</v>
      </c>
      <c r="AS2739" t="s">
        <v>12180</v>
      </c>
      <c r="AT2739" t="s">
        <v>848</v>
      </c>
      <c r="AU2739">
        <v>2024</v>
      </c>
      <c r="AV2739">
        <v>14</v>
      </c>
      <c r="AW2739">
        <v>3</v>
      </c>
      <c r="AX2739" t="s">
        <v>74</v>
      </c>
      <c r="AY2739" t="s">
        <v>74</v>
      </c>
      <c r="AZ2739" t="s">
        <v>74</v>
      </c>
      <c r="BA2739" t="s">
        <v>74</v>
      </c>
      <c r="BB2739" t="s">
        <v>74</v>
      </c>
      <c r="BC2739" t="s">
        <v>74</v>
      </c>
      <c r="BD2739">
        <v>2.158244024127564E+16</v>
      </c>
      <c r="BE2739" t="s">
        <v>45667</v>
      </c>
      <c r="BF2739" t="str">
        <f>HYPERLINK("http://dx.doi.org/10.1177/21582440241275642","http://dx.doi.org/10.1177/21582440241275642")</f>
        <v>http://dx.doi.org/10.1177/21582440241275642</v>
      </c>
      <c r="BG2739" t="s">
        <v>74</v>
      </c>
      <c r="BH2739" t="s">
        <v>74</v>
      </c>
      <c r="BI2739">
        <v>17</v>
      </c>
      <c r="BJ2739" t="s">
        <v>364</v>
      </c>
      <c r="BK2739" t="s">
        <v>99</v>
      </c>
      <c r="BL2739" t="s">
        <v>365</v>
      </c>
      <c r="BM2739" t="s">
        <v>45668</v>
      </c>
      <c r="BN2739" t="s">
        <v>74</v>
      </c>
      <c r="BO2739" t="s">
        <v>212</v>
      </c>
      <c r="BP2739" t="s">
        <v>74</v>
      </c>
      <c r="BQ2739" t="s">
        <v>74</v>
      </c>
      <c r="BR2739" t="s">
        <v>102</v>
      </c>
      <c r="BS2739" t="s">
        <v>45669</v>
      </c>
      <c r="BT2739" t="str">
        <f>HYPERLINK("https%3A%2F%2Fwww.webofscience.com%2Fwos%2Fwoscc%2Ffull-record%2FWOS:001321980600001","View Full Record in Web of Science")</f>
        <v>View Full Record in Web of Science</v>
      </c>
    </row>
    <row r="2740" spans="1:72" x14ac:dyDescent="0.25">
      <c r="A2740" t="s">
        <v>72</v>
      </c>
      <c r="B2740" t="s">
        <v>45670</v>
      </c>
      <c r="C2740" t="s">
        <v>74</v>
      </c>
      <c r="D2740" t="s">
        <v>74</v>
      </c>
      <c r="E2740" t="s">
        <v>74</v>
      </c>
      <c r="F2740" t="s">
        <v>45671</v>
      </c>
      <c r="G2740" t="s">
        <v>74</v>
      </c>
      <c r="H2740" t="s">
        <v>74</v>
      </c>
      <c r="I2740" t="s">
        <v>45672</v>
      </c>
      <c r="J2740" t="s">
        <v>45673</v>
      </c>
      <c r="K2740" t="s">
        <v>74</v>
      </c>
      <c r="L2740" t="s">
        <v>74</v>
      </c>
      <c r="M2740" t="s">
        <v>78</v>
      </c>
      <c r="N2740" t="s">
        <v>79</v>
      </c>
      <c r="O2740" t="s">
        <v>74</v>
      </c>
      <c r="P2740" t="s">
        <v>74</v>
      </c>
      <c r="Q2740" t="s">
        <v>74</v>
      </c>
      <c r="R2740" t="s">
        <v>74</v>
      </c>
      <c r="S2740" t="s">
        <v>74</v>
      </c>
      <c r="T2740" t="s">
        <v>45674</v>
      </c>
      <c r="U2740" t="s">
        <v>74</v>
      </c>
      <c r="V2740" t="s">
        <v>45675</v>
      </c>
      <c r="W2740" t="s">
        <v>45676</v>
      </c>
      <c r="X2740" t="s">
        <v>45677</v>
      </c>
      <c r="Y2740" t="s">
        <v>45678</v>
      </c>
      <c r="Z2740" t="s">
        <v>45679</v>
      </c>
      <c r="AA2740" t="s">
        <v>45680</v>
      </c>
      <c r="AB2740" t="s">
        <v>74</v>
      </c>
      <c r="AC2740" t="s">
        <v>74</v>
      </c>
      <c r="AD2740" t="s">
        <v>74</v>
      </c>
      <c r="AE2740" t="s">
        <v>74</v>
      </c>
      <c r="AF2740" t="s">
        <v>74</v>
      </c>
      <c r="AG2740">
        <v>63</v>
      </c>
      <c r="AH2740">
        <v>7</v>
      </c>
      <c r="AI2740">
        <v>8</v>
      </c>
      <c r="AJ2740">
        <v>0</v>
      </c>
      <c r="AK2740">
        <v>0</v>
      </c>
      <c r="AL2740" t="s">
        <v>332</v>
      </c>
      <c r="AM2740" t="s">
        <v>333</v>
      </c>
      <c r="AN2740" t="s">
        <v>334</v>
      </c>
      <c r="AO2740" t="s">
        <v>45681</v>
      </c>
      <c r="AP2740" t="s">
        <v>45682</v>
      </c>
      <c r="AQ2740" t="s">
        <v>74</v>
      </c>
      <c r="AR2740" t="s">
        <v>45683</v>
      </c>
      <c r="AS2740" t="s">
        <v>45684</v>
      </c>
      <c r="AT2740" t="s">
        <v>1427</v>
      </c>
      <c r="AU2740">
        <v>2022</v>
      </c>
      <c r="AV2740">
        <v>56</v>
      </c>
      <c r="AW2740">
        <v>1</v>
      </c>
      <c r="AX2740" t="s">
        <v>74</v>
      </c>
      <c r="AY2740" t="s">
        <v>74</v>
      </c>
      <c r="AZ2740" t="s">
        <v>74</v>
      </c>
      <c r="BA2740" t="s">
        <v>74</v>
      </c>
      <c r="BB2740">
        <v>199</v>
      </c>
      <c r="BC2740">
        <v>216</v>
      </c>
      <c r="BD2740" t="s">
        <v>74</v>
      </c>
      <c r="BE2740" t="s">
        <v>45685</v>
      </c>
      <c r="BF2740" t="str">
        <f>HYPERLINK("http://dx.doi.org/10.1080/00083968.2020.1802610","http://dx.doi.org/10.1080/00083968.2020.1802610")</f>
        <v>http://dx.doi.org/10.1080/00083968.2020.1802610</v>
      </c>
      <c r="BG2740" t="s">
        <v>74</v>
      </c>
      <c r="BH2740" t="s">
        <v>745</v>
      </c>
      <c r="BI2740">
        <v>18</v>
      </c>
      <c r="BJ2740" t="s">
        <v>1674</v>
      </c>
      <c r="BK2740" t="s">
        <v>313</v>
      </c>
      <c r="BL2740" t="s">
        <v>1674</v>
      </c>
      <c r="BM2740" t="s">
        <v>45686</v>
      </c>
      <c r="BN2740" t="s">
        <v>74</v>
      </c>
      <c r="BO2740" t="s">
        <v>74</v>
      </c>
      <c r="BP2740" t="s">
        <v>74</v>
      </c>
      <c r="BQ2740" t="s">
        <v>74</v>
      </c>
      <c r="BR2740" t="s">
        <v>102</v>
      </c>
      <c r="BS2740" t="s">
        <v>45687</v>
      </c>
      <c r="BT2740" t="str">
        <f>HYPERLINK("https%3A%2F%2Fwww.webofscience.com%2Fwos%2Fwoscc%2Ffull-record%2FWOS:000571299200001","View Full Record in Web of Science")</f>
        <v>View Full Record in Web of Science</v>
      </c>
    </row>
    <row r="2741" spans="1:72" x14ac:dyDescent="0.25">
      <c r="A2741" t="s">
        <v>72</v>
      </c>
      <c r="B2741" t="s">
        <v>38472</v>
      </c>
      <c r="C2741" t="s">
        <v>74</v>
      </c>
      <c r="D2741" t="s">
        <v>74</v>
      </c>
      <c r="E2741" t="s">
        <v>74</v>
      </c>
      <c r="F2741" t="s">
        <v>38473</v>
      </c>
      <c r="G2741" t="s">
        <v>74</v>
      </c>
      <c r="H2741" t="s">
        <v>74</v>
      </c>
      <c r="I2741" t="s">
        <v>45688</v>
      </c>
      <c r="J2741" t="s">
        <v>320</v>
      </c>
      <c r="K2741" t="s">
        <v>74</v>
      </c>
      <c r="L2741" t="s">
        <v>74</v>
      </c>
      <c r="M2741" t="s">
        <v>78</v>
      </c>
      <c r="N2741" t="s">
        <v>79</v>
      </c>
      <c r="O2741" t="s">
        <v>74</v>
      </c>
      <c r="P2741" t="s">
        <v>74</v>
      </c>
      <c r="Q2741" t="s">
        <v>74</v>
      </c>
      <c r="R2741" t="s">
        <v>74</v>
      </c>
      <c r="S2741" t="s">
        <v>74</v>
      </c>
      <c r="T2741" t="s">
        <v>45689</v>
      </c>
      <c r="U2741" t="s">
        <v>8288</v>
      </c>
      <c r="V2741" t="s">
        <v>45690</v>
      </c>
      <c r="W2741" t="s">
        <v>45691</v>
      </c>
      <c r="X2741" t="s">
        <v>45692</v>
      </c>
      <c r="Y2741" t="s">
        <v>45693</v>
      </c>
      <c r="Z2741" t="s">
        <v>38479</v>
      </c>
      <c r="AA2741" t="s">
        <v>74</v>
      </c>
      <c r="AB2741" t="s">
        <v>74</v>
      </c>
      <c r="AC2741" t="s">
        <v>45694</v>
      </c>
      <c r="AD2741" t="s">
        <v>45694</v>
      </c>
      <c r="AE2741" t="s">
        <v>45695</v>
      </c>
      <c r="AF2741" t="s">
        <v>74</v>
      </c>
      <c r="AG2741">
        <v>73</v>
      </c>
      <c r="AH2741">
        <v>37</v>
      </c>
      <c r="AI2741">
        <v>43</v>
      </c>
      <c r="AJ2741">
        <v>1</v>
      </c>
      <c r="AK2741">
        <v>30</v>
      </c>
      <c r="AL2741" t="s">
        <v>332</v>
      </c>
      <c r="AM2741" t="s">
        <v>333</v>
      </c>
      <c r="AN2741" t="s">
        <v>334</v>
      </c>
      <c r="AO2741" t="s">
        <v>335</v>
      </c>
      <c r="AP2741" t="s">
        <v>336</v>
      </c>
      <c r="AQ2741" t="s">
        <v>74</v>
      </c>
      <c r="AR2741" t="s">
        <v>337</v>
      </c>
      <c r="AS2741" t="s">
        <v>338</v>
      </c>
      <c r="AT2741" t="s">
        <v>6450</v>
      </c>
      <c r="AU2741">
        <v>2019</v>
      </c>
      <c r="AV2741">
        <v>26</v>
      </c>
      <c r="AW2741">
        <v>5</v>
      </c>
      <c r="AX2741" t="s">
        <v>74</v>
      </c>
      <c r="AY2741" t="s">
        <v>74</v>
      </c>
      <c r="AZ2741" t="s">
        <v>441</v>
      </c>
      <c r="BA2741" t="s">
        <v>74</v>
      </c>
      <c r="BB2741">
        <v>790</v>
      </c>
      <c r="BC2741">
        <v>814</v>
      </c>
      <c r="BD2741" t="s">
        <v>74</v>
      </c>
      <c r="BE2741" t="s">
        <v>45696</v>
      </c>
      <c r="BF2741" t="str">
        <f>HYPERLINK("http://dx.doi.org/10.1080/09692290.2019.1616597","http://dx.doi.org/10.1080/09692290.2019.1616597")</f>
        <v>http://dx.doi.org/10.1080/09692290.2019.1616597</v>
      </c>
      <c r="BG2741" t="s">
        <v>74</v>
      </c>
      <c r="BH2741" t="s">
        <v>45697</v>
      </c>
      <c r="BI2741">
        <v>25</v>
      </c>
      <c r="BJ2741" t="s">
        <v>342</v>
      </c>
      <c r="BK2741" t="s">
        <v>99</v>
      </c>
      <c r="BL2741" t="s">
        <v>343</v>
      </c>
      <c r="BM2741" t="s">
        <v>34896</v>
      </c>
      <c r="BN2741" t="s">
        <v>74</v>
      </c>
      <c r="BO2741" t="s">
        <v>74</v>
      </c>
      <c r="BP2741" t="s">
        <v>74</v>
      </c>
      <c r="BQ2741" t="s">
        <v>74</v>
      </c>
      <c r="BR2741" t="s">
        <v>102</v>
      </c>
      <c r="BS2741" t="s">
        <v>45698</v>
      </c>
      <c r="BT2741" t="str">
        <f>HYPERLINK("https%3A%2F%2Fwww.webofscience.com%2Fwos%2Fwoscc%2Ffull-record%2FWOS:000476065600001","View Full Record in Web of Science")</f>
        <v>View Full Record in Web of Science</v>
      </c>
    </row>
    <row r="2742" spans="1:72" x14ac:dyDescent="0.25">
      <c r="A2742" t="s">
        <v>72</v>
      </c>
      <c r="B2742" t="s">
        <v>45699</v>
      </c>
      <c r="C2742" t="s">
        <v>74</v>
      </c>
      <c r="D2742" t="s">
        <v>74</v>
      </c>
      <c r="E2742" t="s">
        <v>74</v>
      </c>
      <c r="F2742" t="s">
        <v>45700</v>
      </c>
      <c r="G2742" t="s">
        <v>74</v>
      </c>
      <c r="H2742" t="s">
        <v>74</v>
      </c>
      <c r="I2742" t="s">
        <v>45701</v>
      </c>
      <c r="J2742" t="s">
        <v>1412</v>
      </c>
      <c r="K2742" t="s">
        <v>74</v>
      </c>
      <c r="L2742" t="s">
        <v>74</v>
      </c>
      <c r="M2742" t="s">
        <v>78</v>
      </c>
      <c r="N2742" t="s">
        <v>2335</v>
      </c>
      <c r="O2742" t="s">
        <v>74</v>
      </c>
      <c r="P2742" t="s">
        <v>74</v>
      </c>
      <c r="Q2742" t="s">
        <v>74</v>
      </c>
      <c r="R2742" t="s">
        <v>74</v>
      </c>
      <c r="S2742" t="s">
        <v>74</v>
      </c>
      <c r="T2742" t="s">
        <v>74</v>
      </c>
      <c r="U2742" t="s">
        <v>45702</v>
      </c>
      <c r="V2742" t="s">
        <v>45703</v>
      </c>
      <c r="W2742" t="s">
        <v>74</v>
      </c>
      <c r="X2742" t="s">
        <v>74</v>
      </c>
      <c r="Y2742" t="s">
        <v>74</v>
      </c>
      <c r="Z2742" t="s">
        <v>45704</v>
      </c>
      <c r="AA2742" t="s">
        <v>45705</v>
      </c>
      <c r="AB2742" t="s">
        <v>74</v>
      </c>
      <c r="AC2742" t="s">
        <v>74</v>
      </c>
      <c r="AD2742" t="s">
        <v>74</v>
      </c>
      <c r="AE2742" t="s">
        <v>74</v>
      </c>
      <c r="AF2742" t="s">
        <v>74</v>
      </c>
      <c r="AG2742">
        <v>34</v>
      </c>
      <c r="AH2742">
        <v>29</v>
      </c>
      <c r="AI2742">
        <v>34</v>
      </c>
      <c r="AJ2742">
        <v>2</v>
      </c>
      <c r="AK2742">
        <v>42</v>
      </c>
      <c r="AL2742" t="s">
        <v>332</v>
      </c>
      <c r="AM2742" t="s">
        <v>333</v>
      </c>
      <c r="AN2742" t="s">
        <v>334</v>
      </c>
      <c r="AO2742" t="s">
        <v>1423</v>
      </c>
      <c r="AP2742" t="s">
        <v>1424</v>
      </c>
      <c r="AQ2742" t="s">
        <v>74</v>
      </c>
      <c r="AR2742" t="s">
        <v>1425</v>
      </c>
      <c r="AS2742" t="s">
        <v>1426</v>
      </c>
      <c r="AT2742" t="s">
        <v>2206</v>
      </c>
      <c r="AU2742">
        <v>2020</v>
      </c>
      <c r="AV2742">
        <v>26</v>
      </c>
      <c r="AW2742">
        <v>2</v>
      </c>
      <c r="AX2742" t="s">
        <v>74</v>
      </c>
      <c r="AY2742" t="s">
        <v>74</v>
      </c>
      <c r="AZ2742" t="s">
        <v>441</v>
      </c>
      <c r="BA2742" t="s">
        <v>74</v>
      </c>
      <c r="BB2742">
        <v>201</v>
      </c>
      <c r="BC2742">
        <v>213</v>
      </c>
      <c r="BD2742" t="s">
        <v>74</v>
      </c>
      <c r="BE2742" t="s">
        <v>45706</v>
      </c>
      <c r="BF2742" t="str">
        <f>HYPERLINK("http://dx.doi.org/10.1080/02681102.2020.1736820","http://dx.doi.org/10.1080/02681102.2020.1736820")</f>
        <v>http://dx.doi.org/10.1080/02681102.2020.1736820</v>
      </c>
      <c r="BG2742" t="s">
        <v>74</v>
      </c>
      <c r="BH2742" t="s">
        <v>74</v>
      </c>
      <c r="BI2742">
        <v>13</v>
      </c>
      <c r="BJ2742" t="s">
        <v>1429</v>
      </c>
      <c r="BK2742" t="s">
        <v>99</v>
      </c>
      <c r="BL2742" t="s">
        <v>1429</v>
      </c>
      <c r="BM2742" t="s">
        <v>2209</v>
      </c>
      <c r="BN2742" t="s">
        <v>74</v>
      </c>
      <c r="BO2742" t="s">
        <v>74</v>
      </c>
      <c r="BP2742" t="s">
        <v>74</v>
      </c>
      <c r="BQ2742" t="s">
        <v>74</v>
      </c>
      <c r="BR2742" t="s">
        <v>102</v>
      </c>
      <c r="BS2742" t="s">
        <v>45707</v>
      </c>
      <c r="BT2742" t="str">
        <f>HYPERLINK("https%3A%2F%2Fwww.webofscience.com%2Fwos%2Fwoscc%2Ffull-record%2FWOS:000527826400001","View Full Record in Web of Science")</f>
        <v>View Full Record in Web of Science</v>
      </c>
    </row>
    <row r="2743" spans="1:72" x14ac:dyDescent="0.25">
      <c r="A2743" t="s">
        <v>72</v>
      </c>
      <c r="B2743" t="s">
        <v>45708</v>
      </c>
      <c r="C2743" t="s">
        <v>74</v>
      </c>
      <c r="D2743" t="s">
        <v>74</v>
      </c>
      <c r="E2743" t="s">
        <v>74</v>
      </c>
      <c r="F2743" t="s">
        <v>45709</v>
      </c>
      <c r="G2743" t="s">
        <v>74</v>
      </c>
      <c r="H2743" t="s">
        <v>74</v>
      </c>
      <c r="I2743" t="s">
        <v>45710</v>
      </c>
      <c r="J2743" t="s">
        <v>45711</v>
      </c>
      <c r="K2743" t="s">
        <v>74</v>
      </c>
      <c r="L2743" t="s">
        <v>74</v>
      </c>
      <c r="M2743" t="s">
        <v>78</v>
      </c>
      <c r="N2743" t="s">
        <v>79</v>
      </c>
      <c r="O2743" t="s">
        <v>74</v>
      </c>
      <c r="P2743" t="s">
        <v>74</v>
      </c>
      <c r="Q2743" t="s">
        <v>74</v>
      </c>
      <c r="R2743" t="s">
        <v>74</v>
      </c>
      <c r="S2743" t="s">
        <v>74</v>
      </c>
      <c r="T2743" t="s">
        <v>45712</v>
      </c>
      <c r="U2743" t="s">
        <v>45713</v>
      </c>
      <c r="V2743" t="s">
        <v>45714</v>
      </c>
      <c r="W2743" t="s">
        <v>45715</v>
      </c>
      <c r="X2743" t="s">
        <v>45716</v>
      </c>
      <c r="Y2743" t="s">
        <v>45717</v>
      </c>
      <c r="Z2743" t="s">
        <v>45718</v>
      </c>
      <c r="AA2743" t="s">
        <v>45719</v>
      </c>
      <c r="AB2743" t="s">
        <v>45720</v>
      </c>
      <c r="AC2743" t="s">
        <v>74</v>
      </c>
      <c r="AD2743" t="s">
        <v>74</v>
      </c>
      <c r="AE2743" t="s">
        <v>74</v>
      </c>
      <c r="AF2743" t="s">
        <v>74</v>
      </c>
      <c r="AG2743">
        <v>120</v>
      </c>
      <c r="AH2743">
        <v>29</v>
      </c>
      <c r="AI2743">
        <v>34</v>
      </c>
      <c r="AJ2743">
        <v>0</v>
      </c>
      <c r="AK2743">
        <v>4</v>
      </c>
      <c r="AL2743" t="s">
        <v>385</v>
      </c>
      <c r="AM2743" t="s">
        <v>151</v>
      </c>
      <c r="AN2743" t="s">
        <v>386</v>
      </c>
      <c r="AO2743" t="s">
        <v>45721</v>
      </c>
      <c r="AP2743" t="s">
        <v>45722</v>
      </c>
      <c r="AQ2743" t="s">
        <v>74</v>
      </c>
      <c r="AR2743" t="s">
        <v>45711</v>
      </c>
      <c r="AS2743" t="s">
        <v>45723</v>
      </c>
      <c r="AT2743" t="s">
        <v>124</v>
      </c>
      <c r="AU2743">
        <v>2017</v>
      </c>
      <c r="AV2743">
        <v>18</v>
      </c>
      <c r="AW2743" t="s">
        <v>5473</v>
      </c>
      <c r="AX2743" t="s">
        <v>74</v>
      </c>
      <c r="AY2743" t="s">
        <v>74</v>
      </c>
      <c r="AZ2743" t="s">
        <v>74</v>
      </c>
      <c r="BA2743" t="s">
        <v>74</v>
      </c>
      <c r="BB2743">
        <v>131</v>
      </c>
      <c r="BC2743">
        <v>168</v>
      </c>
      <c r="BD2743" t="s">
        <v>74</v>
      </c>
      <c r="BE2743" t="s">
        <v>45724</v>
      </c>
      <c r="BF2743" t="str">
        <f>HYPERLINK("http://dx.doi.org/10.1007/s11066-017-9119-5","http://dx.doi.org/10.1007/s11066-017-9119-5")</f>
        <v>http://dx.doi.org/10.1007/s11066-017-9119-5</v>
      </c>
      <c r="BG2743" t="s">
        <v>74</v>
      </c>
      <c r="BH2743" t="s">
        <v>74</v>
      </c>
      <c r="BI2743">
        <v>38</v>
      </c>
      <c r="BJ2743" t="s">
        <v>291</v>
      </c>
      <c r="BK2743" t="s">
        <v>313</v>
      </c>
      <c r="BL2743" t="s">
        <v>100</v>
      </c>
      <c r="BM2743" t="s">
        <v>45725</v>
      </c>
      <c r="BN2743" t="s">
        <v>74</v>
      </c>
      <c r="BO2743" t="s">
        <v>74</v>
      </c>
      <c r="BP2743" t="s">
        <v>74</v>
      </c>
      <c r="BQ2743" t="s">
        <v>74</v>
      </c>
      <c r="BR2743" t="s">
        <v>102</v>
      </c>
      <c r="BS2743" t="s">
        <v>45726</v>
      </c>
      <c r="BT2743" t="str">
        <f>HYPERLINK("https%3A%2F%2Fwww.webofscience.com%2Fwos%2Fwoscc%2Ffull-record%2FWOS:000424443900002","View Full Record in Web of Science")</f>
        <v>View Full Record in Web of Science</v>
      </c>
    </row>
    <row r="2744" spans="1:72" x14ac:dyDescent="0.25">
      <c r="A2744" t="s">
        <v>72</v>
      </c>
      <c r="B2744" t="s">
        <v>45727</v>
      </c>
      <c r="C2744" t="s">
        <v>74</v>
      </c>
      <c r="D2744" t="s">
        <v>74</v>
      </c>
      <c r="E2744" t="s">
        <v>74</v>
      </c>
      <c r="F2744" t="s">
        <v>45728</v>
      </c>
      <c r="G2744" t="s">
        <v>74</v>
      </c>
      <c r="H2744" t="s">
        <v>74</v>
      </c>
      <c r="I2744" t="s">
        <v>45729</v>
      </c>
      <c r="J2744" t="s">
        <v>2471</v>
      </c>
      <c r="K2744" t="s">
        <v>74</v>
      </c>
      <c r="L2744" t="s">
        <v>74</v>
      </c>
      <c r="M2744" t="s">
        <v>78</v>
      </c>
      <c r="N2744" t="s">
        <v>79</v>
      </c>
      <c r="O2744" t="s">
        <v>74</v>
      </c>
      <c r="P2744" t="s">
        <v>74</v>
      </c>
      <c r="Q2744" t="s">
        <v>74</v>
      </c>
      <c r="R2744" t="s">
        <v>74</v>
      </c>
      <c r="S2744" t="s">
        <v>74</v>
      </c>
      <c r="T2744" t="s">
        <v>45730</v>
      </c>
      <c r="U2744" t="s">
        <v>2945</v>
      </c>
      <c r="V2744" t="s">
        <v>45731</v>
      </c>
      <c r="W2744" t="s">
        <v>45732</v>
      </c>
      <c r="X2744" t="s">
        <v>45733</v>
      </c>
      <c r="Y2744" t="s">
        <v>45734</v>
      </c>
      <c r="Z2744" t="s">
        <v>45735</v>
      </c>
      <c r="AA2744" t="s">
        <v>74</v>
      </c>
      <c r="AB2744" t="s">
        <v>45736</v>
      </c>
      <c r="AC2744" t="s">
        <v>74</v>
      </c>
      <c r="AD2744" t="s">
        <v>74</v>
      </c>
      <c r="AE2744" t="s">
        <v>74</v>
      </c>
      <c r="AF2744" t="s">
        <v>74</v>
      </c>
      <c r="AG2744">
        <v>36</v>
      </c>
      <c r="AH2744">
        <v>3</v>
      </c>
      <c r="AI2744">
        <v>5</v>
      </c>
      <c r="AJ2744">
        <v>0</v>
      </c>
      <c r="AK2744">
        <v>8</v>
      </c>
      <c r="AL2744" t="s">
        <v>2481</v>
      </c>
      <c r="AM2744" t="s">
        <v>2482</v>
      </c>
      <c r="AN2744" t="s">
        <v>2483</v>
      </c>
      <c r="AO2744" t="s">
        <v>2484</v>
      </c>
      <c r="AP2744" t="s">
        <v>74</v>
      </c>
      <c r="AQ2744" t="s">
        <v>74</v>
      </c>
      <c r="AR2744" t="s">
        <v>2485</v>
      </c>
      <c r="AS2744" t="s">
        <v>2486</v>
      </c>
      <c r="AT2744" t="s">
        <v>26154</v>
      </c>
      <c r="AU2744">
        <v>2023</v>
      </c>
      <c r="AV2744">
        <v>9</v>
      </c>
      <c r="AW2744">
        <v>2</v>
      </c>
      <c r="AX2744" t="s">
        <v>74</v>
      </c>
      <c r="AY2744" t="s">
        <v>74</v>
      </c>
      <c r="AZ2744" t="s">
        <v>74</v>
      </c>
      <c r="BA2744" t="s">
        <v>74</v>
      </c>
      <c r="BB2744" t="s">
        <v>74</v>
      </c>
      <c r="BC2744" t="s">
        <v>74</v>
      </c>
      <c r="BD2744">
        <v>2266922</v>
      </c>
      <c r="BE2744" t="s">
        <v>45737</v>
      </c>
      <c r="BF2744" t="str">
        <f>HYPERLINK("http://dx.doi.org/10.1080/23311886.2023.2266922","http://dx.doi.org/10.1080/23311886.2023.2266922")</f>
        <v>http://dx.doi.org/10.1080/23311886.2023.2266922</v>
      </c>
      <c r="BG2744" t="s">
        <v>74</v>
      </c>
      <c r="BH2744" t="s">
        <v>74</v>
      </c>
      <c r="BI2744">
        <v>17</v>
      </c>
      <c r="BJ2744" t="s">
        <v>364</v>
      </c>
      <c r="BK2744" t="s">
        <v>313</v>
      </c>
      <c r="BL2744" t="s">
        <v>365</v>
      </c>
      <c r="BM2744" t="s">
        <v>45738</v>
      </c>
      <c r="BN2744" t="s">
        <v>74</v>
      </c>
      <c r="BO2744" t="s">
        <v>916</v>
      </c>
      <c r="BP2744" t="s">
        <v>74</v>
      </c>
      <c r="BQ2744" t="s">
        <v>74</v>
      </c>
      <c r="BR2744" t="s">
        <v>102</v>
      </c>
      <c r="BS2744" t="s">
        <v>45739</v>
      </c>
      <c r="BT2744" t="str">
        <f>HYPERLINK("https%3A%2F%2Fwww.webofscience.com%2Fwos%2Fwoscc%2Ffull-record%2FWOS:001080563700001","View Full Record in Web of Science")</f>
        <v>View Full Record in Web of Science</v>
      </c>
    </row>
    <row r="2745" spans="1:72" x14ac:dyDescent="0.25">
      <c r="A2745" t="s">
        <v>72</v>
      </c>
      <c r="B2745" t="s">
        <v>45740</v>
      </c>
      <c r="C2745" t="s">
        <v>74</v>
      </c>
      <c r="D2745" t="s">
        <v>74</v>
      </c>
      <c r="E2745" t="s">
        <v>74</v>
      </c>
      <c r="F2745" t="s">
        <v>45741</v>
      </c>
      <c r="G2745" t="s">
        <v>74</v>
      </c>
      <c r="H2745" t="s">
        <v>74</v>
      </c>
      <c r="I2745" t="s">
        <v>45742</v>
      </c>
      <c r="J2745" t="s">
        <v>12172</v>
      </c>
      <c r="K2745" t="s">
        <v>74</v>
      </c>
      <c r="L2745" t="s">
        <v>74</v>
      </c>
      <c r="M2745" t="s">
        <v>78</v>
      </c>
      <c r="N2745" t="s">
        <v>79</v>
      </c>
      <c r="O2745" t="s">
        <v>74</v>
      </c>
      <c r="P2745" t="s">
        <v>74</v>
      </c>
      <c r="Q2745" t="s">
        <v>74</v>
      </c>
      <c r="R2745" t="s">
        <v>74</v>
      </c>
      <c r="S2745" t="s">
        <v>74</v>
      </c>
      <c r="T2745" t="s">
        <v>45743</v>
      </c>
      <c r="U2745" t="s">
        <v>45744</v>
      </c>
      <c r="V2745" t="s">
        <v>45745</v>
      </c>
      <c r="W2745" t="s">
        <v>45746</v>
      </c>
      <c r="X2745" t="s">
        <v>74</v>
      </c>
      <c r="Y2745" t="s">
        <v>45747</v>
      </c>
      <c r="Z2745" t="s">
        <v>45748</v>
      </c>
      <c r="AA2745" t="s">
        <v>45749</v>
      </c>
      <c r="AB2745" t="s">
        <v>45750</v>
      </c>
      <c r="AC2745" t="s">
        <v>74</v>
      </c>
      <c r="AD2745" t="s">
        <v>74</v>
      </c>
      <c r="AE2745" t="s">
        <v>74</v>
      </c>
      <c r="AF2745" t="s">
        <v>74</v>
      </c>
      <c r="AG2745">
        <v>54</v>
      </c>
      <c r="AH2745">
        <v>1</v>
      </c>
      <c r="AI2745">
        <v>1</v>
      </c>
      <c r="AJ2745">
        <v>0</v>
      </c>
      <c r="AK2745">
        <v>0</v>
      </c>
      <c r="AL2745" t="s">
        <v>757</v>
      </c>
      <c r="AM2745" t="s">
        <v>758</v>
      </c>
      <c r="AN2745" t="s">
        <v>759</v>
      </c>
      <c r="AO2745" t="s">
        <v>12179</v>
      </c>
      <c r="AP2745" t="s">
        <v>74</v>
      </c>
      <c r="AQ2745" t="s">
        <v>74</v>
      </c>
      <c r="AR2745" t="s">
        <v>12172</v>
      </c>
      <c r="AS2745" t="s">
        <v>12180</v>
      </c>
      <c r="AT2745" t="s">
        <v>848</v>
      </c>
      <c r="AU2745">
        <v>2025</v>
      </c>
      <c r="AV2745">
        <v>15</v>
      </c>
      <c r="AW2745">
        <v>3</v>
      </c>
      <c r="AX2745" t="s">
        <v>74</v>
      </c>
      <c r="AY2745" t="s">
        <v>74</v>
      </c>
      <c r="AZ2745" t="s">
        <v>74</v>
      </c>
      <c r="BA2745" t="s">
        <v>74</v>
      </c>
      <c r="BB2745" t="s">
        <v>74</v>
      </c>
      <c r="BC2745" t="s">
        <v>74</v>
      </c>
      <c r="BD2745">
        <v>2.1582440251367928E+16</v>
      </c>
      <c r="BE2745" t="s">
        <v>45751</v>
      </c>
      <c r="BF2745" t="str">
        <f>HYPERLINK("http://dx.doi.org/10.1177/21582440251367928","http://dx.doi.org/10.1177/21582440251367928")</f>
        <v>http://dx.doi.org/10.1177/21582440251367928</v>
      </c>
      <c r="BG2745" t="s">
        <v>74</v>
      </c>
      <c r="BH2745" t="s">
        <v>74</v>
      </c>
      <c r="BI2745">
        <v>14</v>
      </c>
      <c r="BJ2745" t="s">
        <v>364</v>
      </c>
      <c r="BK2745" t="s">
        <v>99</v>
      </c>
      <c r="BL2745" t="s">
        <v>365</v>
      </c>
      <c r="BM2745" t="s">
        <v>45752</v>
      </c>
      <c r="BN2745" t="s">
        <v>74</v>
      </c>
      <c r="BO2745" t="s">
        <v>212</v>
      </c>
      <c r="BP2745" t="s">
        <v>74</v>
      </c>
      <c r="BQ2745" t="s">
        <v>74</v>
      </c>
      <c r="BR2745" t="s">
        <v>102</v>
      </c>
      <c r="BS2745" t="s">
        <v>45753</v>
      </c>
      <c r="BT2745" t="str">
        <f>HYPERLINK("https%3A%2F%2Fwww.webofscience.com%2Fwos%2Fwoscc%2Ffull-record%2FWOS:001556244200001","View Full Record in Web of Science")</f>
        <v>View Full Record in Web of Science</v>
      </c>
    </row>
    <row r="2746" spans="1:72" x14ac:dyDescent="0.25">
      <c r="A2746" t="s">
        <v>72</v>
      </c>
      <c r="B2746" t="s">
        <v>45754</v>
      </c>
      <c r="C2746" t="s">
        <v>74</v>
      </c>
      <c r="D2746" t="s">
        <v>74</v>
      </c>
      <c r="E2746" t="s">
        <v>74</v>
      </c>
      <c r="F2746" t="s">
        <v>45755</v>
      </c>
      <c r="G2746" t="s">
        <v>74</v>
      </c>
      <c r="H2746" t="s">
        <v>74</v>
      </c>
      <c r="I2746" t="s">
        <v>45756</v>
      </c>
      <c r="J2746" t="s">
        <v>3561</v>
      </c>
      <c r="K2746" t="s">
        <v>74</v>
      </c>
      <c r="L2746" t="s">
        <v>74</v>
      </c>
      <c r="M2746" t="s">
        <v>78</v>
      </c>
      <c r="N2746" t="s">
        <v>79</v>
      </c>
      <c r="O2746" t="s">
        <v>74</v>
      </c>
      <c r="P2746" t="s">
        <v>74</v>
      </c>
      <c r="Q2746" t="s">
        <v>74</v>
      </c>
      <c r="R2746" t="s">
        <v>74</v>
      </c>
      <c r="S2746" t="s">
        <v>74</v>
      </c>
      <c r="T2746" t="s">
        <v>45757</v>
      </c>
      <c r="U2746" t="s">
        <v>45758</v>
      </c>
      <c r="V2746" t="s">
        <v>45759</v>
      </c>
      <c r="W2746" t="s">
        <v>45760</v>
      </c>
      <c r="X2746" t="s">
        <v>45761</v>
      </c>
      <c r="Y2746" t="s">
        <v>45762</v>
      </c>
      <c r="Z2746" t="s">
        <v>45763</v>
      </c>
      <c r="AA2746" t="s">
        <v>45764</v>
      </c>
      <c r="AB2746" t="s">
        <v>45765</v>
      </c>
      <c r="AC2746" t="s">
        <v>74</v>
      </c>
      <c r="AD2746" t="s">
        <v>74</v>
      </c>
      <c r="AE2746" t="s">
        <v>74</v>
      </c>
      <c r="AF2746" t="s">
        <v>74</v>
      </c>
      <c r="AG2746">
        <v>116</v>
      </c>
      <c r="AH2746">
        <v>1</v>
      </c>
      <c r="AI2746">
        <v>1</v>
      </c>
      <c r="AJ2746">
        <v>2</v>
      </c>
      <c r="AK2746">
        <v>4</v>
      </c>
      <c r="AL2746" t="s">
        <v>89</v>
      </c>
      <c r="AM2746" t="s">
        <v>90</v>
      </c>
      <c r="AN2746" t="s">
        <v>91</v>
      </c>
      <c r="AO2746" t="s">
        <v>3568</v>
      </c>
      <c r="AP2746" t="s">
        <v>3569</v>
      </c>
      <c r="AQ2746" t="s">
        <v>74</v>
      </c>
      <c r="AR2746" t="s">
        <v>3570</v>
      </c>
      <c r="AS2746" t="s">
        <v>3571</v>
      </c>
      <c r="AT2746" t="s">
        <v>20394</v>
      </c>
      <c r="AU2746">
        <v>2025</v>
      </c>
      <c r="AV2746">
        <v>28</v>
      </c>
      <c r="AW2746">
        <v>2</v>
      </c>
      <c r="AX2746" t="s">
        <v>74</v>
      </c>
      <c r="AY2746" t="s">
        <v>74</v>
      </c>
      <c r="AZ2746" t="s">
        <v>74</v>
      </c>
      <c r="BA2746" t="s">
        <v>74</v>
      </c>
      <c r="BB2746">
        <v>292</v>
      </c>
      <c r="BC2746">
        <v>314</v>
      </c>
      <c r="BD2746" t="s">
        <v>74</v>
      </c>
      <c r="BE2746" t="s">
        <v>45766</v>
      </c>
      <c r="BF2746" t="str">
        <f>HYPERLINK("http://dx.doi.org/10.1108/JMLC-08-2024-0135","http://dx.doi.org/10.1108/JMLC-08-2024-0135")</f>
        <v>http://dx.doi.org/10.1108/JMLC-08-2024-0135</v>
      </c>
      <c r="BG2746" t="s">
        <v>74</v>
      </c>
      <c r="BH2746" t="s">
        <v>2781</v>
      </c>
      <c r="BI2746">
        <v>23</v>
      </c>
      <c r="BJ2746" t="s">
        <v>3573</v>
      </c>
      <c r="BK2746" t="s">
        <v>313</v>
      </c>
      <c r="BL2746" t="s">
        <v>3573</v>
      </c>
      <c r="BM2746" t="s">
        <v>45767</v>
      </c>
      <c r="BN2746" t="s">
        <v>74</v>
      </c>
      <c r="BO2746" t="s">
        <v>74</v>
      </c>
      <c r="BP2746" t="s">
        <v>74</v>
      </c>
      <c r="BQ2746" t="s">
        <v>74</v>
      </c>
      <c r="BR2746" t="s">
        <v>102</v>
      </c>
      <c r="BS2746" t="s">
        <v>45768</v>
      </c>
      <c r="BT2746" t="str">
        <f>HYPERLINK("https%3A%2F%2Fwww.webofscience.com%2Fwos%2Fwoscc%2Ffull-record%2FWOS:001443060700001","View Full Record in Web of Science")</f>
        <v>View Full Record in Web of Science</v>
      </c>
    </row>
    <row r="2747" spans="1:72" x14ac:dyDescent="0.25">
      <c r="A2747" t="s">
        <v>72</v>
      </c>
      <c r="B2747" t="s">
        <v>45769</v>
      </c>
      <c r="C2747" t="s">
        <v>74</v>
      </c>
      <c r="D2747" t="s">
        <v>74</v>
      </c>
      <c r="E2747" t="s">
        <v>74</v>
      </c>
      <c r="F2747" t="s">
        <v>45770</v>
      </c>
      <c r="G2747" t="s">
        <v>74</v>
      </c>
      <c r="H2747" t="s">
        <v>74</v>
      </c>
      <c r="I2747" t="s">
        <v>45771</v>
      </c>
      <c r="J2747" t="s">
        <v>45772</v>
      </c>
      <c r="K2747" t="s">
        <v>74</v>
      </c>
      <c r="L2747" t="s">
        <v>74</v>
      </c>
      <c r="M2747" t="s">
        <v>78</v>
      </c>
      <c r="N2747" t="s">
        <v>79</v>
      </c>
      <c r="O2747" t="s">
        <v>74</v>
      </c>
      <c r="P2747" t="s">
        <v>74</v>
      </c>
      <c r="Q2747" t="s">
        <v>74</v>
      </c>
      <c r="R2747" t="s">
        <v>74</v>
      </c>
      <c r="S2747" t="s">
        <v>74</v>
      </c>
      <c r="T2747" t="s">
        <v>45773</v>
      </c>
      <c r="U2747" t="s">
        <v>45774</v>
      </c>
      <c r="V2747" t="s">
        <v>45775</v>
      </c>
      <c r="W2747" t="s">
        <v>45776</v>
      </c>
      <c r="X2747" t="s">
        <v>45777</v>
      </c>
      <c r="Y2747" t="s">
        <v>45778</v>
      </c>
      <c r="Z2747" t="s">
        <v>45779</v>
      </c>
      <c r="AA2747" t="s">
        <v>74</v>
      </c>
      <c r="AB2747" t="s">
        <v>74</v>
      </c>
      <c r="AC2747" t="s">
        <v>74</v>
      </c>
      <c r="AD2747" t="s">
        <v>74</v>
      </c>
      <c r="AE2747" t="s">
        <v>74</v>
      </c>
      <c r="AF2747" t="s">
        <v>74</v>
      </c>
      <c r="AG2747">
        <v>63</v>
      </c>
      <c r="AH2747">
        <v>97</v>
      </c>
      <c r="AI2747">
        <v>153</v>
      </c>
      <c r="AJ2747">
        <v>34</v>
      </c>
      <c r="AK2747">
        <v>366</v>
      </c>
      <c r="AL2747" t="s">
        <v>282</v>
      </c>
      <c r="AM2747" t="s">
        <v>283</v>
      </c>
      <c r="AN2747" t="s">
        <v>284</v>
      </c>
      <c r="AO2747" t="s">
        <v>45780</v>
      </c>
      <c r="AP2747" t="s">
        <v>74</v>
      </c>
      <c r="AQ2747" t="s">
        <v>74</v>
      </c>
      <c r="AR2747" t="s">
        <v>45781</v>
      </c>
      <c r="AS2747" t="s">
        <v>45782</v>
      </c>
      <c r="AT2747" t="s">
        <v>1159</v>
      </c>
      <c r="AU2747">
        <v>2022</v>
      </c>
      <c r="AV2747">
        <v>146</v>
      </c>
      <c r="AW2747">
        <v>1</v>
      </c>
      <c r="AX2747" t="s">
        <v>74</v>
      </c>
      <c r="AY2747" t="s">
        <v>74</v>
      </c>
      <c r="AZ2747" t="s">
        <v>74</v>
      </c>
      <c r="BA2747" t="s">
        <v>74</v>
      </c>
      <c r="BB2747">
        <v>90</v>
      </c>
      <c r="BC2747">
        <v>118</v>
      </c>
      <c r="BD2747" t="s">
        <v>74</v>
      </c>
      <c r="BE2747" t="s">
        <v>45783</v>
      </c>
      <c r="BF2747" t="str">
        <f>HYPERLINK("http://dx.doi.org/10.1016/j.jfineco.2022.05.004","http://dx.doi.org/10.1016/j.jfineco.2022.05.004")</f>
        <v>http://dx.doi.org/10.1016/j.jfineco.2022.05.004</v>
      </c>
      <c r="BG2747" t="s">
        <v>74</v>
      </c>
      <c r="BH2747" t="s">
        <v>126</v>
      </c>
      <c r="BI2747">
        <v>29</v>
      </c>
      <c r="BJ2747" t="s">
        <v>210</v>
      </c>
      <c r="BK2747" t="s">
        <v>99</v>
      </c>
      <c r="BL2747" t="s">
        <v>100</v>
      </c>
      <c r="BM2747" t="s">
        <v>45784</v>
      </c>
      <c r="BN2747" t="s">
        <v>74</v>
      </c>
      <c r="BO2747" t="s">
        <v>74</v>
      </c>
      <c r="BP2747" t="s">
        <v>74</v>
      </c>
      <c r="BQ2747" t="s">
        <v>74</v>
      </c>
      <c r="BR2747" t="s">
        <v>102</v>
      </c>
      <c r="BS2747" t="s">
        <v>45785</v>
      </c>
      <c r="BT2747" t="str">
        <f>HYPERLINK("https%3A%2F%2Fwww.webofscience.com%2Fwos%2Fwoscc%2Ffull-record%2FWOS:000834630100003","View Full Record in Web of Science")</f>
        <v>View Full Record in Web of Science</v>
      </c>
    </row>
    <row r="2748" spans="1:72" x14ac:dyDescent="0.25">
      <c r="A2748" t="s">
        <v>72</v>
      </c>
      <c r="B2748" t="s">
        <v>45786</v>
      </c>
      <c r="C2748" t="s">
        <v>74</v>
      </c>
      <c r="D2748" t="s">
        <v>74</v>
      </c>
      <c r="E2748" t="s">
        <v>74</v>
      </c>
      <c r="F2748" t="s">
        <v>45787</v>
      </c>
      <c r="G2748" t="s">
        <v>74</v>
      </c>
      <c r="H2748" t="s">
        <v>74</v>
      </c>
      <c r="I2748" t="s">
        <v>45788</v>
      </c>
      <c r="J2748" t="s">
        <v>45789</v>
      </c>
      <c r="K2748" t="s">
        <v>74</v>
      </c>
      <c r="L2748" t="s">
        <v>74</v>
      </c>
      <c r="M2748" t="s">
        <v>298</v>
      </c>
      <c r="N2748" t="s">
        <v>79</v>
      </c>
      <c r="O2748" t="s">
        <v>74</v>
      </c>
      <c r="P2748" t="s">
        <v>74</v>
      </c>
      <c r="Q2748" t="s">
        <v>74</v>
      </c>
      <c r="R2748" t="s">
        <v>74</v>
      </c>
      <c r="S2748" t="s">
        <v>74</v>
      </c>
      <c r="T2748" t="s">
        <v>45790</v>
      </c>
      <c r="U2748" t="s">
        <v>45791</v>
      </c>
      <c r="V2748" t="s">
        <v>45792</v>
      </c>
      <c r="W2748" t="s">
        <v>45793</v>
      </c>
      <c r="X2748" t="s">
        <v>45794</v>
      </c>
      <c r="Y2748" t="s">
        <v>45795</v>
      </c>
      <c r="Z2748" t="s">
        <v>45796</v>
      </c>
      <c r="AA2748" t="s">
        <v>45797</v>
      </c>
      <c r="AB2748" t="s">
        <v>45798</v>
      </c>
      <c r="AC2748" t="s">
        <v>74</v>
      </c>
      <c r="AD2748" t="s">
        <v>74</v>
      </c>
      <c r="AE2748" t="s">
        <v>74</v>
      </c>
      <c r="AF2748" t="s">
        <v>74</v>
      </c>
      <c r="AG2748">
        <v>19</v>
      </c>
      <c r="AH2748">
        <v>0</v>
      </c>
      <c r="AI2748">
        <v>0</v>
      </c>
      <c r="AJ2748">
        <v>0</v>
      </c>
      <c r="AK2748">
        <v>4</v>
      </c>
      <c r="AL2748" t="s">
        <v>45799</v>
      </c>
      <c r="AM2748" t="s">
        <v>45800</v>
      </c>
      <c r="AN2748" t="s">
        <v>45801</v>
      </c>
      <c r="AO2748" t="s">
        <v>45802</v>
      </c>
      <c r="AP2748" t="s">
        <v>45803</v>
      </c>
      <c r="AQ2748" t="s">
        <v>74</v>
      </c>
      <c r="AR2748" t="s">
        <v>45804</v>
      </c>
      <c r="AS2748" t="s">
        <v>45805</v>
      </c>
      <c r="AT2748" t="s">
        <v>45806</v>
      </c>
      <c r="AU2748">
        <v>2020</v>
      </c>
      <c r="AV2748">
        <v>27</v>
      </c>
      <c r="AW2748">
        <v>2</v>
      </c>
      <c r="AX2748" t="s">
        <v>74</v>
      </c>
      <c r="AY2748" t="s">
        <v>74</v>
      </c>
      <c r="AZ2748" t="s">
        <v>74</v>
      </c>
      <c r="BA2748" t="s">
        <v>74</v>
      </c>
      <c r="BB2748" t="s">
        <v>74</v>
      </c>
      <c r="BC2748" t="s">
        <v>74</v>
      </c>
      <c r="BD2748" t="s">
        <v>45807</v>
      </c>
      <c r="BE2748" t="s">
        <v>45808</v>
      </c>
      <c r="BF2748" t="str">
        <f>HYPERLINK("http://dx.doi.org/10.30878/ces.v27n2a2","http://dx.doi.org/10.30878/ces.v27n2a2")</f>
        <v>http://dx.doi.org/10.30878/ces.v27n2a2</v>
      </c>
      <c r="BG2748" t="s">
        <v>74</v>
      </c>
      <c r="BH2748" t="s">
        <v>74</v>
      </c>
      <c r="BI2748">
        <v>12</v>
      </c>
      <c r="BJ2748" t="s">
        <v>364</v>
      </c>
      <c r="BK2748" t="s">
        <v>313</v>
      </c>
      <c r="BL2748" t="s">
        <v>365</v>
      </c>
      <c r="BM2748" t="s">
        <v>45809</v>
      </c>
      <c r="BN2748" t="s">
        <v>74</v>
      </c>
      <c r="BO2748" t="s">
        <v>916</v>
      </c>
      <c r="BP2748" t="s">
        <v>74</v>
      </c>
      <c r="BQ2748" t="s">
        <v>74</v>
      </c>
      <c r="BR2748" t="s">
        <v>102</v>
      </c>
      <c r="BS2748" t="s">
        <v>45810</v>
      </c>
      <c r="BT2748" t="str">
        <f>HYPERLINK("https%3A%2F%2Fwww.webofscience.com%2Fwos%2Fwoscc%2Ffull-record%2FWOS:000543527600002","View Full Record in Web of Science")</f>
        <v>View Full Record in Web of Science</v>
      </c>
    </row>
    <row r="2749" spans="1:72" x14ac:dyDescent="0.25">
      <c r="A2749" t="s">
        <v>72</v>
      </c>
      <c r="B2749" t="s">
        <v>45811</v>
      </c>
      <c r="C2749" t="s">
        <v>74</v>
      </c>
      <c r="D2749" t="s">
        <v>74</v>
      </c>
      <c r="E2749" t="s">
        <v>74</v>
      </c>
      <c r="F2749" t="s">
        <v>45812</v>
      </c>
      <c r="G2749" t="s">
        <v>74</v>
      </c>
      <c r="H2749" t="s">
        <v>74</v>
      </c>
      <c r="I2749" t="s">
        <v>45813</v>
      </c>
      <c r="J2749" t="s">
        <v>13800</v>
      </c>
      <c r="K2749" t="s">
        <v>74</v>
      </c>
      <c r="L2749" t="s">
        <v>74</v>
      </c>
      <c r="M2749" t="s">
        <v>78</v>
      </c>
      <c r="N2749" t="s">
        <v>79</v>
      </c>
      <c r="O2749" t="s">
        <v>74</v>
      </c>
      <c r="P2749" t="s">
        <v>74</v>
      </c>
      <c r="Q2749" t="s">
        <v>74</v>
      </c>
      <c r="R2749" t="s">
        <v>74</v>
      </c>
      <c r="S2749" t="s">
        <v>74</v>
      </c>
      <c r="T2749" t="s">
        <v>45814</v>
      </c>
      <c r="U2749" t="s">
        <v>45815</v>
      </c>
      <c r="V2749" t="s">
        <v>45816</v>
      </c>
      <c r="W2749" t="s">
        <v>45817</v>
      </c>
      <c r="X2749" t="s">
        <v>45818</v>
      </c>
      <c r="Y2749" t="s">
        <v>45819</v>
      </c>
      <c r="Z2749" t="s">
        <v>45820</v>
      </c>
      <c r="AA2749" t="s">
        <v>45821</v>
      </c>
      <c r="AB2749" t="s">
        <v>45822</v>
      </c>
      <c r="AC2749" t="s">
        <v>74</v>
      </c>
      <c r="AD2749" t="s">
        <v>74</v>
      </c>
      <c r="AE2749" t="s">
        <v>74</v>
      </c>
      <c r="AF2749" t="s">
        <v>74</v>
      </c>
      <c r="AG2749">
        <v>76</v>
      </c>
      <c r="AH2749">
        <v>27</v>
      </c>
      <c r="AI2749">
        <v>33</v>
      </c>
      <c r="AJ2749">
        <v>1</v>
      </c>
      <c r="AK2749">
        <v>56</v>
      </c>
      <c r="AL2749" t="s">
        <v>89</v>
      </c>
      <c r="AM2749" t="s">
        <v>1497</v>
      </c>
      <c r="AN2749" t="s">
        <v>1498</v>
      </c>
      <c r="AO2749" t="s">
        <v>13808</v>
      </c>
      <c r="AP2749" t="s">
        <v>13809</v>
      </c>
      <c r="AQ2749" t="s">
        <v>74</v>
      </c>
      <c r="AR2749" t="s">
        <v>13810</v>
      </c>
      <c r="AS2749" t="s">
        <v>13811</v>
      </c>
      <c r="AT2749" t="s">
        <v>74</v>
      </c>
      <c r="AU2749">
        <v>2017</v>
      </c>
      <c r="AV2749">
        <v>32</v>
      </c>
      <c r="AW2749">
        <v>3</v>
      </c>
      <c r="AX2749" t="s">
        <v>74</v>
      </c>
      <c r="AY2749" t="s">
        <v>74</v>
      </c>
      <c r="AZ2749" t="s">
        <v>74</v>
      </c>
      <c r="BA2749" t="s">
        <v>74</v>
      </c>
      <c r="BB2749">
        <v>203</v>
      </c>
      <c r="BC2749">
        <v>217</v>
      </c>
      <c r="BD2749" t="s">
        <v>74</v>
      </c>
      <c r="BE2749" t="s">
        <v>45823</v>
      </c>
      <c r="BF2749" t="str">
        <f>HYPERLINK("http://dx.doi.org/10.1108/GM-07-2016-0138","http://dx.doi.org/10.1108/GM-07-2016-0138")</f>
        <v>http://dx.doi.org/10.1108/GM-07-2016-0138</v>
      </c>
      <c r="BG2749" t="s">
        <v>74</v>
      </c>
      <c r="BH2749" t="s">
        <v>74</v>
      </c>
      <c r="BI2749">
        <v>15</v>
      </c>
      <c r="BJ2749" t="s">
        <v>13813</v>
      </c>
      <c r="BK2749" t="s">
        <v>99</v>
      </c>
      <c r="BL2749" t="s">
        <v>13814</v>
      </c>
      <c r="BM2749" t="s">
        <v>45824</v>
      </c>
      <c r="BN2749" t="s">
        <v>74</v>
      </c>
      <c r="BO2749" t="s">
        <v>74</v>
      </c>
      <c r="BP2749" t="s">
        <v>74</v>
      </c>
      <c r="BQ2749" t="s">
        <v>74</v>
      </c>
      <c r="BR2749" t="s">
        <v>102</v>
      </c>
      <c r="BS2749" t="s">
        <v>45825</v>
      </c>
      <c r="BT2749" t="str">
        <f>HYPERLINK("https%3A%2F%2Fwww.webofscience.com%2Fwos%2Fwoscc%2Ffull-record%2FWOS:000404775800003","View Full Record in Web of Science")</f>
        <v>View Full Record in Web of Science</v>
      </c>
    </row>
    <row r="2750" spans="1:72" x14ac:dyDescent="0.25">
      <c r="A2750" t="s">
        <v>72</v>
      </c>
      <c r="B2750" t="s">
        <v>45826</v>
      </c>
      <c r="C2750" t="s">
        <v>74</v>
      </c>
      <c r="D2750" t="s">
        <v>74</v>
      </c>
      <c r="E2750" t="s">
        <v>74</v>
      </c>
      <c r="F2750" t="s">
        <v>45827</v>
      </c>
      <c r="G2750" t="s">
        <v>74</v>
      </c>
      <c r="H2750" t="s">
        <v>74</v>
      </c>
      <c r="I2750" t="s">
        <v>45828</v>
      </c>
      <c r="J2750" t="s">
        <v>41024</v>
      </c>
      <c r="K2750" t="s">
        <v>74</v>
      </c>
      <c r="L2750" t="s">
        <v>74</v>
      </c>
      <c r="M2750" t="s">
        <v>78</v>
      </c>
      <c r="N2750" t="s">
        <v>79</v>
      </c>
      <c r="O2750" t="s">
        <v>74</v>
      </c>
      <c r="P2750" t="s">
        <v>74</v>
      </c>
      <c r="Q2750" t="s">
        <v>74</v>
      </c>
      <c r="R2750" t="s">
        <v>74</v>
      </c>
      <c r="S2750" t="s">
        <v>74</v>
      </c>
      <c r="T2750" t="s">
        <v>45829</v>
      </c>
      <c r="U2750" t="s">
        <v>45830</v>
      </c>
      <c r="V2750" t="s">
        <v>45831</v>
      </c>
      <c r="W2750" t="s">
        <v>45832</v>
      </c>
      <c r="X2750" t="s">
        <v>45833</v>
      </c>
      <c r="Y2750" t="s">
        <v>45834</v>
      </c>
      <c r="Z2750" t="s">
        <v>45835</v>
      </c>
      <c r="AA2750" t="s">
        <v>25735</v>
      </c>
      <c r="AB2750" t="s">
        <v>45836</v>
      </c>
      <c r="AC2750" t="s">
        <v>45837</v>
      </c>
      <c r="AD2750" t="s">
        <v>45837</v>
      </c>
      <c r="AE2750" t="s">
        <v>45838</v>
      </c>
      <c r="AF2750" t="s">
        <v>74</v>
      </c>
      <c r="AG2750">
        <v>111</v>
      </c>
      <c r="AH2750">
        <v>1</v>
      </c>
      <c r="AI2750">
        <v>2</v>
      </c>
      <c r="AJ2750">
        <v>0</v>
      </c>
      <c r="AK2750">
        <v>3</v>
      </c>
      <c r="AL2750" t="s">
        <v>757</v>
      </c>
      <c r="AM2750" t="s">
        <v>758</v>
      </c>
      <c r="AN2750" t="s">
        <v>759</v>
      </c>
      <c r="AO2750" t="s">
        <v>41028</v>
      </c>
      <c r="AP2750" t="s">
        <v>41029</v>
      </c>
      <c r="AQ2750" t="s">
        <v>74</v>
      </c>
      <c r="AR2750" t="s">
        <v>41030</v>
      </c>
      <c r="AS2750" t="s">
        <v>41031</v>
      </c>
      <c r="AT2750" t="s">
        <v>698</v>
      </c>
      <c r="AU2750">
        <v>2023</v>
      </c>
      <c r="AV2750">
        <v>33</v>
      </c>
      <c r="AW2750">
        <v>6</v>
      </c>
      <c r="AX2750" t="s">
        <v>74</v>
      </c>
      <c r="AY2750" t="s">
        <v>74</v>
      </c>
      <c r="AZ2750" t="s">
        <v>441</v>
      </c>
      <c r="BA2750" t="s">
        <v>74</v>
      </c>
      <c r="BB2750">
        <v>695</v>
      </c>
      <c r="BC2750">
        <v>710</v>
      </c>
      <c r="BD2750" t="s">
        <v>74</v>
      </c>
      <c r="BE2750" t="s">
        <v>45839</v>
      </c>
      <c r="BF2750" t="str">
        <f>HYPERLINK("http://dx.doi.org/10.1177/10497315231179643","http://dx.doi.org/10.1177/10497315231179643")</f>
        <v>http://dx.doi.org/10.1177/10497315231179643</v>
      </c>
      <c r="BG2750" t="s">
        <v>74</v>
      </c>
      <c r="BH2750" t="s">
        <v>13995</v>
      </c>
      <c r="BI2750">
        <v>16</v>
      </c>
      <c r="BJ2750" t="s">
        <v>2045</v>
      </c>
      <c r="BK2750" t="s">
        <v>99</v>
      </c>
      <c r="BL2750" t="s">
        <v>2045</v>
      </c>
      <c r="BM2750" t="s">
        <v>45840</v>
      </c>
      <c r="BN2750" t="s">
        <v>74</v>
      </c>
      <c r="BO2750" t="s">
        <v>1696</v>
      </c>
      <c r="BP2750" t="s">
        <v>74</v>
      </c>
      <c r="BQ2750" t="s">
        <v>74</v>
      </c>
      <c r="BR2750" t="s">
        <v>102</v>
      </c>
      <c r="BS2750" t="s">
        <v>45841</v>
      </c>
      <c r="BT2750" t="str">
        <f>HYPERLINK("https%3A%2F%2Fwww.webofscience.com%2Fwos%2Fwoscc%2Ffull-record%2FWOS:001008327000001","View Full Record in Web of Science")</f>
        <v>View Full Record in Web of Science</v>
      </c>
    </row>
    <row r="2751" spans="1:72" x14ac:dyDescent="0.25">
      <c r="A2751" t="s">
        <v>72</v>
      </c>
      <c r="B2751" t="s">
        <v>45842</v>
      </c>
      <c r="C2751" t="s">
        <v>74</v>
      </c>
      <c r="D2751" t="s">
        <v>74</v>
      </c>
      <c r="E2751" t="s">
        <v>74</v>
      </c>
      <c r="F2751" t="s">
        <v>45843</v>
      </c>
      <c r="G2751" t="s">
        <v>74</v>
      </c>
      <c r="H2751" t="s">
        <v>74</v>
      </c>
      <c r="I2751" t="s">
        <v>45844</v>
      </c>
      <c r="J2751" t="s">
        <v>18377</v>
      </c>
      <c r="K2751" t="s">
        <v>74</v>
      </c>
      <c r="L2751" t="s">
        <v>74</v>
      </c>
      <c r="M2751" t="s">
        <v>78</v>
      </c>
      <c r="N2751" t="s">
        <v>79</v>
      </c>
      <c r="O2751" t="s">
        <v>74</v>
      </c>
      <c r="P2751" t="s">
        <v>74</v>
      </c>
      <c r="Q2751" t="s">
        <v>74</v>
      </c>
      <c r="R2751" t="s">
        <v>74</v>
      </c>
      <c r="S2751" t="s">
        <v>74</v>
      </c>
      <c r="T2751" t="s">
        <v>45845</v>
      </c>
      <c r="U2751" t="s">
        <v>45846</v>
      </c>
      <c r="V2751" t="s">
        <v>45847</v>
      </c>
      <c r="W2751" t="s">
        <v>45848</v>
      </c>
      <c r="X2751" t="s">
        <v>45849</v>
      </c>
      <c r="Y2751" t="s">
        <v>45850</v>
      </c>
      <c r="Z2751" t="s">
        <v>45851</v>
      </c>
      <c r="AA2751" t="s">
        <v>74</v>
      </c>
      <c r="AB2751" t="s">
        <v>45852</v>
      </c>
      <c r="AC2751" t="s">
        <v>74</v>
      </c>
      <c r="AD2751" t="s">
        <v>74</v>
      </c>
      <c r="AE2751" t="s">
        <v>74</v>
      </c>
      <c r="AF2751" t="s">
        <v>74</v>
      </c>
      <c r="AG2751">
        <v>45</v>
      </c>
      <c r="AH2751">
        <v>4</v>
      </c>
      <c r="AI2751">
        <v>4</v>
      </c>
      <c r="AJ2751">
        <v>0</v>
      </c>
      <c r="AK2751">
        <v>7</v>
      </c>
      <c r="AL2751" t="s">
        <v>479</v>
      </c>
      <c r="AM2751" t="s">
        <v>480</v>
      </c>
      <c r="AN2751" t="s">
        <v>481</v>
      </c>
      <c r="AO2751" t="s">
        <v>18386</v>
      </c>
      <c r="AP2751" t="s">
        <v>18387</v>
      </c>
      <c r="AQ2751" t="s">
        <v>74</v>
      </c>
      <c r="AR2751" t="s">
        <v>18388</v>
      </c>
      <c r="AS2751" t="s">
        <v>18389</v>
      </c>
      <c r="AT2751" t="s">
        <v>1652</v>
      </c>
      <c r="AU2751">
        <v>2021</v>
      </c>
      <c r="AV2751">
        <v>49</v>
      </c>
      <c r="AW2751">
        <v>4</v>
      </c>
      <c r="AX2751" t="s">
        <v>74</v>
      </c>
      <c r="AY2751" t="s">
        <v>74</v>
      </c>
      <c r="AZ2751" t="s">
        <v>74</v>
      </c>
      <c r="BA2751" t="s">
        <v>74</v>
      </c>
      <c r="BB2751">
        <v>310</v>
      </c>
      <c r="BC2751">
        <v>327</v>
      </c>
      <c r="BD2751" t="s">
        <v>74</v>
      </c>
      <c r="BE2751" t="s">
        <v>45853</v>
      </c>
      <c r="BF2751" t="str">
        <f>HYPERLINK("http://dx.doi.org/10.1111/fcsr.12398","http://dx.doi.org/10.1111/fcsr.12398")</f>
        <v>http://dx.doi.org/10.1111/fcsr.12398</v>
      </c>
      <c r="BG2751" t="s">
        <v>74</v>
      </c>
      <c r="BH2751" t="s">
        <v>443</v>
      </c>
      <c r="BI2751">
        <v>18</v>
      </c>
      <c r="BJ2751" t="s">
        <v>18391</v>
      </c>
      <c r="BK2751" t="s">
        <v>313</v>
      </c>
      <c r="BL2751" t="s">
        <v>18391</v>
      </c>
      <c r="BM2751" t="s">
        <v>18392</v>
      </c>
      <c r="BN2751" t="s">
        <v>74</v>
      </c>
      <c r="BO2751" t="s">
        <v>74</v>
      </c>
      <c r="BP2751" t="s">
        <v>74</v>
      </c>
      <c r="BQ2751" t="s">
        <v>74</v>
      </c>
      <c r="BR2751" t="s">
        <v>102</v>
      </c>
      <c r="BS2751" t="s">
        <v>45854</v>
      </c>
      <c r="BT2751" t="str">
        <f>HYPERLINK("https%3A%2F%2Fwww.webofscience.com%2Fwos%2Fwoscc%2Ffull-record%2FWOS:000643426300001","View Full Record in Web of Science")</f>
        <v>View Full Record in Web of Science</v>
      </c>
    </row>
    <row r="2752" spans="1:72" x14ac:dyDescent="0.25">
      <c r="A2752" t="s">
        <v>72</v>
      </c>
      <c r="B2752" t="s">
        <v>45855</v>
      </c>
      <c r="C2752" t="s">
        <v>74</v>
      </c>
      <c r="D2752" t="s">
        <v>74</v>
      </c>
      <c r="E2752" t="s">
        <v>74</v>
      </c>
      <c r="F2752" t="s">
        <v>45856</v>
      </c>
      <c r="G2752" t="s">
        <v>74</v>
      </c>
      <c r="H2752" t="s">
        <v>74</v>
      </c>
      <c r="I2752" t="s">
        <v>45857</v>
      </c>
      <c r="J2752" t="s">
        <v>1245</v>
      </c>
      <c r="K2752" t="s">
        <v>74</v>
      </c>
      <c r="L2752" t="s">
        <v>74</v>
      </c>
      <c r="M2752" t="s">
        <v>78</v>
      </c>
      <c r="N2752" t="s">
        <v>79</v>
      </c>
      <c r="O2752" t="s">
        <v>74</v>
      </c>
      <c r="P2752" t="s">
        <v>74</v>
      </c>
      <c r="Q2752" t="s">
        <v>74</v>
      </c>
      <c r="R2752" t="s">
        <v>74</v>
      </c>
      <c r="S2752" t="s">
        <v>74</v>
      </c>
      <c r="T2752" t="s">
        <v>45858</v>
      </c>
      <c r="U2752" t="s">
        <v>45859</v>
      </c>
      <c r="V2752" t="s">
        <v>45860</v>
      </c>
      <c r="W2752" t="s">
        <v>45861</v>
      </c>
      <c r="X2752" t="s">
        <v>45862</v>
      </c>
      <c r="Y2752" t="s">
        <v>45863</v>
      </c>
      <c r="Z2752" t="s">
        <v>45864</v>
      </c>
      <c r="AA2752" t="s">
        <v>45865</v>
      </c>
      <c r="AB2752" t="s">
        <v>45866</v>
      </c>
      <c r="AC2752" t="s">
        <v>45867</v>
      </c>
      <c r="AD2752" t="s">
        <v>45868</v>
      </c>
      <c r="AE2752" t="s">
        <v>45869</v>
      </c>
      <c r="AF2752" t="s">
        <v>74</v>
      </c>
      <c r="AG2752">
        <v>38</v>
      </c>
      <c r="AH2752">
        <v>1</v>
      </c>
      <c r="AI2752">
        <v>1</v>
      </c>
      <c r="AJ2752">
        <v>4</v>
      </c>
      <c r="AK2752">
        <v>8</v>
      </c>
      <c r="AL2752" t="s">
        <v>1254</v>
      </c>
      <c r="AM2752" t="s">
        <v>1255</v>
      </c>
      <c r="AN2752" t="s">
        <v>1256</v>
      </c>
      <c r="AO2752" t="s">
        <v>1257</v>
      </c>
      <c r="AP2752" t="s">
        <v>1258</v>
      </c>
      <c r="AQ2752" t="s">
        <v>74</v>
      </c>
      <c r="AR2752" t="s">
        <v>1259</v>
      </c>
      <c r="AS2752" t="s">
        <v>1260</v>
      </c>
      <c r="AT2752" t="s">
        <v>74</v>
      </c>
      <c r="AU2752">
        <v>2025</v>
      </c>
      <c r="AV2752">
        <v>1</v>
      </c>
      <c r="AW2752">
        <v>60</v>
      </c>
      <c r="AX2752" t="s">
        <v>74</v>
      </c>
      <c r="AY2752" t="s">
        <v>74</v>
      </c>
      <c r="AZ2752" t="s">
        <v>74</v>
      </c>
      <c r="BA2752" t="s">
        <v>74</v>
      </c>
      <c r="BB2752" t="s">
        <v>74</v>
      </c>
      <c r="BC2752" t="s">
        <v>74</v>
      </c>
      <c r="BD2752" t="s">
        <v>74</v>
      </c>
      <c r="BE2752" t="s">
        <v>45870</v>
      </c>
      <c r="BF2752" t="str">
        <f>HYPERLINK("http://dx.doi.org/10.55643/fcaptp.1.60.2025.4657","http://dx.doi.org/10.55643/fcaptp.1.60.2025.4657")</f>
        <v>http://dx.doi.org/10.55643/fcaptp.1.60.2025.4657</v>
      </c>
      <c r="BG2752" t="s">
        <v>74</v>
      </c>
      <c r="BH2752" t="s">
        <v>74</v>
      </c>
      <c r="BI2752">
        <v>14</v>
      </c>
      <c r="BJ2752" t="s">
        <v>268</v>
      </c>
      <c r="BK2752" t="s">
        <v>313</v>
      </c>
      <c r="BL2752" t="s">
        <v>100</v>
      </c>
      <c r="BM2752" t="s">
        <v>45871</v>
      </c>
      <c r="BN2752" t="s">
        <v>74</v>
      </c>
      <c r="BO2752" t="s">
        <v>212</v>
      </c>
      <c r="BP2752" t="s">
        <v>74</v>
      </c>
      <c r="BQ2752" t="s">
        <v>74</v>
      </c>
      <c r="BR2752" t="s">
        <v>102</v>
      </c>
      <c r="BS2752" t="s">
        <v>45872</v>
      </c>
      <c r="BT2752" t="str">
        <f>HYPERLINK("https%3A%2F%2Fwww.webofscience.com%2Fwos%2Fwoscc%2Ffull-record%2FWOS:001436428000003","View Full Record in Web of Science")</f>
        <v>View Full Record in Web of Science</v>
      </c>
    </row>
    <row r="2753" spans="1:72" x14ac:dyDescent="0.25">
      <c r="A2753" t="s">
        <v>72</v>
      </c>
      <c r="B2753" t="s">
        <v>45873</v>
      </c>
      <c r="C2753" t="s">
        <v>74</v>
      </c>
      <c r="D2753" t="s">
        <v>74</v>
      </c>
      <c r="E2753" t="s">
        <v>74</v>
      </c>
      <c r="F2753" t="s">
        <v>45874</v>
      </c>
      <c r="G2753" t="s">
        <v>74</v>
      </c>
      <c r="H2753" t="s">
        <v>74</v>
      </c>
      <c r="I2753" t="s">
        <v>45875</v>
      </c>
      <c r="J2753" t="s">
        <v>23566</v>
      </c>
      <c r="K2753" t="s">
        <v>74</v>
      </c>
      <c r="L2753" t="s">
        <v>74</v>
      </c>
      <c r="M2753" t="s">
        <v>78</v>
      </c>
      <c r="N2753" t="s">
        <v>79</v>
      </c>
      <c r="O2753" t="s">
        <v>74</v>
      </c>
      <c r="P2753" t="s">
        <v>74</v>
      </c>
      <c r="Q2753" t="s">
        <v>74</v>
      </c>
      <c r="R2753" t="s">
        <v>74</v>
      </c>
      <c r="S2753" t="s">
        <v>74</v>
      </c>
      <c r="T2753" t="s">
        <v>45876</v>
      </c>
      <c r="U2753" t="s">
        <v>74</v>
      </c>
      <c r="V2753" t="s">
        <v>45877</v>
      </c>
      <c r="W2753" t="s">
        <v>45878</v>
      </c>
      <c r="X2753" t="s">
        <v>3960</v>
      </c>
      <c r="Y2753" t="s">
        <v>45879</v>
      </c>
      <c r="Z2753" t="s">
        <v>45880</v>
      </c>
      <c r="AA2753" t="s">
        <v>74</v>
      </c>
      <c r="AB2753" t="s">
        <v>74</v>
      </c>
      <c r="AC2753" t="s">
        <v>74</v>
      </c>
      <c r="AD2753" t="s">
        <v>74</v>
      </c>
      <c r="AE2753" t="s">
        <v>74</v>
      </c>
      <c r="AF2753" t="s">
        <v>74</v>
      </c>
      <c r="AG2753">
        <v>25</v>
      </c>
      <c r="AH2753">
        <v>0</v>
      </c>
      <c r="AI2753">
        <v>0</v>
      </c>
      <c r="AJ2753">
        <v>1</v>
      </c>
      <c r="AK2753">
        <v>1</v>
      </c>
      <c r="AL2753" t="s">
        <v>23556</v>
      </c>
      <c r="AM2753" t="s">
        <v>23555</v>
      </c>
      <c r="AN2753" t="s">
        <v>23554</v>
      </c>
      <c r="AO2753" t="s">
        <v>23553</v>
      </c>
      <c r="AP2753" t="s">
        <v>23552</v>
      </c>
      <c r="AQ2753" t="s">
        <v>74</v>
      </c>
      <c r="AR2753" t="s">
        <v>23551</v>
      </c>
      <c r="AS2753" t="s">
        <v>23550</v>
      </c>
      <c r="AT2753" t="s">
        <v>11872</v>
      </c>
      <c r="AU2753">
        <v>2025</v>
      </c>
      <c r="AV2753">
        <v>27</v>
      </c>
      <c r="AW2753">
        <v>1</v>
      </c>
      <c r="AX2753" t="s">
        <v>74</v>
      </c>
      <c r="AY2753" t="s">
        <v>74</v>
      </c>
      <c r="AZ2753" t="s">
        <v>74</v>
      </c>
      <c r="BA2753" t="s">
        <v>74</v>
      </c>
      <c r="BB2753" t="s">
        <v>74</v>
      </c>
      <c r="BC2753" t="s">
        <v>74</v>
      </c>
      <c r="BD2753" t="s">
        <v>45881</v>
      </c>
      <c r="BE2753" t="s">
        <v>45882</v>
      </c>
      <c r="BF2753" t="str">
        <f>HYPERLINK("http://dx.doi.org/10.4102/sajim.v27i1.2047","http://dx.doi.org/10.4102/sajim.v27i1.2047")</f>
        <v>http://dx.doi.org/10.4102/sajim.v27i1.2047</v>
      </c>
      <c r="BG2753" t="s">
        <v>74</v>
      </c>
      <c r="BH2753" t="s">
        <v>74</v>
      </c>
      <c r="BI2753">
        <v>8</v>
      </c>
      <c r="BJ2753" t="s">
        <v>2351</v>
      </c>
      <c r="BK2753" t="s">
        <v>313</v>
      </c>
      <c r="BL2753" t="s">
        <v>2351</v>
      </c>
      <c r="BM2753" t="s">
        <v>45883</v>
      </c>
      <c r="BN2753" t="s">
        <v>74</v>
      </c>
      <c r="BO2753" t="s">
        <v>212</v>
      </c>
      <c r="BP2753" t="s">
        <v>74</v>
      </c>
      <c r="BQ2753" t="s">
        <v>74</v>
      </c>
      <c r="BR2753" t="s">
        <v>102</v>
      </c>
      <c r="BS2753" t="s">
        <v>45884</v>
      </c>
      <c r="BT2753" t="str">
        <f>HYPERLINK("https%3A%2F%2Fwww.webofscience.com%2Fwos%2Fwoscc%2Ffull-record%2FWOS:001609415300001","View Full Record in Web of Science")</f>
        <v>View Full Record in Web of Science</v>
      </c>
    </row>
    <row r="2754" spans="1:72" x14ac:dyDescent="0.25">
      <c r="A2754" t="s">
        <v>72</v>
      </c>
      <c r="B2754" t="s">
        <v>45885</v>
      </c>
      <c r="C2754" t="s">
        <v>74</v>
      </c>
      <c r="D2754" t="s">
        <v>74</v>
      </c>
      <c r="E2754" t="s">
        <v>74</v>
      </c>
      <c r="F2754" t="s">
        <v>45886</v>
      </c>
      <c r="G2754" t="s">
        <v>74</v>
      </c>
      <c r="H2754" t="s">
        <v>74</v>
      </c>
      <c r="I2754" t="s">
        <v>45887</v>
      </c>
      <c r="J2754" t="s">
        <v>7119</v>
      </c>
      <c r="K2754" t="s">
        <v>74</v>
      </c>
      <c r="L2754" t="s">
        <v>74</v>
      </c>
      <c r="M2754" t="s">
        <v>78</v>
      </c>
      <c r="N2754" t="s">
        <v>372</v>
      </c>
      <c r="O2754" t="s">
        <v>74</v>
      </c>
      <c r="P2754" t="s">
        <v>74</v>
      </c>
      <c r="Q2754" t="s">
        <v>74</v>
      </c>
      <c r="R2754" t="s">
        <v>74</v>
      </c>
      <c r="S2754" t="s">
        <v>74</v>
      </c>
      <c r="T2754" t="s">
        <v>45888</v>
      </c>
      <c r="U2754" t="s">
        <v>45889</v>
      </c>
      <c r="V2754" t="s">
        <v>45890</v>
      </c>
      <c r="W2754" t="s">
        <v>45891</v>
      </c>
      <c r="X2754" t="s">
        <v>45892</v>
      </c>
      <c r="Y2754" t="s">
        <v>45893</v>
      </c>
      <c r="Z2754" t="s">
        <v>45894</v>
      </c>
      <c r="AA2754" t="s">
        <v>45895</v>
      </c>
      <c r="AB2754" t="s">
        <v>74</v>
      </c>
      <c r="AC2754" t="s">
        <v>74</v>
      </c>
      <c r="AD2754" t="s">
        <v>74</v>
      </c>
      <c r="AE2754" t="s">
        <v>74</v>
      </c>
      <c r="AF2754" t="s">
        <v>74</v>
      </c>
      <c r="AG2754">
        <v>141</v>
      </c>
      <c r="AH2754">
        <v>0</v>
      </c>
      <c r="AI2754">
        <v>0</v>
      </c>
      <c r="AJ2754">
        <v>0</v>
      </c>
      <c r="AK2754">
        <v>0</v>
      </c>
      <c r="AL2754" t="s">
        <v>89</v>
      </c>
      <c r="AM2754" t="s">
        <v>90</v>
      </c>
      <c r="AN2754" t="s">
        <v>91</v>
      </c>
      <c r="AO2754" t="s">
        <v>7128</v>
      </c>
      <c r="AP2754" t="s">
        <v>74</v>
      </c>
      <c r="AQ2754" t="s">
        <v>74</v>
      </c>
      <c r="AR2754" t="s">
        <v>7129</v>
      </c>
      <c r="AS2754" t="s">
        <v>7130</v>
      </c>
      <c r="AT2754" t="s">
        <v>16627</v>
      </c>
      <c r="AU2754">
        <v>2025</v>
      </c>
      <c r="AV2754" t="s">
        <v>74</v>
      </c>
      <c r="AW2754" t="s">
        <v>74</v>
      </c>
      <c r="AX2754" t="s">
        <v>74</v>
      </c>
      <c r="AY2754" t="s">
        <v>74</v>
      </c>
      <c r="AZ2754" t="s">
        <v>74</v>
      </c>
      <c r="BA2754" t="s">
        <v>74</v>
      </c>
      <c r="BB2754" t="s">
        <v>74</v>
      </c>
      <c r="BC2754" t="s">
        <v>74</v>
      </c>
      <c r="BD2754" t="s">
        <v>74</v>
      </c>
      <c r="BE2754" t="s">
        <v>45896</v>
      </c>
      <c r="BF2754" t="str">
        <f>HYPERLINK("http://dx.doi.org/10.1108/QRFM-09-2024-0282","http://dx.doi.org/10.1108/QRFM-09-2024-0282")</f>
        <v>http://dx.doi.org/10.1108/QRFM-09-2024-0282</v>
      </c>
      <c r="BG2754" t="s">
        <v>74</v>
      </c>
      <c r="BH2754" t="s">
        <v>3411</v>
      </c>
      <c r="BI2754">
        <v>24</v>
      </c>
      <c r="BJ2754" t="s">
        <v>268</v>
      </c>
      <c r="BK2754" t="s">
        <v>313</v>
      </c>
      <c r="BL2754" t="s">
        <v>100</v>
      </c>
      <c r="BM2754" t="s">
        <v>45897</v>
      </c>
      <c r="BN2754" t="s">
        <v>74</v>
      </c>
      <c r="BO2754" t="s">
        <v>74</v>
      </c>
      <c r="BP2754" t="s">
        <v>74</v>
      </c>
      <c r="BQ2754" t="s">
        <v>74</v>
      </c>
      <c r="BR2754" t="s">
        <v>102</v>
      </c>
      <c r="BS2754" t="s">
        <v>45898</v>
      </c>
      <c r="BT2754" t="str">
        <f>HYPERLINK("https%3A%2F%2Fwww.webofscience.com%2Fwos%2Fwoscc%2Ffull-record%2FWOS:001579007900001","View Full Record in Web of Science")</f>
        <v>View Full Record in Web of Science</v>
      </c>
    </row>
    <row r="2755" spans="1:72" x14ac:dyDescent="0.25">
      <c r="A2755" t="s">
        <v>72</v>
      </c>
      <c r="B2755" t="s">
        <v>45899</v>
      </c>
      <c r="C2755" t="s">
        <v>74</v>
      </c>
      <c r="D2755" t="s">
        <v>74</v>
      </c>
      <c r="E2755" t="s">
        <v>74</v>
      </c>
      <c r="F2755" t="s">
        <v>45900</v>
      </c>
      <c r="G2755" t="s">
        <v>74</v>
      </c>
      <c r="H2755" t="s">
        <v>74</v>
      </c>
      <c r="I2755" t="s">
        <v>45901</v>
      </c>
      <c r="J2755" t="s">
        <v>14349</v>
      </c>
      <c r="K2755" t="s">
        <v>74</v>
      </c>
      <c r="L2755" t="s">
        <v>74</v>
      </c>
      <c r="M2755" t="s">
        <v>78</v>
      </c>
      <c r="N2755" t="s">
        <v>79</v>
      </c>
      <c r="O2755" t="s">
        <v>74</v>
      </c>
      <c r="P2755" t="s">
        <v>74</v>
      </c>
      <c r="Q2755" t="s">
        <v>74</v>
      </c>
      <c r="R2755" t="s">
        <v>74</v>
      </c>
      <c r="S2755" t="s">
        <v>74</v>
      </c>
      <c r="T2755" t="s">
        <v>45902</v>
      </c>
      <c r="U2755" t="s">
        <v>45903</v>
      </c>
      <c r="V2755" t="s">
        <v>45904</v>
      </c>
      <c r="W2755" t="s">
        <v>45905</v>
      </c>
      <c r="X2755" t="s">
        <v>30715</v>
      </c>
      <c r="Y2755" t="s">
        <v>45906</v>
      </c>
      <c r="Z2755" t="s">
        <v>34893</v>
      </c>
      <c r="AA2755" t="s">
        <v>34894</v>
      </c>
      <c r="AB2755" t="s">
        <v>74</v>
      </c>
      <c r="AC2755" t="s">
        <v>74</v>
      </c>
      <c r="AD2755" t="s">
        <v>74</v>
      </c>
      <c r="AE2755" t="s">
        <v>74</v>
      </c>
      <c r="AF2755" t="s">
        <v>74</v>
      </c>
      <c r="AG2755">
        <v>91</v>
      </c>
      <c r="AH2755">
        <v>16</v>
      </c>
      <c r="AI2755">
        <v>20</v>
      </c>
      <c r="AJ2755">
        <v>2</v>
      </c>
      <c r="AK2755">
        <v>18</v>
      </c>
      <c r="AL2755" t="s">
        <v>332</v>
      </c>
      <c r="AM2755" t="s">
        <v>333</v>
      </c>
      <c r="AN2755" t="s">
        <v>334</v>
      </c>
      <c r="AO2755" t="s">
        <v>14355</v>
      </c>
      <c r="AP2755" t="s">
        <v>14356</v>
      </c>
      <c r="AQ2755" t="s">
        <v>74</v>
      </c>
      <c r="AR2755" t="s">
        <v>14357</v>
      </c>
      <c r="AS2755" t="s">
        <v>14358</v>
      </c>
      <c r="AT2755" t="s">
        <v>2082</v>
      </c>
      <c r="AU2755">
        <v>2022</v>
      </c>
      <c r="AV2755">
        <v>15</v>
      </c>
      <c r="AW2755">
        <v>4</v>
      </c>
      <c r="AX2755" t="s">
        <v>74</v>
      </c>
      <c r="AY2755" t="s">
        <v>74</v>
      </c>
      <c r="AZ2755" t="s">
        <v>441</v>
      </c>
      <c r="BA2755" t="s">
        <v>74</v>
      </c>
      <c r="BB2755">
        <v>416</v>
      </c>
      <c r="BC2755">
        <v>435</v>
      </c>
      <c r="BD2755" t="s">
        <v>74</v>
      </c>
      <c r="BE2755" t="s">
        <v>45907</v>
      </c>
      <c r="BF2755" t="str">
        <f>HYPERLINK("http://dx.doi.org/10.1080/17530350.2022.2040569","http://dx.doi.org/10.1080/17530350.2022.2040569")</f>
        <v>http://dx.doi.org/10.1080/17530350.2022.2040569</v>
      </c>
      <c r="BG2755" t="s">
        <v>74</v>
      </c>
      <c r="BH2755" t="s">
        <v>12980</v>
      </c>
      <c r="BI2755">
        <v>20</v>
      </c>
      <c r="BJ2755" t="s">
        <v>14360</v>
      </c>
      <c r="BK2755" t="s">
        <v>871</v>
      </c>
      <c r="BL2755" t="s">
        <v>14361</v>
      </c>
      <c r="BM2755" t="s">
        <v>15869</v>
      </c>
      <c r="BN2755" t="s">
        <v>74</v>
      </c>
      <c r="BO2755" t="s">
        <v>74</v>
      </c>
      <c r="BP2755" t="s">
        <v>74</v>
      </c>
      <c r="BQ2755" t="s">
        <v>74</v>
      </c>
      <c r="BR2755" t="s">
        <v>102</v>
      </c>
      <c r="BS2755" t="s">
        <v>45908</v>
      </c>
      <c r="BT2755" t="str">
        <f>HYPERLINK("https%3A%2F%2Fwww.webofscience.com%2Fwos%2Fwoscc%2Ffull-record%2FWOS:000780960300001","View Full Record in Web of Science")</f>
        <v>View Full Record in Web of Science</v>
      </c>
    </row>
    <row r="2756" spans="1:72" x14ac:dyDescent="0.25">
      <c r="A2756" t="s">
        <v>72</v>
      </c>
      <c r="B2756" t="s">
        <v>45909</v>
      </c>
      <c r="C2756" t="s">
        <v>74</v>
      </c>
      <c r="D2756" t="s">
        <v>74</v>
      </c>
      <c r="E2756" t="s">
        <v>74</v>
      </c>
      <c r="F2756" t="s">
        <v>45910</v>
      </c>
      <c r="G2756" t="s">
        <v>74</v>
      </c>
      <c r="H2756" t="s">
        <v>74</v>
      </c>
      <c r="I2756" t="s">
        <v>45911</v>
      </c>
      <c r="J2756" t="s">
        <v>3231</v>
      </c>
      <c r="K2756" t="s">
        <v>74</v>
      </c>
      <c r="L2756" t="s">
        <v>74</v>
      </c>
      <c r="M2756" t="s">
        <v>78</v>
      </c>
      <c r="N2756" t="s">
        <v>79</v>
      </c>
      <c r="O2756" t="s">
        <v>74</v>
      </c>
      <c r="P2756" t="s">
        <v>74</v>
      </c>
      <c r="Q2756" t="s">
        <v>74</v>
      </c>
      <c r="R2756" t="s">
        <v>74</v>
      </c>
      <c r="S2756" t="s">
        <v>74</v>
      </c>
      <c r="T2756" t="s">
        <v>45912</v>
      </c>
      <c r="U2756" t="s">
        <v>45913</v>
      </c>
      <c r="V2756" t="s">
        <v>45914</v>
      </c>
      <c r="W2756" t="s">
        <v>45915</v>
      </c>
      <c r="X2756" t="s">
        <v>45916</v>
      </c>
      <c r="Y2756" t="s">
        <v>45917</v>
      </c>
      <c r="Z2756" t="s">
        <v>45918</v>
      </c>
      <c r="AA2756" t="s">
        <v>45919</v>
      </c>
      <c r="AB2756" t="s">
        <v>45920</v>
      </c>
      <c r="AC2756" t="s">
        <v>45921</v>
      </c>
      <c r="AD2756" t="s">
        <v>45922</v>
      </c>
      <c r="AE2756" t="s">
        <v>45923</v>
      </c>
      <c r="AF2756" t="s">
        <v>74</v>
      </c>
      <c r="AG2756">
        <v>54</v>
      </c>
      <c r="AH2756">
        <v>1</v>
      </c>
      <c r="AI2756">
        <v>1</v>
      </c>
      <c r="AJ2756">
        <v>2</v>
      </c>
      <c r="AK2756">
        <v>6</v>
      </c>
      <c r="AL2756" t="s">
        <v>575</v>
      </c>
      <c r="AM2756" t="s">
        <v>576</v>
      </c>
      <c r="AN2756" t="s">
        <v>3242</v>
      </c>
      <c r="AO2756" t="s">
        <v>74</v>
      </c>
      <c r="AP2756" t="s">
        <v>3243</v>
      </c>
      <c r="AQ2756" t="s">
        <v>74</v>
      </c>
      <c r="AR2756" t="s">
        <v>3244</v>
      </c>
      <c r="AS2756" t="s">
        <v>3245</v>
      </c>
      <c r="AT2756" t="s">
        <v>848</v>
      </c>
      <c r="AU2756">
        <v>2023</v>
      </c>
      <c r="AV2756">
        <v>15</v>
      </c>
      <c r="AW2756">
        <v>14</v>
      </c>
      <c r="AX2756" t="s">
        <v>74</v>
      </c>
      <c r="AY2756" t="s">
        <v>74</v>
      </c>
      <c r="AZ2756" t="s">
        <v>74</v>
      </c>
      <c r="BA2756" t="s">
        <v>74</v>
      </c>
      <c r="BB2756" t="s">
        <v>74</v>
      </c>
      <c r="BC2756" t="s">
        <v>74</v>
      </c>
      <c r="BD2756">
        <v>11192</v>
      </c>
      <c r="BE2756" t="s">
        <v>45924</v>
      </c>
      <c r="BF2756" t="str">
        <f>HYPERLINK("http://dx.doi.org/10.3390/su151411192","http://dx.doi.org/10.3390/su151411192")</f>
        <v>http://dx.doi.org/10.3390/su151411192</v>
      </c>
      <c r="BG2756" t="s">
        <v>74</v>
      </c>
      <c r="BH2756" t="s">
        <v>74</v>
      </c>
      <c r="BI2756">
        <v>20</v>
      </c>
      <c r="BJ2756" t="s">
        <v>3247</v>
      </c>
      <c r="BK2756" t="s">
        <v>2623</v>
      </c>
      <c r="BL2756" t="s">
        <v>3248</v>
      </c>
      <c r="BM2756" t="s">
        <v>45925</v>
      </c>
      <c r="BN2756" t="s">
        <v>74</v>
      </c>
      <c r="BO2756" t="s">
        <v>916</v>
      </c>
      <c r="BP2756" t="s">
        <v>74</v>
      </c>
      <c r="BQ2756" t="s">
        <v>74</v>
      </c>
      <c r="BR2756" t="s">
        <v>102</v>
      </c>
      <c r="BS2756" t="s">
        <v>45926</v>
      </c>
      <c r="BT2756" t="str">
        <f>HYPERLINK("https%3A%2F%2Fwww.webofscience.com%2Fwos%2Fwoscc%2Ffull-record%2FWOS:001036719100001","View Full Record in Web of Science")</f>
        <v>View Full Record in Web of Science</v>
      </c>
    </row>
    <row r="2757" spans="1:72" x14ac:dyDescent="0.25">
      <c r="A2757" t="s">
        <v>72</v>
      </c>
      <c r="B2757" t="s">
        <v>45927</v>
      </c>
      <c r="C2757" t="s">
        <v>74</v>
      </c>
      <c r="D2757" t="s">
        <v>74</v>
      </c>
      <c r="E2757" t="s">
        <v>74</v>
      </c>
      <c r="F2757" t="s">
        <v>45928</v>
      </c>
      <c r="G2757" t="s">
        <v>74</v>
      </c>
      <c r="H2757" t="s">
        <v>74</v>
      </c>
      <c r="I2757" t="s">
        <v>45929</v>
      </c>
      <c r="J2757" t="s">
        <v>9191</v>
      </c>
      <c r="K2757" t="s">
        <v>74</v>
      </c>
      <c r="L2757" t="s">
        <v>74</v>
      </c>
      <c r="M2757" t="s">
        <v>78</v>
      </c>
      <c r="N2757" t="s">
        <v>79</v>
      </c>
      <c r="O2757" t="s">
        <v>74</v>
      </c>
      <c r="P2757" t="s">
        <v>74</v>
      </c>
      <c r="Q2757" t="s">
        <v>74</v>
      </c>
      <c r="R2757" t="s">
        <v>74</v>
      </c>
      <c r="S2757" t="s">
        <v>74</v>
      </c>
      <c r="T2757" t="s">
        <v>45930</v>
      </c>
      <c r="U2757" t="s">
        <v>45931</v>
      </c>
      <c r="V2757" t="s">
        <v>45932</v>
      </c>
      <c r="W2757" t="s">
        <v>45933</v>
      </c>
      <c r="X2757" t="s">
        <v>17759</v>
      </c>
      <c r="Y2757" t="s">
        <v>45934</v>
      </c>
      <c r="Z2757" t="s">
        <v>45935</v>
      </c>
      <c r="AA2757" t="s">
        <v>45936</v>
      </c>
      <c r="AB2757" t="s">
        <v>45937</v>
      </c>
      <c r="AC2757" t="s">
        <v>74</v>
      </c>
      <c r="AD2757" t="s">
        <v>74</v>
      </c>
      <c r="AE2757" t="s">
        <v>74</v>
      </c>
      <c r="AF2757" t="s">
        <v>74</v>
      </c>
      <c r="AG2757">
        <v>75</v>
      </c>
      <c r="AH2757">
        <v>3</v>
      </c>
      <c r="AI2757">
        <v>4</v>
      </c>
      <c r="AJ2757">
        <v>2</v>
      </c>
      <c r="AK2757">
        <v>7</v>
      </c>
      <c r="AL2757" t="s">
        <v>9204</v>
      </c>
      <c r="AM2757" t="s">
        <v>2016</v>
      </c>
      <c r="AN2757" t="s">
        <v>9205</v>
      </c>
      <c r="AO2757" t="s">
        <v>74</v>
      </c>
      <c r="AP2757" t="s">
        <v>9206</v>
      </c>
      <c r="AQ2757" t="s">
        <v>74</v>
      </c>
      <c r="AR2757" t="s">
        <v>9191</v>
      </c>
      <c r="AS2757" t="s">
        <v>9207</v>
      </c>
      <c r="AT2757" t="s">
        <v>8956</v>
      </c>
      <c r="AU2757">
        <v>2024</v>
      </c>
      <c r="AV2757">
        <v>10</v>
      </c>
      <c r="AW2757">
        <v>14</v>
      </c>
      <c r="AX2757" t="s">
        <v>74</v>
      </c>
      <c r="AY2757" t="s">
        <v>74</v>
      </c>
      <c r="AZ2757" t="s">
        <v>74</v>
      </c>
      <c r="BA2757" t="s">
        <v>74</v>
      </c>
      <c r="BB2757" t="s">
        <v>74</v>
      </c>
      <c r="BC2757" t="s">
        <v>74</v>
      </c>
      <c r="BD2757" t="s">
        <v>45938</v>
      </c>
      <c r="BE2757" t="s">
        <v>45939</v>
      </c>
      <c r="BF2757" t="str">
        <f>HYPERLINK("http://dx.doi.org/10.1016/j.heliyon.2024.e34227","http://dx.doi.org/10.1016/j.heliyon.2024.e34227")</f>
        <v>http://dx.doi.org/10.1016/j.heliyon.2024.e34227</v>
      </c>
      <c r="BG2757" t="s">
        <v>74</v>
      </c>
      <c r="BH2757" t="s">
        <v>2524</v>
      </c>
      <c r="BI2757">
        <v>13</v>
      </c>
      <c r="BJ2757" t="s">
        <v>559</v>
      </c>
      <c r="BK2757" t="s">
        <v>128</v>
      </c>
      <c r="BL2757" t="s">
        <v>560</v>
      </c>
      <c r="BM2757" t="s">
        <v>45940</v>
      </c>
      <c r="BN2757">
        <v>39100484</v>
      </c>
      <c r="BO2757" t="s">
        <v>916</v>
      </c>
      <c r="BP2757" t="s">
        <v>74</v>
      </c>
      <c r="BQ2757" t="s">
        <v>74</v>
      </c>
      <c r="BR2757" t="s">
        <v>102</v>
      </c>
      <c r="BS2757" t="s">
        <v>45941</v>
      </c>
      <c r="BT2757" t="str">
        <f>HYPERLINK("https%3A%2F%2Fwww.webofscience.com%2Fwos%2Fwoscc%2Ffull-record%2FWOS:001266904100001","View Full Record in Web of Science")</f>
        <v>View Full Record in Web of Science</v>
      </c>
    </row>
    <row r="2758" spans="1:72" x14ac:dyDescent="0.25">
      <c r="A2758" t="s">
        <v>72</v>
      </c>
      <c r="B2758" t="s">
        <v>45942</v>
      </c>
      <c r="C2758" t="s">
        <v>74</v>
      </c>
      <c r="D2758" t="s">
        <v>74</v>
      </c>
      <c r="E2758" t="s">
        <v>74</v>
      </c>
      <c r="F2758" t="s">
        <v>45943</v>
      </c>
      <c r="G2758" t="s">
        <v>74</v>
      </c>
      <c r="H2758" t="s">
        <v>74</v>
      </c>
      <c r="I2758" t="s">
        <v>45944</v>
      </c>
      <c r="J2758" t="s">
        <v>7004</v>
      </c>
      <c r="K2758" t="s">
        <v>74</v>
      </c>
      <c r="L2758" t="s">
        <v>74</v>
      </c>
      <c r="M2758" t="s">
        <v>78</v>
      </c>
      <c r="N2758" t="s">
        <v>79</v>
      </c>
      <c r="O2758" t="s">
        <v>74</v>
      </c>
      <c r="P2758" t="s">
        <v>74</v>
      </c>
      <c r="Q2758" t="s">
        <v>74</v>
      </c>
      <c r="R2758" t="s">
        <v>74</v>
      </c>
      <c r="S2758" t="s">
        <v>74</v>
      </c>
      <c r="T2758" t="s">
        <v>45945</v>
      </c>
      <c r="U2758" t="s">
        <v>74</v>
      </c>
      <c r="V2758" t="s">
        <v>45946</v>
      </c>
      <c r="W2758" t="s">
        <v>45947</v>
      </c>
      <c r="X2758" t="s">
        <v>45948</v>
      </c>
      <c r="Y2758" t="s">
        <v>45949</v>
      </c>
      <c r="Z2758" t="s">
        <v>45950</v>
      </c>
      <c r="AA2758" t="s">
        <v>45951</v>
      </c>
      <c r="AB2758" t="s">
        <v>45952</v>
      </c>
      <c r="AC2758" t="s">
        <v>74</v>
      </c>
      <c r="AD2758" t="s">
        <v>74</v>
      </c>
      <c r="AE2758" t="s">
        <v>74</v>
      </c>
      <c r="AF2758" t="s">
        <v>74</v>
      </c>
      <c r="AG2758">
        <v>34</v>
      </c>
      <c r="AH2758">
        <v>0</v>
      </c>
      <c r="AI2758">
        <v>0</v>
      </c>
      <c r="AJ2758">
        <v>1</v>
      </c>
      <c r="AK2758">
        <v>1</v>
      </c>
      <c r="AL2758" t="s">
        <v>7014</v>
      </c>
      <c r="AM2758" t="s">
        <v>7015</v>
      </c>
      <c r="AN2758" t="s">
        <v>7016</v>
      </c>
      <c r="AO2758" t="s">
        <v>74</v>
      </c>
      <c r="AP2758" t="s">
        <v>7017</v>
      </c>
      <c r="AQ2758" t="s">
        <v>74</v>
      </c>
      <c r="AR2758" t="s">
        <v>7018</v>
      </c>
      <c r="AS2758" t="s">
        <v>7019</v>
      </c>
      <c r="AT2758" t="s">
        <v>7558</v>
      </c>
      <c r="AU2758">
        <v>2025</v>
      </c>
      <c r="AV2758">
        <v>20</v>
      </c>
      <c r="AW2758">
        <v>4</v>
      </c>
      <c r="AX2758" t="s">
        <v>74</v>
      </c>
      <c r="AY2758" t="s">
        <v>74</v>
      </c>
      <c r="AZ2758" t="s">
        <v>74</v>
      </c>
      <c r="BA2758" t="s">
        <v>74</v>
      </c>
      <c r="BB2758" t="s">
        <v>74</v>
      </c>
      <c r="BC2758" t="s">
        <v>74</v>
      </c>
      <c r="BD2758" t="s">
        <v>45953</v>
      </c>
      <c r="BE2758" t="s">
        <v>45954</v>
      </c>
      <c r="BF2758" t="str">
        <f>HYPERLINK("http://dx.doi.org/10.21919/remef.v20i4.1025","http://dx.doi.org/10.21919/remef.v20i4.1025")</f>
        <v>http://dx.doi.org/10.21919/remef.v20i4.1025</v>
      </c>
      <c r="BG2758" t="s">
        <v>74</v>
      </c>
      <c r="BH2758" t="s">
        <v>74</v>
      </c>
      <c r="BI2758">
        <v>23</v>
      </c>
      <c r="BJ2758" t="s">
        <v>210</v>
      </c>
      <c r="BK2758" t="s">
        <v>313</v>
      </c>
      <c r="BL2758" t="s">
        <v>100</v>
      </c>
      <c r="BM2758" t="s">
        <v>43919</v>
      </c>
      <c r="BN2758" t="s">
        <v>74</v>
      </c>
      <c r="BO2758" t="s">
        <v>212</v>
      </c>
      <c r="BP2758" t="s">
        <v>74</v>
      </c>
      <c r="BQ2758" t="s">
        <v>74</v>
      </c>
      <c r="BR2758" t="s">
        <v>102</v>
      </c>
      <c r="BS2758" t="s">
        <v>45955</v>
      </c>
      <c r="BT2758" t="str">
        <f>HYPERLINK("https%3A%2F%2Fwww.webofscience.com%2Fwos%2Fwoscc%2Ffull-record%2FWOS:001635601000007","View Full Record in Web of Science")</f>
        <v>View Full Record in Web of Science</v>
      </c>
    </row>
    <row r="2759" spans="1:72" x14ac:dyDescent="0.25">
      <c r="A2759" t="s">
        <v>72</v>
      </c>
      <c r="B2759" t="s">
        <v>45956</v>
      </c>
      <c r="C2759" t="s">
        <v>74</v>
      </c>
      <c r="D2759" t="s">
        <v>74</v>
      </c>
      <c r="E2759" t="s">
        <v>74</v>
      </c>
      <c r="F2759" t="s">
        <v>45957</v>
      </c>
      <c r="G2759" t="s">
        <v>74</v>
      </c>
      <c r="H2759" t="s">
        <v>74</v>
      </c>
      <c r="I2759" t="s">
        <v>45958</v>
      </c>
      <c r="J2759" t="s">
        <v>1168</v>
      </c>
      <c r="K2759" t="s">
        <v>74</v>
      </c>
      <c r="L2759" t="s">
        <v>74</v>
      </c>
      <c r="M2759" t="s">
        <v>78</v>
      </c>
      <c r="N2759" t="s">
        <v>79</v>
      </c>
      <c r="O2759" t="s">
        <v>74</v>
      </c>
      <c r="P2759" t="s">
        <v>74</v>
      </c>
      <c r="Q2759" t="s">
        <v>74</v>
      </c>
      <c r="R2759" t="s">
        <v>74</v>
      </c>
      <c r="S2759" t="s">
        <v>74</v>
      </c>
      <c r="T2759" t="s">
        <v>45959</v>
      </c>
      <c r="U2759" t="s">
        <v>45960</v>
      </c>
      <c r="V2759" t="s">
        <v>45961</v>
      </c>
      <c r="W2759" t="s">
        <v>45962</v>
      </c>
      <c r="X2759" t="s">
        <v>17981</v>
      </c>
      <c r="Y2759" t="s">
        <v>45963</v>
      </c>
      <c r="Z2759" t="s">
        <v>45964</v>
      </c>
      <c r="AA2759" t="s">
        <v>45965</v>
      </c>
      <c r="AB2759" t="s">
        <v>45966</v>
      </c>
      <c r="AC2759" t="s">
        <v>74</v>
      </c>
      <c r="AD2759" t="s">
        <v>74</v>
      </c>
      <c r="AE2759" t="s">
        <v>74</v>
      </c>
      <c r="AF2759" t="s">
        <v>74</v>
      </c>
      <c r="AG2759">
        <v>120</v>
      </c>
      <c r="AH2759">
        <v>3</v>
      </c>
      <c r="AI2759">
        <v>3</v>
      </c>
      <c r="AJ2759">
        <v>2</v>
      </c>
      <c r="AK2759">
        <v>5</v>
      </c>
      <c r="AL2759" t="s">
        <v>332</v>
      </c>
      <c r="AM2759" t="s">
        <v>333</v>
      </c>
      <c r="AN2759" t="s">
        <v>334</v>
      </c>
      <c r="AO2759" t="s">
        <v>1179</v>
      </c>
      <c r="AP2759" t="s">
        <v>1180</v>
      </c>
      <c r="AQ2759" t="s">
        <v>74</v>
      </c>
      <c r="AR2759" t="s">
        <v>1181</v>
      </c>
      <c r="AS2759" t="s">
        <v>1182</v>
      </c>
      <c r="AT2759" t="s">
        <v>1693</v>
      </c>
      <c r="AU2759">
        <v>2025</v>
      </c>
      <c r="AV2759">
        <v>26</v>
      </c>
      <c r="AW2759">
        <v>2</v>
      </c>
      <c r="AX2759" t="s">
        <v>74</v>
      </c>
      <c r="AY2759" t="s">
        <v>74</v>
      </c>
      <c r="AZ2759" t="s">
        <v>74</v>
      </c>
      <c r="BA2759" t="s">
        <v>74</v>
      </c>
      <c r="BB2759">
        <v>383</v>
      </c>
      <c r="BC2759">
        <v>417</v>
      </c>
      <c r="BD2759" t="s">
        <v>74</v>
      </c>
      <c r="BE2759" t="s">
        <v>45967</v>
      </c>
      <c r="BF2759" t="str">
        <f>HYPERLINK("http://dx.doi.org/10.1080/15228916.2024.2344136","http://dx.doi.org/10.1080/15228916.2024.2344136")</f>
        <v>http://dx.doi.org/10.1080/15228916.2024.2344136</v>
      </c>
      <c r="BG2759" t="s">
        <v>74</v>
      </c>
      <c r="BH2759" t="s">
        <v>938</v>
      </c>
      <c r="BI2759">
        <v>35</v>
      </c>
      <c r="BJ2759" t="s">
        <v>418</v>
      </c>
      <c r="BK2759" t="s">
        <v>313</v>
      </c>
      <c r="BL2759" t="s">
        <v>100</v>
      </c>
      <c r="BM2759" t="s">
        <v>45968</v>
      </c>
      <c r="BN2759" t="s">
        <v>74</v>
      </c>
      <c r="BO2759" t="s">
        <v>74</v>
      </c>
      <c r="BP2759" t="s">
        <v>74</v>
      </c>
      <c r="BQ2759" t="s">
        <v>74</v>
      </c>
      <c r="BR2759" t="s">
        <v>102</v>
      </c>
      <c r="BS2759" t="s">
        <v>45969</v>
      </c>
      <c r="BT2759" t="str">
        <f>HYPERLINK("https%3A%2F%2Fwww.webofscience.com%2Fwos%2Fwoscc%2Ffull-record%2FWOS:001206913000001","View Full Record in Web of Science")</f>
        <v>View Full Record in Web of Science</v>
      </c>
    </row>
    <row r="2760" spans="1:72" x14ac:dyDescent="0.25">
      <c r="A2760" t="s">
        <v>72</v>
      </c>
      <c r="B2760" t="s">
        <v>45970</v>
      </c>
      <c r="C2760" t="s">
        <v>74</v>
      </c>
      <c r="D2760" t="s">
        <v>74</v>
      </c>
      <c r="E2760" t="s">
        <v>74</v>
      </c>
      <c r="F2760" t="s">
        <v>45971</v>
      </c>
      <c r="G2760" t="s">
        <v>74</v>
      </c>
      <c r="H2760" t="s">
        <v>74</v>
      </c>
      <c r="I2760" t="s">
        <v>45972</v>
      </c>
      <c r="J2760" t="s">
        <v>1510</v>
      </c>
      <c r="K2760" t="s">
        <v>74</v>
      </c>
      <c r="L2760" t="s">
        <v>74</v>
      </c>
      <c r="M2760" t="s">
        <v>78</v>
      </c>
      <c r="N2760" t="s">
        <v>79</v>
      </c>
      <c r="O2760" t="s">
        <v>74</v>
      </c>
      <c r="P2760" t="s">
        <v>74</v>
      </c>
      <c r="Q2760" t="s">
        <v>74</v>
      </c>
      <c r="R2760" t="s">
        <v>74</v>
      </c>
      <c r="S2760" t="s">
        <v>74</v>
      </c>
      <c r="T2760" t="s">
        <v>45973</v>
      </c>
      <c r="U2760" t="s">
        <v>45974</v>
      </c>
      <c r="V2760" t="s">
        <v>45975</v>
      </c>
      <c r="W2760" t="s">
        <v>45976</v>
      </c>
      <c r="X2760" t="s">
        <v>13022</v>
      </c>
      <c r="Y2760" t="s">
        <v>19536</v>
      </c>
      <c r="Z2760" t="s">
        <v>45977</v>
      </c>
      <c r="AA2760" t="s">
        <v>45978</v>
      </c>
      <c r="AB2760" t="s">
        <v>45979</v>
      </c>
      <c r="AC2760" t="s">
        <v>74</v>
      </c>
      <c r="AD2760" t="s">
        <v>74</v>
      </c>
      <c r="AE2760" t="s">
        <v>74</v>
      </c>
      <c r="AF2760" t="s">
        <v>74</v>
      </c>
      <c r="AG2760">
        <v>51</v>
      </c>
      <c r="AH2760">
        <v>6</v>
      </c>
      <c r="AI2760">
        <v>10</v>
      </c>
      <c r="AJ2760">
        <v>1</v>
      </c>
      <c r="AK2760">
        <v>14</v>
      </c>
      <c r="AL2760" t="s">
        <v>89</v>
      </c>
      <c r="AM2760" t="s">
        <v>1497</v>
      </c>
      <c r="AN2760" t="s">
        <v>1498</v>
      </c>
      <c r="AO2760" t="s">
        <v>1519</v>
      </c>
      <c r="AP2760" t="s">
        <v>1520</v>
      </c>
      <c r="AQ2760" t="s">
        <v>74</v>
      </c>
      <c r="AR2760" t="s">
        <v>1521</v>
      </c>
      <c r="AS2760" t="s">
        <v>1522</v>
      </c>
      <c r="AT2760" t="s">
        <v>5472</v>
      </c>
      <c r="AU2760">
        <v>2023</v>
      </c>
      <c r="AV2760">
        <v>50</v>
      </c>
      <c r="AW2760">
        <v>7</v>
      </c>
      <c r="AX2760" t="s">
        <v>74</v>
      </c>
      <c r="AY2760" t="s">
        <v>74</v>
      </c>
      <c r="AZ2760" t="s">
        <v>74</v>
      </c>
      <c r="BA2760" t="s">
        <v>74</v>
      </c>
      <c r="BB2760">
        <v>941</v>
      </c>
      <c r="BC2760">
        <v>955</v>
      </c>
      <c r="BD2760" t="s">
        <v>74</v>
      </c>
      <c r="BE2760" t="s">
        <v>45980</v>
      </c>
      <c r="BF2760" t="str">
        <f>HYPERLINK("http://dx.doi.org/10.1108/IJSE-08-2021-0451","http://dx.doi.org/10.1108/IJSE-08-2021-0451")</f>
        <v>http://dx.doi.org/10.1108/IJSE-08-2021-0451</v>
      </c>
      <c r="BG2760" t="s">
        <v>74</v>
      </c>
      <c r="BH2760" t="s">
        <v>9145</v>
      </c>
      <c r="BI2760">
        <v>15</v>
      </c>
      <c r="BJ2760" t="s">
        <v>291</v>
      </c>
      <c r="BK2760" t="s">
        <v>313</v>
      </c>
      <c r="BL2760" t="s">
        <v>100</v>
      </c>
      <c r="BM2760" t="s">
        <v>45981</v>
      </c>
      <c r="BN2760" t="s">
        <v>74</v>
      </c>
      <c r="BO2760" t="s">
        <v>74</v>
      </c>
      <c r="BP2760" t="s">
        <v>74</v>
      </c>
      <c r="BQ2760" t="s">
        <v>74</v>
      </c>
      <c r="BR2760" t="s">
        <v>102</v>
      </c>
      <c r="BS2760" t="s">
        <v>45982</v>
      </c>
      <c r="BT2760" t="str">
        <f>HYPERLINK("https%3A%2F%2Fwww.webofscience.com%2Fwos%2Fwoscc%2Ffull-record%2FWOS:000931921500001","View Full Record in Web of Science")</f>
        <v>View Full Record in Web of Science</v>
      </c>
    </row>
    <row r="2761" spans="1:72" x14ac:dyDescent="0.25">
      <c r="A2761" t="s">
        <v>72</v>
      </c>
      <c r="B2761" t="s">
        <v>45983</v>
      </c>
      <c r="C2761" t="s">
        <v>74</v>
      </c>
      <c r="D2761" t="s">
        <v>74</v>
      </c>
      <c r="E2761" t="s">
        <v>74</v>
      </c>
      <c r="F2761" t="s">
        <v>45984</v>
      </c>
      <c r="G2761" t="s">
        <v>74</v>
      </c>
      <c r="H2761" t="s">
        <v>74</v>
      </c>
      <c r="I2761" t="s">
        <v>45985</v>
      </c>
      <c r="J2761" t="s">
        <v>8447</v>
      </c>
      <c r="K2761" t="s">
        <v>74</v>
      </c>
      <c r="L2761" t="s">
        <v>74</v>
      </c>
      <c r="M2761" t="s">
        <v>78</v>
      </c>
      <c r="N2761" t="s">
        <v>79</v>
      </c>
      <c r="O2761" t="s">
        <v>74</v>
      </c>
      <c r="P2761" t="s">
        <v>74</v>
      </c>
      <c r="Q2761" t="s">
        <v>74</v>
      </c>
      <c r="R2761" t="s">
        <v>74</v>
      </c>
      <c r="S2761" t="s">
        <v>74</v>
      </c>
      <c r="T2761" t="s">
        <v>45986</v>
      </c>
      <c r="U2761" t="s">
        <v>45987</v>
      </c>
      <c r="V2761" t="s">
        <v>45988</v>
      </c>
      <c r="W2761" t="s">
        <v>45989</v>
      </c>
      <c r="X2761" t="s">
        <v>33811</v>
      </c>
      <c r="Y2761" t="s">
        <v>45990</v>
      </c>
      <c r="Z2761" t="s">
        <v>45991</v>
      </c>
      <c r="AA2761" t="s">
        <v>74</v>
      </c>
      <c r="AB2761" t="s">
        <v>74</v>
      </c>
      <c r="AC2761" t="s">
        <v>74</v>
      </c>
      <c r="AD2761" t="s">
        <v>74</v>
      </c>
      <c r="AE2761" t="s">
        <v>74</v>
      </c>
      <c r="AF2761" t="s">
        <v>74</v>
      </c>
      <c r="AG2761">
        <v>40</v>
      </c>
      <c r="AH2761">
        <v>0</v>
      </c>
      <c r="AI2761">
        <v>0</v>
      </c>
      <c r="AJ2761">
        <v>0</v>
      </c>
      <c r="AK2761">
        <v>0</v>
      </c>
      <c r="AL2761" t="s">
        <v>201</v>
      </c>
      <c r="AM2761" t="s">
        <v>202</v>
      </c>
      <c r="AN2761" t="s">
        <v>203</v>
      </c>
      <c r="AO2761" t="s">
        <v>8453</v>
      </c>
      <c r="AP2761" t="s">
        <v>29957</v>
      </c>
      <c r="AQ2761" t="s">
        <v>74</v>
      </c>
      <c r="AR2761" t="s">
        <v>8454</v>
      </c>
      <c r="AS2761" t="s">
        <v>8455</v>
      </c>
      <c r="AT2761" t="s">
        <v>208</v>
      </c>
      <c r="AU2761">
        <v>2026</v>
      </c>
      <c r="AV2761">
        <v>112</v>
      </c>
      <c r="AW2761" t="s">
        <v>74</v>
      </c>
      <c r="AX2761" t="s">
        <v>74</v>
      </c>
      <c r="AY2761" t="s">
        <v>74</v>
      </c>
      <c r="AZ2761" t="s">
        <v>74</v>
      </c>
      <c r="BA2761" t="s">
        <v>74</v>
      </c>
      <c r="BB2761" t="s">
        <v>74</v>
      </c>
      <c r="BC2761" t="s">
        <v>74</v>
      </c>
      <c r="BD2761">
        <v>102867</v>
      </c>
      <c r="BE2761" t="s">
        <v>45992</v>
      </c>
      <c r="BF2761" t="str">
        <f>HYPERLINK("http://dx.doi.org/10.1016/j.joep.2025.102867","http://dx.doi.org/10.1016/j.joep.2025.102867")</f>
        <v>http://dx.doi.org/10.1016/j.joep.2025.102867</v>
      </c>
      <c r="BG2761" t="s">
        <v>74</v>
      </c>
      <c r="BH2761" t="s">
        <v>488</v>
      </c>
      <c r="BI2761">
        <v>8</v>
      </c>
      <c r="BJ2761" t="s">
        <v>6780</v>
      </c>
      <c r="BK2761" t="s">
        <v>99</v>
      </c>
      <c r="BL2761" t="s">
        <v>6781</v>
      </c>
      <c r="BM2761" t="s">
        <v>45993</v>
      </c>
      <c r="BN2761" t="s">
        <v>74</v>
      </c>
      <c r="BO2761" t="s">
        <v>74</v>
      </c>
      <c r="BP2761" t="s">
        <v>74</v>
      </c>
      <c r="BQ2761" t="s">
        <v>74</v>
      </c>
      <c r="BR2761" t="s">
        <v>102</v>
      </c>
      <c r="BS2761" t="s">
        <v>45994</v>
      </c>
      <c r="BT2761" t="str">
        <f>HYPERLINK("https%3A%2F%2Fwww.webofscience.com%2Fwos%2Fwoscc%2Ffull-record%2FWOS:001638482500001","View Full Record in Web of Science")</f>
        <v>View Full Record in Web of Science</v>
      </c>
    </row>
    <row r="2762" spans="1:72" x14ac:dyDescent="0.25">
      <c r="A2762" t="s">
        <v>72</v>
      </c>
      <c r="B2762" t="s">
        <v>45995</v>
      </c>
      <c r="C2762" t="s">
        <v>74</v>
      </c>
      <c r="D2762" t="s">
        <v>74</v>
      </c>
      <c r="E2762" t="s">
        <v>74</v>
      </c>
      <c r="F2762" t="s">
        <v>45996</v>
      </c>
      <c r="G2762" t="s">
        <v>74</v>
      </c>
      <c r="H2762" t="s">
        <v>74</v>
      </c>
      <c r="I2762" t="s">
        <v>45997</v>
      </c>
      <c r="J2762" t="s">
        <v>45998</v>
      </c>
      <c r="K2762" t="s">
        <v>74</v>
      </c>
      <c r="L2762" t="s">
        <v>74</v>
      </c>
      <c r="M2762" t="s">
        <v>78</v>
      </c>
      <c r="N2762" t="s">
        <v>79</v>
      </c>
      <c r="O2762" t="s">
        <v>74</v>
      </c>
      <c r="P2762" t="s">
        <v>74</v>
      </c>
      <c r="Q2762" t="s">
        <v>74</v>
      </c>
      <c r="R2762" t="s">
        <v>74</v>
      </c>
      <c r="S2762" t="s">
        <v>74</v>
      </c>
      <c r="T2762" t="s">
        <v>45999</v>
      </c>
      <c r="U2762" t="s">
        <v>74</v>
      </c>
      <c r="V2762" t="s">
        <v>46000</v>
      </c>
      <c r="W2762" t="s">
        <v>46001</v>
      </c>
      <c r="X2762" t="s">
        <v>74</v>
      </c>
      <c r="Y2762" t="s">
        <v>46002</v>
      </c>
      <c r="Z2762" t="s">
        <v>46003</v>
      </c>
      <c r="AA2762" t="s">
        <v>46004</v>
      </c>
      <c r="AB2762" t="s">
        <v>74</v>
      </c>
      <c r="AC2762" t="s">
        <v>74</v>
      </c>
      <c r="AD2762" t="s">
        <v>74</v>
      </c>
      <c r="AE2762" t="s">
        <v>74</v>
      </c>
      <c r="AF2762" t="s">
        <v>74</v>
      </c>
      <c r="AG2762">
        <v>35</v>
      </c>
      <c r="AH2762">
        <v>2</v>
      </c>
      <c r="AI2762">
        <v>2</v>
      </c>
      <c r="AJ2762">
        <v>2</v>
      </c>
      <c r="AK2762">
        <v>7</v>
      </c>
      <c r="AL2762" t="s">
        <v>4605</v>
      </c>
      <c r="AM2762" t="s">
        <v>4280</v>
      </c>
      <c r="AN2762" t="s">
        <v>4606</v>
      </c>
      <c r="AO2762" t="s">
        <v>46005</v>
      </c>
      <c r="AP2762" t="s">
        <v>46006</v>
      </c>
      <c r="AQ2762" t="s">
        <v>74</v>
      </c>
      <c r="AR2762" t="s">
        <v>46007</v>
      </c>
      <c r="AS2762" t="s">
        <v>46008</v>
      </c>
      <c r="AT2762" t="s">
        <v>5746</v>
      </c>
      <c r="AU2762">
        <v>2024</v>
      </c>
      <c r="AV2762">
        <v>34</v>
      </c>
      <c r="AW2762">
        <v>2</v>
      </c>
      <c r="AX2762" t="s">
        <v>74</v>
      </c>
      <c r="AY2762" t="s">
        <v>74</v>
      </c>
      <c r="AZ2762" t="s">
        <v>74</v>
      </c>
      <c r="BA2762" t="s">
        <v>74</v>
      </c>
      <c r="BB2762">
        <v>110</v>
      </c>
      <c r="BC2762">
        <v>143</v>
      </c>
      <c r="BD2762" t="s">
        <v>74</v>
      </c>
      <c r="BE2762" t="s">
        <v>46009</v>
      </c>
      <c r="BF2762" t="str">
        <f>HYPERLINK("http://dx.doi.org/10.2478/sues-2024-0010","http://dx.doi.org/10.2478/sues-2024-0010")</f>
        <v>http://dx.doi.org/10.2478/sues-2024-0010</v>
      </c>
      <c r="BG2762" t="s">
        <v>74</v>
      </c>
      <c r="BH2762" t="s">
        <v>74</v>
      </c>
      <c r="BI2762">
        <v>34</v>
      </c>
      <c r="BJ2762" t="s">
        <v>291</v>
      </c>
      <c r="BK2762" t="s">
        <v>313</v>
      </c>
      <c r="BL2762" t="s">
        <v>100</v>
      </c>
      <c r="BM2762" t="s">
        <v>46010</v>
      </c>
      <c r="BN2762" t="s">
        <v>74</v>
      </c>
      <c r="BO2762" t="s">
        <v>212</v>
      </c>
      <c r="BP2762" t="s">
        <v>74</v>
      </c>
      <c r="BQ2762" t="s">
        <v>74</v>
      </c>
      <c r="BR2762" t="s">
        <v>102</v>
      </c>
      <c r="BS2762" t="s">
        <v>46011</v>
      </c>
      <c r="BT2762" t="str">
        <f>HYPERLINK("https%3A%2F%2Fwww.webofscience.com%2Fwos%2Fwoscc%2Ffull-record%2FWOS:001207930800002","View Full Record in Web of Science")</f>
        <v>View Full Record in Web of Science</v>
      </c>
    </row>
    <row r="2763" spans="1:72" x14ac:dyDescent="0.25">
      <c r="A2763" t="s">
        <v>132</v>
      </c>
      <c r="B2763" t="s">
        <v>46012</v>
      </c>
      <c r="C2763" t="s">
        <v>74</v>
      </c>
      <c r="D2763" t="s">
        <v>46013</v>
      </c>
      <c r="E2763" t="s">
        <v>74</v>
      </c>
      <c r="F2763" t="s">
        <v>46014</v>
      </c>
      <c r="G2763" t="s">
        <v>74</v>
      </c>
      <c r="H2763" t="s">
        <v>74</v>
      </c>
      <c r="I2763" t="s">
        <v>46015</v>
      </c>
      <c r="J2763" t="s">
        <v>46016</v>
      </c>
      <c r="K2763" t="s">
        <v>23882</v>
      </c>
      <c r="L2763" t="s">
        <v>74</v>
      </c>
      <c r="M2763" t="s">
        <v>78</v>
      </c>
      <c r="N2763" t="s">
        <v>138</v>
      </c>
      <c r="O2763" t="s">
        <v>46017</v>
      </c>
      <c r="P2763" t="s">
        <v>46018</v>
      </c>
      <c r="Q2763" t="s">
        <v>543</v>
      </c>
      <c r="R2763" t="s">
        <v>74</v>
      </c>
      <c r="S2763" t="s">
        <v>74</v>
      </c>
      <c r="T2763" t="s">
        <v>46019</v>
      </c>
      <c r="U2763" t="s">
        <v>46020</v>
      </c>
      <c r="V2763" t="s">
        <v>46021</v>
      </c>
      <c r="W2763" t="s">
        <v>46022</v>
      </c>
      <c r="X2763" t="s">
        <v>74</v>
      </c>
      <c r="Y2763" t="s">
        <v>46023</v>
      </c>
      <c r="Z2763" t="s">
        <v>46024</v>
      </c>
      <c r="AA2763" t="s">
        <v>74</v>
      </c>
      <c r="AB2763" t="s">
        <v>74</v>
      </c>
      <c r="AC2763" t="s">
        <v>74</v>
      </c>
      <c r="AD2763" t="s">
        <v>74</v>
      </c>
      <c r="AE2763" t="s">
        <v>74</v>
      </c>
      <c r="AF2763" t="s">
        <v>74</v>
      </c>
      <c r="AG2763">
        <v>18</v>
      </c>
      <c r="AH2763">
        <v>4</v>
      </c>
      <c r="AI2763">
        <v>4</v>
      </c>
      <c r="AJ2763">
        <v>0</v>
      </c>
      <c r="AK2763">
        <v>2</v>
      </c>
      <c r="AL2763" t="s">
        <v>3298</v>
      </c>
      <c r="AM2763" t="s">
        <v>202</v>
      </c>
      <c r="AN2763" t="s">
        <v>23868</v>
      </c>
      <c r="AO2763" t="s">
        <v>23867</v>
      </c>
      <c r="AP2763" t="s">
        <v>74</v>
      </c>
      <c r="AQ2763" t="s">
        <v>74</v>
      </c>
      <c r="AR2763" t="s">
        <v>23866</v>
      </c>
      <c r="AS2763" t="s">
        <v>74</v>
      </c>
      <c r="AT2763" t="s">
        <v>74</v>
      </c>
      <c r="AU2763">
        <v>2014</v>
      </c>
      <c r="AV2763">
        <v>115</v>
      </c>
      <c r="AW2763" t="s">
        <v>74</v>
      </c>
      <c r="AX2763" t="s">
        <v>74</v>
      </c>
      <c r="AY2763" t="s">
        <v>74</v>
      </c>
      <c r="AZ2763" t="s">
        <v>74</v>
      </c>
      <c r="BA2763" t="s">
        <v>74</v>
      </c>
      <c r="BB2763">
        <v>91</v>
      </c>
      <c r="BC2763">
        <v>101</v>
      </c>
      <c r="BD2763" t="s">
        <v>74</v>
      </c>
      <c r="BE2763" t="s">
        <v>46025</v>
      </c>
      <c r="BF2763" t="str">
        <f>HYPERLINK("http://dx.doi.org/10.1016/j.sbspro.2014.02.418","http://dx.doi.org/10.1016/j.sbspro.2014.02.418")</f>
        <v>http://dx.doi.org/10.1016/j.sbspro.2014.02.418</v>
      </c>
      <c r="BG2763" t="s">
        <v>74</v>
      </c>
      <c r="BH2763" t="s">
        <v>74</v>
      </c>
      <c r="BI2763">
        <v>11</v>
      </c>
      <c r="BJ2763" t="s">
        <v>6512</v>
      </c>
      <c r="BK2763" t="s">
        <v>183</v>
      </c>
      <c r="BL2763" t="s">
        <v>100</v>
      </c>
      <c r="BM2763" t="s">
        <v>46026</v>
      </c>
      <c r="BN2763" t="s">
        <v>74</v>
      </c>
      <c r="BO2763" t="s">
        <v>212</v>
      </c>
      <c r="BP2763" t="s">
        <v>74</v>
      </c>
      <c r="BQ2763" t="s">
        <v>74</v>
      </c>
      <c r="BR2763" t="s">
        <v>102</v>
      </c>
      <c r="BS2763" t="s">
        <v>46027</v>
      </c>
      <c r="BT2763" t="str">
        <f>HYPERLINK("https%3A%2F%2Fwww.webofscience.com%2Fwos%2Fwoscc%2Ffull-record%2FWOS:000361490600009","View Full Record in Web of Science")</f>
        <v>View Full Record in Web of Science</v>
      </c>
    </row>
    <row r="2764" spans="1:72" x14ac:dyDescent="0.25">
      <c r="A2764" t="s">
        <v>72</v>
      </c>
      <c r="B2764" t="s">
        <v>46028</v>
      </c>
      <c r="C2764" t="s">
        <v>74</v>
      </c>
      <c r="D2764" t="s">
        <v>74</v>
      </c>
      <c r="E2764" t="s">
        <v>74</v>
      </c>
      <c r="F2764" t="s">
        <v>46029</v>
      </c>
      <c r="G2764" t="s">
        <v>74</v>
      </c>
      <c r="H2764" t="s">
        <v>74</v>
      </c>
      <c r="I2764" t="s">
        <v>46030</v>
      </c>
      <c r="J2764" t="s">
        <v>46031</v>
      </c>
      <c r="K2764" t="s">
        <v>74</v>
      </c>
      <c r="L2764" t="s">
        <v>74</v>
      </c>
      <c r="M2764" t="s">
        <v>78</v>
      </c>
      <c r="N2764" t="s">
        <v>79</v>
      </c>
      <c r="O2764" t="s">
        <v>74</v>
      </c>
      <c r="P2764" t="s">
        <v>74</v>
      </c>
      <c r="Q2764" t="s">
        <v>74</v>
      </c>
      <c r="R2764" t="s">
        <v>74</v>
      </c>
      <c r="S2764" t="s">
        <v>74</v>
      </c>
      <c r="T2764" t="s">
        <v>46032</v>
      </c>
      <c r="U2764" t="s">
        <v>74</v>
      </c>
      <c r="V2764" t="s">
        <v>46033</v>
      </c>
      <c r="W2764" t="s">
        <v>46034</v>
      </c>
      <c r="X2764" t="s">
        <v>46035</v>
      </c>
      <c r="Y2764" t="s">
        <v>46036</v>
      </c>
      <c r="Z2764" t="s">
        <v>46037</v>
      </c>
      <c r="AA2764" t="s">
        <v>74</v>
      </c>
      <c r="AB2764" t="s">
        <v>74</v>
      </c>
      <c r="AC2764" t="s">
        <v>74</v>
      </c>
      <c r="AD2764" t="s">
        <v>74</v>
      </c>
      <c r="AE2764" t="s">
        <v>74</v>
      </c>
      <c r="AF2764" t="s">
        <v>74</v>
      </c>
      <c r="AG2764">
        <v>30</v>
      </c>
      <c r="AH2764">
        <v>3</v>
      </c>
      <c r="AI2764">
        <v>5</v>
      </c>
      <c r="AJ2764">
        <v>0</v>
      </c>
      <c r="AK2764">
        <v>9</v>
      </c>
      <c r="AL2764" t="s">
        <v>46038</v>
      </c>
      <c r="AM2764" t="s">
        <v>46039</v>
      </c>
      <c r="AN2764" t="s">
        <v>46040</v>
      </c>
      <c r="AO2764" t="s">
        <v>46041</v>
      </c>
      <c r="AP2764" t="s">
        <v>74</v>
      </c>
      <c r="AQ2764" t="s">
        <v>74</v>
      </c>
      <c r="AR2764" t="s">
        <v>46042</v>
      </c>
      <c r="AS2764" t="s">
        <v>46043</v>
      </c>
      <c r="AT2764" t="s">
        <v>5892</v>
      </c>
      <c r="AU2764">
        <v>2016</v>
      </c>
      <c r="AV2764">
        <v>13</v>
      </c>
      <c r="AW2764">
        <v>3</v>
      </c>
      <c r="AX2764" t="s">
        <v>74</v>
      </c>
      <c r="AY2764" t="s">
        <v>74</v>
      </c>
      <c r="AZ2764" t="s">
        <v>74</v>
      </c>
      <c r="BA2764" t="s">
        <v>74</v>
      </c>
      <c r="BB2764">
        <v>473</v>
      </c>
      <c r="BC2764">
        <v>492</v>
      </c>
      <c r="BD2764" t="s">
        <v>74</v>
      </c>
      <c r="BE2764" t="s">
        <v>74</v>
      </c>
      <c r="BF2764" t="s">
        <v>74</v>
      </c>
      <c r="BG2764" t="s">
        <v>74</v>
      </c>
      <c r="BH2764" t="s">
        <v>74</v>
      </c>
      <c r="BI2764">
        <v>20</v>
      </c>
      <c r="BJ2764" t="s">
        <v>5151</v>
      </c>
      <c r="BK2764" t="s">
        <v>313</v>
      </c>
      <c r="BL2764" t="s">
        <v>5152</v>
      </c>
      <c r="BM2764" t="s">
        <v>46044</v>
      </c>
      <c r="BN2764" t="s">
        <v>74</v>
      </c>
      <c r="BO2764" t="s">
        <v>74</v>
      </c>
      <c r="BP2764" t="s">
        <v>74</v>
      </c>
      <c r="BQ2764" t="s">
        <v>74</v>
      </c>
      <c r="BR2764" t="s">
        <v>102</v>
      </c>
      <c r="BS2764" t="s">
        <v>46045</v>
      </c>
      <c r="BT2764" t="str">
        <f>HYPERLINK("https%3A%2F%2Fwww.webofscience.com%2Fwos%2Fwoscc%2Ffull-record%2FWOS:000389066000008","View Full Record in Web of Science")</f>
        <v>View Full Record in Web of Science</v>
      </c>
    </row>
    <row r="2765" spans="1:72" x14ac:dyDescent="0.25">
      <c r="A2765" t="s">
        <v>72</v>
      </c>
      <c r="B2765" t="s">
        <v>46046</v>
      </c>
      <c r="C2765" t="s">
        <v>74</v>
      </c>
      <c r="D2765" t="s">
        <v>74</v>
      </c>
      <c r="E2765" t="s">
        <v>74</v>
      </c>
      <c r="F2765" t="s">
        <v>46047</v>
      </c>
      <c r="G2765" t="s">
        <v>74</v>
      </c>
      <c r="H2765" t="s">
        <v>74</v>
      </c>
      <c r="I2765" t="s">
        <v>46048</v>
      </c>
      <c r="J2765" t="s">
        <v>1245</v>
      </c>
      <c r="K2765" t="s">
        <v>74</v>
      </c>
      <c r="L2765" t="s">
        <v>74</v>
      </c>
      <c r="M2765" t="s">
        <v>78</v>
      </c>
      <c r="N2765" t="s">
        <v>79</v>
      </c>
      <c r="O2765" t="s">
        <v>74</v>
      </c>
      <c r="P2765" t="s">
        <v>74</v>
      </c>
      <c r="Q2765" t="s">
        <v>74</v>
      </c>
      <c r="R2765" t="s">
        <v>74</v>
      </c>
      <c r="S2765" t="s">
        <v>74</v>
      </c>
      <c r="T2765" t="s">
        <v>46049</v>
      </c>
      <c r="U2765" t="s">
        <v>46050</v>
      </c>
      <c r="V2765" t="s">
        <v>46051</v>
      </c>
      <c r="W2765" t="s">
        <v>46052</v>
      </c>
      <c r="X2765" t="s">
        <v>23951</v>
      </c>
      <c r="Y2765" t="s">
        <v>46053</v>
      </c>
      <c r="Z2765" t="s">
        <v>46054</v>
      </c>
      <c r="AA2765" t="s">
        <v>46055</v>
      </c>
      <c r="AB2765" t="s">
        <v>46056</v>
      </c>
      <c r="AC2765" t="s">
        <v>74</v>
      </c>
      <c r="AD2765" t="s">
        <v>74</v>
      </c>
      <c r="AE2765" t="s">
        <v>74</v>
      </c>
      <c r="AF2765" t="s">
        <v>74</v>
      </c>
      <c r="AG2765">
        <v>26</v>
      </c>
      <c r="AH2765">
        <v>4</v>
      </c>
      <c r="AI2765">
        <v>7</v>
      </c>
      <c r="AJ2765">
        <v>0</v>
      </c>
      <c r="AK2765">
        <v>5</v>
      </c>
      <c r="AL2765" t="s">
        <v>23947</v>
      </c>
      <c r="AM2765" t="s">
        <v>23946</v>
      </c>
      <c r="AN2765" t="s">
        <v>23945</v>
      </c>
      <c r="AO2765" t="s">
        <v>1257</v>
      </c>
      <c r="AP2765" t="s">
        <v>1258</v>
      </c>
      <c r="AQ2765" t="s">
        <v>74</v>
      </c>
      <c r="AR2765" t="s">
        <v>1259</v>
      </c>
      <c r="AS2765" t="s">
        <v>1260</v>
      </c>
      <c r="AT2765" t="s">
        <v>74</v>
      </c>
      <c r="AU2765">
        <v>2020</v>
      </c>
      <c r="AV2765">
        <v>2</v>
      </c>
      <c r="AW2765">
        <v>33</v>
      </c>
      <c r="AX2765" t="s">
        <v>74</v>
      </c>
      <c r="AY2765" t="s">
        <v>74</v>
      </c>
      <c r="AZ2765" t="s">
        <v>74</v>
      </c>
      <c r="BA2765" t="s">
        <v>74</v>
      </c>
      <c r="BB2765">
        <v>500</v>
      </c>
      <c r="BC2765">
        <v>512</v>
      </c>
      <c r="BD2765" t="s">
        <v>74</v>
      </c>
      <c r="BE2765" t="s">
        <v>74</v>
      </c>
      <c r="BF2765" t="s">
        <v>74</v>
      </c>
      <c r="BG2765" t="s">
        <v>74</v>
      </c>
      <c r="BH2765" t="s">
        <v>74</v>
      </c>
      <c r="BI2765">
        <v>13</v>
      </c>
      <c r="BJ2765" t="s">
        <v>268</v>
      </c>
      <c r="BK2765" t="s">
        <v>313</v>
      </c>
      <c r="BL2765" t="s">
        <v>100</v>
      </c>
      <c r="BM2765" t="s">
        <v>46057</v>
      </c>
      <c r="BN2765" t="s">
        <v>74</v>
      </c>
      <c r="BO2765" t="s">
        <v>916</v>
      </c>
      <c r="BP2765" t="s">
        <v>74</v>
      </c>
      <c r="BQ2765" t="s">
        <v>74</v>
      </c>
      <c r="BR2765" t="s">
        <v>102</v>
      </c>
      <c r="BS2765" t="s">
        <v>46058</v>
      </c>
      <c r="BT2765" t="str">
        <f>HYPERLINK("https%3A%2F%2Fwww.webofscience.com%2Fwos%2Fwoscc%2Ffull-record%2FWOS:000548442900051","View Full Record in Web of Science")</f>
        <v>View Full Record in Web of Science</v>
      </c>
    </row>
    <row r="2766" spans="1:72" x14ac:dyDescent="0.25">
      <c r="A2766" t="s">
        <v>72</v>
      </c>
      <c r="B2766" t="s">
        <v>46059</v>
      </c>
      <c r="C2766" t="s">
        <v>74</v>
      </c>
      <c r="D2766" t="s">
        <v>74</v>
      </c>
      <c r="E2766" t="s">
        <v>74</v>
      </c>
      <c r="F2766" t="s">
        <v>46060</v>
      </c>
      <c r="G2766" t="s">
        <v>74</v>
      </c>
      <c r="H2766" t="s">
        <v>74</v>
      </c>
      <c r="I2766" t="s">
        <v>46061</v>
      </c>
      <c r="J2766" t="s">
        <v>2809</v>
      </c>
      <c r="K2766" t="s">
        <v>74</v>
      </c>
      <c r="L2766" t="s">
        <v>74</v>
      </c>
      <c r="M2766" t="s">
        <v>78</v>
      </c>
      <c r="N2766" t="s">
        <v>79</v>
      </c>
      <c r="O2766" t="s">
        <v>74</v>
      </c>
      <c r="P2766" t="s">
        <v>74</v>
      </c>
      <c r="Q2766" t="s">
        <v>74</v>
      </c>
      <c r="R2766" t="s">
        <v>74</v>
      </c>
      <c r="S2766" t="s">
        <v>74</v>
      </c>
      <c r="T2766" t="s">
        <v>46062</v>
      </c>
      <c r="U2766" t="s">
        <v>46063</v>
      </c>
      <c r="V2766" t="s">
        <v>46064</v>
      </c>
      <c r="W2766" t="s">
        <v>46065</v>
      </c>
      <c r="X2766" t="s">
        <v>46066</v>
      </c>
      <c r="Y2766" t="s">
        <v>46067</v>
      </c>
      <c r="Z2766" t="s">
        <v>46068</v>
      </c>
      <c r="AA2766" t="s">
        <v>46069</v>
      </c>
      <c r="AB2766" t="s">
        <v>74</v>
      </c>
      <c r="AC2766" t="s">
        <v>46070</v>
      </c>
      <c r="AD2766" t="s">
        <v>46071</v>
      </c>
      <c r="AE2766" t="s">
        <v>46070</v>
      </c>
      <c r="AF2766" t="s">
        <v>74</v>
      </c>
      <c r="AG2766">
        <v>67</v>
      </c>
      <c r="AH2766">
        <v>32</v>
      </c>
      <c r="AI2766">
        <v>41</v>
      </c>
      <c r="AJ2766">
        <v>0</v>
      </c>
      <c r="AK2766">
        <v>41</v>
      </c>
      <c r="AL2766" t="s">
        <v>479</v>
      </c>
      <c r="AM2766" t="s">
        <v>480</v>
      </c>
      <c r="AN2766" t="s">
        <v>481</v>
      </c>
      <c r="AO2766" t="s">
        <v>2816</v>
      </c>
      <c r="AP2766" t="s">
        <v>2817</v>
      </c>
      <c r="AQ2766" t="s">
        <v>74</v>
      </c>
      <c r="AR2766" t="s">
        <v>2818</v>
      </c>
      <c r="AS2766" t="s">
        <v>2819</v>
      </c>
      <c r="AT2766" t="s">
        <v>698</v>
      </c>
      <c r="AU2766">
        <v>2020</v>
      </c>
      <c r="AV2766">
        <v>54</v>
      </c>
      <c r="AW2766">
        <v>3</v>
      </c>
      <c r="AX2766" t="s">
        <v>74</v>
      </c>
      <c r="AY2766" t="s">
        <v>74</v>
      </c>
      <c r="AZ2766" t="s">
        <v>74</v>
      </c>
      <c r="BA2766" t="s">
        <v>74</v>
      </c>
      <c r="BB2766">
        <v>813</v>
      </c>
      <c r="BC2766">
        <v>835</v>
      </c>
      <c r="BD2766" t="s">
        <v>74</v>
      </c>
      <c r="BE2766" t="s">
        <v>46072</v>
      </c>
      <c r="BF2766" t="str">
        <f>HYPERLINK("http://dx.doi.org/10.1111/joca.12304","http://dx.doi.org/10.1111/joca.12304")</f>
        <v>http://dx.doi.org/10.1111/joca.12304</v>
      </c>
      <c r="BG2766" t="s">
        <v>74</v>
      </c>
      <c r="BH2766" t="s">
        <v>960</v>
      </c>
      <c r="BI2766">
        <v>23</v>
      </c>
      <c r="BJ2766" t="s">
        <v>1453</v>
      </c>
      <c r="BK2766" t="s">
        <v>99</v>
      </c>
      <c r="BL2766" t="s">
        <v>100</v>
      </c>
      <c r="BM2766" t="s">
        <v>46073</v>
      </c>
      <c r="BN2766" t="s">
        <v>74</v>
      </c>
      <c r="BO2766" t="s">
        <v>74</v>
      </c>
      <c r="BP2766" t="s">
        <v>74</v>
      </c>
      <c r="BQ2766" t="s">
        <v>74</v>
      </c>
      <c r="BR2766" t="s">
        <v>102</v>
      </c>
      <c r="BS2766" t="s">
        <v>46074</v>
      </c>
      <c r="BT2766" t="str">
        <f>HYPERLINK("https%3A%2F%2Fwww.webofscience.com%2Fwos%2Fwoscc%2Ffull-record%2FWOS:000544185900001","View Full Record in Web of Science")</f>
        <v>View Full Record in Web of Science</v>
      </c>
    </row>
    <row r="2767" spans="1:72" x14ac:dyDescent="0.25">
      <c r="A2767" t="s">
        <v>72</v>
      </c>
      <c r="B2767" t="s">
        <v>25308</v>
      </c>
      <c r="C2767" t="s">
        <v>74</v>
      </c>
      <c r="D2767" t="s">
        <v>74</v>
      </c>
      <c r="E2767" t="s">
        <v>74</v>
      </c>
      <c r="F2767" t="s">
        <v>25307</v>
      </c>
      <c r="G2767" t="s">
        <v>74</v>
      </c>
      <c r="H2767" t="s">
        <v>74</v>
      </c>
      <c r="I2767" t="s">
        <v>46075</v>
      </c>
      <c r="J2767" t="s">
        <v>12878</v>
      </c>
      <c r="K2767" t="s">
        <v>74</v>
      </c>
      <c r="L2767" t="s">
        <v>74</v>
      </c>
      <c r="M2767" t="s">
        <v>78</v>
      </c>
      <c r="N2767" t="s">
        <v>79</v>
      </c>
      <c r="O2767" t="s">
        <v>74</v>
      </c>
      <c r="P2767" t="s">
        <v>74</v>
      </c>
      <c r="Q2767" t="s">
        <v>74</v>
      </c>
      <c r="R2767" t="s">
        <v>74</v>
      </c>
      <c r="S2767" t="s">
        <v>74</v>
      </c>
      <c r="T2767" t="s">
        <v>46076</v>
      </c>
      <c r="U2767" t="s">
        <v>74</v>
      </c>
      <c r="V2767" t="s">
        <v>46077</v>
      </c>
      <c r="W2767" t="s">
        <v>46078</v>
      </c>
      <c r="X2767" t="s">
        <v>21218</v>
      </c>
      <c r="Y2767" t="s">
        <v>46079</v>
      </c>
      <c r="Z2767" t="s">
        <v>23145</v>
      </c>
      <c r="AA2767" t="s">
        <v>25301</v>
      </c>
      <c r="AB2767" t="s">
        <v>25300</v>
      </c>
      <c r="AC2767" t="s">
        <v>74</v>
      </c>
      <c r="AD2767" t="s">
        <v>74</v>
      </c>
      <c r="AE2767" t="s">
        <v>74</v>
      </c>
      <c r="AF2767" t="s">
        <v>74</v>
      </c>
      <c r="AG2767">
        <v>25</v>
      </c>
      <c r="AH2767">
        <v>0</v>
      </c>
      <c r="AI2767">
        <v>0</v>
      </c>
      <c r="AJ2767">
        <v>7</v>
      </c>
      <c r="AK2767">
        <v>16</v>
      </c>
      <c r="AL2767" t="s">
        <v>117</v>
      </c>
      <c r="AM2767" t="s">
        <v>118</v>
      </c>
      <c r="AN2767" t="s">
        <v>119</v>
      </c>
      <c r="AO2767" t="s">
        <v>12888</v>
      </c>
      <c r="AP2767" t="s">
        <v>12889</v>
      </c>
      <c r="AQ2767" t="s">
        <v>74</v>
      </c>
      <c r="AR2767" t="s">
        <v>12890</v>
      </c>
      <c r="AS2767" t="s">
        <v>12891</v>
      </c>
      <c r="AT2767" t="s">
        <v>1652</v>
      </c>
      <c r="AU2767">
        <v>2025</v>
      </c>
      <c r="AV2767">
        <v>15</v>
      </c>
      <c r="AW2767">
        <v>2</v>
      </c>
      <c r="AX2767" t="s">
        <v>74</v>
      </c>
      <c r="AY2767" t="s">
        <v>74</v>
      </c>
      <c r="AZ2767" t="s">
        <v>441</v>
      </c>
      <c r="BA2767" t="s">
        <v>74</v>
      </c>
      <c r="BB2767">
        <v>401</v>
      </c>
      <c r="BC2767">
        <v>424</v>
      </c>
      <c r="BD2767" t="s">
        <v>74</v>
      </c>
      <c r="BE2767" t="s">
        <v>46080</v>
      </c>
      <c r="BF2767" t="str">
        <f>HYPERLINK("http://dx.doi.org/10.1007/s40822-024-00298-4","http://dx.doi.org/10.1007/s40822-024-00298-4")</f>
        <v>http://dx.doi.org/10.1007/s40822-024-00298-4</v>
      </c>
      <c r="BG2767" t="s">
        <v>74</v>
      </c>
      <c r="BH2767" t="s">
        <v>1737</v>
      </c>
      <c r="BI2767">
        <v>24</v>
      </c>
      <c r="BJ2767" t="s">
        <v>291</v>
      </c>
      <c r="BK2767" t="s">
        <v>313</v>
      </c>
      <c r="BL2767" t="s">
        <v>100</v>
      </c>
      <c r="BM2767" t="s">
        <v>12893</v>
      </c>
      <c r="BN2767" t="s">
        <v>74</v>
      </c>
      <c r="BO2767" t="s">
        <v>74</v>
      </c>
      <c r="BP2767" t="s">
        <v>74</v>
      </c>
      <c r="BQ2767" t="s">
        <v>74</v>
      </c>
      <c r="BR2767" t="s">
        <v>102</v>
      </c>
      <c r="BS2767" t="s">
        <v>46081</v>
      </c>
      <c r="BT2767" t="str">
        <f>HYPERLINK("https%3A%2F%2Fwww.webofscience.com%2Fwos%2Fwoscc%2Ffull-record%2FWOS:001388151200001","View Full Record in Web of Science")</f>
        <v>View Full Record in Web of Science</v>
      </c>
    </row>
    <row r="2768" spans="1:72" x14ac:dyDescent="0.25">
      <c r="A2768" t="s">
        <v>72</v>
      </c>
      <c r="B2768" t="s">
        <v>46082</v>
      </c>
      <c r="C2768" t="s">
        <v>74</v>
      </c>
      <c r="D2768" t="s">
        <v>74</v>
      </c>
      <c r="E2768" t="s">
        <v>74</v>
      </c>
      <c r="F2768" t="s">
        <v>46083</v>
      </c>
      <c r="G2768" t="s">
        <v>74</v>
      </c>
      <c r="H2768" t="s">
        <v>74</v>
      </c>
      <c r="I2768" t="s">
        <v>46084</v>
      </c>
      <c r="J2768" t="s">
        <v>18594</v>
      </c>
      <c r="K2768" t="s">
        <v>74</v>
      </c>
      <c r="L2768" t="s">
        <v>74</v>
      </c>
      <c r="M2768" t="s">
        <v>78</v>
      </c>
      <c r="N2768" t="s">
        <v>372</v>
      </c>
      <c r="O2768" t="s">
        <v>74</v>
      </c>
      <c r="P2768" t="s">
        <v>74</v>
      </c>
      <c r="Q2768" t="s">
        <v>74</v>
      </c>
      <c r="R2768" t="s">
        <v>74</v>
      </c>
      <c r="S2768" t="s">
        <v>74</v>
      </c>
      <c r="T2768" t="s">
        <v>46085</v>
      </c>
      <c r="U2768" t="s">
        <v>46086</v>
      </c>
      <c r="V2768" t="s">
        <v>46087</v>
      </c>
      <c r="W2768" t="s">
        <v>46088</v>
      </c>
      <c r="X2768" t="s">
        <v>46089</v>
      </c>
      <c r="Y2768" t="s">
        <v>46090</v>
      </c>
      <c r="Z2768" t="s">
        <v>46091</v>
      </c>
      <c r="AA2768" t="s">
        <v>46092</v>
      </c>
      <c r="AB2768" t="s">
        <v>74</v>
      </c>
      <c r="AC2768" t="s">
        <v>74</v>
      </c>
      <c r="AD2768" t="s">
        <v>74</v>
      </c>
      <c r="AE2768" t="s">
        <v>74</v>
      </c>
      <c r="AF2768" t="s">
        <v>74</v>
      </c>
      <c r="AG2768">
        <v>73</v>
      </c>
      <c r="AH2768">
        <v>0</v>
      </c>
      <c r="AI2768">
        <v>0</v>
      </c>
      <c r="AJ2768">
        <v>1</v>
      </c>
      <c r="AK2768">
        <v>1</v>
      </c>
      <c r="AL2768" t="s">
        <v>332</v>
      </c>
      <c r="AM2768" t="s">
        <v>333</v>
      </c>
      <c r="AN2768" t="s">
        <v>334</v>
      </c>
      <c r="AO2768" t="s">
        <v>18584</v>
      </c>
      <c r="AP2768" t="s">
        <v>18583</v>
      </c>
      <c r="AQ2768" t="s">
        <v>74</v>
      </c>
      <c r="AR2768" t="s">
        <v>18582</v>
      </c>
      <c r="AS2768" t="s">
        <v>18581</v>
      </c>
      <c r="AT2768" t="s">
        <v>46093</v>
      </c>
      <c r="AU2768">
        <v>2025</v>
      </c>
      <c r="AV2768" t="s">
        <v>74</v>
      </c>
      <c r="AW2768" t="s">
        <v>74</v>
      </c>
      <c r="AX2768" t="s">
        <v>74</v>
      </c>
      <c r="AY2768" t="s">
        <v>74</v>
      </c>
      <c r="AZ2768" t="s">
        <v>74</v>
      </c>
      <c r="BA2768" t="s">
        <v>74</v>
      </c>
      <c r="BB2768" t="s">
        <v>74</v>
      </c>
      <c r="BC2768" t="s">
        <v>74</v>
      </c>
      <c r="BD2768" t="s">
        <v>74</v>
      </c>
      <c r="BE2768" t="s">
        <v>46094</v>
      </c>
      <c r="BF2768" t="str">
        <f>HYPERLINK("http://dx.doi.org/10.1080/13600818.2025.2588189","http://dx.doi.org/10.1080/13600818.2025.2588189")</f>
        <v>http://dx.doi.org/10.1080/13600818.2025.2588189</v>
      </c>
      <c r="BG2768" t="s">
        <v>74</v>
      </c>
      <c r="BH2768" t="s">
        <v>2044</v>
      </c>
      <c r="BI2768">
        <v>18</v>
      </c>
      <c r="BJ2768" t="s">
        <v>1137</v>
      </c>
      <c r="BK2768" t="s">
        <v>313</v>
      </c>
      <c r="BL2768" t="s">
        <v>1137</v>
      </c>
      <c r="BM2768" t="s">
        <v>46095</v>
      </c>
      <c r="BN2768" t="s">
        <v>74</v>
      </c>
      <c r="BO2768" t="s">
        <v>74</v>
      </c>
      <c r="BP2768" t="s">
        <v>74</v>
      </c>
      <c r="BQ2768" t="s">
        <v>74</v>
      </c>
      <c r="BR2768" t="s">
        <v>102</v>
      </c>
      <c r="BS2768" t="s">
        <v>46096</v>
      </c>
      <c r="BT2768" t="str">
        <f>HYPERLINK("https%3A%2F%2Fwww.webofscience.com%2Fwos%2Fwoscc%2Ffull-record%2FWOS:001613894400001","View Full Record in Web of Science")</f>
        <v>View Full Record in Web of Science</v>
      </c>
    </row>
    <row r="2769" spans="1:72" x14ac:dyDescent="0.25">
      <c r="A2769" t="s">
        <v>3790</v>
      </c>
      <c r="B2769" t="s">
        <v>46097</v>
      </c>
      <c r="C2769" t="s">
        <v>74</v>
      </c>
      <c r="D2769" t="s">
        <v>46098</v>
      </c>
      <c r="E2769" t="s">
        <v>74</v>
      </c>
      <c r="F2769" t="s">
        <v>46099</v>
      </c>
      <c r="G2769" t="s">
        <v>74</v>
      </c>
      <c r="H2769" t="s">
        <v>74</v>
      </c>
      <c r="I2769" t="s">
        <v>46100</v>
      </c>
      <c r="J2769" t="s">
        <v>46101</v>
      </c>
      <c r="K2769" t="s">
        <v>46102</v>
      </c>
      <c r="L2769" t="s">
        <v>74</v>
      </c>
      <c r="M2769" t="s">
        <v>78</v>
      </c>
      <c r="N2769" t="s">
        <v>6023</v>
      </c>
      <c r="O2769" t="s">
        <v>74</v>
      </c>
      <c r="P2769" t="s">
        <v>74</v>
      </c>
      <c r="Q2769" t="s">
        <v>74</v>
      </c>
      <c r="R2769" t="s">
        <v>74</v>
      </c>
      <c r="S2769" t="s">
        <v>74</v>
      </c>
      <c r="T2769" t="s">
        <v>46103</v>
      </c>
      <c r="U2769" t="s">
        <v>46104</v>
      </c>
      <c r="V2769" t="s">
        <v>46105</v>
      </c>
      <c r="W2769" t="s">
        <v>46106</v>
      </c>
      <c r="X2769" t="s">
        <v>46107</v>
      </c>
      <c r="Y2769" t="s">
        <v>46108</v>
      </c>
      <c r="Z2769" t="s">
        <v>46109</v>
      </c>
      <c r="AA2769" t="s">
        <v>20277</v>
      </c>
      <c r="AB2769" t="s">
        <v>74</v>
      </c>
      <c r="AC2769" t="s">
        <v>74</v>
      </c>
      <c r="AD2769" t="s">
        <v>74</v>
      </c>
      <c r="AE2769" t="s">
        <v>74</v>
      </c>
      <c r="AF2769" t="s">
        <v>74</v>
      </c>
      <c r="AG2769">
        <v>156</v>
      </c>
      <c r="AH2769">
        <v>22</v>
      </c>
      <c r="AI2769">
        <v>40</v>
      </c>
      <c r="AJ2769">
        <v>6</v>
      </c>
      <c r="AK2769">
        <v>43</v>
      </c>
      <c r="AL2769" t="s">
        <v>6030</v>
      </c>
      <c r="AM2769" t="s">
        <v>6031</v>
      </c>
      <c r="AN2769" t="s">
        <v>6032</v>
      </c>
      <c r="AO2769" t="s">
        <v>14173</v>
      </c>
      <c r="AP2769" t="s">
        <v>74</v>
      </c>
      <c r="AQ2769" t="s">
        <v>46110</v>
      </c>
      <c r="AR2769" t="s">
        <v>14175</v>
      </c>
      <c r="AS2769" t="s">
        <v>14176</v>
      </c>
      <c r="AT2769" t="s">
        <v>74</v>
      </c>
      <c r="AU2769">
        <v>2021</v>
      </c>
      <c r="AV2769">
        <v>13</v>
      </c>
      <c r="AW2769" t="s">
        <v>74</v>
      </c>
      <c r="AX2769" t="s">
        <v>74</v>
      </c>
      <c r="AY2769" t="s">
        <v>74</v>
      </c>
      <c r="AZ2769" t="s">
        <v>74</v>
      </c>
      <c r="BA2769" t="s">
        <v>74</v>
      </c>
      <c r="BB2769">
        <v>219</v>
      </c>
      <c r="BC2769">
        <v>246</v>
      </c>
      <c r="BD2769" t="s">
        <v>74</v>
      </c>
      <c r="BE2769" t="s">
        <v>46111</v>
      </c>
      <c r="BF2769" t="str">
        <f>HYPERLINK("http://dx.doi.org/10.1146/annurev-financial-071020-012008","http://dx.doi.org/10.1146/annurev-financial-071020-012008")</f>
        <v>http://dx.doi.org/10.1146/annurev-financial-071020-012008</v>
      </c>
      <c r="BG2769" t="s">
        <v>74</v>
      </c>
      <c r="BH2769" t="s">
        <v>74</v>
      </c>
      <c r="BI2769">
        <v>28</v>
      </c>
      <c r="BJ2769" t="s">
        <v>9556</v>
      </c>
      <c r="BK2769" t="s">
        <v>6038</v>
      </c>
      <c r="BL2769" t="s">
        <v>100</v>
      </c>
      <c r="BM2769" t="s">
        <v>46112</v>
      </c>
      <c r="BN2769" t="s">
        <v>74</v>
      </c>
      <c r="BO2769" t="s">
        <v>1205</v>
      </c>
      <c r="BP2769" t="s">
        <v>74</v>
      </c>
      <c r="BQ2769" t="s">
        <v>74</v>
      </c>
      <c r="BR2769" t="s">
        <v>102</v>
      </c>
      <c r="BS2769" t="s">
        <v>46113</v>
      </c>
      <c r="BT2769" t="str">
        <f>HYPERLINK("https%3A%2F%2Fwww.webofscience.com%2Fwos%2Fwoscc%2Ffull-record%2FWOS:000715530100012","View Full Record in Web of Science")</f>
        <v>View Full Record in Web of Science</v>
      </c>
    </row>
    <row r="2770" spans="1:72" x14ac:dyDescent="0.25">
      <c r="A2770" t="s">
        <v>72</v>
      </c>
      <c r="B2770" t="s">
        <v>46114</v>
      </c>
      <c r="C2770" t="s">
        <v>74</v>
      </c>
      <c r="D2770" t="s">
        <v>74</v>
      </c>
      <c r="E2770" t="s">
        <v>74</v>
      </c>
      <c r="F2770" t="s">
        <v>46115</v>
      </c>
      <c r="G2770" t="s">
        <v>74</v>
      </c>
      <c r="H2770" t="s">
        <v>74</v>
      </c>
      <c r="I2770" t="s">
        <v>46116</v>
      </c>
      <c r="J2770" t="s">
        <v>4208</v>
      </c>
      <c r="K2770" t="s">
        <v>74</v>
      </c>
      <c r="L2770" t="s">
        <v>74</v>
      </c>
      <c r="M2770" t="s">
        <v>78</v>
      </c>
      <c r="N2770" t="s">
        <v>79</v>
      </c>
      <c r="O2770" t="s">
        <v>74</v>
      </c>
      <c r="P2770" t="s">
        <v>74</v>
      </c>
      <c r="Q2770" t="s">
        <v>74</v>
      </c>
      <c r="R2770" t="s">
        <v>74</v>
      </c>
      <c r="S2770" t="s">
        <v>74</v>
      </c>
      <c r="T2770" t="s">
        <v>74</v>
      </c>
      <c r="U2770" t="s">
        <v>46117</v>
      </c>
      <c r="V2770" t="s">
        <v>46118</v>
      </c>
      <c r="W2770" t="s">
        <v>46119</v>
      </c>
      <c r="X2770" t="s">
        <v>17449</v>
      </c>
      <c r="Y2770" t="s">
        <v>46120</v>
      </c>
      <c r="Z2770" t="s">
        <v>46121</v>
      </c>
      <c r="AA2770" t="s">
        <v>46122</v>
      </c>
      <c r="AB2770" t="s">
        <v>74</v>
      </c>
      <c r="AC2770" t="s">
        <v>46123</v>
      </c>
      <c r="AD2770" t="s">
        <v>46124</v>
      </c>
      <c r="AE2770" t="s">
        <v>46125</v>
      </c>
      <c r="AF2770" t="s">
        <v>74</v>
      </c>
      <c r="AG2770">
        <v>47</v>
      </c>
      <c r="AH2770">
        <v>0</v>
      </c>
      <c r="AI2770">
        <v>0</v>
      </c>
      <c r="AJ2770">
        <v>0</v>
      </c>
      <c r="AK2770">
        <v>0</v>
      </c>
      <c r="AL2770" t="s">
        <v>4218</v>
      </c>
      <c r="AM2770" t="s">
        <v>4219</v>
      </c>
      <c r="AN2770" t="s">
        <v>4220</v>
      </c>
      <c r="AO2770" t="s">
        <v>74</v>
      </c>
      <c r="AP2770" t="s">
        <v>4221</v>
      </c>
      <c r="AQ2770" t="s">
        <v>74</v>
      </c>
      <c r="AR2770" t="s">
        <v>4208</v>
      </c>
      <c r="AS2770" t="s">
        <v>4222</v>
      </c>
      <c r="AT2770" t="s">
        <v>19170</v>
      </c>
      <c r="AU2770">
        <v>2025</v>
      </c>
      <c r="AV2770">
        <v>20</v>
      </c>
      <c r="AW2770">
        <v>11</v>
      </c>
      <c r="AX2770" t="s">
        <v>74</v>
      </c>
      <c r="AY2770" t="s">
        <v>74</v>
      </c>
      <c r="AZ2770" t="s">
        <v>74</v>
      </c>
      <c r="BA2770" t="s">
        <v>74</v>
      </c>
      <c r="BB2770" t="s">
        <v>74</v>
      </c>
      <c r="BC2770" t="s">
        <v>74</v>
      </c>
      <c r="BD2770" t="s">
        <v>46126</v>
      </c>
      <c r="BE2770" t="s">
        <v>46127</v>
      </c>
      <c r="BF2770" t="str">
        <f>HYPERLINK("http://dx.doi.org/10.1371/journal.pone.0336274","http://dx.doi.org/10.1371/journal.pone.0336274")</f>
        <v>http://dx.doi.org/10.1371/journal.pone.0336274</v>
      </c>
      <c r="BG2770" t="s">
        <v>74</v>
      </c>
      <c r="BH2770" t="s">
        <v>74</v>
      </c>
      <c r="BI2770">
        <v>17</v>
      </c>
      <c r="BJ2770" t="s">
        <v>559</v>
      </c>
      <c r="BK2770" t="s">
        <v>128</v>
      </c>
      <c r="BL2770" t="s">
        <v>560</v>
      </c>
      <c r="BM2770" t="s">
        <v>46128</v>
      </c>
      <c r="BN2770">
        <v>41196919</v>
      </c>
      <c r="BO2770" t="s">
        <v>916</v>
      </c>
      <c r="BP2770" t="s">
        <v>74</v>
      </c>
      <c r="BQ2770" t="s">
        <v>74</v>
      </c>
      <c r="BR2770" t="s">
        <v>102</v>
      </c>
      <c r="BS2770" t="s">
        <v>46129</v>
      </c>
      <c r="BT2770" t="str">
        <f>HYPERLINK("https%3A%2F%2Fwww.webofscience.com%2Fwos%2Fwoscc%2Ffull-record%2FWOS:001610681100008","View Full Record in Web of Science")</f>
        <v>View Full Record in Web of Science</v>
      </c>
    </row>
    <row r="2771" spans="1:72" x14ac:dyDescent="0.25">
      <c r="A2771" t="s">
        <v>72</v>
      </c>
      <c r="B2771" t="s">
        <v>46130</v>
      </c>
      <c r="C2771" t="s">
        <v>74</v>
      </c>
      <c r="D2771" t="s">
        <v>74</v>
      </c>
      <c r="E2771" t="s">
        <v>74</v>
      </c>
      <c r="F2771" t="s">
        <v>46131</v>
      </c>
      <c r="G2771" t="s">
        <v>74</v>
      </c>
      <c r="H2771" t="s">
        <v>74</v>
      </c>
      <c r="I2771" t="s">
        <v>46132</v>
      </c>
      <c r="J2771" t="s">
        <v>15686</v>
      </c>
      <c r="K2771" t="s">
        <v>74</v>
      </c>
      <c r="L2771" t="s">
        <v>74</v>
      </c>
      <c r="M2771" t="s">
        <v>78</v>
      </c>
      <c r="N2771" t="s">
        <v>79</v>
      </c>
      <c r="O2771" t="s">
        <v>74</v>
      </c>
      <c r="P2771" t="s">
        <v>74</v>
      </c>
      <c r="Q2771" t="s">
        <v>74</v>
      </c>
      <c r="R2771" t="s">
        <v>74</v>
      </c>
      <c r="S2771" t="s">
        <v>74</v>
      </c>
      <c r="T2771" t="s">
        <v>46133</v>
      </c>
      <c r="U2771" t="s">
        <v>74</v>
      </c>
      <c r="V2771" t="s">
        <v>46134</v>
      </c>
      <c r="W2771" t="s">
        <v>46135</v>
      </c>
      <c r="X2771" t="s">
        <v>46136</v>
      </c>
      <c r="Y2771" t="s">
        <v>46137</v>
      </c>
      <c r="Z2771" t="s">
        <v>46138</v>
      </c>
      <c r="AA2771" t="s">
        <v>46139</v>
      </c>
      <c r="AB2771" t="s">
        <v>46140</v>
      </c>
      <c r="AC2771" t="s">
        <v>74</v>
      </c>
      <c r="AD2771" t="s">
        <v>74</v>
      </c>
      <c r="AE2771" t="s">
        <v>74</v>
      </c>
      <c r="AF2771" t="s">
        <v>74</v>
      </c>
      <c r="AG2771">
        <v>69</v>
      </c>
      <c r="AH2771">
        <v>0</v>
      </c>
      <c r="AI2771">
        <v>0</v>
      </c>
      <c r="AJ2771">
        <v>2</v>
      </c>
      <c r="AK2771">
        <v>2</v>
      </c>
      <c r="AL2771" t="s">
        <v>479</v>
      </c>
      <c r="AM2771" t="s">
        <v>480</v>
      </c>
      <c r="AN2771" t="s">
        <v>481</v>
      </c>
      <c r="AO2771" t="s">
        <v>74</v>
      </c>
      <c r="AP2771" t="s">
        <v>15694</v>
      </c>
      <c r="AQ2771" t="s">
        <v>74</v>
      </c>
      <c r="AR2771" t="s">
        <v>15695</v>
      </c>
      <c r="AS2771" t="s">
        <v>15696</v>
      </c>
      <c r="AT2771" t="s">
        <v>20220</v>
      </c>
      <c r="AU2771">
        <v>2025</v>
      </c>
      <c r="AV2771">
        <v>8</v>
      </c>
      <c r="AW2771">
        <v>3</v>
      </c>
      <c r="AX2771" t="s">
        <v>74</v>
      </c>
      <c r="AY2771" t="s">
        <v>74</v>
      </c>
      <c r="AZ2771" t="s">
        <v>74</v>
      </c>
      <c r="BA2771" t="s">
        <v>74</v>
      </c>
      <c r="BB2771" t="s">
        <v>74</v>
      </c>
      <c r="BC2771" t="s">
        <v>74</v>
      </c>
      <c r="BD2771" t="s">
        <v>46141</v>
      </c>
      <c r="BE2771" t="s">
        <v>46142</v>
      </c>
      <c r="BF2771" t="str">
        <f>HYPERLINK("http://dx.doi.org/10.1002/bsd2.70202","http://dx.doi.org/10.1002/bsd2.70202")</f>
        <v>http://dx.doi.org/10.1002/bsd2.70202</v>
      </c>
      <c r="BG2771" t="s">
        <v>74</v>
      </c>
      <c r="BH2771" t="s">
        <v>74</v>
      </c>
      <c r="BI2771">
        <v>13</v>
      </c>
      <c r="BJ2771" t="s">
        <v>15700</v>
      </c>
      <c r="BK2771" t="s">
        <v>313</v>
      </c>
      <c r="BL2771" t="s">
        <v>14040</v>
      </c>
      <c r="BM2771" t="s">
        <v>46143</v>
      </c>
      <c r="BN2771" t="s">
        <v>74</v>
      </c>
      <c r="BO2771" t="s">
        <v>1205</v>
      </c>
      <c r="BP2771" t="s">
        <v>74</v>
      </c>
      <c r="BQ2771" t="s">
        <v>74</v>
      </c>
      <c r="BR2771" t="s">
        <v>102</v>
      </c>
      <c r="BS2771" t="s">
        <v>46144</v>
      </c>
      <c r="BT2771" t="str">
        <f>HYPERLINK("https%3A%2F%2Fwww.webofscience.com%2Fwos%2Fwoscc%2Ffull-record%2FWOS:001546259100001","View Full Record in Web of Science")</f>
        <v>View Full Record in Web of Science</v>
      </c>
    </row>
    <row r="2772" spans="1:72" x14ac:dyDescent="0.25">
      <c r="A2772" t="s">
        <v>72</v>
      </c>
      <c r="B2772" t="s">
        <v>11231</v>
      </c>
      <c r="C2772" t="s">
        <v>74</v>
      </c>
      <c r="D2772" t="s">
        <v>74</v>
      </c>
      <c r="E2772" t="s">
        <v>74</v>
      </c>
      <c r="F2772" t="s">
        <v>11232</v>
      </c>
      <c r="G2772" t="s">
        <v>74</v>
      </c>
      <c r="H2772" t="s">
        <v>74</v>
      </c>
      <c r="I2772" t="s">
        <v>46145</v>
      </c>
      <c r="J2772" t="s">
        <v>3036</v>
      </c>
      <c r="K2772" t="s">
        <v>74</v>
      </c>
      <c r="L2772" t="s">
        <v>74</v>
      </c>
      <c r="M2772" t="s">
        <v>78</v>
      </c>
      <c r="N2772" t="s">
        <v>1766</v>
      </c>
      <c r="O2772" t="s">
        <v>74</v>
      </c>
      <c r="P2772" t="s">
        <v>74</v>
      </c>
      <c r="Q2772" t="s">
        <v>74</v>
      </c>
      <c r="R2772" t="s">
        <v>74</v>
      </c>
      <c r="S2772" t="s">
        <v>74</v>
      </c>
      <c r="T2772" t="s">
        <v>46146</v>
      </c>
      <c r="U2772" t="s">
        <v>46147</v>
      </c>
      <c r="V2772" t="s">
        <v>46148</v>
      </c>
      <c r="W2772" t="s">
        <v>46149</v>
      </c>
      <c r="X2772" t="s">
        <v>11237</v>
      </c>
      <c r="Y2772" t="s">
        <v>46150</v>
      </c>
      <c r="Z2772" t="s">
        <v>11239</v>
      </c>
      <c r="AA2772" t="s">
        <v>11360</v>
      </c>
      <c r="AB2772" t="s">
        <v>30503</v>
      </c>
      <c r="AC2772" t="s">
        <v>74</v>
      </c>
      <c r="AD2772" t="s">
        <v>74</v>
      </c>
      <c r="AE2772" t="s">
        <v>74</v>
      </c>
      <c r="AF2772" t="s">
        <v>74</v>
      </c>
      <c r="AG2772">
        <v>96</v>
      </c>
      <c r="AH2772">
        <v>13</v>
      </c>
      <c r="AI2772">
        <v>18</v>
      </c>
      <c r="AJ2772">
        <v>0</v>
      </c>
      <c r="AK2772">
        <v>20</v>
      </c>
      <c r="AL2772" t="s">
        <v>385</v>
      </c>
      <c r="AM2772" t="s">
        <v>151</v>
      </c>
      <c r="AN2772" t="s">
        <v>386</v>
      </c>
      <c r="AO2772" t="s">
        <v>3045</v>
      </c>
      <c r="AP2772" t="s">
        <v>3046</v>
      </c>
      <c r="AQ2772" t="s">
        <v>74</v>
      </c>
      <c r="AR2772" t="s">
        <v>3047</v>
      </c>
      <c r="AS2772" t="s">
        <v>3048</v>
      </c>
      <c r="AT2772" t="s">
        <v>124</v>
      </c>
      <c r="AU2772">
        <v>2020</v>
      </c>
      <c r="AV2772">
        <v>11</v>
      </c>
      <c r="AW2772">
        <v>4</v>
      </c>
      <c r="AX2772" t="s">
        <v>74</v>
      </c>
      <c r="AY2772" t="s">
        <v>74</v>
      </c>
      <c r="AZ2772" t="s">
        <v>74</v>
      </c>
      <c r="BA2772" t="s">
        <v>74</v>
      </c>
      <c r="BB2772">
        <v>1538</v>
      </c>
      <c r="BC2772">
        <v>1555</v>
      </c>
      <c r="BD2772" t="s">
        <v>74</v>
      </c>
      <c r="BE2772" t="s">
        <v>46151</v>
      </c>
      <c r="BF2772" t="str">
        <f>HYPERLINK("http://dx.doi.org/10.1007/s13132-019-00617-0","http://dx.doi.org/10.1007/s13132-019-00617-0")</f>
        <v>http://dx.doi.org/10.1007/s13132-019-00617-0</v>
      </c>
      <c r="BG2772" t="s">
        <v>74</v>
      </c>
      <c r="BH2772" t="s">
        <v>7700</v>
      </c>
      <c r="BI2772">
        <v>18</v>
      </c>
      <c r="BJ2772" t="s">
        <v>291</v>
      </c>
      <c r="BK2772" t="s">
        <v>99</v>
      </c>
      <c r="BL2772" t="s">
        <v>100</v>
      </c>
      <c r="BM2772" t="s">
        <v>46152</v>
      </c>
      <c r="BN2772" t="s">
        <v>74</v>
      </c>
      <c r="BO2772" t="s">
        <v>2734</v>
      </c>
      <c r="BP2772" t="s">
        <v>74</v>
      </c>
      <c r="BQ2772" t="s">
        <v>74</v>
      </c>
      <c r="BR2772" t="s">
        <v>102</v>
      </c>
      <c r="BS2772" t="s">
        <v>46153</v>
      </c>
      <c r="BT2772" t="str">
        <f>HYPERLINK("https%3A%2F%2Fwww.webofscience.com%2Fwos%2Fwoscc%2Ffull-record%2FWOS:000495420800001","View Full Record in Web of Science")</f>
        <v>View Full Record in Web of Science</v>
      </c>
    </row>
    <row r="2773" spans="1:72" x14ac:dyDescent="0.25">
      <c r="A2773" t="s">
        <v>72</v>
      </c>
      <c r="B2773" t="s">
        <v>46154</v>
      </c>
      <c r="C2773" t="s">
        <v>74</v>
      </c>
      <c r="D2773" t="s">
        <v>74</v>
      </c>
      <c r="E2773" t="s">
        <v>74</v>
      </c>
      <c r="F2773" t="s">
        <v>46155</v>
      </c>
      <c r="G2773" t="s">
        <v>74</v>
      </c>
      <c r="H2773" t="s">
        <v>74</v>
      </c>
      <c r="I2773" t="s">
        <v>46156</v>
      </c>
      <c r="J2773" t="s">
        <v>2030</v>
      </c>
      <c r="K2773" t="s">
        <v>74</v>
      </c>
      <c r="L2773" t="s">
        <v>74</v>
      </c>
      <c r="M2773" t="s">
        <v>78</v>
      </c>
      <c r="N2773" t="s">
        <v>79</v>
      </c>
      <c r="O2773" t="s">
        <v>74</v>
      </c>
      <c r="P2773" t="s">
        <v>74</v>
      </c>
      <c r="Q2773" t="s">
        <v>74</v>
      </c>
      <c r="R2773" t="s">
        <v>74</v>
      </c>
      <c r="S2773" t="s">
        <v>74</v>
      </c>
      <c r="T2773" t="s">
        <v>46157</v>
      </c>
      <c r="U2773" t="s">
        <v>46158</v>
      </c>
      <c r="V2773" t="s">
        <v>46159</v>
      </c>
      <c r="W2773" t="s">
        <v>46160</v>
      </c>
      <c r="X2773" t="s">
        <v>46161</v>
      </c>
      <c r="Y2773" t="s">
        <v>46162</v>
      </c>
      <c r="Z2773" t="s">
        <v>46163</v>
      </c>
      <c r="AA2773" t="s">
        <v>46164</v>
      </c>
      <c r="AB2773" t="s">
        <v>3691</v>
      </c>
      <c r="AC2773" t="s">
        <v>46165</v>
      </c>
      <c r="AD2773" t="s">
        <v>46165</v>
      </c>
      <c r="AE2773" t="s">
        <v>46166</v>
      </c>
      <c r="AF2773" t="s">
        <v>74</v>
      </c>
      <c r="AG2773">
        <v>83</v>
      </c>
      <c r="AH2773">
        <v>3</v>
      </c>
      <c r="AI2773">
        <v>4</v>
      </c>
      <c r="AJ2773">
        <v>0</v>
      </c>
      <c r="AK2773">
        <v>5</v>
      </c>
      <c r="AL2773" t="s">
        <v>1062</v>
      </c>
      <c r="AM2773" t="s">
        <v>667</v>
      </c>
      <c r="AN2773" t="s">
        <v>668</v>
      </c>
      <c r="AO2773" t="s">
        <v>2039</v>
      </c>
      <c r="AP2773" t="s">
        <v>74</v>
      </c>
      <c r="AQ2773" t="s">
        <v>74</v>
      </c>
      <c r="AR2773" t="s">
        <v>2040</v>
      </c>
      <c r="AS2773" t="s">
        <v>2041</v>
      </c>
      <c r="AT2773" t="s">
        <v>1652</v>
      </c>
      <c r="AU2773">
        <v>2020</v>
      </c>
      <c r="AV2773">
        <v>7</v>
      </c>
      <c r="AW2773">
        <v>2</v>
      </c>
      <c r="AX2773" t="s">
        <v>74</v>
      </c>
      <c r="AY2773" t="s">
        <v>74</v>
      </c>
      <c r="AZ2773" t="s">
        <v>74</v>
      </c>
      <c r="BA2773" t="s">
        <v>74</v>
      </c>
      <c r="BB2773">
        <v>109</v>
      </c>
      <c r="BC2773">
        <v>120</v>
      </c>
      <c r="BD2773" t="s">
        <v>74</v>
      </c>
      <c r="BE2773" t="s">
        <v>46167</v>
      </c>
      <c r="BF2773" t="str">
        <f>HYPERLINK("http://dx.doi.org/10.1007/s40609-019-00142-7","http://dx.doi.org/10.1007/s40609-019-00142-7")</f>
        <v>http://dx.doi.org/10.1007/s40609-019-00142-7</v>
      </c>
      <c r="BG2773" t="s">
        <v>74</v>
      </c>
      <c r="BH2773" t="s">
        <v>74</v>
      </c>
      <c r="BI2773">
        <v>12</v>
      </c>
      <c r="BJ2773" t="s">
        <v>2045</v>
      </c>
      <c r="BK2773" t="s">
        <v>313</v>
      </c>
      <c r="BL2773" t="s">
        <v>2045</v>
      </c>
      <c r="BM2773" t="s">
        <v>46168</v>
      </c>
      <c r="BN2773" t="s">
        <v>74</v>
      </c>
      <c r="BO2773" t="s">
        <v>74</v>
      </c>
      <c r="BP2773" t="s">
        <v>74</v>
      </c>
      <c r="BQ2773" t="s">
        <v>74</v>
      </c>
      <c r="BR2773" t="s">
        <v>102</v>
      </c>
      <c r="BS2773" t="s">
        <v>46169</v>
      </c>
      <c r="BT2773" t="str">
        <f>HYPERLINK("https%3A%2F%2Fwww.webofscience.com%2Fwos%2Fwoscc%2Ffull-record%2FWOS:000535678500002","View Full Record in Web of Science")</f>
        <v>View Full Record in Web of Science</v>
      </c>
    </row>
    <row r="2774" spans="1:72" x14ac:dyDescent="0.25">
      <c r="A2774" t="s">
        <v>72</v>
      </c>
      <c r="B2774" t="s">
        <v>46170</v>
      </c>
      <c r="C2774" t="s">
        <v>74</v>
      </c>
      <c r="D2774" t="s">
        <v>74</v>
      </c>
      <c r="E2774" t="s">
        <v>74</v>
      </c>
      <c r="F2774" t="s">
        <v>46171</v>
      </c>
      <c r="G2774" t="s">
        <v>74</v>
      </c>
      <c r="H2774" t="s">
        <v>74</v>
      </c>
      <c r="I2774" t="s">
        <v>46172</v>
      </c>
      <c r="J2774" t="s">
        <v>6713</v>
      </c>
      <c r="K2774" t="s">
        <v>74</v>
      </c>
      <c r="L2774" t="s">
        <v>74</v>
      </c>
      <c r="M2774" t="s">
        <v>78</v>
      </c>
      <c r="N2774" t="s">
        <v>79</v>
      </c>
      <c r="O2774" t="s">
        <v>74</v>
      </c>
      <c r="P2774" t="s">
        <v>74</v>
      </c>
      <c r="Q2774" t="s">
        <v>74</v>
      </c>
      <c r="R2774" t="s">
        <v>74</v>
      </c>
      <c r="S2774" t="s">
        <v>74</v>
      </c>
      <c r="T2774" t="s">
        <v>46173</v>
      </c>
      <c r="U2774" t="s">
        <v>74</v>
      </c>
      <c r="V2774" t="s">
        <v>46174</v>
      </c>
      <c r="W2774" t="s">
        <v>46175</v>
      </c>
      <c r="X2774" t="s">
        <v>46176</v>
      </c>
      <c r="Y2774" t="s">
        <v>46177</v>
      </c>
      <c r="Z2774" t="s">
        <v>46178</v>
      </c>
      <c r="AA2774" t="s">
        <v>30935</v>
      </c>
      <c r="AB2774" t="s">
        <v>46179</v>
      </c>
      <c r="AC2774" t="s">
        <v>74</v>
      </c>
      <c r="AD2774" t="s">
        <v>74</v>
      </c>
      <c r="AE2774" t="s">
        <v>74</v>
      </c>
      <c r="AF2774" t="s">
        <v>74</v>
      </c>
      <c r="AG2774">
        <v>77</v>
      </c>
      <c r="AH2774">
        <v>22</v>
      </c>
      <c r="AI2774">
        <v>31</v>
      </c>
      <c r="AJ2774">
        <v>1</v>
      </c>
      <c r="AK2774">
        <v>30</v>
      </c>
      <c r="AL2774" t="s">
        <v>4485</v>
      </c>
      <c r="AM2774" t="s">
        <v>6724</v>
      </c>
      <c r="AN2774" t="s">
        <v>6725</v>
      </c>
      <c r="AO2774" t="s">
        <v>6726</v>
      </c>
      <c r="AP2774" t="s">
        <v>6727</v>
      </c>
      <c r="AQ2774" t="s">
        <v>74</v>
      </c>
      <c r="AR2774" t="s">
        <v>6728</v>
      </c>
      <c r="AS2774" t="s">
        <v>6729</v>
      </c>
      <c r="AT2774" t="s">
        <v>605</v>
      </c>
      <c r="AU2774">
        <v>2021</v>
      </c>
      <c r="AV2774">
        <v>45</v>
      </c>
      <c r="AW2774">
        <v>2</v>
      </c>
      <c r="AX2774" t="s">
        <v>74</v>
      </c>
      <c r="AY2774" t="s">
        <v>74</v>
      </c>
      <c r="AZ2774" t="s">
        <v>74</v>
      </c>
      <c r="BA2774" t="s">
        <v>74</v>
      </c>
      <c r="BB2774" t="s">
        <v>74</v>
      </c>
      <c r="BC2774" t="s">
        <v>74</v>
      </c>
      <c r="BD2774">
        <v>102079</v>
      </c>
      <c r="BE2774" t="s">
        <v>46180</v>
      </c>
      <c r="BF2774" t="str">
        <f>HYPERLINK("http://dx.doi.org/10.1016/j.telpol.2020.102079","http://dx.doi.org/10.1016/j.telpol.2020.102079")</f>
        <v>http://dx.doi.org/10.1016/j.telpol.2020.102079</v>
      </c>
      <c r="BG2774" t="s">
        <v>74</v>
      </c>
      <c r="BH2774" t="s">
        <v>74</v>
      </c>
      <c r="BI2774">
        <v>12</v>
      </c>
      <c r="BJ2774" t="s">
        <v>6731</v>
      </c>
      <c r="BK2774" t="s">
        <v>2623</v>
      </c>
      <c r="BL2774" t="s">
        <v>6731</v>
      </c>
      <c r="BM2774" t="s">
        <v>46181</v>
      </c>
      <c r="BN2774" t="s">
        <v>74</v>
      </c>
      <c r="BO2774" t="s">
        <v>1205</v>
      </c>
      <c r="BP2774" t="s">
        <v>74</v>
      </c>
      <c r="BQ2774" t="s">
        <v>74</v>
      </c>
      <c r="BR2774" t="s">
        <v>102</v>
      </c>
      <c r="BS2774" t="s">
        <v>46182</v>
      </c>
      <c r="BT2774" t="str">
        <f>HYPERLINK("https%3A%2F%2Fwww.webofscience.com%2Fwos%2Fwoscc%2Ffull-record%2FWOS:000620636400004","View Full Record in Web of Science")</f>
        <v>View Full Record in Web of Science</v>
      </c>
    </row>
    <row r="2775" spans="1:72" x14ac:dyDescent="0.25">
      <c r="A2775" t="s">
        <v>72</v>
      </c>
      <c r="B2775" t="s">
        <v>46183</v>
      </c>
      <c r="C2775" t="s">
        <v>74</v>
      </c>
      <c r="D2775" t="s">
        <v>74</v>
      </c>
      <c r="E2775" t="s">
        <v>74</v>
      </c>
      <c r="F2775" t="s">
        <v>46184</v>
      </c>
      <c r="G2775" t="s">
        <v>74</v>
      </c>
      <c r="H2775" t="s">
        <v>74</v>
      </c>
      <c r="I2775" t="s">
        <v>46185</v>
      </c>
      <c r="J2775" t="s">
        <v>7220</v>
      </c>
      <c r="K2775" t="s">
        <v>74</v>
      </c>
      <c r="L2775" t="s">
        <v>74</v>
      </c>
      <c r="M2775" t="s">
        <v>78</v>
      </c>
      <c r="N2775" t="s">
        <v>79</v>
      </c>
      <c r="O2775" t="s">
        <v>74</v>
      </c>
      <c r="P2775" t="s">
        <v>74</v>
      </c>
      <c r="Q2775" t="s">
        <v>74</v>
      </c>
      <c r="R2775" t="s">
        <v>74</v>
      </c>
      <c r="S2775" t="s">
        <v>74</v>
      </c>
      <c r="T2775" t="s">
        <v>46186</v>
      </c>
      <c r="U2775" t="s">
        <v>46187</v>
      </c>
      <c r="V2775" t="s">
        <v>46188</v>
      </c>
      <c r="W2775" t="s">
        <v>46189</v>
      </c>
      <c r="X2775" t="s">
        <v>32700</v>
      </c>
      <c r="Y2775" t="s">
        <v>46190</v>
      </c>
      <c r="Z2775" t="s">
        <v>46191</v>
      </c>
      <c r="AA2775" t="s">
        <v>46192</v>
      </c>
      <c r="AB2775" t="s">
        <v>46193</v>
      </c>
      <c r="AC2775" t="s">
        <v>74</v>
      </c>
      <c r="AD2775" t="s">
        <v>74</v>
      </c>
      <c r="AE2775" t="s">
        <v>74</v>
      </c>
      <c r="AF2775" t="s">
        <v>74</v>
      </c>
      <c r="AG2775">
        <v>115</v>
      </c>
      <c r="AH2775">
        <v>67</v>
      </c>
      <c r="AI2775">
        <v>126</v>
      </c>
      <c r="AJ2775">
        <v>9</v>
      </c>
      <c r="AK2775">
        <v>87</v>
      </c>
      <c r="AL2775" t="s">
        <v>89</v>
      </c>
      <c r="AM2775" t="s">
        <v>1497</v>
      </c>
      <c r="AN2775" t="s">
        <v>1498</v>
      </c>
      <c r="AO2775" t="s">
        <v>7230</v>
      </c>
      <c r="AP2775" t="s">
        <v>7231</v>
      </c>
      <c r="AQ2775" t="s">
        <v>74</v>
      </c>
      <c r="AR2775" t="s">
        <v>7232</v>
      </c>
      <c r="AS2775" t="s">
        <v>7233</v>
      </c>
      <c r="AT2775" t="s">
        <v>29909</v>
      </c>
      <c r="AU2775">
        <v>2022</v>
      </c>
      <c r="AV2775">
        <v>38</v>
      </c>
      <c r="AW2775">
        <v>1</v>
      </c>
      <c r="AX2775" t="s">
        <v>74</v>
      </c>
      <c r="AY2775" t="s">
        <v>74</v>
      </c>
      <c r="AZ2775" t="s">
        <v>74</v>
      </c>
      <c r="BA2775" t="s">
        <v>74</v>
      </c>
      <c r="BB2775">
        <v>60</v>
      </c>
      <c r="BC2775">
        <v>90</v>
      </c>
      <c r="BD2775" t="s">
        <v>74</v>
      </c>
      <c r="BE2775" t="s">
        <v>46194</v>
      </c>
      <c r="BF2775" t="str">
        <f>HYPERLINK("http://dx.doi.org/10.1108/JEAS-07-2020-0116","http://dx.doi.org/10.1108/JEAS-07-2020-0116")</f>
        <v>http://dx.doi.org/10.1108/JEAS-07-2020-0116</v>
      </c>
      <c r="BG2775" t="s">
        <v>74</v>
      </c>
      <c r="BH2775" t="s">
        <v>7236</v>
      </c>
      <c r="BI2775">
        <v>31</v>
      </c>
      <c r="BJ2775" t="s">
        <v>291</v>
      </c>
      <c r="BK2775" t="s">
        <v>313</v>
      </c>
      <c r="BL2775" t="s">
        <v>100</v>
      </c>
      <c r="BM2775" t="s">
        <v>46195</v>
      </c>
      <c r="BN2775" t="s">
        <v>74</v>
      </c>
      <c r="BO2775" t="s">
        <v>74</v>
      </c>
      <c r="BP2775" t="s">
        <v>74</v>
      </c>
      <c r="BQ2775" t="s">
        <v>74</v>
      </c>
      <c r="BR2775" t="s">
        <v>102</v>
      </c>
      <c r="BS2775" t="s">
        <v>46196</v>
      </c>
      <c r="BT2775" t="str">
        <f>HYPERLINK("https%3A%2F%2Fwww.webofscience.com%2Fwos%2Fwoscc%2Ffull-record%2FWOS:000599969000001","View Full Record in Web of Science")</f>
        <v>View Full Record in Web of Science</v>
      </c>
    </row>
    <row r="2776" spans="1:72" x14ac:dyDescent="0.25">
      <c r="A2776" t="s">
        <v>72</v>
      </c>
      <c r="B2776" t="s">
        <v>14021</v>
      </c>
      <c r="C2776" t="s">
        <v>74</v>
      </c>
      <c r="D2776" t="s">
        <v>74</v>
      </c>
      <c r="E2776" t="s">
        <v>74</v>
      </c>
      <c r="F2776" t="s">
        <v>14022</v>
      </c>
      <c r="G2776" t="s">
        <v>74</v>
      </c>
      <c r="H2776" t="s">
        <v>74</v>
      </c>
      <c r="I2776" t="s">
        <v>46197</v>
      </c>
      <c r="J2776" t="s">
        <v>7298</v>
      </c>
      <c r="K2776" t="s">
        <v>74</v>
      </c>
      <c r="L2776" t="s">
        <v>74</v>
      </c>
      <c r="M2776" t="s">
        <v>78</v>
      </c>
      <c r="N2776" t="s">
        <v>79</v>
      </c>
      <c r="O2776" t="s">
        <v>74</v>
      </c>
      <c r="P2776" t="s">
        <v>74</v>
      </c>
      <c r="Q2776" t="s">
        <v>74</v>
      </c>
      <c r="R2776" t="s">
        <v>74</v>
      </c>
      <c r="S2776" t="s">
        <v>74</v>
      </c>
      <c r="T2776" t="s">
        <v>46198</v>
      </c>
      <c r="U2776" t="s">
        <v>46199</v>
      </c>
      <c r="V2776" t="s">
        <v>46200</v>
      </c>
      <c r="W2776" t="s">
        <v>46201</v>
      </c>
      <c r="X2776" t="s">
        <v>14029</v>
      </c>
      <c r="Y2776" t="s">
        <v>46202</v>
      </c>
      <c r="Z2776" t="s">
        <v>14031</v>
      </c>
      <c r="AA2776" t="s">
        <v>14032</v>
      </c>
      <c r="AB2776" t="s">
        <v>14033</v>
      </c>
      <c r="AC2776" t="s">
        <v>74</v>
      </c>
      <c r="AD2776" t="s">
        <v>74</v>
      </c>
      <c r="AE2776" t="s">
        <v>74</v>
      </c>
      <c r="AF2776" t="s">
        <v>74</v>
      </c>
      <c r="AG2776">
        <v>88</v>
      </c>
      <c r="AH2776">
        <v>0</v>
      </c>
      <c r="AI2776">
        <v>0</v>
      </c>
      <c r="AJ2776">
        <v>10</v>
      </c>
      <c r="AK2776">
        <v>10</v>
      </c>
      <c r="AL2776" t="s">
        <v>479</v>
      </c>
      <c r="AM2776" t="s">
        <v>480</v>
      </c>
      <c r="AN2776" t="s">
        <v>481</v>
      </c>
      <c r="AO2776" t="s">
        <v>7308</v>
      </c>
      <c r="AP2776" t="s">
        <v>7309</v>
      </c>
      <c r="AQ2776" t="s">
        <v>74</v>
      </c>
      <c r="AR2776" t="s">
        <v>7310</v>
      </c>
      <c r="AS2776" t="s">
        <v>7311</v>
      </c>
      <c r="AT2776" t="s">
        <v>698</v>
      </c>
      <c r="AU2776">
        <v>2025</v>
      </c>
      <c r="AV2776">
        <v>96</v>
      </c>
      <c r="AW2776">
        <v>3</v>
      </c>
      <c r="AX2776" t="s">
        <v>74</v>
      </c>
      <c r="AY2776" t="s">
        <v>74</v>
      </c>
      <c r="AZ2776" t="s">
        <v>74</v>
      </c>
      <c r="BA2776" t="s">
        <v>74</v>
      </c>
      <c r="BB2776">
        <v>635</v>
      </c>
      <c r="BC2776">
        <v>664</v>
      </c>
      <c r="BD2776" t="s">
        <v>74</v>
      </c>
      <c r="BE2776" t="s">
        <v>46203</v>
      </c>
      <c r="BF2776" t="str">
        <f>HYPERLINK("http://dx.doi.org/10.1111/apce.70009","http://dx.doi.org/10.1111/apce.70009")</f>
        <v>http://dx.doi.org/10.1111/apce.70009</v>
      </c>
      <c r="BG2776" t="s">
        <v>74</v>
      </c>
      <c r="BH2776" t="s">
        <v>3389</v>
      </c>
      <c r="BI2776">
        <v>30</v>
      </c>
      <c r="BJ2776" t="s">
        <v>291</v>
      </c>
      <c r="BK2776" t="s">
        <v>99</v>
      </c>
      <c r="BL2776" t="s">
        <v>100</v>
      </c>
      <c r="BM2776" t="s">
        <v>46204</v>
      </c>
      <c r="BN2776" t="s">
        <v>74</v>
      </c>
      <c r="BO2776" t="s">
        <v>1205</v>
      </c>
      <c r="BP2776" t="s">
        <v>74</v>
      </c>
      <c r="BQ2776" t="s">
        <v>74</v>
      </c>
      <c r="BR2776" t="s">
        <v>102</v>
      </c>
      <c r="BS2776" t="s">
        <v>46205</v>
      </c>
      <c r="BT2776" t="str">
        <f>HYPERLINK("https%3A%2F%2Fwww.webofscience.com%2Fwos%2Fwoscc%2Ffull-record%2FWOS:001529842500001","View Full Record in Web of Science")</f>
        <v>View Full Record in Web of Science</v>
      </c>
    </row>
    <row r="2777" spans="1:72" x14ac:dyDescent="0.25">
      <c r="A2777" t="s">
        <v>72</v>
      </c>
      <c r="B2777" t="s">
        <v>46206</v>
      </c>
      <c r="C2777" t="s">
        <v>74</v>
      </c>
      <c r="D2777" t="s">
        <v>74</v>
      </c>
      <c r="E2777" t="s">
        <v>74</v>
      </c>
      <c r="F2777" t="s">
        <v>46207</v>
      </c>
      <c r="G2777" t="s">
        <v>74</v>
      </c>
      <c r="H2777" t="s">
        <v>74</v>
      </c>
      <c r="I2777" t="s">
        <v>46208</v>
      </c>
      <c r="J2777" t="s">
        <v>46209</v>
      </c>
      <c r="K2777" t="s">
        <v>74</v>
      </c>
      <c r="L2777" t="s">
        <v>74</v>
      </c>
      <c r="M2777" t="s">
        <v>78</v>
      </c>
      <c r="N2777" t="s">
        <v>79</v>
      </c>
      <c r="O2777" t="s">
        <v>74</v>
      </c>
      <c r="P2777" t="s">
        <v>74</v>
      </c>
      <c r="Q2777" t="s">
        <v>74</v>
      </c>
      <c r="R2777" t="s">
        <v>74</v>
      </c>
      <c r="S2777" t="s">
        <v>74</v>
      </c>
      <c r="T2777" t="s">
        <v>46210</v>
      </c>
      <c r="U2777" t="s">
        <v>46211</v>
      </c>
      <c r="V2777" t="s">
        <v>46212</v>
      </c>
      <c r="W2777" t="s">
        <v>46213</v>
      </c>
      <c r="X2777" t="s">
        <v>46214</v>
      </c>
      <c r="Y2777" t="s">
        <v>46215</v>
      </c>
      <c r="Z2777" t="s">
        <v>46216</v>
      </c>
      <c r="AA2777" t="s">
        <v>74</v>
      </c>
      <c r="AB2777" t="s">
        <v>46217</v>
      </c>
      <c r="AC2777" t="s">
        <v>46218</v>
      </c>
      <c r="AD2777" t="s">
        <v>46219</v>
      </c>
      <c r="AE2777" t="s">
        <v>46220</v>
      </c>
      <c r="AF2777" t="s">
        <v>74</v>
      </c>
      <c r="AG2777">
        <v>65</v>
      </c>
      <c r="AH2777">
        <v>1</v>
      </c>
      <c r="AI2777">
        <v>2</v>
      </c>
      <c r="AJ2777">
        <v>4</v>
      </c>
      <c r="AK2777">
        <v>5</v>
      </c>
      <c r="AL2777" t="s">
        <v>4485</v>
      </c>
      <c r="AM2777" t="s">
        <v>6724</v>
      </c>
      <c r="AN2777" t="s">
        <v>6725</v>
      </c>
      <c r="AO2777" t="s">
        <v>46221</v>
      </c>
      <c r="AP2777" t="s">
        <v>46222</v>
      </c>
      <c r="AQ2777" t="s">
        <v>74</v>
      </c>
      <c r="AR2777" t="s">
        <v>46209</v>
      </c>
      <c r="AS2777" t="s">
        <v>46223</v>
      </c>
      <c r="AT2777" t="s">
        <v>743</v>
      </c>
      <c r="AU2777">
        <v>2025</v>
      </c>
      <c r="AV2777">
        <v>132</v>
      </c>
      <c r="AW2777" t="s">
        <v>74</v>
      </c>
      <c r="AX2777" t="s">
        <v>74</v>
      </c>
      <c r="AY2777" t="s">
        <v>74</v>
      </c>
      <c r="AZ2777" t="s">
        <v>74</v>
      </c>
      <c r="BA2777" t="s">
        <v>74</v>
      </c>
      <c r="BB2777" t="s">
        <v>74</v>
      </c>
      <c r="BC2777" t="s">
        <v>74</v>
      </c>
      <c r="BD2777">
        <v>102838</v>
      </c>
      <c r="BE2777" t="s">
        <v>46224</v>
      </c>
      <c r="BF2777" t="str">
        <f>HYPERLINK("http://dx.doi.org/10.1016/j.foodpol.2025.102838","http://dx.doi.org/10.1016/j.foodpol.2025.102838")</f>
        <v>http://dx.doi.org/10.1016/j.foodpol.2025.102838</v>
      </c>
      <c r="BG2777" t="s">
        <v>74</v>
      </c>
      <c r="BH2777" t="s">
        <v>2781</v>
      </c>
      <c r="BI2777">
        <v>15</v>
      </c>
      <c r="BJ2777" t="s">
        <v>46225</v>
      </c>
      <c r="BK2777" t="s">
        <v>2623</v>
      </c>
      <c r="BL2777" t="s">
        <v>46226</v>
      </c>
      <c r="BM2777" t="s">
        <v>46227</v>
      </c>
      <c r="BN2777" t="s">
        <v>74</v>
      </c>
      <c r="BO2777" t="s">
        <v>270</v>
      </c>
      <c r="BP2777" t="s">
        <v>74</v>
      </c>
      <c r="BQ2777" t="s">
        <v>74</v>
      </c>
      <c r="BR2777" t="s">
        <v>102</v>
      </c>
      <c r="BS2777" t="s">
        <v>46228</v>
      </c>
      <c r="BT2777" t="str">
        <f>HYPERLINK("https%3A%2F%2Fwww.webofscience.com%2Fwos%2Fwoscc%2Ffull-record%2FWOS:001455838500001","View Full Record in Web of Science")</f>
        <v>View Full Record in Web of Science</v>
      </c>
    </row>
    <row r="2778" spans="1:72" x14ac:dyDescent="0.25">
      <c r="A2778" t="s">
        <v>72</v>
      </c>
      <c r="B2778" t="s">
        <v>13908</v>
      </c>
      <c r="C2778" t="s">
        <v>74</v>
      </c>
      <c r="D2778" t="s">
        <v>74</v>
      </c>
      <c r="E2778" t="s">
        <v>74</v>
      </c>
      <c r="F2778" t="s">
        <v>13909</v>
      </c>
      <c r="G2778" t="s">
        <v>74</v>
      </c>
      <c r="H2778" t="s">
        <v>74</v>
      </c>
      <c r="I2778" t="s">
        <v>46229</v>
      </c>
      <c r="J2778" t="s">
        <v>4618</v>
      </c>
      <c r="K2778" t="s">
        <v>74</v>
      </c>
      <c r="L2778" t="s">
        <v>74</v>
      </c>
      <c r="M2778" t="s">
        <v>78</v>
      </c>
      <c r="N2778" t="s">
        <v>79</v>
      </c>
      <c r="O2778" t="s">
        <v>74</v>
      </c>
      <c r="P2778" t="s">
        <v>74</v>
      </c>
      <c r="Q2778" t="s">
        <v>74</v>
      </c>
      <c r="R2778" t="s">
        <v>74</v>
      </c>
      <c r="S2778" t="s">
        <v>74</v>
      </c>
      <c r="T2778" t="s">
        <v>46230</v>
      </c>
      <c r="U2778" t="s">
        <v>46231</v>
      </c>
      <c r="V2778" t="s">
        <v>46232</v>
      </c>
      <c r="W2778" t="s">
        <v>46233</v>
      </c>
      <c r="X2778" t="s">
        <v>46234</v>
      </c>
      <c r="Y2778" t="s">
        <v>32439</v>
      </c>
      <c r="Z2778" t="s">
        <v>32438</v>
      </c>
      <c r="AA2778" t="s">
        <v>74</v>
      </c>
      <c r="AB2778" t="s">
        <v>74</v>
      </c>
      <c r="AC2778" t="s">
        <v>74</v>
      </c>
      <c r="AD2778" t="s">
        <v>74</v>
      </c>
      <c r="AE2778" t="s">
        <v>74</v>
      </c>
      <c r="AF2778" t="s">
        <v>74</v>
      </c>
      <c r="AG2778">
        <v>56</v>
      </c>
      <c r="AH2778">
        <v>4</v>
      </c>
      <c r="AI2778">
        <v>5</v>
      </c>
      <c r="AJ2778">
        <v>0</v>
      </c>
      <c r="AK2778">
        <v>5</v>
      </c>
      <c r="AL2778" t="s">
        <v>89</v>
      </c>
      <c r="AM2778" t="s">
        <v>90</v>
      </c>
      <c r="AN2778" t="s">
        <v>91</v>
      </c>
      <c r="AO2778" t="s">
        <v>4627</v>
      </c>
      <c r="AP2778" t="s">
        <v>4628</v>
      </c>
      <c r="AQ2778" t="s">
        <v>74</v>
      </c>
      <c r="AR2778" t="s">
        <v>4629</v>
      </c>
      <c r="AS2778" t="s">
        <v>4630</v>
      </c>
      <c r="AT2778" t="s">
        <v>9278</v>
      </c>
      <c r="AU2778">
        <v>2023</v>
      </c>
      <c r="AV2778">
        <v>16</v>
      </c>
      <c r="AW2778">
        <v>5</v>
      </c>
      <c r="AX2778" t="s">
        <v>74</v>
      </c>
      <c r="AY2778" t="s">
        <v>74</v>
      </c>
      <c r="AZ2778" t="s">
        <v>74</v>
      </c>
      <c r="BA2778" t="s">
        <v>74</v>
      </c>
      <c r="BB2778">
        <v>1009</v>
      </c>
      <c r="BC2778">
        <v>1029</v>
      </c>
      <c r="BD2778" t="s">
        <v>74</v>
      </c>
      <c r="BE2778" t="s">
        <v>46235</v>
      </c>
      <c r="BF2778" t="str">
        <f>HYPERLINK("http://dx.doi.org/10.1108/IMEFM-11-2021-0462","http://dx.doi.org/10.1108/IMEFM-11-2021-0462")</f>
        <v>http://dx.doi.org/10.1108/IMEFM-11-2021-0462</v>
      </c>
      <c r="BG2778" t="s">
        <v>74</v>
      </c>
      <c r="BH2778" t="s">
        <v>3595</v>
      </c>
      <c r="BI2778">
        <v>21</v>
      </c>
      <c r="BJ2778" t="s">
        <v>4632</v>
      </c>
      <c r="BK2778" t="s">
        <v>99</v>
      </c>
      <c r="BL2778" t="s">
        <v>100</v>
      </c>
      <c r="BM2778" t="s">
        <v>46236</v>
      </c>
      <c r="BN2778" t="s">
        <v>74</v>
      </c>
      <c r="BO2778" t="s">
        <v>74</v>
      </c>
      <c r="BP2778" t="s">
        <v>74</v>
      </c>
      <c r="BQ2778" t="s">
        <v>74</v>
      </c>
      <c r="BR2778" t="s">
        <v>102</v>
      </c>
      <c r="BS2778" t="s">
        <v>46237</v>
      </c>
      <c r="BT2778" t="str">
        <f>HYPERLINK("https%3A%2F%2Fwww.webofscience.com%2Fwos%2Fwoscc%2Ffull-record%2FWOS:000955529400001","View Full Record in Web of Science")</f>
        <v>View Full Record in Web of Science</v>
      </c>
    </row>
    <row r="2779" spans="1:72" x14ac:dyDescent="0.25">
      <c r="A2779" t="s">
        <v>132</v>
      </c>
      <c r="B2779" t="s">
        <v>46238</v>
      </c>
      <c r="C2779" t="s">
        <v>74</v>
      </c>
      <c r="D2779" t="s">
        <v>46239</v>
      </c>
      <c r="E2779" t="s">
        <v>74</v>
      </c>
      <c r="F2779" t="s">
        <v>46240</v>
      </c>
      <c r="G2779" t="s">
        <v>74</v>
      </c>
      <c r="H2779" t="s">
        <v>74</v>
      </c>
      <c r="I2779" t="s">
        <v>46241</v>
      </c>
      <c r="J2779" t="s">
        <v>46242</v>
      </c>
      <c r="K2779" t="s">
        <v>46243</v>
      </c>
      <c r="L2779" t="s">
        <v>74</v>
      </c>
      <c r="M2779" t="s">
        <v>78</v>
      </c>
      <c r="N2779" t="s">
        <v>138</v>
      </c>
      <c r="O2779" t="s">
        <v>46244</v>
      </c>
      <c r="P2779" t="s">
        <v>46245</v>
      </c>
      <c r="Q2779" t="s">
        <v>46246</v>
      </c>
      <c r="R2779" t="s">
        <v>46247</v>
      </c>
      <c r="S2779" t="s">
        <v>74</v>
      </c>
      <c r="T2779" t="s">
        <v>44923</v>
      </c>
      <c r="U2779" t="s">
        <v>74</v>
      </c>
      <c r="V2779" t="s">
        <v>46248</v>
      </c>
      <c r="W2779" t="s">
        <v>46249</v>
      </c>
      <c r="X2779" t="s">
        <v>46250</v>
      </c>
      <c r="Y2779" t="s">
        <v>46251</v>
      </c>
      <c r="Z2779" t="s">
        <v>46252</v>
      </c>
      <c r="AA2779" t="s">
        <v>74</v>
      </c>
      <c r="AB2779" t="s">
        <v>74</v>
      </c>
      <c r="AC2779" t="s">
        <v>74</v>
      </c>
      <c r="AD2779" t="s">
        <v>74</v>
      </c>
      <c r="AE2779" t="s">
        <v>74</v>
      </c>
      <c r="AF2779" t="s">
        <v>74</v>
      </c>
      <c r="AG2779">
        <v>22</v>
      </c>
      <c r="AH2779">
        <v>6</v>
      </c>
      <c r="AI2779">
        <v>11</v>
      </c>
      <c r="AJ2779">
        <v>0</v>
      </c>
      <c r="AK2779">
        <v>17</v>
      </c>
      <c r="AL2779" t="s">
        <v>3298</v>
      </c>
      <c r="AM2779" t="s">
        <v>202</v>
      </c>
      <c r="AN2779" t="s">
        <v>23868</v>
      </c>
      <c r="AO2779" t="s">
        <v>46253</v>
      </c>
      <c r="AP2779" t="s">
        <v>74</v>
      </c>
      <c r="AQ2779" t="s">
        <v>74</v>
      </c>
      <c r="AR2779" t="s">
        <v>46254</v>
      </c>
      <c r="AS2779" t="s">
        <v>74</v>
      </c>
      <c r="AT2779" t="s">
        <v>74</v>
      </c>
      <c r="AU2779">
        <v>2015</v>
      </c>
      <c r="AV2779">
        <v>31</v>
      </c>
      <c r="AW2779" t="s">
        <v>74</v>
      </c>
      <c r="AX2779" t="s">
        <v>74</v>
      </c>
      <c r="AY2779" t="s">
        <v>74</v>
      </c>
      <c r="AZ2779" t="s">
        <v>74</v>
      </c>
      <c r="BA2779" t="s">
        <v>74</v>
      </c>
      <c r="BB2779">
        <v>83</v>
      </c>
      <c r="BC2779">
        <v>90</v>
      </c>
      <c r="BD2779" t="s">
        <v>74</v>
      </c>
      <c r="BE2779" t="s">
        <v>46255</v>
      </c>
      <c r="BF2779" t="str">
        <f>HYPERLINK("http://dx.doi.org/10.1016/S2212-5671(15)01134-X","http://dx.doi.org/10.1016/S2212-5671(15)01134-X")</f>
        <v>http://dx.doi.org/10.1016/S2212-5671(15)01134-X</v>
      </c>
      <c r="BG2779" t="s">
        <v>74</v>
      </c>
      <c r="BH2779" t="s">
        <v>74</v>
      </c>
      <c r="BI2779">
        <v>8</v>
      </c>
      <c r="BJ2779" t="s">
        <v>210</v>
      </c>
      <c r="BK2779" t="s">
        <v>183</v>
      </c>
      <c r="BL2779" t="s">
        <v>100</v>
      </c>
      <c r="BM2779" t="s">
        <v>46256</v>
      </c>
      <c r="BN2779" t="s">
        <v>74</v>
      </c>
      <c r="BO2779" t="s">
        <v>212</v>
      </c>
      <c r="BP2779" t="s">
        <v>74</v>
      </c>
      <c r="BQ2779" t="s">
        <v>74</v>
      </c>
      <c r="BR2779" t="s">
        <v>102</v>
      </c>
      <c r="BS2779" t="s">
        <v>46257</v>
      </c>
      <c r="BT2779" t="str">
        <f>HYPERLINK("https%3A%2F%2Fwww.webofscience.com%2Fwos%2Fwoscc%2Ffull-record%2FWOS:000381102700009","View Full Record in Web of Science")</f>
        <v>View Full Record in Web of Science</v>
      </c>
    </row>
    <row r="2780" spans="1:72" x14ac:dyDescent="0.25">
      <c r="A2780" t="s">
        <v>72</v>
      </c>
      <c r="B2780" t="s">
        <v>46258</v>
      </c>
      <c r="C2780" t="s">
        <v>74</v>
      </c>
      <c r="D2780" t="s">
        <v>74</v>
      </c>
      <c r="E2780" t="s">
        <v>74</v>
      </c>
      <c r="F2780" t="s">
        <v>46259</v>
      </c>
      <c r="G2780" t="s">
        <v>74</v>
      </c>
      <c r="H2780" t="s">
        <v>74</v>
      </c>
      <c r="I2780" t="s">
        <v>46260</v>
      </c>
      <c r="J2780" t="s">
        <v>7837</v>
      </c>
      <c r="K2780" t="s">
        <v>74</v>
      </c>
      <c r="L2780" t="s">
        <v>74</v>
      </c>
      <c r="M2780" t="s">
        <v>78</v>
      </c>
      <c r="N2780" t="s">
        <v>79</v>
      </c>
      <c r="O2780" t="s">
        <v>74</v>
      </c>
      <c r="P2780" t="s">
        <v>74</v>
      </c>
      <c r="Q2780" t="s">
        <v>74</v>
      </c>
      <c r="R2780" t="s">
        <v>74</v>
      </c>
      <c r="S2780" t="s">
        <v>74</v>
      </c>
      <c r="T2780" t="s">
        <v>46261</v>
      </c>
      <c r="U2780" t="s">
        <v>46262</v>
      </c>
      <c r="V2780" t="s">
        <v>46263</v>
      </c>
      <c r="W2780" t="s">
        <v>46264</v>
      </c>
      <c r="X2780" t="s">
        <v>46265</v>
      </c>
      <c r="Y2780" t="s">
        <v>46266</v>
      </c>
      <c r="Z2780" t="s">
        <v>46267</v>
      </c>
      <c r="AA2780" t="s">
        <v>46268</v>
      </c>
      <c r="AB2780" t="s">
        <v>46269</v>
      </c>
      <c r="AC2780" t="s">
        <v>74</v>
      </c>
      <c r="AD2780" t="s">
        <v>74</v>
      </c>
      <c r="AE2780" t="s">
        <v>74</v>
      </c>
      <c r="AF2780" t="s">
        <v>74</v>
      </c>
      <c r="AG2780">
        <v>71</v>
      </c>
      <c r="AH2780">
        <v>3</v>
      </c>
      <c r="AI2780">
        <v>4</v>
      </c>
      <c r="AJ2780">
        <v>1</v>
      </c>
      <c r="AK2780">
        <v>16</v>
      </c>
      <c r="AL2780" t="s">
        <v>89</v>
      </c>
      <c r="AM2780" t="s">
        <v>90</v>
      </c>
      <c r="AN2780" t="s">
        <v>91</v>
      </c>
      <c r="AO2780" t="s">
        <v>7847</v>
      </c>
      <c r="AP2780" t="s">
        <v>7848</v>
      </c>
      <c r="AQ2780" t="s">
        <v>74</v>
      </c>
      <c r="AR2780" t="s">
        <v>7849</v>
      </c>
      <c r="AS2780" t="s">
        <v>7850</v>
      </c>
      <c r="AT2780" t="s">
        <v>46270</v>
      </c>
      <c r="AU2780">
        <v>2024</v>
      </c>
      <c r="AV2780">
        <v>19</v>
      </c>
      <c r="AW2780">
        <v>7</v>
      </c>
      <c r="AX2780" t="s">
        <v>74</v>
      </c>
      <c r="AY2780" t="s">
        <v>74</v>
      </c>
      <c r="AZ2780" t="s">
        <v>74</v>
      </c>
      <c r="BA2780" t="s">
        <v>74</v>
      </c>
      <c r="BB2780">
        <v>1769</v>
      </c>
      <c r="BC2780">
        <v>1803</v>
      </c>
      <c r="BD2780" t="s">
        <v>74</v>
      </c>
      <c r="BE2780" t="s">
        <v>46271</v>
      </c>
      <c r="BF2780" t="str">
        <f>HYPERLINK("http://dx.doi.org/10.1108/IJOEM-08-2021-1232","http://dx.doi.org/10.1108/IJOEM-08-2021-1232")</f>
        <v>http://dx.doi.org/10.1108/IJOEM-08-2021-1232</v>
      </c>
      <c r="BG2780" t="s">
        <v>74</v>
      </c>
      <c r="BH2780" t="s">
        <v>3050</v>
      </c>
      <c r="BI2780">
        <v>35</v>
      </c>
      <c r="BJ2780" t="s">
        <v>6512</v>
      </c>
      <c r="BK2780" t="s">
        <v>99</v>
      </c>
      <c r="BL2780" t="s">
        <v>100</v>
      </c>
      <c r="BM2780" t="s">
        <v>46272</v>
      </c>
      <c r="BN2780" t="s">
        <v>74</v>
      </c>
      <c r="BO2780" t="s">
        <v>74</v>
      </c>
      <c r="BP2780" t="s">
        <v>74</v>
      </c>
      <c r="BQ2780" t="s">
        <v>74</v>
      </c>
      <c r="BR2780" t="s">
        <v>102</v>
      </c>
      <c r="BS2780" t="s">
        <v>46273</v>
      </c>
      <c r="BT2780" t="str">
        <f>HYPERLINK("https%3A%2F%2Fwww.webofscience.com%2Fwos%2Fwoscc%2Ffull-record%2FWOS:000871233400001","View Full Record in Web of Science")</f>
        <v>View Full Record in Web of Science</v>
      </c>
    </row>
    <row r="2781" spans="1:72" x14ac:dyDescent="0.25">
      <c r="A2781" t="s">
        <v>72</v>
      </c>
      <c r="B2781" t="s">
        <v>46274</v>
      </c>
      <c r="C2781" t="s">
        <v>74</v>
      </c>
      <c r="D2781" t="s">
        <v>74</v>
      </c>
      <c r="E2781" t="s">
        <v>74</v>
      </c>
      <c r="F2781" t="s">
        <v>46274</v>
      </c>
      <c r="G2781" t="s">
        <v>74</v>
      </c>
      <c r="H2781" t="s">
        <v>74</v>
      </c>
      <c r="I2781" t="s">
        <v>46275</v>
      </c>
      <c r="J2781" t="s">
        <v>46276</v>
      </c>
      <c r="K2781" t="s">
        <v>74</v>
      </c>
      <c r="L2781" t="s">
        <v>74</v>
      </c>
      <c r="M2781" t="s">
        <v>78</v>
      </c>
      <c r="N2781" t="s">
        <v>79</v>
      </c>
      <c r="O2781" t="s">
        <v>74</v>
      </c>
      <c r="P2781" t="s">
        <v>74</v>
      </c>
      <c r="Q2781" t="s">
        <v>74</v>
      </c>
      <c r="R2781" t="s">
        <v>74</v>
      </c>
      <c r="S2781" t="s">
        <v>74</v>
      </c>
      <c r="T2781" t="s">
        <v>74</v>
      </c>
      <c r="U2781" t="s">
        <v>46277</v>
      </c>
      <c r="V2781" t="s">
        <v>46278</v>
      </c>
      <c r="W2781" t="s">
        <v>46279</v>
      </c>
      <c r="X2781" t="s">
        <v>46280</v>
      </c>
      <c r="Y2781" t="s">
        <v>46281</v>
      </c>
      <c r="Z2781" t="s">
        <v>74</v>
      </c>
      <c r="AA2781" t="s">
        <v>74</v>
      </c>
      <c r="AB2781" t="s">
        <v>74</v>
      </c>
      <c r="AC2781" t="s">
        <v>74</v>
      </c>
      <c r="AD2781" t="s">
        <v>74</v>
      </c>
      <c r="AE2781" t="s">
        <v>74</v>
      </c>
      <c r="AF2781" t="s">
        <v>74</v>
      </c>
      <c r="AG2781">
        <v>32</v>
      </c>
      <c r="AH2781">
        <v>13</v>
      </c>
      <c r="AI2781">
        <v>14</v>
      </c>
      <c r="AJ2781">
        <v>0</v>
      </c>
      <c r="AK2781">
        <v>14</v>
      </c>
      <c r="AL2781" t="s">
        <v>45162</v>
      </c>
      <c r="AM2781" t="s">
        <v>995</v>
      </c>
      <c r="AN2781" t="s">
        <v>45163</v>
      </c>
      <c r="AO2781" t="s">
        <v>34148</v>
      </c>
      <c r="AP2781" t="s">
        <v>74</v>
      </c>
      <c r="AQ2781" t="s">
        <v>74</v>
      </c>
      <c r="AR2781" t="s">
        <v>34146</v>
      </c>
      <c r="AS2781" t="s">
        <v>34145</v>
      </c>
      <c r="AT2781" t="s">
        <v>289</v>
      </c>
      <c r="AU2781">
        <v>2001</v>
      </c>
      <c r="AV2781">
        <v>33</v>
      </c>
      <c r="AW2781">
        <v>8</v>
      </c>
      <c r="AX2781" t="s">
        <v>74</v>
      </c>
      <c r="AY2781" t="s">
        <v>74</v>
      </c>
      <c r="AZ2781" t="s">
        <v>74</v>
      </c>
      <c r="BA2781" t="s">
        <v>74</v>
      </c>
      <c r="BB2781">
        <v>1371</v>
      </c>
      <c r="BC2781">
        <v>1384</v>
      </c>
      <c r="BD2781" t="s">
        <v>74</v>
      </c>
      <c r="BE2781" t="s">
        <v>46282</v>
      </c>
      <c r="BF2781" t="str">
        <f>HYPERLINK("http://dx.doi.org/10.1068/a33171","http://dx.doi.org/10.1068/a33171")</f>
        <v>http://dx.doi.org/10.1068/a33171</v>
      </c>
      <c r="BG2781" t="s">
        <v>74</v>
      </c>
      <c r="BH2781" t="s">
        <v>74</v>
      </c>
      <c r="BI2781">
        <v>14</v>
      </c>
      <c r="BJ2781" t="s">
        <v>34142</v>
      </c>
      <c r="BK2781" t="s">
        <v>99</v>
      </c>
      <c r="BL2781" t="s">
        <v>34141</v>
      </c>
      <c r="BM2781" t="s">
        <v>46283</v>
      </c>
      <c r="BN2781" t="s">
        <v>74</v>
      </c>
      <c r="BO2781" t="s">
        <v>74</v>
      </c>
      <c r="BP2781" t="s">
        <v>74</v>
      </c>
      <c r="BQ2781" t="s">
        <v>74</v>
      </c>
      <c r="BR2781" t="s">
        <v>102</v>
      </c>
      <c r="BS2781" t="s">
        <v>46284</v>
      </c>
      <c r="BT2781" t="str">
        <f>HYPERLINK("https%3A%2F%2Fwww.webofscience.com%2Fwos%2Fwoscc%2Ffull-record%2FWOS:000170992200011","View Full Record in Web of Science")</f>
        <v>View Full Record in Web of Science</v>
      </c>
    </row>
    <row r="2782" spans="1:72" x14ac:dyDescent="0.25">
      <c r="A2782" t="s">
        <v>72</v>
      </c>
      <c r="B2782" t="s">
        <v>46285</v>
      </c>
      <c r="C2782" t="s">
        <v>74</v>
      </c>
      <c r="D2782" t="s">
        <v>74</v>
      </c>
      <c r="E2782" t="s">
        <v>74</v>
      </c>
      <c r="F2782" t="s">
        <v>46286</v>
      </c>
      <c r="G2782" t="s">
        <v>74</v>
      </c>
      <c r="H2782" t="s">
        <v>74</v>
      </c>
      <c r="I2782" t="s">
        <v>46287</v>
      </c>
      <c r="J2782" t="s">
        <v>28279</v>
      </c>
      <c r="K2782" t="s">
        <v>74</v>
      </c>
      <c r="L2782" t="s">
        <v>74</v>
      </c>
      <c r="M2782" t="s">
        <v>78</v>
      </c>
      <c r="N2782" t="s">
        <v>79</v>
      </c>
      <c r="O2782" t="s">
        <v>74</v>
      </c>
      <c r="P2782" t="s">
        <v>74</v>
      </c>
      <c r="Q2782" t="s">
        <v>74</v>
      </c>
      <c r="R2782" t="s">
        <v>74</v>
      </c>
      <c r="S2782" t="s">
        <v>74</v>
      </c>
      <c r="T2782" t="s">
        <v>46288</v>
      </c>
      <c r="U2782" t="s">
        <v>46289</v>
      </c>
      <c r="V2782" t="s">
        <v>46290</v>
      </c>
      <c r="W2782" t="s">
        <v>46291</v>
      </c>
      <c r="X2782" t="s">
        <v>43439</v>
      </c>
      <c r="Y2782" t="s">
        <v>46292</v>
      </c>
      <c r="Z2782" t="s">
        <v>46293</v>
      </c>
      <c r="AA2782" t="s">
        <v>23682</v>
      </c>
      <c r="AB2782" t="s">
        <v>23681</v>
      </c>
      <c r="AC2782" t="s">
        <v>74</v>
      </c>
      <c r="AD2782" t="s">
        <v>74</v>
      </c>
      <c r="AE2782" t="s">
        <v>74</v>
      </c>
      <c r="AF2782" t="s">
        <v>74</v>
      </c>
      <c r="AG2782">
        <v>177</v>
      </c>
      <c r="AH2782">
        <v>0</v>
      </c>
      <c r="AI2782">
        <v>0</v>
      </c>
      <c r="AJ2782">
        <v>1</v>
      </c>
      <c r="AK2782">
        <v>1</v>
      </c>
      <c r="AL2782" t="s">
        <v>89</v>
      </c>
      <c r="AM2782" t="s">
        <v>90</v>
      </c>
      <c r="AN2782" t="s">
        <v>91</v>
      </c>
      <c r="AO2782" t="s">
        <v>28269</v>
      </c>
      <c r="AP2782" t="s">
        <v>28268</v>
      </c>
      <c r="AQ2782" t="s">
        <v>74</v>
      </c>
      <c r="AR2782" t="s">
        <v>28267</v>
      </c>
      <c r="AS2782" t="s">
        <v>28266</v>
      </c>
      <c r="AT2782" t="s">
        <v>46294</v>
      </c>
      <c r="AU2782">
        <v>2025</v>
      </c>
      <c r="AV2782">
        <v>32</v>
      </c>
      <c r="AW2782">
        <v>6</v>
      </c>
      <c r="AX2782" t="s">
        <v>74</v>
      </c>
      <c r="AY2782" t="s">
        <v>74</v>
      </c>
      <c r="AZ2782" t="s">
        <v>74</v>
      </c>
      <c r="BA2782" t="s">
        <v>74</v>
      </c>
      <c r="BB2782">
        <v>1250</v>
      </c>
      <c r="BC2782">
        <v>1284</v>
      </c>
      <c r="BD2782" t="s">
        <v>74</v>
      </c>
      <c r="BE2782" t="s">
        <v>46295</v>
      </c>
      <c r="BF2782" t="str">
        <f>HYPERLINK("http://dx.doi.org/10.1108/JSBED-03-2023-0108","http://dx.doi.org/10.1108/JSBED-03-2023-0108")</f>
        <v>http://dx.doi.org/10.1108/JSBED-03-2023-0108</v>
      </c>
      <c r="BG2782" t="s">
        <v>74</v>
      </c>
      <c r="BH2782" t="s">
        <v>5030</v>
      </c>
      <c r="BI2782">
        <v>35</v>
      </c>
      <c r="BJ2782" t="s">
        <v>418</v>
      </c>
      <c r="BK2782" t="s">
        <v>313</v>
      </c>
      <c r="BL2782" t="s">
        <v>100</v>
      </c>
      <c r="BM2782" t="s">
        <v>46296</v>
      </c>
      <c r="BN2782" t="s">
        <v>74</v>
      </c>
      <c r="BO2782" t="s">
        <v>74</v>
      </c>
      <c r="BP2782" t="s">
        <v>74</v>
      </c>
      <c r="BQ2782" t="s">
        <v>74</v>
      </c>
      <c r="BR2782" t="s">
        <v>102</v>
      </c>
      <c r="BS2782" t="s">
        <v>46297</v>
      </c>
      <c r="BT2782" t="str">
        <f>HYPERLINK("https%3A%2F%2Fwww.webofscience.com%2Fwos%2Fwoscc%2Ffull-record%2FWOS:001556525100001","View Full Record in Web of Science")</f>
        <v>View Full Record in Web of Science</v>
      </c>
    </row>
    <row r="2783" spans="1:72" x14ac:dyDescent="0.25">
      <c r="A2783" t="s">
        <v>72</v>
      </c>
      <c r="B2783" t="s">
        <v>46298</v>
      </c>
      <c r="C2783" t="s">
        <v>74</v>
      </c>
      <c r="D2783" t="s">
        <v>74</v>
      </c>
      <c r="E2783" t="s">
        <v>74</v>
      </c>
      <c r="F2783" t="s">
        <v>46299</v>
      </c>
      <c r="G2783" t="s">
        <v>74</v>
      </c>
      <c r="H2783" t="s">
        <v>74</v>
      </c>
      <c r="I2783" t="s">
        <v>46300</v>
      </c>
      <c r="J2783" t="s">
        <v>41781</v>
      </c>
      <c r="K2783" t="s">
        <v>74</v>
      </c>
      <c r="L2783" t="s">
        <v>74</v>
      </c>
      <c r="M2783" t="s">
        <v>78</v>
      </c>
      <c r="N2783" t="s">
        <v>16500</v>
      </c>
      <c r="O2783" t="s">
        <v>74</v>
      </c>
      <c r="P2783" t="s">
        <v>74</v>
      </c>
      <c r="Q2783" t="s">
        <v>74</v>
      </c>
      <c r="R2783" t="s">
        <v>74</v>
      </c>
      <c r="S2783" t="s">
        <v>74</v>
      </c>
      <c r="T2783" t="s">
        <v>46301</v>
      </c>
      <c r="U2783" t="s">
        <v>46302</v>
      </c>
      <c r="V2783" t="s">
        <v>46303</v>
      </c>
      <c r="W2783" t="s">
        <v>46304</v>
      </c>
      <c r="X2783" t="s">
        <v>46305</v>
      </c>
      <c r="Y2783" t="s">
        <v>46306</v>
      </c>
      <c r="Z2783" t="s">
        <v>46307</v>
      </c>
      <c r="AA2783" t="s">
        <v>46308</v>
      </c>
      <c r="AB2783" t="s">
        <v>74</v>
      </c>
      <c r="AC2783" t="s">
        <v>74</v>
      </c>
      <c r="AD2783" t="s">
        <v>74</v>
      </c>
      <c r="AE2783" t="s">
        <v>74</v>
      </c>
      <c r="AF2783" t="s">
        <v>74</v>
      </c>
      <c r="AG2783">
        <v>35</v>
      </c>
      <c r="AH2783">
        <v>3</v>
      </c>
      <c r="AI2783">
        <v>3</v>
      </c>
      <c r="AJ2783">
        <v>7</v>
      </c>
      <c r="AK2783">
        <v>10</v>
      </c>
      <c r="AL2783" t="s">
        <v>89</v>
      </c>
      <c r="AM2783" t="s">
        <v>90</v>
      </c>
      <c r="AN2783" t="s">
        <v>91</v>
      </c>
      <c r="AO2783" t="s">
        <v>41789</v>
      </c>
      <c r="AP2783" t="s">
        <v>41790</v>
      </c>
      <c r="AQ2783" t="s">
        <v>74</v>
      </c>
      <c r="AR2783" t="s">
        <v>41791</v>
      </c>
      <c r="AS2783" t="s">
        <v>41792</v>
      </c>
      <c r="AT2783" t="s">
        <v>46309</v>
      </c>
      <c r="AU2783">
        <v>2025</v>
      </c>
      <c r="AV2783" t="s">
        <v>74</v>
      </c>
      <c r="AW2783" t="s">
        <v>74</v>
      </c>
      <c r="AX2783" t="s">
        <v>74</v>
      </c>
      <c r="AY2783" t="s">
        <v>74</v>
      </c>
      <c r="AZ2783" t="s">
        <v>74</v>
      </c>
      <c r="BA2783" t="s">
        <v>74</v>
      </c>
      <c r="BB2783" t="s">
        <v>74</v>
      </c>
      <c r="BC2783" t="s">
        <v>74</v>
      </c>
      <c r="BD2783" t="s">
        <v>74</v>
      </c>
      <c r="BE2783" t="s">
        <v>46310</v>
      </c>
      <c r="BF2783" t="str">
        <f>HYPERLINK("http://dx.doi.org/10.1108/MHSI-03-2025-0101","http://dx.doi.org/10.1108/MHSI-03-2025-0101")</f>
        <v>http://dx.doi.org/10.1108/MHSI-03-2025-0101</v>
      </c>
      <c r="BG2783" t="s">
        <v>74</v>
      </c>
      <c r="BH2783" t="s">
        <v>1485</v>
      </c>
      <c r="BI2783">
        <v>12</v>
      </c>
      <c r="BJ2783" t="s">
        <v>2045</v>
      </c>
      <c r="BK2783" t="s">
        <v>313</v>
      </c>
      <c r="BL2783" t="s">
        <v>2045</v>
      </c>
      <c r="BM2783" t="s">
        <v>46311</v>
      </c>
      <c r="BN2783" t="s">
        <v>74</v>
      </c>
      <c r="BO2783" t="s">
        <v>74</v>
      </c>
      <c r="BP2783" t="s">
        <v>74</v>
      </c>
      <c r="BQ2783" t="s">
        <v>74</v>
      </c>
      <c r="BR2783" t="s">
        <v>102</v>
      </c>
      <c r="BS2783" t="s">
        <v>46312</v>
      </c>
      <c r="BT2783" t="str">
        <f>HYPERLINK("https%3A%2F%2Fwww.webofscience.com%2Fwos%2Fwoscc%2Ffull-record%2FWOS:001466692900001","View Full Record in Web of Science")</f>
        <v>View Full Record in Web of Science</v>
      </c>
    </row>
    <row r="2784" spans="1:72" x14ac:dyDescent="0.25">
      <c r="A2784" t="s">
        <v>72</v>
      </c>
      <c r="B2784" t="s">
        <v>46313</v>
      </c>
      <c r="C2784" t="s">
        <v>74</v>
      </c>
      <c r="D2784" t="s">
        <v>74</v>
      </c>
      <c r="E2784" t="s">
        <v>74</v>
      </c>
      <c r="F2784" t="s">
        <v>46314</v>
      </c>
      <c r="G2784" t="s">
        <v>74</v>
      </c>
      <c r="H2784" t="s">
        <v>74</v>
      </c>
      <c r="I2784" t="s">
        <v>46315</v>
      </c>
      <c r="J2784" t="s">
        <v>22805</v>
      </c>
      <c r="K2784" t="s">
        <v>74</v>
      </c>
      <c r="L2784" t="s">
        <v>74</v>
      </c>
      <c r="M2784" t="s">
        <v>78</v>
      </c>
      <c r="N2784" t="s">
        <v>79</v>
      </c>
      <c r="O2784" t="s">
        <v>74</v>
      </c>
      <c r="P2784" t="s">
        <v>74</v>
      </c>
      <c r="Q2784" t="s">
        <v>74</v>
      </c>
      <c r="R2784" t="s">
        <v>74</v>
      </c>
      <c r="S2784" t="s">
        <v>74</v>
      </c>
      <c r="T2784" t="s">
        <v>46316</v>
      </c>
      <c r="U2784" t="s">
        <v>46317</v>
      </c>
      <c r="V2784" t="s">
        <v>46318</v>
      </c>
      <c r="W2784" t="s">
        <v>46319</v>
      </c>
      <c r="X2784" t="s">
        <v>46320</v>
      </c>
      <c r="Y2784" t="s">
        <v>46321</v>
      </c>
      <c r="Z2784" t="s">
        <v>46322</v>
      </c>
      <c r="AA2784" t="s">
        <v>46323</v>
      </c>
      <c r="AB2784" t="s">
        <v>74</v>
      </c>
      <c r="AC2784" t="s">
        <v>74</v>
      </c>
      <c r="AD2784" t="s">
        <v>74</v>
      </c>
      <c r="AE2784" t="s">
        <v>74</v>
      </c>
      <c r="AF2784" t="s">
        <v>74</v>
      </c>
      <c r="AG2784">
        <v>119</v>
      </c>
      <c r="AH2784">
        <v>0</v>
      </c>
      <c r="AI2784">
        <v>0</v>
      </c>
      <c r="AJ2784">
        <v>1</v>
      </c>
      <c r="AK2784">
        <v>1</v>
      </c>
      <c r="AL2784" t="s">
        <v>201</v>
      </c>
      <c r="AM2784" t="s">
        <v>202</v>
      </c>
      <c r="AN2784" t="s">
        <v>203</v>
      </c>
      <c r="AO2784" t="s">
        <v>22797</v>
      </c>
      <c r="AP2784" t="s">
        <v>22796</v>
      </c>
      <c r="AQ2784" t="s">
        <v>74</v>
      </c>
      <c r="AR2784" t="s">
        <v>22795</v>
      </c>
      <c r="AS2784" t="s">
        <v>22794</v>
      </c>
      <c r="AT2784" t="s">
        <v>208</v>
      </c>
      <c r="AU2784">
        <v>2026</v>
      </c>
      <c r="AV2784">
        <v>106</v>
      </c>
      <c r="AW2784" t="s">
        <v>74</v>
      </c>
      <c r="AX2784" t="s">
        <v>74</v>
      </c>
      <c r="AY2784" t="s">
        <v>74</v>
      </c>
      <c r="AZ2784" t="s">
        <v>74</v>
      </c>
      <c r="BA2784" t="s">
        <v>74</v>
      </c>
      <c r="BB2784" t="s">
        <v>74</v>
      </c>
      <c r="BC2784" t="s">
        <v>74</v>
      </c>
      <c r="BD2784">
        <v>102244</v>
      </c>
      <c r="BE2784" t="s">
        <v>46324</v>
      </c>
      <c r="BF2784" t="str">
        <f>HYPERLINK("http://dx.doi.org/10.1016/j.intfin.2025.102244","http://dx.doi.org/10.1016/j.intfin.2025.102244")</f>
        <v>http://dx.doi.org/10.1016/j.intfin.2025.102244</v>
      </c>
      <c r="BG2784" t="s">
        <v>74</v>
      </c>
      <c r="BH2784" t="s">
        <v>1737</v>
      </c>
      <c r="BI2784">
        <v>25</v>
      </c>
      <c r="BJ2784" t="s">
        <v>210</v>
      </c>
      <c r="BK2784" t="s">
        <v>99</v>
      </c>
      <c r="BL2784" t="s">
        <v>100</v>
      </c>
      <c r="BM2784" t="s">
        <v>46325</v>
      </c>
      <c r="BN2784" t="s">
        <v>74</v>
      </c>
      <c r="BO2784" t="s">
        <v>270</v>
      </c>
      <c r="BP2784" t="s">
        <v>74</v>
      </c>
      <c r="BQ2784" t="s">
        <v>74</v>
      </c>
      <c r="BR2784" t="s">
        <v>102</v>
      </c>
      <c r="BS2784" t="s">
        <v>46326</v>
      </c>
      <c r="BT2784" t="str">
        <f>HYPERLINK("https%3A%2F%2Fwww.webofscience.com%2Fwos%2Fwoscc%2Ffull-record%2FWOS:001614891900001","View Full Record in Web of Science")</f>
        <v>View Full Record in Web of Science</v>
      </c>
    </row>
    <row r="2785" spans="1:72" x14ac:dyDescent="0.25">
      <c r="A2785" t="s">
        <v>72</v>
      </c>
      <c r="B2785" t="s">
        <v>46327</v>
      </c>
      <c r="C2785" t="s">
        <v>74</v>
      </c>
      <c r="D2785" t="s">
        <v>74</v>
      </c>
      <c r="E2785" t="s">
        <v>74</v>
      </c>
      <c r="F2785" t="s">
        <v>46328</v>
      </c>
      <c r="G2785" t="s">
        <v>74</v>
      </c>
      <c r="H2785" t="s">
        <v>74</v>
      </c>
      <c r="I2785" t="s">
        <v>46329</v>
      </c>
      <c r="J2785" t="s">
        <v>46330</v>
      </c>
      <c r="K2785" t="s">
        <v>74</v>
      </c>
      <c r="L2785" t="s">
        <v>74</v>
      </c>
      <c r="M2785" t="s">
        <v>78</v>
      </c>
      <c r="N2785" t="s">
        <v>79</v>
      </c>
      <c r="O2785" t="s">
        <v>74</v>
      </c>
      <c r="P2785" t="s">
        <v>74</v>
      </c>
      <c r="Q2785" t="s">
        <v>74</v>
      </c>
      <c r="R2785" t="s">
        <v>74</v>
      </c>
      <c r="S2785" t="s">
        <v>74</v>
      </c>
      <c r="T2785" t="s">
        <v>74</v>
      </c>
      <c r="U2785" t="s">
        <v>46331</v>
      </c>
      <c r="V2785" t="s">
        <v>46332</v>
      </c>
      <c r="W2785" t="s">
        <v>46333</v>
      </c>
      <c r="X2785" t="s">
        <v>46334</v>
      </c>
      <c r="Y2785" t="s">
        <v>46335</v>
      </c>
      <c r="Z2785" t="s">
        <v>46336</v>
      </c>
      <c r="AA2785" t="s">
        <v>46337</v>
      </c>
      <c r="AB2785" t="s">
        <v>46338</v>
      </c>
      <c r="AC2785" t="s">
        <v>46339</v>
      </c>
      <c r="AD2785" t="s">
        <v>46340</v>
      </c>
      <c r="AE2785" t="s">
        <v>46341</v>
      </c>
      <c r="AF2785" t="s">
        <v>74</v>
      </c>
      <c r="AG2785">
        <v>31</v>
      </c>
      <c r="AH2785">
        <v>44</v>
      </c>
      <c r="AI2785">
        <v>47</v>
      </c>
      <c r="AJ2785">
        <v>1</v>
      </c>
      <c r="AK2785">
        <v>11</v>
      </c>
      <c r="AL2785" t="s">
        <v>46342</v>
      </c>
      <c r="AM2785" t="s">
        <v>3381</v>
      </c>
      <c r="AN2785" t="s">
        <v>46343</v>
      </c>
      <c r="AO2785" t="s">
        <v>46344</v>
      </c>
      <c r="AP2785" t="s">
        <v>74</v>
      </c>
      <c r="AQ2785" t="s">
        <v>74</v>
      </c>
      <c r="AR2785" t="s">
        <v>46345</v>
      </c>
      <c r="AS2785" t="s">
        <v>46346</v>
      </c>
      <c r="AT2785" t="s">
        <v>16315</v>
      </c>
      <c r="AU2785">
        <v>2022</v>
      </c>
      <c r="AV2785">
        <v>5</v>
      </c>
      <c r="AW2785">
        <v>7</v>
      </c>
      <c r="AX2785" t="s">
        <v>74</v>
      </c>
      <c r="AY2785" t="s">
        <v>74</v>
      </c>
      <c r="AZ2785" t="s">
        <v>74</v>
      </c>
      <c r="BA2785" t="s">
        <v>74</v>
      </c>
      <c r="BB2785" t="s">
        <v>74</v>
      </c>
      <c r="BC2785" t="s">
        <v>74</v>
      </c>
      <c r="BD2785" t="s">
        <v>46347</v>
      </c>
      <c r="BE2785" t="s">
        <v>46348</v>
      </c>
      <c r="BF2785" t="str">
        <f>HYPERLINK("http://dx.doi.org/10.1001/jamanetworkopen.2022.23141","http://dx.doi.org/10.1001/jamanetworkopen.2022.23141")</f>
        <v>http://dx.doi.org/10.1001/jamanetworkopen.2022.23141</v>
      </c>
      <c r="BG2785" t="s">
        <v>74</v>
      </c>
      <c r="BH2785" t="s">
        <v>74</v>
      </c>
      <c r="BI2785">
        <v>11</v>
      </c>
      <c r="BJ2785" t="s">
        <v>2756</v>
      </c>
      <c r="BK2785" t="s">
        <v>128</v>
      </c>
      <c r="BL2785" t="s">
        <v>2757</v>
      </c>
      <c r="BM2785" t="s">
        <v>46349</v>
      </c>
      <c r="BN2785">
        <v>35877122</v>
      </c>
      <c r="BO2785" t="s">
        <v>916</v>
      </c>
      <c r="BP2785" t="s">
        <v>74</v>
      </c>
      <c r="BQ2785" t="s">
        <v>74</v>
      </c>
      <c r="BR2785" t="s">
        <v>102</v>
      </c>
      <c r="BS2785" t="s">
        <v>46350</v>
      </c>
      <c r="BT2785" t="str">
        <f>HYPERLINK("https%3A%2F%2Fwww.webofscience.com%2Fwos%2Fwoscc%2Ffull-record%2FWOS:000832629600002","View Full Record in Web of Science")</f>
        <v>View Full Record in Web of Science</v>
      </c>
    </row>
    <row r="2786" spans="1:72" x14ac:dyDescent="0.25">
      <c r="A2786" t="s">
        <v>72</v>
      </c>
      <c r="B2786" t="s">
        <v>46351</v>
      </c>
      <c r="C2786" t="s">
        <v>74</v>
      </c>
      <c r="D2786" t="s">
        <v>74</v>
      </c>
      <c r="E2786" t="s">
        <v>74</v>
      </c>
      <c r="F2786" t="s">
        <v>46352</v>
      </c>
      <c r="G2786" t="s">
        <v>74</v>
      </c>
      <c r="H2786" t="s">
        <v>74</v>
      </c>
      <c r="I2786" t="s">
        <v>46353</v>
      </c>
      <c r="J2786" t="s">
        <v>46354</v>
      </c>
      <c r="K2786" t="s">
        <v>74</v>
      </c>
      <c r="L2786" t="s">
        <v>74</v>
      </c>
      <c r="M2786" t="s">
        <v>78</v>
      </c>
      <c r="N2786" t="s">
        <v>79</v>
      </c>
      <c r="O2786" t="s">
        <v>74</v>
      </c>
      <c r="P2786" t="s">
        <v>74</v>
      </c>
      <c r="Q2786" t="s">
        <v>74</v>
      </c>
      <c r="R2786" t="s">
        <v>74</v>
      </c>
      <c r="S2786" t="s">
        <v>74</v>
      </c>
      <c r="T2786" t="s">
        <v>74</v>
      </c>
      <c r="U2786" t="s">
        <v>46355</v>
      </c>
      <c r="V2786" t="s">
        <v>46356</v>
      </c>
      <c r="W2786" t="s">
        <v>46357</v>
      </c>
      <c r="X2786" t="s">
        <v>33070</v>
      </c>
      <c r="Y2786" t="s">
        <v>46358</v>
      </c>
      <c r="Z2786" t="s">
        <v>46359</v>
      </c>
      <c r="AA2786" t="s">
        <v>74</v>
      </c>
      <c r="AB2786" t="s">
        <v>74</v>
      </c>
      <c r="AC2786" t="s">
        <v>74</v>
      </c>
      <c r="AD2786" t="s">
        <v>74</v>
      </c>
      <c r="AE2786" t="s">
        <v>74</v>
      </c>
      <c r="AF2786" t="s">
        <v>74</v>
      </c>
      <c r="AG2786">
        <v>72</v>
      </c>
      <c r="AH2786">
        <v>7</v>
      </c>
      <c r="AI2786">
        <v>10</v>
      </c>
      <c r="AJ2786">
        <v>1</v>
      </c>
      <c r="AK2786">
        <v>22</v>
      </c>
      <c r="AL2786" t="s">
        <v>332</v>
      </c>
      <c r="AM2786" t="s">
        <v>333</v>
      </c>
      <c r="AN2786" t="s">
        <v>334</v>
      </c>
      <c r="AO2786" t="s">
        <v>46360</v>
      </c>
      <c r="AP2786" t="s">
        <v>46361</v>
      </c>
      <c r="AQ2786" t="s">
        <v>74</v>
      </c>
      <c r="AR2786" t="s">
        <v>46362</v>
      </c>
      <c r="AS2786" t="s">
        <v>46363</v>
      </c>
      <c r="AT2786" t="s">
        <v>868</v>
      </c>
      <c r="AU2786">
        <v>2013</v>
      </c>
      <c r="AV2786">
        <v>12</v>
      </c>
      <c r="AW2786">
        <v>4</v>
      </c>
      <c r="AX2786" t="s">
        <v>74</v>
      </c>
      <c r="AY2786" t="s">
        <v>74</v>
      </c>
      <c r="AZ2786" t="s">
        <v>74</v>
      </c>
      <c r="BA2786" t="s">
        <v>74</v>
      </c>
      <c r="BB2786">
        <v>491</v>
      </c>
      <c r="BC2786">
        <v>510</v>
      </c>
      <c r="BD2786" t="s">
        <v>74</v>
      </c>
      <c r="BE2786" t="s">
        <v>46364</v>
      </c>
      <c r="BF2786" t="str">
        <f>HYPERLINK("http://dx.doi.org/10.1080/14754835.2013.812468","http://dx.doi.org/10.1080/14754835.2013.812468")</f>
        <v>http://dx.doi.org/10.1080/14754835.2013.812468</v>
      </c>
      <c r="BG2786" t="s">
        <v>74</v>
      </c>
      <c r="BH2786" t="s">
        <v>74</v>
      </c>
      <c r="BI2786">
        <v>20</v>
      </c>
      <c r="BJ2786" t="s">
        <v>1040</v>
      </c>
      <c r="BK2786" t="s">
        <v>99</v>
      </c>
      <c r="BL2786" t="s">
        <v>1041</v>
      </c>
      <c r="BM2786" t="s">
        <v>46365</v>
      </c>
      <c r="BN2786" t="s">
        <v>74</v>
      </c>
      <c r="BO2786" t="s">
        <v>74</v>
      </c>
      <c r="BP2786" t="s">
        <v>74</v>
      </c>
      <c r="BQ2786" t="s">
        <v>74</v>
      </c>
      <c r="BR2786" t="s">
        <v>102</v>
      </c>
      <c r="BS2786" t="s">
        <v>46366</v>
      </c>
      <c r="BT2786" t="str">
        <f>HYPERLINK("https%3A%2F%2Fwww.webofscience.com%2Fwos%2Fwoscc%2Ffull-record%2FWOS:000327474500006","View Full Record in Web of Science")</f>
        <v>View Full Record in Web of Science</v>
      </c>
    </row>
    <row r="2787" spans="1:72" x14ac:dyDescent="0.25">
      <c r="A2787" t="s">
        <v>72</v>
      </c>
      <c r="B2787" t="s">
        <v>46367</v>
      </c>
      <c r="C2787" t="s">
        <v>74</v>
      </c>
      <c r="D2787" t="s">
        <v>74</v>
      </c>
      <c r="E2787" t="s">
        <v>74</v>
      </c>
      <c r="F2787" t="s">
        <v>46368</v>
      </c>
      <c r="G2787" t="s">
        <v>74</v>
      </c>
      <c r="H2787" t="s">
        <v>74</v>
      </c>
      <c r="I2787" t="s">
        <v>46369</v>
      </c>
      <c r="J2787" t="s">
        <v>11074</v>
      </c>
      <c r="K2787" t="s">
        <v>74</v>
      </c>
      <c r="L2787" t="s">
        <v>74</v>
      </c>
      <c r="M2787" t="s">
        <v>78</v>
      </c>
      <c r="N2787" t="s">
        <v>79</v>
      </c>
      <c r="O2787" t="s">
        <v>74</v>
      </c>
      <c r="P2787" t="s">
        <v>74</v>
      </c>
      <c r="Q2787" t="s">
        <v>74</v>
      </c>
      <c r="R2787" t="s">
        <v>74</v>
      </c>
      <c r="S2787" t="s">
        <v>74</v>
      </c>
      <c r="T2787" t="s">
        <v>46370</v>
      </c>
      <c r="U2787" t="s">
        <v>46371</v>
      </c>
      <c r="V2787" t="s">
        <v>46372</v>
      </c>
      <c r="W2787" t="s">
        <v>46373</v>
      </c>
      <c r="X2787" t="s">
        <v>13321</v>
      </c>
      <c r="Y2787" t="s">
        <v>46374</v>
      </c>
      <c r="Z2787" t="s">
        <v>46375</v>
      </c>
      <c r="AA2787" t="s">
        <v>46376</v>
      </c>
      <c r="AB2787" t="s">
        <v>46377</v>
      </c>
      <c r="AC2787" t="s">
        <v>74</v>
      </c>
      <c r="AD2787" t="s">
        <v>74</v>
      </c>
      <c r="AE2787" t="s">
        <v>74</v>
      </c>
      <c r="AF2787" t="s">
        <v>74</v>
      </c>
      <c r="AG2787">
        <v>91</v>
      </c>
      <c r="AH2787">
        <v>4</v>
      </c>
      <c r="AI2787">
        <v>4</v>
      </c>
      <c r="AJ2787">
        <v>0</v>
      </c>
      <c r="AK2787">
        <v>4</v>
      </c>
      <c r="AL2787" t="s">
        <v>89</v>
      </c>
      <c r="AM2787" t="s">
        <v>90</v>
      </c>
      <c r="AN2787" t="s">
        <v>91</v>
      </c>
      <c r="AO2787" t="s">
        <v>11083</v>
      </c>
      <c r="AP2787" t="s">
        <v>11084</v>
      </c>
      <c r="AQ2787" t="s">
        <v>74</v>
      </c>
      <c r="AR2787" t="s">
        <v>11085</v>
      </c>
      <c r="AS2787" t="s">
        <v>11086</v>
      </c>
      <c r="AT2787" t="s">
        <v>9278</v>
      </c>
      <c r="AU2787">
        <v>2024</v>
      </c>
      <c r="AV2787">
        <v>26</v>
      </c>
      <c r="AW2787">
        <v>5</v>
      </c>
      <c r="AX2787" t="s">
        <v>74</v>
      </c>
      <c r="AY2787" t="s">
        <v>74</v>
      </c>
      <c r="AZ2787" t="s">
        <v>74</v>
      </c>
      <c r="BA2787" t="s">
        <v>74</v>
      </c>
      <c r="BB2787">
        <v>526</v>
      </c>
      <c r="BC2787">
        <v>544</v>
      </c>
      <c r="BD2787" t="s">
        <v>74</v>
      </c>
      <c r="BE2787" t="s">
        <v>46378</v>
      </c>
      <c r="BF2787" t="str">
        <f>HYPERLINK("http://dx.doi.org/10.1108/DPRG-09-2023-0138","http://dx.doi.org/10.1108/DPRG-09-2023-0138")</f>
        <v>http://dx.doi.org/10.1108/DPRG-09-2023-0138</v>
      </c>
      <c r="BG2787" t="s">
        <v>74</v>
      </c>
      <c r="BH2787" t="s">
        <v>3535</v>
      </c>
      <c r="BI2787">
        <v>19</v>
      </c>
      <c r="BJ2787" t="s">
        <v>2351</v>
      </c>
      <c r="BK2787" t="s">
        <v>313</v>
      </c>
      <c r="BL2787" t="s">
        <v>2351</v>
      </c>
      <c r="BM2787" t="s">
        <v>46379</v>
      </c>
      <c r="BN2787" t="s">
        <v>74</v>
      </c>
      <c r="BO2787" t="s">
        <v>74</v>
      </c>
      <c r="BP2787" t="s">
        <v>74</v>
      </c>
      <c r="BQ2787" t="s">
        <v>74</v>
      </c>
      <c r="BR2787" t="s">
        <v>102</v>
      </c>
      <c r="BS2787" t="s">
        <v>46380</v>
      </c>
      <c r="BT2787" t="str">
        <f>HYPERLINK("https%3A%2F%2Fwww.webofscience.com%2Fwos%2Fwoscc%2Ffull-record%2FWOS:001097540000001","View Full Record in Web of Science")</f>
        <v>View Full Record in Web of Science</v>
      </c>
    </row>
    <row r="2788" spans="1:72" x14ac:dyDescent="0.25">
      <c r="A2788" t="s">
        <v>72</v>
      </c>
      <c r="B2788" t="s">
        <v>46381</v>
      </c>
      <c r="C2788" t="s">
        <v>74</v>
      </c>
      <c r="D2788" t="s">
        <v>74</v>
      </c>
      <c r="E2788" t="s">
        <v>74</v>
      </c>
      <c r="F2788" t="s">
        <v>46382</v>
      </c>
      <c r="G2788" t="s">
        <v>74</v>
      </c>
      <c r="H2788" t="s">
        <v>74</v>
      </c>
      <c r="I2788" t="s">
        <v>46383</v>
      </c>
      <c r="J2788" t="s">
        <v>46384</v>
      </c>
      <c r="K2788" t="s">
        <v>74</v>
      </c>
      <c r="L2788" t="s">
        <v>74</v>
      </c>
      <c r="M2788" t="s">
        <v>78</v>
      </c>
      <c r="N2788" t="s">
        <v>79</v>
      </c>
      <c r="O2788" t="s">
        <v>74</v>
      </c>
      <c r="P2788" t="s">
        <v>74</v>
      </c>
      <c r="Q2788" t="s">
        <v>74</v>
      </c>
      <c r="R2788" t="s">
        <v>74</v>
      </c>
      <c r="S2788" t="s">
        <v>74</v>
      </c>
      <c r="T2788" t="s">
        <v>46385</v>
      </c>
      <c r="U2788" t="s">
        <v>46386</v>
      </c>
      <c r="V2788" t="s">
        <v>46387</v>
      </c>
      <c r="W2788" t="s">
        <v>46388</v>
      </c>
      <c r="X2788" t="s">
        <v>46389</v>
      </c>
      <c r="Y2788" t="s">
        <v>46390</v>
      </c>
      <c r="Z2788" t="s">
        <v>46391</v>
      </c>
      <c r="AA2788" t="s">
        <v>46392</v>
      </c>
      <c r="AB2788" t="s">
        <v>46393</v>
      </c>
      <c r="AC2788" t="s">
        <v>46394</v>
      </c>
      <c r="AD2788" t="s">
        <v>46395</v>
      </c>
      <c r="AE2788" t="s">
        <v>46396</v>
      </c>
      <c r="AF2788" t="s">
        <v>74</v>
      </c>
      <c r="AG2788">
        <v>21</v>
      </c>
      <c r="AH2788">
        <v>1</v>
      </c>
      <c r="AI2788">
        <v>2</v>
      </c>
      <c r="AJ2788">
        <v>0</v>
      </c>
      <c r="AK2788">
        <v>27</v>
      </c>
      <c r="AL2788" t="s">
        <v>479</v>
      </c>
      <c r="AM2788" t="s">
        <v>480</v>
      </c>
      <c r="AN2788" t="s">
        <v>481</v>
      </c>
      <c r="AO2788" t="s">
        <v>46397</v>
      </c>
      <c r="AP2788" t="s">
        <v>46398</v>
      </c>
      <c r="AQ2788" t="s">
        <v>74</v>
      </c>
      <c r="AR2788" t="s">
        <v>46399</v>
      </c>
      <c r="AS2788" t="s">
        <v>46400</v>
      </c>
      <c r="AT2788" t="s">
        <v>698</v>
      </c>
      <c r="AU2788">
        <v>2022</v>
      </c>
      <c r="AV2788">
        <v>37</v>
      </c>
      <c r="AW2788">
        <v>6</v>
      </c>
      <c r="AX2788" t="s">
        <v>74</v>
      </c>
      <c r="AY2788" t="s">
        <v>74</v>
      </c>
      <c r="AZ2788" t="s">
        <v>74</v>
      </c>
      <c r="BA2788" t="s">
        <v>74</v>
      </c>
      <c r="BB2788">
        <v>1266</v>
      </c>
      <c r="BC2788">
        <v>1274</v>
      </c>
      <c r="BD2788" t="s">
        <v>74</v>
      </c>
      <c r="BE2788" t="s">
        <v>46401</v>
      </c>
      <c r="BF2788" t="str">
        <f>HYPERLINK("http://dx.doi.org/10.1002/jae.2922","http://dx.doi.org/10.1002/jae.2922")</f>
        <v>http://dx.doi.org/10.1002/jae.2922</v>
      </c>
      <c r="BG2788" t="s">
        <v>74</v>
      </c>
      <c r="BH2788" t="s">
        <v>126</v>
      </c>
      <c r="BI2788">
        <v>9</v>
      </c>
      <c r="BJ2788" t="s">
        <v>2023</v>
      </c>
      <c r="BK2788" t="s">
        <v>99</v>
      </c>
      <c r="BL2788" t="s">
        <v>2024</v>
      </c>
      <c r="BM2788" t="s">
        <v>46402</v>
      </c>
      <c r="BN2788" t="s">
        <v>74</v>
      </c>
      <c r="BO2788" t="s">
        <v>74</v>
      </c>
      <c r="BP2788" t="s">
        <v>74</v>
      </c>
      <c r="BQ2788" t="s">
        <v>74</v>
      </c>
      <c r="BR2788" t="s">
        <v>102</v>
      </c>
      <c r="BS2788" t="s">
        <v>46403</v>
      </c>
      <c r="BT2788" t="str">
        <f>HYPERLINK("https%3A%2F%2Fwww.webofscience.com%2Fwos%2Fwoscc%2Ffull-record%2FWOS:000827080900001","View Full Record in Web of Science")</f>
        <v>View Full Record in Web of Science</v>
      </c>
    </row>
    <row r="2789" spans="1:72" x14ac:dyDescent="0.25">
      <c r="A2789" t="s">
        <v>72</v>
      </c>
      <c r="B2789" t="s">
        <v>46404</v>
      </c>
      <c r="C2789" t="s">
        <v>74</v>
      </c>
      <c r="D2789" t="s">
        <v>74</v>
      </c>
      <c r="E2789" t="s">
        <v>74</v>
      </c>
      <c r="F2789" t="s">
        <v>46405</v>
      </c>
      <c r="G2789" t="s">
        <v>74</v>
      </c>
      <c r="H2789" t="s">
        <v>74</v>
      </c>
      <c r="I2789" t="s">
        <v>46406</v>
      </c>
      <c r="J2789" t="s">
        <v>18344</v>
      </c>
      <c r="K2789" t="s">
        <v>74</v>
      </c>
      <c r="L2789" t="s">
        <v>74</v>
      </c>
      <c r="M2789" t="s">
        <v>78</v>
      </c>
      <c r="N2789" t="s">
        <v>79</v>
      </c>
      <c r="O2789" t="s">
        <v>74</v>
      </c>
      <c r="P2789" t="s">
        <v>74</v>
      </c>
      <c r="Q2789" t="s">
        <v>74</v>
      </c>
      <c r="R2789" t="s">
        <v>74</v>
      </c>
      <c r="S2789" t="s">
        <v>74</v>
      </c>
      <c r="T2789" t="s">
        <v>46407</v>
      </c>
      <c r="U2789" t="s">
        <v>16534</v>
      </c>
      <c r="V2789" t="s">
        <v>46408</v>
      </c>
      <c r="W2789" t="s">
        <v>46409</v>
      </c>
      <c r="X2789" t="s">
        <v>46410</v>
      </c>
      <c r="Y2789" t="s">
        <v>46411</v>
      </c>
      <c r="Z2789" t="s">
        <v>46412</v>
      </c>
      <c r="AA2789" t="s">
        <v>46413</v>
      </c>
      <c r="AB2789" t="s">
        <v>46414</v>
      </c>
      <c r="AC2789" t="s">
        <v>74</v>
      </c>
      <c r="AD2789" t="s">
        <v>74</v>
      </c>
      <c r="AE2789" t="s">
        <v>74</v>
      </c>
      <c r="AF2789" t="s">
        <v>74</v>
      </c>
      <c r="AG2789">
        <v>59</v>
      </c>
      <c r="AH2789">
        <v>7</v>
      </c>
      <c r="AI2789">
        <v>10</v>
      </c>
      <c r="AJ2789">
        <v>1</v>
      </c>
      <c r="AK2789">
        <v>5</v>
      </c>
      <c r="AL2789" t="s">
        <v>89</v>
      </c>
      <c r="AM2789" t="s">
        <v>1497</v>
      </c>
      <c r="AN2789" t="s">
        <v>1498</v>
      </c>
      <c r="AO2789" t="s">
        <v>18354</v>
      </c>
      <c r="AP2789" t="s">
        <v>18355</v>
      </c>
      <c r="AQ2789" t="s">
        <v>74</v>
      </c>
      <c r="AR2789" t="s">
        <v>18356</v>
      </c>
      <c r="AS2789" t="s">
        <v>18357</v>
      </c>
      <c r="AT2789" t="s">
        <v>46415</v>
      </c>
      <c r="AU2789">
        <v>2023</v>
      </c>
      <c r="AV2789">
        <v>39</v>
      </c>
      <c r="AW2789">
        <v>3</v>
      </c>
      <c r="AX2789" t="s">
        <v>74</v>
      </c>
      <c r="AY2789" t="s">
        <v>74</v>
      </c>
      <c r="AZ2789" t="s">
        <v>441</v>
      </c>
      <c r="BA2789" t="s">
        <v>74</v>
      </c>
      <c r="BB2789">
        <v>532</v>
      </c>
      <c r="BC2789">
        <v>556</v>
      </c>
      <c r="BD2789" t="s">
        <v>74</v>
      </c>
      <c r="BE2789" t="s">
        <v>46416</v>
      </c>
      <c r="BF2789" t="str">
        <f>HYPERLINK("http://dx.doi.org/10.1108/IJOES-12-2021-0230","http://dx.doi.org/10.1108/IJOES-12-2021-0230")</f>
        <v>http://dx.doi.org/10.1108/IJOES-12-2021-0230</v>
      </c>
      <c r="BG2789" t="s">
        <v>74</v>
      </c>
      <c r="BH2789" t="s">
        <v>1802</v>
      </c>
      <c r="BI2789">
        <v>25</v>
      </c>
      <c r="BJ2789" t="s">
        <v>291</v>
      </c>
      <c r="BK2789" t="s">
        <v>313</v>
      </c>
      <c r="BL2789" t="s">
        <v>100</v>
      </c>
      <c r="BM2789" t="s">
        <v>46417</v>
      </c>
      <c r="BN2789" t="s">
        <v>74</v>
      </c>
      <c r="BO2789" t="s">
        <v>74</v>
      </c>
      <c r="BP2789" t="s">
        <v>74</v>
      </c>
      <c r="BQ2789" t="s">
        <v>74</v>
      </c>
      <c r="BR2789" t="s">
        <v>102</v>
      </c>
      <c r="BS2789" t="s">
        <v>46418</v>
      </c>
      <c r="BT2789" t="str">
        <f>HYPERLINK("https%3A%2F%2Fwww.webofscience.com%2Fwos%2Fwoscc%2Ffull-record%2FWOS:000804537400001","View Full Record in Web of Science")</f>
        <v>View Full Record in Web of Science</v>
      </c>
    </row>
    <row r="2790" spans="1:72" x14ac:dyDescent="0.25">
      <c r="A2790" t="s">
        <v>72</v>
      </c>
      <c r="B2790" t="s">
        <v>46419</v>
      </c>
      <c r="C2790" t="s">
        <v>74</v>
      </c>
      <c r="D2790" t="s">
        <v>74</v>
      </c>
      <c r="E2790" t="s">
        <v>74</v>
      </c>
      <c r="F2790" t="s">
        <v>46420</v>
      </c>
      <c r="G2790" t="s">
        <v>74</v>
      </c>
      <c r="H2790" t="s">
        <v>74</v>
      </c>
      <c r="I2790" t="s">
        <v>46421</v>
      </c>
      <c r="J2790" t="s">
        <v>38646</v>
      </c>
      <c r="K2790" t="s">
        <v>74</v>
      </c>
      <c r="L2790" t="s">
        <v>74</v>
      </c>
      <c r="M2790" t="s">
        <v>78</v>
      </c>
      <c r="N2790" t="s">
        <v>79</v>
      </c>
      <c r="O2790" t="s">
        <v>74</v>
      </c>
      <c r="P2790" t="s">
        <v>74</v>
      </c>
      <c r="Q2790" t="s">
        <v>74</v>
      </c>
      <c r="R2790" t="s">
        <v>74</v>
      </c>
      <c r="S2790" t="s">
        <v>74</v>
      </c>
      <c r="T2790" t="s">
        <v>46422</v>
      </c>
      <c r="U2790" t="s">
        <v>74</v>
      </c>
      <c r="V2790" t="s">
        <v>46423</v>
      </c>
      <c r="W2790" t="s">
        <v>46424</v>
      </c>
      <c r="X2790" t="s">
        <v>46425</v>
      </c>
      <c r="Y2790" t="s">
        <v>46426</v>
      </c>
      <c r="Z2790" t="s">
        <v>46427</v>
      </c>
      <c r="AA2790" t="s">
        <v>74</v>
      </c>
      <c r="AB2790" t="s">
        <v>74</v>
      </c>
      <c r="AC2790" t="s">
        <v>46428</v>
      </c>
      <c r="AD2790" t="s">
        <v>46429</v>
      </c>
      <c r="AE2790" t="s">
        <v>46430</v>
      </c>
      <c r="AF2790" t="s">
        <v>74</v>
      </c>
      <c r="AG2790">
        <v>27</v>
      </c>
      <c r="AH2790">
        <v>1</v>
      </c>
      <c r="AI2790">
        <v>2</v>
      </c>
      <c r="AJ2790">
        <v>0</v>
      </c>
      <c r="AK2790">
        <v>4</v>
      </c>
      <c r="AL2790" t="s">
        <v>89</v>
      </c>
      <c r="AM2790" t="s">
        <v>1497</v>
      </c>
      <c r="AN2790" t="s">
        <v>1498</v>
      </c>
      <c r="AO2790" t="s">
        <v>38650</v>
      </c>
      <c r="AP2790" t="s">
        <v>38651</v>
      </c>
      <c r="AQ2790" t="s">
        <v>74</v>
      </c>
      <c r="AR2790" t="s">
        <v>38646</v>
      </c>
      <c r="AS2790" t="s">
        <v>38652</v>
      </c>
      <c r="AT2790" t="s">
        <v>4780</v>
      </c>
      <c r="AU2790">
        <v>2023</v>
      </c>
      <c r="AV2790">
        <v>25</v>
      </c>
      <c r="AW2790">
        <v>3</v>
      </c>
      <c r="AX2790" t="s">
        <v>74</v>
      </c>
      <c r="AY2790" t="s">
        <v>74</v>
      </c>
      <c r="AZ2790" t="s">
        <v>74</v>
      </c>
      <c r="BA2790" t="s">
        <v>74</v>
      </c>
      <c r="BB2790">
        <v>465</v>
      </c>
      <c r="BC2790">
        <v>473</v>
      </c>
      <c r="BD2790" t="s">
        <v>74</v>
      </c>
      <c r="BE2790" t="s">
        <v>46431</v>
      </c>
      <c r="BF2790" t="str">
        <f>HYPERLINK("http://dx.doi.org/10.1108/FS-01-2021-0003","http://dx.doi.org/10.1108/FS-01-2021-0003")</f>
        <v>http://dx.doi.org/10.1108/FS-01-2021-0003</v>
      </c>
      <c r="BG2790" t="s">
        <v>74</v>
      </c>
      <c r="BH2790" t="s">
        <v>1091</v>
      </c>
      <c r="BI2790">
        <v>9</v>
      </c>
      <c r="BJ2790" t="s">
        <v>22623</v>
      </c>
      <c r="BK2790" t="s">
        <v>313</v>
      </c>
      <c r="BL2790" t="s">
        <v>3868</v>
      </c>
      <c r="BM2790" t="s">
        <v>46432</v>
      </c>
      <c r="BN2790" t="s">
        <v>74</v>
      </c>
      <c r="BO2790" t="s">
        <v>74</v>
      </c>
      <c r="BP2790" t="s">
        <v>74</v>
      </c>
      <c r="BQ2790" t="s">
        <v>74</v>
      </c>
      <c r="BR2790" t="s">
        <v>102</v>
      </c>
      <c r="BS2790" t="s">
        <v>46433</v>
      </c>
      <c r="BT2790" t="str">
        <f>HYPERLINK("https%3A%2F%2Fwww.webofscience.com%2Fwos%2Fwoscc%2Ffull-record%2FWOS:000790863400001","View Full Record in Web of Science")</f>
        <v>View Full Record in Web of Science</v>
      </c>
    </row>
    <row r="2791" spans="1:72" x14ac:dyDescent="0.25">
      <c r="A2791" t="s">
        <v>72</v>
      </c>
      <c r="B2791" t="s">
        <v>46434</v>
      </c>
      <c r="C2791" t="s">
        <v>74</v>
      </c>
      <c r="D2791" t="s">
        <v>74</v>
      </c>
      <c r="E2791" t="s">
        <v>74</v>
      </c>
      <c r="F2791" t="s">
        <v>46435</v>
      </c>
      <c r="G2791" t="s">
        <v>74</v>
      </c>
      <c r="H2791" t="s">
        <v>74</v>
      </c>
      <c r="I2791" t="s">
        <v>46436</v>
      </c>
      <c r="J2791" t="s">
        <v>19644</v>
      </c>
      <c r="K2791" t="s">
        <v>74</v>
      </c>
      <c r="L2791" t="s">
        <v>74</v>
      </c>
      <c r="M2791" t="s">
        <v>78</v>
      </c>
      <c r="N2791" t="s">
        <v>79</v>
      </c>
      <c r="O2791" t="s">
        <v>74</v>
      </c>
      <c r="P2791" t="s">
        <v>74</v>
      </c>
      <c r="Q2791" t="s">
        <v>74</v>
      </c>
      <c r="R2791" t="s">
        <v>74</v>
      </c>
      <c r="S2791" t="s">
        <v>74</v>
      </c>
      <c r="T2791" t="s">
        <v>46437</v>
      </c>
      <c r="U2791" t="s">
        <v>46438</v>
      </c>
      <c r="V2791" t="s">
        <v>46439</v>
      </c>
      <c r="W2791" t="s">
        <v>46440</v>
      </c>
      <c r="X2791" t="s">
        <v>46441</v>
      </c>
      <c r="Y2791" t="s">
        <v>46442</v>
      </c>
      <c r="Z2791" t="s">
        <v>46443</v>
      </c>
      <c r="AA2791" t="s">
        <v>46444</v>
      </c>
      <c r="AB2791" t="s">
        <v>46445</v>
      </c>
      <c r="AC2791" t="s">
        <v>74</v>
      </c>
      <c r="AD2791" t="s">
        <v>74</v>
      </c>
      <c r="AE2791" t="s">
        <v>74</v>
      </c>
      <c r="AF2791" t="s">
        <v>74</v>
      </c>
      <c r="AG2791">
        <v>117</v>
      </c>
      <c r="AH2791">
        <v>2</v>
      </c>
      <c r="AI2791">
        <v>4</v>
      </c>
      <c r="AJ2791">
        <v>2</v>
      </c>
      <c r="AK2791">
        <v>4</v>
      </c>
      <c r="AL2791" t="s">
        <v>332</v>
      </c>
      <c r="AM2791" t="s">
        <v>333</v>
      </c>
      <c r="AN2791" t="s">
        <v>334</v>
      </c>
      <c r="AO2791" t="s">
        <v>19634</v>
      </c>
      <c r="AP2791" t="s">
        <v>19633</v>
      </c>
      <c r="AQ2791" t="s">
        <v>74</v>
      </c>
      <c r="AR2791" t="s">
        <v>19632</v>
      </c>
      <c r="AS2791" t="s">
        <v>19631</v>
      </c>
      <c r="AT2791" t="s">
        <v>5028</v>
      </c>
      <c r="AU2791">
        <v>2022</v>
      </c>
      <c r="AV2791">
        <v>30</v>
      </c>
      <c r="AW2791">
        <v>4</v>
      </c>
      <c r="AX2791" t="s">
        <v>74</v>
      </c>
      <c r="AY2791" t="s">
        <v>74</v>
      </c>
      <c r="AZ2791" t="s">
        <v>74</v>
      </c>
      <c r="BA2791" t="s">
        <v>74</v>
      </c>
      <c r="BB2791">
        <v>463</v>
      </c>
      <c r="BC2791">
        <v>481</v>
      </c>
      <c r="BD2791" t="s">
        <v>74</v>
      </c>
      <c r="BE2791" t="s">
        <v>46446</v>
      </c>
      <c r="BF2791" t="str">
        <f>HYPERLINK("http://dx.doi.org/10.1080/10705422.2022.2140737","http://dx.doi.org/10.1080/10705422.2022.2140737")</f>
        <v>http://dx.doi.org/10.1080/10705422.2022.2140737</v>
      </c>
      <c r="BG2791" t="s">
        <v>74</v>
      </c>
      <c r="BH2791" t="s">
        <v>5112</v>
      </c>
      <c r="BI2791">
        <v>19</v>
      </c>
      <c r="BJ2791" t="s">
        <v>2045</v>
      </c>
      <c r="BK2791" t="s">
        <v>313</v>
      </c>
      <c r="BL2791" t="s">
        <v>2045</v>
      </c>
      <c r="BM2791" t="s">
        <v>46447</v>
      </c>
      <c r="BN2791" t="s">
        <v>74</v>
      </c>
      <c r="BO2791" t="s">
        <v>74</v>
      </c>
      <c r="BP2791" t="s">
        <v>74</v>
      </c>
      <c r="BQ2791" t="s">
        <v>74</v>
      </c>
      <c r="BR2791" t="s">
        <v>102</v>
      </c>
      <c r="BS2791" t="s">
        <v>46448</v>
      </c>
      <c r="BT2791" t="str">
        <f>HYPERLINK("https%3A%2F%2Fwww.webofscience.com%2Fwos%2Fwoscc%2Ffull-record%2FWOS:000878547900001","View Full Record in Web of Science")</f>
        <v>View Full Record in Web of Science</v>
      </c>
    </row>
    <row r="2792" spans="1:72" x14ac:dyDescent="0.25">
      <c r="A2792" t="s">
        <v>132</v>
      </c>
      <c r="B2792" t="s">
        <v>46449</v>
      </c>
      <c r="C2792" t="s">
        <v>74</v>
      </c>
      <c r="D2792" t="s">
        <v>74</v>
      </c>
      <c r="E2792" t="s">
        <v>771</v>
      </c>
      <c r="F2792" t="s">
        <v>46450</v>
      </c>
      <c r="G2792" t="s">
        <v>74</v>
      </c>
      <c r="H2792" t="s">
        <v>74</v>
      </c>
      <c r="I2792" t="s">
        <v>46451</v>
      </c>
      <c r="J2792" t="s">
        <v>46452</v>
      </c>
      <c r="K2792" t="s">
        <v>46453</v>
      </c>
      <c r="L2792" t="s">
        <v>74</v>
      </c>
      <c r="M2792" t="s">
        <v>78</v>
      </c>
      <c r="N2792" t="s">
        <v>138</v>
      </c>
      <c r="O2792" t="s">
        <v>46454</v>
      </c>
      <c r="P2792" t="s">
        <v>46455</v>
      </c>
      <c r="Q2792" t="s">
        <v>46456</v>
      </c>
      <c r="R2792" t="s">
        <v>46457</v>
      </c>
      <c r="S2792" t="s">
        <v>74</v>
      </c>
      <c r="T2792" t="s">
        <v>46458</v>
      </c>
      <c r="U2792" t="s">
        <v>46459</v>
      </c>
      <c r="V2792" t="s">
        <v>46460</v>
      </c>
      <c r="W2792" t="s">
        <v>46461</v>
      </c>
      <c r="X2792" t="s">
        <v>46462</v>
      </c>
      <c r="Y2792" t="s">
        <v>46463</v>
      </c>
      <c r="Z2792" t="s">
        <v>46464</v>
      </c>
      <c r="AA2792" t="s">
        <v>74</v>
      </c>
      <c r="AB2792" t="s">
        <v>46465</v>
      </c>
      <c r="AC2792" t="s">
        <v>74</v>
      </c>
      <c r="AD2792" t="s">
        <v>74</v>
      </c>
      <c r="AE2792" t="s">
        <v>74</v>
      </c>
      <c r="AF2792" t="s">
        <v>74</v>
      </c>
      <c r="AG2792">
        <v>20</v>
      </c>
      <c r="AH2792">
        <v>2</v>
      </c>
      <c r="AI2792">
        <v>2</v>
      </c>
      <c r="AJ2792">
        <v>1</v>
      </c>
      <c r="AK2792">
        <v>1</v>
      </c>
      <c r="AL2792" t="s">
        <v>771</v>
      </c>
      <c r="AM2792" t="s">
        <v>151</v>
      </c>
      <c r="AN2792" t="s">
        <v>785</v>
      </c>
      <c r="AO2792" t="s">
        <v>46466</v>
      </c>
      <c r="AP2792" t="s">
        <v>74</v>
      </c>
      <c r="AQ2792" t="s">
        <v>46467</v>
      </c>
      <c r="AR2792" t="s">
        <v>46468</v>
      </c>
      <c r="AS2792" t="s">
        <v>74</v>
      </c>
      <c r="AT2792" t="s">
        <v>74</v>
      </c>
      <c r="AU2792">
        <v>2022</v>
      </c>
      <c r="AV2792" t="s">
        <v>74</v>
      </c>
      <c r="AW2792" t="s">
        <v>74</v>
      </c>
      <c r="AX2792" t="s">
        <v>74</v>
      </c>
      <c r="AY2792" t="s">
        <v>74</v>
      </c>
      <c r="AZ2792" t="s">
        <v>74</v>
      </c>
      <c r="BA2792" t="s">
        <v>74</v>
      </c>
      <c r="BB2792">
        <v>254</v>
      </c>
      <c r="BC2792">
        <v>259</v>
      </c>
      <c r="BD2792" t="s">
        <v>74</v>
      </c>
      <c r="BE2792" t="s">
        <v>46469</v>
      </c>
      <c r="BF2792" t="str">
        <f>HYPERLINK("http://dx.doi.org/10.1109/ICICT54344.2022.9850555","http://dx.doi.org/10.1109/ICICT54344.2022.9850555")</f>
        <v>http://dx.doi.org/10.1109/ICICT54344.2022.9850555</v>
      </c>
      <c r="BG2792" t="s">
        <v>74</v>
      </c>
      <c r="BH2792" t="s">
        <v>74</v>
      </c>
      <c r="BI2792">
        <v>6</v>
      </c>
      <c r="BJ2792" t="s">
        <v>2622</v>
      </c>
      <c r="BK2792" t="s">
        <v>156</v>
      </c>
      <c r="BL2792" t="s">
        <v>157</v>
      </c>
      <c r="BM2792" t="s">
        <v>46470</v>
      </c>
      <c r="BN2792" t="s">
        <v>74</v>
      </c>
      <c r="BO2792" t="s">
        <v>74</v>
      </c>
      <c r="BP2792" t="s">
        <v>74</v>
      </c>
      <c r="BQ2792" t="s">
        <v>74</v>
      </c>
      <c r="BR2792" t="s">
        <v>102</v>
      </c>
      <c r="BS2792" t="s">
        <v>46471</v>
      </c>
      <c r="BT2792" t="str">
        <f>HYPERLINK("https%3A%2F%2Fwww.webofscience.com%2Fwos%2Fwoscc%2Ffull-record%2FWOS:001345033500045","View Full Record in Web of Science")</f>
        <v>View Full Record in Web of Science</v>
      </c>
    </row>
    <row r="2793" spans="1:72" x14ac:dyDescent="0.25">
      <c r="A2793" t="s">
        <v>72</v>
      </c>
      <c r="B2793" t="s">
        <v>46472</v>
      </c>
      <c r="C2793" t="s">
        <v>74</v>
      </c>
      <c r="D2793" t="s">
        <v>74</v>
      </c>
      <c r="E2793" t="s">
        <v>74</v>
      </c>
      <c r="F2793" t="s">
        <v>46473</v>
      </c>
      <c r="G2793" t="s">
        <v>74</v>
      </c>
      <c r="H2793" t="s">
        <v>74</v>
      </c>
      <c r="I2793" t="s">
        <v>46474</v>
      </c>
      <c r="J2793" t="s">
        <v>2137</v>
      </c>
      <c r="K2793" t="s">
        <v>74</v>
      </c>
      <c r="L2793" t="s">
        <v>74</v>
      </c>
      <c r="M2793" t="s">
        <v>78</v>
      </c>
      <c r="N2793" t="s">
        <v>79</v>
      </c>
      <c r="O2793" t="s">
        <v>74</v>
      </c>
      <c r="P2793" t="s">
        <v>74</v>
      </c>
      <c r="Q2793" t="s">
        <v>74</v>
      </c>
      <c r="R2793" t="s">
        <v>74</v>
      </c>
      <c r="S2793" t="s">
        <v>74</v>
      </c>
      <c r="T2793" t="s">
        <v>46475</v>
      </c>
      <c r="U2793" t="s">
        <v>46476</v>
      </c>
      <c r="V2793" t="s">
        <v>46477</v>
      </c>
      <c r="W2793" t="s">
        <v>46478</v>
      </c>
      <c r="X2793" t="s">
        <v>46479</v>
      </c>
      <c r="Y2793" t="s">
        <v>46480</v>
      </c>
      <c r="Z2793" t="s">
        <v>46481</v>
      </c>
      <c r="AA2793" t="s">
        <v>46482</v>
      </c>
      <c r="AB2793" t="s">
        <v>46483</v>
      </c>
      <c r="AC2793" t="s">
        <v>74</v>
      </c>
      <c r="AD2793" t="s">
        <v>74</v>
      </c>
      <c r="AE2793" t="s">
        <v>74</v>
      </c>
      <c r="AF2793" t="s">
        <v>74</v>
      </c>
      <c r="AG2793">
        <v>43</v>
      </c>
      <c r="AH2793">
        <v>24</v>
      </c>
      <c r="AI2793">
        <v>34</v>
      </c>
      <c r="AJ2793">
        <v>0</v>
      </c>
      <c r="AK2793">
        <v>11</v>
      </c>
      <c r="AL2793" t="s">
        <v>2145</v>
      </c>
      <c r="AM2793" t="s">
        <v>151</v>
      </c>
      <c r="AN2793" t="s">
        <v>2146</v>
      </c>
      <c r="AO2793" t="s">
        <v>2147</v>
      </c>
      <c r="AP2793" t="s">
        <v>2148</v>
      </c>
      <c r="AQ2793" t="s">
        <v>74</v>
      </c>
      <c r="AR2793" t="s">
        <v>2149</v>
      </c>
      <c r="AS2793" t="s">
        <v>2150</v>
      </c>
      <c r="AT2793" t="s">
        <v>74</v>
      </c>
      <c r="AU2793">
        <v>2018</v>
      </c>
      <c r="AV2793">
        <v>29</v>
      </c>
      <c r="AW2793">
        <v>2</v>
      </c>
      <c r="AX2793" t="s">
        <v>74</v>
      </c>
      <c r="AY2793" t="s">
        <v>74</v>
      </c>
      <c r="AZ2793" t="s">
        <v>74</v>
      </c>
      <c r="BA2793" t="s">
        <v>74</v>
      </c>
      <c r="BB2793">
        <v>259</v>
      </c>
      <c r="BC2793">
        <v>271</v>
      </c>
      <c r="BD2793" t="s">
        <v>74</v>
      </c>
      <c r="BE2793" t="s">
        <v>46484</v>
      </c>
      <c r="BF2793" t="str">
        <f>HYPERLINK("http://dx.doi.org/10.1891/1052-3073.29.2.259","http://dx.doi.org/10.1891/1052-3073.29.2.259")</f>
        <v>http://dx.doi.org/10.1891/1052-3073.29.2.259</v>
      </c>
      <c r="BG2793" t="s">
        <v>74</v>
      </c>
      <c r="BH2793" t="s">
        <v>74</v>
      </c>
      <c r="BI2793">
        <v>13</v>
      </c>
      <c r="BJ2793" t="s">
        <v>1453</v>
      </c>
      <c r="BK2793" t="s">
        <v>313</v>
      </c>
      <c r="BL2793" t="s">
        <v>100</v>
      </c>
      <c r="BM2793" t="s">
        <v>46485</v>
      </c>
      <c r="BN2793" t="s">
        <v>74</v>
      </c>
      <c r="BO2793" t="s">
        <v>74</v>
      </c>
      <c r="BP2793" t="s">
        <v>74</v>
      </c>
      <c r="BQ2793" t="s">
        <v>74</v>
      </c>
      <c r="BR2793" t="s">
        <v>102</v>
      </c>
      <c r="BS2793" t="s">
        <v>46486</v>
      </c>
      <c r="BT2793" t="str">
        <f>HYPERLINK("https%3A%2F%2Fwww.webofscience.com%2Fwos%2Fwoscc%2Ffull-record%2FWOS:000454457100008","View Full Record in Web of Science")</f>
        <v>View Full Record in Web of Science</v>
      </c>
    </row>
    <row r="2794" spans="1:72" x14ac:dyDescent="0.25">
      <c r="A2794" t="s">
        <v>72</v>
      </c>
      <c r="B2794" t="s">
        <v>46487</v>
      </c>
      <c r="C2794" t="s">
        <v>74</v>
      </c>
      <c r="D2794" t="s">
        <v>74</v>
      </c>
      <c r="E2794" t="s">
        <v>74</v>
      </c>
      <c r="F2794" t="s">
        <v>46488</v>
      </c>
      <c r="G2794" t="s">
        <v>74</v>
      </c>
      <c r="H2794" t="s">
        <v>74</v>
      </c>
      <c r="I2794" t="s">
        <v>46489</v>
      </c>
      <c r="J2794" t="s">
        <v>1266</v>
      </c>
      <c r="K2794" t="s">
        <v>74</v>
      </c>
      <c r="L2794" t="s">
        <v>74</v>
      </c>
      <c r="M2794" t="s">
        <v>78</v>
      </c>
      <c r="N2794" t="s">
        <v>79</v>
      </c>
      <c r="O2794" t="s">
        <v>74</v>
      </c>
      <c r="P2794" t="s">
        <v>74</v>
      </c>
      <c r="Q2794" t="s">
        <v>74</v>
      </c>
      <c r="R2794" t="s">
        <v>74</v>
      </c>
      <c r="S2794" t="s">
        <v>74</v>
      </c>
      <c r="T2794" t="s">
        <v>46490</v>
      </c>
      <c r="U2794" t="s">
        <v>46491</v>
      </c>
      <c r="V2794" t="s">
        <v>46492</v>
      </c>
      <c r="W2794" t="s">
        <v>46493</v>
      </c>
      <c r="X2794" t="s">
        <v>278</v>
      </c>
      <c r="Y2794" t="s">
        <v>46494</v>
      </c>
      <c r="Z2794" t="s">
        <v>46495</v>
      </c>
      <c r="AA2794" t="s">
        <v>46496</v>
      </c>
      <c r="AB2794" t="s">
        <v>46497</v>
      </c>
      <c r="AC2794" t="s">
        <v>46498</v>
      </c>
      <c r="AD2794" t="s">
        <v>19883</v>
      </c>
      <c r="AE2794" t="s">
        <v>46499</v>
      </c>
      <c r="AF2794" t="s">
        <v>74</v>
      </c>
      <c r="AG2794">
        <v>26</v>
      </c>
      <c r="AH2794">
        <v>16</v>
      </c>
      <c r="AI2794">
        <v>22</v>
      </c>
      <c r="AJ2794">
        <v>1</v>
      </c>
      <c r="AK2794">
        <v>24</v>
      </c>
      <c r="AL2794" t="s">
        <v>332</v>
      </c>
      <c r="AM2794" t="s">
        <v>333</v>
      </c>
      <c r="AN2794" t="s">
        <v>334</v>
      </c>
      <c r="AO2794" t="s">
        <v>1277</v>
      </c>
      <c r="AP2794" t="s">
        <v>1278</v>
      </c>
      <c r="AQ2794" t="s">
        <v>74</v>
      </c>
      <c r="AR2794" t="s">
        <v>1279</v>
      </c>
      <c r="AS2794" t="s">
        <v>1280</v>
      </c>
      <c r="AT2794" t="s">
        <v>605</v>
      </c>
      <c r="AU2794">
        <v>2016</v>
      </c>
      <c r="AV2794">
        <v>52</v>
      </c>
      <c r="AW2794">
        <v>3</v>
      </c>
      <c r="AX2794" t="s">
        <v>74</v>
      </c>
      <c r="AY2794" t="s">
        <v>74</v>
      </c>
      <c r="AZ2794" t="s">
        <v>74</v>
      </c>
      <c r="BA2794" t="s">
        <v>74</v>
      </c>
      <c r="BB2794">
        <v>765</v>
      </c>
      <c r="BC2794">
        <v>774</v>
      </c>
      <c r="BD2794" t="s">
        <v>74</v>
      </c>
      <c r="BE2794" t="s">
        <v>46500</v>
      </c>
      <c r="BF2794" t="str">
        <f>HYPERLINK("http://dx.doi.org/10.1080/1540496X.2016.1116287","http://dx.doi.org/10.1080/1540496X.2016.1116287")</f>
        <v>http://dx.doi.org/10.1080/1540496X.2016.1116287</v>
      </c>
      <c r="BG2794" t="s">
        <v>74</v>
      </c>
      <c r="BH2794" t="s">
        <v>74</v>
      </c>
      <c r="BI2794">
        <v>10</v>
      </c>
      <c r="BJ2794" t="s">
        <v>1283</v>
      </c>
      <c r="BK2794" t="s">
        <v>99</v>
      </c>
      <c r="BL2794" t="s">
        <v>1284</v>
      </c>
      <c r="BM2794" t="s">
        <v>46501</v>
      </c>
      <c r="BN2794" t="s">
        <v>74</v>
      </c>
      <c r="BO2794" t="s">
        <v>74</v>
      </c>
      <c r="BP2794" t="s">
        <v>74</v>
      </c>
      <c r="BQ2794" t="s">
        <v>74</v>
      </c>
      <c r="BR2794" t="s">
        <v>102</v>
      </c>
      <c r="BS2794" t="s">
        <v>46502</v>
      </c>
      <c r="BT2794" t="str">
        <f>HYPERLINK("https%3A%2F%2Fwww.webofscience.com%2Fwos%2Fwoscc%2Ffull-record%2FWOS:000370388300017","View Full Record in Web of Science")</f>
        <v>View Full Record in Web of Science</v>
      </c>
    </row>
    <row r="2795" spans="1:72" x14ac:dyDescent="0.25">
      <c r="A2795" t="s">
        <v>72</v>
      </c>
      <c r="B2795" t="s">
        <v>46503</v>
      </c>
      <c r="C2795" t="s">
        <v>74</v>
      </c>
      <c r="D2795" t="s">
        <v>74</v>
      </c>
      <c r="E2795" t="s">
        <v>74</v>
      </c>
      <c r="F2795" t="s">
        <v>46504</v>
      </c>
      <c r="G2795" t="s">
        <v>74</v>
      </c>
      <c r="H2795" t="s">
        <v>74</v>
      </c>
      <c r="I2795" t="s">
        <v>46505</v>
      </c>
      <c r="J2795" t="s">
        <v>14393</v>
      </c>
      <c r="K2795" t="s">
        <v>74</v>
      </c>
      <c r="L2795" t="s">
        <v>74</v>
      </c>
      <c r="M2795" t="s">
        <v>78</v>
      </c>
      <c r="N2795" t="s">
        <v>79</v>
      </c>
      <c r="O2795" t="s">
        <v>74</v>
      </c>
      <c r="P2795" t="s">
        <v>74</v>
      </c>
      <c r="Q2795" t="s">
        <v>74</v>
      </c>
      <c r="R2795" t="s">
        <v>74</v>
      </c>
      <c r="S2795" t="s">
        <v>74</v>
      </c>
      <c r="T2795" t="s">
        <v>46506</v>
      </c>
      <c r="U2795" t="s">
        <v>74</v>
      </c>
      <c r="V2795" t="s">
        <v>46507</v>
      </c>
      <c r="W2795" t="s">
        <v>46508</v>
      </c>
      <c r="X2795" t="s">
        <v>74</v>
      </c>
      <c r="Y2795" t="s">
        <v>46509</v>
      </c>
      <c r="Z2795" t="s">
        <v>46510</v>
      </c>
      <c r="AA2795" t="s">
        <v>74</v>
      </c>
      <c r="AB2795" t="s">
        <v>46511</v>
      </c>
      <c r="AC2795" t="s">
        <v>74</v>
      </c>
      <c r="AD2795" t="s">
        <v>74</v>
      </c>
      <c r="AE2795" t="s">
        <v>74</v>
      </c>
      <c r="AF2795" t="s">
        <v>74</v>
      </c>
      <c r="AG2795">
        <v>18</v>
      </c>
      <c r="AH2795">
        <v>0</v>
      </c>
      <c r="AI2795">
        <v>0</v>
      </c>
      <c r="AJ2795">
        <v>0</v>
      </c>
      <c r="AK2795">
        <v>3</v>
      </c>
      <c r="AL2795" t="s">
        <v>332</v>
      </c>
      <c r="AM2795" t="s">
        <v>333</v>
      </c>
      <c r="AN2795" t="s">
        <v>334</v>
      </c>
      <c r="AO2795" t="s">
        <v>14400</v>
      </c>
      <c r="AP2795" t="s">
        <v>14401</v>
      </c>
      <c r="AQ2795" t="s">
        <v>74</v>
      </c>
      <c r="AR2795" t="s">
        <v>14402</v>
      </c>
      <c r="AS2795" t="s">
        <v>14403</v>
      </c>
      <c r="AT2795" t="s">
        <v>5028</v>
      </c>
      <c r="AU2795">
        <v>2022</v>
      </c>
      <c r="AV2795">
        <v>49</v>
      </c>
      <c r="AW2795">
        <v>174</v>
      </c>
      <c r="AX2795" t="s">
        <v>74</v>
      </c>
      <c r="AY2795" t="s">
        <v>74</v>
      </c>
      <c r="AZ2795" t="s">
        <v>74</v>
      </c>
      <c r="BA2795" t="s">
        <v>74</v>
      </c>
      <c r="BB2795">
        <v>643</v>
      </c>
      <c r="BC2795">
        <v>651</v>
      </c>
      <c r="BD2795" t="s">
        <v>74</v>
      </c>
      <c r="BE2795" t="s">
        <v>46512</v>
      </c>
      <c r="BF2795" t="str">
        <f>HYPERLINK("http://dx.doi.org/10.1080/03056244.2022.2138308","http://dx.doi.org/10.1080/03056244.2022.2138308")</f>
        <v>http://dx.doi.org/10.1080/03056244.2022.2138308</v>
      </c>
      <c r="BG2795" t="s">
        <v>74</v>
      </c>
      <c r="BH2795" t="s">
        <v>7904</v>
      </c>
      <c r="BI2795">
        <v>9</v>
      </c>
      <c r="BJ2795" t="s">
        <v>4874</v>
      </c>
      <c r="BK2795" t="s">
        <v>99</v>
      </c>
      <c r="BL2795" t="s">
        <v>4875</v>
      </c>
      <c r="BM2795" t="s">
        <v>46513</v>
      </c>
      <c r="BN2795" t="s">
        <v>74</v>
      </c>
      <c r="BO2795" t="s">
        <v>74</v>
      </c>
      <c r="BP2795" t="s">
        <v>74</v>
      </c>
      <c r="BQ2795" t="s">
        <v>74</v>
      </c>
      <c r="BR2795" t="s">
        <v>102</v>
      </c>
      <c r="BS2795" t="s">
        <v>46514</v>
      </c>
      <c r="BT2795" t="str">
        <f>HYPERLINK("https%3A%2F%2Fwww.webofscience.com%2Fwos%2Fwoscc%2Ffull-record%2FWOS:000897155100001","View Full Record in Web of Science")</f>
        <v>View Full Record in Web of Science</v>
      </c>
    </row>
    <row r="2796" spans="1:72" x14ac:dyDescent="0.25">
      <c r="A2796" t="s">
        <v>72</v>
      </c>
      <c r="B2796" t="s">
        <v>46515</v>
      </c>
      <c r="C2796" t="s">
        <v>74</v>
      </c>
      <c r="D2796" t="s">
        <v>74</v>
      </c>
      <c r="E2796" t="s">
        <v>74</v>
      </c>
      <c r="F2796" t="s">
        <v>46516</v>
      </c>
      <c r="G2796" t="s">
        <v>74</v>
      </c>
      <c r="H2796" t="s">
        <v>74</v>
      </c>
      <c r="I2796" t="s">
        <v>46517</v>
      </c>
      <c r="J2796" t="s">
        <v>46518</v>
      </c>
      <c r="K2796" t="s">
        <v>74</v>
      </c>
      <c r="L2796" t="s">
        <v>74</v>
      </c>
      <c r="M2796" t="s">
        <v>78</v>
      </c>
      <c r="N2796" t="s">
        <v>79</v>
      </c>
      <c r="O2796" t="s">
        <v>74</v>
      </c>
      <c r="P2796" t="s">
        <v>74</v>
      </c>
      <c r="Q2796" t="s">
        <v>74</v>
      </c>
      <c r="R2796" t="s">
        <v>74</v>
      </c>
      <c r="S2796" t="s">
        <v>74</v>
      </c>
      <c r="T2796" t="s">
        <v>46519</v>
      </c>
      <c r="U2796" t="s">
        <v>46520</v>
      </c>
      <c r="V2796" t="s">
        <v>46521</v>
      </c>
      <c r="W2796" t="s">
        <v>46522</v>
      </c>
      <c r="X2796" t="s">
        <v>46523</v>
      </c>
      <c r="Y2796" t="s">
        <v>46524</v>
      </c>
      <c r="Z2796" t="s">
        <v>46525</v>
      </c>
      <c r="AA2796" t="s">
        <v>74</v>
      </c>
      <c r="AB2796" t="s">
        <v>46526</v>
      </c>
      <c r="AC2796" t="s">
        <v>74</v>
      </c>
      <c r="AD2796" t="s">
        <v>74</v>
      </c>
      <c r="AE2796" t="s">
        <v>74</v>
      </c>
      <c r="AF2796" t="s">
        <v>74</v>
      </c>
      <c r="AG2796">
        <v>40</v>
      </c>
      <c r="AH2796">
        <v>3</v>
      </c>
      <c r="AI2796">
        <v>4</v>
      </c>
      <c r="AJ2796">
        <v>11</v>
      </c>
      <c r="AK2796">
        <v>37</v>
      </c>
      <c r="AL2796" t="s">
        <v>332</v>
      </c>
      <c r="AM2796" t="s">
        <v>333</v>
      </c>
      <c r="AN2796" t="s">
        <v>334</v>
      </c>
      <c r="AO2796" t="s">
        <v>46527</v>
      </c>
      <c r="AP2796" t="s">
        <v>46528</v>
      </c>
      <c r="AQ2796" t="s">
        <v>74</v>
      </c>
      <c r="AR2796" t="s">
        <v>46529</v>
      </c>
      <c r="AS2796" t="s">
        <v>46530</v>
      </c>
      <c r="AT2796" t="s">
        <v>5028</v>
      </c>
      <c r="AU2796">
        <v>2025</v>
      </c>
      <c r="AV2796">
        <v>26</v>
      </c>
      <c r="AW2796">
        <v>4</v>
      </c>
      <c r="AX2796" t="s">
        <v>74</v>
      </c>
      <c r="AY2796" t="s">
        <v>74</v>
      </c>
      <c r="AZ2796" t="s">
        <v>74</v>
      </c>
      <c r="BA2796" t="s">
        <v>74</v>
      </c>
      <c r="BB2796">
        <v>520</v>
      </c>
      <c r="BC2796">
        <v>536</v>
      </c>
      <c r="BD2796" t="s">
        <v>74</v>
      </c>
      <c r="BE2796" t="s">
        <v>46531</v>
      </c>
      <c r="BF2796" t="str">
        <f>HYPERLINK("http://dx.doi.org/10.1080/15427560.2024.2361875","http://dx.doi.org/10.1080/15427560.2024.2361875")</f>
        <v>http://dx.doi.org/10.1080/15427560.2024.2361875</v>
      </c>
      <c r="BG2796" t="s">
        <v>74</v>
      </c>
      <c r="BH2796" t="s">
        <v>6256</v>
      </c>
      <c r="BI2796">
        <v>17</v>
      </c>
      <c r="BJ2796" t="s">
        <v>210</v>
      </c>
      <c r="BK2796" t="s">
        <v>99</v>
      </c>
      <c r="BL2796" t="s">
        <v>100</v>
      </c>
      <c r="BM2796" t="s">
        <v>46532</v>
      </c>
      <c r="BN2796" t="s">
        <v>74</v>
      </c>
      <c r="BO2796" t="s">
        <v>74</v>
      </c>
      <c r="BP2796" t="s">
        <v>74</v>
      </c>
      <c r="BQ2796" t="s">
        <v>74</v>
      </c>
      <c r="BR2796" t="s">
        <v>102</v>
      </c>
      <c r="BS2796" t="s">
        <v>46533</v>
      </c>
      <c r="BT2796" t="str">
        <f>HYPERLINK("https%3A%2F%2Fwww.webofscience.com%2Fwos%2Fwoscc%2Ffull-record%2FWOS:001249002500001","View Full Record in Web of Science")</f>
        <v>View Full Record in Web of Science</v>
      </c>
    </row>
    <row r="2797" spans="1:72" x14ac:dyDescent="0.25">
      <c r="A2797" t="s">
        <v>72</v>
      </c>
      <c r="B2797" t="s">
        <v>46534</v>
      </c>
      <c r="C2797" t="s">
        <v>74</v>
      </c>
      <c r="D2797" t="s">
        <v>74</v>
      </c>
      <c r="E2797" t="s">
        <v>74</v>
      </c>
      <c r="F2797" t="s">
        <v>46535</v>
      </c>
      <c r="G2797" t="s">
        <v>74</v>
      </c>
      <c r="H2797" t="s">
        <v>74</v>
      </c>
      <c r="I2797" t="s">
        <v>46536</v>
      </c>
      <c r="J2797" t="s">
        <v>10376</v>
      </c>
      <c r="K2797" t="s">
        <v>74</v>
      </c>
      <c r="L2797" t="s">
        <v>74</v>
      </c>
      <c r="M2797" t="s">
        <v>78</v>
      </c>
      <c r="N2797" t="s">
        <v>79</v>
      </c>
      <c r="O2797" t="s">
        <v>74</v>
      </c>
      <c r="P2797" t="s">
        <v>74</v>
      </c>
      <c r="Q2797" t="s">
        <v>74</v>
      </c>
      <c r="R2797" t="s">
        <v>74</v>
      </c>
      <c r="S2797" t="s">
        <v>74</v>
      </c>
      <c r="T2797" t="s">
        <v>46537</v>
      </c>
      <c r="U2797" t="s">
        <v>46538</v>
      </c>
      <c r="V2797" t="s">
        <v>46539</v>
      </c>
      <c r="W2797" t="s">
        <v>46540</v>
      </c>
      <c r="X2797" t="s">
        <v>74</v>
      </c>
      <c r="Y2797" t="s">
        <v>46541</v>
      </c>
      <c r="Z2797" t="s">
        <v>46542</v>
      </c>
      <c r="AA2797" t="s">
        <v>74</v>
      </c>
      <c r="AB2797" t="s">
        <v>46543</v>
      </c>
      <c r="AC2797" t="s">
        <v>74</v>
      </c>
      <c r="AD2797" t="s">
        <v>74</v>
      </c>
      <c r="AE2797" t="s">
        <v>74</v>
      </c>
      <c r="AF2797" t="s">
        <v>74</v>
      </c>
      <c r="AG2797">
        <v>57</v>
      </c>
      <c r="AH2797">
        <v>9</v>
      </c>
      <c r="AI2797">
        <v>11</v>
      </c>
      <c r="AJ2797">
        <v>0</v>
      </c>
      <c r="AK2797">
        <v>11</v>
      </c>
      <c r="AL2797" t="s">
        <v>89</v>
      </c>
      <c r="AM2797" t="s">
        <v>1497</v>
      </c>
      <c r="AN2797" t="s">
        <v>1498</v>
      </c>
      <c r="AO2797" t="s">
        <v>10385</v>
      </c>
      <c r="AP2797" t="s">
        <v>10386</v>
      </c>
      <c r="AQ2797" t="s">
        <v>74</v>
      </c>
      <c r="AR2797" t="s">
        <v>10387</v>
      </c>
      <c r="AS2797" t="s">
        <v>10388</v>
      </c>
      <c r="AT2797" t="s">
        <v>74</v>
      </c>
      <c r="AU2797">
        <v>2017</v>
      </c>
      <c r="AV2797">
        <v>59</v>
      </c>
      <c r="AW2797">
        <v>1</v>
      </c>
      <c r="AX2797" t="s">
        <v>74</v>
      </c>
      <c r="AY2797" t="s">
        <v>74</v>
      </c>
      <c r="AZ2797" t="s">
        <v>74</v>
      </c>
      <c r="BA2797" t="s">
        <v>74</v>
      </c>
      <c r="BB2797">
        <v>102</v>
      </c>
      <c r="BC2797">
        <v>121</v>
      </c>
      <c r="BD2797" t="s">
        <v>74</v>
      </c>
      <c r="BE2797" t="s">
        <v>46544</v>
      </c>
      <c r="BF2797" t="str">
        <f>HYPERLINK("http://dx.doi.org/10.1108/IJLMA-06-2016-0054","http://dx.doi.org/10.1108/IJLMA-06-2016-0054")</f>
        <v>http://dx.doi.org/10.1108/IJLMA-06-2016-0054</v>
      </c>
      <c r="BG2797" t="s">
        <v>74</v>
      </c>
      <c r="BH2797" t="s">
        <v>74</v>
      </c>
      <c r="BI2797">
        <v>20</v>
      </c>
      <c r="BJ2797" t="s">
        <v>182</v>
      </c>
      <c r="BK2797" t="s">
        <v>313</v>
      </c>
      <c r="BL2797" t="s">
        <v>184</v>
      </c>
      <c r="BM2797" t="s">
        <v>46545</v>
      </c>
      <c r="BN2797" t="s">
        <v>74</v>
      </c>
      <c r="BO2797" t="s">
        <v>74</v>
      </c>
      <c r="BP2797" t="s">
        <v>74</v>
      </c>
      <c r="BQ2797" t="s">
        <v>74</v>
      </c>
      <c r="BR2797" t="s">
        <v>102</v>
      </c>
      <c r="BS2797" t="s">
        <v>46546</v>
      </c>
      <c r="BT2797" t="str">
        <f>HYPERLINK("https%3A%2F%2Fwww.webofscience.com%2Fwos%2Fwoscc%2Ffull-record%2FWOS:000397225600007","View Full Record in Web of Science")</f>
        <v>View Full Record in Web of Science</v>
      </c>
    </row>
    <row r="2798" spans="1:72" x14ac:dyDescent="0.25">
      <c r="A2798" t="s">
        <v>132</v>
      </c>
      <c r="B2798" t="s">
        <v>46547</v>
      </c>
      <c r="C2798" t="s">
        <v>74</v>
      </c>
      <c r="D2798" t="s">
        <v>631</v>
      </c>
      <c r="E2798" t="s">
        <v>74</v>
      </c>
      <c r="F2798" t="s">
        <v>46548</v>
      </c>
      <c r="G2798" t="s">
        <v>74</v>
      </c>
      <c r="H2798" t="s">
        <v>74</v>
      </c>
      <c r="I2798" t="s">
        <v>46549</v>
      </c>
      <c r="J2798" t="s">
        <v>634</v>
      </c>
      <c r="K2798" t="s">
        <v>74</v>
      </c>
      <c r="L2798" t="s">
        <v>74</v>
      </c>
      <c r="M2798" t="s">
        <v>78</v>
      </c>
      <c r="N2798" t="s">
        <v>138</v>
      </c>
      <c r="O2798" t="s">
        <v>635</v>
      </c>
      <c r="P2798" t="s">
        <v>636</v>
      </c>
      <c r="Q2798" t="s">
        <v>637</v>
      </c>
      <c r="R2798" t="s">
        <v>638</v>
      </c>
      <c r="S2798" t="s">
        <v>74</v>
      </c>
      <c r="T2798" t="s">
        <v>46550</v>
      </c>
      <c r="U2798" t="s">
        <v>46551</v>
      </c>
      <c r="V2798" t="s">
        <v>46552</v>
      </c>
      <c r="W2798" t="s">
        <v>46553</v>
      </c>
      <c r="X2798" t="s">
        <v>548</v>
      </c>
      <c r="Y2798" t="s">
        <v>46554</v>
      </c>
      <c r="Z2798" t="s">
        <v>46555</v>
      </c>
      <c r="AA2798" t="s">
        <v>46556</v>
      </c>
      <c r="AB2798" t="s">
        <v>74</v>
      </c>
      <c r="AC2798" t="s">
        <v>74</v>
      </c>
      <c r="AD2798" t="s">
        <v>74</v>
      </c>
      <c r="AE2798" t="s">
        <v>74</v>
      </c>
      <c r="AF2798" t="s">
        <v>74</v>
      </c>
      <c r="AG2798">
        <v>27</v>
      </c>
      <c r="AH2798">
        <v>0</v>
      </c>
      <c r="AI2798">
        <v>0</v>
      </c>
      <c r="AJ2798">
        <v>0</v>
      </c>
      <c r="AK2798">
        <v>3</v>
      </c>
      <c r="AL2798" t="s">
        <v>645</v>
      </c>
      <c r="AM2798" t="s">
        <v>646</v>
      </c>
      <c r="AN2798" t="s">
        <v>647</v>
      </c>
      <c r="AO2798" t="s">
        <v>74</v>
      </c>
      <c r="AP2798" t="s">
        <v>74</v>
      </c>
      <c r="AQ2798" t="s">
        <v>648</v>
      </c>
      <c r="AR2798" t="s">
        <v>74</v>
      </c>
      <c r="AS2798" t="s">
        <v>74</v>
      </c>
      <c r="AT2798" t="s">
        <v>74</v>
      </c>
      <c r="AU2798">
        <v>2020</v>
      </c>
      <c r="AV2798" t="s">
        <v>74</v>
      </c>
      <c r="AW2798" t="s">
        <v>74</v>
      </c>
      <c r="AX2798" t="s">
        <v>74</v>
      </c>
      <c r="AY2798" t="s">
        <v>74</v>
      </c>
      <c r="AZ2798" t="s">
        <v>74</v>
      </c>
      <c r="BA2798" t="s">
        <v>74</v>
      </c>
      <c r="BB2798">
        <v>4764</v>
      </c>
      <c r="BC2798">
        <v>4773</v>
      </c>
      <c r="BD2798" t="s">
        <v>74</v>
      </c>
      <c r="BE2798" t="s">
        <v>74</v>
      </c>
      <c r="BF2798" t="s">
        <v>74</v>
      </c>
      <c r="BG2798" t="s">
        <v>74</v>
      </c>
      <c r="BH2798" t="s">
        <v>74</v>
      </c>
      <c r="BI2798">
        <v>10</v>
      </c>
      <c r="BJ2798" t="s">
        <v>649</v>
      </c>
      <c r="BK2798" t="s">
        <v>183</v>
      </c>
      <c r="BL2798" t="s">
        <v>650</v>
      </c>
      <c r="BM2798" t="s">
        <v>6489</v>
      </c>
      <c r="BN2798" t="s">
        <v>74</v>
      </c>
      <c r="BO2798" t="s">
        <v>74</v>
      </c>
      <c r="BP2798" t="s">
        <v>74</v>
      </c>
      <c r="BQ2798" t="s">
        <v>74</v>
      </c>
      <c r="BR2798" t="s">
        <v>102</v>
      </c>
      <c r="BS2798" t="s">
        <v>46557</v>
      </c>
      <c r="BT2798" t="str">
        <f>HYPERLINK("https%3A%2F%2Fwww.webofscience.com%2Fwos%2Fwoscc%2Ffull-record%2FWOS:000661127405013","View Full Record in Web of Science")</f>
        <v>View Full Record in Web of Science</v>
      </c>
    </row>
    <row r="2799" spans="1:72" x14ac:dyDescent="0.25">
      <c r="A2799" t="s">
        <v>72</v>
      </c>
      <c r="B2799" t="s">
        <v>46558</v>
      </c>
      <c r="C2799" t="s">
        <v>74</v>
      </c>
      <c r="D2799" t="s">
        <v>74</v>
      </c>
      <c r="E2799" t="s">
        <v>74</v>
      </c>
      <c r="F2799" t="s">
        <v>46559</v>
      </c>
      <c r="G2799" t="s">
        <v>74</v>
      </c>
      <c r="H2799" t="s">
        <v>74</v>
      </c>
      <c r="I2799" t="s">
        <v>46560</v>
      </c>
      <c r="J2799" t="s">
        <v>14448</v>
      </c>
      <c r="K2799" t="s">
        <v>74</v>
      </c>
      <c r="L2799" t="s">
        <v>74</v>
      </c>
      <c r="M2799" t="s">
        <v>78</v>
      </c>
      <c r="N2799" t="s">
        <v>1766</v>
      </c>
      <c r="O2799" t="s">
        <v>74</v>
      </c>
      <c r="P2799" t="s">
        <v>74</v>
      </c>
      <c r="Q2799" t="s">
        <v>74</v>
      </c>
      <c r="R2799" t="s">
        <v>74</v>
      </c>
      <c r="S2799" t="s">
        <v>74</v>
      </c>
      <c r="T2799" t="s">
        <v>46561</v>
      </c>
      <c r="U2799" t="s">
        <v>46562</v>
      </c>
      <c r="V2799" t="s">
        <v>46563</v>
      </c>
      <c r="W2799" t="s">
        <v>46564</v>
      </c>
      <c r="X2799" t="s">
        <v>46565</v>
      </c>
      <c r="Y2799" t="s">
        <v>46566</v>
      </c>
      <c r="Z2799" t="s">
        <v>46567</v>
      </c>
      <c r="AA2799" t="s">
        <v>46568</v>
      </c>
      <c r="AB2799" t="s">
        <v>46569</v>
      </c>
      <c r="AC2799" t="s">
        <v>74</v>
      </c>
      <c r="AD2799" t="s">
        <v>74</v>
      </c>
      <c r="AE2799" t="s">
        <v>74</v>
      </c>
      <c r="AF2799" t="s">
        <v>74</v>
      </c>
      <c r="AG2799">
        <v>156</v>
      </c>
      <c r="AH2799">
        <v>35</v>
      </c>
      <c r="AI2799">
        <v>37</v>
      </c>
      <c r="AJ2799">
        <v>22</v>
      </c>
      <c r="AK2799">
        <v>86</v>
      </c>
      <c r="AL2799" t="s">
        <v>4485</v>
      </c>
      <c r="AM2799" t="s">
        <v>6724</v>
      </c>
      <c r="AN2799" t="s">
        <v>6725</v>
      </c>
      <c r="AO2799" t="s">
        <v>14458</v>
      </c>
      <c r="AP2799" t="s">
        <v>14459</v>
      </c>
      <c r="AQ2799" t="s">
        <v>74</v>
      </c>
      <c r="AR2799" t="s">
        <v>14460</v>
      </c>
      <c r="AS2799" t="s">
        <v>14461</v>
      </c>
      <c r="AT2799" t="s">
        <v>5746</v>
      </c>
      <c r="AU2799">
        <v>2024</v>
      </c>
      <c r="AV2799">
        <v>456</v>
      </c>
      <c r="AW2799" t="s">
        <v>74</v>
      </c>
      <c r="AX2799" t="s">
        <v>74</v>
      </c>
      <c r="AY2799" t="s">
        <v>74</v>
      </c>
      <c r="AZ2799" t="s">
        <v>74</v>
      </c>
      <c r="BA2799" t="s">
        <v>74</v>
      </c>
      <c r="BB2799" t="s">
        <v>74</v>
      </c>
      <c r="BC2799" t="s">
        <v>74</v>
      </c>
      <c r="BD2799">
        <v>142379</v>
      </c>
      <c r="BE2799" t="s">
        <v>46570</v>
      </c>
      <c r="BF2799" t="str">
        <f>HYPERLINK("http://dx.doi.org/10.1016/j.jclepro.2024.142379","http://dx.doi.org/10.1016/j.jclepro.2024.142379")</f>
        <v>http://dx.doi.org/10.1016/j.jclepro.2024.142379</v>
      </c>
      <c r="BG2799" t="s">
        <v>74</v>
      </c>
      <c r="BH2799" t="s">
        <v>5285</v>
      </c>
      <c r="BI2799">
        <v>18</v>
      </c>
      <c r="BJ2799" t="s">
        <v>14463</v>
      </c>
      <c r="BK2799" t="s">
        <v>128</v>
      </c>
      <c r="BL2799" t="s">
        <v>14464</v>
      </c>
      <c r="BM2799" t="s">
        <v>46571</v>
      </c>
      <c r="BN2799" t="s">
        <v>74</v>
      </c>
      <c r="BO2799" t="s">
        <v>74</v>
      </c>
      <c r="BP2799" t="s">
        <v>74</v>
      </c>
      <c r="BQ2799" t="s">
        <v>74</v>
      </c>
      <c r="BR2799" t="s">
        <v>102</v>
      </c>
      <c r="BS2799" t="s">
        <v>46572</v>
      </c>
      <c r="BT2799" t="str">
        <f>HYPERLINK("https%3A%2F%2Fwww.webofscience.com%2Fwos%2Fwoscc%2Ffull-record%2FWOS:001238438300001","View Full Record in Web of Science")</f>
        <v>View Full Record in Web of Science</v>
      </c>
    </row>
    <row r="2800" spans="1:72" x14ac:dyDescent="0.25">
      <c r="A2800" t="s">
        <v>72</v>
      </c>
      <c r="B2800" t="s">
        <v>46573</v>
      </c>
      <c r="C2800" t="s">
        <v>74</v>
      </c>
      <c r="D2800" t="s">
        <v>74</v>
      </c>
      <c r="E2800" t="s">
        <v>74</v>
      </c>
      <c r="F2800" t="s">
        <v>46574</v>
      </c>
      <c r="G2800" t="s">
        <v>74</v>
      </c>
      <c r="H2800" t="s">
        <v>74</v>
      </c>
      <c r="I2800" t="s">
        <v>46575</v>
      </c>
      <c r="J2800" t="s">
        <v>3036</v>
      </c>
      <c r="K2800" t="s">
        <v>74</v>
      </c>
      <c r="L2800" t="s">
        <v>74</v>
      </c>
      <c r="M2800" t="s">
        <v>78</v>
      </c>
      <c r="N2800" t="s">
        <v>79</v>
      </c>
      <c r="O2800" t="s">
        <v>74</v>
      </c>
      <c r="P2800" t="s">
        <v>74</v>
      </c>
      <c r="Q2800" t="s">
        <v>74</v>
      </c>
      <c r="R2800" t="s">
        <v>74</v>
      </c>
      <c r="S2800" t="s">
        <v>74</v>
      </c>
      <c r="T2800" t="s">
        <v>46576</v>
      </c>
      <c r="U2800" t="s">
        <v>46577</v>
      </c>
      <c r="V2800" t="s">
        <v>46578</v>
      </c>
      <c r="W2800" t="s">
        <v>46579</v>
      </c>
      <c r="X2800" t="s">
        <v>38714</v>
      </c>
      <c r="Y2800" t="s">
        <v>46580</v>
      </c>
      <c r="Z2800" t="s">
        <v>46581</v>
      </c>
      <c r="AA2800" t="s">
        <v>14851</v>
      </c>
      <c r="AB2800" t="s">
        <v>14852</v>
      </c>
      <c r="AC2800" t="s">
        <v>74</v>
      </c>
      <c r="AD2800" t="s">
        <v>74</v>
      </c>
      <c r="AE2800" t="s">
        <v>74</v>
      </c>
      <c r="AF2800" t="s">
        <v>74</v>
      </c>
      <c r="AG2800">
        <v>96</v>
      </c>
      <c r="AH2800">
        <v>6</v>
      </c>
      <c r="AI2800">
        <v>9</v>
      </c>
      <c r="AJ2800">
        <v>5</v>
      </c>
      <c r="AK2800">
        <v>48</v>
      </c>
      <c r="AL2800" t="s">
        <v>385</v>
      </c>
      <c r="AM2800" t="s">
        <v>151</v>
      </c>
      <c r="AN2800" t="s">
        <v>386</v>
      </c>
      <c r="AO2800" t="s">
        <v>3045</v>
      </c>
      <c r="AP2800" t="s">
        <v>3046</v>
      </c>
      <c r="AQ2800" t="s">
        <v>74</v>
      </c>
      <c r="AR2800" t="s">
        <v>3047</v>
      </c>
      <c r="AS2800" t="s">
        <v>3048</v>
      </c>
      <c r="AT2800" t="s">
        <v>605</v>
      </c>
      <c r="AU2800">
        <v>2024</v>
      </c>
      <c r="AV2800">
        <v>15</v>
      </c>
      <c r="AW2800">
        <v>1</v>
      </c>
      <c r="AX2800" t="s">
        <v>74</v>
      </c>
      <c r="AY2800" t="s">
        <v>74</v>
      </c>
      <c r="AZ2800" t="s">
        <v>74</v>
      </c>
      <c r="BA2800" t="s">
        <v>74</v>
      </c>
      <c r="BB2800">
        <v>3903</v>
      </c>
      <c r="BC2800">
        <v>3926</v>
      </c>
      <c r="BD2800" t="s">
        <v>74</v>
      </c>
      <c r="BE2800" t="s">
        <v>46582</v>
      </c>
      <c r="BF2800" t="str">
        <f>HYPERLINK("http://dx.doi.org/10.1007/s13132-023-01263-3","http://dx.doi.org/10.1007/s13132-023-01263-3")</f>
        <v>http://dx.doi.org/10.1007/s13132-023-01263-3</v>
      </c>
      <c r="BG2800" t="s">
        <v>74</v>
      </c>
      <c r="BH2800" t="s">
        <v>3595</v>
      </c>
      <c r="BI2800">
        <v>24</v>
      </c>
      <c r="BJ2800" t="s">
        <v>291</v>
      </c>
      <c r="BK2800" t="s">
        <v>99</v>
      </c>
      <c r="BL2800" t="s">
        <v>100</v>
      </c>
      <c r="BM2800" t="s">
        <v>19952</v>
      </c>
      <c r="BN2800" t="s">
        <v>74</v>
      </c>
      <c r="BO2800" t="s">
        <v>74</v>
      </c>
      <c r="BP2800" t="s">
        <v>74</v>
      </c>
      <c r="BQ2800" t="s">
        <v>74</v>
      </c>
      <c r="BR2800" t="s">
        <v>102</v>
      </c>
      <c r="BS2800" t="s">
        <v>46583</v>
      </c>
      <c r="BT2800" t="str">
        <f>HYPERLINK("https%3A%2F%2Fwww.webofscience.com%2Fwos%2Fwoscc%2Ffull-record%2FWOS:000958695900004","View Full Record in Web of Science")</f>
        <v>View Full Record in Web of Science</v>
      </c>
    </row>
    <row r="2801" spans="1:72" x14ac:dyDescent="0.25">
      <c r="A2801" t="s">
        <v>72</v>
      </c>
      <c r="B2801" t="s">
        <v>46584</v>
      </c>
      <c r="C2801" t="s">
        <v>74</v>
      </c>
      <c r="D2801" t="s">
        <v>74</v>
      </c>
      <c r="E2801" t="s">
        <v>74</v>
      </c>
      <c r="F2801" t="s">
        <v>46585</v>
      </c>
      <c r="G2801" t="s">
        <v>74</v>
      </c>
      <c r="H2801" t="s">
        <v>74</v>
      </c>
      <c r="I2801" t="s">
        <v>46586</v>
      </c>
      <c r="J2801" t="s">
        <v>10005</v>
      </c>
      <c r="K2801" t="s">
        <v>74</v>
      </c>
      <c r="L2801" t="s">
        <v>74</v>
      </c>
      <c r="M2801" t="s">
        <v>78</v>
      </c>
      <c r="N2801" t="s">
        <v>79</v>
      </c>
      <c r="O2801" t="s">
        <v>74</v>
      </c>
      <c r="P2801" t="s">
        <v>74</v>
      </c>
      <c r="Q2801" t="s">
        <v>74</v>
      </c>
      <c r="R2801" t="s">
        <v>74</v>
      </c>
      <c r="S2801" t="s">
        <v>74</v>
      </c>
      <c r="T2801" t="s">
        <v>46587</v>
      </c>
      <c r="U2801" t="s">
        <v>46588</v>
      </c>
      <c r="V2801" t="s">
        <v>46589</v>
      </c>
      <c r="W2801" t="s">
        <v>46590</v>
      </c>
      <c r="X2801" t="s">
        <v>46591</v>
      </c>
      <c r="Y2801" t="s">
        <v>46592</v>
      </c>
      <c r="Z2801" t="s">
        <v>46593</v>
      </c>
      <c r="AA2801" t="s">
        <v>74</v>
      </c>
      <c r="AB2801" t="s">
        <v>74</v>
      </c>
      <c r="AC2801" t="s">
        <v>46594</v>
      </c>
      <c r="AD2801" t="s">
        <v>46595</v>
      </c>
      <c r="AE2801" t="s">
        <v>46596</v>
      </c>
      <c r="AF2801" t="s">
        <v>74</v>
      </c>
      <c r="AG2801">
        <v>50</v>
      </c>
      <c r="AH2801">
        <v>1</v>
      </c>
      <c r="AI2801">
        <v>4</v>
      </c>
      <c r="AJ2801">
        <v>24</v>
      </c>
      <c r="AK2801">
        <v>46</v>
      </c>
      <c r="AL2801" t="s">
        <v>201</v>
      </c>
      <c r="AM2801" t="s">
        <v>202</v>
      </c>
      <c r="AN2801" t="s">
        <v>203</v>
      </c>
      <c r="AO2801" t="s">
        <v>10015</v>
      </c>
      <c r="AP2801" t="s">
        <v>10016</v>
      </c>
      <c r="AQ2801" t="s">
        <v>74</v>
      </c>
      <c r="AR2801" t="s">
        <v>10017</v>
      </c>
      <c r="AS2801" t="s">
        <v>10018</v>
      </c>
      <c r="AT2801" t="s">
        <v>124</v>
      </c>
      <c r="AU2801">
        <v>2024</v>
      </c>
      <c r="AV2801">
        <v>69</v>
      </c>
      <c r="AW2801" t="s">
        <v>74</v>
      </c>
      <c r="AX2801" t="s">
        <v>74</v>
      </c>
      <c r="AY2801" t="s">
        <v>74</v>
      </c>
      <c r="AZ2801" t="s">
        <v>74</v>
      </c>
      <c r="BA2801" t="s">
        <v>74</v>
      </c>
      <c r="BB2801" t="s">
        <v>74</v>
      </c>
      <c r="BC2801" t="s">
        <v>74</v>
      </c>
      <c r="BD2801">
        <v>101113</v>
      </c>
      <c r="BE2801" t="s">
        <v>46597</v>
      </c>
      <c r="BF2801" t="str">
        <f>HYPERLINK("http://dx.doi.org/10.1016/j.infoecopol.2024.101113","http://dx.doi.org/10.1016/j.infoecopol.2024.101113")</f>
        <v>http://dx.doi.org/10.1016/j.infoecopol.2024.101113</v>
      </c>
      <c r="BG2801" t="s">
        <v>74</v>
      </c>
      <c r="BH2801" t="s">
        <v>1136</v>
      </c>
      <c r="BI2801">
        <v>12</v>
      </c>
      <c r="BJ2801" t="s">
        <v>291</v>
      </c>
      <c r="BK2801" t="s">
        <v>99</v>
      </c>
      <c r="BL2801" t="s">
        <v>100</v>
      </c>
      <c r="BM2801" t="s">
        <v>46598</v>
      </c>
      <c r="BN2801" t="s">
        <v>74</v>
      </c>
      <c r="BO2801" t="s">
        <v>1696</v>
      </c>
      <c r="BP2801" t="s">
        <v>74</v>
      </c>
      <c r="BQ2801" t="s">
        <v>74</v>
      </c>
      <c r="BR2801" t="s">
        <v>102</v>
      </c>
      <c r="BS2801" t="s">
        <v>46599</v>
      </c>
      <c r="BT2801" t="str">
        <f>HYPERLINK("https%3A%2F%2Fwww.webofscience.com%2Fwos%2Fwoscc%2Ffull-record%2FWOS:001335587400001","View Full Record in Web of Science")</f>
        <v>View Full Record in Web of Science</v>
      </c>
    </row>
    <row r="2802" spans="1:72" x14ac:dyDescent="0.25">
      <c r="A2802" t="s">
        <v>72</v>
      </c>
      <c r="B2802" t="s">
        <v>46600</v>
      </c>
      <c r="C2802" t="s">
        <v>74</v>
      </c>
      <c r="D2802" t="s">
        <v>74</v>
      </c>
      <c r="E2802" t="s">
        <v>74</v>
      </c>
      <c r="F2802" t="s">
        <v>46601</v>
      </c>
      <c r="G2802" t="s">
        <v>74</v>
      </c>
      <c r="H2802" t="s">
        <v>74</v>
      </c>
      <c r="I2802" t="s">
        <v>46602</v>
      </c>
      <c r="J2802" t="s">
        <v>46603</v>
      </c>
      <c r="K2802" t="s">
        <v>74</v>
      </c>
      <c r="L2802" t="s">
        <v>74</v>
      </c>
      <c r="M2802" t="s">
        <v>78</v>
      </c>
      <c r="N2802" t="s">
        <v>79</v>
      </c>
      <c r="O2802" t="s">
        <v>74</v>
      </c>
      <c r="P2802" t="s">
        <v>74</v>
      </c>
      <c r="Q2802" t="s">
        <v>74</v>
      </c>
      <c r="R2802" t="s">
        <v>74</v>
      </c>
      <c r="S2802" t="s">
        <v>74</v>
      </c>
      <c r="T2802" t="s">
        <v>46604</v>
      </c>
      <c r="U2802" t="s">
        <v>46605</v>
      </c>
      <c r="V2802" t="s">
        <v>46606</v>
      </c>
      <c r="W2802" t="s">
        <v>46607</v>
      </c>
      <c r="X2802" t="s">
        <v>46608</v>
      </c>
      <c r="Y2802" t="s">
        <v>46609</v>
      </c>
      <c r="Z2802" t="s">
        <v>46610</v>
      </c>
      <c r="AA2802" t="s">
        <v>46611</v>
      </c>
      <c r="AB2802" t="s">
        <v>39587</v>
      </c>
      <c r="AC2802" t="s">
        <v>46612</v>
      </c>
      <c r="AD2802" t="s">
        <v>46613</v>
      </c>
      <c r="AE2802" t="s">
        <v>46614</v>
      </c>
      <c r="AF2802" t="s">
        <v>74</v>
      </c>
      <c r="AG2802">
        <v>29</v>
      </c>
      <c r="AH2802">
        <v>2</v>
      </c>
      <c r="AI2802">
        <v>3</v>
      </c>
      <c r="AJ2802">
        <v>0</v>
      </c>
      <c r="AK2802">
        <v>6</v>
      </c>
      <c r="AL2802" t="s">
        <v>332</v>
      </c>
      <c r="AM2802" t="s">
        <v>333</v>
      </c>
      <c r="AN2802" t="s">
        <v>334</v>
      </c>
      <c r="AO2802" t="s">
        <v>46615</v>
      </c>
      <c r="AP2802" t="s">
        <v>46616</v>
      </c>
      <c r="AQ2802" t="s">
        <v>74</v>
      </c>
      <c r="AR2802" t="s">
        <v>46617</v>
      </c>
      <c r="AS2802" t="s">
        <v>46618</v>
      </c>
      <c r="AT2802" t="s">
        <v>74</v>
      </c>
      <c r="AU2802">
        <v>2017</v>
      </c>
      <c r="AV2802">
        <v>15</v>
      </c>
      <c r="AW2802">
        <v>6</v>
      </c>
      <c r="AX2802" t="s">
        <v>74</v>
      </c>
      <c r="AY2802" t="s">
        <v>74</v>
      </c>
      <c r="AZ2802" t="s">
        <v>74</v>
      </c>
      <c r="BA2802" t="s">
        <v>74</v>
      </c>
      <c r="BB2802">
        <v>615</v>
      </c>
      <c r="BC2802">
        <v>631</v>
      </c>
      <c r="BD2802" t="s">
        <v>74</v>
      </c>
      <c r="BE2802" t="s">
        <v>46619</v>
      </c>
      <c r="BF2802" t="str">
        <f>HYPERLINK("http://dx.doi.org/10.1080/15332985.2016.1267069","http://dx.doi.org/10.1080/15332985.2016.1267069")</f>
        <v>http://dx.doi.org/10.1080/15332985.2016.1267069</v>
      </c>
      <c r="BG2802" t="s">
        <v>74</v>
      </c>
      <c r="BH2802" t="s">
        <v>74</v>
      </c>
      <c r="BI2802">
        <v>17</v>
      </c>
      <c r="BJ2802" t="s">
        <v>2045</v>
      </c>
      <c r="BK2802" t="s">
        <v>313</v>
      </c>
      <c r="BL2802" t="s">
        <v>2045</v>
      </c>
      <c r="BM2802" t="s">
        <v>46620</v>
      </c>
      <c r="BN2802" t="s">
        <v>74</v>
      </c>
      <c r="BO2802" t="s">
        <v>74</v>
      </c>
      <c r="BP2802" t="s">
        <v>74</v>
      </c>
      <c r="BQ2802" t="s">
        <v>74</v>
      </c>
      <c r="BR2802" t="s">
        <v>102</v>
      </c>
      <c r="BS2802" t="s">
        <v>46621</v>
      </c>
      <c r="BT2802" t="str">
        <f>HYPERLINK("https%3A%2F%2Fwww.webofscience.com%2Fwos%2Fwoscc%2Ffull-record%2FWOS:000418520600002","View Full Record in Web of Science")</f>
        <v>View Full Record in Web of Science</v>
      </c>
    </row>
    <row r="2803" spans="1:72" x14ac:dyDescent="0.25">
      <c r="A2803" t="s">
        <v>72</v>
      </c>
      <c r="B2803" t="s">
        <v>46622</v>
      </c>
      <c r="C2803" t="s">
        <v>74</v>
      </c>
      <c r="D2803" t="s">
        <v>74</v>
      </c>
      <c r="E2803" t="s">
        <v>74</v>
      </c>
      <c r="F2803" t="s">
        <v>46623</v>
      </c>
      <c r="G2803" t="s">
        <v>74</v>
      </c>
      <c r="H2803" t="s">
        <v>74</v>
      </c>
      <c r="I2803" t="s">
        <v>46624</v>
      </c>
      <c r="J2803" t="s">
        <v>46625</v>
      </c>
      <c r="K2803" t="s">
        <v>74</v>
      </c>
      <c r="L2803" t="s">
        <v>74</v>
      </c>
      <c r="M2803" t="s">
        <v>78</v>
      </c>
      <c r="N2803" t="s">
        <v>79</v>
      </c>
      <c r="O2803" t="s">
        <v>74</v>
      </c>
      <c r="P2803" t="s">
        <v>74</v>
      </c>
      <c r="Q2803" t="s">
        <v>74</v>
      </c>
      <c r="R2803" t="s">
        <v>74</v>
      </c>
      <c r="S2803" t="s">
        <v>74</v>
      </c>
      <c r="T2803" t="s">
        <v>46626</v>
      </c>
      <c r="U2803" t="s">
        <v>46627</v>
      </c>
      <c r="V2803" t="s">
        <v>46628</v>
      </c>
      <c r="W2803" t="s">
        <v>46629</v>
      </c>
      <c r="X2803" t="s">
        <v>46630</v>
      </c>
      <c r="Y2803" t="s">
        <v>46631</v>
      </c>
      <c r="Z2803" t="s">
        <v>46632</v>
      </c>
      <c r="AA2803" t="s">
        <v>46633</v>
      </c>
      <c r="AB2803" t="s">
        <v>46634</v>
      </c>
      <c r="AC2803" t="s">
        <v>46635</v>
      </c>
      <c r="AD2803" t="s">
        <v>46636</v>
      </c>
      <c r="AE2803" t="s">
        <v>46637</v>
      </c>
      <c r="AF2803" t="s">
        <v>74</v>
      </c>
      <c r="AG2803">
        <v>123</v>
      </c>
      <c r="AH2803">
        <v>6</v>
      </c>
      <c r="AI2803">
        <v>9</v>
      </c>
      <c r="AJ2803">
        <v>8</v>
      </c>
      <c r="AK2803">
        <v>30</v>
      </c>
      <c r="AL2803" t="s">
        <v>117</v>
      </c>
      <c r="AM2803" t="s">
        <v>118</v>
      </c>
      <c r="AN2803" t="s">
        <v>119</v>
      </c>
      <c r="AO2803" t="s">
        <v>46638</v>
      </c>
      <c r="AP2803" t="s">
        <v>46639</v>
      </c>
      <c r="AQ2803" t="s">
        <v>74</v>
      </c>
      <c r="AR2803" t="s">
        <v>46640</v>
      </c>
      <c r="AS2803" t="s">
        <v>46641</v>
      </c>
      <c r="AT2803" t="s">
        <v>1652</v>
      </c>
      <c r="AU2803">
        <v>2023</v>
      </c>
      <c r="AV2803">
        <v>13</v>
      </c>
      <c r="AW2803">
        <v>2</v>
      </c>
      <c r="AX2803" t="s">
        <v>74</v>
      </c>
      <c r="AY2803" t="s">
        <v>74</v>
      </c>
      <c r="AZ2803" t="s">
        <v>74</v>
      </c>
      <c r="BA2803" t="s">
        <v>74</v>
      </c>
      <c r="BB2803">
        <v>465</v>
      </c>
      <c r="BC2803">
        <v>494</v>
      </c>
      <c r="BD2803" t="s">
        <v>74</v>
      </c>
      <c r="BE2803" t="s">
        <v>46642</v>
      </c>
      <c r="BF2803" t="str">
        <f>HYPERLINK("http://dx.doi.org/10.1007/s40821-022-00231-2","http://dx.doi.org/10.1007/s40821-022-00231-2")</f>
        <v>http://dx.doi.org/10.1007/s40821-022-00231-2</v>
      </c>
      <c r="BG2803" t="s">
        <v>74</v>
      </c>
      <c r="BH2803" t="s">
        <v>9145</v>
      </c>
      <c r="BI2803">
        <v>30</v>
      </c>
      <c r="BJ2803" t="s">
        <v>6512</v>
      </c>
      <c r="BK2803" t="s">
        <v>99</v>
      </c>
      <c r="BL2803" t="s">
        <v>100</v>
      </c>
      <c r="BM2803" t="s">
        <v>46643</v>
      </c>
      <c r="BN2803" t="s">
        <v>74</v>
      </c>
      <c r="BO2803" t="s">
        <v>270</v>
      </c>
      <c r="BP2803" t="s">
        <v>74</v>
      </c>
      <c r="BQ2803" t="s">
        <v>74</v>
      </c>
      <c r="BR2803" t="s">
        <v>102</v>
      </c>
      <c r="BS2803" t="s">
        <v>46644</v>
      </c>
      <c r="BT2803" t="str">
        <f>HYPERLINK("https%3A%2F%2Fwww.webofscience.com%2Fwos%2Fwoscc%2Ffull-record%2FWOS:000923991200001","View Full Record in Web of Science")</f>
        <v>View Full Record in Web of Science</v>
      </c>
    </row>
    <row r="2804" spans="1:72" x14ac:dyDescent="0.25">
      <c r="A2804" t="s">
        <v>72</v>
      </c>
      <c r="B2804" t="s">
        <v>46645</v>
      </c>
      <c r="C2804" t="s">
        <v>74</v>
      </c>
      <c r="D2804" t="s">
        <v>74</v>
      </c>
      <c r="E2804" t="s">
        <v>74</v>
      </c>
      <c r="F2804" t="s">
        <v>46646</v>
      </c>
      <c r="G2804" t="s">
        <v>74</v>
      </c>
      <c r="H2804" t="s">
        <v>74</v>
      </c>
      <c r="I2804" t="s">
        <v>46647</v>
      </c>
      <c r="J2804" t="s">
        <v>8787</v>
      </c>
      <c r="K2804" t="s">
        <v>74</v>
      </c>
      <c r="L2804" t="s">
        <v>74</v>
      </c>
      <c r="M2804" t="s">
        <v>78</v>
      </c>
      <c r="N2804" t="s">
        <v>79</v>
      </c>
      <c r="O2804" t="s">
        <v>74</v>
      </c>
      <c r="P2804" t="s">
        <v>74</v>
      </c>
      <c r="Q2804" t="s">
        <v>74</v>
      </c>
      <c r="R2804" t="s">
        <v>74</v>
      </c>
      <c r="S2804" t="s">
        <v>74</v>
      </c>
      <c r="T2804" t="s">
        <v>74</v>
      </c>
      <c r="U2804" t="s">
        <v>46648</v>
      </c>
      <c r="V2804" t="s">
        <v>46649</v>
      </c>
      <c r="W2804" t="s">
        <v>46650</v>
      </c>
      <c r="X2804" t="s">
        <v>46651</v>
      </c>
      <c r="Y2804" t="s">
        <v>46652</v>
      </c>
      <c r="Z2804" t="s">
        <v>45411</v>
      </c>
      <c r="AA2804" t="s">
        <v>46653</v>
      </c>
      <c r="AB2804" t="s">
        <v>46654</v>
      </c>
      <c r="AC2804" t="s">
        <v>2320</v>
      </c>
      <c r="AD2804" t="s">
        <v>2320</v>
      </c>
      <c r="AE2804" t="s">
        <v>46655</v>
      </c>
      <c r="AF2804" t="s">
        <v>74</v>
      </c>
      <c r="AG2804">
        <v>540</v>
      </c>
      <c r="AH2804">
        <v>0</v>
      </c>
      <c r="AI2804">
        <v>0</v>
      </c>
      <c r="AJ2804">
        <v>7</v>
      </c>
      <c r="AK2804">
        <v>7</v>
      </c>
      <c r="AL2804" t="s">
        <v>479</v>
      </c>
      <c r="AM2804" t="s">
        <v>480</v>
      </c>
      <c r="AN2804" t="s">
        <v>481</v>
      </c>
      <c r="AO2804" t="s">
        <v>74</v>
      </c>
      <c r="AP2804" t="s">
        <v>8792</v>
      </c>
      <c r="AQ2804" t="s">
        <v>74</v>
      </c>
      <c r="AR2804" t="s">
        <v>8793</v>
      </c>
      <c r="AS2804" t="s">
        <v>8794</v>
      </c>
      <c r="AT2804" t="s">
        <v>45569</v>
      </c>
      <c r="AU2804">
        <v>2025</v>
      </c>
      <c r="AV2804">
        <v>21</v>
      </c>
      <c r="AW2804">
        <v>3</v>
      </c>
      <c r="AX2804" t="s">
        <v>74</v>
      </c>
      <c r="AY2804" t="s">
        <v>74</v>
      </c>
      <c r="AZ2804" t="s">
        <v>74</v>
      </c>
      <c r="BA2804" t="s">
        <v>74</v>
      </c>
      <c r="BB2804" t="s">
        <v>74</v>
      </c>
      <c r="BC2804" t="s">
        <v>74</v>
      </c>
      <c r="BD2804" t="s">
        <v>46656</v>
      </c>
      <c r="BE2804" t="s">
        <v>46657</v>
      </c>
      <c r="BF2804" t="str">
        <f>HYPERLINK("http://dx.doi.org/10.1002/cl2.70061","http://dx.doi.org/10.1002/cl2.70061")</f>
        <v>http://dx.doi.org/10.1002/cl2.70061</v>
      </c>
      <c r="BG2804" t="s">
        <v>74</v>
      </c>
      <c r="BH2804" t="s">
        <v>74</v>
      </c>
      <c r="BI2804">
        <v>43</v>
      </c>
      <c r="BJ2804" t="s">
        <v>364</v>
      </c>
      <c r="BK2804" t="s">
        <v>313</v>
      </c>
      <c r="BL2804" t="s">
        <v>365</v>
      </c>
      <c r="BM2804" t="s">
        <v>46658</v>
      </c>
      <c r="BN2804">
        <v>40937339</v>
      </c>
      <c r="BO2804" t="s">
        <v>8021</v>
      </c>
      <c r="BP2804" t="s">
        <v>74</v>
      </c>
      <c r="BQ2804" t="s">
        <v>74</v>
      </c>
      <c r="BR2804" t="s">
        <v>102</v>
      </c>
      <c r="BS2804" t="s">
        <v>46659</v>
      </c>
      <c r="BT2804" t="str">
        <f>HYPERLINK("https%3A%2F%2Fwww.webofscience.com%2Fwos%2Fwoscc%2Ffull-record%2FWOS:001568578300001","View Full Record in Web of Science")</f>
        <v>View Full Record in Web of Science</v>
      </c>
    </row>
    <row r="2805" spans="1:72" x14ac:dyDescent="0.25">
      <c r="A2805" t="s">
        <v>72</v>
      </c>
      <c r="B2805" t="s">
        <v>46660</v>
      </c>
      <c r="C2805" t="s">
        <v>74</v>
      </c>
      <c r="D2805" t="s">
        <v>74</v>
      </c>
      <c r="E2805" t="s">
        <v>74</v>
      </c>
      <c r="F2805" t="s">
        <v>46661</v>
      </c>
      <c r="G2805" t="s">
        <v>74</v>
      </c>
      <c r="H2805" t="s">
        <v>74</v>
      </c>
      <c r="I2805" t="s">
        <v>46662</v>
      </c>
      <c r="J2805" t="s">
        <v>46663</v>
      </c>
      <c r="K2805" t="s">
        <v>74</v>
      </c>
      <c r="L2805" t="s">
        <v>74</v>
      </c>
      <c r="M2805" t="s">
        <v>78</v>
      </c>
      <c r="N2805" t="s">
        <v>79</v>
      </c>
      <c r="O2805" t="s">
        <v>74</v>
      </c>
      <c r="P2805" t="s">
        <v>74</v>
      </c>
      <c r="Q2805" t="s">
        <v>74</v>
      </c>
      <c r="R2805" t="s">
        <v>74</v>
      </c>
      <c r="S2805" t="s">
        <v>74</v>
      </c>
      <c r="T2805" t="s">
        <v>46664</v>
      </c>
      <c r="U2805" t="s">
        <v>46665</v>
      </c>
      <c r="V2805" t="s">
        <v>46666</v>
      </c>
      <c r="W2805" t="s">
        <v>46667</v>
      </c>
      <c r="X2805" t="s">
        <v>30701</v>
      </c>
      <c r="Y2805" t="s">
        <v>46668</v>
      </c>
      <c r="Z2805" t="s">
        <v>46669</v>
      </c>
      <c r="AA2805" t="s">
        <v>46670</v>
      </c>
      <c r="AB2805" t="s">
        <v>46671</v>
      </c>
      <c r="AC2805" t="s">
        <v>46672</v>
      </c>
      <c r="AD2805" t="s">
        <v>46673</v>
      </c>
      <c r="AE2805" t="s">
        <v>46674</v>
      </c>
      <c r="AF2805" t="s">
        <v>74</v>
      </c>
      <c r="AG2805">
        <v>64</v>
      </c>
      <c r="AH2805">
        <v>8</v>
      </c>
      <c r="AI2805">
        <v>9</v>
      </c>
      <c r="AJ2805">
        <v>0</v>
      </c>
      <c r="AK2805">
        <v>6</v>
      </c>
      <c r="AL2805" t="s">
        <v>757</v>
      </c>
      <c r="AM2805" t="s">
        <v>758</v>
      </c>
      <c r="AN2805" t="s">
        <v>759</v>
      </c>
      <c r="AO2805" t="s">
        <v>46675</v>
      </c>
      <c r="AP2805" t="s">
        <v>46676</v>
      </c>
      <c r="AQ2805" t="s">
        <v>74</v>
      </c>
      <c r="AR2805" t="s">
        <v>46677</v>
      </c>
      <c r="AS2805" t="s">
        <v>46678</v>
      </c>
      <c r="AT2805" t="s">
        <v>74</v>
      </c>
      <c r="AU2805">
        <v>2023</v>
      </c>
      <c r="AV2805" t="s">
        <v>74</v>
      </c>
      <c r="AW2805" t="s">
        <v>74</v>
      </c>
      <c r="AX2805" t="s">
        <v>74</v>
      </c>
      <c r="AY2805" t="s">
        <v>74</v>
      </c>
      <c r="AZ2805" t="s">
        <v>74</v>
      </c>
      <c r="BA2805" t="s">
        <v>74</v>
      </c>
      <c r="BB2805">
        <v>1609</v>
      </c>
      <c r="BC2805">
        <v>1632</v>
      </c>
      <c r="BD2805" t="s">
        <v>74</v>
      </c>
      <c r="BE2805" t="s">
        <v>46679</v>
      </c>
      <c r="BF2805" t="str">
        <f>HYPERLINK("http://dx.doi.org/10.1177/08997640221138763","http://dx.doi.org/10.1177/08997640221138763")</f>
        <v>http://dx.doi.org/10.1177/08997640221138763</v>
      </c>
      <c r="BG2805" t="s">
        <v>74</v>
      </c>
      <c r="BH2805" t="s">
        <v>7904</v>
      </c>
      <c r="BI2805">
        <v>24</v>
      </c>
      <c r="BJ2805" t="s">
        <v>21627</v>
      </c>
      <c r="BK2805" t="s">
        <v>99</v>
      </c>
      <c r="BL2805" t="s">
        <v>21627</v>
      </c>
      <c r="BM2805" t="s">
        <v>46680</v>
      </c>
      <c r="BN2805" t="s">
        <v>74</v>
      </c>
      <c r="BO2805" t="s">
        <v>1696</v>
      </c>
      <c r="BP2805" t="s">
        <v>74</v>
      </c>
      <c r="BQ2805" t="s">
        <v>74</v>
      </c>
      <c r="BR2805" t="s">
        <v>102</v>
      </c>
      <c r="BS2805" t="s">
        <v>46681</v>
      </c>
      <c r="BT2805" t="str">
        <f>HYPERLINK("https%3A%2F%2Fwww.webofscience.com%2Fwos%2Fwoscc%2Ffull-record%2FWOS:000897919900001","View Full Record in Web of Science")</f>
        <v>View Full Record in Web of Science</v>
      </c>
    </row>
    <row r="2806" spans="1:72" x14ac:dyDescent="0.25">
      <c r="A2806" t="s">
        <v>72</v>
      </c>
      <c r="B2806" t="s">
        <v>46682</v>
      </c>
      <c r="C2806" t="s">
        <v>74</v>
      </c>
      <c r="D2806" t="s">
        <v>74</v>
      </c>
      <c r="E2806" t="s">
        <v>74</v>
      </c>
      <c r="F2806" t="s">
        <v>46683</v>
      </c>
      <c r="G2806" t="s">
        <v>74</v>
      </c>
      <c r="H2806" t="s">
        <v>74</v>
      </c>
      <c r="I2806" t="s">
        <v>46684</v>
      </c>
      <c r="J2806" t="s">
        <v>8942</v>
      </c>
      <c r="K2806" t="s">
        <v>74</v>
      </c>
      <c r="L2806" t="s">
        <v>74</v>
      </c>
      <c r="M2806" t="s">
        <v>78</v>
      </c>
      <c r="N2806" t="s">
        <v>79</v>
      </c>
      <c r="O2806" t="s">
        <v>74</v>
      </c>
      <c r="P2806" t="s">
        <v>74</v>
      </c>
      <c r="Q2806" t="s">
        <v>74</v>
      </c>
      <c r="R2806" t="s">
        <v>74</v>
      </c>
      <c r="S2806" t="s">
        <v>74</v>
      </c>
      <c r="T2806" t="s">
        <v>46685</v>
      </c>
      <c r="U2806" t="s">
        <v>46686</v>
      </c>
      <c r="V2806" t="s">
        <v>46687</v>
      </c>
      <c r="W2806" t="s">
        <v>46688</v>
      </c>
      <c r="X2806" t="s">
        <v>11533</v>
      </c>
      <c r="Y2806" t="s">
        <v>46689</v>
      </c>
      <c r="Z2806" t="s">
        <v>46690</v>
      </c>
      <c r="AA2806" t="s">
        <v>74</v>
      </c>
      <c r="AB2806" t="s">
        <v>46691</v>
      </c>
      <c r="AC2806" t="s">
        <v>74</v>
      </c>
      <c r="AD2806" t="s">
        <v>74</v>
      </c>
      <c r="AE2806" t="s">
        <v>74</v>
      </c>
      <c r="AF2806" t="s">
        <v>74</v>
      </c>
      <c r="AG2806">
        <v>56</v>
      </c>
      <c r="AH2806">
        <v>6</v>
      </c>
      <c r="AI2806">
        <v>6</v>
      </c>
      <c r="AJ2806">
        <v>0</v>
      </c>
      <c r="AK2806">
        <v>3</v>
      </c>
      <c r="AL2806" t="s">
        <v>89</v>
      </c>
      <c r="AM2806" t="s">
        <v>90</v>
      </c>
      <c r="AN2806" t="s">
        <v>91</v>
      </c>
      <c r="AO2806" t="s">
        <v>8952</v>
      </c>
      <c r="AP2806" t="s">
        <v>8953</v>
      </c>
      <c r="AQ2806" t="s">
        <v>74</v>
      </c>
      <c r="AR2806" t="s">
        <v>8954</v>
      </c>
      <c r="AS2806" t="s">
        <v>8955</v>
      </c>
      <c r="AT2806" t="s">
        <v>14816</v>
      </c>
      <c r="AU2806">
        <v>2024</v>
      </c>
      <c r="AV2806">
        <v>15</v>
      </c>
      <c r="AW2806">
        <v>2</v>
      </c>
      <c r="AX2806" t="s">
        <v>74</v>
      </c>
      <c r="AY2806" t="s">
        <v>74</v>
      </c>
      <c r="AZ2806" t="s">
        <v>441</v>
      </c>
      <c r="BA2806" t="s">
        <v>74</v>
      </c>
      <c r="BB2806">
        <v>263</v>
      </c>
      <c r="BC2806">
        <v>278</v>
      </c>
      <c r="BD2806" t="s">
        <v>74</v>
      </c>
      <c r="BE2806" t="s">
        <v>46692</v>
      </c>
      <c r="BF2806" t="str">
        <f>HYPERLINK("http://dx.doi.org/10.1108/AJEMS-02-2022-0055","http://dx.doi.org/10.1108/AJEMS-02-2022-0055")</f>
        <v>http://dx.doi.org/10.1108/AJEMS-02-2022-0055</v>
      </c>
      <c r="BG2806" t="s">
        <v>74</v>
      </c>
      <c r="BH2806" t="s">
        <v>6418</v>
      </c>
      <c r="BI2806">
        <v>16</v>
      </c>
      <c r="BJ2806" t="s">
        <v>291</v>
      </c>
      <c r="BK2806" t="s">
        <v>313</v>
      </c>
      <c r="BL2806" t="s">
        <v>100</v>
      </c>
      <c r="BM2806" t="s">
        <v>14818</v>
      </c>
      <c r="BN2806" t="s">
        <v>74</v>
      </c>
      <c r="BO2806" t="s">
        <v>74</v>
      </c>
      <c r="BP2806" t="s">
        <v>74</v>
      </c>
      <c r="BQ2806" t="s">
        <v>74</v>
      </c>
      <c r="BR2806" t="s">
        <v>102</v>
      </c>
      <c r="BS2806" t="s">
        <v>46693</v>
      </c>
      <c r="BT2806" t="str">
        <f>HYPERLINK("https%3A%2F%2Fwww.webofscience.com%2Fwos%2Fwoscc%2Ffull-record%2FWOS:000986405700001","View Full Record in Web of Science")</f>
        <v>View Full Record in Web of Science</v>
      </c>
    </row>
    <row r="2807" spans="1:72" x14ac:dyDescent="0.25">
      <c r="A2807" t="s">
        <v>72</v>
      </c>
      <c r="B2807" t="s">
        <v>46694</v>
      </c>
      <c r="C2807" t="s">
        <v>74</v>
      </c>
      <c r="D2807" t="s">
        <v>74</v>
      </c>
      <c r="E2807" t="s">
        <v>74</v>
      </c>
      <c r="F2807" t="s">
        <v>46695</v>
      </c>
      <c r="G2807" t="s">
        <v>74</v>
      </c>
      <c r="H2807" t="s">
        <v>74</v>
      </c>
      <c r="I2807" t="s">
        <v>46696</v>
      </c>
      <c r="J2807" t="s">
        <v>8942</v>
      </c>
      <c r="K2807" t="s">
        <v>74</v>
      </c>
      <c r="L2807" t="s">
        <v>74</v>
      </c>
      <c r="M2807" t="s">
        <v>78</v>
      </c>
      <c r="N2807" t="s">
        <v>79</v>
      </c>
      <c r="O2807" t="s">
        <v>74</v>
      </c>
      <c r="P2807" t="s">
        <v>74</v>
      </c>
      <c r="Q2807" t="s">
        <v>74</v>
      </c>
      <c r="R2807" t="s">
        <v>74</v>
      </c>
      <c r="S2807" t="s">
        <v>74</v>
      </c>
      <c r="T2807" t="s">
        <v>46697</v>
      </c>
      <c r="U2807" t="s">
        <v>46698</v>
      </c>
      <c r="V2807" t="s">
        <v>46699</v>
      </c>
      <c r="W2807" t="s">
        <v>46700</v>
      </c>
      <c r="X2807" t="s">
        <v>74</v>
      </c>
      <c r="Y2807" t="s">
        <v>46701</v>
      </c>
      <c r="Z2807" t="s">
        <v>46702</v>
      </c>
      <c r="AA2807" t="s">
        <v>15403</v>
      </c>
      <c r="AB2807" t="s">
        <v>74</v>
      </c>
      <c r="AC2807" t="s">
        <v>74</v>
      </c>
      <c r="AD2807" t="s">
        <v>74</v>
      </c>
      <c r="AE2807" t="s">
        <v>74</v>
      </c>
      <c r="AF2807" t="s">
        <v>74</v>
      </c>
      <c r="AG2807">
        <v>52</v>
      </c>
      <c r="AH2807">
        <v>22</v>
      </c>
      <c r="AI2807">
        <v>23</v>
      </c>
      <c r="AJ2807">
        <v>0</v>
      </c>
      <c r="AK2807">
        <v>11</v>
      </c>
      <c r="AL2807" t="s">
        <v>89</v>
      </c>
      <c r="AM2807" t="s">
        <v>1497</v>
      </c>
      <c r="AN2807" t="s">
        <v>1498</v>
      </c>
      <c r="AO2807" t="s">
        <v>8952</v>
      </c>
      <c r="AP2807" t="s">
        <v>8953</v>
      </c>
      <c r="AQ2807" t="s">
        <v>74</v>
      </c>
      <c r="AR2807" t="s">
        <v>8954</v>
      </c>
      <c r="AS2807" t="s">
        <v>8955</v>
      </c>
      <c r="AT2807" t="s">
        <v>74</v>
      </c>
      <c r="AU2807">
        <v>2019</v>
      </c>
      <c r="AV2807">
        <v>10</v>
      </c>
      <c r="AW2807">
        <v>2</v>
      </c>
      <c r="AX2807" t="s">
        <v>74</v>
      </c>
      <c r="AY2807" t="s">
        <v>74</v>
      </c>
      <c r="AZ2807" t="s">
        <v>74</v>
      </c>
      <c r="BA2807" t="s">
        <v>74</v>
      </c>
      <c r="BB2807">
        <v>185</v>
      </c>
      <c r="BC2807">
        <v>197</v>
      </c>
      <c r="BD2807" t="s">
        <v>74</v>
      </c>
      <c r="BE2807" t="s">
        <v>46703</v>
      </c>
      <c r="BF2807" t="str">
        <f>HYPERLINK("http://dx.doi.org/10.1108/AJEMS-04-2018-0105","http://dx.doi.org/10.1108/AJEMS-04-2018-0105")</f>
        <v>http://dx.doi.org/10.1108/AJEMS-04-2018-0105</v>
      </c>
      <c r="BG2807" t="s">
        <v>74</v>
      </c>
      <c r="BH2807" t="s">
        <v>74</v>
      </c>
      <c r="BI2807">
        <v>13</v>
      </c>
      <c r="BJ2807" t="s">
        <v>291</v>
      </c>
      <c r="BK2807" t="s">
        <v>313</v>
      </c>
      <c r="BL2807" t="s">
        <v>100</v>
      </c>
      <c r="BM2807" t="s">
        <v>46704</v>
      </c>
      <c r="BN2807" t="s">
        <v>74</v>
      </c>
      <c r="BO2807" t="s">
        <v>74</v>
      </c>
      <c r="BP2807" t="s">
        <v>74</v>
      </c>
      <c r="BQ2807" t="s">
        <v>74</v>
      </c>
      <c r="BR2807" t="s">
        <v>102</v>
      </c>
      <c r="BS2807" t="s">
        <v>46705</v>
      </c>
      <c r="BT2807" t="str">
        <f>HYPERLINK("https%3A%2F%2Fwww.webofscience.com%2Fwos%2Fwoscc%2Ffull-record%2FWOS:000470767600004","View Full Record in Web of Science")</f>
        <v>View Full Record in Web of Science</v>
      </c>
    </row>
    <row r="2808" spans="1:72" x14ac:dyDescent="0.25">
      <c r="A2808" t="s">
        <v>72</v>
      </c>
      <c r="B2808" t="s">
        <v>46706</v>
      </c>
      <c r="C2808" t="s">
        <v>74</v>
      </c>
      <c r="D2808" t="s">
        <v>74</v>
      </c>
      <c r="E2808" t="s">
        <v>74</v>
      </c>
      <c r="F2808" t="s">
        <v>46707</v>
      </c>
      <c r="G2808" t="s">
        <v>74</v>
      </c>
      <c r="H2808" t="s">
        <v>74</v>
      </c>
      <c r="I2808" t="s">
        <v>46708</v>
      </c>
      <c r="J2808" t="s">
        <v>4306</v>
      </c>
      <c r="K2808" t="s">
        <v>74</v>
      </c>
      <c r="L2808" t="s">
        <v>74</v>
      </c>
      <c r="M2808" t="s">
        <v>78</v>
      </c>
      <c r="N2808" t="s">
        <v>79</v>
      </c>
      <c r="O2808" t="s">
        <v>74</v>
      </c>
      <c r="P2808" t="s">
        <v>74</v>
      </c>
      <c r="Q2808" t="s">
        <v>74</v>
      </c>
      <c r="R2808" t="s">
        <v>74</v>
      </c>
      <c r="S2808" t="s">
        <v>74</v>
      </c>
      <c r="T2808" t="s">
        <v>46709</v>
      </c>
      <c r="U2808" t="s">
        <v>46710</v>
      </c>
      <c r="V2808" t="s">
        <v>46711</v>
      </c>
      <c r="W2808" t="s">
        <v>46712</v>
      </c>
      <c r="X2808" t="s">
        <v>46713</v>
      </c>
      <c r="Y2808" t="s">
        <v>46714</v>
      </c>
      <c r="Z2808" t="s">
        <v>46715</v>
      </c>
      <c r="AA2808" t="s">
        <v>46716</v>
      </c>
      <c r="AB2808" t="s">
        <v>46717</v>
      </c>
      <c r="AC2808" t="s">
        <v>74</v>
      </c>
      <c r="AD2808" t="s">
        <v>74</v>
      </c>
      <c r="AE2808" t="s">
        <v>74</v>
      </c>
      <c r="AF2808" t="s">
        <v>74</v>
      </c>
      <c r="AG2808">
        <v>82</v>
      </c>
      <c r="AH2808">
        <v>45</v>
      </c>
      <c r="AI2808">
        <v>53</v>
      </c>
      <c r="AJ2808">
        <v>3</v>
      </c>
      <c r="AK2808">
        <v>64</v>
      </c>
      <c r="AL2808" t="s">
        <v>503</v>
      </c>
      <c r="AM2808" t="s">
        <v>151</v>
      </c>
      <c r="AN2808" t="s">
        <v>504</v>
      </c>
      <c r="AO2808" t="s">
        <v>4315</v>
      </c>
      <c r="AP2808" t="s">
        <v>4316</v>
      </c>
      <c r="AQ2808" t="s">
        <v>74</v>
      </c>
      <c r="AR2808" t="s">
        <v>4317</v>
      </c>
      <c r="AS2808" t="s">
        <v>4318</v>
      </c>
      <c r="AT2808" t="s">
        <v>237</v>
      </c>
      <c r="AU2808">
        <v>2021</v>
      </c>
      <c r="AV2808">
        <v>163</v>
      </c>
      <c r="AW2808" t="s">
        <v>74</v>
      </c>
      <c r="AX2808" t="s">
        <v>74</v>
      </c>
      <c r="AY2808" t="s">
        <v>74</v>
      </c>
      <c r="AZ2808" t="s">
        <v>74</v>
      </c>
      <c r="BA2808" t="s">
        <v>74</v>
      </c>
      <c r="BB2808" t="s">
        <v>74</v>
      </c>
      <c r="BC2808" t="s">
        <v>74</v>
      </c>
      <c r="BD2808">
        <v>120416</v>
      </c>
      <c r="BE2808" t="s">
        <v>46718</v>
      </c>
      <c r="BF2808" t="str">
        <f>HYPERLINK("http://dx.doi.org/10.1016/j.techfore.2020.120416","http://dx.doi.org/10.1016/j.techfore.2020.120416")</f>
        <v>http://dx.doi.org/10.1016/j.techfore.2020.120416</v>
      </c>
      <c r="BG2808" t="s">
        <v>74</v>
      </c>
      <c r="BH2808" t="s">
        <v>11556</v>
      </c>
      <c r="BI2808">
        <v>13</v>
      </c>
      <c r="BJ2808" t="s">
        <v>1627</v>
      </c>
      <c r="BK2808" t="s">
        <v>99</v>
      </c>
      <c r="BL2808" t="s">
        <v>1406</v>
      </c>
      <c r="BM2808" t="s">
        <v>46719</v>
      </c>
      <c r="BN2808" t="s">
        <v>74</v>
      </c>
      <c r="BO2808" t="s">
        <v>74</v>
      </c>
      <c r="BP2808" t="s">
        <v>74</v>
      </c>
      <c r="BQ2808" t="s">
        <v>74</v>
      </c>
      <c r="BR2808" t="s">
        <v>102</v>
      </c>
      <c r="BS2808" t="s">
        <v>46720</v>
      </c>
      <c r="BT2808" t="str">
        <f>HYPERLINK("https%3A%2F%2Fwww.webofscience.com%2Fwos%2Fwoscc%2Ffull-record%2FWOS:000608420000019","View Full Record in Web of Science")</f>
        <v>View Full Record in Web of Science</v>
      </c>
    </row>
    <row r="2809" spans="1:72" x14ac:dyDescent="0.25">
      <c r="A2809" t="s">
        <v>72</v>
      </c>
      <c r="B2809" t="s">
        <v>46721</v>
      </c>
      <c r="C2809" t="s">
        <v>74</v>
      </c>
      <c r="D2809" t="s">
        <v>74</v>
      </c>
      <c r="E2809" t="s">
        <v>74</v>
      </c>
      <c r="F2809" t="s">
        <v>46722</v>
      </c>
      <c r="G2809" t="s">
        <v>74</v>
      </c>
      <c r="H2809" t="s">
        <v>74</v>
      </c>
      <c r="I2809" t="s">
        <v>46723</v>
      </c>
      <c r="J2809" t="s">
        <v>19980</v>
      </c>
      <c r="K2809" t="s">
        <v>74</v>
      </c>
      <c r="L2809" t="s">
        <v>74</v>
      </c>
      <c r="M2809" t="s">
        <v>78</v>
      </c>
      <c r="N2809" t="s">
        <v>79</v>
      </c>
      <c r="O2809" t="s">
        <v>74</v>
      </c>
      <c r="P2809" t="s">
        <v>74</v>
      </c>
      <c r="Q2809" t="s">
        <v>74</v>
      </c>
      <c r="R2809" t="s">
        <v>74</v>
      </c>
      <c r="S2809" t="s">
        <v>74</v>
      </c>
      <c r="T2809" t="s">
        <v>46724</v>
      </c>
      <c r="U2809" t="s">
        <v>46725</v>
      </c>
      <c r="V2809" t="s">
        <v>46726</v>
      </c>
      <c r="W2809" t="s">
        <v>46727</v>
      </c>
      <c r="X2809" t="s">
        <v>46728</v>
      </c>
      <c r="Y2809" t="s">
        <v>46729</v>
      </c>
      <c r="Z2809" t="s">
        <v>46730</v>
      </c>
      <c r="AA2809" t="s">
        <v>74</v>
      </c>
      <c r="AB2809" t="s">
        <v>74</v>
      </c>
      <c r="AC2809" t="s">
        <v>74</v>
      </c>
      <c r="AD2809" t="s">
        <v>74</v>
      </c>
      <c r="AE2809" t="s">
        <v>74</v>
      </c>
      <c r="AF2809" t="s">
        <v>74</v>
      </c>
      <c r="AG2809">
        <v>42</v>
      </c>
      <c r="AH2809">
        <v>0</v>
      </c>
      <c r="AI2809">
        <v>0</v>
      </c>
      <c r="AJ2809">
        <v>0</v>
      </c>
      <c r="AK2809">
        <v>0</v>
      </c>
      <c r="AL2809" t="s">
        <v>201</v>
      </c>
      <c r="AM2809" t="s">
        <v>202</v>
      </c>
      <c r="AN2809" t="s">
        <v>203</v>
      </c>
      <c r="AO2809" t="s">
        <v>19973</v>
      </c>
      <c r="AP2809" t="s">
        <v>19972</v>
      </c>
      <c r="AQ2809" t="s">
        <v>74</v>
      </c>
      <c r="AR2809" t="s">
        <v>19971</v>
      </c>
      <c r="AS2809" t="s">
        <v>19970</v>
      </c>
      <c r="AT2809" t="s">
        <v>124</v>
      </c>
      <c r="AU2809">
        <v>2025</v>
      </c>
      <c r="AV2809">
        <v>37</v>
      </c>
      <c r="AW2809">
        <v>4</v>
      </c>
      <c r="AX2809" t="s">
        <v>74</v>
      </c>
      <c r="AY2809" t="s">
        <v>74</v>
      </c>
      <c r="AZ2809" t="s">
        <v>74</v>
      </c>
      <c r="BA2809" t="s">
        <v>74</v>
      </c>
      <c r="BB2809" t="s">
        <v>74</v>
      </c>
      <c r="BC2809" t="s">
        <v>74</v>
      </c>
      <c r="BD2809">
        <v>100616</v>
      </c>
      <c r="BE2809" t="s">
        <v>46731</v>
      </c>
      <c r="BF2809" t="str">
        <f>HYPERLINK("http://dx.doi.org/10.1016/j.iimb.2025.100616","http://dx.doi.org/10.1016/j.iimb.2025.100616")</f>
        <v>http://dx.doi.org/10.1016/j.iimb.2025.100616</v>
      </c>
      <c r="BG2809" t="s">
        <v>74</v>
      </c>
      <c r="BH2809" t="s">
        <v>488</v>
      </c>
      <c r="BI2809">
        <v>11</v>
      </c>
      <c r="BJ2809" t="s">
        <v>583</v>
      </c>
      <c r="BK2809" t="s">
        <v>313</v>
      </c>
      <c r="BL2809" t="s">
        <v>100</v>
      </c>
      <c r="BM2809" t="s">
        <v>46732</v>
      </c>
      <c r="BN2809" t="s">
        <v>74</v>
      </c>
      <c r="BO2809" t="s">
        <v>212</v>
      </c>
      <c r="BP2809" t="s">
        <v>74</v>
      </c>
      <c r="BQ2809" t="s">
        <v>74</v>
      </c>
      <c r="BR2809" t="s">
        <v>102</v>
      </c>
      <c r="BS2809" t="s">
        <v>46733</v>
      </c>
      <c r="BT2809" t="str">
        <f>HYPERLINK("https%3A%2F%2Fwww.webofscience.com%2Fwos%2Fwoscc%2Ffull-record%2FWOS:001654050700002","View Full Record in Web of Science")</f>
        <v>View Full Record in Web of Science</v>
      </c>
    </row>
    <row r="2810" spans="1:72" x14ac:dyDescent="0.25">
      <c r="A2810" t="s">
        <v>72</v>
      </c>
      <c r="B2810" t="s">
        <v>46734</v>
      </c>
      <c r="C2810" t="s">
        <v>74</v>
      </c>
      <c r="D2810" t="s">
        <v>74</v>
      </c>
      <c r="E2810" t="s">
        <v>74</v>
      </c>
      <c r="F2810" t="s">
        <v>46735</v>
      </c>
      <c r="G2810" t="s">
        <v>74</v>
      </c>
      <c r="H2810" t="s">
        <v>74</v>
      </c>
      <c r="I2810" t="s">
        <v>46736</v>
      </c>
      <c r="J2810" t="s">
        <v>3253</v>
      </c>
      <c r="K2810" t="s">
        <v>74</v>
      </c>
      <c r="L2810" t="s">
        <v>74</v>
      </c>
      <c r="M2810" t="s">
        <v>78</v>
      </c>
      <c r="N2810" t="s">
        <v>79</v>
      </c>
      <c r="O2810" t="s">
        <v>74</v>
      </c>
      <c r="P2810" t="s">
        <v>74</v>
      </c>
      <c r="Q2810" t="s">
        <v>74</v>
      </c>
      <c r="R2810" t="s">
        <v>74</v>
      </c>
      <c r="S2810" t="s">
        <v>74</v>
      </c>
      <c r="T2810" t="s">
        <v>46737</v>
      </c>
      <c r="U2810" t="s">
        <v>46738</v>
      </c>
      <c r="V2810" t="s">
        <v>46739</v>
      </c>
      <c r="W2810" t="s">
        <v>46740</v>
      </c>
      <c r="X2810" t="s">
        <v>46741</v>
      </c>
      <c r="Y2810" t="s">
        <v>46742</v>
      </c>
      <c r="Z2810" t="s">
        <v>46743</v>
      </c>
      <c r="AA2810" t="s">
        <v>74</v>
      </c>
      <c r="AB2810" t="s">
        <v>46744</v>
      </c>
      <c r="AC2810" t="s">
        <v>74</v>
      </c>
      <c r="AD2810" t="s">
        <v>74</v>
      </c>
      <c r="AE2810" t="s">
        <v>74</v>
      </c>
      <c r="AF2810" t="s">
        <v>74</v>
      </c>
      <c r="AG2810">
        <v>47</v>
      </c>
      <c r="AH2810">
        <v>8</v>
      </c>
      <c r="AI2810">
        <v>11</v>
      </c>
      <c r="AJ2810">
        <v>0</v>
      </c>
      <c r="AK2810">
        <v>7</v>
      </c>
      <c r="AL2810" t="s">
        <v>385</v>
      </c>
      <c r="AM2810" t="s">
        <v>151</v>
      </c>
      <c r="AN2810" t="s">
        <v>7357</v>
      </c>
      <c r="AO2810" t="s">
        <v>3260</v>
      </c>
      <c r="AP2810" t="s">
        <v>3261</v>
      </c>
      <c r="AQ2810" t="s">
        <v>74</v>
      </c>
      <c r="AR2810" t="s">
        <v>3262</v>
      </c>
      <c r="AS2810" t="s">
        <v>3263</v>
      </c>
      <c r="AT2810" t="s">
        <v>698</v>
      </c>
      <c r="AU2810">
        <v>2018</v>
      </c>
      <c r="AV2810">
        <v>41</v>
      </c>
      <c r="AW2810">
        <v>3</v>
      </c>
      <c r="AX2810" t="s">
        <v>74</v>
      </c>
      <c r="AY2810" t="s">
        <v>74</v>
      </c>
      <c r="AZ2810" t="s">
        <v>74</v>
      </c>
      <c r="BA2810" t="s">
        <v>74</v>
      </c>
      <c r="BB2810">
        <v>273</v>
      </c>
      <c r="BC2810">
        <v>295</v>
      </c>
      <c r="BD2810" t="s">
        <v>74</v>
      </c>
      <c r="BE2810" t="s">
        <v>46745</v>
      </c>
      <c r="BF2810" t="str">
        <f>HYPERLINK("http://dx.doi.org/10.1007/s10603-018-9375-2","http://dx.doi.org/10.1007/s10603-018-9375-2")</f>
        <v>http://dx.doi.org/10.1007/s10603-018-9375-2</v>
      </c>
      <c r="BG2810" t="s">
        <v>74</v>
      </c>
      <c r="BH2810" t="s">
        <v>74</v>
      </c>
      <c r="BI2810">
        <v>23</v>
      </c>
      <c r="BJ2810" t="s">
        <v>418</v>
      </c>
      <c r="BK2810" t="s">
        <v>313</v>
      </c>
      <c r="BL2810" t="s">
        <v>100</v>
      </c>
      <c r="BM2810" t="s">
        <v>46746</v>
      </c>
      <c r="BN2810" t="s">
        <v>74</v>
      </c>
      <c r="BO2810" t="s">
        <v>74</v>
      </c>
      <c r="BP2810" t="s">
        <v>74</v>
      </c>
      <c r="BQ2810" t="s">
        <v>74</v>
      </c>
      <c r="BR2810" t="s">
        <v>102</v>
      </c>
      <c r="BS2810" t="s">
        <v>46747</v>
      </c>
      <c r="BT2810" t="str">
        <f>HYPERLINK("https%3A%2F%2Fwww.webofscience.com%2Fwos%2Fwoscc%2Ffull-record%2FWOS:000443364200005","View Full Record in Web of Science")</f>
        <v>View Full Record in Web of Science</v>
      </c>
    </row>
    <row r="2811" spans="1:72" x14ac:dyDescent="0.25">
      <c r="A2811" t="s">
        <v>72</v>
      </c>
      <c r="B2811" t="s">
        <v>46748</v>
      </c>
      <c r="C2811" t="s">
        <v>74</v>
      </c>
      <c r="D2811" t="s">
        <v>74</v>
      </c>
      <c r="E2811" t="s">
        <v>74</v>
      </c>
      <c r="F2811" t="s">
        <v>46749</v>
      </c>
      <c r="G2811" t="s">
        <v>74</v>
      </c>
      <c r="H2811" t="s">
        <v>74</v>
      </c>
      <c r="I2811" t="s">
        <v>46750</v>
      </c>
      <c r="J2811" t="s">
        <v>46751</v>
      </c>
      <c r="K2811" t="s">
        <v>74</v>
      </c>
      <c r="L2811" t="s">
        <v>74</v>
      </c>
      <c r="M2811" t="s">
        <v>78</v>
      </c>
      <c r="N2811" t="s">
        <v>79</v>
      </c>
      <c r="O2811" t="s">
        <v>74</v>
      </c>
      <c r="P2811" t="s">
        <v>74</v>
      </c>
      <c r="Q2811" t="s">
        <v>74</v>
      </c>
      <c r="R2811" t="s">
        <v>74</v>
      </c>
      <c r="S2811" t="s">
        <v>74</v>
      </c>
      <c r="T2811" t="s">
        <v>46752</v>
      </c>
      <c r="U2811" t="s">
        <v>46753</v>
      </c>
      <c r="V2811" t="s">
        <v>46754</v>
      </c>
      <c r="W2811" t="s">
        <v>46755</v>
      </c>
      <c r="X2811" t="s">
        <v>46756</v>
      </c>
      <c r="Y2811" t="s">
        <v>46757</v>
      </c>
      <c r="Z2811" t="s">
        <v>46758</v>
      </c>
      <c r="AA2811" t="s">
        <v>46759</v>
      </c>
      <c r="AB2811" t="s">
        <v>46760</v>
      </c>
      <c r="AC2811" t="s">
        <v>46761</v>
      </c>
      <c r="AD2811" t="s">
        <v>46761</v>
      </c>
      <c r="AE2811" t="s">
        <v>46762</v>
      </c>
      <c r="AF2811" t="s">
        <v>74</v>
      </c>
      <c r="AG2811">
        <v>20</v>
      </c>
      <c r="AH2811">
        <v>1</v>
      </c>
      <c r="AI2811">
        <v>1</v>
      </c>
      <c r="AJ2811">
        <v>0</v>
      </c>
      <c r="AK2811">
        <v>0</v>
      </c>
      <c r="AL2811" t="s">
        <v>4666</v>
      </c>
      <c r="AM2811" t="s">
        <v>995</v>
      </c>
      <c r="AN2811" t="s">
        <v>4025</v>
      </c>
      <c r="AO2811" t="s">
        <v>46763</v>
      </c>
      <c r="AP2811" t="s">
        <v>46764</v>
      </c>
      <c r="AQ2811" t="s">
        <v>74</v>
      </c>
      <c r="AR2811" t="s">
        <v>46765</v>
      </c>
      <c r="AS2811" t="s">
        <v>46766</v>
      </c>
      <c r="AT2811" t="s">
        <v>124</v>
      </c>
      <c r="AU2811">
        <v>2023</v>
      </c>
      <c r="AV2811">
        <v>6</v>
      </c>
      <c r="AW2811">
        <v>4</v>
      </c>
      <c r="AX2811" t="s">
        <v>74</v>
      </c>
      <c r="AY2811" t="s">
        <v>74</v>
      </c>
      <c r="AZ2811" t="s">
        <v>74</v>
      </c>
      <c r="BA2811" t="s">
        <v>74</v>
      </c>
      <c r="BB2811">
        <v>258</v>
      </c>
      <c r="BC2811">
        <v>267</v>
      </c>
      <c r="BD2811" t="s">
        <v>74</v>
      </c>
      <c r="BE2811" t="s">
        <v>46767</v>
      </c>
      <c r="BF2811" t="str">
        <f>HYPERLINK("http://dx.doi.org/10.1007/s41996-023-00119-x","http://dx.doi.org/10.1007/s41996-023-00119-x")</f>
        <v>http://dx.doi.org/10.1007/s41996-023-00119-x</v>
      </c>
      <c r="BG2811" t="s">
        <v>74</v>
      </c>
      <c r="BH2811" t="s">
        <v>74</v>
      </c>
      <c r="BI2811">
        <v>10</v>
      </c>
      <c r="BJ2811" t="s">
        <v>291</v>
      </c>
      <c r="BK2811" t="s">
        <v>313</v>
      </c>
      <c r="BL2811" t="s">
        <v>100</v>
      </c>
      <c r="BM2811" t="s">
        <v>46768</v>
      </c>
      <c r="BN2811">
        <v>37363408</v>
      </c>
      <c r="BO2811" t="s">
        <v>3694</v>
      </c>
      <c r="BP2811" t="s">
        <v>74</v>
      </c>
      <c r="BQ2811" t="s">
        <v>74</v>
      </c>
      <c r="BR2811" t="s">
        <v>102</v>
      </c>
      <c r="BS2811" t="s">
        <v>46769</v>
      </c>
      <c r="BT2811" t="str">
        <f>HYPERLINK("https%3A%2F%2Fwww.webofscience.com%2Fwos%2Fwoscc%2Ffull-record%2FWOS:001243997400002","View Full Record in Web of Science")</f>
        <v>View Full Record in Web of Science</v>
      </c>
    </row>
    <row r="2812" spans="1:72" x14ac:dyDescent="0.25">
      <c r="A2812" t="s">
        <v>72</v>
      </c>
      <c r="B2812" t="s">
        <v>46770</v>
      </c>
      <c r="C2812" t="s">
        <v>74</v>
      </c>
      <c r="D2812" t="s">
        <v>74</v>
      </c>
      <c r="E2812" t="s">
        <v>74</v>
      </c>
      <c r="F2812" t="s">
        <v>46771</v>
      </c>
      <c r="G2812" t="s">
        <v>74</v>
      </c>
      <c r="H2812" t="s">
        <v>74</v>
      </c>
      <c r="I2812" t="s">
        <v>46772</v>
      </c>
      <c r="J2812" t="s">
        <v>6283</v>
      </c>
      <c r="K2812" t="s">
        <v>74</v>
      </c>
      <c r="L2812" t="s">
        <v>74</v>
      </c>
      <c r="M2812" t="s">
        <v>78</v>
      </c>
      <c r="N2812" t="s">
        <v>79</v>
      </c>
      <c r="O2812" t="s">
        <v>74</v>
      </c>
      <c r="P2812" t="s">
        <v>74</v>
      </c>
      <c r="Q2812" t="s">
        <v>74</v>
      </c>
      <c r="R2812" t="s">
        <v>74</v>
      </c>
      <c r="S2812" t="s">
        <v>74</v>
      </c>
      <c r="T2812" t="s">
        <v>46773</v>
      </c>
      <c r="U2812" t="s">
        <v>46774</v>
      </c>
      <c r="V2812" t="s">
        <v>46775</v>
      </c>
      <c r="W2812" t="s">
        <v>46776</v>
      </c>
      <c r="X2812" t="s">
        <v>74</v>
      </c>
      <c r="Y2812" t="s">
        <v>46777</v>
      </c>
      <c r="Z2812" t="s">
        <v>46778</v>
      </c>
      <c r="AA2812" t="s">
        <v>46779</v>
      </c>
      <c r="AB2812" t="s">
        <v>46780</v>
      </c>
      <c r="AC2812" t="s">
        <v>74</v>
      </c>
      <c r="AD2812" t="s">
        <v>74</v>
      </c>
      <c r="AE2812" t="s">
        <v>74</v>
      </c>
      <c r="AF2812" t="s">
        <v>74</v>
      </c>
      <c r="AG2812">
        <v>64</v>
      </c>
      <c r="AH2812">
        <v>4</v>
      </c>
      <c r="AI2812">
        <v>5</v>
      </c>
      <c r="AJ2812">
        <v>4</v>
      </c>
      <c r="AK2812">
        <v>8</v>
      </c>
      <c r="AL2812" t="s">
        <v>479</v>
      </c>
      <c r="AM2812" t="s">
        <v>480</v>
      </c>
      <c r="AN2812" t="s">
        <v>481</v>
      </c>
      <c r="AO2812" t="s">
        <v>6293</v>
      </c>
      <c r="AP2812" t="s">
        <v>6294</v>
      </c>
      <c r="AQ2812" t="s">
        <v>74</v>
      </c>
      <c r="AR2812" t="s">
        <v>6295</v>
      </c>
      <c r="AS2812" t="s">
        <v>6296</v>
      </c>
      <c r="AT2812" t="s">
        <v>743</v>
      </c>
      <c r="AU2812">
        <v>2025</v>
      </c>
      <c r="AV2812">
        <v>33</v>
      </c>
      <c r="AW2812">
        <v>2</v>
      </c>
      <c r="AX2812" t="s">
        <v>74</v>
      </c>
      <c r="AY2812" t="s">
        <v>74</v>
      </c>
      <c r="AZ2812" t="s">
        <v>74</v>
      </c>
      <c r="BA2812" t="s">
        <v>74</v>
      </c>
      <c r="BB2812">
        <v>2519</v>
      </c>
      <c r="BC2812">
        <v>2534</v>
      </c>
      <c r="BD2812" t="s">
        <v>74</v>
      </c>
      <c r="BE2812" t="s">
        <v>46781</v>
      </c>
      <c r="BF2812" t="str">
        <f>HYPERLINK("http://dx.doi.org/10.1002/sd.3245","http://dx.doi.org/10.1002/sd.3245")</f>
        <v>http://dx.doi.org/10.1002/sd.3245</v>
      </c>
      <c r="BG2812" t="s">
        <v>74</v>
      </c>
      <c r="BH2812" t="s">
        <v>1136</v>
      </c>
      <c r="BI2812">
        <v>16</v>
      </c>
      <c r="BJ2812" t="s">
        <v>6299</v>
      </c>
      <c r="BK2812" t="s">
        <v>99</v>
      </c>
      <c r="BL2812" t="s">
        <v>6300</v>
      </c>
      <c r="BM2812" t="s">
        <v>46782</v>
      </c>
      <c r="BN2812" t="s">
        <v>74</v>
      </c>
      <c r="BO2812" t="s">
        <v>74</v>
      </c>
      <c r="BP2812" t="s">
        <v>74</v>
      </c>
      <c r="BQ2812" t="s">
        <v>74</v>
      </c>
      <c r="BR2812" t="s">
        <v>102</v>
      </c>
      <c r="BS2812" t="s">
        <v>46783</v>
      </c>
      <c r="BT2812" t="str">
        <f>HYPERLINK("https%3A%2F%2Fwww.webofscience.com%2Fwos%2Fwoscc%2Ffull-record%2FWOS:001344088200001","View Full Record in Web of Science")</f>
        <v>View Full Record in Web of Science</v>
      </c>
    </row>
    <row r="2813" spans="1:72" x14ac:dyDescent="0.25">
      <c r="A2813" t="s">
        <v>72</v>
      </c>
      <c r="B2813" t="s">
        <v>12322</v>
      </c>
      <c r="C2813" t="s">
        <v>74</v>
      </c>
      <c r="D2813" t="s">
        <v>74</v>
      </c>
      <c r="E2813" t="s">
        <v>74</v>
      </c>
      <c r="F2813" t="s">
        <v>12323</v>
      </c>
      <c r="G2813" t="s">
        <v>74</v>
      </c>
      <c r="H2813" t="s">
        <v>74</v>
      </c>
      <c r="I2813" t="s">
        <v>46784</v>
      </c>
      <c r="J2813" t="s">
        <v>46785</v>
      </c>
      <c r="K2813" t="s">
        <v>74</v>
      </c>
      <c r="L2813" t="s">
        <v>74</v>
      </c>
      <c r="M2813" t="s">
        <v>78</v>
      </c>
      <c r="N2813" t="s">
        <v>79</v>
      </c>
      <c r="O2813" t="s">
        <v>74</v>
      </c>
      <c r="P2813" t="s">
        <v>74</v>
      </c>
      <c r="Q2813" t="s">
        <v>74</v>
      </c>
      <c r="R2813" t="s">
        <v>74</v>
      </c>
      <c r="S2813" t="s">
        <v>74</v>
      </c>
      <c r="T2813" t="s">
        <v>46786</v>
      </c>
      <c r="U2813" t="s">
        <v>46787</v>
      </c>
      <c r="V2813" t="s">
        <v>46788</v>
      </c>
      <c r="W2813" t="s">
        <v>46789</v>
      </c>
      <c r="X2813" t="s">
        <v>3960</v>
      </c>
      <c r="Y2813" t="s">
        <v>46790</v>
      </c>
      <c r="Z2813" t="s">
        <v>12330</v>
      </c>
      <c r="AA2813" t="s">
        <v>12331</v>
      </c>
      <c r="AB2813" t="s">
        <v>74</v>
      </c>
      <c r="AC2813" t="s">
        <v>74</v>
      </c>
      <c r="AD2813" t="s">
        <v>74</v>
      </c>
      <c r="AE2813" t="s">
        <v>74</v>
      </c>
      <c r="AF2813" t="s">
        <v>74</v>
      </c>
      <c r="AG2813">
        <v>110</v>
      </c>
      <c r="AH2813">
        <v>22</v>
      </c>
      <c r="AI2813">
        <v>25</v>
      </c>
      <c r="AJ2813">
        <v>1</v>
      </c>
      <c r="AK2813">
        <v>16</v>
      </c>
      <c r="AL2813" t="s">
        <v>1216</v>
      </c>
      <c r="AM2813" t="s">
        <v>283</v>
      </c>
      <c r="AN2813" t="s">
        <v>1217</v>
      </c>
      <c r="AO2813" t="s">
        <v>74</v>
      </c>
      <c r="AP2813" t="s">
        <v>46791</v>
      </c>
      <c r="AQ2813" t="s">
        <v>74</v>
      </c>
      <c r="AR2813" t="s">
        <v>46792</v>
      </c>
      <c r="AS2813" t="s">
        <v>46793</v>
      </c>
      <c r="AT2813" t="s">
        <v>46794</v>
      </c>
      <c r="AU2813">
        <v>2022</v>
      </c>
      <c r="AV2813">
        <v>4</v>
      </c>
      <c r="AW2813" t="s">
        <v>74</v>
      </c>
      <c r="AX2813" t="s">
        <v>74</v>
      </c>
      <c r="AY2813" t="s">
        <v>74</v>
      </c>
      <c r="AZ2813" t="s">
        <v>74</v>
      </c>
      <c r="BA2813" t="s">
        <v>74</v>
      </c>
      <c r="BB2813" t="s">
        <v>74</v>
      </c>
      <c r="BC2813" t="s">
        <v>74</v>
      </c>
      <c r="BD2813">
        <v>949178</v>
      </c>
      <c r="BE2813" t="s">
        <v>46795</v>
      </c>
      <c r="BF2813" t="str">
        <f>HYPERLINK("http://dx.doi.org/10.3389/fclim.2022.949178","http://dx.doi.org/10.3389/fclim.2022.949178")</f>
        <v>http://dx.doi.org/10.3389/fclim.2022.949178</v>
      </c>
      <c r="BG2813" t="s">
        <v>74</v>
      </c>
      <c r="BH2813" t="s">
        <v>74</v>
      </c>
      <c r="BI2813">
        <v>18</v>
      </c>
      <c r="BJ2813" t="s">
        <v>42453</v>
      </c>
      <c r="BK2813" t="s">
        <v>313</v>
      </c>
      <c r="BL2813" t="s">
        <v>129</v>
      </c>
      <c r="BM2813" t="s">
        <v>46796</v>
      </c>
      <c r="BN2813" t="s">
        <v>74</v>
      </c>
      <c r="BO2813" t="s">
        <v>916</v>
      </c>
      <c r="BP2813" t="s">
        <v>74</v>
      </c>
      <c r="BQ2813" t="s">
        <v>74</v>
      </c>
      <c r="BR2813" t="s">
        <v>102</v>
      </c>
      <c r="BS2813" t="s">
        <v>46797</v>
      </c>
      <c r="BT2813" t="str">
        <f>HYPERLINK("https%3A%2F%2Fwww.webofscience.com%2Fwos%2Fwoscc%2Ffull-record%2FWOS:001019134000001","View Full Record in Web of Science")</f>
        <v>View Full Record in Web of Science</v>
      </c>
    </row>
    <row r="2814" spans="1:72" x14ac:dyDescent="0.25">
      <c r="A2814" t="s">
        <v>72</v>
      </c>
      <c r="B2814" t="s">
        <v>46798</v>
      </c>
      <c r="C2814" t="s">
        <v>74</v>
      </c>
      <c r="D2814" t="s">
        <v>74</v>
      </c>
      <c r="E2814" t="s">
        <v>74</v>
      </c>
      <c r="F2814" t="s">
        <v>46799</v>
      </c>
      <c r="G2814" t="s">
        <v>74</v>
      </c>
      <c r="H2814" t="s">
        <v>74</v>
      </c>
      <c r="I2814" t="s">
        <v>46800</v>
      </c>
      <c r="J2814" t="s">
        <v>46801</v>
      </c>
      <c r="K2814" t="s">
        <v>74</v>
      </c>
      <c r="L2814" t="s">
        <v>74</v>
      </c>
      <c r="M2814" t="s">
        <v>78</v>
      </c>
      <c r="N2814" t="s">
        <v>79</v>
      </c>
      <c r="O2814" t="s">
        <v>74</v>
      </c>
      <c r="P2814" t="s">
        <v>74</v>
      </c>
      <c r="Q2814" t="s">
        <v>74</v>
      </c>
      <c r="R2814" t="s">
        <v>74</v>
      </c>
      <c r="S2814" t="s">
        <v>74</v>
      </c>
      <c r="T2814" t="s">
        <v>46802</v>
      </c>
      <c r="U2814" t="s">
        <v>74</v>
      </c>
      <c r="V2814" t="s">
        <v>46803</v>
      </c>
      <c r="W2814" t="s">
        <v>46804</v>
      </c>
      <c r="X2814" t="s">
        <v>74</v>
      </c>
      <c r="Y2814" t="s">
        <v>46805</v>
      </c>
      <c r="Z2814" t="s">
        <v>46806</v>
      </c>
      <c r="AA2814" t="s">
        <v>46807</v>
      </c>
      <c r="AB2814" t="s">
        <v>74</v>
      </c>
      <c r="AC2814" t="s">
        <v>74</v>
      </c>
      <c r="AD2814" t="s">
        <v>74</v>
      </c>
      <c r="AE2814" t="s">
        <v>74</v>
      </c>
      <c r="AF2814" t="s">
        <v>74</v>
      </c>
      <c r="AG2814">
        <v>51</v>
      </c>
      <c r="AH2814">
        <v>0</v>
      </c>
      <c r="AI2814">
        <v>0</v>
      </c>
      <c r="AJ2814">
        <v>8</v>
      </c>
      <c r="AK2814">
        <v>12</v>
      </c>
      <c r="AL2814" t="s">
        <v>46808</v>
      </c>
      <c r="AM2814" t="s">
        <v>13330</v>
      </c>
      <c r="AN2814" t="s">
        <v>46809</v>
      </c>
      <c r="AO2814" t="s">
        <v>74</v>
      </c>
      <c r="AP2814" t="s">
        <v>46810</v>
      </c>
      <c r="AQ2814" t="s">
        <v>74</v>
      </c>
      <c r="AR2814" t="s">
        <v>46811</v>
      </c>
      <c r="AS2814" t="s">
        <v>46812</v>
      </c>
      <c r="AT2814" t="s">
        <v>1652</v>
      </c>
      <c r="AU2814">
        <v>2025</v>
      </c>
      <c r="AV2814">
        <v>20</v>
      </c>
      <c r="AW2814">
        <v>3</v>
      </c>
      <c r="AX2814" t="s">
        <v>74</v>
      </c>
      <c r="AY2814" t="s">
        <v>74</v>
      </c>
      <c r="AZ2814" t="s">
        <v>74</v>
      </c>
      <c r="BA2814" t="s">
        <v>74</v>
      </c>
      <c r="BB2814">
        <v>723</v>
      </c>
      <c r="BC2814">
        <v>738</v>
      </c>
      <c r="BD2814" t="s">
        <v>74</v>
      </c>
      <c r="BE2814" t="s">
        <v>74</v>
      </c>
      <c r="BF2814" t="s">
        <v>74</v>
      </c>
      <c r="BG2814" t="s">
        <v>74</v>
      </c>
      <c r="BH2814" t="s">
        <v>74</v>
      </c>
      <c r="BI2814">
        <v>16</v>
      </c>
      <c r="BJ2814" t="s">
        <v>8592</v>
      </c>
      <c r="BK2814" t="s">
        <v>313</v>
      </c>
      <c r="BL2814" t="s">
        <v>2581</v>
      </c>
      <c r="BM2814" t="s">
        <v>46813</v>
      </c>
      <c r="BN2814" t="s">
        <v>74</v>
      </c>
      <c r="BO2814" t="s">
        <v>74</v>
      </c>
      <c r="BP2814" t="s">
        <v>74</v>
      </c>
      <c r="BQ2814" t="s">
        <v>74</v>
      </c>
      <c r="BR2814" t="s">
        <v>102</v>
      </c>
      <c r="BS2814" t="s">
        <v>46814</v>
      </c>
      <c r="BT2814" t="str">
        <f>HYPERLINK("https%3A%2F%2Fwww.webofscience.com%2Fwos%2Fwoscc%2Ffull-record%2FWOS:001460253400006","View Full Record in Web of Science")</f>
        <v>View Full Record in Web of Science</v>
      </c>
    </row>
    <row r="2815" spans="1:72" x14ac:dyDescent="0.25">
      <c r="A2815" t="s">
        <v>72</v>
      </c>
      <c r="B2815" t="s">
        <v>46815</v>
      </c>
      <c r="C2815" t="s">
        <v>74</v>
      </c>
      <c r="D2815" t="s">
        <v>74</v>
      </c>
      <c r="E2815" t="s">
        <v>74</v>
      </c>
      <c r="F2815" t="s">
        <v>46816</v>
      </c>
      <c r="G2815" t="s">
        <v>74</v>
      </c>
      <c r="H2815" t="s">
        <v>74</v>
      </c>
      <c r="I2815" t="s">
        <v>46817</v>
      </c>
      <c r="J2815" t="s">
        <v>424</v>
      </c>
      <c r="K2815" t="s">
        <v>74</v>
      </c>
      <c r="L2815" t="s">
        <v>74</v>
      </c>
      <c r="M2815" t="s">
        <v>78</v>
      </c>
      <c r="N2815" t="s">
        <v>79</v>
      </c>
      <c r="O2815" t="s">
        <v>74</v>
      </c>
      <c r="P2815" t="s">
        <v>74</v>
      </c>
      <c r="Q2815" t="s">
        <v>74</v>
      </c>
      <c r="R2815" t="s">
        <v>74</v>
      </c>
      <c r="S2815" t="s">
        <v>74</v>
      </c>
      <c r="T2815" t="s">
        <v>46818</v>
      </c>
      <c r="U2815" t="s">
        <v>46819</v>
      </c>
      <c r="V2815" t="s">
        <v>46820</v>
      </c>
      <c r="W2815" t="s">
        <v>46821</v>
      </c>
      <c r="X2815" t="s">
        <v>46822</v>
      </c>
      <c r="Y2815" t="s">
        <v>46823</v>
      </c>
      <c r="Z2815" t="s">
        <v>46824</v>
      </c>
      <c r="AA2815" t="s">
        <v>25431</v>
      </c>
      <c r="AB2815" t="s">
        <v>9292</v>
      </c>
      <c r="AC2815" t="s">
        <v>74</v>
      </c>
      <c r="AD2815" t="s">
        <v>74</v>
      </c>
      <c r="AE2815" t="s">
        <v>74</v>
      </c>
      <c r="AF2815" t="s">
        <v>74</v>
      </c>
      <c r="AG2815">
        <v>82</v>
      </c>
      <c r="AH2815">
        <v>1</v>
      </c>
      <c r="AI2815">
        <v>2</v>
      </c>
      <c r="AJ2815">
        <v>0</v>
      </c>
      <c r="AK2815">
        <v>3</v>
      </c>
      <c r="AL2815" t="s">
        <v>89</v>
      </c>
      <c r="AM2815" t="s">
        <v>90</v>
      </c>
      <c r="AN2815" t="s">
        <v>91</v>
      </c>
      <c r="AO2815" t="s">
        <v>436</v>
      </c>
      <c r="AP2815" t="s">
        <v>437</v>
      </c>
      <c r="AQ2815" t="s">
        <v>74</v>
      </c>
      <c r="AR2815" t="s">
        <v>438</v>
      </c>
      <c r="AS2815" t="s">
        <v>439</v>
      </c>
      <c r="AT2815" t="s">
        <v>11018</v>
      </c>
      <c r="AU2815">
        <v>2024</v>
      </c>
      <c r="AV2815">
        <v>42</v>
      </c>
      <c r="AW2815">
        <v>7</v>
      </c>
      <c r="AX2815" t="s">
        <v>74</v>
      </c>
      <c r="AY2815" t="s">
        <v>74</v>
      </c>
      <c r="AZ2815" t="s">
        <v>74</v>
      </c>
      <c r="BA2815" t="s">
        <v>74</v>
      </c>
      <c r="BB2815">
        <v>1587</v>
      </c>
      <c r="BC2815">
        <v>1613</v>
      </c>
      <c r="BD2815" t="s">
        <v>74</v>
      </c>
      <c r="BE2815" t="s">
        <v>46825</v>
      </c>
      <c r="BF2815" t="str">
        <f>HYPERLINK("http://dx.doi.org/10.1108/IJBM-03-2023-0136","http://dx.doi.org/10.1108/IJBM-03-2023-0136")</f>
        <v>http://dx.doi.org/10.1108/IJBM-03-2023-0136</v>
      </c>
      <c r="BG2815" t="s">
        <v>74</v>
      </c>
      <c r="BH2815" t="s">
        <v>6256</v>
      </c>
      <c r="BI2815">
        <v>27</v>
      </c>
      <c r="BJ2815" t="s">
        <v>418</v>
      </c>
      <c r="BK2815" t="s">
        <v>99</v>
      </c>
      <c r="BL2815" t="s">
        <v>100</v>
      </c>
      <c r="BM2815" t="s">
        <v>11020</v>
      </c>
      <c r="BN2815" t="s">
        <v>74</v>
      </c>
      <c r="BO2815" t="s">
        <v>74</v>
      </c>
      <c r="BP2815" t="s">
        <v>74</v>
      </c>
      <c r="BQ2815" t="s">
        <v>74</v>
      </c>
      <c r="BR2815" t="s">
        <v>102</v>
      </c>
      <c r="BS2815" t="s">
        <v>46826</v>
      </c>
      <c r="BT2815" t="str">
        <f>HYPERLINK("https%3A%2F%2Fwww.webofscience.com%2Fwos%2Fwoscc%2Ffull-record%2FWOS:001253230800001","View Full Record in Web of Science")</f>
        <v>View Full Record in Web of Science</v>
      </c>
    </row>
    <row r="2816" spans="1:72" x14ac:dyDescent="0.25">
      <c r="A2816" t="s">
        <v>72</v>
      </c>
      <c r="B2816" t="s">
        <v>46827</v>
      </c>
      <c r="C2816" t="s">
        <v>74</v>
      </c>
      <c r="D2816" t="s">
        <v>74</v>
      </c>
      <c r="E2816" t="s">
        <v>74</v>
      </c>
      <c r="F2816" t="s">
        <v>46828</v>
      </c>
      <c r="G2816" t="s">
        <v>74</v>
      </c>
      <c r="H2816" t="s">
        <v>74</v>
      </c>
      <c r="I2816" t="s">
        <v>46829</v>
      </c>
      <c r="J2816" t="s">
        <v>2137</v>
      </c>
      <c r="K2816" t="s">
        <v>74</v>
      </c>
      <c r="L2816" t="s">
        <v>74</v>
      </c>
      <c r="M2816" t="s">
        <v>78</v>
      </c>
      <c r="N2816" t="s">
        <v>79</v>
      </c>
      <c r="O2816" t="s">
        <v>74</v>
      </c>
      <c r="P2816" t="s">
        <v>74</v>
      </c>
      <c r="Q2816" t="s">
        <v>74</v>
      </c>
      <c r="R2816" t="s">
        <v>74</v>
      </c>
      <c r="S2816" t="s">
        <v>74</v>
      </c>
      <c r="T2816" t="s">
        <v>46830</v>
      </c>
      <c r="U2816" t="s">
        <v>74</v>
      </c>
      <c r="V2816" t="s">
        <v>46831</v>
      </c>
      <c r="W2816" t="s">
        <v>46832</v>
      </c>
      <c r="X2816" t="s">
        <v>46833</v>
      </c>
      <c r="Y2816" t="s">
        <v>18099</v>
      </c>
      <c r="Z2816" t="s">
        <v>46834</v>
      </c>
      <c r="AA2816" t="s">
        <v>46835</v>
      </c>
      <c r="AB2816" t="s">
        <v>46836</v>
      </c>
      <c r="AC2816" t="s">
        <v>74</v>
      </c>
      <c r="AD2816" t="s">
        <v>74</v>
      </c>
      <c r="AE2816" t="s">
        <v>74</v>
      </c>
      <c r="AF2816" t="s">
        <v>74</v>
      </c>
      <c r="AG2816">
        <v>7</v>
      </c>
      <c r="AH2816">
        <v>8</v>
      </c>
      <c r="AI2816">
        <v>8</v>
      </c>
      <c r="AJ2816">
        <v>2</v>
      </c>
      <c r="AK2816">
        <v>24</v>
      </c>
      <c r="AL2816" t="s">
        <v>2145</v>
      </c>
      <c r="AM2816" t="s">
        <v>151</v>
      </c>
      <c r="AN2816" t="s">
        <v>2146</v>
      </c>
      <c r="AO2816" t="s">
        <v>2147</v>
      </c>
      <c r="AP2816" t="s">
        <v>2148</v>
      </c>
      <c r="AQ2816" t="s">
        <v>74</v>
      </c>
      <c r="AR2816" t="s">
        <v>2149</v>
      </c>
      <c r="AS2816" t="s">
        <v>2150</v>
      </c>
      <c r="AT2816" t="s">
        <v>74</v>
      </c>
      <c r="AU2816">
        <v>2020</v>
      </c>
      <c r="AV2816">
        <v>31</v>
      </c>
      <c r="AW2816">
        <v>1</v>
      </c>
      <c r="AX2816" t="s">
        <v>74</v>
      </c>
      <c r="AY2816" t="s">
        <v>74</v>
      </c>
      <c r="AZ2816" t="s">
        <v>74</v>
      </c>
      <c r="BA2816" t="s">
        <v>74</v>
      </c>
      <c r="BB2816">
        <v>5</v>
      </c>
      <c r="BC2816">
        <v>13</v>
      </c>
      <c r="BD2816" t="s">
        <v>74</v>
      </c>
      <c r="BE2816" t="s">
        <v>46837</v>
      </c>
      <c r="BF2816" t="str">
        <f>HYPERLINK("http://dx.doi.org/10.1891/JFCP-20-00010","http://dx.doi.org/10.1891/JFCP-20-00010")</f>
        <v>http://dx.doi.org/10.1891/JFCP-20-00010</v>
      </c>
      <c r="BG2816" t="s">
        <v>74</v>
      </c>
      <c r="BH2816" t="s">
        <v>74</v>
      </c>
      <c r="BI2816">
        <v>9</v>
      </c>
      <c r="BJ2816" t="s">
        <v>1453</v>
      </c>
      <c r="BK2816" t="s">
        <v>313</v>
      </c>
      <c r="BL2816" t="s">
        <v>100</v>
      </c>
      <c r="BM2816" t="s">
        <v>9294</v>
      </c>
      <c r="BN2816" t="s">
        <v>74</v>
      </c>
      <c r="BO2816" t="s">
        <v>3694</v>
      </c>
      <c r="BP2816" t="s">
        <v>74</v>
      </c>
      <c r="BQ2816" t="s">
        <v>74</v>
      </c>
      <c r="BR2816" t="s">
        <v>102</v>
      </c>
      <c r="BS2816" t="s">
        <v>46838</v>
      </c>
      <c r="BT2816" t="str">
        <f>HYPERLINK("https%3A%2F%2Fwww.webofscience.com%2Fwos%2Fwoscc%2Ffull-record%2FWOS:000543736300001","View Full Record in Web of Science")</f>
        <v>View Full Record in Web of Science</v>
      </c>
    </row>
    <row r="2817" spans="1:72" x14ac:dyDescent="0.25">
      <c r="A2817" t="s">
        <v>72</v>
      </c>
      <c r="B2817" t="s">
        <v>46839</v>
      </c>
      <c r="C2817" t="s">
        <v>74</v>
      </c>
      <c r="D2817" t="s">
        <v>74</v>
      </c>
      <c r="E2817" t="s">
        <v>74</v>
      </c>
      <c r="F2817" t="s">
        <v>46840</v>
      </c>
      <c r="G2817" t="s">
        <v>74</v>
      </c>
      <c r="H2817" t="s">
        <v>74</v>
      </c>
      <c r="I2817" t="s">
        <v>46841</v>
      </c>
      <c r="J2817" t="s">
        <v>14228</v>
      </c>
      <c r="K2817" t="s">
        <v>74</v>
      </c>
      <c r="L2817" t="s">
        <v>74</v>
      </c>
      <c r="M2817" t="s">
        <v>78</v>
      </c>
      <c r="N2817" t="s">
        <v>372</v>
      </c>
      <c r="O2817" t="s">
        <v>74</v>
      </c>
      <c r="P2817" t="s">
        <v>74</v>
      </c>
      <c r="Q2817" t="s">
        <v>74</v>
      </c>
      <c r="R2817" t="s">
        <v>74</v>
      </c>
      <c r="S2817" t="s">
        <v>74</v>
      </c>
      <c r="T2817" t="s">
        <v>46842</v>
      </c>
      <c r="U2817" t="s">
        <v>8579</v>
      </c>
      <c r="V2817" t="s">
        <v>46843</v>
      </c>
      <c r="W2817" t="s">
        <v>46844</v>
      </c>
      <c r="X2817" t="s">
        <v>11014</v>
      </c>
      <c r="Y2817" t="s">
        <v>13199</v>
      </c>
      <c r="Z2817" t="s">
        <v>30950</v>
      </c>
      <c r="AA2817" t="s">
        <v>40031</v>
      </c>
      <c r="AB2817" t="s">
        <v>74</v>
      </c>
      <c r="AC2817" t="s">
        <v>74</v>
      </c>
      <c r="AD2817" t="s">
        <v>74</v>
      </c>
      <c r="AE2817" t="s">
        <v>74</v>
      </c>
      <c r="AF2817" t="s">
        <v>74</v>
      </c>
      <c r="AG2817">
        <v>18</v>
      </c>
      <c r="AH2817">
        <v>0</v>
      </c>
      <c r="AI2817">
        <v>0</v>
      </c>
      <c r="AJ2817">
        <v>0</v>
      </c>
      <c r="AK2817">
        <v>0</v>
      </c>
      <c r="AL2817" t="s">
        <v>332</v>
      </c>
      <c r="AM2817" t="s">
        <v>333</v>
      </c>
      <c r="AN2817" t="s">
        <v>334</v>
      </c>
      <c r="AO2817" t="s">
        <v>14237</v>
      </c>
      <c r="AP2817" t="s">
        <v>14238</v>
      </c>
      <c r="AQ2817" t="s">
        <v>74</v>
      </c>
      <c r="AR2817" t="s">
        <v>14239</v>
      </c>
      <c r="AS2817" t="s">
        <v>14240</v>
      </c>
      <c r="AT2817" t="s">
        <v>35705</v>
      </c>
      <c r="AU2817">
        <v>2025</v>
      </c>
      <c r="AV2817" t="s">
        <v>74</v>
      </c>
      <c r="AW2817" t="s">
        <v>74</v>
      </c>
      <c r="AX2817" t="s">
        <v>74</v>
      </c>
      <c r="AY2817" t="s">
        <v>74</v>
      </c>
      <c r="AZ2817" t="s">
        <v>74</v>
      </c>
      <c r="BA2817" t="s">
        <v>74</v>
      </c>
      <c r="BB2817" t="s">
        <v>74</v>
      </c>
      <c r="BC2817" t="s">
        <v>74</v>
      </c>
      <c r="BD2817" t="s">
        <v>74</v>
      </c>
      <c r="BE2817" t="s">
        <v>46845</v>
      </c>
      <c r="BF2817" t="str">
        <f>HYPERLINK("http://dx.doi.org/10.1080/13504851.2025.2489781","http://dx.doi.org/10.1080/13504851.2025.2489781")</f>
        <v>http://dx.doi.org/10.1080/13504851.2025.2489781</v>
      </c>
      <c r="BG2817" t="s">
        <v>74</v>
      </c>
      <c r="BH2817" t="s">
        <v>1485</v>
      </c>
      <c r="BI2817">
        <v>7</v>
      </c>
      <c r="BJ2817" t="s">
        <v>291</v>
      </c>
      <c r="BK2817" t="s">
        <v>99</v>
      </c>
      <c r="BL2817" t="s">
        <v>100</v>
      </c>
      <c r="BM2817" t="s">
        <v>46846</v>
      </c>
      <c r="BN2817" t="s">
        <v>74</v>
      </c>
      <c r="BO2817" t="s">
        <v>74</v>
      </c>
      <c r="BP2817" t="s">
        <v>74</v>
      </c>
      <c r="BQ2817" t="s">
        <v>74</v>
      </c>
      <c r="BR2817" t="s">
        <v>102</v>
      </c>
      <c r="BS2817" t="s">
        <v>46847</v>
      </c>
      <c r="BT2817" t="str">
        <f>HYPERLINK("https%3A%2F%2Fwww.webofscience.com%2Fwos%2Fwoscc%2Ffull-record%2FWOS:001462368300001","View Full Record in Web of Science")</f>
        <v>View Full Record in Web of Science</v>
      </c>
    </row>
    <row r="2818" spans="1:72" x14ac:dyDescent="0.25">
      <c r="A2818" t="s">
        <v>72</v>
      </c>
      <c r="B2818" t="s">
        <v>19614</v>
      </c>
      <c r="C2818" t="s">
        <v>74</v>
      </c>
      <c r="D2818" t="s">
        <v>74</v>
      </c>
      <c r="E2818" t="s">
        <v>74</v>
      </c>
      <c r="F2818" t="s">
        <v>46848</v>
      </c>
      <c r="G2818" t="s">
        <v>74</v>
      </c>
      <c r="H2818" t="s">
        <v>74</v>
      </c>
      <c r="I2818" t="s">
        <v>46849</v>
      </c>
      <c r="J2818" t="s">
        <v>424</v>
      </c>
      <c r="K2818" t="s">
        <v>74</v>
      </c>
      <c r="L2818" t="s">
        <v>74</v>
      </c>
      <c r="M2818" t="s">
        <v>78</v>
      </c>
      <c r="N2818" t="s">
        <v>372</v>
      </c>
      <c r="O2818" t="s">
        <v>74</v>
      </c>
      <c r="P2818" t="s">
        <v>74</v>
      </c>
      <c r="Q2818" t="s">
        <v>74</v>
      </c>
      <c r="R2818" t="s">
        <v>74</v>
      </c>
      <c r="S2818" t="s">
        <v>74</v>
      </c>
      <c r="T2818" t="s">
        <v>46850</v>
      </c>
      <c r="U2818" t="s">
        <v>46851</v>
      </c>
      <c r="V2818" t="s">
        <v>46852</v>
      </c>
      <c r="W2818" t="s">
        <v>46853</v>
      </c>
      <c r="X2818" t="s">
        <v>19607</v>
      </c>
      <c r="Y2818" t="s">
        <v>46854</v>
      </c>
      <c r="Z2818" t="s">
        <v>19605</v>
      </c>
      <c r="AA2818" t="s">
        <v>46855</v>
      </c>
      <c r="AB2818" t="s">
        <v>74</v>
      </c>
      <c r="AC2818" t="s">
        <v>46856</v>
      </c>
      <c r="AD2818" t="s">
        <v>46857</v>
      </c>
      <c r="AE2818" t="s">
        <v>46858</v>
      </c>
      <c r="AF2818" t="s">
        <v>74</v>
      </c>
      <c r="AG2818">
        <v>97</v>
      </c>
      <c r="AH2818">
        <v>0</v>
      </c>
      <c r="AI2818">
        <v>0</v>
      </c>
      <c r="AJ2818">
        <v>0</v>
      </c>
      <c r="AK2818">
        <v>0</v>
      </c>
      <c r="AL2818" t="s">
        <v>89</v>
      </c>
      <c r="AM2818" t="s">
        <v>90</v>
      </c>
      <c r="AN2818" t="s">
        <v>91</v>
      </c>
      <c r="AO2818" t="s">
        <v>436</v>
      </c>
      <c r="AP2818" t="s">
        <v>437</v>
      </c>
      <c r="AQ2818" t="s">
        <v>74</v>
      </c>
      <c r="AR2818" t="s">
        <v>438</v>
      </c>
      <c r="AS2818" t="s">
        <v>439</v>
      </c>
      <c r="AT2818" t="s">
        <v>10389</v>
      </c>
      <c r="AU2818">
        <v>2025</v>
      </c>
      <c r="AV2818" t="s">
        <v>74</v>
      </c>
      <c r="AW2818" t="s">
        <v>74</v>
      </c>
      <c r="AX2818" t="s">
        <v>74</v>
      </c>
      <c r="AY2818" t="s">
        <v>74</v>
      </c>
      <c r="AZ2818" t="s">
        <v>74</v>
      </c>
      <c r="BA2818" t="s">
        <v>74</v>
      </c>
      <c r="BB2818" t="s">
        <v>74</v>
      </c>
      <c r="BC2818" t="s">
        <v>74</v>
      </c>
      <c r="BD2818" t="s">
        <v>74</v>
      </c>
      <c r="BE2818" t="s">
        <v>46859</v>
      </c>
      <c r="BF2818" t="str">
        <f>HYPERLINK("http://dx.doi.org/10.1108/IJBM-05-2025-0341","http://dx.doi.org/10.1108/IJBM-05-2025-0341")</f>
        <v>http://dx.doi.org/10.1108/IJBM-05-2025-0341</v>
      </c>
      <c r="BG2818" t="s">
        <v>74</v>
      </c>
      <c r="BH2818" t="s">
        <v>3411</v>
      </c>
      <c r="BI2818">
        <v>29</v>
      </c>
      <c r="BJ2818" t="s">
        <v>418</v>
      </c>
      <c r="BK2818" t="s">
        <v>99</v>
      </c>
      <c r="BL2818" t="s">
        <v>100</v>
      </c>
      <c r="BM2818" t="s">
        <v>46860</v>
      </c>
      <c r="BN2818" t="s">
        <v>74</v>
      </c>
      <c r="BO2818" t="s">
        <v>74</v>
      </c>
      <c r="BP2818" t="s">
        <v>74</v>
      </c>
      <c r="BQ2818" t="s">
        <v>74</v>
      </c>
      <c r="BR2818" t="s">
        <v>102</v>
      </c>
      <c r="BS2818" t="s">
        <v>46861</v>
      </c>
      <c r="BT2818" t="str">
        <f>HYPERLINK("https%3A%2F%2Fwww.webofscience.com%2Fwos%2Fwoscc%2Ffull-record%2FWOS:001580628700001","View Full Record in Web of Science")</f>
        <v>View Full Record in Web of Science</v>
      </c>
    </row>
    <row r="2819" spans="1:72" x14ac:dyDescent="0.25">
      <c r="A2819" t="s">
        <v>72</v>
      </c>
      <c r="B2819" t="s">
        <v>46862</v>
      </c>
      <c r="C2819" t="s">
        <v>74</v>
      </c>
      <c r="D2819" t="s">
        <v>74</v>
      </c>
      <c r="E2819" t="s">
        <v>74</v>
      </c>
      <c r="F2819" t="s">
        <v>46863</v>
      </c>
      <c r="G2819" t="s">
        <v>74</v>
      </c>
      <c r="H2819" t="s">
        <v>74</v>
      </c>
      <c r="I2819" t="s">
        <v>46864</v>
      </c>
      <c r="J2819" t="s">
        <v>46865</v>
      </c>
      <c r="K2819" t="s">
        <v>74</v>
      </c>
      <c r="L2819" t="s">
        <v>74</v>
      </c>
      <c r="M2819" t="s">
        <v>78</v>
      </c>
      <c r="N2819" t="s">
        <v>79</v>
      </c>
      <c r="O2819" t="s">
        <v>74</v>
      </c>
      <c r="P2819" t="s">
        <v>74</v>
      </c>
      <c r="Q2819" t="s">
        <v>74</v>
      </c>
      <c r="R2819" t="s">
        <v>74</v>
      </c>
      <c r="S2819" t="s">
        <v>74</v>
      </c>
      <c r="T2819" t="s">
        <v>46866</v>
      </c>
      <c r="U2819" t="s">
        <v>46867</v>
      </c>
      <c r="V2819" t="s">
        <v>46868</v>
      </c>
      <c r="W2819" t="s">
        <v>46869</v>
      </c>
      <c r="X2819" t="s">
        <v>10416</v>
      </c>
      <c r="Y2819" t="s">
        <v>46870</v>
      </c>
      <c r="Z2819" t="s">
        <v>46871</v>
      </c>
      <c r="AA2819" t="s">
        <v>46872</v>
      </c>
      <c r="AB2819" t="s">
        <v>74</v>
      </c>
      <c r="AC2819" t="s">
        <v>46873</v>
      </c>
      <c r="AD2819" t="s">
        <v>46873</v>
      </c>
      <c r="AE2819" t="s">
        <v>46874</v>
      </c>
      <c r="AF2819" t="s">
        <v>74</v>
      </c>
      <c r="AG2819">
        <v>152</v>
      </c>
      <c r="AH2819">
        <v>0</v>
      </c>
      <c r="AI2819">
        <v>0</v>
      </c>
      <c r="AJ2819">
        <v>8</v>
      </c>
      <c r="AK2819">
        <v>8</v>
      </c>
      <c r="AL2819" t="s">
        <v>479</v>
      </c>
      <c r="AM2819" t="s">
        <v>480</v>
      </c>
      <c r="AN2819" t="s">
        <v>481</v>
      </c>
      <c r="AO2819" t="s">
        <v>46875</v>
      </c>
      <c r="AP2819" t="s">
        <v>46876</v>
      </c>
      <c r="AQ2819" t="s">
        <v>74</v>
      </c>
      <c r="AR2819" t="s">
        <v>46877</v>
      </c>
      <c r="AS2819" t="s">
        <v>46878</v>
      </c>
      <c r="AT2819" t="s">
        <v>891</v>
      </c>
      <c r="AU2819">
        <v>2025</v>
      </c>
      <c r="AV2819">
        <v>33</v>
      </c>
      <c r="AW2819">
        <v>6</v>
      </c>
      <c r="AX2819" t="s">
        <v>74</v>
      </c>
      <c r="AY2819" t="s">
        <v>74</v>
      </c>
      <c r="AZ2819" t="s">
        <v>74</v>
      </c>
      <c r="BA2819" t="s">
        <v>74</v>
      </c>
      <c r="BB2819">
        <v>1598</v>
      </c>
      <c r="BC2819">
        <v>1628</v>
      </c>
      <c r="BD2819" t="s">
        <v>74</v>
      </c>
      <c r="BE2819" t="s">
        <v>46879</v>
      </c>
      <c r="BF2819" t="str">
        <f>HYPERLINK("http://dx.doi.org/10.1111/corg.12662","http://dx.doi.org/10.1111/corg.12662")</f>
        <v>http://dx.doi.org/10.1111/corg.12662</v>
      </c>
      <c r="BG2819" t="s">
        <v>74</v>
      </c>
      <c r="BH2819" t="s">
        <v>3389</v>
      </c>
      <c r="BI2819">
        <v>31</v>
      </c>
      <c r="BJ2819" t="s">
        <v>46880</v>
      </c>
      <c r="BK2819" t="s">
        <v>99</v>
      </c>
      <c r="BL2819" t="s">
        <v>100</v>
      </c>
      <c r="BM2819" t="s">
        <v>46881</v>
      </c>
      <c r="BN2819" t="s">
        <v>74</v>
      </c>
      <c r="BO2819" t="s">
        <v>270</v>
      </c>
      <c r="BP2819" t="s">
        <v>74</v>
      </c>
      <c r="BQ2819" t="s">
        <v>74</v>
      </c>
      <c r="BR2819" t="s">
        <v>102</v>
      </c>
      <c r="BS2819" t="s">
        <v>46882</v>
      </c>
      <c r="BT2819" t="str">
        <f>HYPERLINK("https%3A%2F%2Fwww.webofscience.com%2Fwos%2Fwoscc%2Ffull-record%2FWOS:001531620000001","View Full Record in Web of Science")</f>
        <v>View Full Record in Web of Science</v>
      </c>
    </row>
    <row r="2820" spans="1:72" x14ac:dyDescent="0.25">
      <c r="A2820" t="s">
        <v>72</v>
      </c>
      <c r="B2820" t="s">
        <v>46883</v>
      </c>
      <c r="C2820" t="s">
        <v>74</v>
      </c>
      <c r="D2820" t="s">
        <v>74</v>
      </c>
      <c r="E2820" t="s">
        <v>74</v>
      </c>
      <c r="F2820" t="s">
        <v>46884</v>
      </c>
      <c r="G2820" t="s">
        <v>74</v>
      </c>
      <c r="H2820" t="s">
        <v>74</v>
      </c>
      <c r="I2820" t="s">
        <v>46885</v>
      </c>
      <c r="J2820" t="s">
        <v>4539</v>
      </c>
      <c r="K2820" t="s">
        <v>74</v>
      </c>
      <c r="L2820" t="s">
        <v>74</v>
      </c>
      <c r="M2820" t="s">
        <v>78</v>
      </c>
      <c r="N2820" t="s">
        <v>79</v>
      </c>
      <c r="O2820" t="s">
        <v>74</v>
      </c>
      <c r="P2820" t="s">
        <v>74</v>
      </c>
      <c r="Q2820" t="s">
        <v>74</v>
      </c>
      <c r="R2820" t="s">
        <v>74</v>
      </c>
      <c r="S2820" t="s">
        <v>74</v>
      </c>
      <c r="T2820" t="s">
        <v>46886</v>
      </c>
      <c r="U2820" t="s">
        <v>46887</v>
      </c>
      <c r="V2820" t="s">
        <v>46888</v>
      </c>
      <c r="W2820" t="s">
        <v>46889</v>
      </c>
      <c r="X2820" t="s">
        <v>46890</v>
      </c>
      <c r="Y2820" t="s">
        <v>46891</v>
      </c>
      <c r="Z2820" t="s">
        <v>46892</v>
      </c>
      <c r="AA2820" t="s">
        <v>30935</v>
      </c>
      <c r="AB2820" t="s">
        <v>46893</v>
      </c>
      <c r="AC2820" t="s">
        <v>46894</v>
      </c>
      <c r="AD2820" t="s">
        <v>46895</v>
      </c>
      <c r="AE2820" t="s">
        <v>46894</v>
      </c>
      <c r="AF2820" t="s">
        <v>74</v>
      </c>
      <c r="AG2820">
        <v>45</v>
      </c>
      <c r="AH2820">
        <v>23</v>
      </c>
      <c r="AI2820">
        <v>34</v>
      </c>
      <c r="AJ2820">
        <v>0</v>
      </c>
      <c r="AK2820">
        <v>41</v>
      </c>
      <c r="AL2820" t="s">
        <v>479</v>
      </c>
      <c r="AM2820" t="s">
        <v>480</v>
      </c>
      <c r="AN2820" t="s">
        <v>481</v>
      </c>
      <c r="AO2820" t="s">
        <v>4548</v>
      </c>
      <c r="AP2820" t="s">
        <v>4549</v>
      </c>
      <c r="AQ2820" t="s">
        <v>74</v>
      </c>
      <c r="AR2820" t="s">
        <v>4550</v>
      </c>
      <c r="AS2820" t="s">
        <v>4551</v>
      </c>
      <c r="AT2820" t="s">
        <v>605</v>
      </c>
      <c r="AU2820">
        <v>2018</v>
      </c>
      <c r="AV2820">
        <v>36</v>
      </c>
      <c r="AW2820" t="s">
        <v>74</v>
      </c>
      <c r="AX2820" t="s">
        <v>74</v>
      </c>
      <c r="AY2820">
        <v>1</v>
      </c>
      <c r="AZ2820" t="s">
        <v>74</v>
      </c>
      <c r="BA2820" t="s">
        <v>74</v>
      </c>
      <c r="BB2820" t="s">
        <v>46896</v>
      </c>
      <c r="BC2820" t="s">
        <v>46897</v>
      </c>
      <c r="BD2820" t="s">
        <v>74</v>
      </c>
      <c r="BE2820" t="s">
        <v>46898</v>
      </c>
      <c r="BF2820" t="str">
        <f>HYPERLINK("http://dx.doi.org/10.1111/dpr.12272","http://dx.doi.org/10.1111/dpr.12272")</f>
        <v>http://dx.doi.org/10.1111/dpr.12272</v>
      </c>
      <c r="BG2820" t="s">
        <v>74</v>
      </c>
      <c r="BH2820" t="s">
        <v>74</v>
      </c>
      <c r="BI2820">
        <v>19</v>
      </c>
      <c r="BJ2820" t="s">
        <v>1137</v>
      </c>
      <c r="BK2820" t="s">
        <v>99</v>
      </c>
      <c r="BL2820" t="s">
        <v>1137</v>
      </c>
      <c r="BM2820" t="s">
        <v>46899</v>
      </c>
      <c r="BN2820" t="s">
        <v>74</v>
      </c>
      <c r="BO2820" t="s">
        <v>25232</v>
      </c>
      <c r="BP2820" t="s">
        <v>74</v>
      </c>
      <c r="BQ2820" t="s">
        <v>74</v>
      </c>
      <c r="BR2820" t="s">
        <v>102</v>
      </c>
      <c r="BS2820" t="s">
        <v>46900</v>
      </c>
      <c r="BT2820" t="str">
        <f>HYPERLINK("https%3A%2F%2Fwww.webofscience.com%2Fwos%2Fwoscc%2Ffull-record%2FWOS:000423806600010","View Full Record in Web of Science")</f>
        <v>View Full Record in Web of Science</v>
      </c>
    </row>
    <row r="2821" spans="1:72" x14ac:dyDescent="0.25">
      <c r="A2821" t="s">
        <v>72</v>
      </c>
      <c r="B2821" t="s">
        <v>30897</v>
      </c>
      <c r="C2821" t="s">
        <v>74</v>
      </c>
      <c r="D2821" t="s">
        <v>74</v>
      </c>
      <c r="E2821" t="s">
        <v>74</v>
      </c>
      <c r="F2821" t="s">
        <v>30896</v>
      </c>
      <c r="G2821" t="s">
        <v>74</v>
      </c>
      <c r="H2821" t="s">
        <v>74</v>
      </c>
      <c r="I2821" t="s">
        <v>46901</v>
      </c>
      <c r="J2821" t="s">
        <v>5017</v>
      </c>
      <c r="K2821" t="s">
        <v>74</v>
      </c>
      <c r="L2821" t="s">
        <v>74</v>
      </c>
      <c r="M2821" t="s">
        <v>78</v>
      </c>
      <c r="N2821" t="s">
        <v>79</v>
      </c>
      <c r="O2821" t="s">
        <v>74</v>
      </c>
      <c r="P2821" t="s">
        <v>74</v>
      </c>
      <c r="Q2821" t="s">
        <v>74</v>
      </c>
      <c r="R2821" t="s">
        <v>74</v>
      </c>
      <c r="S2821" t="s">
        <v>74</v>
      </c>
      <c r="T2821" t="s">
        <v>46902</v>
      </c>
      <c r="U2821" t="s">
        <v>74</v>
      </c>
      <c r="V2821" t="s">
        <v>46903</v>
      </c>
      <c r="W2821" t="s">
        <v>30891</v>
      </c>
      <c r="X2821" t="s">
        <v>25968</v>
      </c>
      <c r="Y2821" t="s">
        <v>30890</v>
      </c>
      <c r="Z2821" t="s">
        <v>30889</v>
      </c>
      <c r="AA2821" t="s">
        <v>74</v>
      </c>
      <c r="AB2821" t="s">
        <v>30888</v>
      </c>
      <c r="AC2821" t="s">
        <v>46904</v>
      </c>
      <c r="AD2821" t="s">
        <v>46904</v>
      </c>
      <c r="AE2821" t="s">
        <v>46905</v>
      </c>
      <c r="AF2821" t="s">
        <v>74</v>
      </c>
      <c r="AG2821">
        <v>54</v>
      </c>
      <c r="AH2821">
        <v>8</v>
      </c>
      <c r="AI2821">
        <v>11</v>
      </c>
      <c r="AJ2821">
        <v>0</v>
      </c>
      <c r="AK2821">
        <v>1</v>
      </c>
      <c r="AL2821" t="s">
        <v>332</v>
      </c>
      <c r="AM2821" t="s">
        <v>333</v>
      </c>
      <c r="AN2821" t="s">
        <v>334</v>
      </c>
      <c r="AO2821" t="s">
        <v>5024</v>
      </c>
      <c r="AP2821" t="s">
        <v>5025</v>
      </c>
      <c r="AQ2821" t="s">
        <v>74</v>
      </c>
      <c r="AR2821" t="s">
        <v>5026</v>
      </c>
      <c r="AS2821" t="s">
        <v>5027</v>
      </c>
      <c r="AT2821" t="s">
        <v>74</v>
      </c>
      <c r="AU2821">
        <v>2016</v>
      </c>
      <c r="AV2821">
        <v>74</v>
      </c>
      <c r="AW2821">
        <v>2</v>
      </c>
      <c r="AX2821" t="s">
        <v>74</v>
      </c>
      <c r="AY2821" t="s">
        <v>74</v>
      </c>
      <c r="AZ2821" t="s">
        <v>74</v>
      </c>
      <c r="BA2821" t="s">
        <v>74</v>
      </c>
      <c r="BB2821">
        <v>148</v>
      </c>
      <c r="BC2821">
        <v>171</v>
      </c>
      <c r="BD2821" t="s">
        <v>74</v>
      </c>
      <c r="BE2821" t="s">
        <v>46906</v>
      </c>
      <c r="BF2821" t="str">
        <f>HYPERLINK("http://dx.doi.org/10.1080/00346764.2015.1067754","http://dx.doi.org/10.1080/00346764.2015.1067754")</f>
        <v>http://dx.doi.org/10.1080/00346764.2015.1067754</v>
      </c>
      <c r="BG2821" t="s">
        <v>74</v>
      </c>
      <c r="BH2821" t="s">
        <v>74</v>
      </c>
      <c r="BI2821">
        <v>24</v>
      </c>
      <c r="BJ2821" t="s">
        <v>291</v>
      </c>
      <c r="BK2821" t="s">
        <v>313</v>
      </c>
      <c r="BL2821" t="s">
        <v>100</v>
      </c>
      <c r="BM2821" t="s">
        <v>46907</v>
      </c>
      <c r="BN2821" t="s">
        <v>74</v>
      </c>
      <c r="BO2821" t="s">
        <v>74</v>
      </c>
      <c r="BP2821" t="s">
        <v>74</v>
      </c>
      <c r="BQ2821" t="s">
        <v>74</v>
      </c>
      <c r="BR2821" t="s">
        <v>102</v>
      </c>
      <c r="BS2821" t="s">
        <v>46908</v>
      </c>
      <c r="BT2821" t="str">
        <f>HYPERLINK("https%3A%2F%2Fwww.webofscience.com%2Fwos%2Fwoscc%2Ffull-record%2FWOS:000443359100003","View Full Record in Web of Science")</f>
        <v>View Full Record in Web of Science</v>
      </c>
    </row>
    <row r="2822" spans="1:72" x14ac:dyDescent="0.25">
      <c r="A2822" t="s">
        <v>72</v>
      </c>
      <c r="B2822" t="s">
        <v>46909</v>
      </c>
      <c r="C2822" t="s">
        <v>74</v>
      </c>
      <c r="D2822" t="s">
        <v>74</v>
      </c>
      <c r="E2822" t="s">
        <v>74</v>
      </c>
      <c r="F2822" t="s">
        <v>46910</v>
      </c>
      <c r="G2822" t="s">
        <v>74</v>
      </c>
      <c r="H2822" t="s">
        <v>74</v>
      </c>
      <c r="I2822" t="s">
        <v>46911</v>
      </c>
      <c r="J2822" t="s">
        <v>46912</v>
      </c>
      <c r="K2822" t="s">
        <v>74</v>
      </c>
      <c r="L2822" t="s">
        <v>74</v>
      </c>
      <c r="M2822" t="s">
        <v>78</v>
      </c>
      <c r="N2822" t="s">
        <v>372</v>
      </c>
      <c r="O2822" t="s">
        <v>74</v>
      </c>
      <c r="P2822" t="s">
        <v>74</v>
      </c>
      <c r="Q2822" t="s">
        <v>74</v>
      </c>
      <c r="R2822" t="s">
        <v>74</v>
      </c>
      <c r="S2822" t="s">
        <v>74</v>
      </c>
      <c r="T2822" t="s">
        <v>46913</v>
      </c>
      <c r="U2822" t="s">
        <v>74</v>
      </c>
      <c r="V2822" t="s">
        <v>46914</v>
      </c>
      <c r="W2822" t="s">
        <v>46915</v>
      </c>
      <c r="X2822" t="s">
        <v>46916</v>
      </c>
      <c r="Y2822" t="s">
        <v>46917</v>
      </c>
      <c r="Z2822" t="s">
        <v>46918</v>
      </c>
      <c r="AA2822" t="s">
        <v>46919</v>
      </c>
      <c r="AB2822" t="s">
        <v>74</v>
      </c>
      <c r="AC2822" t="s">
        <v>74</v>
      </c>
      <c r="AD2822" t="s">
        <v>74</v>
      </c>
      <c r="AE2822" t="s">
        <v>74</v>
      </c>
      <c r="AF2822" t="s">
        <v>74</v>
      </c>
      <c r="AG2822">
        <v>54</v>
      </c>
      <c r="AH2822">
        <v>0</v>
      </c>
      <c r="AI2822">
        <v>0</v>
      </c>
      <c r="AJ2822">
        <v>8</v>
      </c>
      <c r="AK2822">
        <v>8</v>
      </c>
      <c r="AL2822" t="s">
        <v>332</v>
      </c>
      <c r="AM2822" t="s">
        <v>333</v>
      </c>
      <c r="AN2822" t="s">
        <v>334</v>
      </c>
      <c r="AO2822" t="s">
        <v>46920</v>
      </c>
      <c r="AP2822" t="s">
        <v>46921</v>
      </c>
      <c r="AQ2822" t="s">
        <v>74</v>
      </c>
      <c r="AR2822" t="s">
        <v>46922</v>
      </c>
      <c r="AS2822" t="s">
        <v>46923</v>
      </c>
      <c r="AT2822" t="s">
        <v>46924</v>
      </c>
      <c r="AU2822">
        <v>2025</v>
      </c>
      <c r="AV2822" t="s">
        <v>74</v>
      </c>
      <c r="AW2822" t="s">
        <v>74</v>
      </c>
      <c r="AX2822" t="s">
        <v>74</v>
      </c>
      <c r="AY2822" t="s">
        <v>74</v>
      </c>
      <c r="AZ2822" t="s">
        <v>74</v>
      </c>
      <c r="BA2822" t="s">
        <v>74</v>
      </c>
      <c r="BB2822" t="s">
        <v>74</v>
      </c>
      <c r="BC2822" t="s">
        <v>74</v>
      </c>
      <c r="BD2822" t="s">
        <v>74</v>
      </c>
      <c r="BE2822" t="s">
        <v>46925</v>
      </c>
      <c r="BF2822" t="str">
        <f>HYPERLINK("http://dx.doi.org/10.1080/10971475.2025.2575414","http://dx.doi.org/10.1080/10971475.2025.2575414")</f>
        <v>http://dx.doi.org/10.1080/10971475.2025.2575414</v>
      </c>
      <c r="BG2822" t="s">
        <v>74</v>
      </c>
      <c r="BH2822" t="s">
        <v>12078</v>
      </c>
      <c r="BI2822">
        <v>25</v>
      </c>
      <c r="BJ2822" t="s">
        <v>291</v>
      </c>
      <c r="BK2822" t="s">
        <v>313</v>
      </c>
      <c r="BL2822" t="s">
        <v>100</v>
      </c>
      <c r="BM2822" t="s">
        <v>46926</v>
      </c>
      <c r="BN2822" t="s">
        <v>74</v>
      </c>
      <c r="BO2822" t="s">
        <v>74</v>
      </c>
      <c r="BP2822" t="s">
        <v>74</v>
      </c>
      <c r="BQ2822" t="s">
        <v>74</v>
      </c>
      <c r="BR2822" t="s">
        <v>102</v>
      </c>
      <c r="BS2822" t="s">
        <v>46927</v>
      </c>
      <c r="BT2822" t="str">
        <f>HYPERLINK("https%3A%2F%2Fwww.webofscience.com%2Fwos%2Fwoscc%2Ffull-record%2FWOS:001595760400001","View Full Record in Web of Science")</f>
        <v>View Full Record in Web of Science</v>
      </c>
    </row>
    <row r="2823" spans="1:72" x14ac:dyDescent="0.25">
      <c r="A2823" t="s">
        <v>72</v>
      </c>
      <c r="B2823" t="s">
        <v>46928</v>
      </c>
      <c r="C2823" t="s">
        <v>74</v>
      </c>
      <c r="D2823" t="s">
        <v>74</v>
      </c>
      <c r="E2823" t="s">
        <v>74</v>
      </c>
      <c r="F2823" t="s">
        <v>46929</v>
      </c>
      <c r="G2823" t="s">
        <v>74</v>
      </c>
      <c r="H2823" t="s">
        <v>74</v>
      </c>
      <c r="I2823" t="s">
        <v>46930</v>
      </c>
      <c r="J2823" t="s">
        <v>44093</v>
      </c>
      <c r="K2823" t="s">
        <v>74</v>
      </c>
      <c r="L2823" t="s">
        <v>74</v>
      </c>
      <c r="M2823" t="s">
        <v>78</v>
      </c>
      <c r="N2823" t="s">
        <v>79</v>
      </c>
      <c r="O2823" t="s">
        <v>74</v>
      </c>
      <c r="P2823" t="s">
        <v>74</v>
      </c>
      <c r="Q2823" t="s">
        <v>74</v>
      </c>
      <c r="R2823" t="s">
        <v>74</v>
      </c>
      <c r="S2823" t="s">
        <v>74</v>
      </c>
      <c r="T2823" t="s">
        <v>46931</v>
      </c>
      <c r="U2823" t="s">
        <v>46932</v>
      </c>
      <c r="V2823" t="s">
        <v>46933</v>
      </c>
      <c r="W2823" t="s">
        <v>46934</v>
      </c>
      <c r="X2823" t="s">
        <v>46935</v>
      </c>
      <c r="Y2823" t="s">
        <v>46936</v>
      </c>
      <c r="Z2823" t="s">
        <v>46937</v>
      </c>
      <c r="AA2823" t="s">
        <v>46938</v>
      </c>
      <c r="AB2823" t="s">
        <v>46939</v>
      </c>
      <c r="AC2823" t="s">
        <v>74</v>
      </c>
      <c r="AD2823" t="s">
        <v>74</v>
      </c>
      <c r="AE2823" t="s">
        <v>74</v>
      </c>
      <c r="AF2823" t="s">
        <v>74</v>
      </c>
      <c r="AG2823">
        <v>35</v>
      </c>
      <c r="AH2823">
        <v>0</v>
      </c>
      <c r="AI2823">
        <v>0</v>
      </c>
      <c r="AJ2823">
        <v>0</v>
      </c>
      <c r="AK2823">
        <v>3</v>
      </c>
      <c r="AL2823" t="s">
        <v>44101</v>
      </c>
      <c r="AM2823" t="s">
        <v>44102</v>
      </c>
      <c r="AN2823" t="s">
        <v>44103</v>
      </c>
      <c r="AO2823" t="s">
        <v>44104</v>
      </c>
      <c r="AP2823" t="s">
        <v>74</v>
      </c>
      <c r="AQ2823" t="s">
        <v>74</v>
      </c>
      <c r="AR2823" t="s">
        <v>44105</v>
      </c>
      <c r="AS2823" t="s">
        <v>44106</v>
      </c>
      <c r="AT2823" t="s">
        <v>124</v>
      </c>
      <c r="AU2823">
        <v>2022</v>
      </c>
      <c r="AV2823">
        <v>19</v>
      </c>
      <c r="AW2823">
        <v>2</v>
      </c>
      <c r="AX2823" t="s">
        <v>74</v>
      </c>
      <c r="AY2823" t="s">
        <v>74</v>
      </c>
      <c r="AZ2823" t="s">
        <v>74</v>
      </c>
      <c r="BA2823" t="s">
        <v>74</v>
      </c>
      <c r="BB2823">
        <v>73</v>
      </c>
      <c r="BC2823">
        <v>91</v>
      </c>
      <c r="BD2823" t="s">
        <v>74</v>
      </c>
      <c r="BE2823" t="s">
        <v>46940</v>
      </c>
      <c r="BF2823" t="str">
        <f>HYPERLINK("http://dx.doi.org/10.37801/ajad2022.19.2.6","http://dx.doi.org/10.37801/ajad2022.19.2.6")</f>
        <v>http://dx.doi.org/10.37801/ajad2022.19.2.6</v>
      </c>
      <c r="BG2823" t="s">
        <v>74</v>
      </c>
      <c r="BH2823" t="s">
        <v>74</v>
      </c>
      <c r="BI2823">
        <v>19</v>
      </c>
      <c r="BJ2823" t="s">
        <v>18208</v>
      </c>
      <c r="BK2823" t="s">
        <v>313</v>
      </c>
      <c r="BL2823" t="s">
        <v>5152</v>
      </c>
      <c r="BM2823" t="s">
        <v>46941</v>
      </c>
      <c r="BN2823" t="s">
        <v>74</v>
      </c>
      <c r="BO2823" t="s">
        <v>1696</v>
      </c>
      <c r="BP2823" t="s">
        <v>74</v>
      </c>
      <c r="BQ2823" t="s">
        <v>74</v>
      </c>
      <c r="BR2823" t="s">
        <v>102</v>
      </c>
      <c r="BS2823" t="s">
        <v>46942</v>
      </c>
      <c r="BT2823" t="str">
        <f>HYPERLINK("https%3A%2F%2Fwww.webofscience.com%2Fwos%2Fwoscc%2Ffull-record%2FWOS:000908398000006","View Full Record in Web of Science")</f>
        <v>View Full Record in Web of Science</v>
      </c>
    </row>
    <row r="2824" spans="1:72" x14ac:dyDescent="0.25">
      <c r="A2824" t="s">
        <v>72</v>
      </c>
      <c r="B2824" t="s">
        <v>46943</v>
      </c>
      <c r="C2824" t="s">
        <v>74</v>
      </c>
      <c r="D2824" t="s">
        <v>74</v>
      </c>
      <c r="E2824" t="s">
        <v>74</v>
      </c>
      <c r="F2824" t="s">
        <v>46944</v>
      </c>
      <c r="G2824" t="s">
        <v>74</v>
      </c>
      <c r="H2824" t="s">
        <v>74</v>
      </c>
      <c r="I2824" t="s">
        <v>46945</v>
      </c>
      <c r="J2824" t="s">
        <v>36840</v>
      </c>
      <c r="K2824" t="s">
        <v>74</v>
      </c>
      <c r="L2824" t="s">
        <v>74</v>
      </c>
      <c r="M2824" t="s">
        <v>78</v>
      </c>
      <c r="N2824" t="s">
        <v>79</v>
      </c>
      <c r="O2824" t="s">
        <v>74</v>
      </c>
      <c r="P2824" t="s">
        <v>74</v>
      </c>
      <c r="Q2824" t="s">
        <v>74</v>
      </c>
      <c r="R2824" t="s">
        <v>74</v>
      </c>
      <c r="S2824" t="s">
        <v>74</v>
      </c>
      <c r="T2824" t="s">
        <v>46946</v>
      </c>
      <c r="U2824" t="s">
        <v>46947</v>
      </c>
      <c r="V2824" t="s">
        <v>46948</v>
      </c>
      <c r="W2824" t="s">
        <v>46949</v>
      </c>
      <c r="X2824" t="s">
        <v>46950</v>
      </c>
      <c r="Y2824" t="s">
        <v>46951</v>
      </c>
      <c r="Z2824" t="s">
        <v>46952</v>
      </c>
      <c r="AA2824" t="s">
        <v>46953</v>
      </c>
      <c r="AB2824" t="s">
        <v>46954</v>
      </c>
      <c r="AC2824" t="s">
        <v>46955</v>
      </c>
      <c r="AD2824" t="s">
        <v>46955</v>
      </c>
      <c r="AE2824" t="s">
        <v>46956</v>
      </c>
      <c r="AF2824" t="s">
        <v>74</v>
      </c>
      <c r="AG2824">
        <v>46</v>
      </c>
      <c r="AH2824">
        <v>4</v>
      </c>
      <c r="AI2824">
        <v>5</v>
      </c>
      <c r="AJ2824">
        <v>1</v>
      </c>
      <c r="AK2824">
        <v>15</v>
      </c>
      <c r="AL2824" t="s">
        <v>2343</v>
      </c>
      <c r="AM2824" t="s">
        <v>2344</v>
      </c>
      <c r="AN2824" t="s">
        <v>2345</v>
      </c>
      <c r="AO2824" t="s">
        <v>36846</v>
      </c>
      <c r="AP2824" t="s">
        <v>36847</v>
      </c>
      <c r="AQ2824" t="s">
        <v>74</v>
      </c>
      <c r="AR2824" t="s">
        <v>36848</v>
      </c>
      <c r="AS2824" t="s">
        <v>36849</v>
      </c>
      <c r="AT2824" t="s">
        <v>1427</v>
      </c>
      <c r="AU2824">
        <v>2024</v>
      </c>
      <c r="AV2824">
        <v>21</v>
      </c>
      <c r="AW2824">
        <v>1</v>
      </c>
      <c r="AX2824" t="s">
        <v>74</v>
      </c>
      <c r="AY2824" t="s">
        <v>74</v>
      </c>
      <c r="AZ2824" t="s">
        <v>74</v>
      </c>
      <c r="BA2824" t="s">
        <v>74</v>
      </c>
      <c r="BB2824">
        <v>32</v>
      </c>
      <c r="BC2824">
        <v>49</v>
      </c>
      <c r="BD2824" t="s">
        <v>74</v>
      </c>
      <c r="BE2824" t="s">
        <v>46957</v>
      </c>
      <c r="BF2824" t="str">
        <f>HYPERLINK("http://dx.doi.org/10.1080/26408066.2023.2257174","http://dx.doi.org/10.1080/26408066.2023.2257174")</f>
        <v>http://dx.doi.org/10.1080/26408066.2023.2257174</v>
      </c>
      <c r="BG2824" t="s">
        <v>74</v>
      </c>
      <c r="BH2824" t="s">
        <v>5567</v>
      </c>
      <c r="BI2824">
        <v>18</v>
      </c>
      <c r="BJ2824" t="s">
        <v>2045</v>
      </c>
      <c r="BK2824" t="s">
        <v>313</v>
      </c>
      <c r="BL2824" t="s">
        <v>2045</v>
      </c>
      <c r="BM2824" t="s">
        <v>46958</v>
      </c>
      <c r="BN2824">
        <v>37712670</v>
      </c>
      <c r="BO2824" t="s">
        <v>270</v>
      </c>
      <c r="BP2824" t="s">
        <v>74</v>
      </c>
      <c r="BQ2824" t="s">
        <v>74</v>
      </c>
      <c r="BR2824" t="s">
        <v>102</v>
      </c>
      <c r="BS2824" t="s">
        <v>46959</v>
      </c>
      <c r="BT2824" t="str">
        <f>HYPERLINK("https%3A%2F%2Fwww.webofscience.com%2Fwos%2Fwoscc%2Ffull-record%2FWOS:001066698700001","View Full Record in Web of Science")</f>
        <v>View Full Record in Web of Science</v>
      </c>
    </row>
    <row r="2825" spans="1:72" x14ac:dyDescent="0.25">
      <c r="A2825" t="s">
        <v>72</v>
      </c>
      <c r="B2825" t="s">
        <v>46960</v>
      </c>
      <c r="C2825" t="s">
        <v>74</v>
      </c>
      <c r="D2825" t="s">
        <v>74</v>
      </c>
      <c r="E2825" t="s">
        <v>74</v>
      </c>
      <c r="F2825" t="s">
        <v>46961</v>
      </c>
      <c r="G2825" t="s">
        <v>74</v>
      </c>
      <c r="H2825" t="s">
        <v>74</v>
      </c>
      <c r="I2825" t="s">
        <v>46962</v>
      </c>
      <c r="J2825" t="s">
        <v>28259</v>
      </c>
      <c r="K2825" t="s">
        <v>74</v>
      </c>
      <c r="L2825" t="s">
        <v>74</v>
      </c>
      <c r="M2825" t="s">
        <v>78</v>
      </c>
      <c r="N2825" t="s">
        <v>79</v>
      </c>
      <c r="O2825" t="s">
        <v>74</v>
      </c>
      <c r="P2825" t="s">
        <v>74</v>
      </c>
      <c r="Q2825" t="s">
        <v>74</v>
      </c>
      <c r="R2825" t="s">
        <v>74</v>
      </c>
      <c r="S2825" t="s">
        <v>74</v>
      </c>
      <c r="T2825" t="s">
        <v>46963</v>
      </c>
      <c r="U2825" t="s">
        <v>46964</v>
      </c>
      <c r="V2825" t="s">
        <v>46965</v>
      </c>
      <c r="W2825" t="s">
        <v>46966</v>
      </c>
      <c r="X2825" t="s">
        <v>46967</v>
      </c>
      <c r="Y2825" t="s">
        <v>46968</v>
      </c>
      <c r="Z2825" t="s">
        <v>46969</v>
      </c>
      <c r="AA2825" t="s">
        <v>74</v>
      </c>
      <c r="AB2825" t="s">
        <v>74</v>
      </c>
      <c r="AC2825" t="s">
        <v>46970</v>
      </c>
      <c r="AD2825" t="s">
        <v>46970</v>
      </c>
      <c r="AE2825" t="s">
        <v>46971</v>
      </c>
      <c r="AF2825" t="s">
        <v>74</v>
      </c>
      <c r="AG2825">
        <v>57</v>
      </c>
      <c r="AH2825">
        <v>0</v>
      </c>
      <c r="AI2825">
        <v>0</v>
      </c>
      <c r="AJ2825">
        <v>1</v>
      </c>
      <c r="AK2825">
        <v>1</v>
      </c>
      <c r="AL2825" t="s">
        <v>21430</v>
      </c>
      <c r="AM2825" t="s">
        <v>21429</v>
      </c>
      <c r="AN2825" t="s">
        <v>21428</v>
      </c>
      <c r="AO2825" t="s">
        <v>28249</v>
      </c>
      <c r="AP2825" t="s">
        <v>28248</v>
      </c>
      <c r="AQ2825" t="s">
        <v>74</v>
      </c>
      <c r="AR2825" t="s">
        <v>28247</v>
      </c>
      <c r="AS2825" t="s">
        <v>28246</v>
      </c>
      <c r="AT2825" t="s">
        <v>74</v>
      </c>
      <c r="AU2825">
        <v>2025</v>
      </c>
      <c r="AV2825">
        <v>23</v>
      </c>
      <c r="AW2825">
        <v>2</v>
      </c>
      <c r="AX2825" t="s">
        <v>74</v>
      </c>
      <c r="AY2825" t="s">
        <v>74</v>
      </c>
      <c r="AZ2825" t="s">
        <v>74</v>
      </c>
      <c r="BA2825" t="s">
        <v>74</v>
      </c>
      <c r="BB2825">
        <v>209</v>
      </c>
      <c r="BC2825">
        <v>223</v>
      </c>
      <c r="BD2825" t="s">
        <v>74</v>
      </c>
      <c r="BE2825" t="s">
        <v>46972</v>
      </c>
      <c r="BF2825" t="str">
        <f>HYPERLINK("http://dx.doi.org/10.3846/bmee.2025.21987","http://dx.doi.org/10.3846/bmee.2025.21987")</f>
        <v>http://dx.doi.org/10.3846/bmee.2025.21987</v>
      </c>
      <c r="BG2825" t="s">
        <v>74</v>
      </c>
      <c r="BH2825" t="s">
        <v>74</v>
      </c>
      <c r="BI2825">
        <v>15</v>
      </c>
      <c r="BJ2825" t="s">
        <v>6512</v>
      </c>
      <c r="BK2825" t="s">
        <v>313</v>
      </c>
      <c r="BL2825" t="s">
        <v>100</v>
      </c>
      <c r="BM2825" t="s">
        <v>46973</v>
      </c>
      <c r="BN2825" t="s">
        <v>74</v>
      </c>
      <c r="BO2825" t="s">
        <v>212</v>
      </c>
      <c r="BP2825" t="s">
        <v>74</v>
      </c>
      <c r="BQ2825" t="s">
        <v>74</v>
      </c>
      <c r="BR2825" t="s">
        <v>102</v>
      </c>
      <c r="BS2825" t="s">
        <v>46974</v>
      </c>
      <c r="BT2825" t="str">
        <f>HYPERLINK("https%3A%2F%2Fwww.webofscience.com%2Fwos%2Fwoscc%2Ffull-record%2FWOS:001525031400001","View Full Record in Web of Science")</f>
        <v>View Full Record in Web of Science</v>
      </c>
    </row>
    <row r="2826" spans="1:72" x14ac:dyDescent="0.25">
      <c r="A2826" t="s">
        <v>72</v>
      </c>
      <c r="B2826" t="s">
        <v>46975</v>
      </c>
      <c r="C2826" t="s">
        <v>74</v>
      </c>
      <c r="D2826" t="s">
        <v>74</v>
      </c>
      <c r="E2826" t="s">
        <v>74</v>
      </c>
      <c r="F2826" t="s">
        <v>46976</v>
      </c>
      <c r="G2826" t="s">
        <v>74</v>
      </c>
      <c r="H2826" t="s">
        <v>74</v>
      </c>
      <c r="I2826" t="s">
        <v>46977</v>
      </c>
      <c r="J2826" t="s">
        <v>20691</v>
      </c>
      <c r="K2826" t="s">
        <v>74</v>
      </c>
      <c r="L2826" t="s">
        <v>74</v>
      </c>
      <c r="M2826" t="s">
        <v>78</v>
      </c>
      <c r="N2826" t="s">
        <v>79</v>
      </c>
      <c r="O2826" t="s">
        <v>74</v>
      </c>
      <c r="P2826" t="s">
        <v>74</v>
      </c>
      <c r="Q2826" t="s">
        <v>74</v>
      </c>
      <c r="R2826" t="s">
        <v>74</v>
      </c>
      <c r="S2826" t="s">
        <v>74</v>
      </c>
      <c r="T2826" t="s">
        <v>46978</v>
      </c>
      <c r="U2826" t="s">
        <v>74</v>
      </c>
      <c r="V2826" t="s">
        <v>46979</v>
      </c>
      <c r="W2826" t="s">
        <v>46980</v>
      </c>
      <c r="X2826" t="s">
        <v>46981</v>
      </c>
      <c r="Y2826" t="s">
        <v>46982</v>
      </c>
      <c r="Z2826" t="s">
        <v>46983</v>
      </c>
      <c r="AA2826" t="s">
        <v>46984</v>
      </c>
      <c r="AB2826" t="s">
        <v>74</v>
      </c>
      <c r="AC2826" t="s">
        <v>74</v>
      </c>
      <c r="AD2826" t="s">
        <v>74</v>
      </c>
      <c r="AE2826" t="s">
        <v>74</v>
      </c>
      <c r="AF2826" t="s">
        <v>74</v>
      </c>
      <c r="AG2826">
        <v>15</v>
      </c>
      <c r="AH2826">
        <v>0</v>
      </c>
      <c r="AI2826">
        <v>0</v>
      </c>
      <c r="AJ2826">
        <v>0</v>
      </c>
      <c r="AK2826">
        <v>0</v>
      </c>
      <c r="AL2826" t="s">
        <v>20683</v>
      </c>
      <c r="AM2826" t="s">
        <v>20682</v>
      </c>
      <c r="AN2826" t="s">
        <v>20681</v>
      </c>
      <c r="AO2826" t="s">
        <v>20680</v>
      </c>
      <c r="AP2826" t="s">
        <v>20679</v>
      </c>
      <c r="AQ2826" t="s">
        <v>74</v>
      </c>
      <c r="AR2826" t="s">
        <v>20678</v>
      </c>
      <c r="AS2826" t="s">
        <v>20677</v>
      </c>
      <c r="AT2826" t="s">
        <v>124</v>
      </c>
      <c r="AU2826">
        <v>2025</v>
      </c>
      <c r="AV2826">
        <v>40</v>
      </c>
      <c r="AW2826">
        <v>4</v>
      </c>
      <c r="AX2826" t="s">
        <v>74</v>
      </c>
      <c r="AY2826" t="s">
        <v>74</v>
      </c>
      <c r="AZ2826" t="s">
        <v>74</v>
      </c>
      <c r="BA2826" t="s">
        <v>74</v>
      </c>
      <c r="BB2826">
        <v>677</v>
      </c>
      <c r="BC2826">
        <v>696</v>
      </c>
      <c r="BD2826" t="s">
        <v>74</v>
      </c>
      <c r="BE2826" t="s">
        <v>46985</v>
      </c>
      <c r="BF2826" t="str">
        <f>HYPERLINK("http://dx.doi.org/10.11130/jei.2025009","http://dx.doi.org/10.11130/jei.2025009")</f>
        <v>http://dx.doi.org/10.11130/jei.2025009</v>
      </c>
      <c r="BG2826" t="s">
        <v>74</v>
      </c>
      <c r="BH2826" t="s">
        <v>74</v>
      </c>
      <c r="BI2826">
        <v>20</v>
      </c>
      <c r="BJ2826" t="s">
        <v>291</v>
      </c>
      <c r="BK2826" t="s">
        <v>313</v>
      </c>
      <c r="BL2826" t="s">
        <v>100</v>
      </c>
      <c r="BM2826" t="s">
        <v>46986</v>
      </c>
      <c r="BN2826" t="s">
        <v>74</v>
      </c>
      <c r="BO2826" t="s">
        <v>212</v>
      </c>
      <c r="BP2826" t="s">
        <v>74</v>
      </c>
      <c r="BQ2826" t="s">
        <v>74</v>
      </c>
      <c r="BR2826" t="s">
        <v>102</v>
      </c>
      <c r="BS2826" t="s">
        <v>46987</v>
      </c>
      <c r="BT2826" t="str">
        <f>HYPERLINK("https%3A%2F%2Fwww.webofscience.com%2Fwos%2Fwoscc%2Ffull-record%2FWOS:001629575700008","View Full Record in Web of Science")</f>
        <v>View Full Record in Web of Science</v>
      </c>
    </row>
    <row r="2827" spans="1:72" x14ac:dyDescent="0.25">
      <c r="A2827" t="s">
        <v>72</v>
      </c>
      <c r="B2827" t="s">
        <v>46988</v>
      </c>
      <c r="C2827" t="s">
        <v>74</v>
      </c>
      <c r="D2827" t="s">
        <v>74</v>
      </c>
      <c r="E2827" t="s">
        <v>74</v>
      </c>
      <c r="F2827" t="s">
        <v>46989</v>
      </c>
      <c r="G2827" t="s">
        <v>74</v>
      </c>
      <c r="H2827" t="s">
        <v>74</v>
      </c>
      <c r="I2827" t="s">
        <v>46990</v>
      </c>
      <c r="J2827" t="s">
        <v>2309</v>
      </c>
      <c r="K2827" t="s">
        <v>74</v>
      </c>
      <c r="L2827" t="s">
        <v>74</v>
      </c>
      <c r="M2827" t="s">
        <v>78</v>
      </c>
      <c r="N2827" t="s">
        <v>79</v>
      </c>
      <c r="O2827" t="s">
        <v>74</v>
      </c>
      <c r="P2827" t="s">
        <v>74</v>
      </c>
      <c r="Q2827" t="s">
        <v>74</v>
      </c>
      <c r="R2827" t="s">
        <v>74</v>
      </c>
      <c r="S2827" t="s">
        <v>74</v>
      </c>
      <c r="T2827" t="s">
        <v>46991</v>
      </c>
      <c r="U2827" t="s">
        <v>46992</v>
      </c>
      <c r="V2827" t="s">
        <v>46993</v>
      </c>
      <c r="W2827" t="s">
        <v>46994</v>
      </c>
      <c r="X2827" t="s">
        <v>46995</v>
      </c>
      <c r="Y2827" t="s">
        <v>46996</v>
      </c>
      <c r="Z2827" t="s">
        <v>46997</v>
      </c>
      <c r="AA2827" t="s">
        <v>74</v>
      </c>
      <c r="AB2827" t="s">
        <v>46998</v>
      </c>
      <c r="AC2827" t="s">
        <v>46999</v>
      </c>
      <c r="AD2827" t="s">
        <v>47000</v>
      </c>
      <c r="AE2827" t="s">
        <v>47001</v>
      </c>
      <c r="AF2827" t="s">
        <v>74</v>
      </c>
      <c r="AG2827">
        <v>72</v>
      </c>
      <c r="AH2827">
        <v>0</v>
      </c>
      <c r="AI2827">
        <v>1</v>
      </c>
      <c r="AJ2827">
        <v>5</v>
      </c>
      <c r="AK2827">
        <v>12</v>
      </c>
      <c r="AL2827" t="s">
        <v>332</v>
      </c>
      <c r="AM2827" t="s">
        <v>333</v>
      </c>
      <c r="AN2827" t="s">
        <v>334</v>
      </c>
      <c r="AO2827" t="s">
        <v>2322</v>
      </c>
      <c r="AP2827" t="s">
        <v>2323</v>
      </c>
      <c r="AQ2827" t="s">
        <v>74</v>
      </c>
      <c r="AR2827" t="s">
        <v>2324</v>
      </c>
      <c r="AS2827" t="s">
        <v>2325</v>
      </c>
      <c r="AT2827" t="s">
        <v>1693</v>
      </c>
      <c r="AU2827">
        <v>2025</v>
      </c>
      <c r="AV2827">
        <v>61</v>
      </c>
      <c r="AW2827">
        <v>4</v>
      </c>
      <c r="AX2827" t="s">
        <v>74</v>
      </c>
      <c r="AY2827" t="s">
        <v>74</v>
      </c>
      <c r="AZ2827" t="s">
        <v>74</v>
      </c>
      <c r="BA2827" t="s">
        <v>74</v>
      </c>
      <c r="BB2827">
        <v>614</v>
      </c>
      <c r="BC2827">
        <v>637</v>
      </c>
      <c r="BD2827" t="s">
        <v>74</v>
      </c>
      <c r="BE2827" t="s">
        <v>47002</v>
      </c>
      <c r="BF2827" t="str">
        <f>HYPERLINK("http://dx.doi.org/10.1080/00220388.2024.2434252","http://dx.doi.org/10.1080/00220388.2024.2434252")</f>
        <v>http://dx.doi.org/10.1080/00220388.2024.2434252</v>
      </c>
      <c r="BG2827" t="s">
        <v>74</v>
      </c>
      <c r="BH2827" t="s">
        <v>809</v>
      </c>
      <c r="BI2827">
        <v>24</v>
      </c>
      <c r="BJ2827" t="s">
        <v>701</v>
      </c>
      <c r="BK2827" t="s">
        <v>99</v>
      </c>
      <c r="BL2827" t="s">
        <v>702</v>
      </c>
      <c r="BM2827" t="s">
        <v>47003</v>
      </c>
      <c r="BN2827" t="s">
        <v>74</v>
      </c>
      <c r="BO2827" t="s">
        <v>1696</v>
      </c>
      <c r="BP2827" t="s">
        <v>74</v>
      </c>
      <c r="BQ2827" t="s">
        <v>74</v>
      </c>
      <c r="BR2827" t="s">
        <v>102</v>
      </c>
      <c r="BS2827" t="s">
        <v>47004</v>
      </c>
      <c r="BT2827" t="str">
        <f>HYPERLINK("https%3A%2F%2Fwww.webofscience.com%2Fwos%2Fwoscc%2Ffull-record%2FWOS:001377692000001","View Full Record in Web of Science")</f>
        <v>View Full Record in Web of Science</v>
      </c>
    </row>
    <row r="2828" spans="1:72" x14ac:dyDescent="0.25">
      <c r="A2828" t="s">
        <v>72</v>
      </c>
      <c r="B2828" t="s">
        <v>47005</v>
      </c>
      <c r="C2828" t="s">
        <v>74</v>
      </c>
      <c r="D2828" t="s">
        <v>74</v>
      </c>
      <c r="E2828" t="s">
        <v>74</v>
      </c>
      <c r="F2828" t="s">
        <v>47006</v>
      </c>
      <c r="G2828" t="s">
        <v>74</v>
      </c>
      <c r="H2828" t="s">
        <v>74</v>
      </c>
      <c r="I2828" t="s">
        <v>47007</v>
      </c>
      <c r="J2828" t="s">
        <v>424</v>
      </c>
      <c r="K2828" t="s">
        <v>74</v>
      </c>
      <c r="L2828" t="s">
        <v>74</v>
      </c>
      <c r="M2828" t="s">
        <v>78</v>
      </c>
      <c r="N2828" t="s">
        <v>79</v>
      </c>
      <c r="O2828" t="s">
        <v>74</v>
      </c>
      <c r="P2828" t="s">
        <v>74</v>
      </c>
      <c r="Q2828" t="s">
        <v>74</v>
      </c>
      <c r="R2828" t="s">
        <v>74</v>
      </c>
      <c r="S2828" t="s">
        <v>74</v>
      </c>
      <c r="T2828" t="s">
        <v>47008</v>
      </c>
      <c r="U2828" t="s">
        <v>47009</v>
      </c>
      <c r="V2828" t="s">
        <v>47010</v>
      </c>
      <c r="W2828" t="s">
        <v>47011</v>
      </c>
      <c r="X2828" t="s">
        <v>47012</v>
      </c>
      <c r="Y2828" t="s">
        <v>47013</v>
      </c>
      <c r="Z2828" t="s">
        <v>47014</v>
      </c>
      <c r="AA2828" t="s">
        <v>47015</v>
      </c>
      <c r="AB2828" t="s">
        <v>47016</v>
      </c>
      <c r="AC2828" t="s">
        <v>74</v>
      </c>
      <c r="AD2828" t="s">
        <v>74</v>
      </c>
      <c r="AE2828" t="s">
        <v>74</v>
      </c>
      <c r="AF2828" t="s">
        <v>74</v>
      </c>
      <c r="AG2828">
        <v>159</v>
      </c>
      <c r="AH2828">
        <v>189</v>
      </c>
      <c r="AI2828">
        <v>231</v>
      </c>
      <c r="AJ2828">
        <v>4</v>
      </c>
      <c r="AK2828">
        <v>63</v>
      </c>
      <c r="AL2828" t="s">
        <v>89</v>
      </c>
      <c r="AM2828" t="s">
        <v>1497</v>
      </c>
      <c r="AN2828" t="s">
        <v>1498</v>
      </c>
      <c r="AO2828" t="s">
        <v>436</v>
      </c>
      <c r="AP2828" t="s">
        <v>437</v>
      </c>
      <c r="AQ2828" t="s">
        <v>74</v>
      </c>
      <c r="AR2828" t="s">
        <v>438</v>
      </c>
      <c r="AS2828" t="s">
        <v>439</v>
      </c>
      <c r="AT2828" t="s">
        <v>74</v>
      </c>
      <c r="AU2828">
        <v>2018</v>
      </c>
      <c r="AV2828">
        <v>36</v>
      </c>
      <c r="AW2828">
        <v>7</v>
      </c>
      <c r="AX2828" t="s">
        <v>74</v>
      </c>
      <c r="AY2828" t="s">
        <v>74</v>
      </c>
      <c r="AZ2828" t="s">
        <v>74</v>
      </c>
      <c r="BA2828" t="s">
        <v>74</v>
      </c>
      <c r="BB2828">
        <v>1386</v>
      </c>
      <c r="BC2828">
        <v>1413</v>
      </c>
      <c r="BD2828" t="s">
        <v>74</v>
      </c>
      <c r="BE2828" t="s">
        <v>47017</v>
      </c>
      <c r="BF2828" t="str">
        <f>HYPERLINK("http://dx.doi.org/10.1108/IJBM-10-2017-0215","http://dx.doi.org/10.1108/IJBM-10-2017-0215")</f>
        <v>http://dx.doi.org/10.1108/IJBM-10-2017-0215</v>
      </c>
      <c r="BG2828" t="s">
        <v>74</v>
      </c>
      <c r="BH2828" t="s">
        <v>74</v>
      </c>
      <c r="BI2828">
        <v>28</v>
      </c>
      <c r="BJ2828" t="s">
        <v>418</v>
      </c>
      <c r="BK2828" t="s">
        <v>99</v>
      </c>
      <c r="BL2828" t="s">
        <v>100</v>
      </c>
      <c r="BM2828" t="s">
        <v>27940</v>
      </c>
      <c r="BN2828" t="s">
        <v>74</v>
      </c>
      <c r="BO2828" t="s">
        <v>74</v>
      </c>
      <c r="BP2828" t="s">
        <v>74</v>
      </c>
      <c r="BQ2828" t="s">
        <v>74</v>
      </c>
      <c r="BR2828" t="s">
        <v>102</v>
      </c>
      <c r="BS2828" t="s">
        <v>47018</v>
      </c>
      <c r="BT2828" t="str">
        <f>HYPERLINK("https%3A%2F%2Fwww.webofscience.com%2Fwos%2Fwoscc%2Ffull-record%2FWOS:000456883600008","View Full Record in Web of Science")</f>
        <v>View Full Record in Web of Science</v>
      </c>
    </row>
    <row r="2829" spans="1:72" x14ac:dyDescent="0.25">
      <c r="A2829" t="s">
        <v>72</v>
      </c>
      <c r="B2829" t="s">
        <v>46258</v>
      </c>
      <c r="C2829" t="s">
        <v>74</v>
      </c>
      <c r="D2829" t="s">
        <v>74</v>
      </c>
      <c r="E2829" t="s">
        <v>74</v>
      </c>
      <c r="F2829" t="s">
        <v>46259</v>
      </c>
      <c r="G2829" t="s">
        <v>74</v>
      </c>
      <c r="H2829" t="s">
        <v>74</v>
      </c>
      <c r="I2829" t="s">
        <v>47019</v>
      </c>
      <c r="J2829" t="s">
        <v>1902</v>
      </c>
      <c r="K2829" t="s">
        <v>74</v>
      </c>
      <c r="L2829" t="s">
        <v>74</v>
      </c>
      <c r="M2829" t="s">
        <v>78</v>
      </c>
      <c r="N2829" t="s">
        <v>79</v>
      </c>
      <c r="O2829" t="s">
        <v>74</v>
      </c>
      <c r="P2829" t="s">
        <v>74</v>
      </c>
      <c r="Q2829" t="s">
        <v>74</v>
      </c>
      <c r="R2829" t="s">
        <v>74</v>
      </c>
      <c r="S2829" t="s">
        <v>74</v>
      </c>
      <c r="T2829" t="s">
        <v>47020</v>
      </c>
      <c r="U2829" t="s">
        <v>47021</v>
      </c>
      <c r="V2829" t="s">
        <v>47022</v>
      </c>
      <c r="W2829" t="s">
        <v>47023</v>
      </c>
      <c r="X2829" t="s">
        <v>47024</v>
      </c>
      <c r="Y2829" t="s">
        <v>47025</v>
      </c>
      <c r="Z2829" t="s">
        <v>46267</v>
      </c>
      <c r="AA2829" t="s">
        <v>46268</v>
      </c>
      <c r="AB2829" t="s">
        <v>46269</v>
      </c>
      <c r="AC2829" t="s">
        <v>74</v>
      </c>
      <c r="AD2829" t="s">
        <v>74</v>
      </c>
      <c r="AE2829" t="s">
        <v>74</v>
      </c>
      <c r="AF2829" t="s">
        <v>74</v>
      </c>
      <c r="AG2829">
        <v>53</v>
      </c>
      <c r="AH2829">
        <v>4</v>
      </c>
      <c r="AI2829">
        <v>5</v>
      </c>
      <c r="AJ2829">
        <v>0</v>
      </c>
      <c r="AK2829">
        <v>7</v>
      </c>
      <c r="AL2829" t="s">
        <v>89</v>
      </c>
      <c r="AM2829" t="s">
        <v>1497</v>
      </c>
      <c r="AN2829" t="s">
        <v>1498</v>
      </c>
      <c r="AO2829" t="s">
        <v>1910</v>
      </c>
      <c r="AP2829" t="s">
        <v>1911</v>
      </c>
      <c r="AQ2829" t="s">
        <v>74</v>
      </c>
      <c r="AR2829" t="s">
        <v>1912</v>
      </c>
      <c r="AS2829" t="s">
        <v>1913</v>
      </c>
      <c r="AT2829" t="s">
        <v>37102</v>
      </c>
      <c r="AU2829">
        <v>2022</v>
      </c>
      <c r="AV2829">
        <v>14</v>
      </c>
      <c r="AW2829">
        <v>5</v>
      </c>
      <c r="AX2829" t="s">
        <v>74</v>
      </c>
      <c r="AY2829" t="s">
        <v>74</v>
      </c>
      <c r="AZ2829" t="s">
        <v>74</v>
      </c>
      <c r="BA2829" t="s">
        <v>74</v>
      </c>
      <c r="BB2829">
        <v>713</v>
      </c>
      <c r="BC2829">
        <v>742</v>
      </c>
      <c r="BD2829" t="s">
        <v>74</v>
      </c>
      <c r="BE2829" t="s">
        <v>47026</v>
      </c>
      <c r="BF2829" t="str">
        <f>HYPERLINK("http://dx.doi.org/10.1108/JFEP-06-2021-0162","http://dx.doi.org/10.1108/JFEP-06-2021-0162")</f>
        <v>http://dx.doi.org/10.1108/JFEP-06-2021-0162</v>
      </c>
      <c r="BG2829" t="s">
        <v>74</v>
      </c>
      <c r="BH2829" t="s">
        <v>12980</v>
      </c>
      <c r="BI2829">
        <v>30</v>
      </c>
      <c r="BJ2829" t="s">
        <v>291</v>
      </c>
      <c r="BK2829" t="s">
        <v>313</v>
      </c>
      <c r="BL2829" t="s">
        <v>100</v>
      </c>
      <c r="BM2829" t="s">
        <v>37104</v>
      </c>
      <c r="BN2829" t="s">
        <v>74</v>
      </c>
      <c r="BO2829" t="s">
        <v>74</v>
      </c>
      <c r="BP2829" t="s">
        <v>74</v>
      </c>
      <c r="BQ2829" t="s">
        <v>74</v>
      </c>
      <c r="BR2829" t="s">
        <v>102</v>
      </c>
      <c r="BS2829" t="s">
        <v>47027</v>
      </c>
      <c r="BT2829" t="str">
        <f>HYPERLINK("https%3A%2F%2Fwww.webofscience.com%2Fwos%2Fwoscc%2Ffull-record%2FWOS:000776742300001","View Full Record in Web of Science")</f>
        <v>View Full Record in Web of Science</v>
      </c>
    </row>
    <row r="2830" spans="1:72" x14ac:dyDescent="0.25">
      <c r="A2830" t="s">
        <v>72</v>
      </c>
      <c r="B2830" t="s">
        <v>47028</v>
      </c>
      <c r="C2830" t="s">
        <v>74</v>
      </c>
      <c r="D2830" t="s">
        <v>74</v>
      </c>
      <c r="E2830" t="s">
        <v>74</v>
      </c>
      <c r="F2830" t="s">
        <v>47029</v>
      </c>
      <c r="G2830" t="s">
        <v>74</v>
      </c>
      <c r="H2830" t="s">
        <v>74</v>
      </c>
      <c r="I2830" t="s">
        <v>47030</v>
      </c>
      <c r="J2830" t="s">
        <v>4500</v>
      </c>
      <c r="K2830" t="s">
        <v>74</v>
      </c>
      <c r="L2830" t="s">
        <v>74</v>
      </c>
      <c r="M2830" t="s">
        <v>78</v>
      </c>
      <c r="N2830" t="s">
        <v>79</v>
      </c>
      <c r="O2830" t="s">
        <v>74</v>
      </c>
      <c r="P2830" t="s">
        <v>74</v>
      </c>
      <c r="Q2830" t="s">
        <v>74</v>
      </c>
      <c r="R2830" t="s">
        <v>74</v>
      </c>
      <c r="S2830" t="s">
        <v>74</v>
      </c>
      <c r="T2830" t="s">
        <v>47031</v>
      </c>
      <c r="U2830" t="s">
        <v>47032</v>
      </c>
      <c r="V2830" t="s">
        <v>47033</v>
      </c>
      <c r="W2830" t="s">
        <v>47034</v>
      </c>
      <c r="X2830" t="s">
        <v>47035</v>
      </c>
      <c r="Y2830" t="s">
        <v>47036</v>
      </c>
      <c r="Z2830" t="s">
        <v>47037</v>
      </c>
      <c r="AA2830" t="s">
        <v>47038</v>
      </c>
      <c r="AB2830" t="s">
        <v>47039</v>
      </c>
      <c r="AC2830" t="s">
        <v>74</v>
      </c>
      <c r="AD2830" t="s">
        <v>74</v>
      </c>
      <c r="AE2830" t="s">
        <v>74</v>
      </c>
      <c r="AF2830" t="s">
        <v>74</v>
      </c>
      <c r="AG2830">
        <v>71</v>
      </c>
      <c r="AH2830">
        <v>0</v>
      </c>
      <c r="AI2830">
        <v>0</v>
      </c>
      <c r="AJ2830">
        <v>0</v>
      </c>
      <c r="AK2830">
        <v>0</v>
      </c>
      <c r="AL2830" t="s">
        <v>479</v>
      </c>
      <c r="AM2830" t="s">
        <v>480</v>
      </c>
      <c r="AN2830" t="s">
        <v>481</v>
      </c>
      <c r="AO2830" t="s">
        <v>4509</v>
      </c>
      <c r="AP2830" t="s">
        <v>4510</v>
      </c>
      <c r="AQ2830" t="s">
        <v>74</v>
      </c>
      <c r="AR2830" t="s">
        <v>4511</v>
      </c>
      <c r="AS2830" t="s">
        <v>4512</v>
      </c>
      <c r="AT2830" t="s">
        <v>29813</v>
      </c>
      <c r="AU2830">
        <v>2025</v>
      </c>
      <c r="AV2830">
        <v>25</v>
      </c>
      <c r="AW2830">
        <v>2</v>
      </c>
      <c r="AX2830" t="s">
        <v>74</v>
      </c>
      <c r="AY2830" t="s">
        <v>74</v>
      </c>
      <c r="AZ2830" t="s">
        <v>74</v>
      </c>
      <c r="BA2830" t="s">
        <v>74</v>
      </c>
      <c r="BB2830" t="s">
        <v>74</v>
      </c>
      <c r="BC2830" t="s">
        <v>74</v>
      </c>
      <c r="BD2830" t="s">
        <v>47040</v>
      </c>
      <c r="BE2830" t="s">
        <v>47041</v>
      </c>
      <c r="BF2830" t="str">
        <f>HYPERLINK("http://dx.doi.org/10.1002/pa.70030","http://dx.doi.org/10.1002/pa.70030")</f>
        <v>http://dx.doi.org/10.1002/pa.70030</v>
      </c>
      <c r="BG2830" t="s">
        <v>74</v>
      </c>
      <c r="BH2830" t="s">
        <v>74</v>
      </c>
      <c r="BI2830">
        <v>12</v>
      </c>
      <c r="BJ2830" t="s">
        <v>3868</v>
      </c>
      <c r="BK2830" t="s">
        <v>313</v>
      </c>
      <c r="BL2830" t="s">
        <v>3868</v>
      </c>
      <c r="BM2830" t="s">
        <v>47042</v>
      </c>
      <c r="BN2830" t="s">
        <v>74</v>
      </c>
      <c r="BO2830" t="s">
        <v>270</v>
      </c>
      <c r="BP2830" t="s">
        <v>74</v>
      </c>
      <c r="BQ2830" t="s">
        <v>74</v>
      </c>
      <c r="BR2830" t="s">
        <v>102</v>
      </c>
      <c r="BS2830" t="s">
        <v>47043</v>
      </c>
      <c r="BT2830" t="str">
        <f>HYPERLINK("https%3A%2F%2Fwww.webofscience.com%2Fwos%2Fwoscc%2Ffull-record%2FWOS:001480074600001","View Full Record in Web of Science")</f>
        <v>View Full Record in Web of Science</v>
      </c>
    </row>
    <row r="2831" spans="1:72" x14ac:dyDescent="0.25">
      <c r="A2831" t="s">
        <v>72</v>
      </c>
      <c r="B2831" t="s">
        <v>47044</v>
      </c>
      <c r="C2831" t="s">
        <v>74</v>
      </c>
      <c r="D2831" t="s">
        <v>74</v>
      </c>
      <c r="E2831" t="s">
        <v>74</v>
      </c>
      <c r="F2831" t="s">
        <v>47045</v>
      </c>
      <c r="G2831" t="s">
        <v>74</v>
      </c>
      <c r="H2831" t="s">
        <v>74</v>
      </c>
      <c r="I2831" t="s">
        <v>47046</v>
      </c>
      <c r="J2831" t="s">
        <v>47047</v>
      </c>
      <c r="K2831" t="s">
        <v>74</v>
      </c>
      <c r="L2831" t="s">
        <v>74</v>
      </c>
      <c r="M2831" t="s">
        <v>78</v>
      </c>
      <c r="N2831" t="s">
        <v>79</v>
      </c>
      <c r="O2831" t="s">
        <v>74</v>
      </c>
      <c r="P2831" t="s">
        <v>74</v>
      </c>
      <c r="Q2831" t="s">
        <v>74</v>
      </c>
      <c r="R2831" t="s">
        <v>74</v>
      </c>
      <c r="S2831" t="s">
        <v>74</v>
      </c>
      <c r="T2831" t="s">
        <v>47048</v>
      </c>
      <c r="U2831" t="s">
        <v>47049</v>
      </c>
      <c r="V2831" t="s">
        <v>47050</v>
      </c>
      <c r="W2831" t="s">
        <v>47051</v>
      </c>
      <c r="X2831" t="s">
        <v>44988</v>
      </c>
      <c r="Y2831" t="s">
        <v>47052</v>
      </c>
      <c r="Z2831" t="s">
        <v>47053</v>
      </c>
      <c r="AA2831" t="s">
        <v>47054</v>
      </c>
      <c r="AB2831" t="s">
        <v>74</v>
      </c>
      <c r="AC2831" t="s">
        <v>74</v>
      </c>
      <c r="AD2831" t="s">
        <v>74</v>
      </c>
      <c r="AE2831" t="s">
        <v>74</v>
      </c>
      <c r="AF2831" t="s">
        <v>74</v>
      </c>
      <c r="AG2831">
        <v>76</v>
      </c>
      <c r="AH2831">
        <v>3</v>
      </c>
      <c r="AI2831">
        <v>8</v>
      </c>
      <c r="AJ2831">
        <v>1</v>
      </c>
      <c r="AK2831">
        <v>7</v>
      </c>
      <c r="AL2831" t="s">
        <v>89</v>
      </c>
      <c r="AM2831" t="s">
        <v>90</v>
      </c>
      <c r="AN2831" t="s">
        <v>91</v>
      </c>
      <c r="AO2831" t="s">
        <v>47055</v>
      </c>
      <c r="AP2831" t="s">
        <v>47056</v>
      </c>
      <c r="AQ2831" t="s">
        <v>74</v>
      </c>
      <c r="AR2831" t="s">
        <v>47057</v>
      </c>
      <c r="AS2831" t="s">
        <v>47058</v>
      </c>
      <c r="AT2831" t="s">
        <v>24535</v>
      </c>
      <c r="AU2831">
        <v>2025</v>
      </c>
      <c r="AV2831">
        <v>32</v>
      </c>
      <c r="AW2831">
        <v>6</v>
      </c>
      <c r="AX2831" t="s">
        <v>74</v>
      </c>
      <c r="AY2831" t="s">
        <v>74</v>
      </c>
      <c r="AZ2831" t="s">
        <v>74</v>
      </c>
      <c r="BA2831" t="s">
        <v>74</v>
      </c>
      <c r="BB2831">
        <v>2133</v>
      </c>
      <c r="BC2831">
        <v>2163</v>
      </c>
      <c r="BD2831" t="s">
        <v>74</v>
      </c>
      <c r="BE2831" t="s">
        <v>47059</v>
      </c>
      <c r="BF2831" t="str">
        <f>HYPERLINK("http://dx.doi.org/10.1108/BIJ-12-2023-0875","http://dx.doi.org/10.1108/BIJ-12-2023-0875")</f>
        <v>http://dx.doi.org/10.1108/BIJ-12-2023-0875</v>
      </c>
      <c r="BG2831" t="s">
        <v>74</v>
      </c>
      <c r="BH2831" t="s">
        <v>2524</v>
      </c>
      <c r="BI2831">
        <v>31</v>
      </c>
      <c r="BJ2831" t="s">
        <v>583</v>
      </c>
      <c r="BK2831" t="s">
        <v>313</v>
      </c>
      <c r="BL2831" t="s">
        <v>100</v>
      </c>
      <c r="BM2831" t="s">
        <v>47060</v>
      </c>
      <c r="BN2831" t="s">
        <v>74</v>
      </c>
      <c r="BO2831" t="s">
        <v>74</v>
      </c>
      <c r="BP2831" t="s">
        <v>74</v>
      </c>
      <c r="BQ2831" t="s">
        <v>74</v>
      </c>
      <c r="BR2831" t="s">
        <v>102</v>
      </c>
      <c r="BS2831" t="s">
        <v>47061</v>
      </c>
      <c r="BT2831" t="str">
        <f>HYPERLINK("https%3A%2F%2Fwww.webofscience.com%2Fwos%2Fwoscc%2Ffull-record%2FWOS:001264077400001","View Full Record in Web of Science")</f>
        <v>View Full Record in Web of Science</v>
      </c>
    </row>
    <row r="2832" spans="1:72" x14ac:dyDescent="0.25">
      <c r="A2832" t="s">
        <v>72</v>
      </c>
      <c r="B2832" t="s">
        <v>47062</v>
      </c>
      <c r="C2832" t="s">
        <v>74</v>
      </c>
      <c r="D2832" t="s">
        <v>74</v>
      </c>
      <c r="E2832" t="s">
        <v>74</v>
      </c>
      <c r="F2832" t="s">
        <v>47063</v>
      </c>
      <c r="G2832" t="s">
        <v>74</v>
      </c>
      <c r="H2832" t="s">
        <v>74</v>
      </c>
      <c r="I2832" t="s">
        <v>47064</v>
      </c>
      <c r="J2832" t="s">
        <v>47065</v>
      </c>
      <c r="K2832" t="s">
        <v>74</v>
      </c>
      <c r="L2832" t="s">
        <v>74</v>
      </c>
      <c r="M2832" t="s">
        <v>78</v>
      </c>
      <c r="N2832" t="s">
        <v>79</v>
      </c>
      <c r="O2832" t="s">
        <v>74</v>
      </c>
      <c r="P2832" t="s">
        <v>74</v>
      </c>
      <c r="Q2832" t="s">
        <v>74</v>
      </c>
      <c r="R2832" t="s">
        <v>74</v>
      </c>
      <c r="S2832" t="s">
        <v>74</v>
      </c>
      <c r="T2832" t="s">
        <v>47066</v>
      </c>
      <c r="U2832" t="s">
        <v>47067</v>
      </c>
      <c r="V2832" t="s">
        <v>47068</v>
      </c>
      <c r="W2832" t="s">
        <v>47069</v>
      </c>
      <c r="X2832" t="s">
        <v>47070</v>
      </c>
      <c r="Y2832" t="s">
        <v>47071</v>
      </c>
      <c r="Z2832" t="s">
        <v>47072</v>
      </c>
      <c r="AA2832" t="s">
        <v>47073</v>
      </c>
      <c r="AB2832" t="s">
        <v>47074</v>
      </c>
      <c r="AC2832" t="s">
        <v>74</v>
      </c>
      <c r="AD2832" t="s">
        <v>74</v>
      </c>
      <c r="AE2832" t="s">
        <v>74</v>
      </c>
      <c r="AF2832" t="s">
        <v>74</v>
      </c>
      <c r="AG2832">
        <v>64</v>
      </c>
      <c r="AH2832">
        <v>1</v>
      </c>
      <c r="AI2832">
        <v>1</v>
      </c>
      <c r="AJ2832">
        <v>0</v>
      </c>
      <c r="AK2832">
        <v>13</v>
      </c>
      <c r="AL2832" t="s">
        <v>503</v>
      </c>
      <c r="AM2832" t="s">
        <v>151</v>
      </c>
      <c r="AN2832" t="s">
        <v>504</v>
      </c>
      <c r="AO2832" t="s">
        <v>47075</v>
      </c>
      <c r="AP2832" t="s">
        <v>47076</v>
      </c>
      <c r="AQ2832" t="s">
        <v>74</v>
      </c>
      <c r="AR2832" t="s">
        <v>47077</v>
      </c>
      <c r="AS2832" t="s">
        <v>47078</v>
      </c>
      <c r="AT2832" t="s">
        <v>289</v>
      </c>
      <c r="AU2832">
        <v>2023</v>
      </c>
      <c r="AV2832">
        <v>67</v>
      </c>
      <c r="AW2832" t="s">
        <v>74</v>
      </c>
      <c r="AX2832" t="s">
        <v>74</v>
      </c>
      <c r="AY2832" t="s">
        <v>74</v>
      </c>
      <c r="AZ2832" t="s">
        <v>74</v>
      </c>
      <c r="BA2832" t="s">
        <v>74</v>
      </c>
      <c r="BB2832" t="s">
        <v>74</v>
      </c>
      <c r="BC2832" t="s">
        <v>74</v>
      </c>
      <c r="BD2832">
        <v>101156</v>
      </c>
      <c r="BE2832" t="s">
        <v>47079</v>
      </c>
      <c r="BF2832" t="str">
        <f>HYPERLINK("http://dx.doi.org/10.1016/j.jfs.2023.101156","http://dx.doi.org/10.1016/j.jfs.2023.101156")</f>
        <v>http://dx.doi.org/10.1016/j.jfs.2023.101156</v>
      </c>
      <c r="BG2832" t="s">
        <v>74</v>
      </c>
      <c r="BH2832" t="s">
        <v>700</v>
      </c>
      <c r="BI2832">
        <v>18</v>
      </c>
      <c r="BJ2832" t="s">
        <v>210</v>
      </c>
      <c r="BK2832" t="s">
        <v>99</v>
      </c>
      <c r="BL2832" t="s">
        <v>100</v>
      </c>
      <c r="BM2832" t="s">
        <v>47080</v>
      </c>
      <c r="BN2832" t="s">
        <v>74</v>
      </c>
      <c r="BO2832" t="s">
        <v>74</v>
      </c>
      <c r="BP2832" t="s">
        <v>74</v>
      </c>
      <c r="BQ2832" t="s">
        <v>74</v>
      </c>
      <c r="BR2832" t="s">
        <v>102</v>
      </c>
      <c r="BS2832" t="s">
        <v>47081</v>
      </c>
      <c r="BT2832" t="str">
        <f>HYPERLINK("https%3A%2F%2Fwww.webofscience.com%2Fwos%2Fwoscc%2Ffull-record%2FWOS:001049863000001","View Full Record in Web of Science")</f>
        <v>View Full Record in Web of Science</v>
      </c>
    </row>
    <row r="2833" spans="1:72" x14ac:dyDescent="0.25">
      <c r="A2833" t="s">
        <v>72</v>
      </c>
      <c r="B2833" t="s">
        <v>47082</v>
      </c>
      <c r="C2833" t="s">
        <v>74</v>
      </c>
      <c r="D2833" t="s">
        <v>74</v>
      </c>
      <c r="E2833" t="s">
        <v>74</v>
      </c>
      <c r="F2833" t="s">
        <v>47083</v>
      </c>
      <c r="G2833" t="s">
        <v>74</v>
      </c>
      <c r="H2833" t="s">
        <v>74</v>
      </c>
      <c r="I2833" t="s">
        <v>47084</v>
      </c>
      <c r="J2833" t="s">
        <v>566</v>
      </c>
      <c r="K2833" t="s">
        <v>74</v>
      </c>
      <c r="L2833" t="s">
        <v>74</v>
      </c>
      <c r="M2833" t="s">
        <v>78</v>
      </c>
      <c r="N2833" t="s">
        <v>79</v>
      </c>
      <c r="O2833" t="s">
        <v>74</v>
      </c>
      <c r="P2833" t="s">
        <v>74</v>
      </c>
      <c r="Q2833" t="s">
        <v>74</v>
      </c>
      <c r="R2833" t="s">
        <v>74</v>
      </c>
      <c r="S2833" t="s">
        <v>74</v>
      </c>
      <c r="T2833" t="s">
        <v>47085</v>
      </c>
      <c r="U2833" t="s">
        <v>47086</v>
      </c>
      <c r="V2833" t="s">
        <v>47087</v>
      </c>
      <c r="W2833" t="s">
        <v>47088</v>
      </c>
      <c r="X2833" t="s">
        <v>47089</v>
      </c>
      <c r="Y2833" t="s">
        <v>47090</v>
      </c>
      <c r="Z2833" t="s">
        <v>47091</v>
      </c>
      <c r="AA2833" t="s">
        <v>47092</v>
      </c>
      <c r="AB2833" t="s">
        <v>43016</v>
      </c>
      <c r="AC2833" t="s">
        <v>74</v>
      </c>
      <c r="AD2833" t="s">
        <v>74</v>
      </c>
      <c r="AE2833" t="s">
        <v>74</v>
      </c>
      <c r="AF2833" t="s">
        <v>74</v>
      </c>
      <c r="AG2833">
        <v>51</v>
      </c>
      <c r="AH2833">
        <v>0</v>
      </c>
      <c r="AI2833">
        <v>0</v>
      </c>
      <c r="AJ2833">
        <v>5</v>
      </c>
      <c r="AK2833">
        <v>5</v>
      </c>
      <c r="AL2833" t="s">
        <v>575</v>
      </c>
      <c r="AM2833" t="s">
        <v>576</v>
      </c>
      <c r="AN2833" t="s">
        <v>577</v>
      </c>
      <c r="AO2833" t="s">
        <v>74</v>
      </c>
      <c r="AP2833" t="s">
        <v>578</v>
      </c>
      <c r="AQ2833" t="s">
        <v>74</v>
      </c>
      <c r="AR2833" t="s">
        <v>579</v>
      </c>
      <c r="AS2833" t="s">
        <v>580</v>
      </c>
      <c r="AT2833" t="s">
        <v>39445</v>
      </c>
      <c r="AU2833">
        <v>2025</v>
      </c>
      <c r="AV2833">
        <v>15</v>
      </c>
      <c r="AW2833">
        <v>9</v>
      </c>
      <c r="AX2833" t="s">
        <v>74</v>
      </c>
      <c r="AY2833" t="s">
        <v>74</v>
      </c>
      <c r="AZ2833" t="s">
        <v>74</v>
      </c>
      <c r="BA2833" t="s">
        <v>74</v>
      </c>
      <c r="BB2833" t="s">
        <v>74</v>
      </c>
      <c r="BC2833" t="s">
        <v>74</v>
      </c>
      <c r="BD2833">
        <v>340</v>
      </c>
      <c r="BE2833" t="s">
        <v>47093</v>
      </c>
      <c r="BF2833" t="str">
        <f>HYPERLINK("http://dx.doi.org/10.3390/admsci15090340","http://dx.doi.org/10.3390/admsci15090340")</f>
        <v>http://dx.doi.org/10.3390/admsci15090340</v>
      </c>
      <c r="BG2833" t="s">
        <v>74</v>
      </c>
      <c r="BH2833" t="s">
        <v>74</v>
      </c>
      <c r="BI2833">
        <v>18</v>
      </c>
      <c r="BJ2833" t="s">
        <v>583</v>
      </c>
      <c r="BK2833" t="s">
        <v>313</v>
      </c>
      <c r="BL2833" t="s">
        <v>100</v>
      </c>
      <c r="BM2833" t="s">
        <v>47094</v>
      </c>
      <c r="BN2833" t="s">
        <v>74</v>
      </c>
      <c r="BO2833" t="s">
        <v>212</v>
      </c>
      <c r="BP2833" t="s">
        <v>74</v>
      </c>
      <c r="BQ2833" t="s">
        <v>74</v>
      </c>
      <c r="BR2833" t="s">
        <v>102</v>
      </c>
      <c r="BS2833" t="s">
        <v>47095</v>
      </c>
      <c r="BT2833" t="str">
        <f>HYPERLINK("https%3A%2F%2Fwww.webofscience.com%2Fwos%2Fwoscc%2Ffull-record%2FWOS:001579363700001","View Full Record in Web of Science")</f>
        <v>View Full Record in Web of Science</v>
      </c>
    </row>
    <row r="2834" spans="1:72" x14ac:dyDescent="0.25">
      <c r="A2834" t="s">
        <v>72</v>
      </c>
      <c r="B2834" t="s">
        <v>47096</v>
      </c>
      <c r="C2834" t="s">
        <v>74</v>
      </c>
      <c r="D2834" t="s">
        <v>74</v>
      </c>
      <c r="E2834" t="s">
        <v>74</v>
      </c>
      <c r="F2834" t="s">
        <v>47097</v>
      </c>
      <c r="G2834" t="s">
        <v>74</v>
      </c>
      <c r="H2834" t="s">
        <v>74</v>
      </c>
      <c r="I2834" t="s">
        <v>47098</v>
      </c>
      <c r="J2834" t="s">
        <v>23316</v>
      </c>
      <c r="K2834" t="s">
        <v>74</v>
      </c>
      <c r="L2834" t="s">
        <v>74</v>
      </c>
      <c r="M2834" t="s">
        <v>78</v>
      </c>
      <c r="N2834" t="s">
        <v>79</v>
      </c>
      <c r="O2834" t="s">
        <v>74</v>
      </c>
      <c r="P2834" t="s">
        <v>74</v>
      </c>
      <c r="Q2834" t="s">
        <v>74</v>
      </c>
      <c r="R2834" t="s">
        <v>74</v>
      </c>
      <c r="S2834" t="s">
        <v>74</v>
      </c>
      <c r="T2834" t="s">
        <v>47099</v>
      </c>
      <c r="U2834" t="s">
        <v>47100</v>
      </c>
      <c r="V2834" t="s">
        <v>47101</v>
      </c>
      <c r="W2834" t="s">
        <v>47102</v>
      </c>
      <c r="X2834" t="s">
        <v>74</v>
      </c>
      <c r="Y2834" t="s">
        <v>47103</v>
      </c>
      <c r="Z2834" t="s">
        <v>47104</v>
      </c>
      <c r="AA2834" t="s">
        <v>31014</v>
      </c>
      <c r="AB2834" t="s">
        <v>47105</v>
      </c>
      <c r="AC2834" t="s">
        <v>74</v>
      </c>
      <c r="AD2834" t="s">
        <v>74</v>
      </c>
      <c r="AE2834" t="s">
        <v>74</v>
      </c>
      <c r="AF2834" t="s">
        <v>74</v>
      </c>
      <c r="AG2834">
        <v>29</v>
      </c>
      <c r="AH2834">
        <v>0</v>
      </c>
      <c r="AI2834">
        <v>0</v>
      </c>
      <c r="AJ2834">
        <v>0</v>
      </c>
      <c r="AK2834">
        <v>2</v>
      </c>
      <c r="AL2834" t="s">
        <v>823</v>
      </c>
      <c r="AM2834" t="s">
        <v>333</v>
      </c>
      <c r="AN2834" t="s">
        <v>824</v>
      </c>
      <c r="AO2834" t="s">
        <v>23310</v>
      </c>
      <c r="AP2834" t="s">
        <v>23309</v>
      </c>
      <c r="AQ2834" t="s">
        <v>74</v>
      </c>
      <c r="AR2834" t="s">
        <v>23308</v>
      </c>
      <c r="AS2834" t="s">
        <v>23307</v>
      </c>
      <c r="AT2834" t="s">
        <v>5472</v>
      </c>
      <c r="AU2834">
        <v>2023</v>
      </c>
      <c r="AV2834">
        <v>4</v>
      </c>
      <c r="AW2834">
        <v>3</v>
      </c>
      <c r="AX2834" t="s">
        <v>74</v>
      </c>
      <c r="AY2834" t="s">
        <v>74</v>
      </c>
      <c r="AZ2834" t="s">
        <v>441</v>
      </c>
      <c r="BA2834" t="s">
        <v>74</v>
      </c>
      <c r="BB2834">
        <v>293</v>
      </c>
      <c r="BC2834">
        <v>303</v>
      </c>
      <c r="BD2834" t="s">
        <v>74</v>
      </c>
      <c r="BE2834" t="s">
        <v>47106</v>
      </c>
      <c r="BF2834" t="str">
        <f>HYPERLINK("http://dx.doi.org/10.1080/26437015.2023.2201897","http://dx.doi.org/10.1080/26437015.2023.2201897")</f>
        <v>http://dx.doi.org/10.1080/26437015.2023.2201897</v>
      </c>
      <c r="BG2834" t="s">
        <v>74</v>
      </c>
      <c r="BH2834" t="s">
        <v>74</v>
      </c>
      <c r="BI2834">
        <v>11</v>
      </c>
      <c r="BJ2834" t="s">
        <v>98</v>
      </c>
      <c r="BK2834" t="s">
        <v>313</v>
      </c>
      <c r="BL2834" t="s">
        <v>100</v>
      </c>
      <c r="BM2834" t="s">
        <v>47107</v>
      </c>
      <c r="BN2834" t="s">
        <v>74</v>
      </c>
      <c r="BO2834" t="s">
        <v>74</v>
      </c>
      <c r="BP2834" t="s">
        <v>74</v>
      </c>
      <c r="BQ2834" t="s">
        <v>74</v>
      </c>
      <c r="BR2834" t="s">
        <v>102</v>
      </c>
      <c r="BS2834" t="s">
        <v>47108</v>
      </c>
      <c r="BT2834" t="str">
        <f>HYPERLINK("https%3A%2F%2Fwww.webofscience.com%2Fwos%2Fwoscc%2Ffull-record%2FWOS:001128517800001","View Full Record in Web of Science")</f>
        <v>View Full Record in Web of Science</v>
      </c>
    </row>
    <row r="2835" spans="1:72" x14ac:dyDescent="0.25">
      <c r="A2835" t="s">
        <v>72</v>
      </c>
      <c r="B2835" t="s">
        <v>47109</v>
      </c>
      <c r="C2835" t="s">
        <v>74</v>
      </c>
      <c r="D2835" t="s">
        <v>74</v>
      </c>
      <c r="E2835" t="s">
        <v>74</v>
      </c>
      <c r="F2835" t="s">
        <v>47110</v>
      </c>
      <c r="G2835" t="s">
        <v>74</v>
      </c>
      <c r="H2835" t="s">
        <v>74</v>
      </c>
      <c r="I2835" t="s">
        <v>47111</v>
      </c>
      <c r="J2835" t="s">
        <v>3439</v>
      </c>
      <c r="K2835" t="s">
        <v>74</v>
      </c>
      <c r="L2835" t="s">
        <v>74</v>
      </c>
      <c r="M2835" t="s">
        <v>78</v>
      </c>
      <c r="N2835" t="s">
        <v>79</v>
      </c>
      <c r="O2835" t="s">
        <v>74</v>
      </c>
      <c r="P2835" t="s">
        <v>74</v>
      </c>
      <c r="Q2835" t="s">
        <v>74</v>
      </c>
      <c r="R2835" t="s">
        <v>74</v>
      </c>
      <c r="S2835" t="s">
        <v>74</v>
      </c>
      <c r="T2835" t="s">
        <v>47112</v>
      </c>
      <c r="U2835" t="s">
        <v>47113</v>
      </c>
      <c r="V2835" t="s">
        <v>47114</v>
      </c>
      <c r="W2835" t="s">
        <v>47115</v>
      </c>
      <c r="X2835" t="s">
        <v>47116</v>
      </c>
      <c r="Y2835" t="s">
        <v>47117</v>
      </c>
      <c r="Z2835" t="s">
        <v>47118</v>
      </c>
      <c r="AA2835" t="s">
        <v>74</v>
      </c>
      <c r="AB2835" t="s">
        <v>47119</v>
      </c>
      <c r="AC2835" t="s">
        <v>74</v>
      </c>
      <c r="AD2835" t="s">
        <v>74</v>
      </c>
      <c r="AE2835" t="s">
        <v>74</v>
      </c>
      <c r="AF2835" t="s">
        <v>74</v>
      </c>
      <c r="AG2835">
        <v>35</v>
      </c>
      <c r="AH2835">
        <v>4</v>
      </c>
      <c r="AI2835">
        <v>5</v>
      </c>
      <c r="AJ2835">
        <v>1</v>
      </c>
      <c r="AK2835">
        <v>22</v>
      </c>
      <c r="AL2835" t="s">
        <v>2481</v>
      </c>
      <c r="AM2835" t="s">
        <v>2482</v>
      </c>
      <c r="AN2835" t="s">
        <v>2483</v>
      </c>
      <c r="AO2835" t="s">
        <v>3443</v>
      </c>
      <c r="AP2835" t="s">
        <v>74</v>
      </c>
      <c r="AQ2835" t="s">
        <v>74</v>
      </c>
      <c r="AR2835" t="s">
        <v>3444</v>
      </c>
      <c r="AS2835" t="s">
        <v>3445</v>
      </c>
      <c r="AT2835" t="s">
        <v>2487</v>
      </c>
      <c r="AU2835">
        <v>2020</v>
      </c>
      <c r="AV2835">
        <v>8</v>
      </c>
      <c r="AW2835">
        <v>1</v>
      </c>
      <c r="AX2835" t="s">
        <v>74</v>
      </c>
      <c r="AY2835" t="s">
        <v>74</v>
      </c>
      <c r="AZ2835" t="s">
        <v>74</v>
      </c>
      <c r="BA2835" t="s">
        <v>74</v>
      </c>
      <c r="BB2835" t="s">
        <v>74</v>
      </c>
      <c r="BC2835" t="s">
        <v>74</v>
      </c>
      <c r="BD2835">
        <v>1838691</v>
      </c>
      <c r="BE2835" t="s">
        <v>47120</v>
      </c>
      <c r="BF2835" t="str">
        <f>HYPERLINK("http://dx.doi.org/10.1080/23322039.2020.1838691","http://dx.doi.org/10.1080/23322039.2020.1838691")</f>
        <v>http://dx.doi.org/10.1080/23322039.2020.1838691</v>
      </c>
      <c r="BG2835" t="s">
        <v>74</v>
      </c>
      <c r="BH2835" t="s">
        <v>74</v>
      </c>
      <c r="BI2835">
        <v>18</v>
      </c>
      <c r="BJ2835" t="s">
        <v>291</v>
      </c>
      <c r="BK2835" t="s">
        <v>313</v>
      </c>
      <c r="BL2835" t="s">
        <v>100</v>
      </c>
      <c r="BM2835" t="s">
        <v>47121</v>
      </c>
      <c r="BN2835" t="s">
        <v>74</v>
      </c>
      <c r="BO2835" t="s">
        <v>916</v>
      </c>
      <c r="BP2835" t="s">
        <v>74</v>
      </c>
      <c r="BQ2835" t="s">
        <v>74</v>
      </c>
      <c r="BR2835" t="s">
        <v>102</v>
      </c>
      <c r="BS2835" t="s">
        <v>47122</v>
      </c>
      <c r="BT2835" t="str">
        <f>HYPERLINK("https%3A%2F%2Fwww.webofscience.com%2Fwos%2Fwoscc%2Ffull-record%2FWOS:000607218200001","View Full Record in Web of Science")</f>
        <v>View Full Record in Web of Science</v>
      </c>
    </row>
    <row r="2836" spans="1:72" x14ac:dyDescent="0.25">
      <c r="A2836" t="s">
        <v>72</v>
      </c>
      <c r="B2836" t="s">
        <v>47123</v>
      </c>
      <c r="C2836" t="s">
        <v>74</v>
      </c>
      <c r="D2836" t="s">
        <v>74</v>
      </c>
      <c r="E2836" t="s">
        <v>74</v>
      </c>
      <c r="F2836" t="s">
        <v>47124</v>
      </c>
      <c r="G2836" t="s">
        <v>74</v>
      </c>
      <c r="H2836" t="s">
        <v>74</v>
      </c>
      <c r="I2836" t="s">
        <v>47125</v>
      </c>
      <c r="J2836" t="s">
        <v>47126</v>
      </c>
      <c r="K2836" t="s">
        <v>74</v>
      </c>
      <c r="L2836" t="s">
        <v>74</v>
      </c>
      <c r="M2836" t="s">
        <v>78</v>
      </c>
      <c r="N2836" t="s">
        <v>79</v>
      </c>
      <c r="O2836" t="s">
        <v>74</v>
      </c>
      <c r="P2836" t="s">
        <v>74</v>
      </c>
      <c r="Q2836" t="s">
        <v>74</v>
      </c>
      <c r="R2836" t="s">
        <v>74</v>
      </c>
      <c r="S2836" t="s">
        <v>74</v>
      </c>
      <c r="T2836" t="s">
        <v>47127</v>
      </c>
      <c r="U2836" t="s">
        <v>47128</v>
      </c>
      <c r="V2836" t="s">
        <v>47129</v>
      </c>
      <c r="W2836" t="s">
        <v>47130</v>
      </c>
      <c r="X2836" t="s">
        <v>47131</v>
      </c>
      <c r="Y2836" t="s">
        <v>47132</v>
      </c>
      <c r="Z2836" t="s">
        <v>47133</v>
      </c>
      <c r="AA2836" t="s">
        <v>74</v>
      </c>
      <c r="AB2836" t="s">
        <v>74</v>
      </c>
      <c r="AC2836" t="s">
        <v>74</v>
      </c>
      <c r="AD2836" t="s">
        <v>74</v>
      </c>
      <c r="AE2836" t="s">
        <v>74</v>
      </c>
      <c r="AF2836" t="s">
        <v>74</v>
      </c>
      <c r="AG2836">
        <v>29</v>
      </c>
      <c r="AH2836">
        <v>1</v>
      </c>
      <c r="AI2836">
        <v>1</v>
      </c>
      <c r="AJ2836">
        <v>1</v>
      </c>
      <c r="AK2836">
        <v>6</v>
      </c>
      <c r="AL2836" t="s">
        <v>47134</v>
      </c>
      <c r="AM2836" t="s">
        <v>5144</v>
      </c>
      <c r="AN2836" t="s">
        <v>47135</v>
      </c>
      <c r="AO2836" t="s">
        <v>47136</v>
      </c>
      <c r="AP2836" t="s">
        <v>47137</v>
      </c>
      <c r="AQ2836" t="s">
        <v>74</v>
      </c>
      <c r="AR2836" t="s">
        <v>47138</v>
      </c>
      <c r="AS2836" t="s">
        <v>47139</v>
      </c>
      <c r="AT2836" t="s">
        <v>74</v>
      </c>
      <c r="AU2836">
        <v>2022</v>
      </c>
      <c r="AV2836">
        <v>67</v>
      </c>
      <c r="AW2836">
        <v>1</v>
      </c>
      <c r="AX2836" t="s">
        <v>74</v>
      </c>
      <c r="AY2836" t="s">
        <v>74</v>
      </c>
      <c r="AZ2836" t="s">
        <v>74</v>
      </c>
      <c r="BA2836" t="s">
        <v>74</v>
      </c>
      <c r="BB2836">
        <v>33</v>
      </c>
      <c r="BC2836">
        <v>55</v>
      </c>
      <c r="BD2836" t="s">
        <v>74</v>
      </c>
      <c r="BE2836" t="s">
        <v>47140</v>
      </c>
      <c r="BF2836" t="str">
        <f>HYPERLINK("http://dx.doi.org/10.35551/PFQ_2022_1_2","http://dx.doi.org/10.35551/PFQ_2022_1_2")</f>
        <v>http://dx.doi.org/10.35551/PFQ_2022_1_2</v>
      </c>
      <c r="BG2836" t="s">
        <v>74</v>
      </c>
      <c r="BH2836" t="s">
        <v>74</v>
      </c>
      <c r="BI2836">
        <v>23</v>
      </c>
      <c r="BJ2836" t="s">
        <v>268</v>
      </c>
      <c r="BK2836" t="s">
        <v>313</v>
      </c>
      <c r="BL2836" t="s">
        <v>100</v>
      </c>
      <c r="BM2836" t="s">
        <v>47141</v>
      </c>
      <c r="BN2836" t="s">
        <v>74</v>
      </c>
      <c r="BO2836" t="s">
        <v>212</v>
      </c>
      <c r="BP2836" t="s">
        <v>74</v>
      </c>
      <c r="BQ2836" t="s">
        <v>74</v>
      </c>
      <c r="BR2836" t="s">
        <v>102</v>
      </c>
      <c r="BS2836" t="s">
        <v>47142</v>
      </c>
      <c r="BT2836" t="str">
        <f>HYPERLINK("https%3A%2F%2Fwww.webofscience.com%2Fwos%2Fwoscc%2Ffull-record%2FWOS:000804564500002","View Full Record in Web of Science")</f>
        <v>View Full Record in Web of Science</v>
      </c>
    </row>
    <row r="2837" spans="1:72" x14ac:dyDescent="0.25">
      <c r="A2837" t="s">
        <v>72</v>
      </c>
      <c r="B2837" t="s">
        <v>47143</v>
      </c>
      <c r="C2837" t="s">
        <v>74</v>
      </c>
      <c r="D2837" t="s">
        <v>74</v>
      </c>
      <c r="E2837" t="s">
        <v>74</v>
      </c>
      <c r="F2837" t="s">
        <v>47144</v>
      </c>
      <c r="G2837" t="s">
        <v>74</v>
      </c>
      <c r="H2837" t="s">
        <v>74</v>
      </c>
      <c r="I2837" t="s">
        <v>47145</v>
      </c>
      <c r="J2837" t="s">
        <v>47146</v>
      </c>
      <c r="K2837" t="s">
        <v>74</v>
      </c>
      <c r="L2837" t="s">
        <v>74</v>
      </c>
      <c r="M2837" t="s">
        <v>78</v>
      </c>
      <c r="N2837" t="s">
        <v>79</v>
      </c>
      <c r="O2837" t="s">
        <v>74</v>
      </c>
      <c r="P2837" t="s">
        <v>74</v>
      </c>
      <c r="Q2837" t="s">
        <v>74</v>
      </c>
      <c r="R2837" t="s">
        <v>74</v>
      </c>
      <c r="S2837" t="s">
        <v>74</v>
      </c>
      <c r="T2837" t="s">
        <v>47147</v>
      </c>
      <c r="U2837" t="s">
        <v>47148</v>
      </c>
      <c r="V2837" t="s">
        <v>47149</v>
      </c>
      <c r="W2837" t="s">
        <v>47150</v>
      </c>
      <c r="X2837" t="s">
        <v>47151</v>
      </c>
      <c r="Y2837" t="s">
        <v>47152</v>
      </c>
      <c r="Z2837" t="s">
        <v>47153</v>
      </c>
      <c r="AA2837" t="s">
        <v>74</v>
      </c>
      <c r="AB2837" t="s">
        <v>47154</v>
      </c>
      <c r="AC2837" t="s">
        <v>74</v>
      </c>
      <c r="AD2837" t="s">
        <v>74</v>
      </c>
      <c r="AE2837" t="s">
        <v>74</v>
      </c>
      <c r="AF2837" t="s">
        <v>74</v>
      </c>
      <c r="AG2837">
        <v>53</v>
      </c>
      <c r="AH2837">
        <v>1</v>
      </c>
      <c r="AI2837">
        <v>3</v>
      </c>
      <c r="AJ2837">
        <v>0</v>
      </c>
      <c r="AK2837">
        <v>4</v>
      </c>
      <c r="AL2837" t="s">
        <v>4666</v>
      </c>
      <c r="AM2837" t="s">
        <v>995</v>
      </c>
      <c r="AN2837" t="s">
        <v>4025</v>
      </c>
      <c r="AO2837" t="s">
        <v>47155</v>
      </c>
      <c r="AP2837" t="s">
        <v>47156</v>
      </c>
      <c r="AQ2837" t="s">
        <v>74</v>
      </c>
      <c r="AR2837" t="s">
        <v>47157</v>
      </c>
      <c r="AS2837" t="s">
        <v>47158</v>
      </c>
      <c r="AT2837" t="s">
        <v>605</v>
      </c>
      <c r="AU2837">
        <v>2024</v>
      </c>
      <c r="AV2837">
        <v>48</v>
      </c>
      <c r="AW2837">
        <v>1</v>
      </c>
      <c r="AX2837" t="s">
        <v>74</v>
      </c>
      <c r="AY2837" t="s">
        <v>74</v>
      </c>
      <c r="AZ2837" t="s">
        <v>74</v>
      </c>
      <c r="BA2837" t="s">
        <v>74</v>
      </c>
      <c r="BB2837">
        <v>107</v>
      </c>
      <c r="BC2837">
        <v>128</v>
      </c>
      <c r="BD2837" t="s">
        <v>74</v>
      </c>
      <c r="BE2837" t="s">
        <v>47159</v>
      </c>
      <c r="BF2837" t="str">
        <f>HYPERLINK("http://dx.doi.org/10.1007/s12197-023-09645-8","http://dx.doi.org/10.1007/s12197-023-09645-8")</f>
        <v>http://dx.doi.org/10.1007/s12197-023-09645-8</v>
      </c>
      <c r="BG2837" t="s">
        <v>74</v>
      </c>
      <c r="BH2837" t="s">
        <v>5567</v>
      </c>
      <c r="BI2837">
        <v>22</v>
      </c>
      <c r="BJ2837" t="s">
        <v>210</v>
      </c>
      <c r="BK2837" t="s">
        <v>313</v>
      </c>
      <c r="BL2837" t="s">
        <v>100</v>
      </c>
      <c r="BM2837" t="s">
        <v>47160</v>
      </c>
      <c r="BN2837" t="s">
        <v>74</v>
      </c>
      <c r="BO2837" t="s">
        <v>74</v>
      </c>
      <c r="BP2837" t="s">
        <v>74</v>
      </c>
      <c r="BQ2837" t="s">
        <v>74</v>
      </c>
      <c r="BR2837" t="s">
        <v>102</v>
      </c>
      <c r="BS2837" t="s">
        <v>47161</v>
      </c>
      <c r="BT2837" t="str">
        <f>HYPERLINK("https%3A%2F%2Fwww.webofscience.com%2Fwos%2Fwoscc%2Ffull-record%2FWOS:001072262600001","View Full Record in Web of Science")</f>
        <v>View Full Record in Web of Science</v>
      </c>
    </row>
    <row r="2838" spans="1:72" x14ac:dyDescent="0.25">
      <c r="A2838" t="s">
        <v>72</v>
      </c>
      <c r="B2838" t="s">
        <v>47162</v>
      </c>
      <c r="C2838" t="s">
        <v>74</v>
      </c>
      <c r="D2838" t="s">
        <v>74</v>
      </c>
      <c r="E2838" t="s">
        <v>74</v>
      </c>
      <c r="F2838" t="s">
        <v>47163</v>
      </c>
      <c r="G2838" t="s">
        <v>74</v>
      </c>
      <c r="H2838" t="s">
        <v>74</v>
      </c>
      <c r="I2838" t="s">
        <v>47164</v>
      </c>
      <c r="J2838" t="s">
        <v>47165</v>
      </c>
      <c r="K2838" t="s">
        <v>74</v>
      </c>
      <c r="L2838" t="s">
        <v>74</v>
      </c>
      <c r="M2838" t="s">
        <v>78</v>
      </c>
      <c r="N2838" t="s">
        <v>79</v>
      </c>
      <c r="O2838" t="s">
        <v>74</v>
      </c>
      <c r="P2838" t="s">
        <v>74</v>
      </c>
      <c r="Q2838" t="s">
        <v>74</v>
      </c>
      <c r="R2838" t="s">
        <v>74</v>
      </c>
      <c r="S2838" t="s">
        <v>74</v>
      </c>
      <c r="T2838" t="s">
        <v>47166</v>
      </c>
      <c r="U2838" t="s">
        <v>74</v>
      </c>
      <c r="V2838" t="s">
        <v>47167</v>
      </c>
      <c r="W2838" t="s">
        <v>47168</v>
      </c>
      <c r="X2838" t="s">
        <v>47169</v>
      </c>
      <c r="Y2838" t="s">
        <v>47170</v>
      </c>
      <c r="Z2838" t="s">
        <v>47171</v>
      </c>
      <c r="AA2838" t="s">
        <v>74</v>
      </c>
      <c r="AB2838" t="s">
        <v>47172</v>
      </c>
      <c r="AC2838" t="s">
        <v>74</v>
      </c>
      <c r="AD2838" t="s">
        <v>74</v>
      </c>
      <c r="AE2838" t="s">
        <v>74</v>
      </c>
      <c r="AF2838" t="s">
        <v>74</v>
      </c>
      <c r="AG2838">
        <v>9</v>
      </c>
      <c r="AH2838">
        <v>0</v>
      </c>
      <c r="AI2838">
        <v>0</v>
      </c>
      <c r="AJ2838">
        <v>1</v>
      </c>
      <c r="AK2838">
        <v>5</v>
      </c>
      <c r="AL2838" t="s">
        <v>47173</v>
      </c>
      <c r="AM2838" t="s">
        <v>2344</v>
      </c>
      <c r="AN2838" t="s">
        <v>47174</v>
      </c>
      <c r="AO2838" t="s">
        <v>47175</v>
      </c>
      <c r="AP2838" t="s">
        <v>74</v>
      </c>
      <c r="AQ2838" t="s">
        <v>74</v>
      </c>
      <c r="AR2838" t="s">
        <v>47176</v>
      </c>
      <c r="AS2838" t="s">
        <v>47177</v>
      </c>
      <c r="AT2838" t="s">
        <v>74</v>
      </c>
      <c r="AU2838">
        <v>2021</v>
      </c>
      <c r="AV2838">
        <v>12</v>
      </c>
      <c r="AW2838">
        <v>3</v>
      </c>
      <c r="AX2838" t="s">
        <v>74</v>
      </c>
      <c r="AY2838" t="s">
        <v>74</v>
      </c>
      <c r="AZ2838" t="s">
        <v>74</v>
      </c>
      <c r="BA2838" t="s">
        <v>74</v>
      </c>
      <c r="BB2838">
        <v>898</v>
      </c>
      <c r="BC2838">
        <v>911</v>
      </c>
      <c r="BD2838" t="s">
        <v>74</v>
      </c>
      <c r="BE2838" t="s">
        <v>47178</v>
      </c>
      <c r="BF2838" t="str">
        <f>HYPERLINK("http://dx.doi.org/10.1137/20M1342811","http://dx.doi.org/10.1137/20M1342811")</f>
        <v>http://dx.doi.org/10.1137/20M1342811</v>
      </c>
      <c r="BG2838" t="s">
        <v>74</v>
      </c>
      <c r="BH2838" t="s">
        <v>74</v>
      </c>
      <c r="BI2838">
        <v>14</v>
      </c>
      <c r="BJ2838" t="s">
        <v>47179</v>
      </c>
      <c r="BK2838" t="s">
        <v>2623</v>
      </c>
      <c r="BL2838" t="s">
        <v>47180</v>
      </c>
      <c r="BM2838" t="s">
        <v>47181</v>
      </c>
      <c r="BN2838" t="s">
        <v>74</v>
      </c>
      <c r="BO2838" t="s">
        <v>74</v>
      </c>
      <c r="BP2838" t="s">
        <v>74</v>
      </c>
      <c r="BQ2838" t="s">
        <v>74</v>
      </c>
      <c r="BR2838" t="s">
        <v>102</v>
      </c>
      <c r="BS2838" t="s">
        <v>47182</v>
      </c>
      <c r="BT2838" t="str">
        <f>HYPERLINK("https%3A%2F%2Fwww.webofscience.com%2Fwos%2Fwoscc%2Ffull-record%2FWOS:000734465000004","View Full Record in Web of Science")</f>
        <v>View Full Record in Web of Science</v>
      </c>
    </row>
    <row r="2839" spans="1:72" x14ac:dyDescent="0.25">
      <c r="A2839" t="s">
        <v>72</v>
      </c>
      <c r="B2839" t="s">
        <v>47183</v>
      </c>
      <c r="C2839" t="s">
        <v>74</v>
      </c>
      <c r="D2839" t="s">
        <v>74</v>
      </c>
      <c r="E2839" t="s">
        <v>74</v>
      </c>
      <c r="F2839" t="s">
        <v>47184</v>
      </c>
      <c r="G2839" t="s">
        <v>74</v>
      </c>
      <c r="H2839" t="s">
        <v>74</v>
      </c>
      <c r="I2839" t="s">
        <v>47185</v>
      </c>
      <c r="J2839" t="s">
        <v>47186</v>
      </c>
      <c r="K2839" t="s">
        <v>74</v>
      </c>
      <c r="L2839" t="s">
        <v>74</v>
      </c>
      <c r="M2839" t="s">
        <v>78</v>
      </c>
      <c r="N2839" t="s">
        <v>79</v>
      </c>
      <c r="O2839" t="s">
        <v>74</v>
      </c>
      <c r="P2839" t="s">
        <v>74</v>
      </c>
      <c r="Q2839" t="s">
        <v>74</v>
      </c>
      <c r="R2839" t="s">
        <v>74</v>
      </c>
      <c r="S2839" t="s">
        <v>74</v>
      </c>
      <c r="T2839" t="s">
        <v>47187</v>
      </c>
      <c r="U2839" t="s">
        <v>47188</v>
      </c>
      <c r="V2839" t="s">
        <v>47189</v>
      </c>
      <c r="W2839" t="s">
        <v>47190</v>
      </c>
      <c r="X2839" t="s">
        <v>23210</v>
      </c>
      <c r="Y2839" t="s">
        <v>47191</v>
      </c>
      <c r="Z2839" t="s">
        <v>39979</v>
      </c>
      <c r="AA2839" t="s">
        <v>74</v>
      </c>
      <c r="AB2839" t="s">
        <v>39980</v>
      </c>
      <c r="AC2839" t="s">
        <v>74</v>
      </c>
      <c r="AD2839" t="s">
        <v>74</v>
      </c>
      <c r="AE2839" t="s">
        <v>74</v>
      </c>
      <c r="AF2839" t="s">
        <v>74</v>
      </c>
      <c r="AG2839">
        <v>79</v>
      </c>
      <c r="AH2839">
        <v>45</v>
      </c>
      <c r="AI2839">
        <v>52</v>
      </c>
      <c r="AJ2839">
        <v>1</v>
      </c>
      <c r="AK2839">
        <v>31</v>
      </c>
      <c r="AL2839" t="s">
        <v>479</v>
      </c>
      <c r="AM2839" t="s">
        <v>480</v>
      </c>
      <c r="AN2839" t="s">
        <v>481</v>
      </c>
      <c r="AO2839" t="s">
        <v>47192</v>
      </c>
      <c r="AP2839" t="s">
        <v>47193</v>
      </c>
      <c r="AQ2839" t="s">
        <v>74</v>
      </c>
      <c r="AR2839" t="s">
        <v>47194</v>
      </c>
      <c r="AS2839" t="s">
        <v>47195</v>
      </c>
      <c r="AT2839" t="s">
        <v>1652</v>
      </c>
      <c r="AU2839">
        <v>2020</v>
      </c>
      <c r="AV2839">
        <v>35</v>
      </c>
      <c r="AW2839">
        <v>2</v>
      </c>
      <c r="AX2839" t="s">
        <v>74</v>
      </c>
      <c r="AY2839" t="s">
        <v>74</v>
      </c>
      <c r="AZ2839" t="s">
        <v>74</v>
      </c>
      <c r="BA2839" t="s">
        <v>74</v>
      </c>
      <c r="BB2839">
        <v>370</v>
      </c>
      <c r="BC2839">
        <v>392</v>
      </c>
      <c r="BD2839" t="s">
        <v>74</v>
      </c>
      <c r="BE2839" t="s">
        <v>47196</v>
      </c>
      <c r="BF2839" t="str">
        <f>HYPERLINK("http://dx.doi.org/10.1111/socf.12586","http://dx.doi.org/10.1111/socf.12586")</f>
        <v>http://dx.doi.org/10.1111/socf.12586</v>
      </c>
      <c r="BG2839" t="s">
        <v>74</v>
      </c>
      <c r="BH2839" t="s">
        <v>2621</v>
      </c>
      <c r="BI2839">
        <v>23</v>
      </c>
      <c r="BJ2839" t="s">
        <v>5129</v>
      </c>
      <c r="BK2839" t="s">
        <v>99</v>
      </c>
      <c r="BL2839" t="s">
        <v>5129</v>
      </c>
      <c r="BM2839" t="s">
        <v>47197</v>
      </c>
      <c r="BN2839" t="s">
        <v>74</v>
      </c>
      <c r="BO2839" t="s">
        <v>74</v>
      </c>
      <c r="BP2839" t="s">
        <v>74</v>
      </c>
      <c r="BQ2839" t="s">
        <v>74</v>
      </c>
      <c r="BR2839" t="s">
        <v>102</v>
      </c>
      <c r="BS2839" t="s">
        <v>47198</v>
      </c>
      <c r="BT2839" t="str">
        <f>HYPERLINK("https%3A%2F%2Fwww.webofscience.com%2Fwos%2Fwoscc%2Ffull-record%2FWOS:000510986900001","View Full Record in Web of Science")</f>
        <v>View Full Record in Web of Science</v>
      </c>
    </row>
    <row r="2840" spans="1:72" x14ac:dyDescent="0.25">
      <c r="A2840" t="s">
        <v>72</v>
      </c>
      <c r="B2840" t="s">
        <v>47199</v>
      </c>
      <c r="C2840" t="s">
        <v>74</v>
      </c>
      <c r="D2840" t="s">
        <v>74</v>
      </c>
      <c r="E2840" t="s">
        <v>74</v>
      </c>
      <c r="F2840" t="s">
        <v>47200</v>
      </c>
      <c r="G2840" t="s">
        <v>74</v>
      </c>
      <c r="H2840" t="s">
        <v>74</v>
      </c>
      <c r="I2840" t="s">
        <v>47201</v>
      </c>
      <c r="J2840" t="s">
        <v>17444</v>
      </c>
      <c r="K2840" t="s">
        <v>74</v>
      </c>
      <c r="L2840" t="s">
        <v>74</v>
      </c>
      <c r="M2840" t="s">
        <v>78</v>
      </c>
      <c r="N2840" t="s">
        <v>79</v>
      </c>
      <c r="O2840" t="s">
        <v>74</v>
      </c>
      <c r="P2840" t="s">
        <v>74</v>
      </c>
      <c r="Q2840" t="s">
        <v>74</v>
      </c>
      <c r="R2840" t="s">
        <v>74</v>
      </c>
      <c r="S2840" t="s">
        <v>74</v>
      </c>
      <c r="T2840" t="s">
        <v>47202</v>
      </c>
      <c r="U2840" t="s">
        <v>47203</v>
      </c>
      <c r="V2840" t="s">
        <v>47204</v>
      </c>
      <c r="W2840" t="s">
        <v>47205</v>
      </c>
      <c r="X2840" t="s">
        <v>47206</v>
      </c>
      <c r="Y2840" t="s">
        <v>47207</v>
      </c>
      <c r="Z2840" t="s">
        <v>47208</v>
      </c>
      <c r="AA2840" t="s">
        <v>74</v>
      </c>
      <c r="AB2840" t="s">
        <v>47209</v>
      </c>
      <c r="AC2840" t="s">
        <v>74</v>
      </c>
      <c r="AD2840" t="s">
        <v>74</v>
      </c>
      <c r="AE2840" t="s">
        <v>74</v>
      </c>
      <c r="AF2840" t="s">
        <v>74</v>
      </c>
      <c r="AG2840">
        <v>88</v>
      </c>
      <c r="AH2840">
        <v>15</v>
      </c>
      <c r="AI2840">
        <v>22</v>
      </c>
      <c r="AJ2840">
        <v>2</v>
      </c>
      <c r="AK2840">
        <v>33</v>
      </c>
      <c r="AL2840" t="s">
        <v>89</v>
      </c>
      <c r="AM2840" t="s">
        <v>90</v>
      </c>
      <c r="AN2840" t="s">
        <v>91</v>
      </c>
      <c r="AO2840" t="s">
        <v>17454</v>
      </c>
      <c r="AP2840" t="s">
        <v>17455</v>
      </c>
      <c r="AQ2840" t="s">
        <v>74</v>
      </c>
      <c r="AR2840" t="s">
        <v>17456</v>
      </c>
      <c r="AS2840" t="s">
        <v>17457</v>
      </c>
      <c r="AT2840" t="s">
        <v>11361</v>
      </c>
      <c r="AU2840">
        <v>2022</v>
      </c>
      <c r="AV2840">
        <v>48</v>
      </c>
      <c r="AW2840" t="s">
        <v>23850</v>
      </c>
      <c r="AX2840" t="s">
        <v>74</v>
      </c>
      <c r="AY2840" t="s">
        <v>74</v>
      </c>
      <c r="AZ2840" t="s">
        <v>441</v>
      </c>
      <c r="BA2840" t="s">
        <v>74</v>
      </c>
      <c r="BB2840">
        <v>1391</v>
      </c>
      <c r="BC2840">
        <v>1412</v>
      </c>
      <c r="BD2840" t="s">
        <v>74</v>
      </c>
      <c r="BE2840" t="s">
        <v>47210</v>
      </c>
      <c r="BF2840" t="str">
        <f>HYPERLINK("http://dx.doi.org/10.1108/MF-08-2021-0386","http://dx.doi.org/10.1108/MF-08-2021-0386")</f>
        <v>http://dx.doi.org/10.1108/MF-08-2021-0386</v>
      </c>
      <c r="BG2840" t="s">
        <v>74</v>
      </c>
      <c r="BH2840" t="s">
        <v>767</v>
      </c>
      <c r="BI2840">
        <v>22</v>
      </c>
      <c r="BJ2840" t="s">
        <v>268</v>
      </c>
      <c r="BK2840" t="s">
        <v>313</v>
      </c>
      <c r="BL2840" t="s">
        <v>100</v>
      </c>
      <c r="BM2840" t="s">
        <v>23848</v>
      </c>
      <c r="BN2840" t="s">
        <v>74</v>
      </c>
      <c r="BO2840" t="s">
        <v>74</v>
      </c>
      <c r="BP2840" t="s">
        <v>74</v>
      </c>
      <c r="BQ2840" t="s">
        <v>74</v>
      </c>
      <c r="BR2840" t="s">
        <v>102</v>
      </c>
      <c r="BS2840" t="s">
        <v>47211</v>
      </c>
      <c r="BT2840" t="str">
        <f>HYPERLINK("https%3A%2F%2Fwww.webofscience.com%2Fwos%2Fwoscc%2Ffull-record%2FWOS:000773565700001","View Full Record in Web of Science")</f>
        <v>View Full Record in Web of Science</v>
      </c>
    </row>
    <row r="2841" spans="1:72" x14ac:dyDescent="0.25">
      <c r="A2841" t="s">
        <v>72</v>
      </c>
      <c r="B2841" t="s">
        <v>47212</v>
      </c>
      <c r="C2841" t="s">
        <v>74</v>
      </c>
      <c r="D2841" t="s">
        <v>74</v>
      </c>
      <c r="E2841" t="s">
        <v>74</v>
      </c>
      <c r="F2841" t="s">
        <v>47213</v>
      </c>
      <c r="G2841" t="s">
        <v>74</v>
      </c>
      <c r="H2841" t="s">
        <v>74</v>
      </c>
      <c r="I2841" t="s">
        <v>47214</v>
      </c>
      <c r="J2841" t="s">
        <v>10994</v>
      </c>
      <c r="K2841" t="s">
        <v>74</v>
      </c>
      <c r="L2841" t="s">
        <v>74</v>
      </c>
      <c r="M2841" t="s">
        <v>78</v>
      </c>
      <c r="N2841" t="s">
        <v>79</v>
      </c>
      <c r="O2841" t="s">
        <v>74</v>
      </c>
      <c r="P2841" t="s">
        <v>74</v>
      </c>
      <c r="Q2841" t="s">
        <v>74</v>
      </c>
      <c r="R2841" t="s">
        <v>74</v>
      </c>
      <c r="S2841" t="s">
        <v>74</v>
      </c>
      <c r="T2841" t="s">
        <v>47215</v>
      </c>
      <c r="U2841" t="s">
        <v>47216</v>
      </c>
      <c r="V2841" t="s">
        <v>47217</v>
      </c>
      <c r="W2841" t="s">
        <v>47218</v>
      </c>
      <c r="X2841" t="s">
        <v>47219</v>
      </c>
      <c r="Y2841" t="s">
        <v>47220</v>
      </c>
      <c r="Z2841" t="s">
        <v>47221</v>
      </c>
      <c r="AA2841" t="s">
        <v>47222</v>
      </c>
      <c r="AB2841" t="s">
        <v>74</v>
      </c>
      <c r="AC2841" t="s">
        <v>47223</v>
      </c>
      <c r="AD2841" t="s">
        <v>47224</v>
      </c>
      <c r="AE2841" t="s">
        <v>47225</v>
      </c>
      <c r="AF2841" t="s">
        <v>74</v>
      </c>
      <c r="AG2841">
        <v>105</v>
      </c>
      <c r="AH2841">
        <v>1</v>
      </c>
      <c r="AI2841">
        <v>2</v>
      </c>
      <c r="AJ2841">
        <v>0</v>
      </c>
      <c r="AK2841">
        <v>16</v>
      </c>
      <c r="AL2841" t="s">
        <v>3861</v>
      </c>
      <c r="AM2841" t="s">
        <v>2016</v>
      </c>
      <c r="AN2841" t="s">
        <v>3862</v>
      </c>
      <c r="AO2841" t="s">
        <v>11000</v>
      </c>
      <c r="AP2841" t="s">
        <v>11001</v>
      </c>
      <c r="AQ2841" t="s">
        <v>74</v>
      </c>
      <c r="AR2841" t="s">
        <v>11002</v>
      </c>
      <c r="AS2841" t="s">
        <v>11003</v>
      </c>
      <c r="AT2841" t="s">
        <v>1159</v>
      </c>
      <c r="AU2841">
        <v>2023</v>
      </c>
      <c r="AV2841">
        <v>10</v>
      </c>
      <c r="AW2841">
        <v>3</v>
      </c>
      <c r="AX2841" t="s">
        <v>74</v>
      </c>
      <c r="AY2841" t="s">
        <v>74</v>
      </c>
      <c r="AZ2841" t="s">
        <v>74</v>
      </c>
      <c r="BA2841" t="s">
        <v>74</v>
      </c>
      <c r="BB2841">
        <v>376</v>
      </c>
      <c r="BC2841">
        <v>400</v>
      </c>
      <c r="BD2841" t="s">
        <v>74</v>
      </c>
      <c r="BE2841" t="s">
        <v>47226</v>
      </c>
      <c r="BF2841" t="str">
        <f>HYPERLINK("http://dx.doi.org/10.1017/als.2022.21","http://dx.doi.org/10.1017/als.2022.21")</f>
        <v>http://dx.doi.org/10.1017/als.2022.21</v>
      </c>
      <c r="BG2841" t="s">
        <v>74</v>
      </c>
      <c r="BH2841" t="s">
        <v>3050</v>
      </c>
      <c r="BI2841">
        <v>25</v>
      </c>
      <c r="BJ2841" t="s">
        <v>182</v>
      </c>
      <c r="BK2841" t="s">
        <v>313</v>
      </c>
      <c r="BL2841" t="s">
        <v>184</v>
      </c>
      <c r="BM2841" t="s">
        <v>47227</v>
      </c>
      <c r="BN2841" t="s">
        <v>74</v>
      </c>
      <c r="BO2841" t="s">
        <v>74</v>
      </c>
      <c r="BP2841" t="s">
        <v>74</v>
      </c>
      <c r="BQ2841" t="s">
        <v>74</v>
      </c>
      <c r="BR2841" t="s">
        <v>102</v>
      </c>
      <c r="BS2841" t="s">
        <v>47228</v>
      </c>
      <c r="BT2841" t="str">
        <f>HYPERLINK("https%3A%2F%2Fwww.webofscience.com%2Fwos%2Fwoscc%2Ffull-record%2FWOS:000865972600001","View Full Record in Web of Science")</f>
        <v>View Full Record in Web of Science</v>
      </c>
    </row>
    <row r="2842" spans="1:72" x14ac:dyDescent="0.25">
      <c r="A2842" t="s">
        <v>72</v>
      </c>
      <c r="B2842" t="s">
        <v>47229</v>
      </c>
      <c r="C2842" t="s">
        <v>74</v>
      </c>
      <c r="D2842" t="s">
        <v>74</v>
      </c>
      <c r="E2842" t="s">
        <v>74</v>
      </c>
      <c r="F2842" t="s">
        <v>47230</v>
      </c>
      <c r="G2842" t="s">
        <v>74</v>
      </c>
      <c r="H2842" t="s">
        <v>74</v>
      </c>
      <c r="I2842" t="s">
        <v>47231</v>
      </c>
      <c r="J2842" t="s">
        <v>4306</v>
      </c>
      <c r="K2842" t="s">
        <v>74</v>
      </c>
      <c r="L2842" t="s">
        <v>74</v>
      </c>
      <c r="M2842" t="s">
        <v>78</v>
      </c>
      <c r="N2842" t="s">
        <v>79</v>
      </c>
      <c r="O2842" t="s">
        <v>74</v>
      </c>
      <c r="P2842" t="s">
        <v>74</v>
      </c>
      <c r="Q2842" t="s">
        <v>74</v>
      </c>
      <c r="R2842" t="s">
        <v>74</v>
      </c>
      <c r="S2842" t="s">
        <v>74</v>
      </c>
      <c r="T2842" t="s">
        <v>47232</v>
      </c>
      <c r="U2842" t="s">
        <v>74</v>
      </c>
      <c r="V2842" t="s">
        <v>47233</v>
      </c>
      <c r="W2842" t="s">
        <v>47234</v>
      </c>
      <c r="X2842" t="s">
        <v>47235</v>
      </c>
      <c r="Y2842" t="s">
        <v>47236</v>
      </c>
      <c r="Z2842" t="s">
        <v>47237</v>
      </c>
      <c r="AA2842" t="s">
        <v>74</v>
      </c>
      <c r="AB2842" t="s">
        <v>47238</v>
      </c>
      <c r="AC2842" t="s">
        <v>74</v>
      </c>
      <c r="AD2842" t="s">
        <v>74</v>
      </c>
      <c r="AE2842" t="s">
        <v>74</v>
      </c>
      <c r="AF2842" t="s">
        <v>74</v>
      </c>
      <c r="AG2842">
        <v>7</v>
      </c>
      <c r="AH2842">
        <v>96</v>
      </c>
      <c r="AI2842">
        <v>118</v>
      </c>
      <c r="AJ2842">
        <v>4</v>
      </c>
      <c r="AK2842">
        <v>242</v>
      </c>
      <c r="AL2842" t="s">
        <v>503</v>
      </c>
      <c r="AM2842" t="s">
        <v>151</v>
      </c>
      <c r="AN2842" t="s">
        <v>1461</v>
      </c>
      <c r="AO2842" t="s">
        <v>4315</v>
      </c>
      <c r="AP2842" t="s">
        <v>74</v>
      </c>
      <c r="AQ2842" t="s">
        <v>74</v>
      </c>
      <c r="AR2842" t="s">
        <v>4317</v>
      </c>
      <c r="AS2842" t="s">
        <v>4318</v>
      </c>
      <c r="AT2842" t="s">
        <v>1540</v>
      </c>
      <c r="AU2842">
        <v>2012</v>
      </c>
      <c r="AV2842">
        <v>79</v>
      </c>
      <c r="AW2842">
        <v>4</v>
      </c>
      <c r="AX2842" t="s">
        <v>74</v>
      </c>
      <c r="AY2842" t="s">
        <v>74</v>
      </c>
      <c r="AZ2842" t="s">
        <v>74</v>
      </c>
      <c r="BA2842" t="s">
        <v>74</v>
      </c>
      <c r="BB2842">
        <v>638</v>
      </c>
      <c r="BC2842">
        <v>647</v>
      </c>
      <c r="BD2842" t="s">
        <v>74</v>
      </c>
      <c r="BE2842" t="s">
        <v>47239</v>
      </c>
      <c r="BF2842" t="str">
        <f>HYPERLINK("http://dx.doi.org/10.1016/j.techfore.2011.06.008","http://dx.doi.org/10.1016/j.techfore.2011.06.008")</f>
        <v>http://dx.doi.org/10.1016/j.techfore.2011.06.008</v>
      </c>
      <c r="BG2842" t="s">
        <v>74</v>
      </c>
      <c r="BH2842" t="s">
        <v>74</v>
      </c>
      <c r="BI2842">
        <v>10</v>
      </c>
      <c r="BJ2842" t="s">
        <v>1627</v>
      </c>
      <c r="BK2842" t="s">
        <v>99</v>
      </c>
      <c r="BL2842" t="s">
        <v>1406</v>
      </c>
      <c r="BM2842" t="s">
        <v>47240</v>
      </c>
      <c r="BN2842" t="s">
        <v>74</v>
      </c>
      <c r="BO2842" t="s">
        <v>74</v>
      </c>
      <c r="BP2842" t="s">
        <v>74</v>
      </c>
      <c r="BQ2842" t="s">
        <v>74</v>
      </c>
      <c r="BR2842" t="s">
        <v>102</v>
      </c>
      <c r="BS2842" t="s">
        <v>47241</v>
      </c>
      <c r="BT2842" t="str">
        <f>HYPERLINK("https%3A%2F%2Fwww.webofscience.com%2Fwos%2Fwoscc%2Ffull-record%2FWOS:000303087700004","View Full Record in Web of Science")</f>
        <v>View Full Record in Web of Science</v>
      </c>
    </row>
    <row r="2843" spans="1:72" x14ac:dyDescent="0.25">
      <c r="A2843" t="s">
        <v>72</v>
      </c>
      <c r="B2843" t="s">
        <v>9040</v>
      </c>
      <c r="C2843" t="s">
        <v>74</v>
      </c>
      <c r="D2843" t="s">
        <v>74</v>
      </c>
      <c r="E2843" t="s">
        <v>74</v>
      </c>
      <c r="F2843" t="s">
        <v>9042</v>
      </c>
      <c r="G2843" t="s">
        <v>74</v>
      </c>
      <c r="H2843" t="s">
        <v>74</v>
      </c>
      <c r="I2843" t="s">
        <v>47242</v>
      </c>
      <c r="J2843" t="s">
        <v>47243</v>
      </c>
      <c r="K2843" t="s">
        <v>74</v>
      </c>
      <c r="L2843" t="s">
        <v>74</v>
      </c>
      <c r="M2843" t="s">
        <v>78</v>
      </c>
      <c r="N2843" t="s">
        <v>79</v>
      </c>
      <c r="O2843" t="s">
        <v>74</v>
      </c>
      <c r="P2843" t="s">
        <v>74</v>
      </c>
      <c r="Q2843" t="s">
        <v>74</v>
      </c>
      <c r="R2843" t="s">
        <v>74</v>
      </c>
      <c r="S2843" t="s">
        <v>74</v>
      </c>
      <c r="T2843" t="s">
        <v>47244</v>
      </c>
      <c r="U2843" t="s">
        <v>47245</v>
      </c>
      <c r="V2843" t="s">
        <v>47246</v>
      </c>
      <c r="W2843" t="s">
        <v>47247</v>
      </c>
      <c r="X2843" t="s">
        <v>9052</v>
      </c>
      <c r="Y2843" t="s">
        <v>47248</v>
      </c>
      <c r="Z2843" t="s">
        <v>47249</v>
      </c>
      <c r="AA2843" t="s">
        <v>47250</v>
      </c>
      <c r="AB2843" t="s">
        <v>47251</v>
      </c>
      <c r="AC2843" t="s">
        <v>47252</v>
      </c>
      <c r="AD2843" t="s">
        <v>47253</v>
      </c>
      <c r="AE2843" t="s">
        <v>47254</v>
      </c>
      <c r="AF2843" t="s">
        <v>74</v>
      </c>
      <c r="AG2843">
        <v>117</v>
      </c>
      <c r="AH2843">
        <v>19</v>
      </c>
      <c r="AI2843">
        <v>22</v>
      </c>
      <c r="AJ2843">
        <v>0</v>
      </c>
      <c r="AK2843">
        <v>37</v>
      </c>
      <c r="AL2843" t="s">
        <v>479</v>
      </c>
      <c r="AM2843" t="s">
        <v>480</v>
      </c>
      <c r="AN2843" t="s">
        <v>481</v>
      </c>
      <c r="AO2843" t="s">
        <v>47255</v>
      </c>
      <c r="AP2843" t="s">
        <v>47256</v>
      </c>
      <c r="AQ2843" t="s">
        <v>74</v>
      </c>
      <c r="AR2843" t="s">
        <v>47257</v>
      </c>
      <c r="AS2843" t="s">
        <v>47258</v>
      </c>
      <c r="AT2843" t="s">
        <v>848</v>
      </c>
      <c r="AU2843">
        <v>2019</v>
      </c>
      <c r="AV2843">
        <v>29</v>
      </c>
      <c r="AW2843">
        <v>4</v>
      </c>
      <c r="AX2843" t="s">
        <v>74</v>
      </c>
      <c r="AY2843" t="s">
        <v>74</v>
      </c>
      <c r="AZ2843" t="s">
        <v>441</v>
      </c>
      <c r="BA2843" t="s">
        <v>74</v>
      </c>
      <c r="BB2843">
        <v>842</v>
      </c>
      <c r="BC2843">
        <v>887</v>
      </c>
      <c r="BD2843" t="s">
        <v>74</v>
      </c>
      <c r="BE2843" t="s">
        <v>47259</v>
      </c>
      <c r="BF2843" t="str">
        <f>HYPERLINK("http://dx.doi.org/10.1111/isj.12200","http://dx.doi.org/10.1111/isj.12200")</f>
        <v>http://dx.doi.org/10.1111/isj.12200</v>
      </c>
      <c r="BG2843" t="s">
        <v>74</v>
      </c>
      <c r="BH2843" t="s">
        <v>74</v>
      </c>
      <c r="BI2843">
        <v>46</v>
      </c>
      <c r="BJ2843" t="s">
        <v>2351</v>
      </c>
      <c r="BK2843" t="s">
        <v>99</v>
      </c>
      <c r="BL2843" t="s">
        <v>2351</v>
      </c>
      <c r="BM2843" t="s">
        <v>47260</v>
      </c>
      <c r="BN2843" t="s">
        <v>74</v>
      </c>
      <c r="BO2843" t="s">
        <v>74</v>
      </c>
      <c r="BP2843" t="s">
        <v>74</v>
      </c>
      <c r="BQ2843" t="s">
        <v>74</v>
      </c>
      <c r="BR2843" t="s">
        <v>102</v>
      </c>
      <c r="BS2843" t="s">
        <v>47261</v>
      </c>
      <c r="BT2843" t="str">
        <f>HYPERLINK("https%3A%2F%2Fwww.webofscience.com%2Fwos%2Fwoscc%2Ffull-record%2FWOS:000472661900006","View Full Record in Web of Science")</f>
        <v>View Full Record in Web of Science</v>
      </c>
    </row>
    <row r="2844" spans="1:72" x14ac:dyDescent="0.25">
      <c r="A2844" t="s">
        <v>72</v>
      </c>
      <c r="B2844" t="s">
        <v>47262</v>
      </c>
      <c r="C2844" t="s">
        <v>74</v>
      </c>
      <c r="D2844" t="s">
        <v>74</v>
      </c>
      <c r="E2844" t="s">
        <v>74</v>
      </c>
      <c r="F2844" t="s">
        <v>47263</v>
      </c>
      <c r="G2844" t="s">
        <v>74</v>
      </c>
      <c r="H2844" t="s">
        <v>74</v>
      </c>
      <c r="I2844" t="s">
        <v>47264</v>
      </c>
      <c r="J2844" t="s">
        <v>656</v>
      </c>
      <c r="K2844" t="s">
        <v>74</v>
      </c>
      <c r="L2844" t="s">
        <v>74</v>
      </c>
      <c r="M2844" t="s">
        <v>78</v>
      </c>
      <c r="N2844" t="s">
        <v>79</v>
      </c>
      <c r="O2844" t="s">
        <v>74</v>
      </c>
      <c r="P2844" t="s">
        <v>74</v>
      </c>
      <c r="Q2844" t="s">
        <v>74</v>
      </c>
      <c r="R2844" t="s">
        <v>74</v>
      </c>
      <c r="S2844" t="s">
        <v>74</v>
      </c>
      <c r="T2844" t="s">
        <v>47265</v>
      </c>
      <c r="U2844" t="s">
        <v>47266</v>
      </c>
      <c r="V2844" t="s">
        <v>47267</v>
      </c>
      <c r="W2844" t="s">
        <v>47268</v>
      </c>
      <c r="X2844" t="s">
        <v>47269</v>
      </c>
      <c r="Y2844" t="s">
        <v>47270</v>
      </c>
      <c r="Z2844" t="s">
        <v>47271</v>
      </c>
      <c r="AA2844" t="s">
        <v>47272</v>
      </c>
      <c r="AB2844" t="s">
        <v>47273</v>
      </c>
      <c r="AC2844" t="s">
        <v>74</v>
      </c>
      <c r="AD2844" t="s">
        <v>74</v>
      </c>
      <c r="AE2844" t="s">
        <v>74</v>
      </c>
      <c r="AF2844" t="s">
        <v>74</v>
      </c>
      <c r="AG2844">
        <v>48</v>
      </c>
      <c r="AH2844">
        <v>14</v>
      </c>
      <c r="AI2844">
        <v>19</v>
      </c>
      <c r="AJ2844">
        <v>1</v>
      </c>
      <c r="AK2844">
        <v>17</v>
      </c>
      <c r="AL2844" t="s">
        <v>1062</v>
      </c>
      <c r="AM2844" t="s">
        <v>667</v>
      </c>
      <c r="AN2844" t="s">
        <v>668</v>
      </c>
      <c r="AO2844" t="s">
        <v>669</v>
      </c>
      <c r="AP2844" t="s">
        <v>670</v>
      </c>
      <c r="AQ2844" t="s">
        <v>74</v>
      </c>
      <c r="AR2844" t="s">
        <v>671</v>
      </c>
      <c r="AS2844" t="s">
        <v>672</v>
      </c>
      <c r="AT2844" t="s">
        <v>698</v>
      </c>
      <c r="AU2844">
        <v>2015</v>
      </c>
      <c r="AV2844">
        <v>36</v>
      </c>
      <c r="AW2844">
        <v>3</v>
      </c>
      <c r="AX2844" t="s">
        <v>74</v>
      </c>
      <c r="AY2844" t="s">
        <v>74</v>
      </c>
      <c r="AZ2844" t="s">
        <v>74</v>
      </c>
      <c r="BA2844" t="s">
        <v>74</v>
      </c>
      <c r="BB2844">
        <v>328</v>
      </c>
      <c r="BC2844">
        <v>339</v>
      </c>
      <c r="BD2844" t="s">
        <v>74</v>
      </c>
      <c r="BE2844" t="s">
        <v>47274</v>
      </c>
      <c r="BF2844" t="str">
        <f>HYPERLINK("http://dx.doi.org/10.1007/s10834-015-9455-2","http://dx.doi.org/10.1007/s10834-015-9455-2")</f>
        <v>http://dx.doi.org/10.1007/s10834-015-9455-2</v>
      </c>
      <c r="BG2844" t="s">
        <v>74</v>
      </c>
      <c r="BH2844" t="s">
        <v>74</v>
      </c>
      <c r="BI2844">
        <v>12</v>
      </c>
      <c r="BJ2844" t="s">
        <v>675</v>
      </c>
      <c r="BK2844" t="s">
        <v>99</v>
      </c>
      <c r="BL2844" t="s">
        <v>676</v>
      </c>
      <c r="BM2844" t="s">
        <v>47275</v>
      </c>
      <c r="BN2844" t="s">
        <v>74</v>
      </c>
      <c r="BO2844" t="s">
        <v>1696</v>
      </c>
      <c r="BP2844" t="s">
        <v>74</v>
      </c>
      <c r="BQ2844" t="s">
        <v>74</v>
      </c>
      <c r="BR2844" t="s">
        <v>102</v>
      </c>
      <c r="BS2844" t="s">
        <v>47276</v>
      </c>
      <c r="BT2844" t="str">
        <f>HYPERLINK("https%3A%2F%2Fwww.webofscience.com%2Fwos%2Fwoscc%2Ffull-record%2FWOS:000211138800004","View Full Record in Web of Science")</f>
        <v>View Full Record in Web of Science</v>
      </c>
    </row>
    <row r="2845" spans="1:72" x14ac:dyDescent="0.25">
      <c r="A2845" t="s">
        <v>72</v>
      </c>
      <c r="B2845" t="s">
        <v>47277</v>
      </c>
      <c r="C2845" t="s">
        <v>74</v>
      </c>
      <c r="D2845" t="s">
        <v>74</v>
      </c>
      <c r="E2845" t="s">
        <v>74</v>
      </c>
      <c r="F2845" t="s">
        <v>47278</v>
      </c>
      <c r="G2845" t="s">
        <v>74</v>
      </c>
      <c r="H2845" t="s">
        <v>74</v>
      </c>
      <c r="I2845" t="s">
        <v>47279</v>
      </c>
      <c r="J2845" t="s">
        <v>10376</v>
      </c>
      <c r="K2845" t="s">
        <v>74</v>
      </c>
      <c r="L2845" t="s">
        <v>74</v>
      </c>
      <c r="M2845" t="s">
        <v>78</v>
      </c>
      <c r="N2845" t="s">
        <v>372</v>
      </c>
      <c r="O2845" t="s">
        <v>74</v>
      </c>
      <c r="P2845" t="s">
        <v>74</v>
      </c>
      <c r="Q2845" t="s">
        <v>74</v>
      </c>
      <c r="R2845" t="s">
        <v>74</v>
      </c>
      <c r="S2845" t="s">
        <v>74</v>
      </c>
      <c r="T2845" t="s">
        <v>47280</v>
      </c>
      <c r="U2845" t="s">
        <v>74</v>
      </c>
      <c r="V2845" t="s">
        <v>47281</v>
      </c>
      <c r="W2845" t="s">
        <v>47282</v>
      </c>
      <c r="X2845" t="s">
        <v>74</v>
      </c>
      <c r="Y2845" t="s">
        <v>47283</v>
      </c>
      <c r="Z2845" t="s">
        <v>47284</v>
      </c>
      <c r="AA2845" t="s">
        <v>74</v>
      </c>
      <c r="AB2845" t="s">
        <v>74</v>
      </c>
      <c r="AC2845" t="s">
        <v>74</v>
      </c>
      <c r="AD2845" t="s">
        <v>74</v>
      </c>
      <c r="AE2845" t="s">
        <v>74</v>
      </c>
      <c r="AF2845" t="s">
        <v>74</v>
      </c>
      <c r="AG2845">
        <v>53</v>
      </c>
      <c r="AH2845">
        <v>1</v>
      </c>
      <c r="AI2845">
        <v>2</v>
      </c>
      <c r="AJ2845">
        <v>2</v>
      </c>
      <c r="AK2845">
        <v>11</v>
      </c>
      <c r="AL2845" t="s">
        <v>89</v>
      </c>
      <c r="AM2845" t="s">
        <v>90</v>
      </c>
      <c r="AN2845" t="s">
        <v>91</v>
      </c>
      <c r="AO2845" t="s">
        <v>10385</v>
      </c>
      <c r="AP2845" t="s">
        <v>10386</v>
      </c>
      <c r="AQ2845" t="s">
        <v>74</v>
      </c>
      <c r="AR2845" t="s">
        <v>10387</v>
      </c>
      <c r="AS2845" t="s">
        <v>10388</v>
      </c>
      <c r="AT2845" t="s">
        <v>47285</v>
      </c>
      <c r="AU2845">
        <v>2025</v>
      </c>
      <c r="AV2845" t="s">
        <v>74</v>
      </c>
      <c r="AW2845" t="s">
        <v>74</v>
      </c>
      <c r="AX2845" t="s">
        <v>74</v>
      </c>
      <c r="AY2845" t="s">
        <v>74</v>
      </c>
      <c r="AZ2845" t="s">
        <v>74</v>
      </c>
      <c r="BA2845" t="s">
        <v>74</v>
      </c>
      <c r="BB2845" t="s">
        <v>74</v>
      </c>
      <c r="BC2845" t="s">
        <v>74</v>
      </c>
      <c r="BD2845" t="s">
        <v>74</v>
      </c>
      <c r="BE2845" t="s">
        <v>47286</v>
      </c>
      <c r="BF2845" t="str">
        <f>HYPERLINK("http://dx.doi.org/10.1108/IJLMA-07-2024-0251","http://dx.doi.org/10.1108/IJLMA-07-2024-0251")</f>
        <v>http://dx.doi.org/10.1108/IJLMA-07-2024-0251</v>
      </c>
      <c r="BG2845" t="s">
        <v>74</v>
      </c>
      <c r="BH2845" t="s">
        <v>2781</v>
      </c>
      <c r="BI2845">
        <v>19</v>
      </c>
      <c r="BJ2845" t="s">
        <v>182</v>
      </c>
      <c r="BK2845" t="s">
        <v>313</v>
      </c>
      <c r="BL2845" t="s">
        <v>184</v>
      </c>
      <c r="BM2845" t="s">
        <v>47287</v>
      </c>
      <c r="BN2845" t="s">
        <v>74</v>
      </c>
      <c r="BO2845" t="s">
        <v>74</v>
      </c>
      <c r="BP2845" t="s">
        <v>74</v>
      </c>
      <c r="BQ2845" t="s">
        <v>74</v>
      </c>
      <c r="BR2845" t="s">
        <v>102</v>
      </c>
      <c r="BS2845" t="s">
        <v>47288</v>
      </c>
      <c r="BT2845" t="str">
        <f>HYPERLINK("https%3A%2F%2Fwww.webofscience.com%2Fwos%2Fwoscc%2Ffull-record%2FWOS:001435218900001","View Full Record in Web of Science")</f>
        <v>View Full Record in Web of Science</v>
      </c>
    </row>
    <row r="2846" spans="1:72" x14ac:dyDescent="0.25">
      <c r="A2846" t="s">
        <v>72</v>
      </c>
      <c r="B2846" t="s">
        <v>47289</v>
      </c>
      <c r="C2846" t="s">
        <v>74</v>
      </c>
      <c r="D2846" t="s">
        <v>74</v>
      </c>
      <c r="E2846" t="s">
        <v>74</v>
      </c>
      <c r="F2846" t="s">
        <v>47290</v>
      </c>
      <c r="G2846" t="s">
        <v>74</v>
      </c>
      <c r="H2846" t="s">
        <v>74</v>
      </c>
      <c r="I2846" t="s">
        <v>47291</v>
      </c>
      <c r="J2846" t="s">
        <v>21077</v>
      </c>
      <c r="K2846" t="s">
        <v>74</v>
      </c>
      <c r="L2846" t="s">
        <v>74</v>
      </c>
      <c r="M2846" t="s">
        <v>78</v>
      </c>
      <c r="N2846" t="s">
        <v>79</v>
      </c>
      <c r="O2846" t="s">
        <v>74</v>
      </c>
      <c r="P2846" t="s">
        <v>74</v>
      </c>
      <c r="Q2846" t="s">
        <v>74</v>
      </c>
      <c r="R2846" t="s">
        <v>74</v>
      </c>
      <c r="S2846" t="s">
        <v>74</v>
      </c>
      <c r="T2846" t="s">
        <v>47292</v>
      </c>
      <c r="U2846" t="s">
        <v>74</v>
      </c>
      <c r="V2846" t="s">
        <v>47293</v>
      </c>
      <c r="W2846" t="s">
        <v>47294</v>
      </c>
      <c r="X2846" t="s">
        <v>47295</v>
      </c>
      <c r="Y2846" t="s">
        <v>47296</v>
      </c>
      <c r="Z2846" t="s">
        <v>74</v>
      </c>
      <c r="AA2846" t="s">
        <v>47297</v>
      </c>
      <c r="AB2846" t="s">
        <v>47298</v>
      </c>
      <c r="AC2846" t="s">
        <v>74</v>
      </c>
      <c r="AD2846" t="s">
        <v>74</v>
      </c>
      <c r="AE2846" t="s">
        <v>74</v>
      </c>
      <c r="AF2846" t="s">
        <v>74</v>
      </c>
      <c r="AG2846">
        <v>52</v>
      </c>
      <c r="AH2846">
        <v>3</v>
      </c>
      <c r="AI2846">
        <v>4</v>
      </c>
      <c r="AJ2846">
        <v>0</v>
      </c>
      <c r="AK2846">
        <v>5</v>
      </c>
      <c r="AL2846" t="s">
        <v>21080</v>
      </c>
      <c r="AM2846" t="s">
        <v>9793</v>
      </c>
      <c r="AN2846" t="s">
        <v>21079</v>
      </c>
      <c r="AO2846" t="s">
        <v>21078</v>
      </c>
      <c r="AP2846" t="s">
        <v>74</v>
      </c>
      <c r="AQ2846" t="s">
        <v>74</v>
      </c>
      <c r="AR2846" t="s">
        <v>21077</v>
      </c>
      <c r="AS2846" t="s">
        <v>21076</v>
      </c>
      <c r="AT2846" t="s">
        <v>74</v>
      </c>
      <c r="AU2846">
        <v>2017</v>
      </c>
      <c r="AV2846" t="s">
        <v>74</v>
      </c>
      <c r="AW2846" t="s">
        <v>74</v>
      </c>
      <c r="AX2846" t="s">
        <v>74</v>
      </c>
      <c r="AY2846" t="s">
        <v>74</v>
      </c>
      <c r="AZ2846" t="s">
        <v>441</v>
      </c>
      <c r="BA2846" t="s">
        <v>74</v>
      </c>
      <c r="BB2846">
        <v>1</v>
      </c>
      <c r="BC2846">
        <v>26</v>
      </c>
      <c r="BD2846" t="s">
        <v>74</v>
      </c>
      <c r="BE2846" t="s">
        <v>74</v>
      </c>
      <c r="BF2846" t="s">
        <v>74</v>
      </c>
      <c r="BG2846" t="s">
        <v>74</v>
      </c>
      <c r="BH2846" t="s">
        <v>74</v>
      </c>
      <c r="BI2846">
        <v>26</v>
      </c>
      <c r="BJ2846" t="s">
        <v>9799</v>
      </c>
      <c r="BK2846" t="s">
        <v>2465</v>
      </c>
      <c r="BL2846" t="s">
        <v>9799</v>
      </c>
      <c r="BM2846" t="s">
        <v>47299</v>
      </c>
      <c r="BN2846" t="s">
        <v>74</v>
      </c>
      <c r="BO2846" t="s">
        <v>74</v>
      </c>
      <c r="BP2846" t="s">
        <v>74</v>
      </c>
      <c r="BQ2846" t="s">
        <v>74</v>
      </c>
      <c r="BR2846" t="s">
        <v>102</v>
      </c>
      <c r="BS2846" t="s">
        <v>47300</v>
      </c>
      <c r="BT2846" t="str">
        <f>HYPERLINK("https%3A%2F%2Fwww.webofscience.com%2Fwos%2Fwoscc%2Ffull-record%2FWOS:000418624800001","View Full Record in Web of Science")</f>
        <v>View Full Record in Web of Science</v>
      </c>
    </row>
    <row r="2847" spans="1:72" x14ac:dyDescent="0.25">
      <c r="A2847" t="s">
        <v>72</v>
      </c>
      <c r="B2847" t="s">
        <v>47301</v>
      </c>
      <c r="C2847" t="s">
        <v>74</v>
      </c>
      <c r="D2847" t="s">
        <v>74</v>
      </c>
      <c r="E2847" t="s">
        <v>74</v>
      </c>
      <c r="F2847" t="s">
        <v>47302</v>
      </c>
      <c r="G2847" t="s">
        <v>74</v>
      </c>
      <c r="H2847" t="s">
        <v>74</v>
      </c>
      <c r="I2847" t="s">
        <v>47303</v>
      </c>
      <c r="J2847" t="s">
        <v>2137</v>
      </c>
      <c r="K2847" t="s">
        <v>74</v>
      </c>
      <c r="L2847" t="s">
        <v>74</v>
      </c>
      <c r="M2847" t="s">
        <v>78</v>
      </c>
      <c r="N2847" t="s">
        <v>79</v>
      </c>
      <c r="O2847" t="s">
        <v>74</v>
      </c>
      <c r="P2847" t="s">
        <v>74</v>
      </c>
      <c r="Q2847" t="s">
        <v>74</v>
      </c>
      <c r="R2847" t="s">
        <v>74</v>
      </c>
      <c r="S2847" t="s">
        <v>74</v>
      </c>
      <c r="T2847" t="s">
        <v>47304</v>
      </c>
      <c r="U2847" t="s">
        <v>47305</v>
      </c>
      <c r="V2847" t="s">
        <v>47306</v>
      </c>
      <c r="W2847" t="s">
        <v>47307</v>
      </c>
      <c r="X2847" t="s">
        <v>47308</v>
      </c>
      <c r="Y2847" t="s">
        <v>47309</v>
      </c>
      <c r="Z2847" t="s">
        <v>47310</v>
      </c>
      <c r="AA2847" t="s">
        <v>47311</v>
      </c>
      <c r="AB2847" t="s">
        <v>74</v>
      </c>
      <c r="AC2847" t="s">
        <v>74</v>
      </c>
      <c r="AD2847" t="s">
        <v>74</v>
      </c>
      <c r="AE2847" t="s">
        <v>74</v>
      </c>
      <c r="AF2847" t="s">
        <v>74</v>
      </c>
      <c r="AG2847">
        <v>19</v>
      </c>
      <c r="AH2847">
        <v>4</v>
      </c>
      <c r="AI2847">
        <v>9</v>
      </c>
      <c r="AJ2847">
        <v>0</v>
      </c>
      <c r="AK2847">
        <v>22</v>
      </c>
      <c r="AL2847" t="s">
        <v>2145</v>
      </c>
      <c r="AM2847" t="s">
        <v>151</v>
      </c>
      <c r="AN2847" t="s">
        <v>2146</v>
      </c>
      <c r="AO2847" t="s">
        <v>2147</v>
      </c>
      <c r="AP2847" t="s">
        <v>2148</v>
      </c>
      <c r="AQ2847" t="s">
        <v>74</v>
      </c>
      <c r="AR2847" t="s">
        <v>2149</v>
      </c>
      <c r="AS2847" t="s">
        <v>2150</v>
      </c>
      <c r="AT2847" t="s">
        <v>74</v>
      </c>
      <c r="AU2847">
        <v>2020</v>
      </c>
      <c r="AV2847">
        <v>31</v>
      </c>
      <c r="AW2847">
        <v>1</v>
      </c>
      <c r="AX2847" t="s">
        <v>74</v>
      </c>
      <c r="AY2847" t="s">
        <v>74</v>
      </c>
      <c r="AZ2847" t="s">
        <v>74</v>
      </c>
      <c r="BA2847" t="s">
        <v>74</v>
      </c>
      <c r="BB2847">
        <v>101</v>
      </c>
      <c r="BC2847">
        <v>114</v>
      </c>
      <c r="BD2847" t="s">
        <v>74</v>
      </c>
      <c r="BE2847" t="s">
        <v>47312</v>
      </c>
      <c r="BF2847" t="str">
        <f>HYPERLINK("http://dx.doi.org/10.1891/JFCP-18-00079","http://dx.doi.org/10.1891/JFCP-18-00079")</f>
        <v>http://dx.doi.org/10.1891/JFCP-18-00079</v>
      </c>
      <c r="BG2847" t="s">
        <v>74</v>
      </c>
      <c r="BH2847" t="s">
        <v>74</v>
      </c>
      <c r="BI2847">
        <v>14</v>
      </c>
      <c r="BJ2847" t="s">
        <v>1453</v>
      </c>
      <c r="BK2847" t="s">
        <v>313</v>
      </c>
      <c r="BL2847" t="s">
        <v>100</v>
      </c>
      <c r="BM2847" t="s">
        <v>9294</v>
      </c>
      <c r="BN2847" t="s">
        <v>74</v>
      </c>
      <c r="BO2847" t="s">
        <v>74</v>
      </c>
      <c r="BP2847" t="s">
        <v>74</v>
      </c>
      <c r="BQ2847" t="s">
        <v>74</v>
      </c>
      <c r="BR2847" t="s">
        <v>102</v>
      </c>
      <c r="BS2847" t="s">
        <v>47313</v>
      </c>
      <c r="BT2847" t="str">
        <f>HYPERLINK("https%3A%2F%2Fwww.webofscience.com%2Fwos%2Fwoscc%2Ffull-record%2FWOS:000543736300008","View Full Record in Web of Science")</f>
        <v>View Full Record in Web of Science</v>
      </c>
    </row>
    <row r="2848" spans="1:72" x14ac:dyDescent="0.25">
      <c r="A2848" t="s">
        <v>72</v>
      </c>
      <c r="B2848" t="s">
        <v>47314</v>
      </c>
      <c r="C2848" t="s">
        <v>74</v>
      </c>
      <c r="D2848" t="s">
        <v>74</v>
      </c>
      <c r="E2848" t="s">
        <v>74</v>
      </c>
      <c r="F2848" t="s">
        <v>47315</v>
      </c>
      <c r="G2848" t="s">
        <v>74</v>
      </c>
      <c r="H2848" t="s">
        <v>74</v>
      </c>
      <c r="I2848" t="s">
        <v>47316</v>
      </c>
      <c r="J2848" t="s">
        <v>12549</v>
      </c>
      <c r="K2848" t="s">
        <v>74</v>
      </c>
      <c r="L2848" t="s">
        <v>74</v>
      </c>
      <c r="M2848" t="s">
        <v>78</v>
      </c>
      <c r="N2848" t="s">
        <v>79</v>
      </c>
      <c r="O2848" t="s">
        <v>74</v>
      </c>
      <c r="P2848" t="s">
        <v>74</v>
      </c>
      <c r="Q2848" t="s">
        <v>74</v>
      </c>
      <c r="R2848" t="s">
        <v>74</v>
      </c>
      <c r="S2848" t="s">
        <v>74</v>
      </c>
      <c r="T2848" t="s">
        <v>47317</v>
      </c>
      <c r="U2848" t="s">
        <v>47318</v>
      </c>
      <c r="V2848" t="s">
        <v>47319</v>
      </c>
      <c r="W2848" t="s">
        <v>47320</v>
      </c>
      <c r="X2848" t="s">
        <v>47321</v>
      </c>
      <c r="Y2848" t="s">
        <v>47322</v>
      </c>
      <c r="Z2848" t="s">
        <v>47323</v>
      </c>
      <c r="AA2848" t="s">
        <v>47324</v>
      </c>
      <c r="AB2848" t="s">
        <v>47325</v>
      </c>
      <c r="AC2848" t="s">
        <v>47326</v>
      </c>
      <c r="AD2848" t="s">
        <v>47326</v>
      </c>
      <c r="AE2848" t="s">
        <v>47327</v>
      </c>
      <c r="AF2848" t="s">
        <v>74</v>
      </c>
      <c r="AG2848">
        <v>77</v>
      </c>
      <c r="AH2848">
        <v>4</v>
      </c>
      <c r="AI2848">
        <v>6</v>
      </c>
      <c r="AJ2848">
        <v>0</v>
      </c>
      <c r="AK2848">
        <v>7</v>
      </c>
      <c r="AL2848" t="s">
        <v>575</v>
      </c>
      <c r="AM2848" t="s">
        <v>576</v>
      </c>
      <c r="AN2848" t="s">
        <v>3242</v>
      </c>
      <c r="AO2848" t="s">
        <v>12562</v>
      </c>
      <c r="AP2848" t="s">
        <v>12563</v>
      </c>
      <c r="AQ2848" t="s">
        <v>74</v>
      </c>
      <c r="AR2848" t="s">
        <v>12564</v>
      </c>
      <c r="AS2848" t="s">
        <v>12565</v>
      </c>
      <c r="AT2848" t="s">
        <v>1652</v>
      </c>
      <c r="AU2848">
        <v>2020</v>
      </c>
      <c r="AV2848">
        <v>13</v>
      </c>
      <c r="AW2848">
        <v>6</v>
      </c>
      <c r="AX2848" t="s">
        <v>74</v>
      </c>
      <c r="AY2848" t="s">
        <v>74</v>
      </c>
      <c r="AZ2848" t="s">
        <v>74</v>
      </c>
      <c r="BA2848" t="s">
        <v>74</v>
      </c>
      <c r="BB2848" t="s">
        <v>74</v>
      </c>
      <c r="BC2848" t="s">
        <v>74</v>
      </c>
      <c r="BD2848">
        <v>122</v>
      </c>
      <c r="BE2848" t="s">
        <v>47328</v>
      </c>
      <c r="BF2848" t="str">
        <f>HYPERLINK("http://dx.doi.org/10.3390/jrfm13060122","http://dx.doi.org/10.3390/jrfm13060122")</f>
        <v>http://dx.doi.org/10.3390/jrfm13060122</v>
      </c>
      <c r="BG2848" t="s">
        <v>74</v>
      </c>
      <c r="BH2848" t="s">
        <v>74</v>
      </c>
      <c r="BI2848">
        <v>27</v>
      </c>
      <c r="BJ2848" t="s">
        <v>268</v>
      </c>
      <c r="BK2848" t="s">
        <v>313</v>
      </c>
      <c r="BL2848" t="s">
        <v>100</v>
      </c>
      <c r="BM2848" t="s">
        <v>47329</v>
      </c>
      <c r="BN2848" t="s">
        <v>74</v>
      </c>
      <c r="BO2848" t="s">
        <v>466</v>
      </c>
      <c r="BP2848" t="s">
        <v>74</v>
      </c>
      <c r="BQ2848" t="s">
        <v>74</v>
      </c>
      <c r="BR2848" t="s">
        <v>102</v>
      </c>
      <c r="BS2848" t="s">
        <v>47330</v>
      </c>
      <c r="BT2848" t="str">
        <f>HYPERLINK("https%3A%2F%2Fwww.webofscience.com%2Fwos%2Fwoscc%2Ffull-record%2FWOS:000551232500008","View Full Record in Web of Science")</f>
        <v>View Full Record in Web of Science</v>
      </c>
    </row>
    <row r="2849" spans="1:72" x14ac:dyDescent="0.25">
      <c r="A2849" t="s">
        <v>72</v>
      </c>
      <c r="B2849" t="s">
        <v>47331</v>
      </c>
      <c r="C2849" t="s">
        <v>74</v>
      </c>
      <c r="D2849" t="s">
        <v>74</v>
      </c>
      <c r="E2849" t="s">
        <v>74</v>
      </c>
      <c r="F2849" t="s">
        <v>47332</v>
      </c>
      <c r="G2849" t="s">
        <v>74</v>
      </c>
      <c r="H2849" t="s">
        <v>74</v>
      </c>
      <c r="I2849" t="s">
        <v>47333</v>
      </c>
      <c r="J2849" t="s">
        <v>47334</v>
      </c>
      <c r="K2849" t="s">
        <v>74</v>
      </c>
      <c r="L2849" t="s">
        <v>74</v>
      </c>
      <c r="M2849" t="s">
        <v>78</v>
      </c>
      <c r="N2849" t="s">
        <v>79</v>
      </c>
      <c r="O2849" t="s">
        <v>74</v>
      </c>
      <c r="P2849" t="s">
        <v>74</v>
      </c>
      <c r="Q2849" t="s">
        <v>74</v>
      </c>
      <c r="R2849" t="s">
        <v>74</v>
      </c>
      <c r="S2849" t="s">
        <v>74</v>
      </c>
      <c r="T2849" t="s">
        <v>47335</v>
      </c>
      <c r="U2849" t="s">
        <v>47336</v>
      </c>
      <c r="V2849" t="s">
        <v>47337</v>
      </c>
      <c r="W2849" t="s">
        <v>47338</v>
      </c>
      <c r="X2849" t="s">
        <v>47339</v>
      </c>
      <c r="Y2849" t="s">
        <v>47340</v>
      </c>
      <c r="Z2849" t="s">
        <v>47341</v>
      </c>
      <c r="AA2849" t="s">
        <v>47342</v>
      </c>
      <c r="AB2849" t="s">
        <v>47343</v>
      </c>
      <c r="AC2849" t="s">
        <v>74</v>
      </c>
      <c r="AD2849" t="s">
        <v>74</v>
      </c>
      <c r="AE2849" t="s">
        <v>74</v>
      </c>
      <c r="AF2849" t="s">
        <v>74</v>
      </c>
      <c r="AG2849">
        <v>75</v>
      </c>
      <c r="AH2849">
        <v>32</v>
      </c>
      <c r="AI2849">
        <v>33</v>
      </c>
      <c r="AJ2849">
        <v>29</v>
      </c>
      <c r="AK2849">
        <v>159</v>
      </c>
      <c r="AL2849" t="s">
        <v>823</v>
      </c>
      <c r="AM2849" t="s">
        <v>333</v>
      </c>
      <c r="AN2849" t="s">
        <v>824</v>
      </c>
      <c r="AO2849" t="s">
        <v>47344</v>
      </c>
      <c r="AP2849" t="s">
        <v>47345</v>
      </c>
      <c r="AQ2849" t="s">
        <v>74</v>
      </c>
      <c r="AR2849" t="s">
        <v>47346</v>
      </c>
      <c r="AS2849" t="s">
        <v>47347</v>
      </c>
      <c r="AT2849" t="s">
        <v>11361</v>
      </c>
      <c r="AU2849">
        <v>2024</v>
      </c>
      <c r="AV2849">
        <v>35</v>
      </c>
      <c r="AW2849">
        <v>12</v>
      </c>
      <c r="AX2849" t="s">
        <v>74</v>
      </c>
      <c r="AY2849" t="s">
        <v>74</v>
      </c>
      <c r="AZ2849" t="s">
        <v>74</v>
      </c>
      <c r="BA2849" t="s">
        <v>74</v>
      </c>
      <c r="BB2849">
        <v>1353</v>
      </c>
      <c r="BC2849">
        <v>1367</v>
      </c>
      <c r="BD2849" t="s">
        <v>74</v>
      </c>
      <c r="BE2849" t="s">
        <v>47348</v>
      </c>
      <c r="BF2849" t="str">
        <f>HYPERLINK("http://dx.doi.org/10.1080/09537287.2023.2180685","http://dx.doi.org/10.1080/09537287.2023.2180685")</f>
        <v>http://dx.doi.org/10.1080/09537287.2023.2180685</v>
      </c>
      <c r="BG2849" t="s">
        <v>74</v>
      </c>
      <c r="BH2849" t="s">
        <v>9145</v>
      </c>
      <c r="BI2849">
        <v>15</v>
      </c>
      <c r="BJ2849" t="s">
        <v>47349</v>
      </c>
      <c r="BK2849" t="s">
        <v>128</v>
      </c>
      <c r="BL2849" t="s">
        <v>31860</v>
      </c>
      <c r="BM2849" t="s">
        <v>47350</v>
      </c>
      <c r="BN2849" t="s">
        <v>74</v>
      </c>
      <c r="BO2849" t="s">
        <v>1696</v>
      </c>
      <c r="BP2849" t="s">
        <v>74</v>
      </c>
      <c r="BQ2849" t="s">
        <v>74</v>
      </c>
      <c r="BR2849" t="s">
        <v>102</v>
      </c>
      <c r="BS2849" t="s">
        <v>47351</v>
      </c>
      <c r="BT2849" t="str">
        <f>HYPERLINK("https%3A%2F%2Fwww.webofscience.com%2Fwos%2Fwoscc%2Ffull-record%2FWOS:000936049000001","View Full Record in Web of Science")</f>
        <v>View Full Record in Web of Science</v>
      </c>
    </row>
    <row r="2850" spans="1:72" x14ac:dyDescent="0.25">
      <c r="A2850" t="s">
        <v>72</v>
      </c>
      <c r="B2850" t="s">
        <v>47352</v>
      </c>
      <c r="C2850" t="s">
        <v>74</v>
      </c>
      <c r="D2850" t="s">
        <v>74</v>
      </c>
      <c r="E2850" t="s">
        <v>74</v>
      </c>
      <c r="F2850" t="s">
        <v>47353</v>
      </c>
      <c r="G2850" t="s">
        <v>74</v>
      </c>
      <c r="H2850" t="s">
        <v>74</v>
      </c>
      <c r="I2850" t="s">
        <v>47354</v>
      </c>
      <c r="J2850" t="s">
        <v>41545</v>
      </c>
      <c r="K2850" t="s">
        <v>74</v>
      </c>
      <c r="L2850" t="s">
        <v>74</v>
      </c>
      <c r="M2850" t="s">
        <v>78</v>
      </c>
      <c r="N2850" t="s">
        <v>79</v>
      </c>
      <c r="O2850" t="s">
        <v>74</v>
      </c>
      <c r="P2850" t="s">
        <v>74</v>
      </c>
      <c r="Q2850" t="s">
        <v>74</v>
      </c>
      <c r="R2850" t="s">
        <v>74</v>
      </c>
      <c r="S2850" t="s">
        <v>74</v>
      </c>
      <c r="T2850" t="s">
        <v>47355</v>
      </c>
      <c r="U2850" t="s">
        <v>74</v>
      </c>
      <c r="V2850" t="s">
        <v>47356</v>
      </c>
      <c r="W2850" t="s">
        <v>47357</v>
      </c>
      <c r="X2850" t="s">
        <v>74</v>
      </c>
      <c r="Y2850" t="s">
        <v>47358</v>
      </c>
      <c r="Z2850" t="s">
        <v>47359</v>
      </c>
      <c r="AA2850" t="s">
        <v>47360</v>
      </c>
      <c r="AB2850" t="s">
        <v>47361</v>
      </c>
      <c r="AC2850" t="s">
        <v>47362</v>
      </c>
      <c r="AD2850" t="s">
        <v>47362</v>
      </c>
      <c r="AE2850" t="s">
        <v>47363</v>
      </c>
      <c r="AF2850" t="s">
        <v>74</v>
      </c>
      <c r="AG2850">
        <v>25</v>
      </c>
      <c r="AH2850">
        <v>0</v>
      </c>
      <c r="AI2850">
        <v>0</v>
      </c>
      <c r="AJ2850">
        <v>1</v>
      </c>
      <c r="AK2850">
        <v>1</v>
      </c>
      <c r="AL2850" t="s">
        <v>409</v>
      </c>
      <c r="AM2850" t="s">
        <v>410</v>
      </c>
      <c r="AN2850" t="s">
        <v>411</v>
      </c>
      <c r="AO2850" t="s">
        <v>41552</v>
      </c>
      <c r="AP2850" t="s">
        <v>41553</v>
      </c>
      <c r="AQ2850" t="s">
        <v>74</v>
      </c>
      <c r="AR2850" t="s">
        <v>41554</v>
      </c>
      <c r="AS2850" t="s">
        <v>41555</v>
      </c>
      <c r="AT2850" t="s">
        <v>289</v>
      </c>
      <c r="AU2850">
        <v>2023</v>
      </c>
      <c r="AV2850">
        <v>17</v>
      </c>
      <c r="AW2850" t="s">
        <v>5324</v>
      </c>
      <c r="AX2850" t="s">
        <v>74</v>
      </c>
      <c r="AY2850" t="s">
        <v>74</v>
      </c>
      <c r="AZ2850" t="s">
        <v>74</v>
      </c>
      <c r="BA2850" t="s">
        <v>74</v>
      </c>
      <c r="BB2850">
        <v>251</v>
      </c>
      <c r="BC2850">
        <v>278</v>
      </c>
      <c r="BD2850" t="s">
        <v>74</v>
      </c>
      <c r="BE2850" t="s">
        <v>47364</v>
      </c>
      <c r="BF2850" t="str">
        <f>HYPERLINK("http://dx.doi.org/10.1177/00252921241262674","http://dx.doi.org/10.1177/00252921241262674")</f>
        <v>http://dx.doi.org/10.1177/00252921241262674</v>
      </c>
      <c r="BG2850" t="s">
        <v>74</v>
      </c>
      <c r="BH2850" t="s">
        <v>393</v>
      </c>
      <c r="BI2850">
        <v>28</v>
      </c>
      <c r="BJ2850" t="s">
        <v>291</v>
      </c>
      <c r="BK2850" t="s">
        <v>313</v>
      </c>
      <c r="BL2850" t="s">
        <v>100</v>
      </c>
      <c r="BM2850" t="s">
        <v>47365</v>
      </c>
      <c r="BN2850" t="s">
        <v>74</v>
      </c>
      <c r="BO2850" t="s">
        <v>74</v>
      </c>
      <c r="BP2850" t="s">
        <v>74</v>
      </c>
      <c r="BQ2850" t="s">
        <v>74</v>
      </c>
      <c r="BR2850" t="s">
        <v>102</v>
      </c>
      <c r="BS2850" t="s">
        <v>47366</v>
      </c>
      <c r="BT2850" t="str">
        <f>HYPERLINK("https%3A%2F%2Fwww.webofscience.com%2Fwos%2Fwoscc%2Ffull-record%2FWOS:001287933400001","View Full Record in Web of Science")</f>
        <v>View Full Record in Web of Science</v>
      </c>
    </row>
    <row r="2851" spans="1:72" x14ac:dyDescent="0.25">
      <c r="A2851" t="s">
        <v>72</v>
      </c>
      <c r="B2851" t="s">
        <v>14809</v>
      </c>
      <c r="C2851" t="s">
        <v>74</v>
      </c>
      <c r="D2851" t="s">
        <v>74</v>
      </c>
      <c r="E2851" t="s">
        <v>74</v>
      </c>
      <c r="F2851" t="s">
        <v>14810</v>
      </c>
      <c r="G2851" t="s">
        <v>74</v>
      </c>
      <c r="H2851" t="s">
        <v>74</v>
      </c>
      <c r="I2851" t="s">
        <v>47367</v>
      </c>
      <c r="J2851" t="s">
        <v>47368</v>
      </c>
      <c r="K2851" t="s">
        <v>74</v>
      </c>
      <c r="L2851" t="s">
        <v>74</v>
      </c>
      <c r="M2851" t="s">
        <v>78</v>
      </c>
      <c r="N2851" t="s">
        <v>372</v>
      </c>
      <c r="O2851" t="s">
        <v>74</v>
      </c>
      <c r="P2851" t="s">
        <v>74</v>
      </c>
      <c r="Q2851" t="s">
        <v>74</v>
      </c>
      <c r="R2851" t="s">
        <v>74</v>
      </c>
      <c r="S2851" t="s">
        <v>74</v>
      </c>
      <c r="T2851" t="s">
        <v>47369</v>
      </c>
      <c r="U2851" t="s">
        <v>47370</v>
      </c>
      <c r="V2851" t="s">
        <v>47371</v>
      </c>
      <c r="W2851" t="s">
        <v>14815</v>
      </c>
      <c r="X2851" t="s">
        <v>11237</v>
      </c>
      <c r="Y2851" t="s">
        <v>11268</v>
      </c>
      <c r="Z2851" t="s">
        <v>11239</v>
      </c>
      <c r="AA2851" t="s">
        <v>11240</v>
      </c>
      <c r="AB2851" t="s">
        <v>74</v>
      </c>
      <c r="AC2851" t="s">
        <v>74</v>
      </c>
      <c r="AD2851" t="s">
        <v>74</v>
      </c>
      <c r="AE2851" t="s">
        <v>74</v>
      </c>
      <c r="AF2851" t="s">
        <v>74</v>
      </c>
      <c r="AG2851">
        <v>71</v>
      </c>
      <c r="AH2851">
        <v>6</v>
      </c>
      <c r="AI2851">
        <v>9</v>
      </c>
      <c r="AJ2851">
        <v>1</v>
      </c>
      <c r="AK2851">
        <v>8</v>
      </c>
      <c r="AL2851" t="s">
        <v>89</v>
      </c>
      <c r="AM2851" t="s">
        <v>1497</v>
      </c>
      <c r="AN2851" t="s">
        <v>1498</v>
      </c>
      <c r="AO2851" t="s">
        <v>47372</v>
      </c>
      <c r="AP2851" t="s">
        <v>47373</v>
      </c>
      <c r="AQ2851" t="s">
        <v>74</v>
      </c>
      <c r="AR2851" t="s">
        <v>47374</v>
      </c>
      <c r="AS2851" t="s">
        <v>47375</v>
      </c>
      <c r="AT2851" t="s">
        <v>47376</v>
      </c>
      <c r="AU2851">
        <v>2023</v>
      </c>
      <c r="AV2851" t="s">
        <v>74</v>
      </c>
      <c r="AW2851" t="s">
        <v>74</v>
      </c>
      <c r="AX2851" t="s">
        <v>74</v>
      </c>
      <c r="AY2851" t="s">
        <v>74</v>
      </c>
      <c r="AZ2851" t="s">
        <v>74</v>
      </c>
      <c r="BA2851" t="s">
        <v>74</v>
      </c>
      <c r="BB2851" t="s">
        <v>74</v>
      </c>
      <c r="BC2851" t="s">
        <v>74</v>
      </c>
      <c r="BD2851" t="s">
        <v>74</v>
      </c>
      <c r="BE2851" t="s">
        <v>47377</v>
      </c>
      <c r="BF2851" t="str">
        <f>HYPERLINK("http://dx.doi.org/10.1108/JEEE-03-2023-0089","http://dx.doi.org/10.1108/JEEE-03-2023-0089")</f>
        <v>http://dx.doi.org/10.1108/JEEE-03-2023-0089</v>
      </c>
      <c r="BG2851" t="s">
        <v>74</v>
      </c>
      <c r="BH2851" t="s">
        <v>13995</v>
      </c>
      <c r="BI2851">
        <v>19</v>
      </c>
      <c r="BJ2851" t="s">
        <v>418</v>
      </c>
      <c r="BK2851" t="s">
        <v>313</v>
      </c>
      <c r="BL2851" t="s">
        <v>100</v>
      </c>
      <c r="BM2851" t="s">
        <v>47378</v>
      </c>
      <c r="BN2851" t="s">
        <v>74</v>
      </c>
      <c r="BO2851" t="s">
        <v>74</v>
      </c>
      <c r="BP2851" t="s">
        <v>74</v>
      </c>
      <c r="BQ2851" t="s">
        <v>74</v>
      </c>
      <c r="BR2851" t="s">
        <v>102</v>
      </c>
      <c r="BS2851" t="s">
        <v>47379</v>
      </c>
      <c r="BT2851" t="str">
        <f>HYPERLINK("https%3A%2F%2Fwww.webofscience.com%2Fwos%2Fwoscc%2Ffull-record%2FWOS:001010022300001","View Full Record in Web of Science")</f>
        <v>View Full Record in Web of Science</v>
      </c>
    </row>
    <row r="2852" spans="1:72" x14ac:dyDescent="0.25">
      <c r="A2852" t="s">
        <v>72</v>
      </c>
      <c r="B2852" t="s">
        <v>47380</v>
      </c>
      <c r="C2852" t="s">
        <v>74</v>
      </c>
      <c r="D2852" t="s">
        <v>74</v>
      </c>
      <c r="E2852" t="s">
        <v>74</v>
      </c>
      <c r="F2852" t="s">
        <v>47381</v>
      </c>
      <c r="G2852" t="s">
        <v>74</v>
      </c>
      <c r="H2852" t="s">
        <v>74</v>
      </c>
      <c r="I2852" t="s">
        <v>47382</v>
      </c>
      <c r="J2852" t="s">
        <v>20213</v>
      </c>
      <c r="K2852" t="s">
        <v>74</v>
      </c>
      <c r="L2852" t="s">
        <v>74</v>
      </c>
      <c r="M2852" t="s">
        <v>78</v>
      </c>
      <c r="N2852" t="s">
        <v>372</v>
      </c>
      <c r="O2852" t="s">
        <v>74</v>
      </c>
      <c r="P2852" t="s">
        <v>74</v>
      </c>
      <c r="Q2852" t="s">
        <v>74</v>
      </c>
      <c r="R2852" t="s">
        <v>74</v>
      </c>
      <c r="S2852" t="s">
        <v>74</v>
      </c>
      <c r="T2852" t="s">
        <v>47383</v>
      </c>
      <c r="U2852" t="s">
        <v>47384</v>
      </c>
      <c r="V2852" t="s">
        <v>47385</v>
      </c>
      <c r="W2852" t="s">
        <v>47386</v>
      </c>
      <c r="X2852" t="s">
        <v>43840</v>
      </c>
      <c r="Y2852" t="s">
        <v>47387</v>
      </c>
      <c r="Z2852" t="s">
        <v>47388</v>
      </c>
      <c r="AA2852" t="s">
        <v>47389</v>
      </c>
      <c r="AB2852" t="s">
        <v>47390</v>
      </c>
      <c r="AC2852" t="s">
        <v>74</v>
      </c>
      <c r="AD2852" t="s">
        <v>74</v>
      </c>
      <c r="AE2852" t="s">
        <v>47391</v>
      </c>
      <c r="AF2852" t="s">
        <v>74</v>
      </c>
      <c r="AG2852">
        <v>68</v>
      </c>
      <c r="AH2852">
        <v>0</v>
      </c>
      <c r="AI2852">
        <v>0</v>
      </c>
      <c r="AJ2852">
        <v>0</v>
      </c>
      <c r="AK2852">
        <v>1</v>
      </c>
      <c r="AL2852" t="s">
        <v>89</v>
      </c>
      <c r="AM2852" t="s">
        <v>90</v>
      </c>
      <c r="AN2852" t="s">
        <v>91</v>
      </c>
      <c r="AO2852" t="s">
        <v>20205</v>
      </c>
      <c r="AP2852" t="s">
        <v>20204</v>
      </c>
      <c r="AQ2852" t="s">
        <v>74</v>
      </c>
      <c r="AR2852" t="s">
        <v>20203</v>
      </c>
      <c r="AS2852" t="s">
        <v>20202</v>
      </c>
      <c r="AT2852" t="s">
        <v>807</v>
      </c>
      <c r="AU2852">
        <v>2024</v>
      </c>
      <c r="AV2852" t="s">
        <v>74</v>
      </c>
      <c r="AW2852" t="s">
        <v>74</v>
      </c>
      <c r="AX2852" t="s">
        <v>74</v>
      </c>
      <c r="AY2852" t="s">
        <v>74</v>
      </c>
      <c r="AZ2852" t="s">
        <v>74</v>
      </c>
      <c r="BA2852" t="s">
        <v>74</v>
      </c>
      <c r="BB2852" t="s">
        <v>74</v>
      </c>
      <c r="BC2852" t="s">
        <v>74</v>
      </c>
      <c r="BD2852" t="s">
        <v>74</v>
      </c>
      <c r="BE2852" t="s">
        <v>47392</v>
      </c>
      <c r="BF2852" t="str">
        <f>HYPERLINK("http://dx.doi.org/10.1108/JIABR-03-2024-0079","http://dx.doi.org/10.1108/JIABR-03-2024-0079")</f>
        <v>http://dx.doi.org/10.1108/JIABR-03-2024-0079</v>
      </c>
      <c r="BG2852" t="s">
        <v>74</v>
      </c>
      <c r="BH2852" t="s">
        <v>809</v>
      </c>
      <c r="BI2852">
        <v>21</v>
      </c>
      <c r="BJ2852" t="s">
        <v>268</v>
      </c>
      <c r="BK2852" t="s">
        <v>313</v>
      </c>
      <c r="BL2852" t="s">
        <v>100</v>
      </c>
      <c r="BM2852" t="s">
        <v>47393</v>
      </c>
      <c r="BN2852" t="s">
        <v>74</v>
      </c>
      <c r="BO2852" t="s">
        <v>74</v>
      </c>
      <c r="BP2852" t="s">
        <v>74</v>
      </c>
      <c r="BQ2852" t="s">
        <v>74</v>
      </c>
      <c r="BR2852" t="s">
        <v>102</v>
      </c>
      <c r="BS2852" t="s">
        <v>47394</v>
      </c>
      <c r="BT2852" t="str">
        <f>HYPERLINK("https%3A%2F%2Fwww.webofscience.com%2Fwos%2Fwoscc%2Ffull-record%2FWOS:001370045100001","View Full Record in Web of Science")</f>
        <v>View Full Record in Web of Science</v>
      </c>
    </row>
    <row r="2853" spans="1:72" x14ac:dyDescent="0.25">
      <c r="A2853" t="s">
        <v>72</v>
      </c>
      <c r="B2853" t="s">
        <v>47395</v>
      </c>
      <c r="C2853" t="s">
        <v>74</v>
      </c>
      <c r="D2853" t="s">
        <v>74</v>
      </c>
      <c r="E2853" t="s">
        <v>74</v>
      </c>
      <c r="F2853" t="s">
        <v>47396</v>
      </c>
      <c r="G2853" t="s">
        <v>74</v>
      </c>
      <c r="H2853" t="s">
        <v>74</v>
      </c>
      <c r="I2853" t="s">
        <v>47397</v>
      </c>
      <c r="J2853" t="s">
        <v>1921</v>
      </c>
      <c r="K2853" t="s">
        <v>74</v>
      </c>
      <c r="L2853" t="s">
        <v>74</v>
      </c>
      <c r="M2853" t="s">
        <v>78</v>
      </c>
      <c r="N2853" t="s">
        <v>79</v>
      </c>
      <c r="O2853" t="s">
        <v>74</v>
      </c>
      <c r="P2853" t="s">
        <v>74</v>
      </c>
      <c r="Q2853" t="s">
        <v>74</v>
      </c>
      <c r="R2853" t="s">
        <v>74</v>
      </c>
      <c r="S2853" t="s">
        <v>74</v>
      </c>
      <c r="T2853" t="s">
        <v>47398</v>
      </c>
      <c r="U2853" t="s">
        <v>47399</v>
      </c>
      <c r="V2853" t="s">
        <v>47400</v>
      </c>
      <c r="W2853" t="s">
        <v>47401</v>
      </c>
      <c r="X2853" t="s">
        <v>6810</v>
      </c>
      <c r="Y2853" t="s">
        <v>47402</v>
      </c>
      <c r="Z2853" t="s">
        <v>47403</v>
      </c>
      <c r="AA2853" t="s">
        <v>47404</v>
      </c>
      <c r="AB2853" t="s">
        <v>47405</v>
      </c>
      <c r="AC2853" t="s">
        <v>47406</v>
      </c>
      <c r="AD2853" t="s">
        <v>47407</v>
      </c>
      <c r="AE2853" t="s">
        <v>47408</v>
      </c>
      <c r="AF2853" t="s">
        <v>74</v>
      </c>
      <c r="AG2853">
        <v>31</v>
      </c>
      <c r="AH2853">
        <v>4</v>
      </c>
      <c r="AI2853">
        <v>7</v>
      </c>
      <c r="AJ2853">
        <v>1</v>
      </c>
      <c r="AK2853">
        <v>18</v>
      </c>
      <c r="AL2853" t="s">
        <v>503</v>
      </c>
      <c r="AM2853" t="s">
        <v>151</v>
      </c>
      <c r="AN2853" t="s">
        <v>504</v>
      </c>
      <c r="AO2853" t="s">
        <v>1930</v>
      </c>
      <c r="AP2853" t="s">
        <v>74</v>
      </c>
      <c r="AQ2853" t="s">
        <v>74</v>
      </c>
      <c r="AR2853" t="s">
        <v>1931</v>
      </c>
      <c r="AS2853" t="s">
        <v>1932</v>
      </c>
      <c r="AT2853" t="s">
        <v>10516</v>
      </c>
      <c r="AU2853">
        <v>2022</v>
      </c>
      <c r="AV2853">
        <v>121</v>
      </c>
      <c r="AW2853" t="s">
        <v>74</v>
      </c>
      <c r="AX2853" t="s">
        <v>74</v>
      </c>
      <c r="AY2853" t="s">
        <v>74</v>
      </c>
      <c r="AZ2853" t="s">
        <v>441</v>
      </c>
      <c r="BA2853" t="s">
        <v>74</v>
      </c>
      <c r="BB2853" t="s">
        <v>74</v>
      </c>
      <c r="BC2853" t="s">
        <v>74</v>
      </c>
      <c r="BD2853">
        <v>106080</v>
      </c>
      <c r="BE2853" t="s">
        <v>47409</v>
      </c>
      <c r="BF2853" t="str">
        <f>HYPERLINK("http://dx.doi.org/10.1016/j.jeconbus.2022.106080","http://dx.doi.org/10.1016/j.jeconbus.2022.106080")</f>
        <v>http://dx.doi.org/10.1016/j.jeconbus.2022.106080</v>
      </c>
      <c r="BG2853" t="s">
        <v>74</v>
      </c>
      <c r="BH2853" t="s">
        <v>74</v>
      </c>
      <c r="BI2853">
        <v>18</v>
      </c>
      <c r="BJ2853" t="s">
        <v>268</v>
      </c>
      <c r="BK2853" t="s">
        <v>313</v>
      </c>
      <c r="BL2853" t="s">
        <v>100</v>
      </c>
      <c r="BM2853" t="s">
        <v>47410</v>
      </c>
      <c r="BN2853" t="s">
        <v>74</v>
      </c>
      <c r="BO2853" t="s">
        <v>74</v>
      </c>
      <c r="BP2853" t="s">
        <v>74</v>
      </c>
      <c r="BQ2853" t="s">
        <v>74</v>
      </c>
      <c r="BR2853" t="s">
        <v>102</v>
      </c>
      <c r="BS2853" t="s">
        <v>47411</v>
      </c>
      <c r="BT2853" t="str">
        <f>HYPERLINK("https%3A%2F%2Fwww.webofscience.com%2Fwos%2Fwoscc%2Ffull-record%2FWOS:000855757000003","View Full Record in Web of Science")</f>
        <v>View Full Record in Web of Science</v>
      </c>
    </row>
    <row r="2854" spans="1:72" x14ac:dyDescent="0.25">
      <c r="A2854" t="s">
        <v>72</v>
      </c>
      <c r="B2854" t="s">
        <v>47412</v>
      </c>
      <c r="C2854" t="s">
        <v>74</v>
      </c>
      <c r="D2854" t="s">
        <v>74</v>
      </c>
      <c r="E2854" t="s">
        <v>74</v>
      </c>
      <c r="F2854" t="s">
        <v>47413</v>
      </c>
      <c r="G2854" t="s">
        <v>74</v>
      </c>
      <c r="H2854" t="s">
        <v>74</v>
      </c>
      <c r="I2854" t="s">
        <v>47414</v>
      </c>
      <c r="J2854" t="s">
        <v>44801</v>
      </c>
      <c r="K2854" t="s">
        <v>74</v>
      </c>
      <c r="L2854" t="s">
        <v>74</v>
      </c>
      <c r="M2854" t="s">
        <v>78</v>
      </c>
      <c r="N2854" t="s">
        <v>79</v>
      </c>
      <c r="O2854" t="s">
        <v>74</v>
      </c>
      <c r="P2854" t="s">
        <v>74</v>
      </c>
      <c r="Q2854" t="s">
        <v>74</v>
      </c>
      <c r="R2854" t="s">
        <v>74</v>
      </c>
      <c r="S2854" t="s">
        <v>74</v>
      </c>
      <c r="T2854" t="s">
        <v>47415</v>
      </c>
      <c r="U2854" t="s">
        <v>74</v>
      </c>
      <c r="V2854" t="s">
        <v>47416</v>
      </c>
      <c r="W2854" t="s">
        <v>47417</v>
      </c>
      <c r="X2854" t="s">
        <v>47418</v>
      </c>
      <c r="Y2854" t="s">
        <v>47419</v>
      </c>
      <c r="Z2854" t="s">
        <v>74</v>
      </c>
      <c r="AA2854" t="s">
        <v>74</v>
      </c>
      <c r="AB2854" t="s">
        <v>47420</v>
      </c>
      <c r="AC2854" t="s">
        <v>74</v>
      </c>
      <c r="AD2854" t="s">
        <v>74</v>
      </c>
      <c r="AE2854" t="s">
        <v>74</v>
      </c>
      <c r="AF2854" t="s">
        <v>74</v>
      </c>
      <c r="AG2854">
        <v>32</v>
      </c>
      <c r="AH2854">
        <v>81</v>
      </c>
      <c r="AI2854">
        <v>117</v>
      </c>
      <c r="AJ2854">
        <v>0</v>
      </c>
      <c r="AK2854">
        <v>93</v>
      </c>
      <c r="AL2854" t="s">
        <v>44807</v>
      </c>
      <c r="AM2854" t="s">
        <v>44808</v>
      </c>
      <c r="AN2854" t="s">
        <v>44809</v>
      </c>
      <c r="AO2854" t="s">
        <v>44810</v>
      </c>
      <c r="AP2854" t="s">
        <v>74</v>
      </c>
      <c r="AQ2854" t="s">
        <v>74</v>
      </c>
      <c r="AR2854" t="s">
        <v>44811</v>
      </c>
      <c r="AS2854" t="s">
        <v>44812</v>
      </c>
      <c r="AT2854" t="s">
        <v>1159</v>
      </c>
      <c r="AU2854">
        <v>2017</v>
      </c>
      <c r="AV2854">
        <v>7</v>
      </c>
      <c r="AW2854">
        <v>10</v>
      </c>
      <c r="AX2854" t="s">
        <v>74</v>
      </c>
      <c r="AY2854" t="s">
        <v>74</v>
      </c>
      <c r="AZ2854" t="s">
        <v>74</v>
      </c>
      <c r="BA2854" t="s">
        <v>74</v>
      </c>
      <c r="BB2854">
        <v>6</v>
      </c>
      <c r="BC2854">
        <v>13</v>
      </c>
      <c r="BD2854" t="s">
        <v>74</v>
      </c>
      <c r="BE2854" t="s">
        <v>47421</v>
      </c>
      <c r="BF2854" t="str">
        <f>HYPERLINK("http://dx.doi.org/10.22215/timreview/1109","http://dx.doi.org/10.22215/timreview/1109")</f>
        <v>http://dx.doi.org/10.22215/timreview/1109</v>
      </c>
      <c r="BG2854" t="s">
        <v>74</v>
      </c>
      <c r="BH2854" t="s">
        <v>74</v>
      </c>
      <c r="BI2854">
        <v>8</v>
      </c>
      <c r="BJ2854" t="s">
        <v>583</v>
      </c>
      <c r="BK2854" t="s">
        <v>313</v>
      </c>
      <c r="BL2854" t="s">
        <v>100</v>
      </c>
      <c r="BM2854" t="s">
        <v>47422</v>
      </c>
      <c r="BN2854" t="s">
        <v>74</v>
      </c>
      <c r="BO2854" t="s">
        <v>916</v>
      </c>
      <c r="BP2854" t="s">
        <v>74</v>
      </c>
      <c r="BQ2854" t="s">
        <v>74</v>
      </c>
      <c r="BR2854" t="s">
        <v>102</v>
      </c>
      <c r="BS2854" t="s">
        <v>47423</v>
      </c>
      <c r="BT2854" t="str">
        <f>HYPERLINK("https%3A%2F%2Fwww.webofscience.com%2Fwos%2Fwoscc%2Ffull-record%2FWOS:000417392100002","View Full Record in Web of Science")</f>
        <v>View Full Record in Web of Science</v>
      </c>
    </row>
    <row r="2855" spans="1:72" x14ac:dyDescent="0.25">
      <c r="A2855" t="s">
        <v>72</v>
      </c>
      <c r="B2855" t="s">
        <v>47424</v>
      </c>
      <c r="C2855" t="s">
        <v>74</v>
      </c>
      <c r="D2855" t="s">
        <v>74</v>
      </c>
      <c r="E2855" t="s">
        <v>74</v>
      </c>
      <c r="F2855" t="s">
        <v>47425</v>
      </c>
      <c r="G2855" t="s">
        <v>74</v>
      </c>
      <c r="H2855" t="s">
        <v>74</v>
      </c>
      <c r="I2855" t="s">
        <v>47426</v>
      </c>
      <c r="J2855" t="s">
        <v>6081</v>
      </c>
      <c r="K2855" t="s">
        <v>74</v>
      </c>
      <c r="L2855" t="s">
        <v>74</v>
      </c>
      <c r="M2855" t="s">
        <v>78</v>
      </c>
      <c r="N2855" t="s">
        <v>79</v>
      </c>
      <c r="O2855" t="s">
        <v>74</v>
      </c>
      <c r="P2855" t="s">
        <v>74</v>
      </c>
      <c r="Q2855" t="s">
        <v>74</v>
      </c>
      <c r="R2855" t="s">
        <v>74</v>
      </c>
      <c r="S2855" t="s">
        <v>74</v>
      </c>
      <c r="T2855" t="s">
        <v>47427</v>
      </c>
      <c r="U2855" t="s">
        <v>47428</v>
      </c>
      <c r="V2855" t="s">
        <v>47429</v>
      </c>
      <c r="W2855" t="s">
        <v>47430</v>
      </c>
      <c r="X2855" t="s">
        <v>47431</v>
      </c>
      <c r="Y2855" t="s">
        <v>47432</v>
      </c>
      <c r="Z2855" t="s">
        <v>47433</v>
      </c>
      <c r="AA2855" t="s">
        <v>47434</v>
      </c>
      <c r="AB2855" t="s">
        <v>74</v>
      </c>
      <c r="AC2855" t="s">
        <v>74</v>
      </c>
      <c r="AD2855" t="s">
        <v>74</v>
      </c>
      <c r="AE2855" t="s">
        <v>74</v>
      </c>
      <c r="AF2855" t="s">
        <v>74</v>
      </c>
      <c r="AG2855">
        <v>44</v>
      </c>
      <c r="AH2855">
        <v>78</v>
      </c>
      <c r="AI2855">
        <v>96</v>
      </c>
      <c r="AJ2855">
        <v>1</v>
      </c>
      <c r="AK2855">
        <v>55</v>
      </c>
      <c r="AL2855" t="s">
        <v>201</v>
      </c>
      <c r="AM2855" t="s">
        <v>202</v>
      </c>
      <c r="AN2855" t="s">
        <v>203</v>
      </c>
      <c r="AO2855" t="s">
        <v>6093</v>
      </c>
      <c r="AP2855" t="s">
        <v>6094</v>
      </c>
      <c r="AQ2855" t="s">
        <v>74</v>
      </c>
      <c r="AR2855" t="s">
        <v>6095</v>
      </c>
      <c r="AS2855" t="s">
        <v>6096</v>
      </c>
      <c r="AT2855" t="s">
        <v>891</v>
      </c>
      <c r="AU2855">
        <v>2020</v>
      </c>
      <c r="AV2855">
        <v>69</v>
      </c>
      <c r="AW2855" t="s">
        <v>74</v>
      </c>
      <c r="AX2855" t="s">
        <v>74</v>
      </c>
      <c r="AY2855" t="s">
        <v>74</v>
      </c>
      <c r="AZ2855" t="s">
        <v>74</v>
      </c>
      <c r="BA2855" t="s">
        <v>74</v>
      </c>
      <c r="BB2855" t="s">
        <v>74</v>
      </c>
      <c r="BC2855" t="s">
        <v>74</v>
      </c>
      <c r="BD2855">
        <v>101614</v>
      </c>
      <c r="BE2855" t="s">
        <v>47435</v>
      </c>
      <c r="BF2855" t="str">
        <f>HYPERLINK("http://dx.doi.org/10.1016/j.erss.2020.101614","http://dx.doi.org/10.1016/j.erss.2020.101614")</f>
        <v>http://dx.doi.org/10.1016/j.erss.2020.101614</v>
      </c>
      <c r="BG2855" t="s">
        <v>74</v>
      </c>
      <c r="BH2855" t="s">
        <v>74</v>
      </c>
      <c r="BI2855">
        <v>10</v>
      </c>
      <c r="BJ2855" t="s">
        <v>6098</v>
      </c>
      <c r="BK2855" t="s">
        <v>99</v>
      </c>
      <c r="BL2855" t="s">
        <v>3248</v>
      </c>
      <c r="BM2855" t="s">
        <v>47436</v>
      </c>
      <c r="BN2855" t="s">
        <v>74</v>
      </c>
      <c r="BO2855" t="s">
        <v>74</v>
      </c>
      <c r="BP2855" t="s">
        <v>74</v>
      </c>
      <c r="BQ2855" t="s">
        <v>74</v>
      </c>
      <c r="BR2855" t="s">
        <v>102</v>
      </c>
      <c r="BS2855" t="s">
        <v>47437</v>
      </c>
      <c r="BT2855" t="str">
        <f>HYPERLINK("https%3A%2F%2Fwww.webofscience.com%2Fwos%2Fwoscc%2Ffull-record%2FWOS:000579433300025","View Full Record in Web of Science")</f>
        <v>View Full Record in Web of Science</v>
      </c>
    </row>
    <row r="2856" spans="1:72" x14ac:dyDescent="0.25">
      <c r="A2856" t="s">
        <v>72</v>
      </c>
      <c r="B2856" t="s">
        <v>47438</v>
      </c>
      <c r="C2856" t="s">
        <v>74</v>
      </c>
      <c r="D2856" t="s">
        <v>74</v>
      </c>
      <c r="E2856" t="s">
        <v>74</v>
      </c>
      <c r="F2856" t="s">
        <v>47439</v>
      </c>
      <c r="G2856" t="s">
        <v>74</v>
      </c>
      <c r="H2856" t="s">
        <v>74</v>
      </c>
      <c r="I2856" t="s">
        <v>47440</v>
      </c>
      <c r="J2856" t="s">
        <v>1510</v>
      </c>
      <c r="K2856" t="s">
        <v>74</v>
      </c>
      <c r="L2856" t="s">
        <v>74</v>
      </c>
      <c r="M2856" t="s">
        <v>78</v>
      </c>
      <c r="N2856" t="s">
        <v>79</v>
      </c>
      <c r="O2856" t="s">
        <v>74</v>
      </c>
      <c r="P2856" t="s">
        <v>74</v>
      </c>
      <c r="Q2856" t="s">
        <v>74</v>
      </c>
      <c r="R2856" t="s">
        <v>74</v>
      </c>
      <c r="S2856" t="s">
        <v>74</v>
      </c>
      <c r="T2856" t="s">
        <v>47441</v>
      </c>
      <c r="U2856" t="s">
        <v>47442</v>
      </c>
      <c r="V2856" t="s">
        <v>47443</v>
      </c>
      <c r="W2856" t="s">
        <v>47444</v>
      </c>
      <c r="X2856" t="s">
        <v>47445</v>
      </c>
      <c r="Y2856" t="s">
        <v>47446</v>
      </c>
      <c r="Z2856" t="s">
        <v>47447</v>
      </c>
      <c r="AA2856" t="s">
        <v>47448</v>
      </c>
      <c r="AB2856" t="s">
        <v>47449</v>
      </c>
      <c r="AC2856" t="s">
        <v>74</v>
      </c>
      <c r="AD2856" t="s">
        <v>74</v>
      </c>
      <c r="AE2856" t="s">
        <v>74</v>
      </c>
      <c r="AF2856" t="s">
        <v>74</v>
      </c>
      <c r="AG2856">
        <v>111</v>
      </c>
      <c r="AH2856">
        <v>51</v>
      </c>
      <c r="AI2856">
        <v>84</v>
      </c>
      <c r="AJ2856">
        <v>0</v>
      </c>
      <c r="AK2856">
        <v>33</v>
      </c>
      <c r="AL2856" t="s">
        <v>89</v>
      </c>
      <c r="AM2856" t="s">
        <v>1497</v>
      </c>
      <c r="AN2856" t="s">
        <v>1498</v>
      </c>
      <c r="AO2856" t="s">
        <v>1519</v>
      </c>
      <c r="AP2856" t="s">
        <v>1520</v>
      </c>
      <c r="AQ2856" t="s">
        <v>74</v>
      </c>
      <c r="AR2856" t="s">
        <v>1521</v>
      </c>
      <c r="AS2856" t="s">
        <v>1522</v>
      </c>
      <c r="AT2856" t="s">
        <v>74</v>
      </c>
      <c r="AU2856">
        <v>2018</v>
      </c>
      <c r="AV2856">
        <v>45</v>
      </c>
      <c r="AW2856">
        <v>7</v>
      </c>
      <c r="AX2856" t="s">
        <v>74</v>
      </c>
      <c r="AY2856" t="s">
        <v>74</v>
      </c>
      <c r="AZ2856" t="s">
        <v>74</v>
      </c>
      <c r="BA2856" t="s">
        <v>74</v>
      </c>
      <c r="BB2856">
        <v>1122</v>
      </c>
      <c r="BC2856">
        <v>1140</v>
      </c>
      <c r="BD2856" t="s">
        <v>74</v>
      </c>
      <c r="BE2856" t="s">
        <v>47450</v>
      </c>
      <c r="BF2856" t="str">
        <f>HYPERLINK("http://dx.doi.org/10.1108/IJSE-08-2017-0324","http://dx.doi.org/10.1108/IJSE-08-2017-0324")</f>
        <v>http://dx.doi.org/10.1108/IJSE-08-2017-0324</v>
      </c>
      <c r="BG2856" t="s">
        <v>74</v>
      </c>
      <c r="BH2856" t="s">
        <v>74</v>
      </c>
      <c r="BI2856">
        <v>19</v>
      </c>
      <c r="BJ2856" t="s">
        <v>291</v>
      </c>
      <c r="BK2856" t="s">
        <v>313</v>
      </c>
      <c r="BL2856" t="s">
        <v>100</v>
      </c>
      <c r="BM2856" t="s">
        <v>47451</v>
      </c>
      <c r="BN2856" t="s">
        <v>74</v>
      </c>
      <c r="BO2856" t="s">
        <v>74</v>
      </c>
      <c r="BP2856" t="s">
        <v>74</v>
      </c>
      <c r="BQ2856" t="s">
        <v>74</v>
      </c>
      <c r="BR2856" t="s">
        <v>102</v>
      </c>
      <c r="BS2856" t="s">
        <v>47452</v>
      </c>
      <c r="BT2856" t="str">
        <f>HYPERLINK("https%3A%2F%2Fwww.webofscience.com%2Fwos%2Fwoscc%2Ffull-record%2FWOS:000438526500008","View Full Record in Web of Science")</f>
        <v>View Full Record in Web of Science</v>
      </c>
    </row>
    <row r="2857" spans="1:72" x14ac:dyDescent="0.25">
      <c r="A2857" t="s">
        <v>72</v>
      </c>
      <c r="B2857" t="s">
        <v>47453</v>
      </c>
      <c r="C2857" t="s">
        <v>74</v>
      </c>
      <c r="D2857" t="s">
        <v>74</v>
      </c>
      <c r="E2857" t="s">
        <v>74</v>
      </c>
      <c r="F2857" t="s">
        <v>47454</v>
      </c>
      <c r="G2857" t="s">
        <v>74</v>
      </c>
      <c r="H2857" t="s">
        <v>74</v>
      </c>
      <c r="I2857" t="s">
        <v>47455</v>
      </c>
      <c r="J2857" t="s">
        <v>35174</v>
      </c>
      <c r="K2857" t="s">
        <v>74</v>
      </c>
      <c r="L2857" t="s">
        <v>74</v>
      </c>
      <c r="M2857" t="s">
        <v>78</v>
      </c>
      <c r="N2857" t="s">
        <v>79</v>
      </c>
      <c r="O2857" t="s">
        <v>74</v>
      </c>
      <c r="P2857" t="s">
        <v>74</v>
      </c>
      <c r="Q2857" t="s">
        <v>74</v>
      </c>
      <c r="R2857" t="s">
        <v>74</v>
      </c>
      <c r="S2857" t="s">
        <v>74</v>
      </c>
      <c r="T2857" t="s">
        <v>47456</v>
      </c>
      <c r="U2857" t="s">
        <v>47457</v>
      </c>
      <c r="V2857" t="s">
        <v>47458</v>
      </c>
      <c r="W2857" t="s">
        <v>47459</v>
      </c>
      <c r="X2857" t="s">
        <v>74</v>
      </c>
      <c r="Y2857" t="s">
        <v>47460</v>
      </c>
      <c r="Z2857" t="s">
        <v>47461</v>
      </c>
      <c r="AA2857" t="s">
        <v>74</v>
      </c>
      <c r="AB2857" t="s">
        <v>74</v>
      </c>
      <c r="AC2857" t="s">
        <v>74</v>
      </c>
      <c r="AD2857" t="s">
        <v>74</v>
      </c>
      <c r="AE2857" t="s">
        <v>74</v>
      </c>
      <c r="AF2857" t="s">
        <v>74</v>
      </c>
      <c r="AG2857">
        <v>29</v>
      </c>
      <c r="AH2857">
        <v>0</v>
      </c>
      <c r="AI2857">
        <v>0</v>
      </c>
      <c r="AJ2857">
        <v>4</v>
      </c>
      <c r="AK2857">
        <v>4</v>
      </c>
      <c r="AL2857" t="s">
        <v>35182</v>
      </c>
      <c r="AM2857" t="s">
        <v>9793</v>
      </c>
      <c r="AN2857" t="s">
        <v>35183</v>
      </c>
      <c r="AO2857" t="s">
        <v>35184</v>
      </c>
      <c r="AP2857" t="s">
        <v>74</v>
      </c>
      <c r="AQ2857" t="s">
        <v>74</v>
      </c>
      <c r="AR2857" t="s">
        <v>35185</v>
      </c>
      <c r="AS2857" t="s">
        <v>35186</v>
      </c>
      <c r="AT2857" t="s">
        <v>1652</v>
      </c>
      <c r="AU2857">
        <v>2025</v>
      </c>
      <c r="AV2857">
        <v>17</v>
      </c>
      <c r="AW2857">
        <v>2</v>
      </c>
      <c r="AX2857" t="s">
        <v>74</v>
      </c>
      <c r="AY2857" t="s">
        <v>74</v>
      </c>
      <c r="AZ2857" t="s">
        <v>74</v>
      </c>
      <c r="BA2857" t="s">
        <v>74</v>
      </c>
      <c r="BB2857">
        <v>107</v>
      </c>
      <c r="BC2857">
        <v>128</v>
      </c>
      <c r="BD2857" t="s">
        <v>74</v>
      </c>
      <c r="BE2857" t="s">
        <v>47462</v>
      </c>
      <c r="BF2857" t="str">
        <f>HYPERLINK("http://dx.doi.org/10.55188/ijifsd.v17i2.1021","http://dx.doi.org/10.55188/ijifsd.v17i2.1021")</f>
        <v>http://dx.doi.org/10.55188/ijifsd.v17i2.1021</v>
      </c>
      <c r="BG2857" t="s">
        <v>74</v>
      </c>
      <c r="BH2857" t="s">
        <v>74</v>
      </c>
      <c r="BI2857">
        <v>22</v>
      </c>
      <c r="BJ2857" t="s">
        <v>268</v>
      </c>
      <c r="BK2857" t="s">
        <v>313</v>
      </c>
      <c r="BL2857" t="s">
        <v>100</v>
      </c>
      <c r="BM2857" t="s">
        <v>47463</v>
      </c>
      <c r="BN2857" t="s">
        <v>74</v>
      </c>
      <c r="BO2857" t="s">
        <v>270</v>
      </c>
      <c r="BP2857" t="s">
        <v>74</v>
      </c>
      <c r="BQ2857" t="s">
        <v>74</v>
      </c>
      <c r="BR2857" t="s">
        <v>102</v>
      </c>
      <c r="BS2857" t="s">
        <v>47464</v>
      </c>
      <c r="BT2857" t="str">
        <f>HYPERLINK("https%3A%2F%2Fwww.webofscience.com%2Fwos%2Fwoscc%2Ffull-record%2FWOS:001536337500007","View Full Record in Web of Science")</f>
        <v>View Full Record in Web of Science</v>
      </c>
    </row>
    <row r="2858" spans="1:72" x14ac:dyDescent="0.25">
      <c r="A2858" t="s">
        <v>132</v>
      </c>
      <c r="B2858" t="s">
        <v>47465</v>
      </c>
      <c r="C2858" t="s">
        <v>74</v>
      </c>
      <c r="D2858" t="s">
        <v>47466</v>
      </c>
      <c r="E2858" t="s">
        <v>74</v>
      </c>
      <c r="F2858" t="s">
        <v>47467</v>
      </c>
      <c r="G2858" t="s">
        <v>74</v>
      </c>
      <c r="H2858" t="s">
        <v>74</v>
      </c>
      <c r="I2858" t="s">
        <v>47468</v>
      </c>
      <c r="J2858" t="s">
        <v>47469</v>
      </c>
      <c r="K2858" t="s">
        <v>34622</v>
      </c>
      <c r="L2858" t="s">
        <v>74</v>
      </c>
      <c r="M2858" t="s">
        <v>78</v>
      </c>
      <c r="N2858" t="s">
        <v>138</v>
      </c>
      <c r="O2858" t="s">
        <v>47470</v>
      </c>
      <c r="P2858" t="s">
        <v>47471</v>
      </c>
      <c r="Q2858" t="s">
        <v>47472</v>
      </c>
      <c r="R2858" t="s">
        <v>47473</v>
      </c>
      <c r="S2858" t="s">
        <v>74</v>
      </c>
      <c r="T2858" t="s">
        <v>47474</v>
      </c>
      <c r="U2858" t="s">
        <v>15149</v>
      </c>
      <c r="V2858" t="s">
        <v>47475</v>
      </c>
      <c r="W2858" t="s">
        <v>47476</v>
      </c>
      <c r="X2858" t="s">
        <v>10983</v>
      </c>
      <c r="Y2858" t="s">
        <v>47477</v>
      </c>
      <c r="Z2858" t="s">
        <v>47478</v>
      </c>
      <c r="AA2858" t="s">
        <v>74</v>
      </c>
      <c r="AB2858" t="s">
        <v>47479</v>
      </c>
      <c r="AC2858" t="s">
        <v>74</v>
      </c>
      <c r="AD2858" t="s">
        <v>74</v>
      </c>
      <c r="AE2858" t="s">
        <v>74</v>
      </c>
      <c r="AF2858" t="s">
        <v>74</v>
      </c>
      <c r="AG2858">
        <v>29</v>
      </c>
      <c r="AH2858">
        <v>3</v>
      </c>
      <c r="AI2858">
        <v>3</v>
      </c>
      <c r="AJ2858">
        <v>1</v>
      </c>
      <c r="AK2858">
        <v>9</v>
      </c>
      <c r="AL2858" t="s">
        <v>1062</v>
      </c>
      <c r="AM2858" t="s">
        <v>667</v>
      </c>
      <c r="AN2858" t="s">
        <v>668</v>
      </c>
      <c r="AO2858" t="s">
        <v>34634</v>
      </c>
      <c r="AP2858" t="s">
        <v>34635</v>
      </c>
      <c r="AQ2858" t="s">
        <v>47480</v>
      </c>
      <c r="AR2858" t="s">
        <v>34637</v>
      </c>
      <c r="AS2858" t="s">
        <v>74</v>
      </c>
      <c r="AT2858" t="s">
        <v>74</v>
      </c>
      <c r="AU2858">
        <v>2020</v>
      </c>
      <c r="AV2858">
        <v>311</v>
      </c>
      <c r="AW2858" t="s">
        <v>74</v>
      </c>
      <c r="AX2858" t="s">
        <v>74</v>
      </c>
      <c r="AY2858" t="s">
        <v>74</v>
      </c>
      <c r="AZ2858" t="s">
        <v>74</v>
      </c>
      <c r="BA2858" t="s">
        <v>74</v>
      </c>
      <c r="BB2858">
        <v>59</v>
      </c>
      <c r="BC2858">
        <v>70</v>
      </c>
      <c r="BD2858" t="s">
        <v>74</v>
      </c>
      <c r="BE2858" t="s">
        <v>47481</v>
      </c>
      <c r="BF2858" t="str">
        <f>HYPERLINK("http://dx.doi.org/10.1007/978-3-030-41593-8_5","http://dx.doi.org/10.1007/978-3-030-41593-8_5")</f>
        <v>http://dx.doi.org/10.1007/978-3-030-41593-8_5</v>
      </c>
      <c r="BG2858" t="s">
        <v>74</v>
      </c>
      <c r="BH2858" t="s">
        <v>74</v>
      </c>
      <c r="BI2858">
        <v>12</v>
      </c>
      <c r="BJ2858" t="s">
        <v>47482</v>
      </c>
      <c r="BK2858" t="s">
        <v>1069</v>
      </c>
      <c r="BL2858" t="s">
        <v>47483</v>
      </c>
      <c r="BM2858" t="s">
        <v>47484</v>
      </c>
      <c r="BN2858" t="s">
        <v>74</v>
      </c>
      <c r="BO2858" t="s">
        <v>74</v>
      </c>
      <c r="BP2858" t="s">
        <v>74</v>
      </c>
      <c r="BQ2858" t="s">
        <v>74</v>
      </c>
      <c r="BR2858" t="s">
        <v>102</v>
      </c>
      <c r="BS2858" t="s">
        <v>47485</v>
      </c>
      <c r="BT2858" t="str">
        <f>HYPERLINK("https%3A%2F%2Fwww.webofscience.com%2Fwos%2Fwoscc%2Ffull-record%2FWOS:000722300500005","View Full Record in Web of Science")</f>
        <v>View Full Record in Web of Science</v>
      </c>
    </row>
    <row r="2859" spans="1:72" x14ac:dyDescent="0.25">
      <c r="A2859" t="s">
        <v>72</v>
      </c>
      <c r="B2859" t="s">
        <v>47486</v>
      </c>
      <c r="C2859" t="s">
        <v>74</v>
      </c>
      <c r="D2859" t="s">
        <v>74</v>
      </c>
      <c r="E2859" t="s">
        <v>74</v>
      </c>
      <c r="F2859" t="s">
        <v>47487</v>
      </c>
      <c r="G2859" t="s">
        <v>74</v>
      </c>
      <c r="H2859" t="s">
        <v>74</v>
      </c>
      <c r="I2859" t="s">
        <v>47488</v>
      </c>
      <c r="J2859" t="s">
        <v>424</v>
      </c>
      <c r="K2859" t="s">
        <v>74</v>
      </c>
      <c r="L2859" t="s">
        <v>74</v>
      </c>
      <c r="M2859" t="s">
        <v>78</v>
      </c>
      <c r="N2859" t="s">
        <v>79</v>
      </c>
      <c r="O2859" t="s">
        <v>74</v>
      </c>
      <c r="P2859" t="s">
        <v>74</v>
      </c>
      <c r="Q2859" t="s">
        <v>74</v>
      </c>
      <c r="R2859" t="s">
        <v>74</v>
      </c>
      <c r="S2859" t="s">
        <v>74</v>
      </c>
      <c r="T2859" t="s">
        <v>47489</v>
      </c>
      <c r="U2859" t="s">
        <v>47490</v>
      </c>
      <c r="V2859" t="s">
        <v>47491</v>
      </c>
      <c r="W2859" t="s">
        <v>47492</v>
      </c>
      <c r="X2859" t="s">
        <v>47493</v>
      </c>
      <c r="Y2859" t="s">
        <v>47494</v>
      </c>
      <c r="Z2859" t="s">
        <v>47495</v>
      </c>
      <c r="AA2859" t="s">
        <v>47496</v>
      </c>
      <c r="AB2859" t="s">
        <v>47497</v>
      </c>
      <c r="AC2859" t="s">
        <v>47498</v>
      </c>
      <c r="AD2859" t="s">
        <v>47498</v>
      </c>
      <c r="AE2859" t="s">
        <v>47499</v>
      </c>
      <c r="AF2859" t="s">
        <v>74</v>
      </c>
      <c r="AG2859">
        <v>120</v>
      </c>
      <c r="AH2859">
        <v>11</v>
      </c>
      <c r="AI2859">
        <v>12</v>
      </c>
      <c r="AJ2859">
        <v>0</v>
      </c>
      <c r="AK2859">
        <v>43</v>
      </c>
      <c r="AL2859" t="s">
        <v>89</v>
      </c>
      <c r="AM2859" t="s">
        <v>90</v>
      </c>
      <c r="AN2859" t="s">
        <v>91</v>
      </c>
      <c r="AO2859" t="s">
        <v>436</v>
      </c>
      <c r="AP2859" t="s">
        <v>437</v>
      </c>
      <c r="AQ2859" t="s">
        <v>74</v>
      </c>
      <c r="AR2859" t="s">
        <v>438</v>
      </c>
      <c r="AS2859" t="s">
        <v>439</v>
      </c>
      <c r="AT2859" t="s">
        <v>4361</v>
      </c>
      <c r="AU2859">
        <v>2022</v>
      </c>
      <c r="AV2859">
        <v>40</v>
      </c>
      <c r="AW2859">
        <v>7</v>
      </c>
      <c r="AX2859" t="s">
        <v>74</v>
      </c>
      <c r="AY2859" t="s">
        <v>74</v>
      </c>
      <c r="AZ2859" t="s">
        <v>74</v>
      </c>
      <c r="BA2859" t="s">
        <v>74</v>
      </c>
      <c r="BB2859">
        <v>1337</v>
      </c>
      <c r="BC2859">
        <v>1363</v>
      </c>
      <c r="BD2859" t="s">
        <v>74</v>
      </c>
      <c r="BE2859" t="s">
        <v>47500</v>
      </c>
      <c r="BF2859" t="str">
        <f>HYPERLINK("http://dx.doi.org/10.1108/IJBM-10-2021-0491","http://dx.doi.org/10.1108/IJBM-10-2021-0491")</f>
        <v>http://dx.doi.org/10.1108/IJBM-10-2021-0491</v>
      </c>
      <c r="BG2859" t="s">
        <v>74</v>
      </c>
      <c r="BH2859" t="s">
        <v>1091</v>
      </c>
      <c r="BI2859">
        <v>27</v>
      </c>
      <c r="BJ2859" t="s">
        <v>418</v>
      </c>
      <c r="BK2859" t="s">
        <v>99</v>
      </c>
      <c r="BL2859" t="s">
        <v>100</v>
      </c>
      <c r="BM2859" t="s">
        <v>22142</v>
      </c>
      <c r="BN2859" t="s">
        <v>74</v>
      </c>
      <c r="BO2859" t="s">
        <v>74</v>
      </c>
      <c r="BP2859" t="s">
        <v>74</v>
      </c>
      <c r="BQ2859" t="s">
        <v>74</v>
      </c>
      <c r="BR2859" t="s">
        <v>102</v>
      </c>
      <c r="BS2859" t="s">
        <v>47501</v>
      </c>
      <c r="BT2859" t="str">
        <f>HYPERLINK("https%3A%2F%2Fwww.webofscience.com%2Fwos%2Fwoscc%2Ffull-record%2FWOS:000789003200001","View Full Record in Web of Science")</f>
        <v>View Full Record in Web of Science</v>
      </c>
    </row>
    <row r="2860" spans="1:72" x14ac:dyDescent="0.25">
      <c r="A2860" t="s">
        <v>72</v>
      </c>
      <c r="B2860" t="s">
        <v>47502</v>
      </c>
      <c r="C2860" t="s">
        <v>74</v>
      </c>
      <c r="D2860" t="s">
        <v>74</v>
      </c>
      <c r="E2860" t="s">
        <v>74</v>
      </c>
      <c r="F2860" t="s">
        <v>47503</v>
      </c>
      <c r="G2860" t="s">
        <v>74</v>
      </c>
      <c r="H2860" t="s">
        <v>74</v>
      </c>
      <c r="I2860" t="s">
        <v>47504</v>
      </c>
      <c r="J2860" t="s">
        <v>4208</v>
      </c>
      <c r="K2860" t="s">
        <v>74</v>
      </c>
      <c r="L2860" t="s">
        <v>74</v>
      </c>
      <c r="M2860" t="s">
        <v>78</v>
      </c>
      <c r="N2860" t="s">
        <v>79</v>
      </c>
      <c r="O2860" t="s">
        <v>74</v>
      </c>
      <c r="P2860" t="s">
        <v>74</v>
      </c>
      <c r="Q2860" t="s">
        <v>74</v>
      </c>
      <c r="R2860" t="s">
        <v>74</v>
      </c>
      <c r="S2860" t="s">
        <v>74</v>
      </c>
      <c r="T2860" t="s">
        <v>74</v>
      </c>
      <c r="U2860" t="s">
        <v>47505</v>
      </c>
      <c r="V2860" t="s">
        <v>47506</v>
      </c>
      <c r="W2860" t="s">
        <v>47507</v>
      </c>
      <c r="X2860" t="s">
        <v>47508</v>
      </c>
      <c r="Y2860" t="s">
        <v>47509</v>
      </c>
      <c r="Z2860" t="s">
        <v>47510</v>
      </c>
      <c r="AA2860" t="s">
        <v>47511</v>
      </c>
      <c r="AB2860" t="s">
        <v>47512</v>
      </c>
      <c r="AC2860" t="s">
        <v>74</v>
      </c>
      <c r="AD2860" t="s">
        <v>74</v>
      </c>
      <c r="AE2860" t="s">
        <v>74</v>
      </c>
      <c r="AF2860" t="s">
        <v>74</v>
      </c>
      <c r="AG2860">
        <v>50</v>
      </c>
      <c r="AH2860">
        <v>4</v>
      </c>
      <c r="AI2860">
        <v>10</v>
      </c>
      <c r="AJ2860">
        <v>0</v>
      </c>
      <c r="AK2860">
        <v>11</v>
      </c>
      <c r="AL2860" t="s">
        <v>4218</v>
      </c>
      <c r="AM2860" t="s">
        <v>4219</v>
      </c>
      <c r="AN2860" t="s">
        <v>4220</v>
      </c>
      <c r="AO2860" t="s">
        <v>4221</v>
      </c>
      <c r="AP2860" t="s">
        <v>74</v>
      </c>
      <c r="AQ2860" t="s">
        <v>74</v>
      </c>
      <c r="AR2860" t="s">
        <v>4208</v>
      </c>
      <c r="AS2860" t="s">
        <v>4222</v>
      </c>
      <c r="AT2860" t="s">
        <v>47513</v>
      </c>
      <c r="AU2860">
        <v>2022</v>
      </c>
      <c r="AV2860">
        <v>17</v>
      </c>
      <c r="AW2860">
        <v>11</v>
      </c>
      <c r="AX2860" t="s">
        <v>74</v>
      </c>
      <c r="AY2860" t="s">
        <v>74</v>
      </c>
      <c r="AZ2860" t="s">
        <v>74</v>
      </c>
      <c r="BA2860" t="s">
        <v>74</v>
      </c>
      <c r="BB2860" t="s">
        <v>74</v>
      </c>
      <c r="BC2860" t="s">
        <v>74</v>
      </c>
      <c r="BD2860" t="s">
        <v>47514</v>
      </c>
      <c r="BE2860" t="s">
        <v>47515</v>
      </c>
      <c r="BF2860" t="str">
        <f>HYPERLINK("http://dx.doi.org/10.1371/journal.pone.0278047","http://dx.doi.org/10.1371/journal.pone.0278047")</f>
        <v>http://dx.doi.org/10.1371/journal.pone.0278047</v>
      </c>
      <c r="BG2860" t="s">
        <v>74</v>
      </c>
      <c r="BH2860" t="s">
        <v>74</v>
      </c>
      <c r="BI2860">
        <v>15</v>
      </c>
      <c r="BJ2860" t="s">
        <v>559</v>
      </c>
      <c r="BK2860" t="s">
        <v>128</v>
      </c>
      <c r="BL2860" t="s">
        <v>560</v>
      </c>
      <c r="BM2860" t="s">
        <v>47516</v>
      </c>
      <c r="BN2860">
        <v>36409756</v>
      </c>
      <c r="BO2860" t="s">
        <v>916</v>
      </c>
      <c r="BP2860" t="s">
        <v>74</v>
      </c>
      <c r="BQ2860" t="s">
        <v>74</v>
      </c>
      <c r="BR2860" t="s">
        <v>102</v>
      </c>
      <c r="BS2860" t="s">
        <v>47517</v>
      </c>
      <c r="BT2860" t="str">
        <f>HYPERLINK("https%3A%2F%2Fwww.webofscience.com%2Fwos%2Fwoscc%2Ffull-record%2FWOS:000924955100068","View Full Record in Web of Science")</f>
        <v>View Full Record in Web of Science</v>
      </c>
    </row>
    <row r="2861" spans="1:72" x14ac:dyDescent="0.25">
      <c r="A2861" t="s">
        <v>72</v>
      </c>
      <c r="B2861" t="s">
        <v>47518</v>
      </c>
      <c r="C2861" t="s">
        <v>74</v>
      </c>
      <c r="D2861" t="s">
        <v>74</v>
      </c>
      <c r="E2861" t="s">
        <v>74</v>
      </c>
      <c r="F2861" t="s">
        <v>47519</v>
      </c>
      <c r="G2861" t="s">
        <v>74</v>
      </c>
      <c r="H2861" t="s">
        <v>74</v>
      </c>
      <c r="I2861" t="s">
        <v>47520</v>
      </c>
      <c r="J2861" t="s">
        <v>515</v>
      </c>
      <c r="K2861" t="s">
        <v>74</v>
      </c>
      <c r="L2861" t="s">
        <v>74</v>
      </c>
      <c r="M2861" t="s">
        <v>78</v>
      </c>
      <c r="N2861" t="s">
        <v>79</v>
      </c>
      <c r="O2861" t="s">
        <v>74</v>
      </c>
      <c r="P2861" t="s">
        <v>74</v>
      </c>
      <c r="Q2861" t="s">
        <v>74</v>
      </c>
      <c r="R2861" t="s">
        <v>74</v>
      </c>
      <c r="S2861" t="s">
        <v>74</v>
      </c>
      <c r="T2861" t="s">
        <v>47521</v>
      </c>
      <c r="U2861" t="s">
        <v>74</v>
      </c>
      <c r="V2861" t="s">
        <v>47522</v>
      </c>
      <c r="W2861" t="s">
        <v>47523</v>
      </c>
      <c r="X2861" t="s">
        <v>47524</v>
      </c>
      <c r="Y2861" t="s">
        <v>47525</v>
      </c>
      <c r="Z2861" t="s">
        <v>47526</v>
      </c>
      <c r="AA2861" t="s">
        <v>74</v>
      </c>
      <c r="AB2861" t="s">
        <v>74</v>
      </c>
      <c r="AC2861" t="s">
        <v>47527</v>
      </c>
      <c r="AD2861" t="s">
        <v>19883</v>
      </c>
      <c r="AE2861" t="s">
        <v>47528</v>
      </c>
      <c r="AF2861" t="s">
        <v>74</v>
      </c>
      <c r="AG2861">
        <v>73</v>
      </c>
      <c r="AH2861">
        <v>4</v>
      </c>
      <c r="AI2861">
        <v>5</v>
      </c>
      <c r="AJ2861">
        <v>1</v>
      </c>
      <c r="AK2861">
        <v>12</v>
      </c>
      <c r="AL2861" t="s">
        <v>230</v>
      </c>
      <c r="AM2861" t="s">
        <v>231</v>
      </c>
      <c r="AN2861" t="s">
        <v>232</v>
      </c>
      <c r="AO2861" t="s">
        <v>528</v>
      </c>
      <c r="AP2861" t="s">
        <v>529</v>
      </c>
      <c r="AQ2861" t="s">
        <v>74</v>
      </c>
      <c r="AR2861" t="s">
        <v>530</v>
      </c>
      <c r="AS2861" t="s">
        <v>531</v>
      </c>
      <c r="AT2861" t="s">
        <v>237</v>
      </c>
      <c r="AU2861">
        <v>2021</v>
      </c>
      <c r="AV2861">
        <v>82</v>
      </c>
      <c r="AW2861" t="s">
        <v>74</v>
      </c>
      <c r="AX2861" t="s">
        <v>74</v>
      </c>
      <c r="AY2861" t="s">
        <v>74</v>
      </c>
      <c r="AZ2861" t="s">
        <v>74</v>
      </c>
      <c r="BA2861" t="s">
        <v>74</v>
      </c>
      <c r="BB2861">
        <v>468</v>
      </c>
      <c r="BC2861">
        <v>478</v>
      </c>
      <c r="BD2861" t="s">
        <v>74</v>
      </c>
      <c r="BE2861" t="s">
        <v>47529</v>
      </c>
      <c r="BF2861" t="str">
        <f>HYPERLINK("http://dx.doi.org/10.1016/j.jrurstud.2020.12.006","http://dx.doi.org/10.1016/j.jrurstud.2020.12.006")</f>
        <v>http://dx.doi.org/10.1016/j.jrurstud.2020.12.006</v>
      </c>
      <c r="BG2861" t="s">
        <v>74</v>
      </c>
      <c r="BH2861" t="s">
        <v>10160</v>
      </c>
      <c r="BI2861">
        <v>11</v>
      </c>
      <c r="BJ2861" t="s">
        <v>533</v>
      </c>
      <c r="BK2861" t="s">
        <v>99</v>
      </c>
      <c r="BL2861" t="s">
        <v>534</v>
      </c>
      <c r="BM2861" t="s">
        <v>47530</v>
      </c>
      <c r="BN2861" t="s">
        <v>74</v>
      </c>
      <c r="BO2861" t="s">
        <v>74</v>
      </c>
      <c r="BP2861" t="s">
        <v>74</v>
      </c>
      <c r="BQ2861" t="s">
        <v>74</v>
      </c>
      <c r="BR2861" t="s">
        <v>102</v>
      </c>
      <c r="BS2861" t="s">
        <v>47531</v>
      </c>
      <c r="BT2861" t="str">
        <f>HYPERLINK("https%3A%2F%2Fwww.webofscience.com%2Fwos%2Fwoscc%2Ffull-record%2FWOS:000631796000005","View Full Record in Web of Science")</f>
        <v>View Full Record in Web of Science</v>
      </c>
    </row>
    <row r="2862" spans="1:72" x14ac:dyDescent="0.25">
      <c r="A2862" t="s">
        <v>72</v>
      </c>
      <c r="B2862" t="s">
        <v>47532</v>
      </c>
      <c r="C2862" t="s">
        <v>74</v>
      </c>
      <c r="D2862" t="s">
        <v>74</v>
      </c>
      <c r="E2862" t="s">
        <v>74</v>
      </c>
      <c r="F2862" t="s">
        <v>47533</v>
      </c>
      <c r="G2862" t="s">
        <v>74</v>
      </c>
      <c r="H2862" t="s">
        <v>74</v>
      </c>
      <c r="I2862" t="s">
        <v>47534</v>
      </c>
      <c r="J2862" t="s">
        <v>944</v>
      </c>
      <c r="K2862" t="s">
        <v>74</v>
      </c>
      <c r="L2862" t="s">
        <v>74</v>
      </c>
      <c r="M2862" t="s">
        <v>78</v>
      </c>
      <c r="N2862" t="s">
        <v>79</v>
      </c>
      <c r="O2862" t="s">
        <v>74</v>
      </c>
      <c r="P2862" t="s">
        <v>74</v>
      </c>
      <c r="Q2862" t="s">
        <v>74</v>
      </c>
      <c r="R2862" t="s">
        <v>74</v>
      </c>
      <c r="S2862" t="s">
        <v>74</v>
      </c>
      <c r="T2862" t="s">
        <v>47535</v>
      </c>
      <c r="U2862" t="s">
        <v>47536</v>
      </c>
      <c r="V2862" t="s">
        <v>47537</v>
      </c>
      <c r="W2862" t="s">
        <v>47538</v>
      </c>
      <c r="X2862" t="s">
        <v>47539</v>
      </c>
      <c r="Y2862" t="s">
        <v>47540</v>
      </c>
      <c r="Z2862" t="s">
        <v>47541</v>
      </c>
      <c r="AA2862" t="s">
        <v>47542</v>
      </c>
      <c r="AB2862" t="s">
        <v>47543</v>
      </c>
      <c r="AC2862" t="s">
        <v>47544</v>
      </c>
      <c r="AD2862" t="s">
        <v>47544</v>
      </c>
      <c r="AE2862" t="s">
        <v>47545</v>
      </c>
      <c r="AF2862" t="s">
        <v>74</v>
      </c>
      <c r="AG2862">
        <v>47</v>
      </c>
      <c r="AH2862">
        <v>36</v>
      </c>
      <c r="AI2862">
        <v>38</v>
      </c>
      <c r="AJ2862">
        <v>1</v>
      </c>
      <c r="AK2862">
        <v>25</v>
      </c>
      <c r="AL2862" t="s">
        <v>332</v>
      </c>
      <c r="AM2862" t="s">
        <v>333</v>
      </c>
      <c r="AN2862" t="s">
        <v>334</v>
      </c>
      <c r="AO2862" t="s">
        <v>954</v>
      </c>
      <c r="AP2862" t="s">
        <v>955</v>
      </c>
      <c r="AQ2862" t="s">
        <v>74</v>
      </c>
      <c r="AR2862" t="s">
        <v>956</v>
      </c>
      <c r="AS2862" t="s">
        <v>957</v>
      </c>
      <c r="AT2862" t="s">
        <v>74</v>
      </c>
      <c r="AU2862">
        <v>2018</v>
      </c>
      <c r="AV2862">
        <v>20</v>
      </c>
      <c r="AW2862">
        <v>2</v>
      </c>
      <c r="AX2862" t="s">
        <v>74</v>
      </c>
      <c r="AY2862" t="s">
        <v>74</v>
      </c>
      <c r="AZ2862" t="s">
        <v>441</v>
      </c>
      <c r="BA2862" t="s">
        <v>74</v>
      </c>
      <c r="BB2862">
        <v>191</v>
      </c>
      <c r="BC2862">
        <v>210</v>
      </c>
      <c r="BD2862" t="s">
        <v>74</v>
      </c>
      <c r="BE2862" t="s">
        <v>47546</v>
      </c>
      <c r="BF2862" t="str">
        <f>HYPERLINK("http://dx.doi.org/10.1080/13691066.2017.1358927","http://dx.doi.org/10.1080/13691066.2017.1358927")</f>
        <v>http://dx.doi.org/10.1080/13691066.2017.1358927</v>
      </c>
      <c r="BG2862" t="s">
        <v>74</v>
      </c>
      <c r="BH2862" t="s">
        <v>74</v>
      </c>
      <c r="BI2862">
        <v>20</v>
      </c>
      <c r="BJ2862" t="s">
        <v>268</v>
      </c>
      <c r="BK2862" t="s">
        <v>99</v>
      </c>
      <c r="BL2862" t="s">
        <v>100</v>
      </c>
      <c r="BM2862" t="s">
        <v>47547</v>
      </c>
      <c r="BN2862" t="s">
        <v>74</v>
      </c>
      <c r="BO2862" t="s">
        <v>39329</v>
      </c>
      <c r="BP2862" t="s">
        <v>74</v>
      </c>
      <c r="BQ2862" t="s">
        <v>74</v>
      </c>
      <c r="BR2862" t="s">
        <v>102</v>
      </c>
      <c r="BS2862" t="s">
        <v>47548</v>
      </c>
      <c r="BT2862" t="str">
        <f>HYPERLINK("https%3A%2F%2Fwww.webofscience.com%2Fwos%2Fwoscc%2Ffull-record%2FWOS:000438876700005","View Full Record in Web of Science")</f>
        <v>View Full Record in Web of Science</v>
      </c>
    </row>
    <row r="2863" spans="1:72" x14ac:dyDescent="0.25">
      <c r="A2863" t="s">
        <v>72</v>
      </c>
      <c r="B2863" t="s">
        <v>47549</v>
      </c>
      <c r="C2863" t="s">
        <v>74</v>
      </c>
      <c r="D2863" t="s">
        <v>74</v>
      </c>
      <c r="E2863" t="s">
        <v>74</v>
      </c>
      <c r="F2863" t="s">
        <v>47550</v>
      </c>
      <c r="G2863" t="s">
        <v>74</v>
      </c>
      <c r="H2863" t="s">
        <v>74</v>
      </c>
      <c r="I2863" t="s">
        <v>47551</v>
      </c>
      <c r="J2863" t="s">
        <v>41526</v>
      </c>
      <c r="K2863" t="s">
        <v>74</v>
      </c>
      <c r="L2863" t="s">
        <v>74</v>
      </c>
      <c r="M2863" t="s">
        <v>78</v>
      </c>
      <c r="N2863" t="s">
        <v>79</v>
      </c>
      <c r="O2863" t="s">
        <v>74</v>
      </c>
      <c r="P2863" t="s">
        <v>74</v>
      </c>
      <c r="Q2863" t="s">
        <v>74</v>
      </c>
      <c r="R2863" t="s">
        <v>74</v>
      </c>
      <c r="S2863" t="s">
        <v>74</v>
      </c>
      <c r="T2863" t="s">
        <v>47552</v>
      </c>
      <c r="U2863" t="s">
        <v>74</v>
      </c>
      <c r="V2863" t="s">
        <v>47553</v>
      </c>
      <c r="W2863" t="s">
        <v>47554</v>
      </c>
      <c r="X2863" t="s">
        <v>74</v>
      </c>
      <c r="Y2863" t="s">
        <v>47555</v>
      </c>
      <c r="Z2863" t="s">
        <v>47556</v>
      </c>
      <c r="AA2863" t="s">
        <v>74</v>
      </c>
      <c r="AB2863" t="s">
        <v>74</v>
      </c>
      <c r="AC2863" t="s">
        <v>74</v>
      </c>
      <c r="AD2863" t="s">
        <v>74</v>
      </c>
      <c r="AE2863" t="s">
        <v>74</v>
      </c>
      <c r="AF2863" t="s">
        <v>74</v>
      </c>
      <c r="AG2863">
        <v>46</v>
      </c>
      <c r="AH2863">
        <v>4</v>
      </c>
      <c r="AI2863">
        <v>9</v>
      </c>
      <c r="AJ2863">
        <v>0</v>
      </c>
      <c r="AK2863">
        <v>7</v>
      </c>
      <c r="AL2863" t="s">
        <v>41532</v>
      </c>
      <c r="AM2863" t="s">
        <v>41533</v>
      </c>
      <c r="AN2863" t="s">
        <v>41534</v>
      </c>
      <c r="AO2863" t="s">
        <v>41535</v>
      </c>
      <c r="AP2863" t="s">
        <v>41536</v>
      </c>
      <c r="AQ2863" t="s">
        <v>74</v>
      </c>
      <c r="AR2863" t="s">
        <v>41537</v>
      </c>
      <c r="AS2863" t="s">
        <v>41538</v>
      </c>
      <c r="AT2863" t="s">
        <v>124</v>
      </c>
      <c r="AU2863">
        <v>2016</v>
      </c>
      <c r="AV2863">
        <v>33</v>
      </c>
      <c r="AW2863">
        <v>3</v>
      </c>
      <c r="AX2863" t="s">
        <v>74</v>
      </c>
      <c r="AY2863" t="s">
        <v>74</v>
      </c>
      <c r="AZ2863" t="s">
        <v>74</v>
      </c>
      <c r="BA2863" t="s">
        <v>74</v>
      </c>
      <c r="BB2863">
        <v>364</v>
      </c>
      <c r="BC2863">
        <v>386</v>
      </c>
      <c r="BD2863" t="s">
        <v>74</v>
      </c>
      <c r="BE2863" t="s">
        <v>47557</v>
      </c>
      <c r="BF2863" t="str">
        <f>HYPERLINK("http://dx.doi.org/10.1355/ae33-3e","http://dx.doi.org/10.1355/ae33-3e")</f>
        <v>http://dx.doi.org/10.1355/ae33-3e</v>
      </c>
      <c r="BG2863" t="s">
        <v>74</v>
      </c>
      <c r="BH2863" t="s">
        <v>74</v>
      </c>
      <c r="BI2863">
        <v>23</v>
      </c>
      <c r="BJ2863" t="s">
        <v>291</v>
      </c>
      <c r="BK2863" t="s">
        <v>313</v>
      </c>
      <c r="BL2863" t="s">
        <v>100</v>
      </c>
      <c r="BM2863" t="s">
        <v>41540</v>
      </c>
      <c r="BN2863" t="s">
        <v>74</v>
      </c>
      <c r="BO2863" t="s">
        <v>74</v>
      </c>
      <c r="BP2863" t="s">
        <v>74</v>
      </c>
      <c r="BQ2863" t="s">
        <v>74</v>
      </c>
      <c r="BR2863" t="s">
        <v>102</v>
      </c>
      <c r="BS2863" t="s">
        <v>47558</v>
      </c>
      <c r="BT2863" t="str">
        <f>HYPERLINK("https%3A%2F%2Fwww.webofscience.com%2Fwos%2Fwoscc%2Ffull-record%2FWOS:000412298900005","View Full Record in Web of Science")</f>
        <v>View Full Record in Web of Science</v>
      </c>
    </row>
    <row r="2864" spans="1:72" x14ac:dyDescent="0.25">
      <c r="A2864" t="s">
        <v>72</v>
      </c>
      <c r="B2864" t="s">
        <v>47559</v>
      </c>
      <c r="C2864" t="s">
        <v>74</v>
      </c>
      <c r="D2864" t="s">
        <v>74</v>
      </c>
      <c r="E2864" t="s">
        <v>74</v>
      </c>
      <c r="F2864" t="s">
        <v>47560</v>
      </c>
      <c r="G2864" t="s">
        <v>74</v>
      </c>
      <c r="H2864" t="s">
        <v>74</v>
      </c>
      <c r="I2864" t="s">
        <v>47561</v>
      </c>
      <c r="J2864" t="s">
        <v>2288</v>
      </c>
      <c r="K2864" t="s">
        <v>74</v>
      </c>
      <c r="L2864" t="s">
        <v>74</v>
      </c>
      <c r="M2864" t="s">
        <v>78</v>
      </c>
      <c r="N2864" t="s">
        <v>79</v>
      </c>
      <c r="O2864" t="s">
        <v>74</v>
      </c>
      <c r="P2864" t="s">
        <v>74</v>
      </c>
      <c r="Q2864" t="s">
        <v>74</v>
      </c>
      <c r="R2864" t="s">
        <v>74</v>
      </c>
      <c r="S2864" t="s">
        <v>74</v>
      </c>
      <c r="T2864" t="s">
        <v>47562</v>
      </c>
      <c r="U2864" t="s">
        <v>47563</v>
      </c>
      <c r="V2864" t="s">
        <v>47564</v>
      </c>
      <c r="W2864" t="s">
        <v>47565</v>
      </c>
      <c r="X2864" t="s">
        <v>7281</v>
      </c>
      <c r="Y2864" t="s">
        <v>47566</v>
      </c>
      <c r="Z2864" t="s">
        <v>18968</v>
      </c>
      <c r="AA2864" t="s">
        <v>74</v>
      </c>
      <c r="AB2864" t="s">
        <v>74</v>
      </c>
      <c r="AC2864" t="s">
        <v>74</v>
      </c>
      <c r="AD2864" t="s">
        <v>74</v>
      </c>
      <c r="AE2864" t="s">
        <v>74</v>
      </c>
      <c r="AF2864" t="s">
        <v>74</v>
      </c>
      <c r="AG2864">
        <v>27</v>
      </c>
      <c r="AH2864">
        <v>13</v>
      </c>
      <c r="AI2864">
        <v>20</v>
      </c>
      <c r="AJ2864">
        <v>0</v>
      </c>
      <c r="AK2864">
        <v>14</v>
      </c>
      <c r="AL2864" t="s">
        <v>201</v>
      </c>
      <c r="AM2864" t="s">
        <v>202</v>
      </c>
      <c r="AN2864" t="s">
        <v>203</v>
      </c>
      <c r="AO2864" t="s">
        <v>2299</v>
      </c>
      <c r="AP2864" t="s">
        <v>2300</v>
      </c>
      <c r="AQ2864" t="s">
        <v>74</v>
      </c>
      <c r="AR2864" t="s">
        <v>2301</v>
      </c>
      <c r="AS2864" t="s">
        <v>2302</v>
      </c>
      <c r="AT2864" t="s">
        <v>605</v>
      </c>
      <c r="AU2864">
        <v>2011</v>
      </c>
      <c r="AV2864">
        <v>94</v>
      </c>
      <c r="AW2864">
        <v>2</v>
      </c>
      <c r="AX2864" t="s">
        <v>74</v>
      </c>
      <c r="AY2864" t="s">
        <v>74</v>
      </c>
      <c r="AZ2864" t="s">
        <v>74</v>
      </c>
      <c r="BA2864" t="s">
        <v>74</v>
      </c>
      <c r="BB2864">
        <v>254</v>
      </c>
      <c r="BC2864">
        <v>261</v>
      </c>
      <c r="BD2864" t="s">
        <v>74</v>
      </c>
      <c r="BE2864" t="s">
        <v>47567</v>
      </c>
      <c r="BF2864" t="str">
        <f>HYPERLINK("http://dx.doi.org/10.1016/j.jdeveco.2010.01.010","http://dx.doi.org/10.1016/j.jdeveco.2010.01.010")</f>
        <v>http://dx.doi.org/10.1016/j.jdeveco.2010.01.010</v>
      </c>
      <c r="BG2864" t="s">
        <v>74</v>
      </c>
      <c r="BH2864" t="s">
        <v>74</v>
      </c>
      <c r="BI2864">
        <v>8</v>
      </c>
      <c r="BJ2864" t="s">
        <v>291</v>
      </c>
      <c r="BK2864" t="s">
        <v>99</v>
      </c>
      <c r="BL2864" t="s">
        <v>100</v>
      </c>
      <c r="BM2864" t="s">
        <v>47568</v>
      </c>
      <c r="BN2864" t="s">
        <v>74</v>
      </c>
      <c r="BO2864" t="s">
        <v>74</v>
      </c>
      <c r="BP2864" t="s">
        <v>74</v>
      </c>
      <c r="BQ2864" t="s">
        <v>74</v>
      </c>
      <c r="BR2864" t="s">
        <v>102</v>
      </c>
      <c r="BS2864" t="s">
        <v>47569</v>
      </c>
      <c r="BT2864" t="str">
        <f>HYPERLINK("https%3A%2F%2Fwww.webofscience.com%2Fwos%2Fwoscc%2Ffull-record%2FWOS:000285215000010","View Full Record in Web of Science")</f>
        <v>View Full Record in Web of Science</v>
      </c>
    </row>
    <row r="2865" spans="1:72" x14ac:dyDescent="0.25">
      <c r="A2865" t="s">
        <v>72</v>
      </c>
      <c r="B2865" t="s">
        <v>47570</v>
      </c>
      <c r="C2865" t="s">
        <v>74</v>
      </c>
      <c r="D2865" t="s">
        <v>74</v>
      </c>
      <c r="E2865" t="s">
        <v>74</v>
      </c>
      <c r="F2865" t="s">
        <v>47571</v>
      </c>
      <c r="G2865" t="s">
        <v>74</v>
      </c>
      <c r="H2865" t="s">
        <v>74</v>
      </c>
      <c r="I2865" t="s">
        <v>47572</v>
      </c>
      <c r="J2865" t="s">
        <v>42654</v>
      </c>
      <c r="K2865" t="s">
        <v>74</v>
      </c>
      <c r="L2865" t="s">
        <v>74</v>
      </c>
      <c r="M2865" t="s">
        <v>78</v>
      </c>
      <c r="N2865" t="s">
        <v>79</v>
      </c>
      <c r="O2865" t="s">
        <v>74</v>
      </c>
      <c r="P2865" t="s">
        <v>74</v>
      </c>
      <c r="Q2865" t="s">
        <v>74</v>
      </c>
      <c r="R2865" t="s">
        <v>74</v>
      </c>
      <c r="S2865" t="s">
        <v>74</v>
      </c>
      <c r="T2865" t="s">
        <v>47573</v>
      </c>
      <c r="U2865" t="s">
        <v>74</v>
      </c>
      <c r="V2865" t="s">
        <v>47574</v>
      </c>
      <c r="W2865" t="s">
        <v>47575</v>
      </c>
      <c r="X2865" t="s">
        <v>47576</v>
      </c>
      <c r="Y2865" t="s">
        <v>47577</v>
      </c>
      <c r="Z2865" t="s">
        <v>47578</v>
      </c>
      <c r="AA2865" t="s">
        <v>47579</v>
      </c>
      <c r="AB2865" t="s">
        <v>74</v>
      </c>
      <c r="AC2865" t="s">
        <v>74</v>
      </c>
      <c r="AD2865" t="s">
        <v>74</v>
      </c>
      <c r="AE2865" t="s">
        <v>74</v>
      </c>
      <c r="AF2865" t="s">
        <v>74</v>
      </c>
      <c r="AG2865">
        <v>37</v>
      </c>
      <c r="AH2865">
        <v>0</v>
      </c>
      <c r="AI2865">
        <v>0</v>
      </c>
      <c r="AJ2865">
        <v>0</v>
      </c>
      <c r="AK2865">
        <v>0</v>
      </c>
      <c r="AL2865" t="s">
        <v>42664</v>
      </c>
      <c r="AM2865" t="s">
        <v>42665</v>
      </c>
      <c r="AN2865" t="s">
        <v>42666</v>
      </c>
      <c r="AO2865" t="s">
        <v>42667</v>
      </c>
      <c r="AP2865" t="s">
        <v>74</v>
      </c>
      <c r="AQ2865" t="s">
        <v>74</v>
      </c>
      <c r="AR2865" t="s">
        <v>47580</v>
      </c>
      <c r="AS2865" t="s">
        <v>42669</v>
      </c>
      <c r="AT2865" t="s">
        <v>124</v>
      </c>
      <c r="AU2865">
        <v>2025</v>
      </c>
      <c r="AV2865">
        <v>13</v>
      </c>
      <c r="AW2865">
        <v>2</v>
      </c>
      <c r="AX2865" t="s">
        <v>74</v>
      </c>
      <c r="AY2865" t="s">
        <v>74</v>
      </c>
      <c r="AZ2865" t="s">
        <v>74</v>
      </c>
      <c r="BA2865" t="s">
        <v>74</v>
      </c>
      <c r="BB2865">
        <v>299</v>
      </c>
      <c r="BC2865">
        <v>312</v>
      </c>
      <c r="BD2865" t="s">
        <v>74</v>
      </c>
      <c r="BE2865" t="s">
        <v>47581</v>
      </c>
      <c r="BF2865" t="str">
        <f>HYPERLINK("http://dx.doi.org/10.9770/s4626758963","http://dx.doi.org/10.9770/s4626758963")</f>
        <v>http://dx.doi.org/10.9770/s4626758963</v>
      </c>
      <c r="BG2865" t="s">
        <v>74</v>
      </c>
      <c r="BH2865" t="s">
        <v>74</v>
      </c>
      <c r="BI2865">
        <v>14</v>
      </c>
      <c r="BJ2865" t="s">
        <v>418</v>
      </c>
      <c r="BK2865" t="s">
        <v>313</v>
      </c>
      <c r="BL2865" t="s">
        <v>100</v>
      </c>
      <c r="BM2865" t="s">
        <v>47582</v>
      </c>
      <c r="BN2865" t="s">
        <v>74</v>
      </c>
      <c r="BO2865" t="s">
        <v>212</v>
      </c>
      <c r="BP2865" t="s">
        <v>74</v>
      </c>
      <c r="BQ2865" t="s">
        <v>74</v>
      </c>
      <c r="BR2865" t="s">
        <v>102</v>
      </c>
      <c r="BS2865" t="s">
        <v>47583</v>
      </c>
      <c r="BT2865" t="str">
        <f>HYPERLINK("https%3A%2F%2Fwww.webofscience.com%2Fwos%2Fwoscc%2Ffull-record%2FWOS:001645786200018","View Full Record in Web of Science")</f>
        <v>View Full Record in Web of Science</v>
      </c>
    </row>
    <row r="2866" spans="1:72" x14ac:dyDescent="0.25">
      <c r="A2866" t="s">
        <v>72</v>
      </c>
      <c r="B2866" t="s">
        <v>47584</v>
      </c>
      <c r="C2866" t="s">
        <v>74</v>
      </c>
      <c r="D2866" t="s">
        <v>74</v>
      </c>
      <c r="E2866" t="s">
        <v>74</v>
      </c>
      <c r="F2866" t="s">
        <v>47585</v>
      </c>
      <c r="G2866" t="s">
        <v>74</v>
      </c>
      <c r="H2866" t="s">
        <v>74</v>
      </c>
      <c r="I2866" t="s">
        <v>47586</v>
      </c>
      <c r="J2866" t="s">
        <v>41038</v>
      </c>
      <c r="K2866" t="s">
        <v>74</v>
      </c>
      <c r="L2866" t="s">
        <v>74</v>
      </c>
      <c r="M2866" t="s">
        <v>78</v>
      </c>
      <c r="N2866" t="s">
        <v>79</v>
      </c>
      <c r="O2866" t="s">
        <v>74</v>
      </c>
      <c r="P2866" t="s">
        <v>74</v>
      </c>
      <c r="Q2866" t="s">
        <v>74</v>
      </c>
      <c r="R2866" t="s">
        <v>74</v>
      </c>
      <c r="S2866" t="s">
        <v>74</v>
      </c>
      <c r="T2866" t="s">
        <v>47587</v>
      </c>
      <c r="U2866" t="s">
        <v>47588</v>
      </c>
      <c r="V2866" t="s">
        <v>47589</v>
      </c>
      <c r="W2866" t="s">
        <v>47590</v>
      </c>
      <c r="X2866" t="s">
        <v>11237</v>
      </c>
      <c r="Y2866" t="s">
        <v>47591</v>
      </c>
      <c r="Z2866" t="s">
        <v>47592</v>
      </c>
      <c r="AA2866" t="s">
        <v>19586</v>
      </c>
      <c r="AB2866" t="s">
        <v>19585</v>
      </c>
      <c r="AC2866" t="s">
        <v>74</v>
      </c>
      <c r="AD2866" t="s">
        <v>74</v>
      </c>
      <c r="AE2866" t="s">
        <v>74</v>
      </c>
      <c r="AF2866" t="s">
        <v>74</v>
      </c>
      <c r="AG2866">
        <v>65</v>
      </c>
      <c r="AH2866">
        <v>2</v>
      </c>
      <c r="AI2866">
        <v>3</v>
      </c>
      <c r="AJ2866">
        <v>1</v>
      </c>
      <c r="AK2866">
        <v>5</v>
      </c>
      <c r="AL2866" t="s">
        <v>31804</v>
      </c>
      <c r="AM2866" t="s">
        <v>15173</v>
      </c>
      <c r="AN2866" t="s">
        <v>31803</v>
      </c>
      <c r="AO2866" t="s">
        <v>41046</v>
      </c>
      <c r="AP2866" t="s">
        <v>74</v>
      </c>
      <c r="AQ2866" t="s">
        <v>74</v>
      </c>
      <c r="AR2866" t="s">
        <v>41047</v>
      </c>
      <c r="AS2866" t="s">
        <v>41048</v>
      </c>
      <c r="AT2866" t="s">
        <v>74</v>
      </c>
      <c r="AU2866">
        <v>2021</v>
      </c>
      <c r="AV2866">
        <v>25</v>
      </c>
      <c r="AW2866" t="s">
        <v>74</v>
      </c>
      <c r="AX2866" t="s">
        <v>74</v>
      </c>
      <c r="AY2866" t="s">
        <v>74</v>
      </c>
      <c r="AZ2866" t="s">
        <v>74</v>
      </c>
      <c r="BA2866" t="s">
        <v>74</v>
      </c>
      <c r="BB2866" t="s">
        <v>74</v>
      </c>
      <c r="BC2866" t="s">
        <v>74</v>
      </c>
      <c r="BD2866">
        <v>6799</v>
      </c>
      <c r="BE2866" t="s">
        <v>47593</v>
      </c>
      <c r="BF2866" t="str">
        <f>HYPERLINK("http://dx.doi.org/10.25159/1998-8125/6799","http://dx.doi.org/10.25159/1998-8125/6799")</f>
        <v>http://dx.doi.org/10.25159/1998-8125/6799</v>
      </c>
      <c r="BG2866" t="s">
        <v>74</v>
      </c>
      <c r="BH2866" t="s">
        <v>74</v>
      </c>
      <c r="BI2866">
        <v>29</v>
      </c>
      <c r="BJ2866" t="s">
        <v>182</v>
      </c>
      <c r="BK2866" t="s">
        <v>313</v>
      </c>
      <c r="BL2866" t="s">
        <v>184</v>
      </c>
      <c r="BM2866" t="s">
        <v>41050</v>
      </c>
      <c r="BN2866" t="s">
        <v>74</v>
      </c>
      <c r="BO2866" t="s">
        <v>212</v>
      </c>
      <c r="BP2866" t="s">
        <v>74</v>
      </c>
      <c r="BQ2866" t="s">
        <v>74</v>
      </c>
      <c r="BR2866" t="s">
        <v>102</v>
      </c>
      <c r="BS2866" t="s">
        <v>47594</v>
      </c>
      <c r="BT2866" t="str">
        <f>HYPERLINK("https%3A%2F%2Fwww.webofscience.com%2Fwos%2Fwoscc%2Ffull-record%2FWOS:000734174800001","View Full Record in Web of Science")</f>
        <v>View Full Record in Web of Science</v>
      </c>
    </row>
    <row r="2867" spans="1:72" x14ac:dyDescent="0.25">
      <c r="A2867" t="s">
        <v>72</v>
      </c>
      <c r="B2867" t="s">
        <v>47595</v>
      </c>
      <c r="C2867" t="s">
        <v>74</v>
      </c>
      <c r="D2867" t="s">
        <v>74</v>
      </c>
      <c r="E2867" t="s">
        <v>74</v>
      </c>
      <c r="F2867" t="s">
        <v>47596</v>
      </c>
      <c r="G2867" t="s">
        <v>74</v>
      </c>
      <c r="H2867" t="s">
        <v>74</v>
      </c>
      <c r="I2867" t="s">
        <v>47597</v>
      </c>
      <c r="J2867" t="s">
        <v>13869</v>
      </c>
      <c r="K2867" t="s">
        <v>74</v>
      </c>
      <c r="L2867" t="s">
        <v>74</v>
      </c>
      <c r="M2867" t="s">
        <v>78</v>
      </c>
      <c r="N2867" t="s">
        <v>79</v>
      </c>
      <c r="O2867" t="s">
        <v>74</v>
      </c>
      <c r="P2867" t="s">
        <v>74</v>
      </c>
      <c r="Q2867" t="s">
        <v>74</v>
      </c>
      <c r="R2867" t="s">
        <v>74</v>
      </c>
      <c r="S2867" t="s">
        <v>74</v>
      </c>
      <c r="T2867" t="s">
        <v>47598</v>
      </c>
      <c r="U2867" t="s">
        <v>47599</v>
      </c>
      <c r="V2867" t="s">
        <v>47600</v>
      </c>
      <c r="W2867" t="s">
        <v>47601</v>
      </c>
      <c r="X2867" t="s">
        <v>7915</v>
      </c>
      <c r="Y2867" t="s">
        <v>47602</v>
      </c>
      <c r="Z2867" t="s">
        <v>47603</v>
      </c>
      <c r="AA2867" t="s">
        <v>47604</v>
      </c>
      <c r="AB2867" t="s">
        <v>74</v>
      </c>
      <c r="AC2867" t="s">
        <v>47605</v>
      </c>
      <c r="AD2867" t="s">
        <v>47605</v>
      </c>
      <c r="AE2867" t="s">
        <v>47606</v>
      </c>
      <c r="AF2867" t="s">
        <v>74</v>
      </c>
      <c r="AG2867">
        <v>21</v>
      </c>
      <c r="AH2867">
        <v>0</v>
      </c>
      <c r="AI2867">
        <v>0</v>
      </c>
      <c r="AJ2867">
        <v>0</v>
      </c>
      <c r="AK2867">
        <v>0</v>
      </c>
      <c r="AL2867" t="s">
        <v>13881</v>
      </c>
      <c r="AM2867" t="s">
        <v>3098</v>
      </c>
      <c r="AN2867" t="s">
        <v>13882</v>
      </c>
      <c r="AO2867" t="s">
        <v>13883</v>
      </c>
      <c r="AP2867" t="s">
        <v>74</v>
      </c>
      <c r="AQ2867" t="s">
        <v>74</v>
      </c>
      <c r="AR2867" t="s">
        <v>13884</v>
      </c>
      <c r="AS2867" t="s">
        <v>13885</v>
      </c>
      <c r="AT2867" t="s">
        <v>28113</v>
      </c>
      <c r="AU2867">
        <v>2025</v>
      </c>
      <c r="AV2867">
        <v>15</v>
      </c>
      <c r="AW2867">
        <v>1</v>
      </c>
      <c r="AX2867" t="s">
        <v>74</v>
      </c>
      <c r="AY2867" t="s">
        <v>74</v>
      </c>
      <c r="AZ2867" t="s">
        <v>74</v>
      </c>
      <c r="BA2867" t="s">
        <v>74</v>
      </c>
      <c r="BB2867" t="s">
        <v>74</v>
      </c>
      <c r="BC2867" t="s">
        <v>74</v>
      </c>
      <c r="BD2867">
        <v>37526</v>
      </c>
      <c r="BE2867" t="s">
        <v>47607</v>
      </c>
      <c r="BF2867" t="str">
        <f>HYPERLINK("http://dx.doi.org/10.1038/s41598-025-22569-z","http://dx.doi.org/10.1038/s41598-025-22569-z")</f>
        <v>http://dx.doi.org/10.1038/s41598-025-22569-z</v>
      </c>
      <c r="BG2867" t="s">
        <v>74</v>
      </c>
      <c r="BH2867" t="s">
        <v>74</v>
      </c>
      <c r="BI2867">
        <v>15</v>
      </c>
      <c r="BJ2867" t="s">
        <v>559</v>
      </c>
      <c r="BK2867" t="s">
        <v>128</v>
      </c>
      <c r="BL2867" t="s">
        <v>560</v>
      </c>
      <c r="BM2867" t="s">
        <v>47608</v>
      </c>
      <c r="BN2867">
        <v>41145654</v>
      </c>
      <c r="BO2867" t="s">
        <v>916</v>
      </c>
      <c r="BP2867" t="s">
        <v>74</v>
      </c>
      <c r="BQ2867" t="s">
        <v>74</v>
      </c>
      <c r="BR2867" t="s">
        <v>102</v>
      </c>
      <c r="BS2867" t="s">
        <v>47609</v>
      </c>
      <c r="BT2867" t="str">
        <f>HYPERLINK("https%3A%2F%2Fwww.webofscience.com%2Fwos%2Fwoscc%2Ffull-record%2FWOS:001603740100028","View Full Record in Web of Science")</f>
        <v>View Full Record in Web of Science</v>
      </c>
    </row>
    <row r="2868" spans="1:72" x14ac:dyDescent="0.25">
      <c r="A2868" t="s">
        <v>72</v>
      </c>
      <c r="B2868" t="s">
        <v>47610</v>
      </c>
      <c r="C2868" t="s">
        <v>74</v>
      </c>
      <c r="D2868" t="s">
        <v>74</v>
      </c>
      <c r="E2868" t="s">
        <v>74</v>
      </c>
      <c r="F2868" t="s">
        <v>47611</v>
      </c>
      <c r="G2868" t="s">
        <v>74</v>
      </c>
      <c r="H2868" t="s">
        <v>74</v>
      </c>
      <c r="I2868" t="s">
        <v>47612</v>
      </c>
      <c r="J2868" t="s">
        <v>3439</v>
      </c>
      <c r="K2868" t="s">
        <v>74</v>
      </c>
      <c r="L2868" t="s">
        <v>74</v>
      </c>
      <c r="M2868" t="s">
        <v>78</v>
      </c>
      <c r="N2868" t="s">
        <v>1766</v>
      </c>
      <c r="O2868" t="s">
        <v>74</v>
      </c>
      <c r="P2868" t="s">
        <v>74</v>
      </c>
      <c r="Q2868" t="s">
        <v>74</v>
      </c>
      <c r="R2868" t="s">
        <v>74</v>
      </c>
      <c r="S2868" t="s">
        <v>74</v>
      </c>
      <c r="T2868" t="s">
        <v>47613</v>
      </c>
      <c r="U2868" t="s">
        <v>545</v>
      </c>
      <c r="V2868" t="s">
        <v>47614</v>
      </c>
      <c r="W2868" t="s">
        <v>47615</v>
      </c>
      <c r="X2868" t="s">
        <v>74</v>
      </c>
      <c r="Y2868" t="s">
        <v>47616</v>
      </c>
      <c r="Z2868" t="s">
        <v>47617</v>
      </c>
      <c r="AA2868" t="s">
        <v>47618</v>
      </c>
      <c r="AB2868" t="s">
        <v>47619</v>
      </c>
      <c r="AC2868" t="s">
        <v>47620</v>
      </c>
      <c r="AD2868" t="s">
        <v>47620</v>
      </c>
      <c r="AE2868" t="s">
        <v>47621</v>
      </c>
      <c r="AF2868" t="s">
        <v>74</v>
      </c>
      <c r="AG2868">
        <v>67</v>
      </c>
      <c r="AH2868">
        <v>3</v>
      </c>
      <c r="AI2868">
        <v>5</v>
      </c>
      <c r="AJ2868">
        <v>12</v>
      </c>
      <c r="AK2868">
        <v>14</v>
      </c>
      <c r="AL2868" t="s">
        <v>823</v>
      </c>
      <c r="AM2868" t="s">
        <v>333</v>
      </c>
      <c r="AN2868" t="s">
        <v>824</v>
      </c>
      <c r="AO2868" t="s">
        <v>3443</v>
      </c>
      <c r="AP2868" t="s">
        <v>74</v>
      </c>
      <c r="AQ2868" t="s">
        <v>74</v>
      </c>
      <c r="AR2868" t="s">
        <v>3444</v>
      </c>
      <c r="AS2868" t="s">
        <v>3445</v>
      </c>
      <c r="AT2868" t="s">
        <v>2970</v>
      </c>
      <c r="AU2868">
        <v>2025</v>
      </c>
      <c r="AV2868">
        <v>13</v>
      </c>
      <c r="AW2868">
        <v>1</v>
      </c>
      <c r="AX2868" t="s">
        <v>74</v>
      </c>
      <c r="AY2868" t="s">
        <v>74</v>
      </c>
      <c r="AZ2868" t="s">
        <v>74</v>
      </c>
      <c r="BA2868" t="s">
        <v>74</v>
      </c>
      <c r="BB2868" t="s">
        <v>74</v>
      </c>
      <c r="BC2868" t="s">
        <v>74</v>
      </c>
      <c r="BD2868">
        <v>2490819</v>
      </c>
      <c r="BE2868" t="s">
        <v>47622</v>
      </c>
      <c r="BF2868" t="str">
        <f>HYPERLINK("http://dx.doi.org/10.1080/23322039.2025.2490819","http://dx.doi.org/10.1080/23322039.2025.2490819")</f>
        <v>http://dx.doi.org/10.1080/23322039.2025.2490819</v>
      </c>
      <c r="BG2868" t="s">
        <v>74</v>
      </c>
      <c r="BH2868" t="s">
        <v>74</v>
      </c>
      <c r="BI2868">
        <v>27</v>
      </c>
      <c r="BJ2868" t="s">
        <v>291</v>
      </c>
      <c r="BK2868" t="s">
        <v>313</v>
      </c>
      <c r="BL2868" t="s">
        <v>100</v>
      </c>
      <c r="BM2868" t="s">
        <v>47623</v>
      </c>
      <c r="BN2868" t="s">
        <v>74</v>
      </c>
      <c r="BO2868" t="s">
        <v>916</v>
      </c>
      <c r="BP2868" t="s">
        <v>74</v>
      </c>
      <c r="BQ2868" t="s">
        <v>74</v>
      </c>
      <c r="BR2868" t="s">
        <v>102</v>
      </c>
      <c r="BS2868" t="s">
        <v>47624</v>
      </c>
      <c r="BT2868" t="str">
        <f>HYPERLINK("https%3A%2F%2Fwww.webofscience.com%2Fwos%2Fwoscc%2Ffull-record%2FWOS:001467079300001","View Full Record in Web of Science")</f>
        <v>View Full Record in Web of Science</v>
      </c>
    </row>
    <row r="2869" spans="1:72" x14ac:dyDescent="0.25">
      <c r="A2869" t="s">
        <v>72</v>
      </c>
      <c r="B2869" t="s">
        <v>47625</v>
      </c>
      <c r="C2869" t="s">
        <v>74</v>
      </c>
      <c r="D2869" t="s">
        <v>74</v>
      </c>
      <c r="E2869" t="s">
        <v>74</v>
      </c>
      <c r="F2869" t="s">
        <v>47626</v>
      </c>
      <c r="G2869" t="s">
        <v>74</v>
      </c>
      <c r="H2869" t="s">
        <v>74</v>
      </c>
      <c r="I2869" t="s">
        <v>47627</v>
      </c>
      <c r="J2869" t="s">
        <v>12379</v>
      </c>
      <c r="K2869" t="s">
        <v>74</v>
      </c>
      <c r="L2869" t="s">
        <v>74</v>
      </c>
      <c r="M2869" t="s">
        <v>78</v>
      </c>
      <c r="N2869" t="s">
        <v>79</v>
      </c>
      <c r="O2869" t="s">
        <v>74</v>
      </c>
      <c r="P2869" t="s">
        <v>74</v>
      </c>
      <c r="Q2869" t="s">
        <v>74</v>
      </c>
      <c r="R2869" t="s">
        <v>74</v>
      </c>
      <c r="S2869" t="s">
        <v>74</v>
      </c>
      <c r="T2869" t="s">
        <v>47628</v>
      </c>
      <c r="U2869" t="s">
        <v>74</v>
      </c>
      <c r="V2869" t="s">
        <v>47629</v>
      </c>
      <c r="W2869" t="s">
        <v>47630</v>
      </c>
      <c r="X2869" t="s">
        <v>74</v>
      </c>
      <c r="Y2869" t="s">
        <v>47631</v>
      </c>
      <c r="Z2869" t="s">
        <v>74</v>
      </c>
      <c r="AA2869" t="s">
        <v>47632</v>
      </c>
      <c r="AB2869" t="s">
        <v>74</v>
      </c>
      <c r="AC2869" t="s">
        <v>74</v>
      </c>
      <c r="AD2869" t="s">
        <v>74</v>
      </c>
      <c r="AE2869" t="s">
        <v>74</v>
      </c>
      <c r="AF2869" t="s">
        <v>74</v>
      </c>
      <c r="AG2869">
        <v>14</v>
      </c>
      <c r="AH2869">
        <v>0</v>
      </c>
      <c r="AI2869">
        <v>0</v>
      </c>
      <c r="AJ2869">
        <v>0</v>
      </c>
      <c r="AK2869">
        <v>3</v>
      </c>
      <c r="AL2869" t="s">
        <v>12386</v>
      </c>
      <c r="AM2869" t="s">
        <v>410</v>
      </c>
      <c r="AN2869" t="s">
        <v>12387</v>
      </c>
      <c r="AO2869" t="s">
        <v>12388</v>
      </c>
      <c r="AP2869" t="s">
        <v>12389</v>
      </c>
      <c r="AQ2869" t="s">
        <v>74</v>
      </c>
      <c r="AR2869" t="s">
        <v>12390</v>
      </c>
      <c r="AS2869" t="s">
        <v>12391</v>
      </c>
      <c r="AT2869" t="s">
        <v>7020</v>
      </c>
      <c r="AU2869">
        <v>2018</v>
      </c>
      <c r="AV2869">
        <v>23</v>
      </c>
      <c r="AW2869">
        <v>1</v>
      </c>
      <c r="AX2869" t="s">
        <v>74</v>
      </c>
      <c r="AY2869" t="s">
        <v>74</v>
      </c>
      <c r="AZ2869" t="s">
        <v>74</v>
      </c>
      <c r="BA2869" t="s">
        <v>74</v>
      </c>
      <c r="BB2869">
        <v>59</v>
      </c>
      <c r="BC2869">
        <v>63</v>
      </c>
      <c r="BD2869" t="s">
        <v>74</v>
      </c>
      <c r="BE2869" t="s">
        <v>47633</v>
      </c>
      <c r="BF2869" t="str">
        <f>HYPERLINK("http://dx.doi.org/10.5958/0973-9343.2018.00009.1","http://dx.doi.org/10.5958/0973-9343.2018.00009.1")</f>
        <v>http://dx.doi.org/10.5958/0973-9343.2018.00009.1</v>
      </c>
      <c r="BG2869" t="s">
        <v>74</v>
      </c>
      <c r="BH2869" t="s">
        <v>74</v>
      </c>
      <c r="BI2869">
        <v>5</v>
      </c>
      <c r="BJ2869" t="s">
        <v>583</v>
      </c>
      <c r="BK2869" t="s">
        <v>313</v>
      </c>
      <c r="BL2869" t="s">
        <v>100</v>
      </c>
      <c r="BM2869" t="s">
        <v>47634</v>
      </c>
      <c r="BN2869" t="s">
        <v>74</v>
      </c>
      <c r="BO2869" t="s">
        <v>270</v>
      </c>
      <c r="BP2869" t="s">
        <v>74</v>
      </c>
      <c r="BQ2869" t="s">
        <v>74</v>
      </c>
      <c r="BR2869" t="s">
        <v>102</v>
      </c>
      <c r="BS2869" t="s">
        <v>47635</v>
      </c>
      <c r="BT2869" t="str">
        <f>HYPERLINK("https%3A%2F%2Fwww.webofscience.com%2Fwos%2Fwoscc%2Ffull-record%2FWOS:000482689100010","View Full Record in Web of Science")</f>
        <v>View Full Record in Web of Science</v>
      </c>
    </row>
    <row r="2870" spans="1:72" x14ac:dyDescent="0.25">
      <c r="A2870" t="s">
        <v>72</v>
      </c>
      <c r="B2870" t="s">
        <v>47636</v>
      </c>
      <c r="C2870" t="s">
        <v>74</v>
      </c>
      <c r="D2870" t="s">
        <v>74</v>
      </c>
      <c r="E2870" t="s">
        <v>74</v>
      </c>
      <c r="F2870" t="s">
        <v>47637</v>
      </c>
      <c r="G2870" t="s">
        <v>74</v>
      </c>
      <c r="H2870" t="s">
        <v>74</v>
      </c>
      <c r="I2870" t="s">
        <v>47638</v>
      </c>
      <c r="J2870" t="s">
        <v>3231</v>
      </c>
      <c r="K2870" t="s">
        <v>74</v>
      </c>
      <c r="L2870" t="s">
        <v>74</v>
      </c>
      <c r="M2870" t="s">
        <v>78</v>
      </c>
      <c r="N2870" t="s">
        <v>79</v>
      </c>
      <c r="O2870" t="s">
        <v>74</v>
      </c>
      <c r="P2870" t="s">
        <v>74</v>
      </c>
      <c r="Q2870" t="s">
        <v>74</v>
      </c>
      <c r="R2870" t="s">
        <v>74</v>
      </c>
      <c r="S2870" t="s">
        <v>74</v>
      </c>
      <c r="T2870" t="s">
        <v>47639</v>
      </c>
      <c r="U2870" t="s">
        <v>47640</v>
      </c>
      <c r="V2870" t="s">
        <v>47641</v>
      </c>
      <c r="W2870" t="s">
        <v>47642</v>
      </c>
      <c r="X2870" t="s">
        <v>47643</v>
      </c>
      <c r="Y2870" t="s">
        <v>47644</v>
      </c>
      <c r="Z2870" t="s">
        <v>47645</v>
      </c>
      <c r="AA2870" t="s">
        <v>47646</v>
      </c>
      <c r="AB2870" t="s">
        <v>47647</v>
      </c>
      <c r="AC2870" t="s">
        <v>47648</v>
      </c>
      <c r="AD2870" t="s">
        <v>2774</v>
      </c>
      <c r="AE2870" t="s">
        <v>47649</v>
      </c>
      <c r="AF2870" t="s">
        <v>74</v>
      </c>
      <c r="AG2870">
        <v>109</v>
      </c>
      <c r="AH2870">
        <v>24</v>
      </c>
      <c r="AI2870">
        <v>29</v>
      </c>
      <c r="AJ2870">
        <v>5</v>
      </c>
      <c r="AK2870">
        <v>21</v>
      </c>
      <c r="AL2870" t="s">
        <v>575</v>
      </c>
      <c r="AM2870" t="s">
        <v>576</v>
      </c>
      <c r="AN2870" t="s">
        <v>577</v>
      </c>
      <c r="AO2870" t="s">
        <v>74</v>
      </c>
      <c r="AP2870" t="s">
        <v>3243</v>
      </c>
      <c r="AQ2870" t="s">
        <v>74</v>
      </c>
      <c r="AR2870" t="s">
        <v>3244</v>
      </c>
      <c r="AS2870" t="s">
        <v>3245</v>
      </c>
      <c r="AT2870" t="s">
        <v>743</v>
      </c>
      <c r="AU2870">
        <v>2020</v>
      </c>
      <c r="AV2870">
        <v>12</v>
      </c>
      <c r="AW2870">
        <v>7</v>
      </c>
      <c r="AX2870" t="s">
        <v>74</v>
      </c>
      <c r="AY2870" t="s">
        <v>74</v>
      </c>
      <c r="AZ2870" t="s">
        <v>74</v>
      </c>
      <c r="BA2870" t="s">
        <v>74</v>
      </c>
      <c r="BB2870" t="s">
        <v>74</v>
      </c>
      <c r="BC2870" t="s">
        <v>74</v>
      </c>
      <c r="BD2870">
        <v>2682</v>
      </c>
      <c r="BE2870" t="s">
        <v>47650</v>
      </c>
      <c r="BF2870" t="str">
        <f>HYPERLINK("http://dx.doi.org/10.3390/su12072682","http://dx.doi.org/10.3390/su12072682")</f>
        <v>http://dx.doi.org/10.3390/su12072682</v>
      </c>
      <c r="BG2870" t="s">
        <v>74</v>
      </c>
      <c r="BH2870" t="s">
        <v>74</v>
      </c>
      <c r="BI2870">
        <v>23</v>
      </c>
      <c r="BJ2870" t="s">
        <v>3247</v>
      </c>
      <c r="BK2870" t="s">
        <v>2623</v>
      </c>
      <c r="BL2870" t="s">
        <v>3248</v>
      </c>
      <c r="BM2870" t="s">
        <v>47651</v>
      </c>
      <c r="BN2870" t="s">
        <v>74</v>
      </c>
      <c r="BO2870" t="s">
        <v>916</v>
      </c>
      <c r="BP2870" t="s">
        <v>74</v>
      </c>
      <c r="BQ2870" t="s">
        <v>74</v>
      </c>
      <c r="BR2870" t="s">
        <v>102</v>
      </c>
      <c r="BS2870" t="s">
        <v>47652</v>
      </c>
      <c r="BT2870" t="str">
        <f>HYPERLINK("https%3A%2F%2Fwww.webofscience.com%2Fwos%2Fwoscc%2Ffull-record%2FWOS:000531558100107","View Full Record in Web of Science")</f>
        <v>View Full Record in Web of Science</v>
      </c>
    </row>
    <row r="2871" spans="1:72" x14ac:dyDescent="0.25">
      <c r="A2871" t="s">
        <v>72</v>
      </c>
      <c r="B2871" t="s">
        <v>47653</v>
      </c>
      <c r="C2871" t="s">
        <v>74</v>
      </c>
      <c r="D2871" t="s">
        <v>74</v>
      </c>
      <c r="E2871" t="s">
        <v>74</v>
      </c>
      <c r="F2871" t="s">
        <v>47654</v>
      </c>
      <c r="G2871" t="s">
        <v>74</v>
      </c>
      <c r="H2871" t="s">
        <v>74</v>
      </c>
      <c r="I2871" t="s">
        <v>47655</v>
      </c>
      <c r="J2871" t="s">
        <v>47656</v>
      </c>
      <c r="K2871" t="s">
        <v>74</v>
      </c>
      <c r="L2871" t="s">
        <v>74</v>
      </c>
      <c r="M2871" t="s">
        <v>298</v>
      </c>
      <c r="N2871" t="s">
        <v>79</v>
      </c>
      <c r="O2871" t="s">
        <v>74</v>
      </c>
      <c r="P2871" t="s">
        <v>74</v>
      </c>
      <c r="Q2871" t="s">
        <v>74</v>
      </c>
      <c r="R2871" t="s">
        <v>74</v>
      </c>
      <c r="S2871" t="s">
        <v>74</v>
      </c>
      <c r="T2871" t="s">
        <v>47657</v>
      </c>
      <c r="U2871" t="s">
        <v>74</v>
      </c>
      <c r="V2871" t="s">
        <v>47658</v>
      </c>
      <c r="W2871" t="s">
        <v>47659</v>
      </c>
      <c r="X2871" t="s">
        <v>74</v>
      </c>
      <c r="Y2871" t="s">
        <v>47660</v>
      </c>
      <c r="Z2871" t="s">
        <v>47661</v>
      </c>
      <c r="AA2871" t="s">
        <v>74</v>
      </c>
      <c r="AB2871" t="s">
        <v>74</v>
      </c>
      <c r="AC2871" t="s">
        <v>74</v>
      </c>
      <c r="AD2871" t="s">
        <v>74</v>
      </c>
      <c r="AE2871" t="s">
        <v>74</v>
      </c>
      <c r="AF2871" t="s">
        <v>74</v>
      </c>
      <c r="AG2871">
        <v>14</v>
      </c>
      <c r="AH2871">
        <v>0</v>
      </c>
      <c r="AI2871">
        <v>0</v>
      </c>
      <c r="AJ2871">
        <v>1</v>
      </c>
      <c r="AK2871">
        <v>2</v>
      </c>
      <c r="AL2871" t="s">
        <v>47662</v>
      </c>
      <c r="AM2871" t="s">
        <v>47663</v>
      </c>
      <c r="AN2871" t="s">
        <v>47664</v>
      </c>
      <c r="AO2871" t="s">
        <v>47665</v>
      </c>
      <c r="AP2871" t="s">
        <v>47666</v>
      </c>
      <c r="AQ2871" t="s">
        <v>74</v>
      </c>
      <c r="AR2871" t="s">
        <v>47667</v>
      </c>
      <c r="AS2871" t="s">
        <v>47668</v>
      </c>
      <c r="AT2871" t="s">
        <v>16433</v>
      </c>
      <c r="AU2871">
        <v>2024</v>
      </c>
      <c r="AV2871">
        <v>23</v>
      </c>
      <c r="AW2871">
        <v>1</v>
      </c>
      <c r="AX2871" t="s">
        <v>74</v>
      </c>
      <c r="AY2871" t="s">
        <v>74</v>
      </c>
      <c r="AZ2871" t="s">
        <v>74</v>
      </c>
      <c r="BA2871" t="s">
        <v>74</v>
      </c>
      <c r="BB2871">
        <v>47</v>
      </c>
      <c r="BC2871">
        <v>59</v>
      </c>
      <c r="BD2871" t="s">
        <v>74</v>
      </c>
      <c r="BE2871" t="s">
        <v>47669</v>
      </c>
      <c r="BF2871" t="str">
        <f>HYPERLINK("http://dx.doi.org/10.53766/VIGEREN/2024.01.23.04","http://dx.doi.org/10.53766/VIGEREN/2024.01.23.04")</f>
        <v>http://dx.doi.org/10.53766/VIGEREN/2024.01.23.04</v>
      </c>
      <c r="BG2871" t="s">
        <v>74</v>
      </c>
      <c r="BH2871" t="s">
        <v>74</v>
      </c>
      <c r="BI2871">
        <v>13</v>
      </c>
      <c r="BJ2871" t="s">
        <v>583</v>
      </c>
      <c r="BK2871" t="s">
        <v>313</v>
      </c>
      <c r="BL2871" t="s">
        <v>100</v>
      </c>
      <c r="BM2871" t="s">
        <v>47670</v>
      </c>
      <c r="BN2871" t="s">
        <v>74</v>
      </c>
      <c r="BO2871" t="s">
        <v>212</v>
      </c>
      <c r="BP2871" t="s">
        <v>74</v>
      </c>
      <c r="BQ2871" t="s">
        <v>74</v>
      </c>
      <c r="BR2871" t="s">
        <v>102</v>
      </c>
      <c r="BS2871" t="s">
        <v>47671</v>
      </c>
      <c r="BT2871" t="str">
        <f>HYPERLINK("https%3A%2F%2Fwww.webofscience.com%2Fwos%2Fwoscc%2Ffull-record%2FWOS:001248411400005","View Full Record in Web of Science")</f>
        <v>View Full Record in Web of Science</v>
      </c>
    </row>
    <row r="2872" spans="1:72" x14ac:dyDescent="0.25">
      <c r="A2872" t="s">
        <v>72</v>
      </c>
      <c r="B2872" t="s">
        <v>32934</v>
      </c>
      <c r="C2872" t="s">
        <v>74</v>
      </c>
      <c r="D2872" t="s">
        <v>74</v>
      </c>
      <c r="E2872" t="s">
        <v>74</v>
      </c>
      <c r="F2872" t="s">
        <v>32933</v>
      </c>
      <c r="G2872" t="s">
        <v>74</v>
      </c>
      <c r="H2872" t="s">
        <v>74</v>
      </c>
      <c r="I2872" t="s">
        <v>47672</v>
      </c>
      <c r="J2872" t="s">
        <v>1309</v>
      </c>
      <c r="K2872" t="s">
        <v>74</v>
      </c>
      <c r="L2872" t="s">
        <v>74</v>
      </c>
      <c r="M2872" t="s">
        <v>78</v>
      </c>
      <c r="N2872" t="s">
        <v>79</v>
      </c>
      <c r="O2872" t="s">
        <v>74</v>
      </c>
      <c r="P2872" t="s">
        <v>74</v>
      </c>
      <c r="Q2872" t="s">
        <v>74</v>
      </c>
      <c r="R2872" t="s">
        <v>74</v>
      </c>
      <c r="S2872" t="s">
        <v>74</v>
      </c>
      <c r="T2872" t="s">
        <v>47673</v>
      </c>
      <c r="U2872" t="s">
        <v>47674</v>
      </c>
      <c r="V2872" t="s">
        <v>47675</v>
      </c>
      <c r="W2872" t="s">
        <v>47676</v>
      </c>
      <c r="X2872" t="s">
        <v>47677</v>
      </c>
      <c r="Y2872" t="s">
        <v>47678</v>
      </c>
      <c r="Z2872" t="s">
        <v>32925</v>
      </c>
      <c r="AA2872" t="s">
        <v>74</v>
      </c>
      <c r="AB2872" t="s">
        <v>74</v>
      </c>
      <c r="AC2872" t="s">
        <v>74</v>
      </c>
      <c r="AD2872" t="s">
        <v>74</v>
      </c>
      <c r="AE2872" t="s">
        <v>74</v>
      </c>
      <c r="AF2872" t="s">
        <v>74</v>
      </c>
      <c r="AG2872">
        <v>38</v>
      </c>
      <c r="AH2872">
        <v>11</v>
      </c>
      <c r="AI2872">
        <v>12</v>
      </c>
      <c r="AJ2872">
        <v>0</v>
      </c>
      <c r="AK2872">
        <v>7</v>
      </c>
      <c r="AL2872" t="s">
        <v>89</v>
      </c>
      <c r="AM2872" t="s">
        <v>1497</v>
      </c>
      <c r="AN2872" t="s">
        <v>1498</v>
      </c>
      <c r="AO2872" t="s">
        <v>1317</v>
      </c>
      <c r="AP2872" t="s">
        <v>74</v>
      </c>
      <c r="AQ2872" t="s">
        <v>74</v>
      </c>
      <c r="AR2872" t="s">
        <v>1319</v>
      </c>
      <c r="AS2872" t="s">
        <v>74</v>
      </c>
      <c r="AT2872" t="s">
        <v>74</v>
      </c>
      <c r="AU2872">
        <v>2018</v>
      </c>
      <c r="AV2872">
        <v>45</v>
      </c>
      <c r="AW2872">
        <v>5</v>
      </c>
      <c r="AX2872" t="s">
        <v>74</v>
      </c>
      <c r="AY2872" t="s">
        <v>74</v>
      </c>
      <c r="AZ2872" t="s">
        <v>74</v>
      </c>
      <c r="BA2872" t="s">
        <v>74</v>
      </c>
      <c r="BB2872">
        <v>1072</v>
      </c>
      <c r="BC2872">
        <v>1087</v>
      </c>
      <c r="BD2872" t="s">
        <v>74</v>
      </c>
      <c r="BE2872" t="s">
        <v>47679</v>
      </c>
      <c r="BF2872" t="str">
        <f>HYPERLINK("http://dx.doi.org/10.1108/JES-05-2017-0131","http://dx.doi.org/10.1108/JES-05-2017-0131")</f>
        <v>http://dx.doi.org/10.1108/JES-05-2017-0131</v>
      </c>
      <c r="BG2872" t="s">
        <v>74</v>
      </c>
      <c r="BH2872" t="s">
        <v>74</v>
      </c>
      <c r="BI2872">
        <v>16</v>
      </c>
      <c r="BJ2872" t="s">
        <v>291</v>
      </c>
      <c r="BK2872" t="s">
        <v>313</v>
      </c>
      <c r="BL2872" t="s">
        <v>100</v>
      </c>
      <c r="BM2872" t="s">
        <v>47680</v>
      </c>
      <c r="BN2872" t="s">
        <v>74</v>
      </c>
      <c r="BO2872" t="s">
        <v>74</v>
      </c>
      <c r="BP2872" t="s">
        <v>74</v>
      </c>
      <c r="BQ2872" t="s">
        <v>74</v>
      </c>
      <c r="BR2872" t="s">
        <v>102</v>
      </c>
      <c r="BS2872" t="s">
        <v>47681</v>
      </c>
      <c r="BT2872" t="str">
        <f>HYPERLINK("https%3A%2F%2Fwww.webofscience.com%2Fwos%2Fwoscc%2Ffull-record%2FWOS:000446477300010","View Full Record in Web of Science")</f>
        <v>View Full Record in Web of Science</v>
      </c>
    </row>
    <row r="2873" spans="1:72" x14ac:dyDescent="0.25">
      <c r="A2873" t="s">
        <v>72</v>
      </c>
      <c r="B2873" t="s">
        <v>27949</v>
      </c>
      <c r="C2873" t="s">
        <v>74</v>
      </c>
      <c r="D2873" t="s">
        <v>74</v>
      </c>
      <c r="E2873" t="s">
        <v>74</v>
      </c>
      <c r="F2873" t="s">
        <v>27948</v>
      </c>
      <c r="G2873" t="s">
        <v>74</v>
      </c>
      <c r="H2873" t="s">
        <v>74</v>
      </c>
      <c r="I2873" t="s">
        <v>47682</v>
      </c>
      <c r="J2873" t="s">
        <v>424</v>
      </c>
      <c r="K2873" t="s">
        <v>74</v>
      </c>
      <c r="L2873" t="s">
        <v>74</v>
      </c>
      <c r="M2873" t="s">
        <v>78</v>
      </c>
      <c r="N2873" t="s">
        <v>79</v>
      </c>
      <c r="O2873" t="s">
        <v>74</v>
      </c>
      <c r="P2873" t="s">
        <v>74</v>
      </c>
      <c r="Q2873" t="s">
        <v>74</v>
      </c>
      <c r="R2873" t="s">
        <v>74</v>
      </c>
      <c r="S2873" t="s">
        <v>74</v>
      </c>
      <c r="T2873" t="s">
        <v>47683</v>
      </c>
      <c r="U2873" t="s">
        <v>47684</v>
      </c>
      <c r="V2873" t="s">
        <v>47685</v>
      </c>
      <c r="W2873" t="s">
        <v>47686</v>
      </c>
      <c r="X2873" t="s">
        <v>74</v>
      </c>
      <c r="Y2873" t="s">
        <v>32248</v>
      </c>
      <c r="Z2873" t="s">
        <v>12156</v>
      </c>
      <c r="AA2873" t="s">
        <v>13483</v>
      </c>
      <c r="AB2873" t="s">
        <v>13484</v>
      </c>
      <c r="AC2873" t="s">
        <v>74</v>
      </c>
      <c r="AD2873" t="s">
        <v>74</v>
      </c>
      <c r="AE2873" t="s">
        <v>74</v>
      </c>
      <c r="AF2873" t="s">
        <v>74</v>
      </c>
      <c r="AG2873">
        <v>110</v>
      </c>
      <c r="AH2873">
        <v>11</v>
      </c>
      <c r="AI2873">
        <v>16</v>
      </c>
      <c r="AJ2873">
        <v>0</v>
      </c>
      <c r="AK2873">
        <v>35</v>
      </c>
      <c r="AL2873" t="s">
        <v>89</v>
      </c>
      <c r="AM2873" t="s">
        <v>1497</v>
      </c>
      <c r="AN2873" t="s">
        <v>1498</v>
      </c>
      <c r="AO2873" t="s">
        <v>436</v>
      </c>
      <c r="AP2873" t="s">
        <v>437</v>
      </c>
      <c r="AQ2873" t="s">
        <v>74</v>
      </c>
      <c r="AR2873" t="s">
        <v>438</v>
      </c>
      <c r="AS2873" t="s">
        <v>439</v>
      </c>
      <c r="AT2873" t="s">
        <v>74</v>
      </c>
      <c r="AU2873">
        <v>2019</v>
      </c>
      <c r="AV2873">
        <v>37</v>
      </c>
      <c r="AW2873">
        <v>1</v>
      </c>
      <c r="AX2873" t="s">
        <v>74</v>
      </c>
      <c r="AY2873" t="s">
        <v>74</v>
      </c>
      <c r="AZ2873" t="s">
        <v>74</v>
      </c>
      <c r="BA2873" t="s">
        <v>74</v>
      </c>
      <c r="BB2873">
        <v>20</v>
      </c>
      <c r="BC2873">
        <v>43</v>
      </c>
      <c r="BD2873" t="s">
        <v>74</v>
      </c>
      <c r="BE2873" t="s">
        <v>47687</v>
      </c>
      <c r="BF2873" t="str">
        <f>HYPERLINK("http://dx.doi.org/10.1108/IJBM-08-2017-0174","http://dx.doi.org/10.1108/IJBM-08-2017-0174")</f>
        <v>http://dx.doi.org/10.1108/IJBM-08-2017-0174</v>
      </c>
      <c r="BG2873" t="s">
        <v>74</v>
      </c>
      <c r="BH2873" t="s">
        <v>74</v>
      </c>
      <c r="BI2873">
        <v>24</v>
      </c>
      <c r="BJ2873" t="s">
        <v>418</v>
      </c>
      <c r="BK2873" t="s">
        <v>99</v>
      </c>
      <c r="BL2873" t="s">
        <v>100</v>
      </c>
      <c r="BM2873" t="s">
        <v>12255</v>
      </c>
      <c r="BN2873" t="s">
        <v>74</v>
      </c>
      <c r="BO2873" t="s">
        <v>74</v>
      </c>
      <c r="BP2873" t="s">
        <v>74</v>
      </c>
      <c r="BQ2873" t="s">
        <v>74</v>
      </c>
      <c r="BR2873" t="s">
        <v>102</v>
      </c>
      <c r="BS2873" t="s">
        <v>47688</v>
      </c>
      <c r="BT2873" t="str">
        <f>HYPERLINK("https%3A%2F%2Fwww.webofscience.com%2Fwos%2Fwoscc%2Ffull-record%2FWOS:000488526000002","View Full Record in Web of Science")</f>
        <v>View Full Record in Web of Science</v>
      </c>
    </row>
    <row r="2874" spans="1:72" x14ac:dyDescent="0.25">
      <c r="A2874" t="s">
        <v>72</v>
      </c>
      <c r="B2874" t="s">
        <v>20216</v>
      </c>
      <c r="C2874" t="s">
        <v>74</v>
      </c>
      <c r="D2874" t="s">
        <v>74</v>
      </c>
      <c r="E2874" t="s">
        <v>74</v>
      </c>
      <c r="F2874" t="s">
        <v>20215</v>
      </c>
      <c r="G2874" t="s">
        <v>74</v>
      </c>
      <c r="H2874" t="s">
        <v>74</v>
      </c>
      <c r="I2874" t="s">
        <v>47689</v>
      </c>
      <c r="J2874" t="s">
        <v>20213</v>
      </c>
      <c r="K2874" t="s">
        <v>74</v>
      </c>
      <c r="L2874" t="s">
        <v>74</v>
      </c>
      <c r="M2874" t="s">
        <v>78</v>
      </c>
      <c r="N2874" t="s">
        <v>79</v>
      </c>
      <c r="O2874" t="s">
        <v>74</v>
      </c>
      <c r="P2874" t="s">
        <v>74</v>
      </c>
      <c r="Q2874" t="s">
        <v>74</v>
      </c>
      <c r="R2874" t="s">
        <v>74</v>
      </c>
      <c r="S2874" t="s">
        <v>74</v>
      </c>
      <c r="T2874" t="s">
        <v>47690</v>
      </c>
      <c r="U2874" t="s">
        <v>47691</v>
      </c>
      <c r="V2874" t="s">
        <v>47692</v>
      </c>
      <c r="W2874" t="s">
        <v>47693</v>
      </c>
      <c r="X2874" t="s">
        <v>15466</v>
      </c>
      <c r="Y2874" t="s">
        <v>47694</v>
      </c>
      <c r="Z2874" t="s">
        <v>20208</v>
      </c>
      <c r="AA2874" t="s">
        <v>20207</v>
      </c>
      <c r="AB2874" t="s">
        <v>20206</v>
      </c>
      <c r="AC2874" t="s">
        <v>74</v>
      </c>
      <c r="AD2874" t="s">
        <v>74</v>
      </c>
      <c r="AE2874" t="s">
        <v>74</v>
      </c>
      <c r="AF2874" t="s">
        <v>74</v>
      </c>
      <c r="AG2874">
        <v>44</v>
      </c>
      <c r="AH2874">
        <v>15</v>
      </c>
      <c r="AI2874">
        <v>19</v>
      </c>
      <c r="AJ2874">
        <v>0</v>
      </c>
      <c r="AK2874">
        <v>29</v>
      </c>
      <c r="AL2874" t="s">
        <v>89</v>
      </c>
      <c r="AM2874" t="s">
        <v>1497</v>
      </c>
      <c r="AN2874" t="s">
        <v>1498</v>
      </c>
      <c r="AO2874" t="s">
        <v>20205</v>
      </c>
      <c r="AP2874" t="s">
        <v>20204</v>
      </c>
      <c r="AQ2874" t="s">
        <v>74</v>
      </c>
      <c r="AR2874" t="s">
        <v>20203</v>
      </c>
      <c r="AS2874" t="s">
        <v>20202</v>
      </c>
      <c r="AT2874" t="s">
        <v>74</v>
      </c>
      <c r="AU2874">
        <v>2017</v>
      </c>
      <c r="AV2874">
        <v>8</v>
      </c>
      <c r="AW2874">
        <v>1</v>
      </c>
      <c r="AX2874" t="s">
        <v>74</v>
      </c>
      <c r="AY2874" t="s">
        <v>74</v>
      </c>
      <c r="AZ2874" t="s">
        <v>74</v>
      </c>
      <c r="BA2874" t="s">
        <v>74</v>
      </c>
      <c r="BB2874">
        <v>87</v>
      </c>
      <c r="BC2874">
        <v>99</v>
      </c>
      <c r="BD2874" t="s">
        <v>74</v>
      </c>
      <c r="BE2874" t="s">
        <v>47695</v>
      </c>
      <c r="BF2874" t="str">
        <f>HYPERLINK("http://dx.doi.org/10.1108/JIABR-07-2013-0022","http://dx.doi.org/10.1108/JIABR-07-2013-0022")</f>
        <v>http://dx.doi.org/10.1108/JIABR-07-2013-0022</v>
      </c>
      <c r="BG2874" t="s">
        <v>74</v>
      </c>
      <c r="BH2874" t="s">
        <v>74</v>
      </c>
      <c r="BI2874">
        <v>13</v>
      </c>
      <c r="BJ2874" t="s">
        <v>268</v>
      </c>
      <c r="BK2874" t="s">
        <v>313</v>
      </c>
      <c r="BL2874" t="s">
        <v>100</v>
      </c>
      <c r="BM2874" t="s">
        <v>47696</v>
      </c>
      <c r="BN2874" t="s">
        <v>74</v>
      </c>
      <c r="BO2874" t="s">
        <v>74</v>
      </c>
      <c r="BP2874" t="s">
        <v>74</v>
      </c>
      <c r="BQ2874" t="s">
        <v>74</v>
      </c>
      <c r="BR2874" t="s">
        <v>102</v>
      </c>
      <c r="BS2874" t="s">
        <v>47697</v>
      </c>
      <c r="BT2874" t="str">
        <f>HYPERLINK("https%3A%2F%2Fwww.webofscience.com%2Fwos%2Fwoscc%2Ffull-record%2FWOS:000398665600006","View Full Record in Web of Science")</f>
        <v>View Full Record in Web of Science</v>
      </c>
    </row>
    <row r="2875" spans="1:72" x14ac:dyDescent="0.25">
      <c r="A2875" t="s">
        <v>72</v>
      </c>
      <c r="B2875" t="s">
        <v>47698</v>
      </c>
      <c r="C2875" t="s">
        <v>74</v>
      </c>
      <c r="D2875" t="s">
        <v>74</v>
      </c>
      <c r="E2875" t="s">
        <v>74</v>
      </c>
      <c r="F2875" t="s">
        <v>47699</v>
      </c>
      <c r="G2875" t="s">
        <v>74</v>
      </c>
      <c r="H2875" t="s">
        <v>74</v>
      </c>
      <c r="I2875" t="s">
        <v>47700</v>
      </c>
      <c r="J2875" t="s">
        <v>47701</v>
      </c>
      <c r="K2875" t="s">
        <v>74</v>
      </c>
      <c r="L2875" t="s">
        <v>74</v>
      </c>
      <c r="M2875" t="s">
        <v>78</v>
      </c>
      <c r="N2875" t="s">
        <v>79</v>
      </c>
      <c r="O2875" t="s">
        <v>74</v>
      </c>
      <c r="P2875" t="s">
        <v>74</v>
      </c>
      <c r="Q2875" t="s">
        <v>74</v>
      </c>
      <c r="R2875" t="s">
        <v>74</v>
      </c>
      <c r="S2875" t="s">
        <v>74</v>
      </c>
      <c r="T2875" t="s">
        <v>47702</v>
      </c>
      <c r="U2875" t="s">
        <v>10980</v>
      </c>
      <c r="V2875" t="s">
        <v>47703</v>
      </c>
      <c r="W2875" t="s">
        <v>47704</v>
      </c>
      <c r="X2875" t="s">
        <v>47705</v>
      </c>
      <c r="Y2875" t="s">
        <v>47706</v>
      </c>
      <c r="Z2875" t="s">
        <v>47707</v>
      </c>
      <c r="AA2875" t="s">
        <v>47708</v>
      </c>
      <c r="AB2875" t="s">
        <v>47709</v>
      </c>
      <c r="AC2875" t="s">
        <v>74</v>
      </c>
      <c r="AD2875" t="s">
        <v>74</v>
      </c>
      <c r="AE2875" t="s">
        <v>74</v>
      </c>
      <c r="AF2875" t="s">
        <v>74</v>
      </c>
      <c r="AG2875">
        <v>37</v>
      </c>
      <c r="AH2875">
        <v>5</v>
      </c>
      <c r="AI2875">
        <v>6</v>
      </c>
      <c r="AJ2875">
        <v>1</v>
      </c>
      <c r="AK2875">
        <v>34</v>
      </c>
      <c r="AL2875" t="s">
        <v>47710</v>
      </c>
      <c r="AM2875" t="s">
        <v>47711</v>
      </c>
      <c r="AN2875" t="s">
        <v>47712</v>
      </c>
      <c r="AO2875" t="s">
        <v>47713</v>
      </c>
      <c r="AP2875" t="s">
        <v>74</v>
      </c>
      <c r="AQ2875" t="s">
        <v>74</v>
      </c>
      <c r="AR2875" t="s">
        <v>47714</v>
      </c>
      <c r="AS2875" t="s">
        <v>47715</v>
      </c>
      <c r="AT2875" t="s">
        <v>74</v>
      </c>
      <c r="AU2875">
        <v>2023</v>
      </c>
      <c r="AV2875">
        <v>14</v>
      </c>
      <c r="AW2875">
        <v>4</v>
      </c>
      <c r="AX2875" t="s">
        <v>74</v>
      </c>
      <c r="AY2875" t="s">
        <v>74</v>
      </c>
      <c r="AZ2875" t="s">
        <v>74</v>
      </c>
      <c r="BA2875" t="s">
        <v>74</v>
      </c>
      <c r="BB2875">
        <v>729</v>
      </c>
      <c r="BC2875">
        <v>740</v>
      </c>
      <c r="BD2875" t="s">
        <v>74</v>
      </c>
      <c r="BE2875" t="s">
        <v>47716</v>
      </c>
      <c r="BF2875" t="str">
        <f>HYPERLINK("http://dx.doi.org/10.12720/jait.14.4.729-740","http://dx.doi.org/10.12720/jait.14.4.729-740")</f>
        <v>http://dx.doi.org/10.12720/jait.14.4.729-740</v>
      </c>
      <c r="BG2875" t="s">
        <v>74</v>
      </c>
      <c r="BH2875" t="s">
        <v>74</v>
      </c>
      <c r="BI2875">
        <v>12</v>
      </c>
      <c r="BJ2875" t="s">
        <v>1223</v>
      </c>
      <c r="BK2875" t="s">
        <v>313</v>
      </c>
      <c r="BL2875" t="s">
        <v>157</v>
      </c>
      <c r="BM2875" t="s">
        <v>47717</v>
      </c>
      <c r="BN2875" t="s">
        <v>74</v>
      </c>
      <c r="BO2875" t="s">
        <v>212</v>
      </c>
      <c r="BP2875" t="s">
        <v>74</v>
      </c>
      <c r="BQ2875" t="s">
        <v>74</v>
      </c>
      <c r="BR2875" t="s">
        <v>102</v>
      </c>
      <c r="BS2875" t="s">
        <v>47718</v>
      </c>
      <c r="BT2875" t="str">
        <f>HYPERLINK("https%3A%2F%2Fwww.webofscience.com%2Fwos%2Fwoscc%2Ffull-record%2FWOS:001041723000013","View Full Record in Web of Science")</f>
        <v>View Full Record in Web of Science</v>
      </c>
    </row>
    <row r="2876" spans="1:72" x14ac:dyDescent="0.25">
      <c r="A2876" t="s">
        <v>72</v>
      </c>
      <c r="B2876" t="s">
        <v>47719</v>
      </c>
      <c r="C2876" t="s">
        <v>74</v>
      </c>
      <c r="D2876" t="s">
        <v>74</v>
      </c>
      <c r="E2876" t="s">
        <v>74</v>
      </c>
      <c r="F2876" t="s">
        <v>47720</v>
      </c>
      <c r="G2876" t="s">
        <v>74</v>
      </c>
      <c r="H2876" t="s">
        <v>74</v>
      </c>
      <c r="I2876" t="s">
        <v>47721</v>
      </c>
      <c r="J2876" t="s">
        <v>1309</v>
      </c>
      <c r="K2876" t="s">
        <v>74</v>
      </c>
      <c r="L2876" t="s">
        <v>74</v>
      </c>
      <c r="M2876" t="s">
        <v>78</v>
      </c>
      <c r="N2876" t="s">
        <v>372</v>
      </c>
      <c r="O2876" t="s">
        <v>74</v>
      </c>
      <c r="P2876" t="s">
        <v>74</v>
      </c>
      <c r="Q2876" t="s">
        <v>74</v>
      </c>
      <c r="R2876" t="s">
        <v>74</v>
      </c>
      <c r="S2876" t="s">
        <v>74</v>
      </c>
      <c r="T2876" t="s">
        <v>47722</v>
      </c>
      <c r="U2876" t="s">
        <v>47723</v>
      </c>
      <c r="V2876" t="s">
        <v>47724</v>
      </c>
      <c r="W2876" t="s">
        <v>47725</v>
      </c>
      <c r="X2876" t="s">
        <v>47726</v>
      </c>
      <c r="Y2876" t="s">
        <v>47727</v>
      </c>
      <c r="Z2876" t="s">
        <v>47728</v>
      </c>
      <c r="AA2876" t="s">
        <v>74</v>
      </c>
      <c r="AB2876" t="s">
        <v>47729</v>
      </c>
      <c r="AC2876" t="s">
        <v>74</v>
      </c>
      <c r="AD2876" t="s">
        <v>74</v>
      </c>
      <c r="AE2876" t="s">
        <v>74</v>
      </c>
      <c r="AF2876" t="s">
        <v>74</v>
      </c>
      <c r="AG2876">
        <v>67</v>
      </c>
      <c r="AH2876">
        <v>1</v>
      </c>
      <c r="AI2876">
        <v>2</v>
      </c>
      <c r="AJ2876">
        <v>2</v>
      </c>
      <c r="AK2876">
        <v>5</v>
      </c>
      <c r="AL2876" t="s">
        <v>89</v>
      </c>
      <c r="AM2876" t="s">
        <v>90</v>
      </c>
      <c r="AN2876" t="s">
        <v>91</v>
      </c>
      <c r="AO2876" t="s">
        <v>1317</v>
      </c>
      <c r="AP2876" t="s">
        <v>74</v>
      </c>
      <c r="AQ2876" t="s">
        <v>74</v>
      </c>
      <c r="AR2876" t="s">
        <v>1319</v>
      </c>
      <c r="AS2876" t="s">
        <v>74</v>
      </c>
      <c r="AT2876" t="s">
        <v>47730</v>
      </c>
      <c r="AU2876">
        <v>2024</v>
      </c>
      <c r="AV2876" t="s">
        <v>74</v>
      </c>
      <c r="AW2876" t="s">
        <v>74</v>
      </c>
      <c r="AX2876" t="s">
        <v>74</v>
      </c>
      <c r="AY2876" t="s">
        <v>74</v>
      </c>
      <c r="AZ2876" t="s">
        <v>74</v>
      </c>
      <c r="BA2876" t="s">
        <v>74</v>
      </c>
      <c r="BB2876" t="s">
        <v>74</v>
      </c>
      <c r="BC2876" t="s">
        <v>74</v>
      </c>
      <c r="BD2876" t="s">
        <v>74</v>
      </c>
      <c r="BE2876" t="s">
        <v>47731</v>
      </c>
      <c r="BF2876" t="str">
        <f>HYPERLINK("http://dx.doi.org/10.1108/JES-04-2024-0223","http://dx.doi.org/10.1108/JES-04-2024-0223")</f>
        <v>http://dx.doi.org/10.1108/JES-04-2024-0223</v>
      </c>
      <c r="BG2876" t="s">
        <v>74</v>
      </c>
      <c r="BH2876" t="s">
        <v>1136</v>
      </c>
      <c r="BI2876">
        <v>19</v>
      </c>
      <c r="BJ2876" t="s">
        <v>291</v>
      </c>
      <c r="BK2876" t="s">
        <v>313</v>
      </c>
      <c r="BL2876" t="s">
        <v>100</v>
      </c>
      <c r="BM2876" t="s">
        <v>47732</v>
      </c>
      <c r="BN2876" t="s">
        <v>74</v>
      </c>
      <c r="BO2876" t="s">
        <v>74</v>
      </c>
      <c r="BP2876" t="s">
        <v>74</v>
      </c>
      <c r="BQ2876" t="s">
        <v>74</v>
      </c>
      <c r="BR2876" t="s">
        <v>102</v>
      </c>
      <c r="BS2876" t="s">
        <v>47733</v>
      </c>
      <c r="BT2876" t="str">
        <f>HYPERLINK("https%3A%2F%2Fwww.webofscience.com%2Fwos%2Fwoscc%2Ffull-record%2FWOS:001337172200001","View Full Record in Web of Science")</f>
        <v>View Full Record in Web of Science</v>
      </c>
    </row>
    <row r="2877" spans="1:72" x14ac:dyDescent="0.25">
      <c r="A2877" t="s">
        <v>72</v>
      </c>
      <c r="B2877" t="s">
        <v>47734</v>
      </c>
      <c r="C2877" t="s">
        <v>74</v>
      </c>
      <c r="D2877" t="s">
        <v>74</v>
      </c>
      <c r="E2877" t="s">
        <v>74</v>
      </c>
      <c r="F2877" t="s">
        <v>47735</v>
      </c>
      <c r="G2877" t="s">
        <v>74</v>
      </c>
      <c r="H2877" t="s">
        <v>74</v>
      </c>
      <c r="I2877" t="s">
        <v>47736</v>
      </c>
      <c r="J2877" t="s">
        <v>12172</v>
      </c>
      <c r="K2877" t="s">
        <v>74</v>
      </c>
      <c r="L2877" t="s">
        <v>74</v>
      </c>
      <c r="M2877" t="s">
        <v>78</v>
      </c>
      <c r="N2877" t="s">
        <v>79</v>
      </c>
      <c r="O2877" t="s">
        <v>74</v>
      </c>
      <c r="P2877" t="s">
        <v>74</v>
      </c>
      <c r="Q2877" t="s">
        <v>74</v>
      </c>
      <c r="R2877" t="s">
        <v>74</v>
      </c>
      <c r="S2877" t="s">
        <v>74</v>
      </c>
      <c r="T2877" t="s">
        <v>47737</v>
      </c>
      <c r="U2877" t="s">
        <v>47738</v>
      </c>
      <c r="V2877" t="s">
        <v>47739</v>
      </c>
      <c r="W2877" t="s">
        <v>47740</v>
      </c>
      <c r="X2877" t="s">
        <v>47741</v>
      </c>
      <c r="Y2877" t="s">
        <v>47742</v>
      </c>
      <c r="Z2877" t="s">
        <v>47743</v>
      </c>
      <c r="AA2877" t="s">
        <v>47744</v>
      </c>
      <c r="AB2877" t="s">
        <v>74</v>
      </c>
      <c r="AC2877" t="s">
        <v>74</v>
      </c>
      <c r="AD2877" t="s">
        <v>74</v>
      </c>
      <c r="AE2877" t="s">
        <v>74</v>
      </c>
      <c r="AF2877" t="s">
        <v>74</v>
      </c>
      <c r="AG2877">
        <v>32</v>
      </c>
      <c r="AH2877">
        <v>0</v>
      </c>
      <c r="AI2877">
        <v>0</v>
      </c>
      <c r="AJ2877">
        <v>6</v>
      </c>
      <c r="AK2877">
        <v>6</v>
      </c>
      <c r="AL2877" t="s">
        <v>757</v>
      </c>
      <c r="AM2877" t="s">
        <v>758</v>
      </c>
      <c r="AN2877" t="s">
        <v>759</v>
      </c>
      <c r="AO2877" t="s">
        <v>12179</v>
      </c>
      <c r="AP2877" t="s">
        <v>74</v>
      </c>
      <c r="AQ2877" t="s">
        <v>74</v>
      </c>
      <c r="AR2877" t="s">
        <v>12172</v>
      </c>
      <c r="AS2877" t="s">
        <v>12180</v>
      </c>
      <c r="AT2877" t="s">
        <v>848</v>
      </c>
      <c r="AU2877">
        <v>2025</v>
      </c>
      <c r="AV2877">
        <v>15</v>
      </c>
      <c r="AW2877">
        <v>3</v>
      </c>
      <c r="AX2877" t="s">
        <v>74</v>
      </c>
      <c r="AY2877" t="s">
        <v>74</v>
      </c>
      <c r="AZ2877" t="s">
        <v>74</v>
      </c>
      <c r="BA2877" t="s">
        <v>74</v>
      </c>
      <c r="BB2877" t="s">
        <v>74</v>
      </c>
      <c r="BC2877" t="s">
        <v>74</v>
      </c>
      <c r="BD2877">
        <v>2.158244025135716E+16</v>
      </c>
      <c r="BE2877" t="s">
        <v>47745</v>
      </c>
      <c r="BF2877" t="str">
        <f>HYPERLINK("http://dx.doi.org/10.1177/21582440251357160","http://dx.doi.org/10.1177/21582440251357160")</f>
        <v>http://dx.doi.org/10.1177/21582440251357160</v>
      </c>
      <c r="BG2877" t="s">
        <v>74</v>
      </c>
      <c r="BH2877" t="s">
        <v>74</v>
      </c>
      <c r="BI2877">
        <v>23</v>
      </c>
      <c r="BJ2877" t="s">
        <v>364</v>
      </c>
      <c r="BK2877" t="s">
        <v>99</v>
      </c>
      <c r="BL2877" t="s">
        <v>365</v>
      </c>
      <c r="BM2877" t="s">
        <v>47746</v>
      </c>
      <c r="BN2877" t="s">
        <v>74</v>
      </c>
      <c r="BO2877" t="s">
        <v>212</v>
      </c>
      <c r="BP2877" t="s">
        <v>74</v>
      </c>
      <c r="BQ2877" t="s">
        <v>74</v>
      </c>
      <c r="BR2877" t="s">
        <v>102</v>
      </c>
      <c r="BS2877" t="s">
        <v>47747</v>
      </c>
      <c r="BT2877" t="str">
        <f>HYPERLINK("https%3A%2F%2Fwww.webofscience.com%2Fwos%2Fwoscc%2Ffull-record%2FWOS:001550825700001","View Full Record in Web of Science")</f>
        <v>View Full Record in Web of Science</v>
      </c>
    </row>
    <row r="2878" spans="1:72" x14ac:dyDescent="0.25">
      <c r="A2878" t="s">
        <v>72</v>
      </c>
      <c r="B2878" t="s">
        <v>47748</v>
      </c>
      <c r="C2878" t="s">
        <v>74</v>
      </c>
      <c r="D2878" t="s">
        <v>74</v>
      </c>
      <c r="E2878" t="s">
        <v>74</v>
      </c>
      <c r="F2878" t="s">
        <v>47749</v>
      </c>
      <c r="G2878" t="s">
        <v>74</v>
      </c>
      <c r="H2878" t="s">
        <v>74</v>
      </c>
      <c r="I2878" t="s">
        <v>47750</v>
      </c>
      <c r="J2878" t="s">
        <v>7119</v>
      </c>
      <c r="K2878" t="s">
        <v>74</v>
      </c>
      <c r="L2878" t="s">
        <v>74</v>
      </c>
      <c r="M2878" t="s">
        <v>78</v>
      </c>
      <c r="N2878" t="s">
        <v>372</v>
      </c>
      <c r="O2878" t="s">
        <v>74</v>
      </c>
      <c r="P2878" t="s">
        <v>74</v>
      </c>
      <c r="Q2878" t="s">
        <v>74</v>
      </c>
      <c r="R2878" t="s">
        <v>74</v>
      </c>
      <c r="S2878" t="s">
        <v>74</v>
      </c>
      <c r="T2878" t="s">
        <v>47751</v>
      </c>
      <c r="U2878" t="s">
        <v>47752</v>
      </c>
      <c r="V2878" t="s">
        <v>47753</v>
      </c>
      <c r="W2878" t="s">
        <v>47754</v>
      </c>
      <c r="X2878" t="s">
        <v>24947</v>
      </c>
      <c r="Y2878" t="s">
        <v>47755</v>
      </c>
      <c r="Z2878" t="s">
        <v>47756</v>
      </c>
      <c r="AA2878" t="s">
        <v>74</v>
      </c>
      <c r="AB2878" t="s">
        <v>74</v>
      </c>
      <c r="AC2878" t="s">
        <v>74</v>
      </c>
      <c r="AD2878" t="s">
        <v>74</v>
      </c>
      <c r="AE2878" t="s">
        <v>74</v>
      </c>
      <c r="AF2878" t="s">
        <v>74</v>
      </c>
      <c r="AG2878">
        <v>49</v>
      </c>
      <c r="AH2878">
        <v>0</v>
      </c>
      <c r="AI2878">
        <v>0</v>
      </c>
      <c r="AJ2878">
        <v>16</v>
      </c>
      <c r="AK2878">
        <v>18</v>
      </c>
      <c r="AL2878" t="s">
        <v>89</v>
      </c>
      <c r="AM2878" t="s">
        <v>90</v>
      </c>
      <c r="AN2878" t="s">
        <v>91</v>
      </c>
      <c r="AO2878" t="s">
        <v>7128</v>
      </c>
      <c r="AP2878" t="s">
        <v>74</v>
      </c>
      <c r="AQ2878" t="s">
        <v>74</v>
      </c>
      <c r="AR2878" t="s">
        <v>7129</v>
      </c>
      <c r="AS2878" t="s">
        <v>7130</v>
      </c>
      <c r="AT2878" t="s">
        <v>47757</v>
      </c>
      <c r="AU2878">
        <v>2025</v>
      </c>
      <c r="AV2878" t="s">
        <v>74</v>
      </c>
      <c r="AW2878" t="s">
        <v>74</v>
      </c>
      <c r="AX2878" t="s">
        <v>74</v>
      </c>
      <c r="AY2878" t="s">
        <v>74</v>
      </c>
      <c r="AZ2878" t="s">
        <v>74</v>
      </c>
      <c r="BA2878" t="s">
        <v>74</v>
      </c>
      <c r="BB2878" t="s">
        <v>74</v>
      </c>
      <c r="BC2878" t="s">
        <v>74</v>
      </c>
      <c r="BD2878" t="s">
        <v>74</v>
      </c>
      <c r="BE2878" t="s">
        <v>47758</v>
      </c>
      <c r="BF2878" t="str">
        <f>HYPERLINK("http://dx.doi.org/10.1108/QRFM-07-2024-0198","http://dx.doi.org/10.1108/QRFM-07-2024-0198")</f>
        <v>http://dx.doi.org/10.1108/QRFM-07-2024-0198</v>
      </c>
      <c r="BG2878" t="s">
        <v>74</v>
      </c>
      <c r="BH2878" t="s">
        <v>3389</v>
      </c>
      <c r="BI2878">
        <v>27</v>
      </c>
      <c r="BJ2878" t="s">
        <v>268</v>
      </c>
      <c r="BK2878" t="s">
        <v>313</v>
      </c>
      <c r="BL2878" t="s">
        <v>100</v>
      </c>
      <c r="BM2878" t="s">
        <v>47759</v>
      </c>
      <c r="BN2878" t="s">
        <v>74</v>
      </c>
      <c r="BO2878" t="s">
        <v>74</v>
      </c>
      <c r="BP2878" t="s">
        <v>74</v>
      </c>
      <c r="BQ2878" t="s">
        <v>74</v>
      </c>
      <c r="BR2878" t="s">
        <v>102</v>
      </c>
      <c r="BS2878" t="s">
        <v>47760</v>
      </c>
      <c r="BT2878" t="str">
        <f>HYPERLINK("https%3A%2F%2Fwww.webofscience.com%2Fwos%2Fwoscc%2Ffull-record%2FWOS:001520576300001","View Full Record in Web of Science")</f>
        <v>View Full Record in Web of Science</v>
      </c>
    </row>
    <row r="2879" spans="1:72" x14ac:dyDescent="0.25">
      <c r="A2879" t="s">
        <v>72</v>
      </c>
      <c r="B2879" t="s">
        <v>47761</v>
      </c>
      <c r="C2879" t="s">
        <v>74</v>
      </c>
      <c r="D2879" t="s">
        <v>74</v>
      </c>
      <c r="E2879" t="s">
        <v>74</v>
      </c>
      <c r="F2879" t="s">
        <v>47762</v>
      </c>
      <c r="G2879" t="s">
        <v>74</v>
      </c>
      <c r="H2879" t="s">
        <v>74</v>
      </c>
      <c r="I2879" t="s">
        <v>47763</v>
      </c>
      <c r="J2879" t="s">
        <v>18594</v>
      </c>
      <c r="K2879" t="s">
        <v>74</v>
      </c>
      <c r="L2879" t="s">
        <v>74</v>
      </c>
      <c r="M2879" t="s">
        <v>78</v>
      </c>
      <c r="N2879" t="s">
        <v>79</v>
      </c>
      <c r="O2879" t="s">
        <v>74</v>
      </c>
      <c r="P2879" t="s">
        <v>74</v>
      </c>
      <c r="Q2879" t="s">
        <v>74</v>
      </c>
      <c r="R2879" t="s">
        <v>74</v>
      </c>
      <c r="S2879" t="s">
        <v>74</v>
      </c>
      <c r="T2879" t="s">
        <v>47764</v>
      </c>
      <c r="U2879" t="s">
        <v>47765</v>
      </c>
      <c r="V2879" t="s">
        <v>47766</v>
      </c>
      <c r="W2879" t="s">
        <v>47767</v>
      </c>
      <c r="X2879" t="s">
        <v>47768</v>
      </c>
      <c r="Y2879" t="s">
        <v>47769</v>
      </c>
      <c r="Z2879" t="s">
        <v>47770</v>
      </c>
      <c r="AA2879" t="s">
        <v>47771</v>
      </c>
      <c r="AB2879" t="s">
        <v>47772</v>
      </c>
      <c r="AC2879" t="s">
        <v>47773</v>
      </c>
      <c r="AD2879" t="s">
        <v>47774</v>
      </c>
      <c r="AE2879" t="s">
        <v>47775</v>
      </c>
      <c r="AF2879" t="s">
        <v>74</v>
      </c>
      <c r="AG2879">
        <v>48</v>
      </c>
      <c r="AH2879">
        <v>4</v>
      </c>
      <c r="AI2879">
        <v>6</v>
      </c>
      <c r="AJ2879">
        <v>0</v>
      </c>
      <c r="AK2879">
        <v>2</v>
      </c>
      <c r="AL2879" t="s">
        <v>332</v>
      </c>
      <c r="AM2879" t="s">
        <v>333</v>
      </c>
      <c r="AN2879" t="s">
        <v>334</v>
      </c>
      <c r="AO2879" t="s">
        <v>18584</v>
      </c>
      <c r="AP2879" t="s">
        <v>18583</v>
      </c>
      <c r="AQ2879" t="s">
        <v>74</v>
      </c>
      <c r="AR2879" t="s">
        <v>18582</v>
      </c>
      <c r="AS2879" t="s">
        <v>18581</v>
      </c>
      <c r="AT2879" t="s">
        <v>5028</v>
      </c>
      <c r="AU2879">
        <v>2022</v>
      </c>
      <c r="AV2879">
        <v>50</v>
      </c>
      <c r="AW2879">
        <v>4</v>
      </c>
      <c r="AX2879" t="s">
        <v>74</v>
      </c>
      <c r="AY2879" t="s">
        <v>74</v>
      </c>
      <c r="AZ2879" t="s">
        <v>74</v>
      </c>
      <c r="BA2879" t="s">
        <v>74</v>
      </c>
      <c r="BB2879">
        <v>389</v>
      </c>
      <c r="BC2879">
        <v>405</v>
      </c>
      <c r="BD2879" t="s">
        <v>74</v>
      </c>
      <c r="BE2879" t="s">
        <v>47776</v>
      </c>
      <c r="BF2879" t="str">
        <f>HYPERLINK("http://dx.doi.org/10.1080/13600818.2022.2088718","http://dx.doi.org/10.1080/13600818.2022.2088718")</f>
        <v>http://dx.doi.org/10.1080/13600818.2022.2088718</v>
      </c>
      <c r="BG2879" t="s">
        <v>74</v>
      </c>
      <c r="BH2879" t="s">
        <v>1802</v>
      </c>
      <c r="BI2879">
        <v>17</v>
      </c>
      <c r="BJ2879" t="s">
        <v>1137</v>
      </c>
      <c r="BK2879" t="s">
        <v>313</v>
      </c>
      <c r="BL2879" t="s">
        <v>1137</v>
      </c>
      <c r="BM2879" t="s">
        <v>47777</v>
      </c>
      <c r="BN2879" t="s">
        <v>74</v>
      </c>
      <c r="BO2879" t="s">
        <v>74</v>
      </c>
      <c r="BP2879" t="s">
        <v>74</v>
      </c>
      <c r="BQ2879" t="s">
        <v>74</v>
      </c>
      <c r="BR2879" t="s">
        <v>102</v>
      </c>
      <c r="BS2879" t="s">
        <v>47778</v>
      </c>
      <c r="BT2879" t="str">
        <f>HYPERLINK("https%3A%2F%2Fwww.webofscience.com%2Fwos%2Fwoscc%2Ffull-record%2FWOS:000812124000001","View Full Record in Web of Science")</f>
        <v>View Full Record in Web of Science</v>
      </c>
    </row>
    <row r="2880" spans="1:72" x14ac:dyDescent="0.25">
      <c r="A2880" t="s">
        <v>72</v>
      </c>
      <c r="B2880" t="s">
        <v>47779</v>
      </c>
      <c r="C2880" t="s">
        <v>74</v>
      </c>
      <c r="D2880" t="s">
        <v>74</v>
      </c>
      <c r="E2880" t="s">
        <v>74</v>
      </c>
      <c r="F2880" t="s">
        <v>47780</v>
      </c>
      <c r="G2880" t="s">
        <v>74</v>
      </c>
      <c r="H2880" t="s">
        <v>74</v>
      </c>
      <c r="I2880" t="s">
        <v>47781</v>
      </c>
      <c r="J2880" t="s">
        <v>20670</v>
      </c>
      <c r="K2880" t="s">
        <v>74</v>
      </c>
      <c r="L2880" t="s">
        <v>74</v>
      </c>
      <c r="M2880" t="s">
        <v>78</v>
      </c>
      <c r="N2880" t="s">
        <v>79</v>
      </c>
      <c r="O2880" t="s">
        <v>74</v>
      </c>
      <c r="P2880" t="s">
        <v>74</v>
      </c>
      <c r="Q2880" t="s">
        <v>74</v>
      </c>
      <c r="R2880" t="s">
        <v>74</v>
      </c>
      <c r="S2880" t="s">
        <v>74</v>
      </c>
      <c r="T2880" t="s">
        <v>47782</v>
      </c>
      <c r="U2880" t="s">
        <v>47783</v>
      </c>
      <c r="V2880" t="s">
        <v>47784</v>
      </c>
      <c r="W2880" t="s">
        <v>47785</v>
      </c>
      <c r="X2880" t="s">
        <v>47786</v>
      </c>
      <c r="Y2880" t="s">
        <v>47787</v>
      </c>
      <c r="Z2880" t="s">
        <v>47788</v>
      </c>
      <c r="AA2880" t="s">
        <v>47789</v>
      </c>
      <c r="AB2880" t="s">
        <v>74</v>
      </c>
      <c r="AC2880" t="s">
        <v>47790</v>
      </c>
      <c r="AD2880" t="s">
        <v>47791</v>
      </c>
      <c r="AE2880" t="s">
        <v>47792</v>
      </c>
      <c r="AF2880" t="s">
        <v>74</v>
      </c>
      <c r="AG2880">
        <v>90</v>
      </c>
      <c r="AH2880">
        <v>0</v>
      </c>
      <c r="AI2880">
        <v>0</v>
      </c>
      <c r="AJ2880">
        <v>3</v>
      </c>
      <c r="AK2880">
        <v>13</v>
      </c>
      <c r="AL2880" t="s">
        <v>201</v>
      </c>
      <c r="AM2880" t="s">
        <v>202</v>
      </c>
      <c r="AN2880" t="s">
        <v>203</v>
      </c>
      <c r="AO2880" t="s">
        <v>20660</v>
      </c>
      <c r="AP2880" t="s">
        <v>20659</v>
      </c>
      <c r="AQ2880" t="s">
        <v>74</v>
      </c>
      <c r="AR2880" t="s">
        <v>20658</v>
      </c>
      <c r="AS2880" t="s">
        <v>20657</v>
      </c>
      <c r="AT2880" t="s">
        <v>605</v>
      </c>
      <c r="AU2880">
        <v>2024</v>
      </c>
      <c r="AV2880">
        <v>41</v>
      </c>
      <c r="AW2880" t="s">
        <v>74</v>
      </c>
      <c r="AX2880" t="s">
        <v>74</v>
      </c>
      <c r="AY2880" t="s">
        <v>74</v>
      </c>
      <c r="AZ2880" t="s">
        <v>74</v>
      </c>
      <c r="BA2880" t="s">
        <v>74</v>
      </c>
      <c r="BB2880" t="s">
        <v>74</v>
      </c>
      <c r="BC2880" t="s">
        <v>74</v>
      </c>
      <c r="BD2880">
        <v>100902</v>
      </c>
      <c r="BE2880" t="s">
        <v>47793</v>
      </c>
      <c r="BF2880" t="str">
        <f>HYPERLINK("http://dx.doi.org/10.1016/j.jbef.2024.100902","http://dx.doi.org/10.1016/j.jbef.2024.100902")</f>
        <v>http://dx.doi.org/10.1016/j.jbef.2024.100902</v>
      </c>
      <c r="BG2880" t="s">
        <v>74</v>
      </c>
      <c r="BH2880" t="s">
        <v>1239</v>
      </c>
      <c r="BI2880">
        <v>13</v>
      </c>
      <c r="BJ2880" t="s">
        <v>210</v>
      </c>
      <c r="BK2880" t="s">
        <v>99</v>
      </c>
      <c r="BL2880" t="s">
        <v>100</v>
      </c>
      <c r="BM2880" t="s">
        <v>47794</v>
      </c>
      <c r="BN2880" t="s">
        <v>74</v>
      </c>
      <c r="BO2880" t="s">
        <v>74</v>
      </c>
      <c r="BP2880" t="s">
        <v>74</v>
      </c>
      <c r="BQ2880" t="s">
        <v>74</v>
      </c>
      <c r="BR2880" t="s">
        <v>102</v>
      </c>
      <c r="BS2880" t="s">
        <v>47795</v>
      </c>
      <c r="BT2880" t="str">
        <f>HYPERLINK("https%3A%2F%2Fwww.webofscience.com%2Fwos%2Fwoscc%2Ffull-record%2FWOS:001199561100001","View Full Record in Web of Science")</f>
        <v>View Full Record in Web of Science</v>
      </c>
    </row>
    <row r="2881" spans="1:72" x14ac:dyDescent="0.25">
      <c r="A2881" t="s">
        <v>72</v>
      </c>
      <c r="B2881" t="s">
        <v>47796</v>
      </c>
      <c r="C2881" t="s">
        <v>74</v>
      </c>
      <c r="D2881" t="s">
        <v>74</v>
      </c>
      <c r="E2881" t="s">
        <v>74</v>
      </c>
      <c r="F2881" t="s">
        <v>47797</v>
      </c>
      <c r="G2881" t="s">
        <v>74</v>
      </c>
      <c r="H2881" t="s">
        <v>74</v>
      </c>
      <c r="I2881" t="s">
        <v>47798</v>
      </c>
      <c r="J2881" t="s">
        <v>38063</v>
      </c>
      <c r="K2881" t="s">
        <v>74</v>
      </c>
      <c r="L2881" t="s">
        <v>74</v>
      </c>
      <c r="M2881" t="s">
        <v>78</v>
      </c>
      <c r="N2881" t="s">
        <v>79</v>
      </c>
      <c r="O2881" t="s">
        <v>74</v>
      </c>
      <c r="P2881" t="s">
        <v>74</v>
      </c>
      <c r="Q2881" t="s">
        <v>74</v>
      </c>
      <c r="R2881" t="s">
        <v>74</v>
      </c>
      <c r="S2881" t="s">
        <v>74</v>
      </c>
      <c r="T2881" t="s">
        <v>47799</v>
      </c>
      <c r="U2881" t="s">
        <v>47800</v>
      </c>
      <c r="V2881" t="s">
        <v>47801</v>
      </c>
      <c r="W2881" t="s">
        <v>47802</v>
      </c>
      <c r="X2881" t="s">
        <v>74</v>
      </c>
      <c r="Y2881" t="s">
        <v>47803</v>
      </c>
      <c r="Z2881" t="s">
        <v>47804</v>
      </c>
      <c r="AA2881" t="s">
        <v>74</v>
      </c>
      <c r="AB2881" t="s">
        <v>47805</v>
      </c>
      <c r="AC2881" t="s">
        <v>74</v>
      </c>
      <c r="AD2881" t="s">
        <v>74</v>
      </c>
      <c r="AE2881" t="s">
        <v>74</v>
      </c>
      <c r="AF2881" t="s">
        <v>74</v>
      </c>
      <c r="AG2881">
        <v>70</v>
      </c>
      <c r="AH2881">
        <v>0</v>
      </c>
      <c r="AI2881">
        <v>0</v>
      </c>
      <c r="AJ2881">
        <v>0</v>
      </c>
      <c r="AK2881">
        <v>4</v>
      </c>
      <c r="AL2881" t="s">
        <v>89</v>
      </c>
      <c r="AM2881" t="s">
        <v>90</v>
      </c>
      <c r="AN2881" t="s">
        <v>91</v>
      </c>
      <c r="AO2881" t="s">
        <v>38074</v>
      </c>
      <c r="AP2881" t="s">
        <v>38075</v>
      </c>
      <c r="AQ2881" t="s">
        <v>74</v>
      </c>
      <c r="AR2881" t="s">
        <v>38076</v>
      </c>
      <c r="AS2881" t="s">
        <v>38077</v>
      </c>
      <c r="AT2881" t="s">
        <v>3206</v>
      </c>
      <c r="AU2881">
        <v>2025</v>
      </c>
      <c r="AV2881">
        <v>17</v>
      </c>
      <c r="AW2881">
        <v>1</v>
      </c>
      <c r="AX2881" t="s">
        <v>74</v>
      </c>
      <c r="AY2881" t="s">
        <v>74</v>
      </c>
      <c r="AZ2881" t="s">
        <v>74</v>
      </c>
      <c r="BA2881" t="s">
        <v>74</v>
      </c>
      <c r="BB2881">
        <v>83</v>
      </c>
      <c r="BC2881">
        <v>99</v>
      </c>
      <c r="BD2881" t="s">
        <v>74</v>
      </c>
      <c r="BE2881" t="s">
        <v>47806</v>
      </c>
      <c r="BF2881" t="str">
        <f>HYPERLINK("http://dx.doi.org/10.1108/RBF-11-2023-0313","http://dx.doi.org/10.1108/RBF-11-2023-0313")</f>
        <v>http://dx.doi.org/10.1108/RBF-11-2023-0313</v>
      </c>
      <c r="BG2881" t="s">
        <v>74</v>
      </c>
      <c r="BH2881" t="s">
        <v>267</v>
      </c>
      <c r="BI2881">
        <v>17</v>
      </c>
      <c r="BJ2881" t="s">
        <v>268</v>
      </c>
      <c r="BK2881" t="s">
        <v>313</v>
      </c>
      <c r="BL2881" t="s">
        <v>100</v>
      </c>
      <c r="BM2881" t="s">
        <v>47807</v>
      </c>
      <c r="BN2881" t="s">
        <v>74</v>
      </c>
      <c r="BO2881" t="s">
        <v>74</v>
      </c>
      <c r="BP2881" t="s">
        <v>74</v>
      </c>
      <c r="BQ2881" t="s">
        <v>74</v>
      </c>
      <c r="BR2881" t="s">
        <v>102</v>
      </c>
      <c r="BS2881" t="s">
        <v>47808</v>
      </c>
      <c r="BT2881" t="str">
        <f>HYPERLINK("https%3A%2F%2Fwww.webofscience.com%2Fwos%2Fwoscc%2Ffull-record%2FWOS:001362268900001","View Full Record in Web of Science")</f>
        <v>View Full Record in Web of Science</v>
      </c>
    </row>
    <row r="2882" spans="1:72" x14ac:dyDescent="0.25">
      <c r="A2882" t="s">
        <v>72</v>
      </c>
      <c r="B2882" t="s">
        <v>47809</v>
      </c>
      <c r="C2882" t="s">
        <v>74</v>
      </c>
      <c r="D2882" t="s">
        <v>74</v>
      </c>
      <c r="E2882" t="s">
        <v>74</v>
      </c>
      <c r="F2882" t="s">
        <v>47810</v>
      </c>
      <c r="G2882" t="s">
        <v>74</v>
      </c>
      <c r="H2882" t="s">
        <v>74</v>
      </c>
      <c r="I2882" t="s">
        <v>47811</v>
      </c>
      <c r="J2882" t="s">
        <v>4956</v>
      </c>
      <c r="K2882" t="s">
        <v>74</v>
      </c>
      <c r="L2882" t="s">
        <v>74</v>
      </c>
      <c r="M2882" t="s">
        <v>78</v>
      </c>
      <c r="N2882" t="s">
        <v>79</v>
      </c>
      <c r="O2882" t="s">
        <v>74</v>
      </c>
      <c r="P2882" t="s">
        <v>74</v>
      </c>
      <c r="Q2882" t="s">
        <v>74</v>
      </c>
      <c r="R2882" t="s">
        <v>74</v>
      </c>
      <c r="S2882" t="s">
        <v>74</v>
      </c>
      <c r="T2882" t="s">
        <v>47812</v>
      </c>
      <c r="U2882" t="s">
        <v>47813</v>
      </c>
      <c r="V2882" t="s">
        <v>47814</v>
      </c>
      <c r="W2882" t="s">
        <v>47815</v>
      </c>
      <c r="X2882" t="s">
        <v>47816</v>
      </c>
      <c r="Y2882" t="s">
        <v>47817</v>
      </c>
      <c r="Z2882" t="s">
        <v>47818</v>
      </c>
      <c r="AA2882" t="s">
        <v>74</v>
      </c>
      <c r="AB2882" t="s">
        <v>47819</v>
      </c>
      <c r="AC2882" t="s">
        <v>47820</v>
      </c>
      <c r="AD2882" t="s">
        <v>47821</v>
      </c>
      <c r="AE2882" t="s">
        <v>47822</v>
      </c>
      <c r="AF2882" t="s">
        <v>74</v>
      </c>
      <c r="AG2882">
        <v>97</v>
      </c>
      <c r="AH2882">
        <v>26</v>
      </c>
      <c r="AI2882">
        <v>30</v>
      </c>
      <c r="AJ2882">
        <v>3</v>
      </c>
      <c r="AK2882">
        <v>33</v>
      </c>
      <c r="AL2882" t="s">
        <v>230</v>
      </c>
      <c r="AM2882" t="s">
        <v>231</v>
      </c>
      <c r="AN2882" t="s">
        <v>232</v>
      </c>
      <c r="AO2882" t="s">
        <v>4966</v>
      </c>
      <c r="AP2882" t="s">
        <v>4967</v>
      </c>
      <c r="AQ2882" t="s">
        <v>74</v>
      </c>
      <c r="AR2882" t="s">
        <v>4968</v>
      </c>
      <c r="AS2882" t="s">
        <v>4969</v>
      </c>
      <c r="AT2882" t="s">
        <v>208</v>
      </c>
      <c r="AU2882">
        <v>2020</v>
      </c>
      <c r="AV2882">
        <v>125</v>
      </c>
      <c r="AW2882" t="s">
        <v>74</v>
      </c>
      <c r="AX2882" t="s">
        <v>74</v>
      </c>
      <c r="AY2882" t="s">
        <v>74</v>
      </c>
      <c r="AZ2882" t="s">
        <v>74</v>
      </c>
      <c r="BA2882" t="s">
        <v>74</v>
      </c>
      <c r="BB2882" t="s">
        <v>74</v>
      </c>
      <c r="BC2882" t="s">
        <v>74</v>
      </c>
      <c r="BD2882">
        <v>104621</v>
      </c>
      <c r="BE2882" t="s">
        <v>47823</v>
      </c>
      <c r="BF2882" t="str">
        <f>HYPERLINK("http://dx.doi.org/10.1016/j.worlddev.2019.104621","http://dx.doi.org/10.1016/j.worlddev.2019.104621")</f>
        <v>http://dx.doi.org/10.1016/j.worlddev.2019.104621</v>
      </c>
      <c r="BG2882" t="s">
        <v>74</v>
      </c>
      <c r="BH2882" t="s">
        <v>74</v>
      </c>
      <c r="BI2882">
        <v>14</v>
      </c>
      <c r="BJ2882" t="s">
        <v>701</v>
      </c>
      <c r="BK2882" t="s">
        <v>99</v>
      </c>
      <c r="BL2882" t="s">
        <v>702</v>
      </c>
      <c r="BM2882" t="s">
        <v>47824</v>
      </c>
      <c r="BN2882" t="s">
        <v>74</v>
      </c>
      <c r="BO2882" t="s">
        <v>466</v>
      </c>
      <c r="BP2882" t="s">
        <v>74</v>
      </c>
      <c r="BQ2882" t="s">
        <v>74</v>
      </c>
      <c r="BR2882" t="s">
        <v>102</v>
      </c>
      <c r="BS2882" t="s">
        <v>47825</v>
      </c>
      <c r="BT2882" t="str">
        <f>HYPERLINK("https%3A%2F%2Fwww.webofscience.com%2Fwos%2Fwoscc%2Ffull-record%2FWOS:000496605200003","View Full Record in Web of Science")</f>
        <v>View Full Record in Web of Science</v>
      </c>
    </row>
    <row r="2883" spans="1:72" x14ac:dyDescent="0.25">
      <c r="A2883" t="s">
        <v>72</v>
      </c>
      <c r="B2883" t="s">
        <v>47826</v>
      </c>
      <c r="C2883" t="s">
        <v>74</v>
      </c>
      <c r="D2883" t="s">
        <v>74</v>
      </c>
      <c r="E2883" t="s">
        <v>74</v>
      </c>
      <c r="F2883" t="s">
        <v>47827</v>
      </c>
      <c r="G2883" t="s">
        <v>74</v>
      </c>
      <c r="H2883" t="s">
        <v>74</v>
      </c>
      <c r="I2883" t="s">
        <v>47828</v>
      </c>
      <c r="J2883" t="s">
        <v>7424</v>
      </c>
      <c r="K2883" t="s">
        <v>74</v>
      </c>
      <c r="L2883" t="s">
        <v>74</v>
      </c>
      <c r="M2883" t="s">
        <v>78</v>
      </c>
      <c r="N2883" t="s">
        <v>79</v>
      </c>
      <c r="O2883" t="s">
        <v>74</v>
      </c>
      <c r="P2883" t="s">
        <v>74</v>
      </c>
      <c r="Q2883" t="s">
        <v>74</v>
      </c>
      <c r="R2883" t="s">
        <v>74</v>
      </c>
      <c r="S2883" t="s">
        <v>74</v>
      </c>
      <c r="T2883" t="s">
        <v>74</v>
      </c>
      <c r="U2883" t="s">
        <v>15835</v>
      </c>
      <c r="V2883" t="s">
        <v>47829</v>
      </c>
      <c r="W2883" t="s">
        <v>47830</v>
      </c>
      <c r="X2883" t="s">
        <v>47831</v>
      </c>
      <c r="Y2883" t="s">
        <v>47832</v>
      </c>
      <c r="Z2883" t="s">
        <v>47833</v>
      </c>
      <c r="AA2883" t="s">
        <v>47834</v>
      </c>
      <c r="AB2883" t="s">
        <v>47835</v>
      </c>
      <c r="AC2883" t="s">
        <v>74</v>
      </c>
      <c r="AD2883" t="s">
        <v>74</v>
      </c>
      <c r="AE2883" t="s">
        <v>74</v>
      </c>
      <c r="AF2883" t="s">
        <v>74</v>
      </c>
      <c r="AG2883">
        <v>32</v>
      </c>
      <c r="AH2883">
        <v>11</v>
      </c>
      <c r="AI2883">
        <v>13</v>
      </c>
      <c r="AJ2883">
        <v>0</v>
      </c>
      <c r="AK2883">
        <v>5</v>
      </c>
      <c r="AL2883" t="s">
        <v>7432</v>
      </c>
      <c r="AM2883" t="s">
        <v>7433</v>
      </c>
      <c r="AN2883" t="s">
        <v>7434</v>
      </c>
      <c r="AO2883" t="s">
        <v>7435</v>
      </c>
      <c r="AP2883" t="s">
        <v>7436</v>
      </c>
      <c r="AQ2883" t="s">
        <v>74</v>
      </c>
      <c r="AR2883" t="s">
        <v>7437</v>
      </c>
      <c r="AS2883" t="s">
        <v>7438</v>
      </c>
      <c r="AT2883" t="s">
        <v>29065</v>
      </c>
      <c r="AU2883">
        <v>2016</v>
      </c>
      <c r="AV2883">
        <v>12</v>
      </c>
      <c r="AW2883">
        <v>4</v>
      </c>
      <c r="AX2883" t="s">
        <v>74</v>
      </c>
      <c r="AY2883" t="s">
        <v>74</v>
      </c>
      <c r="AZ2883" t="s">
        <v>74</v>
      </c>
      <c r="BA2883" t="s">
        <v>74</v>
      </c>
      <c r="BB2883">
        <v>11</v>
      </c>
      <c r="BC2883">
        <v>21</v>
      </c>
      <c r="BD2883" t="s">
        <v>74</v>
      </c>
      <c r="BE2883" t="s">
        <v>74</v>
      </c>
      <c r="BF2883" t="s">
        <v>74</v>
      </c>
      <c r="BG2883" t="s">
        <v>74</v>
      </c>
      <c r="BH2883" t="s">
        <v>74</v>
      </c>
      <c r="BI2883">
        <v>11</v>
      </c>
      <c r="BJ2883" t="s">
        <v>2351</v>
      </c>
      <c r="BK2883" t="s">
        <v>313</v>
      </c>
      <c r="BL2883" t="s">
        <v>2351</v>
      </c>
      <c r="BM2883" t="s">
        <v>47836</v>
      </c>
      <c r="BN2883" t="s">
        <v>74</v>
      </c>
      <c r="BO2883" t="s">
        <v>74</v>
      </c>
      <c r="BP2883" t="s">
        <v>74</v>
      </c>
      <c r="BQ2883" t="s">
        <v>74</v>
      </c>
      <c r="BR2883" t="s">
        <v>102</v>
      </c>
      <c r="BS2883" t="s">
        <v>47837</v>
      </c>
      <c r="BT2883" t="str">
        <f>HYPERLINK("https%3A%2F%2Fwww.webofscience.com%2Fwos%2Fwoscc%2Ffull-record%2FWOS:000391009800003","View Full Record in Web of Science")</f>
        <v>View Full Record in Web of Science</v>
      </c>
    </row>
    <row r="2884" spans="1:72" x14ac:dyDescent="0.25">
      <c r="A2884" t="s">
        <v>72</v>
      </c>
      <c r="B2884" t="s">
        <v>47838</v>
      </c>
      <c r="C2884" t="s">
        <v>74</v>
      </c>
      <c r="D2884" t="s">
        <v>74</v>
      </c>
      <c r="E2884" t="s">
        <v>74</v>
      </c>
      <c r="F2884" t="s">
        <v>47839</v>
      </c>
      <c r="G2884" t="s">
        <v>74</v>
      </c>
      <c r="H2884" t="s">
        <v>74</v>
      </c>
      <c r="I2884" t="s">
        <v>47840</v>
      </c>
      <c r="J2884" t="s">
        <v>10469</v>
      </c>
      <c r="K2884" t="s">
        <v>74</v>
      </c>
      <c r="L2884" t="s">
        <v>74</v>
      </c>
      <c r="M2884" t="s">
        <v>78</v>
      </c>
      <c r="N2884" t="s">
        <v>79</v>
      </c>
      <c r="O2884" t="s">
        <v>74</v>
      </c>
      <c r="P2884" t="s">
        <v>74</v>
      </c>
      <c r="Q2884" t="s">
        <v>74</v>
      </c>
      <c r="R2884" t="s">
        <v>74</v>
      </c>
      <c r="S2884" t="s">
        <v>74</v>
      </c>
      <c r="T2884" t="s">
        <v>47841</v>
      </c>
      <c r="U2884" t="s">
        <v>74</v>
      </c>
      <c r="V2884" t="s">
        <v>47842</v>
      </c>
      <c r="W2884" t="s">
        <v>47843</v>
      </c>
      <c r="X2884" t="s">
        <v>47844</v>
      </c>
      <c r="Y2884" t="s">
        <v>47845</v>
      </c>
      <c r="Z2884" t="s">
        <v>47846</v>
      </c>
      <c r="AA2884" t="s">
        <v>74</v>
      </c>
      <c r="AB2884" t="s">
        <v>74</v>
      </c>
      <c r="AC2884" t="s">
        <v>47847</v>
      </c>
      <c r="AD2884" t="s">
        <v>47848</v>
      </c>
      <c r="AE2884" t="s">
        <v>47849</v>
      </c>
      <c r="AF2884" t="s">
        <v>74</v>
      </c>
      <c r="AG2884">
        <v>21</v>
      </c>
      <c r="AH2884">
        <v>5</v>
      </c>
      <c r="AI2884">
        <v>6</v>
      </c>
      <c r="AJ2884">
        <v>0</v>
      </c>
      <c r="AK2884">
        <v>2</v>
      </c>
      <c r="AL2884" t="s">
        <v>332</v>
      </c>
      <c r="AM2884" t="s">
        <v>333</v>
      </c>
      <c r="AN2884" t="s">
        <v>334</v>
      </c>
      <c r="AO2884" t="s">
        <v>10477</v>
      </c>
      <c r="AP2884" t="s">
        <v>10478</v>
      </c>
      <c r="AQ2884" t="s">
        <v>74</v>
      </c>
      <c r="AR2884" t="s">
        <v>10479</v>
      </c>
      <c r="AS2884" t="s">
        <v>10480</v>
      </c>
      <c r="AT2884" t="s">
        <v>13051</v>
      </c>
      <c r="AU2884">
        <v>2021</v>
      </c>
      <c r="AV2884">
        <v>31</v>
      </c>
      <c r="AW2884">
        <v>2</v>
      </c>
      <c r="AX2884" t="s">
        <v>74</v>
      </c>
      <c r="AY2884" t="s">
        <v>74</v>
      </c>
      <c r="AZ2884" t="s">
        <v>74</v>
      </c>
      <c r="BA2884" t="s">
        <v>74</v>
      </c>
      <c r="BB2884">
        <v>139</v>
      </c>
      <c r="BC2884">
        <v>149</v>
      </c>
      <c r="BD2884" t="s">
        <v>74</v>
      </c>
      <c r="BE2884" t="s">
        <v>47850</v>
      </c>
      <c r="BF2884" t="str">
        <f>HYPERLINK("http://dx.doi.org/10.1080/09614524.2020.1828828","http://dx.doi.org/10.1080/09614524.2020.1828828")</f>
        <v>http://dx.doi.org/10.1080/09614524.2020.1828828</v>
      </c>
      <c r="BG2884" t="s">
        <v>74</v>
      </c>
      <c r="BH2884" t="s">
        <v>22961</v>
      </c>
      <c r="BI2884">
        <v>11</v>
      </c>
      <c r="BJ2884" t="s">
        <v>1137</v>
      </c>
      <c r="BK2884" t="s">
        <v>313</v>
      </c>
      <c r="BL2884" t="s">
        <v>1137</v>
      </c>
      <c r="BM2884" t="s">
        <v>47851</v>
      </c>
      <c r="BN2884" t="s">
        <v>74</v>
      </c>
      <c r="BO2884" t="s">
        <v>74</v>
      </c>
      <c r="BP2884" t="s">
        <v>74</v>
      </c>
      <c r="BQ2884" t="s">
        <v>74</v>
      </c>
      <c r="BR2884" t="s">
        <v>102</v>
      </c>
      <c r="BS2884" t="s">
        <v>47852</v>
      </c>
      <c r="BT2884" t="str">
        <f>HYPERLINK("https%3A%2F%2Fwww.webofscience.com%2Fwos%2Fwoscc%2Ffull-record%2FWOS:000579893100001","View Full Record in Web of Science")</f>
        <v>View Full Record in Web of Science</v>
      </c>
    </row>
    <row r="2885" spans="1:72" x14ac:dyDescent="0.25">
      <c r="A2885" t="s">
        <v>72</v>
      </c>
      <c r="B2885" t="s">
        <v>47853</v>
      </c>
      <c r="C2885" t="s">
        <v>74</v>
      </c>
      <c r="D2885" t="s">
        <v>74</v>
      </c>
      <c r="E2885" t="s">
        <v>74</v>
      </c>
      <c r="F2885" t="s">
        <v>47854</v>
      </c>
      <c r="G2885" t="s">
        <v>74</v>
      </c>
      <c r="H2885" t="s">
        <v>74</v>
      </c>
      <c r="I2885" t="s">
        <v>47855</v>
      </c>
      <c r="J2885" t="s">
        <v>1122</v>
      </c>
      <c r="K2885" t="s">
        <v>74</v>
      </c>
      <c r="L2885" t="s">
        <v>74</v>
      </c>
      <c r="M2885" t="s">
        <v>78</v>
      </c>
      <c r="N2885" t="s">
        <v>79</v>
      </c>
      <c r="O2885" t="s">
        <v>74</v>
      </c>
      <c r="P2885" t="s">
        <v>74</v>
      </c>
      <c r="Q2885" t="s">
        <v>74</v>
      </c>
      <c r="R2885" t="s">
        <v>74</v>
      </c>
      <c r="S2885" t="s">
        <v>74</v>
      </c>
      <c r="T2885" t="s">
        <v>74</v>
      </c>
      <c r="U2885" t="s">
        <v>3231</v>
      </c>
      <c r="V2885" t="s">
        <v>47856</v>
      </c>
      <c r="W2885" t="s">
        <v>47857</v>
      </c>
      <c r="X2885" t="s">
        <v>74</v>
      </c>
      <c r="Y2885" t="s">
        <v>47858</v>
      </c>
      <c r="Z2885" t="s">
        <v>47859</v>
      </c>
      <c r="AA2885" t="s">
        <v>47860</v>
      </c>
      <c r="AB2885" t="s">
        <v>47861</v>
      </c>
      <c r="AC2885" t="s">
        <v>74</v>
      </c>
      <c r="AD2885" t="s">
        <v>74</v>
      </c>
      <c r="AE2885" t="s">
        <v>74</v>
      </c>
      <c r="AF2885" t="s">
        <v>74</v>
      </c>
      <c r="AG2885">
        <v>43</v>
      </c>
      <c r="AH2885">
        <v>16</v>
      </c>
      <c r="AI2885">
        <v>22</v>
      </c>
      <c r="AJ2885">
        <v>0</v>
      </c>
      <c r="AK2885">
        <v>9</v>
      </c>
      <c r="AL2885" t="s">
        <v>5317</v>
      </c>
      <c r="AM2885" t="s">
        <v>480</v>
      </c>
      <c r="AN2885" t="s">
        <v>481</v>
      </c>
      <c r="AO2885" t="s">
        <v>1131</v>
      </c>
      <c r="AP2885" t="s">
        <v>1132</v>
      </c>
      <c r="AQ2885" t="s">
        <v>74</v>
      </c>
      <c r="AR2885" t="s">
        <v>1133</v>
      </c>
      <c r="AS2885" t="s">
        <v>1134</v>
      </c>
      <c r="AT2885" t="s">
        <v>1652</v>
      </c>
      <c r="AU2885">
        <v>2015</v>
      </c>
      <c r="AV2885">
        <v>27</v>
      </c>
      <c r="AW2885">
        <v>2</v>
      </c>
      <c r="AX2885" t="s">
        <v>74</v>
      </c>
      <c r="AY2885" t="s">
        <v>74</v>
      </c>
      <c r="AZ2885" t="s">
        <v>74</v>
      </c>
      <c r="BA2885" t="s">
        <v>74</v>
      </c>
      <c r="BB2885">
        <v>117</v>
      </c>
      <c r="BC2885">
        <v>129</v>
      </c>
      <c r="BD2885" t="s">
        <v>74</v>
      </c>
      <c r="BE2885" t="s">
        <v>47862</v>
      </c>
      <c r="BF2885" t="str">
        <f>HYPERLINK("http://dx.doi.org/10.1111/1467-8268.12128","http://dx.doi.org/10.1111/1467-8268.12128")</f>
        <v>http://dx.doi.org/10.1111/1467-8268.12128</v>
      </c>
      <c r="BG2885" t="s">
        <v>74</v>
      </c>
      <c r="BH2885" t="s">
        <v>74</v>
      </c>
      <c r="BI2885">
        <v>13</v>
      </c>
      <c r="BJ2885" t="s">
        <v>1137</v>
      </c>
      <c r="BK2885" t="s">
        <v>99</v>
      </c>
      <c r="BL2885" t="s">
        <v>1137</v>
      </c>
      <c r="BM2885" t="s">
        <v>47863</v>
      </c>
      <c r="BN2885" t="s">
        <v>74</v>
      </c>
      <c r="BO2885" t="s">
        <v>74</v>
      </c>
      <c r="BP2885" t="s">
        <v>74</v>
      </c>
      <c r="BQ2885" t="s">
        <v>74</v>
      </c>
      <c r="BR2885" t="s">
        <v>102</v>
      </c>
      <c r="BS2885" t="s">
        <v>47864</v>
      </c>
      <c r="BT2885" t="str">
        <f>HYPERLINK("https%3A%2F%2Fwww.webofscience.com%2Fwos%2Fwoscc%2Ffull-record%2FWOS:000356694500004","View Full Record in Web of Science")</f>
        <v>View Full Record in Web of Science</v>
      </c>
    </row>
    <row r="2886" spans="1:72" x14ac:dyDescent="0.25">
      <c r="A2886" t="s">
        <v>72</v>
      </c>
      <c r="B2886" t="s">
        <v>47865</v>
      </c>
      <c r="C2886" t="s">
        <v>74</v>
      </c>
      <c r="D2886" t="s">
        <v>74</v>
      </c>
      <c r="E2886" t="s">
        <v>74</v>
      </c>
      <c r="F2886" t="s">
        <v>47866</v>
      </c>
      <c r="G2886" t="s">
        <v>74</v>
      </c>
      <c r="H2886" t="s">
        <v>74</v>
      </c>
      <c r="I2886" t="s">
        <v>47867</v>
      </c>
      <c r="J2886" t="s">
        <v>47868</v>
      </c>
      <c r="K2886" t="s">
        <v>74</v>
      </c>
      <c r="L2886" t="s">
        <v>74</v>
      </c>
      <c r="M2886" t="s">
        <v>78</v>
      </c>
      <c r="N2886" t="s">
        <v>79</v>
      </c>
      <c r="O2886" t="s">
        <v>74</v>
      </c>
      <c r="P2886" t="s">
        <v>74</v>
      </c>
      <c r="Q2886" t="s">
        <v>74</v>
      </c>
      <c r="R2886" t="s">
        <v>74</v>
      </c>
      <c r="S2886" t="s">
        <v>74</v>
      </c>
      <c r="T2886" t="s">
        <v>47869</v>
      </c>
      <c r="U2886" t="s">
        <v>47870</v>
      </c>
      <c r="V2886" t="s">
        <v>47871</v>
      </c>
      <c r="W2886" t="s">
        <v>47872</v>
      </c>
      <c r="X2886" t="s">
        <v>47873</v>
      </c>
      <c r="Y2886" t="s">
        <v>47874</v>
      </c>
      <c r="Z2886" t="s">
        <v>47875</v>
      </c>
      <c r="AA2886" t="s">
        <v>47876</v>
      </c>
      <c r="AB2886" t="s">
        <v>47877</v>
      </c>
      <c r="AC2886" t="s">
        <v>47878</v>
      </c>
      <c r="AD2886" t="s">
        <v>47878</v>
      </c>
      <c r="AE2886" t="s">
        <v>47879</v>
      </c>
      <c r="AF2886" t="s">
        <v>74</v>
      </c>
      <c r="AG2886">
        <v>58</v>
      </c>
      <c r="AH2886">
        <v>3</v>
      </c>
      <c r="AI2886">
        <v>3</v>
      </c>
      <c r="AJ2886">
        <v>4</v>
      </c>
      <c r="AK2886">
        <v>12</v>
      </c>
      <c r="AL2886" t="s">
        <v>994</v>
      </c>
      <c r="AM2886" t="s">
        <v>995</v>
      </c>
      <c r="AN2886" t="s">
        <v>2061</v>
      </c>
      <c r="AO2886" t="s">
        <v>47880</v>
      </c>
      <c r="AP2886" t="s">
        <v>47881</v>
      </c>
      <c r="AQ2886" t="s">
        <v>74</v>
      </c>
      <c r="AR2886" t="s">
        <v>47882</v>
      </c>
      <c r="AS2886" t="s">
        <v>47883</v>
      </c>
      <c r="AT2886" t="s">
        <v>124</v>
      </c>
      <c r="AU2886">
        <v>2023</v>
      </c>
      <c r="AV2886">
        <v>29</v>
      </c>
      <c r="AW2886">
        <v>4</v>
      </c>
      <c r="AX2886" t="s">
        <v>74</v>
      </c>
      <c r="AY2886" t="s">
        <v>74</v>
      </c>
      <c r="AZ2886" t="s">
        <v>74</v>
      </c>
      <c r="BA2886" t="s">
        <v>74</v>
      </c>
      <c r="BB2886">
        <v>319</v>
      </c>
      <c r="BC2886">
        <v>349</v>
      </c>
      <c r="BD2886" t="s">
        <v>74</v>
      </c>
      <c r="BE2886" t="s">
        <v>47884</v>
      </c>
      <c r="BF2886" t="str">
        <f>HYPERLINK("http://dx.doi.org/10.1177/15245004231209101","http://dx.doi.org/10.1177/15245004231209101")</f>
        <v>http://dx.doi.org/10.1177/15245004231209101</v>
      </c>
      <c r="BG2886" t="s">
        <v>74</v>
      </c>
      <c r="BH2886" t="s">
        <v>2417</v>
      </c>
      <c r="BI2886">
        <v>31</v>
      </c>
      <c r="BJ2886" t="s">
        <v>418</v>
      </c>
      <c r="BK2886" t="s">
        <v>313</v>
      </c>
      <c r="BL2886" t="s">
        <v>100</v>
      </c>
      <c r="BM2886" t="s">
        <v>47885</v>
      </c>
      <c r="BN2886" t="s">
        <v>74</v>
      </c>
      <c r="BO2886" t="s">
        <v>466</v>
      </c>
      <c r="BP2886" t="s">
        <v>74</v>
      </c>
      <c r="BQ2886" t="s">
        <v>74</v>
      </c>
      <c r="BR2886" t="s">
        <v>102</v>
      </c>
      <c r="BS2886" t="s">
        <v>47886</v>
      </c>
      <c r="BT2886" t="str">
        <f>HYPERLINK("https%3A%2F%2Fwww.webofscience.com%2Fwos%2Fwoscc%2Ffull-record%2FWOS:001090455700001","View Full Record in Web of Science")</f>
        <v>View Full Record in Web of Science</v>
      </c>
    </row>
    <row r="2887" spans="1:72" x14ac:dyDescent="0.25">
      <c r="A2887" t="s">
        <v>132</v>
      </c>
      <c r="B2887" t="s">
        <v>47887</v>
      </c>
      <c r="C2887" t="s">
        <v>74</v>
      </c>
      <c r="D2887" t="s">
        <v>9645</v>
      </c>
      <c r="E2887" t="s">
        <v>74</v>
      </c>
      <c r="F2887" t="s">
        <v>47888</v>
      </c>
      <c r="G2887" t="s">
        <v>74</v>
      </c>
      <c r="H2887" t="s">
        <v>74</v>
      </c>
      <c r="I2887" t="s">
        <v>47889</v>
      </c>
      <c r="J2887" t="s">
        <v>47890</v>
      </c>
      <c r="K2887" t="s">
        <v>9649</v>
      </c>
      <c r="L2887" t="s">
        <v>74</v>
      </c>
      <c r="M2887" t="s">
        <v>78</v>
      </c>
      <c r="N2887" t="s">
        <v>138</v>
      </c>
      <c r="O2887" t="s">
        <v>9650</v>
      </c>
      <c r="P2887" t="s">
        <v>9651</v>
      </c>
      <c r="Q2887" t="s">
        <v>9652</v>
      </c>
      <c r="R2887" t="s">
        <v>9653</v>
      </c>
      <c r="S2887" t="s">
        <v>74</v>
      </c>
      <c r="T2887" t="s">
        <v>47891</v>
      </c>
      <c r="U2887" t="s">
        <v>47892</v>
      </c>
      <c r="V2887" t="s">
        <v>47893</v>
      </c>
      <c r="W2887" t="s">
        <v>47894</v>
      </c>
      <c r="X2887" t="s">
        <v>29100</v>
      </c>
      <c r="Y2887" t="s">
        <v>29099</v>
      </c>
      <c r="Z2887" t="s">
        <v>47895</v>
      </c>
      <c r="AA2887" t="s">
        <v>74</v>
      </c>
      <c r="AB2887" t="s">
        <v>74</v>
      </c>
      <c r="AC2887" t="s">
        <v>74</v>
      </c>
      <c r="AD2887" t="s">
        <v>74</v>
      </c>
      <c r="AE2887" t="s">
        <v>74</v>
      </c>
      <c r="AF2887" t="s">
        <v>74</v>
      </c>
      <c r="AG2887">
        <v>47</v>
      </c>
      <c r="AH2887">
        <v>3</v>
      </c>
      <c r="AI2887">
        <v>4</v>
      </c>
      <c r="AJ2887">
        <v>1</v>
      </c>
      <c r="AK2887">
        <v>16</v>
      </c>
      <c r="AL2887" t="s">
        <v>3807</v>
      </c>
      <c r="AM2887" t="s">
        <v>3098</v>
      </c>
      <c r="AN2887" t="s">
        <v>3808</v>
      </c>
      <c r="AO2887" t="s">
        <v>9661</v>
      </c>
      <c r="AP2887" t="s">
        <v>9662</v>
      </c>
      <c r="AQ2887" t="s">
        <v>47896</v>
      </c>
      <c r="AR2887" t="s">
        <v>9664</v>
      </c>
      <c r="AS2887" t="s">
        <v>74</v>
      </c>
      <c r="AT2887" t="s">
        <v>74</v>
      </c>
      <c r="AU2887">
        <v>2019</v>
      </c>
      <c r="AV2887">
        <v>551</v>
      </c>
      <c r="AW2887" t="s">
        <v>74</v>
      </c>
      <c r="AX2887" t="s">
        <v>74</v>
      </c>
      <c r="AY2887" t="s">
        <v>74</v>
      </c>
      <c r="AZ2887" t="s">
        <v>74</v>
      </c>
      <c r="BA2887" t="s">
        <v>74</v>
      </c>
      <c r="BB2887">
        <v>460</v>
      </c>
      <c r="BC2887">
        <v>471</v>
      </c>
      <c r="BD2887" t="s">
        <v>74</v>
      </c>
      <c r="BE2887" t="s">
        <v>47897</v>
      </c>
      <c r="BF2887" t="str">
        <f>HYPERLINK("http://dx.doi.org/10.1007/978-3-030-18400-1_38","http://dx.doi.org/10.1007/978-3-030-18400-1_38")</f>
        <v>http://dx.doi.org/10.1007/978-3-030-18400-1_38</v>
      </c>
      <c r="BG2887" t="s">
        <v>74</v>
      </c>
      <c r="BH2887" t="s">
        <v>74</v>
      </c>
      <c r="BI2887">
        <v>12</v>
      </c>
      <c r="BJ2887" t="s">
        <v>1223</v>
      </c>
      <c r="BK2887" t="s">
        <v>156</v>
      </c>
      <c r="BL2887" t="s">
        <v>157</v>
      </c>
      <c r="BM2887" t="s">
        <v>47898</v>
      </c>
      <c r="BN2887" t="s">
        <v>74</v>
      </c>
      <c r="BO2887" t="s">
        <v>1696</v>
      </c>
      <c r="BP2887" t="s">
        <v>74</v>
      </c>
      <c r="BQ2887" t="s">
        <v>74</v>
      </c>
      <c r="BR2887" t="s">
        <v>102</v>
      </c>
      <c r="BS2887" t="s">
        <v>47899</v>
      </c>
      <c r="BT2887" t="str">
        <f>HYPERLINK("https%3A%2F%2Fwww.webofscience.com%2Fwos%2Fwoscc%2Ffull-record%2FWOS:000493514000038","View Full Record in Web of Science")</f>
        <v>View Full Record in Web of Science</v>
      </c>
    </row>
    <row r="2888" spans="1:72" x14ac:dyDescent="0.25">
      <c r="A2888" t="s">
        <v>72</v>
      </c>
      <c r="B2888" t="s">
        <v>47900</v>
      </c>
      <c r="C2888" t="s">
        <v>74</v>
      </c>
      <c r="D2888" t="s">
        <v>74</v>
      </c>
      <c r="E2888" t="s">
        <v>74</v>
      </c>
      <c r="F2888" t="s">
        <v>47901</v>
      </c>
      <c r="G2888" t="s">
        <v>74</v>
      </c>
      <c r="H2888" t="s">
        <v>74</v>
      </c>
      <c r="I2888" t="s">
        <v>47902</v>
      </c>
      <c r="J2888" t="s">
        <v>2943</v>
      </c>
      <c r="K2888" t="s">
        <v>74</v>
      </c>
      <c r="L2888" t="s">
        <v>74</v>
      </c>
      <c r="M2888" t="s">
        <v>78</v>
      </c>
      <c r="N2888" t="s">
        <v>79</v>
      </c>
      <c r="O2888" t="s">
        <v>74</v>
      </c>
      <c r="P2888" t="s">
        <v>74</v>
      </c>
      <c r="Q2888" t="s">
        <v>74</v>
      </c>
      <c r="R2888" t="s">
        <v>74</v>
      </c>
      <c r="S2888" t="s">
        <v>74</v>
      </c>
      <c r="T2888" t="s">
        <v>47903</v>
      </c>
      <c r="U2888" t="s">
        <v>47904</v>
      </c>
      <c r="V2888" t="s">
        <v>47905</v>
      </c>
      <c r="W2888" t="s">
        <v>47906</v>
      </c>
      <c r="X2888" t="s">
        <v>1271</v>
      </c>
      <c r="Y2888" t="s">
        <v>47907</v>
      </c>
      <c r="Z2888" t="s">
        <v>47908</v>
      </c>
      <c r="AA2888" t="s">
        <v>47909</v>
      </c>
      <c r="AB2888" t="s">
        <v>74</v>
      </c>
      <c r="AC2888" t="s">
        <v>74</v>
      </c>
      <c r="AD2888" t="s">
        <v>74</v>
      </c>
      <c r="AE2888" t="s">
        <v>74</v>
      </c>
      <c r="AF2888" t="s">
        <v>74</v>
      </c>
      <c r="AG2888">
        <v>109</v>
      </c>
      <c r="AH2888">
        <v>0</v>
      </c>
      <c r="AI2888">
        <v>0</v>
      </c>
      <c r="AJ2888">
        <v>12</v>
      </c>
      <c r="AK2888">
        <v>16</v>
      </c>
      <c r="AL2888" t="s">
        <v>385</v>
      </c>
      <c r="AM2888" t="s">
        <v>151</v>
      </c>
      <c r="AN2888" t="s">
        <v>386</v>
      </c>
      <c r="AO2888" t="s">
        <v>2952</v>
      </c>
      <c r="AP2888" t="s">
        <v>2953</v>
      </c>
      <c r="AQ2888" t="s">
        <v>74</v>
      </c>
      <c r="AR2888" t="s">
        <v>2954</v>
      </c>
      <c r="AS2888" t="s">
        <v>2955</v>
      </c>
      <c r="AT2888" t="s">
        <v>24365</v>
      </c>
      <c r="AU2888">
        <v>2025</v>
      </c>
      <c r="AV2888">
        <v>11</v>
      </c>
      <c r="AW2888">
        <v>1</v>
      </c>
      <c r="AX2888" t="s">
        <v>74</v>
      </c>
      <c r="AY2888" t="s">
        <v>74</v>
      </c>
      <c r="AZ2888" t="s">
        <v>74</v>
      </c>
      <c r="BA2888" t="s">
        <v>74</v>
      </c>
      <c r="BB2888" t="s">
        <v>74</v>
      </c>
      <c r="BC2888" t="s">
        <v>74</v>
      </c>
      <c r="BD2888">
        <v>116</v>
      </c>
      <c r="BE2888" t="s">
        <v>47910</v>
      </c>
      <c r="BF2888" t="str">
        <f>HYPERLINK("http://dx.doi.org/10.1186/s43093-025-00522-w","http://dx.doi.org/10.1186/s43093-025-00522-w")</f>
        <v>http://dx.doi.org/10.1186/s43093-025-00522-w</v>
      </c>
      <c r="BG2888" t="s">
        <v>74</v>
      </c>
      <c r="BH2888" t="s">
        <v>74</v>
      </c>
      <c r="BI2888">
        <v>28</v>
      </c>
      <c r="BJ2888" t="s">
        <v>418</v>
      </c>
      <c r="BK2888" t="s">
        <v>313</v>
      </c>
      <c r="BL2888" t="s">
        <v>100</v>
      </c>
      <c r="BM2888" t="s">
        <v>47911</v>
      </c>
      <c r="BN2888" t="s">
        <v>74</v>
      </c>
      <c r="BO2888" t="s">
        <v>212</v>
      </c>
      <c r="BP2888" t="s">
        <v>74</v>
      </c>
      <c r="BQ2888" t="s">
        <v>74</v>
      </c>
      <c r="BR2888" t="s">
        <v>102</v>
      </c>
      <c r="BS2888" t="s">
        <v>47912</v>
      </c>
      <c r="BT2888" t="str">
        <f>HYPERLINK("https%3A%2F%2Fwww.webofscience.com%2Fwos%2Fwoscc%2Ffull-record%2FWOS:001489587900001","View Full Record in Web of Science")</f>
        <v>View Full Record in Web of Science</v>
      </c>
    </row>
    <row r="2889" spans="1:72" x14ac:dyDescent="0.25">
      <c r="A2889" t="s">
        <v>72</v>
      </c>
      <c r="B2889" t="s">
        <v>47913</v>
      </c>
      <c r="C2889" t="s">
        <v>74</v>
      </c>
      <c r="D2889" t="s">
        <v>74</v>
      </c>
      <c r="E2889" t="s">
        <v>74</v>
      </c>
      <c r="F2889" t="s">
        <v>47914</v>
      </c>
      <c r="G2889" t="s">
        <v>74</v>
      </c>
      <c r="H2889" t="s">
        <v>74</v>
      </c>
      <c r="I2889" t="s">
        <v>47915</v>
      </c>
      <c r="J2889" t="s">
        <v>45772</v>
      </c>
      <c r="K2889" t="s">
        <v>74</v>
      </c>
      <c r="L2889" t="s">
        <v>74</v>
      </c>
      <c r="M2889" t="s">
        <v>78</v>
      </c>
      <c r="N2889" t="s">
        <v>79</v>
      </c>
      <c r="O2889" t="s">
        <v>74</v>
      </c>
      <c r="P2889" t="s">
        <v>74</v>
      </c>
      <c r="Q2889" t="s">
        <v>74</v>
      </c>
      <c r="R2889" t="s">
        <v>74</v>
      </c>
      <c r="S2889" t="s">
        <v>74</v>
      </c>
      <c r="T2889" t="s">
        <v>47916</v>
      </c>
      <c r="U2889" t="s">
        <v>47917</v>
      </c>
      <c r="V2889" t="s">
        <v>47918</v>
      </c>
      <c r="W2889" t="s">
        <v>47919</v>
      </c>
      <c r="X2889" t="s">
        <v>47920</v>
      </c>
      <c r="Y2889" t="s">
        <v>47921</v>
      </c>
      <c r="Z2889" t="s">
        <v>47922</v>
      </c>
      <c r="AA2889" t="s">
        <v>47923</v>
      </c>
      <c r="AB2889" t="s">
        <v>47924</v>
      </c>
      <c r="AC2889" t="s">
        <v>74</v>
      </c>
      <c r="AD2889" t="s">
        <v>74</v>
      </c>
      <c r="AE2889" t="s">
        <v>74</v>
      </c>
      <c r="AF2889" t="s">
        <v>74</v>
      </c>
      <c r="AG2889">
        <v>59</v>
      </c>
      <c r="AH2889">
        <v>84</v>
      </c>
      <c r="AI2889">
        <v>131</v>
      </c>
      <c r="AJ2889">
        <v>5</v>
      </c>
      <c r="AK2889">
        <v>85</v>
      </c>
      <c r="AL2889" t="s">
        <v>282</v>
      </c>
      <c r="AM2889" t="s">
        <v>283</v>
      </c>
      <c r="AN2889" t="s">
        <v>284</v>
      </c>
      <c r="AO2889" t="s">
        <v>45780</v>
      </c>
      <c r="AP2889" t="s">
        <v>74</v>
      </c>
      <c r="AQ2889" t="s">
        <v>74</v>
      </c>
      <c r="AR2889" t="s">
        <v>45781</v>
      </c>
      <c r="AS2889" t="s">
        <v>45782</v>
      </c>
      <c r="AT2889" t="s">
        <v>124</v>
      </c>
      <c r="AU2889">
        <v>2019</v>
      </c>
      <c r="AV2889">
        <v>134</v>
      </c>
      <c r="AW2889">
        <v>3</v>
      </c>
      <c r="AX2889" t="s">
        <v>74</v>
      </c>
      <c r="AY2889" t="s">
        <v>74</v>
      </c>
      <c r="AZ2889" t="s">
        <v>74</v>
      </c>
      <c r="BA2889" t="s">
        <v>74</v>
      </c>
      <c r="BB2889">
        <v>591</v>
      </c>
      <c r="BC2889">
        <v>616</v>
      </c>
      <c r="BD2889" t="s">
        <v>74</v>
      </c>
      <c r="BE2889" t="s">
        <v>47925</v>
      </c>
      <c r="BF2889" t="str">
        <f>HYPERLINK("http://dx.doi.org/10.1016/j.jfineco.2019.05.006","http://dx.doi.org/10.1016/j.jfineco.2019.05.006")</f>
        <v>http://dx.doi.org/10.1016/j.jfineco.2019.05.006</v>
      </c>
      <c r="BG2889" t="s">
        <v>74</v>
      </c>
      <c r="BH2889" t="s">
        <v>74</v>
      </c>
      <c r="BI2889">
        <v>26</v>
      </c>
      <c r="BJ2889" t="s">
        <v>210</v>
      </c>
      <c r="BK2889" t="s">
        <v>99</v>
      </c>
      <c r="BL2889" t="s">
        <v>100</v>
      </c>
      <c r="BM2889" t="s">
        <v>47926</v>
      </c>
      <c r="BN2889" t="s">
        <v>74</v>
      </c>
      <c r="BO2889" t="s">
        <v>74</v>
      </c>
      <c r="BP2889" t="s">
        <v>74</v>
      </c>
      <c r="BQ2889" t="s">
        <v>74</v>
      </c>
      <c r="BR2889" t="s">
        <v>102</v>
      </c>
      <c r="BS2889" t="s">
        <v>47927</v>
      </c>
      <c r="BT2889" t="str">
        <f>HYPERLINK("https%3A%2F%2Fwww.webofscience.com%2Fwos%2Fwoscc%2Ffull-record%2FWOS:000497247200005","View Full Record in Web of Science")</f>
        <v>View Full Record in Web of Science</v>
      </c>
    </row>
    <row r="2890" spans="1:72" x14ac:dyDescent="0.25">
      <c r="A2890" t="s">
        <v>72</v>
      </c>
      <c r="B2890" t="s">
        <v>47928</v>
      </c>
      <c r="C2890" t="s">
        <v>74</v>
      </c>
      <c r="D2890" t="s">
        <v>74</v>
      </c>
      <c r="E2890" t="s">
        <v>74</v>
      </c>
      <c r="F2890" t="s">
        <v>47929</v>
      </c>
      <c r="G2890" t="s">
        <v>74</v>
      </c>
      <c r="H2890" t="s">
        <v>74</v>
      </c>
      <c r="I2890" t="s">
        <v>47930</v>
      </c>
      <c r="J2890" t="s">
        <v>1902</v>
      </c>
      <c r="K2890" t="s">
        <v>74</v>
      </c>
      <c r="L2890" t="s">
        <v>74</v>
      </c>
      <c r="M2890" t="s">
        <v>78</v>
      </c>
      <c r="N2890" t="s">
        <v>79</v>
      </c>
      <c r="O2890" t="s">
        <v>74</v>
      </c>
      <c r="P2890" t="s">
        <v>74</v>
      </c>
      <c r="Q2890" t="s">
        <v>74</v>
      </c>
      <c r="R2890" t="s">
        <v>74</v>
      </c>
      <c r="S2890" t="s">
        <v>74</v>
      </c>
      <c r="T2890" t="s">
        <v>47931</v>
      </c>
      <c r="U2890" t="s">
        <v>47932</v>
      </c>
      <c r="V2890" t="s">
        <v>47933</v>
      </c>
      <c r="W2890" t="s">
        <v>47934</v>
      </c>
      <c r="X2890" t="s">
        <v>47935</v>
      </c>
      <c r="Y2890" t="s">
        <v>47936</v>
      </c>
      <c r="Z2890" t="s">
        <v>44332</v>
      </c>
      <c r="AA2890" t="s">
        <v>47937</v>
      </c>
      <c r="AB2890" t="s">
        <v>47938</v>
      </c>
      <c r="AC2890" t="s">
        <v>74</v>
      </c>
      <c r="AD2890" t="s">
        <v>74</v>
      </c>
      <c r="AE2890" t="s">
        <v>74</v>
      </c>
      <c r="AF2890" t="s">
        <v>74</v>
      </c>
      <c r="AG2890">
        <v>92</v>
      </c>
      <c r="AH2890">
        <v>3</v>
      </c>
      <c r="AI2890">
        <v>3</v>
      </c>
      <c r="AJ2890">
        <v>0</v>
      </c>
      <c r="AK2890">
        <v>9</v>
      </c>
      <c r="AL2890" t="s">
        <v>89</v>
      </c>
      <c r="AM2890" t="s">
        <v>90</v>
      </c>
      <c r="AN2890" t="s">
        <v>91</v>
      </c>
      <c r="AO2890" t="s">
        <v>1910</v>
      </c>
      <c r="AP2890" t="s">
        <v>1911</v>
      </c>
      <c r="AQ2890" t="s">
        <v>74</v>
      </c>
      <c r="AR2890" t="s">
        <v>1912</v>
      </c>
      <c r="AS2890" t="s">
        <v>1913</v>
      </c>
      <c r="AT2890" t="s">
        <v>37214</v>
      </c>
      <c r="AU2890">
        <v>2024</v>
      </c>
      <c r="AV2890">
        <v>16</v>
      </c>
      <c r="AW2890">
        <v>4</v>
      </c>
      <c r="AX2890" t="s">
        <v>74</v>
      </c>
      <c r="AY2890" t="s">
        <v>74</v>
      </c>
      <c r="AZ2890" t="s">
        <v>74</v>
      </c>
      <c r="BA2890" t="s">
        <v>74</v>
      </c>
      <c r="BB2890">
        <v>405</v>
      </c>
      <c r="BC2890">
        <v>428</v>
      </c>
      <c r="BD2890" t="s">
        <v>74</v>
      </c>
      <c r="BE2890" t="s">
        <v>47939</v>
      </c>
      <c r="BF2890" t="str">
        <f>HYPERLINK("http://dx.doi.org/10.1108/JFEP-03-2023-0071","http://dx.doi.org/10.1108/JFEP-03-2023-0071")</f>
        <v>http://dx.doi.org/10.1108/JFEP-03-2023-0071</v>
      </c>
      <c r="BG2890" t="s">
        <v>74</v>
      </c>
      <c r="BH2890" t="s">
        <v>938</v>
      </c>
      <c r="BI2890">
        <v>24</v>
      </c>
      <c r="BJ2890" t="s">
        <v>291</v>
      </c>
      <c r="BK2890" t="s">
        <v>313</v>
      </c>
      <c r="BL2890" t="s">
        <v>100</v>
      </c>
      <c r="BM2890" t="s">
        <v>47940</v>
      </c>
      <c r="BN2890" t="s">
        <v>74</v>
      </c>
      <c r="BO2890" t="s">
        <v>74</v>
      </c>
      <c r="BP2890" t="s">
        <v>74</v>
      </c>
      <c r="BQ2890" t="s">
        <v>74</v>
      </c>
      <c r="BR2890" t="s">
        <v>102</v>
      </c>
      <c r="BS2890" t="s">
        <v>47941</v>
      </c>
      <c r="BT2890" t="str">
        <f>HYPERLINK("https%3A%2F%2Fwww.webofscience.com%2Fwos%2Fwoscc%2Ffull-record%2FWOS:001204583900001","View Full Record in Web of Science")</f>
        <v>View Full Record in Web of Science</v>
      </c>
    </row>
    <row r="2891" spans="1:72" x14ac:dyDescent="0.25">
      <c r="A2891" t="s">
        <v>72</v>
      </c>
      <c r="B2891" t="s">
        <v>47942</v>
      </c>
      <c r="C2891" t="s">
        <v>74</v>
      </c>
      <c r="D2891" t="s">
        <v>74</v>
      </c>
      <c r="E2891" t="s">
        <v>74</v>
      </c>
      <c r="F2891" t="s">
        <v>47943</v>
      </c>
      <c r="G2891" t="s">
        <v>74</v>
      </c>
      <c r="H2891" t="s">
        <v>74</v>
      </c>
      <c r="I2891" t="s">
        <v>47944</v>
      </c>
      <c r="J2891" t="s">
        <v>6362</v>
      </c>
      <c r="K2891" t="s">
        <v>74</v>
      </c>
      <c r="L2891" t="s">
        <v>74</v>
      </c>
      <c r="M2891" t="s">
        <v>78</v>
      </c>
      <c r="N2891" t="s">
        <v>79</v>
      </c>
      <c r="O2891" t="s">
        <v>74</v>
      </c>
      <c r="P2891" t="s">
        <v>74</v>
      </c>
      <c r="Q2891" t="s">
        <v>74</v>
      </c>
      <c r="R2891" t="s">
        <v>74</v>
      </c>
      <c r="S2891" t="s">
        <v>74</v>
      </c>
      <c r="T2891" t="s">
        <v>47945</v>
      </c>
      <c r="U2891" t="s">
        <v>47946</v>
      </c>
      <c r="V2891" t="s">
        <v>47947</v>
      </c>
      <c r="W2891" t="s">
        <v>47948</v>
      </c>
      <c r="X2891" t="s">
        <v>47949</v>
      </c>
      <c r="Y2891" t="s">
        <v>47950</v>
      </c>
      <c r="Z2891" t="s">
        <v>47951</v>
      </c>
      <c r="AA2891" t="s">
        <v>74</v>
      </c>
      <c r="AB2891" t="s">
        <v>74</v>
      </c>
      <c r="AC2891" t="s">
        <v>74</v>
      </c>
      <c r="AD2891" t="s">
        <v>74</v>
      </c>
      <c r="AE2891" t="s">
        <v>74</v>
      </c>
      <c r="AF2891" t="s">
        <v>74</v>
      </c>
      <c r="AG2891">
        <v>38</v>
      </c>
      <c r="AH2891">
        <v>3</v>
      </c>
      <c r="AI2891">
        <v>3</v>
      </c>
      <c r="AJ2891">
        <v>4</v>
      </c>
      <c r="AK2891">
        <v>5</v>
      </c>
      <c r="AL2891" t="s">
        <v>201</v>
      </c>
      <c r="AM2891" t="s">
        <v>202</v>
      </c>
      <c r="AN2891" t="s">
        <v>203</v>
      </c>
      <c r="AO2891" t="s">
        <v>6374</v>
      </c>
      <c r="AP2891" t="s">
        <v>6375</v>
      </c>
      <c r="AQ2891" t="s">
        <v>74</v>
      </c>
      <c r="AR2891" t="s">
        <v>6376</v>
      </c>
      <c r="AS2891" t="s">
        <v>6377</v>
      </c>
      <c r="AT2891" t="s">
        <v>605</v>
      </c>
      <c r="AU2891">
        <v>2023</v>
      </c>
      <c r="AV2891">
        <v>207</v>
      </c>
      <c r="AW2891" t="s">
        <v>74</v>
      </c>
      <c r="AX2891" t="s">
        <v>74</v>
      </c>
      <c r="AY2891" t="s">
        <v>74</v>
      </c>
      <c r="AZ2891" t="s">
        <v>74</v>
      </c>
      <c r="BA2891" t="s">
        <v>74</v>
      </c>
      <c r="BB2891">
        <v>257</v>
      </c>
      <c r="BC2891">
        <v>278</v>
      </c>
      <c r="BD2891" t="s">
        <v>74</v>
      </c>
      <c r="BE2891" t="s">
        <v>47952</v>
      </c>
      <c r="BF2891" t="str">
        <f>HYPERLINK("http://dx.doi.org/10.1016/j.jebo.2023.01.014","http://dx.doi.org/10.1016/j.jebo.2023.01.014")</f>
        <v>http://dx.doi.org/10.1016/j.jebo.2023.01.014</v>
      </c>
      <c r="BG2891" t="s">
        <v>74</v>
      </c>
      <c r="BH2891" t="s">
        <v>11288</v>
      </c>
      <c r="BI2891">
        <v>22</v>
      </c>
      <c r="BJ2891" t="s">
        <v>291</v>
      </c>
      <c r="BK2891" t="s">
        <v>99</v>
      </c>
      <c r="BL2891" t="s">
        <v>100</v>
      </c>
      <c r="BM2891" t="s">
        <v>47953</v>
      </c>
      <c r="BN2891" t="s">
        <v>74</v>
      </c>
      <c r="BO2891" t="s">
        <v>74</v>
      </c>
      <c r="BP2891" t="s">
        <v>74</v>
      </c>
      <c r="BQ2891" t="s">
        <v>74</v>
      </c>
      <c r="BR2891" t="s">
        <v>102</v>
      </c>
      <c r="BS2891" t="s">
        <v>47954</v>
      </c>
      <c r="BT2891" t="str">
        <f>HYPERLINK("https%3A%2F%2Fwww.webofscience.com%2Fwos%2Fwoscc%2Ffull-record%2FWOS:000930502100001","View Full Record in Web of Science")</f>
        <v>View Full Record in Web of Science</v>
      </c>
    </row>
    <row r="2892" spans="1:72" x14ac:dyDescent="0.25">
      <c r="A2892" t="s">
        <v>72</v>
      </c>
      <c r="B2892" t="s">
        <v>47955</v>
      </c>
      <c r="C2892" t="s">
        <v>74</v>
      </c>
      <c r="D2892" t="s">
        <v>74</v>
      </c>
      <c r="E2892" t="s">
        <v>74</v>
      </c>
      <c r="F2892" t="s">
        <v>47956</v>
      </c>
      <c r="G2892" t="s">
        <v>74</v>
      </c>
      <c r="H2892" t="s">
        <v>74</v>
      </c>
      <c r="I2892" t="s">
        <v>47957</v>
      </c>
      <c r="J2892" t="s">
        <v>20369</v>
      </c>
      <c r="K2892" t="s">
        <v>74</v>
      </c>
      <c r="L2892" t="s">
        <v>74</v>
      </c>
      <c r="M2892" t="s">
        <v>78</v>
      </c>
      <c r="N2892" t="s">
        <v>79</v>
      </c>
      <c r="O2892" t="s">
        <v>74</v>
      </c>
      <c r="P2892" t="s">
        <v>74</v>
      </c>
      <c r="Q2892" t="s">
        <v>74</v>
      </c>
      <c r="R2892" t="s">
        <v>74</v>
      </c>
      <c r="S2892" t="s">
        <v>74</v>
      </c>
      <c r="T2892" t="s">
        <v>47958</v>
      </c>
      <c r="U2892" t="s">
        <v>47959</v>
      </c>
      <c r="V2892" t="s">
        <v>47960</v>
      </c>
      <c r="W2892" t="s">
        <v>47961</v>
      </c>
      <c r="X2892" t="s">
        <v>47962</v>
      </c>
      <c r="Y2892" t="s">
        <v>47963</v>
      </c>
      <c r="Z2892" t="s">
        <v>47964</v>
      </c>
      <c r="AA2892" t="s">
        <v>47965</v>
      </c>
      <c r="AB2892" t="s">
        <v>47966</v>
      </c>
      <c r="AC2892" t="s">
        <v>74</v>
      </c>
      <c r="AD2892" t="s">
        <v>74</v>
      </c>
      <c r="AE2892" t="s">
        <v>74</v>
      </c>
      <c r="AF2892" t="s">
        <v>74</v>
      </c>
      <c r="AG2892">
        <v>29</v>
      </c>
      <c r="AH2892">
        <v>3</v>
      </c>
      <c r="AI2892">
        <v>3</v>
      </c>
      <c r="AJ2892">
        <v>4</v>
      </c>
      <c r="AK2892">
        <v>13</v>
      </c>
      <c r="AL2892" t="s">
        <v>385</v>
      </c>
      <c r="AM2892" t="s">
        <v>1153</v>
      </c>
      <c r="AN2892" t="s">
        <v>1154</v>
      </c>
      <c r="AO2892" t="s">
        <v>20359</v>
      </c>
      <c r="AP2892" t="s">
        <v>20358</v>
      </c>
      <c r="AQ2892" t="s">
        <v>74</v>
      </c>
      <c r="AR2892" t="s">
        <v>20357</v>
      </c>
      <c r="AS2892" t="s">
        <v>20356</v>
      </c>
      <c r="AT2892" t="s">
        <v>605</v>
      </c>
      <c r="AU2892">
        <v>2025</v>
      </c>
      <c r="AV2892">
        <v>64</v>
      </c>
      <c r="AW2892">
        <v>3</v>
      </c>
      <c r="AX2892" t="s">
        <v>74</v>
      </c>
      <c r="AY2892" t="s">
        <v>74</v>
      </c>
      <c r="AZ2892" t="s">
        <v>74</v>
      </c>
      <c r="BA2892" t="s">
        <v>74</v>
      </c>
      <c r="BB2892">
        <v>1463</v>
      </c>
      <c r="BC2892">
        <v>1491</v>
      </c>
      <c r="BD2892" t="s">
        <v>74</v>
      </c>
      <c r="BE2892" t="s">
        <v>47967</v>
      </c>
      <c r="BF2892" t="str">
        <f>HYPERLINK("http://dx.doi.org/10.1007/s11187-024-00950-y","http://dx.doi.org/10.1007/s11187-024-00950-y")</f>
        <v>http://dx.doi.org/10.1007/s11187-024-00950-y</v>
      </c>
      <c r="BG2892" t="s">
        <v>74</v>
      </c>
      <c r="BH2892" t="s">
        <v>2524</v>
      </c>
      <c r="BI2892">
        <v>29</v>
      </c>
      <c r="BJ2892" t="s">
        <v>6512</v>
      </c>
      <c r="BK2892" t="s">
        <v>99</v>
      </c>
      <c r="BL2892" t="s">
        <v>100</v>
      </c>
      <c r="BM2892" t="s">
        <v>47968</v>
      </c>
      <c r="BN2892" t="s">
        <v>74</v>
      </c>
      <c r="BO2892" t="s">
        <v>270</v>
      </c>
      <c r="BP2892" t="s">
        <v>74</v>
      </c>
      <c r="BQ2892" t="s">
        <v>74</v>
      </c>
      <c r="BR2892" t="s">
        <v>102</v>
      </c>
      <c r="BS2892" t="s">
        <v>47969</v>
      </c>
      <c r="BT2892" t="str">
        <f>HYPERLINK("https%3A%2F%2Fwww.webofscience.com%2Fwos%2Fwoscc%2Ffull-record%2FWOS:001271169100001","View Full Record in Web of Science")</f>
        <v>View Full Record in Web of Science</v>
      </c>
    </row>
    <row r="2893" spans="1:72" x14ac:dyDescent="0.25">
      <c r="A2893" t="s">
        <v>72</v>
      </c>
      <c r="B2893" t="s">
        <v>47970</v>
      </c>
      <c r="C2893" t="s">
        <v>74</v>
      </c>
      <c r="D2893" t="s">
        <v>74</v>
      </c>
      <c r="E2893" t="s">
        <v>74</v>
      </c>
      <c r="F2893" t="s">
        <v>47971</v>
      </c>
      <c r="G2893" t="s">
        <v>74</v>
      </c>
      <c r="H2893" t="s">
        <v>74</v>
      </c>
      <c r="I2893" t="s">
        <v>47972</v>
      </c>
      <c r="J2893" t="s">
        <v>5078</v>
      </c>
      <c r="K2893" t="s">
        <v>74</v>
      </c>
      <c r="L2893" t="s">
        <v>74</v>
      </c>
      <c r="M2893" t="s">
        <v>78</v>
      </c>
      <c r="N2893" t="s">
        <v>79</v>
      </c>
      <c r="O2893" t="s">
        <v>74</v>
      </c>
      <c r="P2893" t="s">
        <v>74</v>
      </c>
      <c r="Q2893" t="s">
        <v>74</v>
      </c>
      <c r="R2893" t="s">
        <v>74</v>
      </c>
      <c r="S2893" t="s">
        <v>74</v>
      </c>
      <c r="T2893" t="s">
        <v>43267</v>
      </c>
      <c r="U2893" t="s">
        <v>47973</v>
      </c>
      <c r="V2893" t="s">
        <v>47974</v>
      </c>
      <c r="W2893" t="s">
        <v>47975</v>
      </c>
      <c r="X2893" t="s">
        <v>74</v>
      </c>
      <c r="Y2893" t="s">
        <v>74</v>
      </c>
      <c r="Z2893" t="s">
        <v>47976</v>
      </c>
      <c r="AA2893" t="s">
        <v>74</v>
      </c>
      <c r="AB2893" t="s">
        <v>47977</v>
      </c>
      <c r="AC2893" t="s">
        <v>47978</v>
      </c>
      <c r="AD2893" t="s">
        <v>47979</v>
      </c>
      <c r="AE2893" t="s">
        <v>47980</v>
      </c>
      <c r="AF2893" t="s">
        <v>74</v>
      </c>
      <c r="AG2893">
        <v>66</v>
      </c>
      <c r="AH2893">
        <v>31</v>
      </c>
      <c r="AI2893">
        <v>37</v>
      </c>
      <c r="AJ2893">
        <v>3</v>
      </c>
      <c r="AK2893">
        <v>141</v>
      </c>
      <c r="AL2893" t="s">
        <v>385</v>
      </c>
      <c r="AM2893" t="s">
        <v>151</v>
      </c>
      <c r="AN2893" t="s">
        <v>386</v>
      </c>
      <c r="AO2893" t="s">
        <v>74</v>
      </c>
      <c r="AP2893" t="s">
        <v>5087</v>
      </c>
      <c r="AQ2893" t="s">
        <v>74</v>
      </c>
      <c r="AR2893" t="s">
        <v>5088</v>
      </c>
      <c r="AS2893" t="s">
        <v>5089</v>
      </c>
      <c r="AT2893" t="s">
        <v>124</v>
      </c>
      <c r="AU2893">
        <v>2018</v>
      </c>
      <c r="AV2893">
        <v>4</v>
      </c>
      <c r="AW2893">
        <v>1</v>
      </c>
      <c r="AX2893" t="s">
        <v>74</v>
      </c>
      <c r="AY2893" t="s">
        <v>74</v>
      </c>
      <c r="AZ2893" t="s">
        <v>74</v>
      </c>
      <c r="BA2893" t="s">
        <v>74</v>
      </c>
      <c r="BB2893" t="s">
        <v>74</v>
      </c>
      <c r="BC2893" t="s">
        <v>74</v>
      </c>
      <c r="BD2893">
        <v>11</v>
      </c>
      <c r="BE2893" t="s">
        <v>47981</v>
      </c>
      <c r="BF2893" t="str">
        <f>HYPERLINK("http://dx.doi.org/10.1186/s40854-018-0094-0","http://dx.doi.org/10.1186/s40854-018-0094-0")</f>
        <v>http://dx.doi.org/10.1186/s40854-018-0094-0</v>
      </c>
      <c r="BG2893" t="s">
        <v>74</v>
      </c>
      <c r="BH2893" t="s">
        <v>74</v>
      </c>
      <c r="BI2893">
        <v>17</v>
      </c>
      <c r="BJ2893" t="s">
        <v>5092</v>
      </c>
      <c r="BK2893" t="s">
        <v>99</v>
      </c>
      <c r="BL2893" t="s">
        <v>2024</v>
      </c>
      <c r="BM2893" t="s">
        <v>47982</v>
      </c>
      <c r="BN2893" t="s">
        <v>74</v>
      </c>
      <c r="BO2893" t="s">
        <v>916</v>
      </c>
      <c r="BP2893" t="s">
        <v>74</v>
      </c>
      <c r="BQ2893" t="s">
        <v>74</v>
      </c>
      <c r="BR2893" t="s">
        <v>102</v>
      </c>
      <c r="BS2893" t="s">
        <v>47983</v>
      </c>
      <c r="BT2893" t="str">
        <f>HYPERLINK("https%3A%2F%2Fwww.webofscience.com%2Fwos%2Fwoscc%2Ffull-record%2FWOS:000435464900002","View Full Record in Web of Science")</f>
        <v>View Full Record in Web of Science</v>
      </c>
    </row>
    <row r="2894" spans="1:72" x14ac:dyDescent="0.25">
      <c r="A2894" t="s">
        <v>72</v>
      </c>
      <c r="B2894" t="s">
        <v>47984</v>
      </c>
      <c r="C2894" t="s">
        <v>74</v>
      </c>
      <c r="D2894" t="s">
        <v>74</v>
      </c>
      <c r="E2894" t="s">
        <v>74</v>
      </c>
      <c r="F2894" t="s">
        <v>47985</v>
      </c>
      <c r="G2894" t="s">
        <v>74</v>
      </c>
      <c r="H2894" t="s">
        <v>74</v>
      </c>
      <c r="I2894" t="s">
        <v>47986</v>
      </c>
      <c r="J2894" t="s">
        <v>31298</v>
      </c>
      <c r="K2894" t="s">
        <v>74</v>
      </c>
      <c r="L2894" t="s">
        <v>74</v>
      </c>
      <c r="M2894" t="s">
        <v>78</v>
      </c>
      <c r="N2894" t="s">
        <v>372</v>
      </c>
      <c r="O2894" t="s">
        <v>74</v>
      </c>
      <c r="P2894" t="s">
        <v>74</v>
      </c>
      <c r="Q2894" t="s">
        <v>74</v>
      </c>
      <c r="R2894" t="s">
        <v>74</v>
      </c>
      <c r="S2894" t="s">
        <v>74</v>
      </c>
      <c r="T2894" t="s">
        <v>47987</v>
      </c>
      <c r="U2894" t="s">
        <v>47988</v>
      </c>
      <c r="V2894" t="s">
        <v>47989</v>
      </c>
      <c r="W2894" t="s">
        <v>47990</v>
      </c>
      <c r="X2894" t="s">
        <v>7828</v>
      </c>
      <c r="Y2894" t="s">
        <v>47991</v>
      </c>
      <c r="Z2894" t="s">
        <v>47992</v>
      </c>
      <c r="AA2894" t="s">
        <v>47993</v>
      </c>
      <c r="AB2894" t="s">
        <v>47994</v>
      </c>
      <c r="AC2894" t="s">
        <v>74</v>
      </c>
      <c r="AD2894" t="s">
        <v>74</v>
      </c>
      <c r="AE2894" t="s">
        <v>74</v>
      </c>
      <c r="AF2894" t="s">
        <v>74</v>
      </c>
      <c r="AG2894">
        <v>107</v>
      </c>
      <c r="AH2894">
        <v>5</v>
      </c>
      <c r="AI2894">
        <v>8</v>
      </c>
      <c r="AJ2894">
        <v>12</v>
      </c>
      <c r="AK2894">
        <v>25</v>
      </c>
      <c r="AL2894" t="s">
        <v>89</v>
      </c>
      <c r="AM2894" t="s">
        <v>90</v>
      </c>
      <c r="AN2894" t="s">
        <v>91</v>
      </c>
      <c r="AO2894" t="s">
        <v>31291</v>
      </c>
      <c r="AP2894" t="s">
        <v>31290</v>
      </c>
      <c r="AQ2894" t="s">
        <v>74</v>
      </c>
      <c r="AR2894" t="s">
        <v>31289</v>
      </c>
      <c r="AS2894" t="s">
        <v>31288</v>
      </c>
      <c r="AT2894" t="s">
        <v>47995</v>
      </c>
      <c r="AU2894">
        <v>2025</v>
      </c>
      <c r="AV2894" t="s">
        <v>74</v>
      </c>
      <c r="AW2894" t="s">
        <v>74</v>
      </c>
      <c r="AX2894" t="s">
        <v>74</v>
      </c>
      <c r="AY2894" t="s">
        <v>74</v>
      </c>
      <c r="AZ2894" t="s">
        <v>74</v>
      </c>
      <c r="BA2894" t="s">
        <v>74</v>
      </c>
      <c r="BB2894" t="s">
        <v>74</v>
      </c>
      <c r="BC2894" t="s">
        <v>74</v>
      </c>
      <c r="BD2894" t="s">
        <v>74</v>
      </c>
      <c r="BE2894" t="s">
        <v>47996</v>
      </c>
      <c r="BF2894" t="str">
        <f>HYPERLINK("http://dx.doi.org/10.1108/SEF-12-2023-0714","http://dx.doi.org/10.1108/SEF-12-2023-0714")</f>
        <v>http://dx.doi.org/10.1108/SEF-12-2023-0714</v>
      </c>
      <c r="BG2894" t="s">
        <v>74</v>
      </c>
      <c r="BH2894" t="s">
        <v>417</v>
      </c>
      <c r="BI2894">
        <v>29</v>
      </c>
      <c r="BJ2894" t="s">
        <v>268</v>
      </c>
      <c r="BK2894" t="s">
        <v>313</v>
      </c>
      <c r="BL2894" t="s">
        <v>100</v>
      </c>
      <c r="BM2894" t="s">
        <v>47997</v>
      </c>
      <c r="BN2894" t="s">
        <v>74</v>
      </c>
      <c r="BO2894" t="s">
        <v>74</v>
      </c>
      <c r="BP2894" t="s">
        <v>74</v>
      </c>
      <c r="BQ2894" t="s">
        <v>74</v>
      </c>
      <c r="BR2894" t="s">
        <v>102</v>
      </c>
      <c r="BS2894" t="s">
        <v>47998</v>
      </c>
      <c r="BT2894" t="str">
        <f>HYPERLINK("https%3A%2F%2Fwww.webofscience.com%2Fwos%2Fwoscc%2Ffull-record%2FWOS:001415031000001","View Full Record in Web of Science")</f>
        <v>View Full Record in Web of Science</v>
      </c>
    </row>
    <row r="2895" spans="1:72" x14ac:dyDescent="0.25">
      <c r="A2895" t="s">
        <v>72</v>
      </c>
      <c r="B2895" t="s">
        <v>47999</v>
      </c>
      <c r="C2895" t="s">
        <v>74</v>
      </c>
      <c r="D2895" t="s">
        <v>74</v>
      </c>
      <c r="E2895" t="s">
        <v>74</v>
      </c>
      <c r="F2895" t="s">
        <v>48000</v>
      </c>
      <c r="G2895" t="s">
        <v>74</v>
      </c>
      <c r="H2895" t="s">
        <v>74</v>
      </c>
      <c r="I2895" t="s">
        <v>48001</v>
      </c>
      <c r="J2895" t="s">
        <v>11655</v>
      </c>
      <c r="K2895" t="s">
        <v>74</v>
      </c>
      <c r="L2895" t="s">
        <v>74</v>
      </c>
      <c r="M2895" t="s">
        <v>78</v>
      </c>
      <c r="N2895" t="s">
        <v>79</v>
      </c>
      <c r="O2895" t="s">
        <v>74</v>
      </c>
      <c r="P2895" t="s">
        <v>74</v>
      </c>
      <c r="Q2895" t="s">
        <v>74</v>
      </c>
      <c r="R2895" t="s">
        <v>74</v>
      </c>
      <c r="S2895" t="s">
        <v>74</v>
      </c>
      <c r="T2895" t="s">
        <v>48002</v>
      </c>
      <c r="U2895" t="s">
        <v>48003</v>
      </c>
      <c r="V2895" t="s">
        <v>48004</v>
      </c>
      <c r="W2895" t="s">
        <v>48005</v>
      </c>
      <c r="X2895" t="s">
        <v>48006</v>
      </c>
      <c r="Y2895" t="s">
        <v>48007</v>
      </c>
      <c r="Z2895" t="s">
        <v>48008</v>
      </c>
      <c r="AA2895" t="s">
        <v>48009</v>
      </c>
      <c r="AB2895" t="s">
        <v>48010</v>
      </c>
      <c r="AC2895" t="s">
        <v>74</v>
      </c>
      <c r="AD2895" t="s">
        <v>74</v>
      </c>
      <c r="AE2895" t="s">
        <v>74</v>
      </c>
      <c r="AF2895" t="s">
        <v>74</v>
      </c>
      <c r="AG2895">
        <v>218</v>
      </c>
      <c r="AH2895">
        <v>14</v>
      </c>
      <c r="AI2895">
        <v>17</v>
      </c>
      <c r="AJ2895">
        <v>16</v>
      </c>
      <c r="AK2895">
        <v>80</v>
      </c>
      <c r="AL2895" t="s">
        <v>503</v>
      </c>
      <c r="AM2895" t="s">
        <v>151</v>
      </c>
      <c r="AN2895" t="s">
        <v>504</v>
      </c>
      <c r="AO2895" t="s">
        <v>11665</v>
      </c>
      <c r="AP2895" t="s">
        <v>11666</v>
      </c>
      <c r="AQ2895" t="s">
        <v>74</v>
      </c>
      <c r="AR2895" t="s">
        <v>11667</v>
      </c>
      <c r="AS2895" t="s">
        <v>11668</v>
      </c>
      <c r="AT2895" t="s">
        <v>743</v>
      </c>
      <c r="AU2895">
        <v>2024</v>
      </c>
      <c r="AV2895">
        <v>177</v>
      </c>
      <c r="AW2895" t="s">
        <v>74</v>
      </c>
      <c r="AX2895" t="s">
        <v>74</v>
      </c>
      <c r="AY2895" t="s">
        <v>74</v>
      </c>
      <c r="AZ2895" t="s">
        <v>74</v>
      </c>
      <c r="BA2895" t="s">
        <v>74</v>
      </c>
      <c r="BB2895" t="s">
        <v>74</v>
      </c>
      <c r="BC2895" t="s">
        <v>74</v>
      </c>
      <c r="BD2895">
        <v>114640</v>
      </c>
      <c r="BE2895" t="s">
        <v>48011</v>
      </c>
      <c r="BF2895" t="str">
        <f>HYPERLINK("http://dx.doi.org/10.1016/j.jbusres.2024.114640","http://dx.doi.org/10.1016/j.jbusres.2024.114640")</f>
        <v>http://dx.doi.org/10.1016/j.jbusres.2024.114640</v>
      </c>
      <c r="BG2895" t="s">
        <v>74</v>
      </c>
      <c r="BH2895" t="s">
        <v>938</v>
      </c>
      <c r="BI2895">
        <v>19</v>
      </c>
      <c r="BJ2895" t="s">
        <v>418</v>
      </c>
      <c r="BK2895" t="s">
        <v>99</v>
      </c>
      <c r="BL2895" t="s">
        <v>100</v>
      </c>
      <c r="BM2895" t="s">
        <v>48012</v>
      </c>
      <c r="BN2895" t="s">
        <v>74</v>
      </c>
      <c r="BO2895" t="s">
        <v>74</v>
      </c>
      <c r="BP2895" t="s">
        <v>74</v>
      </c>
      <c r="BQ2895" t="s">
        <v>74</v>
      </c>
      <c r="BR2895" t="s">
        <v>102</v>
      </c>
      <c r="BS2895" t="s">
        <v>48013</v>
      </c>
      <c r="BT2895" t="str">
        <f>HYPERLINK("https%3A%2F%2Fwww.webofscience.com%2Fwos%2Fwoscc%2Ffull-record%2FWOS:001220631100001","View Full Record in Web of Science")</f>
        <v>View Full Record in Web of Science</v>
      </c>
    </row>
    <row r="2896" spans="1:72" x14ac:dyDescent="0.25">
      <c r="A2896" t="s">
        <v>132</v>
      </c>
      <c r="B2896" t="s">
        <v>48014</v>
      </c>
      <c r="C2896" t="s">
        <v>74</v>
      </c>
      <c r="D2896" t="s">
        <v>74</v>
      </c>
      <c r="E2896" t="s">
        <v>771</v>
      </c>
      <c r="F2896" t="s">
        <v>48015</v>
      </c>
      <c r="G2896" t="s">
        <v>74</v>
      </c>
      <c r="H2896" t="s">
        <v>74</v>
      </c>
      <c r="I2896" t="s">
        <v>48016</v>
      </c>
      <c r="J2896" t="s">
        <v>48017</v>
      </c>
      <c r="K2896" t="s">
        <v>48018</v>
      </c>
      <c r="L2896" t="s">
        <v>74</v>
      </c>
      <c r="M2896" t="s">
        <v>78</v>
      </c>
      <c r="N2896" t="s">
        <v>138</v>
      </c>
      <c r="O2896" t="s">
        <v>48019</v>
      </c>
      <c r="P2896" t="s">
        <v>48020</v>
      </c>
      <c r="Q2896" t="s">
        <v>48021</v>
      </c>
      <c r="R2896" t="s">
        <v>48022</v>
      </c>
      <c r="S2896" t="s">
        <v>74</v>
      </c>
      <c r="T2896" t="s">
        <v>48023</v>
      </c>
      <c r="U2896" t="s">
        <v>48024</v>
      </c>
      <c r="V2896" t="s">
        <v>48025</v>
      </c>
      <c r="W2896" t="s">
        <v>48026</v>
      </c>
      <c r="X2896" t="s">
        <v>74</v>
      </c>
      <c r="Y2896" t="s">
        <v>48027</v>
      </c>
      <c r="Z2896" t="s">
        <v>48028</v>
      </c>
      <c r="AA2896" t="s">
        <v>74</v>
      </c>
      <c r="AB2896" t="s">
        <v>74</v>
      </c>
      <c r="AC2896" t="s">
        <v>74</v>
      </c>
      <c r="AD2896" t="s">
        <v>74</v>
      </c>
      <c r="AE2896" t="s">
        <v>74</v>
      </c>
      <c r="AF2896" t="s">
        <v>74</v>
      </c>
      <c r="AG2896">
        <v>54</v>
      </c>
      <c r="AH2896">
        <v>1</v>
      </c>
      <c r="AI2896">
        <v>1</v>
      </c>
      <c r="AJ2896">
        <v>0</v>
      </c>
      <c r="AK2896">
        <v>5</v>
      </c>
      <c r="AL2896" t="s">
        <v>771</v>
      </c>
      <c r="AM2896" t="s">
        <v>151</v>
      </c>
      <c r="AN2896" t="s">
        <v>785</v>
      </c>
      <c r="AO2896" t="s">
        <v>48029</v>
      </c>
      <c r="AP2896" t="s">
        <v>74</v>
      </c>
      <c r="AQ2896" t="s">
        <v>48030</v>
      </c>
      <c r="AR2896" t="s">
        <v>48031</v>
      </c>
      <c r="AS2896" t="s">
        <v>74</v>
      </c>
      <c r="AT2896" t="s">
        <v>74</v>
      </c>
      <c r="AU2896">
        <v>2023</v>
      </c>
      <c r="AV2896" t="s">
        <v>74</v>
      </c>
      <c r="AW2896" t="s">
        <v>74</v>
      </c>
      <c r="AX2896" t="s">
        <v>74</v>
      </c>
      <c r="AY2896" t="s">
        <v>74</v>
      </c>
      <c r="AZ2896" t="s">
        <v>74</v>
      </c>
      <c r="BA2896" t="s">
        <v>74</v>
      </c>
      <c r="BB2896" t="s">
        <v>74</v>
      </c>
      <c r="BC2896" t="s">
        <v>74</v>
      </c>
      <c r="BD2896" t="s">
        <v>74</v>
      </c>
      <c r="BE2896" t="s">
        <v>48032</v>
      </c>
      <c r="BF2896" t="str">
        <f>HYPERLINK("http://dx.doi.org/10.1109/ISTAS57930.2023.10305905","http://dx.doi.org/10.1109/ISTAS57930.2023.10305905")</f>
        <v>http://dx.doi.org/10.1109/ISTAS57930.2023.10305905</v>
      </c>
      <c r="BG2896" t="s">
        <v>74</v>
      </c>
      <c r="BH2896" t="s">
        <v>74</v>
      </c>
      <c r="BI2896">
        <v>7</v>
      </c>
      <c r="BJ2896" t="s">
        <v>48033</v>
      </c>
      <c r="BK2896" t="s">
        <v>1069</v>
      </c>
      <c r="BL2896" t="s">
        <v>48034</v>
      </c>
      <c r="BM2896" t="s">
        <v>48035</v>
      </c>
      <c r="BN2896" t="s">
        <v>74</v>
      </c>
      <c r="BO2896" t="s">
        <v>1696</v>
      </c>
      <c r="BP2896" t="s">
        <v>74</v>
      </c>
      <c r="BQ2896" t="s">
        <v>74</v>
      </c>
      <c r="BR2896" t="s">
        <v>102</v>
      </c>
      <c r="BS2896" t="s">
        <v>48036</v>
      </c>
      <c r="BT2896" t="str">
        <f>HYPERLINK("https%3A%2F%2Fwww.webofscience.com%2Fwos%2Fwoscc%2Ffull-record%2FWOS:001103233000005","View Full Record in Web of Science")</f>
        <v>View Full Record in Web of Science</v>
      </c>
    </row>
    <row r="2897" spans="1:72" x14ac:dyDescent="0.25">
      <c r="A2897" t="s">
        <v>72</v>
      </c>
      <c r="B2897" t="s">
        <v>43161</v>
      </c>
      <c r="C2897" t="s">
        <v>74</v>
      </c>
      <c r="D2897" t="s">
        <v>74</v>
      </c>
      <c r="E2897" t="s">
        <v>74</v>
      </c>
      <c r="F2897" t="s">
        <v>43162</v>
      </c>
      <c r="G2897" t="s">
        <v>74</v>
      </c>
      <c r="H2897" t="s">
        <v>74</v>
      </c>
      <c r="I2897" t="s">
        <v>48037</v>
      </c>
      <c r="J2897" t="s">
        <v>21972</v>
      </c>
      <c r="K2897" t="s">
        <v>74</v>
      </c>
      <c r="L2897" t="s">
        <v>74</v>
      </c>
      <c r="M2897" t="s">
        <v>78</v>
      </c>
      <c r="N2897" t="s">
        <v>79</v>
      </c>
      <c r="O2897" t="s">
        <v>74</v>
      </c>
      <c r="P2897" t="s">
        <v>74</v>
      </c>
      <c r="Q2897" t="s">
        <v>74</v>
      </c>
      <c r="R2897" t="s">
        <v>74</v>
      </c>
      <c r="S2897" t="s">
        <v>74</v>
      </c>
      <c r="T2897" t="s">
        <v>48038</v>
      </c>
      <c r="U2897" t="s">
        <v>48039</v>
      </c>
      <c r="V2897" t="s">
        <v>48040</v>
      </c>
      <c r="W2897" t="s">
        <v>43168</v>
      </c>
      <c r="X2897" t="s">
        <v>43169</v>
      </c>
      <c r="Y2897" t="s">
        <v>43170</v>
      </c>
      <c r="Z2897" t="s">
        <v>48041</v>
      </c>
      <c r="AA2897" t="s">
        <v>43172</v>
      </c>
      <c r="AB2897" t="s">
        <v>48042</v>
      </c>
      <c r="AC2897" t="s">
        <v>74</v>
      </c>
      <c r="AD2897" t="s">
        <v>74</v>
      </c>
      <c r="AE2897" t="s">
        <v>74</v>
      </c>
      <c r="AF2897" t="s">
        <v>74</v>
      </c>
      <c r="AG2897">
        <v>96</v>
      </c>
      <c r="AH2897">
        <v>6</v>
      </c>
      <c r="AI2897">
        <v>6</v>
      </c>
      <c r="AJ2897">
        <v>10</v>
      </c>
      <c r="AK2897">
        <v>29</v>
      </c>
      <c r="AL2897" t="s">
        <v>385</v>
      </c>
      <c r="AM2897" t="s">
        <v>1153</v>
      </c>
      <c r="AN2897" t="s">
        <v>1154</v>
      </c>
      <c r="AO2897" t="s">
        <v>21964</v>
      </c>
      <c r="AP2897" t="s">
        <v>21963</v>
      </c>
      <c r="AQ2897" t="s">
        <v>74</v>
      </c>
      <c r="AR2897" t="s">
        <v>21962</v>
      </c>
      <c r="AS2897" t="s">
        <v>21961</v>
      </c>
      <c r="AT2897" t="s">
        <v>1159</v>
      </c>
      <c r="AU2897">
        <v>2024</v>
      </c>
      <c r="AV2897">
        <v>17</v>
      </c>
      <c r="AW2897">
        <v>5</v>
      </c>
      <c r="AX2897" t="s">
        <v>74</v>
      </c>
      <c r="AY2897" t="s">
        <v>74</v>
      </c>
      <c r="AZ2897" t="s">
        <v>74</v>
      </c>
      <c r="BA2897" t="s">
        <v>74</v>
      </c>
      <c r="BB2897">
        <v>2283</v>
      </c>
      <c r="BC2897">
        <v>2318</v>
      </c>
      <c r="BD2897" t="s">
        <v>74</v>
      </c>
      <c r="BE2897" t="s">
        <v>48043</v>
      </c>
      <c r="BF2897" t="str">
        <f>HYPERLINK("http://dx.doi.org/10.1007/s12187-024-10164-z","http://dx.doi.org/10.1007/s12187-024-10164-z")</f>
        <v>http://dx.doi.org/10.1007/s12187-024-10164-z</v>
      </c>
      <c r="BG2897" t="s">
        <v>74</v>
      </c>
      <c r="BH2897" t="s">
        <v>393</v>
      </c>
      <c r="BI2897">
        <v>36</v>
      </c>
      <c r="BJ2897" t="s">
        <v>364</v>
      </c>
      <c r="BK2897" t="s">
        <v>99</v>
      </c>
      <c r="BL2897" t="s">
        <v>365</v>
      </c>
      <c r="BM2897" t="s">
        <v>48044</v>
      </c>
      <c r="BN2897" t="s">
        <v>74</v>
      </c>
      <c r="BO2897" t="s">
        <v>270</v>
      </c>
      <c r="BP2897" t="s">
        <v>74</v>
      </c>
      <c r="BQ2897" t="s">
        <v>74</v>
      </c>
      <c r="BR2897" t="s">
        <v>102</v>
      </c>
      <c r="BS2897" t="s">
        <v>48045</v>
      </c>
      <c r="BT2897" t="str">
        <f>HYPERLINK("https%3A%2F%2Fwww.webofscience.com%2Fwos%2Fwoscc%2Ffull-record%2FWOS:001286391600001","View Full Record in Web of Science")</f>
        <v>View Full Record in Web of Science</v>
      </c>
    </row>
    <row r="2898" spans="1:72" x14ac:dyDescent="0.25">
      <c r="A2898" t="s">
        <v>72</v>
      </c>
      <c r="B2898" t="s">
        <v>48046</v>
      </c>
      <c r="C2898" t="s">
        <v>74</v>
      </c>
      <c r="D2898" t="s">
        <v>74</v>
      </c>
      <c r="E2898" t="s">
        <v>74</v>
      </c>
      <c r="F2898" t="s">
        <v>48047</v>
      </c>
      <c r="G2898" t="s">
        <v>74</v>
      </c>
      <c r="H2898" t="s">
        <v>74</v>
      </c>
      <c r="I2898" t="s">
        <v>48048</v>
      </c>
      <c r="J2898" t="s">
        <v>2030</v>
      </c>
      <c r="K2898" t="s">
        <v>74</v>
      </c>
      <c r="L2898" t="s">
        <v>74</v>
      </c>
      <c r="M2898" t="s">
        <v>78</v>
      </c>
      <c r="N2898" t="s">
        <v>372</v>
      </c>
      <c r="O2898" t="s">
        <v>74</v>
      </c>
      <c r="P2898" t="s">
        <v>74</v>
      </c>
      <c r="Q2898" t="s">
        <v>74</v>
      </c>
      <c r="R2898" t="s">
        <v>74</v>
      </c>
      <c r="S2898" t="s">
        <v>74</v>
      </c>
      <c r="T2898" t="s">
        <v>48049</v>
      </c>
      <c r="U2898" t="s">
        <v>48050</v>
      </c>
      <c r="V2898" t="s">
        <v>48051</v>
      </c>
      <c r="W2898" t="s">
        <v>48052</v>
      </c>
      <c r="X2898" t="s">
        <v>48053</v>
      </c>
      <c r="Y2898" t="s">
        <v>48054</v>
      </c>
      <c r="Z2898" t="s">
        <v>48055</v>
      </c>
      <c r="AA2898" t="s">
        <v>74</v>
      </c>
      <c r="AB2898" t="s">
        <v>48056</v>
      </c>
      <c r="AC2898" t="s">
        <v>74</v>
      </c>
      <c r="AD2898" t="s">
        <v>74</v>
      </c>
      <c r="AE2898" t="s">
        <v>74</v>
      </c>
      <c r="AF2898" t="s">
        <v>74</v>
      </c>
      <c r="AG2898">
        <v>64</v>
      </c>
      <c r="AH2898">
        <v>0</v>
      </c>
      <c r="AI2898">
        <v>2</v>
      </c>
      <c r="AJ2898">
        <v>1</v>
      </c>
      <c r="AK2898">
        <v>5</v>
      </c>
      <c r="AL2898" t="s">
        <v>666</v>
      </c>
      <c r="AM2898" t="s">
        <v>667</v>
      </c>
      <c r="AN2898" t="s">
        <v>668</v>
      </c>
      <c r="AO2898" t="s">
        <v>2039</v>
      </c>
      <c r="AP2898" t="s">
        <v>74</v>
      </c>
      <c r="AQ2898" t="s">
        <v>74</v>
      </c>
      <c r="AR2898" t="s">
        <v>2040</v>
      </c>
      <c r="AS2898" t="s">
        <v>2041</v>
      </c>
      <c r="AT2898" t="s">
        <v>48057</v>
      </c>
      <c r="AU2898">
        <v>2022</v>
      </c>
      <c r="AV2898" t="s">
        <v>74</v>
      </c>
      <c r="AW2898" t="s">
        <v>74</v>
      </c>
      <c r="AX2898" t="s">
        <v>74</v>
      </c>
      <c r="AY2898" t="s">
        <v>74</v>
      </c>
      <c r="AZ2898" t="s">
        <v>74</v>
      </c>
      <c r="BA2898" t="s">
        <v>74</v>
      </c>
      <c r="BB2898" t="s">
        <v>74</v>
      </c>
      <c r="BC2898" t="s">
        <v>74</v>
      </c>
      <c r="BD2898" t="s">
        <v>74</v>
      </c>
      <c r="BE2898" t="s">
        <v>48058</v>
      </c>
      <c r="BF2898" t="str">
        <f>HYPERLINK("http://dx.doi.org/10.1007/s40609-022-00258-3","http://dx.doi.org/10.1007/s40609-022-00258-3")</f>
        <v>http://dx.doi.org/10.1007/s40609-022-00258-3</v>
      </c>
      <c r="BG2898" t="s">
        <v>74</v>
      </c>
      <c r="BH2898" t="s">
        <v>7904</v>
      </c>
      <c r="BI2898">
        <v>9</v>
      </c>
      <c r="BJ2898" t="s">
        <v>2045</v>
      </c>
      <c r="BK2898" t="s">
        <v>313</v>
      </c>
      <c r="BL2898" t="s">
        <v>2045</v>
      </c>
      <c r="BM2898" t="s">
        <v>48059</v>
      </c>
      <c r="BN2898" t="s">
        <v>74</v>
      </c>
      <c r="BO2898" t="s">
        <v>74</v>
      </c>
      <c r="BP2898" t="s">
        <v>74</v>
      </c>
      <c r="BQ2898" t="s">
        <v>74</v>
      </c>
      <c r="BR2898" t="s">
        <v>102</v>
      </c>
      <c r="BS2898" t="s">
        <v>48060</v>
      </c>
      <c r="BT2898" t="str">
        <f>HYPERLINK("https%3A%2F%2Fwww.webofscience.com%2Fwos%2Fwoscc%2Ffull-record%2FWOS:000910856800001","View Full Record in Web of Science")</f>
        <v>View Full Record in Web of Science</v>
      </c>
    </row>
    <row r="2899" spans="1:72" x14ac:dyDescent="0.25">
      <c r="A2899" t="s">
        <v>72</v>
      </c>
      <c r="B2899" t="s">
        <v>48061</v>
      </c>
      <c r="C2899" t="s">
        <v>74</v>
      </c>
      <c r="D2899" t="s">
        <v>74</v>
      </c>
      <c r="E2899" t="s">
        <v>74</v>
      </c>
      <c r="F2899" t="s">
        <v>48062</v>
      </c>
      <c r="G2899" t="s">
        <v>74</v>
      </c>
      <c r="H2899" t="s">
        <v>74</v>
      </c>
      <c r="I2899" t="s">
        <v>48063</v>
      </c>
      <c r="J2899" t="s">
        <v>4618</v>
      </c>
      <c r="K2899" t="s">
        <v>74</v>
      </c>
      <c r="L2899" t="s">
        <v>74</v>
      </c>
      <c r="M2899" t="s">
        <v>78</v>
      </c>
      <c r="N2899" t="s">
        <v>79</v>
      </c>
      <c r="O2899" t="s">
        <v>74</v>
      </c>
      <c r="P2899" t="s">
        <v>74</v>
      </c>
      <c r="Q2899" t="s">
        <v>74</v>
      </c>
      <c r="R2899" t="s">
        <v>74</v>
      </c>
      <c r="S2899" t="s">
        <v>74</v>
      </c>
      <c r="T2899" t="s">
        <v>48064</v>
      </c>
      <c r="U2899" t="s">
        <v>48065</v>
      </c>
      <c r="V2899" t="s">
        <v>48066</v>
      </c>
      <c r="W2899" t="s">
        <v>48067</v>
      </c>
      <c r="X2899" t="s">
        <v>48068</v>
      </c>
      <c r="Y2899" t="s">
        <v>48069</v>
      </c>
      <c r="Z2899" t="s">
        <v>19401</v>
      </c>
      <c r="AA2899" t="s">
        <v>48070</v>
      </c>
      <c r="AB2899" t="s">
        <v>48071</v>
      </c>
      <c r="AC2899" t="s">
        <v>74</v>
      </c>
      <c r="AD2899" t="s">
        <v>74</v>
      </c>
      <c r="AE2899" t="s">
        <v>48072</v>
      </c>
      <c r="AF2899" t="s">
        <v>74</v>
      </c>
      <c r="AG2899">
        <v>62</v>
      </c>
      <c r="AH2899">
        <v>3</v>
      </c>
      <c r="AI2899">
        <v>3</v>
      </c>
      <c r="AJ2899">
        <v>0</v>
      </c>
      <c r="AK2899">
        <v>6</v>
      </c>
      <c r="AL2899" t="s">
        <v>89</v>
      </c>
      <c r="AM2899" t="s">
        <v>90</v>
      </c>
      <c r="AN2899" t="s">
        <v>91</v>
      </c>
      <c r="AO2899" t="s">
        <v>4627</v>
      </c>
      <c r="AP2899" t="s">
        <v>4628</v>
      </c>
      <c r="AQ2899" t="s">
        <v>74</v>
      </c>
      <c r="AR2899" t="s">
        <v>4629</v>
      </c>
      <c r="AS2899" t="s">
        <v>4630</v>
      </c>
      <c r="AT2899" t="s">
        <v>37822</v>
      </c>
      <c r="AU2899">
        <v>2024</v>
      </c>
      <c r="AV2899">
        <v>17</v>
      </c>
      <c r="AW2899">
        <v>5</v>
      </c>
      <c r="AX2899" t="s">
        <v>74</v>
      </c>
      <c r="AY2899" t="s">
        <v>74</v>
      </c>
      <c r="AZ2899" t="s">
        <v>74</v>
      </c>
      <c r="BA2899" t="s">
        <v>74</v>
      </c>
      <c r="BB2899">
        <v>936</v>
      </c>
      <c r="BC2899">
        <v>954</v>
      </c>
      <c r="BD2899" t="s">
        <v>74</v>
      </c>
      <c r="BE2899" t="s">
        <v>48073</v>
      </c>
      <c r="BF2899" t="str">
        <f>HYPERLINK("http://dx.doi.org/10.1108/IMEFM-04-2024-0191","http://dx.doi.org/10.1108/IMEFM-04-2024-0191")</f>
        <v>http://dx.doi.org/10.1108/IMEFM-04-2024-0191</v>
      </c>
      <c r="BG2899" t="s">
        <v>74</v>
      </c>
      <c r="BH2899" t="s">
        <v>2524</v>
      </c>
      <c r="BI2899">
        <v>19</v>
      </c>
      <c r="BJ2899" t="s">
        <v>4632</v>
      </c>
      <c r="BK2899" t="s">
        <v>99</v>
      </c>
      <c r="BL2899" t="s">
        <v>100</v>
      </c>
      <c r="BM2899" t="s">
        <v>48074</v>
      </c>
      <c r="BN2899" t="s">
        <v>74</v>
      </c>
      <c r="BO2899" t="s">
        <v>74</v>
      </c>
      <c r="BP2899" t="s">
        <v>74</v>
      </c>
      <c r="BQ2899" t="s">
        <v>74</v>
      </c>
      <c r="BR2899" t="s">
        <v>102</v>
      </c>
      <c r="BS2899" t="s">
        <v>48075</v>
      </c>
      <c r="BT2899" t="str">
        <f>HYPERLINK("https%3A%2F%2Fwww.webofscience.com%2Fwos%2Fwoscc%2Ffull-record%2FWOS:001273752300001","View Full Record in Web of Science")</f>
        <v>View Full Record in Web of Science</v>
      </c>
    </row>
    <row r="2900" spans="1:72" x14ac:dyDescent="0.25">
      <c r="A2900" t="s">
        <v>72</v>
      </c>
      <c r="B2900" t="s">
        <v>25080</v>
      </c>
      <c r="C2900" t="s">
        <v>74</v>
      </c>
      <c r="D2900" t="s">
        <v>74</v>
      </c>
      <c r="E2900" t="s">
        <v>74</v>
      </c>
      <c r="F2900" t="s">
        <v>25079</v>
      </c>
      <c r="G2900" t="s">
        <v>74</v>
      </c>
      <c r="H2900" t="s">
        <v>74</v>
      </c>
      <c r="I2900" t="s">
        <v>48076</v>
      </c>
      <c r="J2900" t="s">
        <v>19715</v>
      </c>
      <c r="K2900" t="s">
        <v>74</v>
      </c>
      <c r="L2900" t="s">
        <v>74</v>
      </c>
      <c r="M2900" t="s">
        <v>78</v>
      </c>
      <c r="N2900" t="s">
        <v>79</v>
      </c>
      <c r="O2900" t="s">
        <v>74</v>
      </c>
      <c r="P2900" t="s">
        <v>74</v>
      </c>
      <c r="Q2900" t="s">
        <v>74</v>
      </c>
      <c r="R2900" t="s">
        <v>74</v>
      </c>
      <c r="S2900" t="s">
        <v>74</v>
      </c>
      <c r="T2900" t="s">
        <v>48077</v>
      </c>
      <c r="U2900" t="s">
        <v>48078</v>
      </c>
      <c r="V2900" t="s">
        <v>48079</v>
      </c>
      <c r="W2900" t="s">
        <v>48080</v>
      </c>
      <c r="X2900" t="s">
        <v>8791</v>
      </c>
      <c r="Y2900" t="s">
        <v>48081</v>
      </c>
      <c r="Z2900" t="s">
        <v>74</v>
      </c>
      <c r="AA2900" t="s">
        <v>1151</v>
      </c>
      <c r="AB2900" t="s">
        <v>1152</v>
      </c>
      <c r="AC2900" t="s">
        <v>74</v>
      </c>
      <c r="AD2900" t="s">
        <v>74</v>
      </c>
      <c r="AE2900" t="s">
        <v>74</v>
      </c>
      <c r="AF2900" t="s">
        <v>74</v>
      </c>
      <c r="AG2900">
        <v>68</v>
      </c>
      <c r="AH2900">
        <v>6</v>
      </c>
      <c r="AI2900">
        <v>6</v>
      </c>
      <c r="AJ2900">
        <v>2</v>
      </c>
      <c r="AK2900">
        <v>15</v>
      </c>
      <c r="AL2900" t="s">
        <v>3380</v>
      </c>
      <c r="AM2900" t="s">
        <v>3381</v>
      </c>
      <c r="AN2900" t="s">
        <v>3382</v>
      </c>
      <c r="AO2900" t="s">
        <v>19705</v>
      </c>
      <c r="AP2900" t="s">
        <v>19704</v>
      </c>
      <c r="AQ2900" t="s">
        <v>74</v>
      </c>
      <c r="AR2900" t="s">
        <v>19703</v>
      </c>
      <c r="AS2900" t="s">
        <v>19702</v>
      </c>
      <c r="AT2900" t="s">
        <v>2462</v>
      </c>
      <c r="AU2900">
        <v>2023</v>
      </c>
      <c r="AV2900">
        <v>14</v>
      </c>
      <c r="AW2900">
        <v>2</v>
      </c>
      <c r="AX2900" t="s">
        <v>74</v>
      </c>
      <c r="AY2900" t="s">
        <v>74</v>
      </c>
      <c r="AZ2900" t="s">
        <v>74</v>
      </c>
      <c r="BA2900" t="s">
        <v>74</v>
      </c>
      <c r="BB2900">
        <v>523</v>
      </c>
      <c r="BC2900">
        <v>552</v>
      </c>
      <c r="BD2900" t="s">
        <v>74</v>
      </c>
      <c r="BE2900" t="s">
        <v>48082</v>
      </c>
      <c r="BF2900" t="str">
        <f>HYPERLINK("http://dx.doi.org/10.1086/716103","http://dx.doi.org/10.1086/716103")</f>
        <v>http://dx.doi.org/10.1086/716103</v>
      </c>
      <c r="BG2900" t="s">
        <v>74</v>
      </c>
      <c r="BH2900" t="s">
        <v>13995</v>
      </c>
      <c r="BI2900">
        <v>30</v>
      </c>
      <c r="BJ2900" t="s">
        <v>2045</v>
      </c>
      <c r="BK2900" t="s">
        <v>99</v>
      </c>
      <c r="BL2900" t="s">
        <v>2045</v>
      </c>
      <c r="BM2900" t="s">
        <v>48083</v>
      </c>
      <c r="BN2900" t="s">
        <v>74</v>
      </c>
      <c r="BO2900" t="s">
        <v>74</v>
      </c>
      <c r="BP2900" t="s">
        <v>74</v>
      </c>
      <c r="BQ2900" t="s">
        <v>74</v>
      </c>
      <c r="BR2900" t="s">
        <v>102</v>
      </c>
      <c r="BS2900" t="s">
        <v>48084</v>
      </c>
      <c r="BT2900" t="str">
        <f>HYPERLINK("https%3A%2F%2Fwww.webofscience.com%2Fwos%2Fwoscc%2Ffull-record%2FWOS:001004412100001","View Full Record in Web of Science")</f>
        <v>View Full Record in Web of Science</v>
      </c>
    </row>
    <row r="2901" spans="1:72" x14ac:dyDescent="0.25">
      <c r="A2901" t="s">
        <v>72</v>
      </c>
      <c r="B2901" t="s">
        <v>48085</v>
      </c>
      <c r="C2901" t="s">
        <v>74</v>
      </c>
      <c r="D2901" t="s">
        <v>74</v>
      </c>
      <c r="E2901" t="s">
        <v>74</v>
      </c>
      <c r="F2901" t="s">
        <v>48086</v>
      </c>
      <c r="G2901" t="s">
        <v>74</v>
      </c>
      <c r="H2901" t="s">
        <v>74</v>
      </c>
      <c r="I2901" t="s">
        <v>48087</v>
      </c>
      <c r="J2901" t="s">
        <v>6283</v>
      </c>
      <c r="K2901" t="s">
        <v>74</v>
      </c>
      <c r="L2901" t="s">
        <v>74</v>
      </c>
      <c r="M2901" t="s">
        <v>78</v>
      </c>
      <c r="N2901" t="s">
        <v>16500</v>
      </c>
      <c r="O2901" t="s">
        <v>74</v>
      </c>
      <c r="P2901" t="s">
        <v>74</v>
      </c>
      <c r="Q2901" t="s">
        <v>74</v>
      </c>
      <c r="R2901" t="s">
        <v>74</v>
      </c>
      <c r="S2901" t="s">
        <v>74</v>
      </c>
      <c r="T2901" t="s">
        <v>48088</v>
      </c>
      <c r="U2901" t="s">
        <v>48089</v>
      </c>
      <c r="V2901" t="s">
        <v>48090</v>
      </c>
      <c r="W2901" t="s">
        <v>48091</v>
      </c>
      <c r="X2901" t="s">
        <v>48092</v>
      </c>
      <c r="Y2901" t="s">
        <v>48093</v>
      </c>
      <c r="Z2901" t="s">
        <v>48094</v>
      </c>
      <c r="AA2901" t="s">
        <v>48095</v>
      </c>
      <c r="AB2901" t="s">
        <v>74</v>
      </c>
      <c r="AC2901" t="s">
        <v>74</v>
      </c>
      <c r="AD2901" t="s">
        <v>74</v>
      </c>
      <c r="AE2901" t="s">
        <v>74</v>
      </c>
      <c r="AF2901" t="s">
        <v>74</v>
      </c>
      <c r="AG2901">
        <v>83</v>
      </c>
      <c r="AH2901">
        <v>1</v>
      </c>
      <c r="AI2901">
        <v>1</v>
      </c>
      <c r="AJ2901">
        <v>4</v>
      </c>
      <c r="AK2901">
        <v>4</v>
      </c>
      <c r="AL2901" t="s">
        <v>479</v>
      </c>
      <c r="AM2901" t="s">
        <v>480</v>
      </c>
      <c r="AN2901" t="s">
        <v>481</v>
      </c>
      <c r="AO2901" t="s">
        <v>6293</v>
      </c>
      <c r="AP2901" t="s">
        <v>6294</v>
      </c>
      <c r="AQ2901" t="s">
        <v>74</v>
      </c>
      <c r="AR2901" t="s">
        <v>6295</v>
      </c>
      <c r="AS2901" t="s">
        <v>6296</v>
      </c>
      <c r="AT2901" t="s">
        <v>25538</v>
      </c>
      <c r="AU2901">
        <v>2025</v>
      </c>
      <c r="AV2901" t="s">
        <v>74</v>
      </c>
      <c r="AW2901" t="s">
        <v>74</v>
      </c>
      <c r="AX2901" t="s">
        <v>74</v>
      </c>
      <c r="AY2901" t="s">
        <v>74</v>
      </c>
      <c r="AZ2901" t="s">
        <v>74</v>
      </c>
      <c r="BA2901" t="s">
        <v>74</v>
      </c>
      <c r="BB2901" t="s">
        <v>74</v>
      </c>
      <c r="BC2901" t="s">
        <v>74</v>
      </c>
      <c r="BD2901" t="s">
        <v>74</v>
      </c>
      <c r="BE2901" t="s">
        <v>48096</v>
      </c>
      <c r="BF2901" t="str">
        <f>HYPERLINK("http://dx.doi.org/10.1002/sd.70369","http://dx.doi.org/10.1002/sd.70369")</f>
        <v>http://dx.doi.org/10.1002/sd.70369</v>
      </c>
      <c r="BG2901" t="s">
        <v>74</v>
      </c>
      <c r="BH2901" t="s">
        <v>12078</v>
      </c>
      <c r="BI2901">
        <v>19</v>
      </c>
      <c r="BJ2901" t="s">
        <v>6299</v>
      </c>
      <c r="BK2901" t="s">
        <v>99</v>
      </c>
      <c r="BL2901" t="s">
        <v>6300</v>
      </c>
      <c r="BM2901" t="s">
        <v>48097</v>
      </c>
      <c r="BN2901" t="s">
        <v>74</v>
      </c>
      <c r="BO2901" t="s">
        <v>74</v>
      </c>
      <c r="BP2901" t="s">
        <v>74</v>
      </c>
      <c r="BQ2901" t="s">
        <v>74</v>
      </c>
      <c r="BR2901" t="s">
        <v>102</v>
      </c>
      <c r="BS2901" t="s">
        <v>48098</v>
      </c>
      <c r="BT2901" t="str">
        <f>HYPERLINK("https%3A%2F%2Fwww.webofscience.com%2Fwos%2Fwoscc%2Ffull-record%2FWOS:001603457300001","View Full Record in Web of Science")</f>
        <v>View Full Record in Web of Science</v>
      </c>
    </row>
    <row r="2902" spans="1:72" x14ac:dyDescent="0.25">
      <c r="A2902" t="s">
        <v>72</v>
      </c>
      <c r="B2902" t="s">
        <v>48099</v>
      </c>
      <c r="C2902" t="s">
        <v>74</v>
      </c>
      <c r="D2902" t="s">
        <v>74</v>
      </c>
      <c r="E2902" t="s">
        <v>74</v>
      </c>
      <c r="F2902" t="s">
        <v>48100</v>
      </c>
      <c r="G2902" t="s">
        <v>74</v>
      </c>
      <c r="H2902" t="s">
        <v>74</v>
      </c>
      <c r="I2902" t="s">
        <v>48101</v>
      </c>
      <c r="J2902" t="s">
        <v>12427</v>
      </c>
      <c r="K2902" t="s">
        <v>74</v>
      </c>
      <c r="L2902" t="s">
        <v>74</v>
      </c>
      <c r="M2902" t="s">
        <v>78</v>
      </c>
      <c r="N2902" t="s">
        <v>79</v>
      </c>
      <c r="O2902" t="s">
        <v>74</v>
      </c>
      <c r="P2902" t="s">
        <v>74</v>
      </c>
      <c r="Q2902" t="s">
        <v>74</v>
      </c>
      <c r="R2902" t="s">
        <v>74</v>
      </c>
      <c r="S2902" t="s">
        <v>74</v>
      </c>
      <c r="T2902" t="s">
        <v>48102</v>
      </c>
      <c r="U2902" t="s">
        <v>11076</v>
      </c>
      <c r="V2902" t="s">
        <v>48103</v>
      </c>
      <c r="W2902" t="s">
        <v>48104</v>
      </c>
      <c r="X2902" t="s">
        <v>48105</v>
      </c>
      <c r="Y2902" t="s">
        <v>48106</v>
      </c>
      <c r="Z2902" t="s">
        <v>48107</v>
      </c>
      <c r="AA2902" t="s">
        <v>48108</v>
      </c>
      <c r="AB2902" t="s">
        <v>74</v>
      </c>
      <c r="AC2902" t="s">
        <v>48109</v>
      </c>
      <c r="AD2902" t="s">
        <v>48110</v>
      </c>
      <c r="AE2902" t="s">
        <v>48111</v>
      </c>
      <c r="AF2902" t="s">
        <v>74</v>
      </c>
      <c r="AG2902">
        <v>78</v>
      </c>
      <c r="AH2902">
        <v>1</v>
      </c>
      <c r="AI2902">
        <v>1</v>
      </c>
      <c r="AJ2902">
        <v>1</v>
      </c>
      <c r="AK2902">
        <v>1</v>
      </c>
      <c r="AL2902" t="s">
        <v>201</v>
      </c>
      <c r="AM2902" t="s">
        <v>202</v>
      </c>
      <c r="AN2902" t="s">
        <v>203</v>
      </c>
      <c r="AO2902" t="s">
        <v>74</v>
      </c>
      <c r="AP2902" t="s">
        <v>12435</v>
      </c>
      <c r="AQ2902" t="s">
        <v>74</v>
      </c>
      <c r="AR2902" t="s">
        <v>12436</v>
      </c>
      <c r="AS2902" t="s">
        <v>12437</v>
      </c>
      <c r="AT2902" t="s">
        <v>124</v>
      </c>
      <c r="AU2902">
        <v>2025</v>
      </c>
      <c r="AV2902">
        <v>5</v>
      </c>
      <c r="AW2902">
        <v>2</v>
      </c>
      <c r="AX2902" t="s">
        <v>74</v>
      </c>
      <c r="AY2902" t="s">
        <v>74</v>
      </c>
      <c r="AZ2902" t="s">
        <v>74</v>
      </c>
      <c r="BA2902" t="s">
        <v>74</v>
      </c>
      <c r="BB2902" t="s">
        <v>74</v>
      </c>
      <c r="BC2902" t="s">
        <v>74</v>
      </c>
      <c r="BD2902">
        <v>100153</v>
      </c>
      <c r="BE2902" t="s">
        <v>48112</v>
      </c>
      <c r="BF2902" t="str">
        <f>HYPERLINK("http://dx.doi.org/10.1016/j.digbus.2025.100153","http://dx.doi.org/10.1016/j.digbus.2025.100153")</f>
        <v>http://dx.doi.org/10.1016/j.digbus.2025.100153</v>
      </c>
      <c r="BG2902" t="s">
        <v>74</v>
      </c>
      <c r="BH2902" t="s">
        <v>3411</v>
      </c>
      <c r="BI2902">
        <v>15</v>
      </c>
      <c r="BJ2902" t="s">
        <v>98</v>
      </c>
      <c r="BK2902" t="s">
        <v>313</v>
      </c>
      <c r="BL2902" t="s">
        <v>100</v>
      </c>
      <c r="BM2902" t="s">
        <v>48113</v>
      </c>
      <c r="BN2902" t="s">
        <v>74</v>
      </c>
      <c r="BO2902" t="s">
        <v>916</v>
      </c>
      <c r="BP2902" t="s">
        <v>74</v>
      </c>
      <c r="BQ2902" t="s">
        <v>74</v>
      </c>
      <c r="BR2902" t="s">
        <v>102</v>
      </c>
      <c r="BS2902" t="s">
        <v>48114</v>
      </c>
      <c r="BT2902" t="str">
        <f>HYPERLINK("https%3A%2F%2Fwww.webofscience.com%2Fwos%2Fwoscc%2Ffull-record%2FWOS:001584274800001","View Full Record in Web of Science")</f>
        <v>View Full Record in Web of Science</v>
      </c>
    </row>
    <row r="2903" spans="1:72" x14ac:dyDescent="0.25">
      <c r="A2903" t="s">
        <v>72</v>
      </c>
      <c r="B2903" t="s">
        <v>48115</v>
      </c>
      <c r="C2903" t="s">
        <v>74</v>
      </c>
      <c r="D2903" t="s">
        <v>74</v>
      </c>
      <c r="E2903" t="s">
        <v>74</v>
      </c>
      <c r="F2903" t="s">
        <v>48116</v>
      </c>
      <c r="G2903" t="s">
        <v>74</v>
      </c>
      <c r="H2903" t="s">
        <v>74</v>
      </c>
      <c r="I2903" t="s">
        <v>48117</v>
      </c>
      <c r="J2903" t="s">
        <v>48118</v>
      </c>
      <c r="K2903" t="s">
        <v>74</v>
      </c>
      <c r="L2903" t="s">
        <v>74</v>
      </c>
      <c r="M2903" t="s">
        <v>78</v>
      </c>
      <c r="N2903" t="s">
        <v>79</v>
      </c>
      <c r="O2903" t="s">
        <v>74</v>
      </c>
      <c r="P2903" t="s">
        <v>74</v>
      </c>
      <c r="Q2903" t="s">
        <v>74</v>
      </c>
      <c r="R2903" t="s">
        <v>74</v>
      </c>
      <c r="S2903" t="s">
        <v>74</v>
      </c>
      <c r="T2903" t="s">
        <v>48119</v>
      </c>
      <c r="U2903" t="s">
        <v>48120</v>
      </c>
      <c r="V2903" t="s">
        <v>48121</v>
      </c>
      <c r="W2903" t="s">
        <v>48122</v>
      </c>
      <c r="X2903" t="s">
        <v>74</v>
      </c>
      <c r="Y2903" t="s">
        <v>48123</v>
      </c>
      <c r="Z2903" t="s">
        <v>48124</v>
      </c>
      <c r="AA2903" t="s">
        <v>74</v>
      </c>
      <c r="AB2903" t="s">
        <v>48125</v>
      </c>
      <c r="AC2903" t="s">
        <v>74</v>
      </c>
      <c r="AD2903" t="s">
        <v>74</v>
      </c>
      <c r="AE2903" t="s">
        <v>74</v>
      </c>
      <c r="AF2903" t="s">
        <v>74</v>
      </c>
      <c r="AG2903">
        <v>36</v>
      </c>
      <c r="AH2903">
        <v>8</v>
      </c>
      <c r="AI2903">
        <v>16</v>
      </c>
      <c r="AJ2903">
        <v>3</v>
      </c>
      <c r="AK2903">
        <v>32</v>
      </c>
      <c r="AL2903" t="s">
        <v>479</v>
      </c>
      <c r="AM2903" t="s">
        <v>480</v>
      </c>
      <c r="AN2903" t="s">
        <v>3884</v>
      </c>
      <c r="AO2903" t="s">
        <v>48126</v>
      </c>
      <c r="AP2903" t="s">
        <v>74</v>
      </c>
      <c r="AQ2903" t="s">
        <v>74</v>
      </c>
      <c r="AR2903" t="s">
        <v>48127</v>
      </c>
      <c r="AS2903" t="s">
        <v>48128</v>
      </c>
      <c r="AT2903" t="s">
        <v>698</v>
      </c>
      <c r="AU2903">
        <v>2021</v>
      </c>
      <c r="AV2903">
        <v>8</v>
      </c>
      <c r="AW2903">
        <v>3</v>
      </c>
      <c r="AX2903" t="s">
        <v>74</v>
      </c>
      <c r="AY2903" t="s">
        <v>74</v>
      </c>
      <c r="AZ2903" t="s">
        <v>74</v>
      </c>
      <c r="BA2903" t="s">
        <v>74</v>
      </c>
      <c r="BB2903">
        <v>435</v>
      </c>
      <c r="BC2903">
        <v>453</v>
      </c>
      <c r="BD2903" t="s">
        <v>74</v>
      </c>
      <c r="BE2903" t="s">
        <v>48129</v>
      </c>
      <c r="BF2903" t="str">
        <f>HYPERLINK("http://dx.doi.org/10.1002/app5.341","http://dx.doi.org/10.1002/app5.341")</f>
        <v>http://dx.doi.org/10.1002/app5.341</v>
      </c>
      <c r="BG2903" t="s">
        <v>74</v>
      </c>
      <c r="BH2903" t="s">
        <v>2730</v>
      </c>
      <c r="BI2903">
        <v>19</v>
      </c>
      <c r="BJ2903" t="s">
        <v>1674</v>
      </c>
      <c r="BK2903" t="s">
        <v>99</v>
      </c>
      <c r="BL2903" t="s">
        <v>1674</v>
      </c>
      <c r="BM2903" t="s">
        <v>48130</v>
      </c>
      <c r="BN2903" t="s">
        <v>74</v>
      </c>
      <c r="BO2903" t="s">
        <v>916</v>
      </c>
      <c r="BP2903" t="s">
        <v>74</v>
      </c>
      <c r="BQ2903" t="s">
        <v>74</v>
      </c>
      <c r="BR2903" t="s">
        <v>102</v>
      </c>
      <c r="BS2903" t="s">
        <v>48131</v>
      </c>
      <c r="BT2903" t="str">
        <f>HYPERLINK("https%3A%2F%2Fwww.webofscience.com%2Fwos%2Fwoscc%2Ffull-record%2FWOS:000727791700001","View Full Record in Web of Science")</f>
        <v>View Full Record in Web of Science</v>
      </c>
    </row>
    <row r="2904" spans="1:72" x14ac:dyDescent="0.25">
      <c r="A2904" t="s">
        <v>72</v>
      </c>
      <c r="B2904" t="s">
        <v>48132</v>
      </c>
      <c r="C2904" t="s">
        <v>74</v>
      </c>
      <c r="D2904" t="s">
        <v>74</v>
      </c>
      <c r="E2904" t="s">
        <v>74</v>
      </c>
      <c r="F2904" t="s">
        <v>48133</v>
      </c>
      <c r="G2904" t="s">
        <v>74</v>
      </c>
      <c r="H2904" t="s">
        <v>74</v>
      </c>
      <c r="I2904" t="s">
        <v>48134</v>
      </c>
      <c r="J2904" t="s">
        <v>14645</v>
      </c>
      <c r="K2904" t="s">
        <v>74</v>
      </c>
      <c r="L2904" t="s">
        <v>74</v>
      </c>
      <c r="M2904" t="s">
        <v>78</v>
      </c>
      <c r="N2904" t="s">
        <v>79</v>
      </c>
      <c r="O2904" t="s">
        <v>74</v>
      </c>
      <c r="P2904" t="s">
        <v>74</v>
      </c>
      <c r="Q2904" t="s">
        <v>74</v>
      </c>
      <c r="R2904" t="s">
        <v>74</v>
      </c>
      <c r="S2904" t="s">
        <v>74</v>
      </c>
      <c r="T2904" t="s">
        <v>48135</v>
      </c>
      <c r="U2904" t="s">
        <v>74</v>
      </c>
      <c r="V2904" t="s">
        <v>48136</v>
      </c>
      <c r="W2904" t="s">
        <v>48137</v>
      </c>
      <c r="X2904" t="s">
        <v>48138</v>
      </c>
      <c r="Y2904" t="s">
        <v>48139</v>
      </c>
      <c r="Z2904" t="s">
        <v>48140</v>
      </c>
      <c r="AA2904" t="s">
        <v>74</v>
      </c>
      <c r="AB2904" t="s">
        <v>74</v>
      </c>
      <c r="AC2904" t="s">
        <v>74</v>
      </c>
      <c r="AD2904" t="s">
        <v>74</v>
      </c>
      <c r="AE2904" t="s">
        <v>74</v>
      </c>
      <c r="AF2904" t="s">
        <v>74</v>
      </c>
      <c r="AG2904">
        <v>37</v>
      </c>
      <c r="AH2904">
        <v>2</v>
      </c>
      <c r="AI2904">
        <v>4</v>
      </c>
      <c r="AJ2904">
        <v>10</v>
      </c>
      <c r="AK2904">
        <v>31</v>
      </c>
      <c r="AL2904" t="s">
        <v>2551</v>
      </c>
      <c r="AM2904" t="s">
        <v>231</v>
      </c>
      <c r="AN2904" t="s">
        <v>2552</v>
      </c>
      <c r="AO2904" t="s">
        <v>14652</v>
      </c>
      <c r="AP2904" t="s">
        <v>14653</v>
      </c>
      <c r="AQ2904" t="s">
        <v>74</v>
      </c>
      <c r="AR2904" t="s">
        <v>14654</v>
      </c>
      <c r="AS2904" t="s">
        <v>14655</v>
      </c>
      <c r="AT2904" t="s">
        <v>14656</v>
      </c>
      <c r="AU2904">
        <v>2024</v>
      </c>
      <c r="AV2904">
        <v>40</v>
      </c>
      <c r="AW2904">
        <v>1</v>
      </c>
      <c r="AX2904" t="s">
        <v>74</v>
      </c>
      <c r="AY2904" t="s">
        <v>74</v>
      </c>
      <c r="AZ2904" t="s">
        <v>441</v>
      </c>
      <c r="BA2904" t="s">
        <v>74</v>
      </c>
      <c r="BB2904">
        <v>118</v>
      </c>
      <c r="BC2904">
        <v>128</v>
      </c>
      <c r="BD2904" t="s">
        <v>74</v>
      </c>
      <c r="BE2904" t="s">
        <v>48141</v>
      </c>
      <c r="BF2904" t="str">
        <f>HYPERLINK("http://dx.doi.org/10.1093/oxrep/grad054","http://dx.doi.org/10.1093/oxrep/grad054")</f>
        <v>http://dx.doi.org/10.1093/oxrep/grad054</v>
      </c>
      <c r="BG2904" t="s">
        <v>74</v>
      </c>
      <c r="BH2904" t="s">
        <v>74</v>
      </c>
      <c r="BI2904">
        <v>11</v>
      </c>
      <c r="BJ2904" t="s">
        <v>291</v>
      </c>
      <c r="BK2904" t="s">
        <v>99</v>
      </c>
      <c r="BL2904" t="s">
        <v>100</v>
      </c>
      <c r="BM2904" t="s">
        <v>14658</v>
      </c>
      <c r="BN2904" t="s">
        <v>74</v>
      </c>
      <c r="BO2904" t="s">
        <v>74</v>
      </c>
      <c r="BP2904" t="s">
        <v>74</v>
      </c>
      <c r="BQ2904" t="s">
        <v>74</v>
      </c>
      <c r="BR2904" t="s">
        <v>102</v>
      </c>
      <c r="BS2904" t="s">
        <v>48142</v>
      </c>
      <c r="BT2904" t="str">
        <f>HYPERLINK("https%3A%2F%2Fwww.webofscience.com%2Fwos%2Fwoscc%2Ffull-record%2FWOS:001186414700009","View Full Record in Web of Science")</f>
        <v>View Full Record in Web of Science</v>
      </c>
    </row>
    <row r="2905" spans="1:72" x14ac:dyDescent="0.25">
      <c r="A2905" t="s">
        <v>72</v>
      </c>
      <c r="B2905" t="s">
        <v>48143</v>
      </c>
      <c r="C2905" t="s">
        <v>74</v>
      </c>
      <c r="D2905" t="s">
        <v>74</v>
      </c>
      <c r="E2905" t="s">
        <v>74</v>
      </c>
      <c r="F2905" t="s">
        <v>48144</v>
      </c>
      <c r="G2905" t="s">
        <v>74</v>
      </c>
      <c r="H2905" t="s">
        <v>74</v>
      </c>
      <c r="I2905" t="s">
        <v>48145</v>
      </c>
      <c r="J2905" t="s">
        <v>8715</v>
      </c>
      <c r="K2905" t="s">
        <v>74</v>
      </c>
      <c r="L2905" t="s">
        <v>74</v>
      </c>
      <c r="M2905" t="s">
        <v>78</v>
      </c>
      <c r="N2905" t="s">
        <v>79</v>
      </c>
      <c r="O2905" t="s">
        <v>74</v>
      </c>
      <c r="P2905" t="s">
        <v>74</v>
      </c>
      <c r="Q2905" t="s">
        <v>74</v>
      </c>
      <c r="R2905" t="s">
        <v>74</v>
      </c>
      <c r="S2905" t="s">
        <v>74</v>
      </c>
      <c r="T2905" t="s">
        <v>48146</v>
      </c>
      <c r="U2905" t="s">
        <v>74</v>
      </c>
      <c r="V2905" t="s">
        <v>48147</v>
      </c>
      <c r="W2905" t="s">
        <v>48148</v>
      </c>
      <c r="X2905" t="s">
        <v>74</v>
      </c>
      <c r="Y2905" t="s">
        <v>48149</v>
      </c>
      <c r="Z2905" t="s">
        <v>48150</v>
      </c>
      <c r="AA2905" t="s">
        <v>48151</v>
      </c>
      <c r="AB2905" t="s">
        <v>48152</v>
      </c>
      <c r="AC2905" t="s">
        <v>48153</v>
      </c>
      <c r="AD2905" t="s">
        <v>48153</v>
      </c>
      <c r="AE2905" t="s">
        <v>48153</v>
      </c>
      <c r="AF2905" t="s">
        <v>74</v>
      </c>
      <c r="AG2905">
        <v>49</v>
      </c>
      <c r="AH2905">
        <v>0</v>
      </c>
      <c r="AI2905">
        <v>0</v>
      </c>
      <c r="AJ2905">
        <v>5</v>
      </c>
      <c r="AK2905">
        <v>5</v>
      </c>
      <c r="AL2905" t="s">
        <v>757</v>
      </c>
      <c r="AM2905" t="s">
        <v>758</v>
      </c>
      <c r="AN2905" t="s">
        <v>759</v>
      </c>
      <c r="AO2905" t="s">
        <v>8721</v>
      </c>
      <c r="AP2905" t="s">
        <v>74</v>
      </c>
      <c r="AQ2905" t="s">
        <v>74</v>
      </c>
      <c r="AR2905" t="s">
        <v>8722</v>
      </c>
      <c r="AS2905" t="s">
        <v>8723</v>
      </c>
      <c r="AT2905" t="s">
        <v>698</v>
      </c>
      <c r="AU2905">
        <v>2025</v>
      </c>
      <c r="AV2905">
        <v>33</v>
      </c>
      <c r="AW2905">
        <v>3</v>
      </c>
      <c r="AX2905" t="s">
        <v>74</v>
      </c>
      <c r="AY2905" t="s">
        <v>74</v>
      </c>
      <c r="AZ2905" t="s">
        <v>74</v>
      </c>
      <c r="BA2905" t="s">
        <v>74</v>
      </c>
      <c r="BB2905">
        <v>186</v>
      </c>
      <c r="BC2905">
        <v>198</v>
      </c>
      <c r="BD2905" t="s">
        <v>74</v>
      </c>
      <c r="BE2905" t="s">
        <v>48154</v>
      </c>
      <c r="BF2905" t="str">
        <f>HYPERLINK("http://dx.doi.org/10.1177/09711023251351511","http://dx.doi.org/10.1177/09711023251351511")</f>
        <v>http://dx.doi.org/10.1177/09711023251351511</v>
      </c>
      <c r="BG2905" t="s">
        <v>74</v>
      </c>
      <c r="BH2905" t="s">
        <v>5030</v>
      </c>
      <c r="BI2905">
        <v>13</v>
      </c>
      <c r="BJ2905" t="s">
        <v>583</v>
      </c>
      <c r="BK2905" t="s">
        <v>313</v>
      </c>
      <c r="BL2905" t="s">
        <v>100</v>
      </c>
      <c r="BM2905" t="s">
        <v>48155</v>
      </c>
      <c r="BN2905" t="s">
        <v>74</v>
      </c>
      <c r="BO2905" t="s">
        <v>212</v>
      </c>
      <c r="BP2905" t="s">
        <v>74</v>
      </c>
      <c r="BQ2905" t="s">
        <v>74</v>
      </c>
      <c r="BR2905" t="s">
        <v>102</v>
      </c>
      <c r="BS2905" t="s">
        <v>48156</v>
      </c>
      <c r="BT2905" t="str">
        <f>HYPERLINK("https%3A%2F%2Fwww.webofscience.com%2Fwos%2Fwoscc%2Ffull-record%2FWOS:001550256600001","View Full Record in Web of Science")</f>
        <v>View Full Record in Web of Science</v>
      </c>
    </row>
    <row r="2906" spans="1:72" x14ac:dyDescent="0.25">
      <c r="A2906" t="s">
        <v>72</v>
      </c>
      <c r="B2906" t="s">
        <v>48157</v>
      </c>
      <c r="C2906" t="s">
        <v>74</v>
      </c>
      <c r="D2906" t="s">
        <v>74</v>
      </c>
      <c r="E2906" t="s">
        <v>74</v>
      </c>
      <c r="F2906" t="s">
        <v>48158</v>
      </c>
      <c r="G2906" t="s">
        <v>74</v>
      </c>
      <c r="H2906" t="s">
        <v>74</v>
      </c>
      <c r="I2906" t="s">
        <v>48159</v>
      </c>
      <c r="J2906" t="s">
        <v>3231</v>
      </c>
      <c r="K2906" t="s">
        <v>74</v>
      </c>
      <c r="L2906" t="s">
        <v>74</v>
      </c>
      <c r="M2906" t="s">
        <v>78</v>
      </c>
      <c r="N2906" t="s">
        <v>79</v>
      </c>
      <c r="O2906" t="s">
        <v>74</v>
      </c>
      <c r="P2906" t="s">
        <v>74</v>
      </c>
      <c r="Q2906" t="s">
        <v>74</v>
      </c>
      <c r="R2906" t="s">
        <v>74</v>
      </c>
      <c r="S2906" t="s">
        <v>74</v>
      </c>
      <c r="T2906" t="s">
        <v>48160</v>
      </c>
      <c r="U2906" t="s">
        <v>74</v>
      </c>
      <c r="V2906" t="s">
        <v>48161</v>
      </c>
      <c r="W2906" t="s">
        <v>48162</v>
      </c>
      <c r="X2906" t="s">
        <v>11732</v>
      </c>
      <c r="Y2906" t="s">
        <v>48163</v>
      </c>
      <c r="Z2906" t="s">
        <v>48164</v>
      </c>
      <c r="AA2906" t="s">
        <v>74</v>
      </c>
      <c r="AB2906" t="s">
        <v>74</v>
      </c>
      <c r="AC2906" t="s">
        <v>48165</v>
      </c>
      <c r="AD2906" t="s">
        <v>48166</v>
      </c>
      <c r="AE2906" t="s">
        <v>48167</v>
      </c>
      <c r="AF2906" t="s">
        <v>74</v>
      </c>
      <c r="AG2906">
        <v>34</v>
      </c>
      <c r="AH2906">
        <v>8</v>
      </c>
      <c r="AI2906">
        <v>10</v>
      </c>
      <c r="AJ2906">
        <v>5</v>
      </c>
      <c r="AK2906">
        <v>59</v>
      </c>
      <c r="AL2906" t="s">
        <v>575</v>
      </c>
      <c r="AM2906" t="s">
        <v>576</v>
      </c>
      <c r="AN2906" t="s">
        <v>577</v>
      </c>
      <c r="AO2906" t="s">
        <v>74</v>
      </c>
      <c r="AP2906" t="s">
        <v>3243</v>
      </c>
      <c r="AQ2906" t="s">
        <v>74</v>
      </c>
      <c r="AR2906" t="s">
        <v>3244</v>
      </c>
      <c r="AS2906" t="s">
        <v>3245</v>
      </c>
      <c r="AT2906" t="s">
        <v>237</v>
      </c>
      <c r="AU2906">
        <v>2021</v>
      </c>
      <c r="AV2906">
        <v>13</v>
      </c>
      <c r="AW2906">
        <v>3</v>
      </c>
      <c r="AX2906" t="s">
        <v>74</v>
      </c>
      <c r="AY2906" t="s">
        <v>74</v>
      </c>
      <c r="AZ2906" t="s">
        <v>74</v>
      </c>
      <c r="BA2906" t="s">
        <v>74</v>
      </c>
      <c r="BB2906" t="s">
        <v>74</v>
      </c>
      <c r="BC2906" t="s">
        <v>74</v>
      </c>
      <c r="BD2906">
        <v>1324</v>
      </c>
      <c r="BE2906" t="s">
        <v>48168</v>
      </c>
      <c r="BF2906" t="str">
        <f>HYPERLINK("http://dx.doi.org/10.3390/su13031324","http://dx.doi.org/10.3390/su13031324")</f>
        <v>http://dx.doi.org/10.3390/su13031324</v>
      </c>
      <c r="BG2906" t="s">
        <v>74</v>
      </c>
      <c r="BH2906" t="s">
        <v>74</v>
      </c>
      <c r="BI2906">
        <v>9</v>
      </c>
      <c r="BJ2906" t="s">
        <v>3247</v>
      </c>
      <c r="BK2906" t="s">
        <v>2623</v>
      </c>
      <c r="BL2906" t="s">
        <v>3248</v>
      </c>
      <c r="BM2906" t="s">
        <v>48169</v>
      </c>
      <c r="BN2906" t="s">
        <v>74</v>
      </c>
      <c r="BO2906" t="s">
        <v>916</v>
      </c>
      <c r="BP2906" t="s">
        <v>74</v>
      </c>
      <c r="BQ2906" t="s">
        <v>74</v>
      </c>
      <c r="BR2906" t="s">
        <v>102</v>
      </c>
      <c r="BS2906" t="s">
        <v>48170</v>
      </c>
      <c r="BT2906" t="str">
        <f>HYPERLINK("https%3A%2F%2Fwww.webofscience.com%2Fwos%2Fwoscc%2Ffull-record%2FWOS:000615627500001","View Full Record in Web of Science")</f>
        <v>View Full Record in Web of Science</v>
      </c>
    </row>
    <row r="2907" spans="1:72" x14ac:dyDescent="0.25">
      <c r="A2907" t="s">
        <v>72</v>
      </c>
      <c r="B2907" t="s">
        <v>48171</v>
      </c>
      <c r="C2907" t="s">
        <v>74</v>
      </c>
      <c r="D2907" t="s">
        <v>74</v>
      </c>
      <c r="E2907" t="s">
        <v>74</v>
      </c>
      <c r="F2907" t="s">
        <v>48172</v>
      </c>
      <c r="G2907" t="s">
        <v>74</v>
      </c>
      <c r="H2907" t="s">
        <v>74</v>
      </c>
      <c r="I2907" t="s">
        <v>48173</v>
      </c>
      <c r="J2907" t="s">
        <v>48174</v>
      </c>
      <c r="K2907" t="s">
        <v>74</v>
      </c>
      <c r="L2907" t="s">
        <v>74</v>
      </c>
      <c r="M2907" t="s">
        <v>78</v>
      </c>
      <c r="N2907" t="s">
        <v>79</v>
      </c>
      <c r="O2907" t="s">
        <v>74</v>
      </c>
      <c r="P2907" t="s">
        <v>74</v>
      </c>
      <c r="Q2907" t="s">
        <v>74</v>
      </c>
      <c r="R2907" t="s">
        <v>74</v>
      </c>
      <c r="S2907" t="s">
        <v>74</v>
      </c>
      <c r="T2907" t="s">
        <v>48175</v>
      </c>
      <c r="U2907" t="s">
        <v>48176</v>
      </c>
      <c r="V2907" t="s">
        <v>48177</v>
      </c>
      <c r="W2907" t="s">
        <v>48178</v>
      </c>
      <c r="X2907" t="s">
        <v>40084</v>
      </c>
      <c r="Y2907" t="s">
        <v>48179</v>
      </c>
      <c r="Z2907" t="s">
        <v>48180</v>
      </c>
      <c r="AA2907" t="s">
        <v>74</v>
      </c>
      <c r="AB2907" t="s">
        <v>48181</v>
      </c>
      <c r="AC2907" t="s">
        <v>74</v>
      </c>
      <c r="AD2907" t="s">
        <v>74</v>
      </c>
      <c r="AE2907" t="s">
        <v>74</v>
      </c>
      <c r="AF2907" t="s">
        <v>74</v>
      </c>
      <c r="AG2907">
        <v>92</v>
      </c>
      <c r="AH2907">
        <v>2</v>
      </c>
      <c r="AI2907">
        <v>3</v>
      </c>
      <c r="AJ2907">
        <v>0</v>
      </c>
      <c r="AK2907">
        <v>3</v>
      </c>
      <c r="AL2907" t="s">
        <v>332</v>
      </c>
      <c r="AM2907" t="s">
        <v>333</v>
      </c>
      <c r="AN2907" t="s">
        <v>334</v>
      </c>
      <c r="AO2907" t="s">
        <v>48182</v>
      </c>
      <c r="AP2907" t="s">
        <v>48183</v>
      </c>
      <c r="AQ2907" t="s">
        <v>74</v>
      </c>
      <c r="AR2907" t="s">
        <v>48184</v>
      </c>
      <c r="AS2907" t="s">
        <v>48185</v>
      </c>
      <c r="AT2907" t="s">
        <v>74</v>
      </c>
      <c r="AU2907">
        <v>2018</v>
      </c>
      <c r="AV2907">
        <v>25</v>
      </c>
      <c r="AW2907">
        <v>1</v>
      </c>
      <c r="AX2907" t="s">
        <v>74</v>
      </c>
      <c r="AY2907" t="s">
        <v>74</v>
      </c>
      <c r="AZ2907" t="s">
        <v>74</v>
      </c>
      <c r="BA2907" t="s">
        <v>74</v>
      </c>
      <c r="BB2907">
        <v>167</v>
      </c>
      <c r="BC2907">
        <v>179</v>
      </c>
      <c r="BD2907" t="s">
        <v>74</v>
      </c>
      <c r="BE2907" t="s">
        <v>48186</v>
      </c>
      <c r="BF2907" t="str">
        <f>HYPERLINK("http://dx.doi.org/10.1080/13571516.2017.1399654","http://dx.doi.org/10.1080/13571516.2017.1399654")</f>
        <v>http://dx.doi.org/10.1080/13571516.2017.1399654</v>
      </c>
      <c r="BG2907" t="s">
        <v>74</v>
      </c>
      <c r="BH2907" t="s">
        <v>74</v>
      </c>
      <c r="BI2907">
        <v>13</v>
      </c>
      <c r="BJ2907" t="s">
        <v>1453</v>
      </c>
      <c r="BK2907" t="s">
        <v>313</v>
      </c>
      <c r="BL2907" t="s">
        <v>100</v>
      </c>
      <c r="BM2907" t="s">
        <v>48187</v>
      </c>
      <c r="BN2907" t="s">
        <v>74</v>
      </c>
      <c r="BO2907" t="s">
        <v>74</v>
      </c>
      <c r="BP2907" t="s">
        <v>74</v>
      </c>
      <c r="BQ2907" t="s">
        <v>74</v>
      </c>
      <c r="BR2907" t="s">
        <v>102</v>
      </c>
      <c r="BS2907" t="s">
        <v>48188</v>
      </c>
      <c r="BT2907" t="str">
        <f>HYPERLINK("https%3A%2F%2Fwww.webofscience.com%2Fwos%2Fwoscc%2Ffull-record%2FWOS:000435400200016","View Full Record in Web of Science")</f>
        <v>View Full Record in Web of Science</v>
      </c>
    </row>
    <row r="2908" spans="1:72" x14ac:dyDescent="0.25">
      <c r="A2908" t="s">
        <v>72</v>
      </c>
      <c r="B2908" t="s">
        <v>48189</v>
      </c>
      <c r="C2908" t="s">
        <v>74</v>
      </c>
      <c r="D2908" t="s">
        <v>74</v>
      </c>
      <c r="E2908" t="s">
        <v>74</v>
      </c>
      <c r="F2908" t="s">
        <v>48190</v>
      </c>
      <c r="G2908" t="s">
        <v>74</v>
      </c>
      <c r="H2908" t="s">
        <v>74</v>
      </c>
      <c r="I2908" t="s">
        <v>48191</v>
      </c>
      <c r="J2908" t="s">
        <v>4956</v>
      </c>
      <c r="K2908" t="s">
        <v>74</v>
      </c>
      <c r="L2908" t="s">
        <v>74</v>
      </c>
      <c r="M2908" t="s">
        <v>78</v>
      </c>
      <c r="N2908" t="s">
        <v>79</v>
      </c>
      <c r="O2908" t="s">
        <v>74</v>
      </c>
      <c r="P2908" t="s">
        <v>74</v>
      </c>
      <c r="Q2908" t="s">
        <v>74</v>
      </c>
      <c r="R2908" t="s">
        <v>74</v>
      </c>
      <c r="S2908" t="s">
        <v>74</v>
      </c>
      <c r="T2908" t="s">
        <v>48192</v>
      </c>
      <c r="U2908" t="s">
        <v>48193</v>
      </c>
      <c r="V2908" t="s">
        <v>48194</v>
      </c>
      <c r="W2908" t="s">
        <v>48195</v>
      </c>
      <c r="X2908" t="s">
        <v>48196</v>
      </c>
      <c r="Y2908" t="s">
        <v>48197</v>
      </c>
      <c r="Z2908" t="s">
        <v>74</v>
      </c>
      <c r="AA2908" t="s">
        <v>74</v>
      </c>
      <c r="AB2908" t="s">
        <v>48198</v>
      </c>
      <c r="AC2908" t="s">
        <v>48199</v>
      </c>
      <c r="AD2908" t="s">
        <v>48200</v>
      </c>
      <c r="AE2908" t="s">
        <v>48201</v>
      </c>
      <c r="AF2908" t="s">
        <v>74</v>
      </c>
      <c r="AG2908">
        <v>57</v>
      </c>
      <c r="AH2908">
        <v>19</v>
      </c>
      <c r="AI2908">
        <v>28</v>
      </c>
      <c r="AJ2908">
        <v>1</v>
      </c>
      <c r="AK2908">
        <v>27</v>
      </c>
      <c r="AL2908" t="s">
        <v>230</v>
      </c>
      <c r="AM2908" t="s">
        <v>231</v>
      </c>
      <c r="AN2908" t="s">
        <v>232</v>
      </c>
      <c r="AO2908" t="s">
        <v>4966</v>
      </c>
      <c r="AP2908" t="s">
        <v>74</v>
      </c>
      <c r="AQ2908" t="s">
        <v>74</v>
      </c>
      <c r="AR2908" t="s">
        <v>4968</v>
      </c>
      <c r="AS2908" t="s">
        <v>4969</v>
      </c>
      <c r="AT2908" t="s">
        <v>208</v>
      </c>
      <c r="AU2908">
        <v>2018</v>
      </c>
      <c r="AV2908">
        <v>101</v>
      </c>
      <c r="AW2908" t="s">
        <v>74</v>
      </c>
      <c r="AX2908" t="s">
        <v>74</v>
      </c>
      <c r="AY2908" t="s">
        <v>74</v>
      </c>
      <c r="AZ2908" t="s">
        <v>74</v>
      </c>
      <c r="BA2908" t="s">
        <v>74</v>
      </c>
      <c r="BB2908">
        <v>162</v>
      </c>
      <c r="BC2908">
        <v>172</v>
      </c>
      <c r="BD2908" t="s">
        <v>74</v>
      </c>
      <c r="BE2908" t="s">
        <v>48202</v>
      </c>
      <c r="BF2908" t="str">
        <f>HYPERLINK("http://dx.doi.org/10.1016/j.worlddev.2017.09.001","http://dx.doi.org/10.1016/j.worlddev.2017.09.001")</f>
        <v>http://dx.doi.org/10.1016/j.worlddev.2017.09.001</v>
      </c>
      <c r="BG2908" t="s">
        <v>74</v>
      </c>
      <c r="BH2908" t="s">
        <v>74</v>
      </c>
      <c r="BI2908">
        <v>11</v>
      </c>
      <c r="BJ2908" t="s">
        <v>701</v>
      </c>
      <c r="BK2908" t="s">
        <v>99</v>
      </c>
      <c r="BL2908" t="s">
        <v>702</v>
      </c>
      <c r="BM2908" t="s">
        <v>48203</v>
      </c>
      <c r="BN2908" t="s">
        <v>74</v>
      </c>
      <c r="BO2908" t="s">
        <v>74</v>
      </c>
      <c r="BP2908" t="s">
        <v>74</v>
      </c>
      <c r="BQ2908" t="s">
        <v>74</v>
      </c>
      <c r="BR2908" t="s">
        <v>102</v>
      </c>
      <c r="BS2908" t="s">
        <v>48204</v>
      </c>
      <c r="BT2908" t="str">
        <f>HYPERLINK("https%3A%2F%2Fwww.webofscience.com%2Fwos%2Fwoscc%2Ffull-record%2FWOS:000415391700012","View Full Record in Web of Science")</f>
        <v>View Full Record in Web of Science</v>
      </c>
    </row>
    <row r="2909" spans="1:72" x14ac:dyDescent="0.25">
      <c r="A2909" t="s">
        <v>72</v>
      </c>
      <c r="B2909" t="s">
        <v>48205</v>
      </c>
      <c r="C2909" t="s">
        <v>74</v>
      </c>
      <c r="D2909" t="s">
        <v>74</v>
      </c>
      <c r="E2909" t="s">
        <v>74</v>
      </c>
      <c r="F2909" t="s">
        <v>48206</v>
      </c>
      <c r="G2909" t="s">
        <v>74</v>
      </c>
      <c r="H2909" t="s">
        <v>74</v>
      </c>
      <c r="I2909" t="s">
        <v>48207</v>
      </c>
      <c r="J2909" t="s">
        <v>4789</v>
      </c>
      <c r="K2909" t="s">
        <v>74</v>
      </c>
      <c r="L2909" t="s">
        <v>74</v>
      </c>
      <c r="M2909" t="s">
        <v>78</v>
      </c>
      <c r="N2909" t="s">
        <v>1766</v>
      </c>
      <c r="O2909" t="s">
        <v>74</v>
      </c>
      <c r="P2909" t="s">
        <v>74</v>
      </c>
      <c r="Q2909" t="s">
        <v>74</v>
      </c>
      <c r="R2909" t="s">
        <v>74</v>
      </c>
      <c r="S2909" t="s">
        <v>74</v>
      </c>
      <c r="T2909" t="s">
        <v>48208</v>
      </c>
      <c r="U2909" t="s">
        <v>48209</v>
      </c>
      <c r="V2909" t="s">
        <v>48210</v>
      </c>
      <c r="W2909" t="s">
        <v>48211</v>
      </c>
      <c r="X2909" t="s">
        <v>48212</v>
      </c>
      <c r="Y2909" t="s">
        <v>48213</v>
      </c>
      <c r="Z2909" t="s">
        <v>48214</v>
      </c>
      <c r="AA2909" t="s">
        <v>48215</v>
      </c>
      <c r="AB2909" t="s">
        <v>48216</v>
      </c>
      <c r="AC2909" t="s">
        <v>48217</v>
      </c>
      <c r="AD2909" t="s">
        <v>48218</v>
      </c>
      <c r="AE2909" t="s">
        <v>48219</v>
      </c>
      <c r="AF2909" t="s">
        <v>74</v>
      </c>
      <c r="AG2909">
        <v>143</v>
      </c>
      <c r="AH2909">
        <v>96</v>
      </c>
      <c r="AI2909">
        <v>109</v>
      </c>
      <c r="AJ2909">
        <v>15</v>
      </c>
      <c r="AK2909">
        <v>168</v>
      </c>
      <c r="AL2909" t="s">
        <v>4485</v>
      </c>
      <c r="AM2909" t="s">
        <v>6724</v>
      </c>
      <c r="AN2909" t="s">
        <v>6725</v>
      </c>
      <c r="AO2909" t="s">
        <v>4797</v>
      </c>
      <c r="AP2909" t="s">
        <v>4798</v>
      </c>
      <c r="AQ2909" t="s">
        <v>74</v>
      </c>
      <c r="AR2909" t="s">
        <v>4799</v>
      </c>
      <c r="AS2909" t="s">
        <v>4800</v>
      </c>
      <c r="AT2909" t="s">
        <v>237</v>
      </c>
      <c r="AU2909">
        <v>2023</v>
      </c>
      <c r="AV2909">
        <v>68</v>
      </c>
      <c r="AW2909" t="s">
        <v>74</v>
      </c>
      <c r="AX2909" t="s">
        <v>74</v>
      </c>
      <c r="AY2909" t="s">
        <v>74</v>
      </c>
      <c r="AZ2909" t="s">
        <v>74</v>
      </c>
      <c r="BA2909" t="s">
        <v>74</v>
      </c>
      <c r="BB2909" t="s">
        <v>74</v>
      </c>
      <c r="BC2909" t="s">
        <v>74</v>
      </c>
      <c r="BD2909">
        <v>102517</v>
      </c>
      <c r="BE2909" t="s">
        <v>48220</v>
      </c>
      <c r="BF2909" t="str">
        <f>HYPERLINK("http://dx.doi.org/10.1016/j.ijinfomgt.2022.102517","http://dx.doi.org/10.1016/j.ijinfomgt.2022.102517")</f>
        <v>http://dx.doi.org/10.1016/j.ijinfomgt.2022.102517</v>
      </c>
      <c r="BG2909" t="s">
        <v>74</v>
      </c>
      <c r="BH2909" t="s">
        <v>5112</v>
      </c>
      <c r="BI2909">
        <v>23</v>
      </c>
      <c r="BJ2909" t="s">
        <v>2351</v>
      </c>
      <c r="BK2909" t="s">
        <v>99</v>
      </c>
      <c r="BL2909" t="s">
        <v>2351</v>
      </c>
      <c r="BM2909" t="s">
        <v>48221</v>
      </c>
      <c r="BN2909" t="s">
        <v>74</v>
      </c>
      <c r="BO2909" t="s">
        <v>74</v>
      </c>
      <c r="BP2909" t="s">
        <v>74</v>
      </c>
      <c r="BQ2909" t="s">
        <v>74</v>
      </c>
      <c r="BR2909" t="s">
        <v>102</v>
      </c>
      <c r="BS2909" t="s">
        <v>48222</v>
      </c>
      <c r="BT2909" t="str">
        <f>HYPERLINK("https%3A%2F%2Fwww.webofscience.com%2Fwos%2Fwoscc%2Ffull-record%2FWOS:000892146500007","View Full Record in Web of Science")</f>
        <v>View Full Record in Web of Science</v>
      </c>
    </row>
    <row r="2910" spans="1:72" x14ac:dyDescent="0.25">
      <c r="A2910" t="s">
        <v>72</v>
      </c>
      <c r="B2910" t="s">
        <v>48223</v>
      </c>
      <c r="C2910" t="s">
        <v>74</v>
      </c>
      <c r="D2910" t="s">
        <v>74</v>
      </c>
      <c r="E2910" t="s">
        <v>74</v>
      </c>
      <c r="F2910" t="s">
        <v>48224</v>
      </c>
      <c r="G2910" t="s">
        <v>74</v>
      </c>
      <c r="H2910" t="s">
        <v>74</v>
      </c>
      <c r="I2910" t="s">
        <v>48225</v>
      </c>
      <c r="J2910" t="s">
        <v>33838</v>
      </c>
      <c r="K2910" t="s">
        <v>74</v>
      </c>
      <c r="L2910" t="s">
        <v>74</v>
      </c>
      <c r="M2910" t="s">
        <v>78</v>
      </c>
      <c r="N2910" t="s">
        <v>79</v>
      </c>
      <c r="O2910" t="s">
        <v>74</v>
      </c>
      <c r="P2910" t="s">
        <v>74</v>
      </c>
      <c r="Q2910" t="s">
        <v>74</v>
      </c>
      <c r="R2910" t="s">
        <v>74</v>
      </c>
      <c r="S2910" t="s">
        <v>74</v>
      </c>
      <c r="T2910" t="s">
        <v>48226</v>
      </c>
      <c r="U2910" t="s">
        <v>48227</v>
      </c>
      <c r="V2910" t="s">
        <v>48228</v>
      </c>
      <c r="W2910" t="s">
        <v>48229</v>
      </c>
      <c r="X2910" t="s">
        <v>48230</v>
      </c>
      <c r="Y2910" t="s">
        <v>48231</v>
      </c>
      <c r="Z2910" t="s">
        <v>48232</v>
      </c>
      <c r="AA2910" t="s">
        <v>48233</v>
      </c>
      <c r="AB2910" t="s">
        <v>48234</v>
      </c>
      <c r="AC2910" t="s">
        <v>74</v>
      </c>
      <c r="AD2910" t="s">
        <v>74</v>
      </c>
      <c r="AE2910" t="s">
        <v>74</v>
      </c>
      <c r="AF2910" t="s">
        <v>74</v>
      </c>
      <c r="AG2910">
        <v>155</v>
      </c>
      <c r="AH2910">
        <v>35</v>
      </c>
      <c r="AI2910">
        <v>40</v>
      </c>
      <c r="AJ2910">
        <v>0</v>
      </c>
      <c r="AK2910">
        <v>25</v>
      </c>
      <c r="AL2910" t="s">
        <v>230</v>
      </c>
      <c r="AM2910" t="s">
        <v>231</v>
      </c>
      <c r="AN2910" t="s">
        <v>232</v>
      </c>
      <c r="AO2910" t="s">
        <v>33840</v>
      </c>
      <c r="AP2910" t="s">
        <v>33839</v>
      </c>
      <c r="AQ2910" t="s">
        <v>74</v>
      </c>
      <c r="AR2910" t="s">
        <v>33838</v>
      </c>
      <c r="AS2910" t="s">
        <v>33837</v>
      </c>
      <c r="AT2910" t="s">
        <v>463</v>
      </c>
      <c r="AU2910">
        <v>2023</v>
      </c>
      <c r="AV2910">
        <v>269</v>
      </c>
      <c r="AW2910" t="s">
        <v>74</v>
      </c>
      <c r="AX2910" t="s">
        <v>74</v>
      </c>
      <c r="AY2910" t="s">
        <v>74</v>
      </c>
      <c r="AZ2910" t="s">
        <v>74</v>
      </c>
      <c r="BA2910" t="s">
        <v>74</v>
      </c>
      <c r="BB2910" t="s">
        <v>74</v>
      </c>
      <c r="BC2910" t="s">
        <v>74</v>
      </c>
      <c r="BD2910">
        <v>126802</v>
      </c>
      <c r="BE2910" t="s">
        <v>48235</v>
      </c>
      <c r="BF2910" t="str">
        <f>HYPERLINK("http://dx.doi.org/10.1016/j.energy.2023.126802","http://dx.doi.org/10.1016/j.energy.2023.126802")</f>
        <v>http://dx.doi.org/10.1016/j.energy.2023.126802</v>
      </c>
      <c r="BG2910" t="s">
        <v>74</v>
      </c>
      <c r="BH2910" t="s">
        <v>9145</v>
      </c>
      <c r="BI2910">
        <v>14</v>
      </c>
      <c r="BJ2910" t="s">
        <v>33835</v>
      </c>
      <c r="BK2910" t="s">
        <v>128</v>
      </c>
      <c r="BL2910" t="s">
        <v>33835</v>
      </c>
      <c r="BM2910" t="s">
        <v>48236</v>
      </c>
      <c r="BN2910" t="s">
        <v>74</v>
      </c>
      <c r="BO2910" t="s">
        <v>74</v>
      </c>
      <c r="BP2910" t="s">
        <v>74</v>
      </c>
      <c r="BQ2910" t="s">
        <v>74</v>
      </c>
      <c r="BR2910" t="s">
        <v>102</v>
      </c>
      <c r="BS2910" t="s">
        <v>48237</v>
      </c>
      <c r="BT2910" t="str">
        <f>HYPERLINK("https%3A%2F%2Fwww.webofscience.com%2Fwos%2Fwoscc%2Ffull-record%2FWOS:000927620100001","View Full Record in Web of Science")</f>
        <v>View Full Record in Web of Science</v>
      </c>
    </row>
    <row r="2911" spans="1:72" x14ac:dyDescent="0.25">
      <c r="A2911" t="s">
        <v>72</v>
      </c>
      <c r="B2911" t="s">
        <v>48238</v>
      </c>
      <c r="C2911" t="s">
        <v>74</v>
      </c>
      <c r="D2911" t="s">
        <v>74</v>
      </c>
      <c r="E2911" t="s">
        <v>74</v>
      </c>
      <c r="F2911" t="s">
        <v>48239</v>
      </c>
      <c r="G2911" t="s">
        <v>74</v>
      </c>
      <c r="H2911" t="s">
        <v>74</v>
      </c>
      <c r="I2911" t="s">
        <v>48240</v>
      </c>
      <c r="J2911" t="s">
        <v>3541</v>
      </c>
      <c r="K2911" t="s">
        <v>74</v>
      </c>
      <c r="L2911" t="s">
        <v>74</v>
      </c>
      <c r="M2911" t="s">
        <v>78</v>
      </c>
      <c r="N2911" t="s">
        <v>79</v>
      </c>
      <c r="O2911" t="s">
        <v>74</v>
      </c>
      <c r="P2911" t="s">
        <v>74</v>
      </c>
      <c r="Q2911" t="s">
        <v>74</v>
      </c>
      <c r="R2911" t="s">
        <v>74</v>
      </c>
      <c r="S2911" t="s">
        <v>74</v>
      </c>
      <c r="T2911" t="s">
        <v>48241</v>
      </c>
      <c r="U2911" t="s">
        <v>74</v>
      </c>
      <c r="V2911" t="s">
        <v>48242</v>
      </c>
      <c r="W2911" t="s">
        <v>48243</v>
      </c>
      <c r="X2911" t="s">
        <v>48244</v>
      </c>
      <c r="Y2911" t="s">
        <v>48245</v>
      </c>
      <c r="Z2911" t="s">
        <v>48246</v>
      </c>
      <c r="AA2911" t="s">
        <v>48247</v>
      </c>
      <c r="AB2911" t="s">
        <v>48248</v>
      </c>
      <c r="AC2911" t="s">
        <v>74</v>
      </c>
      <c r="AD2911" t="s">
        <v>74</v>
      </c>
      <c r="AE2911" t="s">
        <v>74</v>
      </c>
      <c r="AF2911" t="s">
        <v>74</v>
      </c>
      <c r="AG2911">
        <v>15</v>
      </c>
      <c r="AH2911">
        <v>5</v>
      </c>
      <c r="AI2911">
        <v>6</v>
      </c>
      <c r="AJ2911">
        <v>1</v>
      </c>
      <c r="AK2911">
        <v>14</v>
      </c>
      <c r="AL2911" t="s">
        <v>757</v>
      </c>
      <c r="AM2911" t="s">
        <v>758</v>
      </c>
      <c r="AN2911" t="s">
        <v>759</v>
      </c>
      <c r="AO2911" t="s">
        <v>3550</v>
      </c>
      <c r="AP2911" t="s">
        <v>3551</v>
      </c>
      <c r="AQ2911" t="s">
        <v>74</v>
      </c>
      <c r="AR2911" t="s">
        <v>3552</v>
      </c>
      <c r="AS2911" t="s">
        <v>3553</v>
      </c>
      <c r="AT2911" t="s">
        <v>743</v>
      </c>
      <c r="AU2911">
        <v>2014</v>
      </c>
      <c r="AV2911">
        <v>49</v>
      </c>
      <c r="AW2911">
        <v>2</v>
      </c>
      <c r="AX2911" t="s">
        <v>74</v>
      </c>
      <c r="AY2911" t="s">
        <v>74</v>
      </c>
      <c r="AZ2911" t="s">
        <v>74</v>
      </c>
      <c r="BA2911" t="s">
        <v>74</v>
      </c>
      <c r="BB2911">
        <v>215</v>
      </c>
      <c r="BC2911">
        <v>233</v>
      </c>
      <c r="BD2911" t="s">
        <v>74</v>
      </c>
      <c r="BE2911" t="s">
        <v>48249</v>
      </c>
      <c r="BF2911" t="str">
        <f>HYPERLINK("http://dx.doi.org/10.1177/0021909613485698","http://dx.doi.org/10.1177/0021909613485698")</f>
        <v>http://dx.doi.org/10.1177/0021909613485698</v>
      </c>
      <c r="BG2911" t="s">
        <v>74</v>
      </c>
      <c r="BH2911" t="s">
        <v>74</v>
      </c>
      <c r="BI2911">
        <v>19</v>
      </c>
      <c r="BJ2911" t="s">
        <v>1674</v>
      </c>
      <c r="BK2911" t="s">
        <v>99</v>
      </c>
      <c r="BL2911" t="s">
        <v>1674</v>
      </c>
      <c r="BM2911" t="s">
        <v>48250</v>
      </c>
      <c r="BN2911" t="s">
        <v>74</v>
      </c>
      <c r="BO2911" t="s">
        <v>74</v>
      </c>
      <c r="BP2911" t="s">
        <v>74</v>
      </c>
      <c r="BQ2911" t="s">
        <v>74</v>
      </c>
      <c r="BR2911" t="s">
        <v>102</v>
      </c>
      <c r="BS2911" t="s">
        <v>48251</v>
      </c>
      <c r="BT2911" t="str">
        <f>HYPERLINK("https%3A%2F%2Fwww.webofscience.com%2Fwos%2Fwoscc%2Ffull-record%2FWOS:000354684600005","View Full Record in Web of Science")</f>
        <v>View Full Record in Web of Science</v>
      </c>
    </row>
    <row r="2912" spans="1:72" x14ac:dyDescent="0.25">
      <c r="A2912" t="s">
        <v>132</v>
      </c>
      <c r="B2912" t="s">
        <v>48252</v>
      </c>
      <c r="C2912" t="s">
        <v>74</v>
      </c>
      <c r="D2912" t="s">
        <v>48253</v>
      </c>
      <c r="E2912" t="s">
        <v>74</v>
      </c>
      <c r="F2912" t="s">
        <v>48254</v>
      </c>
      <c r="G2912" t="s">
        <v>74</v>
      </c>
      <c r="H2912" t="s">
        <v>74</v>
      </c>
      <c r="I2912" t="s">
        <v>48255</v>
      </c>
      <c r="J2912" t="s">
        <v>48256</v>
      </c>
      <c r="K2912" t="s">
        <v>74</v>
      </c>
      <c r="L2912" t="s">
        <v>74</v>
      </c>
      <c r="M2912" t="s">
        <v>78</v>
      </c>
      <c r="N2912" t="s">
        <v>138</v>
      </c>
      <c r="O2912" t="s">
        <v>48257</v>
      </c>
      <c r="P2912" t="s">
        <v>48258</v>
      </c>
      <c r="Q2912" t="s">
        <v>48259</v>
      </c>
      <c r="R2912" t="s">
        <v>48260</v>
      </c>
      <c r="S2912" t="s">
        <v>48261</v>
      </c>
      <c r="T2912" t="s">
        <v>48262</v>
      </c>
      <c r="U2912" t="s">
        <v>74</v>
      </c>
      <c r="V2912" t="s">
        <v>48263</v>
      </c>
      <c r="W2912" t="s">
        <v>48264</v>
      </c>
      <c r="X2912" t="s">
        <v>48265</v>
      </c>
      <c r="Y2912" t="s">
        <v>48266</v>
      </c>
      <c r="Z2912" t="s">
        <v>48267</v>
      </c>
      <c r="AA2912" t="s">
        <v>74</v>
      </c>
      <c r="AB2912" t="s">
        <v>74</v>
      </c>
      <c r="AC2912" t="s">
        <v>74</v>
      </c>
      <c r="AD2912" t="s">
        <v>74</v>
      </c>
      <c r="AE2912" t="s">
        <v>74</v>
      </c>
      <c r="AF2912" t="s">
        <v>74</v>
      </c>
      <c r="AG2912">
        <v>19</v>
      </c>
      <c r="AH2912">
        <v>3</v>
      </c>
      <c r="AI2912">
        <v>4</v>
      </c>
      <c r="AJ2912">
        <v>0</v>
      </c>
      <c r="AK2912">
        <v>0</v>
      </c>
      <c r="AL2912" t="s">
        <v>150</v>
      </c>
      <c r="AM2912" t="s">
        <v>151</v>
      </c>
      <c r="AN2912" t="s">
        <v>152</v>
      </c>
      <c r="AO2912" t="s">
        <v>74</v>
      </c>
      <c r="AP2912" t="s">
        <v>74</v>
      </c>
      <c r="AQ2912" t="s">
        <v>48268</v>
      </c>
      <c r="AR2912" t="s">
        <v>74</v>
      </c>
      <c r="AS2912" t="s">
        <v>74</v>
      </c>
      <c r="AT2912" t="s">
        <v>74</v>
      </c>
      <c r="AU2912">
        <v>2016</v>
      </c>
      <c r="AV2912" t="s">
        <v>74</v>
      </c>
      <c r="AW2912" t="s">
        <v>74</v>
      </c>
      <c r="AX2912" t="s">
        <v>74</v>
      </c>
      <c r="AY2912" t="s">
        <v>74</v>
      </c>
      <c r="AZ2912" t="s">
        <v>74</v>
      </c>
      <c r="BA2912" t="s">
        <v>74</v>
      </c>
      <c r="BB2912">
        <v>187</v>
      </c>
      <c r="BC2912">
        <v>191</v>
      </c>
      <c r="BD2912" t="s">
        <v>74</v>
      </c>
      <c r="BE2912" t="s">
        <v>48269</v>
      </c>
      <c r="BF2912" t="str">
        <f>HYPERLINK("http://dx.doi.org/10.1145/2998581.2998603","http://dx.doi.org/10.1145/2998581.2998603")</f>
        <v>http://dx.doi.org/10.1145/2998581.2998603</v>
      </c>
      <c r="BG2912" t="s">
        <v>74</v>
      </c>
      <c r="BH2912" t="s">
        <v>74</v>
      </c>
      <c r="BI2912">
        <v>5</v>
      </c>
      <c r="BJ2912" t="s">
        <v>48270</v>
      </c>
      <c r="BK2912" t="s">
        <v>1069</v>
      </c>
      <c r="BL2912" t="s">
        <v>11812</v>
      </c>
      <c r="BM2912" t="s">
        <v>48271</v>
      </c>
      <c r="BN2912" t="s">
        <v>74</v>
      </c>
      <c r="BO2912" t="s">
        <v>212</v>
      </c>
      <c r="BP2912" t="s">
        <v>74</v>
      </c>
      <c r="BQ2912" t="s">
        <v>74</v>
      </c>
      <c r="BR2912" t="s">
        <v>102</v>
      </c>
      <c r="BS2912" t="s">
        <v>48272</v>
      </c>
      <c r="BT2912" t="str">
        <f>HYPERLINK("https%3A%2F%2Fwww.webofscience.com%2Fwos%2Fwoscc%2Ffull-record%2FWOS:000392317400022","View Full Record in Web of Science")</f>
        <v>View Full Record in Web of Science</v>
      </c>
    </row>
    <row r="2913" spans="1:72" x14ac:dyDescent="0.25">
      <c r="A2913" t="s">
        <v>132</v>
      </c>
      <c r="B2913" t="s">
        <v>48273</v>
      </c>
      <c r="C2913" t="s">
        <v>74</v>
      </c>
      <c r="D2913" t="s">
        <v>48274</v>
      </c>
      <c r="E2913" t="s">
        <v>74</v>
      </c>
      <c r="F2913" t="s">
        <v>48275</v>
      </c>
      <c r="G2913" t="s">
        <v>74</v>
      </c>
      <c r="H2913" t="s">
        <v>74</v>
      </c>
      <c r="I2913" t="s">
        <v>48276</v>
      </c>
      <c r="J2913" t="s">
        <v>48277</v>
      </c>
      <c r="K2913" t="s">
        <v>74</v>
      </c>
      <c r="L2913" t="s">
        <v>74</v>
      </c>
      <c r="M2913" t="s">
        <v>78</v>
      </c>
      <c r="N2913" t="s">
        <v>138</v>
      </c>
      <c r="O2913" t="s">
        <v>48278</v>
      </c>
      <c r="P2913" t="s">
        <v>48279</v>
      </c>
      <c r="Q2913" t="s">
        <v>48280</v>
      </c>
      <c r="R2913" t="s">
        <v>48281</v>
      </c>
      <c r="S2913" t="s">
        <v>48282</v>
      </c>
      <c r="T2913" t="s">
        <v>48283</v>
      </c>
      <c r="U2913" t="s">
        <v>74</v>
      </c>
      <c r="V2913" t="s">
        <v>48284</v>
      </c>
      <c r="W2913" t="s">
        <v>48285</v>
      </c>
      <c r="X2913" t="s">
        <v>21558</v>
      </c>
      <c r="Y2913" t="s">
        <v>48286</v>
      </c>
      <c r="Z2913" t="s">
        <v>48287</v>
      </c>
      <c r="AA2913" t="s">
        <v>74</v>
      </c>
      <c r="AB2913" t="s">
        <v>74</v>
      </c>
      <c r="AC2913" t="s">
        <v>74</v>
      </c>
      <c r="AD2913" t="s">
        <v>74</v>
      </c>
      <c r="AE2913" t="s">
        <v>74</v>
      </c>
      <c r="AF2913" t="s">
        <v>74</v>
      </c>
      <c r="AG2913">
        <v>5</v>
      </c>
      <c r="AH2913">
        <v>0</v>
      </c>
      <c r="AI2913">
        <v>0</v>
      </c>
      <c r="AJ2913">
        <v>0</v>
      </c>
      <c r="AK2913">
        <v>2</v>
      </c>
      <c r="AL2913" t="s">
        <v>771</v>
      </c>
      <c r="AM2913" t="s">
        <v>151</v>
      </c>
      <c r="AN2913" t="s">
        <v>785</v>
      </c>
      <c r="AO2913" t="s">
        <v>74</v>
      </c>
      <c r="AP2913" t="s">
        <v>74</v>
      </c>
      <c r="AQ2913" t="s">
        <v>48288</v>
      </c>
      <c r="AR2913" t="s">
        <v>74</v>
      </c>
      <c r="AS2913" t="s">
        <v>74</v>
      </c>
      <c r="AT2913" t="s">
        <v>74</v>
      </c>
      <c r="AU2913">
        <v>2014</v>
      </c>
      <c r="AV2913" t="s">
        <v>74</v>
      </c>
      <c r="AW2913" t="s">
        <v>74</v>
      </c>
      <c r="AX2913" t="s">
        <v>74</v>
      </c>
      <c r="AY2913" t="s">
        <v>74</v>
      </c>
      <c r="AZ2913" t="s">
        <v>74</v>
      </c>
      <c r="BA2913" t="s">
        <v>74</v>
      </c>
      <c r="BB2913" t="s">
        <v>74</v>
      </c>
      <c r="BC2913" t="s">
        <v>74</v>
      </c>
      <c r="BD2913" t="s">
        <v>74</v>
      </c>
      <c r="BE2913" t="s">
        <v>74</v>
      </c>
      <c r="BF2913" t="s">
        <v>74</v>
      </c>
      <c r="BG2913" t="s">
        <v>74</v>
      </c>
      <c r="BH2913" t="s">
        <v>74</v>
      </c>
      <c r="BI2913">
        <v>3</v>
      </c>
      <c r="BJ2913" t="s">
        <v>2622</v>
      </c>
      <c r="BK2913" t="s">
        <v>156</v>
      </c>
      <c r="BL2913" t="s">
        <v>157</v>
      </c>
      <c r="BM2913" t="s">
        <v>48289</v>
      </c>
      <c r="BN2913" t="s">
        <v>74</v>
      </c>
      <c r="BO2913" t="s">
        <v>74</v>
      </c>
      <c r="BP2913" t="s">
        <v>74</v>
      </c>
      <c r="BQ2913" t="s">
        <v>74</v>
      </c>
      <c r="BR2913" t="s">
        <v>102</v>
      </c>
      <c r="BS2913" t="s">
        <v>48290</v>
      </c>
      <c r="BT2913" t="str">
        <f>HYPERLINK("https%3A%2F%2Fwww.webofscience.com%2Fwos%2Fwoscc%2Ffull-record%2FWOS:000380566600037","View Full Record in Web of Science")</f>
        <v>View Full Record in Web of Science</v>
      </c>
    </row>
    <row r="2914" spans="1:72" x14ac:dyDescent="0.25">
      <c r="A2914" t="s">
        <v>72</v>
      </c>
      <c r="B2914" t="s">
        <v>48291</v>
      </c>
      <c r="C2914" t="s">
        <v>74</v>
      </c>
      <c r="D2914" t="s">
        <v>74</v>
      </c>
      <c r="E2914" t="s">
        <v>74</v>
      </c>
      <c r="F2914" t="s">
        <v>48292</v>
      </c>
      <c r="G2914" t="s">
        <v>74</v>
      </c>
      <c r="H2914" t="s">
        <v>74</v>
      </c>
      <c r="I2914" t="s">
        <v>48293</v>
      </c>
      <c r="J2914" t="s">
        <v>48294</v>
      </c>
      <c r="K2914" t="s">
        <v>74</v>
      </c>
      <c r="L2914" t="s">
        <v>74</v>
      </c>
      <c r="M2914" t="s">
        <v>78</v>
      </c>
      <c r="N2914" t="s">
        <v>79</v>
      </c>
      <c r="O2914" t="s">
        <v>74</v>
      </c>
      <c r="P2914" t="s">
        <v>74</v>
      </c>
      <c r="Q2914" t="s">
        <v>74</v>
      </c>
      <c r="R2914" t="s">
        <v>74</v>
      </c>
      <c r="S2914" t="s">
        <v>74</v>
      </c>
      <c r="T2914" t="s">
        <v>48295</v>
      </c>
      <c r="U2914" t="s">
        <v>48296</v>
      </c>
      <c r="V2914" t="s">
        <v>48297</v>
      </c>
      <c r="W2914" t="s">
        <v>48298</v>
      </c>
      <c r="X2914" t="s">
        <v>74</v>
      </c>
      <c r="Y2914" t="s">
        <v>48299</v>
      </c>
      <c r="Z2914" t="s">
        <v>48300</v>
      </c>
      <c r="AA2914" t="s">
        <v>48301</v>
      </c>
      <c r="AB2914" t="s">
        <v>48302</v>
      </c>
      <c r="AC2914" t="s">
        <v>74</v>
      </c>
      <c r="AD2914" t="s">
        <v>74</v>
      </c>
      <c r="AE2914" t="s">
        <v>74</v>
      </c>
      <c r="AF2914" t="s">
        <v>74</v>
      </c>
      <c r="AG2914">
        <v>119</v>
      </c>
      <c r="AH2914">
        <v>2</v>
      </c>
      <c r="AI2914">
        <v>2</v>
      </c>
      <c r="AJ2914">
        <v>2</v>
      </c>
      <c r="AK2914">
        <v>18</v>
      </c>
      <c r="AL2914" t="s">
        <v>89</v>
      </c>
      <c r="AM2914" t="s">
        <v>90</v>
      </c>
      <c r="AN2914" t="s">
        <v>91</v>
      </c>
      <c r="AO2914" t="s">
        <v>48303</v>
      </c>
      <c r="AP2914" t="s">
        <v>48304</v>
      </c>
      <c r="AQ2914" t="s">
        <v>74</v>
      </c>
      <c r="AR2914" t="s">
        <v>48305</v>
      </c>
      <c r="AS2914" t="s">
        <v>48306</v>
      </c>
      <c r="AT2914" t="s">
        <v>11521</v>
      </c>
      <c r="AU2914">
        <v>2024</v>
      </c>
      <c r="AV2914">
        <v>16</v>
      </c>
      <c r="AW2914">
        <v>4</v>
      </c>
      <c r="AX2914" t="s">
        <v>74</v>
      </c>
      <c r="AY2914" t="s">
        <v>74</v>
      </c>
      <c r="AZ2914" t="s">
        <v>74</v>
      </c>
      <c r="BA2914" t="s">
        <v>74</v>
      </c>
      <c r="BB2914">
        <v>500</v>
      </c>
      <c r="BC2914">
        <v>535</v>
      </c>
      <c r="BD2914" t="s">
        <v>74</v>
      </c>
      <c r="BE2914" t="s">
        <v>48307</v>
      </c>
      <c r="BF2914" t="str">
        <f>HYPERLINK("http://dx.doi.org/10.1108/IJGE-09-2023-0225","http://dx.doi.org/10.1108/IJGE-09-2023-0225")</f>
        <v>http://dx.doi.org/10.1108/IJGE-09-2023-0225</v>
      </c>
      <c r="BG2914" t="s">
        <v>74</v>
      </c>
      <c r="BH2914" t="s">
        <v>393</v>
      </c>
      <c r="BI2914">
        <v>36</v>
      </c>
      <c r="BJ2914" t="s">
        <v>418</v>
      </c>
      <c r="BK2914" t="s">
        <v>313</v>
      </c>
      <c r="BL2914" t="s">
        <v>100</v>
      </c>
      <c r="BM2914" t="s">
        <v>48308</v>
      </c>
      <c r="BN2914" t="s">
        <v>74</v>
      </c>
      <c r="BO2914" t="s">
        <v>74</v>
      </c>
      <c r="BP2914" t="s">
        <v>74</v>
      </c>
      <c r="BQ2914" t="s">
        <v>74</v>
      </c>
      <c r="BR2914" t="s">
        <v>102</v>
      </c>
      <c r="BS2914" t="s">
        <v>48309</v>
      </c>
      <c r="BT2914" t="str">
        <f>HYPERLINK("https%3A%2F%2Fwww.webofscience.com%2Fwos%2Fwoscc%2Ffull-record%2FWOS:001291278800001","View Full Record in Web of Science")</f>
        <v>View Full Record in Web of Science</v>
      </c>
    </row>
    <row r="2915" spans="1:72" x14ac:dyDescent="0.25">
      <c r="A2915" t="s">
        <v>72</v>
      </c>
      <c r="B2915" t="s">
        <v>48310</v>
      </c>
      <c r="C2915" t="s">
        <v>74</v>
      </c>
      <c r="D2915" t="s">
        <v>74</v>
      </c>
      <c r="E2915" t="s">
        <v>74</v>
      </c>
      <c r="F2915" t="s">
        <v>48311</v>
      </c>
      <c r="G2915" t="s">
        <v>74</v>
      </c>
      <c r="H2915" t="s">
        <v>74</v>
      </c>
      <c r="I2915" t="s">
        <v>48312</v>
      </c>
      <c r="J2915" t="s">
        <v>48313</v>
      </c>
      <c r="K2915" t="s">
        <v>74</v>
      </c>
      <c r="L2915" t="s">
        <v>74</v>
      </c>
      <c r="M2915" t="s">
        <v>78</v>
      </c>
      <c r="N2915" t="s">
        <v>79</v>
      </c>
      <c r="O2915" t="s">
        <v>74</v>
      </c>
      <c r="P2915" t="s">
        <v>74</v>
      </c>
      <c r="Q2915" t="s">
        <v>74</v>
      </c>
      <c r="R2915" t="s">
        <v>74</v>
      </c>
      <c r="S2915" t="s">
        <v>74</v>
      </c>
      <c r="T2915" t="s">
        <v>48314</v>
      </c>
      <c r="U2915" t="s">
        <v>48315</v>
      </c>
      <c r="V2915" t="s">
        <v>48316</v>
      </c>
      <c r="W2915" t="s">
        <v>48317</v>
      </c>
      <c r="X2915" t="s">
        <v>48318</v>
      </c>
      <c r="Y2915" t="s">
        <v>48319</v>
      </c>
      <c r="Z2915" t="s">
        <v>74</v>
      </c>
      <c r="AA2915" t="s">
        <v>74</v>
      </c>
      <c r="AB2915" t="s">
        <v>74</v>
      </c>
      <c r="AC2915" t="s">
        <v>74</v>
      </c>
      <c r="AD2915" t="s">
        <v>74</v>
      </c>
      <c r="AE2915" t="s">
        <v>74</v>
      </c>
      <c r="AF2915" t="s">
        <v>74</v>
      </c>
      <c r="AG2915">
        <v>388</v>
      </c>
      <c r="AH2915">
        <v>4</v>
      </c>
      <c r="AI2915">
        <v>4</v>
      </c>
      <c r="AJ2915">
        <v>1</v>
      </c>
      <c r="AK2915">
        <v>18</v>
      </c>
      <c r="AL2915" t="s">
        <v>48320</v>
      </c>
      <c r="AM2915" t="s">
        <v>4219</v>
      </c>
      <c r="AN2915" t="s">
        <v>48321</v>
      </c>
      <c r="AO2915" t="s">
        <v>48322</v>
      </c>
      <c r="AP2915" t="s">
        <v>74</v>
      </c>
      <c r="AQ2915" t="s">
        <v>74</v>
      </c>
      <c r="AR2915" t="s">
        <v>48323</v>
      </c>
      <c r="AS2915" t="s">
        <v>48324</v>
      </c>
      <c r="AT2915" t="s">
        <v>208</v>
      </c>
      <c r="AU2915">
        <v>2023</v>
      </c>
      <c r="AV2915">
        <v>74</v>
      </c>
      <c r="AW2915">
        <v>2</v>
      </c>
      <c r="AX2915" t="s">
        <v>74</v>
      </c>
      <c r="AY2915" t="s">
        <v>74</v>
      </c>
      <c r="AZ2915" t="s">
        <v>74</v>
      </c>
      <c r="BA2915" t="s">
        <v>74</v>
      </c>
      <c r="BB2915">
        <v>349</v>
      </c>
      <c r="BC2915">
        <v>398</v>
      </c>
      <c r="BD2915" t="s">
        <v>74</v>
      </c>
      <c r="BE2915" t="s">
        <v>74</v>
      </c>
      <c r="BF2915" t="s">
        <v>74</v>
      </c>
      <c r="BG2915" t="s">
        <v>74</v>
      </c>
      <c r="BH2915" t="s">
        <v>74</v>
      </c>
      <c r="BI2915">
        <v>51</v>
      </c>
      <c r="BJ2915" t="s">
        <v>182</v>
      </c>
      <c r="BK2915" t="s">
        <v>99</v>
      </c>
      <c r="BL2915" t="s">
        <v>184</v>
      </c>
      <c r="BM2915" t="s">
        <v>48325</v>
      </c>
      <c r="BN2915" t="s">
        <v>74</v>
      </c>
      <c r="BO2915" t="s">
        <v>74</v>
      </c>
      <c r="BP2915" t="s">
        <v>74</v>
      </c>
      <c r="BQ2915" t="s">
        <v>74</v>
      </c>
      <c r="BR2915" t="s">
        <v>102</v>
      </c>
      <c r="BS2915" t="s">
        <v>48326</v>
      </c>
      <c r="BT2915" t="str">
        <f>HYPERLINK("https%3A%2F%2Fwww.webofscience.com%2Fwos%2Fwoscc%2Ffull-record%2FWOS:000944417500004","View Full Record in Web of Science")</f>
        <v>View Full Record in Web of Science</v>
      </c>
    </row>
    <row r="2916" spans="1:72" x14ac:dyDescent="0.25">
      <c r="A2916" t="s">
        <v>72</v>
      </c>
      <c r="B2916" t="s">
        <v>48327</v>
      </c>
      <c r="C2916" t="s">
        <v>74</v>
      </c>
      <c r="D2916" t="s">
        <v>74</v>
      </c>
      <c r="E2916" t="s">
        <v>74</v>
      </c>
      <c r="F2916" t="s">
        <v>48328</v>
      </c>
      <c r="G2916" t="s">
        <v>74</v>
      </c>
      <c r="H2916" t="s">
        <v>74</v>
      </c>
      <c r="I2916" t="s">
        <v>48329</v>
      </c>
      <c r="J2916" t="s">
        <v>48330</v>
      </c>
      <c r="K2916" t="s">
        <v>74</v>
      </c>
      <c r="L2916" t="s">
        <v>74</v>
      </c>
      <c r="M2916" t="s">
        <v>78</v>
      </c>
      <c r="N2916" t="s">
        <v>79</v>
      </c>
      <c r="O2916" t="s">
        <v>74</v>
      </c>
      <c r="P2916" t="s">
        <v>74</v>
      </c>
      <c r="Q2916" t="s">
        <v>74</v>
      </c>
      <c r="R2916" t="s">
        <v>74</v>
      </c>
      <c r="S2916" t="s">
        <v>74</v>
      </c>
      <c r="T2916" t="s">
        <v>48331</v>
      </c>
      <c r="U2916" t="s">
        <v>48332</v>
      </c>
      <c r="V2916" t="s">
        <v>48333</v>
      </c>
      <c r="W2916" t="s">
        <v>48334</v>
      </c>
      <c r="X2916" t="s">
        <v>48335</v>
      </c>
      <c r="Y2916" t="s">
        <v>48336</v>
      </c>
      <c r="Z2916" t="s">
        <v>48337</v>
      </c>
      <c r="AA2916" t="s">
        <v>74</v>
      </c>
      <c r="AB2916" t="s">
        <v>74</v>
      </c>
      <c r="AC2916" t="s">
        <v>74</v>
      </c>
      <c r="AD2916" t="s">
        <v>74</v>
      </c>
      <c r="AE2916" t="s">
        <v>74</v>
      </c>
      <c r="AF2916" t="s">
        <v>74</v>
      </c>
      <c r="AG2916">
        <v>50</v>
      </c>
      <c r="AH2916">
        <v>17</v>
      </c>
      <c r="AI2916">
        <v>20</v>
      </c>
      <c r="AJ2916">
        <v>2</v>
      </c>
      <c r="AK2916">
        <v>14</v>
      </c>
      <c r="AL2916" t="s">
        <v>48338</v>
      </c>
      <c r="AM2916" t="s">
        <v>48339</v>
      </c>
      <c r="AN2916" t="s">
        <v>48340</v>
      </c>
      <c r="AO2916" t="s">
        <v>48341</v>
      </c>
      <c r="AP2916" t="s">
        <v>48342</v>
      </c>
      <c r="AQ2916" t="s">
        <v>74</v>
      </c>
      <c r="AR2916" t="s">
        <v>48343</v>
      </c>
      <c r="AS2916" t="s">
        <v>48344</v>
      </c>
      <c r="AT2916" t="s">
        <v>1652</v>
      </c>
      <c r="AU2916">
        <v>2022</v>
      </c>
      <c r="AV2916">
        <v>30</v>
      </c>
      <c r="AW2916">
        <v>2</v>
      </c>
      <c r="AX2916" t="s">
        <v>74</v>
      </c>
      <c r="AY2916" t="s">
        <v>74</v>
      </c>
      <c r="AZ2916" t="s">
        <v>74</v>
      </c>
      <c r="BA2916" t="s">
        <v>74</v>
      </c>
      <c r="BB2916">
        <v>120</v>
      </c>
      <c r="BC2916">
        <v>139</v>
      </c>
      <c r="BD2916" t="s">
        <v>74</v>
      </c>
      <c r="BE2916" t="s">
        <v>48345</v>
      </c>
      <c r="BF2916" t="str">
        <f>HYPERLINK("http://dx.doi.org/10.3167/saas.2022.300208","http://dx.doi.org/10.3167/saas.2022.300208")</f>
        <v>http://dx.doi.org/10.3167/saas.2022.300208</v>
      </c>
      <c r="BG2916" t="s">
        <v>74</v>
      </c>
      <c r="BH2916" t="s">
        <v>74</v>
      </c>
      <c r="BI2916">
        <v>20</v>
      </c>
      <c r="BJ2916" t="s">
        <v>3890</v>
      </c>
      <c r="BK2916" t="s">
        <v>99</v>
      </c>
      <c r="BL2916" t="s">
        <v>3890</v>
      </c>
      <c r="BM2916" t="s">
        <v>48346</v>
      </c>
      <c r="BN2916" t="s">
        <v>74</v>
      </c>
      <c r="BO2916" t="s">
        <v>8021</v>
      </c>
      <c r="BP2916" t="s">
        <v>74</v>
      </c>
      <c r="BQ2916" t="s">
        <v>74</v>
      </c>
      <c r="BR2916" t="s">
        <v>102</v>
      </c>
      <c r="BS2916" t="s">
        <v>48347</v>
      </c>
      <c r="BT2916" t="str">
        <f>HYPERLINK("https%3A%2F%2Fwww.webofscience.com%2Fwos%2Fwoscc%2Ffull-record%2FWOS:000866479300007","View Full Record in Web of Science")</f>
        <v>View Full Record in Web of Science</v>
      </c>
    </row>
    <row r="2917" spans="1:72" x14ac:dyDescent="0.25">
      <c r="A2917" t="s">
        <v>72</v>
      </c>
      <c r="B2917" t="s">
        <v>48348</v>
      </c>
      <c r="C2917" t="s">
        <v>74</v>
      </c>
      <c r="D2917" t="s">
        <v>74</v>
      </c>
      <c r="E2917" t="s">
        <v>74</v>
      </c>
      <c r="F2917" t="s">
        <v>48349</v>
      </c>
      <c r="G2917" t="s">
        <v>74</v>
      </c>
      <c r="H2917" t="s">
        <v>74</v>
      </c>
      <c r="I2917" t="s">
        <v>48350</v>
      </c>
      <c r="J2917" t="s">
        <v>3439</v>
      </c>
      <c r="K2917" t="s">
        <v>74</v>
      </c>
      <c r="L2917" t="s">
        <v>74</v>
      </c>
      <c r="M2917" t="s">
        <v>78</v>
      </c>
      <c r="N2917" t="s">
        <v>1766</v>
      </c>
      <c r="O2917" t="s">
        <v>74</v>
      </c>
      <c r="P2917" t="s">
        <v>74</v>
      </c>
      <c r="Q2917" t="s">
        <v>74</v>
      </c>
      <c r="R2917" t="s">
        <v>74</v>
      </c>
      <c r="S2917" t="s">
        <v>74</v>
      </c>
      <c r="T2917" t="s">
        <v>48351</v>
      </c>
      <c r="U2917" t="s">
        <v>74</v>
      </c>
      <c r="V2917" t="s">
        <v>48352</v>
      </c>
      <c r="W2917" t="s">
        <v>48353</v>
      </c>
      <c r="X2917" t="s">
        <v>29018</v>
      </c>
      <c r="Y2917" t="s">
        <v>48354</v>
      </c>
      <c r="Z2917" t="s">
        <v>48355</v>
      </c>
      <c r="AA2917" t="s">
        <v>74</v>
      </c>
      <c r="AB2917" t="s">
        <v>48356</v>
      </c>
      <c r="AC2917" t="s">
        <v>74</v>
      </c>
      <c r="AD2917" t="s">
        <v>74</v>
      </c>
      <c r="AE2917" t="s">
        <v>74</v>
      </c>
      <c r="AF2917" t="s">
        <v>74</v>
      </c>
      <c r="AG2917">
        <v>56</v>
      </c>
      <c r="AH2917">
        <v>9</v>
      </c>
      <c r="AI2917">
        <v>15</v>
      </c>
      <c r="AJ2917">
        <v>1</v>
      </c>
      <c r="AK2917">
        <v>33</v>
      </c>
      <c r="AL2917" t="s">
        <v>2481</v>
      </c>
      <c r="AM2917" t="s">
        <v>2482</v>
      </c>
      <c r="AN2917" t="s">
        <v>2483</v>
      </c>
      <c r="AO2917" t="s">
        <v>3443</v>
      </c>
      <c r="AP2917" t="s">
        <v>74</v>
      </c>
      <c r="AQ2917" t="s">
        <v>74</v>
      </c>
      <c r="AR2917" t="s">
        <v>3444</v>
      </c>
      <c r="AS2917" t="s">
        <v>3445</v>
      </c>
      <c r="AT2917" t="s">
        <v>2970</v>
      </c>
      <c r="AU2917">
        <v>2022</v>
      </c>
      <c r="AV2917">
        <v>10</v>
      </c>
      <c r="AW2917">
        <v>1</v>
      </c>
      <c r="AX2917" t="s">
        <v>74</v>
      </c>
      <c r="AY2917" t="s">
        <v>74</v>
      </c>
      <c r="AZ2917" t="s">
        <v>74</v>
      </c>
      <c r="BA2917" t="s">
        <v>74</v>
      </c>
      <c r="BB2917" t="s">
        <v>74</v>
      </c>
      <c r="BC2917" t="s">
        <v>74</v>
      </c>
      <c r="BD2917">
        <v>1996020</v>
      </c>
      <c r="BE2917" t="s">
        <v>48357</v>
      </c>
      <c r="BF2917" t="str">
        <f>HYPERLINK("http://dx.doi.org/10.1080/23322039.2021.1996020","http://dx.doi.org/10.1080/23322039.2021.1996020")</f>
        <v>http://dx.doi.org/10.1080/23322039.2021.1996020</v>
      </c>
      <c r="BG2917" t="s">
        <v>74</v>
      </c>
      <c r="BH2917" t="s">
        <v>74</v>
      </c>
      <c r="BI2917">
        <v>13</v>
      </c>
      <c r="BJ2917" t="s">
        <v>291</v>
      </c>
      <c r="BK2917" t="s">
        <v>313</v>
      </c>
      <c r="BL2917" t="s">
        <v>100</v>
      </c>
      <c r="BM2917" t="s">
        <v>48358</v>
      </c>
      <c r="BN2917" t="s">
        <v>74</v>
      </c>
      <c r="BO2917" t="s">
        <v>916</v>
      </c>
      <c r="BP2917" t="s">
        <v>74</v>
      </c>
      <c r="BQ2917" t="s">
        <v>74</v>
      </c>
      <c r="BR2917" t="s">
        <v>102</v>
      </c>
      <c r="BS2917" t="s">
        <v>48359</v>
      </c>
      <c r="BT2917" t="str">
        <f>HYPERLINK("https%3A%2F%2Fwww.webofscience.com%2Fwos%2Fwoscc%2Ffull-record%2FWOS:000755308600001","View Full Record in Web of Science")</f>
        <v>View Full Record in Web of Science</v>
      </c>
    </row>
    <row r="2918" spans="1:72" x14ac:dyDescent="0.25">
      <c r="A2918" t="s">
        <v>72</v>
      </c>
      <c r="B2918" t="s">
        <v>48360</v>
      </c>
      <c r="C2918" t="s">
        <v>74</v>
      </c>
      <c r="D2918" t="s">
        <v>74</v>
      </c>
      <c r="E2918" t="s">
        <v>74</v>
      </c>
      <c r="F2918" t="s">
        <v>48361</v>
      </c>
      <c r="G2918" t="s">
        <v>74</v>
      </c>
      <c r="H2918" t="s">
        <v>74</v>
      </c>
      <c r="I2918" t="s">
        <v>48362</v>
      </c>
      <c r="J2918" t="s">
        <v>4956</v>
      </c>
      <c r="K2918" t="s">
        <v>74</v>
      </c>
      <c r="L2918" t="s">
        <v>74</v>
      </c>
      <c r="M2918" t="s">
        <v>78</v>
      </c>
      <c r="N2918" t="s">
        <v>79</v>
      </c>
      <c r="O2918" t="s">
        <v>74</v>
      </c>
      <c r="P2918" t="s">
        <v>74</v>
      </c>
      <c r="Q2918" t="s">
        <v>74</v>
      </c>
      <c r="R2918" t="s">
        <v>74</v>
      </c>
      <c r="S2918" t="s">
        <v>74</v>
      </c>
      <c r="T2918" t="s">
        <v>48363</v>
      </c>
      <c r="U2918" t="s">
        <v>33533</v>
      </c>
      <c r="V2918" t="s">
        <v>48364</v>
      </c>
      <c r="W2918" t="s">
        <v>48365</v>
      </c>
      <c r="X2918" t="s">
        <v>48366</v>
      </c>
      <c r="Y2918" t="s">
        <v>48367</v>
      </c>
      <c r="Z2918" t="s">
        <v>74</v>
      </c>
      <c r="AA2918" t="s">
        <v>74</v>
      </c>
      <c r="AB2918" t="s">
        <v>48368</v>
      </c>
      <c r="AC2918" t="s">
        <v>74</v>
      </c>
      <c r="AD2918" t="s">
        <v>74</v>
      </c>
      <c r="AE2918" t="s">
        <v>74</v>
      </c>
      <c r="AF2918" t="s">
        <v>74</v>
      </c>
      <c r="AG2918">
        <v>48</v>
      </c>
      <c r="AH2918">
        <v>26</v>
      </c>
      <c r="AI2918">
        <v>33</v>
      </c>
      <c r="AJ2918">
        <v>0</v>
      </c>
      <c r="AK2918">
        <v>33</v>
      </c>
      <c r="AL2918" t="s">
        <v>230</v>
      </c>
      <c r="AM2918" t="s">
        <v>231</v>
      </c>
      <c r="AN2918" t="s">
        <v>232</v>
      </c>
      <c r="AO2918" t="s">
        <v>4966</v>
      </c>
      <c r="AP2918" t="s">
        <v>74</v>
      </c>
      <c r="AQ2918" t="s">
        <v>74</v>
      </c>
      <c r="AR2918" t="s">
        <v>4968</v>
      </c>
      <c r="AS2918" t="s">
        <v>4969</v>
      </c>
      <c r="AT2918" t="s">
        <v>1159</v>
      </c>
      <c r="AU2918">
        <v>2014</v>
      </c>
      <c r="AV2918">
        <v>62</v>
      </c>
      <c r="AW2918" t="s">
        <v>74</v>
      </c>
      <c r="AX2918" t="s">
        <v>74</v>
      </c>
      <c r="AY2918" t="s">
        <v>74</v>
      </c>
      <c r="AZ2918" t="s">
        <v>74</v>
      </c>
      <c r="BA2918" t="s">
        <v>74</v>
      </c>
      <c r="BB2918">
        <v>213</v>
      </c>
      <c r="BC2918">
        <v>227</v>
      </c>
      <c r="BD2918" t="s">
        <v>74</v>
      </c>
      <c r="BE2918" t="s">
        <v>48369</v>
      </c>
      <c r="BF2918" t="str">
        <f>HYPERLINK("http://dx.doi.org/10.1016/j.worlddev.2014.05.002","http://dx.doi.org/10.1016/j.worlddev.2014.05.002")</f>
        <v>http://dx.doi.org/10.1016/j.worlddev.2014.05.002</v>
      </c>
      <c r="BG2918" t="s">
        <v>74</v>
      </c>
      <c r="BH2918" t="s">
        <v>74</v>
      </c>
      <c r="BI2918">
        <v>15</v>
      </c>
      <c r="BJ2918" t="s">
        <v>701</v>
      </c>
      <c r="BK2918" t="s">
        <v>99</v>
      </c>
      <c r="BL2918" t="s">
        <v>702</v>
      </c>
      <c r="BM2918" t="s">
        <v>48370</v>
      </c>
      <c r="BN2918" t="s">
        <v>74</v>
      </c>
      <c r="BO2918" t="s">
        <v>74</v>
      </c>
      <c r="BP2918" t="s">
        <v>74</v>
      </c>
      <c r="BQ2918" t="s">
        <v>74</v>
      </c>
      <c r="BR2918" t="s">
        <v>102</v>
      </c>
      <c r="BS2918" t="s">
        <v>48371</v>
      </c>
      <c r="BT2918" t="str">
        <f>HYPERLINK("https%3A%2F%2Fwww.webofscience.com%2Fwos%2Fwoscc%2Ffull-record%2FWOS:000338394900015","View Full Record in Web of Science")</f>
        <v>View Full Record in Web of Science</v>
      </c>
    </row>
    <row r="2919" spans="1:72" x14ac:dyDescent="0.25">
      <c r="A2919" t="s">
        <v>72</v>
      </c>
      <c r="B2919" t="s">
        <v>48372</v>
      </c>
      <c r="C2919" t="s">
        <v>74</v>
      </c>
      <c r="D2919" t="s">
        <v>74</v>
      </c>
      <c r="E2919" t="s">
        <v>74</v>
      </c>
      <c r="F2919" t="s">
        <v>48373</v>
      </c>
      <c r="G2919" t="s">
        <v>74</v>
      </c>
      <c r="H2919" t="s">
        <v>74</v>
      </c>
      <c r="I2919" t="s">
        <v>48374</v>
      </c>
      <c r="J2919" t="s">
        <v>17640</v>
      </c>
      <c r="K2919" t="s">
        <v>74</v>
      </c>
      <c r="L2919" t="s">
        <v>74</v>
      </c>
      <c r="M2919" t="s">
        <v>78</v>
      </c>
      <c r="N2919" t="s">
        <v>79</v>
      </c>
      <c r="O2919" t="s">
        <v>74</v>
      </c>
      <c r="P2919" t="s">
        <v>74</v>
      </c>
      <c r="Q2919" t="s">
        <v>74</v>
      </c>
      <c r="R2919" t="s">
        <v>74</v>
      </c>
      <c r="S2919" t="s">
        <v>74</v>
      </c>
      <c r="T2919" t="s">
        <v>74</v>
      </c>
      <c r="U2919" t="s">
        <v>48375</v>
      </c>
      <c r="V2919" t="s">
        <v>48376</v>
      </c>
      <c r="W2919" t="s">
        <v>48377</v>
      </c>
      <c r="X2919" t="s">
        <v>48378</v>
      </c>
      <c r="Y2919" t="s">
        <v>48379</v>
      </c>
      <c r="Z2919" t="s">
        <v>48380</v>
      </c>
      <c r="AA2919" t="s">
        <v>38071</v>
      </c>
      <c r="AB2919" t="s">
        <v>74</v>
      </c>
      <c r="AC2919" t="s">
        <v>48381</v>
      </c>
      <c r="AD2919" t="s">
        <v>48381</v>
      </c>
      <c r="AE2919" t="s">
        <v>48382</v>
      </c>
      <c r="AF2919" t="s">
        <v>74</v>
      </c>
      <c r="AG2919">
        <v>58</v>
      </c>
      <c r="AH2919">
        <v>0</v>
      </c>
      <c r="AI2919">
        <v>0</v>
      </c>
      <c r="AJ2919">
        <v>1</v>
      </c>
      <c r="AK2919">
        <v>1</v>
      </c>
      <c r="AL2919" t="s">
        <v>4666</v>
      </c>
      <c r="AM2919" t="s">
        <v>995</v>
      </c>
      <c r="AN2919" t="s">
        <v>4025</v>
      </c>
      <c r="AO2919" t="s">
        <v>74</v>
      </c>
      <c r="AP2919" t="s">
        <v>17649</v>
      </c>
      <c r="AQ2919" t="s">
        <v>74</v>
      </c>
      <c r="AR2919" t="s">
        <v>17650</v>
      </c>
      <c r="AS2919" t="s">
        <v>17651</v>
      </c>
      <c r="AT2919" t="s">
        <v>8779</v>
      </c>
      <c r="AU2919">
        <v>2025</v>
      </c>
      <c r="AV2919">
        <v>12</v>
      </c>
      <c r="AW2919">
        <v>1</v>
      </c>
      <c r="AX2919" t="s">
        <v>74</v>
      </c>
      <c r="AY2919" t="s">
        <v>74</v>
      </c>
      <c r="AZ2919" t="s">
        <v>74</v>
      </c>
      <c r="BA2919" t="s">
        <v>74</v>
      </c>
      <c r="BB2919" t="s">
        <v>74</v>
      </c>
      <c r="BC2919" t="s">
        <v>74</v>
      </c>
      <c r="BD2919">
        <v>1785</v>
      </c>
      <c r="BE2919" t="s">
        <v>48383</v>
      </c>
      <c r="BF2919" t="str">
        <f>HYPERLINK("http://dx.doi.org/10.1057/s41599-025-06068-0","http://dx.doi.org/10.1057/s41599-025-06068-0")</f>
        <v>http://dx.doi.org/10.1057/s41599-025-06068-0</v>
      </c>
      <c r="BG2919" t="s">
        <v>74</v>
      </c>
      <c r="BH2919" t="s">
        <v>74</v>
      </c>
      <c r="BI2919">
        <v>9</v>
      </c>
      <c r="BJ2919" t="s">
        <v>17654</v>
      </c>
      <c r="BK2919" t="s">
        <v>871</v>
      </c>
      <c r="BL2919" t="s">
        <v>17655</v>
      </c>
      <c r="BM2919" t="s">
        <v>48384</v>
      </c>
      <c r="BN2919" t="s">
        <v>74</v>
      </c>
      <c r="BO2919" t="s">
        <v>212</v>
      </c>
      <c r="BP2919" t="s">
        <v>74</v>
      </c>
      <c r="BQ2919" t="s">
        <v>74</v>
      </c>
      <c r="BR2919" t="s">
        <v>102</v>
      </c>
      <c r="BS2919" t="s">
        <v>48385</v>
      </c>
      <c r="BT2919" t="str">
        <f>HYPERLINK("https%3A%2F%2Fwww.webofscience.com%2Fwos%2Fwoscc%2Ffull-record%2FWOS:001618640400007","View Full Record in Web of Science")</f>
        <v>View Full Record in Web of Science</v>
      </c>
    </row>
    <row r="2920" spans="1:72" x14ac:dyDescent="0.25">
      <c r="A2920" t="s">
        <v>132</v>
      </c>
      <c r="B2920" t="s">
        <v>48386</v>
      </c>
      <c r="C2920" t="s">
        <v>74</v>
      </c>
      <c r="D2920" t="s">
        <v>28315</v>
      </c>
      <c r="E2920" t="s">
        <v>74</v>
      </c>
      <c r="F2920" t="s">
        <v>48387</v>
      </c>
      <c r="G2920" t="s">
        <v>74</v>
      </c>
      <c r="H2920" t="s">
        <v>74</v>
      </c>
      <c r="I2920" t="s">
        <v>48388</v>
      </c>
      <c r="J2920" t="s">
        <v>28312</v>
      </c>
      <c r="K2920" t="s">
        <v>74</v>
      </c>
      <c r="L2920" t="s">
        <v>74</v>
      </c>
      <c r="M2920" t="s">
        <v>78</v>
      </c>
      <c r="N2920" t="s">
        <v>138</v>
      </c>
      <c r="O2920" t="s">
        <v>28311</v>
      </c>
      <c r="P2920" t="s">
        <v>28310</v>
      </c>
      <c r="Q2920" t="s">
        <v>28309</v>
      </c>
      <c r="R2920" t="s">
        <v>28308</v>
      </c>
      <c r="S2920" t="s">
        <v>74</v>
      </c>
      <c r="T2920" t="s">
        <v>48389</v>
      </c>
      <c r="U2920" t="s">
        <v>48390</v>
      </c>
      <c r="V2920" t="s">
        <v>48391</v>
      </c>
      <c r="W2920" t="s">
        <v>48392</v>
      </c>
      <c r="X2920" t="s">
        <v>22277</v>
      </c>
      <c r="Y2920" t="s">
        <v>22276</v>
      </c>
      <c r="Z2920" t="s">
        <v>48393</v>
      </c>
      <c r="AA2920" t="s">
        <v>48394</v>
      </c>
      <c r="AB2920" t="s">
        <v>48395</v>
      </c>
      <c r="AC2920" t="s">
        <v>74</v>
      </c>
      <c r="AD2920" t="s">
        <v>74</v>
      </c>
      <c r="AE2920" t="s">
        <v>74</v>
      </c>
      <c r="AF2920" t="s">
        <v>74</v>
      </c>
      <c r="AG2920">
        <v>50</v>
      </c>
      <c r="AH2920">
        <v>2</v>
      </c>
      <c r="AI2920">
        <v>2</v>
      </c>
      <c r="AJ2920">
        <v>0</v>
      </c>
      <c r="AK2920">
        <v>2</v>
      </c>
      <c r="AL2920" t="s">
        <v>150</v>
      </c>
      <c r="AM2920" t="s">
        <v>151</v>
      </c>
      <c r="AN2920" t="s">
        <v>1560</v>
      </c>
      <c r="AO2920" t="s">
        <v>74</v>
      </c>
      <c r="AP2920" t="s">
        <v>74</v>
      </c>
      <c r="AQ2920" t="s">
        <v>28299</v>
      </c>
      <c r="AR2920" t="s">
        <v>74</v>
      </c>
      <c r="AS2920" t="s">
        <v>74</v>
      </c>
      <c r="AT2920" t="s">
        <v>74</v>
      </c>
      <c r="AU2920">
        <v>2022</v>
      </c>
      <c r="AV2920" t="s">
        <v>74</v>
      </c>
      <c r="AW2920" t="s">
        <v>74</v>
      </c>
      <c r="AX2920" t="s">
        <v>74</v>
      </c>
      <c r="AY2920" t="s">
        <v>74</v>
      </c>
      <c r="AZ2920" t="s">
        <v>74</v>
      </c>
      <c r="BA2920" t="s">
        <v>74</v>
      </c>
      <c r="BB2920">
        <v>424</v>
      </c>
      <c r="BC2920">
        <v>431</v>
      </c>
      <c r="BD2920" t="s">
        <v>74</v>
      </c>
      <c r="BE2920" t="s">
        <v>48396</v>
      </c>
      <c r="BF2920" t="str">
        <f>HYPERLINK("http://dx.doi.org/10.1145/3560107.3560172","http://dx.doi.org/10.1145/3560107.3560172")</f>
        <v>http://dx.doi.org/10.1145/3560107.3560172</v>
      </c>
      <c r="BG2920" t="s">
        <v>74</v>
      </c>
      <c r="BH2920" t="s">
        <v>74</v>
      </c>
      <c r="BI2920">
        <v>8</v>
      </c>
      <c r="BJ2920" t="s">
        <v>28297</v>
      </c>
      <c r="BK2920" t="s">
        <v>1069</v>
      </c>
      <c r="BL2920" t="s">
        <v>28296</v>
      </c>
      <c r="BM2920" t="s">
        <v>28295</v>
      </c>
      <c r="BN2920" t="s">
        <v>74</v>
      </c>
      <c r="BO2920" t="s">
        <v>212</v>
      </c>
      <c r="BP2920" t="s">
        <v>74</v>
      </c>
      <c r="BQ2920" t="s">
        <v>74</v>
      </c>
      <c r="BR2920" t="s">
        <v>102</v>
      </c>
      <c r="BS2920" t="s">
        <v>48397</v>
      </c>
      <c r="BT2920" t="str">
        <f>HYPERLINK("https%3A%2F%2Fwww.webofscience.com%2Fwos%2Fwoscc%2Ffull-record%2FWOS:001098408200058","View Full Record in Web of Science")</f>
        <v>View Full Record in Web of Science</v>
      </c>
    </row>
    <row r="2921" spans="1:72" x14ac:dyDescent="0.25">
      <c r="A2921" t="s">
        <v>72</v>
      </c>
      <c r="B2921" t="s">
        <v>48398</v>
      </c>
      <c r="C2921" t="s">
        <v>74</v>
      </c>
      <c r="D2921" t="s">
        <v>74</v>
      </c>
      <c r="E2921" t="s">
        <v>74</v>
      </c>
      <c r="F2921" t="s">
        <v>48399</v>
      </c>
      <c r="G2921" t="s">
        <v>74</v>
      </c>
      <c r="H2921" t="s">
        <v>74</v>
      </c>
      <c r="I2921" t="s">
        <v>48400</v>
      </c>
      <c r="J2921" t="s">
        <v>48401</v>
      </c>
      <c r="K2921" t="s">
        <v>74</v>
      </c>
      <c r="L2921" t="s">
        <v>74</v>
      </c>
      <c r="M2921" t="s">
        <v>78</v>
      </c>
      <c r="N2921" t="s">
        <v>79</v>
      </c>
      <c r="O2921" t="s">
        <v>74</v>
      </c>
      <c r="P2921" t="s">
        <v>74</v>
      </c>
      <c r="Q2921" t="s">
        <v>74</v>
      </c>
      <c r="R2921" t="s">
        <v>74</v>
      </c>
      <c r="S2921" t="s">
        <v>74</v>
      </c>
      <c r="T2921" t="s">
        <v>48402</v>
      </c>
      <c r="U2921" t="s">
        <v>48403</v>
      </c>
      <c r="V2921" t="s">
        <v>48404</v>
      </c>
      <c r="W2921" t="s">
        <v>48405</v>
      </c>
      <c r="X2921" t="s">
        <v>25506</v>
      </c>
      <c r="Y2921" t="s">
        <v>48406</v>
      </c>
      <c r="Z2921" t="s">
        <v>48407</v>
      </c>
      <c r="AA2921" t="s">
        <v>23175</v>
      </c>
      <c r="AB2921" t="s">
        <v>48408</v>
      </c>
      <c r="AC2921" t="s">
        <v>48409</v>
      </c>
      <c r="AD2921" t="s">
        <v>48410</v>
      </c>
      <c r="AE2921" t="s">
        <v>48411</v>
      </c>
      <c r="AF2921" t="s">
        <v>74</v>
      </c>
      <c r="AG2921">
        <v>28</v>
      </c>
      <c r="AH2921">
        <v>72</v>
      </c>
      <c r="AI2921">
        <v>96</v>
      </c>
      <c r="AJ2921">
        <v>13</v>
      </c>
      <c r="AK2921">
        <v>156</v>
      </c>
      <c r="AL2921" t="s">
        <v>2597</v>
      </c>
      <c r="AM2921" t="s">
        <v>2598</v>
      </c>
      <c r="AN2921" t="s">
        <v>2599</v>
      </c>
      <c r="AO2921" t="s">
        <v>48412</v>
      </c>
      <c r="AP2921" t="s">
        <v>48413</v>
      </c>
      <c r="AQ2921" t="s">
        <v>74</v>
      </c>
      <c r="AR2921" t="s">
        <v>48414</v>
      </c>
      <c r="AS2921" t="s">
        <v>48415</v>
      </c>
      <c r="AT2921" t="s">
        <v>1540</v>
      </c>
      <c r="AU2921">
        <v>2020</v>
      </c>
      <c r="AV2921">
        <v>75</v>
      </c>
      <c r="AW2921">
        <v>4</v>
      </c>
      <c r="AX2921" t="s">
        <v>74</v>
      </c>
      <c r="AY2921" t="s">
        <v>74</v>
      </c>
      <c r="AZ2921" t="s">
        <v>74</v>
      </c>
      <c r="BA2921" t="s">
        <v>74</v>
      </c>
      <c r="BB2921">
        <v>861</v>
      </c>
      <c r="BC2921">
        <v>868</v>
      </c>
      <c r="BD2921" t="s">
        <v>74</v>
      </c>
      <c r="BE2921" t="s">
        <v>48416</v>
      </c>
      <c r="BF2921" t="str">
        <f>HYPERLINK("http://dx.doi.org/10.1093/geronb/gby151","http://dx.doi.org/10.1093/geronb/gby151")</f>
        <v>http://dx.doi.org/10.1093/geronb/gby151</v>
      </c>
      <c r="BG2921" t="s">
        <v>74</v>
      </c>
      <c r="BH2921" t="s">
        <v>74</v>
      </c>
      <c r="BI2921">
        <v>8</v>
      </c>
      <c r="BJ2921" t="s">
        <v>48417</v>
      </c>
      <c r="BK2921" t="s">
        <v>2623</v>
      </c>
      <c r="BL2921" t="s">
        <v>48418</v>
      </c>
      <c r="BM2921" t="s">
        <v>48419</v>
      </c>
      <c r="BN2921">
        <v>30561718</v>
      </c>
      <c r="BO2921" t="s">
        <v>1696</v>
      </c>
      <c r="BP2921" t="s">
        <v>74</v>
      </c>
      <c r="BQ2921" t="s">
        <v>74</v>
      </c>
      <c r="BR2921" t="s">
        <v>102</v>
      </c>
      <c r="BS2921" t="s">
        <v>48420</v>
      </c>
      <c r="BT2921" t="str">
        <f>HYPERLINK("https%3A%2F%2Fwww.webofscience.com%2Fwos%2Fwoscc%2Ffull-record%2FWOS:000535914600014","View Full Record in Web of Science")</f>
        <v>View Full Record in Web of Science</v>
      </c>
    </row>
    <row r="2922" spans="1:72" x14ac:dyDescent="0.25">
      <c r="A2922" t="s">
        <v>72</v>
      </c>
      <c r="B2922" t="s">
        <v>48421</v>
      </c>
      <c r="C2922" t="s">
        <v>74</v>
      </c>
      <c r="D2922" t="s">
        <v>74</v>
      </c>
      <c r="E2922" t="s">
        <v>74</v>
      </c>
      <c r="F2922" t="s">
        <v>48422</v>
      </c>
      <c r="G2922" t="s">
        <v>74</v>
      </c>
      <c r="H2922" t="s">
        <v>74</v>
      </c>
      <c r="I2922" t="s">
        <v>48423</v>
      </c>
      <c r="J2922" t="s">
        <v>3439</v>
      </c>
      <c r="K2922" t="s">
        <v>74</v>
      </c>
      <c r="L2922" t="s">
        <v>74</v>
      </c>
      <c r="M2922" t="s">
        <v>78</v>
      </c>
      <c r="N2922" t="s">
        <v>1766</v>
      </c>
      <c r="O2922" t="s">
        <v>74</v>
      </c>
      <c r="P2922" t="s">
        <v>74</v>
      </c>
      <c r="Q2922" t="s">
        <v>74</v>
      </c>
      <c r="R2922" t="s">
        <v>74</v>
      </c>
      <c r="S2922" t="s">
        <v>74</v>
      </c>
      <c r="T2922" t="s">
        <v>48424</v>
      </c>
      <c r="U2922" t="s">
        <v>17428</v>
      </c>
      <c r="V2922" t="s">
        <v>48425</v>
      </c>
      <c r="W2922" t="s">
        <v>48426</v>
      </c>
      <c r="X2922" t="s">
        <v>48427</v>
      </c>
      <c r="Y2922" t="s">
        <v>48428</v>
      </c>
      <c r="Z2922" t="s">
        <v>48429</v>
      </c>
      <c r="AA2922" t="s">
        <v>48430</v>
      </c>
      <c r="AB2922" t="s">
        <v>48431</v>
      </c>
      <c r="AC2922" t="s">
        <v>74</v>
      </c>
      <c r="AD2922" t="s">
        <v>74</v>
      </c>
      <c r="AE2922" t="s">
        <v>74</v>
      </c>
      <c r="AF2922" t="s">
        <v>74</v>
      </c>
      <c r="AG2922">
        <v>46</v>
      </c>
      <c r="AH2922">
        <v>34</v>
      </c>
      <c r="AI2922">
        <v>58</v>
      </c>
      <c r="AJ2922">
        <v>6</v>
      </c>
      <c r="AK2922">
        <v>112</v>
      </c>
      <c r="AL2922" t="s">
        <v>2481</v>
      </c>
      <c r="AM2922" t="s">
        <v>2482</v>
      </c>
      <c r="AN2922" t="s">
        <v>2483</v>
      </c>
      <c r="AO2922" t="s">
        <v>3443</v>
      </c>
      <c r="AP2922" t="s">
        <v>74</v>
      </c>
      <c r="AQ2922" t="s">
        <v>74</v>
      </c>
      <c r="AR2922" t="s">
        <v>3444</v>
      </c>
      <c r="AS2922" t="s">
        <v>3445</v>
      </c>
      <c r="AT2922" t="s">
        <v>2970</v>
      </c>
      <c r="AU2922">
        <v>2022</v>
      </c>
      <c r="AV2922">
        <v>10</v>
      </c>
      <c r="AW2922">
        <v>1</v>
      </c>
      <c r="AX2922" t="s">
        <v>74</v>
      </c>
      <c r="AY2922" t="s">
        <v>74</v>
      </c>
      <c r="AZ2922" t="s">
        <v>74</v>
      </c>
      <c r="BA2922" t="s">
        <v>74</v>
      </c>
      <c r="BB2922" t="s">
        <v>74</v>
      </c>
      <c r="BC2922" t="s">
        <v>74</v>
      </c>
      <c r="BD2922">
        <v>2023262</v>
      </c>
      <c r="BE2922" t="s">
        <v>48432</v>
      </c>
      <c r="BF2922" t="str">
        <f>HYPERLINK("http://dx.doi.org/10.1080/23322039.2021.2023262","http://dx.doi.org/10.1080/23322039.2021.2023262")</f>
        <v>http://dx.doi.org/10.1080/23322039.2021.2023262</v>
      </c>
      <c r="BG2922" t="s">
        <v>74</v>
      </c>
      <c r="BH2922" t="s">
        <v>74</v>
      </c>
      <c r="BI2922">
        <v>12</v>
      </c>
      <c r="BJ2922" t="s">
        <v>291</v>
      </c>
      <c r="BK2922" t="s">
        <v>313</v>
      </c>
      <c r="BL2922" t="s">
        <v>100</v>
      </c>
      <c r="BM2922" t="s">
        <v>48433</v>
      </c>
      <c r="BN2922" t="s">
        <v>74</v>
      </c>
      <c r="BO2922" t="s">
        <v>916</v>
      </c>
      <c r="BP2922" t="s">
        <v>74</v>
      </c>
      <c r="BQ2922" t="s">
        <v>74</v>
      </c>
      <c r="BR2922" t="s">
        <v>102</v>
      </c>
      <c r="BS2922" t="s">
        <v>48434</v>
      </c>
      <c r="BT2922" t="str">
        <f>HYPERLINK("https%3A%2F%2Fwww.webofscience.com%2Fwos%2Fwoscc%2Ffull-record%2FWOS:000740846900001","View Full Record in Web of Science")</f>
        <v>View Full Record in Web of Science</v>
      </c>
    </row>
    <row r="2923" spans="1:72" x14ac:dyDescent="0.25">
      <c r="A2923" t="s">
        <v>72</v>
      </c>
      <c r="B2923" t="s">
        <v>48435</v>
      </c>
      <c r="C2923" t="s">
        <v>74</v>
      </c>
      <c r="D2923" t="s">
        <v>74</v>
      </c>
      <c r="E2923" t="s">
        <v>74</v>
      </c>
      <c r="F2923" t="s">
        <v>48436</v>
      </c>
      <c r="G2923" t="s">
        <v>74</v>
      </c>
      <c r="H2923" t="s">
        <v>74</v>
      </c>
      <c r="I2923" t="s">
        <v>48437</v>
      </c>
      <c r="J2923" t="s">
        <v>17640</v>
      </c>
      <c r="K2923" t="s">
        <v>74</v>
      </c>
      <c r="L2923" t="s">
        <v>74</v>
      </c>
      <c r="M2923" t="s">
        <v>78</v>
      </c>
      <c r="N2923" t="s">
        <v>79</v>
      </c>
      <c r="O2923" t="s">
        <v>74</v>
      </c>
      <c r="P2923" t="s">
        <v>74</v>
      </c>
      <c r="Q2923" t="s">
        <v>74</v>
      </c>
      <c r="R2923" t="s">
        <v>74</v>
      </c>
      <c r="S2923" t="s">
        <v>74</v>
      </c>
      <c r="T2923" t="s">
        <v>74</v>
      </c>
      <c r="U2923" t="s">
        <v>48438</v>
      </c>
      <c r="V2923" t="s">
        <v>48439</v>
      </c>
      <c r="W2923" t="s">
        <v>48440</v>
      </c>
      <c r="X2923" t="s">
        <v>48441</v>
      </c>
      <c r="Y2923" t="s">
        <v>48442</v>
      </c>
      <c r="Z2923" t="s">
        <v>48443</v>
      </c>
      <c r="AA2923" t="s">
        <v>48444</v>
      </c>
      <c r="AB2923" t="s">
        <v>48445</v>
      </c>
      <c r="AC2923" t="s">
        <v>74</v>
      </c>
      <c r="AD2923" t="s">
        <v>74</v>
      </c>
      <c r="AE2923" t="s">
        <v>74</v>
      </c>
      <c r="AF2923" t="s">
        <v>74</v>
      </c>
      <c r="AG2923">
        <v>104</v>
      </c>
      <c r="AH2923">
        <v>11</v>
      </c>
      <c r="AI2923">
        <v>13</v>
      </c>
      <c r="AJ2923">
        <v>3</v>
      </c>
      <c r="AK2923">
        <v>31</v>
      </c>
      <c r="AL2923" t="s">
        <v>4666</v>
      </c>
      <c r="AM2923" t="s">
        <v>995</v>
      </c>
      <c r="AN2923" t="s">
        <v>4025</v>
      </c>
      <c r="AO2923" t="s">
        <v>74</v>
      </c>
      <c r="AP2923" t="s">
        <v>17649</v>
      </c>
      <c r="AQ2923" t="s">
        <v>74</v>
      </c>
      <c r="AR2923" t="s">
        <v>17650</v>
      </c>
      <c r="AS2923" t="s">
        <v>17651</v>
      </c>
      <c r="AT2923" t="s">
        <v>48446</v>
      </c>
      <c r="AU2923">
        <v>2022</v>
      </c>
      <c r="AV2923">
        <v>9</v>
      </c>
      <c r="AW2923">
        <v>1</v>
      </c>
      <c r="AX2923" t="s">
        <v>74</v>
      </c>
      <c r="AY2923" t="s">
        <v>74</v>
      </c>
      <c r="AZ2923" t="s">
        <v>74</v>
      </c>
      <c r="BA2923" t="s">
        <v>74</v>
      </c>
      <c r="BB2923" t="s">
        <v>74</v>
      </c>
      <c r="BC2923" t="s">
        <v>74</v>
      </c>
      <c r="BD2923">
        <v>448</v>
      </c>
      <c r="BE2923" t="s">
        <v>48447</v>
      </c>
      <c r="BF2923" t="str">
        <f>HYPERLINK("http://dx.doi.org/10.1057/s41599-022-01475-z","http://dx.doi.org/10.1057/s41599-022-01475-z")</f>
        <v>http://dx.doi.org/10.1057/s41599-022-01475-z</v>
      </c>
      <c r="BG2923" t="s">
        <v>74</v>
      </c>
      <c r="BH2923" t="s">
        <v>74</v>
      </c>
      <c r="BI2923">
        <v>13</v>
      </c>
      <c r="BJ2923" t="s">
        <v>17654</v>
      </c>
      <c r="BK2923" t="s">
        <v>871</v>
      </c>
      <c r="BL2923" t="s">
        <v>17655</v>
      </c>
      <c r="BM2923" t="s">
        <v>48448</v>
      </c>
      <c r="BN2923" t="s">
        <v>74</v>
      </c>
      <c r="BO2923" t="s">
        <v>916</v>
      </c>
      <c r="BP2923" t="s">
        <v>74</v>
      </c>
      <c r="BQ2923" t="s">
        <v>74</v>
      </c>
      <c r="BR2923" t="s">
        <v>102</v>
      </c>
      <c r="BS2923" t="s">
        <v>48449</v>
      </c>
      <c r="BT2923" t="str">
        <f>HYPERLINK("https%3A%2F%2Fwww.webofscience.com%2Fwos%2Fwoscc%2Ffull-record%2FWOS:000898904900002","View Full Record in Web of Science")</f>
        <v>View Full Record in Web of Science</v>
      </c>
    </row>
    <row r="2924" spans="1:72" x14ac:dyDescent="0.25">
      <c r="A2924" t="s">
        <v>72</v>
      </c>
      <c r="B2924" t="s">
        <v>38232</v>
      </c>
      <c r="C2924" t="s">
        <v>74</v>
      </c>
      <c r="D2924" t="s">
        <v>74</v>
      </c>
      <c r="E2924" t="s">
        <v>74</v>
      </c>
      <c r="F2924" t="s">
        <v>38233</v>
      </c>
      <c r="G2924" t="s">
        <v>74</v>
      </c>
      <c r="H2924" t="s">
        <v>74</v>
      </c>
      <c r="I2924" t="s">
        <v>48450</v>
      </c>
      <c r="J2924" t="s">
        <v>17444</v>
      </c>
      <c r="K2924" t="s">
        <v>74</v>
      </c>
      <c r="L2924" t="s">
        <v>74</v>
      </c>
      <c r="M2924" t="s">
        <v>78</v>
      </c>
      <c r="N2924" t="s">
        <v>79</v>
      </c>
      <c r="O2924" t="s">
        <v>74</v>
      </c>
      <c r="P2924" t="s">
        <v>74</v>
      </c>
      <c r="Q2924" t="s">
        <v>74</v>
      </c>
      <c r="R2924" t="s">
        <v>74</v>
      </c>
      <c r="S2924" t="s">
        <v>74</v>
      </c>
      <c r="T2924" t="s">
        <v>48451</v>
      </c>
      <c r="U2924" t="s">
        <v>48452</v>
      </c>
      <c r="V2924" t="s">
        <v>48453</v>
      </c>
      <c r="W2924" t="s">
        <v>48454</v>
      </c>
      <c r="X2924" t="s">
        <v>38239</v>
      </c>
      <c r="Y2924" t="s">
        <v>48455</v>
      </c>
      <c r="Z2924" t="s">
        <v>38241</v>
      </c>
      <c r="AA2924" t="s">
        <v>48456</v>
      </c>
      <c r="AB2924" t="s">
        <v>74</v>
      </c>
      <c r="AC2924" t="s">
        <v>74</v>
      </c>
      <c r="AD2924" t="s">
        <v>74</v>
      </c>
      <c r="AE2924" t="s">
        <v>74</v>
      </c>
      <c r="AF2924" t="s">
        <v>74</v>
      </c>
      <c r="AG2924">
        <v>32</v>
      </c>
      <c r="AH2924">
        <v>31</v>
      </c>
      <c r="AI2924">
        <v>39</v>
      </c>
      <c r="AJ2924">
        <v>1</v>
      </c>
      <c r="AK2924">
        <v>29</v>
      </c>
      <c r="AL2924" t="s">
        <v>89</v>
      </c>
      <c r="AM2924" t="s">
        <v>1497</v>
      </c>
      <c r="AN2924" t="s">
        <v>1498</v>
      </c>
      <c r="AO2924" t="s">
        <v>17454</v>
      </c>
      <c r="AP2924" t="s">
        <v>17455</v>
      </c>
      <c r="AQ2924" t="s">
        <v>74</v>
      </c>
      <c r="AR2924" t="s">
        <v>17456</v>
      </c>
      <c r="AS2924" t="s">
        <v>17457</v>
      </c>
      <c r="AT2924" t="s">
        <v>440</v>
      </c>
      <c r="AU2924">
        <v>2020</v>
      </c>
      <c r="AV2924">
        <v>46</v>
      </c>
      <c r="AW2924">
        <v>6</v>
      </c>
      <c r="AX2924" t="s">
        <v>74</v>
      </c>
      <c r="AY2924" t="s">
        <v>74</v>
      </c>
      <c r="AZ2924" t="s">
        <v>441</v>
      </c>
      <c r="BA2924" t="s">
        <v>74</v>
      </c>
      <c r="BB2924">
        <v>815</v>
      </c>
      <c r="BC2924">
        <v>831</v>
      </c>
      <c r="BD2924" t="s">
        <v>74</v>
      </c>
      <c r="BE2924" t="s">
        <v>48457</v>
      </c>
      <c r="BF2924" t="str">
        <f>HYPERLINK("http://dx.doi.org/10.1108/MF-09-2018-0423","http://dx.doi.org/10.1108/MF-09-2018-0423")</f>
        <v>http://dx.doi.org/10.1108/MF-09-2018-0423</v>
      </c>
      <c r="BG2924" t="s">
        <v>74</v>
      </c>
      <c r="BH2924" t="s">
        <v>74</v>
      </c>
      <c r="BI2924">
        <v>17</v>
      </c>
      <c r="BJ2924" t="s">
        <v>268</v>
      </c>
      <c r="BK2924" t="s">
        <v>313</v>
      </c>
      <c r="BL2924" t="s">
        <v>100</v>
      </c>
      <c r="BM2924" t="s">
        <v>48458</v>
      </c>
      <c r="BN2924" t="s">
        <v>74</v>
      </c>
      <c r="BO2924" t="s">
        <v>74</v>
      </c>
      <c r="BP2924" t="s">
        <v>74</v>
      </c>
      <c r="BQ2924" t="s">
        <v>74</v>
      </c>
      <c r="BR2924" t="s">
        <v>102</v>
      </c>
      <c r="BS2924" t="s">
        <v>48459</v>
      </c>
      <c r="BT2924" t="str">
        <f>HYPERLINK("https%3A%2F%2Fwww.webofscience.com%2Fwos%2Fwoscc%2Ffull-record%2FWOS:000567557200008","View Full Record in Web of Science")</f>
        <v>View Full Record in Web of Science</v>
      </c>
    </row>
    <row r="2925" spans="1:72" x14ac:dyDescent="0.25">
      <c r="A2925" t="s">
        <v>72</v>
      </c>
      <c r="B2925" t="s">
        <v>48460</v>
      </c>
      <c r="C2925" t="s">
        <v>74</v>
      </c>
      <c r="D2925" t="s">
        <v>74</v>
      </c>
      <c r="E2925" t="s">
        <v>74</v>
      </c>
      <c r="F2925" t="s">
        <v>48461</v>
      </c>
      <c r="G2925" t="s">
        <v>74</v>
      </c>
      <c r="H2925" t="s">
        <v>74</v>
      </c>
      <c r="I2925" t="s">
        <v>48462</v>
      </c>
      <c r="J2925" t="s">
        <v>48463</v>
      </c>
      <c r="K2925" t="s">
        <v>74</v>
      </c>
      <c r="L2925" t="s">
        <v>74</v>
      </c>
      <c r="M2925" t="s">
        <v>78</v>
      </c>
      <c r="N2925" t="s">
        <v>79</v>
      </c>
      <c r="O2925" t="s">
        <v>74</v>
      </c>
      <c r="P2925" t="s">
        <v>74</v>
      </c>
      <c r="Q2925" t="s">
        <v>74</v>
      </c>
      <c r="R2925" t="s">
        <v>74</v>
      </c>
      <c r="S2925" t="s">
        <v>74</v>
      </c>
      <c r="T2925" t="s">
        <v>48464</v>
      </c>
      <c r="U2925" t="s">
        <v>48465</v>
      </c>
      <c r="V2925" t="s">
        <v>48466</v>
      </c>
      <c r="W2925" t="s">
        <v>48467</v>
      </c>
      <c r="X2925" t="s">
        <v>48468</v>
      </c>
      <c r="Y2925" t="s">
        <v>48469</v>
      </c>
      <c r="Z2925" t="s">
        <v>48470</v>
      </c>
      <c r="AA2925" t="s">
        <v>48471</v>
      </c>
      <c r="AB2925" t="s">
        <v>48472</v>
      </c>
      <c r="AC2925" t="s">
        <v>74</v>
      </c>
      <c r="AD2925" t="s">
        <v>74</v>
      </c>
      <c r="AE2925" t="s">
        <v>74</v>
      </c>
      <c r="AF2925" t="s">
        <v>74</v>
      </c>
      <c r="AG2925">
        <v>97</v>
      </c>
      <c r="AH2925">
        <v>2</v>
      </c>
      <c r="AI2925">
        <v>2</v>
      </c>
      <c r="AJ2925">
        <v>2</v>
      </c>
      <c r="AK2925">
        <v>2</v>
      </c>
      <c r="AL2925" t="s">
        <v>201</v>
      </c>
      <c r="AM2925" t="s">
        <v>202</v>
      </c>
      <c r="AN2925" t="s">
        <v>203</v>
      </c>
      <c r="AO2925" t="s">
        <v>74</v>
      </c>
      <c r="AP2925" t="s">
        <v>48473</v>
      </c>
      <c r="AQ2925" t="s">
        <v>74</v>
      </c>
      <c r="AR2925" t="s">
        <v>48474</v>
      </c>
      <c r="AS2925" t="s">
        <v>48475</v>
      </c>
      <c r="AT2925" t="s">
        <v>1652</v>
      </c>
      <c r="AU2925">
        <v>2025</v>
      </c>
      <c r="AV2925">
        <v>10</v>
      </c>
      <c r="AW2925" t="s">
        <v>74</v>
      </c>
      <c r="AX2925" t="s">
        <v>74</v>
      </c>
      <c r="AY2925" t="s">
        <v>74</v>
      </c>
      <c r="AZ2925" t="s">
        <v>74</v>
      </c>
      <c r="BA2925" t="s">
        <v>74</v>
      </c>
      <c r="BB2925" t="s">
        <v>74</v>
      </c>
      <c r="BC2925" t="s">
        <v>74</v>
      </c>
      <c r="BD2925">
        <v>100285</v>
      </c>
      <c r="BE2925" t="s">
        <v>48476</v>
      </c>
      <c r="BF2925" t="str">
        <f>HYPERLINK("http://dx.doi.org/10.1016/j.resglo.2025.100285","http://dx.doi.org/10.1016/j.resglo.2025.100285")</f>
        <v>http://dx.doi.org/10.1016/j.resglo.2025.100285</v>
      </c>
      <c r="BG2925" t="s">
        <v>74</v>
      </c>
      <c r="BH2925" t="s">
        <v>1485</v>
      </c>
      <c r="BI2925">
        <v>15</v>
      </c>
      <c r="BJ2925" t="s">
        <v>48477</v>
      </c>
      <c r="BK2925" t="s">
        <v>313</v>
      </c>
      <c r="BL2925" t="s">
        <v>48478</v>
      </c>
      <c r="BM2925" t="s">
        <v>48479</v>
      </c>
      <c r="BN2925" t="s">
        <v>74</v>
      </c>
      <c r="BO2925" t="s">
        <v>212</v>
      </c>
      <c r="BP2925" t="s">
        <v>74</v>
      </c>
      <c r="BQ2925" t="s">
        <v>74</v>
      </c>
      <c r="BR2925" t="s">
        <v>102</v>
      </c>
      <c r="BS2925" t="s">
        <v>48480</v>
      </c>
      <c r="BT2925" t="str">
        <f>HYPERLINK("https%3A%2F%2Fwww.webofscience.com%2Fwos%2Fwoscc%2Ffull-record%2FWOS:001489803700001","View Full Record in Web of Science")</f>
        <v>View Full Record in Web of Science</v>
      </c>
    </row>
    <row r="2926" spans="1:72" x14ac:dyDescent="0.25">
      <c r="A2926" t="s">
        <v>72</v>
      </c>
      <c r="B2926" t="s">
        <v>48481</v>
      </c>
      <c r="C2926" t="s">
        <v>74</v>
      </c>
      <c r="D2926" t="s">
        <v>74</v>
      </c>
      <c r="E2926" t="s">
        <v>74</v>
      </c>
      <c r="F2926" t="s">
        <v>48482</v>
      </c>
      <c r="G2926" t="s">
        <v>74</v>
      </c>
      <c r="H2926" t="s">
        <v>74</v>
      </c>
      <c r="I2926" t="s">
        <v>48483</v>
      </c>
      <c r="J2926" t="s">
        <v>48484</v>
      </c>
      <c r="K2926" t="s">
        <v>74</v>
      </c>
      <c r="L2926" t="s">
        <v>74</v>
      </c>
      <c r="M2926" t="s">
        <v>78</v>
      </c>
      <c r="N2926" t="s">
        <v>79</v>
      </c>
      <c r="O2926" t="s">
        <v>74</v>
      </c>
      <c r="P2926" t="s">
        <v>74</v>
      </c>
      <c r="Q2926" t="s">
        <v>74</v>
      </c>
      <c r="R2926" t="s">
        <v>74</v>
      </c>
      <c r="S2926" t="s">
        <v>74</v>
      </c>
      <c r="T2926" t="s">
        <v>48485</v>
      </c>
      <c r="U2926" t="s">
        <v>48486</v>
      </c>
      <c r="V2926" t="s">
        <v>48487</v>
      </c>
      <c r="W2926" t="s">
        <v>48488</v>
      </c>
      <c r="X2926" t="s">
        <v>42320</v>
      </c>
      <c r="Y2926" t="s">
        <v>48489</v>
      </c>
      <c r="Z2926" t="s">
        <v>48490</v>
      </c>
      <c r="AA2926" t="s">
        <v>48491</v>
      </c>
      <c r="AB2926" t="s">
        <v>48492</v>
      </c>
      <c r="AC2926" t="s">
        <v>74</v>
      </c>
      <c r="AD2926" t="s">
        <v>74</v>
      </c>
      <c r="AE2926" t="s">
        <v>74</v>
      </c>
      <c r="AF2926" t="s">
        <v>74</v>
      </c>
      <c r="AG2926">
        <v>65</v>
      </c>
      <c r="AH2926">
        <v>21</v>
      </c>
      <c r="AI2926">
        <v>27</v>
      </c>
      <c r="AJ2926">
        <v>0</v>
      </c>
      <c r="AK2926">
        <v>32</v>
      </c>
      <c r="AL2926" t="s">
        <v>48493</v>
      </c>
      <c r="AM2926" t="s">
        <v>48494</v>
      </c>
      <c r="AN2926" t="s">
        <v>48495</v>
      </c>
      <c r="AO2926" t="s">
        <v>48496</v>
      </c>
      <c r="AP2926" t="s">
        <v>48497</v>
      </c>
      <c r="AQ2926" t="s">
        <v>74</v>
      </c>
      <c r="AR2926" t="s">
        <v>48498</v>
      </c>
      <c r="AS2926" t="s">
        <v>48499</v>
      </c>
      <c r="AT2926" t="s">
        <v>74</v>
      </c>
      <c r="AU2926">
        <v>2012</v>
      </c>
      <c r="AV2926">
        <v>13</v>
      </c>
      <c r="AW2926">
        <v>1</v>
      </c>
      <c r="AX2926" t="s">
        <v>74</v>
      </c>
      <c r="AY2926" t="s">
        <v>74</v>
      </c>
      <c r="AZ2926" t="s">
        <v>74</v>
      </c>
      <c r="BA2926" t="s">
        <v>74</v>
      </c>
      <c r="BB2926">
        <v>70</v>
      </c>
      <c r="BC2926">
        <v>87</v>
      </c>
      <c r="BD2926" t="s">
        <v>74</v>
      </c>
      <c r="BE2926" t="s">
        <v>74</v>
      </c>
      <c r="BF2926" t="s">
        <v>74</v>
      </c>
      <c r="BG2926" t="s">
        <v>74</v>
      </c>
      <c r="BH2926" t="s">
        <v>74</v>
      </c>
      <c r="BI2926">
        <v>18</v>
      </c>
      <c r="BJ2926" t="s">
        <v>418</v>
      </c>
      <c r="BK2926" t="s">
        <v>99</v>
      </c>
      <c r="BL2926" t="s">
        <v>100</v>
      </c>
      <c r="BM2926" t="s">
        <v>48500</v>
      </c>
      <c r="BN2926" t="s">
        <v>74</v>
      </c>
      <c r="BO2926" t="s">
        <v>74</v>
      </c>
      <c r="BP2926" t="s">
        <v>74</v>
      </c>
      <c r="BQ2926" t="s">
        <v>74</v>
      </c>
      <c r="BR2926" t="s">
        <v>102</v>
      </c>
      <c r="BS2926" t="s">
        <v>48501</v>
      </c>
      <c r="BT2926" t="str">
        <f>HYPERLINK("https%3A%2F%2Fwww.webofscience.com%2Fwos%2Fwoscc%2Ffull-record%2FWOS:000305383600005","View Full Record in Web of Science")</f>
        <v>View Full Record in Web of Science</v>
      </c>
    </row>
    <row r="2927" spans="1:72" x14ac:dyDescent="0.25">
      <c r="A2927" t="s">
        <v>72</v>
      </c>
      <c r="B2927" t="s">
        <v>48502</v>
      </c>
      <c r="C2927" t="s">
        <v>74</v>
      </c>
      <c r="D2927" t="s">
        <v>74</v>
      </c>
      <c r="E2927" t="s">
        <v>74</v>
      </c>
      <c r="F2927" t="s">
        <v>48503</v>
      </c>
      <c r="G2927" t="s">
        <v>74</v>
      </c>
      <c r="H2927" t="s">
        <v>74</v>
      </c>
      <c r="I2927" t="s">
        <v>48504</v>
      </c>
      <c r="J2927" t="s">
        <v>7837</v>
      </c>
      <c r="K2927" t="s">
        <v>74</v>
      </c>
      <c r="L2927" t="s">
        <v>74</v>
      </c>
      <c r="M2927" t="s">
        <v>78</v>
      </c>
      <c r="N2927" t="s">
        <v>372</v>
      </c>
      <c r="O2927" t="s">
        <v>74</v>
      </c>
      <c r="P2927" t="s">
        <v>74</v>
      </c>
      <c r="Q2927" t="s">
        <v>74</v>
      </c>
      <c r="R2927" t="s">
        <v>74</v>
      </c>
      <c r="S2927" t="s">
        <v>74</v>
      </c>
      <c r="T2927" t="s">
        <v>48505</v>
      </c>
      <c r="U2927" t="s">
        <v>48506</v>
      </c>
      <c r="V2927" t="s">
        <v>48507</v>
      </c>
      <c r="W2927" t="s">
        <v>48508</v>
      </c>
      <c r="X2927" t="s">
        <v>48509</v>
      </c>
      <c r="Y2927" t="s">
        <v>48510</v>
      </c>
      <c r="Z2927" t="s">
        <v>48511</v>
      </c>
      <c r="AA2927" t="s">
        <v>48512</v>
      </c>
      <c r="AB2927" t="s">
        <v>48513</v>
      </c>
      <c r="AC2927" t="s">
        <v>74</v>
      </c>
      <c r="AD2927" t="s">
        <v>74</v>
      </c>
      <c r="AE2927" t="s">
        <v>74</v>
      </c>
      <c r="AF2927" t="s">
        <v>74</v>
      </c>
      <c r="AG2927">
        <v>59</v>
      </c>
      <c r="AH2927">
        <v>0</v>
      </c>
      <c r="AI2927">
        <v>0</v>
      </c>
      <c r="AJ2927">
        <v>5</v>
      </c>
      <c r="AK2927">
        <v>5</v>
      </c>
      <c r="AL2927" t="s">
        <v>89</v>
      </c>
      <c r="AM2927" t="s">
        <v>90</v>
      </c>
      <c r="AN2927" t="s">
        <v>91</v>
      </c>
      <c r="AO2927" t="s">
        <v>7847</v>
      </c>
      <c r="AP2927" t="s">
        <v>7848</v>
      </c>
      <c r="AQ2927" t="s">
        <v>74</v>
      </c>
      <c r="AR2927" t="s">
        <v>7849</v>
      </c>
      <c r="AS2927" t="s">
        <v>7850</v>
      </c>
      <c r="AT2927" t="s">
        <v>45534</v>
      </c>
      <c r="AU2927">
        <v>2025</v>
      </c>
      <c r="AV2927" t="s">
        <v>74</v>
      </c>
      <c r="AW2927" t="s">
        <v>74</v>
      </c>
      <c r="AX2927" t="s">
        <v>74</v>
      </c>
      <c r="AY2927" t="s">
        <v>74</v>
      </c>
      <c r="AZ2927" t="s">
        <v>74</v>
      </c>
      <c r="BA2927" t="s">
        <v>74</v>
      </c>
      <c r="BB2927" t="s">
        <v>74</v>
      </c>
      <c r="BC2927" t="s">
        <v>74</v>
      </c>
      <c r="BD2927" t="s">
        <v>74</v>
      </c>
      <c r="BE2927" t="s">
        <v>48514</v>
      </c>
      <c r="BF2927" t="str">
        <f>HYPERLINK("http://dx.doi.org/10.1108/IJOEM-04-2024-0687","http://dx.doi.org/10.1108/IJOEM-04-2024-0687")</f>
        <v>http://dx.doi.org/10.1108/IJOEM-04-2024-0687</v>
      </c>
      <c r="BG2927" t="s">
        <v>74</v>
      </c>
      <c r="BH2927" t="s">
        <v>3411</v>
      </c>
      <c r="BI2927">
        <v>24</v>
      </c>
      <c r="BJ2927" t="s">
        <v>6512</v>
      </c>
      <c r="BK2927" t="s">
        <v>99</v>
      </c>
      <c r="BL2927" t="s">
        <v>100</v>
      </c>
      <c r="BM2927" t="s">
        <v>48515</v>
      </c>
      <c r="BN2927" t="s">
        <v>74</v>
      </c>
      <c r="BO2927" t="s">
        <v>74</v>
      </c>
      <c r="BP2927" t="s">
        <v>74</v>
      </c>
      <c r="BQ2927" t="s">
        <v>74</v>
      </c>
      <c r="BR2927" t="s">
        <v>102</v>
      </c>
      <c r="BS2927" t="s">
        <v>48516</v>
      </c>
      <c r="BT2927" t="str">
        <f>HYPERLINK("https%3A%2F%2Fwww.webofscience.com%2Fwos%2Fwoscc%2Ffull-record%2FWOS:001577278800001","View Full Record in Web of Science")</f>
        <v>View Full Record in Web of Science</v>
      </c>
    </row>
    <row r="2928" spans="1:72" x14ac:dyDescent="0.25">
      <c r="A2928" t="s">
        <v>72</v>
      </c>
      <c r="B2928" t="s">
        <v>48517</v>
      </c>
      <c r="C2928" t="s">
        <v>74</v>
      </c>
      <c r="D2928" t="s">
        <v>74</v>
      </c>
      <c r="E2928" t="s">
        <v>74</v>
      </c>
      <c r="F2928" t="s">
        <v>48518</v>
      </c>
      <c r="G2928" t="s">
        <v>74</v>
      </c>
      <c r="H2928" t="s">
        <v>74</v>
      </c>
      <c r="I2928" t="s">
        <v>48519</v>
      </c>
      <c r="J2928" t="s">
        <v>25324</v>
      </c>
      <c r="K2928" t="s">
        <v>74</v>
      </c>
      <c r="L2928" t="s">
        <v>74</v>
      </c>
      <c r="M2928" t="s">
        <v>78</v>
      </c>
      <c r="N2928" t="s">
        <v>79</v>
      </c>
      <c r="O2928" t="s">
        <v>74</v>
      </c>
      <c r="P2928" t="s">
        <v>74</v>
      </c>
      <c r="Q2928" t="s">
        <v>74</v>
      </c>
      <c r="R2928" t="s">
        <v>74</v>
      </c>
      <c r="S2928" t="s">
        <v>74</v>
      </c>
      <c r="T2928" t="s">
        <v>48520</v>
      </c>
      <c r="U2928" t="s">
        <v>48521</v>
      </c>
      <c r="V2928" t="s">
        <v>48522</v>
      </c>
      <c r="W2928" t="s">
        <v>48523</v>
      </c>
      <c r="X2928" t="s">
        <v>48524</v>
      </c>
      <c r="Y2928" t="s">
        <v>48525</v>
      </c>
      <c r="Z2928" t="s">
        <v>48526</v>
      </c>
      <c r="AA2928" t="s">
        <v>74</v>
      </c>
      <c r="AB2928" t="s">
        <v>48527</v>
      </c>
      <c r="AC2928" t="s">
        <v>74</v>
      </c>
      <c r="AD2928" t="s">
        <v>74</v>
      </c>
      <c r="AE2928" t="s">
        <v>74</v>
      </c>
      <c r="AF2928" t="s">
        <v>74</v>
      </c>
      <c r="AG2928">
        <v>30</v>
      </c>
      <c r="AH2928">
        <v>7</v>
      </c>
      <c r="AI2928">
        <v>12</v>
      </c>
      <c r="AJ2928">
        <v>1</v>
      </c>
      <c r="AK2928">
        <v>11</v>
      </c>
      <c r="AL2928" t="s">
        <v>332</v>
      </c>
      <c r="AM2928" t="s">
        <v>333</v>
      </c>
      <c r="AN2928" t="s">
        <v>334</v>
      </c>
      <c r="AO2928" t="s">
        <v>25316</v>
      </c>
      <c r="AP2928" t="s">
        <v>25315</v>
      </c>
      <c r="AQ2928" t="s">
        <v>74</v>
      </c>
      <c r="AR2928" t="s">
        <v>25314</v>
      </c>
      <c r="AS2928" t="s">
        <v>25313</v>
      </c>
      <c r="AT2928" t="s">
        <v>5472</v>
      </c>
      <c r="AU2928">
        <v>2022</v>
      </c>
      <c r="AV2928">
        <v>28</v>
      </c>
      <c r="AW2928">
        <v>3</v>
      </c>
      <c r="AX2928" t="s">
        <v>74</v>
      </c>
      <c r="AY2928" t="s">
        <v>74</v>
      </c>
      <c r="AZ2928" t="s">
        <v>441</v>
      </c>
      <c r="BA2928" t="s">
        <v>74</v>
      </c>
      <c r="BB2928">
        <v>56</v>
      </c>
      <c r="BC2928">
        <v>83</v>
      </c>
      <c r="BD2928" t="s">
        <v>74</v>
      </c>
      <c r="BE2928" t="s">
        <v>48528</v>
      </c>
      <c r="BF2928" t="str">
        <f>HYPERLINK("http://dx.doi.org/10.1080/13545701.2022.2044497","http://dx.doi.org/10.1080/13545701.2022.2044497")</f>
        <v>http://dx.doi.org/10.1080/13545701.2022.2044497</v>
      </c>
      <c r="BG2928" t="s">
        <v>74</v>
      </c>
      <c r="BH2928" t="s">
        <v>12980</v>
      </c>
      <c r="BI2928">
        <v>28</v>
      </c>
      <c r="BJ2928" t="s">
        <v>25311</v>
      </c>
      <c r="BK2928" t="s">
        <v>99</v>
      </c>
      <c r="BL2928" t="s">
        <v>13814</v>
      </c>
      <c r="BM2928" t="s">
        <v>48529</v>
      </c>
      <c r="BN2928" t="s">
        <v>74</v>
      </c>
      <c r="BO2928" t="s">
        <v>1205</v>
      </c>
      <c r="BP2928" t="s">
        <v>74</v>
      </c>
      <c r="BQ2928" t="s">
        <v>74</v>
      </c>
      <c r="BR2928" t="s">
        <v>102</v>
      </c>
      <c r="BS2928" t="s">
        <v>48530</v>
      </c>
      <c r="BT2928" t="str">
        <f>HYPERLINK("https%3A%2F%2Fwww.webofscience.com%2Fwos%2Fwoscc%2Ffull-record%2FWOS:000777517600001","View Full Record in Web of Science")</f>
        <v>View Full Record in Web of Science</v>
      </c>
    </row>
    <row r="2929" spans="1:72" x14ac:dyDescent="0.25">
      <c r="A2929" t="s">
        <v>72</v>
      </c>
      <c r="B2929" t="s">
        <v>48531</v>
      </c>
      <c r="C2929" t="s">
        <v>74</v>
      </c>
      <c r="D2929" t="s">
        <v>74</v>
      </c>
      <c r="E2929" t="s">
        <v>74</v>
      </c>
      <c r="F2929" t="s">
        <v>48532</v>
      </c>
      <c r="G2929" t="s">
        <v>74</v>
      </c>
      <c r="H2929" t="s">
        <v>74</v>
      </c>
      <c r="I2929" t="s">
        <v>48533</v>
      </c>
      <c r="J2929" t="s">
        <v>3439</v>
      </c>
      <c r="K2929" t="s">
        <v>74</v>
      </c>
      <c r="L2929" t="s">
        <v>74</v>
      </c>
      <c r="M2929" t="s">
        <v>78</v>
      </c>
      <c r="N2929" t="s">
        <v>79</v>
      </c>
      <c r="O2929" t="s">
        <v>74</v>
      </c>
      <c r="P2929" t="s">
        <v>74</v>
      </c>
      <c r="Q2929" t="s">
        <v>74</v>
      </c>
      <c r="R2929" t="s">
        <v>74</v>
      </c>
      <c r="S2929" t="s">
        <v>74</v>
      </c>
      <c r="T2929" t="s">
        <v>48534</v>
      </c>
      <c r="U2929" t="s">
        <v>48535</v>
      </c>
      <c r="V2929" t="s">
        <v>48536</v>
      </c>
      <c r="W2929" t="s">
        <v>48537</v>
      </c>
      <c r="X2929" t="s">
        <v>48538</v>
      </c>
      <c r="Y2929" t="s">
        <v>48539</v>
      </c>
      <c r="Z2929" t="s">
        <v>48540</v>
      </c>
      <c r="AA2929" t="s">
        <v>48541</v>
      </c>
      <c r="AB2929" t="s">
        <v>48542</v>
      </c>
      <c r="AC2929" t="s">
        <v>74</v>
      </c>
      <c r="AD2929" t="s">
        <v>74</v>
      </c>
      <c r="AE2929" t="s">
        <v>74</v>
      </c>
      <c r="AF2929" t="s">
        <v>74</v>
      </c>
      <c r="AG2929">
        <v>44</v>
      </c>
      <c r="AH2929">
        <v>6</v>
      </c>
      <c r="AI2929">
        <v>8</v>
      </c>
      <c r="AJ2929">
        <v>0</v>
      </c>
      <c r="AK2929">
        <v>10</v>
      </c>
      <c r="AL2929" t="s">
        <v>2481</v>
      </c>
      <c r="AM2929" t="s">
        <v>2482</v>
      </c>
      <c r="AN2929" t="s">
        <v>2483</v>
      </c>
      <c r="AO2929" t="s">
        <v>3443</v>
      </c>
      <c r="AP2929" t="s">
        <v>74</v>
      </c>
      <c r="AQ2929" t="s">
        <v>74</v>
      </c>
      <c r="AR2929" t="s">
        <v>3444</v>
      </c>
      <c r="AS2929" t="s">
        <v>3445</v>
      </c>
      <c r="AT2929" t="s">
        <v>2970</v>
      </c>
      <c r="AU2929">
        <v>2023</v>
      </c>
      <c r="AV2929">
        <v>11</v>
      </c>
      <c r="AW2929">
        <v>1</v>
      </c>
      <c r="AX2929" t="s">
        <v>74</v>
      </c>
      <c r="AY2929" t="s">
        <v>74</v>
      </c>
      <c r="AZ2929" t="s">
        <v>74</v>
      </c>
      <c r="BA2929" t="s">
        <v>74</v>
      </c>
      <c r="BB2929" t="s">
        <v>74</v>
      </c>
      <c r="BC2929" t="s">
        <v>74</v>
      </c>
      <c r="BD2929">
        <v>2163873</v>
      </c>
      <c r="BE2929" t="s">
        <v>48543</v>
      </c>
      <c r="BF2929" t="str">
        <f>HYPERLINK("http://dx.doi.org/10.1080/23322039.2022.2163873","http://dx.doi.org/10.1080/23322039.2022.2163873")</f>
        <v>http://dx.doi.org/10.1080/23322039.2022.2163873</v>
      </c>
      <c r="BG2929" t="s">
        <v>74</v>
      </c>
      <c r="BH2929" t="s">
        <v>74</v>
      </c>
      <c r="BI2929">
        <v>13</v>
      </c>
      <c r="BJ2929" t="s">
        <v>291</v>
      </c>
      <c r="BK2929" t="s">
        <v>313</v>
      </c>
      <c r="BL2929" t="s">
        <v>100</v>
      </c>
      <c r="BM2929" t="s">
        <v>48544</v>
      </c>
      <c r="BN2929" t="s">
        <v>74</v>
      </c>
      <c r="BO2929" t="s">
        <v>916</v>
      </c>
      <c r="BP2929" t="s">
        <v>74</v>
      </c>
      <c r="BQ2929" t="s">
        <v>74</v>
      </c>
      <c r="BR2929" t="s">
        <v>102</v>
      </c>
      <c r="BS2929" t="s">
        <v>48545</v>
      </c>
      <c r="BT2929" t="str">
        <f>HYPERLINK("https%3A%2F%2Fwww.webofscience.com%2Fwos%2Fwoscc%2Ffull-record%2FWOS:000907840500001","View Full Record in Web of Science")</f>
        <v>View Full Record in Web of Science</v>
      </c>
    </row>
    <row r="2930" spans="1:72" x14ac:dyDescent="0.25">
      <c r="A2930" t="s">
        <v>72</v>
      </c>
      <c r="B2930" t="s">
        <v>48546</v>
      </c>
      <c r="C2930" t="s">
        <v>74</v>
      </c>
      <c r="D2930" t="s">
        <v>74</v>
      </c>
      <c r="E2930" t="s">
        <v>74</v>
      </c>
      <c r="F2930" t="s">
        <v>48547</v>
      </c>
      <c r="G2930" t="s">
        <v>74</v>
      </c>
      <c r="H2930" t="s">
        <v>74</v>
      </c>
      <c r="I2930" t="s">
        <v>48548</v>
      </c>
      <c r="J2930" t="s">
        <v>23346</v>
      </c>
      <c r="K2930" t="s">
        <v>74</v>
      </c>
      <c r="L2930" t="s">
        <v>74</v>
      </c>
      <c r="M2930" t="s">
        <v>78</v>
      </c>
      <c r="N2930" t="s">
        <v>79</v>
      </c>
      <c r="O2930" t="s">
        <v>74</v>
      </c>
      <c r="P2930" t="s">
        <v>74</v>
      </c>
      <c r="Q2930" t="s">
        <v>74</v>
      </c>
      <c r="R2930" t="s">
        <v>74</v>
      </c>
      <c r="S2930" t="s">
        <v>74</v>
      </c>
      <c r="T2930" t="s">
        <v>48549</v>
      </c>
      <c r="U2930" t="s">
        <v>48550</v>
      </c>
      <c r="V2930" t="s">
        <v>48551</v>
      </c>
      <c r="W2930" t="s">
        <v>48552</v>
      </c>
      <c r="X2930" t="s">
        <v>48553</v>
      </c>
      <c r="Y2930" t="s">
        <v>19402</v>
      </c>
      <c r="Z2930" t="s">
        <v>48554</v>
      </c>
      <c r="AA2930" t="s">
        <v>48555</v>
      </c>
      <c r="AB2930" t="s">
        <v>74</v>
      </c>
      <c r="AC2930" t="s">
        <v>74</v>
      </c>
      <c r="AD2930" t="s">
        <v>74</v>
      </c>
      <c r="AE2930" t="s">
        <v>74</v>
      </c>
      <c r="AF2930" t="s">
        <v>74</v>
      </c>
      <c r="AG2930">
        <v>75</v>
      </c>
      <c r="AH2930">
        <v>2</v>
      </c>
      <c r="AI2930">
        <v>2</v>
      </c>
      <c r="AJ2930">
        <v>0</v>
      </c>
      <c r="AK2930">
        <v>9</v>
      </c>
      <c r="AL2930" t="s">
        <v>89</v>
      </c>
      <c r="AM2930" t="s">
        <v>90</v>
      </c>
      <c r="AN2930" t="s">
        <v>13029</v>
      </c>
      <c r="AO2930" t="s">
        <v>23340</v>
      </c>
      <c r="AP2930" t="s">
        <v>23339</v>
      </c>
      <c r="AQ2930" t="s">
        <v>74</v>
      </c>
      <c r="AR2930" t="s">
        <v>23338</v>
      </c>
      <c r="AS2930" t="s">
        <v>23337</v>
      </c>
      <c r="AT2930" t="s">
        <v>23220</v>
      </c>
      <c r="AU2930">
        <v>2023</v>
      </c>
      <c r="AV2930">
        <v>19</v>
      </c>
      <c r="AW2930">
        <v>9</v>
      </c>
      <c r="AX2930" t="s">
        <v>74</v>
      </c>
      <c r="AY2930" t="s">
        <v>74</v>
      </c>
      <c r="AZ2930" t="s">
        <v>74</v>
      </c>
      <c r="BA2930" t="s">
        <v>74</v>
      </c>
      <c r="BB2930">
        <v>1765</v>
      </c>
      <c r="BC2930">
        <v>1786</v>
      </c>
      <c r="BD2930" t="s">
        <v>74</v>
      </c>
      <c r="BE2930" t="s">
        <v>48556</v>
      </c>
      <c r="BF2930" t="str">
        <f>HYPERLINK("http://dx.doi.org/10.1108/SRJ-09-2022-0363","http://dx.doi.org/10.1108/SRJ-09-2022-0363")</f>
        <v>http://dx.doi.org/10.1108/SRJ-09-2022-0363</v>
      </c>
      <c r="BG2930" t="s">
        <v>74</v>
      </c>
      <c r="BH2930" t="s">
        <v>6298</v>
      </c>
      <c r="BI2930">
        <v>22</v>
      </c>
      <c r="BJ2930" t="s">
        <v>583</v>
      </c>
      <c r="BK2930" t="s">
        <v>313</v>
      </c>
      <c r="BL2930" t="s">
        <v>100</v>
      </c>
      <c r="BM2930" t="s">
        <v>48557</v>
      </c>
      <c r="BN2930" t="s">
        <v>74</v>
      </c>
      <c r="BO2930" t="s">
        <v>74</v>
      </c>
      <c r="BP2930" t="s">
        <v>74</v>
      </c>
      <c r="BQ2930" t="s">
        <v>74</v>
      </c>
      <c r="BR2930" t="s">
        <v>102</v>
      </c>
      <c r="BS2930" t="s">
        <v>48558</v>
      </c>
      <c r="BT2930" t="str">
        <f>HYPERLINK("https%3A%2F%2Fwww.webofscience.com%2Fwos%2Fwoscc%2Ffull-record%2FWOS:000968562700001","View Full Record in Web of Science")</f>
        <v>View Full Record in Web of Science</v>
      </c>
    </row>
    <row r="2931" spans="1:72" x14ac:dyDescent="0.25">
      <c r="A2931" t="s">
        <v>72</v>
      </c>
      <c r="B2931" t="s">
        <v>48559</v>
      </c>
      <c r="C2931" t="s">
        <v>74</v>
      </c>
      <c r="D2931" t="s">
        <v>74</v>
      </c>
      <c r="E2931" t="s">
        <v>74</v>
      </c>
      <c r="F2931" t="s">
        <v>48560</v>
      </c>
      <c r="G2931" t="s">
        <v>74</v>
      </c>
      <c r="H2931" t="s">
        <v>74</v>
      </c>
      <c r="I2931" t="s">
        <v>48561</v>
      </c>
      <c r="J2931" t="s">
        <v>48562</v>
      </c>
      <c r="K2931" t="s">
        <v>74</v>
      </c>
      <c r="L2931" t="s">
        <v>74</v>
      </c>
      <c r="M2931" t="s">
        <v>78</v>
      </c>
      <c r="N2931" t="s">
        <v>79</v>
      </c>
      <c r="O2931" t="s">
        <v>74</v>
      </c>
      <c r="P2931" t="s">
        <v>74</v>
      </c>
      <c r="Q2931" t="s">
        <v>74</v>
      </c>
      <c r="R2931" t="s">
        <v>74</v>
      </c>
      <c r="S2931" t="s">
        <v>74</v>
      </c>
      <c r="T2931" t="s">
        <v>48563</v>
      </c>
      <c r="U2931" t="s">
        <v>48564</v>
      </c>
      <c r="V2931" t="s">
        <v>48565</v>
      </c>
      <c r="W2931" t="s">
        <v>48566</v>
      </c>
      <c r="X2931" t="s">
        <v>48567</v>
      </c>
      <c r="Y2931" t="s">
        <v>48568</v>
      </c>
      <c r="Z2931" t="s">
        <v>48569</v>
      </c>
      <c r="AA2931" t="s">
        <v>48570</v>
      </c>
      <c r="AB2931" t="s">
        <v>48571</v>
      </c>
      <c r="AC2931" t="s">
        <v>48572</v>
      </c>
      <c r="AD2931" t="s">
        <v>48573</v>
      </c>
      <c r="AE2931" t="s">
        <v>48574</v>
      </c>
      <c r="AF2931" t="s">
        <v>74</v>
      </c>
      <c r="AG2931">
        <v>79</v>
      </c>
      <c r="AH2931">
        <v>0</v>
      </c>
      <c r="AI2931">
        <v>0</v>
      </c>
      <c r="AJ2931">
        <v>1</v>
      </c>
      <c r="AK2931">
        <v>2</v>
      </c>
      <c r="AL2931" t="s">
        <v>48575</v>
      </c>
      <c r="AM2931" t="s">
        <v>4280</v>
      </c>
      <c r="AN2931" t="s">
        <v>48576</v>
      </c>
      <c r="AO2931" t="s">
        <v>48577</v>
      </c>
      <c r="AP2931" t="s">
        <v>74</v>
      </c>
      <c r="AQ2931" t="s">
        <v>74</v>
      </c>
      <c r="AR2931" t="s">
        <v>48578</v>
      </c>
      <c r="AS2931" t="s">
        <v>48579</v>
      </c>
      <c r="AT2931" t="s">
        <v>31940</v>
      </c>
      <c r="AU2931">
        <v>2025</v>
      </c>
      <c r="AV2931">
        <v>19</v>
      </c>
      <c r="AW2931">
        <v>1</v>
      </c>
      <c r="AX2931" t="s">
        <v>74</v>
      </c>
      <c r="AY2931" t="s">
        <v>74</v>
      </c>
      <c r="AZ2931" t="s">
        <v>74</v>
      </c>
      <c r="BA2931" t="s">
        <v>74</v>
      </c>
      <c r="BB2931" t="s">
        <v>74</v>
      </c>
      <c r="BC2931" t="s">
        <v>74</v>
      </c>
      <c r="BD2931">
        <v>20250137</v>
      </c>
      <c r="BE2931" t="s">
        <v>48580</v>
      </c>
      <c r="BF2931" t="str">
        <f>HYPERLINK("http://dx.doi.org/10.1515/econ-2025-0137","http://dx.doi.org/10.1515/econ-2025-0137")</f>
        <v>http://dx.doi.org/10.1515/econ-2025-0137</v>
      </c>
      <c r="BG2931" t="s">
        <v>74</v>
      </c>
      <c r="BH2931" t="s">
        <v>74</v>
      </c>
      <c r="BI2931">
        <v>16</v>
      </c>
      <c r="BJ2931" t="s">
        <v>291</v>
      </c>
      <c r="BK2931" t="s">
        <v>99</v>
      </c>
      <c r="BL2931" t="s">
        <v>100</v>
      </c>
      <c r="BM2931" t="s">
        <v>48581</v>
      </c>
      <c r="BN2931" t="s">
        <v>74</v>
      </c>
      <c r="BO2931" t="s">
        <v>916</v>
      </c>
      <c r="BP2931" t="s">
        <v>74</v>
      </c>
      <c r="BQ2931" t="s">
        <v>74</v>
      </c>
      <c r="BR2931" t="s">
        <v>102</v>
      </c>
      <c r="BS2931" t="s">
        <v>48582</v>
      </c>
      <c r="BT2931" t="str">
        <f>HYPERLINK("https%3A%2F%2Fwww.webofscience.com%2Fwos%2Fwoscc%2Ffull-record%2FWOS:001442911100001","View Full Record in Web of Science")</f>
        <v>View Full Record in Web of Science</v>
      </c>
    </row>
    <row r="2932" spans="1:72" x14ac:dyDescent="0.25">
      <c r="A2932" t="s">
        <v>72</v>
      </c>
      <c r="B2932" t="s">
        <v>48583</v>
      </c>
      <c r="C2932" t="s">
        <v>74</v>
      </c>
      <c r="D2932" t="s">
        <v>74</v>
      </c>
      <c r="E2932" t="s">
        <v>74</v>
      </c>
      <c r="F2932" t="s">
        <v>48584</v>
      </c>
      <c r="G2932" t="s">
        <v>74</v>
      </c>
      <c r="H2932" t="s">
        <v>74</v>
      </c>
      <c r="I2932" t="s">
        <v>48585</v>
      </c>
      <c r="J2932" t="s">
        <v>48463</v>
      </c>
      <c r="K2932" t="s">
        <v>74</v>
      </c>
      <c r="L2932" t="s">
        <v>74</v>
      </c>
      <c r="M2932" t="s">
        <v>78</v>
      </c>
      <c r="N2932" t="s">
        <v>79</v>
      </c>
      <c r="O2932" t="s">
        <v>74</v>
      </c>
      <c r="P2932" t="s">
        <v>74</v>
      </c>
      <c r="Q2932" t="s">
        <v>74</v>
      </c>
      <c r="R2932" t="s">
        <v>74</v>
      </c>
      <c r="S2932" t="s">
        <v>74</v>
      </c>
      <c r="T2932" t="s">
        <v>48586</v>
      </c>
      <c r="U2932" t="s">
        <v>48587</v>
      </c>
      <c r="V2932" t="s">
        <v>48588</v>
      </c>
      <c r="W2932" t="s">
        <v>48589</v>
      </c>
      <c r="X2932" t="s">
        <v>48590</v>
      </c>
      <c r="Y2932" t="s">
        <v>48591</v>
      </c>
      <c r="Z2932" t="s">
        <v>35578</v>
      </c>
      <c r="AA2932" t="s">
        <v>48592</v>
      </c>
      <c r="AB2932" t="s">
        <v>74</v>
      </c>
      <c r="AC2932" t="s">
        <v>74</v>
      </c>
      <c r="AD2932" t="s">
        <v>74</v>
      </c>
      <c r="AE2932" t="s">
        <v>74</v>
      </c>
      <c r="AF2932" t="s">
        <v>74</v>
      </c>
      <c r="AG2932">
        <v>270</v>
      </c>
      <c r="AH2932">
        <v>0</v>
      </c>
      <c r="AI2932">
        <v>0</v>
      </c>
      <c r="AJ2932">
        <v>1</v>
      </c>
      <c r="AK2932">
        <v>1</v>
      </c>
      <c r="AL2932" t="s">
        <v>201</v>
      </c>
      <c r="AM2932" t="s">
        <v>202</v>
      </c>
      <c r="AN2932" t="s">
        <v>203</v>
      </c>
      <c r="AO2932" t="s">
        <v>74</v>
      </c>
      <c r="AP2932" t="s">
        <v>48473</v>
      </c>
      <c r="AQ2932" t="s">
        <v>74</v>
      </c>
      <c r="AR2932" t="s">
        <v>48474</v>
      </c>
      <c r="AS2932" t="s">
        <v>48475</v>
      </c>
      <c r="AT2932" t="s">
        <v>124</v>
      </c>
      <c r="AU2932">
        <v>2025</v>
      </c>
      <c r="AV2932">
        <v>11</v>
      </c>
      <c r="AW2932" t="s">
        <v>74</v>
      </c>
      <c r="AX2932" t="s">
        <v>74</v>
      </c>
      <c r="AY2932" t="s">
        <v>74</v>
      </c>
      <c r="AZ2932" t="s">
        <v>74</v>
      </c>
      <c r="BA2932" t="s">
        <v>74</v>
      </c>
      <c r="BB2932" t="s">
        <v>74</v>
      </c>
      <c r="BC2932" t="s">
        <v>74</v>
      </c>
      <c r="BD2932">
        <v>100316</v>
      </c>
      <c r="BE2932" t="s">
        <v>48593</v>
      </c>
      <c r="BF2932" t="str">
        <f>HYPERLINK("http://dx.doi.org/10.1016/j.resglo.2025.100316","http://dx.doi.org/10.1016/j.resglo.2025.100316")</f>
        <v>http://dx.doi.org/10.1016/j.resglo.2025.100316</v>
      </c>
      <c r="BG2932" t="s">
        <v>74</v>
      </c>
      <c r="BH2932" t="s">
        <v>12078</v>
      </c>
      <c r="BI2932">
        <v>19</v>
      </c>
      <c r="BJ2932" t="s">
        <v>48477</v>
      </c>
      <c r="BK2932" t="s">
        <v>313</v>
      </c>
      <c r="BL2932" t="s">
        <v>48478</v>
      </c>
      <c r="BM2932" t="s">
        <v>48594</v>
      </c>
      <c r="BN2932" t="s">
        <v>74</v>
      </c>
      <c r="BO2932" t="s">
        <v>916</v>
      </c>
      <c r="BP2932" t="s">
        <v>74</v>
      </c>
      <c r="BQ2932" t="s">
        <v>74</v>
      </c>
      <c r="BR2932" t="s">
        <v>102</v>
      </c>
      <c r="BS2932" t="s">
        <v>48595</v>
      </c>
      <c r="BT2932" t="str">
        <f>HYPERLINK("https%3A%2F%2Fwww.webofscience.com%2Fwos%2Fwoscc%2Ffull-record%2FWOS:001590218400002","View Full Record in Web of Science")</f>
        <v>View Full Record in Web of Science</v>
      </c>
    </row>
    <row r="2933" spans="1:72" x14ac:dyDescent="0.25">
      <c r="A2933" t="s">
        <v>72</v>
      </c>
      <c r="B2933" t="s">
        <v>48596</v>
      </c>
      <c r="C2933" t="s">
        <v>74</v>
      </c>
      <c r="D2933" t="s">
        <v>74</v>
      </c>
      <c r="E2933" t="s">
        <v>74</v>
      </c>
      <c r="F2933" t="s">
        <v>48597</v>
      </c>
      <c r="G2933" t="s">
        <v>74</v>
      </c>
      <c r="H2933" t="s">
        <v>74</v>
      </c>
      <c r="I2933" t="s">
        <v>48598</v>
      </c>
      <c r="J2933" t="s">
        <v>48599</v>
      </c>
      <c r="K2933" t="s">
        <v>74</v>
      </c>
      <c r="L2933" t="s">
        <v>74</v>
      </c>
      <c r="M2933" t="s">
        <v>78</v>
      </c>
      <c r="N2933" t="s">
        <v>79</v>
      </c>
      <c r="O2933" t="s">
        <v>74</v>
      </c>
      <c r="P2933" t="s">
        <v>74</v>
      </c>
      <c r="Q2933" t="s">
        <v>74</v>
      </c>
      <c r="R2933" t="s">
        <v>74</v>
      </c>
      <c r="S2933" t="s">
        <v>74</v>
      </c>
      <c r="T2933" t="s">
        <v>48600</v>
      </c>
      <c r="U2933" t="s">
        <v>48601</v>
      </c>
      <c r="V2933" t="s">
        <v>48602</v>
      </c>
      <c r="W2933" t="s">
        <v>48603</v>
      </c>
      <c r="X2933" t="s">
        <v>48604</v>
      </c>
      <c r="Y2933" t="s">
        <v>48605</v>
      </c>
      <c r="Z2933" t="s">
        <v>48606</v>
      </c>
      <c r="AA2933" t="s">
        <v>48607</v>
      </c>
      <c r="AB2933" t="s">
        <v>48608</v>
      </c>
      <c r="AC2933" t="s">
        <v>74</v>
      </c>
      <c r="AD2933" t="s">
        <v>74</v>
      </c>
      <c r="AE2933" t="s">
        <v>74</v>
      </c>
      <c r="AF2933" t="s">
        <v>74</v>
      </c>
      <c r="AG2933">
        <v>75</v>
      </c>
      <c r="AH2933">
        <v>4</v>
      </c>
      <c r="AI2933">
        <v>8</v>
      </c>
      <c r="AJ2933">
        <v>2</v>
      </c>
      <c r="AK2933">
        <v>17</v>
      </c>
      <c r="AL2933" t="s">
        <v>89</v>
      </c>
      <c r="AM2933" t="s">
        <v>90</v>
      </c>
      <c r="AN2933" t="s">
        <v>91</v>
      </c>
      <c r="AO2933" t="s">
        <v>48609</v>
      </c>
      <c r="AP2933" t="s">
        <v>48610</v>
      </c>
      <c r="AQ2933" t="s">
        <v>74</v>
      </c>
      <c r="AR2933" t="s">
        <v>48611</v>
      </c>
      <c r="AS2933" t="s">
        <v>48612</v>
      </c>
      <c r="AT2933" t="s">
        <v>4856</v>
      </c>
      <c r="AU2933">
        <v>2023</v>
      </c>
      <c r="AV2933">
        <v>32</v>
      </c>
      <c r="AW2933">
        <v>5</v>
      </c>
      <c r="AX2933" t="s">
        <v>74</v>
      </c>
      <c r="AY2933" t="s">
        <v>74</v>
      </c>
      <c r="AZ2933" t="s">
        <v>74</v>
      </c>
      <c r="BA2933" t="s">
        <v>74</v>
      </c>
      <c r="BB2933">
        <v>525</v>
      </c>
      <c r="BC2933">
        <v>559</v>
      </c>
      <c r="BD2933" t="s">
        <v>74</v>
      </c>
      <c r="BE2933" t="s">
        <v>48613</v>
      </c>
      <c r="BF2933" t="str">
        <f>HYPERLINK("http://dx.doi.org/10.1108/EJMBE-10-2022-0332","http://dx.doi.org/10.1108/EJMBE-10-2022-0332")</f>
        <v>http://dx.doi.org/10.1108/EJMBE-10-2022-0332</v>
      </c>
      <c r="BG2933" t="s">
        <v>74</v>
      </c>
      <c r="BH2933" t="s">
        <v>13995</v>
      </c>
      <c r="BI2933">
        <v>35</v>
      </c>
      <c r="BJ2933" t="s">
        <v>6512</v>
      </c>
      <c r="BK2933" t="s">
        <v>313</v>
      </c>
      <c r="BL2933" t="s">
        <v>100</v>
      </c>
      <c r="BM2933" t="s">
        <v>48614</v>
      </c>
      <c r="BN2933" t="s">
        <v>74</v>
      </c>
      <c r="BO2933" t="s">
        <v>916</v>
      </c>
      <c r="BP2933" t="s">
        <v>74</v>
      </c>
      <c r="BQ2933" t="s">
        <v>74</v>
      </c>
      <c r="BR2933" t="s">
        <v>102</v>
      </c>
      <c r="BS2933" t="s">
        <v>48615</v>
      </c>
      <c r="BT2933" t="str">
        <f>HYPERLINK("https%3A%2F%2Fwww.webofscience.com%2Fwos%2Fwoscc%2Ffull-record%2FWOS:001102518500001","View Full Record in Web of Science")</f>
        <v>View Full Record in Web of Science</v>
      </c>
    </row>
    <row r="2934" spans="1:72" x14ac:dyDescent="0.25">
      <c r="A2934" t="s">
        <v>72</v>
      </c>
      <c r="B2934" t="s">
        <v>48616</v>
      </c>
      <c r="C2934" t="s">
        <v>74</v>
      </c>
      <c r="D2934" t="s">
        <v>74</v>
      </c>
      <c r="E2934" t="s">
        <v>74</v>
      </c>
      <c r="F2934" t="s">
        <v>48617</v>
      </c>
      <c r="G2934" t="s">
        <v>74</v>
      </c>
      <c r="H2934" t="s">
        <v>74</v>
      </c>
      <c r="I2934" t="s">
        <v>48618</v>
      </c>
      <c r="J2934" t="s">
        <v>1510</v>
      </c>
      <c r="K2934" t="s">
        <v>74</v>
      </c>
      <c r="L2934" t="s">
        <v>74</v>
      </c>
      <c r="M2934" t="s">
        <v>78</v>
      </c>
      <c r="N2934" t="s">
        <v>79</v>
      </c>
      <c r="O2934" t="s">
        <v>74</v>
      </c>
      <c r="P2934" t="s">
        <v>74</v>
      </c>
      <c r="Q2934" t="s">
        <v>74</v>
      </c>
      <c r="R2934" t="s">
        <v>74</v>
      </c>
      <c r="S2934" t="s">
        <v>74</v>
      </c>
      <c r="T2934" t="s">
        <v>48619</v>
      </c>
      <c r="U2934" t="s">
        <v>74</v>
      </c>
      <c r="V2934" t="s">
        <v>48620</v>
      </c>
      <c r="W2934" t="s">
        <v>48621</v>
      </c>
      <c r="X2934" t="s">
        <v>18893</v>
      </c>
      <c r="Y2934" t="s">
        <v>48622</v>
      </c>
      <c r="Z2934" t="s">
        <v>48623</v>
      </c>
      <c r="AA2934" t="s">
        <v>48624</v>
      </c>
      <c r="AB2934" t="s">
        <v>48625</v>
      </c>
      <c r="AC2934" t="s">
        <v>74</v>
      </c>
      <c r="AD2934" t="s">
        <v>74</v>
      </c>
      <c r="AE2934" t="s">
        <v>74</v>
      </c>
      <c r="AF2934" t="s">
        <v>74</v>
      </c>
      <c r="AG2934">
        <v>13</v>
      </c>
      <c r="AH2934">
        <v>8</v>
      </c>
      <c r="AI2934">
        <v>12</v>
      </c>
      <c r="AJ2934">
        <v>0</v>
      </c>
      <c r="AK2934">
        <v>21</v>
      </c>
      <c r="AL2934" t="s">
        <v>89</v>
      </c>
      <c r="AM2934" t="s">
        <v>1497</v>
      </c>
      <c r="AN2934" t="s">
        <v>1498</v>
      </c>
      <c r="AO2934" t="s">
        <v>1519</v>
      </c>
      <c r="AP2934" t="s">
        <v>1520</v>
      </c>
      <c r="AQ2934" t="s">
        <v>74</v>
      </c>
      <c r="AR2934" t="s">
        <v>1521</v>
      </c>
      <c r="AS2934" t="s">
        <v>1522</v>
      </c>
      <c r="AT2934" t="s">
        <v>74</v>
      </c>
      <c r="AU2934">
        <v>2017</v>
      </c>
      <c r="AV2934">
        <v>44</v>
      </c>
      <c r="AW2934">
        <v>12</v>
      </c>
      <c r="AX2934" t="s">
        <v>74</v>
      </c>
      <c r="AY2934" t="s">
        <v>74</v>
      </c>
      <c r="AZ2934" t="s">
        <v>74</v>
      </c>
      <c r="BA2934" t="s">
        <v>74</v>
      </c>
      <c r="BB2934">
        <v>2208</v>
      </c>
      <c r="BC2934">
        <v>2223</v>
      </c>
      <c r="BD2934" t="s">
        <v>74</v>
      </c>
      <c r="BE2934" t="s">
        <v>48626</v>
      </c>
      <c r="BF2934" t="str">
        <f>HYPERLINK("http://dx.doi.org/10.1108/IJSE-05-2016-0133","http://dx.doi.org/10.1108/IJSE-05-2016-0133")</f>
        <v>http://dx.doi.org/10.1108/IJSE-05-2016-0133</v>
      </c>
      <c r="BG2934" t="s">
        <v>74</v>
      </c>
      <c r="BH2934" t="s">
        <v>74</v>
      </c>
      <c r="BI2934">
        <v>16</v>
      </c>
      <c r="BJ2934" t="s">
        <v>291</v>
      </c>
      <c r="BK2934" t="s">
        <v>313</v>
      </c>
      <c r="BL2934" t="s">
        <v>100</v>
      </c>
      <c r="BM2934" t="s">
        <v>21323</v>
      </c>
      <c r="BN2934" t="s">
        <v>74</v>
      </c>
      <c r="BO2934" t="s">
        <v>74</v>
      </c>
      <c r="BP2934" t="s">
        <v>74</v>
      </c>
      <c r="BQ2934" t="s">
        <v>74</v>
      </c>
      <c r="BR2934" t="s">
        <v>102</v>
      </c>
      <c r="BS2934" t="s">
        <v>48627</v>
      </c>
      <c r="BT2934" t="str">
        <f>HYPERLINK("https%3A%2F%2Fwww.webofscience.com%2Fwos%2Fwoscc%2Ffull-record%2FWOS:000415099000042","View Full Record in Web of Science")</f>
        <v>View Full Record in Web of Science</v>
      </c>
    </row>
    <row r="2935" spans="1:72" x14ac:dyDescent="0.25">
      <c r="A2935" t="s">
        <v>8303</v>
      </c>
      <c r="B2935" t="s">
        <v>48628</v>
      </c>
      <c r="C2935" t="s">
        <v>74</v>
      </c>
      <c r="D2935" t="s">
        <v>48629</v>
      </c>
      <c r="E2935" t="s">
        <v>74</v>
      </c>
      <c r="F2935" t="s">
        <v>48630</v>
      </c>
      <c r="G2935" t="s">
        <v>74</v>
      </c>
      <c r="H2935" t="s">
        <v>74</v>
      </c>
      <c r="I2935" t="s">
        <v>48631</v>
      </c>
      <c r="J2935" t="s">
        <v>48632</v>
      </c>
      <c r="K2935" t="s">
        <v>74</v>
      </c>
      <c r="L2935" t="s">
        <v>74</v>
      </c>
      <c r="M2935" t="s">
        <v>78</v>
      </c>
      <c r="N2935" t="s">
        <v>6023</v>
      </c>
      <c r="O2935" t="s">
        <v>74</v>
      </c>
      <c r="P2935" t="s">
        <v>74</v>
      </c>
      <c r="Q2935" t="s">
        <v>74</v>
      </c>
      <c r="R2935" t="s">
        <v>74</v>
      </c>
      <c r="S2935" t="s">
        <v>74</v>
      </c>
      <c r="T2935" t="s">
        <v>74</v>
      </c>
      <c r="U2935" t="s">
        <v>74</v>
      </c>
      <c r="V2935" t="s">
        <v>48633</v>
      </c>
      <c r="W2935" t="s">
        <v>48634</v>
      </c>
      <c r="X2935" t="s">
        <v>74</v>
      </c>
      <c r="Y2935" t="s">
        <v>48635</v>
      </c>
      <c r="Z2935" t="s">
        <v>74</v>
      </c>
      <c r="AA2935" t="s">
        <v>48636</v>
      </c>
      <c r="AB2935" t="s">
        <v>74</v>
      </c>
      <c r="AC2935" t="s">
        <v>74</v>
      </c>
      <c r="AD2935" t="s">
        <v>74</v>
      </c>
      <c r="AE2935" t="s">
        <v>74</v>
      </c>
      <c r="AF2935" t="s">
        <v>74</v>
      </c>
      <c r="AG2935">
        <v>37</v>
      </c>
      <c r="AH2935">
        <v>0</v>
      </c>
      <c r="AI2935">
        <v>0</v>
      </c>
      <c r="AJ2935">
        <v>0</v>
      </c>
      <c r="AK2935">
        <v>6</v>
      </c>
      <c r="AL2935" t="s">
        <v>3807</v>
      </c>
      <c r="AM2935" t="s">
        <v>3098</v>
      </c>
      <c r="AN2935" t="s">
        <v>3808</v>
      </c>
      <c r="AO2935" t="s">
        <v>74</v>
      </c>
      <c r="AP2935" t="s">
        <v>74</v>
      </c>
      <c r="AQ2935" t="s">
        <v>48637</v>
      </c>
      <c r="AR2935" t="s">
        <v>74</v>
      </c>
      <c r="AS2935" t="s">
        <v>74</v>
      </c>
      <c r="AT2935" t="s">
        <v>74</v>
      </c>
      <c r="AU2935">
        <v>2011</v>
      </c>
      <c r="AV2935" t="s">
        <v>74</v>
      </c>
      <c r="AW2935" t="s">
        <v>74</v>
      </c>
      <c r="AX2935" t="s">
        <v>74</v>
      </c>
      <c r="AY2935" t="s">
        <v>74</v>
      </c>
      <c r="AZ2935" t="s">
        <v>74</v>
      </c>
      <c r="BA2935" t="s">
        <v>74</v>
      </c>
      <c r="BB2935">
        <v>7</v>
      </c>
      <c r="BC2935">
        <v>48</v>
      </c>
      <c r="BD2935" t="s">
        <v>74</v>
      </c>
      <c r="BE2935" t="s">
        <v>48638</v>
      </c>
      <c r="BF2935" t="str">
        <f>HYPERLINK("http://dx.doi.org/10.1007/978-3-540-77857-8_2","http://dx.doi.org/10.1007/978-3-540-77857-8_2")</f>
        <v>http://dx.doi.org/10.1007/978-3-540-77857-8_2</v>
      </c>
      <c r="BG2935" t="s">
        <v>48639</v>
      </c>
      <c r="BH2935" t="s">
        <v>74</v>
      </c>
      <c r="BI2935">
        <v>42</v>
      </c>
      <c r="BJ2935" t="s">
        <v>1405</v>
      </c>
      <c r="BK2935" t="s">
        <v>8314</v>
      </c>
      <c r="BL2935" t="s">
        <v>1406</v>
      </c>
      <c r="BM2935" t="s">
        <v>48640</v>
      </c>
      <c r="BN2935" t="s">
        <v>74</v>
      </c>
      <c r="BO2935" t="s">
        <v>74</v>
      </c>
      <c r="BP2935" t="s">
        <v>74</v>
      </c>
      <c r="BQ2935" t="s">
        <v>74</v>
      </c>
      <c r="BR2935" t="s">
        <v>102</v>
      </c>
      <c r="BS2935" t="s">
        <v>48641</v>
      </c>
      <c r="BT2935" t="str">
        <f>HYPERLINK("https%3A%2F%2Fwww.webofscience.com%2Fwos%2Fwoscc%2Ffull-record%2FWOS:000289826400002","View Full Record in Web of Science")</f>
        <v>View Full Record in Web of Science</v>
      </c>
    </row>
    <row r="2936" spans="1:72" x14ac:dyDescent="0.25">
      <c r="A2936" t="s">
        <v>72</v>
      </c>
      <c r="B2936" t="s">
        <v>12667</v>
      </c>
      <c r="C2936" t="s">
        <v>74</v>
      </c>
      <c r="D2936" t="s">
        <v>74</v>
      </c>
      <c r="E2936" t="s">
        <v>74</v>
      </c>
      <c r="F2936" t="s">
        <v>12668</v>
      </c>
      <c r="G2936" t="s">
        <v>74</v>
      </c>
      <c r="H2936" t="s">
        <v>74</v>
      </c>
      <c r="I2936" t="s">
        <v>48642</v>
      </c>
      <c r="J2936" t="s">
        <v>9896</v>
      </c>
      <c r="K2936" t="s">
        <v>74</v>
      </c>
      <c r="L2936" t="s">
        <v>74</v>
      </c>
      <c r="M2936" t="s">
        <v>78</v>
      </c>
      <c r="N2936" t="s">
        <v>79</v>
      </c>
      <c r="O2936" t="s">
        <v>74</v>
      </c>
      <c r="P2936" t="s">
        <v>74</v>
      </c>
      <c r="Q2936" t="s">
        <v>74</v>
      </c>
      <c r="R2936" t="s">
        <v>74</v>
      </c>
      <c r="S2936" t="s">
        <v>74</v>
      </c>
      <c r="T2936" t="s">
        <v>48643</v>
      </c>
      <c r="U2936" t="s">
        <v>48644</v>
      </c>
      <c r="V2936" t="s">
        <v>48645</v>
      </c>
      <c r="W2936" t="s">
        <v>48646</v>
      </c>
      <c r="X2936" t="s">
        <v>3960</v>
      </c>
      <c r="Y2936" t="s">
        <v>48647</v>
      </c>
      <c r="Z2936" t="s">
        <v>12677</v>
      </c>
      <c r="AA2936" t="s">
        <v>12678</v>
      </c>
      <c r="AB2936" t="s">
        <v>12679</v>
      </c>
      <c r="AC2936" t="s">
        <v>74</v>
      </c>
      <c r="AD2936" t="s">
        <v>74</v>
      </c>
      <c r="AE2936" t="s">
        <v>74</v>
      </c>
      <c r="AF2936" t="s">
        <v>74</v>
      </c>
      <c r="AG2936">
        <v>60</v>
      </c>
      <c r="AH2936">
        <v>3</v>
      </c>
      <c r="AI2936">
        <v>5</v>
      </c>
      <c r="AJ2936">
        <v>0</v>
      </c>
      <c r="AK2936">
        <v>12</v>
      </c>
      <c r="AL2936" t="s">
        <v>89</v>
      </c>
      <c r="AM2936" t="s">
        <v>1497</v>
      </c>
      <c r="AN2936" t="s">
        <v>1498</v>
      </c>
      <c r="AO2936" t="s">
        <v>9905</v>
      </c>
      <c r="AP2936" t="s">
        <v>9906</v>
      </c>
      <c r="AQ2936" t="s">
        <v>74</v>
      </c>
      <c r="AR2936" t="s">
        <v>9907</v>
      </c>
      <c r="AS2936" t="s">
        <v>9908</v>
      </c>
      <c r="AT2936" t="s">
        <v>5746</v>
      </c>
      <c r="AU2936">
        <v>2021</v>
      </c>
      <c r="AV2936">
        <v>81</v>
      </c>
      <c r="AW2936">
        <v>3</v>
      </c>
      <c r="AX2936" t="s">
        <v>74</v>
      </c>
      <c r="AY2936" t="s">
        <v>74</v>
      </c>
      <c r="AZ2936" t="s">
        <v>74</v>
      </c>
      <c r="BA2936" t="s">
        <v>74</v>
      </c>
      <c r="BB2936">
        <v>310</v>
      </c>
      <c r="BC2936">
        <v>327</v>
      </c>
      <c r="BD2936" t="s">
        <v>74</v>
      </c>
      <c r="BE2936" t="s">
        <v>48648</v>
      </c>
      <c r="BF2936" t="str">
        <f>HYPERLINK("http://dx.doi.org/10.1108/AFR-05-2020-0071","http://dx.doi.org/10.1108/AFR-05-2020-0071")</f>
        <v>http://dx.doi.org/10.1108/AFR-05-2020-0071</v>
      </c>
      <c r="BG2936" t="s">
        <v>74</v>
      </c>
      <c r="BH2936" t="s">
        <v>14147</v>
      </c>
      <c r="BI2936">
        <v>18</v>
      </c>
      <c r="BJ2936" t="s">
        <v>5151</v>
      </c>
      <c r="BK2936" t="s">
        <v>313</v>
      </c>
      <c r="BL2936" t="s">
        <v>5152</v>
      </c>
      <c r="BM2936" t="s">
        <v>48649</v>
      </c>
      <c r="BN2936" t="s">
        <v>74</v>
      </c>
      <c r="BO2936" t="s">
        <v>74</v>
      </c>
      <c r="BP2936" t="s">
        <v>74</v>
      </c>
      <c r="BQ2936" t="s">
        <v>74</v>
      </c>
      <c r="BR2936" t="s">
        <v>102</v>
      </c>
      <c r="BS2936" t="s">
        <v>48650</v>
      </c>
      <c r="BT2936" t="str">
        <f>HYPERLINK("https%3A%2F%2Fwww.webofscience.com%2Fwos%2Fwoscc%2Ffull-record%2FWOS:000592872700001","View Full Record in Web of Science")</f>
        <v>View Full Record in Web of Science</v>
      </c>
    </row>
    <row r="2937" spans="1:72" x14ac:dyDescent="0.25">
      <c r="A2937" t="s">
        <v>72</v>
      </c>
      <c r="B2937" t="s">
        <v>48651</v>
      </c>
      <c r="C2937" t="s">
        <v>74</v>
      </c>
      <c r="D2937" t="s">
        <v>74</v>
      </c>
      <c r="E2937" t="s">
        <v>74</v>
      </c>
      <c r="F2937" t="s">
        <v>48652</v>
      </c>
      <c r="G2937" t="s">
        <v>74</v>
      </c>
      <c r="H2937" t="s">
        <v>74</v>
      </c>
      <c r="I2937" t="s">
        <v>48653</v>
      </c>
      <c r="J2937" t="s">
        <v>44157</v>
      </c>
      <c r="K2937" t="s">
        <v>74</v>
      </c>
      <c r="L2937" t="s">
        <v>74</v>
      </c>
      <c r="M2937" t="s">
        <v>78</v>
      </c>
      <c r="N2937" t="s">
        <v>79</v>
      </c>
      <c r="O2937" t="s">
        <v>74</v>
      </c>
      <c r="P2937" t="s">
        <v>74</v>
      </c>
      <c r="Q2937" t="s">
        <v>74</v>
      </c>
      <c r="R2937" t="s">
        <v>74</v>
      </c>
      <c r="S2937" t="s">
        <v>74</v>
      </c>
      <c r="T2937" t="s">
        <v>48654</v>
      </c>
      <c r="U2937" t="s">
        <v>74</v>
      </c>
      <c r="V2937" t="s">
        <v>48655</v>
      </c>
      <c r="W2937" t="s">
        <v>48656</v>
      </c>
      <c r="X2937" t="s">
        <v>48657</v>
      </c>
      <c r="Y2937" t="s">
        <v>48658</v>
      </c>
      <c r="Z2937" t="s">
        <v>48659</v>
      </c>
      <c r="AA2937" t="s">
        <v>74</v>
      </c>
      <c r="AB2937" t="s">
        <v>48660</v>
      </c>
      <c r="AC2937" t="s">
        <v>74</v>
      </c>
      <c r="AD2937" t="s">
        <v>74</v>
      </c>
      <c r="AE2937" t="s">
        <v>74</v>
      </c>
      <c r="AF2937" t="s">
        <v>74</v>
      </c>
      <c r="AG2937">
        <v>35</v>
      </c>
      <c r="AH2937">
        <v>1</v>
      </c>
      <c r="AI2937">
        <v>1</v>
      </c>
      <c r="AJ2937">
        <v>0</v>
      </c>
      <c r="AK2937">
        <v>7</v>
      </c>
      <c r="AL2937" t="s">
        <v>332</v>
      </c>
      <c r="AM2937" t="s">
        <v>333</v>
      </c>
      <c r="AN2937" t="s">
        <v>334</v>
      </c>
      <c r="AO2937" t="s">
        <v>44163</v>
      </c>
      <c r="AP2937" t="s">
        <v>44164</v>
      </c>
      <c r="AQ2937" t="s">
        <v>74</v>
      </c>
      <c r="AR2937" t="s">
        <v>44165</v>
      </c>
      <c r="AS2937" t="s">
        <v>44166</v>
      </c>
      <c r="AT2937" t="s">
        <v>5028</v>
      </c>
      <c r="AU2937">
        <v>2021</v>
      </c>
      <c r="AV2937">
        <v>21</v>
      </c>
      <c r="AW2937">
        <v>4</v>
      </c>
      <c r="AX2937" t="s">
        <v>74</v>
      </c>
      <c r="AY2937" t="s">
        <v>74</v>
      </c>
      <c r="AZ2937" t="s">
        <v>441</v>
      </c>
      <c r="BA2937" t="s">
        <v>74</v>
      </c>
      <c r="BB2937">
        <v>592</v>
      </c>
      <c r="BC2937">
        <v>611</v>
      </c>
      <c r="BD2937" t="s">
        <v>74</v>
      </c>
      <c r="BE2937" t="s">
        <v>48661</v>
      </c>
      <c r="BF2937" t="str">
        <f>HYPERLINK("http://dx.doi.org/10.1080/19491247.2021.1906484","http://dx.doi.org/10.1080/19491247.2021.1906484")</f>
        <v>http://dx.doi.org/10.1080/19491247.2021.1906484</v>
      </c>
      <c r="BG2937" t="s">
        <v>74</v>
      </c>
      <c r="BH2937" t="s">
        <v>10160</v>
      </c>
      <c r="BI2937">
        <v>20</v>
      </c>
      <c r="BJ2937" t="s">
        <v>44168</v>
      </c>
      <c r="BK2937" t="s">
        <v>99</v>
      </c>
      <c r="BL2937" t="s">
        <v>44169</v>
      </c>
      <c r="BM2937" t="s">
        <v>44170</v>
      </c>
      <c r="BN2937" t="s">
        <v>74</v>
      </c>
      <c r="BO2937" t="s">
        <v>74</v>
      </c>
      <c r="BP2937" t="s">
        <v>74</v>
      </c>
      <c r="BQ2937" t="s">
        <v>74</v>
      </c>
      <c r="BR2937" t="s">
        <v>102</v>
      </c>
      <c r="BS2937" t="s">
        <v>48662</v>
      </c>
      <c r="BT2937" t="str">
        <f>HYPERLINK("https%3A%2F%2Fwww.webofscience.com%2Fwos%2Fwoscc%2Ffull-record%2FWOS:000647135100001","View Full Record in Web of Science")</f>
        <v>View Full Record in Web of Science</v>
      </c>
    </row>
    <row r="2938" spans="1:72" x14ac:dyDescent="0.25">
      <c r="A2938" t="s">
        <v>72</v>
      </c>
      <c r="B2938" t="s">
        <v>48663</v>
      </c>
      <c r="C2938" t="s">
        <v>74</v>
      </c>
      <c r="D2938" t="s">
        <v>74</v>
      </c>
      <c r="E2938" t="s">
        <v>74</v>
      </c>
      <c r="F2938" t="s">
        <v>48664</v>
      </c>
      <c r="G2938" t="s">
        <v>74</v>
      </c>
      <c r="H2938" t="s">
        <v>74</v>
      </c>
      <c r="I2938" t="s">
        <v>48665</v>
      </c>
      <c r="J2938" t="s">
        <v>20929</v>
      </c>
      <c r="K2938" t="s">
        <v>74</v>
      </c>
      <c r="L2938" t="s">
        <v>74</v>
      </c>
      <c r="M2938" t="s">
        <v>78</v>
      </c>
      <c r="N2938" t="s">
        <v>372</v>
      </c>
      <c r="O2938" t="s">
        <v>74</v>
      </c>
      <c r="P2938" t="s">
        <v>74</v>
      </c>
      <c r="Q2938" t="s">
        <v>74</v>
      </c>
      <c r="R2938" t="s">
        <v>74</v>
      </c>
      <c r="S2938" t="s">
        <v>74</v>
      </c>
      <c r="T2938" t="s">
        <v>48666</v>
      </c>
      <c r="U2938" t="s">
        <v>74</v>
      </c>
      <c r="V2938" t="s">
        <v>48667</v>
      </c>
      <c r="W2938" t="s">
        <v>48668</v>
      </c>
      <c r="X2938" t="s">
        <v>48669</v>
      </c>
      <c r="Y2938" t="s">
        <v>48670</v>
      </c>
      <c r="Z2938" t="s">
        <v>48671</v>
      </c>
      <c r="AA2938" t="s">
        <v>74</v>
      </c>
      <c r="AB2938" t="s">
        <v>74</v>
      </c>
      <c r="AC2938" t="s">
        <v>48672</v>
      </c>
      <c r="AD2938" t="s">
        <v>8707</v>
      </c>
      <c r="AE2938" t="s">
        <v>48673</v>
      </c>
      <c r="AF2938" t="s">
        <v>74</v>
      </c>
      <c r="AG2938">
        <v>37</v>
      </c>
      <c r="AH2938">
        <v>0</v>
      </c>
      <c r="AI2938">
        <v>0</v>
      </c>
      <c r="AJ2938">
        <v>24</v>
      </c>
      <c r="AK2938">
        <v>24</v>
      </c>
      <c r="AL2938" t="s">
        <v>89</v>
      </c>
      <c r="AM2938" t="s">
        <v>90</v>
      </c>
      <c r="AN2938" t="s">
        <v>91</v>
      </c>
      <c r="AO2938" t="s">
        <v>20922</v>
      </c>
      <c r="AP2938" t="s">
        <v>20921</v>
      </c>
      <c r="AQ2938" t="s">
        <v>74</v>
      </c>
      <c r="AR2938" t="s">
        <v>20920</v>
      </c>
      <c r="AS2938" t="s">
        <v>20919</v>
      </c>
      <c r="AT2938" t="s">
        <v>48674</v>
      </c>
      <c r="AU2938">
        <v>2025</v>
      </c>
      <c r="AV2938" t="s">
        <v>74</v>
      </c>
      <c r="AW2938" t="s">
        <v>74</v>
      </c>
      <c r="AX2938" t="s">
        <v>74</v>
      </c>
      <c r="AY2938" t="s">
        <v>74</v>
      </c>
      <c r="AZ2938" t="s">
        <v>74</v>
      </c>
      <c r="BA2938" t="s">
        <v>74</v>
      </c>
      <c r="BB2938" t="s">
        <v>74</v>
      </c>
      <c r="BC2938" t="s">
        <v>74</v>
      </c>
      <c r="BD2938" t="s">
        <v>74</v>
      </c>
      <c r="BE2938" t="s">
        <v>48675</v>
      </c>
      <c r="BF2938" t="str">
        <f>HYPERLINK("http://dx.doi.org/10.1108/CAER-11-2024-0411","http://dx.doi.org/10.1108/CAER-11-2024-0411")</f>
        <v>http://dx.doi.org/10.1108/CAER-11-2024-0411</v>
      </c>
      <c r="BG2938" t="s">
        <v>74</v>
      </c>
      <c r="BH2938" t="s">
        <v>5030</v>
      </c>
      <c r="BI2938">
        <v>20</v>
      </c>
      <c r="BJ2938" t="s">
        <v>18270</v>
      </c>
      <c r="BK2938" t="s">
        <v>2623</v>
      </c>
      <c r="BL2938" t="s">
        <v>18271</v>
      </c>
      <c r="BM2938" t="s">
        <v>48676</v>
      </c>
      <c r="BN2938" t="s">
        <v>74</v>
      </c>
      <c r="BO2938" t="s">
        <v>74</v>
      </c>
      <c r="BP2938" t="s">
        <v>74</v>
      </c>
      <c r="BQ2938" t="s">
        <v>74</v>
      </c>
      <c r="BR2938" t="s">
        <v>102</v>
      </c>
      <c r="BS2938" t="s">
        <v>48677</v>
      </c>
      <c r="BT2938" t="str">
        <f>HYPERLINK("https%3A%2F%2Fwww.webofscience.com%2Fwos%2Fwoscc%2Ffull-record%2FWOS:001569824400001","View Full Record in Web of Science")</f>
        <v>View Full Record in Web of Science</v>
      </c>
    </row>
    <row r="2939" spans="1:72" x14ac:dyDescent="0.25">
      <c r="A2939" t="s">
        <v>72</v>
      </c>
      <c r="B2939" t="s">
        <v>48678</v>
      </c>
      <c r="C2939" t="s">
        <v>74</v>
      </c>
      <c r="D2939" t="s">
        <v>74</v>
      </c>
      <c r="E2939" t="s">
        <v>74</v>
      </c>
      <c r="F2939" t="s">
        <v>48679</v>
      </c>
      <c r="G2939" t="s">
        <v>74</v>
      </c>
      <c r="H2939" t="s">
        <v>74</v>
      </c>
      <c r="I2939" t="s">
        <v>48680</v>
      </c>
      <c r="J2939" t="s">
        <v>4472</v>
      </c>
      <c r="K2939" t="s">
        <v>74</v>
      </c>
      <c r="L2939" t="s">
        <v>74</v>
      </c>
      <c r="M2939" t="s">
        <v>78</v>
      </c>
      <c r="N2939" t="s">
        <v>79</v>
      </c>
      <c r="O2939" t="s">
        <v>74</v>
      </c>
      <c r="P2939" t="s">
        <v>74</v>
      </c>
      <c r="Q2939" t="s">
        <v>74</v>
      </c>
      <c r="R2939" t="s">
        <v>74</v>
      </c>
      <c r="S2939" t="s">
        <v>74</v>
      </c>
      <c r="T2939" t="s">
        <v>48681</v>
      </c>
      <c r="U2939" t="s">
        <v>48682</v>
      </c>
      <c r="V2939" t="s">
        <v>48683</v>
      </c>
      <c r="W2939" t="s">
        <v>48684</v>
      </c>
      <c r="X2939" t="s">
        <v>24289</v>
      </c>
      <c r="Y2939" t="s">
        <v>48685</v>
      </c>
      <c r="Z2939" t="s">
        <v>48686</v>
      </c>
      <c r="AA2939" t="s">
        <v>48687</v>
      </c>
      <c r="AB2939" t="s">
        <v>48688</v>
      </c>
      <c r="AC2939" t="s">
        <v>48689</v>
      </c>
      <c r="AD2939" t="s">
        <v>48690</v>
      </c>
      <c r="AE2939" t="s">
        <v>48691</v>
      </c>
      <c r="AF2939" t="s">
        <v>74</v>
      </c>
      <c r="AG2939">
        <v>55</v>
      </c>
      <c r="AH2939">
        <v>85</v>
      </c>
      <c r="AI2939">
        <v>92</v>
      </c>
      <c r="AJ2939">
        <v>49</v>
      </c>
      <c r="AK2939">
        <v>503</v>
      </c>
      <c r="AL2939" t="s">
        <v>4485</v>
      </c>
      <c r="AM2939" t="s">
        <v>6724</v>
      </c>
      <c r="AN2939" t="s">
        <v>6725</v>
      </c>
      <c r="AO2939" t="s">
        <v>4487</v>
      </c>
      <c r="AP2939" t="s">
        <v>4488</v>
      </c>
      <c r="AQ2939" t="s">
        <v>74</v>
      </c>
      <c r="AR2939" t="s">
        <v>4489</v>
      </c>
      <c r="AS2939" t="s">
        <v>4490</v>
      </c>
      <c r="AT2939" t="s">
        <v>1540</v>
      </c>
      <c r="AU2939">
        <v>2023</v>
      </c>
      <c r="AV2939">
        <v>73</v>
      </c>
      <c r="AW2939" t="s">
        <v>74</v>
      </c>
      <c r="AX2939" t="s">
        <v>74</v>
      </c>
      <c r="AY2939" t="s">
        <v>74</v>
      </c>
      <c r="AZ2939" t="s">
        <v>74</v>
      </c>
      <c r="BA2939" t="s">
        <v>74</v>
      </c>
      <c r="BB2939" t="s">
        <v>74</v>
      </c>
      <c r="BC2939" t="s">
        <v>74</v>
      </c>
      <c r="BD2939">
        <v>102253</v>
      </c>
      <c r="BE2939" t="s">
        <v>48692</v>
      </c>
      <c r="BF2939" t="str">
        <f>HYPERLINK("http://dx.doi.org/10.1016/j.techsoc.2023.102253","http://dx.doi.org/10.1016/j.techsoc.2023.102253")</f>
        <v>http://dx.doi.org/10.1016/j.techsoc.2023.102253</v>
      </c>
      <c r="BG2939" t="s">
        <v>74</v>
      </c>
      <c r="BH2939" t="s">
        <v>6298</v>
      </c>
      <c r="BI2939">
        <v>9</v>
      </c>
      <c r="BJ2939" t="s">
        <v>4492</v>
      </c>
      <c r="BK2939" t="s">
        <v>99</v>
      </c>
      <c r="BL2939" t="s">
        <v>4494</v>
      </c>
      <c r="BM2939" t="s">
        <v>48693</v>
      </c>
      <c r="BN2939" t="s">
        <v>74</v>
      </c>
      <c r="BO2939" t="s">
        <v>74</v>
      </c>
      <c r="BP2939" t="s">
        <v>74</v>
      </c>
      <c r="BQ2939" t="s">
        <v>74</v>
      </c>
      <c r="BR2939" t="s">
        <v>102</v>
      </c>
      <c r="BS2939" t="s">
        <v>48694</v>
      </c>
      <c r="BT2939" t="str">
        <f>HYPERLINK("https%3A%2F%2Fwww.webofscience.com%2Fwos%2Fwoscc%2Ffull-record%2FWOS:000984658200001","View Full Record in Web of Science")</f>
        <v>View Full Record in Web of Science</v>
      </c>
    </row>
    <row r="2940" spans="1:72" x14ac:dyDescent="0.25">
      <c r="A2940" t="s">
        <v>132</v>
      </c>
      <c r="B2940" t="s">
        <v>48695</v>
      </c>
      <c r="C2940" t="s">
        <v>74</v>
      </c>
      <c r="D2940" t="s">
        <v>48696</v>
      </c>
      <c r="E2940" t="s">
        <v>74</v>
      </c>
      <c r="F2940" t="s">
        <v>48697</v>
      </c>
      <c r="G2940" t="s">
        <v>74</v>
      </c>
      <c r="H2940" t="s">
        <v>74</v>
      </c>
      <c r="I2940" t="s">
        <v>48698</v>
      </c>
      <c r="J2940" t="s">
        <v>48699</v>
      </c>
      <c r="K2940" t="s">
        <v>7155</v>
      </c>
      <c r="L2940" t="s">
        <v>74</v>
      </c>
      <c r="M2940" t="s">
        <v>78</v>
      </c>
      <c r="N2940" t="s">
        <v>138</v>
      </c>
      <c r="O2940" t="s">
        <v>48700</v>
      </c>
      <c r="P2940" t="s">
        <v>48701</v>
      </c>
      <c r="Q2940" t="s">
        <v>48702</v>
      </c>
      <c r="R2940" t="s">
        <v>74</v>
      </c>
      <c r="S2940" t="s">
        <v>48703</v>
      </c>
      <c r="T2940" t="s">
        <v>48704</v>
      </c>
      <c r="U2940" t="s">
        <v>74</v>
      </c>
      <c r="V2940" t="s">
        <v>48705</v>
      </c>
      <c r="W2940" t="s">
        <v>48706</v>
      </c>
      <c r="X2940" t="s">
        <v>74</v>
      </c>
      <c r="Y2940" t="s">
        <v>74</v>
      </c>
      <c r="Z2940" t="s">
        <v>48707</v>
      </c>
      <c r="AA2940" t="s">
        <v>48708</v>
      </c>
      <c r="AB2940" t="s">
        <v>74</v>
      </c>
      <c r="AC2940" t="s">
        <v>74</v>
      </c>
      <c r="AD2940" t="s">
        <v>74</v>
      </c>
      <c r="AE2940" t="s">
        <v>74</v>
      </c>
      <c r="AF2940" t="s">
        <v>74</v>
      </c>
      <c r="AG2940">
        <v>15</v>
      </c>
      <c r="AH2940">
        <v>0</v>
      </c>
      <c r="AI2940">
        <v>1</v>
      </c>
      <c r="AJ2940">
        <v>0</v>
      </c>
      <c r="AK2940">
        <v>1</v>
      </c>
      <c r="AL2940" t="s">
        <v>7166</v>
      </c>
      <c r="AM2940" t="s">
        <v>7167</v>
      </c>
      <c r="AN2940" t="s">
        <v>7168</v>
      </c>
      <c r="AO2940" t="s">
        <v>7169</v>
      </c>
      <c r="AP2940" t="s">
        <v>74</v>
      </c>
      <c r="AQ2940" t="s">
        <v>48709</v>
      </c>
      <c r="AR2940" t="s">
        <v>7171</v>
      </c>
      <c r="AS2940" t="s">
        <v>74</v>
      </c>
      <c r="AT2940" t="s">
        <v>74</v>
      </c>
      <c r="AU2940">
        <v>2016</v>
      </c>
      <c r="AV2940">
        <v>15</v>
      </c>
      <c r="AW2940" t="s">
        <v>74</v>
      </c>
      <c r="AX2940" t="s">
        <v>74</v>
      </c>
      <c r="AY2940" t="s">
        <v>74</v>
      </c>
      <c r="AZ2940" t="s">
        <v>74</v>
      </c>
      <c r="BA2940" t="s">
        <v>74</v>
      </c>
      <c r="BB2940">
        <v>687</v>
      </c>
      <c r="BC2940">
        <v>693</v>
      </c>
      <c r="BD2940" t="s">
        <v>74</v>
      </c>
      <c r="BE2940" t="s">
        <v>74</v>
      </c>
      <c r="BF2940" t="s">
        <v>74</v>
      </c>
      <c r="BG2940" t="s">
        <v>74</v>
      </c>
      <c r="BH2940" t="s">
        <v>74</v>
      </c>
      <c r="BI2940">
        <v>7</v>
      </c>
      <c r="BJ2940" t="s">
        <v>98</v>
      </c>
      <c r="BK2940" t="s">
        <v>183</v>
      </c>
      <c r="BL2940" t="s">
        <v>100</v>
      </c>
      <c r="BM2940" t="s">
        <v>48710</v>
      </c>
      <c r="BN2940" t="s">
        <v>74</v>
      </c>
      <c r="BO2940" t="s">
        <v>74</v>
      </c>
      <c r="BP2940" t="s">
        <v>74</v>
      </c>
      <c r="BQ2940" t="s">
        <v>74</v>
      </c>
      <c r="BR2940" t="s">
        <v>102</v>
      </c>
      <c r="BS2940" t="s">
        <v>48711</v>
      </c>
      <c r="BT2940" t="str">
        <f>HYPERLINK("https%3A%2F%2Fwww.webofscience.com%2Fwos%2Fwoscc%2Ffull-record%2FWOS:000392270600130","View Full Record in Web of Science")</f>
        <v>View Full Record in Web of Science</v>
      </c>
    </row>
    <row r="2941" spans="1:72" x14ac:dyDescent="0.25">
      <c r="A2941" t="s">
        <v>132</v>
      </c>
      <c r="B2941" t="s">
        <v>48712</v>
      </c>
      <c r="C2941" t="s">
        <v>74</v>
      </c>
      <c r="D2941" t="s">
        <v>48713</v>
      </c>
      <c r="E2941" t="s">
        <v>74</v>
      </c>
      <c r="F2941" t="s">
        <v>48714</v>
      </c>
      <c r="G2941" t="s">
        <v>74</v>
      </c>
      <c r="H2941" t="s">
        <v>74</v>
      </c>
      <c r="I2941" t="s">
        <v>48715</v>
      </c>
      <c r="J2941" t="s">
        <v>48716</v>
      </c>
      <c r="K2941" t="s">
        <v>74</v>
      </c>
      <c r="L2941" t="s">
        <v>74</v>
      </c>
      <c r="M2941" t="s">
        <v>78</v>
      </c>
      <c r="N2941" t="s">
        <v>138</v>
      </c>
      <c r="O2941" t="s">
        <v>48717</v>
      </c>
      <c r="P2941" t="s">
        <v>48718</v>
      </c>
      <c r="Q2941" t="s">
        <v>2389</v>
      </c>
      <c r="R2941" t="s">
        <v>74</v>
      </c>
      <c r="S2941" t="s">
        <v>74</v>
      </c>
      <c r="T2941" t="s">
        <v>48719</v>
      </c>
      <c r="U2941" t="s">
        <v>74</v>
      </c>
      <c r="V2941" t="s">
        <v>48720</v>
      </c>
      <c r="W2941" t="s">
        <v>48721</v>
      </c>
      <c r="X2941" t="s">
        <v>24129</v>
      </c>
      <c r="Y2941" t="s">
        <v>48722</v>
      </c>
      <c r="Z2941" t="s">
        <v>48723</v>
      </c>
      <c r="AA2941" t="s">
        <v>48724</v>
      </c>
      <c r="AB2941" t="s">
        <v>74</v>
      </c>
      <c r="AC2941" t="s">
        <v>74</v>
      </c>
      <c r="AD2941" t="s">
        <v>74</v>
      </c>
      <c r="AE2941" t="s">
        <v>74</v>
      </c>
      <c r="AF2941" t="s">
        <v>74</v>
      </c>
      <c r="AG2941">
        <v>28</v>
      </c>
      <c r="AH2941">
        <v>0</v>
      </c>
      <c r="AI2941">
        <v>0</v>
      </c>
      <c r="AJ2941">
        <v>0</v>
      </c>
      <c r="AK2941">
        <v>0</v>
      </c>
      <c r="AL2941" t="s">
        <v>48725</v>
      </c>
      <c r="AM2941" t="s">
        <v>3098</v>
      </c>
      <c r="AN2941" t="s">
        <v>48726</v>
      </c>
      <c r="AO2941" t="s">
        <v>74</v>
      </c>
      <c r="AP2941" t="s">
        <v>74</v>
      </c>
      <c r="AQ2941" t="s">
        <v>48727</v>
      </c>
      <c r="AR2941" t="s">
        <v>74</v>
      </c>
      <c r="AS2941" t="s">
        <v>74</v>
      </c>
      <c r="AT2941" t="s">
        <v>74</v>
      </c>
      <c r="AU2941">
        <v>2018</v>
      </c>
      <c r="AV2941" t="s">
        <v>74</v>
      </c>
      <c r="AW2941" t="s">
        <v>74</v>
      </c>
      <c r="AX2941" t="s">
        <v>74</v>
      </c>
      <c r="AY2941" t="s">
        <v>74</v>
      </c>
      <c r="AZ2941" t="s">
        <v>74</v>
      </c>
      <c r="BA2941" t="s">
        <v>74</v>
      </c>
      <c r="BB2941">
        <v>277</v>
      </c>
      <c r="BC2941">
        <v>288</v>
      </c>
      <c r="BD2941" t="s">
        <v>74</v>
      </c>
      <c r="BE2941" t="s">
        <v>74</v>
      </c>
      <c r="BF2941" t="s">
        <v>74</v>
      </c>
      <c r="BG2941" t="s">
        <v>74</v>
      </c>
      <c r="BH2941" t="s">
        <v>74</v>
      </c>
      <c r="BI2941">
        <v>12</v>
      </c>
      <c r="BJ2941" t="s">
        <v>48728</v>
      </c>
      <c r="BK2941" t="s">
        <v>1069</v>
      </c>
      <c r="BL2941" t="s">
        <v>48729</v>
      </c>
      <c r="BM2941" t="s">
        <v>48730</v>
      </c>
      <c r="BN2941" t="s">
        <v>74</v>
      </c>
      <c r="BO2941" t="s">
        <v>74</v>
      </c>
      <c r="BP2941" t="s">
        <v>74</v>
      </c>
      <c r="BQ2941" t="s">
        <v>74</v>
      </c>
      <c r="BR2941" t="s">
        <v>102</v>
      </c>
      <c r="BS2941" t="s">
        <v>48731</v>
      </c>
      <c r="BT2941" t="str">
        <f>HYPERLINK("https%3A%2F%2Fwww.webofscience.com%2Fwos%2Fwoscc%2Ffull-record%2FWOS:000766346000024","View Full Record in Web of Science")</f>
        <v>View Full Record in Web of Science</v>
      </c>
    </row>
    <row r="2942" spans="1:72" x14ac:dyDescent="0.25">
      <c r="A2942" t="s">
        <v>72</v>
      </c>
      <c r="B2942" t="s">
        <v>48732</v>
      </c>
      <c r="C2942" t="s">
        <v>74</v>
      </c>
      <c r="D2942" t="s">
        <v>74</v>
      </c>
      <c r="E2942" t="s">
        <v>74</v>
      </c>
      <c r="F2942" t="s">
        <v>48733</v>
      </c>
      <c r="G2942" t="s">
        <v>74</v>
      </c>
      <c r="H2942" t="s">
        <v>74</v>
      </c>
      <c r="I2942" t="s">
        <v>48734</v>
      </c>
      <c r="J2942" t="s">
        <v>3231</v>
      </c>
      <c r="K2942" t="s">
        <v>74</v>
      </c>
      <c r="L2942" t="s">
        <v>74</v>
      </c>
      <c r="M2942" t="s">
        <v>78</v>
      </c>
      <c r="N2942" t="s">
        <v>79</v>
      </c>
      <c r="O2942" t="s">
        <v>74</v>
      </c>
      <c r="P2942" t="s">
        <v>74</v>
      </c>
      <c r="Q2942" t="s">
        <v>74</v>
      </c>
      <c r="R2942" t="s">
        <v>74</v>
      </c>
      <c r="S2942" t="s">
        <v>74</v>
      </c>
      <c r="T2942" t="s">
        <v>48735</v>
      </c>
      <c r="U2942" t="s">
        <v>48736</v>
      </c>
      <c r="V2942" t="s">
        <v>48737</v>
      </c>
      <c r="W2942" t="s">
        <v>48738</v>
      </c>
      <c r="X2942" t="s">
        <v>48739</v>
      </c>
      <c r="Y2942" t="s">
        <v>48740</v>
      </c>
      <c r="Z2942" t="s">
        <v>48741</v>
      </c>
      <c r="AA2942" t="s">
        <v>74</v>
      </c>
      <c r="AB2942" t="s">
        <v>48742</v>
      </c>
      <c r="AC2942" t="s">
        <v>74</v>
      </c>
      <c r="AD2942" t="s">
        <v>74</v>
      </c>
      <c r="AE2942" t="s">
        <v>74</v>
      </c>
      <c r="AF2942" t="s">
        <v>74</v>
      </c>
      <c r="AG2942">
        <v>76</v>
      </c>
      <c r="AH2942">
        <v>14</v>
      </c>
      <c r="AI2942">
        <v>18</v>
      </c>
      <c r="AJ2942">
        <v>8</v>
      </c>
      <c r="AK2942">
        <v>56</v>
      </c>
      <c r="AL2942" t="s">
        <v>575</v>
      </c>
      <c r="AM2942" t="s">
        <v>576</v>
      </c>
      <c r="AN2942" t="s">
        <v>577</v>
      </c>
      <c r="AO2942" t="s">
        <v>74</v>
      </c>
      <c r="AP2942" t="s">
        <v>3243</v>
      </c>
      <c r="AQ2942" t="s">
        <v>74</v>
      </c>
      <c r="AR2942" t="s">
        <v>3244</v>
      </c>
      <c r="AS2942" t="s">
        <v>3245</v>
      </c>
      <c r="AT2942" t="s">
        <v>1652</v>
      </c>
      <c r="AU2942">
        <v>2022</v>
      </c>
      <c r="AV2942">
        <v>14</v>
      </c>
      <c r="AW2942">
        <v>12</v>
      </c>
      <c r="AX2942" t="s">
        <v>74</v>
      </c>
      <c r="AY2942" t="s">
        <v>74</v>
      </c>
      <c r="AZ2942" t="s">
        <v>74</v>
      </c>
      <c r="BA2942" t="s">
        <v>74</v>
      </c>
      <c r="BB2942" t="s">
        <v>74</v>
      </c>
      <c r="BC2942" t="s">
        <v>74</v>
      </c>
      <c r="BD2942">
        <v>7213</v>
      </c>
      <c r="BE2942" t="s">
        <v>48743</v>
      </c>
      <c r="BF2942" t="str">
        <f>HYPERLINK("http://dx.doi.org/10.3390/su14127213","http://dx.doi.org/10.3390/su14127213")</f>
        <v>http://dx.doi.org/10.3390/su14127213</v>
      </c>
      <c r="BG2942" t="s">
        <v>74</v>
      </c>
      <c r="BH2942" t="s">
        <v>74</v>
      </c>
      <c r="BI2942">
        <v>18</v>
      </c>
      <c r="BJ2942" t="s">
        <v>3247</v>
      </c>
      <c r="BK2942" t="s">
        <v>2623</v>
      </c>
      <c r="BL2942" t="s">
        <v>3248</v>
      </c>
      <c r="BM2942" t="s">
        <v>48744</v>
      </c>
      <c r="BN2942" t="s">
        <v>74</v>
      </c>
      <c r="BO2942" t="s">
        <v>916</v>
      </c>
      <c r="BP2942" t="s">
        <v>74</v>
      </c>
      <c r="BQ2942" t="s">
        <v>74</v>
      </c>
      <c r="BR2942" t="s">
        <v>102</v>
      </c>
      <c r="BS2942" t="s">
        <v>48745</v>
      </c>
      <c r="BT2942" t="str">
        <f>HYPERLINK("https%3A%2F%2Fwww.webofscience.com%2Fwos%2Fwoscc%2Ffull-record%2FWOS:000816756200001","View Full Record in Web of Science")</f>
        <v>View Full Record in Web of Science</v>
      </c>
    </row>
    <row r="2943" spans="1:72" x14ac:dyDescent="0.25">
      <c r="A2943" t="s">
        <v>72</v>
      </c>
      <c r="B2943" t="s">
        <v>48746</v>
      </c>
      <c r="C2943" t="s">
        <v>74</v>
      </c>
      <c r="D2943" t="s">
        <v>74</v>
      </c>
      <c r="E2943" t="s">
        <v>74</v>
      </c>
      <c r="F2943" t="s">
        <v>48747</v>
      </c>
      <c r="G2943" t="s">
        <v>74</v>
      </c>
      <c r="H2943" t="s">
        <v>74</v>
      </c>
      <c r="I2943" t="s">
        <v>48748</v>
      </c>
      <c r="J2943" t="s">
        <v>12549</v>
      </c>
      <c r="K2943" t="s">
        <v>74</v>
      </c>
      <c r="L2943" t="s">
        <v>74</v>
      </c>
      <c r="M2943" t="s">
        <v>78</v>
      </c>
      <c r="N2943" t="s">
        <v>79</v>
      </c>
      <c r="O2943" t="s">
        <v>74</v>
      </c>
      <c r="P2943" t="s">
        <v>74</v>
      </c>
      <c r="Q2943" t="s">
        <v>74</v>
      </c>
      <c r="R2943" t="s">
        <v>74</v>
      </c>
      <c r="S2943" t="s">
        <v>74</v>
      </c>
      <c r="T2943" t="s">
        <v>48749</v>
      </c>
      <c r="U2943" t="s">
        <v>48750</v>
      </c>
      <c r="V2943" t="s">
        <v>48751</v>
      </c>
      <c r="W2943" t="s">
        <v>48752</v>
      </c>
      <c r="X2943" t="s">
        <v>36593</v>
      </c>
      <c r="Y2943" t="s">
        <v>48753</v>
      </c>
      <c r="Z2943" t="s">
        <v>48754</v>
      </c>
      <c r="AA2943" t="s">
        <v>48755</v>
      </c>
      <c r="AB2943" t="s">
        <v>48756</v>
      </c>
      <c r="AC2943" t="s">
        <v>74</v>
      </c>
      <c r="AD2943" t="s">
        <v>74</v>
      </c>
      <c r="AE2943" t="s">
        <v>74</v>
      </c>
      <c r="AF2943" t="s">
        <v>74</v>
      </c>
      <c r="AG2943">
        <v>69</v>
      </c>
      <c r="AH2943">
        <v>7</v>
      </c>
      <c r="AI2943">
        <v>8</v>
      </c>
      <c r="AJ2943">
        <v>1</v>
      </c>
      <c r="AK2943">
        <v>20</v>
      </c>
      <c r="AL2943" t="s">
        <v>575</v>
      </c>
      <c r="AM2943" t="s">
        <v>576</v>
      </c>
      <c r="AN2943" t="s">
        <v>3242</v>
      </c>
      <c r="AO2943" t="s">
        <v>12562</v>
      </c>
      <c r="AP2943" t="s">
        <v>12563</v>
      </c>
      <c r="AQ2943" t="s">
        <v>74</v>
      </c>
      <c r="AR2943" t="s">
        <v>12564</v>
      </c>
      <c r="AS2943" t="s">
        <v>12565</v>
      </c>
      <c r="AT2943" t="s">
        <v>891</v>
      </c>
      <c r="AU2943">
        <v>2021</v>
      </c>
      <c r="AV2943">
        <v>14</v>
      </c>
      <c r="AW2943">
        <v>11</v>
      </c>
      <c r="AX2943" t="s">
        <v>74</v>
      </c>
      <c r="AY2943" t="s">
        <v>74</v>
      </c>
      <c r="AZ2943" t="s">
        <v>74</v>
      </c>
      <c r="BA2943" t="s">
        <v>74</v>
      </c>
      <c r="BB2943" t="s">
        <v>74</v>
      </c>
      <c r="BC2943" t="s">
        <v>74</v>
      </c>
      <c r="BD2943">
        <v>513</v>
      </c>
      <c r="BE2943" t="s">
        <v>48757</v>
      </c>
      <c r="BF2943" t="str">
        <f>HYPERLINK("http://dx.doi.org/10.3390/jrfm14110513","http://dx.doi.org/10.3390/jrfm14110513")</f>
        <v>http://dx.doi.org/10.3390/jrfm14110513</v>
      </c>
      <c r="BG2943" t="s">
        <v>74</v>
      </c>
      <c r="BH2943" t="s">
        <v>74</v>
      </c>
      <c r="BI2943">
        <v>14</v>
      </c>
      <c r="BJ2943" t="s">
        <v>268</v>
      </c>
      <c r="BK2943" t="s">
        <v>313</v>
      </c>
      <c r="BL2943" t="s">
        <v>100</v>
      </c>
      <c r="BM2943" t="s">
        <v>48758</v>
      </c>
      <c r="BN2943" t="s">
        <v>74</v>
      </c>
      <c r="BO2943" t="s">
        <v>466</v>
      </c>
      <c r="BP2943" t="s">
        <v>74</v>
      </c>
      <c r="BQ2943" t="s">
        <v>74</v>
      </c>
      <c r="BR2943" t="s">
        <v>102</v>
      </c>
      <c r="BS2943" t="s">
        <v>48759</v>
      </c>
      <c r="BT2943" t="str">
        <f>HYPERLINK("https%3A%2F%2Fwww.webofscience.com%2Fwos%2Fwoscc%2Ffull-record%2FWOS:000725818400001","View Full Record in Web of Science")</f>
        <v>View Full Record in Web of Science</v>
      </c>
    </row>
    <row r="2944" spans="1:72" x14ac:dyDescent="0.25">
      <c r="A2944" t="s">
        <v>132</v>
      </c>
      <c r="B2944" t="s">
        <v>48760</v>
      </c>
      <c r="C2944" t="s">
        <v>74</v>
      </c>
      <c r="D2944" t="s">
        <v>74</v>
      </c>
      <c r="E2944" t="s">
        <v>1551</v>
      </c>
      <c r="F2944" t="s">
        <v>48761</v>
      </c>
      <c r="G2944" t="s">
        <v>74</v>
      </c>
      <c r="H2944" t="s">
        <v>74</v>
      </c>
      <c r="I2944" t="s">
        <v>48762</v>
      </c>
      <c r="J2944" t="s">
        <v>48763</v>
      </c>
      <c r="K2944" t="s">
        <v>74</v>
      </c>
      <c r="L2944" t="s">
        <v>74</v>
      </c>
      <c r="M2944" t="s">
        <v>78</v>
      </c>
      <c r="N2944" t="s">
        <v>138</v>
      </c>
      <c r="O2944" t="s">
        <v>48764</v>
      </c>
      <c r="P2944" t="s">
        <v>48765</v>
      </c>
      <c r="Q2944" t="s">
        <v>48766</v>
      </c>
      <c r="R2944" t="s">
        <v>48767</v>
      </c>
      <c r="S2944" t="s">
        <v>74</v>
      </c>
      <c r="T2944" t="s">
        <v>48768</v>
      </c>
      <c r="U2944" t="s">
        <v>1946</v>
      </c>
      <c r="V2944" t="s">
        <v>48769</v>
      </c>
      <c r="W2944" t="s">
        <v>48770</v>
      </c>
      <c r="X2944" t="s">
        <v>19037</v>
      </c>
      <c r="Y2944" t="s">
        <v>48771</v>
      </c>
      <c r="Z2944" t="s">
        <v>74</v>
      </c>
      <c r="AA2944" t="s">
        <v>48772</v>
      </c>
      <c r="AB2944" t="s">
        <v>48773</v>
      </c>
      <c r="AC2944" t="s">
        <v>48774</v>
      </c>
      <c r="AD2944" t="s">
        <v>48774</v>
      </c>
      <c r="AE2944" t="s">
        <v>48775</v>
      </c>
      <c r="AF2944" t="s">
        <v>74</v>
      </c>
      <c r="AG2944">
        <v>37</v>
      </c>
      <c r="AH2944">
        <v>5</v>
      </c>
      <c r="AI2944">
        <v>10</v>
      </c>
      <c r="AJ2944">
        <v>0</v>
      </c>
      <c r="AK2944">
        <v>2</v>
      </c>
      <c r="AL2944" t="s">
        <v>150</v>
      </c>
      <c r="AM2944" t="s">
        <v>151</v>
      </c>
      <c r="AN2944" t="s">
        <v>152</v>
      </c>
      <c r="AO2944" t="s">
        <v>74</v>
      </c>
      <c r="AP2944" t="s">
        <v>74</v>
      </c>
      <c r="AQ2944" t="s">
        <v>48776</v>
      </c>
      <c r="AR2944" t="s">
        <v>74</v>
      </c>
      <c r="AS2944" t="s">
        <v>74</v>
      </c>
      <c r="AT2944" t="s">
        <v>74</v>
      </c>
      <c r="AU2944">
        <v>2019</v>
      </c>
      <c r="AV2944" t="s">
        <v>74</v>
      </c>
      <c r="AW2944" t="s">
        <v>74</v>
      </c>
      <c r="AX2944" t="s">
        <v>74</v>
      </c>
      <c r="AY2944" t="s">
        <v>74</v>
      </c>
      <c r="AZ2944" t="s">
        <v>74</v>
      </c>
      <c r="BA2944" t="s">
        <v>74</v>
      </c>
      <c r="BB2944">
        <v>195</v>
      </c>
      <c r="BC2944">
        <v>205</v>
      </c>
      <c r="BD2944" t="s">
        <v>74</v>
      </c>
      <c r="BE2944" t="s">
        <v>48777</v>
      </c>
      <c r="BF2944" t="str">
        <f>HYPERLINK("http://dx.doi.org/10.1145/3314344.3332500","http://dx.doi.org/10.1145/3314344.3332500")</f>
        <v>http://dx.doi.org/10.1145/3314344.3332500</v>
      </c>
      <c r="BG2944" t="s">
        <v>74</v>
      </c>
      <c r="BH2944" t="s">
        <v>74</v>
      </c>
      <c r="BI2944">
        <v>11</v>
      </c>
      <c r="BJ2944" t="s">
        <v>48778</v>
      </c>
      <c r="BK2944" t="s">
        <v>156</v>
      </c>
      <c r="BL2944" t="s">
        <v>26014</v>
      </c>
      <c r="BM2944" t="s">
        <v>48779</v>
      </c>
      <c r="BN2944" t="s">
        <v>74</v>
      </c>
      <c r="BO2944" t="s">
        <v>74</v>
      </c>
      <c r="BP2944" t="s">
        <v>74</v>
      </c>
      <c r="BQ2944" t="s">
        <v>74</v>
      </c>
      <c r="BR2944" t="s">
        <v>102</v>
      </c>
      <c r="BS2944" t="s">
        <v>48780</v>
      </c>
      <c r="BT2944" t="str">
        <f>HYPERLINK("https%3A%2F%2Fwww.webofscience.com%2Fwos%2Fwoscc%2Ffull-record%2FWOS:000503976700019","View Full Record in Web of Science")</f>
        <v>View Full Record in Web of Science</v>
      </c>
    </row>
    <row r="2945" spans="1:72" x14ac:dyDescent="0.25">
      <c r="A2945" t="s">
        <v>72</v>
      </c>
      <c r="B2945" t="s">
        <v>48781</v>
      </c>
      <c r="C2945" t="s">
        <v>74</v>
      </c>
      <c r="D2945" t="s">
        <v>74</v>
      </c>
      <c r="E2945" t="s">
        <v>74</v>
      </c>
      <c r="F2945" t="s">
        <v>48782</v>
      </c>
      <c r="G2945" t="s">
        <v>74</v>
      </c>
      <c r="H2945" t="s">
        <v>74</v>
      </c>
      <c r="I2945" t="s">
        <v>48783</v>
      </c>
      <c r="J2945" t="s">
        <v>2471</v>
      </c>
      <c r="K2945" t="s">
        <v>74</v>
      </c>
      <c r="L2945" t="s">
        <v>74</v>
      </c>
      <c r="M2945" t="s">
        <v>78</v>
      </c>
      <c r="N2945" t="s">
        <v>79</v>
      </c>
      <c r="O2945" t="s">
        <v>74</v>
      </c>
      <c r="P2945" t="s">
        <v>74</v>
      </c>
      <c r="Q2945" t="s">
        <v>74</v>
      </c>
      <c r="R2945" t="s">
        <v>74</v>
      </c>
      <c r="S2945" t="s">
        <v>74</v>
      </c>
      <c r="T2945" t="s">
        <v>48784</v>
      </c>
      <c r="U2945" t="s">
        <v>48785</v>
      </c>
      <c r="V2945" t="s">
        <v>48786</v>
      </c>
      <c r="W2945" t="s">
        <v>48787</v>
      </c>
      <c r="X2945" t="s">
        <v>1575</v>
      </c>
      <c r="Y2945" t="s">
        <v>48788</v>
      </c>
      <c r="Z2945" t="s">
        <v>48789</v>
      </c>
      <c r="AA2945" t="s">
        <v>48790</v>
      </c>
      <c r="AB2945" t="s">
        <v>48791</v>
      </c>
      <c r="AC2945" t="s">
        <v>74</v>
      </c>
      <c r="AD2945" t="s">
        <v>74</v>
      </c>
      <c r="AE2945" t="s">
        <v>74</v>
      </c>
      <c r="AF2945" t="s">
        <v>74</v>
      </c>
      <c r="AG2945">
        <v>32</v>
      </c>
      <c r="AH2945">
        <v>7</v>
      </c>
      <c r="AI2945">
        <v>11</v>
      </c>
      <c r="AJ2945">
        <v>1</v>
      </c>
      <c r="AK2945">
        <v>7</v>
      </c>
      <c r="AL2945" t="s">
        <v>2481</v>
      </c>
      <c r="AM2945" t="s">
        <v>2482</v>
      </c>
      <c r="AN2945" t="s">
        <v>2483</v>
      </c>
      <c r="AO2945" t="s">
        <v>2484</v>
      </c>
      <c r="AP2945" t="s">
        <v>74</v>
      </c>
      <c r="AQ2945" t="s">
        <v>74</v>
      </c>
      <c r="AR2945" t="s">
        <v>2485</v>
      </c>
      <c r="AS2945" t="s">
        <v>2486</v>
      </c>
      <c r="AT2945" t="s">
        <v>2487</v>
      </c>
      <c r="AU2945">
        <v>2020</v>
      </c>
      <c r="AV2945">
        <v>6</v>
      </c>
      <c r="AW2945">
        <v>1</v>
      </c>
      <c r="AX2945" t="s">
        <v>74</v>
      </c>
      <c r="AY2945" t="s">
        <v>74</v>
      </c>
      <c r="AZ2945" t="s">
        <v>74</v>
      </c>
      <c r="BA2945" t="s">
        <v>74</v>
      </c>
      <c r="BB2945" t="s">
        <v>74</v>
      </c>
      <c r="BC2945" t="s">
        <v>74</v>
      </c>
      <c r="BD2945">
        <v>1823600</v>
      </c>
      <c r="BE2945" t="s">
        <v>48792</v>
      </c>
      <c r="BF2945" t="str">
        <f>HYPERLINK("http://dx.doi.org/10.1080/23311886.2020.1823600","http://dx.doi.org/10.1080/23311886.2020.1823600")</f>
        <v>http://dx.doi.org/10.1080/23311886.2020.1823600</v>
      </c>
      <c r="BG2945" t="s">
        <v>74</v>
      </c>
      <c r="BH2945" t="s">
        <v>74</v>
      </c>
      <c r="BI2945">
        <v>13</v>
      </c>
      <c r="BJ2945" t="s">
        <v>364</v>
      </c>
      <c r="BK2945" t="s">
        <v>313</v>
      </c>
      <c r="BL2945" t="s">
        <v>365</v>
      </c>
      <c r="BM2945" t="s">
        <v>48793</v>
      </c>
      <c r="BN2945" t="s">
        <v>74</v>
      </c>
      <c r="BO2945" t="s">
        <v>916</v>
      </c>
      <c r="BP2945" t="s">
        <v>74</v>
      </c>
      <c r="BQ2945" t="s">
        <v>74</v>
      </c>
      <c r="BR2945" t="s">
        <v>102</v>
      </c>
      <c r="BS2945" t="s">
        <v>48794</v>
      </c>
      <c r="BT2945" t="str">
        <f>HYPERLINK("https%3A%2F%2Fwww.webofscience.com%2Fwos%2Fwoscc%2Ffull-record%2FWOS:000574044600001","View Full Record in Web of Science")</f>
        <v>View Full Record in Web of Science</v>
      </c>
    </row>
    <row r="2946" spans="1:72" x14ac:dyDescent="0.25">
      <c r="A2946" t="s">
        <v>72</v>
      </c>
      <c r="B2946" t="s">
        <v>48795</v>
      </c>
      <c r="C2946" t="s">
        <v>74</v>
      </c>
      <c r="D2946" t="s">
        <v>74</v>
      </c>
      <c r="E2946" t="s">
        <v>74</v>
      </c>
      <c r="F2946" t="s">
        <v>48796</v>
      </c>
      <c r="G2946" t="s">
        <v>74</v>
      </c>
      <c r="H2946" t="s">
        <v>74</v>
      </c>
      <c r="I2946" t="s">
        <v>48797</v>
      </c>
      <c r="J2946" t="s">
        <v>9372</v>
      </c>
      <c r="K2946" t="s">
        <v>74</v>
      </c>
      <c r="L2946" t="s">
        <v>74</v>
      </c>
      <c r="M2946" t="s">
        <v>78</v>
      </c>
      <c r="N2946" t="s">
        <v>79</v>
      </c>
      <c r="O2946" t="s">
        <v>74</v>
      </c>
      <c r="P2946" t="s">
        <v>74</v>
      </c>
      <c r="Q2946" t="s">
        <v>74</v>
      </c>
      <c r="R2946" t="s">
        <v>74</v>
      </c>
      <c r="S2946" t="s">
        <v>74</v>
      </c>
      <c r="T2946" t="s">
        <v>48798</v>
      </c>
      <c r="U2946" t="s">
        <v>48799</v>
      </c>
      <c r="V2946" t="s">
        <v>48800</v>
      </c>
      <c r="W2946" t="s">
        <v>48801</v>
      </c>
      <c r="X2946" t="s">
        <v>48802</v>
      </c>
      <c r="Y2946" t="s">
        <v>32203</v>
      </c>
      <c r="Z2946" t="s">
        <v>48803</v>
      </c>
      <c r="AA2946" t="s">
        <v>48804</v>
      </c>
      <c r="AB2946" t="s">
        <v>48805</v>
      </c>
      <c r="AC2946" t="s">
        <v>48806</v>
      </c>
      <c r="AD2946" t="s">
        <v>32199</v>
      </c>
      <c r="AE2946" t="s">
        <v>48807</v>
      </c>
      <c r="AF2946" t="s">
        <v>74</v>
      </c>
      <c r="AG2946">
        <v>46</v>
      </c>
      <c r="AH2946">
        <v>0</v>
      </c>
      <c r="AI2946">
        <v>0</v>
      </c>
      <c r="AJ2946">
        <v>6</v>
      </c>
      <c r="AK2946">
        <v>22</v>
      </c>
      <c r="AL2946" t="s">
        <v>201</v>
      </c>
      <c r="AM2946" t="s">
        <v>202</v>
      </c>
      <c r="AN2946" t="s">
        <v>203</v>
      </c>
      <c r="AO2946" t="s">
        <v>9384</v>
      </c>
      <c r="AP2946" t="s">
        <v>9385</v>
      </c>
      <c r="AQ2946" t="s">
        <v>74</v>
      </c>
      <c r="AR2946" t="s">
        <v>9386</v>
      </c>
      <c r="AS2946" t="s">
        <v>9387</v>
      </c>
      <c r="AT2946" t="s">
        <v>605</v>
      </c>
      <c r="AU2946">
        <v>2025</v>
      </c>
      <c r="AV2946">
        <v>75</v>
      </c>
      <c r="AW2946" t="s">
        <v>74</v>
      </c>
      <c r="AX2946" t="s">
        <v>74</v>
      </c>
      <c r="AY2946" t="s">
        <v>74</v>
      </c>
      <c r="AZ2946" t="s">
        <v>74</v>
      </c>
      <c r="BA2946" t="s">
        <v>74</v>
      </c>
      <c r="BB2946" t="s">
        <v>74</v>
      </c>
      <c r="BC2946" t="s">
        <v>74</v>
      </c>
      <c r="BD2946">
        <v>102738</v>
      </c>
      <c r="BE2946" t="s">
        <v>48808</v>
      </c>
      <c r="BF2946" t="str">
        <f>HYPERLINK("http://dx.doi.org/10.1016/j.ribaf.2024.102738","http://dx.doi.org/10.1016/j.ribaf.2024.102738")</f>
        <v>http://dx.doi.org/10.1016/j.ribaf.2024.102738</v>
      </c>
      <c r="BG2946" t="s">
        <v>74</v>
      </c>
      <c r="BH2946" t="s">
        <v>1737</v>
      </c>
      <c r="BI2946">
        <v>15</v>
      </c>
      <c r="BJ2946" t="s">
        <v>268</v>
      </c>
      <c r="BK2946" t="s">
        <v>99</v>
      </c>
      <c r="BL2946" t="s">
        <v>100</v>
      </c>
      <c r="BM2946" t="s">
        <v>48809</v>
      </c>
      <c r="BN2946" t="s">
        <v>74</v>
      </c>
      <c r="BO2946" t="s">
        <v>74</v>
      </c>
      <c r="BP2946" t="s">
        <v>74</v>
      </c>
      <c r="BQ2946" t="s">
        <v>74</v>
      </c>
      <c r="BR2946" t="s">
        <v>102</v>
      </c>
      <c r="BS2946" t="s">
        <v>48810</v>
      </c>
      <c r="BT2946" t="str">
        <f>HYPERLINK("https%3A%2F%2Fwww.webofscience.com%2Fwos%2Fwoscc%2Ffull-record%2FWOS:001412263700001","View Full Record in Web of Science")</f>
        <v>View Full Record in Web of Science</v>
      </c>
    </row>
    <row r="2947" spans="1:72" x14ac:dyDescent="0.25">
      <c r="A2947" t="s">
        <v>72</v>
      </c>
      <c r="B2947" t="s">
        <v>48811</v>
      </c>
      <c r="C2947" t="s">
        <v>74</v>
      </c>
      <c r="D2947" t="s">
        <v>74</v>
      </c>
      <c r="E2947" t="s">
        <v>74</v>
      </c>
      <c r="F2947" t="s">
        <v>48812</v>
      </c>
      <c r="G2947" t="s">
        <v>74</v>
      </c>
      <c r="H2947" t="s">
        <v>74</v>
      </c>
      <c r="I2947" t="s">
        <v>48813</v>
      </c>
      <c r="J2947" t="s">
        <v>14228</v>
      </c>
      <c r="K2947" t="s">
        <v>74</v>
      </c>
      <c r="L2947" t="s">
        <v>74</v>
      </c>
      <c r="M2947" t="s">
        <v>78</v>
      </c>
      <c r="N2947" t="s">
        <v>79</v>
      </c>
      <c r="O2947" t="s">
        <v>74</v>
      </c>
      <c r="P2947" t="s">
        <v>74</v>
      </c>
      <c r="Q2947" t="s">
        <v>74</v>
      </c>
      <c r="R2947" t="s">
        <v>74</v>
      </c>
      <c r="S2947" t="s">
        <v>74</v>
      </c>
      <c r="T2947" t="s">
        <v>48814</v>
      </c>
      <c r="U2947" t="s">
        <v>7528</v>
      </c>
      <c r="V2947" t="s">
        <v>48815</v>
      </c>
      <c r="W2947" t="s">
        <v>48816</v>
      </c>
      <c r="X2947" t="s">
        <v>6810</v>
      </c>
      <c r="Y2947" t="s">
        <v>48817</v>
      </c>
      <c r="Z2947" t="s">
        <v>6812</v>
      </c>
      <c r="AA2947" t="s">
        <v>74</v>
      </c>
      <c r="AB2947" t="s">
        <v>48818</v>
      </c>
      <c r="AC2947" t="s">
        <v>74</v>
      </c>
      <c r="AD2947" t="s">
        <v>74</v>
      </c>
      <c r="AE2947" t="s">
        <v>74</v>
      </c>
      <c r="AF2947" t="s">
        <v>74</v>
      </c>
      <c r="AG2947">
        <v>12</v>
      </c>
      <c r="AH2947">
        <v>1</v>
      </c>
      <c r="AI2947">
        <v>2</v>
      </c>
      <c r="AJ2947">
        <v>0</v>
      </c>
      <c r="AK2947">
        <v>7</v>
      </c>
      <c r="AL2947" t="s">
        <v>332</v>
      </c>
      <c r="AM2947" t="s">
        <v>333</v>
      </c>
      <c r="AN2947" t="s">
        <v>334</v>
      </c>
      <c r="AO2947" t="s">
        <v>14237</v>
      </c>
      <c r="AP2947" t="s">
        <v>14238</v>
      </c>
      <c r="AQ2947" t="s">
        <v>74</v>
      </c>
      <c r="AR2947" t="s">
        <v>14239</v>
      </c>
      <c r="AS2947" t="s">
        <v>14240</v>
      </c>
      <c r="AT2947" t="s">
        <v>42110</v>
      </c>
      <c r="AU2947">
        <v>2020</v>
      </c>
      <c r="AV2947">
        <v>27</v>
      </c>
      <c r="AW2947">
        <v>2</v>
      </c>
      <c r="AX2947" t="s">
        <v>74</v>
      </c>
      <c r="AY2947" t="s">
        <v>74</v>
      </c>
      <c r="AZ2947" t="s">
        <v>74</v>
      </c>
      <c r="BA2947" t="s">
        <v>74</v>
      </c>
      <c r="BB2947">
        <v>118</v>
      </c>
      <c r="BC2947">
        <v>121</v>
      </c>
      <c r="BD2947" t="s">
        <v>74</v>
      </c>
      <c r="BE2947" t="s">
        <v>48819</v>
      </c>
      <c r="BF2947" t="str">
        <f>HYPERLINK("http://dx.doi.org/10.1080/13504851.2019.1610696","http://dx.doi.org/10.1080/13504851.2019.1610696")</f>
        <v>http://dx.doi.org/10.1080/13504851.2019.1610696</v>
      </c>
      <c r="BG2947" t="s">
        <v>74</v>
      </c>
      <c r="BH2947" t="s">
        <v>12779</v>
      </c>
      <c r="BI2947">
        <v>4</v>
      </c>
      <c r="BJ2947" t="s">
        <v>291</v>
      </c>
      <c r="BK2947" t="s">
        <v>99</v>
      </c>
      <c r="BL2947" t="s">
        <v>100</v>
      </c>
      <c r="BM2947" t="s">
        <v>48820</v>
      </c>
      <c r="BN2947" t="s">
        <v>74</v>
      </c>
      <c r="BO2947" t="s">
        <v>74</v>
      </c>
      <c r="BP2947" t="s">
        <v>74</v>
      </c>
      <c r="BQ2947" t="s">
        <v>74</v>
      </c>
      <c r="BR2947" t="s">
        <v>102</v>
      </c>
      <c r="BS2947" t="s">
        <v>48821</v>
      </c>
      <c r="BT2947" t="str">
        <f>HYPERLINK("https%3A%2F%2Fwww.webofscience.com%2Fwos%2Fwoscc%2Ffull-record%2FWOS:000469711600001","View Full Record in Web of Science")</f>
        <v>View Full Record in Web of Science</v>
      </c>
    </row>
    <row r="2948" spans="1:72" x14ac:dyDescent="0.25">
      <c r="A2948" t="s">
        <v>72</v>
      </c>
      <c r="B2948" t="s">
        <v>48822</v>
      </c>
      <c r="C2948" t="s">
        <v>74</v>
      </c>
      <c r="D2948" t="s">
        <v>74</v>
      </c>
      <c r="E2948" t="s">
        <v>74</v>
      </c>
      <c r="F2948" t="s">
        <v>48823</v>
      </c>
      <c r="G2948" t="s">
        <v>74</v>
      </c>
      <c r="H2948" t="s">
        <v>74</v>
      </c>
      <c r="I2948" t="s">
        <v>48824</v>
      </c>
      <c r="J2948" t="s">
        <v>4842</v>
      </c>
      <c r="K2948" t="s">
        <v>74</v>
      </c>
      <c r="L2948" t="s">
        <v>74</v>
      </c>
      <c r="M2948" t="s">
        <v>78</v>
      </c>
      <c r="N2948" t="s">
        <v>79</v>
      </c>
      <c r="O2948" t="s">
        <v>74</v>
      </c>
      <c r="P2948" t="s">
        <v>74</v>
      </c>
      <c r="Q2948" t="s">
        <v>74</v>
      </c>
      <c r="R2948" t="s">
        <v>74</v>
      </c>
      <c r="S2948" t="s">
        <v>74</v>
      </c>
      <c r="T2948" t="s">
        <v>48825</v>
      </c>
      <c r="U2948" t="s">
        <v>48826</v>
      </c>
      <c r="V2948" t="s">
        <v>48827</v>
      </c>
      <c r="W2948" t="s">
        <v>48828</v>
      </c>
      <c r="X2948" t="s">
        <v>4731</v>
      </c>
      <c r="Y2948" t="s">
        <v>48829</v>
      </c>
      <c r="Z2948" t="s">
        <v>48830</v>
      </c>
      <c r="AA2948" t="s">
        <v>48831</v>
      </c>
      <c r="AB2948" t="s">
        <v>48832</v>
      </c>
      <c r="AC2948" t="s">
        <v>74</v>
      </c>
      <c r="AD2948" t="s">
        <v>74</v>
      </c>
      <c r="AE2948" t="s">
        <v>74</v>
      </c>
      <c r="AF2948" t="s">
        <v>74</v>
      </c>
      <c r="AG2948">
        <v>75</v>
      </c>
      <c r="AH2948">
        <v>1</v>
      </c>
      <c r="AI2948">
        <v>2</v>
      </c>
      <c r="AJ2948">
        <v>0</v>
      </c>
      <c r="AK2948">
        <v>4</v>
      </c>
      <c r="AL2948" t="s">
        <v>2481</v>
      </c>
      <c r="AM2948" t="s">
        <v>2482</v>
      </c>
      <c r="AN2948" t="s">
        <v>2483</v>
      </c>
      <c r="AO2948" t="s">
        <v>4853</v>
      </c>
      <c r="AP2948" t="s">
        <v>74</v>
      </c>
      <c r="AQ2948" t="s">
        <v>74</v>
      </c>
      <c r="AR2948" t="s">
        <v>4854</v>
      </c>
      <c r="AS2948" t="s">
        <v>4855</v>
      </c>
      <c r="AT2948" t="s">
        <v>2487</v>
      </c>
      <c r="AU2948">
        <v>2019</v>
      </c>
      <c r="AV2948">
        <v>6</v>
      </c>
      <c r="AW2948">
        <v>1</v>
      </c>
      <c r="AX2948" t="s">
        <v>74</v>
      </c>
      <c r="AY2948" t="s">
        <v>74</v>
      </c>
      <c r="AZ2948" t="s">
        <v>74</v>
      </c>
      <c r="BA2948" t="s">
        <v>74</v>
      </c>
      <c r="BB2948" t="s">
        <v>74</v>
      </c>
      <c r="BC2948" t="s">
        <v>74</v>
      </c>
      <c r="BD2948">
        <v>1699310</v>
      </c>
      <c r="BE2948" t="s">
        <v>48833</v>
      </c>
      <c r="BF2948" t="str">
        <f>HYPERLINK("http://dx.doi.org/10.1080/23311975.2019.1699310","http://dx.doi.org/10.1080/23311975.2019.1699310")</f>
        <v>http://dx.doi.org/10.1080/23311975.2019.1699310</v>
      </c>
      <c r="BG2948" t="s">
        <v>74</v>
      </c>
      <c r="BH2948" t="s">
        <v>74</v>
      </c>
      <c r="BI2948">
        <v>19</v>
      </c>
      <c r="BJ2948" t="s">
        <v>418</v>
      </c>
      <c r="BK2948" t="s">
        <v>313</v>
      </c>
      <c r="BL2948" t="s">
        <v>100</v>
      </c>
      <c r="BM2948" t="s">
        <v>48834</v>
      </c>
      <c r="BN2948" t="s">
        <v>74</v>
      </c>
      <c r="BO2948" t="s">
        <v>916</v>
      </c>
      <c r="BP2948" t="s">
        <v>74</v>
      </c>
      <c r="BQ2948" t="s">
        <v>74</v>
      </c>
      <c r="BR2948" t="s">
        <v>102</v>
      </c>
      <c r="BS2948" t="s">
        <v>48835</v>
      </c>
      <c r="BT2948" t="str">
        <f>HYPERLINK("https%3A%2F%2Fwww.webofscience.com%2Fwos%2Fwoscc%2Ffull-record%2FWOS:000507771200001","View Full Record in Web of Science")</f>
        <v>View Full Record in Web of Science</v>
      </c>
    </row>
    <row r="2949" spans="1:72" x14ac:dyDescent="0.25">
      <c r="A2949" t="s">
        <v>72</v>
      </c>
      <c r="B2949" t="s">
        <v>48836</v>
      </c>
      <c r="C2949" t="s">
        <v>74</v>
      </c>
      <c r="D2949" t="s">
        <v>74</v>
      </c>
      <c r="E2949" t="s">
        <v>74</v>
      </c>
      <c r="F2949" t="s">
        <v>48837</v>
      </c>
      <c r="G2949" t="s">
        <v>74</v>
      </c>
      <c r="H2949" t="s">
        <v>74</v>
      </c>
      <c r="I2949" t="s">
        <v>48838</v>
      </c>
      <c r="J2949" t="s">
        <v>2919</v>
      </c>
      <c r="K2949" t="s">
        <v>74</v>
      </c>
      <c r="L2949" t="s">
        <v>74</v>
      </c>
      <c r="M2949" t="s">
        <v>78</v>
      </c>
      <c r="N2949" t="s">
        <v>372</v>
      </c>
      <c r="O2949" t="s">
        <v>74</v>
      </c>
      <c r="P2949" t="s">
        <v>74</v>
      </c>
      <c r="Q2949" t="s">
        <v>74</v>
      </c>
      <c r="R2949" t="s">
        <v>74</v>
      </c>
      <c r="S2949" t="s">
        <v>74</v>
      </c>
      <c r="T2949" t="s">
        <v>48839</v>
      </c>
      <c r="U2949" t="s">
        <v>48840</v>
      </c>
      <c r="V2949" t="s">
        <v>48841</v>
      </c>
      <c r="W2949" t="s">
        <v>48842</v>
      </c>
      <c r="X2949" t="s">
        <v>3605</v>
      </c>
      <c r="Y2949" t="s">
        <v>48843</v>
      </c>
      <c r="Z2949" t="s">
        <v>48844</v>
      </c>
      <c r="AA2949" t="s">
        <v>74</v>
      </c>
      <c r="AB2949" t="s">
        <v>48845</v>
      </c>
      <c r="AC2949" t="s">
        <v>74</v>
      </c>
      <c r="AD2949" t="s">
        <v>74</v>
      </c>
      <c r="AE2949" t="s">
        <v>74</v>
      </c>
      <c r="AF2949" t="s">
        <v>74</v>
      </c>
      <c r="AG2949">
        <v>21</v>
      </c>
      <c r="AH2949">
        <v>0</v>
      </c>
      <c r="AI2949">
        <v>0</v>
      </c>
      <c r="AJ2949">
        <v>0</v>
      </c>
      <c r="AK2949">
        <v>1</v>
      </c>
      <c r="AL2949" t="s">
        <v>332</v>
      </c>
      <c r="AM2949" t="s">
        <v>333</v>
      </c>
      <c r="AN2949" t="s">
        <v>334</v>
      </c>
      <c r="AO2949" t="s">
        <v>2931</v>
      </c>
      <c r="AP2949" t="s">
        <v>2932</v>
      </c>
      <c r="AQ2949" t="s">
        <v>74</v>
      </c>
      <c r="AR2949" t="s">
        <v>2933</v>
      </c>
      <c r="AS2949" t="s">
        <v>2934</v>
      </c>
      <c r="AT2949" t="s">
        <v>48846</v>
      </c>
      <c r="AU2949">
        <v>2024</v>
      </c>
      <c r="AV2949" t="s">
        <v>74</v>
      </c>
      <c r="AW2949" t="s">
        <v>74</v>
      </c>
      <c r="AX2949" t="s">
        <v>74</v>
      </c>
      <c r="AY2949" t="s">
        <v>74</v>
      </c>
      <c r="AZ2949" t="s">
        <v>74</v>
      </c>
      <c r="BA2949" t="s">
        <v>74</v>
      </c>
      <c r="BB2949" t="s">
        <v>74</v>
      </c>
      <c r="BC2949" t="s">
        <v>74</v>
      </c>
      <c r="BD2949" t="s">
        <v>74</v>
      </c>
      <c r="BE2949" t="s">
        <v>48847</v>
      </c>
      <c r="BF2949" t="str">
        <f>HYPERLINK("http://dx.doi.org/10.1080/10875549.2024.2379775","http://dx.doi.org/10.1080/10875549.2024.2379775")</f>
        <v>http://dx.doi.org/10.1080/10875549.2024.2379775</v>
      </c>
      <c r="BG2949" t="s">
        <v>74</v>
      </c>
      <c r="BH2949" t="s">
        <v>393</v>
      </c>
      <c r="BI2949">
        <v>12</v>
      </c>
      <c r="BJ2949" t="s">
        <v>2045</v>
      </c>
      <c r="BK2949" t="s">
        <v>313</v>
      </c>
      <c r="BL2949" t="s">
        <v>2045</v>
      </c>
      <c r="BM2949" t="s">
        <v>48848</v>
      </c>
      <c r="BN2949" t="s">
        <v>74</v>
      </c>
      <c r="BO2949" t="s">
        <v>74</v>
      </c>
      <c r="BP2949" t="s">
        <v>74</v>
      </c>
      <c r="BQ2949" t="s">
        <v>74</v>
      </c>
      <c r="BR2949" t="s">
        <v>102</v>
      </c>
      <c r="BS2949" t="s">
        <v>48849</v>
      </c>
      <c r="BT2949" t="str">
        <f>HYPERLINK("https%3A%2F%2Fwww.webofscience.com%2Fwos%2Fwoscc%2Ffull-record%2FWOS:001294287300001","View Full Record in Web of Science")</f>
        <v>View Full Record in Web of Science</v>
      </c>
    </row>
    <row r="2950" spans="1:72" x14ac:dyDescent="0.25">
      <c r="A2950" t="s">
        <v>72</v>
      </c>
      <c r="B2950" t="s">
        <v>48850</v>
      </c>
      <c r="C2950" t="s">
        <v>74</v>
      </c>
      <c r="D2950" t="s">
        <v>74</v>
      </c>
      <c r="E2950" t="s">
        <v>74</v>
      </c>
      <c r="F2950" t="s">
        <v>48851</v>
      </c>
      <c r="G2950" t="s">
        <v>74</v>
      </c>
      <c r="H2950" t="s">
        <v>74</v>
      </c>
      <c r="I2950" t="s">
        <v>48852</v>
      </c>
      <c r="J2950" t="s">
        <v>34742</v>
      </c>
      <c r="K2950" t="s">
        <v>74</v>
      </c>
      <c r="L2950" t="s">
        <v>74</v>
      </c>
      <c r="M2950" t="s">
        <v>78</v>
      </c>
      <c r="N2950" t="s">
        <v>79</v>
      </c>
      <c r="O2950" t="s">
        <v>74</v>
      </c>
      <c r="P2950" t="s">
        <v>74</v>
      </c>
      <c r="Q2950" t="s">
        <v>74</v>
      </c>
      <c r="R2950" t="s">
        <v>74</v>
      </c>
      <c r="S2950" t="s">
        <v>74</v>
      </c>
      <c r="T2950" t="s">
        <v>48853</v>
      </c>
      <c r="U2950" t="s">
        <v>74</v>
      </c>
      <c r="V2950" t="s">
        <v>48854</v>
      </c>
      <c r="W2950" t="s">
        <v>48855</v>
      </c>
      <c r="X2950" t="s">
        <v>20438</v>
      </c>
      <c r="Y2950" t="s">
        <v>48856</v>
      </c>
      <c r="Z2950" t="s">
        <v>74</v>
      </c>
      <c r="AA2950" t="s">
        <v>74</v>
      </c>
      <c r="AB2950" t="s">
        <v>21294</v>
      </c>
      <c r="AC2950" t="s">
        <v>74</v>
      </c>
      <c r="AD2950" t="s">
        <v>74</v>
      </c>
      <c r="AE2950" t="s">
        <v>74</v>
      </c>
      <c r="AF2950" t="s">
        <v>74</v>
      </c>
      <c r="AG2950">
        <v>41</v>
      </c>
      <c r="AH2950">
        <v>17</v>
      </c>
      <c r="AI2950">
        <v>22</v>
      </c>
      <c r="AJ2950">
        <v>0</v>
      </c>
      <c r="AK2950">
        <v>8</v>
      </c>
      <c r="AL2950" t="s">
        <v>479</v>
      </c>
      <c r="AM2950" t="s">
        <v>480</v>
      </c>
      <c r="AN2950" t="s">
        <v>481</v>
      </c>
      <c r="AO2950" t="s">
        <v>34749</v>
      </c>
      <c r="AP2950" t="s">
        <v>74</v>
      </c>
      <c r="AQ2950" t="s">
        <v>74</v>
      </c>
      <c r="AR2950" t="s">
        <v>34750</v>
      </c>
      <c r="AS2950" t="s">
        <v>34751</v>
      </c>
      <c r="AT2950" t="s">
        <v>605</v>
      </c>
      <c r="AU2950">
        <v>2016</v>
      </c>
      <c r="AV2950">
        <v>8</v>
      </c>
      <c r="AW2950">
        <v>1</v>
      </c>
      <c r="AX2950" t="s">
        <v>74</v>
      </c>
      <c r="AY2950" t="s">
        <v>74</v>
      </c>
      <c r="AZ2950" t="s">
        <v>74</v>
      </c>
      <c r="BA2950" t="s">
        <v>74</v>
      </c>
      <c r="BB2950">
        <v>56</v>
      </c>
      <c r="BC2950">
        <v>71</v>
      </c>
      <c r="BD2950" t="s">
        <v>74</v>
      </c>
      <c r="BE2950" t="s">
        <v>48857</v>
      </c>
      <c r="BF2950" t="str">
        <f>HYPERLINK("http://dx.doi.org/10.1002/pop4.130","http://dx.doi.org/10.1002/pop4.130")</f>
        <v>http://dx.doi.org/10.1002/pop4.130</v>
      </c>
      <c r="BG2950" t="s">
        <v>74</v>
      </c>
      <c r="BH2950" t="s">
        <v>74</v>
      </c>
      <c r="BI2950">
        <v>16</v>
      </c>
      <c r="BJ2950" t="s">
        <v>2045</v>
      </c>
      <c r="BK2950" t="s">
        <v>313</v>
      </c>
      <c r="BL2950" t="s">
        <v>2045</v>
      </c>
      <c r="BM2950" t="s">
        <v>48858</v>
      </c>
      <c r="BN2950" t="s">
        <v>74</v>
      </c>
      <c r="BO2950" t="s">
        <v>74</v>
      </c>
      <c r="BP2950" t="s">
        <v>74</v>
      </c>
      <c r="BQ2950" t="s">
        <v>74</v>
      </c>
      <c r="BR2950" t="s">
        <v>102</v>
      </c>
      <c r="BS2950" t="s">
        <v>48859</v>
      </c>
      <c r="BT2950" t="str">
        <f>HYPERLINK("https%3A%2F%2Fwww.webofscience.com%2Fwos%2Fwoscc%2Ffull-record%2FWOS:000372412700005","View Full Record in Web of Science")</f>
        <v>View Full Record in Web of Science</v>
      </c>
    </row>
    <row r="2951" spans="1:72" x14ac:dyDescent="0.25">
      <c r="A2951" t="s">
        <v>72</v>
      </c>
      <c r="B2951" t="s">
        <v>48860</v>
      </c>
      <c r="C2951" t="s">
        <v>74</v>
      </c>
      <c r="D2951" t="s">
        <v>74</v>
      </c>
      <c r="E2951" t="s">
        <v>74</v>
      </c>
      <c r="F2951" t="s">
        <v>48861</v>
      </c>
      <c r="G2951" t="s">
        <v>74</v>
      </c>
      <c r="H2951" t="s">
        <v>74</v>
      </c>
      <c r="I2951" t="s">
        <v>48862</v>
      </c>
      <c r="J2951" t="s">
        <v>41406</v>
      </c>
      <c r="K2951" t="s">
        <v>74</v>
      </c>
      <c r="L2951" t="s">
        <v>74</v>
      </c>
      <c r="M2951" t="s">
        <v>78</v>
      </c>
      <c r="N2951" t="s">
        <v>1766</v>
      </c>
      <c r="O2951" t="s">
        <v>74</v>
      </c>
      <c r="P2951" t="s">
        <v>74</v>
      </c>
      <c r="Q2951" t="s">
        <v>74</v>
      </c>
      <c r="R2951" t="s">
        <v>74</v>
      </c>
      <c r="S2951" t="s">
        <v>74</v>
      </c>
      <c r="T2951" t="s">
        <v>48863</v>
      </c>
      <c r="U2951" t="s">
        <v>18559</v>
      </c>
      <c r="V2951" t="s">
        <v>48864</v>
      </c>
      <c r="W2951" t="s">
        <v>48865</v>
      </c>
      <c r="X2951" t="s">
        <v>48866</v>
      </c>
      <c r="Y2951" t="s">
        <v>48867</v>
      </c>
      <c r="Z2951" t="s">
        <v>48868</v>
      </c>
      <c r="AA2951" t="s">
        <v>48869</v>
      </c>
      <c r="AB2951" t="s">
        <v>48870</v>
      </c>
      <c r="AC2951" t="s">
        <v>74</v>
      </c>
      <c r="AD2951" t="s">
        <v>74</v>
      </c>
      <c r="AE2951" t="s">
        <v>48871</v>
      </c>
      <c r="AF2951" t="s">
        <v>74</v>
      </c>
      <c r="AG2951">
        <v>100</v>
      </c>
      <c r="AH2951">
        <v>4</v>
      </c>
      <c r="AI2951">
        <v>5</v>
      </c>
      <c r="AJ2951">
        <v>2</v>
      </c>
      <c r="AK2951">
        <v>7</v>
      </c>
      <c r="AL2951" t="s">
        <v>89</v>
      </c>
      <c r="AM2951" t="s">
        <v>90</v>
      </c>
      <c r="AN2951" t="s">
        <v>91</v>
      </c>
      <c r="AO2951" t="s">
        <v>41414</v>
      </c>
      <c r="AP2951" t="s">
        <v>41415</v>
      </c>
      <c r="AQ2951" t="s">
        <v>74</v>
      </c>
      <c r="AR2951" t="s">
        <v>41416</v>
      </c>
      <c r="AS2951" t="s">
        <v>41417</v>
      </c>
      <c r="AT2951" t="s">
        <v>48872</v>
      </c>
      <c r="AU2951">
        <v>2025</v>
      </c>
      <c r="AV2951">
        <v>35</v>
      </c>
      <c r="AW2951">
        <v>3</v>
      </c>
      <c r="AX2951" t="s">
        <v>74</v>
      </c>
      <c r="AY2951" t="s">
        <v>74</v>
      </c>
      <c r="AZ2951" t="s">
        <v>74</v>
      </c>
      <c r="BA2951" t="s">
        <v>74</v>
      </c>
      <c r="BB2951">
        <v>554</v>
      </c>
      <c r="BC2951">
        <v>578</v>
      </c>
      <c r="BD2951" t="s">
        <v>74</v>
      </c>
      <c r="BE2951" t="s">
        <v>48873</v>
      </c>
      <c r="BF2951" t="str">
        <f>HYPERLINK("http://dx.doi.org/10.1108/CR-03-2024-0052","http://dx.doi.org/10.1108/CR-03-2024-0052")</f>
        <v>http://dx.doi.org/10.1108/CR-03-2024-0052</v>
      </c>
      <c r="BG2951" t="s">
        <v>74</v>
      </c>
      <c r="BH2951" t="s">
        <v>393</v>
      </c>
      <c r="BI2951">
        <v>25</v>
      </c>
      <c r="BJ2951" t="s">
        <v>418</v>
      </c>
      <c r="BK2951" t="s">
        <v>313</v>
      </c>
      <c r="BL2951" t="s">
        <v>100</v>
      </c>
      <c r="BM2951" t="s">
        <v>48874</v>
      </c>
      <c r="BN2951" t="s">
        <v>74</v>
      </c>
      <c r="BO2951" t="s">
        <v>74</v>
      </c>
      <c r="BP2951" t="s">
        <v>74</v>
      </c>
      <c r="BQ2951" t="s">
        <v>74</v>
      </c>
      <c r="BR2951" t="s">
        <v>102</v>
      </c>
      <c r="BS2951" t="s">
        <v>48875</v>
      </c>
      <c r="BT2951" t="str">
        <f>HYPERLINK("https%3A%2F%2Fwww.webofscience.com%2Fwos%2Fwoscc%2Ffull-record%2FWOS:001299731400001","View Full Record in Web of Science")</f>
        <v>View Full Record in Web of Science</v>
      </c>
    </row>
    <row r="2952" spans="1:72" x14ac:dyDescent="0.25">
      <c r="A2952" t="s">
        <v>72</v>
      </c>
      <c r="B2952" t="s">
        <v>48876</v>
      </c>
      <c r="C2952" t="s">
        <v>74</v>
      </c>
      <c r="D2952" t="s">
        <v>74</v>
      </c>
      <c r="E2952" t="s">
        <v>74</v>
      </c>
      <c r="F2952" t="s">
        <v>48877</v>
      </c>
      <c r="G2952" t="s">
        <v>74</v>
      </c>
      <c r="H2952" t="s">
        <v>74</v>
      </c>
      <c r="I2952" t="s">
        <v>48878</v>
      </c>
      <c r="J2952" t="s">
        <v>424</v>
      </c>
      <c r="K2952" t="s">
        <v>74</v>
      </c>
      <c r="L2952" t="s">
        <v>74</v>
      </c>
      <c r="M2952" t="s">
        <v>78</v>
      </c>
      <c r="N2952" t="s">
        <v>79</v>
      </c>
      <c r="O2952" t="s">
        <v>74</v>
      </c>
      <c r="P2952" t="s">
        <v>74</v>
      </c>
      <c r="Q2952" t="s">
        <v>74</v>
      </c>
      <c r="R2952" t="s">
        <v>74</v>
      </c>
      <c r="S2952" t="s">
        <v>74</v>
      </c>
      <c r="T2952" t="s">
        <v>48879</v>
      </c>
      <c r="U2952" t="s">
        <v>48880</v>
      </c>
      <c r="V2952" t="s">
        <v>48881</v>
      </c>
      <c r="W2952" t="s">
        <v>48882</v>
      </c>
      <c r="X2952" t="s">
        <v>48883</v>
      </c>
      <c r="Y2952" t="s">
        <v>48884</v>
      </c>
      <c r="Z2952" t="s">
        <v>48885</v>
      </c>
      <c r="AA2952" t="s">
        <v>74</v>
      </c>
      <c r="AB2952" t="s">
        <v>74</v>
      </c>
      <c r="AC2952" t="s">
        <v>48886</v>
      </c>
      <c r="AD2952" t="s">
        <v>48887</v>
      </c>
      <c r="AE2952" t="s">
        <v>48888</v>
      </c>
      <c r="AF2952" t="s">
        <v>74</v>
      </c>
      <c r="AG2952">
        <v>26</v>
      </c>
      <c r="AH2952">
        <v>16</v>
      </c>
      <c r="AI2952">
        <v>20</v>
      </c>
      <c r="AJ2952">
        <v>0</v>
      </c>
      <c r="AK2952">
        <v>35</v>
      </c>
      <c r="AL2952" t="s">
        <v>89</v>
      </c>
      <c r="AM2952" t="s">
        <v>1497</v>
      </c>
      <c r="AN2952" t="s">
        <v>1498</v>
      </c>
      <c r="AO2952" t="s">
        <v>436</v>
      </c>
      <c r="AP2952" t="s">
        <v>437</v>
      </c>
      <c r="AQ2952" t="s">
        <v>74</v>
      </c>
      <c r="AR2952" t="s">
        <v>438</v>
      </c>
      <c r="AS2952" t="s">
        <v>439</v>
      </c>
      <c r="AT2952" t="s">
        <v>74</v>
      </c>
      <c r="AU2952">
        <v>2015</v>
      </c>
      <c r="AV2952">
        <v>33</v>
      </c>
      <c r="AW2952">
        <v>5</v>
      </c>
      <c r="AX2952" t="s">
        <v>74</v>
      </c>
      <c r="AY2952" t="s">
        <v>74</v>
      </c>
      <c r="AZ2952" t="s">
        <v>441</v>
      </c>
      <c r="BA2952" t="s">
        <v>74</v>
      </c>
      <c r="BB2952">
        <v>624</v>
      </c>
      <c r="BC2952">
        <v>636</v>
      </c>
      <c r="BD2952" t="s">
        <v>74</v>
      </c>
      <c r="BE2952" t="s">
        <v>48889</v>
      </c>
      <c r="BF2952" t="str">
        <f>HYPERLINK("http://dx.doi.org/10.1108/IJBM-06-2014-0080","http://dx.doi.org/10.1108/IJBM-06-2014-0080")</f>
        <v>http://dx.doi.org/10.1108/IJBM-06-2014-0080</v>
      </c>
      <c r="BG2952" t="s">
        <v>74</v>
      </c>
      <c r="BH2952" t="s">
        <v>74</v>
      </c>
      <c r="BI2952">
        <v>13</v>
      </c>
      <c r="BJ2952" t="s">
        <v>418</v>
      </c>
      <c r="BK2952" t="s">
        <v>99</v>
      </c>
      <c r="BL2952" t="s">
        <v>100</v>
      </c>
      <c r="BM2952" t="s">
        <v>27826</v>
      </c>
      <c r="BN2952" t="s">
        <v>74</v>
      </c>
      <c r="BO2952" t="s">
        <v>74</v>
      </c>
      <c r="BP2952" t="s">
        <v>74</v>
      </c>
      <c r="BQ2952" t="s">
        <v>74</v>
      </c>
      <c r="BR2952" t="s">
        <v>102</v>
      </c>
      <c r="BS2952" t="s">
        <v>48890</v>
      </c>
      <c r="BT2952" t="str">
        <f>HYPERLINK("https%3A%2F%2Fwww.webofscience.com%2Fwos%2Fwoscc%2Ffull-record%2FWOS:000216517500004","View Full Record in Web of Science")</f>
        <v>View Full Record in Web of Science</v>
      </c>
    </row>
    <row r="2953" spans="1:72" x14ac:dyDescent="0.25">
      <c r="A2953" t="s">
        <v>72</v>
      </c>
      <c r="B2953" t="s">
        <v>48891</v>
      </c>
      <c r="C2953" t="s">
        <v>74</v>
      </c>
      <c r="D2953" t="s">
        <v>74</v>
      </c>
      <c r="E2953" t="s">
        <v>74</v>
      </c>
      <c r="F2953" t="s">
        <v>48892</v>
      </c>
      <c r="G2953" t="s">
        <v>74</v>
      </c>
      <c r="H2953" t="s">
        <v>74</v>
      </c>
      <c r="I2953" t="s">
        <v>48893</v>
      </c>
      <c r="J2953" t="s">
        <v>2288</v>
      </c>
      <c r="K2953" t="s">
        <v>74</v>
      </c>
      <c r="L2953" t="s">
        <v>74</v>
      </c>
      <c r="M2953" t="s">
        <v>78</v>
      </c>
      <c r="N2953" t="s">
        <v>79</v>
      </c>
      <c r="O2953" t="s">
        <v>74</v>
      </c>
      <c r="P2953" t="s">
        <v>74</v>
      </c>
      <c r="Q2953" t="s">
        <v>74</v>
      </c>
      <c r="R2953" t="s">
        <v>74</v>
      </c>
      <c r="S2953" t="s">
        <v>74</v>
      </c>
      <c r="T2953" t="s">
        <v>48894</v>
      </c>
      <c r="U2953" t="s">
        <v>48895</v>
      </c>
      <c r="V2953" t="s">
        <v>48896</v>
      </c>
      <c r="W2953" t="s">
        <v>48897</v>
      </c>
      <c r="X2953" t="s">
        <v>48898</v>
      </c>
      <c r="Y2953" t="s">
        <v>48899</v>
      </c>
      <c r="Z2953" t="s">
        <v>48900</v>
      </c>
      <c r="AA2953" t="s">
        <v>48901</v>
      </c>
      <c r="AB2953" t="s">
        <v>74</v>
      </c>
      <c r="AC2953" t="s">
        <v>74</v>
      </c>
      <c r="AD2953" t="s">
        <v>74</v>
      </c>
      <c r="AE2953" t="s">
        <v>74</v>
      </c>
      <c r="AF2953" t="s">
        <v>74</v>
      </c>
      <c r="AG2953">
        <v>95</v>
      </c>
      <c r="AH2953">
        <v>0</v>
      </c>
      <c r="AI2953">
        <v>0</v>
      </c>
      <c r="AJ2953">
        <v>3</v>
      </c>
      <c r="AK2953">
        <v>3</v>
      </c>
      <c r="AL2953" t="s">
        <v>201</v>
      </c>
      <c r="AM2953" t="s">
        <v>202</v>
      </c>
      <c r="AN2953" t="s">
        <v>203</v>
      </c>
      <c r="AO2953" t="s">
        <v>2299</v>
      </c>
      <c r="AP2953" t="s">
        <v>2300</v>
      </c>
      <c r="AQ2953" t="s">
        <v>74</v>
      </c>
      <c r="AR2953" t="s">
        <v>2301</v>
      </c>
      <c r="AS2953" t="s">
        <v>2302</v>
      </c>
      <c r="AT2953" t="s">
        <v>237</v>
      </c>
      <c r="AU2953">
        <v>2026</v>
      </c>
      <c r="AV2953">
        <v>179</v>
      </c>
      <c r="AW2953" t="s">
        <v>74</v>
      </c>
      <c r="AX2953" t="s">
        <v>74</v>
      </c>
      <c r="AY2953" t="s">
        <v>74</v>
      </c>
      <c r="AZ2953" t="s">
        <v>74</v>
      </c>
      <c r="BA2953" t="s">
        <v>74</v>
      </c>
      <c r="BB2953" t="s">
        <v>74</v>
      </c>
      <c r="BC2953" t="s">
        <v>74</v>
      </c>
      <c r="BD2953">
        <v>103686</v>
      </c>
      <c r="BE2953" t="s">
        <v>48902</v>
      </c>
      <c r="BF2953" t="str">
        <f>HYPERLINK("http://dx.doi.org/10.1016/j.jdeveco.2025.103686","http://dx.doi.org/10.1016/j.jdeveco.2025.103686")</f>
        <v>http://dx.doi.org/10.1016/j.jdeveco.2025.103686</v>
      </c>
      <c r="BG2953" t="s">
        <v>74</v>
      </c>
      <c r="BH2953" t="s">
        <v>74</v>
      </c>
      <c r="BI2953">
        <v>22</v>
      </c>
      <c r="BJ2953" t="s">
        <v>291</v>
      </c>
      <c r="BK2953" t="s">
        <v>99</v>
      </c>
      <c r="BL2953" t="s">
        <v>100</v>
      </c>
      <c r="BM2953" t="s">
        <v>48903</v>
      </c>
      <c r="BN2953" t="s">
        <v>74</v>
      </c>
      <c r="BO2953" t="s">
        <v>74</v>
      </c>
      <c r="BP2953" t="s">
        <v>74</v>
      </c>
      <c r="BQ2953" t="s">
        <v>74</v>
      </c>
      <c r="BR2953" t="s">
        <v>102</v>
      </c>
      <c r="BS2953" t="s">
        <v>48904</v>
      </c>
      <c r="BT2953" t="str">
        <f>HYPERLINK("https%3A%2F%2Fwww.webofscience.com%2Fwos%2Fwoscc%2Ffull-record%2FWOS:001630736400002","View Full Record in Web of Science")</f>
        <v>View Full Record in Web of Science</v>
      </c>
    </row>
    <row r="2954" spans="1:72" x14ac:dyDescent="0.25">
      <c r="A2954" t="s">
        <v>72</v>
      </c>
      <c r="B2954" t="s">
        <v>48905</v>
      </c>
      <c r="C2954" t="s">
        <v>74</v>
      </c>
      <c r="D2954" t="s">
        <v>74</v>
      </c>
      <c r="E2954" t="s">
        <v>74</v>
      </c>
      <c r="F2954" t="s">
        <v>48906</v>
      </c>
      <c r="G2954" t="s">
        <v>74</v>
      </c>
      <c r="H2954" t="s">
        <v>74</v>
      </c>
      <c r="I2954" t="s">
        <v>48907</v>
      </c>
      <c r="J2954" t="s">
        <v>1510</v>
      </c>
      <c r="K2954" t="s">
        <v>74</v>
      </c>
      <c r="L2954" t="s">
        <v>74</v>
      </c>
      <c r="M2954" t="s">
        <v>78</v>
      </c>
      <c r="N2954" t="s">
        <v>79</v>
      </c>
      <c r="O2954" t="s">
        <v>74</v>
      </c>
      <c r="P2954" t="s">
        <v>74</v>
      </c>
      <c r="Q2954" t="s">
        <v>74</v>
      </c>
      <c r="R2954" t="s">
        <v>74</v>
      </c>
      <c r="S2954" t="s">
        <v>74</v>
      </c>
      <c r="T2954" t="s">
        <v>48908</v>
      </c>
      <c r="U2954" t="s">
        <v>48909</v>
      </c>
      <c r="V2954" t="s">
        <v>48910</v>
      </c>
      <c r="W2954" t="s">
        <v>48911</v>
      </c>
      <c r="X2954" t="s">
        <v>18739</v>
      </c>
      <c r="Y2954" t="s">
        <v>48912</v>
      </c>
      <c r="Z2954" t="s">
        <v>48913</v>
      </c>
      <c r="AA2954" t="s">
        <v>48914</v>
      </c>
      <c r="AB2954" t="s">
        <v>48915</v>
      </c>
      <c r="AC2954" t="s">
        <v>48916</v>
      </c>
      <c r="AD2954" t="s">
        <v>48917</v>
      </c>
      <c r="AE2954" t="s">
        <v>48918</v>
      </c>
      <c r="AF2954" t="s">
        <v>74</v>
      </c>
      <c r="AG2954">
        <v>72</v>
      </c>
      <c r="AH2954">
        <v>11</v>
      </c>
      <c r="AI2954">
        <v>13</v>
      </c>
      <c r="AJ2954">
        <v>2</v>
      </c>
      <c r="AK2954">
        <v>15</v>
      </c>
      <c r="AL2954" t="s">
        <v>89</v>
      </c>
      <c r="AM2954" t="s">
        <v>1497</v>
      </c>
      <c r="AN2954" t="s">
        <v>1498</v>
      </c>
      <c r="AO2954" t="s">
        <v>1519</v>
      </c>
      <c r="AP2954" t="s">
        <v>1520</v>
      </c>
      <c r="AQ2954" t="s">
        <v>74</v>
      </c>
      <c r="AR2954" t="s">
        <v>1521</v>
      </c>
      <c r="AS2954" t="s">
        <v>1522</v>
      </c>
      <c r="AT2954" t="s">
        <v>13152</v>
      </c>
      <c r="AU2954">
        <v>2023</v>
      </c>
      <c r="AV2954">
        <v>50</v>
      </c>
      <c r="AW2954">
        <v>8</v>
      </c>
      <c r="AX2954" t="s">
        <v>74</v>
      </c>
      <c r="AY2954" t="s">
        <v>74</v>
      </c>
      <c r="AZ2954" t="s">
        <v>441</v>
      </c>
      <c r="BA2954" t="s">
        <v>74</v>
      </c>
      <c r="BB2954">
        <v>1060</v>
      </c>
      <c r="BC2954">
        <v>1084</v>
      </c>
      <c r="BD2954" t="s">
        <v>74</v>
      </c>
      <c r="BE2954" t="s">
        <v>48919</v>
      </c>
      <c r="BF2954" t="str">
        <f>HYPERLINK("http://dx.doi.org/10.1108/IJSE-04-2022-0261","http://dx.doi.org/10.1108/IJSE-04-2022-0261")</f>
        <v>http://dx.doi.org/10.1108/IJSE-04-2022-0261</v>
      </c>
      <c r="BG2954" t="s">
        <v>74</v>
      </c>
      <c r="BH2954" t="s">
        <v>7904</v>
      </c>
      <c r="BI2954">
        <v>25</v>
      </c>
      <c r="BJ2954" t="s">
        <v>291</v>
      </c>
      <c r="BK2954" t="s">
        <v>313</v>
      </c>
      <c r="BL2954" t="s">
        <v>100</v>
      </c>
      <c r="BM2954" t="s">
        <v>13154</v>
      </c>
      <c r="BN2954" t="s">
        <v>74</v>
      </c>
      <c r="BO2954" t="s">
        <v>74</v>
      </c>
      <c r="BP2954" t="s">
        <v>74</v>
      </c>
      <c r="BQ2954" t="s">
        <v>74</v>
      </c>
      <c r="BR2954" t="s">
        <v>102</v>
      </c>
      <c r="BS2954" t="s">
        <v>48920</v>
      </c>
      <c r="BT2954" t="str">
        <f>HYPERLINK("https%3A%2F%2Fwww.webofscience.com%2Fwos%2Fwoscc%2Ffull-record%2FWOS:000905490800001","View Full Record in Web of Science")</f>
        <v>View Full Record in Web of Science</v>
      </c>
    </row>
    <row r="2955" spans="1:72" x14ac:dyDescent="0.25">
      <c r="A2955" t="s">
        <v>72</v>
      </c>
      <c r="B2955" t="s">
        <v>48921</v>
      </c>
      <c r="C2955" t="s">
        <v>74</v>
      </c>
      <c r="D2955" t="s">
        <v>74</v>
      </c>
      <c r="E2955" t="s">
        <v>74</v>
      </c>
      <c r="F2955" t="s">
        <v>48922</v>
      </c>
      <c r="G2955" t="s">
        <v>74</v>
      </c>
      <c r="H2955" t="s">
        <v>74</v>
      </c>
      <c r="I2955" t="s">
        <v>48923</v>
      </c>
      <c r="J2955" t="s">
        <v>3231</v>
      </c>
      <c r="K2955" t="s">
        <v>74</v>
      </c>
      <c r="L2955" t="s">
        <v>74</v>
      </c>
      <c r="M2955" t="s">
        <v>78</v>
      </c>
      <c r="N2955" t="s">
        <v>79</v>
      </c>
      <c r="O2955" t="s">
        <v>74</v>
      </c>
      <c r="P2955" t="s">
        <v>74</v>
      </c>
      <c r="Q2955" t="s">
        <v>74</v>
      </c>
      <c r="R2955" t="s">
        <v>74</v>
      </c>
      <c r="S2955" t="s">
        <v>74</v>
      </c>
      <c r="T2955" t="s">
        <v>48924</v>
      </c>
      <c r="U2955" t="s">
        <v>48925</v>
      </c>
      <c r="V2955" t="s">
        <v>48926</v>
      </c>
      <c r="W2955" t="s">
        <v>48927</v>
      </c>
      <c r="X2955" t="s">
        <v>48928</v>
      </c>
      <c r="Y2955" t="s">
        <v>48929</v>
      </c>
      <c r="Z2955" t="s">
        <v>48930</v>
      </c>
      <c r="AA2955" t="s">
        <v>74</v>
      </c>
      <c r="AB2955" t="s">
        <v>48931</v>
      </c>
      <c r="AC2955" t="s">
        <v>48932</v>
      </c>
      <c r="AD2955" t="s">
        <v>48932</v>
      </c>
      <c r="AE2955" t="s">
        <v>48933</v>
      </c>
      <c r="AF2955" t="s">
        <v>74</v>
      </c>
      <c r="AG2955">
        <v>101</v>
      </c>
      <c r="AH2955">
        <v>26</v>
      </c>
      <c r="AI2955">
        <v>33</v>
      </c>
      <c r="AJ2955">
        <v>3</v>
      </c>
      <c r="AK2955">
        <v>49</v>
      </c>
      <c r="AL2955" t="s">
        <v>575</v>
      </c>
      <c r="AM2955" t="s">
        <v>576</v>
      </c>
      <c r="AN2955" t="s">
        <v>577</v>
      </c>
      <c r="AO2955" t="s">
        <v>74</v>
      </c>
      <c r="AP2955" t="s">
        <v>3243</v>
      </c>
      <c r="AQ2955" t="s">
        <v>74</v>
      </c>
      <c r="AR2955" t="s">
        <v>3244</v>
      </c>
      <c r="AS2955" t="s">
        <v>3245</v>
      </c>
      <c r="AT2955" t="s">
        <v>848</v>
      </c>
      <c r="AU2955">
        <v>2022</v>
      </c>
      <c r="AV2955">
        <v>14</v>
      </c>
      <c r="AW2955">
        <v>14</v>
      </c>
      <c r="AX2955" t="s">
        <v>74</v>
      </c>
      <c r="AY2955" t="s">
        <v>74</v>
      </c>
      <c r="AZ2955" t="s">
        <v>74</v>
      </c>
      <c r="BA2955" t="s">
        <v>74</v>
      </c>
      <c r="BB2955" t="s">
        <v>74</v>
      </c>
      <c r="BC2955" t="s">
        <v>74</v>
      </c>
      <c r="BD2955">
        <v>8863</v>
      </c>
      <c r="BE2955" t="s">
        <v>48934</v>
      </c>
      <c r="BF2955" t="str">
        <f>HYPERLINK("http://dx.doi.org/10.3390/su14148863","http://dx.doi.org/10.3390/su14148863")</f>
        <v>http://dx.doi.org/10.3390/su14148863</v>
      </c>
      <c r="BG2955" t="s">
        <v>74</v>
      </c>
      <c r="BH2955" t="s">
        <v>74</v>
      </c>
      <c r="BI2955">
        <v>20</v>
      </c>
      <c r="BJ2955" t="s">
        <v>3247</v>
      </c>
      <c r="BK2955" t="s">
        <v>2623</v>
      </c>
      <c r="BL2955" t="s">
        <v>3248</v>
      </c>
      <c r="BM2955" t="s">
        <v>48935</v>
      </c>
      <c r="BN2955" t="s">
        <v>74</v>
      </c>
      <c r="BO2955" t="s">
        <v>916</v>
      </c>
      <c r="BP2955" t="s">
        <v>74</v>
      </c>
      <c r="BQ2955" t="s">
        <v>74</v>
      </c>
      <c r="BR2955" t="s">
        <v>102</v>
      </c>
      <c r="BS2955" t="s">
        <v>48936</v>
      </c>
      <c r="BT2955" t="str">
        <f>HYPERLINK("https%3A%2F%2Fwww.webofscience.com%2Fwos%2Fwoscc%2Ffull-record%2FWOS:000833259500001","View Full Record in Web of Science")</f>
        <v>View Full Record in Web of Science</v>
      </c>
    </row>
    <row r="2956" spans="1:72" x14ac:dyDescent="0.25">
      <c r="A2956" t="s">
        <v>72</v>
      </c>
      <c r="B2956" t="s">
        <v>48937</v>
      </c>
      <c r="C2956" t="s">
        <v>74</v>
      </c>
      <c r="D2956" t="s">
        <v>74</v>
      </c>
      <c r="E2956" t="s">
        <v>74</v>
      </c>
      <c r="F2956" t="s">
        <v>48938</v>
      </c>
      <c r="G2956" t="s">
        <v>74</v>
      </c>
      <c r="H2956" t="s">
        <v>74</v>
      </c>
      <c r="I2956" t="s">
        <v>48939</v>
      </c>
      <c r="J2956" t="s">
        <v>2137</v>
      </c>
      <c r="K2956" t="s">
        <v>74</v>
      </c>
      <c r="L2956" t="s">
        <v>74</v>
      </c>
      <c r="M2956" t="s">
        <v>78</v>
      </c>
      <c r="N2956" t="s">
        <v>79</v>
      </c>
      <c r="O2956" t="s">
        <v>74</v>
      </c>
      <c r="P2956" t="s">
        <v>74</v>
      </c>
      <c r="Q2956" t="s">
        <v>74</v>
      </c>
      <c r="R2956" t="s">
        <v>74</v>
      </c>
      <c r="S2956" t="s">
        <v>74</v>
      </c>
      <c r="T2956" t="s">
        <v>48940</v>
      </c>
      <c r="U2956" t="s">
        <v>48941</v>
      </c>
      <c r="V2956" t="s">
        <v>48942</v>
      </c>
      <c r="W2956" t="s">
        <v>48943</v>
      </c>
      <c r="X2956" t="s">
        <v>48944</v>
      </c>
      <c r="Y2956" t="s">
        <v>35811</v>
      </c>
      <c r="Z2956" t="s">
        <v>48945</v>
      </c>
      <c r="AA2956" t="s">
        <v>74</v>
      </c>
      <c r="AB2956" t="s">
        <v>74</v>
      </c>
      <c r="AC2956" t="s">
        <v>74</v>
      </c>
      <c r="AD2956" t="s">
        <v>74</v>
      </c>
      <c r="AE2956" t="s">
        <v>74</v>
      </c>
      <c r="AF2956" t="s">
        <v>74</v>
      </c>
      <c r="AG2956">
        <v>46</v>
      </c>
      <c r="AH2956">
        <v>9</v>
      </c>
      <c r="AI2956">
        <v>11</v>
      </c>
      <c r="AJ2956">
        <v>4</v>
      </c>
      <c r="AK2956">
        <v>15</v>
      </c>
      <c r="AL2956" t="s">
        <v>2145</v>
      </c>
      <c r="AM2956" t="s">
        <v>151</v>
      </c>
      <c r="AN2956" t="s">
        <v>2146</v>
      </c>
      <c r="AO2956" t="s">
        <v>2147</v>
      </c>
      <c r="AP2956" t="s">
        <v>2148</v>
      </c>
      <c r="AQ2956" t="s">
        <v>74</v>
      </c>
      <c r="AR2956" t="s">
        <v>2149</v>
      </c>
      <c r="AS2956" t="s">
        <v>2150</v>
      </c>
      <c r="AT2956" t="s">
        <v>74</v>
      </c>
      <c r="AU2956">
        <v>2022</v>
      </c>
      <c r="AV2956">
        <v>33</v>
      </c>
      <c r="AW2956">
        <v>2</v>
      </c>
      <c r="AX2956" t="s">
        <v>74</v>
      </c>
      <c r="AY2956" t="s">
        <v>74</v>
      </c>
      <c r="AZ2956" t="s">
        <v>74</v>
      </c>
      <c r="BA2956" t="s">
        <v>74</v>
      </c>
      <c r="BB2956">
        <v>268</v>
      </c>
      <c r="BC2956">
        <v>279</v>
      </c>
      <c r="BD2956" t="s">
        <v>74</v>
      </c>
      <c r="BE2956" t="s">
        <v>48946</v>
      </c>
      <c r="BF2956" t="str">
        <f>HYPERLINK("http://dx.doi.org/10.1891/JFCP-2021-0042","http://dx.doi.org/10.1891/JFCP-2021-0042")</f>
        <v>http://dx.doi.org/10.1891/JFCP-2021-0042</v>
      </c>
      <c r="BG2956" t="s">
        <v>74</v>
      </c>
      <c r="BH2956" t="s">
        <v>74</v>
      </c>
      <c r="BI2956">
        <v>12</v>
      </c>
      <c r="BJ2956" t="s">
        <v>1453</v>
      </c>
      <c r="BK2956" t="s">
        <v>313</v>
      </c>
      <c r="BL2956" t="s">
        <v>100</v>
      </c>
      <c r="BM2956" t="s">
        <v>2152</v>
      </c>
      <c r="BN2956" t="s">
        <v>74</v>
      </c>
      <c r="BO2956" t="s">
        <v>74</v>
      </c>
      <c r="BP2956" t="s">
        <v>74</v>
      </c>
      <c r="BQ2956" t="s">
        <v>74</v>
      </c>
      <c r="BR2956" t="s">
        <v>102</v>
      </c>
      <c r="BS2956" t="s">
        <v>48947</v>
      </c>
      <c r="BT2956" t="str">
        <f>HYPERLINK("https%3A%2F%2Fwww.webofscience.com%2Fwos%2Fwoscc%2Ffull-record%2FWOS:000825261300011","View Full Record in Web of Science")</f>
        <v>View Full Record in Web of Science</v>
      </c>
    </row>
    <row r="2957" spans="1:72" x14ac:dyDescent="0.25">
      <c r="A2957" t="s">
        <v>72</v>
      </c>
      <c r="B2957" t="s">
        <v>48948</v>
      </c>
      <c r="C2957" t="s">
        <v>74</v>
      </c>
      <c r="D2957" t="s">
        <v>74</v>
      </c>
      <c r="E2957" t="s">
        <v>74</v>
      </c>
      <c r="F2957" t="s">
        <v>48949</v>
      </c>
      <c r="G2957" t="s">
        <v>74</v>
      </c>
      <c r="H2957" t="s">
        <v>74</v>
      </c>
      <c r="I2957" t="s">
        <v>48950</v>
      </c>
      <c r="J2957" t="s">
        <v>1210</v>
      </c>
      <c r="K2957" t="s">
        <v>74</v>
      </c>
      <c r="L2957" t="s">
        <v>74</v>
      </c>
      <c r="M2957" t="s">
        <v>78</v>
      </c>
      <c r="N2957" t="s">
        <v>79</v>
      </c>
      <c r="O2957" t="s">
        <v>74</v>
      </c>
      <c r="P2957" t="s">
        <v>74</v>
      </c>
      <c r="Q2957" t="s">
        <v>74</v>
      </c>
      <c r="R2957" t="s">
        <v>74</v>
      </c>
      <c r="S2957" t="s">
        <v>74</v>
      </c>
      <c r="T2957" t="s">
        <v>48951</v>
      </c>
      <c r="U2957" t="s">
        <v>74</v>
      </c>
      <c r="V2957" t="s">
        <v>48952</v>
      </c>
      <c r="W2957" t="s">
        <v>48953</v>
      </c>
      <c r="X2957" t="s">
        <v>48954</v>
      </c>
      <c r="Y2957" t="s">
        <v>48955</v>
      </c>
      <c r="Z2957" t="s">
        <v>48956</v>
      </c>
      <c r="AA2957" t="s">
        <v>74</v>
      </c>
      <c r="AB2957" t="s">
        <v>48957</v>
      </c>
      <c r="AC2957" t="s">
        <v>74</v>
      </c>
      <c r="AD2957" t="s">
        <v>74</v>
      </c>
      <c r="AE2957" t="s">
        <v>74</v>
      </c>
      <c r="AF2957" t="s">
        <v>74</v>
      </c>
      <c r="AG2957">
        <v>89</v>
      </c>
      <c r="AH2957">
        <v>12</v>
      </c>
      <c r="AI2957">
        <v>13</v>
      </c>
      <c r="AJ2957">
        <v>0</v>
      </c>
      <c r="AK2957">
        <v>7</v>
      </c>
      <c r="AL2957" t="s">
        <v>1216</v>
      </c>
      <c r="AM2957" t="s">
        <v>283</v>
      </c>
      <c r="AN2957" t="s">
        <v>1217</v>
      </c>
      <c r="AO2957" t="s">
        <v>1218</v>
      </c>
      <c r="AP2957" t="s">
        <v>74</v>
      </c>
      <c r="AQ2957" t="s">
        <v>74</v>
      </c>
      <c r="AR2957" t="s">
        <v>1219</v>
      </c>
      <c r="AS2957" t="s">
        <v>1220</v>
      </c>
      <c r="AT2957" t="s">
        <v>48958</v>
      </c>
      <c r="AU2957">
        <v>2023</v>
      </c>
      <c r="AV2957">
        <v>6</v>
      </c>
      <c r="AW2957" t="s">
        <v>74</v>
      </c>
      <c r="AX2957" t="s">
        <v>74</v>
      </c>
      <c r="AY2957" t="s">
        <v>74</v>
      </c>
      <c r="AZ2957" t="s">
        <v>74</v>
      </c>
      <c r="BA2957" t="s">
        <v>74</v>
      </c>
      <c r="BB2957" t="s">
        <v>74</v>
      </c>
      <c r="BC2957" t="s">
        <v>74</v>
      </c>
      <c r="BD2957">
        <v>1160257</v>
      </c>
      <c r="BE2957" t="s">
        <v>48959</v>
      </c>
      <c r="BF2957" t="str">
        <f>HYPERLINK("http://dx.doi.org/10.3389/fbloc.2023.1160257","http://dx.doi.org/10.3389/fbloc.2023.1160257")</f>
        <v>http://dx.doi.org/10.3389/fbloc.2023.1160257</v>
      </c>
      <c r="BG2957" t="s">
        <v>74</v>
      </c>
      <c r="BH2957" t="s">
        <v>74</v>
      </c>
      <c r="BI2957">
        <v>12</v>
      </c>
      <c r="BJ2957" t="s">
        <v>1223</v>
      </c>
      <c r="BK2957" t="s">
        <v>313</v>
      </c>
      <c r="BL2957" t="s">
        <v>157</v>
      </c>
      <c r="BM2957" t="s">
        <v>48960</v>
      </c>
      <c r="BN2957" t="s">
        <v>74</v>
      </c>
      <c r="BO2957" t="s">
        <v>916</v>
      </c>
      <c r="BP2957" t="s">
        <v>74</v>
      </c>
      <c r="BQ2957" t="s">
        <v>74</v>
      </c>
      <c r="BR2957" t="s">
        <v>102</v>
      </c>
      <c r="BS2957" t="s">
        <v>48961</v>
      </c>
      <c r="BT2957" t="str">
        <f>HYPERLINK("https%3A%2F%2Fwww.webofscience.com%2Fwos%2Fwoscc%2Ffull-record%2FWOS:001045553500001","View Full Record in Web of Science")</f>
        <v>View Full Record in Web of Science</v>
      </c>
    </row>
    <row r="2958" spans="1:72" x14ac:dyDescent="0.25">
      <c r="A2958" t="s">
        <v>132</v>
      </c>
      <c r="B2958" t="s">
        <v>48962</v>
      </c>
      <c r="C2958" t="s">
        <v>74</v>
      </c>
      <c r="D2958" t="s">
        <v>48963</v>
      </c>
      <c r="E2958" t="s">
        <v>74</v>
      </c>
      <c r="F2958" t="s">
        <v>48964</v>
      </c>
      <c r="G2958" t="s">
        <v>74</v>
      </c>
      <c r="H2958" t="s">
        <v>74</v>
      </c>
      <c r="I2958" t="s">
        <v>48965</v>
      </c>
      <c r="J2958" t="s">
        <v>48966</v>
      </c>
      <c r="K2958" t="s">
        <v>48967</v>
      </c>
      <c r="L2958" t="s">
        <v>74</v>
      </c>
      <c r="M2958" t="s">
        <v>78</v>
      </c>
      <c r="N2958" t="s">
        <v>138</v>
      </c>
      <c r="O2958" t="s">
        <v>48968</v>
      </c>
      <c r="P2958" t="s">
        <v>48969</v>
      </c>
      <c r="Q2958" t="s">
        <v>48970</v>
      </c>
      <c r="R2958" t="s">
        <v>74</v>
      </c>
      <c r="S2958" t="s">
        <v>48971</v>
      </c>
      <c r="T2958" t="s">
        <v>48972</v>
      </c>
      <c r="U2958" t="s">
        <v>74</v>
      </c>
      <c r="V2958" t="s">
        <v>48973</v>
      </c>
      <c r="W2958" t="s">
        <v>48974</v>
      </c>
      <c r="X2958" t="s">
        <v>23562</v>
      </c>
      <c r="Y2958" t="s">
        <v>48975</v>
      </c>
      <c r="Z2958" t="s">
        <v>48976</v>
      </c>
      <c r="AA2958" t="s">
        <v>48977</v>
      </c>
      <c r="AB2958" t="s">
        <v>48978</v>
      </c>
      <c r="AC2958" t="s">
        <v>74</v>
      </c>
      <c r="AD2958" t="s">
        <v>74</v>
      </c>
      <c r="AE2958" t="s">
        <v>74</v>
      </c>
      <c r="AF2958" t="s">
        <v>74</v>
      </c>
      <c r="AG2958">
        <v>30</v>
      </c>
      <c r="AH2958">
        <v>5</v>
      </c>
      <c r="AI2958">
        <v>7</v>
      </c>
      <c r="AJ2958">
        <v>0</v>
      </c>
      <c r="AK2958">
        <v>6</v>
      </c>
      <c r="AL2958" t="s">
        <v>3651</v>
      </c>
      <c r="AM2958" t="s">
        <v>3652</v>
      </c>
      <c r="AN2958" t="s">
        <v>3653</v>
      </c>
      <c r="AO2958" t="s">
        <v>48979</v>
      </c>
      <c r="AP2958" t="s">
        <v>74</v>
      </c>
      <c r="AQ2958" t="s">
        <v>48980</v>
      </c>
      <c r="AR2958" t="s">
        <v>48981</v>
      </c>
      <c r="AS2958" t="s">
        <v>74</v>
      </c>
      <c r="AT2958" t="s">
        <v>74</v>
      </c>
      <c r="AU2958">
        <v>2018</v>
      </c>
      <c r="AV2958" t="s">
        <v>74</v>
      </c>
      <c r="AW2958" t="s">
        <v>74</v>
      </c>
      <c r="AX2958" t="s">
        <v>74</v>
      </c>
      <c r="AY2958" t="s">
        <v>74</v>
      </c>
      <c r="AZ2958" t="s">
        <v>74</v>
      </c>
      <c r="BA2958" t="s">
        <v>74</v>
      </c>
      <c r="BB2958">
        <v>225</v>
      </c>
      <c r="BC2958">
        <v>236</v>
      </c>
      <c r="BD2958" t="s">
        <v>74</v>
      </c>
      <c r="BE2958" t="s">
        <v>74</v>
      </c>
      <c r="BF2958" t="s">
        <v>74</v>
      </c>
      <c r="BG2958" t="s">
        <v>74</v>
      </c>
      <c r="BH2958" t="s">
        <v>74</v>
      </c>
      <c r="BI2958">
        <v>12</v>
      </c>
      <c r="BJ2958" t="s">
        <v>48982</v>
      </c>
      <c r="BK2958" t="s">
        <v>1069</v>
      </c>
      <c r="BL2958" t="s">
        <v>48983</v>
      </c>
      <c r="BM2958" t="s">
        <v>48984</v>
      </c>
      <c r="BN2958" t="s">
        <v>74</v>
      </c>
      <c r="BO2958" t="s">
        <v>74</v>
      </c>
      <c r="BP2958" t="s">
        <v>74</v>
      </c>
      <c r="BQ2958" t="s">
        <v>74</v>
      </c>
      <c r="BR2958" t="s">
        <v>102</v>
      </c>
      <c r="BS2958" t="s">
        <v>48985</v>
      </c>
      <c r="BT2958" t="str">
        <f>HYPERLINK("https%3A%2F%2Fwww.webofscience.com%2Fwos%2Fwoscc%2Ffull-record%2FWOS:000684215100026","View Full Record in Web of Science")</f>
        <v>View Full Record in Web of Science</v>
      </c>
    </row>
    <row r="2959" spans="1:72" x14ac:dyDescent="0.25">
      <c r="A2959" t="s">
        <v>72</v>
      </c>
      <c r="B2959" t="s">
        <v>48986</v>
      </c>
      <c r="C2959" t="s">
        <v>74</v>
      </c>
      <c r="D2959" t="s">
        <v>74</v>
      </c>
      <c r="E2959" t="s">
        <v>74</v>
      </c>
      <c r="F2959" t="s">
        <v>48987</v>
      </c>
      <c r="G2959" t="s">
        <v>74</v>
      </c>
      <c r="H2959" t="s">
        <v>74</v>
      </c>
      <c r="I2959" t="s">
        <v>48988</v>
      </c>
      <c r="J2959" t="s">
        <v>12687</v>
      </c>
      <c r="K2959" t="s">
        <v>74</v>
      </c>
      <c r="L2959" t="s">
        <v>74</v>
      </c>
      <c r="M2959" t="s">
        <v>78</v>
      </c>
      <c r="N2959" t="s">
        <v>372</v>
      </c>
      <c r="O2959" t="s">
        <v>74</v>
      </c>
      <c r="P2959" t="s">
        <v>74</v>
      </c>
      <c r="Q2959" t="s">
        <v>74</v>
      </c>
      <c r="R2959" t="s">
        <v>74</v>
      </c>
      <c r="S2959" t="s">
        <v>74</v>
      </c>
      <c r="T2959" t="s">
        <v>48989</v>
      </c>
      <c r="U2959" t="s">
        <v>48990</v>
      </c>
      <c r="V2959" t="s">
        <v>48991</v>
      </c>
      <c r="W2959" t="s">
        <v>48992</v>
      </c>
      <c r="X2959" t="s">
        <v>39389</v>
      </c>
      <c r="Y2959" t="s">
        <v>48993</v>
      </c>
      <c r="Z2959" t="s">
        <v>48994</v>
      </c>
      <c r="AA2959" t="s">
        <v>48995</v>
      </c>
      <c r="AB2959" t="s">
        <v>48996</v>
      </c>
      <c r="AC2959" t="s">
        <v>74</v>
      </c>
      <c r="AD2959" t="s">
        <v>74</v>
      </c>
      <c r="AE2959" t="s">
        <v>74</v>
      </c>
      <c r="AF2959" t="s">
        <v>74</v>
      </c>
      <c r="AG2959">
        <v>94</v>
      </c>
      <c r="AH2959">
        <v>5</v>
      </c>
      <c r="AI2959">
        <v>5</v>
      </c>
      <c r="AJ2959">
        <v>2</v>
      </c>
      <c r="AK2959">
        <v>6</v>
      </c>
      <c r="AL2959" t="s">
        <v>332</v>
      </c>
      <c r="AM2959" t="s">
        <v>333</v>
      </c>
      <c r="AN2959" t="s">
        <v>334</v>
      </c>
      <c r="AO2959" t="s">
        <v>12698</v>
      </c>
      <c r="AP2959" t="s">
        <v>12699</v>
      </c>
      <c r="AQ2959" t="s">
        <v>74</v>
      </c>
      <c r="AR2959" t="s">
        <v>12700</v>
      </c>
      <c r="AS2959" t="s">
        <v>12701</v>
      </c>
      <c r="AT2959" t="s">
        <v>48997</v>
      </c>
      <c r="AU2959">
        <v>2025</v>
      </c>
      <c r="AV2959" t="s">
        <v>74</v>
      </c>
      <c r="AW2959" t="s">
        <v>74</v>
      </c>
      <c r="AX2959" t="s">
        <v>74</v>
      </c>
      <c r="AY2959" t="s">
        <v>74</v>
      </c>
      <c r="AZ2959" t="s">
        <v>74</v>
      </c>
      <c r="BA2959" t="s">
        <v>74</v>
      </c>
      <c r="BB2959" t="s">
        <v>74</v>
      </c>
      <c r="BC2959" t="s">
        <v>74</v>
      </c>
      <c r="BD2959" t="s">
        <v>74</v>
      </c>
      <c r="BE2959" t="s">
        <v>48998</v>
      </c>
      <c r="BF2959" t="str">
        <f>HYPERLINK("http://dx.doi.org/10.1080/02692171.2025.2468646","http://dx.doi.org/10.1080/02692171.2025.2468646")</f>
        <v>http://dx.doi.org/10.1080/02692171.2025.2468646</v>
      </c>
      <c r="BG2959" t="s">
        <v>74</v>
      </c>
      <c r="BH2959" t="s">
        <v>417</v>
      </c>
      <c r="BI2959">
        <v>21</v>
      </c>
      <c r="BJ2959" t="s">
        <v>291</v>
      </c>
      <c r="BK2959" t="s">
        <v>313</v>
      </c>
      <c r="BL2959" t="s">
        <v>100</v>
      </c>
      <c r="BM2959" t="s">
        <v>48999</v>
      </c>
      <c r="BN2959" t="s">
        <v>74</v>
      </c>
      <c r="BO2959" t="s">
        <v>74</v>
      </c>
      <c r="BP2959" t="s">
        <v>74</v>
      </c>
      <c r="BQ2959" t="s">
        <v>74</v>
      </c>
      <c r="BR2959" t="s">
        <v>102</v>
      </c>
      <c r="BS2959" t="s">
        <v>49000</v>
      </c>
      <c r="BT2959" t="str">
        <f>HYPERLINK("https%3A%2F%2Fwww.webofscience.com%2Fwos%2Fwoscc%2Ffull-record%2FWOS:001426616500001","View Full Record in Web of Science")</f>
        <v>View Full Record in Web of Science</v>
      </c>
    </row>
    <row r="2960" spans="1:72" x14ac:dyDescent="0.25">
      <c r="A2960" t="s">
        <v>72</v>
      </c>
      <c r="B2960" t="s">
        <v>49001</v>
      </c>
      <c r="C2960" t="s">
        <v>74</v>
      </c>
      <c r="D2960" t="s">
        <v>74</v>
      </c>
      <c r="E2960" t="s">
        <v>74</v>
      </c>
      <c r="F2960" t="s">
        <v>49002</v>
      </c>
      <c r="G2960" t="s">
        <v>74</v>
      </c>
      <c r="H2960" t="s">
        <v>74</v>
      </c>
      <c r="I2960" t="s">
        <v>49003</v>
      </c>
      <c r="J2960" t="s">
        <v>49004</v>
      </c>
      <c r="K2960" t="s">
        <v>74</v>
      </c>
      <c r="L2960" t="s">
        <v>74</v>
      </c>
      <c r="M2960" t="s">
        <v>78</v>
      </c>
      <c r="N2960" t="s">
        <v>79</v>
      </c>
      <c r="O2960" t="s">
        <v>74</v>
      </c>
      <c r="P2960" t="s">
        <v>74</v>
      </c>
      <c r="Q2960" t="s">
        <v>74</v>
      </c>
      <c r="R2960" t="s">
        <v>74</v>
      </c>
      <c r="S2960" t="s">
        <v>74</v>
      </c>
      <c r="T2960" t="s">
        <v>49005</v>
      </c>
      <c r="U2960" t="s">
        <v>49006</v>
      </c>
      <c r="V2960" t="s">
        <v>49007</v>
      </c>
      <c r="W2960" t="s">
        <v>49008</v>
      </c>
      <c r="X2960" t="s">
        <v>49009</v>
      </c>
      <c r="Y2960" t="s">
        <v>49010</v>
      </c>
      <c r="Z2960" t="s">
        <v>49011</v>
      </c>
      <c r="AA2960" t="s">
        <v>49012</v>
      </c>
      <c r="AB2960" t="s">
        <v>49013</v>
      </c>
      <c r="AC2960" t="s">
        <v>74</v>
      </c>
      <c r="AD2960" t="s">
        <v>74</v>
      </c>
      <c r="AE2960" t="s">
        <v>74</v>
      </c>
      <c r="AF2960" t="s">
        <v>74</v>
      </c>
      <c r="AG2960">
        <v>46</v>
      </c>
      <c r="AH2960">
        <v>12</v>
      </c>
      <c r="AI2960">
        <v>12</v>
      </c>
      <c r="AJ2960">
        <v>0</v>
      </c>
      <c r="AK2960">
        <v>9</v>
      </c>
      <c r="AL2960" t="s">
        <v>757</v>
      </c>
      <c r="AM2960" t="s">
        <v>758</v>
      </c>
      <c r="AN2960" t="s">
        <v>759</v>
      </c>
      <c r="AO2960" t="s">
        <v>49014</v>
      </c>
      <c r="AP2960" t="s">
        <v>49015</v>
      </c>
      <c r="AQ2960" t="s">
        <v>74</v>
      </c>
      <c r="AR2960" t="s">
        <v>49016</v>
      </c>
      <c r="AS2960" t="s">
        <v>49017</v>
      </c>
      <c r="AT2960" t="s">
        <v>698</v>
      </c>
      <c r="AU2960">
        <v>2022</v>
      </c>
      <c r="AV2960">
        <v>33</v>
      </c>
      <c r="AW2960">
        <v>2</v>
      </c>
      <c r="AX2960" t="s">
        <v>74</v>
      </c>
      <c r="AY2960" t="s">
        <v>74</v>
      </c>
      <c r="AZ2960" t="s">
        <v>74</v>
      </c>
      <c r="BA2960" t="s">
        <v>74</v>
      </c>
      <c r="BB2960">
        <v>92</v>
      </c>
      <c r="BC2960">
        <v>102</v>
      </c>
      <c r="BD2960">
        <v>1.0442073211027532E+16</v>
      </c>
      <c r="BE2960" t="s">
        <v>49018</v>
      </c>
      <c r="BF2960" t="str">
        <f>HYPERLINK("http://dx.doi.org/10.1177/10442073211027533","http://dx.doi.org/10.1177/10442073211027533")</f>
        <v>http://dx.doi.org/10.1177/10442073211027533</v>
      </c>
      <c r="BG2960" t="s">
        <v>74</v>
      </c>
      <c r="BH2960" t="s">
        <v>11151</v>
      </c>
      <c r="BI2960">
        <v>11</v>
      </c>
      <c r="BJ2960" t="s">
        <v>30281</v>
      </c>
      <c r="BK2960" t="s">
        <v>99</v>
      </c>
      <c r="BL2960" t="s">
        <v>30281</v>
      </c>
      <c r="BM2960" t="s">
        <v>49019</v>
      </c>
      <c r="BN2960" t="s">
        <v>74</v>
      </c>
      <c r="BO2960" t="s">
        <v>74</v>
      </c>
      <c r="BP2960" t="s">
        <v>74</v>
      </c>
      <c r="BQ2960" t="s">
        <v>74</v>
      </c>
      <c r="BR2960" t="s">
        <v>102</v>
      </c>
      <c r="BS2960" t="s">
        <v>49020</v>
      </c>
      <c r="BT2960" t="str">
        <f>HYPERLINK("https%3A%2F%2Fwww.webofscience.com%2Fwos%2Fwoscc%2Ffull-record%2FWOS:000672379100001","View Full Record in Web of Science")</f>
        <v>View Full Record in Web of Science</v>
      </c>
    </row>
    <row r="2961" spans="1:72" x14ac:dyDescent="0.25">
      <c r="A2961" t="s">
        <v>72</v>
      </c>
      <c r="B2961" t="s">
        <v>49021</v>
      </c>
      <c r="C2961" t="s">
        <v>74</v>
      </c>
      <c r="D2961" t="s">
        <v>74</v>
      </c>
      <c r="E2961" t="s">
        <v>74</v>
      </c>
      <c r="F2961" t="s">
        <v>49022</v>
      </c>
      <c r="G2961" t="s">
        <v>74</v>
      </c>
      <c r="H2961" t="s">
        <v>74</v>
      </c>
      <c r="I2961" t="s">
        <v>49023</v>
      </c>
      <c r="J2961" t="s">
        <v>36931</v>
      </c>
      <c r="K2961" t="s">
        <v>74</v>
      </c>
      <c r="L2961" t="s">
        <v>74</v>
      </c>
      <c r="M2961" t="s">
        <v>78</v>
      </c>
      <c r="N2961" t="s">
        <v>79</v>
      </c>
      <c r="O2961" t="s">
        <v>74</v>
      </c>
      <c r="P2961" t="s">
        <v>74</v>
      </c>
      <c r="Q2961" t="s">
        <v>74</v>
      </c>
      <c r="R2961" t="s">
        <v>74</v>
      </c>
      <c r="S2961" t="s">
        <v>74</v>
      </c>
      <c r="T2961" t="s">
        <v>49024</v>
      </c>
      <c r="U2961" t="s">
        <v>49025</v>
      </c>
      <c r="V2961" t="s">
        <v>49026</v>
      </c>
      <c r="W2961" t="s">
        <v>49027</v>
      </c>
      <c r="X2961" t="s">
        <v>49028</v>
      </c>
      <c r="Y2961" t="s">
        <v>49029</v>
      </c>
      <c r="Z2961" t="s">
        <v>49030</v>
      </c>
      <c r="AA2961" t="s">
        <v>74</v>
      </c>
      <c r="AB2961" t="s">
        <v>74</v>
      </c>
      <c r="AC2961" t="s">
        <v>49031</v>
      </c>
      <c r="AD2961" t="s">
        <v>49032</v>
      </c>
      <c r="AE2961" t="s">
        <v>49033</v>
      </c>
      <c r="AF2961" t="s">
        <v>74</v>
      </c>
      <c r="AG2961">
        <v>62</v>
      </c>
      <c r="AH2961">
        <v>3</v>
      </c>
      <c r="AI2961">
        <v>3</v>
      </c>
      <c r="AJ2961">
        <v>24</v>
      </c>
      <c r="AK2961">
        <v>39</v>
      </c>
      <c r="AL2961" t="s">
        <v>823</v>
      </c>
      <c r="AM2961" t="s">
        <v>333</v>
      </c>
      <c r="AN2961" t="s">
        <v>824</v>
      </c>
      <c r="AO2961" t="s">
        <v>36942</v>
      </c>
      <c r="AP2961" t="s">
        <v>36943</v>
      </c>
      <c r="AQ2961" t="s">
        <v>74</v>
      </c>
      <c r="AR2961" t="s">
        <v>36944</v>
      </c>
      <c r="AS2961" t="s">
        <v>36945</v>
      </c>
      <c r="AT2961" t="s">
        <v>2970</v>
      </c>
      <c r="AU2961">
        <v>2024</v>
      </c>
      <c r="AV2961">
        <v>22</v>
      </c>
      <c r="AW2961">
        <v>1</v>
      </c>
      <c r="AX2961" t="s">
        <v>74</v>
      </c>
      <c r="AY2961" t="s">
        <v>74</v>
      </c>
      <c r="AZ2961" t="s">
        <v>74</v>
      </c>
      <c r="BA2961" t="s">
        <v>74</v>
      </c>
      <c r="BB2961" t="s">
        <v>74</v>
      </c>
      <c r="BC2961" t="s">
        <v>74</v>
      </c>
      <c r="BD2961">
        <v>2439114</v>
      </c>
      <c r="BE2961" t="s">
        <v>49034</v>
      </c>
      <c r="BF2961" t="str">
        <f>HYPERLINK("http://dx.doi.org/10.1080/14735903.2024.2439114","http://dx.doi.org/10.1080/14735903.2024.2439114")</f>
        <v>http://dx.doi.org/10.1080/14735903.2024.2439114</v>
      </c>
      <c r="BG2961" t="s">
        <v>74</v>
      </c>
      <c r="BH2961" t="s">
        <v>74</v>
      </c>
      <c r="BI2961">
        <v>19</v>
      </c>
      <c r="BJ2961" t="s">
        <v>36947</v>
      </c>
      <c r="BK2961" t="s">
        <v>128</v>
      </c>
      <c r="BL2961" t="s">
        <v>36948</v>
      </c>
      <c r="BM2961" t="s">
        <v>49035</v>
      </c>
      <c r="BN2961" t="s">
        <v>74</v>
      </c>
      <c r="BO2961" t="s">
        <v>212</v>
      </c>
      <c r="BP2961" t="s">
        <v>74</v>
      </c>
      <c r="BQ2961" t="s">
        <v>74</v>
      </c>
      <c r="BR2961" t="s">
        <v>102</v>
      </c>
      <c r="BS2961" t="s">
        <v>49036</v>
      </c>
      <c r="BT2961" t="str">
        <f>HYPERLINK("https%3A%2F%2Fwww.webofscience.com%2Fwos%2Fwoscc%2Ffull-record%2FWOS:001380696600001","View Full Record in Web of Science")</f>
        <v>View Full Record in Web of Science</v>
      </c>
    </row>
    <row r="2962" spans="1:72" x14ac:dyDescent="0.25">
      <c r="A2962" t="s">
        <v>72</v>
      </c>
      <c r="B2962" t="s">
        <v>49037</v>
      </c>
      <c r="C2962" t="s">
        <v>74</v>
      </c>
      <c r="D2962" t="s">
        <v>74</v>
      </c>
      <c r="E2962" t="s">
        <v>74</v>
      </c>
      <c r="F2962" t="s">
        <v>49038</v>
      </c>
      <c r="G2962" t="s">
        <v>74</v>
      </c>
      <c r="H2962" t="s">
        <v>74</v>
      </c>
      <c r="I2962" t="s">
        <v>49039</v>
      </c>
      <c r="J2962" t="s">
        <v>8087</v>
      </c>
      <c r="K2962" t="s">
        <v>74</v>
      </c>
      <c r="L2962" t="s">
        <v>74</v>
      </c>
      <c r="M2962" t="s">
        <v>78</v>
      </c>
      <c r="N2962" t="s">
        <v>1766</v>
      </c>
      <c r="O2962" t="s">
        <v>74</v>
      </c>
      <c r="P2962" t="s">
        <v>74</v>
      </c>
      <c r="Q2962" t="s">
        <v>74</v>
      </c>
      <c r="R2962" t="s">
        <v>74</v>
      </c>
      <c r="S2962" t="s">
        <v>74</v>
      </c>
      <c r="T2962" t="s">
        <v>49040</v>
      </c>
      <c r="U2962" t="s">
        <v>49041</v>
      </c>
      <c r="V2962" t="s">
        <v>49042</v>
      </c>
      <c r="W2962" t="s">
        <v>49043</v>
      </c>
      <c r="X2962" t="s">
        <v>49044</v>
      </c>
      <c r="Y2962" t="s">
        <v>49045</v>
      </c>
      <c r="Z2962" t="s">
        <v>49046</v>
      </c>
      <c r="AA2962" t="s">
        <v>74</v>
      </c>
      <c r="AB2962" t="s">
        <v>49047</v>
      </c>
      <c r="AC2962" t="s">
        <v>74</v>
      </c>
      <c r="AD2962" t="s">
        <v>74</v>
      </c>
      <c r="AE2962" t="s">
        <v>74</v>
      </c>
      <c r="AF2962" t="s">
        <v>74</v>
      </c>
      <c r="AG2962">
        <v>185</v>
      </c>
      <c r="AH2962">
        <v>121</v>
      </c>
      <c r="AI2962">
        <v>151</v>
      </c>
      <c r="AJ2962">
        <v>2</v>
      </c>
      <c r="AK2962">
        <v>107</v>
      </c>
      <c r="AL2962" t="s">
        <v>479</v>
      </c>
      <c r="AM2962" t="s">
        <v>480</v>
      </c>
      <c r="AN2962" t="s">
        <v>481</v>
      </c>
      <c r="AO2962" t="s">
        <v>8097</v>
      </c>
      <c r="AP2962" t="s">
        <v>8098</v>
      </c>
      <c r="AQ2962" t="s">
        <v>74</v>
      </c>
      <c r="AR2962" t="s">
        <v>8099</v>
      </c>
      <c r="AS2962" t="s">
        <v>8100</v>
      </c>
      <c r="AT2962" t="s">
        <v>848</v>
      </c>
      <c r="AU2962">
        <v>2021</v>
      </c>
      <c r="AV2962">
        <v>45</v>
      </c>
      <c r="AW2962">
        <v>4</v>
      </c>
      <c r="AX2962" t="s">
        <v>74</v>
      </c>
      <c r="AY2962" t="s">
        <v>74</v>
      </c>
      <c r="AZ2962" t="s">
        <v>74</v>
      </c>
      <c r="BA2962" t="s">
        <v>74</v>
      </c>
      <c r="BB2962">
        <v>750</v>
      </c>
      <c r="BC2962">
        <v>776</v>
      </c>
      <c r="BD2962" t="s">
        <v>74</v>
      </c>
      <c r="BE2962" t="s">
        <v>49048</v>
      </c>
      <c r="BF2962" t="str">
        <f>HYPERLINK("http://dx.doi.org/10.1111/ijcs.12668","http://dx.doi.org/10.1111/ijcs.12668")</f>
        <v>http://dx.doi.org/10.1111/ijcs.12668</v>
      </c>
      <c r="BG2962" t="s">
        <v>74</v>
      </c>
      <c r="BH2962" t="s">
        <v>10160</v>
      </c>
      <c r="BI2962">
        <v>27</v>
      </c>
      <c r="BJ2962" t="s">
        <v>418</v>
      </c>
      <c r="BK2962" t="s">
        <v>99</v>
      </c>
      <c r="BL2962" t="s">
        <v>100</v>
      </c>
      <c r="BM2962" t="s">
        <v>49049</v>
      </c>
      <c r="BN2962" t="s">
        <v>74</v>
      </c>
      <c r="BO2962" t="s">
        <v>74</v>
      </c>
      <c r="BP2962" t="s">
        <v>74</v>
      </c>
      <c r="BQ2962" t="s">
        <v>74</v>
      </c>
      <c r="BR2962" t="s">
        <v>102</v>
      </c>
      <c r="BS2962" t="s">
        <v>49050</v>
      </c>
      <c r="BT2962" t="str">
        <f>HYPERLINK("https%3A%2F%2Fwww.webofscience.com%2Fwos%2Fwoscc%2Ffull-record%2FWOS:000629337900001","View Full Record in Web of Science")</f>
        <v>View Full Record in Web of Science</v>
      </c>
    </row>
    <row r="2963" spans="1:72" x14ac:dyDescent="0.25">
      <c r="A2963" t="s">
        <v>72</v>
      </c>
      <c r="B2963" t="s">
        <v>49051</v>
      </c>
      <c r="C2963" t="s">
        <v>74</v>
      </c>
      <c r="D2963" t="s">
        <v>74</v>
      </c>
      <c r="E2963" t="s">
        <v>74</v>
      </c>
      <c r="F2963" t="s">
        <v>49052</v>
      </c>
      <c r="G2963" t="s">
        <v>74</v>
      </c>
      <c r="H2963" t="s">
        <v>74</v>
      </c>
      <c r="I2963" t="s">
        <v>49053</v>
      </c>
      <c r="J2963" t="s">
        <v>49054</v>
      </c>
      <c r="K2963" t="s">
        <v>74</v>
      </c>
      <c r="L2963" t="s">
        <v>74</v>
      </c>
      <c r="M2963" t="s">
        <v>78</v>
      </c>
      <c r="N2963" t="s">
        <v>1766</v>
      </c>
      <c r="O2963" t="s">
        <v>74</v>
      </c>
      <c r="P2963" t="s">
        <v>74</v>
      </c>
      <c r="Q2963" t="s">
        <v>74</v>
      </c>
      <c r="R2963" t="s">
        <v>74</v>
      </c>
      <c r="S2963" t="s">
        <v>74</v>
      </c>
      <c r="T2963" t="s">
        <v>49055</v>
      </c>
      <c r="U2963" t="s">
        <v>49056</v>
      </c>
      <c r="V2963" t="s">
        <v>49057</v>
      </c>
      <c r="W2963" t="s">
        <v>49058</v>
      </c>
      <c r="X2963" t="s">
        <v>49059</v>
      </c>
      <c r="Y2963" t="s">
        <v>49060</v>
      </c>
      <c r="Z2963" t="s">
        <v>49061</v>
      </c>
      <c r="AA2963" t="s">
        <v>49062</v>
      </c>
      <c r="AB2963" t="s">
        <v>49063</v>
      </c>
      <c r="AC2963" t="s">
        <v>49064</v>
      </c>
      <c r="AD2963" t="s">
        <v>49065</v>
      </c>
      <c r="AE2963" t="s">
        <v>49066</v>
      </c>
      <c r="AF2963" t="s">
        <v>74</v>
      </c>
      <c r="AG2963">
        <v>115</v>
      </c>
      <c r="AH2963">
        <v>5</v>
      </c>
      <c r="AI2963">
        <v>6</v>
      </c>
      <c r="AJ2963">
        <v>5</v>
      </c>
      <c r="AK2963">
        <v>18</v>
      </c>
      <c r="AL2963" t="s">
        <v>201</v>
      </c>
      <c r="AM2963" t="s">
        <v>202</v>
      </c>
      <c r="AN2963" t="s">
        <v>203</v>
      </c>
      <c r="AO2963" t="s">
        <v>49067</v>
      </c>
      <c r="AP2963" t="s">
        <v>49068</v>
      </c>
      <c r="AQ2963" t="s">
        <v>74</v>
      </c>
      <c r="AR2963" t="s">
        <v>49069</v>
      </c>
      <c r="AS2963" t="s">
        <v>49070</v>
      </c>
      <c r="AT2963" t="s">
        <v>237</v>
      </c>
      <c r="AU2963">
        <v>2023</v>
      </c>
      <c r="AV2963">
        <v>147</v>
      </c>
      <c r="AW2963" t="s">
        <v>74</v>
      </c>
      <c r="AX2963" t="s">
        <v>74</v>
      </c>
      <c r="AY2963" t="s">
        <v>74</v>
      </c>
      <c r="AZ2963" t="s">
        <v>74</v>
      </c>
      <c r="BA2963" t="s">
        <v>74</v>
      </c>
      <c r="BB2963" t="s">
        <v>74</v>
      </c>
      <c r="BC2963" t="s">
        <v>74</v>
      </c>
      <c r="BD2963">
        <v>102886</v>
      </c>
      <c r="BE2963" t="s">
        <v>49071</v>
      </c>
      <c r="BF2963" t="str">
        <f>HYPERLINK("http://dx.doi.org/10.1016/j.forpol.2022.102886","http://dx.doi.org/10.1016/j.forpol.2022.102886")</f>
        <v>http://dx.doi.org/10.1016/j.forpol.2022.102886</v>
      </c>
      <c r="BG2963" t="s">
        <v>74</v>
      </c>
      <c r="BH2963" t="s">
        <v>7904</v>
      </c>
      <c r="BI2963">
        <v>22</v>
      </c>
      <c r="BJ2963" t="s">
        <v>49072</v>
      </c>
      <c r="BK2963" t="s">
        <v>2623</v>
      </c>
      <c r="BL2963" t="s">
        <v>49073</v>
      </c>
      <c r="BM2963" t="s">
        <v>49074</v>
      </c>
      <c r="BN2963" t="s">
        <v>74</v>
      </c>
      <c r="BO2963" t="s">
        <v>74</v>
      </c>
      <c r="BP2963" t="s">
        <v>74</v>
      </c>
      <c r="BQ2963" t="s">
        <v>74</v>
      </c>
      <c r="BR2963" t="s">
        <v>102</v>
      </c>
      <c r="BS2963" t="s">
        <v>49075</v>
      </c>
      <c r="BT2963" t="str">
        <f>HYPERLINK("https%3A%2F%2Fwww.webofscience.com%2Fwos%2Fwoscc%2Ffull-record%2FWOS:000896709800004","View Full Record in Web of Science")</f>
        <v>View Full Record in Web of Science</v>
      </c>
    </row>
    <row r="2964" spans="1:72" x14ac:dyDescent="0.25">
      <c r="A2964" t="s">
        <v>72</v>
      </c>
      <c r="B2964" t="s">
        <v>49076</v>
      </c>
      <c r="C2964" t="s">
        <v>74</v>
      </c>
      <c r="D2964" t="s">
        <v>74</v>
      </c>
      <c r="E2964" t="s">
        <v>74</v>
      </c>
      <c r="F2964" t="s">
        <v>49077</v>
      </c>
      <c r="G2964" t="s">
        <v>74</v>
      </c>
      <c r="H2964" t="s">
        <v>74</v>
      </c>
      <c r="I2964" t="s">
        <v>49078</v>
      </c>
      <c r="J2964" t="s">
        <v>49079</v>
      </c>
      <c r="K2964" t="s">
        <v>74</v>
      </c>
      <c r="L2964" t="s">
        <v>74</v>
      </c>
      <c r="M2964" t="s">
        <v>78</v>
      </c>
      <c r="N2964" t="s">
        <v>79</v>
      </c>
      <c r="O2964" t="s">
        <v>74</v>
      </c>
      <c r="P2964" t="s">
        <v>74</v>
      </c>
      <c r="Q2964" t="s">
        <v>74</v>
      </c>
      <c r="R2964" t="s">
        <v>74</v>
      </c>
      <c r="S2964" t="s">
        <v>74</v>
      </c>
      <c r="T2964" t="s">
        <v>49080</v>
      </c>
      <c r="U2964" t="s">
        <v>1946</v>
      </c>
      <c r="V2964" t="s">
        <v>49081</v>
      </c>
      <c r="W2964" t="s">
        <v>49082</v>
      </c>
      <c r="X2964" t="s">
        <v>19403</v>
      </c>
      <c r="Y2964" t="s">
        <v>49083</v>
      </c>
      <c r="Z2964" t="s">
        <v>49084</v>
      </c>
      <c r="AA2964" t="s">
        <v>49085</v>
      </c>
      <c r="AB2964" t="s">
        <v>74</v>
      </c>
      <c r="AC2964" t="s">
        <v>49086</v>
      </c>
      <c r="AD2964" t="s">
        <v>49087</v>
      </c>
      <c r="AE2964" t="s">
        <v>49088</v>
      </c>
      <c r="AF2964" t="s">
        <v>74</v>
      </c>
      <c r="AG2964">
        <v>14</v>
      </c>
      <c r="AH2964">
        <v>3</v>
      </c>
      <c r="AI2964">
        <v>3</v>
      </c>
      <c r="AJ2964">
        <v>0</v>
      </c>
      <c r="AK2964">
        <v>9</v>
      </c>
      <c r="AL2964" t="s">
        <v>49089</v>
      </c>
      <c r="AM2964" t="s">
        <v>49090</v>
      </c>
      <c r="AN2964" t="s">
        <v>49091</v>
      </c>
      <c r="AO2964" t="s">
        <v>49092</v>
      </c>
      <c r="AP2964" t="s">
        <v>49093</v>
      </c>
      <c r="AQ2964" t="s">
        <v>74</v>
      </c>
      <c r="AR2964" t="s">
        <v>49094</v>
      </c>
      <c r="AS2964" t="s">
        <v>49095</v>
      </c>
      <c r="AT2964" t="s">
        <v>124</v>
      </c>
      <c r="AU2964">
        <v>2020</v>
      </c>
      <c r="AV2964">
        <v>10</v>
      </c>
      <c r="AW2964">
        <v>2</v>
      </c>
      <c r="AX2964" t="s">
        <v>74</v>
      </c>
      <c r="AY2964" t="s">
        <v>74</v>
      </c>
      <c r="AZ2964" t="s">
        <v>74</v>
      </c>
      <c r="BA2964" t="s">
        <v>74</v>
      </c>
      <c r="BB2964">
        <v>38</v>
      </c>
      <c r="BC2964">
        <v>46</v>
      </c>
      <c r="BD2964" t="s">
        <v>74</v>
      </c>
      <c r="BE2964" t="s">
        <v>74</v>
      </c>
      <c r="BF2964" t="s">
        <v>74</v>
      </c>
      <c r="BG2964" t="s">
        <v>74</v>
      </c>
      <c r="BH2964" t="s">
        <v>74</v>
      </c>
      <c r="BI2964">
        <v>9</v>
      </c>
      <c r="BJ2964" t="s">
        <v>9799</v>
      </c>
      <c r="BK2964" t="s">
        <v>313</v>
      </c>
      <c r="BL2964" t="s">
        <v>9799</v>
      </c>
      <c r="BM2964" t="s">
        <v>49096</v>
      </c>
      <c r="BN2964" t="s">
        <v>74</v>
      </c>
      <c r="BO2964" t="s">
        <v>74</v>
      </c>
      <c r="BP2964" t="s">
        <v>74</v>
      </c>
      <c r="BQ2964" t="s">
        <v>74</v>
      </c>
      <c r="BR2964" t="s">
        <v>102</v>
      </c>
      <c r="BS2964" t="s">
        <v>49097</v>
      </c>
      <c r="BT2964" t="str">
        <f>HYPERLINK("https%3A%2F%2Fwww.webofscience.com%2Fwos%2Fwoscc%2Ffull-record%2FWOS:000605206200005","View Full Record in Web of Science")</f>
        <v>View Full Record in Web of Science</v>
      </c>
    </row>
    <row r="2965" spans="1:72" x14ac:dyDescent="0.25">
      <c r="A2965" t="s">
        <v>72</v>
      </c>
      <c r="B2965" t="s">
        <v>49098</v>
      </c>
      <c r="C2965" t="s">
        <v>74</v>
      </c>
      <c r="D2965" t="s">
        <v>74</v>
      </c>
      <c r="E2965" t="s">
        <v>74</v>
      </c>
      <c r="F2965" t="s">
        <v>49099</v>
      </c>
      <c r="G2965" t="s">
        <v>74</v>
      </c>
      <c r="H2965" t="s">
        <v>74</v>
      </c>
      <c r="I2965" t="s">
        <v>49100</v>
      </c>
      <c r="J2965" t="s">
        <v>2309</v>
      </c>
      <c r="K2965" t="s">
        <v>74</v>
      </c>
      <c r="L2965" t="s">
        <v>74</v>
      </c>
      <c r="M2965" t="s">
        <v>78</v>
      </c>
      <c r="N2965" t="s">
        <v>79</v>
      </c>
      <c r="O2965" t="s">
        <v>74</v>
      </c>
      <c r="P2965" t="s">
        <v>74</v>
      </c>
      <c r="Q2965" t="s">
        <v>74</v>
      </c>
      <c r="R2965" t="s">
        <v>74</v>
      </c>
      <c r="S2965" t="s">
        <v>74</v>
      </c>
      <c r="T2965" t="s">
        <v>74</v>
      </c>
      <c r="U2965" t="s">
        <v>49101</v>
      </c>
      <c r="V2965" t="s">
        <v>49102</v>
      </c>
      <c r="W2965" t="s">
        <v>49103</v>
      </c>
      <c r="X2965" t="s">
        <v>49104</v>
      </c>
      <c r="Y2965" t="s">
        <v>49105</v>
      </c>
      <c r="Z2965" t="s">
        <v>49106</v>
      </c>
      <c r="AA2965" t="s">
        <v>74</v>
      </c>
      <c r="AB2965" t="s">
        <v>74</v>
      </c>
      <c r="AC2965" t="s">
        <v>74</v>
      </c>
      <c r="AD2965" t="s">
        <v>74</v>
      </c>
      <c r="AE2965" t="s">
        <v>74</v>
      </c>
      <c r="AF2965" t="s">
        <v>74</v>
      </c>
      <c r="AG2965">
        <v>23</v>
      </c>
      <c r="AH2965">
        <v>3</v>
      </c>
      <c r="AI2965">
        <v>4</v>
      </c>
      <c r="AJ2965">
        <v>1</v>
      </c>
      <c r="AK2965">
        <v>16</v>
      </c>
      <c r="AL2965" t="s">
        <v>332</v>
      </c>
      <c r="AM2965" t="s">
        <v>333</v>
      </c>
      <c r="AN2965" t="s">
        <v>334</v>
      </c>
      <c r="AO2965" t="s">
        <v>2322</v>
      </c>
      <c r="AP2965" t="s">
        <v>2323</v>
      </c>
      <c r="AQ2965" t="s">
        <v>74</v>
      </c>
      <c r="AR2965" t="s">
        <v>2324</v>
      </c>
      <c r="AS2965" t="s">
        <v>2325</v>
      </c>
      <c r="AT2965" t="s">
        <v>5028</v>
      </c>
      <c r="AU2965">
        <v>2020</v>
      </c>
      <c r="AV2965">
        <v>56</v>
      </c>
      <c r="AW2965">
        <v>10</v>
      </c>
      <c r="AX2965" t="s">
        <v>74</v>
      </c>
      <c r="AY2965" t="s">
        <v>74</v>
      </c>
      <c r="AZ2965" t="s">
        <v>74</v>
      </c>
      <c r="BA2965" t="s">
        <v>74</v>
      </c>
      <c r="BB2965">
        <v>1909</v>
      </c>
      <c r="BC2965">
        <v>1926</v>
      </c>
      <c r="BD2965" t="s">
        <v>74</v>
      </c>
      <c r="BE2965" t="s">
        <v>49107</v>
      </c>
      <c r="BF2965" t="str">
        <f>HYPERLINK("http://dx.doi.org/10.1080/00220388.2019.1640873","http://dx.doi.org/10.1080/00220388.2019.1640873")</f>
        <v>http://dx.doi.org/10.1080/00220388.2019.1640873</v>
      </c>
      <c r="BG2965" t="s">
        <v>74</v>
      </c>
      <c r="BH2965" t="s">
        <v>8650</v>
      </c>
      <c r="BI2965">
        <v>18</v>
      </c>
      <c r="BJ2965" t="s">
        <v>701</v>
      </c>
      <c r="BK2965" t="s">
        <v>99</v>
      </c>
      <c r="BL2965" t="s">
        <v>702</v>
      </c>
      <c r="BM2965" t="s">
        <v>49108</v>
      </c>
      <c r="BN2965" t="s">
        <v>74</v>
      </c>
      <c r="BO2965" t="s">
        <v>74</v>
      </c>
      <c r="BP2965" t="s">
        <v>74</v>
      </c>
      <c r="BQ2965" t="s">
        <v>74</v>
      </c>
      <c r="BR2965" t="s">
        <v>102</v>
      </c>
      <c r="BS2965" t="s">
        <v>49109</v>
      </c>
      <c r="BT2965" t="str">
        <f>HYPERLINK("https%3A%2F%2Fwww.webofscience.com%2Fwos%2Fwoscc%2Ffull-record%2FWOS:000478652300001","View Full Record in Web of Science")</f>
        <v>View Full Record in Web of Science</v>
      </c>
    </row>
    <row r="2966" spans="1:72" x14ac:dyDescent="0.25">
      <c r="A2966" t="s">
        <v>72</v>
      </c>
      <c r="B2966" t="s">
        <v>49110</v>
      </c>
      <c r="C2966" t="s">
        <v>74</v>
      </c>
      <c r="D2966" t="s">
        <v>74</v>
      </c>
      <c r="E2966" t="s">
        <v>74</v>
      </c>
      <c r="F2966" t="s">
        <v>49111</v>
      </c>
      <c r="G2966" t="s">
        <v>74</v>
      </c>
      <c r="H2966" t="s">
        <v>74</v>
      </c>
      <c r="I2966" t="s">
        <v>49112</v>
      </c>
      <c r="J2966" t="s">
        <v>7220</v>
      </c>
      <c r="K2966" t="s">
        <v>74</v>
      </c>
      <c r="L2966" t="s">
        <v>74</v>
      </c>
      <c r="M2966" t="s">
        <v>78</v>
      </c>
      <c r="N2966" t="s">
        <v>79</v>
      </c>
      <c r="O2966" t="s">
        <v>74</v>
      </c>
      <c r="P2966" t="s">
        <v>74</v>
      </c>
      <c r="Q2966" t="s">
        <v>74</v>
      </c>
      <c r="R2966" t="s">
        <v>74</v>
      </c>
      <c r="S2966" t="s">
        <v>74</v>
      </c>
      <c r="T2966" t="s">
        <v>49113</v>
      </c>
      <c r="U2966" t="s">
        <v>74</v>
      </c>
      <c r="V2966" t="s">
        <v>49114</v>
      </c>
      <c r="W2966" t="s">
        <v>49115</v>
      </c>
      <c r="X2966" t="s">
        <v>49116</v>
      </c>
      <c r="Y2966" t="s">
        <v>49117</v>
      </c>
      <c r="Z2966" t="s">
        <v>49118</v>
      </c>
      <c r="AA2966" t="s">
        <v>49119</v>
      </c>
      <c r="AB2966" t="s">
        <v>49120</v>
      </c>
      <c r="AC2966" t="s">
        <v>74</v>
      </c>
      <c r="AD2966" t="s">
        <v>74</v>
      </c>
      <c r="AE2966" t="s">
        <v>74</v>
      </c>
      <c r="AF2966" t="s">
        <v>74</v>
      </c>
      <c r="AG2966">
        <v>49</v>
      </c>
      <c r="AH2966">
        <v>1</v>
      </c>
      <c r="AI2966">
        <v>2</v>
      </c>
      <c r="AJ2966">
        <v>2</v>
      </c>
      <c r="AK2966">
        <v>15</v>
      </c>
      <c r="AL2966" t="s">
        <v>89</v>
      </c>
      <c r="AM2966" t="s">
        <v>90</v>
      </c>
      <c r="AN2966" t="s">
        <v>91</v>
      </c>
      <c r="AO2966" t="s">
        <v>7230</v>
      </c>
      <c r="AP2966" t="s">
        <v>7231</v>
      </c>
      <c r="AQ2966" t="s">
        <v>74</v>
      </c>
      <c r="AR2966" t="s">
        <v>7232</v>
      </c>
      <c r="AS2966" t="s">
        <v>7233</v>
      </c>
      <c r="AT2966" t="s">
        <v>11872</v>
      </c>
      <c r="AU2966">
        <v>2025</v>
      </c>
      <c r="AV2966">
        <v>41</v>
      </c>
      <c r="AW2966">
        <v>4</v>
      </c>
      <c r="AX2966" t="s">
        <v>74</v>
      </c>
      <c r="AY2966" t="s">
        <v>74</v>
      </c>
      <c r="AZ2966" t="s">
        <v>74</v>
      </c>
      <c r="BA2966" t="s">
        <v>74</v>
      </c>
      <c r="BB2966">
        <v>1386</v>
      </c>
      <c r="BC2966">
        <v>1409</v>
      </c>
      <c r="BD2966" t="s">
        <v>74</v>
      </c>
      <c r="BE2966" t="s">
        <v>49121</v>
      </c>
      <c r="BF2966" t="str">
        <f>HYPERLINK("http://dx.doi.org/10.1108/JEAS-07-2022-0172","http://dx.doi.org/10.1108/JEAS-07-2022-0172")</f>
        <v>http://dx.doi.org/10.1108/JEAS-07-2022-0172</v>
      </c>
      <c r="BG2966" t="s">
        <v>74</v>
      </c>
      <c r="BH2966" t="s">
        <v>700</v>
      </c>
      <c r="BI2966">
        <v>24</v>
      </c>
      <c r="BJ2966" t="s">
        <v>291</v>
      </c>
      <c r="BK2966" t="s">
        <v>313</v>
      </c>
      <c r="BL2966" t="s">
        <v>100</v>
      </c>
      <c r="BM2966" t="s">
        <v>49122</v>
      </c>
      <c r="BN2966" t="s">
        <v>74</v>
      </c>
      <c r="BO2966" t="s">
        <v>74</v>
      </c>
      <c r="BP2966" t="s">
        <v>74</v>
      </c>
      <c r="BQ2966" t="s">
        <v>74</v>
      </c>
      <c r="BR2966" t="s">
        <v>102</v>
      </c>
      <c r="BS2966" t="s">
        <v>49123</v>
      </c>
      <c r="BT2966" t="str">
        <f>HYPERLINK("https%3A%2F%2Fwww.webofscience.com%2Fwos%2Fwoscc%2Ffull-record%2FWOS:001035067000001","View Full Record in Web of Science")</f>
        <v>View Full Record in Web of Science</v>
      </c>
    </row>
    <row r="2967" spans="1:72" x14ac:dyDescent="0.25">
      <c r="A2967" t="s">
        <v>72</v>
      </c>
      <c r="B2967" t="s">
        <v>49124</v>
      </c>
      <c r="C2967" t="s">
        <v>74</v>
      </c>
      <c r="D2967" t="s">
        <v>74</v>
      </c>
      <c r="E2967" t="s">
        <v>74</v>
      </c>
      <c r="F2967" t="s">
        <v>49125</v>
      </c>
      <c r="G2967" t="s">
        <v>74</v>
      </c>
      <c r="H2967" t="s">
        <v>74</v>
      </c>
      <c r="I2967" t="s">
        <v>49126</v>
      </c>
      <c r="J2967" t="s">
        <v>49127</v>
      </c>
      <c r="K2967" t="s">
        <v>74</v>
      </c>
      <c r="L2967" t="s">
        <v>74</v>
      </c>
      <c r="M2967" t="s">
        <v>78</v>
      </c>
      <c r="N2967" t="s">
        <v>1766</v>
      </c>
      <c r="O2967" t="s">
        <v>74</v>
      </c>
      <c r="P2967" t="s">
        <v>74</v>
      </c>
      <c r="Q2967" t="s">
        <v>74</v>
      </c>
      <c r="R2967" t="s">
        <v>74</v>
      </c>
      <c r="S2967" t="s">
        <v>74</v>
      </c>
      <c r="T2967" t="s">
        <v>49128</v>
      </c>
      <c r="U2967" t="s">
        <v>49129</v>
      </c>
      <c r="V2967" t="s">
        <v>49130</v>
      </c>
      <c r="W2967" t="s">
        <v>49131</v>
      </c>
      <c r="X2967" t="s">
        <v>49132</v>
      </c>
      <c r="Y2967" t="s">
        <v>49133</v>
      </c>
      <c r="Z2967" t="s">
        <v>49134</v>
      </c>
      <c r="AA2967" t="s">
        <v>49135</v>
      </c>
      <c r="AB2967" t="s">
        <v>49136</v>
      </c>
      <c r="AC2967" t="s">
        <v>74</v>
      </c>
      <c r="AD2967" t="s">
        <v>74</v>
      </c>
      <c r="AE2967" t="s">
        <v>74</v>
      </c>
      <c r="AF2967" t="s">
        <v>74</v>
      </c>
      <c r="AG2967">
        <v>114</v>
      </c>
      <c r="AH2967">
        <v>60</v>
      </c>
      <c r="AI2967">
        <v>80</v>
      </c>
      <c r="AJ2967">
        <v>2</v>
      </c>
      <c r="AK2967">
        <v>130</v>
      </c>
      <c r="AL2967" t="s">
        <v>89</v>
      </c>
      <c r="AM2967" t="s">
        <v>90</v>
      </c>
      <c r="AN2967" t="s">
        <v>91</v>
      </c>
      <c r="AO2967" t="s">
        <v>49137</v>
      </c>
      <c r="AP2967" t="s">
        <v>74</v>
      </c>
      <c r="AQ2967" t="s">
        <v>74</v>
      </c>
      <c r="AR2967" t="s">
        <v>49138</v>
      </c>
      <c r="AS2967" t="s">
        <v>49139</v>
      </c>
      <c r="AT2967" t="s">
        <v>13792</v>
      </c>
      <c r="AU2967">
        <v>2021</v>
      </c>
      <c r="AV2967">
        <v>14</v>
      </c>
      <c r="AW2967">
        <v>1</v>
      </c>
      <c r="AX2967" t="s">
        <v>74</v>
      </c>
      <c r="AY2967" t="s">
        <v>74</v>
      </c>
      <c r="AZ2967" t="s">
        <v>441</v>
      </c>
      <c r="BA2967" t="s">
        <v>74</v>
      </c>
      <c r="BB2967">
        <v>61</v>
      </c>
      <c r="BC2967">
        <v>80</v>
      </c>
      <c r="BD2967" t="s">
        <v>74</v>
      </c>
      <c r="BE2967" t="s">
        <v>49140</v>
      </c>
      <c r="BF2967" t="str">
        <f>HYPERLINK("http://dx.doi.org/10.1108/JGOSS-07-2020-0039","http://dx.doi.org/10.1108/JGOSS-07-2020-0039")</f>
        <v>http://dx.doi.org/10.1108/JGOSS-07-2020-0039</v>
      </c>
      <c r="BG2967" t="s">
        <v>74</v>
      </c>
      <c r="BH2967" t="s">
        <v>10160</v>
      </c>
      <c r="BI2967">
        <v>20</v>
      </c>
      <c r="BJ2967" t="s">
        <v>583</v>
      </c>
      <c r="BK2967" t="s">
        <v>313</v>
      </c>
      <c r="BL2967" t="s">
        <v>100</v>
      </c>
      <c r="BM2967" t="s">
        <v>49141</v>
      </c>
      <c r="BN2967" t="s">
        <v>74</v>
      </c>
      <c r="BO2967" t="s">
        <v>74</v>
      </c>
      <c r="BP2967" t="s">
        <v>74</v>
      </c>
      <c r="BQ2967" t="s">
        <v>74</v>
      </c>
      <c r="BR2967" t="s">
        <v>102</v>
      </c>
      <c r="BS2967" t="s">
        <v>49142</v>
      </c>
      <c r="BT2967" t="str">
        <f>HYPERLINK("https%3A%2F%2Fwww.webofscience.com%2Fwos%2Fwoscc%2Ffull-record%2FWOS:000626708600001","View Full Record in Web of Science")</f>
        <v>View Full Record in Web of Science</v>
      </c>
    </row>
    <row r="2968" spans="1:72" x14ac:dyDescent="0.25">
      <c r="A2968" t="s">
        <v>72</v>
      </c>
      <c r="B2968" t="s">
        <v>49143</v>
      </c>
      <c r="C2968" t="s">
        <v>74</v>
      </c>
      <c r="D2968" t="s">
        <v>74</v>
      </c>
      <c r="E2968" t="s">
        <v>74</v>
      </c>
      <c r="F2968" t="s">
        <v>49144</v>
      </c>
      <c r="G2968" t="s">
        <v>74</v>
      </c>
      <c r="H2968" t="s">
        <v>74</v>
      </c>
      <c r="I2968" t="s">
        <v>49145</v>
      </c>
      <c r="J2968" t="s">
        <v>41447</v>
      </c>
      <c r="K2968" t="s">
        <v>74</v>
      </c>
      <c r="L2968" t="s">
        <v>74</v>
      </c>
      <c r="M2968" t="s">
        <v>78</v>
      </c>
      <c r="N2968" t="s">
        <v>79</v>
      </c>
      <c r="O2968" t="s">
        <v>74</v>
      </c>
      <c r="P2968" t="s">
        <v>74</v>
      </c>
      <c r="Q2968" t="s">
        <v>74</v>
      </c>
      <c r="R2968" t="s">
        <v>74</v>
      </c>
      <c r="S2968" t="s">
        <v>74</v>
      </c>
      <c r="T2968" t="s">
        <v>49146</v>
      </c>
      <c r="U2968" t="s">
        <v>49147</v>
      </c>
      <c r="V2968" t="s">
        <v>49148</v>
      </c>
      <c r="W2968" t="s">
        <v>49149</v>
      </c>
      <c r="X2968" t="s">
        <v>49150</v>
      </c>
      <c r="Y2968" t="s">
        <v>49151</v>
      </c>
      <c r="Z2968" t="s">
        <v>49152</v>
      </c>
      <c r="AA2968" t="s">
        <v>49153</v>
      </c>
      <c r="AB2968" t="s">
        <v>49154</v>
      </c>
      <c r="AC2968" t="s">
        <v>74</v>
      </c>
      <c r="AD2968" t="s">
        <v>74</v>
      </c>
      <c r="AE2968" t="s">
        <v>74</v>
      </c>
      <c r="AF2968" t="s">
        <v>74</v>
      </c>
      <c r="AG2968">
        <v>41</v>
      </c>
      <c r="AH2968">
        <v>20</v>
      </c>
      <c r="AI2968">
        <v>25</v>
      </c>
      <c r="AJ2968">
        <v>3</v>
      </c>
      <c r="AK2968">
        <v>34</v>
      </c>
      <c r="AL2968" t="s">
        <v>332</v>
      </c>
      <c r="AM2968" t="s">
        <v>333</v>
      </c>
      <c r="AN2968" t="s">
        <v>334</v>
      </c>
      <c r="AO2968" t="s">
        <v>41454</v>
      </c>
      <c r="AP2968" t="s">
        <v>41455</v>
      </c>
      <c r="AQ2968" t="s">
        <v>74</v>
      </c>
      <c r="AR2968" t="s">
        <v>41456</v>
      </c>
      <c r="AS2968" t="s">
        <v>41457</v>
      </c>
      <c r="AT2968" t="s">
        <v>74</v>
      </c>
      <c r="AU2968">
        <v>2012</v>
      </c>
      <c r="AV2968">
        <v>38</v>
      </c>
      <c r="AW2968">
        <v>3</v>
      </c>
      <c r="AX2968" t="s">
        <v>74</v>
      </c>
      <c r="AY2968" t="s">
        <v>74</v>
      </c>
      <c r="AZ2968" t="s">
        <v>74</v>
      </c>
      <c r="BA2968" t="s">
        <v>74</v>
      </c>
      <c r="BB2968">
        <v>342</v>
      </c>
      <c r="BC2968">
        <v>350</v>
      </c>
      <c r="BD2968" t="s">
        <v>74</v>
      </c>
      <c r="BE2968" t="s">
        <v>49155</v>
      </c>
      <c r="BF2968" t="str">
        <f>HYPERLINK("http://dx.doi.org/10.1080/01488376.2011.638733","http://dx.doi.org/10.1080/01488376.2011.638733")</f>
        <v>http://dx.doi.org/10.1080/01488376.2011.638733</v>
      </c>
      <c r="BG2968" t="s">
        <v>74</v>
      </c>
      <c r="BH2968" t="s">
        <v>74</v>
      </c>
      <c r="BI2968">
        <v>9</v>
      </c>
      <c r="BJ2968" t="s">
        <v>2045</v>
      </c>
      <c r="BK2968" t="s">
        <v>99</v>
      </c>
      <c r="BL2968" t="s">
        <v>2045</v>
      </c>
      <c r="BM2968" t="s">
        <v>49156</v>
      </c>
      <c r="BN2968" t="s">
        <v>74</v>
      </c>
      <c r="BO2968" t="s">
        <v>74</v>
      </c>
      <c r="BP2968" t="s">
        <v>74</v>
      </c>
      <c r="BQ2968" t="s">
        <v>74</v>
      </c>
      <c r="BR2968" t="s">
        <v>102</v>
      </c>
      <c r="BS2968" t="s">
        <v>49157</v>
      </c>
      <c r="BT2968" t="str">
        <f>HYPERLINK("https%3A%2F%2Fwww.webofscience.com%2Fwos%2Fwoscc%2Ffull-record%2FWOS:000303580700006","View Full Record in Web of Science")</f>
        <v>View Full Record in Web of Science</v>
      </c>
    </row>
    <row r="2969" spans="1:72" x14ac:dyDescent="0.25">
      <c r="A2969" t="s">
        <v>72</v>
      </c>
      <c r="B2969" t="s">
        <v>49158</v>
      </c>
      <c r="C2969" t="s">
        <v>74</v>
      </c>
      <c r="D2969" t="s">
        <v>74</v>
      </c>
      <c r="E2969" t="s">
        <v>74</v>
      </c>
      <c r="F2969" t="s">
        <v>49159</v>
      </c>
      <c r="G2969" t="s">
        <v>74</v>
      </c>
      <c r="H2969" t="s">
        <v>74</v>
      </c>
      <c r="I2969" t="s">
        <v>49160</v>
      </c>
      <c r="J2969" t="s">
        <v>9372</v>
      </c>
      <c r="K2969" t="s">
        <v>74</v>
      </c>
      <c r="L2969" t="s">
        <v>74</v>
      </c>
      <c r="M2969" t="s">
        <v>78</v>
      </c>
      <c r="N2969" t="s">
        <v>1766</v>
      </c>
      <c r="O2969" t="s">
        <v>74</v>
      </c>
      <c r="P2969" t="s">
        <v>74</v>
      </c>
      <c r="Q2969" t="s">
        <v>74</v>
      </c>
      <c r="R2969" t="s">
        <v>74</v>
      </c>
      <c r="S2969" t="s">
        <v>74</v>
      </c>
      <c r="T2969" t="s">
        <v>49161</v>
      </c>
      <c r="U2969" t="s">
        <v>49162</v>
      </c>
      <c r="V2969" t="s">
        <v>49163</v>
      </c>
      <c r="W2969" t="s">
        <v>49164</v>
      </c>
      <c r="X2969" t="s">
        <v>49165</v>
      </c>
      <c r="Y2969" t="s">
        <v>49166</v>
      </c>
      <c r="Z2969" t="s">
        <v>49167</v>
      </c>
      <c r="AA2969" t="s">
        <v>49168</v>
      </c>
      <c r="AB2969" t="s">
        <v>49169</v>
      </c>
      <c r="AC2969" t="s">
        <v>74</v>
      </c>
      <c r="AD2969" t="s">
        <v>74</v>
      </c>
      <c r="AE2969" t="s">
        <v>74</v>
      </c>
      <c r="AF2969" t="s">
        <v>74</v>
      </c>
      <c r="AG2969">
        <v>79</v>
      </c>
      <c r="AH2969">
        <v>5</v>
      </c>
      <c r="AI2969">
        <v>5</v>
      </c>
      <c r="AJ2969">
        <v>9</v>
      </c>
      <c r="AK2969">
        <v>23</v>
      </c>
      <c r="AL2969" t="s">
        <v>201</v>
      </c>
      <c r="AM2969" t="s">
        <v>202</v>
      </c>
      <c r="AN2969" t="s">
        <v>203</v>
      </c>
      <c r="AO2969" t="s">
        <v>9384</v>
      </c>
      <c r="AP2969" t="s">
        <v>9385</v>
      </c>
      <c r="AQ2969" t="s">
        <v>74</v>
      </c>
      <c r="AR2969" t="s">
        <v>9386</v>
      </c>
      <c r="AS2969" t="s">
        <v>9387</v>
      </c>
      <c r="AT2969" t="s">
        <v>1159</v>
      </c>
      <c r="AU2969">
        <v>2024</v>
      </c>
      <c r="AV2969">
        <v>72</v>
      </c>
      <c r="AW2969" t="s">
        <v>74</v>
      </c>
      <c r="AX2969" t="s">
        <v>3828</v>
      </c>
      <c r="AY2969" t="s">
        <v>74</v>
      </c>
      <c r="AZ2969" t="s">
        <v>74</v>
      </c>
      <c r="BA2969" t="s">
        <v>74</v>
      </c>
      <c r="BB2969" t="s">
        <v>74</v>
      </c>
      <c r="BC2969" t="s">
        <v>74</v>
      </c>
      <c r="BD2969">
        <v>102504</v>
      </c>
      <c r="BE2969" t="s">
        <v>49170</v>
      </c>
      <c r="BF2969" t="str">
        <f>HYPERLINK("http://dx.doi.org/10.1016/j.ribaf.2024.102504","http://dx.doi.org/10.1016/j.ribaf.2024.102504")</f>
        <v>http://dx.doi.org/10.1016/j.ribaf.2024.102504</v>
      </c>
      <c r="BG2969" t="s">
        <v>74</v>
      </c>
      <c r="BH2969" t="s">
        <v>393</v>
      </c>
      <c r="BI2969">
        <v>16</v>
      </c>
      <c r="BJ2969" t="s">
        <v>268</v>
      </c>
      <c r="BK2969" t="s">
        <v>99</v>
      </c>
      <c r="BL2969" t="s">
        <v>100</v>
      </c>
      <c r="BM2969" t="s">
        <v>49171</v>
      </c>
      <c r="BN2969" t="s">
        <v>74</v>
      </c>
      <c r="BO2969" t="s">
        <v>270</v>
      </c>
      <c r="BP2969" t="s">
        <v>74</v>
      </c>
      <c r="BQ2969" t="s">
        <v>74</v>
      </c>
      <c r="BR2969" t="s">
        <v>102</v>
      </c>
      <c r="BS2969" t="s">
        <v>49172</v>
      </c>
      <c r="BT2969" t="str">
        <f>HYPERLINK("https%3A%2F%2Fwww.webofscience.com%2Fwos%2Fwoscc%2Ffull-record%2FWOS:001291169100001","View Full Record in Web of Science")</f>
        <v>View Full Record in Web of Science</v>
      </c>
    </row>
    <row r="2970" spans="1:72" x14ac:dyDescent="0.25">
      <c r="A2970" t="s">
        <v>132</v>
      </c>
      <c r="B2970" t="s">
        <v>49173</v>
      </c>
      <c r="C2970" t="s">
        <v>74</v>
      </c>
      <c r="D2970" t="s">
        <v>49174</v>
      </c>
      <c r="E2970" t="s">
        <v>74</v>
      </c>
      <c r="F2970" t="s">
        <v>49175</v>
      </c>
      <c r="G2970" t="s">
        <v>74</v>
      </c>
      <c r="H2970" t="s">
        <v>74</v>
      </c>
      <c r="I2970" t="s">
        <v>49176</v>
      </c>
      <c r="J2970" t="s">
        <v>49177</v>
      </c>
      <c r="K2970" t="s">
        <v>34622</v>
      </c>
      <c r="L2970" t="s">
        <v>74</v>
      </c>
      <c r="M2970" t="s">
        <v>78</v>
      </c>
      <c r="N2970" t="s">
        <v>138</v>
      </c>
      <c r="O2970" t="s">
        <v>49178</v>
      </c>
      <c r="P2970" t="s">
        <v>49179</v>
      </c>
      <c r="Q2970" t="s">
        <v>49180</v>
      </c>
      <c r="R2970" t="s">
        <v>74</v>
      </c>
      <c r="S2970" t="s">
        <v>74</v>
      </c>
      <c r="T2970" t="s">
        <v>49181</v>
      </c>
      <c r="U2970" t="s">
        <v>74</v>
      </c>
      <c r="V2970" t="s">
        <v>49182</v>
      </c>
      <c r="W2970" t="s">
        <v>49183</v>
      </c>
      <c r="X2970" t="s">
        <v>10983</v>
      </c>
      <c r="Y2970" t="s">
        <v>49184</v>
      </c>
      <c r="Z2970" t="s">
        <v>49185</v>
      </c>
      <c r="AA2970" t="s">
        <v>74</v>
      </c>
      <c r="AB2970" t="s">
        <v>49186</v>
      </c>
      <c r="AC2970" t="s">
        <v>74</v>
      </c>
      <c r="AD2970" t="s">
        <v>74</v>
      </c>
      <c r="AE2970" t="s">
        <v>74</v>
      </c>
      <c r="AF2970" t="s">
        <v>74</v>
      </c>
      <c r="AG2970">
        <v>17</v>
      </c>
      <c r="AH2970">
        <v>0</v>
      </c>
      <c r="AI2970">
        <v>0</v>
      </c>
      <c r="AJ2970">
        <v>0</v>
      </c>
      <c r="AK2970">
        <v>3</v>
      </c>
      <c r="AL2970" t="s">
        <v>385</v>
      </c>
      <c r="AM2970" t="s">
        <v>151</v>
      </c>
      <c r="AN2970" t="s">
        <v>32073</v>
      </c>
      <c r="AO2970" t="s">
        <v>34634</v>
      </c>
      <c r="AP2970" t="s">
        <v>74</v>
      </c>
      <c r="AQ2970" t="s">
        <v>49187</v>
      </c>
      <c r="AR2970" t="s">
        <v>34637</v>
      </c>
      <c r="AS2970" t="s">
        <v>74</v>
      </c>
      <c r="AT2970" t="s">
        <v>74</v>
      </c>
      <c r="AU2970">
        <v>2018</v>
      </c>
      <c r="AV2970">
        <v>204</v>
      </c>
      <c r="AW2970" t="s">
        <v>74</v>
      </c>
      <c r="AX2970" t="s">
        <v>74</v>
      </c>
      <c r="AY2970" t="s">
        <v>74</v>
      </c>
      <c r="AZ2970" t="s">
        <v>74</v>
      </c>
      <c r="BA2970" t="s">
        <v>74</v>
      </c>
      <c r="BB2970">
        <v>125</v>
      </c>
      <c r="BC2970">
        <v>130</v>
      </c>
      <c r="BD2970" t="s">
        <v>74</v>
      </c>
      <c r="BE2970" t="s">
        <v>49188</v>
      </c>
      <c r="BF2970" t="str">
        <f>HYPERLINK("http://dx.doi.org/10.1007/978-3-319-72965-7_11","http://dx.doi.org/10.1007/978-3-319-72965-7_11")</f>
        <v>http://dx.doi.org/10.1007/978-3-319-72965-7_11</v>
      </c>
      <c r="BG2970" t="s">
        <v>74</v>
      </c>
      <c r="BH2970" t="s">
        <v>74</v>
      </c>
      <c r="BI2970">
        <v>6</v>
      </c>
      <c r="BJ2970" t="s">
        <v>49189</v>
      </c>
      <c r="BK2970" t="s">
        <v>1069</v>
      </c>
      <c r="BL2970" t="s">
        <v>49190</v>
      </c>
      <c r="BM2970" t="s">
        <v>49191</v>
      </c>
      <c r="BN2970" t="s">
        <v>74</v>
      </c>
      <c r="BO2970" t="s">
        <v>74</v>
      </c>
      <c r="BP2970" t="s">
        <v>74</v>
      </c>
      <c r="BQ2970" t="s">
        <v>74</v>
      </c>
      <c r="BR2970" t="s">
        <v>102</v>
      </c>
      <c r="BS2970" t="s">
        <v>49192</v>
      </c>
      <c r="BT2970" t="str">
        <f>HYPERLINK("https%3A%2F%2Fwww.webofscience.com%2Fwos%2Fwoscc%2Ffull-record%2FWOS:000435083500011","View Full Record in Web of Science")</f>
        <v>View Full Record in Web of Science</v>
      </c>
    </row>
    <row r="2971" spans="1:72" x14ac:dyDescent="0.25">
      <c r="A2971" t="s">
        <v>72</v>
      </c>
      <c r="B2971" t="s">
        <v>49193</v>
      </c>
      <c r="C2971" t="s">
        <v>74</v>
      </c>
      <c r="D2971" t="s">
        <v>74</v>
      </c>
      <c r="E2971" t="s">
        <v>74</v>
      </c>
      <c r="F2971" t="s">
        <v>49194</v>
      </c>
      <c r="G2971" t="s">
        <v>74</v>
      </c>
      <c r="H2971" t="s">
        <v>74</v>
      </c>
      <c r="I2971" t="s">
        <v>49195</v>
      </c>
      <c r="J2971" t="s">
        <v>43669</v>
      </c>
      <c r="K2971" t="s">
        <v>74</v>
      </c>
      <c r="L2971" t="s">
        <v>74</v>
      </c>
      <c r="M2971" t="s">
        <v>78</v>
      </c>
      <c r="N2971" t="s">
        <v>79</v>
      </c>
      <c r="O2971" t="s">
        <v>74</v>
      </c>
      <c r="P2971" t="s">
        <v>74</v>
      </c>
      <c r="Q2971" t="s">
        <v>74</v>
      </c>
      <c r="R2971" t="s">
        <v>74</v>
      </c>
      <c r="S2971" t="s">
        <v>74</v>
      </c>
      <c r="T2971" t="s">
        <v>74</v>
      </c>
      <c r="U2971" t="s">
        <v>49196</v>
      </c>
      <c r="V2971" t="s">
        <v>49197</v>
      </c>
      <c r="W2971" t="s">
        <v>49198</v>
      </c>
      <c r="X2971" t="s">
        <v>47816</v>
      </c>
      <c r="Y2971" t="s">
        <v>49199</v>
      </c>
      <c r="Z2971" t="s">
        <v>49200</v>
      </c>
      <c r="AA2971" t="s">
        <v>74</v>
      </c>
      <c r="AB2971" t="s">
        <v>74</v>
      </c>
      <c r="AC2971" t="s">
        <v>74</v>
      </c>
      <c r="AD2971" t="s">
        <v>74</v>
      </c>
      <c r="AE2971" t="s">
        <v>74</v>
      </c>
      <c r="AF2971" t="s">
        <v>74</v>
      </c>
      <c r="AG2971">
        <v>55</v>
      </c>
      <c r="AH2971">
        <v>14</v>
      </c>
      <c r="AI2971">
        <v>19</v>
      </c>
      <c r="AJ2971">
        <v>0</v>
      </c>
      <c r="AK2971">
        <v>6</v>
      </c>
      <c r="AL2971" t="s">
        <v>3861</v>
      </c>
      <c r="AM2971" t="s">
        <v>151</v>
      </c>
      <c r="AN2971" t="s">
        <v>43675</v>
      </c>
      <c r="AO2971" t="s">
        <v>43676</v>
      </c>
      <c r="AP2971" t="s">
        <v>43677</v>
      </c>
      <c r="AQ2971" t="s">
        <v>74</v>
      </c>
      <c r="AR2971" t="s">
        <v>43678</v>
      </c>
      <c r="AS2971" t="s">
        <v>43679</v>
      </c>
      <c r="AT2971" t="s">
        <v>698</v>
      </c>
      <c r="AU2971">
        <v>2012</v>
      </c>
      <c r="AV2971">
        <v>50</v>
      </c>
      <c r="AW2971">
        <v>3</v>
      </c>
      <c r="AX2971" t="s">
        <v>74</v>
      </c>
      <c r="AY2971" t="s">
        <v>74</v>
      </c>
      <c r="AZ2971" t="s">
        <v>74</v>
      </c>
      <c r="BA2971" t="s">
        <v>74</v>
      </c>
      <c r="BB2971">
        <v>369</v>
      </c>
      <c r="BC2971">
        <v>395</v>
      </c>
      <c r="BD2971" t="s">
        <v>74</v>
      </c>
      <c r="BE2971" t="s">
        <v>49201</v>
      </c>
      <c r="BF2971" t="str">
        <f>HYPERLINK("http://dx.doi.org/10.1017/S0022278X1200016X","http://dx.doi.org/10.1017/S0022278X1200016X")</f>
        <v>http://dx.doi.org/10.1017/S0022278X1200016X</v>
      </c>
      <c r="BG2971" t="s">
        <v>74</v>
      </c>
      <c r="BH2971" t="s">
        <v>74</v>
      </c>
      <c r="BI2971">
        <v>27</v>
      </c>
      <c r="BJ2971" t="s">
        <v>1674</v>
      </c>
      <c r="BK2971" t="s">
        <v>99</v>
      </c>
      <c r="BL2971" t="s">
        <v>1674</v>
      </c>
      <c r="BM2971" t="s">
        <v>49202</v>
      </c>
      <c r="BN2971" t="s">
        <v>74</v>
      </c>
      <c r="BO2971" t="s">
        <v>74</v>
      </c>
      <c r="BP2971" t="s">
        <v>74</v>
      </c>
      <c r="BQ2971" t="s">
        <v>74</v>
      </c>
      <c r="BR2971" t="s">
        <v>102</v>
      </c>
      <c r="BS2971" t="s">
        <v>49203</v>
      </c>
      <c r="BT2971" t="str">
        <f>HYPERLINK("https%3A%2F%2Fwww.webofscience.com%2Fwos%2Fwoscc%2Ffull-record%2FWOS:000308827500001","View Full Record in Web of Science")</f>
        <v>View Full Record in Web of Science</v>
      </c>
    </row>
    <row r="2972" spans="1:72" x14ac:dyDescent="0.25">
      <c r="A2972" t="s">
        <v>72</v>
      </c>
      <c r="B2972" t="s">
        <v>49204</v>
      </c>
      <c r="C2972" t="s">
        <v>74</v>
      </c>
      <c r="D2972" t="s">
        <v>74</v>
      </c>
      <c r="E2972" t="s">
        <v>74</v>
      </c>
      <c r="F2972" t="s">
        <v>49205</v>
      </c>
      <c r="G2972" t="s">
        <v>74</v>
      </c>
      <c r="H2972" t="s">
        <v>74</v>
      </c>
      <c r="I2972" t="s">
        <v>49206</v>
      </c>
      <c r="J2972" t="s">
        <v>6437</v>
      </c>
      <c r="K2972" t="s">
        <v>74</v>
      </c>
      <c r="L2972" t="s">
        <v>74</v>
      </c>
      <c r="M2972" t="s">
        <v>78</v>
      </c>
      <c r="N2972" t="s">
        <v>79</v>
      </c>
      <c r="O2972" t="s">
        <v>74</v>
      </c>
      <c r="P2972" t="s">
        <v>74</v>
      </c>
      <c r="Q2972" t="s">
        <v>74</v>
      </c>
      <c r="R2972" t="s">
        <v>74</v>
      </c>
      <c r="S2972" t="s">
        <v>74</v>
      </c>
      <c r="T2972" t="s">
        <v>49207</v>
      </c>
      <c r="U2972" t="s">
        <v>49208</v>
      </c>
      <c r="V2972" t="s">
        <v>49209</v>
      </c>
      <c r="W2972" t="s">
        <v>49210</v>
      </c>
      <c r="X2972" t="s">
        <v>74</v>
      </c>
      <c r="Y2972" t="s">
        <v>49211</v>
      </c>
      <c r="Z2972" t="s">
        <v>49212</v>
      </c>
      <c r="AA2972" t="s">
        <v>49213</v>
      </c>
      <c r="AB2972" t="s">
        <v>74</v>
      </c>
      <c r="AC2972" t="s">
        <v>49214</v>
      </c>
      <c r="AD2972" t="s">
        <v>49214</v>
      </c>
      <c r="AE2972" t="s">
        <v>49215</v>
      </c>
      <c r="AF2972" t="s">
        <v>74</v>
      </c>
      <c r="AG2972">
        <v>90</v>
      </c>
      <c r="AH2972">
        <v>0</v>
      </c>
      <c r="AI2972">
        <v>0</v>
      </c>
      <c r="AJ2972">
        <v>4</v>
      </c>
      <c r="AK2972">
        <v>4</v>
      </c>
      <c r="AL2972" t="s">
        <v>479</v>
      </c>
      <c r="AM2972" t="s">
        <v>480</v>
      </c>
      <c r="AN2972" t="s">
        <v>481</v>
      </c>
      <c r="AO2972" t="s">
        <v>6446</v>
      </c>
      <c r="AP2972" t="s">
        <v>6447</v>
      </c>
      <c r="AQ2972" t="s">
        <v>74</v>
      </c>
      <c r="AR2972" t="s">
        <v>6448</v>
      </c>
      <c r="AS2972" t="s">
        <v>6449</v>
      </c>
      <c r="AT2972" t="s">
        <v>20097</v>
      </c>
      <c r="AU2972">
        <v>2025</v>
      </c>
      <c r="AV2972">
        <v>54</v>
      </c>
      <c r="AW2972">
        <v>3</v>
      </c>
      <c r="AX2972" t="s">
        <v>74</v>
      </c>
      <c r="AY2972" t="s">
        <v>74</v>
      </c>
      <c r="AZ2972" t="s">
        <v>74</v>
      </c>
      <c r="BA2972" t="s">
        <v>74</v>
      </c>
      <c r="BB2972" t="s">
        <v>74</v>
      </c>
      <c r="BC2972" t="s">
        <v>74</v>
      </c>
      <c r="BD2972" t="s">
        <v>49216</v>
      </c>
      <c r="BE2972" t="s">
        <v>49217</v>
      </c>
      <c r="BF2972" t="str">
        <f>HYPERLINK("http://dx.doi.org/10.1111/ecno.70013","http://dx.doi.org/10.1111/ecno.70013")</f>
        <v>http://dx.doi.org/10.1111/ecno.70013</v>
      </c>
      <c r="BG2972" t="s">
        <v>74</v>
      </c>
      <c r="BH2972" t="s">
        <v>74</v>
      </c>
      <c r="BI2972">
        <v>19</v>
      </c>
      <c r="BJ2972" t="s">
        <v>291</v>
      </c>
      <c r="BK2972" t="s">
        <v>313</v>
      </c>
      <c r="BL2972" t="s">
        <v>100</v>
      </c>
      <c r="BM2972" t="s">
        <v>49218</v>
      </c>
      <c r="BN2972" t="s">
        <v>74</v>
      </c>
      <c r="BO2972" t="s">
        <v>74</v>
      </c>
      <c r="BP2972" t="s">
        <v>74</v>
      </c>
      <c r="BQ2972" t="s">
        <v>74</v>
      </c>
      <c r="BR2972" t="s">
        <v>102</v>
      </c>
      <c r="BS2972" t="s">
        <v>49219</v>
      </c>
      <c r="BT2972" t="str">
        <f>HYPERLINK("https%3A%2F%2Fwww.webofscience.com%2Fwos%2Fwoscc%2Ffull-record%2FWOS:001537678000001","View Full Record in Web of Science")</f>
        <v>View Full Record in Web of Science</v>
      </c>
    </row>
    <row r="2973" spans="1:72" x14ac:dyDescent="0.25">
      <c r="A2973" t="s">
        <v>72</v>
      </c>
      <c r="B2973" t="s">
        <v>48905</v>
      </c>
      <c r="C2973" t="s">
        <v>74</v>
      </c>
      <c r="D2973" t="s">
        <v>74</v>
      </c>
      <c r="E2973" t="s">
        <v>74</v>
      </c>
      <c r="F2973" t="s">
        <v>48906</v>
      </c>
      <c r="G2973" t="s">
        <v>74</v>
      </c>
      <c r="H2973" t="s">
        <v>74</v>
      </c>
      <c r="I2973" t="s">
        <v>49220</v>
      </c>
      <c r="J2973" t="s">
        <v>36505</v>
      </c>
      <c r="K2973" t="s">
        <v>74</v>
      </c>
      <c r="L2973" t="s">
        <v>74</v>
      </c>
      <c r="M2973" t="s">
        <v>78</v>
      </c>
      <c r="N2973" t="s">
        <v>79</v>
      </c>
      <c r="O2973" t="s">
        <v>74</v>
      </c>
      <c r="P2973" t="s">
        <v>74</v>
      </c>
      <c r="Q2973" t="s">
        <v>74</v>
      </c>
      <c r="R2973" t="s">
        <v>74</v>
      </c>
      <c r="S2973" t="s">
        <v>74</v>
      </c>
      <c r="T2973" t="s">
        <v>49221</v>
      </c>
      <c r="U2973" t="s">
        <v>49222</v>
      </c>
      <c r="V2973" t="s">
        <v>49223</v>
      </c>
      <c r="W2973" t="s">
        <v>49224</v>
      </c>
      <c r="X2973" t="s">
        <v>18739</v>
      </c>
      <c r="Y2973" t="s">
        <v>49225</v>
      </c>
      <c r="Z2973" t="s">
        <v>49226</v>
      </c>
      <c r="AA2973" t="s">
        <v>48914</v>
      </c>
      <c r="AB2973" t="s">
        <v>48915</v>
      </c>
      <c r="AC2973" t="s">
        <v>74</v>
      </c>
      <c r="AD2973" t="s">
        <v>74</v>
      </c>
      <c r="AE2973" t="s">
        <v>74</v>
      </c>
      <c r="AF2973" t="s">
        <v>74</v>
      </c>
      <c r="AG2973">
        <v>91</v>
      </c>
      <c r="AH2973">
        <v>5</v>
      </c>
      <c r="AI2973">
        <v>5</v>
      </c>
      <c r="AJ2973">
        <v>2</v>
      </c>
      <c r="AK2973">
        <v>3</v>
      </c>
      <c r="AL2973" t="s">
        <v>4485</v>
      </c>
      <c r="AM2973" t="s">
        <v>6724</v>
      </c>
      <c r="AN2973" t="s">
        <v>6725</v>
      </c>
      <c r="AO2973" t="s">
        <v>36514</v>
      </c>
      <c r="AP2973" t="s">
        <v>36515</v>
      </c>
      <c r="AQ2973" t="s">
        <v>74</v>
      </c>
      <c r="AR2973" t="s">
        <v>36505</v>
      </c>
      <c r="AS2973" t="s">
        <v>36516</v>
      </c>
      <c r="AT2973" t="s">
        <v>237</v>
      </c>
      <c r="AU2973">
        <v>2024</v>
      </c>
      <c r="AV2973">
        <v>145</v>
      </c>
      <c r="AW2973" t="s">
        <v>74</v>
      </c>
      <c r="AX2973" t="s">
        <v>74</v>
      </c>
      <c r="AY2973" t="s">
        <v>74</v>
      </c>
      <c r="AZ2973" t="s">
        <v>74</v>
      </c>
      <c r="BA2973" t="s">
        <v>74</v>
      </c>
      <c r="BB2973" t="s">
        <v>74</v>
      </c>
      <c r="BC2973" t="s">
        <v>74</v>
      </c>
      <c r="BD2973">
        <v>104729</v>
      </c>
      <c r="BE2973" t="s">
        <v>49227</v>
      </c>
      <c r="BF2973" t="str">
        <f>HYPERLINK("http://dx.doi.org/10.1016/j.cities.2023.104729","http://dx.doi.org/10.1016/j.cities.2023.104729")</f>
        <v>http://dx.doi.org/10.1016/j.cities.2023.104729</v>
      </c>
      <c r="BG2973" t="s">
        <v>74</v>
      </c>
      <c r="BH2973" t="s">
        <v>1524</v>
      </c>
      <c r="BI2973">
        <v>17</v>
      </c>
      <c r="BJ2973" t="s">
        <v>36518</v>
      </c>
      <c r="BK2973" t="s">
        <v>99</v>
      </c>
      <c r="BL2973" t="s">
        <v>36518</v>
      </c>
      <c r="BM2973" t="s">
        <v>49228</v>
      </c>
      <c r="BN2973" t="s">
        <v>74</v>
      </c>
      <c r="BO2973" t="s">
        <v>74</v>
      </c>
      <c r="BP2973" t="s">
        <v>74</v>
      </c>
      <c r="BQ2973" t="s">
        <v>74</v>
      </c>
      <c r="BR2973" t="s">
        <v>102</v>
      </c>
      <c r="BS2973" t="s">
        <v>49229</v>
      </c>
      <c r="BT2973" t="str">
        <f>HYPERLINK("https%3A%2F%2Fwww.webofscience.com%2Fwos%2Fwoscc%2Ffull-record%2FWOS:001139705300001","View Full Record in Web of Science")</f>
        <v>View Full Record in Web of Science</v>
      </c>
    </row>
    <row r="2974" spans="1:72" x14ac:dyDescent="0.25">
      <c r="A2974" t="s">
        <v>132</v>
      </c>
      <c r="B2974" t="s">
        <v>49230</v>
      </c>
      <c r="C2974" t="s">
        <v>74</v>
      </c>
      <c r="D2974" t="s">
        <v>49231</v>
      </c>
      <c r="E2974" t="s">
        <v>74</v>
      </c>
      <c r="F2974" t="s">
        <v>49232</v>
      </c>
      <c r="G2974" t="s">
        <v>74</v>
      </c>
      <c r="H2974" t="s">
        <v>74</v>
      </c>
      <c r="I2974" t="s">
        <v>49233</v>
      </c>
      <c r="J2974" t="s">
        <v>49234</v>
      </c>
      <c r="K2974" t="s">
        <v>49235</v>
      </c>
      <c r="L2974" t="s">
        <v>74</v>
      </c>
      <c r="M2974" t="s">
        <v>78</v>
      </c>
      <c r="N2974" t="s">
        <v>138</v>
      </c>
      <c r="O2974" t="s">
        <v>49236</v>
      </c>
      <c r="P2974" t="s">
        <v>49237</v>
      </c>
      <c r="Q2974" t="s">
        <v>49238</v>
      </c>
      <c r="R2974" t="s">
        <v>49239</v>
      </c>
      <c r="S2974" t="s">
        <v>74</v>
      </c>
      <c r="T2974" t="s">
        <v>49240</v>
      </c>
      <c r="U2974" t="s">
        <v>49241</v>
      </c>
      <c r="V2974" t="s">
        <v>49242</v>
      </c>
      <c r="W2974" t="s">
        <v>49243</v>
      </c>
      <c r="X2974" t="s">
        <v>49244</v>
      </c>
      <c r="Y2974" t="s">
        <v>49245</v>
      </c>
      <c r="Z2974" t="s">
        <v>74</v>
      </c>
      <c r="AA2974" t="s">
        <v>49246</v>
      </c>
      <c r="AB2974" t="s">
        <v>74</v>
      </c>
      <c r="AC2974" t="s">
        <v>74</v>
      </c>
      <c r="AD2974" t="s">
        <v>74</v>
      </c>
      <c r="AE2974" t="s">
        <v>74</v>
      </c>
      <c r="AF2974" t="s">
        <v>74</v>
      </c>
      <c r="AG2974">
        <v>36</v>
      </c>
      <c r="AH2974">
        <v>0</v>
      </c>
      <c r="AI2974">
        <v>0</v>
      </c>
      <c r="AJ2974">
        <v>0</v>
      </c>
      <c r="AK2974">
        <v>4</v>
      </c>
      <c r="AL2974" t="s">
        <v>49247</v>
      </c>
      <c r="AM2974" t="s">
        <v>49248</v>
      </c>
      <c r="AN2974" t="s">
        <v>49249</v>
      </c>
      <c r="AO2974" t="s">
        <v>49250</v>
      </c>
      <c r="AP2974" t="s">
        <v>74</v>
      </c>
      <c r="AQ2974" t="s">
        <v>49251</v>
      </c>
      <c r="AR2974" t="s">
        <v>49252</v>
      </c>
      <c r="AS2974" t="s">
        <v>74</v>
      </c>
      <c r="AT2974" t="s">
        <v>74</v>
      </c>
      <c r="AU2974">
        <v>2018</v>
      </c>
      <c r="AV2974" t="s">
        <v>74</v>
      </c>
      <c r="AW2974" t="s">
        <v>74</v>
      </c>
      <c r="AX2974" t="s">
        <v>74</v>
      </c>
      <c r="AY2974" t="s">
        <v>74</v>
      </c>
      <c r="AZ2974" t="s">
        <v>74</v>
      </c>
      <c r="BA2974" t="s">
        <v>74</v>
      </c>
      <c r="BB2974">
        <v>1258</v>
      </c>
      <c r="BC2974">
        <v>1270</v>
      </c>
      <c r="BD2974" t="s">
        <v>74</v>
      </c>
      <c r="BE2974" t="s">
        <v>74</v>
      </c>
      <c r="BF2974" t="s">
        <v>74</v>
      </c>
      <c r="BG2974" t="s">
        <v>74</v>
      </c>
      <c r="BH2974" t="s">
        <v>74</v>
      </c>
      <c r="BI2974">
        <v>13</v>
      </c>
      <c r="BJ2974" t="s">
        <v>418</v>
      </c>
      <c r="BK2974" t="s">
        <v>183</v>
      </c>
      <c r="BL2974" t="s">
        <v>100</v>
      </c>
      <c r="BM2974" t="s">
        <v>49253</v>
      </c>
      <c r="BN2974" t="s">
        <v>74</v>
      </c>
      <c r="BO2974" t="s">
        <v>74</v>
      </c>
      <c r="BP2974" t="s">
        <v>74</v>
      </c>
      <c r="BQ2974" t="s">
        <v>74</v>
      </c>
      <c r="BR2974" t="s">
        <v>102</v>
      </c>
      <c r="BS2974" t="s">
        <v>49254</v>
      </c>
      <c r="BT2974" t="str">
        <f>HYPERLINK("https%3A%2F%2Fwww.webofscience.com%2Fwos%2Fwoscc%2Ffull-record%2FWOS:000520521200092","View Full Record in Web of Science")</f>
        <v>View Full Record in Web of Science</v>
      </c>
    </row>
    <row r="2975" spans="1:72" x14ac:dyDescent="0.25">
      <c r="A2975" t="s">
        <v>72</v>
      </c>
      <c r="B2975" t="s">
        <v>49255</v>
      </c>
      <c r="C2975" t="s">
        <v>74</v>
      </c>
      <c r="D2975" t="s">
        <v>74</v>
      </c>
      <c r="E2975" t="s">
        <v>74</v>
      </c>
      <c r="F2975" t="s">
        <v>49256</v>
      </c>
      <c r="G2975" t="s">
        <v>74</v>
      </c>
      <c r="H2975" t="s">
        <v>74</v>
      </c>
      <c r="I2975" t="s">
        <v>49257</v>
      </c>
      <c r="J2975" t="s">
        <v>33212</v>
      </c>
      <c r="K2975" t="s">
        <v>74</v>
      </c>
      <c r="L2975" t="s">
        <v>74</v>
      </c>
      <c r="M2975" t="s">
        <v>78</v>
      </c>
      <c r="N2975" t="s">
        <v>79</v>
      </c>
      <c r="O2975" t="s">
        <v>74</v>
      </c>
      <c r="P2975" t="s">
        <v>74</v>
      </c>
      <c r="Q2975" t="s">
        <v>74</v>
      </c>
      <c r="R2975" t="s">
        <v>74</v>
      </c>
      <c r="S2975" t="s">
        <v>74</v>
      </c>
      <c r="T2975" t="s">
        <v>49258</v>
      </c>
      <c r="U2975" t="s">
        <v>49259</v>
      </c>
      <c r="V2975" t="s">
        <v>49260</v>
      </c>
      <c r="W2975" t="s">
        <v>49261</v>
      </c>
      <c r="X2975" t="s">
        <v>49262</v>
      </c>
      <c r="Y2975" t="s">
        <v>49263</v>
      </c>
      <c r="Z2975" t="s">
        <v>49264</v>
      </c>
      <c r="AA2975" t="s">
        <v>49265</v>
      </c>
      <c r="AB2975" t="s">
        <v>49266</v>
      </c>
      <c r="AC2975" t="s">
        <v>74</v>
      </c>
      <c r="AD2975" t="s">
        <v>74</v>
      </c>
      <c r="AE2975" t="s">
        <v>74</v>
      </c>
      <c r="AF2975" t="s">
        <v>74</v>
      </c>
      <c r="AG2975">
        <v>57</v>
      </c>
      <c r="AH2975">
        <v>7</v>
      </c>
      <c r="AI2975">
        <v>9</v>
      </c>
      <c r="AJ2975">
        <v>1</v>
      </c>
      <c r="AK2975">
        <v>10</v>
      </c>
      <c r="AL2975" t="s">
        <v>1889</v>
      </c>
      <c r="AM2975" t="s">
        <v>1890</v>
      </c>
      <c r="AN2975" t="s">
        <v>1891</v>
      </c>
      <c r="AO2975" t="s">
        <v>49267</v>
      </c>
      <c r="AP2975" t="s">
        <v>74</v>
      </c>
      <c r="AQ2975" t="s">
        <v>74</v>
      </c>
      <c r="AR2975" t="s">
        <v>33199</v>
      </c>
      <c r="AS2975" t="s">
        <v>33198</v>
      </c>
      <c r="AT2975" t="s">
        <v>605</v>
      </c>
      <c r="AU2975">
        <v>2020</v>
      </c>
      <c r="AV2975">
        <v>20</v>
      </c>
      <c r="AW2975">
        <v>1</v>
      </c>
      <c r="AX2975" t="s">
        <v>74</v>
      </c>
      <c r="AY2975" t="s">
        <v>74</v>
      </c>
      <c r="AZ2975" t="s">
        <v>74</v>
      </c>
      <c r="BA2975" t="s">
        <v>74</v>
      </c>
      <c r="BB2975" t="s">
        <v>74</v>
      </c>
      <c r="BC2975" t="s">
        <v>74</v>
      </c>
      <c r="BD2975">
        <v>2050002</v>
      </c>
      <c r="BE2975" t="s">
        <v>49268</v>
      </c>
      <c r="BF2975" t="str">
        <f>HYPERLINK("http://dx.doi.org/10.1142/S2194565920500025","http://dx.doi.org/10.1142/S2194565920500025")</f>
        <v>http://dx.doi.org/10.1142/S2194565920500025</v>
      </c>
      <c r="BG2975" t="s">
        <v>74</v>
      </c>
      <c r="BH2975" t="s">
        <v>74</v>
      </c>
      <c r="BI2975">
        <v>19</v>
      </c>
      <c r="BJ2975" t="s">
        <v>291</v>
      </c>
      <c r="BK2975" t="s">
        <v>313</v>
      </c>
      <c r="BL2975" t="s">
        <v>100</v>
      </c>
      <c r="BM2975" t="s">
        <v>49269</v>
      </c>
      <c r="BN2975" t="s">
        <v>74</v>
      </c>
      <c r="BO2975" t="s">
        <v>74</v>
      </c>
      <c r="BP2975" t="s">
        <v>74</v>
      </c>
      <c r="BQ2975" t="s">
        <v>74</v>
      </c>
      <c r="BR2975" t="s">
        <v>102</v>
      </c>
      <c r="BS2975" t="s">
        <v>49270</v>
      </c>
      <c r="BT2975" t="str">
        <f>HYPERLINK("https%3A%2F%2Fwww.webofscience.com%2Fwos%2Fwoscc%2Ffull-record%2FWOS:000541806100002","View Full Record in Web of Science")</f>
        <v>View Full Record in Web of Science</v>
      </c>
    </row>
    <row r="2976" spans="1:72" x14ac:dyDescent="0.25">
      <c r="A2976" t="s">
        <v>72</v>
      </c>
      <c r="B2976" t="s">
        <v>49271</v>
      </c>
      <c r="C2976" t="s">
        <v>74</v>
      </c>
      <c r="D2976" t="s">
        <v>74</v>
      </c>
      <c r="E2976" t="s">
        <v>74</v>
      </c>
      <c r="F2976" t="s">
        <v>49272</v>
      </c>
      <c r="G2976" t="s">
        <v>74</v>
      </c>
      <c r="H2976" t="s">
        <v>74</v>
      </c>
      <c r="I2976" t="s">
        <v>49273</v>
      </c>
      <c r="J2976" t="s">
        <v>4595</v>
      </c>
      <c r="K2976" t="s">
        <v>74</v>
      </c>
      <c r="L2976" t="s">
        <v>74</v>
      </c>
      <c r="M2976" t="s">
        <v>78</v>
      </c>
      <c r="N2976" t="s">
        <v>79</v>
      </c>
      <c r="O2976" t="s">
        <v>74</v>
      </c>
      <c r="P2976" t="s">
        <v>74</v>
      </c>
      <c r="Q2976" t="s">
        <v>74</v>
      </c>
      <c r="R2976" t="s">
        <v>74</v>
      </c>
      <c r="S2976" t="s">
        <v>74</v>
      </c>
      <c r="T2976" t="s">
        <v>49274</v>
      </c>
      <c r="U2976" t="s">
        <v>49275</v>
      </c>
      <c r="V2976" t="s">
        <v>49276</v>
      </c>
      <c r="W2976" t="s">
        <v>49277</v>
      </c>
      <c r="X2976" t="s">
        <v>74</v>
      </c>
      <c r="Y2976" t="s">
        <v>49278</v>
      </c>
      <c r="Z2976" t="s">
        <v>49279</v>
      </c>
      <c r="AA2976" t="s">
        <v>74</v>
      </c>
      <c r="AB2976" t="s">
        <v>49280</v>
      </c>
      <c r="AC2976" t="s">
        <v>74</v>
      </c>
      <c r="AD2976" t="s">
        <v>74</v>
      </c>
      <c r="AE2976" t="s">
        <v>74</v>
      </c>
      <c r="AF2976" t="s">
        <v>74</v>
      </c>
      <c r="AG2976">
        <v>72</v>
      </c>
      <c r="AH2976">
        <v>1</v>
      </c>
      <c r="AI2976">
        <v>1</v>
      </c>
      <c r="AJ2976">
        <v>0</v>
      </c>
      <c r="AK2976">
        <v>0</v>
      </c>
      <c r="AL2976" t="s">
        <v>4605</v>
      </c>
      <c r="AM2976" t="s">
        <v>4280</v>
      </c>
      <c r="AN2976" t="s">
        <v>4606</v>
      </c>
      <c r="AO2976" t="s">
        <v>4607</v>
      </c>
      <c r="AP2976" t="s">
        <v>4608</v>
      </c>
      <c r="AQ2976" t="s">
        <v>74</v>
      </c>
      <c r="AR2976" t="s">
        <v>4609</v>
      </c>
      <c r="AS2976" t="s">
        <v>4610</v>
      </c>
      <c r="AT2976" t="s">
        <v>5746</v>
      </c>
      <c r="AU2976">
        <v>2025</v>
      </c>
      <c r="AV2976">
        <v>11</v>
      </c>
      <c r="AW2976">
        <v>2</v>
      </c>
      <c r="AX2976" t="s">
        <v>74</v>
      </c>
      <c r="AY2976" t="s">
        <v>74</v>
      </c>
      <c r="AZ2976" t="s">
        <v>74</v>
      </c>
      <c r="BA2976" t="s">
        <v>74</v>
      </c>
      <c r="BB2976">
        <v>67</v>
      </c>
      <c r="BC2976">
        <v>90</v>
      </c>
      <c r="BD2976" t="s">
        <v>74</v>
      </c>
      <c r="BE2976" t="s">
        <v>49281</v>
      </c>
      <c r="BF2976" t="str">
        <f>HYPERLINK("http://dx.doi.org/10.18559/ebr.2025.2.1969","http://dx.doi.org/10.18559/ebr.2025.2.1969")</f>
        <v>http://dx.doi.org/10.18559/ebr.2025.2.1969</v>
      </c>
      <c r="BG2976" t="s">
        <v>74</v>
      </c>
      <c r="BH2976" t="s">
        <v>74</v>
      </c>
      <c r="BI2976">
        <v>24</v>
      </c>
      <c r="BJ2976" t="s">
        <v>291</v>
      </c>
      <c r="BK2976" t="s">
        <v>313</v>
      </c>
      <c r="BL2976" t="s">
        <v>100</v>
      </c>
      <c r="BM2976" t="s">
        <v>49282</v>
      </c>
      <c r="BN2976" t="s">
        <v>74</v>
      </c>
      <c r="BO2976" t="s">
        <v>212</v>
      </c>
      <c r="BP2976" t="s">
        <v>74</v>
      </c>
      <c r="BQ2976" t="s">
        <v>74</v>
      </c>
      <c r="BR2976" t="s">
        <v>102</v>
      </c>
      <c r="BS2976" t="s">
        <v>49283</v>
      </c>
      <c r="BT2976" t="str">
        <f>HYPERLINK("https%3A%2F%2Fwww.webofscience.com%2Fwos%2Fwoscc%2Ffull-record%2FWOS:001524103800003","View Full Record in Web of Science")</f>
        <v>View Full Record in Web of Science</v>
      </c>
    </row>
    <row r="2977" spans="1:72" x14ac:dyDescent="0.25">
      <c r="A2977" t="s">
        <v>72</v>
      </c>
      <c r="B2977" t="s">
        <v>49284</v>
      </c>
      <c r="C2977" t="s">
        <v>74</v>
      </c>
      <c r="D2977" t="s">
        <v>74</v>
      </c>
      <c r="E2977" t="s">
        <v>74</v>
      </c>
      <c r="F2977" t="s">
        <v>49285</v>
      </c>
      <c r="G2977" t="s">
        <v>74</v>
      </c>
      <c r="H2977" t="s">
        <v>74</v>
      </c>
      <c r="I2977" t="s">
        <v>49286</v>
      </c>
      <c r="J2977" t="s">
        <v>49287</v>
      </c>
      <c r="K2977" t="s">
        <v>74</v>
      </c>
      <c r="L2977" t="s">
        <v>74</v>
      </c>
      <c r="M2977" t="s">
        <v>78</v>
      </c>
      <c r="N2977" t="s">
        <v>79</v>
      </c>
      <c r="O2977" t="s">
        <v>74</v>
      </c>
      <c r="P2977" t="s">
        <v>74</v>
      </c>
      <c r="Q2977" t="s">
        <v>74</v>
      </c>
      <c r="R2977" t="s">
        <v>74</v>
      </c>
      <c r="S2977" t="s">
        <v>74</v>
      </c>
      <c r="T2977" t="s">
        <v>49288</v>
      </c>
      <c r="U2977" t="s">
        <v>49289</v>
      </c>
      <c r="V2977" t="s">
        <v>49290</v>
      </c>
      <c r="W2977" t="s">
        <v>49291</v>
      </c>
      <c r="X2977" t="s">
        <v>45603</v>
      </c>
      <c r="Y2977" t="s">
        <v>49292</v>
      </c>
      <c r="Z2977" t="s">
        <v>49293</v>
      </c>
      <c r="AA2977" t="s">
        <v>74</v>
      </c>
      <c r="AB2977" t="s">
        <v>49294</v>
      </c>
      <c r="AC2977" t="s">
        <v>74</v>
      </c>
      <c r="AD2977" t="s">
        <v>74</v>
      </c>
      <c r="AE2977" t="s">
        <v>74</v>
      </c>
      <c r="AF2977" t="s">
        <v>74</v>
      </c>
      <c r="AG2977">
        <v>80</v>
      </c>
      <c r="AH2977">
        <v>13</v>
      </c>
      <c r="AI2977">
        <v>22</v>
      </c>
      <c r="AJ2977">
        <v>0</v>
      </c>
      <c r="AK2977">
        <v>12</v>
      </c>
      <c r="AL2977" t="s">
        <v>757</v>
      </c>
      <c r="AM2977" t="s">
        <v>758</v>
      </c>
      <c r="AN2977" t="s">
        <v>759</v>
      </c>
      <c r="AO2977" t="s">
        <v>49295</v>
      </c>
      <c r="AP2977" t="s">
        <v>74</v>
      </c>
      <c r="AQ2977" t="s">
        <v>74</v>
      </c>
      <c r="AR2977" t="s">
        <v>49296</v>
      </c>
      <c r="AS2977" t="s">
        <v>49297</v>
      </c>
      <c r="AT2977" t="s">
        <v>237</v>
      </c>
      <c r="AU2977">
        <v>2012</v>
      </c>
      <c r="AV2977">
        <v>34</v>
      </c>
      <c r="AW2977">
        <v>1</v>
      </c>
      <c r="AX2977" t="s">
        <v>74</v>
      </c>
      <c r="AY2977" t="s">
        <v>74</v>
      </c>
      <c r="AZ2977" t="s">
        <v>74</v>
      </c>
      <c r="BA2977" t="s">
        <v>74</v>
      </c>
      <c r="BB2977">
        <v>137</v>
      </c>
      <c r="BC2977">
        <v>159</v>
      </c>
      <c r="BD2977" t="s">
        <v>74</v>
      </c>
      <c r="BE2977" t="s">
        <v>49298</v>
      </c>
      <c r="BF2977" t="str">
        <f>HYPERLINK("http://dx.doi.org/10.1177/0739986311428891","http://dx.doi.org/10.1177/0739986311428891")</f>
        <v>http://dx.doi.org/10.1177/0739986311428891</v>
      </c>
      <c r="BG2977" t="s">
        <v>74</v>
      </c>
      <c r="BH2977" t="s">
        <v>74</v>
      </c>
      <c r="BI2977">
        <v>23</v>
      </c>
      <c r="BJ2977" t="s">
        <v>2992</v>
      </c>
      <c r="BK2977" t="s">
        <v>99</v>
      </c>
      <c r="BL2977" t="s">
        <v>2993</v>
      </c>
      <c r="BM2977" t="s">
        <v>49299</v>
      </c>
      <c r="BN2977" t="s">
        <v>74</v>
      </c>
      <c r="BO2977" t="s">
        <v>74</v>
      </c>
      <c r="BP2977" t="s">
        <v>74</v>
      </c>
      <c r="BQ2977" t="s">
        <v>74</v>
      </c>
      <c r="BR2977" t="s">
        <v>102</v>
      </c>
      <c r="BS2977" t="s">
        <v>49300</v>
      </c>
      <c r="BT2977" t="str">
        <f>HYPERLINK("https%3A%2F%2Fwww.webofscience.com%2Fwos%2Fwoscc%2Ffull-record%2FWOS:000299420000008","View Full Record in Web of Science")</f>
        <v>View Full Record in Web of Science</v>
      </c>
    </row>
    <row r="2978" spans="1:72" x14ac:dyDescent="0.25">
      <c r="A2978" t="s">
        <v>72</v>
      </c>
      <c r="B2978" t="s">
        <v>49301</v>
      </c>
      <c r="C2978" t="s">
        <v>74</v>
      </c>
      <c r="D2978" t="s">
        <v>74</v>
      </c>
      <c r="E2978" t="s">
        <v>74</v>
      </c>
      <c r="F2978" t="s">
        <v>49302</v>
      </c>
      <c r="G2978" t="s">
        <v>74</v>
      </c>
      <c r="H2978" t="s">
        <v>74</v>
      </c>
      <c r="I2978" t="s">
        <v>49303</v>
      </c>
      <c r="J2978" t="s">
        <v>34854</v>
      </c>
      <c r="K2978" t="s">
        <v>74</v>
      </c>
      <c r="L2978" t="s">
        <v>74</v>
      </c>
      <c r="M2978" t="s">
        <v>78</v>
      </c>
      <c r="N2978" t="s">
        <v>79</v>
      </c>
      <c r="O2978" t="s">
        <v>74</v>
      </c>
      <c r="P2978" t="s">
        <v>74</v>
      </c>
      <c r="Q2978" t="s">
        <v>74</v>
      </c>
      <c r="R2978" t="s">
        <v>74</v>
      </c>
      <c r="S2978" t="s">
        <v>74</v>
      </c>
      <c r="T2978" t="s">
        <v>49304</v>
      </c>
      <c r="U2978" t="s">
        <v>8422</v>
      </c>
      <c r="V2978" t="s">
        <v>49305</v>
      </c>
      <c r="W2978" t="s">
        <v>49306</v>
      </c>
      <c r="X2978" t="s">
        <v>49307</v>
      </c>
      <c r="Y2978" t="s">
        <v>49308</v>
      </c>
      <c r="Z2978" t="s">
        <v>49309</v>
      </c>
      <c r="AA2978" t="s">
        <v>18586</v>
      </c>
      <c r="AB2978" t="s">
        <v>18585</v>
      </c>
      <c r="AC2978" t="s">
        <v>49310</v>
      </c>
      <c r="AD2978" t="s">
        <v>458</v>
      </c>
      <c r="AE2978" t="s">
        <v>74</v>
      </c>
      <c r="AF2978" t="s">
        <v>74</v>
      </c>
      <c r="AG2978">
        <v>32</v>
      </c>
      <c r="AH2978">
        <v>46</v>
      </c>
      <c r="AI2978">
        <v>53</v>
      </c>
      <c r="AJ2978">
        <v>2</v>
      </c>
      <c r="AK2978">
        <v>36</v>
      </c>
      <c r="AL2978" t="s">
        <v>4485</v>
      </c>
      <c r="AM2978" t="s">
        <v>231</v>
      </c>
      <c r="AN2978" t="s">
        <v>4486</v>
      </c>
      <c r="AO2978" t="s">
        <v>34867</v>
      </c>
      <c r="AP2978" t="s">
        <v>74</v>
      </c>
      <c r="AQ2978" t="s">
        <v>74</v>
      </c>
      <c r="AR2978" t="s">
        <v>34868</v>
      </c>
      <c r="AS2978" t="s">
        <v>34869</v>
      </c>
      <c r="AT2978" t="s">
        <v>289</v>
      </c>
      <c r="AU2978">
        <v>2020</v>
      </c>
      <c r="AV2978">
        <v>11</v>
      </c>
      <c r="AW2978" t="s">
        <v>74</v>
      </c>
      <c r="AX2978" t="s">
        <v>74</v>
      </c>
      <c r="AY2978" t="s">
        <v>74</v>
      </c>
      <c r="AZ2978" t="s">
        <v>74</v>
      </c>
      <c r="BA2978" t="s">
        <v>74</v>
      </c>
      <c r="BB2978" t="s">
        <v>74</v>
      </c>
      <c r="BC2978" t="s">
        <v>74</v>
      </c>
      <c r="BD2978">
        <v>100630</v>
      </c>
      <c r="BE2978" t="s">
        <v>49311</v>
      </c>
      <c r="BF2978" t="str">
        <f>HYPERLINK("http://dx.doi.org/10.1016/j.ssmph.2020.100630","http://dx.doi.org/10.1016/j.ssmph.2020.100630")</f>
        <v>http://dx.doi.org/10.1016/j.ssmph.2020.100630</v>
      </c>
      <c r="BG2978" t="s">
        <v>74</v>
      </c>
      <c r="BH2978" t="s">
        <v>74</v>
      </c>
      <c r="BI2978">
        <v>7</v>
      </c>
      <c r="BJ2978" t="s">
        <v>7080</v>
      </c>
      <c r="BK2978" t="s">
        <v>2623</v>
      </c>
      <c r="BL2978" t="s">
        <v>7080</v>
      </c>
      <c r="BM2978" t="s">
        <v>49312</v>
      </c>
      <c r="BN2978">
        <v>32817878</v>
      </c>
      <c r="BO2978" t="s">
        <v>916</v>
      </c>
      <c r="BP2978" t="s">
        <v>74</v>
      </c>
      <c r="BQ2978" t="s">
        <v>74</v>
      </c>
      <c r="BR2978" t="s">
        <v>102</v>
      </c>
      <c r="BS2978" t="s">
        <v>49313</v>
      </c>
      <c r="BT2978" t="str">
        <f>HYPERLINK("https%3A%2F%2Fwww.webofscience.com%2Fwos%2Fwoscc%2Ffull-record%2FWOS:000564549800005","View Full Record in Web of Science")</f>
        <v>View Full Record in Web of Science</v>
      </c>
    </row>
    <row r="2979" spans="1:72" x14ac:dyDescent="0.25">
      <c r="A2979" t="s">
        <v>72</v>
      </c>
      <c r="B2979" t="s">
        <v>49314</v>
      </c>
      <c r="C2979" t="s">
        <v>74</v>
      </c>
      <c r="D2979" t="s">
        <v>74</v>
      </c>
      <c r="E2979" t="s">
        <v>74</v>
      </c>
      <c r="F2979" t="s">
        <v>49315</v>
      </c>
      <c r="G2979" t="s">
        <v>74</v>
      </c>
      <c r="H2979" t="s">
        <v>74</v>
      </c>
      <c r="I2979" t="s">
        <v>49316</v>
      </c>
      <c r="J2979" t="s">
        <v>13634</v>
      </c>
      <c r="K2979" t="s">
        <v>74</v>
      </c>
      <c r="L2979" t="s">
        <v>74</v>
      </c>
      <c r="M2979" t="s">
        <v>78</v>
      </c>
      <c r="N2979" t="s">
        <v>79</v>
      </c>
      <c r="O2979" t="s">
        <v>74</v>
      </c>
      <c r="P2979" t="s">
        <v>74</v>
      </c>
      <c r="Q2979" t="s">
        <v>74</v>
      </c>
      <c r="R2979" t="s">
        <v>74</v>
      </c>
      <c r="S2979" t="s">
        <v>74</v>
      </c>
      <c r="T2979" t="s">
        <v>49317</v>
      </c>
      <c r="U2979" t="s">
        <v>49318</v>
      </c>
      <c r="V2979" t="s">
        <v>49319</v>
      </c>
      <c r="W2979" t="s">
        <v>49320</v>
      </c>
      <c r="X2979" t="s">
        <v>49321</v>
      </c>
      <c r="Y2979" t="s">
        <v>49322</v>
      </c>
      <c r="Z2979" t="s">
        <v>49323</v>
      </c>
      <c r="AA2979" t="s">
        <v>49324</v>
      </c>
      <c r="AB2979" t="s">
        <v>49325</v>
      </c>
      <c r="AC2979" t="s">
        <v>74</v>
      </c>
      <c r="AD2979" t="s">
        <v>74</v>
      </c>
      <c r="AE2979" t="s">
        <v>74</v>
      </c>
      <c r="AF2979" t="s">
        <v>74</v>
      </c>
      <c r="AG2979">
        <v>24</v>
      </c>
      <c r="AH2979">
        <v>68</v>
      </c>
      <c r="AI2979">
        <v>77</v>
      </c>
      <c r="AJ2979">
        <v>15</v>
      </c>
      <c r="AK2979">
        <v>161</v>
      </c>
      <c r="AL2979" t="s">
        <v>3461</v>
      </c>
      <c r="AM2979" t="s">
        <v>3462</v>
      </c>
      <c r="AN2979" t="s">
        <v>3463</v>
      </c>
      <c r="AO2979" t="s">
        <v>13644</v>
      </c>
      <c r="AP2979" t="s">
        <v>13645</v>
      </c>
      <c r="AQ2979" t="s">
        <v>74</v>
      </c>
      <c r="AR2979" t="s">
        <v>13646</v>
      </c>
      <c r="AS2979" t="s">
        <v>13647</v>
      </c>
      <c r="AT2979" t="s">
        <v>1652</v>
      </c>
      <c r="AU2979">
        <v>2021</v>
      </c>
      <c r="AV2979">
        <v>68</v>
      </c>
      <c r="AW2979">
        <v>3</v>
      </c>
      <c r="AX2979" t="s">
        <v>74</v>
      </c>
      <c r="AY2979" t="s">
        <v>74</v>
      </c>
      <c r="AZ2979" t="s">
        <v>74</v>
      </c>
      <c r="BA2979" t="s">
        <v>74</v>
      </c>
      <c r="BB2979">
        <v>894</v>
      </c>
      <c r="BC2979">
        <v>898</v>
      </c>
      <c r="BD2979" t="s">
        <v>74</v>
      </c>
      <c r="BE2979" t="s">
        <v>49326</v>
      </c>
      <c r="BF2979" t="str">
        <f>HYPERLINK("http://dx.doi.org/10.1109/TEM.2020.2996003","http://dx.doi.org/10.1109/TEM.2020.2996003")</f>
        <v>http://dx.doi.org/10.1109/TEM.2020.2996003</v>
      </c>
      <c r="BG2979" t="s">
        <v>74</v>
      </c>
      <c r="BH2979" t="s">
        <v>74</v>
      </c>
      <c r="BI2979">
        <v>5</v>
      </c>
      <c r="BJ2979" t="s">
        <v>13649</v>
      </c>
      <c r="BK2979" t="s">
        <v>2623</v>
      </c>
      <c r="BL2979" t="s">
        <v>13650</v>
      </c>
      <c r="BM2979" t="s">
        <v>49327</v>
      </c>
      <c r="BN2979" t="s">
        <v>74</v>
      </c>
      <c r="BO2979" t="s">
        <v>74</v>
      </c>
      <c r="BP2979" t="s">
        <v>74</v>
      </c>
      <c r="BQ2979" t="s">
        <v>74</v>
      </c>
      <c r="BR2979" t="s">
        <v>102</v>
      </c>
      <c r="BS2979" t="s">
        <v>49328</v>
      </c>
      <c r="BT2979" t="str">
        <f>HYPERLINK("https%3A%2F%2Fwww.webofscience.com%2Fwos%2Fwoscc%2Ffull-record%2FWOS:000641963600019","View Full Record in Web of Science")</f>
        <v>View Full Record in Web of Science</v>
      </c>
    </row>
    <row r="2980" spans="1:72" x14ac:dyDescent="0.25">
      <c r="A2980" t="s">
        <v>72</v>
      </c>
      <c r="B2980" t="s">
        <v>49329</v>
      </c>
      <c r="C2980" t="s">
        <v>74</v>
      </c>
      <c r="D2980" t="s">
        <v>74</v>
      </c>
      <c r="E2980" t="s">
        <v>74</v>
      </c>
      <c r="F2980" t="s">
        <v>49330</v>
      </c>
      <c r="G2980" t="s">
        <v>74</v>
      </c>
      <c r="H2980" t="s">
        <v>74</v>
      </c>
      <c r="I2980" t="s">
        <v>49331</v>
      </c>
      <c r="J2980" t="s">
        <v>18194</v>
      </c>
      <c r="K2980" t="s">
        <v>74</v>
      </c>
      <c r="L2980" t="s">
        <v>74</v>
      </c>
      <c r="M2980" t="s">
        <v>78</v>
      </c>
      <c r="N2980" t="s">
        <v>79</v>
      </c>
      <c r="O2980" t="s">
        <v>74</v>
      </c>
      <c r="P2980" t="s">
        <v>74</v>
      </c>
      <c r="Q2980" t="s">
        <v>74</v>
      </c>
      <c r="R2980" t="s">
        <v>74</v>
      </c>
      <c r="S2980" t="s">
        <v>74</v>
      </c>
      <c r="T2980" t="s">
        <v>49332</v>
      </c>
      <c r="U2980" t="s">
        <v>49333</v>
      </c>
      <c r="V2980" t="s">
        <v>49334</v>
      </c>
      <c r="W2980" t="s">
        <v>49335</v>
      </c>
      <c r="X2980" t="s">
        <v>49336</v>
      </c>
      <c r="Y2980" t="s">
        <v>49337</v>
      </c>
      <c r="Z2980" t="s">
        <v>49338</v>
      </c>
      <c r="AA2980" t="s">
        <v>49339</v>
      </c>
      <c r="AB2980" t="s">
        <v>49340</v>
      </c>
      <c r="AC2980" t="s">
        <v>49341</v>
      </c>
      <c r="AD2980" t="s">
        <v>49342</v>
      </c>
      <c r="AE2980" t="s">
        <v>49343</v>
      </c>
      <c r="AF2980" t="s">
        <v>74</v>
      </c>
      <c r="AG2980">
        <v>53</v>
      </c>
      <c r="AH2980">
        <v>1</v>
      </c>
      <c r="AI2980">
        <v>2</v>
      </c>
      <c r="AJ2980">
        <v>2</v>
      </c>
      <c r="AK2980">
        <v>3</v>
      </c>
      <c r="AL2980" t="s">
        <v>575</v>
      </c>
      <c r="AM2980" t="s">
        <v>576</v>
      </c>
      <c r="AN2980" t="s">
        <v>577</v>
      </c>
      <c r="AO2980" t="s">
        <v>74</v>
      </c>
      <c r="AP2980" t="s">
        <v>18205</v>
      </c>
      <c r="AQ2980" t="s">
        <v>74</v>
      </c>
      <c r="AR2980" t="s">
        <v>18194</v>
      </c>
      <c r="AS2980" t="s">
        <v>18206</v>
      </c>
      <c r="AT2980" t="s">
        <v>42309</v>
      </c>
      <c r="AU2980">
        <v>2025</v>
      </c>
      <c r="AV2980">
        <v>15</v>
      </c>
      <c r="AW2980">
        <v>7</v>
      </c>
      <c r="AX2980" t="s">
        <v>74</v>
      </c>
      <c r="AY2980" t="s">
        <v>74</v>
      </c>
      <c r="AZ2980" t="s">
        <v>74</v>
      </c>
      <c r="BA2980" t="s">
        <v>74</v>
      </c>
      <c r="BB2980" t="s">
        <v>74</v>
      </c>
      <c r="BC2980" t="s">
        <v>74</v>
      </c>
      <c r="BD2980">
        <v>709</v>
      </c>
      <c r="BE2980" t="s">
        <v>49344</v>
      </c>
      <c r="BF2980" t="str">
        <f>HYPERLINK("http://dx.doi.org/10.3390/agriculture15070709","http://dx.doi.org/10.3390/agriculture15070709")</f>
        <v>http://dx.doi.org/10.3390/agriculture15070709</v>
      </c>
      <c r="BG2980" t="s">
        <v>74</v>
      </c>
      <c r="BH2980" t="s">
        <v>74</v>
      </c>
      <c r="BI2980">
        <v>21</v>
      </c>
      <c r="BJ2980" t="s">
        <v>18208</v>
      </c>
      <c r="BK2980" t="s">
        <v>128</v>
      </c>
      <c r="BL2980" t="s">
        <v>5152</v>
      </c>
      <c r="BM2980" t="s">
        <v>49345</v>
      </c>
      <c r="BN2980" t="s">
        <v>74</v>
      </c>
      <c r="BO2980" t="s">
        <v>212</v>
      </c>
      <c r="BP2980" t="s">
        <v>74</v>
      </c>
      <c r="BQ2980" t="s">
        <v>74</v>
      </c>
      <c r="BR2980" t="s">
        <v>102</v>
      </c>
      <c r="BS2980" t="s">
        <v>49346</v>
      </c>
      <c r="BT2980" t="str">
        <f>HYPERLINK("https%3A%2F%2Fwww.webofscience.com%2Fwos%2Fwoscc%2Ffull-record%2FWOS:001463650100001","View Full Record in Web of Science")</f>
        <v>View Full Record in Web of Science</v>
      </c>
    </row>
    <row r="2981" spans="1:72" x14ac:dyDescent="0.25">
      <c r="A2981" t="s">
        <v>72</v>
      </c>
      <c r="B2981" t="s">
        <v>49347</v>
      </c>
      <c r="C2981" t="s">
        <v>74</v>
      </c>
      <c r="D2981" t="s">
        <v>74</v>
      </c>
      <c r="E2981" t="s">
        <v>74</v>
      </c>
      <c r="F2981" t="s">
        <v>49348</v>
      </c>
      <c r="G2981" t="s">
        <v>74</v>
      </c>
      <c r="H2981" t="s">
        <v>74</v>
      </c>
      <c r="I2981" t="s">
        <v>49349</v>
      </c>
      <c r="J2981" t="s">
        <v>49350</v>
      </c>
      <c r="K2981" t="s">
        <v>74</v>
      </c>
      <c r="L2981" t="s">
        <v>74</v>
      </c>
      <c r="M2981" t="s">
        <v>10270</v>
      </c>
      <c r="N2981" t="s">
        <v>79</v>
      </c>
      <c r="O2981" t="s">
        <v>74</v>
      </c>
      <c r="P2981" t="s">
        <v>74</v>
      </c>
      <c r="Q2981" t="s">
        <v>74</v>
      </c>
      <c r="R2981" t="s">
        <v>74</v>
      </c>
      <c r="S2981" t="s">
        <v>74</v>
      </c>
      <c r="T2981" t="s">
        <v>49351</v>
      </c>
      <c r="U2981" t="s">
        <v>49352</v>
      </c>
      <c r="V2981" t="s">
        <v>49353</v>
      </c>
      <c r="W2981" t="s">
        <v>49354</v>
      </c>
      <c r="X2981" t="s">
        <v>74</v>
      </c>
      <c r="Y2981" t="s">
        <v>49355</v>
      </c>
      <c r="Z2981" t="s">
        <v>49356</v>
      </c>
      <c r="AA2981" t="s">
        <v>74</v>
      </c>
      <c r="AB2981" t="s">
        <v>74</v>
      </c>
      <c r="AC2981" t="s">
        <v>74</v>
      </c>
      <c r="AD2981" t="s">
        <v>74</v>
      </c>
      <c r="AE2981" t="s">
        <v>74</v>
      </c>
      <c r="AF2981" t="s">
        <v>74</v>
      </c>
      <c r="AG2981">
        <v>43</v>
      </c>
      <c r="AH2981">
        <v>0</v>
      </c>
      <c r="AI2981">
        <v>0</v>
      </c>
      <c r="AJ2981">
        <v>0</v>
      </c>
      <c r="AK2981">
        <v>1</v>
      </c>
      <c r="AL2981" t="s">
        <v>49357</v>
      </c>
      <c r="AM2981" t="s">
        <v>7167</v>
      </c>
      <c r="AN2981" t="s">
        <v>49358</v>
      </c>
      <c r="AO2981" t="s">
        <v>49359</v>
      </c>
      <c r="AP2981" t="s">
        <v>49360</v>
      </c>
      <c r="AQ2981" t="s">
        <v>74</v>
      </c>
      <c r="AR2981" t="s">
        <v>49361</v>
      </c>
      <c r="AS2981" t="s">
        <v>49362</v>
      </c>
      <c r="AT2981" t="s">
        <v>74</v>
      </c>
      <c r="AU2981">
        <v>2019</v>
      </c>
      <c r="AV2981">
        <v>61</v>
      </c>
      <c r="AW2981" t="s">
        <v>74</v>
      </c>
      <c r="AX2981" t="s">
        <v>74</v>
      </c>
      <c r="AY2981" t="s">
        <v>74</v>
      </c>
      <c r="AZ2981" t="s">
        <v>74</v>
      </c>
      <c r="BA2981" t="s">
        <v>74</v>
      </c>
      <c r="BB2981">
        <v>73</v>
      </c>
      <c r="BC2981">
        <v>105</v>
      </c>
      <c r="BD2981" t="s">
        <v>74</v>
      </c>
      <c r="BE2981" t="s">
        <v>49363</v>
      </c>
      <c r="BF2981" t="str">
        <f>HYPERLINK("http://dx.doi.org/10.4000/interventionseconomiques.5171","http://dx.doi.org/10.4000/interventionseconomiques.5171")</f>
        <v>http://dx.doi.org/10.4000/interventionseconomiques.5171</v>
      </c>
      <c r="BG2981" t="s">
        <v>74</v>
      </c>
      <c r="BH2981" t="s">
        <v>74</v>
      </c>
      <c r="BI2981">
        <v>33</v>
      </c>
      <c r="BJ2981" t="s">
        <v>291</v>
      </c>
      <c r="BK2981" t="s">
        <v>313</v>
      </c>
      <c r="BL2981" t="s">
        <v>100</v>
      </c>
      <c r="BM2981" t="s">
        <v>49364</v>
      </c>
      <c r="BN2981" t="s">
        <v>74</v>
      </c>
      <c r="BO2981" t="s">
        <v>212</v>
      </c>
      <c r="BP2981" t="s">
        <v>74</v>
      </c>
      <c r="BQ2981" t="s">
        <v>74</v>
      </c>
      <c r="BR2981" t="s">
        <v>102</v>
      </c>
      <c r="BS2981" t="s">
        <v>49365</v>
      </c>
      <c r="BT2981" t="str">
        <f>HYPERLINK("https%3A%2F%2Fwww.webofscience.com%2Fwos%2Fwoscc%2Ffull-record%2FWOS:000473291500005","View Full Record in Web of Science")</f>
        <v>View Full Record in Web of Science</v>
      </c>
    </row>
    <row r="2982" spans="1:72" x14ac:dyDescent="0.25">
      <c r="A2982" t="s">
        <v>72</v>
      </c>
      <c r="B2982" t="s">
        <v>49366</v>
      </c>
      <c r="C2982" t="s">
        <v>74</v>
      </c>
      <c r="D2982" t="s">
        <v>74</v>
      </c>
      <c r="E2982" t="s">
        <v>74</v>
      </c>
      <c r="F2982" t="s">
        <v>49367</v>
      </c>
      <c r="G2982" t="s">
        <v>74</v>
      </c>
      <c r="H2982" t="s">
        <v>74</v>
      </c>
      <c r="I2982" t="s">
        <v>49368</v>
      </c>
      <c r="J2982" t="s">
        <v>18344</v>
      </c>
      <c r="K2982" t="s">
        <v>74</v>
      </c>
      <c r="L2982" t="s">
        <v>74</v>
      </c>
      <c r="M2982" t="s">
        <v>78</v>
      </c>
      <c r="N2982" t="s">
        <v>1766</v>
      </c>
      <c r="O2982" t="s">
        <v>74</v>
      </c>
      <c r="P2982" t="s">
        <v>74</v>
      </c>
      <c r="Q2982" t="s">
        <v>74</v>
      </c>
      <c r="R2982" t="s">
        <v>74</v>
      </c>
      <c r="S2982" t="s">
        <v>74</v>
      </c>
      <c r="T2982" t="s">
        <v>49369</v>
      </c>
      <c r="U2982" t="s">
        <v>49370</v>
      </c>
      <c r="V2982" t="s">
        <v>49371</v>
      </c>
      <c r="W2982" t="s">
        <v>49372</v>
      </c>
      <c r="X2982" t="s">
        <v>6188</v>
      </c>
      <c r="Y2982" t="s">
        <v>49373</v>
      </c>
      <c r="Z2982" t="s">
        <v>49374</v>
      </c>
      <c r="AA2982" t="s">
        <v>49375</v>
      </c>
      <c r="AB2982" t="s">
        <v>74</v>
      </c>
      <c r="AC2982" t="s">
        <v>74</v>
      </c>
      <c r="AD2982" t="s">
        <v>74</v>
      </c>
      <c r="AE2982" t="s">
        <v>74</v>
      </c>
      <c r="AF2982" t="s">
        <v>74</v>
      </c>
      <c r="AG2982">
        <v>66</v>
      </c>
      <c r="AH2982">
        <v>14</v>
      </c>
      <c r="AI2982">
        <v>21</v>
      </c>
      <c r="AJ2982">
        <v>2</v>
      </c>
      <c r="AK2982">
        <v>21</v>
      </c>
      <c r="AL2982" t="s">
        <v>89</v>
      </c>
      <c r="AM2982" t="s">
        <v>90</v>
      </c>
      <c r="AN2982" t="s">
        <v>91</v>
      </c>
      <c r="AO2982" t="s">
        <v>18354</v>
      </c>
      <c r="AP2982" t="s">
        <v>18355</v>
      </c>
      <c r="AQ2982" t="s">
        <v>74</v>
      </c>
      <c r="AR2982" t="s">
        <v>18356</v>
      </c>
      <c r="AS2982" t="s">
        <v>18357</v>
      </c>
      <c r="AT2982" t="s">
        <v>13627</v>
      </c>
      <c r="AU2982">
        <v>2025</v>
      </c>
      <c r="AV2982">
        <v>41</v>
      </c>
      <c r="AW2982">
        <v>2</v>
      </c>
      <c r="AX2982" t="s">
        <v>74</v>
      </c>
      <c r="AY2982" t="s">
        <v>74</v>
      </c>
      <c r="AZ2982" t="s">
        <v>74</v>
      </c>
      <c r="BA2982" t="s">
        <v>74</v>
      </c>
      <c r="BB2982">
        <v>455</v>
      </c>
      <c r="BC2982">
        <v>483</v>
      </c>
      <c r="BD2982" t="s">
        <v>74</v>
      </c>
      <c r="BE2982" t="s">
        <v>49376</v>
      </c>
      <c r="BF2982" t="str">
        <f>HYPERLINK("http://dx.doi.org/10.1108/IJOES-03-2023-0044","http://dx.doi.org/10.1108/IJOES-03-2023-0044")</f>
        <v>http://dx.doi.org/10.1108/IJOES-03-2023-0044</v>
      </c>
      <c r="BG2982" t="s">
        <v>74</v>
      </c>
      <c r="BH2982" t="s">
        <v>1524</v>
      </c>
      <c r="BI2982">
        <v>29</v>
      </c>
      <c r="BJ2982" t="s">
        <v>291</v>
      </c>
      <c r="BK2982" t="s">
        <v>313</v>
      </c>
      <c r="BL2982" t="s">
        <v>100</v>
      </c>
      <c r="BM2982" t="s">
        <v>49377</v>
      </c>
      <c r="BN2982" t="s">
        <v>74</v>
      </c>
      <c r="BO2982" t="s">
        <v>74</v>
      </c>
      <c r="BP2982" t="s">
        <v>74</v>
      </c>
      <c r="BQ2982" t="s">
        <v>74</v>
      </c>
      <c r="BR2982" t="s">
        <v>102</v>
      </c>
      <c r="BS2982" t="s">
        <v>49378</v>
      </c>
      <c r="BT2982" t="str">
        <f>HYPERLINK("https%3A%2F%2Fwww.webofscience.com%2Fwos%2Fwoscc%2Ffull-record%2FWOS:001130082100001","View Full Record in Web of Science")</f>
        <v>View Full Record in Web of Science</v>
      </c>
    </row>
    <row r="2983" spans="1:72" x14ac:dyDescent="0.25">
      <c r="A2983" t="s">
        <v>72</v>
      </c>
      <c r="B2983" t="s">
        <v>49379</v>
      </c>
      <c r="C2983" t="s">
        <v>74</v>
      </c>
      <c r="D2983" t="s">
        <v>74</v>
      </c>
      <c r="E2983" t="s">
        <v>74</v>
      </c>
      <c r="F2983" t="s">
        <v>49380</v>
      </c>
      <c r="G2983" t="s">
        <v>74</v>
      </c>
      <c r="H2983" t="s">
        <v>74</v>
      </c>
      <c r="I2983" t="s">
        <v>49381</v>
      </c>
      <c r="J2983" t="s">
        <v>11074</v>
      </c>
      <c r="K2983" t="s">
        <v>74</v>
      </c>
      <c r="L2983" t="s">
        <v>74</v>
      </c>
      <c r="M2983" t="s">
        <v>78</v>
      </c>
      <c r="N2983" t="s">
        <v>79</v>
      </c>
      <c r="O2983" t="s">
        <v>74</v>
      </c>
      <c r="P2983" t="s">
        <v>74</v>
      </c>
      <c r="Q2983" t="s">
        <v>74</v>
      </c>
      <c r="R2983" t="s">
        <v>74</v>
      </c>
      <c r="S2983" t="s">
        <v>74</v>
      </c>
      <c r="T2983" t="s">
        <v>49382</v>
      </c>
      <c r="U2983" t="s">
        <v>49383</v>
      </c>
      <c r="V2983" t="s">
        <v>49384</v>
      </c>
      <c r="W2983" t="s">
        <v>49385</v>
      </c>
      <c r="X2983" t="s">
        <v>74</v>
      </c>
      <c r="Y2983" t="s">
        <v>49386</v>
      </c>
      <c r="Z2983" t="s">
        <v>49387</v>
      </c>
      <c r="AA2983" t="s">
        <v>49388</v>
      </c>
      <c r="AB2983" t="s">
        <v>49389</v>
      </c>
      <c r="AC2983" t="s">
        <v>74</v>
      </c>
      <c r="AD2983" t="s">
        <v>74</v>
      </c>
      <c r="AE2983" t="s">
        <v>74</v>
      </c>
      <c r="AF2983" t="s">
        <v>74</v>
      </c>
      <c r="AG2983">
        <v>79</v>
      </c>
      <c r="AH2983">
        <v>93</v>
      </c>
      <c r="AI2983">
        <v>128</v>
      </c>
      <c r="AJ2983">
        <v>1</v>
      </c>
      <c r="AK2983">
        <v>25</v>
      </c>
      <c r="AL2983" t="s">
        <v>89</v>
      </c>
      <c r="AM2983" t="s">
        <v>1497</v>
      </c>
      <c r="AN2983" t="s">
        <v>1498</v>
      </c>
      <c r="AO2983" t="s">
        <v>11083</v>
      </c>
      <c r="AP2983" t="s">
        <v>11084</v>
      </c>
      <c r="AQ2983" t="s">
        <v>74</v>
      </c>
      <c r="AR2983" t="s">
        <v>11085</v>
      </c>
      <c r="AS2983" t="s">
        <v>11086</v>
      </c>
      <c r="AT2983" t="s">
        <v>74</v>
      </c>
      <c r="AU2983">
        <v>2018</v>
      </c>
      <c r="AV2983">
        <v>20</v>
      </c>
      <c r="AW2983">
        <v>6</v>
      </c>
      <c r="AX2983" t="s">
        <v>74</v>
      </c>
      <c r="AY2983" t="s">
        <v>74</v>
      </c>
      <c r="AZ2983" t="s">
        <v>74</v>
      </c>
      <c r="BA2983" t="s">
        <v>74</v>
      </c>
      <c r="BB2983">
        <v>568</v>
      </c>
      <c r="BC2983">
        <v>581</v>
      </c>
      <c r="BD2983" t="s">
        <v>74</v>
      </c>
      <c r="BE2983" t="s">
        <v>49390</v>
      </c>
      <c r="BF2983" t="str">
        <f>HYPERLINK("http://dx.doi.org/10.1108/DPRG-04-2018-0018","http://dx.doi.org/10.1108/DPRG-04-2018-0018")</f>
        <v>http://dx.doi.org/10.1108/DPRG-04-2018-0018</v>
      </c>
      <c r="BG2983" t="s">
        <v>74</v>
      </c>
      <c r="BH2983" t="s">
        <v>74</v>
      </c>
      <c r="BI2983">
        <v>14</v>
      </c>
      <c r="BJ2983" t="s">
        <v>2351</v>
      </c>
      <c r="BK2983" t="s">
        <v>313</v>
      </c>
      <c r="BL2983" t="s">
        <v>2351</v>
      </c>
      <c r="BM2983" t="s">
        <v>49391</v>
      </c>
      <c r="BN2983" t="s">
        <v>74</v>
      </c>
      <c r="BO2983" t="s">
        <v>74</v>
      </c>
      <c r="BP2983" t="s">
        <v>74</v>
      </c>
      <c r="BQ2983" t="s">
        <v>74</v>
      </c>
      <c r="BR2983" t="s">
        <v>102</v>
      </c>
      <c r="BS2983" t="s">
        <v>49392</v>
      </c>
      <c r="BT2983" t="str">
        <f>HYPERLINK("https%3A%2F%2Fwww.webofscience.com%2Fwos%2Fwoscc%2Ffull-record%2FWOS:000449829000004","View Full Record in Web of Science")</f>
        <v>View Full Record in Web of Science</v>
      </c>
    </row>
    <row r="2984" spans="1:72" x14ac:dyDescent="0.25">
      <c r="A2984" t="s">
        <v>72</v>
      </c>
      <c r="B2984" t="s">
        <v>49393</v>
      </c>
      <c r="C2984" t="s">
        <v>74</v>
      </c>
      <c r="D2984" t="s">
        <v>74</v>
      </c>
      <c r="E2984" t="s">
        <v>74</v>
      </c>
      <c r="F2984" t="s">
        <v>49394</v>
      </c>
      <c r="G2984" t="s">
        <v>74</v>
      </c>
      <c r="H2984" t="s">
        <v>74</v>
      </c>
      <c r="I2984" t="s">
        <v>49395</v>
      </c>
      <c r="J2984" t="s">
        <v>3231</v>
      </c>
      <c r="K2984" t="s">
        <v>74</v>
      </c>
      <c r="L2984" t="s">
        <v>74</v>
      </c>
      <c r="M2984" t="s">
        <v>78</v>
      </c>
      <c r="N2984" t="s">
        <v>79</v>
      </c>
      <c r="O2984" t="s">
        <v>74</v>
      </c>
      <c r="P2984" t="s">
        <v>74</v>
      </c>
      <c r="Q2984" t="s">
        <v>74</v>
      </c>
      <c r="R2984" t="s">
        <v>74</v>
      </c>
      <c r="S2984" t="s">
        <v>74</v>
      </c>
      <c r="T2984" t="s">
        <v>49396</v>
      </c>
      <c r="U2984" t="s">
        <v>49397</v>
      </c>
      <c r="V2984" t="s">
        <v>49398</v>
      </c>
      <c r="W2984" t="s">
        <v>49399</v>
      </c>
      <c r="X2984" t="s">
        <v>49400</v>
      </c>
      <c r="Y2984" t="s">
        <v>49401</v>
      </c>
      <c r="Z2984" t="s">
        <v>49402</v>
      </c>
      <c r="AA2984" t="s">
        <v>49403</v>
      </c>
      <c r="AB2984" t="s">
        <v>49404</v>
      </c>
      <c r="AC2984" t="s">
        <v>49405</v>
      </c>
      <c r="AD2984" t="s">
        <v>49406</v>
      </c>
      <c r="AE2984" t="s">
        <v>49407</v>
      </c>
      <c r="AF2984" t="s">
        <v>74</v>
      </c>
      <c r="AG2984">
        <v>67</v>
      </c>
      <c r="AH2984">
        <v>21</v>
      </c>
      <c r="AI2984">
        <v>23</v>
      </c>
      <c r="AJ2984">
        <v>6</v>
      </c>
      <c r="AK2984">
        <v>79</v>
      </c>
      <c r="AL2984" t="s">
        <v>575</v>
      </c>
      <c r="AM2984" t="s">
        <v>576</v>
      </c>
      <c r="AN2984" t="s">
        <v>577</v>
      </c>
      <c r="AO2984" t="s">
        <v>74</v>
      </c>
      <c r="AP2984" t="s">
        <v>3243</v>
      </c>
      <c r="AQ2984" t="s">
        <v>74</v>
      </c>
      <c r="AR2984" t="s">
        <v>3244</v>
      </c>
      <c r="AS2984" t="s">
        <v>3245</v>
      </c>
      <c r="AT2984" t="s">
        <v>1652</v>
      </c>
      <c r="AU2984">
        <v>2021</v>
      </c>
      <c r="AV2984">
        <v>13</v>
      </c>
      <c r="AW2984">
        <v>11</v>
      </c>
      <c r="AX2984" t="s">
        <v>74</v>
      </c>
      <c r="AY2984" t="s">
        <v>74</v>
      </c>
      <c r="AZ2984" t="s">
        <v>74</v>
      </c>
      <c r="BA2984" t="s">
        <v>74</v>
      </c>
      <c r="BB2984" t="s">
        <v>74</v>
      </c>
      <c r="BC2984" t="s">
        <v>74</v>
      </c>
      <c r="BD2984">
        <v>6401</v>
      </c>
      <c r="BE2984" t="s">
        <v>49408</v>
      </c>
      <c r="BF2984" t="str">
        <f>HYPERLINK("http://dx.doi.org/10.3390/su13116401","http://dx.doi.org/10.3390/su13116401")</f>
        <v>http://dx.doi.org/10.3390/su13116401</v>
      </c>
      <c r="BG2984" t="s">
        <v>74</v>
      </c>
      <c r="BH2984" t="s">
        <v>74</v>
      </c>
      <c r="BI2984">
        <v>18</v>
      </c>
      <c r="BJ2984" t="s">
        <v>3247</v>
      </c>
      <c r="BK2984" t="s">
        <v>2623</v>
      </c>
      <c r="BL2984" t="s">
        <v>3248</v>
      </c>
      <c r="BM2984" t="s">
        <v>49409</v>
      </c>
      <c r="BN2984" t="s">
        <v>74</v>
      </c>
      <c r="BO2984" t="s">
        <v>916</v>
      </c>
      <c r="BP2984" t="s">
        <v>74</v>
      </c>
      <c r="BQ2984" t="s">
        <v>74</v>
      </c>
      <c r="BR2984" t="s">
        <v>102</v>
      </c>
      <c r="BS2984" t="s">
        <v>49410</v>
      </c>
      <c r="BT2984" t="str">
        <f>HYPERLINK("https%3A%2F%2Fwww.webofscience.com%2Fwos%2Fwoscc%2Ffull-record%2FWOS:000660723200001","View Full Record in Web of Science")</f>
        <v>View Full Record in Web of Science</v>
      </c>
    </row>
    <row r="2985" spans="1:72" x14ac:dyDescent="0.25">
      <c r="A2985" t="s">
        <v>72</v>
      </c>
      <c r="B2985" t="s">
        <v>49411</v>
      </c>
      <c r="C2985" t="s">
        <v>74</v>
      </c>
      <c r="D2985" t="s">
        <v>74</v>
      </c>
      <c r="E2985" t="s">
        <v>74</v>
      </c>
      <c r="F2985" t="s">
        <v>49412</v>
      </c>
      <c r="G2985" t="s">
        <v>74</v>
      </c>
      <c r="H2985" t="s">
        <v>74</v>
      </c>
      <c r="I2985" t="s">
        <v>49413</v>
      </c>
      <c r="J2985" t="s">
        <v>25407</v>
      </c>
      <c r="K2985" t="s">
        <v>74</v>
      </c>
      <c r="L2985" t="s">
        <v>74</v>
      </c>
      <c r="M2985" t="s">
        <v>78</v>
      </c>
      <c r="N2985" t="s">
        <v>372</v>
      </c>
      <c r="O2985" t="s">
        <v>74</v>
      </c>
      <c r="P2985" t="s">
        <v>74</v>
      </c>
      <c r="Q2985" t="s">
        <v>74</v>
      </c>
      <c r="R2985" t="s">
        <v>74</v>
      </c>
      <c r="S2985" t="s">
        <v>74</v>
      </c>
      <c r="T2985" t="s">
        <v>49414</v>
      </c>
      <c r="U2985" t="s">
        <v>49415</v>
      </c>
      <c r="V2985" t="s">
        <v>49416</v>
      </c>
      <c r="W2985" t="s">
        <v>49417</v>
      </c>
      <c r="X2985" t="s">
        <v>49418</v>
      </c>
      <c r="Y2985" t="s">
        <v>49419</v>
      </c>
      <c r="Z2985" t="s">
        <v>49420</v>
      </c>
      <c r="AA2985" t="s">
        <v>74</v>
      </c>
      <c r="AB2985" t="s">
        <v>74</v>
      </c>
      <c r="AC2985" t="s">
        <v>49421</v>
      </c>
      <c r="AD2985" t="s">
        <v>49422</v>
      </c>
      <c r="AE2985" t="s">
        <v>49423</v>
      </c>
      <c r="AF2985" t="s">
        <v>74</v>
      </c>
      <c r="AG2985">
        <v>53</v>
      </c>
      <c r="AH2985">
        <v>1</v>
      </c>
      <c r="AI2985">
        <v>1</v>
      </c>
      <c r="AJ2985">
        <v>4</v>
      </c>
      <c r="AK2985">
        <v>4</v>
      </c>
      <c r="AL2985" t="s">
        <v>89</v>
      </c>
      <c r="AM2985" t="s">
        <v>90</v>
      </c>
      <c r="AN2985" t="s">
        <v>91</v>
      </c>
      <c r="AO2985" t="s">
        <v>25394</v>
      </c>
      <c r="AP2985" t="s">
        <v>25393</v>
      </c>
      <c r="AQ2985" t="s">
        <v>74</v>
      </c>
      <c r="AR2985" t="s">
        <v>25392</v>
      </c>
      <c r="AS2985" t="s">
        <v>25391</v>
      </c>
      <c r="AT2985" t="s">
        <v>49424</v>
      </c>
      <c r="AU2985">
        <v>2025</v>
      </c>
      <c r="AV2985" t="s">
        <v>74</v>
      </c>
      <c r="AW2985" t="s">
        <v>74</v>
      </c>
      <c r="AX2985" t="s">
        <v>74</v>
      </c>
      <c r="AY2985" t="s">
        <v>74</v>
      </c>
      <c r="AZ2985" t="s">
        <v>74</v>
      </c>
      <c r="BA2985" t="s">
        <v>74</v>
      </c>
      <c r="BB2985" t="s">
        <v>74</v>
      </c>
      <c r="BC2985" t="s">
        <v>74</v>
      </c>
      <c r="BD2985" t="s">
        <v>74</v>
      </c>
      <c r="BE2985" t="s">
        <v>49425</v>
      </c>
      <c r="BF2985" t="str">
        <f>HYPERLINK("http://dx.doi.org/10.1108/CFRI-10-2024-0611","http://dx.doi.org/10.1108/CFRI-10-2024-0611")</f>
        <v>http://dx.doi.org/10.1108/CFRI-10-2024-0611</v>
      </c>
      <c r="BG2985" t="s">
        <v>74</v>
      </c>
      <c r="BH2985" t="s">
        <v>2044</v>
      </c>
      <c r="BI2985">
        <v>34</v>
      </c>
      <c r="BJ2985" t="s">
        <v>268</v>
      </c>
      <c r="BK2985" t="s">
        <v>313</v>
      </c>
      <c r="BL2985" t="s">
        <v>100</v>
      </c>
      <c r="BM2985" t="s">
        <v>49426</v>
      </c>
      <c r="BN2985" t="s">
        <v>74</v>
      </c>
      <c r="BO2985" t="s">
        <v>74</v>
      </c>
      <c r="BP2985" t="s">
        <v>74</v>
      </c>
      <c r="BQ2985" t="s">
        <v>74</v>
      </c>
      <c r="BR2985" t="s">
        <v>102</v>
      </c>
      <c r="BS2985" t="s">
        <v>49427</v>
      </c>
      <c r="BT2985" t="str">
        <f>HYPERLINK("https%3A%2F%2Fwww.webofscience.com%2Fwos%2Fwoscc%2Ffull-record%2FWOS:001609467300001","View Full Record in Web of Science")</f>
        <v>View Full Record in Web of Science</v>
      </c>
    </row>
    <row r="2986" spans="1:72" x14ac:dyDescent="0.25">
      <c r="A2986" t="s">
        <v>132</v>
      </c>
      <c r="B2986" t="s">
        <v>49428</v>
      </c>
      <c r="C2986" t="s">
        <v>74</v>
      </c>
      <c r="D2986" t="s">
        <v>4422</v>
      </c>
      <c r="E2986" t="s">
        <v>74</v>
      </c>
      <c r="F2986" t="s">
        <v>49429</v>
      </c>
      <c r="G2986" t="s">
        <v>74</v>
      </c>
      <c r="H2986" t="s">
        <v>74</v>
      </c>
      <c r="I2986" t="s">
        <v>49430</v>
      </c>
      <c r="J2986" t="s">
        <v>49431</v>
      </c>
      <c r="K2986" t="s">
        <v>25976</v>
      </c>
      <c r="L2986" t="s">
        <v>74</v>
      </c>
      <c r="M2986" t="s">
        <v>78</v>
      </c>
      <c r="N2986" t="s">
        <v>138</v>
      </c>
      <c r="O2986" t="s">
        <v>49432</v>
      </c>
      <c r="P2986" t="s">
        <v>49433</v>
      </c>
      <c r="Q2986" t="s">
        <v>49434</v>
      </c>
      <c r="R2986" t="s">
        <v>74</v>
      </c>
      <c r="S2986" t="s">
        <v>74</v>
      </c>
      <c r="T2986" t="s">
        <v>74</v>
      </c>
      <c r="U2986" t="s">
        <v>49435</v>
      </c>
      <c r="V2986" t="s">
        <v>49436</v>
      </c>
      <c r="W2986" t="s">
        <v>49437</v>
      </c>
      <c r="X2986" t="s">
        <v>49438</v>
      </c>
      <c r="Y2986" t="s">
        <v>49439</v>
      </c>
      <c r="Z2986" t="s">
        <v>49440</v>
      </c>
      <c r="AA2986" t="s">
        <v>49441</v>
      </c>
      <c r="AB2986" t="s">
        <v>74</v>
      </c>
      <c r="AC2986" t="s">
        <v>74</v>
      </c>
      <c r="AD2986" t="s">
        <v>74</v>
      </c>
      <c r="AE2986" t="s">
        <v>74</v>
      </c>
      <c r="AF2986" t="s">
        <v>74</v>
      </c>
      <c r="AG2986">
        <v>133</v>
      </c>
      <c r="AH2986">
        <v>1</v>
      </c>
      <c r="AI2986">
        <v>1</v>
      </c>
      <c r="AJ2986">
        <v>0</v>
      </c>
      <c r="AK2986">
        <v>0</v>
      </c>
      <c r="AL2986" t="s">
        <v>4439</v>
      </c>
      <c r="AM2986" t="s">
        <v>4440</v>
      </c>
      <c r="AN2986" t="s">
        <v>4441</v>
      </c>
      <c r="AO2986" t="s">
        <v>74</v>
      </c>
      <c r="AP2986" t="s">
        <v>74</v>
      </c>
      <c r="AQ2986" t="s">
        <v>49442</v>
      </c>
      <c r="AR2986" t="s">
        <v>25964</v>
      </c>
      <c r="AS2986" t="s">
        <v>74</v>
      </c>
      <c r="AT2986" t="s">
        <v>74</v>
      </c>
      <c r="AU2986">
        <v>2021</v>
      </c>
      <c r="AV2986" t="s">
        <v>74</v>
      </c>
      <c r="AW2986" t="s">
        <v>74</v>
      </c>
      <c r="AX2986" t="s">
        <v>74</v>
      </c>
      <c r="AY2986" t="s">
        <v>74</v>
      </c>
      <c r="AZ2986" t="s">
        <v>74</v>
      </c>
      <c r="BA2986" t="s">
        <v>74</v>
      </c>
      <c r="BB2986">
        <v>4197</v>
      </c>
      <c r="BC2986">
        <v>4206</v>
      </c>
      <c r="BD2986" t="s">
        <v>74</v>
      </c>
      <c r="BE2986" t="s">
        <v>74</v>
      </c>
      <c r="BF2986" t="s">
        <v>74</v>
      </c>
      <c r="BG2986" t="s">
        <v>74</v>
      </c>
      <c r="BH2986" t="s">
        <v>74</v>
      </c>
      <c r="BI2986">
        <v>10</v>
      </c>
      <c r="BJ2986" t="s">
        <v>5854</v>
      </c>
      <c r="BK2986" t="s">
        <v>156</v>
      </c>
      <c r="BL2986" t="s">
        <v>157</v>
      </c>
      <c r="BM2986" t="s">
        <v>49443</v>
      </c>
      <c r="BN2986" t="s">
        <v>74</v>
      </c>
      <c r="BO2986" t="s">
        <v>74</v>
      </c>
      <c r="BP2986" t="s">
        <v>74</v>
      </c>
      <c r="BQ2986" t="s">
        <v>74</v>
      </c>
      <c r="BR2986" t="s">
        <v>102</v>
      </c>
      <c r="BS2986" t="s">
        <v>49444</v>
      </c>
      <c r="BT2986" t="str">
        <f>HYPERLINK("https%3A%2F%2Fwww.webofscience.com%2Fwos%2Fwoscc%2Ffull-record%2FWOS:001300419504025","View Full Record in Web of Science")</f>
        <v>View Full Record in Web of Science</v>
      </c>
    </row>
    <row r="2987" spans="1:72" x14ac:dyDescent="0.25">
      <c r="A2987" t="s">
        <v>72</v>
      </c>
      <c r="B2987" t="s">
        <v>49445</v>
      </c>
      <c r="C2987" t="s">
        <v>74</v>
      </c>
      <c r="D2987" t="s">
        <v>74</v>
      </c>
      <c r="E2987" t="s">
        <v>74</v>
      </c>
      <c r="F2987" t="s">
        <v>49446</v>
      </c>
      <c r="G2987" t="s">
        <v>74</v>
      </c>
      <c r="H2987" t="s">
        <v>74</v>
      </c>
      <c r="I2987" t="s">
        <v>49447</v>
      </c>
      <c r="J2987" t="s">
        <v>1963</v>
      </c>
      <c r="K2987" t="s">
        <v>74</v>
      </c>
      <c r="L2987" t="s">
        <v>74</v>
      </c>
      <c r="M2987" t="s">
        <v>78</v>
      </c>
      <c r="N2987" t="s">
        <v>372</v>
      </c>
      <c r="O2987" t="s">
        <v>74</v>
      </c>
      <c r="P2987" t="s">
        <v>74</v>
      </c>
      <c r="Q2987" t="s">
        <v>74</v>
      </c>
      <c r="R2987" t="s">
        <v>74</v>
      </c>
      <c r="S2987" t="s">
        <v>74</v>
      </c>
      <c r="T2987" t="s">
        <v>49448</v>
      </c>
      <c r="U2987" t="s">
        <v>13246</v>
      </c>
      <c r="V2987" t="s">
        <v>49449</v>
      </c>
      <c r="W2987" t="s">
        <v>49450</v>
      </c>
      <c r="X2987" t="s">
        <v>49451</v>
      </c>
      <c r="Y2987" t="s">
        <v>49452</v>
      </c>
      <c r="Z2987" t="s">
        <v>38070</v>
      </c>
      <c r="AA2987" t="s">
        <v>49453</v>
      </c>
      <c r="AB2987" t="s">
        <v>49454</v>
      </c>
      <c r="AC2987" t="s">
        <v>49455</v>
      </c>
      <c r="AD2987" t="s">
        <v>49455</v>
      </c>
      <c r="AE2987" t="s">
        <v>49456</v>
      </c>
      <c r="AF2987" t="s">
        <v>74</v>
      </c>
      <c r="AG2987">
        <v>73</v>
      </c>
      <c r="AH2987">
        <v>0</v>
      </c>
      <c r="AI2987">
        <v>1</v>
      </c>
      <c r="AJ2987">
        <v>6</v>
      </c>
      <c r="AK2987">
        <v>7</v>
      </c>
      <c r="AL2987" t="s">
        <v>332</v>
      </c>
      <c r="AM2987" t="s">
        <v>333</v>
      </c>
      <c r="AN2987" t="s">
        <v>334</v>
      </c>
      <c r="AO2987" t="s">
        <v>1975</v>
      </c>
      <c r="AP2987" t="s">
        <v>1976</v>
      </c>
      <c r="AQ2987" t="s">
        <v>74</v>
      </c>
      <c r="AR2987" t="s">
        <v>1977</v>
      </c>
      <c r="AS2987" t="s">
        <v>1978</v>
      </c>
      <c r="AT2987" t="s">
        <v>48997</v>
      </c>
      <c r="AU2987">
        <v>2025</v>
      </c>
      <c r="AV2987" t="s">
        <v>74</v>
      </c>
      <c r="AW2987" t="s">
        <v>74</v>
      </c>
      <c r="AX2987" t="s">
        <v>74</v>
      </c>
      <c r="AY2987" t="s">
        <v>74</v>
      </c>
      <c r="AZ2987" t="s">
        <v>74</v>
      </c>
      <c r="BA2987" t="s">
        <v>74</v>
      </c>
      <c r="BB2987" t="s">
        <v>74</v>
      </c>
      <c r="BC2987" t="s">
        <v>74</v>
      </c>
      <c r="BD2987" t="s">
        <v>74</v>
      </c>
      <c r="BE2987" t="s">
        <v>49457</v>
      </c>
      <c r="BF2987" t="str">
        <f>HYPERLINK("http://dx.doi.org/10.1080/00036846.2025.2465842","http://dx.doi.org/10.1080/00036846.2025.2465842")</f>
        <v>http://dx.doi.org/10.1080/00036846.2025.2465842</v>
      </c>
      <c r="BG2987" t="s">
        <v>74</v>
      </c>
      <c r="BH2987" t="s">
        <v>417</v>
      </c>
      <c r="BI2987">
        <v>18</v>
      </c>
      <c r="BJ2987" t="s">
        <v>291</v>
      </c>
      <c r="BK2987" t="s">
        <v>99</v>
      </c>
      <c r="BL2987" t="s">
        <v>100</v>
      </c>
      <c r="BM2987" t="s">
        <v>49458</v>
      </c>
      <c r="BN2987" t="s">
        <v>74</v>
      </c>
      <c r="BO2987" t="s">
        <v>74</v>
      </c>
      <c r="BP2987" t="s">
        <v>74</v>
      </c>
      <c r="BQ2987" t="s">
        <v>74</v>
      </c>
      <c r="BR2987" t="s">
        <v>102</v>
      </c>
      <c r="BS2987" t="s">
        <v>49459</v>
      </c>
      <c r="BT2987" t="str">
        <f>HYPERLINK("https%3A%2F%2Fwww.webofscience.com%2Fwos%2Fwoscc%2Ffull-record%2FWOS:001426588000001","View Full Record in Web of Science")</f>
        <v>View Full Record in Web of Science</v>
      </c>
    </row>
    <row r="2988" spans="1:72" x14ac:dyDescent="0.25">
      <c r="A2988" t="s">
        <v>72</v>
      </c>
      <c r="B2988" t="s">
        <v>49460</v>
      </c>
      <c r="C2988" t="s">
        <v>74</v>
      </c>
      <c r="D2988" t="s">
        <v>74</v>
      </c>
      <c r="E2988" t="s">
        <v>74</v>
      </c>
      <c r="F2988" t="s">
        <v>49461</v>
      </c>
      <c r="G2988" t="s">
        <v>74</v>
      </c>
      <c r="H2988" t="s">
        <v>74</v>
      </c>
      <c r="I2988" t="s">
        <v>49462</v>
      </c>
      <c r="J2988" t="s">
        <v>1902</v>
      </c>
      <c r="K2988" t="s">
        <v>74</v>
      </c>
      <c r="L2988" t="s">
        <v>74</v>
      </c>
      <c r="M2988" t="s">
        <v>78</v>
      </c>
      <c r="N2988" t="s">
        <v>79</v>
      </c>
      <c r="O2988" t="s">
        <v>74</v>
      </c>
      <c r="P2988" t="s">
        <v>74</v>
      </c>
      <c r="Q2988" t="s">
        <v>74</v>
      </c>
      <c r="R2988" t="s">
        <v>74</v>
      </c>
      <c r="S2988" t="s">
        <v>74</v>
      </c>
      <c r="T2988" t="s">
        <v>49463</v>
      </c>
      <c r="U2988" t="s">
        <v>49464</v>
      </c>
      <c r="V2988" t="s">
        <v>49465</v>
      </c>
      <c r="W2988" t="s">
        <v>49466</v>
      </c>
      <c r="X2988" t="s">
        <v>2434</v>
      </c>
      <c r="Y2988" t="s">
        <v>49467</v>
      </c>
      <c r="Z2988" t="s">
        <v>49468</v>
      </c>
      <c r="AA2988" t="s">
        <v>74</v>
      </c>
      <c r="AB2988" t="s">
        <v>49469</v>
      </c>
      <c r="AC2988" t="s">
        <v>74</v>
      </c>
      <c r="AD2988" t="s">
        <v>74</v>
      </c>
      <c r="AE2988" t="s">
        <v>74</v>
      </c>
      <c r="AF2988" t="s">
        <v>74</v>
      </c>
      <c r="AG2988">
        <v>62</v>
      </c>
      <c r="AH2988">
        <v>37</v>
      </c>
      <c r="AI2988">
        <v>43</v>
      </c>
      <c r="AJ2988">
        <v>0</v>
      </c>
      <c r="AK2988">
        <v>44</v>
      </c>
      <c r="AL2988" t="s">
        <v>89</v>
      </c>
      <c r="AM2988" t="s">
        <v>1497</v>
      </c>
      <c r="AN2988" t="s">
        <v>1498</v>
      </c>
      <c r="AO2988" t="s">
        <v>1910</v>
      </c>
      <c r="AP2988" t="s">
        <v>1911</v>
      </c>
      <c r="AQ2988" t="s">
        <v>74</v>
      </c>
      <c r="AR2988" t="s">
        <v>1912</v>
      </c>
      <c r="AS2988" t="s">
        <v>1913</v>
      </c>
      <c r="AT2988" t="s">
        <v>74</v>
      </c>
      <c r="AU2988">
        <v>2018</v>
      </c>
      <c r="AV2988">
        <v>10</v>
      </c>
      <c r="AW2988">
        <v>1</v>
      </c>
      <c r="AX2988" t="s">
        <v>74</v>
      </c>
      <c r="AY2988" t="s">
        <v>74</v>
      </c>
      <c r="AZ2988" t="s">
        <v>74</v>
      </c>
      <c r="BA2988" t="s">
        <v>74</v>
      </c>
      <c r="BB2988">
        <v>73</v>
      </c>
      <c r="BC2988">
        <v>94</v>
      </c>
      <c r="BD2988" t="s">
        <v>74</v>
      </c>
      <c r="BE2988" t="s">
        <v>49470</v>
      </c>
      <c r="BF2988" t="str">
        <f>HYPERLINK("http://dx.doi.org/10.1108/JFEP-10-2016-0070","http://dx.doi.org/10.1108/JFEP-10-2016-0070")</f>
        <v>http://dx.doi.org/10.1108/JFEP-10-2016-0070</v>
      </c>
      <c r="BG2988" t="s">
        <v>74</v>
      </c>
      <c r="BH2988" t="s">
        <v>74</v>
      </c>
      <c r="BI2988">
        <v>22</v>
      </c>
      <c r="BJ2988" t="s">
        <v>291</v>
      </c>
      <c r="BK2988" t="s">
        <v>313</v>
      </c>
      <c r="BL2988" t="s">
        <v>100</v>
      </c>
      <c r="BM2988" t="s">
        <v>49471</v>
      </c>
      <c r="BN2988" t="s">
        <v>74</v>
      </c>
      <c r="BO2988" t="s">
        <v>74</v>
      </c>
      <c r="BP2988" t="s">
        <v>74</v>
      </c>
      <c r="BQ2988" t="s">
        <v>74</v>
      </c>
      <c r="BR2988" t="s">
        <v>102</v>
      </c>
      <c r="BS2988" t="s">
        <v>49472</v>
      </c>
      <c r="BT2988" t="str">
        <f>HYPERLINK("https%3A%2F%2Fwww.webofscience.com%2Fwos%2Fwoscc%2Ffull-record%2FWOS:000427786900005","View Full Record in Web of Science")</f>
        <v>View Full Record in Web of Science</v>
      </c>
    </row>
    <row r="2989" spans="1:72" x14ac:dyDescent="0.25">
      <c r="A2989" t="s">
        <v>72</v>
      </c>
      <c r="B2989" t="s">
        <v>49473</v>
      </c>
      <c r="C2989" t="s">
        <v>74</v>
      </c>
      <c r="D2989" t="s">
        <v>74</v>
      </c>
      <c r="E2989" t="s">
        <v>74</v>
      </c>
      <c r="F2989" t="s">
        <v>49474</v>
      </c>
      <c r="G2989" t="s">
        <v>74</v>
      </c>
      <c r="H2989" t="s">
        <v>74</v>
      </c>
      <c r="I2989" t="s">
        <v>49475</v>
      </c>
      <c r="J2989" t="s">
        <v>2030</v>
      </c>
      <c r="K2989" t="s">
        <v>74</v>
      </c>
      <c r="L2989" t="s">
        <v>74</v>
      </c>
      <c r="M2989" t="s">
        <v>78</v>
      </c>
      <c r="N2989" t="s">
        <v>79</v>
      </c>
      <c r="O2989" t="s">
        <v>74</v>
      </c>
      <c r="P2989" t="s">
        <v>74</v>
      </c>
      <c r="Q2989" t="s">
        <v>74</v>
      </c>
      <c r="R2989" t="s">
        <v>74</v>
      </c>
      <c r="S2989" t="s">
        <v>74</v>
      </c>
      <c r="T2989" t="s">
        <v>49476</v>
      </c>
      <c r="U2989" t="s">
        <v>42573</v>
      </c>
      <c r="V2989" t="s">
        <v>49477</v>
      </c>
      <c r="W2989" t="s">
        <v>49478</v>
      </c>
      <c r="X2989" t="s">
        <v>74</v>
      </c>
      <c r="Y2989" t="s">
        <v>49479</v>
      </c>
      <c r="Z2989" t="s">
        <v>49480</v>
      </c>
      <c r="AA2989" t="s">
        <v>49481</v>
      </c>
      <c r="AB2989" t="s">
        <v>74</v>
      </c>
      <c r="AC2989" t="s">
        <v>74</v>
      </c>
      <c r="AD2989" t="s">
        <v>74</v>
      </c>
      <c r="AE2989" t="s">
        <v>74</v>
      </c>
      <c r="AF2989" t="s">
        <v>74</v>
      </c>
      <c r="AG2989">
        <v>64</v>
      </c>
      <c r="AH2989">
        <v>4</v>
      </c>
      <c r="AI2989">
        <v>6</v>
      </c>
      <c r="AJ2989">
        <v>0</v>
      </c>
      <c r="AK2989">
        <v>10</v>
      </c>
      <c r="AL2989" t="s">
        <v>666</v>
      </c>
      <c r="AM2989" t="s">
        <v>667</v>
      </c>
      <c r="AN2989" t="s">
        <v>668</v>
      </c>
      <c r="AO2989" t="s">
        <v>2039</v>
      </c>
      <c r="AP2989" t="s">
        <v>74</v>
      </c>
      <c r="AQ2989" t="s">
        <v>74</v>
      </c>
      <c r="AR2989" t="s">
        <v>2040</v>
      </c>
      <c r="AS2989" t="s">
        <v>2041</v>
      </c>
      <c r="AT2989" t="s">
        <v>605</v>
      </c>
      <c r="AU2989">
        <v>2023</v>
      </c>
      <c r="AV2989">
        <v>10</v>
      </c>
      <c r="AW2989">
        <v>1</v>
      </c>
      <c r="AX2989" t="s">
        <v>74</v>
      </c>
      <c r="AY2989" t="s">
        <v>74</v>
      </c>
      <c r="AZ2989" t="s">
        <v>441</v>
      </c>
      <c r="BA2989" t="s">
        <v>74</v>
      </c>
      <c r="BB2989">
        <v>9</v>
      </c>
      <c r="BC2989">
        <v>17</v>
      </c>
      <c r="BD2989" t="s">
        <v>74</v>
      </c>
      <c r="BE2989" t="s">
        <v>49482</v>
      </c>
      <c r="BF2989" t="str">
        <f>HYPERLINK("http://dx.doi.org/10.1007/s40609-022-00260-9","http://dx.doi.org/10.1007/s40609-022-00260-9")</f>
        <v>http://dx.doi.org/10.1007/s40609-022-00260-9</v>
      </c>
      <c r="BG2989" t="s">
        <v>74</v>
      </c>
      <c r="BH2989" t="s">
        <v>7904</v>
      </c>
      <c r="BI2989">
        <v>9</v>
      </c>
      <c r="BJ2989" t="s">
        <v>2045</v>
      </c>
      <c r="BK2989" t="s">
        <v>313</v>
      </c>
      <c r="BL2989" t="s">
        <v>2045</v>
      </c>
      <c r="BM2989" t="s">
        <v>25286</v>
      </c>
      <c r="BN2989">
        <v>36573127</v>
      </c>
      <c r="BO2989" t="s">
        <v>678</v>
      </c>
      <c r="BP2989" t="s">
        <v>74</v>
      </c>
      <c r="BQ2989" t="s">
        <v>74</v>
      </c>
      <c r="BR2989" t="s">
        <v>102</v>
      </c>
      <c r="BS2989" t="s">
        <v>49483</v>
      </c>
      <c r="BT2989" t="str">
        <f>HYPERLINK("https%3A%2F%2Fwww.webofscience.com%2Fwos%2Fwoscc%2Ffull-record%2FWOS:000901956900001","View Full Record in Web of Science")</f>
        <v>View Full Record in Web of Science</v>
      </c>
    </row>
    <row r="2990" spans="1:72" x14ac:dyDescent="0.25">
      <c r="A2990" t="s">
        <v>72</v>
      </c>
      <c r="B2990" t="s">
        <v>49484</v>
      </c>
      <c r="C2990" t="s">
        <v>74</v>
      </c>
      <c r="D2990" t="s">
        <v>74</v>
      </c>
      <c r="E2990" t="s">
        <v>74</v>
      </c>
      <c r="F2990" t="s">
        <v>49485</v>
      </c>
      <c r="G2990" t="s">
        <v>74</v>
      </c>
      <c r="H2990" t="s">
        <v>74</v>
      </c>
      <c r="I2990" t="s">
        <v>49486</v>
      </c>
      <c r="J2990" t="s">
        <v>2809</v>
      </c>
      <c r="K2990" t="s">
        <v>74</v>
      </c>
      <c r="L2990" t="s">
        <v>74</v>
      </c>
      <c r="M2990" t="s">
        <v>78</v>
      </c>
      <c r="N2990" t="s">
        <v>79</v>
      </c>
      <c r="O2990" t="s">
        <v>74</v>
      </c>
      <c r="P2990" t="s">
        <v>74</v>
      </c>
      <c r="Q2990" t="s">
        <v>74</v>
      </c>
      <c r="R2990" t="s">
        <v>74</v>
      </c>
      <c r="S2990" t="s">
        <v>74</v>
      </c>
      <c r="T2990" t="s">
        <v>49487</v>
      </c>
      <c r="U2990" t="s">
        <v>49488</v>
      </c>
      <c r="V2990" t="s">
        <v>49489</v>
      </c>
      <c r="W2990" t="s">
        <v>49490</v>
      </c>
      <c r="X2990" t="s">
        <v>49491</v>
      </c>
      <c r="Y2990" t="s">
        <v>49492</v>
      </c>
      <c r="Z2990" t="s">
        <v>49493</v>
      </c>
      <c r="AA2990" t="s">
        <v>74</v>
      </c>
      <c r="AB2990" t="s">
        <v>49494</v>
      </c>
      <c r="AC2990" t="s">
        <v>74</v>
      </c>
      <c r="AD2990" t="s">
        <v>74</v>
      </c>
      <c r="AE2990" t="s">
        <v>74</v>
      </c>
      <c r="AF2990" t="s">
        <v>74</v>
      </c>
      <c r="AG2990">
        <v>71</v>
      </c>
      <c r="AH2990">
        <v>4</v>
      </c>
      <c r="AI2990">
        <v>4</v>
      </c>
      <c r="AJ2990">
        <v>1</v>
      </c>
      <c r="AK2990">
        <v>6</v>
      </c>
      <c r="AL2990" t="s">
        <v>479</v>
      </c>
      <c r="AM2990" t="s">
        <v>480</v>
      </c>
      <c r="AN2990" t="s">
        <v>481</v>
      </c>
      <c r="AO2990" t="s">
        <v>2816</v>
      </c>
      <c r="AP2990" t="s">
        <v>2817</v>
      </c>
      <c r="AQ2990" t="s">
        <v>74</v>
      </c>
      <c r="AR2990" t="s">
        <v>2818</v>
      </c>
      <c r="AS2990" t="s">
        <v>2819</v>
      </c>
      <c r="AT2990" t="s">
        <v>698</v>
      </c>
      <c r="AU2990">
        <v>2024</v>
      </c>
      <c r="AV2990">
        <v>58</v>
      </c>
      <c r="AW2990">
        <v>3</v>
      </c>
      <c r="AX2990" t="s">
        <v>74</v>
      </c>
      <c r="AY2990" t="s">
        <v>74</v>
      </c>
      <c r="AZ2990" t="s">
        <v>74</v>
      </c>
      <c r="BA2990" t="s">
        <v>74</v>
      </c>
      <c r="BB2990">
        <v>763</v>
      </c>
      <c r="BC2990">
        <v>793</v>
      </c>
      <c r="BD2990" t="s">
        <v>74</v>
      </c>
      <c r="BE2990" t="s">
        <v>49495</v>
      </c>
      <c r="BF2990" t="str">
        <f>HYPERLINK("http://dx.doi.org/10.1111/joca.12593","http://dx.doi.org/10.1111/joca.12593")</f>
        <v>http://dx.doi.org/10.1111/joca.12593</v>
      </c>
      <c r="BG2990" t="s">
        <v>74</v>
      </c>
      <c r="BH2990" t="s">
        <v>6256</v>
      </c>
      <c r="BI2990">
        <v>31</v>
      </c>
      <c r="BJ2990" t="s">
        <v>1453</v>
      </c>
      <c r="BK2990" t="s">
        <v>99</v>
      </c>
      <c r="BL2990" t="s">
        <v>100</v>
      </c>
      <c r="BM2990" t="s">
        <v>49496</v>
      </c>
      <c r="BN2990" t="s">
        <v>74</v>
      </c>
      <c r="BO2990" t="s">
        <v>15142</v>
      </c>
      <c r="BP2990" t="s">
        <v>74</v>
      </c>
      <c r="BQ2990" t="s">
        <v>74</v>
      </c>
      <c r="BR2990" t="s">
        <v>102</v>
      </c>
      <c r="BS2990" t="s">
        <v>49497</v>
      </c>
      <c r="BT2990" t="str">
        <f>HYPERLINK("https%3A%2F%2Fwww.webofscience.com%2Fwos%2Fwoscc%2Ffull-record%2FWOS:001255464000001","View Full Record in Web of Science")</f>
        <v>View Full Record in Web of Science</v>
      </c>
    </row>
    <row r="2991" spans="1:72" x14ac:dyDescent="0.25">
      <c r="A2991" t="s">
        <v>72</v>
      </c>
      <c r="B2991" t="s">
        <v>49498</v>
      </c>
      <c r="C2991" t="s">
        <v>74</v>
      </c>
      <c r="D2991" t="s">
        <v>74</v>
      </c>
      <c r="E2991" t="s">
        <v>74</v>
      </c>
      <c r="F2991" t="s">
        <v>49499</v>
      </c>
      <c r="G2991" t="s">
        <v>74</v>
      </c>
      <c r="H2991" t="s">
        <v>74</v>
      </c>
      <c r="I2991" t="s">
        <v>49500</v>
      </c>
      <c r="J2991" t="s">
        <v>19980</v>
      </c>
      <c r="K2991" t="s">
        <v>74</v>
      </c>
      <c r="L2991" t="s">
        <v>74</v>
      </c>
      <c r="M2991" t="s">
        <v>78</v>
      </c>
      <c r="N2991" t="s">
        <v>79</v>
      </c>
      <c r="O2991" t="s">
        <v>74</v>
      </c>
      <c r="P2991" t="s">
        <v>74</v>
      </c>
      <c r="Q2991" t="s">
        <v>74</v>
      </c>
      <c r="R2991" t="s">
        <v>74</v>
      </c>
      <c r="S2991" t="s">
        <v>74</v>
      </c>
      <c r="T2991" t="s">
        <v>49501</v>
      </c>
      <c r="U2991" t="s">
        <v>49502</v>
      </c>
      <c r="V2991" t="s">
        <v>49503</v>
      </c>
      <c r="W2991" t="s">
        <v>49504</v>
      </c>
      <c r="X2991" t="s">
        <v>2534</v>
      </c>
      <c r="Y2991" t="s">
        <v>49505</v>
      </c>
      <c r="Z2991" t="s">
        <v>49506</v>
      </c>
      <c r="AA2991" t="s">
        <v>74</v>
      </c>
      <c r="AB2991" t="s">
        <v>49507</v>
      </c>
      <c r="AC2991" t="s">
        <v>74</v>
      </c>
      <c r="AD2991" t="s">
        <v>74</v>
      </c>
      <c r="AE2991" t="s">
        <v>74</v>
      </c>
      <c r="AF2991" t="s">
        <v>74</v>
      </c>
      <c r="AG2991">
        <v>24</v>
      </c>
      <c r="AH2991">
        <v>2</v>
      </c>
      <c r="AI2991">
        <v>3</v>
      </c>
      <c r="AJ2991">
        <v>0</v>
      </c>
      <c r="AK2991">
        <v>4</v>
      </c>
      <c r="AL2991" t="s">
        <v>201</v>
      </c>
      <c r="AM2991" t="s">
        <v>202</v>
      </c>
      <c r="AN2991" t="s">
        <v>203</v>
      </c>
      <c r="AO2991" t="s">
        <v>19973</v>
      </c>
      <c r="AP2991" t="s">
        <v>19972</v>
      </c>
      <c r="AQ2991" t="s">
        <v>74</v>
      </c>
      <c r="AR2991" t="s">
        <v>19971</v>
      </c>
      <c r="AS2991" t="s">
        <v>19970</v>
      </c>
      <c r="AT2991" t="s">
        <v>124</v>
      </c>
      <c r="AU2991">
        <v>2021</v>
      </c>
      <c r="AV2991">
        <v>33</v>
      </c>
      <c r="AW2991">
        <v>4</v>
      </c>
      <c r="AX2991" t="s">
        <v>74</v>
      </c>
      <c r="AY2991" t="s">
        <v>74</v>
      </c>
      <c r="AZ2991" t="s">
        <v>74</v>
      </c>
      <c r="BA2991" t="s">
        <v>74</v>
      </c>
      <c r="BB2991">
        <v>360</v>
      </c>
      <c r="BC2991">
        <v>371</v>
      </c>
      <c r="BD2991" t="s">
        <v>74</v>
      </c>
      <c r="BE2991" t="s">
        <v>49508</v>
      </c>
      <c r="BF2991" t="str">
        <f>HYPERLINK("http://dx.doi.org/10.1016/j.iimb.2021.12.004","http://dx.doi.org/10.1016/j.iimb.2021.12.004")</f>
        <v>http://dx.doi.org/10.1016/j.iimb.2021.12.004</v>
      </c>
      <c r="BG2991" t="s">
        <v>74</v>
      </c>
      <c r="BH2991" t="s">
        <v>74</v>
      </c>
      <c r="BI2991">
        <v>12</v>
      </c>
      <c r="BJ2991" t="s">
        <v>583</v>
      </c>
      <c r="BK2991" t="s">
        <v>313</v>
      </c>
      <c r="BL2991" t="s">
        <v>100</v>
      </c>
      <c r="BM2991" t="s">
        <v>49509</v>
      </c>
      <c r="BN2991" t="s">
        <v>74</v>
      </c>
      <c r="BO2991" t="s">
        <v>212</v>
      </c>
      <c r="BP2991" t="s">
        <v>74</v>
      </c>
      <c r="BQ2991" t="s">
        <v>74</v>
      </c>
      <c r="BR2991" t="s">
        <v>102</v>
      </c>
      <c r="BS2991" t="s">
        <v>49510</v>
      </c>
      <c r="BT2991" t="str">
        <f>HYPERLINK("https%3A%2F%2Fwww.webofscience.com%2Fwos%2Fwoscc%2Ffull-record%2FWOS:000793116000007","View Full Record in Web of Science")</f>
        <v>View Full Record in Web of Science</v>
      </c>
    </row>
    <row r="2992" spans="1:72" x14ac:dyDescent="0.25">
      <c r="A2992" t="s">
        <v>72</v>
      </c>
      <c r="B2992" t="s">
        <v>49511</v>
      </c>
      <c r="C2992" t="s">
        <v>74</v>
      </c>
      <c r="D2992" t="s">
        <v>74</v>
      </c>
      <c r="E2992" t="s">
        <v>74</v>
      </c>
      <c r="F2992" t="s">
        <v>49512</v>
      </c>
      <c r="G2992" t="s">
        <v>74</v>
      </c>
      <c r="H2992" t="s">
        <v>74</v>
      </c>
      <c r="I2992" t="s">
        <v>49513</v>
      </c>
      <c r="J2992" t="s">
        <v>2137</v>
      </c>
      <c r="K2992" t="s">
        <v>74</v>
      </c>
      <c r="L2992" t="s">
        <v>74</v>
      </c>
      <c r="M2992" t="s">
        <v>78</v>
      </c>
      <c r="N2992" t="s">
        <v>79</v>
      </c>
      <c r="O2992" t="s">
        <v>74</v>
      </c>
      <c r="P2992" t="s">
        <v>74</v>
      </c>
      <c r="Q2992" t="s">
        <v>74</v>
      </c>
      <c r="R2992" t="s">
        <v>74</v>
      </c>
      <c r="S2992" t="s">
        <v>74</v>
      </c>
      <c r="T2992" t="s">
        <v>49514</v>
      </c>
      <c r="U2992" t="s">
        <v>24977</v>
      </c>
      <c r="V2992" t="s">
        <v>49515</v>
      </c>
      <c r="W2992" t="s">
        <v>49516</v>
      </c>
      <c r="X2992" t="s">
        <v>49517</v>
      </c>
      <c r="Y2992" t="s">
        <v>49518</v>
      </c>
      <c r="Z2992" t="s">
        <v>49519</v>
      </c>
      <c r="AA2992" t="s">
        <v>49520</v>
      </c>
      <c r="AB2992" t="s">
        <v>49521</v>
      </c>
      <c r="AC2992" t="s">
        <v>74</v>
      </c>
      <c r="AD2992" t="s">
        <v>74</v>
      </c>
      <c r="AE2992" t="s">
        <v>74</v>
      </c>
      <c r="AF2992" t="s">
        <v>74</v>
      </c>
      <c r="AG2992">
        <v>33</v>
      </c>
      <c r="AH2992">
        <v>7</v>
      </c>
      <c r="AI2992">
        <v>11</v>
      </c>
      <c r="AJ2992">
        <v>4</v>
      </c>
      <c r="AK2992">
        <v>15</v>
      </c>
      <c r="AL2992" t="s">
        <v>2145</v>
      </c>
      <c r="AM2992" t="s">
        <v>151</v>
      </c>
      <c r="AN2992" t="s">
        <v>2146</v>
      </c>
      <c r="AO2992" t="s">
        <v>2147</v>
      </c>
      <c r="AP2992" t="s">
        <v>2148</v>
      </c>
      <c r="AQ2992" t="s">
        <v>74</v>
      </c>
      <c r="AR2992" t="s">
        <v>2149</v>
      </c>
      <c r="AS2992" t="s">
        <v>2150</v>
      </c>
      <c r="AT2992" t="s">
        <v>74</v>
      </c>
      <c r="AU2992">
        <v>2023</v>
      </c>
      <c r="AV2992">
        <v>34</v>
      </c>
      <c r="AW2992">
        <v>2</v>
      </c>
      <c r="AX2992" t="s">
        <v>74</v>
      </c>
      <c r="AY2992" t="s">
        <v>74</v>
      </c>
      <c r="AZ2992" t="s">
        <v>74</v>
      </c>
      <c r="BA2992" t="s">
        <v>74</v>
      </c>
      <c r="BB2992">
        <v>219</v>
      </c>
      <c r="BC2992">
        <v>237</v>
      </c>
      <c r="BD2992" t="s">
        <v>74</v>
      </c>
      <c r="BE2992" t="s">
        <v>49522</v>
      </c>
      <c r="BF2992" t="str">
        <f>HYPERLINK("http://dx.doi.org/10.1891/JFCP-2021-0078","http://dx.doi.org/10.1891/JFCP-2021-0078")</f>
        <v>http://dx.doi.org/10.1891/JFCP-2021-0078</v>
      </c>
      <c r="BG2992" t="s">
        <v>74</v>
      </c>
      <c r="BH2992" t="s">
        <v>74</v>
      </c>
      <c r="BI2992">
        <v>19</v>
      </c>
      <c r="BJ2992" t="s">
        <v>1453</v>
      </c>
      <c r="BK2992" t="s">
        <v>313</v>
      </c>
      <c r="BL2992" t="s">
        <v>100</v>
      </c>
      <c r="BM2992" t="s">
        <v>8429</v>
      </c>
      <c r="BN2992" t="s">
        <v>74</v>
      </c>
      <c r="BO2992" t="s">
        <v>74</v>
      </c>
      <c r="BP2992" t="s">
        <v>74</v>
      </c>
      <c r="BQ2992" t="s">
        <v>74</v>
      </c>
      <c r="BR2992" t="s">
        <v>102</v>
      </c>
      <c r="BS2992" t="s">
        <v>49523</v>
      </c>
      <c r="BT2992" t="str">
        <f>HYPERLINK("https%3A%2F%2Fwww.webofscience.com%2Fwos%2Fwoscc%2Ffull-record%2FWOS:001041749400005","View Full Record in Web of Science")</f>
        <v>View Full Record in Web of Science</v>
      </c>
    </row>
    <row r="2993" spans="1:72" x14ac:dyDescent="0.25">
      <c r="A2993" t="s">
        <v>72</v>
      </c>
      <c r="B2993" t="s">
        <v>49524</v>
      </c>
      <c r="C2993" t="s">
        <v>74</v>
      </c>
      <c r="D2993" t="s">
        <v>74</v>
      </c>
      <c r="E2993" t="s">
        <v>74</v>
      </c>
      <c r="F2993" t="s">
        <v>49525</v>
      </c>
      <c r="G2993" t="s">
        <v>74</v>
      </c>
      <c r="H2993" t="s">
        <v>74</v>
      </c>
      <c r="I2993" t="s">
        <v>49526</v>
      </c>
      <c r="J2993" t="s">
        <v>22698</v>
      </c>
      <c r="K2993" t="s">
        <v>74</v>
      </c>
      <c r="L2993" t="s">
        <v>74</v>
      </c>
      <c r="M2993" t="s">
        <v>78</v>
      </c>
      <c r="N2993" t="s">
        <v>79</v>
      </c>
      <c r="O2993" t="s">
        <v>74</v>
      </c>
      <c r="P2993" t="s">
        <v>74</v>
      </c>
      <c r="Q2993" t="s">
        <v>74</v>
      </c>
      <c r="R2993" t="s">
        <v>74</v>
      </c>
      <c r="S2993" t="s">
        <v>74</v>
      </c>
      <c r="T2993" t="s">
        <v>49527</v>
      </c>
      <c r="U2993" t="s">
        <v>49528</v>
      </c>
      <c r="V2993" t="s">
        <v>49529</v>
      </c>
      <c r="W2993" t="s">
        <v>49530</v>
      </c>
      <c r="X2993" t="s">
        <v>49531</v>
      </c>
      <c r="Y2993" t="s">
        <v>49532</v>
      </c>
      <c r="Z2993" t="s">
        <v>49533</v>
      </c>
      <c r="AA2993" t="s">
        <v>74</v>
      </c>
      <c r="AB2993" t="s">
        <v>74</v>
      </c>
      <c r="AC2993" t="s">
        <v>49534</v>
      </c>
      <c r="AD2993" t="s">
        <v>49535</v>
      </c>
      <c r="AE2993" t="s">
        <v>49536</v>
      </c>
      <c r="AF2993" t="s">
        <v>74</v>
      </c>
      <c r="AG2993">
        <v>67</v>
      </c>
      <c r="AH2993">
        <v>11</v>
      </c>
      <c r="AI2993">
        <v>14</v>
      </c>
      <c r="AJ2993">
        <v>2</v>
      </c>
      <c r="AK2993">
        <v>24</v>
      </c>
      <c r="AL2993" t="s">
        <v>201</v>
      </c>
      <c r="AM2993" t="s">
        <v>202</v>
      </c>
      <c r="AN2993" t="s">
        <v>203</v>
      </c>
      <c r="AO2993" t="s">
        <v>22689</v>
      </c>
      <c r="AP2993" t="s">
        <v>22688</v>
      </c>
      <c r="AQ2993" t="s">
        <v>74</v>
      </c>
      <c r="AR2993" t="s">
        <v>22687</v>
      </c>
      <c r="AS2993" t="s">
        <v>22686</v>
      </c>
      <c r="AT2993" t="s">
        <v>208</v>
      </c>
      <c r="AU2993">
        <v>2024</v>
      </c>
      <c r="AV2993">
        <v>129</v>
      </c>
      <c r="AW2993" t="s">
        <v>74</v>
      </c>
      <c r="AX2993" t="s">
        <v>74</v>
      </c>
      <c r="AY2993" t="s">
        <v>74</v>
      </c>
      <c r="AZ2993" t="s">
        <v>74</v>
      </c>
      <c r="BA2993" t="s">
        <v>74</v>
      </c>
      <c r="BB2993" t="s">
        <v>74</v>
      </c>
      <c r="BC2993" t="s">
        <v>74</v>
      </c>
      <c r="BD2993">
        <v>107251</v>
      </c>
      <c r="BE2993" t="s">
        <v>49537</v>
      </c>
      <c r="BF2993" t="str">
        <f>HYPERLINK("http://dx.doi.org/10.1016/j.eneco.2023.107251","http://dx.doi.org/10.1016/j.eneco.2023.107251")</f>
        <v>http://dx.doi.org/10.1016/j.eneco.2023.107251</v>
      </c>
      <c r="BG2993" t="s">
        <v>74</v>
      </c>
      <c r="BH2993" t="s">
        <v>1524</v>
      </c>
      <c r="BI2993">
        <v>11</v>
      </c>
      <c r="BJ2993" t="s">
        <v>291</v>
      </c>
      <c r="BK2993" t="s">
        <v>99</v>
      </c>
      <c r="BL2993" t="s">
        <v>100</v>
      </c>
      <c r="BM2993" t="s">
        <v>49538</v>
      </c>
      <c r="BN2993" t="s">
        <v>74</v>
      </c>
      <c r="BO2993" t="s">
        <v>1696</v>
      </c>
      <c r="BP2993" t="s">
        <v>74</v>
      </c>
      <c r="BQ2993" t="s">
        <v>74</v>
      </c>
      <c r="BR2993" t="s">
        <v>102</v>
      </c>
      <c r="BS2993" t="s">
        <v>49539</v>
      </c>
      <c r="BT2993" t="str">
        <f>HYPERLINK("https%3A%2F%2Fwww.webofscience.com%2Fwos%2Fwoscc%2Ffull-record%2FWOS:001138039400001","View Full Record in Web of Science")</f>
        <v>View Full Record in Web of Science</v>
      </c>
    </row>
    <row r="2994" spans="1:72" x14ac:dyDescent="0.25">
      <c r="A2994" t="s">
        <v>72</v>
      </c>
      <c r="B2994" t="s">
        <v>49540</v>
      </c>
      <c r="C2994" t="s">
        <v>74</v>
      </c>
      <c r="D2994" t="s">
        <v>74</v>
      </c>
      <c r="E2994" t="s">
        <v>74</v>
      </c>
      <c r="F2994" t="s">
        <v>49541</v>
      </c>
      <c r="G2994" t="s">
        <v>74</v>
      </c>
      <c r="H2994" t="s">
        <v>74</v>
      </c>
      <c r="I2994" t="s">
        <v>49542</v>
      </c>
      <c r="J2994" t="s">
        <v>49543</v>
      </c>
      <c r="K2994" t="s">
        <v>74</v>
      </c>
      <c r="L2994" t="s">
        <v>74</v>
      </c>
      <c r="M2994" t="s">
        <v>78</v>
      </c>
      <c r="N2994" t="s">
        <v>79</v>
      </c>
      <c r="O2994" t="s">
        <v>74</v>
      </c>
      <c r="P2994" t="s">
        <v>74</v>
      </c>
      <c r="Q2994" t="s">
        <v>74</v>
      </c>
      <c r="R2994" t="s">
        <v>74</v>
      </c>
      <c r="S2994" t="s">
        <v>74</v>
      </c>
      <c r="T2994" t="s">
        <v>49544</v>
      </c>
      <c r="U2994" t="s">
        <v>49545</v>
      </c>
      <c r="V2994" t="s">
        <v>49546</v>
      </c>
      <c r="W2994" t="s">
        <v>49547</v>
      </c>
      <c r="X2994" t="s">
        <v>49548</v>
      </c>
      <c r="Y2994" t="s">
        <v>49549</v>
      </c>
      <c r="Z2994" t="s">
        <v>49550</v>
      </c>
      <c r="AA2994" t="s">
        <v>49551</v>
      </c>
      <c r="AB2994" t="s">
        <v>74</v>
      </c>
      <c r="AC2994" t="s">
        <v>74</v>
      </c>
      <c r="AD2994" t="s">
        <v>74</v>
      </c>
      <c r="AE2994" t="s">
        <v>74</v>
      </c>
      <c r="AF2994" t="s">
        <v>74</v>
      </c>
      <c r="AG2994">
        <v>63</v>
      </c>
      <c r="AH2994">
        <v>0</v>
      </c>
      <c r="AI2994">
        <v>0</v>
      </c>
      <c r="AJ2994">
        <v>0</v>
      </c>
      <c r="AK2994">
        <v>0</v>
      </c>
      <c r="AL2994" t="s">
        <v>2371</v>
      </c>
      <c r="AM2994" t="s">
        <v>2372</v>
      </c>
      <c r="AN2994" t="s">
        <v>2373</v>
      </c>
      <c r="AO2994" t="s">
        <v>49552</v>
      </c>
      <c r="AP2994" t="s">
        <v>49553</v>
      </c>
      <c r="AQ2994" t="s">
        <v>74</v>
      </c>
      <c r="AR2994" t="s">
        <v>49554</v>
      </c>
      <c r="AS2994" t="s">
        <v>49555</v>
      </c>
      <c r="AT2994" t="s">
        <v>74</v>
      </c>
      <c r="AU2994">
        <v>2026</v>
      </c>
      <c r="AV2994">
        <v>13</v>
      </c>
      <c r="AW2994">
        <v>1</v>
      </c>
      <c r="AX2994" t="s">
        <v>74</v>
      </c>
      <c r="AY2994" t="s">
        <v>74</v>
      </c>
      <c r="AZ2994" t="s">
        <v>74</v>
      </c>
      <c r="BA2994" t="s">
        <v>74</v>
      </c>
      <c r="BB2994" t="s">
        <v>74</v>
      </c>
      <c r="BC2994" t="s">
        <v>74</v>
      </c>
      <c r="BD2994" t="s">
        <v>74</v>
      </c>
      <c r="BE2994" t="s">
        <v>49556</v>
      </c>
      <c r="BF2994" t="str">
        <f>HYPERLINK("http://dx.doi.org/10.1504/IJHRCS.2026.150555","http://dx.doi.org/10.1504/IJHRCS.2026.150555")</f>
        <v>http://dx.doi.org/10.1504/IJHRCS.2026.150555</v>
      </c>
      <c r="BG2994" t="s">
        <v>74</v>
      </c>
      <c r="BH2994" t="s">
        <v>74</v>
      </c>
      <c r="BI2994">
        <v>20</v>
      </c>
      <c r="BJ2994" t="s">
        <v>182</v>
      </c>
      <c r="BK2994" t="s">
        <v>313</v>
      </c>
      <c r="BL2994" t="s">
        <v>184</v>
      </c>
      <c r="BM2994" t="s">
        <v>49557</v>
      </c>
      <c r="BN2994" t="s">
        <v>74</v>
      </c>
      <c r="BO2994" t="s">
        <v>74</v>
      </c>
      <c r="BP2994" t="s">
        <v>74</v>
      </c>
      <c r="BQ2994" t="s">
        <v>74</v>
      </c>
      <c r="BR2994" t="s">
        <v>102</v>
      </c>
      <c r="BS2994" t="s">
        <v>49558</v>
      </c>
      <c r="BT2994" t="str">
        <f>HYPERLINK("https%3A%2F%2Fwww.webofscience.com%2Fwos%2Fwoscc%2Ffull-record%2FWOS:001642122700003","View Full Record in Web of Science")</f>
        <v>View Full Record in Web of Science</v>
      </c>
    </row>
    <row r="2995" spans="1:72" x14ac:dyDescent="0.25">
      <c r="A2995" t="s">
        <v>132</v>
      </c>
      <c r="B2995" t="s">
        <v>49559</v>
      </c>
      <c r="C2995" t="s">
        <v>74</v>
      </c>
      <c r="D2995" t="s">
        <v>49560</v>
      </c>
      <c r="E2995" t="s">
        <v>74</v>
      </c>
      <c r="F2995" t="s">
        <v>49561</v>
      </c>
      <c r="G2995" t="s">
        <v>74</v>
      </c>
      <c r="H2995" t="s">
        <v>74</v>
      </c>
      <c r="I2995" t="s">
        <v>49562</v>
      </c>
      <c r="J2995" t="s">
        <v>49563</v>
      </c>
      <c r="K2995" t="s">
        <v>2425</v>
      </c>
      <c r="L2995" t="s">
        <v>74</v>
      </c>
      <c r="M2995" t="s">
        <v>78</v>
      </c>
      <c r="N2995" t="s">
        <v>138</v>
      </c>
      <c r="O2995" t="s">
        <v>49564</v>
      </c>
      <c r="P2995" t="s">
        <v>44900</v>
      </c>
      <c r="Q2995" t="s">
        <v>44901</v>
      </c>
      <c r="R2995" t="s">
        <v>74</v>
      </c>
      <c r="S2995" t="s">
        <v>74</v>
      </c>
      <c r="T2995" t="s">
        <v>49565</v>
      </c>
      <c r="U2995" t="s">
        <v>74</v>
      </c>
      <c r="V2995" t="s">
        <v>49566</v>
      </c>
      <c r="W2995" t="s">
        <v>49567</v>
      </c>
      <c r="X2995" t="s">
        <v>74</v>
      </c>
      <c r="Y2995" t="s">
        <v>49568</v>
      </c>
      <c r="Z2995" t="s">
        <v>49569</v>
      </c>
      <c r="AA2995" t="s">
        <v>74</v>
      </c>
      <c r="AB2995" t="s">
        <v>74</v>
      </c>
      <c r="AC2995" t="s">
        <v>74</v>
      </c>
      <c r="AD2995" t="s">
        <v>74</v>
      </c>
      <c r="AE2995" t="s">
        <v>74</v>
      </c>
      <c r="AF2995" t="s">
        <v>74</v>
      </c>
      <c r="AG2995">
        <v>9</v>
      </c>
      <c r="AH2995">
        <v>2</v>
      </c>
      <c r="AI2995">
        <v>2</v>
      </c>
      <c r="AJ2995">
        <v>0</v>
      </c>
      <c r="AK2995">
        <v>5</v>
      </c>
      <c r="AL2995" t="s">
        <v>44908</v>
      </c>
      <c r="AM2995" t="s">
        <v>667</v>
      </c>
      <c r="AN2995" t="s">
        <v>668</v>
      </c>
      <c r="AO2995" t="s">
        <v>2437</v>
      </c>
      <c r="AP2995" t="s">
        <v>74</v>
      </c>
      <c r="AQ2995" t="s">
        <v>49570</v>
      </c>
      <c r="AR2995" t="s">
        <v>2440</v>
      </c>
      <c r="AS2995" t="s">
        <v>74</v>
      </c>
      <c r="AT2995" t="s">
        <v>74</v>
      </c>
      <c r="AU2995">
        <v>2016</v>
      </c>
      <c r="AV2995">
        <v>9739</v>
      </c>
      <c r="AW2995" t="s">
        <v>74</v>
      </c>
      <c r="AX2995" t="s">
        <v>74</v>
      </c>
      <c r="AY2995" t="s">
        <v>74</v>
      </c>
      <c r="AZ2995" t="s">
        <v>74</v>
      </c>
      <c r="BA2995" t="s">
        <v>74</v>
      </c>
      <c r="BB2995">
        <v>171</v>
      </c>
      <c r="BC2995">
        <v>180</v>
      </c>
      <c r="BD2995" t="s">
        <v>74</v>
      </c>
      <c r="BE2995" t="s">
        <v>49571</v>
      </c>
      <c r="BF2995" t="str">
        <f>HYPERLINK("http://dx.doi.org/10.1007/978-3-319-40238-3_17","http://dx.doi.org/10.1007/978-3-319-40238-3_17")</f>
        <v>http://dx.doi.org/10.1007/978-3-319-40238-3_17</v>
      </c>
      <c r="BG2995" t="s">
        <v>74</v>
      </c>
      <c r="BH2995" t="s">
        <v>74</v>
      </c>
      <c r="BI2995">
        <v>10</v>
      </c>
      <c r="BJ2995" t="s">
        <v>49572</v>
      </c>
      <c r="BK2995" t="s">
        <v>156</v>
      </c>
      <c r="BL2995" t="s">
        <v>157</v>
      </c>
      <c r="BM2995" t="s">
        <v>49573</v>
      </c>
      <c r="BN2995" t="s">
        <v>74</v>
      </c>
      <c r="BO2995" t="s">
        <v>74</v>
      </c>
      <c r="BP2995" t="s">
        <v>74</v>
      </c>
      <c r="BQ2995" t="s">
        <v>74</v>
      </c>
      <c r="BR2995" t="s">
        <v>102</v>
      </c>
      <c r="BS2995" t="s">
        <v>49574</v>
      </c>
      <c r="BT2995" t="str">
        <f>HYPERLINK("https%3A%2F%2Fwww.webofscience.com%2Fwos%2Fwoscc%2Ffull-record%2FWOS:000389457200017","View Full Record in Web of Science")</f>
        <v>View Full Record in Web of Science</v>
      </c>
    </row>
    <row r="2996" spans="1:72" x14ac:dyDescent="0.25">
      <c r="A2996" t="s">
        <v>72</v>
      </c>
      <c r="B2996" t="s">
        <v>49575</v>
      </c>
      <c r="C2996" t="s">
        <v>74</v>
      </c>
      <c r="D2996" t="s">
        <v>74</v>
      </c>
      <c r="E2996" t="s">
        <v>74</v>
      </c>
      <c r="F2996" t="s">
        <v>49576</v>
      </c>
      <c r="G2996" t="s">
        <v>74</v>
      </c>
      <c r="H2996" t="s">
        <v>74</v>
      </c>
      <c r="I2996" t="s">
        <v>49577</v>
      </c>
      <c r="J2996" t="s">
        <v>13438</v>
      </c>
      <c r="K2996" t="s">
        <v>74</v>
      </c>
      <c r="L2996" t="s">
        <v>74</v>
      </c>
      <c r="M2996" t="s">
        <v>10270</v>
      </c>
      <c r="N2996" t="s">
        <v>79</v>
      </c>
      <c r="O2996" t="s">
        <v>74</v>
      </c>
      <c r="P2996" t="s">
        <v>74</v>
      </c>
      <c r="Q2996" t="s">
        <v>74</v>
      </c>
      <c r="R2996" t="s">
        <v>74</v>
      </c>
      <c r="S2996" t="s">
        <v>74</v>
      </c>
      <c r="T2996" t="s">
        <v>49578</v>
      </c>
      <c r="U2996" t="s">
        <v>49579</v>
      </c>
      <c r="V2996" t="s">
        <v>49580</v>
      </c>
      <c r="W2996" t="s">
        <v>49581</v>
      </c>
      <c r="X2996" t="s">
        <v>49582</v>
      </c>
      <c r="Y2996" t="s">
        <v>49583</v>
      </c>
      <c r="Z2996" t="s">
        <v>49584</v>
      </c>
      <c r="AA2996" t="s">
        <v>49585</v>
      </c>
      <c r="AB2996" t="s">
        <v>74</v>
      </c>
      <c r="AC2996" t="s">
        <v>74</v>
      </c>
      <c r="AD2996" t="s">
        <v>74</v>
      </c>
      <c r="AE2996" t="s">
        <v>74</v>
      </c>
      <c r="AF2996" t="s">
        <v>74</v>
      </c>
      <c r="AG2996">
        <v>54</v>
      </c>
      <c r="AH2996">
        <v>0</v>
      </c>
      <c r="AI2996">
        <v>0</v>
      </c>
      <c r="AJ2996">
        <v>0</v>
      </c>
      <c r="AK2996">
        <v>4</v>
      </c>
      <c r="AL2996" t="s">
        <v>13445</v>
      </c>
      <c r="AM2996" t="s">
        <v>7167</v>
      </c>
      <c r="AN2996" t="s">
        <v>13446</v>
      </c>
      <c r="AO2996" t="s">
        <v>13447</v>
      </c>
      <c r="AP2996" t="s">
        <v>13448</v>
      </c>
      <c r="AQ2996" t="s">
        <v>74</v>
      </c>
      <c r="AR2996" t="s">
        <v>49586</v>
      </c>
      <c r="AS2996" t="s">
        <v>13450</v>
      </c>
      <c r="AT2996" t="s">
        <v>74</v>
      </c>
      <c r="AU2996">
        <v>2020</v>
      </c>
      <c r="AV2996" t="s">
        <v>74</v>
      </c>
      <c r="AW2996">
        <v>51</v>
      </c>
      <c r="AX2996" t="s">
        <v>74</v>
      </c>
      <c r="AY2996" t="s">
        <v>74</v>
      </c>
      <c r="AZ2996" t="s">
        <v>74</v>
      </c>
      <c r="BA2996" t="s">
        <v>74</v>
      </c>
      <c r="BB2996">
        <v>115</v>
      </c>
      <c r="BC2996">
        <v>132</v>
      </c>
      <c r="BD2996" t="s">
        <v>74</v>
      </c>
      <c r="BE2996" t="s">
        <v>74</v>
      </c>
      <c r="BF2996" t="s">
        <v>74</v>
      </c>
      <c r="BG2996" t="s">
        <v>74</v>
      </c>
      <c r="BH2996" t="s">
        <v>74</v>
      </c>
      <c r="BI2996">
        <v>18</v>
      </c>
      <c r="BJ2996" t="s">
        <v>291</v>
      </c>
      <c r="BK2996" t="s">
        <v>313</v>
      </c>
      <c r="BL2996" t="s">
        <v>100</v>
      </c>
      <c r="BM2996" t="s">
        <v>49587</v>
      </c>
      <c r="BN2996" t="s">
        <v>74</v>
      </c>
      <c r="BO2996" t="s">
        <v>74</v>
      </c>
      <c r="BP2996" t="s">
        <v>74</v>
      </c>
      <c r="BQ2996" t="s">
        <v>74</v>
      </c>
      <c r="BR2996" t="s">
        <v>102</v>
      </c>
      <c r="BS2996" t="s">
        <v>49588</v>
      </c>
      <c r="BT2996" t="str">
        <f>HYPERLINK("https%3A%2F%2Fwww.webofscience.com%2Fwos%2Fwoscc%2Ffull-record%2FWOS:000592106400007","View Full Record in Web of Science")</f>
        <v>View Full Record in Web of Science</v>
      </c>
    </row>
    <row r="2997" spans="1:72" x14ac:dyDescent="0.25">
      <c r="A2997" t="s">
        <v>132</v>
      </c>
      <c r="B2997" t="s">
        <v>49589</v>
      </c>
      <c r="C2997" t="s">
        <v>74</v>
      </c>
      <c r="D2997" t="s">
        <v>49590</v>
      </c>
      <c r="E2997" t="s">
        <v>74</v>
      </c>
      <c r="F2997" t="s">
        <v>49591</v>
      </c>
      <c r="G2997" t="s">
        <v>74</v>
      </c>
      <c r="H2997" t="s">
        <v>74</v>
      </c>
      <c r="I2997" t="s">
        <v>49592</v>
      </c>
      <c r="J2997" t="s">
        <v>49593</v>
      </c>
      <c r="K2997" t="s">
        <v>74</v>
      </c>
      <c r="L2997" t="s">
        <v>74</v>
      </c>
      <c r="M2997" t="s">
        <v>78</v>
      </c>
      <c r="N2997" t="s">
        <v>138</v>
      </c>
      <c r="O2997" t="s">
        <v>49594</v>
      </c>
      <c r="P2997" t="s">
        <v>4979</v>
      </c>
      <c r="Q2997" t="s">
        <v>1550</v>
      </c>
      <c r="R2997" t="s">
        <v>10233</v>
      </c>
      <c r="S2997" t="s">
        <v>74</v>
      </c>
      <c r="T2997" t="s">
        <v>49595</v>
      </c>
      <c r="U2997" t="s">
        <v>74</v>
      </c>
      <c r="V2997" t="s">
        <v>49596</v>
      </c>
      <c r="W2997" t="s">
        <v>49597</v>
      </c>
      <c r="X2997" t="s">
        <v>39907</v>
      </c>
      <c r="Y2997" t="s">
        <v>49598</v>
      </c>
      <c r="Z2997" t="s">
        <v>49599</v>
      </c>
      <c r="AA2997" t="s">
        <v>49600</v>
      </c>
      <c r="AB2997" t="s">
        <v>49601</v>
      </c>
      <c r="AC2997" t="s">
        <v>74</v>
      </c>
      <c r="AD2997" t="s">
        <v>74</v>
      </c>
      <c r="AE2997" t="s">
        <v>74</v>
      </c>
      <c r="AF2997" t="s">
        <v>74</v>
      </c>
      <c r="AG2997">
        <v>21</v>
      </c>
      <c r="AH2997">
        <v>7</v>
      </c>
      <c r="AI2997">
        <v>7</v>
      </c>
      <c r="AJ2997">
        <v>0</v>
      </c>
      <c r="AK2997">
        <v>1</v>
      </c>
      <c r="AL2997" t="s">
        <v>5379</v>
      </c>
      <c r="AM2997" t="s">
        <v>5380</v>
      </c>
      <c r="AN2997" t="s">
        <v>5381</v>
      </c>
      <c r="AO2997" t="s">
        <v>74</v>
      </c>
      <c r="AP2997" t="s">
        <v>74</v>
      </c>
      <c r="AQ2997" t="s">
        <v>49602</v>
      </c>
      <c r="AR2997" t="s">
        <v>74</v>
      </c>
      <c r="AS2997" t="s">
        <v>74</v>
      </c>
      <c r="AT2997" t="s">
        <v>74</v>
      </c>
      <c r="AU2997">
        <v>2020</v>
      </c>
      <c r="AV2997" t="s">
        <v>74</v>
      </c>
      <c r="AW2997" t="s">
        <v>74</v>
      </c>
      <c r="AX2997" t="s">
        <v>74</v>
      </c>
      <c r="AY2997" t="s">
        <v>74</v>
      </c>
      <c r="AZ2997" t="s">
        <v>74</v>
      </c>
      <c r="BA2997" t="s">
        <v>74</v>
      </c>
      <c r="BB2997">
        <v>139</v>
      </c>
      <c r="BC2997">
        <v>144</v>
      </c>
      <c r="BD2997" t="s">
        <v>74</v>
      </c>
      <c r="BE2997" t="s">
        <v>49603</v>
      </c>
      <c r="BF2997" t="str">
        <f>HYPERLINK("http://dx.doi.org/10.1109/DAPPS49028.2020.00018","http://dx.doi.org/10.1109/DAPPS49028.2020.00018")</f>
        <v>http://dx.doi.org/10.1109/DAPPS49028.2020.00018</v>
      </c>
      <c r="BG2997" t="s">
        <v>74</v>
      </c>
      <c r="BH2997" t="s">
        <v>74</v>
      </c>
      <c r="BI2997">
        <v>6</v>
      </c>
      <c r="BJ2997" t="s">
        <v>6213</v>
      </c>
      <c r="BK2997" t="s">
        <v>156</v>
      </c>
      <c r="BL2997" t="s">
        <v>157</v>
      </c>
      <c r="BM2997" t="s">
        <v>49604</v>
      </c>
      <c r="BN2997" t="s">
        <v>74</v>
      </c>
      <c r="BO2997" t="s">
        <v>74</v>
      </c>
      <c r="BP2997" t="s">
        <v>74</v>
      </c>
      <c r="BQ2997" t="s">
        <v>74</v>
      </c>
      <c r="BR2997" t="s">
        <v>102</v>
      </c>
      <c r="BS2997" t="s">
        <v>49605</v>
      </c>
      <c r="BT2997" t="str">
        <f>HYPERLINK("https%3A%2F%2Fwww.webofscience.com%2Fwos%2Fwoscc%2Ffull-record%2FWOS:000852718400018","View Full Record in Web of Science")</f>
        <v>View Full Record in Web of Science</v>
      </c>
    </row>
    <row r="2998" spans="1:72" x14ac:dyDescent="0.25">
      <c r="A2998" t="s">
        <v>72</v>
      </c>
      <c r="B2998" t="s">
        <v>49606</v>
      </c>
      <c r="C2998" t="s">
        <v>74</v>
      </c>
      <c r="D2998" t="s">
        <v>74</v>
      </c>
      <c r="E2998" t="s">
        <v>74</v>
      </c>
      <c r="F2998" t="s">
        <v>49607</v>
      </c>
      <c r="G2998" t="s">
        <v>74</v>
      </c>
      <c r="H2998" t="s">
        <v>74</v>
      </c>
      <c r="I2998" t="s">
        <v>49608</v>
      </c>
      <c r="J2998" t="s">
        <v>5812</v>
      </c>
      <c r="K2998" t="s">
        <v>74</v>
      </c>
      <c r="L2998" t="s">
        <v>74</v>
      </c>
      <c r="M2998" t="s">
        <v>78</v>
      </c>
      <c r="N2998" t="s">
        <v>79</v>
      </c>
      <c r="O2998" t="s">
        <v>74</v>
      </c>
      <c r="P2998" t="s">
        <v>74</v>
      </c>
      <c r="Q2998" t="s">
        <v>74</v>
      </c>
      <c r="R2998" t="s">
        <v>74</v>
      </c>
      <c r="S2998" t="s">
        <v>74</v>
      </c>
      <c r="T2998" t="s">
        <v>49609</v>
      </c>
      <c r="U2998" t="s">
        <v>49610</v>
      </c>
      <c r="V2998" t="s">
        <v>49611</v>
      </c>
      <c r="W2998" t="s">
        <v>49612</v>
      </c>
      <c r="X2998" t="s">
        <v>3928</v>
      </c>
      <c r="Y2998" t="s">
        <v>3929</v>
      </c>
      <c r="Z2998" t="s">
        <v>22577</v>
      </c>
      <c r="AA2998" t="s">
        <v>49613</v>
      </c>
      <c r="AB2998" t="s">
        <v>49614</v>
      </c>
      <c r="AC2998" t="s">
        <v>49615</v>
      </c>
      <c r="AD2998" t="s">
        <v>74</v>
      </c>
      <c r="AE2998" t="s">
        <v>49616</v>
      </c>
      <c r="AF2998" t="s">
        <v>74</v>
      </c>
      <c r="AG2998">
        <v>35</v>
      </c>
      <c r="AH2998">
        <v>18</v>
      </c>
      <c r="AI2998">
        <v>20</v>
      </c>
      <c r="AJ2998">
        <v>2</v>
      </c>
      <c r="AK2998">
        <v>11</v>
      </c>
      <c r="AL2998" t="s">
        <v>332</v>
      </c>
      <c r="AM2998" t="s">
        <v>333</v>
      </c>
      <c r="AN2998" t="s">
        <v>334</v>
      </c>
      <c r="AO2998" t="s">
        <v>5820</v>
      </c>
      <c r="AP2998" t="s">
        <v>5821</v>
      </c>
      <c r="AQ2998" t="s">
        <v>74</v>
      </c>
      <c r="AR2998" t="s">
        <v>5822</v>
      </c>
      <c r="AS2998" t="s">
        <v>5823</v>
      </c>
      <c r="AT2998" t="s">
        <v>2487</v>
      </c>
      <c r="AU2998">
        <v>2020</v>
      </c>
      <c r="AV2998">
        <v>33</v>
      </c>
      <c r="AW2998">
        <v>1</v>
      </c>
      <c r="AX2998" t="s">
        <v>74</v>
      </c>
      <c r="AY2998" t="s">
        <v>74</v>
      </c>
      <c r="AZ2998" t="s">
        <v>74</v>
      </c>
      <c r="BA2998" t="s">
        <v>74</v>
      </c>
      <c r="BB2998">
        <v>2606</v>
      </c>
      <c r="BC2998">
        <v>2619</v>
      </c>
      <c r="BD2998" t="s">
        <v>74</v>
      </c>
      <c r="BE2998" t="s">
        <v>49617</v>
      </c>
      <c r="BF2998" t="str">
        <f>HYPERLINK("http://dx.doi.org/10.1080/1331677X.2020.1749104","http://dx.doi.org/10.1080/1331677X.2020.1749104")</f>
        <v>http://dx.doi.org/10.1080/1331677X.2020.1749104</v>
      </c>
      <c r="BG2998" t="s">
        <v>74</v>
      </c>
      <c r="BH2998" t="s">
        <v>341</v>
      </c>
      <c r="BI2998">
        <v>14</v>
      </c>
      <c r="BJ2998" t="s">
        <v>291</v>
      </c>
      <c r="BK2998" t="s">
        <v>99</v>
      </c>
      <c r="BL2998" t="s">
        <v>100</v>
      </c>
      <c r="BM2998" t="s">
        <v>49618</v>
      </c>
      <c r="BN2998" t="s">
        <v>74</v>
      </c>
      <c r="BO2998" t="s">
        <v>466</v>
      </c>
      <c r="BP2998" t="s">
        <v>74</v>
      </c>
      <c r="BQ2998" t="s">
        <v>74</v>
      </c>
      <c r="BR2998" t="s">
        <v>102</v>
      </c>
      <c r="BS2998" t="s">
        <v>49619</v>
      </c>
      <c r="BT2998" t="str">
        <f>HYPERLINK("https%3A%2F%2Fwww.webofscience.com%2Fwos%2Fwoscc%2Ffull-record%2FWOS:000532422900001","View Full Record in Web of Science")</f>
        <v>View Full Record in Web of Science</v>
      </c>
    </row>
    <row r="2999" spans="1:72" x14ac:dyDescent="0.25">
      <c r="A2999" t="s">
        <v>72</v>
      </c>
      <c r="B2999" t="s">
        <v>49620</v>
      </c>
      <c r="C2999" t="s">
        <v>74</v>
      </c>
      <c r="D2999" t="s">
        <v>74</v>
      </c>
      <c r="E2999" t="s">
        <v>74</v>
      </c>
      <c r="F2999" t="s">
        <v>49621</v>
      </c>
      <c r="G2999" t="s">
        <v>74</v>
      </c>
      <c r="H2999" t="s">
        <v>74</v>
      </c>
      <c r="I2999" t="s">
        <v>49622</v>
      </c>
      <c r="J2999" t="s">
        <v>2919</v>
      </c>
      <c r="K2999" t="s">
        <v>74</v>
      </c>
      <c r="L2999" t="s">
        <v>74</v>
      </c>
      <c r="M2999" t="s">
        <v>78</v>
      </c>
      <c r="N2999" t="s">
        <v>79</v>
      </c>
      <c r="O2999" t="s">
        <v>74</v>
      </c>
      <c r="P2999" t="s">
        <v>74</v>
      </c>
      <c r="Q2999" t="s">
        <v>74</v>
      </c>
      <c r="R2999" t="s">
        <v>74</v>
      </c>
      <c r="S2999" t="s">
        <v>74</v>
      </c>
      <c r="T2999" t="s">
        <v>49623</v>
      </c>
      <c r="U2999" t="s">
        <v>49624</v>
      </c>
      <c r="V2999" t="s">
        <v>49625</v>
      </c>
      <c r="W2999" t="s">
        <v>49626</v>
      </c>
      <c r="X2999" t="s">
        <v>49627</v>
      </c>
      <c r="Y2999" t="s">
        <v>49628</v>
      </c>
      <c r="Z2999" t="s">
        <v>49629</v>
      </c>
      <c r="AA2999" t="s">
        <v>74</v>
      </c>
      <c r="AB2999" t="s">
        <v>74</v>
      </c>
      <c r="AC2999" t="s">
        <v>74</v>
      </c>
      <c r="AD2999" t="s">
        <v>74</v>
      </c>
      <c r="AE2999" t="s">
        <v>74</v>
      </c>
      <c r="AF2999" t="s">
        <v>74</v>
      </c>
      <c r="AG2999">
        <v>121</v>
      </c>
      <c r="AH2999">
        <v>1</v>
      </c>
      <c r="AI2999">
        <v>2</v>
      </c>
      <c r="AJ2999">
        <v>0</v>
      </c>
      <c r="AK2999">
        <v>5</v>
      </c>
      <c r="AL2999" t="s">
        <v>332</v>
      </c>
      <c r="AM2999" t="s">
        <v>333</v>
      </c>
      <c r="AN2999" t="s">
        <v>334</v>
      </c>
      <c r="AO2999" t="s">
        <v>2931</v>
      </c>
      <c r="AP2999" t="s">
        <v>2932</v>
      </c>
      <c r="AQ2999" t="s">
        <v>74</v>
      </c>
      <c r="AR2999" t="s">
        <v>2933</v>
      </c>
      <c r="AS2999" t="s">
        <v>2934</v>
      </c>
      <c r="AT2999" t="s">
        <v>1427</v>
      </c>
      <c r="AU2999">
        <v>2024</v>
      </c>
      <c r="AV2999">
        <v>28</v>
      </c>
      <c r="AW2999">
        <v>1</v>
      </c>
      <c r="AX2999" t="s">
        <v>74</v>
      </c>
      <c r="AY2999" t="s">
        <v>74</v>
      </c>
      <c r="AZ2999" t="s">
        <v>74</v>
      </c>
      <c r="BA2999" t="s">
        <v>74</v>
      </c>
      <c r="BB2999">
        <v>22</v>
      </c>
      <c r="BC2999">
        <v>46</v>
      </c>
      <c r="BD2999" t="s">
        <v>74</v>
      </c>
      <c r="BE2999" t="s">
        <v>49630</v>
      </c>
      <c r="BF2999" t="str">
        <f>HYPERLINK("http://dx.doi.org/10.1080/10875549.2021.2011819","http://dx.doi.org/10.1080/10875549.2021.2011819")</f>
        <v>http://dx.doi.org/10.1080/10875549.2021.2011819</v>
      </c>
      <c r="BG2999" t="s">
        <v>74</v>
      </c>
      <c r="BH2999" t="s">
        <v>2730</v>
      </c>
      <c r="BI2999">
        <v>25</v>
      </c>
      <c r="BJ2999" t="s">
        <v>2045</v>
      </c>
      <c r="BK2999" t="s">
        <v>313</v>
      </c>
      <c r="BL2999" t="s">
        <v>2045</v>
      </c>
      <c r="BM2999" t="s">
        <v>49631</v>
      </c>
      <c r="BN2999" t="s">
        <v>74</v>
      </c>
      <c r="BO2999" t="s">
        <v>74</v>
      </c>
      <c r="BP2999" t="s">
        <v>74</v>
      </c>
      <c r="BQ2999" t="s">
        <v>74</v>
      </c>
      <c r="BR2999" t="s">
        <v>102</v>
      </c>
      <c r="BS2999" t="s">
        <v>49632</v>
      </c>
      <c r="BT2999" t="str">
        <f>HYPERLINK("https%3A%2F%2Fwww.webofscience.com%2Fwos%2Fwoscc%2Ffull-record%2FWOS:000725951900001","View Full Record in Web of Science")</f>
        <v>View Full Record in Web of Science</v>
      </c>
    </row>
    <row r="3000" spans="1:72" x14ac:dyDescent="0.25">
      <c r="A3000" t="s">
        <v>72</v>
      </c>
      <c r="B3000" t="s">
        <v>49633</v>
      </c>
      <c r="C3000" t="s">
        <v>74</v>
      </c>
      <c r="D3000" t="s">
        <v>74</v>
      </c>
      <c r="E3000" t="s">
        <v>74</v>
      </c>
      <c r="F3000" t="s">
        <v>49634</v>
      </c>
      <c r="G3000" t="s">
        <v>74</v>
      </c>
      <c r="H3000" t="s">
        <v>74</v>
      </c>
      <c r="I3000" t="s">
        <v>49635</v>
      </c>
      <c r="J3000" t="s">
        <v>49636</v>
      </c>
      <c r="K3000" t="s">
        <v>74</v>
      </c>
      <c r="L3000" t="s">
        <v>74</v>
      </c>
      <c r="M3000" t="s">
        <v>78</v>
      </c>
      <c r="N3000" t="s">
        <v>1766</v>
      </c>
      <c r="O3000" t="s">
        <v>74</v>
      </c>
      <c r="P3000" t="s">
        <v>74</v>
      </c>
      <c r="Q3000" t="s">
        <v>74</v>
      </c>
      <c r="R3000" t="s">
        <v>74</v>
      </c>
      <c r="S3000" t="s">
        <v>74</v>
      </c>
      <c r="T3000" t="s">
        <v>49637</v>
      </c>
      <c r="U3000" t="s">
        <v>49638</v>
      </c>
      <c r="V3000" t="s">
        <v>49639</v>
      </c>
      <c r="W3000" t="s">
        <v>49640</v>
      </c>
      <c r="X3000" t="s">
        <v>49641</v>
      </c>
      <c r="Y3000" t="s">
        <v>49642</v>
      </c>
      <c r="Z3000" t="s">
        <v>49643</v>
      </c>
      <c r="AA3000" t="s">
        <v>74</v>
      </c>
      <c r="AB3000" t="s">
        <v>74</v>
      </c>
      <c r="AC3000" t="s">
        <v>74</v>
      </c>
      <c r="AD3000" t="s">
        <v>74</v>
      </c>
      <c r="AE3000" t="s">
        <v>74</v>
      </c>
      <c r="AF3000" t="s">
        <v>74</v>
      </c>
      <c r="AG3000">
        <v>33</v>
      </c>
      <c r="AH3000">
        <v>2</v>
      </c>
      <c r="AI3000">
        <v>6</v>
      </c>
      <c r="AJ3000">
        <v>0</v>
      </c>
      <c r="AK3000">
        <v>17</v>
      </c>
      <c r="AL3000" t="s">
        <v>49644</v>
      </c>
      <c r="AM3000" t="s">
        <v>32050</v>
      </c>
      <c r="AN3000" t="s">
        <v>49645</v>
      </c>
      <c r="AO3000" t="s">
        <v>49646</v>
      </c>
      <c r="AP3000" t="s">
        <v>49647</v>
      </c>
      <c r="AQ3000" t="s">
        <v>74</v>
      </c>
      <c r="AR3000" t="s">
        <v>49648</v>
      </c>
      <c r="AS3000" t="s">
        <v>49649</v>
      </c>
      <c r="AT3000" t="s">
        <v>74</v>
      </c>
      <c r="AU3000">
        <v>2020</v>
      </c>
      <c r="AV3000">
        <v>22</v>
      </c>
      <c r="AW3000" t="s">
        <v>74</v>
      </c>
      <c r="AX3000" t="s">
        <v>74</v>
      </c>
      <c r="AY3000" t="s">
        <v>74</v>
      </c>
      <c r="AZ3000" t="s">
        <v>441</v>
      </c>
      <c r="BA3000" t="s">
        <v>74</v>
      </c>
      <c r="BB3000">
        <v>421</v>
      </c>
      <c r="BC3000">
        <v>436</v>
      </c>
      <c r="BD3000" t="s">
        <v>74</v>
      </c>
      <c r="BE3000" t="s">
        <v>49650</v>
      </c>
      <c r="BF3000" t="str">
        <f>HYPERLINK("http://dx.doi.org/10.7819/rbgn.v22i0.4058","http://dx.doi.org/10.7819/rbgn.v22i0.4058")</f>
        <v>http://dx.doi.org/10.7819/rbgn.v22i0.4058</v>
      </c>
      <c r="BG3000" t="s">
        <v>74</v>
      </c>
      <c r="BH3000" t="s">
        <v>74</v>
      </c>
      <c r="BI3000">
        <v>16</v>
      </c>
      <c r="BJ3000" t="s">
        <v>98</v>
      </c>
      <c r="BK3000" t="s">
        <v>99</v>
      </c>
      <c r="BL3000" t="s">
        <v>100</v>
      </c>
      <c r="BM3000" t="s">
        <v>49651</v>
      </c>
      <c r="BN3000" t="s">
        <v>74</v>
      </c>
      <c r="BO3000" t="s">
        <v>916</v>
      </c>
      <c r="BP3000" t="s">
        <v>74</v>
      </c>
      <c r="BQ3000" t="s">
        <v>74</v>
      </c>
      <c r="BR3000" t="s">
        <v>102</v>
      </c>
      <c r="BS3000" t="s">
        <v>49652</v>
      </c>
      <c r="BT3000" t="str">
        <f>HYPERLINK("https%3A%2F%2Fwww.webofscience.com%2Fwos%2Fwoscc%2Ffull-record%2FWOS:000592693300002","View Full Record in Web of Science")</f>
        <v>View Full Record in Web of Science</v>
      </c>
    </row>
    <row r="3001" spans="1:72" x14ac:dyDescent="0.25">
      <c r="A3001" t="s">
        <v>132</v>
      </c>
      <c r="B3001" t="s">
        <v>49653</v>
      </c>
      <c r="C3001" t="s">
        <v>74</v>
      </c>
      <c r="D3001" t="s">
        <v>49654</v>
      </c>
      <c r="E3001" t="s">
        <v>74</v>
      </c>
      <c r="F3001" t="s">
        <v>49655</v>
      </c>
      <c r="G3001" t="s">
        <v>74</v>
      </c>
      <c r="H3001" t="s">
        <v>74</v>
      </c>
      <c r="I3001" t="s">
        <v>49656</v>
      </c>
      <c r="J3001" t="s">
        <v>49657</v>
      </c>
      <c r="K3001" t="s">
        <v>74</v>
      </c>
      <c r="L3001" t="s">
        <v>74</v>
      </c>
      <c r="M3001" t="s">
        <v>78</v>
      </c>
      <c r="N3001" t="s">
        <v>138</v>
      </c>
      <c r="O3001" t="s">
        <v>49658</v>
      </c>
      <c r="P3001" t="s">
        <v>49659</v>
      </c>
      <c r="Q3001" t="s">
        <v>49660</v>
      </c>
      <c r="R3001" t="s">
        <v>74</v>
      </c>
      <c r="S3001" t="s">
        <v>49661</v>
      </c>
      <c r="T3001" t="s">
        <v>49662</v>
      </c>
      <c r="U3001" t="s">
        <v>74</v>
      </c>
      <c r="V3001" t="s">
        <v>49663</v>
      </c>
      <c r="W3001" t="s">
        <v>49664</v>
      </c>
      <c r="X3001" t="s">
        <v>5181</v>
      </c>
      <c r="Y3001" t="s">
        <v>49665</v>
      </c>
      <c r="Z3001" t="s">
        <v>49666</v>
      </c>
      <c r="AA3001" t="s">
        <v>49667</v>
      </c>
      <c r="AB3001" t="s">
        <v>74</v>
      </c>
      <c r="AC3001" t="s">
        <v>74</v>
      </c>
      <c r="AD3001" t="s">
        <v>74</v>
      </c>
      <c r="AE3001" t="s">
        <v>74</v>
      </c>
      <c r="AF3001" t="s">
        <v>74</v>
      </c>
      <c r="AG3001">
        <v>8</v>
      </c>
      <c r="AH3001">
        <v>0</v>
      </c>
      <c r="AI3001">
        <v>0</v>
      </c>
      <c r="AJ3001">
        <v>0</v>
      </c>
      <c r="AK3001">
        <v>1</v>
      </c>
      <c r="AL3001" t="s">
        <v>3651</v>
      </c>
      <c r="AM3001" t="s">
        <v>3652</v>
      </c>
      <c r="AN3001" t="s">
        <v>3653</v>
      </c>
      <c r="AO3001" t="s">
        <v>74</v>
      </c>
      <c r="AP3001" t="s">
        <v>74</v>
      </c>
      <c r="AQ3001" t="s">
        <v>49668</v>
      </c>
      <c r="AR3001" t="s">
        <v>74</v>
      </c>
      <c r="AS3001" t="s">
        <v>74</v>
      </c>
      <c r="AT3001" t="s">
        <v>74</v>
      </c>
      <c r="AU3001">
        <v>2010</v>
      </c>
      <c r="AV3001" t="s">
        <v>74</v>
      </c>
      <c r="AW3001" t="s">
        <v>74</v>
      </c>
      <c r="AX3001" t="s">
        <v>74</v>
      </c>
      <c r="AY3001" t="s">
        <v>74</v>
      </c>
      <c r="AZ3001" t="s">
        <v>74</v>
      </c>
      <c r="BA3001" t="s">
        <v>74</v>
      </c>
      <c r="BB3001">
        <v>808</v>
      </c>
      <c r="BC3001">
        <v>811</v>
      </c>
      <c r="BD3001" t="s">
        <v>74</v>
      </c>
      <c r="BE3001" t="s">
        <v>74</v>
      </c>
      <c r="BF3001" t="s">
        <v>74</v>
      </c>
      <c r="BG3001" t="s">
        <v>74</v>
      </c>
      <c r="BH3001" t="s">
        <v>74</v>
      </c>
      <c r="BI3001">
        <v>4</v>
      </c>
      <c r="BJ3001" t="s">
        <v>4031</v>
      </c>
      <c r="BK3001" t="s">
        <v>183</v>
      </c>
      <c r="BL3001" t="s">
        <v>4031</v>
      </c>
      <c r="BM3001" t="s">
        <v>49669</v>
      </c>
      <c r="BN3001" t="s">
        <v>74</v>
      </c>
      <c r="BO3001" t="s">
        <v>74</v>
      </c>
      <c r="BP3001" t="s">
        <v>74</v>
      </c>
      <c r="BQ3001" t="s">
        <v>74</v>
      </c>
      <c r="BR3001" t="s">
        <v>102</v>
      </c>
      <c r="BS3001" t="s">
        <v>49670</v>
      </c>
      <c r="BT3001" t="str">
        <f>HYPERLINK("https%3A%2F%2Fwww.webofscience.com%2Fwos%2Fwoscc%2Ffull-record%2FWOS:000291089800102","View Full Record in Web of Science")</f>
        <v>View Full Record in Web of Science</v>
      </c>
    </row>
    <row r="3002" spans="1:72" x14ac:dyDescent="0.25">
      <c r="A3002" t="s">
        <v>72</v>
      </c>
      <c r="B3002" t="s">
        <v>49671</v>
      </c>
      <c r="C3002" t="s">
        <v>74</v>
      </c>
      <c r="D3002" t="s">
        <v>74</v>
      </c>
      <c r="E3002" t="s">
        <v>74</v>
      </c>
      <c r="F3002" t="s">
        <v>49672</v>
      </c>
      <c r="G3002" t="s">
        <v>74</v>
      </c>
      <c r="H3002" t="s">
        <v>74</v>
      </c>
      <c r="I3002" t="s">
        <v>49673</v>
      </c>
      <c r="J3002" t="s">
        <v>49674</v>
      </c>
      <c r="K3002" t="s">
        <v>74</v>
      </c>
      <c r="L3002" t="s">
        <v>74</v>
      </c>
      <c r="M3002" t="s">
        <v>298</v>
      </c>
      <c r="N3002" t="s">
        <v>79</v>
      </c>
      <c r="O3002" t="s">
        <v>74</v>
      </c>
      <c r="P3002" t="s">
        <v>74</v>
      </c>
      <c r="Q3002" t="s">
        <v>74</v>
      </c>
      <c r="R3002" t="s">
        <v>74</v>
      </c>
      <c r="S3002" t="s">
        <v>74</v>
      </c>
      <c r="T3002" t="s">
        <v>49675</v>
      </c>
      <c r="U3002" t="s">
        <v>49676</v>
      </c>
      <c r="V3002" t="s">
        <v>49677</v>
      </c>
      <c r="W3002" t="s">
        <v>49678</v>
      </c>
      <c r="X3002" t="s">
        <v>49679</v>
      </c>
      <c r="Y3002" t="s">
        <v>49680</v>
      </c>
      <c r="Z3002" t="s">
        <v>49681</v>
      </c>
      <c r="AA3002" t="s">
        <v>74</v>
      </c>
      <c r="AB3002" t="s">
        <v>74</v>
      </c>
      <c r="AC3002" t="s">
        <v>74</v>
      </c>
      <c r="AD3002" t="s">
        <v>74</v>
      </c>
      <c r="AE3002" t="s">
        <v>74</v>
      </c>
      <c r="AF3002" t="s">
        <v>74</v>
      </c>
      <c r="AG3002">
        <v>35</v>
      </c>
      <c r="AH3002">
        <v>1</v>
      </c>
      <c r="AI3002">
        <v>1</v>
      </c>
      <c r="AJ3002">
        <v>0</v>
      </c>
      <c r="AK3002">
        <v>12</v>
      </c>
      <c r="AL3002" t="s">
        <v>49682</v>
      </c>
      <c r="AM3002" t="s">
        <v>47663</v>
      </c>
      <c r="AN3002" t="s">
        <v>49683</v>
      </c>
      <c r="AO3002" t="s">
        <v>49684</v>
      </c>
      <c r="AP3002" t="s">
        <v>74</v>
      </c>
      <c r="AQ3002" t="s">
        <v>74</v>
      </c>
      <c r="AR3002" t="s">
        <v>49685</v>
      </c>
      <c r="AS3002" t="s">
        <v>49686</v>
      </c>
      <c r="AT3002" t="s">
        <v>723</v>
      </c>
      <c r="AU3002">
        <v>2021</v>
      </c>
      <c r="AV3002">
        <v>24</v>
      </c>
      <c r="AW3002">
        <v>43</v>
      </c>
      <c r="AX3002" t="s">
        <v>74</v>
      </c>
      <c r="AY3002" t="s">
        <v>74</v>
      </c>
      <c r="AZ3002" t="s">
        <v>74</v>
      </c>
      <c r="BA3002" t="s">
        <v>74</v>
      </c>
      <c r="BB3002">
        <v>56</v>
      </c>
      <c r="BC3002">
        <v>75</v>
      </c>
      <c r="BD3002" t="s">
        <v>74</v>
      </c>
      <c r="BE3002" t="s">
        <v>49687</v>
      </c>
      <c r="BF3002" t="str">
        <f>HYPERLINK("http://dx.doi.org/10.53766/ACCON/2021.43.03","http://dx.doi.org/10.53766/ACCON/2021.43.03")</f>
        <v>http://dx.doi.org/10.53766/ACCON/2021.43.03</v>
      </c>
      <c r="BG3002" t="s">
        <v>74</v>
      </c>
      <c r="BH3002" t="s">
        <v>74</v>
      </c>
      <c r="BI3002">
        <v>20</v>
      </c>
      <c r="BJ3002" t="s">
        <v>268</v>
      </c>
      <c r="BK3002" t="s">
        <v>313</v>
      </c>
      <c r="BL3002" t="s">
        <v>100</v>
      </c>
      <c r="BM3002" t="s">
        <v>49688</v>
      </c>
      <c r="BN3002" t="s">
        <v>74</v>
      </c>
      <c r="BO3002" t="s">
        <v>212</v>
      </c>
      <c r="BP3002" t="s">
        <v>74</v>
      </c>
      <c r="BQ3002" t="s">
        <v>74</v>
      </c>
      <c r="BR3002" t="s">
        <v>102</v>
      </c>
      <c r="BS3002" t="s">
        <v>49689</v>
      </c>
      <c r="BT3002" t="str">
        <f>HYPERLINK("https%3A%2F%2Fwww.webofscience.com%2Fwos%2Fwoscc%2Ffull-record%2FWOS:000757268400004","View Full Record in Web of Science")</f>
        <v>View Full Record in Web of Science</v>
      </c>
    </row>
    <row r="3003" spans="1:72" x14ac:dyDescent="0.25">
      <c r="A3003" t="s">
        <v>72</v>
      </c>
      <c r="B3003" t="s">
        <v>49690</v>
      </c>
      <c r="C3003" t="s">
        <v>74</v>
      </c>
      <c r="D3003" t="s">
        <v>74</v>
      </c>
      <c r="E3003" t="s">
        <v>74</v>
      </c>
      <c r="F3003" t="s">
        <v>49691</v>
      </c>
      <c r="G3003" t="s">
        <v>74</v>
      </c>
      <c r="H3003" t="s">
        <v>74</v>
      </c>
      <c r="I3003" t="s">
        <v>49692</v>
      </c>
      <c r="J3003" t="s">
        <v>11275</v>
      </c>
      <c r="K3003" t="s">
        <v>74</v>
      </c>
      <c r="L3003" t="s">
        <v>74</v>
      </c>
      <c r="M3003" t="s">
        <v>78</v>
      </c>
      <c r="N3003" t="s">
        <v>372</v>
      </c>
      <c r="O3003" t="s">
        <v>74</v>
      </c>
      <c r="P3003" t="s">
        <v>74</v>
      </c>
      <c r="Q3003" t="s">
        <v>74</v>
      </c>
      <c r="R3003" t="s">
        <v>74</v>
      </c>
      <c r="S3003" t="s">
        <v>74</v>
      </c>
      <c r="T3003" t="s">
        <v>49693</v>
      </c>
      <c r="U3003" t="s">
        <v>49694</v>
      </c>
      <c r="V3003" t="s">
        <v>49695</v>
      </c>
      <c r="W3003" t="s">
        <v>49696</v>
      </c>
      <c r="X3003" t="s">
        <v>49697</v>
      </c>
      <c r="Y3003" t="s">
        <v>49698</v>
      </c>
      <c r="Z3003" t="s">
        <v>49699</v>
      </c>
      <c r="AA3003" t="s">
        <v>49700</v>
      </c>
      <c r="AB3003" t="s">
        <v>49701</v>
      </c>
      <c r="AC3003" t="s">
        <v>74</v>
      </c>
      <c r="AD3003" t="s">
        <v>74</v>
      </c>
      <c r="AE3003" t="s">
        <v>74</v>
      </c>
      <c r="AF3003" t="s">
        <v>74</v>
      </c>
      <c r="AG3003">
        <v>38</v>
      </c>
      <c r="AH3003">
        <v>0</v>
      </c>
      <c r="AI3003">
        <v>2</v>
      </c>
      <c r="AJ3003">
        <v>3</v>
      </c>
      <c r="AK3003">
        <v>3</v>
      </c>
      <c r="AL3003" t="s">
        <v>89</v>
      </c>
      <c r="AM3003" t="s">
        <v>90</v>
      </c>
      <c r="AN3003" t="s">
        <v>91</v>
      </c>
      <c r="AO3003" t="s">
        <v>11282</v>
      </c>
      <c r="AP3003" t="s">
        <v>11283</v>
      </c>
      <c r="AQ3003" t="s">
        <v>74</v>
      </c>
      <c r="AR3003" t="s">
        <v>11284</v>
      </c>
      <c r="AS3003" t="s">
        <v>11285</v>
      </c>
      <c r="AT3003" t="s">
        <v>49702</v>
      </c>
      <c r="AU3003">
        <v>2025</v>
      </c>
      <c r="AV3003" t="s">
        <v>74</v>
      </c>
      <c r="AW3003" t="s">
        <v>74</v>
      </c>
      <c r="AX3003" t="s">
        <v>74</v>
      </c>
      <c r="AY3003" t="s">
        <v>74</v>
      </c>
      <c r="AZ3003" t="s">
        <v>74</v>
      </c>
      <c r="BA3003" t="s">
        <v>74</v>
      </c>
      <c r="BB3003" t="s">
        <v>74</v>
      </c>
      <c r="BC3003" t="s">
        <v>74</v>
      </c>
      <c r="BD3003" t="s">
        <v>74</v>
      </c>
      <c r="BE3003" t="s">
        <v>49703</v>
      </c>
      <c r="BF3003" t="str">
        <f>HYPERLINK("http://dx.doi.org/10.1108/REPS-12-2022-0112","http://dx.doi.org/10.1108/REPS-12-2022-0112")</f>
        <v>http://dx.doi.org/10.1108/REPS-12-2022-0112</v>
      </c>
      <c r="BG3003" t="s">
        <v>74</v>
      </c>
      <c r="BH3003" t="s">
        <v>1485</v>
      </c>
      <c r="BI3003">
        <v>17</v>
      </c>
      <c r="BJ3003" t="s">
        <v>11289</v>
      </c>
      <c r="BK3003" t="s">
        <v>313</v>
      </c>
      <c r="BL3003" t="s">
        <v>2282</v>
      </c>
      <c r="BM3003" t="s">
        <v>49704</v>
      </c>
      <c r="BN3003" t="s">
        <v>74</v>
      </c>
      <c r="BO3003" t="s">
        <v>212</v>
      </c>
      <c r="BP3003" t="s">
        <v>74</v>
      </c>
      <c r="BQ3003" t="s">
        <v>74</v>
      </c>
      <c r="BR3003" t="s">
        <v>102</v>
      </c>
      <c r="BS3003" t="s">
        <v>49705</v>
      </c>
      <c r="BT3003" t="str">
        <f>HYPERLINK("https%3A%2F%2Fwww.webofscience.com%2Fwos%2Fwoscc%2Ffull-record%2FWOS:001476520100001","View Full Record in Web of Science")</f>
        <v>View Full Record in Web of Science</v>
      </c>
    </row>
    <row r="3004" spans="1:72" x14ac:dyDescent="0.25">
      <c r="A3004" t="s">
        <v>72</v>
      </c>
      <c r="B3004" t="s">
        <v>49706</v>
      </c>
      <c r="C3004" t="s">
        <v>74</v>
      </c>
      <c r="D3004" t="s">
        <v>74</v>
      </c>
      <c r="E3004" t="s">
        <v>74</v>
      </c>
      <c r="F3004" t="s">
        <v>49707</v>
      </c>
      <c r="G3004" t="s">
        <v>74</v>
      </c>
      <c r="H3004" t="s">
        <v>74</v>
      </c>
      <c r="I3004" t="s">
        <v>49708</v>
      </c>
      <c r="J3004" t="s">
        <v>49709</v>
      </c>
      <c r="K3004" t="s">
        <v>74</v>
      </c>
      <c r="L3004" t="s">
        <v>74</v>
      </c>
      <c r="M3004" t="s">
        <v>78</v>
      </c>
      <c r="N3004" t="s">
        <v>79</v>
      </c>
      <c r="O3004" t="s">
        <v>74</v>
      </c>
      <c r="P3004" t="s">
        <v>74</v>
      </c>
      <c r="Q3004" t="s">
        <v>74</v>
      </c>
      <c r="R3004" t="s">
        <v>74</v>
      </c>
      <c r="S3004" t="s">
        <v>74</v>
      </c>
      <c r="T3004" t="s">
        <v>49710</v>
      </c>
      <c r="U3004" t="s">
        <v>49711</v>
      </c>
      <c r="V3004" t="s">
        <v>49712</v>
      </c>
      <c r="W3004" t="s">
        <v>49713</v>
      </c>
      <c r="X3004" t="s">
        <v>17843</v>
      </c>
      <c r="Y3004" t="s">
        <v>49714</v>
      </c>
      <c r="Z3004" t="s">
        <v>49715</v>
      </c>
      <c r="AA3004" t="s">
        <v>74</v>
      </c>
      <c r="AB3004" t="s">
        <v>49716</v>
      </c>
      <c r="AC3004" t="s">
        <v>74</v>
      </c>
      <c r="AD3004" t="s">
        <v>74</v>
      </c>
      <c r="AE3004" t="s">
        <v>74</v>
      </c>
      <c r="AF3004" t="s">
        <v>74</v>
      </c>
      <c r="AG3004">
        <v>64</v>
      </c>
      <c r="AH3004">
        <v>1</v>
      </c>
      <c r="AI3004">
        <v>1</v>
      </c>
      <c r="AJ3004">
        <v>1</v>
      </c>
      <c r="AK3004">
        <v>7</v>
      </c>
      <c r="AL3004" t="s">
        <v>332</v>
      </c>
      <c r="AM3004" t="s">
        <v>333</v>
      </c>
      <c r="AN3004" t="s">
        <v>334</v>
      </c>
      <c r="AO3004" t="s">
        <v>49717</v>
      </c>
      <c r="AP3004" t="s">
        <v>49718</v>
      </c>
      <c r="AQ3004" t="s">
        <v>74</v>
      </c>
      <c r="AR3004" t="s">
        <v>49719</v>
      </c>
      <c r="AS3004" t="s">
        <v>49720</v>
      </c>
      <c r="AT3004" t="s">
        <v>8259</v>
      </c>
      <c r="AU3004">
        <v>2025</v>
      </c>
      <c r="AV3004">
        <v>34</v>
      </c>
      <c r="AW3004">
        <v>4</v>
      </c>
      <c r="AX3004" t="s">
        <v>74</v>
      </c>
      <c r="AY3004" t="s">
        <v>74</v>
      </c>
      <c r="AZ3004" t="s">
        <v>74</v>
      </c>
      <c r="BA3004" t="s">
        <v>74</v>
      </c>
      <c r="BB3004">
        <v>758</v>
      </c>
      <c r="BC3004">
        <v>780</v>
      </c>
      <c r="BD3004" t="s">
        <v>74</v>
      </c>
      <c r="BE3004" t="s">
        <v>49721</v>
      </c>
      <c r="BF3004" t="str">
        <f>HYPERLINK("http://dx.doi.org/10.1080/09638199.2024.2331224","http://dx.doi.org/10.1080/09638199.2024.2331224")</f>
        <v>http://dx.doi.org/10.1080/09638199.2024.2331224</v>
      </c>
      <c r="BG3004" t="s">
        <v>74</v>
      </c>
      <c r="BH3004" t="s">
        <v>1981</v>
      </c>
      <c r="BI3004">
        <v>23</v>
      </c>
      <c r="BJ3004" t="s">
        <v>291</v>
      </c>
      <c r="BK3004" t="s">
        <v>99</v>
      </c>
      <c r="BL3004" t="s">
        <v>100</v>
      </c>
      <c r="BM3004" t="s">
        <v>49722</v>
      </c>
      <c r="BN3004" t="s">
        <v>74</v>
      </c>
      <c r="BO3004" t="s">
        <v>74</v>
      </c>
      <c r="BP3004" t="s">
        <v>74</v>
      </c>
      <c r="BQ3004" t="s">
        <v>74</v>
      </c>
      <c r="BR3004" t="s">
        <v>102</v>
      </c>
      <c r="BS3004" t="s">
        <v>49723</v>
      </c>
      <c r="BT3004" t="str">
        <f>HYPERLINK("https%3A%2F%2Fwww.webofscience.com%2Fwos%2Fwoscc%2Ffull-record%2FWOS:001190997900001","View Full Record in Web of Science")</f>
        <v>View Full Record in Web of Science</v>
      </c>
    </row>
    <row r="3005" spans="1:72" x14ac:dyDescent="0.25">
      <c r="A3005" t="s">
        <v>72</v>
      </c>
      <c r="B3005" t="s">
        <v>49724</v>
      </c>
      <c r="C3005" t="s">
        <v>74</v>
      </c>
      <c r="D3005" t="s">
        <v>74</v>
      </c>
      <c r="E3005" t="s">
        <v>74</v>
      </c>
      <c r="F3005" t="s">
        <v>49725</v>
      </c>
      <c r="G3005" t="s">
        <v>74</v>
      </c>
      <c r="H3005" t="s">
        <v>74</v>
      </c>
      <c r="I3005" t="s">
        <v>49726</v>
      </c>
      <c r="J3005" t="s">
        <v>43631</v>
      </c>
      <c r="K3005" t="s">
        <v>74</v>
      </c>
      <c r="L3005" t="s">
        <v>74</v>
      </c>
      <c r="M3005" t="s">
        <v>78</v>
      </c>
      <c r="N3005" t="s">
        <v>79</v>
      </c>
      <c r="O3005" t="s">
        <v>74</v>
      </c>
      <c r="P3005" t="s">
        <v>74</v>
      </c>
      <c r="Q3005" t="s">
        <v>74</v>
      </c>
      <c r="R3005" t="s">
        <v>74</v>
      </c>
      <c r="S3005" t="s">
        <v>74</v>
      </c>
      <c r="T3005" t="s">
        <v>49727</v>
      </c>
      <c r="U3005" t="s">
        <v>49728</v>
      </c>
      <c r="V3005" t="s">
        <v>49729</v>
      </c>
      <c r="W3005" t="s">
        <v>49730</v>
      </c>
      <c r="X3005" t="s">
        <v>49731</v>
      </c>
      <c r="Y3005" t="s">
        <v>49732</v>
      </c>
      <c r="Z3005" t="s">
        <v>49733</v>
      </c>
      <c r="AA3005" t="s">
        <v>74</v>
      </c>
      <c r="AB3005" t="s">
        <v>74</v>
      </c>
      <c r="AC3005" t="s">
        <v>74</v>
      </c>
      <c r="AD3005" t="s">
        <v>74</v>
      </c>
      <c r="AE3005" t="s">
        <v>74</v>
      </c>
      <c r="AF3005" t="s">
        <v>74</v>
      </c>
      <c r="AG3005">
        <v>83</v>
      </c>
      <c r="AH3005">
        <v>3</v>
      </c>
      <c r="AI3005">
        <v>4</v>
      </c>
      <c r="AJ3005">
        <v>0</v>
      </c>
      <c r="AK3005">
        <v>7</v>
      </c>
      <c r="AL3005" t="s">
        <v>4485</v>
      </c>
      <c r="AM3005" t="s">
        <v>6724</v>
      </c>
      <c r="AN3005" t="s">
        <v>6725</v>
      </c>
      <c r="AO3005" t="s">
        <v>43644</v>
      </c>
      <c r="AP3005" t="s">
        <v>43645</v>
      </c>
      <c r="AQ3005" t="s">
        <v>74</v>
      </c>
      <c r="AR3005" t="s">
        <v>43646</v>
      </c>
      <c r="AS3005" t="s">
        <v>43647</v>
      </c>
      <c r="AT3005" t="s">
        <v>605</v>
      </c>
      <c r="AU3005">
        <v>2024</v>
      </c>
      <c r="AV3005">
        <v>90</v>
      </c>
      <c r="AW3005" t="s">
        <v>74</v>
      </c>
      <c r="AX3005" t="s">
        <v>74</v>
      </c>
      <c r="AY3005" t="s">
        <v>74</v>
      </c>
      <c r="AZ3005" t="s">
        <v>74</v>
      </c>
      <c r="BA3005" t="s">
        <v>74</v>
      </c>
      <c r="BB3005" t="s">
        <v>74</v>
      </c>
      <c r="BC3005" t="s">
        <v>74</v>
      </c>
      <c r="BD3005">
        <v>104628</v>
      </c>
      <c r="BE3005" t="s">
        <v>49734</v>
      </c>
      <c r="BF3005" t="str">
        <f>HYPERLINK("http://dx.doi.org/10.1016/j.resourpol.2023.104628","http://dx.doi.org/10.1016/j.resourpol.2023.104628")</f>
        <v>http://dx.doi.org/10.1016/j.resourpol.2023.104628</v>
      </c>
      <c r="BG3005" t="s">
        <v>74</v>
      </c>
      <c r="BH3005" t="s">
        <v>239</v>
      </c>
      <c r="BI3005">
        <v>8</v>
      </c>
      <c r="BJ3005" t="s">
        <v>14327</v>
      </c>
      <c r="BK3005" t="s">
        <v>99</v>
      </c>
      <c r="BL3005" t="s">
        <v>129</v>
      </c>
      <c r="BM3005" t="s">
        <v>49735</v>
      </c>
      <c r="BN3005" t="s">
        <v>74</v>
      </c>
      <c r="BO3005" t="s">
        <v>74</v>
      </c>
      <c r="BP3005" t="s">
        <v>74</v>
      </c>
      <c r="BQ3005" t="s">
        <v>74</v>
      </c>
      <c r="BR3005" t="s">
        <v>102</v>
      </c>
      <c r="BS3005" t="s">
        <v>49736</v>
      </c>
      <c r="BT3005" t="str">
        <f>HYPERLINK("https%3A%2F%2Fwww.webofscience.com%2Fwos%2Fwoscc%2Ffull-record%2FWOS:001177899600001","View Full Record in Web of Science")</f>
        <v>View Full Record in Web of Science</v>
      </c>
    </row>
    <row r="3006" spans="1:72" x14ac:dyDescent="0.25">
      <c r="A3006" t="s">
        <v>72</v>
      </c>
      <c r="B3006" t="s">
        <v>49737</v>
      </c>
      <c r="C3006" t="s">
        <v>74</v>
      </c>
      <c r="D3006" t="s">
        <v>74</v>
      </c>
      <c r="E3006" t="s">
        <v>74</v>
      </c>
      <c r="F3006" t="s">
        <v>49738</v>
      </c>
      <c r="G3006" t="s">
        <v>74</v>
      </c>
      <c r="H3006" t="s">
        <v>74</v>
      </c>
      <c r="I3006" t="s">
        <v>49739</v>
      </c>
      <c r="J3006" t="s">
        <v>10958</v>
      </c>
      <c r="K3006" t="s">
        <v>74</v>
      </c>
      <c r="L3006" t="s">
        <v>74</v>
      </c>
      <c r="M3006" t="s">
        <v>78</v>
      </c>
      <c r="N3006" t="s">
        <v>79</v>
      </c>
      <c r="O3006" t="s">
        <v>74</v>
      </c>
      <c r="P3006" t="s">
        <v>74</v>
      </c>
      <c r="Q3006" t="s">
        <v>74</v>
      </c>
      <c r="R3006" t="s">
        <v>74</v>
      </c>
      <c r="S3006" t="s">
        <v>74</v>
      </c>
      <c r="T3006" t="s">
        <v>49740</v>
      </c>
      <c r="U3006" t="s">
        <v>74</v>
      </c>
      <c r="V3006" t="s">
        <v>49741</v>
      </c>
      <c r="W3006" t="s">
        <v>49742</v>
      </c>
      <c r="X3006" t="s">
        <v>49743</v>
      </c>
      <c r="Y3006" t="s">
        <v>49744</v>
      </c>
      <c r="Z3006" t="s">
        <v>74</v>
      </c>
      <c r="AA3006" t="s">
        <v>49745</v>
      </c>
      <c r="AB3006" t="s">
        <v>74</v>
      </c>
      <c r="AC3006" t="s">
        <v>74</v>
      </c>
      <c r="AD3006" t="s">
        <v>74</v>
      </c>
      <c r="AE3006" t="s">
        <v>74</v>
      </c>
      <c r="AF3006" t="s">
        <v>74</v>
      </c>
      <c r="AG3006">
        <v>37</v>
      </c>
      <c r="AH3006">
        <v>0</v>
      </c>
      <c r="AI3006">
        <v>0</v>
      </c>
      <c r="AJ3006">
        <v>2</v>
      </c>
      <c r="AK3006">
        <v>2</v>
      </c>
      <c r="AL3006" t="s">
        <v>10967</v>
      </c>
      <c r="AM3006" t="s">
        <v>10968</v>
      </c>
      <c r="AN3006" t="s">
        <v>10969</v>
      </c>
      <c r="AO3006" t="s">
        <v>10970</v>
      </c>
      <c r="AP3006" t="s">
        <v>10971</v>
      </c>
      <c r="AQ3006" t="s">
        <v>74</v>
      </c>
      <c r="AR3006" t="s">
        <v>10972</v>
      </c>
      <c r="AS3006" t="s">
        <v>10973</v>
      </c>
      <c r="AT3006" t="s">
        <v>74</v>
      </c>
      <c r="AU3006">
        <v>2025</v>
      </c>
      <c r="AV3006">
        <v>16</v>
      </c>
      <c r="AW3006">
        <v>9</v>
      </c>
      <c r="AX3006" t="s">
        <v>74</v>
      </c>
      <c r="AY3006" t="s">
        <v>74</v>
      </c>
      <c r="AZ3006" t="s">
        <v>74</v>
      </c>
      <c r="BA3006" t="s">
        <v>74</v>
      </c>
      <c r="BB3006">
        <v>139</v>
      </c>
      <c r="BC3006">
        <v>153</v>
      </c>
      <c r="BD3006" t="s">
        <v>74</v>
      </c>
      <c r="BE3006" t="s">
        <v>74</v>
      </c>
      <c r="BF3006" t="s">
        <v>74</v>
      </c>
      <c r="BG3006" t="s">
        <v>74</v>
      </c>
      <c r="BH3006" t="s">
        <v>74</v>
      </c>
      <c r="BI3006">
        <v>15</v>
      </c>
      <c r="BJ3006" t="s">
        <v>1803</v>
      </c>
      <c r="BK3006" t="s">
        <v>313</v>
      </c>
      <c r="BL3006" t="s">
        <v>157</v>
      </c>
      <c r="BM3006" t="s">
        <v>49746</v>
      </c>
      <c r="BN3006" t="s">
        <v>74</v>
      </c>
      <c r="BO3006" t="s">
        <v>74</v>
      </c>
      <c r="BP3006" t="s">
        <v>74</v>
      </c>
      <c r="BQ3006" t="s">
        <v>74</v>
      </c>
      <c r="BR3006" t="s">
        <v>102</v>
      </c>
      <c r="BS3006" t="s">
        <v>49747</v>
      </c>
      <c r="BT3006" t="str">
        <f>HYPERLINK("https%3A%2F%2Fwww.webofscience.com%2Fwos%2Fwoscc%2Ffull-record%2FWOS:001592935500001","View Full Record in Web of Science")</f>
        <v>View Full Record in Web of Science</v>
      </c>
    </row>
    <row r="3007" spans="1:72" x14ac:dyDescent="0.25">
      <c r="A3007" t="s">
        <v>72</v>
      </c>
      <c r="B3007" t="s">
        <v>49748</v>
      </c>
      <c r="C3007" t="s">
        <v>74</v>
      </c>
      <c r="D3007" t="s">
        <v>74</v>
      </c>
      <c r="E3007" t="s">
        <v>74</v>
      </c>
      <c r="F3007" t="s">
        <v>49749</v>
      </c>
      <c r="G3007" t="s">
        <v>74</v>
      </c>
      <c r="H3007" t="s">
        <v>74</v>
      </c>
      <c r="I3007" t="s">
        <v>49750</v>
      </c>
      <c r="J3007" t="s">
        <v>4657</v>
      </c>
      <c r="K3007" t="s">
        <v>74</v>
      </c>
      <c r="L3007" t="s">
        <v>74</v>
      </c>
      <c r="M3007" t="s">
        <v>78</v>
      </c>
      <c r="N3007" t="s">
        <v>79</v>
      </c>
      <c r="O3007" t="s">
        <v>74</v>
      </c>
      <c r="P3007" t="s">
        <v>74</v>
      </c>
      <c r="Q3007" t="s">
        <v>74</v>
      </c>
      <c r="R3007" t="s">
        <v>74</v>
      </c>
      <c r="S3007" t="s">
        <v>74</v>
      </c>
      <c r="T3007" t="s">
        <v>49751</v>
      </c>
      <c r="U3007" t="s">
        <v>74</v>
      </c>
      <c r="V3007" t="s">
        <v>49752</v>
      </c>
      <c r="W3007" t="s">
        <v>49753</v>
      </c>
      <c r="X3007" t="s">
        <v>49754</v>
      </c>
      <c r="Y3007" t="s">
        <v>49755</v>
      </c>
      <c r="Z3007" t="s">
        <v>49756</v>
      </c>
      <c r="AA3007" t="s">
        <v>49757</v>
      </c>
      <c r="AB3007" t="s">
        <v>74</v>
      </c>
      <c r="AC3007" t="s">
        <v>74</v>
      </c>
      <c r="AD3007" t="s">
        <v>74</v>
      </c>
      <c r="AE3007" t="s">
        <v>74</v>
      </c>
      <c r="AF3007" t="s">
        <v>74</v>
      </c>
      <c r="AG3007">
        <v>40</v>
      </c>
      <c r="AH3007">
        <v>0</v>
      </c>
      <c r="AI3007">
        <v>0</v>
      </c>
      <c r="AJ3007">
        <v>3</v>
      </c>
      <c r="AK3007">
        <v>3</v>
      </c>
      <c r="AL3007" t="s">
        <v>4666</v>
      </c>
      <c r="AM3007" t="s">
        <v>995</v>
      </c>
      <c r="AN3007" t="s">
        <v>4025</v>
      </c>
      <c r="AO3007" t="s">
        <v>74</v>
      </c>
      <c r="AP3007" t="s">
        <v>4667</v>
      </c>
      <c r="AQ3007" t="s">
        <v>74</v>
      </c>
      <c r="AR3007" t="s">
        <v>4668</v>
      </c>
      <c r="AS3007" t="s">
        <v>4669</v>
      </c>
      <c r="AT3007" t="s">
        <v>31732</v>
      </c>
      <c r="AU3007">
        <v>2025</v>
      </c>
      <c r="AV3007">
        <v>6</v>
      </c>
      <c r="AW3007">
        <v>1</v>
      </c>
      <c r="AX3007" t="s">
        <v>74</v>
      </c>
      <c r="AY3007" t="s">
        <v>74</v>
      </c>
      <c r="AZ3007" t="s">
        <v>74</v>
      </c>
      <c r="BA3007" t="s">
        <v>74</v>
      </c>
      <c r="BB3007" t="s">
        <v>74</v>
      </c>
      <c r="BC3007" t="s">
        <v>74</v>
      </c>
      <c r="BD3007">
        <v>1079</v>
      </c>
      <c r="BE3007" t="s">
        <v>49758</v>
      </c>
      <c r="BF3007" t="str">
        <f>HYPERLINK("http://dx.doi.org/10.1007/s43621-025-01970-8","http://dx.doi.org/10.1007/s43621-025-01970-8")</f>
        <v>http://dx.doi.org/10.1007/s43621-025-01970-8</v>
      </c>
      <c r="BG3007" t="s">
        <v>74</v>
      </c>
      <c r="BH3007" t="s">
        <v>74</v>
      </c>
      <c r="BI3007">
        <v>14</v>
      </c>
      <c r="BJ3007" t="s">
        <v>3247</v>
      </c>
      <c r="BK3007" t="s">
        <v>313</v>
      </c>
      <c r="BL3007" t="s">
        <v>3248</v>
      </c>
      <c r="BM3007" t="s">
        <v>49759</v>
      </c>
      <c r="BN3007" t="s">
        <v>74</v>
      </c>
      <c r="BO3007" t="s">
        <v>212</v>
      </c>
      <c r="BP3007" t="s">
        <v>74</v>
      </c>
      <c r="BQ3007" t="s">
        <v>74</v>
      </c>
      <c r="BR3007" t="s">
        <v>102</v>
      </c>
      <c r="BS3007" t="s">
        <v>49760</v>
      </c>
      <c r="BT3007" t="str">
        <f>HYPERLINK("https%3A%2F%2Fwww.webofscience.com%2Fwos%2Fwoscc%2Ffull-record%2FWOS:001594387100010","View Full Record in Web of Science")</f>
        <v>View Full Record in Web of Science</v>
      </c>
    </row>
    <row r="3008" spans="1:72" x14ac:dyDescent="0.25">
      <c r="A3008" t="s">
        <v>72</v>
      </c>
      <c r="B3008" t="s">
        <v>49761</v>
      </c>
      <c r="C3008" t="s">
        <v>74</v>
      </c>
      <c r="D3008" t="s">
        <v>74</v>
      </c>
      <c r="E3008" t="s">
        <v>74</v>
      </c>
      <c r="F3008" t="s">
        <v>49762</v>
      </c>
      <c r="G3008" t="s">
        <v>74</v>
      </c>
      <c r="H3008" t="s">
        <v>74</v>
      </c>
      <c r="I3008" t="s">
        <v>49763</v>
      </c>
      <c r="J3008" t="s">
        <v>23912</v>
      </c>
      <c r="K3008" t="s">
        <v>74</v>
      </c>
      <c r="L3008" t="s">
        <v>74</v>
      </c>
      <c r="M3008" t="s">
        <v>78</v>
      </c>
      <c r="N3008" t="s">
        <v>79</v>
      </c>
      <c r="O3008" t="s">
        <v>74</v>
      </c>
      <c r="P3008" t="s">
        <v>74</v>
      </c>
      <c r="Q3008" t="s">
        <v>74</v>
      </c>
      <c r="R3008" t="s">
        <v>74</v>
      </c>
      <c r="S3008" t="s">
        <v>74</v>
      </c>
      <c r="T3008" t="s">
        <v>74</v>
      </c>
      <c r="U3008" t="s">
        <v>49764</v>
      </c>
      <c r="V3008" t="s">
        <v>49765</v>
      </c>
      <c r="W3008" t="s">
        <v>49766</v>
      </c>
      <c r="X3008" t="s">
        <v>49767</v>
      </c>
      <c r="Y3008" t="s">
        <v>49768</v>
      </c>
      <c r="Z3008" t="s">
        <v>49769</v>
      </c>
      <c r="AA3008" t="s">
        <v>49585</v>
      </c>
      <c r="AB3008" t="s">
        <v>49770</v>
      </c>
      <c r="AC3008" t="s">
        <v>74</v>
      </c>
      <c r="AD3008" t="s">
        <v>74</v>
      </c>
      <c r="AE3008" t="s">
        <v>74</v>
      </c>
      <c r="AF3008" t="s">
        <v>74</v>
      </c>
      <c r="AG3008">
        <v>37</v>
      </c>
      <c r="AH3008">
        <v>4</v>
      </c>
      <c r="AI3008">
        <v>4</v>
      </c>
      <c r="AJ3008">
        <v>0</v>
      </c>
      <c r="AK3008">
        <v>5</v>
      </c>
      <c r="AL3008" t="s">
        <v>23912</v>
      </c>
      <c r="AM3008" t="s">
        <v>3024</v>
      </c>
      <c r="AN3008" t="s">
        <v>23911</v>
      </c>
      <c r="AO3008" t="s">
        <v>23910</v>
      </c>
      <c r="AP3008" t="s">
        <v>74</v>
      </c>
      <c r="AQ3008" t="s">
        <v>74</v>
      </c>
      <c r="AR3008" t="s">
        <v>23909</v>
      </c>
      <c r="AS3008" t="s">
        <v>23908</v>
      </c>
      <c r="AT3008" t="s">
        <v>74</v>
      </c>
      <c r="AU3008">
        <v>2021</v>
      </c>
      <c r="AV3008">
        <v>41</v>
      </c>
      <c r="AW3008">
        <v>2</v>
      </c>
      <c r="AX3008" t="s">
        <v>74</v>
      </c>
      <c r="AY3008" t="s">
        <v>74</v>
      </c>
      <c r="AZ3008" t="s">
        <v>74</v>
      </c>
      <c r="BA3008" t="s">
        <v>74</v>
      </c>
      <c r="BB3008">
        <v>374</v>
      </c>
      <c r="BC3008">
        <v>386</v>
      </c>
      <c r="BD3008" t="s">
        <v>74</v>
      </c>
      <c r="BE3008" t="s">
        <v>74</v>
      </c>
      <c r="BF3008" t="s">
        <v>74</v>
      </c>
      <c r="BG3008" t="s">
        <v>74</v>
      </c>
      <c r="BH3008" t="s">
        <v>74</v>
      </c>
      <c r="BI3008">
        <v>14</v>
      </c>
      <c r="BJ3008" t="s">
        <v>291</v>
      </c>
      <c r="BK3008" t="s">
        <v>313</v>
      </c>
      <c r="BL3008" t="s">
        <v>100</v>
      </c>
      <c r="BM3008" t="s">
        <v>49771</v>
      </c>
      <c r="BN3008" t="s">
        <v>74</v>
      </c>
      <c r="BO3008" t="s">
        <v>74</v>
      </c>
      <c r="BP3008" t="s">
        <v>74</v>
      </c>
      <c r="BQ3008" t="s">
        <v>74</v>
      </c>
      <c r="BR3008" t="s">
        <v>102</v>
      </c>
      <c r="BS3008" t="s">
        <v>49772</v>
      </c>
      <c r="BT3008" t="str">
        <f>HYPERLINK("https%3A%2F%2Fwww.webofscience.com%2Fwos%2Fwoscc%2Ffull-record%2FWOS:000696954400016","View Full Record in Web of Science")</f>
        <v>View Full Record in Web of Science</v>
      </c>
    </row>
    <row r="3009" spans="1:72" x14ac:dyDescent="0.25">
      <c r="A3009" t="s">
        <v>132</v>
      </c>
      <c r="B3009" t="s">
        <v>36621</v>
      </c>
      <c r="C3009" t="s">
        <v>74</v>
      </c>
      <c r="D3009" t="s">
        <v>631</v>
      </c>
      <c r="E3009" t="s">
        <v>74</v>
      </c>
      <c r="F3009" t="s">
        <v>36622</v>
      </c>
      <c r="G3009" t="s">
        <v>74</v>
      </c>
      <c r="H3009" t="s">
        <v>74</v>
      </c>
      <c r="I3009" t="s">
        <v>49773</v>
      </c>
      <c r="J3009" t="s">
        <v>49774</v>
      </c>
      <c r="K3009" t="s">
        <v>74</v>
      </c>
      <c r="L3009" t="s">
        <v>74</v>
      </c>
      <c r="M3009" t="s">
        <v>78</v>
      </c>
      <c r="N3009" t="s">
        <v>138</v>
      </c>
      <c r="O3009" t="s">
        <v>49775</v>
      </c>
      <c r="P3009" t="s">
        <v>49776</v>
      </c>
      <c r="Q3009" t="s">
        <v>12031</v>
      </c>
      <c r="R3009" t="s">
        <v>638</v>
      </c>
      <c r="S3009" t="s">
        <v>74</v>
      </c>
      <c r="T3009" t="s">
        <v>49777</v>
      </c>
      <c r="U3009" t="s">
        <v>74</v>
      </c>
      <c r="V3009" t="s">
        <v>49778</v>
      </c>
      <c r="W3009" t="s">
        <v>49779</v>
      </c>
      <c r="X3009" t="s">
        <v>12810</v>
      </c>
      <c r="Y3009" t="s">
        <v>49780</v>
      </c>
      <c r="Z3009" t="s">
        <v>36632</v>
      </c>
      <c r="AA3009" t="s">
        <v>36633</v>
      </c>
      <c r="AB3009" t="s">
        <v>36634</v>
      </c>
      <c r="AC3009" t="s">
        <v>74</v>
      </c>
      <c r="AD3009" t="s">
        <v>74</v>
      </c>
      <c r="AE3009" t="s">
        <v>74</v>
      </c>
      <c r="AF3009" t="s">
        <v>74</v>
      </c>
      <c r="AG3009">
        <v>21</v>
      </c>
      <c r="AH3009">
        <v>0</v>
      </c>
      <c r="AI3009">
        <v>0</v>
      </c>
      <c r="AJ3009">
        <v>0</v>
      </c>
      <c r="AK3009">
        <v>11</v>
      </c>
      <c r="AL3009" t="s">
        <v>645</v>
      </c>
      <c r="AM3009" t="s">
        <v>646</v>
      </c>
      <c r="AN3009" t="s">
        <v>647</v>
      </c>
      <c r="AO3009" t="s">
        <v>74</v>
      </c>
      <c r="AP3009" t="s">
        <v>74</v>
      </c>
      <c r="AQ3009" t="s">
        <v>49781</v>
      </c>
      <c r="AR3009" t="s">
        <v>74</v>
      </c>
      <c r="AS3009" t="s">
        <v>74</v>
      </c>
      <c r="AT3009" t="s">
        <v>74</v>
      </c>
      <c r="AU3009">
        <v>2015</v>
      </c>
      <c r="AV3009" t="s">
        <v>74</v>
      </c>
      <c r="AW3009" t="s">
        <v>74</v>
      </c>
      <c r="AX3009" t="s">
        <v>74</v>
      </c>
      <c r="AY3009" t="s">
        <v>74</v>
      </c>
      <c r="AZ3009" t="s">
        <v>74</v>
      </c>
      <c r="BA3009" t="s">
        <v>74</v>
      </c>
      <c r="BB3009">
        <v>1983</v>
      </c>
      <c r="BC3009">
        <v>1990</v>
      </c>
      <c r="BD3009" t="s">
        <v>74</v>
      </c>
      <c r="BE3009" t="s">
        <v>74</v>
      </c>
      <c r="BF3009" t="s">
        <v>74</v>
      </c>
      <c r="BG3009" t="s">
        <v>74</v>
      </c>
      <c r="BH3009" t="s">
        <v>74</v>
      </c>
      <c r="BI3009">
        <v>8</v>
      </c>
      <c r="BJ3009" t="s">
        <v>5519</v>
      </c>
      <c r="BK3009" t="s">
        <v>183</v>
      </c>
      <c r="BL3009" t="s">
        <v>100</v>
      </c>
      <c r="BM3009" t="s">
        <v>49782</v>
      </c>
      <c r="BN3009" t="s">
        <v>74</v>
      </c>
      <c r="BO3009" t="s">
        <v>74</v>
      </c>
      <c r="BP3009" t="s">
        <v>74</v>
      </c>
      <c r="BQ3009" t="s">
        <v>74</v>
      </c>
      <c r="BR3009" t="s">
        <v>102</v>
      </c>
      <c r="BS3009" t="s">
        <v>49783</v>
      </c>
      <c r="BT3009" t="str">
        <f>HYPERLINK("https%3A%2F%2Fwww.webofscience.com%2Fwos%2Fwoscc%2Ffull-record%2FWOS:000366872700197","View Full Record in Web of Science")</f>
        <v>View Full Record in Web of Science</v>
      </c>
    </row>
    <row r="3010" spans="1:72" x14ac:dyDescent="0.25">
      <c r="A3010" t="s">
        <v>72</v>
      </c>
      <c r="B3010" t="s">
        <v>49784</v>
      </c>
      <c r="C3010" t="s">
        <v>74</v>
      </c>
      <c r="D3010" t="s">
        <v>74</v>
      </c>
      <c r="E3010" t="s">
        <v>74</v>
      </c>
      <c r="F3010" t="s">
        <v>49785</v>
      </c>
      <c r="G3010" t="s">
        <v>74</v>
      </c>
      <c r="H3010" t="s">
        <v>74</v>
      </c>
      <c r="I3010" t="s">
        <v>49786</v>
      </c>
      <c r="J3010" t="s">
        <v>49787</v>
      </c>
      <c r="K3010" t="s">
        <v>74</v>
      </c>
      <c r="L3010" t="s">
        <v>74</v>
      </c>
      <c r="M3010" t="s">
        <v>78</v>
      </c>
      <c r="N3010" t="s">
        <v>79</v>
      </c>
      <c r="O3010" t="s">
        <v>74</v>
      </c>
      <c r="P3010" t="s">
        <v>74</v>
      </c>
      <c r="Q3010" t="s">
        <v>74</v>
      </c>
      <c r="R3010" t="s">
        <v>74</v>
      </c>
      <c r="S3010" t="s">
        <v>74</v>
      </c>
      <c r="T3010" t="s">
        <v>49788</v>
      </c>
      <c r="U3010" t="s">
        <v>49789</v>
      </c>
      <c r="V3010" t="s">
        <v>49790</v>
      </c>
      <c r="W3010" t="s">
        <v>49791</v>
      </c>
      <c r="X3010" t="s">
        <v>23191</v>
      </c>
      <c r="Y3010" t="s">
        <v>49792</v>
      </c>
      <c r="Z3010" t="s">
        <v>49793</v>
      </c>
      <c r="AA3010" t="s">
        <v>74</v>
      </c>
      <c r="AB3010" t="s">
        <v>49794</v>
      </c>
      <c r="AC3010" t="s">
        <v>74</v>
      </c>
      <c r="AD3010" t="s">
        <v>74</v>
      </c>
      <c r="AE3010" t="s">
        <v>74</v>
      </c>
      <c r="AF3010" t="s">
        <v>74</v>
      </c>
      <c r="AG3010">
        <v>19</v>
      </c>
      <c r="AH3010">
        <v>2</v>
      </c>
      <c r="AI3010">
        <v>5</v>
      </c>
      <c r="AJ3010">
        <v>0</v>
      </c>
      <c r="AK3010">
        <v>0</v>
      </c>
      <c r="AL3010" t="s">
        <v>49795</v>
      </c>
      <c r="AM3010" t="s">
        <v>49796</v>
      </c>
      <c r="AN3010" t="s">
        <v>49797</v>
      </c>
      <c r="AO3010" t="s">
        <v>49798</v>
      </c>
      <c r="AP3010" t="s">
        <v>49799</v>
      </c>
      <c r="AQ3010" t="s">
        <v>74</v>
      </c>
      <c r="AR3010" t="s">
        <v>49800</v>
      </c>
      <c r="AS3010" t="s">
        <v>49801</v>
      </c>
      <c r="AT3010" t="s">
        <v>237</v>
      </c>
      <c r="AU3010">
        <v>2024</v>
      </c>
      <c r="AV3010">
        <v>14</v>
      </c>
      <c r="AW3010">
        <v>1</v>
      </c>
      <c r="AX3010" t="s">
        <v>74</v>
      </c>
      <c r="AY3010" t="s">
        <v>74</v>
      </c>
      <c r="AZ3010" t="s">
        <v>74</v>
      </c>
      <c r="BA3010" t="s">
        <v>74</v>
      </c>
      <c r="BB3010">
        <v>12887</v>
      </c>
      <c r="BC3010">
        <v>12891</v>
      </c>
      <c r="BD3010" t="s">
        <v>74</v>
      </c>
      <c r="BE3010" t="s">
        <v>49802</v>
      </c>
      <c r="BF3010" t="str">
        <f>HYPERLINK("http://dx.doi.org/10.48084/etasr.6696","http://dx.doi.org/10.48084/etasr.6696")</f>
        <v>http://dx.doi.org/10.48084/etasr.6696</v>
      </c>
      <c r="BG3010" t="s">
        <v>74</v>
      </c>
      <c r="BH3010" t="s">
        <v>74</v>
      </c>
      <c r="BI3010">
        <v>5</v>
      </c>
      <c r="BJ3010" t="s">
        <v>8592</v>
      </c>
      <c r="BK3010" t="s">
        <v>313</v>
      </c>
      <c r="BL3010" t="s">
        <v>2581</v>
      </c>
      <c r="BM3010" t="s">
        <v>49803</v>
      </c>
      <c r="BN3010" t="s">
        <v>74</v>
      </c>
      <c r="BO3010" t="s">
        <v>212</v>
      </c>
      <c r="BP3010" t="s">
        <v>74</v>
      </c>
      <c r="BQ3010" t="s">
        <v>74</v>
      </c>
      <c r="BR3010" t="s">
        <v>102</v>
      </c>
      <c r="BS3010" t="s">
        <v>49804</v>
      </c>
      <c r="BT3010" t="str">
        <f>HYPERLINK("https%3A%2F%2Fwww.webofscience.com%2Fwos%2Fwoscc%2Ffull-record%2FWOS:001173528400077","View Full Record in Web of Science")</f>
        <v>View Full Record in Web of Science</v>
      </c>
    </row>
    <row r="3011" spans="1:72" x14ac:dyDescent="0.25">
      <c r="A3011" t="s">
        <v>72</v>
      </c>
      <c r="B3011" t="s">
        <v>49805</v>
      </c>
      <c r="C3011" t="s">
        <v>74</v>
      </c>
      <c r="D3011" t="s">
        <v>74</v>
      </c>
      <c r="E3011" t="s">
        <v>74</v>
      </c>
      <c r="F3011" t="s">
        <v>49806</v>
      </c>
      <c r="G3011" t="s">
        <v>74</v>
      </c>
      <c r="H3011" t="s">
        <v>74</v>
      </c>
      <c r="I3011" t="s">
        <v>49807</v>
      </c>
      <c r="J3011" t="s">
        <v>14024</v>
      </c>
      <c r="K3011" t="s">
        <v>74</v>
      </c>
      <c r="L3011" t="s">
        <v>74</v>
      </c>
      <c r="M3011" t="s">
        <v>78</v>
      </c>
      <c r="N3011" t="s">
        <v>79</v>
      </c>
      <c r="O3011" t="s">
        <v>74</v>
      </c>
      <c r="P3011" t="s">
        <v>74</v>
      </c>
      <c r="Q3011" t="s">
        <v>74</v>
      </c>
      <c r="R3011" t="s">
        <v>74</v>
      </c>
      <c r="S3011" t="s">
        <v>74</v>
      </c>
      <c r="T3011" t="s">
        <v>49808</v>
      </c>
      <c r="U3011" t="s">
        <v>49809</v>
      </c>
      <c r="V3011" t="s">
        <v>49810</v>
      </c>
      <c r="W3011" t="s">
        <v>49811</v>
      </c>
      <c r="X3011" t="s">
        <v>49812</v>
      </c>
      <c r="Y3011" t="s">
        <v>74</v>
      </c>
      <c r="Z3011" t="s">
        <v>49813</v>
      </c>
      <c r="AA3011" t="s">
        <v>49814</v>
      </c>
      <c r="AB3011" t="s">
        <v>74</v>
      </c>
      <c r="AC3011" t="s">
        <v>74</v>
      </c>
      <c r="AD3011" t="s">
        <v>74</v>
      </c>
      <c r="AE3011" t="s">
        <v>74</v>
      </c>
      <c r="AF3011" t="s">
        <v>74</v>
      </c>
      <c r="AG3011">
        <v>93</v>
      </c>
      <c r="AH3011">
        <v>6</v>
      </c>
      <c r="AI3011">
        <v>6</v>
      </c>
      <c r="AJ3011">
        <v>7</v>
      </c>
      <c r="AK3011">
        <v>22</v>
      </c>
      <c r="AL3011" t="s">
        <v>479</v>
      </c>
      <c r="AM3011" t="s">
        <v>480</v>
      </c>
      <c r="AN3011" t="s">
        <v>481</v>
      </c>
      <c r="AO3011" t="s">
        <v>14034</v>
      </c>
      <c r="AP3011" t="s">
        <v>14035</v>
      </c>
      <c r="AQ3011" t="s">
        <v>74</v>
      </c>
      <c r="AR3011" t="s">
        <v>14036</v>
      </c>
      <c r="AS3011" t="s">
        <v>14037</v>
      </c>
      <c r="AT3011" t="s">
        <v>605</v>
      </c>
      <c r="AU3011">
        <v>2025</v>
      </c>
      <c r="AV3011">
        <v>32</v>
      </c>
      <c r="AW3011">
        <v>2</v>
      </c>
      <c r="AX3011" t="s">
        <v>74</v>
      </c>
      <c r="AY3011" t="s">
        <v>74</v>
      </c>
      <c r="AZ3011" t="s">
        <v>74</v>
      </c>
      <c r="BA3011" t="s">
        <v>74</v>
      </c>
      <c r="BB3011">
        <v>2697</v>
      </c>
      <c r="BC3011">
        <v>2709</v>
      </c>
      <c r="BD3011" t="s">
        <v>74</v>
      </c>
      <c r="BE3011" t="s">
        <v>49815</v>
      </c>
      <c r="BF3011" t="str">
        <f>HYPERLINK("http://dx.doi.org/10.1002/csr.3074","http://dx.doi.org/10.1002/csr.3074")</f>
        <v>http://dx.doi.org/10.1002/csr.3074</v>
      </c>
      <c r="BG3011" t="s">
        <v>74</v>
      </c>
      <c r="BH3011" t="s">
        <v>1737</v>
      </c>
      <c r="BI3011">
        <v>13</v>
      </c>
      <c r="BJ3011" t="s">
        <v>14039</v>
      </c>
      <c r="BK3011" t="s">
        <v>99</v>
      </c>
      <c r="BL3011" t="s">
        <v>14040</v>
      </c>
      <c r="BM3011" t="s">
        <v>49816</v>
      </c>
      <c r="BN3011" t="s">
        <v>74</v>
      </c>
      <c r="BO3011" t="s">
        <v>74</v>
      </c>
      <c r="BP3011" t="s">
        <v>74</v>
      </c>
      <c r="BQ3011" t="s">
        <v>74</v>
      </c>
      <c r="BR3011" t="s">
        <v>102</v>
      </c>
      <c r="BS3011" t="s">
        <v>49817</v>
      </c>
      <c r="BT3011" t="str">
        <f>HYPERLINK("https%3A%2F%2Fwww.webofscience.com%2Fwos%2Fwoscc%2Ffull-record%2FWOS:001388962200001","View Full Record in Web of Science")</f>
        <v>View Full Record in Web of Science</v>
      </c>
    </row>
    <row r="3012" spans="1:72" x14ac:dyDescent="0.25">
      <c r="A3012" t="s">
        <v>72</v>
      </c>
      <c r="B3012" t="s">
        <v>49818</v>
      </c>
      <c r="C3012" t="s">
        <v>74</v>
      </c>
      <c r="D3012" t="s">
        <v>74</v>
      </c>
      <c r="E3012" t="s">
        <v>74</v>
      </c>
      <c r="F3012" t="s">
        <v>49819</v>
      </c>
      <c r="G3012" t="s">
        <v>74</v>
      </c>
      <c r="H3012" t="s">
        <v>74</v>
      </c>
      <c r="I3012" t="s">
        <v>49820</v>
      </c>
      <c r="J3012" t="s">
        <v>4500</v>
      </c>
      <c r="K3012" t="s">
        <v>74</v>
      </c>
      <c r="L3012" t="s">
        <v>74</v>
      </c>
      <c r="M3012" t="s">
        <v>78</v>
      </c>
      <c r="N3012" t="s">
        <v>79</v>
      </c>
      <c r="O3012" t="s">
        <v>74</v>
      </c>
      <c r="P3012" t="s">
        <v>74</v>
      </c>
      <c r="Q3012" t="s">
        <v>74</v>
      </c>
      <c r="R3012" t="s">
        <v>74</v>
      </c>
      <c r="S3012" t="s">
        <v>74</v>
      </c>
      <c r="T3012" t="s">
        <v>74</v>
      </c>
      <c r="U3012" t="s">
        <v>74</v>
      </c>
      <c r="V3012" t="s">
        <v>49821</v>
      </c>
      <c r="W3012" t="s">
        <v>49822</v>
      </c>
      <c r="X3012" t="s">
        <v>49823</v>
      </c>
      <c r="Y3012" t="s">
        <v>49824</v>
      </c>
      <c r="Z3012" t="s">
        <v>49825</v>
      </c>
      <c r="AA3012" t="s">
        <v>74</v>
      </c>
      <c r="AB3012" t="s">
        <v>49826</v>
      </c>
      <c r="AC3012" t="s">
        <v>74</v>
      </c>
      <c r="AD3012" t="s">
        <v>74</v>
      </c>
      <c r="AE3012" t="s">
        <v>74</v>
      </c>
      <c r="AF3012" t="s">
        <v>74</v>
      </c>
      <c r="AG3012">
        <v>39</v>
      </c>
      <c r="AH3012">
        <v>10</v>
      </c>
      <c r="AI3012">
        <v>11</v>
      </c>
      <c r="AJ3012">
        <v>0</v>
      </c>
      <c r="AK3012">
        <v>30</v>
      </c>
      <c r="AL3012" t="s">
        <v>479</v>
      </c>
      <c r="AM3012" t="s">
        <v>480</v>
      </c>
      <c r="AN3012" t="s">
        <v>481</v>
      </c>
      <c r="AO3012" t="s">
        <v>4509</v>
      </c>
      <c r="AP3012" t="s">
        <v>4510</v>
      </c>
      <c r="AQ3012" t="s">
        <v>74</v>
      </c>
      <c r="AR3012" t="s">
        <v>4511</v>
      </c>
      <c r="AS3012" t="s">
        <v>4512</v>
      </c>
      <c r="AT3012" t="s">
        <v>1540</v>
      </c>
      <c r="AU3012">
        <v>2020</v>
      </c>
      <c r="AV3012">
        <v>20</v>
      </c>
      <c r="AW3012">
        <v>2</v>
      </c>
      <c r="AX3012" t="s">
        <v>74</v>
      </c>
      <c r="AY3012" t="s">
        <v>74</v>
      </c>
      <c r="AZ3012" t="s">
        <v>74</v>
      </c>
      <c r="BA3012" t="s">
        <v>74</v>
      </c>
      <c r="BB3012" t="s">
        <v>74</v>
      </c>
      <c r="BC3012" t="s">
        <v>74</v>
      </c>
      <c r="BD3012" t="s">
        <v>49827</v>
      </c>
      <c r="BE3012" t="s">
        <v>49828</v>
      </c>
      <c r="BF3012" t="str">
        <f>HYPERLINK("http://dx.doi.org/10.1002/pa.2034","http://dx.doi.org/10.1002/pa.2034")</f>
        <v>http://dx.doi.org/10.1002/pa.2034</v>
      </c>
      <c r="BG3012" t="s">
        <v>74</v>
      </c>
      <c r="BH3012" t="s">
        <v>7700</v>
      </c>
      <c r="BI3012">
        <v>9</v>
      </c>
      <c r="BJ3012" t="s">
        <v>3868</v>
      </c>
      <c r="BK3012" t="s">
        <v>313</v>
      </c>
      <c r="BL3012" t="s">
        <v>3868</v>
      </c>
      <c r="BM3012" t="s">
        <v>49829</v>
      </c>
      <c r="BN3012" t="s">
        <v>74</v>
      </c>
      <c r="BO3012" t="s">
        <v>74</v>
      </c>
      <c r="BP3012" t="s">
        <v>74</v>
      </c>
      <c r="BQ3012" t="s">
        <v>74</v>
      </c>
      <c r="BR3012" t="s">
        <v>102</v>
      </c>
      <c r="BS3012" t="s">
        <v>49830</v>
      </c>
      <c r="BT3012" t="str">
        <f>HYPERLINK("https%3A%2F%2Fwww.webofscience.com%2Fwos%2Fwoscc%2Ffull-record%2FWOS:000496996400001","View Full Record in Web of Science")</f>
        <v>View Full Record in Web of Science</v>
      </c>
    </row>
    <row r="3013" spans="1:72" x14ac:dyDescent="0.25">
      <c r="A3013" t="s">
        <v>72</v>
      </c>
      <c r="B3013" t="s">
        <v>49831</v>
      </c>
      <c r="C3013" t="s">
        <v>74</v>
      </c>
      <c r="D3013" t="s">
        <v>74</v>
      </c>
      <c r="E3013" t="s">
        <v>74</v>
      </c>
      <c r="F3013" t="s">
        <v>49832</v>
      </c>
      <c r="G3013" t="s">
        <v>74</v>
      </c>
      <c r="H3013" t="s">
        <v>74</v>
      </c>
      <c r="I3013" t="s">
        <v>49833</v>
      </c>
      <c r="J3013" t="s">
        <v>8787</v>
      </c>
      <c r="K3013" t="s">
        <v>74</v>
      </c>
      <c r="L3013" t="s">
        <v>74</v>
      </c>
      <c r="M3013" t="s">
        <v>78</v>
      </c>
      <c r="N3013" t="s">
        <v>1766</v>
      </c>
      <c r="O3013" t="s">
        <v>74</v>
      </c>
      <c r="P3013" t="s">
        <v>74</v>
      </c>
      <c r="Q3013" t="s">
        <v>74</v>
      </c>
      <c r="R3013" t="s">
        <v>74</v>
      </c>
      <c r="S3013" t="s">
        <v>74</v>
      </c>
      <c r="T3013" t="s">
        <v>74</v>
      </c>
      <c r="U3013" t="s">
        <v>49834</v>
      </c>
      <c r="V3013" t="s">
        <v>49835</v>
      </c>
      <c r="W3013" t="s">
        <v>49836</v>
      </c>
      <c r="X3013" t="s">
        <v>15381</v>
      </c>
      <c r="Y3013" t="s">
        <v>49837</v>
      </c>
      <c r="Z3013" t="s">
        <v>41985</v>
      </c>
      <c r="AA3013" t="s">
        <v>74</v>
      </c>
      <c r="AB3013" t="s">
        <v>74</v>
      </c>
      <c r="AC3013" t="s">
        <v>49838</v>
      </c>
      <c r="AD3013" t="s">
        <v>49839</v>
      </c>
      <c r="AE3013" t="s">
        <v>49840</v>
      </c>
      <c r="AF3013" t="s">
        <v>74</v>
      </c>
      <c r="AG3013">
        <v>62</v>
      </c>
      <c r="AH3013">
        <v>2</v>
      </c>
      <c r="AI3013">
        <v>4</v>
      </c>
      <c r="AJ3013">
        <v>2</v>
      </c>
      <c r="AK3013">
        <v>5</v>
      </c>
      <c r="AL3013" t="s">
        <v>479</v>
      </c>
      <c r="AM3013" t="s">
        <v>480</v>
      </c>
      <c r="AN3013" t="s">
        <v>481</v>
      </c>
      <c r="AO3013" t="s">
        <v>74</v>
      </c>
      <c r="AP3013" t="s">
        <v>8792</v>
      </c>
      <c r="AQ3013" t="s">
        <v>74</v>
      </c>
      <c r="AR3013" t="s">
        <v>8793</v>
      </c>
      <c r="AS3013" t="s">
        <v>8794</v>
      </c>
      <c r="AT3013" t="s">
        <v>605</v>
      </c>
      <c r="AU3013">
        <v>2020</v>
      </c>
      <c r="AV3013">
        <v>16</v>
      </c>
      <c r="AW3013">
        <v>1</v>
      </c>
      <c r="AX3013" t="s">
        <v>74</v>
      </c>
      <c r="AY3013" t="s">
        <v>74</v>
      </c>
      <c r="AZ3013" t="s">
        <v>74</v>
      </c>
      <c r="BA3013" t="s">
        <v>74</v>
      </c>
      <c r="BB3013" t="s">
        <v>74</v>
      </c>
      <c r="BC3013" t="s">
        <v>74</v>
      </c>
      <c r="BD3013" t="s">
        <v>39101</v>
      </c>
      <c r="BE3013" t="s">
        <v>49841</v>
      </c>
      <c r="BF3013" t="str">
        <f>HYPERLINK("http://dx.doi.org/10.1002/cl2.1071","http://dx.doi.org/10.1002/cl2.1071")</f>
        <v>http://dx.doi.org/10.1002/cl2.1071</v>
      </c>
      <c r="BG3013" t="s">
        <v>74</v>
      </c>
      <c r="BH3013" t="s">
        <v>74</v>
      </c>
      <c r="BI3013">
        <v>27</v>
      </c>
      <c r="BJ3013" t="s">
        <v>364</v>
      </c>
      <c r="BK3013" t="s">
        <v>313</v>
      </c>
      <c r="BL3013" t="s">
        <v>365</v>
      </c>
      <c r="BM3013" t="s">
        <v>49842</v>
      </c>
      <c r="BN3013">
        <v>37131976</v>
      </c>
      <c r="BO3013" t="s">
        <v>916</v>
      </c>
      <c r="BP3013" t="s">
        <v>74</v>
      </c>
      <c r="BQ3013" t="s">
        <v>74</v>
      </c>
      <c r="BR3013" t="s">
        <v>102</v>
      </c>
      <c r="BS3013" t="s">
        <v>49843</v>
      </c>
      <c r="BT3013" t="str">
        <f>HYPERLINK("https%3A%2F%2Fwww.webofscience.com%2Fwos%2Fwoscc%2Ffull-record%2FWOS:000632291900006","View Full Record in Web of Science")</f>
        <v>View Full Record in Web of Science</v>
      </c>
    </row>
    <row r="3014" spans="1:72" x14ac:dyDescent="0.25">
      <c r="A3014" t="s">
        <v>72</v>
      </c>
      <c r="B3014" t="s">
        <v>49844</v>
      </c>
      <c r="C3014" t="s">
        <v>74</v>
      </c>
      <c r="D3014" t="s">
        <v>74</v>
      </c>
      <c r="E3014" t="s">
        <v>74</v>
      </c>
      <c r="F3014" t="s">
        <v>49845</v>
      </c>
      <c r="G3014" t="s">
        <v>74</v>
      </c>
      <c r="H3014" t="s">
        <v>74</v>
      </c>
      <c r="I3014" t="s">
        <v>49846</v>
      </c>
      <c r="J3014" t="s">
        <v>11655</v>
      </c>
      <c r="K3014" t="s">
        <v>74</v>
      </c>
      <c r="L3014" t="s">
        <v>74</v>
      </c>
      <c r="M3014" t="s">
        <v>78</v>
      </c>
      <c r="N3014" t="s">
        <v>79</v>
      </c>
      <c r="O3014" t="s">
        <v>74</v>
      </c>
      <c r="P3014" t="s">
        <v>74</v>
      </c>
      <c r="Q3014" t="s">
        <v>74</v>
      </c>
      <c r="R3014" t="s">
        <v>74</v>
      </c>
      <c r="S3014" t="s">
        <v>74</v>
      </c>
      <c r="T3014" t="s">
        <v>49847</v>
      </c>
      <c r="U3014" t="s">
        <v>49848</v>
      </c>
      <c r="V3014" t="s">
        <v>49849</v>
      </c>
      <c r="W3014" t="s">
        <v>49850</v>
      </c>
      <c r="X3014" t="s">
        <v>40348</v>
      </c>
      <c r="Y3014" t="s">
        <v>49851</v>
      </c>
      <c r="Z3014" t="s">
        <v>49852</v>
      </c>
      <c r="AA3014" t="s">
        <v>74</v>
      </c>
      <c r="AB3014" t="s">
        <v>74</v>
      </c>
      <c r="AC3014" t="s">
        <v>74</v>
      </c>
      <c r="AD3014" t="s">
        <v>74</v>
      </c>
      <c r="AE3014" t="s">
        <v>74</v>
      </c>
      <c r="AF3014" t="s">
        <v>74</v>
      </c>
      <c r="AG3014">
        <v>38</v>
      </c>
      <c r="AH3014">
        <v>13</v>
      </c>
      <c r="AI3014">
        <v>15</v>
      </c>
      <c r="AJ3014">
        <v>1</v>
      </c>
      <c r="AK3014">
        <v>41</v>
      </c>
      <c r="AL3014" t="s">
        <v>503</v>
      </c>
      <c r="AM3014" t="s">
        <v>151</v>
      </c>
      <c r="AN3014" t="s">
        <v>504</v>
      </c>
      <c r="AO3014" t="s">
        <v>11665</v>
      </c>
      <c r="AP3014" t="s">
        <v>11666</v>
      </c>
      <c r="AQ3014" t="s">
        <v>74</v>
      </c>
      <c r="AR3014" t="s">
        <v>11667</v>
      </c>
      <c r="AS3014" t="s">
        <v>11668</v>
      </c>
      <c r="AT3014" t="s">
        <v>208</v>
      </c>
      <c r="AU3014">
        <v>2014</v>
      </c>
      <c r="AV3014">
        <v>67</v>
      </c>
      <c r="AW3014">
        <v>1</v>
      </c>
      <c r="AX3014" t="s">
        <v>74</v>
      </c>
      <c r="AY3014" t="s">
        <v>74</v>
      </c>
      <c r="AZ3014" t="s">
        <v>74</v>
      </c>
      <c r="BA3014" t="s">
        <v>74</v>
      </c>
      <c r="BB3014">
        <v>2903</v>
      </c>
      <c r="BC3014">
        <v>2910</v>
      </c>
      <c r="BD3014" t="s">
        <v>74</v>
      </c>
      <c r="BE3014" t="s">
        <v>49853</v>
      </c>
      <c r="BF3014" t="str">
        <f>HYPERLINK("http://dx.doi.org/10.1016/j.jbusres.2012.06.003","http://dx.doi.org/10.1016/j.jbusres.2012.06.003")</f>
        <v>http://dx.doi.org/10.1016/j.jbusres.2012.06.003</v>
      </c>
      <c r="BG3014" t="s">
        <v>74</v>
      </c>
      <c r="BH3014" t="s">
        <v>74</v>
      </c>
      <c r="BI3014">
        <v>8</v>
      </c>
      <c r="BJ3014" t="s">
        <v>418</v>
      </c>
      <c r="BK3014" t="s">
        <v>99</v>
      </c>
      <c r="BL3014" t="s">
        <v>100</v>
      </c>
      <c r="BM3014" t="s">
        <v>49854</v>
      </c>
      <c r="BN3014" t="s">
        <v>74</v>
      </c>
      <c r="BO3014" t="s">
        <v>74</v>
      </c>
      <c r="BP3014" t="s">
        <v>74</v>
      </c>
      <c r="BQ3014" t="s">
        <v>74</v>
      </c>
      <c r="BR3014" t="s">
        <v>102</v>
      </c>
      <c r="BS3014" t="s">
        <v>49855</v>
      </c>
      <c r="BT3014" t="str">
        <f>HYPERLINK("https%3A%2F%2Fwww.webofscience.com%2Fwos%2Fwoscc%2Ffull-record%2FWOS:000327361700032","View Full Record in Web of Science")</f>
        <v>View Full Record in Web of Science</v>
      </c>
    </row>
    <row r="3015" spans="1:72" x14ac:dyDescent="0.25">
      <c r="A3015" t="s">
        <v>72</v>
      </c>
      <c r="B3015" t="s">
        <v>49856</v>
      </c>
      <c r="C3015" t="s">
        <v>74</v>
      </c>
      <c r="D3015" t="s">
        <v>74</v>
      </c>
      <c r="E3015" t="s">
        <v>74</v>
      </c>
      <c r="F3015" t="s">
        <v>49857</v>
      </c>
      <c r="G3015" t="s">
        <v>74</v>
      </c>
      <c r="H3015" t="s">
        <v>74</v>
      </c>
      <c r="I3015" t="s">
        <v>49858</v>
      </c>
      <c r="J3015" t="s">
        <v>29719</v>
      </c>
      <c r="K3015" t="s">
        <v>74</v>
      </c>
      <c r="L3015" t="s">
        <v>74</v>
      </c>
      <c r="M3015" t="s">
        <v>78</v>
      </c>
      <c r="N3015" t="s">
        <v>79</v>
      </c>
      <c r="O3015" t="s">
        <v>74</v>
      </c>
      <c r="P3015" t="s">
        <v>74</v>
      </c>
      <c r="Q3015" t="s">
        <v>74</v>
      </c>
      <c r="R3015" t="s">
        <v>74</v>
      </c>
      <c r="S3015" t="s">
        <v>74</v>
      </c>
      <c r="T3015" t="s">
        <v>74</v>
      </c>
      <c r="U3015" t="s">
        <v>49859</v>
      </c>
      <c r="V3015" t="s">
        <v>49860</v>
      </c>
      <c r="W3015" t="s">
        <v>74</v>
      </c>
      <c r="X3015" t="s">
        <v>74</v>
      </c>
      <c r="Y3015" t="s">
        <v>74</v>
      </c>
      <c r="Z3015" t="s">
        <v>74</v>
      </c>
      <c r="AA3015" t="s">
        <v>49861</v>
      </c>
      <c r="AB3015" t="s">
        <v>49862</v>
      </c>
      <c r="AC3015" t="s">
        <v>74</v>
      </c>
      <c r="AD3015" t="s">
        <v>74</v>
      </c>
      <c r="AE3015" t="s">
        <v>74</v>
      </c>
      <c r="AF3015" t="s">
        <v>74</v>
      </c>
      <c r="AG3015">
        <v>120</v>
      </c>
      <c r="AH3015">
        <v>193</v>
      </c>
      <c r="AI3015">
        <v>266</v>
      </c>
      <c r="AJ3015">
        <v>1</v>
      </c>
      <c r="AK3015">
        <v>132</v>
      </c>
      <c r="AL3015" t="s">
        <v>2551</v>
      </c>
      <c r="AM3015" t="s">
        <v>231</v>
      </c>
      <c r="AN3015" t="s">
        <v>2552</v>
      </c>
      <c r="AO3015" t="s">
        <v>29716</v>
      </c>
      <c r="AP3015" t="s">
        <v>29715</v>
      </c>
      <c r="AQ3015" t="s">
        <v>74</v>
      </c>
      <c r="AR3015" t="s">
        <v>29714</v>
      </c>
      <c r="AS3015" t="s">
        <v>29713</v>
      </c>
      <c r="AT3015" t="s">
        <v>289</v>
      </c>
      <c r="AU3015">
        <v>2011</v>
      </c>
      <c r="AV3015">
        <v>26</v>
      </c>
      <c r="AW3015">
        <v>2</v>
      </c>
      <c r="AX3015" t="s">
        <v>74</v>
      </c>
      <c r="AY3015" t="s">
        <v>74</v>
      </c>
      <c r="AZ3015" t="s">
        <v>74</v>
      </c>
      <c r="BA3015" t="s">
        <v>74</v>
      </c>
      <c r="BB3015">
        <v>237</v>
      </c>
      <c r="BC3015">
        <v>257</v>
      </c>
      <c r="BD3015" t="s">
        <v>74</v>
      </c>
      <c r="BE3015" t="s">
        <v>49863</v>
      </c>
      <c r="BF3015" t="str">
        <f>HYPERLINK("http://dx.doi.org/10.1093/wbro/lkp032","http://dx.doi.org/10.1093/wbro/lkp032")</f>
        <v>http://dx.doi.org/10.1093/wbro/lkp032</v>
      </c>
      <c r="BG3015" t="s">
        <v>74</v>
      </c>
      <c r="BH3015" t="s">
        <v>74</v>
      </c>
      <c r="BI3015">
        <v>21</v>
      </c>
      <c r="BJ3015" t="s">
        <v>701</v>
      </c>
      <c r="BK3015" t="s">
        <v>99</v>
      </c>
      <c r="BL3015" t="s">
        <v>702</v>
      </c>
      <c r="BM3015" t="s">
        <v>49864</v>
      </c>
      <c r="BN3015" t="s">
        <v>74</v>
      </c>
      <c r="BO3015" t="s">
        <v>3694</v>
      </c>
      <c r="BP3015" t="s">
        <v>74</v>
      </c>
      <c r="BQ3015" t="s">
        <v>74</v>
      </c>
      <c r="BR3015" t="s">
        <v>102</v>
      </c>
      <c r="BS3015" t="s">
        <v>49865</v>
      </c>
      <c r="BT3015" t="str">
        <f>HYPERLINK("https%3A%2F%2Fwww.webofscience.com%2Fwos%2Fwoscc%2Ffull-record%2FWOS:000293640300005","View Full Record in Web of Science")</f>
        <v>View Full Record in Web of Science</v>
      </c>
    </row>
    <row r="3016" spans="1:72" x14ac:dyDescent="0.25">
      <c r="A3016" t="s">
        <v>72</v>
      </c>
      <c r="B3016" t="s">
        <v>49866</v>
      </c>
      <c r="C3016" t="s">
        <v>74</v>
      </c>
      <c r="D3016" t="s">
        <v>74</v>
      </c>
      <c r="E3016" t="s">
        <v>74</v>
      </c>
      <c r="F3016" t="s">
        <v>49867</v>
      </c>
      <c r="G3016" t="s">
        <v>74</v>
      </c>
      <c r="H3016" t="s">
        <v>74</v>
      </c>
      <c r="I3016" t="s">
        <v>49868</v>
      </c>
      <c r="J3016" t="s">
        <v>1963</v>
      </c>
      <c r="K3016" t="s">
        <v>74</v>
      </c>
      <c r="L3016" t="s">
        <v>74</v>
      </c>
      <c r="M3016" t="s">
        <v>78</v>
      </c>
      <c r="N3016" t="s">
        <v>79</v>
      </c>
      <c r="O3016" t="s">
        <v>74</v>
      </c>
      <c r="P3016" t="s">
        <v>74</v>
      </c>
      <c r="Q3016" t="s">
        <v>74</v>
      </c>
      <c r="R3016" t="s">
        <v>74</v>
      </c>
      <c r="S3016" t="s">
        <v>74</v>
      </c>
      <c r="T3016" t="s">
        <v>49869</v>
      </c>
      <c r="U3016" t="s">
        <v>49870</v>
      </c>
      <c r="V3016" t="s">
        <v>49871</v>
      </c>
      <c r="W3016" t="s">
        <v>49872</v>
      </c>
      <c r="X3016" t="s">
        <v>27027</v>
      </c>
      <c r="Y3016" t="s">
        <v>49873</v>
      </c>
      <c r="Z3016" t="s">
        <v>49874</v>
      </c>
      <c r="AA3016" t="s">
        <v>49875</v>
      </c>
      <c r="AB3016" t="s">
        <v>49876</v>
      </c>
      <c r="AC3016" t="s">
        <v>74</v>
      </c>
      <c r="AD3016" t="s">
        <v>74</v>
      </c>
      <c r="AE3016" t="s">
        <v>74</v>
      </c>
      <c r="AF3016" t="s">
        <v>74</v>
      </c>
      <c r="AG3016">
        <v>79</v>
      </c>
      <c r="AH3016">
        <v>10</v>
      </c>
      <c r="AI3016">
        <v>12</v>
      </c>
      <c r="AJ3016">
        <v>1</v>
      </c>
      <c r="AK3016">
        <v>20</v>
      </c>
      <c r="AL3016" t="s">
        <v>332</v>
      </c>
      <c r="AM3016" t="s">
        <v>333</v>
      </c>
      <c r="AN3016" t="s">
        <v>334</v>
      </c>
      <c r="AO3016" t="s">
        <v>1975</v>
      </c>
      <c r="AP3016" t="s">
        <v>1976</v>
      </c>
      <c r="AQ3016" t="s">
        <v>74</v>
      </c>
      <c r="AR3016" t="s">
        <v>1977</v>
      </c>
      <c r="AS3016" t="s">
        <v>1978</v>
      </c>
      <c r="AT3016" t="s">
        <v>14094</v>
      </c>
      <c r="AU3016">
        <v>2020</v>
      </c>
      <c r="AV3016">
        <v>52</v>
      </c>
      <c r="AW3016">
        <v>9</v>
      </c>
      <c r="AX3016" t="s">
        <v>74</v>
      </c>
      <c r="AY3016" t="s">
        <v>74</v>
      </c>
      <c r="AZ3016" t="s">
        <v>74</v>
      </c>
      <c r="BA3016" t="s">
        <v>74</v>
      </c>
      <c r="BB3016">
        <v>929</v>
      </c>
      <c r="BC3016">
        <v>950</v>
      </c>
      <c r="BD3016" t="s">
        <v>74</v>
      </c>
      <c r="BE3016" t="s">
        <v>49877</v>
      </c>
      <c r="BF3016" t="str">
        <f>HYPERLINK("http://dx.doi.org/10.1080/00036846.2019.1646876","http://dx.doi.org/10.1080/00036846.2019.1646876")</f>
        <v>http://dx.doi.org/10.1080/00036846.2019.1646876</v>
      </c>
      <c r="BG3016" t="s">
        <v>74</v>
      </c>
      <c r="BH3016" t="s">
        <v>10482</v>
      </c>
      <c r="BI3016">
        <v>22</v>
      </c>
      <c r="BJ3016" t="s">
        <v>291</v>
      </c>
      <c r="BK3016" t="s">
        <v>99</v>
      </c>
      <c r="BL3016" t="s">
        <v>100</v>
      </c>
      <c r="BM3016" t="s">
        <v>49878</v>
      </c>
      <c r="BN3016" t="s">
        <v>74</v>
      </c>
      <c r="BO3016" t="s">
        <v>1696</v>
      </c>
      <c r="BP3016" t="s">
        <v>74</v>
      </c>
      <c r="BQ3016" t="s">
        <v>74</v>
      </c>
      <c r="BR3016" t="s">
        <v>102</v>
      </c>
      <c r="BS3016" t="s">
        <v>49879</v>
      </c>
      <c r="BT3016" t="str">
        <f>HYPERLINK("https%3A%2F%2Fwww.webofscience.com%2Fwos%2Fwoscc%2Ffull-record%2FWOS:000481279300001","View Full Record in Web of Science")</f>
        <v>View Full Record in Web of Science</v>
      </c>
    </row>
    <row r="3017" spans="1:72" x14ac:dyDescent="0.25">
      <c r="A3017" t="s">
        <v>72</v>
      </c>
      <c r="B3017" t="s">
        <v>49880</v>
      </c>
      <c r="C3017" t="s">
        <v>74</v>
      </c>
      <c r="D3017" t="s">
        <v>74</v>
      </c>
      <c r="E3017" t="s">
        <v>74</v>
      </c>
      <c r="F3017" t="s">
        <v>49881</v>
      </c>
      <c r="G3017" t="s">
        <v>74</v>
      </c>
      <c r="H3017" t="s">
        <v>74</v>
      </c>
      <c r="I3017" t="s">
        <v>49882</v>
      </c>
      <c r="J3017" t="s">
        <v>23346</v>
      </c>
      <c r="K3017" t="s">
        <v>74</v>
      </c>
      <c r="L3017" t="s">
        <v>74</v>
      </c>
      <c r="M3017" t="s">
        <v>78</v>
      </c>
      <c r="N3017" t="s">
        <v>79</v>
      </c>
      <c r="O3017" t="s">
        <v>74</v>
      </c>
      <c r="P3017" t="s">
        <v>74</v>
      </c>
      <c r="Q3017" t="s">
        <v>74</v>
      </c>
      <c r="R3017" t="s">
        <v>74</v>
      </c>
      <c r="S3017" t="s">
        <v>74</v>
      </c>
      <c r="T3017" t="s">
        <v>49883</v>
      </c>
      <c r="U3017" t="s">
        <v>49884</v>
      </c>
      <c r="V3017" t="s">
        <v>49885</v>
      </c>
      <c r="W3017" t="s">
        <v>49886</v>
      </c>
      <c r="X3017" t="s">
        <v>49887</v>
      </c>
      <c r="Y3017" t="s">
        <v>49888</v>
      </c>
      <c r="Z3017" t="s">
        <v>49889</v>
      </c>
      <c r="AA3017" t="s">
        <v>49890</v>
      </c>
      <c r="AB3017" t="s">
        <v>74</v>
      </c>
      <c r="AC3017" t="s">
        <v>74</v>
      </c>
      <c r="AD3017" t="s">
        <v>74</v>
      </c>
      <c r="AE3017" t="s">
        <v>74</v>
      </c>
      <c r="AF3017" t="s">
        <v>74</v>
      </c>
      <c r="AG3017">
        <v>82</v>
      </c>
      <c r="AH3017">
        <v>4</v>
      </c>
      <c r="AI3017">
        <v>5</v>
      </c>
      <c r="AJ3017">
        <v>0</v>
      </c>
      <c r="AK3017">
        <v>12</v>
      </c>
      <c r="AL3017" t="s">
        <v>89</v>
      </c>
      <c r="AM3017" t="s">
        <v>90</v>
      </c>
      <c r="AN3017" t="s">
        <v>91</v>
      </c>
      <c r="AO3017" t="s">
        <v>23340</v>
      </c>
      <c r="AP3017" t="s">
        <v>23339</v>
      </c>
      <c r="AQ3017" t="s">
        <v>74</v>
      </c>
      <c r="AR3017" t="s">
        <v>23338</v>
      </c>
      <c r="AS3017" t="s">
        <v>23337</v>
      </c>
      <c r="AT3017" t="s">
        <v>11326</v>
      </c>
      <c r="AU3017">
        <v>2022</v>
      </c>
      <c r="AV3017">
        <v>18</v>
      </c>
      <c r="AW3017">
        <v>2</v>
      </c>
      <c r="AX3017" t="s">
        <v>74</v>
      </c>
      <c r="AY3017" t="s">
        <v>74</v>
      </c>
      <c r="AZ3017" t="s">
        <v>74</v>
      </c>
      <c r="BA3017" t="s">
        <v>74</v>
      </c>
      <c r="BB3017">
        <v>240</v>
      </c>
      <c r="BC3017">
        <v>265</v>
      </c>
      <c r="BD3017" t="s">
        <v>74</v>
      </c>
      <c r="BE3017" t="s">
        <v>49891</v>
      </c>
      <c r="BF3017" t="str">
        <f>HYPERLINK("http://dx.doi.org/10.1108/SRJ-11-2019-0379","http://dx.doi.org/10.1108/SRJ-11-2019-0379")</f>
        <v>http://dx.doi.org/10.1108/SRJ-11-2019-0379</v>
      </c>
      <c r="BG3017" t="s">
        <v>74</v>
      </c>
      <c r="BH3017" t="s">
        <v>11376</v>
      </c>
      <c r="BI3017">
        <v>26</v>
      </c>
      <c r="BJ3017" t="s">
        <v>583</v>
      </c>
      <c r="BK3017" t="s">
        <v>313</v>
      </c>
      <c r="BL3017" t="s">
        <v>100</v>
      </c>
      <c r="BM3017" t="s">
        <v>49892</v>
      </c>
      <c r="BN3017" t="s">
        <v>74</v>
      </c>
      <c r="BO3017" t="s">
        <v>74</v>
      </c>
      <c r="BP3017" t="s">
        <v>74</v>
      </c>
      <c r="BQ3017" t="s">
        <v>74</v>
      </c>
      <c r="BR3017" t="s">
        <v>102</v>
      </c>
      <c r="BS3017" t="s">
        <v>49893</v>
      </c>
      <c r="BT3017" t="str">
        <f>HYPERLINK("https%3A%2F%2Fwww.webofscience.com%2Fwos%2Fwoscc%2Ffull-record%2FWOS:000616125500001","View Full Record in Web of Science")</f>
        <v>View Full Record in Web of Science</v>
      </c>
    </row>
    <row r="3018" spans="1:72" x14ac:dyDescent="0.25">
      <c r="A3018" t="s">
        <v>72</v>
      </c>
      <c r="B3018" t="s">
        <v>49894</v>
      </c>
      <c r="C3018" t="s">
        <v>74</v>
      </c>
      <c r="D3018" t="s">
        <v>74</v>
      </c>
      <c r="E3018" t="s">
        <v>74</v>
      </c>
      <c r="F3018" t="s">
        <v>49895</v>
      </c>
      <c r="G3018" t="s">
        <v>74</v>
      </c>
      <c r="H3018" t="s">
        <v>74</v>
      </c>
      <c r="I3018" t="s">
        <v>49896</v>
      </c>
      <c r="J3018" t="s">
        <v>9372</v>
      </c>
      <c r="K3018" t="s">
        <v>74</v>
      </c>
      <c r="L3018" t="s">
        <v>74</v>
      </c>
      <c r="M3018" t="s">
        <v>78</v>
      </c>
      <c r="N3018" t="s">
        <v>79</v>
      </c>
      <c r="O3018" t="s">
        <v>74</v>
      </c>
      <c r="P3018" t="s">
        <v>74</v>
      </c>
      <c r="Q3018" t="s">
        <v>74</v>
      </c>
      <c r="R3018" t="s">
        <v>74</v>
      </c>
      <c r="S3018" t="s">
        <v>74</v>
      </c>
      <c r="T3018" t="s">
        <v>49897</v>
      </c>
      <c r="U3018" t="s">
        <v>49898</v>
      </c>
      <c r="V3018" t="s">
        <v>49899</v>
      </c>
      <c r="W3018" t="s">
        <v>49900</v>
      </c>
      <c r="X3018" t="s">
        <v>49901</v>
      </c>
      <c r="Y3018" t="s">
        <v>49902</v>
      </c>
      <c r="Z3018" t="s">
        <v>49903</v>
      </c>
      <c r="AA3018" t="s">
        <v>49904</v>
      </c>
      <c r="AB3018" t="s">
        <v>49905</v>
      </c>
      <c r="AC3018" t="s">
        <v>74</v>
      </c>
      <c r="AD3018" t="s">
        <v>74</v>
      </c>
      <c r="AE3018" t="s">
        <v>74</v>
      </c>
      <c r="AF3018" t="s">
        <v>74</v>
      </c>
      <c r="AG3018">
        <v>101</v>
      </c>
      <c r="AH3018">
        <v>35</v>
      </c>
      <c r="AI3018">
        <v>38</v>
      </c>
      <c r="AJ3018">
        <v>1</v>
      </c>
      <c r="AK3018">
        <v>15</v>
      </c>
      <c r="AL3018" t="s">
        <v>201</v>
      </c>
      <c r="AM3018" t="s">
        <v>202</v>
      </c>
      <c r="AN3018" t="s">
        <v>203</v>
      </c>
      <c r="AO3018" t="s">
        <v>9384</v>
      </c>
      <c r="AP3018" t="s">
        <v>9385</v>
      </c>
      <c r="AQ3018" t="s">
        <v>74</v>
      </c>
      <c r="AR3018" t="s">
        <v>9386</v>
      </c>
      <c r="AS3018" t="s">
        <v>9387</v>
      </c>
      <c r="AT3018" t="s">
        <v>208</v>
      </c>
      <c r="AU3018">
        <v>2023</v>
      </c>
      <c r="AV3018">
        <v>64</v>
      </c>
      <c r="AW3018" t="s">
        <v>74</v>
      </c>
      <c r="AX3018" t="s">
        <v>74</v>
      </c>
      <c r="AY3018" t="s">
        <v>74</v>
      </c>
      <c r="AZ3018" t="s">
        <v>74</v>
      </c>
      <c r="BA3018" t="s">
        <v>74</v>
      </c>
      <c r="BB3018" t="s">
        <v>74</v>
      </c>
      <c r="BC3018" t="s">
        <v>74</v>
      </c>
      <c r="BD3018">
        <v>101880</v>
      </c>
      <c r="BE3018" t="s">
        <v>49906</v>
      </c>
      <c r="BF3018" t="str">
        <f>HYPERLINK("http://dx.doi.org/10.1016/j.ribaf.2023.101880","http://dx.doi.org/10.1016/j.ribaf.2023.101880")</f>
        <v>http://dx.doi.org/10.1016/j.ribaf.2023.101880</v>
      </c>
      <c r="BG3018" t="s">
        <v>74</v>
      </c>
      <c r="BH3018" t="s">
        <v>11288</v>
      </c>
      <c r="BI3018">
        <v>15</v>
      </c>
      <c r="BJ3018" t="s">
        <v>268</v>
      </c>
      <c r="BK3018" t="s">
        <v>99</v>
      </c>
      <c r="BL3018" t="s">
        <v>100</v>
      </c>
      <c r="BM3018" t="s">
        <v>49907</v>
      </c>
      <c r="BN3018" t="s">
        <v>74</v>
      </c>
      <c r="BO3018" t="s">
        <v>466</v>
      </c>
      <c r="BP3018" t="s">
        <v>74</v>
      </c>
      <c r="BQ3018" t="s">
        <v>74</v>
      </c>
      <c r="BR3018" t="s">
        <v>102</v>
      </c>
      <c r="BS3018" t="s">
        <v>49908</v>
      </c>
      <c r="BT3018" t="str">
        <f>HYPERLINK("https%3A%2F%2Fwww.webofscience.com%2Fwos%2Fwoscc%2Ffull-record%2FWOS:000926883200001","View Full Record in Web of Science")</f>
        <v>View Full Record in Web of Science</v>
      </c>
    </row>
    <row r="3019" spans="1:72" x14ac:dyDescent="0.25">
      <c r="A3019" t="s">
        <v>72</v>
      </c>
      <c r="B3019" t="s">
        <v>49909</v>
      </c>
      <c r="C3019" t="s">
        <v>74</v>
      </c>
      <c r="D3019" t="s">
        <v>74</v>
      </c>
      <c r="E3019" t="s">
        <v>74</v>
      </c>
      <c r="F3019" t="s">
        <v>49910</v>
      </c>
      <c r="G3019" t="s">
        <v>74</v>
      </c>
      <c r="H3019" t="s">
        <v>74</v>
      </c>
      <c r="I3019" t="s">
        <v>49911</v>
      </c>
      <c r="J3019" t="s">
        <v>49912</v>
      </c>
      <c r="K3019" t="s">
        <v>74</v>
      </c>
      <c r="L3019" t="s">
        <v>74</v>
      </c>
      <c r="M3019" t="s">
        <v>78</v>
      </c>
      <c r="N3019" t="s">
        <v>79</v>
      </c>
      <c r="O3019" t="s">
        <v>74</v>
      </c>
      <c r="P3019" t="s">
        <v>74</v>
      </c>
      <c r="Q3019" t="s">
        <v>74</v>
      </c>
      <c r="R3019" t="s">
        <v>74</v>
      </c>
      <c r="S3019" t="s">
        <v>74</v>
      </c>
      <c r="T3019" t="s">
        <v>74</v>
      </c>
      <c r="U3019" t="s">
        <v>74</v>
      </c>
      <c r="V3019" t="s">
        <v>49913</v>
      </c>
      <c r="W3019" t="s">
        <v>49914</v>
      </c>
      <c r="X3019" t="s">
        <v>36922</v>
      </c>
      <c r="Y3019" t="s">
        <v>49915</v>
      </c>
      <c r="Z3019" t="s">
        <v>49916</v>
      </c>
      <c r="AA3019" t="s">
        <v>74</v>
      </c>
      <c r="AB3019" t="s">
        <v>74</v>
      </c>
      <c r="AC3019" t="s">
        <v>74</v>
      </c>
      <c r="AD3019" t="s">
        <v>74</v>
      </c>
      <c r="AE3019" t="s">
        <v>74</v>
      </c>
      <c r="AF3019" t="s">
        <v>74</v>
      </c>
      <c r="AG3019">
        <v>4</v>
      </c>
      <c r="AH3019">
        <v>0</v>
      </c>
      <c r="AI3019">
        <v>0</v>
      </c>
      <c r="AJ3019">
        <v>0</v>
      </c>
      <c r="AK3019">
        <v>0</v>
      </c>
      <c r="AL3019" t="s">
        <v>49917</v>
      </c>
      <c r="AM3019" t="s">
        <v>995</v>
      </c>
      <c r="AN3019" t="s">
        <v>49918</v>
      </c>
      <c r="AO3019" t="s">
        <v>49919</v>
      </c>
      <c r="AP3019" t="s">
        <v>49920</v>
      </c>
      <c r="AQ3019" t="s">
        <v>74</v>
      </c>
      <c r="AR3019" t="s">
        <v>49921</v>
      </c>
      <c r="AS3019" t="s">
        <v>49922</v>
      </c>
      <c r="AT3019" t="s">
        <v>1159</v>
      </c>
      <c r="AU3019">
        <v>2025</v>
      </c>
      <c r="AV3019">
        <v>34</v>
      </c>
      <c r="AW3019">
        <v>6</v>
      </c>
      <c r="AX3019" t="s">
        <v>74</v>
      </c>
      <c r="AY3019" t="s">
        <v>74</v>
      </c>
      <c r="AZ3019" t="s">
        <v>74</v>
      </c>
      <c r="BA3019" t="s">
        <v>74</v>
      </c>
      <c r="BB3019">
        <v>34</v>
      </c>
      <c r="BC3019">
        <v>44</v>
      </c>
      <c r="BD3019" t="s">
        <v>74</v>
      </c>
      <c r="BE3019" t="s">
        <v>74</v>
      </c>
      <c r="BF3019" t="s">
        <v>74</v>
      </c>
      <c r="BG3019" t="s">
        <v>74</v>
      </c>
      <c r="BH3019" t="s">
        <v>74</v>
      </c>
      <c r="BI3019">
        <v>11</v>
      </c>
      <c r="BJ3019" t="s">
        <v>268</v>
      </c>
      <c r="BK3019" t="s">
        <v>313</v>
      </c>
      <c r="BL3019" t="s">
        <v>100</v>
      </c>
      <c r="BM3019" t="s">
        <v>49923</v>
      </c>
      <c r="BN3019" t="s">
        <v>74</v>
      </c>
      <c r="BO3019" t="s">
        <v>74</v>
      </c>
      <c r="BP3019" t="s">
        <v>74</v>
      </c>
      <c r="BQ3019" t="s">
        <v>74</v>
      </c>
      <c r="BR3019" t="s">
        <v>102</v>
      </c>
      <c r="BS3019" t="s">
        <v>49924</v>
      </c>
      <c r="BT3019" t="str">
        <f>HYPERLINK("https%3A%2F%2Fwww.webofscience.com%2Fwos%2Fwoscc%2Ffull-record%2FWOS:001615699200003","View Full Record in Web of Science")</f>
        <v>View Full Record in Web of Science</v>
      </c>
    </row>
    <row r="3020" spans="1:72" x14ac:dyDescent="0.25">
      <c r="A3020" t="s">
        <v>72</v>
      </c>
      <c r="B3020" t="s">
        <v>49925</v>
      </c>
      <c r="C3020" t="s">
        <v>74</v>
      </c>
      <c r="D3020" t="s">
        <v>74</v>
      </c>
      <c r="E3020" t="s">
        <v>74</v>
      </c>
      <c r="F3020" t="s">
        <v>49926</v>
      </c>
      <c r="G3020" t="s">
        <v>74</v>
      </c>
      <c r="H3020" t="s">
        <v>74</v>
      </c>
      <c r="I3020" t="s">
        <v>49927</v>
      </c>
      <c r="J3020" t="s">
        <v>10469</v>
      </c>
      <c r="K3020" t="s">
        <v>74</v>
      </c>
      <c r="L3020" t="s">
        <v>74</v>
      </c>
      <c r="M3020" t="s">
        <v>78</v>
      </c>
      <c r="N3020" t="s">
        <v>79</v>
      </c>
      <c r="O3020" t="s">
        <v>74</v>
      </c>
      <c r="P3020" t="s">
        <v>74</v>
      </c>
      <c r="Q3020" t="s">
        <v>74</v>
      </c>
      <c r="R3020" t="s">
        <v>74</v>
      </c>
      <c r="S3020" t="s">
        <v>74</v>
      </c>
      <c r="T3020" t="s">
        <v>49928</v>
      </c>
      <c r="U3020" t="s">
        <v>74</v>
      </c>
      <c r="V3020" t="s">
        <v>49929</v>
      </c>
      <c r="W3020" t="s">
        <v>49930</v>
      </c>
      <c r="X3020" t="s">
        <v>11936</v>
      </c>
      <c r="Y3020" t="s">
        <v>49931</v>
      </c>
      <c r="Z3020" t="s">
        <v>49932</v>
      </c>
      <c r="AA3020" t="s">
        <v>74</v>
      </c>
      <c r="AB3020" t="s">
        <v>74</v>
      </c>
      <c r="AC3020" t="s">
        <v>49933</v>
      </c>
      <c r="AD3020" t="s">
        <v>45532</v>
      </c>
      <c r="AE3020" t="s">
        <v>49934</v>
      </c>
      <c r="AF3020" t="s">
        <v>74</v>
      </c>
      <c r="AG3020">
        <v>40</v>
      </c>
      <c r="AH3020">
        <v>9</v>
      </c>
      <c r="AI3020">
        <v>12</v>
      </c>
      <c r="AJ3020">
        <v>0</v>
      </c>
      <c r="AK3020">
        <v>2</v>
      </c>
      <c r="AL3020" t="s">
        <v>332</v>
      </c>
      <c r="AM3020" t="s">
        <v>333</v>
      </c>
      <c r="AN3020" t="s">
        <v>334</v>
      </c>
      <c r="AO3020" t="s">
        <v>10477</v>
      </c>
      <c r="AP3020" t="s">
        <v>10478</v>
      </c>
      <c r="AQ3020" t="s">
        <v>74</v>
      </c>
      <c r="AR3020" t="s">
        <v>10479</v>
      </c>
      <c r="AS3020" t="s">
        <v>10480</v>
      </c>
      <c r="AT3020" t="s">
        <v>4361</v>
      </c>
      <c r="AU3020">
        <v>2019</v>
      </c>
      <c r="AV3020">
        <v>29</v>
      </c>
      <c r="AW3020">
        <v>8</v>
      </c>
      <c r="AX3020" t="s">
        <v>74</v>
      </c>
      <c r="AY3020" t="s">
        <v>74</v>
      </c>
      <c r="AZ3020" t="s">
        <v>74</v>
      </c>
      <c r="BA3020" t="s">
        <v>74</v>
      </c>
      <c r="BB3020">
        <v>1001</v>
      </c>
      <c r="BC3020">
        <v>1013</v>
      </c>
      <c r="BD3020" t="s">
        <v>74</v>
      </c>
      <c r="BE3020" t="s">
        <v>49935</v>
      </c>
      <c r="BF3020" t="str">
        <f>HYPERLINK("http://dx.doi.org/10.1080/09614524.2019.1653264","http://dx.doi.org/10.1080/09614524.2019.1653264")</f>
        <v>http://dx.doi.org/10.1080/09614524.2019.1653264</v>
      </c>
      <c r="BG3020" t="s">
        <v>74</v>
      </c>
      <c r="BH3020" t="s">
        <v>49936</v>
      </c>
      <c r="BI3020">
        <v>13</v>
      </c>
      <c r="BJ3020" t="s">
        <v>1137</v>
      </c>
      <c r="BK3020" t="s">
        <v>313</v>
      </c>
      <c r="BL3020" t="s">
        <v>1137</v>
      </c>
      <c r="BM3020" t="s">
        <v>10483</v>
      </c>
      <c r="BN3020" t="s">
        <v>74</v>
      </c>
      <c r="BO3020" t="s">
        <v>270</v>
      </c>
      <c r="BP3020" t="s">
        <v>74</v>
      </c>
      <c r="BQ3020" t="s">
        <v>74</v>
      </c>
      <c r="BR3020" t="s">
        <v>102</v>
      </c>
      <c r="BS3020" t="s">
        <v>49937</v>
      </c>
      <c r="BT3020" t="str">
        <f>HYPERLINK("https%3A%2F%2Fwww.webofscience.com%2Fwos%2Fwoscc%2Ffull-record%2FWOS:000490688900001","View Full Record in Web of Science")</f>
        <v>View Full Record in Web of Science</v>
      </c>
    </row>
    <row r="3021" spans="1:72" x14ac:dyDescent="0.25">
      <c r="A3021" t="s">
        <v>72</v>
      </c>
      <c r="B3021" t="s">
        <v>49938</v>
      </c>
      <c r="C3021" t="s">
        <v>74</v>
      </c>
      <c r="D3021" t="s">
        <v>74</v>
      </c>
      <c r="E3021" t="s">
        <v>74</v>
      </c>
      <c r="F3021" t="s">
        <v>49939</v>
      </c>
      <c r="G3021" t="s">
        <v>74</v>
      </c>
      <c r="H3021" t="s">
        <v>74</v>
      </c>
      <c r="I3021" t="s">
        <v>49940</v>
      </c>
      <c r="J3021" t="s">
        <v>4055</v>
      </c>
      <c r="K3021" t="s">
        <v>74</v>
      </c>
      <c r="L3021" t="s">
        <v>74</v>
      </c>
      <c r="M3021" t="s">
        <v>78</v>
      </c>
      <c r="N3021" t="s">
        <v>79</v>
      </c>
      <c r="O3021" t="s">
        <v>74</v>
      </c>
      <c r="P3021" t="s">
        <v>74</v>
      </c>
      <c r="Q3021" t="s">
        <v>74</v>
      </c>
      <c r="R3021" t="s">
        <v>74</v>
      </c>
      <c r="S3021" t="s">
        <v>74</v>
      </c>
      <c r="T3021" t="s">
        <v>49941</v>
      </c>
      <c r="U3021" t="s">
        <v>49942</v>
      </c>
      <c r="V3021" t="s">
        <v>49943</v>
      </c>
      <c r="W3021" t="s">
        <v>49944</v>
      </c>
      <c r="X3021" t="s">
        <v>49945</v>
      </c>
      <c r="Y3021" t="s">
        <v>49946</v>
      </c>
      <c r="Z3021" t="s">
        <v>49947</v>
      </c>
      <c r="AA3021" t="s">
        <v>49948</v>
      </c>
      <c r="AB3021" t="s">
        <v>49949</v>
      </c>
      <c r="AC3021" t="s">
        <v>49950</v>
      </c>
      <c r="AD3021" t="s">
        <v>49950</v>
      </c>
      <c r="AE3021" t="s">
        <v>49951</v>
      </c>
      <c r="AF3021" t="s">
        <v>74</v>
      </c>
      <c r="AG3021">
        <v>66</v>
      </c>
      <c r="AH3021">
        <v>5</v>
      </c>
      <c r="AI3021">
        <v>6</v>
      </c>
      <c r="AJ3021">
        <v>0</v>
      </c>
      <c r="AK3021">
        <v>11</v>
      </c>
      <c r="AL3021" t="s">
        <v>2907</v>
      </c>
      <c r="AM3021" t="s">
        <v>2908</v>
      </c>
      <c r="AN3021" t="s">
        <v>2909</v>
      </c>
      <c r="AO3021" t="s">
        <v>4064</v>
      </c>
      <c r="AP3021" t="s">
        <v>4065</v>
      </c>
      <c r="AQ3021" t="s">
        <v>74</v>
      </c>
      <c r="AR3021" t="s">
        <v>4066</v>
      </c>
      <c r="AS3021" t="s">
        <v>4067</v>
      </c>
      <c r="AT3021" t="s">
        <v>605</v>
      </c>
      <c r="AU3021">
        <v>2024</v>
      </c>
      <c r="AV3021">
        <v>29</v>
      </c>
      <c r="AW3021">
        <v>1</v>
      </c>
      <c r="AX3021" t="s">
        <v>74</v>
      </c>
      <c r="AY3021" t="s">
        <v>74</v>
      </c>
      <c r="AZ3021" t="s">
        <v>74</v>
      </c>
      <c r="BA3021" t="s">
        <v>74</v>
      </c>
      <c r="BB3021">
        <v>1</v>
      </c>
      <c r="BC3021">
        <v>16</v>
      </c>
      <c r="BD3021" t="s">
        <v>74</v>
      </c>
      <c r="BE3021" t="s">
        <v>49952</v>
      </c>
      <c r="BF3021" t="str">
        <f>HYPERLINK("http://dx.doi.org/10.1057/s41264-022-00179-4","http://dx.doi.org/10.1057/s41264-022-00179-4")</f>
        <v>http://dx.doi.org/10.1057/s41264-022-00179-4</v>
      </c>
      <c r="BG3021" t="s">
        <v>74</v>
      </c>
      <c r="BH3021" t="s">
        <v>6014</v>
      </c>
      <c r="BI3021">
        <v>16</v>
      </c>
      <c r="BJ3021" t="s">
        <v>418</v>
      </c>
      <c r="BK3021" t="s">
        <v>313</v>
      </c>
      <c r="BL3021" t="s">
        <v>100</v>
      </c>
      <c r="BM3021" t="s">
        <v>49953</v>
      </c>
      <c r="BN3021" t="s">
        <v>74</v>
      </c>
      <c r="BO3021" t="s">
        <v>270</v>
      </c>
      <c r="BP3021" t="s">
        <v>74</v>
      </c>
      <c r="BQ3021" t="s">
        <v>74</v>
      </c>
      <c r="BR3021" t="s">
        <v>102</v>
      </c>
      <c r="BS3021" t="s">
        <v>49954</v>
      </c>
      <c r="BT3021" t="str">
        <f>HYPERLINK("https%3A%2F%2Fwww.webofscience.com%2Fwos%2Fwoscc%2Ffull-record%2FWOS:000854820700001","View Full Record in Web of Science")</f>
        <v>View Full Record in Web of Science</v>
      </c>
    </row>
    <row r="3022" spans="1:72" x14ac:dyDescent="0.25">
      <c r="A3022" t="s">
        <v>72</v>
      </c>
      <c r="B3022" t="s">
        <v>49955</v>
      </c>
      <c r="C3022" t="s">
        <v>74</v>
      </c>
      <c r="D3022" t="s">
        <v>74</v>
      </c>
      <c r="E3022" t="s">
        <v>74</v>
      </c>
      <c r="F3022" t="s">
        <v>49956</v>
      </c>
      <c r="G3022" t="s">
        <v>74</v>
      </c>
      <c r="H3022" t="s">
        <v>74</v>
      </c>
      <c r="I3022" t="s">
        <v>49957</v>
      </c>
      <c r="J3022" t="s">
        <v>3231</v>
      </c>
      <c r="K3022" t="s">
        <v>74</v>
      </c>
      <c r="L3022" t="s">
        <v>74</v>
      </c>
      <c r="M3022" t="s">
        <v>78</v>
      </c>
      <c r="N3022" t="s">
        <v>79</v>
      </c>
      <c r="O3022" t="s">
        <v>74</v>
      </c>
      <c r="P3022" t="s">
        <v>74</v>
      </c>
      <c r="Q3022" t="s">
        <v>74</v>
      </c>
      <c r="R3022" t="s">
        <v>74</v>
      </c>
      <c r="S3022" t="s">
        <v>74</v>
      </c>
      <c r="T3022" t="s">
        <v>49958</v>
      </c>
      <c r="U3022" t="s">
        <v>49959</v>
      </c>
      <c r="V3022" t="s">
        <v>49960</v>
      </c>
      <c r="W3022" t="s">
        <v>49961</v>
      </c>
      <c r="X3022" t="s">
        <v>49962</v>
      </c>
      <c r="Y3022" t="s">
        <v>49963</v>
      </c>
      <c r="Z3022" t="s">
        <v>49964</v>
      </c>
      <c r="AA3022" t="s">
        <v>49965</v>
      </c>
      <c r="AB3022" t="s">
        <v>74</v>
      </c>
      <c r="AC3022" t="s">
        <v>74</v>
      </c>
      <c r="AD3022" t="s">
        <v>74</v>
      </c>
      <c r="AE3022" t="s">
        <v>74</v>
      </c>
      <c r="AF3022" t="s">
        <v>74</v>
      </c>
      <c r="AG3022">
        <v>168</v>
      </c>
      <c r="AH3022">
        <v>81</v>
      </c>
      <c r="AI3022">
        <v>100</v>
      </c>
      <c r="AJ3022">
        <v>5</v>
      </c>
      <c r="AK3022">
        <v>58</v>
      </c>
      <c r="AL3022" t="s">
        <v>575</v>
      </c>
      <c r="AM3022" t="s">
        <v>576</v>
      </c>
      <c r="AN3022" t="s">
        <v>3242</v>
      </c>
      <c r="AO3022" t="s">
        <v>74</v>
      </c>
      <c r="AP3022" t="s">
        <v>3243</v>
      </c>
      <c r="AQ3022" t="s">
        <v>74</v>
      </c>
      <c r="AR3022" t="s">
        <v>3244</v>
      </c>
      <c r="AS3022" t="s">
        <v>3245</v>
      </c>
      <c r="AT3022" t="s">
        <v>3387</v>
      </c>
      <c r="AU3022">
        <v>2019</v>
      </c>
      <c r="AV3022">
        <v>11</v>
      </c>
      <c r="AW3022">
        <v>13</v>
      </c>
      <c r="AX3022" t="s">
        <v>74</v>
      </c>
      <c r="AY3022" t="s">
        <v>74</v>
      </c>
      <c r="AZ3022" t="s">
        <v>74</v>
      </c>
      <c r="BA3022" t="s">
        <v>74</v>
      </c>
      <c r="BB3022" t="s">
        <v>74</v>
      </c>
      <c r="BC3022" t="s">
        <v>74</v>
      </c>
      <c r="BD3022">
        <v>3639</v>
      </c>
      <c r="BE3022" t="s">
        <v>49966</v>
      </c>
      <c r="BF3022" t="str">
        <f>HYPERLINK("http://dx.doi.org/10.3390/su11133639","http://dx.doi.org/10.3390/su11133639")</f>
        <v>http://dx.doi.org/10.3390/su11133639</v>
      </c>
      <c r="BG3022" t="s">
        <v>74</v>
      </c>
      <c r="BH3022" t="s">
        <v>74</v>
      </c>
      <c r="BI3022">
        <v>33</v>
      </c>
      <c r="BJ3022" t="s">
        <v>3247</v>
      </c>
      <c r="BK3022" t="s">
        <v>2623</v>
      </c>
      <c r="BL3022" t="s">
        <v>3248</v>
      </c>
      <c r="BM3022" t="s">
        <v>49967</v>
      </c>
      <c r="BN3022" t="s">
        <v>74</v>
      </c>
      <c r="BO3022" t="s">
        <v>916</v>
      </c>
      <c r="BP3022" t="s">
        <v>74</v>
      </c>
      <c r="BQ3022" t="s">
        <v>74</v>
      </c>
      <c r="BR3022" t="s">
        <v>102</v>
      </c>
      <c r="BS3022" t="s">
        <v>49968</v>
      </c>
      <c r="BT3022" t="str">
        <f>HYPERLINK("https%3A%2F%2Fwww.webofscience.com%2Fwos%2Fwoscc%2Ffull-record%2FWOS:000477051900138","View Full Record in Web of Science")</f>
        <v>View Full Record in Web of Science</v>
      </c>
    </row>
    <row r="3023" spans="1:72" x14ac:dyDescent="0.25">
      <c r="A3023" t="s">
        <v>72</v>
      </c>
      <c r="B3023" t="s">
        <v>49969</v>
      </c>
      <c r="C3023" t="s">
        <v>74</v>
      </c>
      <c r="D3023" t="s">
        <v>74</v>
      </c>
      <c r="E3023" t="s">
        <v>74</v>
      </c>
      <c r="F3023" t="s">
        <v>49970</v>
      </c>
      <c r="G3023" t="s">
        <v>74</v>
      </c>
      <c r="H3023" t="s">
        <v>74</v>
      </c>
      <c r="I3023" t="s">
        <v>49971</v>
      </c>
      <c r="J3023" t="s">
        <v>424</v>
      </c>
      <c r="K3023" t="s">
        <v>74</v>
      </c>
      <c r="L3023" t="s">
        <v>74</v>
      </c>
      <c r="M3023" t="s">
        <v>78</v>
      </c>
      <c r="N3023" t="s">
        <v>79</v>
      </c>
      <c r="O3023" t="s">
        <v>74</v>
      </c>
      <c r="P3023" t="s">
        <v>74</v>
      </c>
      <c r="Q3023" t="s">
        <v>74</v>
      </c>
      <c r="R3023" t="s">
        <v>74</v>
      </c>
      <c r="S3023" t="s">
        <v>74</v>
      </c>
      <c r="T3023" t="s">
        <v>49972</v>
      </c>
      <c r="U3023" t="s">
        <v>49973</v>
      </c>
      <c r="V3023" t="s">
        <v>49974</v>
      </c>
      <c r="W3023" t="s">
        <v>49975</v>
      </c>
      <c r="X3023" t="s">
        <v>49976</v>
      </c>
      <c r="Y3023" t="s">
        <v>38069</v>
      </c>
      <c r="Z3023" t="s">
        <v>49977</v>
      </c>
      <c r="AA3023" t="s">
        <v>49978</v>
      </c>
      <c r="AB3023" t="s">
        <v>49979</v>
      </c>
      <c r="AC3023" t="s">
        <v>38072</v>
      </c>
      <c r="AD3023" t="s">
        <v>38072</v>
      </c>
      <c r="AE3023" t="s">
        <v>49980</v>
      </c>
      <c r="AF3023" t="s">
        <v>74</v>
      </c>
      <c r="AG3023">
        <v>87</v>
      </c>
      <c r="AH3023">
        <v>1</v>
      </c>
      <c r="AI3023">
        <v>1</v>
      </c>
      <c r="AJ3023">
        <v>2</v>
      </c>
      <c r="AK3023">
        <v>2</v>
      </c>
      <c r="AL3023" t="s">
        <v>89</v>
      </c>
      <c r="AM3023" t="s">
        <v>90</v>
      </c>
      <c r="AN3023" t="s">
        <v>91</v>
      </c>
      <c r="AO3023" t="s">
        <v>436</v>
      </c>
      <c r="AP3023" t="s">
        <v>437</v>
      </c>
      <c r="AQ3023" t="s">
        <v>74</v>
      </c>
      <c r="AR3023" t="s">
        <v>438</v>
      </c>
      <c r="AS3023" t="s">
        <v>439</v>
      </c>
      <c r="AT3023" t="s">
        <v>9129</v>
      </c>
      <c r="AU3023">
        <v>2025</v>
      </c>
      <c r="AV3023">
        <v>43</v>
      </c>
      <c r="AW3023">
        <v>10</v>
      </c>
      <c r="AX3023" t="s">
        <v>74</v>
      </c>
      <c r="AY3023" t="s">
        <v>74</v>
      </c>
      <c r="AZ3023" t="s">
        <v>74</v>
      </c>
      <c r="BA3023" t="s">
        <v>74</v>
      </c>
      <c r="BB3023">
        <v>2185</v>
      </c>
      <c r="BC3023">
        <v>2206</v>
      </c>
      <c r="BD3023" t="s">
        <v>74</v>
      </c>
      <c r="BE3023" t="s">
        <v>49981</v>
      </c>
      <c r="BF3023" t="str">
        <f>HYPERLINK("http://dx.doi.org/10.1108/IJBM-11-2024-0671","http://dx.doi.org/10.1108/IJBM-11-2024-0671")</f>
        <v>http://dx.doi.org/10.1108/IJBM-11-2024-0671</v>
      </c>
      <c r="BG3023" t="s">
        <v>74</v>
      </c>
      <c r="BH3023" t="s">
        <v>7657</v>
      </c>
      <c r="BI3023">
        <v>22</v>
      </c>
      <c r="BJ3023" t="s">
        <v>418</v>
      </c>
      <c r="BK3023" t="s">
        <v>99</v>
      </c>
      <c r="BL3023" t="s">
        <v>100</v>
      </c>
      <c r="BM3023" t="s">
        <v>25868</v>
      </c>
      <c r="BN3023" t="s">
        <v>74</v>
      </c>
      <c r="BO3023" t="s">
        <v>74</v>
      </c>
      <c r="BP3023" t="s">
        <v>74</v>
      </c>
      <c r="BQ3023" t="s">
        <v>74</v>
      </c>
      <c r="BR3023" t="s">
        <v>102</v>
      </c>
      <c r="BS3023" t="s">
        <v>49982</v>
      </c>
      <c r="BT3023" t="str">
        <f>HYPERLINK("https%3A%2F%2Fwww.webofscience.com%2Fwos%2Fwoscc%2Ffull-record%2FWOS:001505612600001","View Full Record in Web of Science")</f>
        <v>View Full Record in Web of Science</v>
      </c>
    </row>
    <row r="3024" spans="1:72" x14ac:dyDescent="0.25">
      <c r="A3024" t="s">
        <v>72</v>
      </c>
      <c r="B3024" t="s">
        <v>1140</v>
      </c>
      <c r="C3024" t="s">
        <v>74</v>
      </c>
      <c r="D3024" t="s">
        <v>74</v>
      </c>
      <c r="E3024" t="s">
        <v>74</v>
      </c>
      <c r="F3024" t="s">
        <v>1141</v>
      </c>
      <c r="G3024" t="s">
        <v>74</v>
      </c>
      <c r="H3024" t="s">
        <v>74</v>
      </c>
      <c r="I3024" t="s">
        <v>49983</v>
      </c>
      <c r="J3024" t="s">
        <v>41447</v>
      </c>
      <c r="K3024" t="s">
        <v>74</v>
      </c>
      <c r="L3024" t="s">
        <v>74</v>
      </c>
      <c r="M3024" t="s">
        <v>78</v>
      </c>
      <c r="N3024" t="s">
        <v>79</v>
      </c>
      <c r="O3024" t="s">
        <v>74</v>
      </c>
      <c r="P3024" t="s">
        <v>74</v>
      </c>
      <c r="Q3024" t="s">
        <v>74</v>
      </c>
      <c r="R3024" t="s">
        <v>74</v>
      </c>
      <c r="S3024" t="s">
        <v>74</v>
      </c>
      <c r="T3024" t="s">
        <v>49984</v>
      </c>
      <c r="U3024" t="s">
        <v>74</v>
      </c>
      <c r="V3024" t="s">
        <v>49985</v>
      </c>
      <c r="W3024" t="s">
        <v>49986</v>
      </c>
      <c r="X3024" t="s">
        <v>1148</v>
      </c>
      <c r="Y3024" t="s">
        <v>3258</v>
      </c>
      <c r="Z3024" t="s">
        <v>49987</v>
      </c>
      <c r="AA3024" t="s">
        <v>49988</v>
      </c>
      <c r="AB3024" t="s">
        <v>49989</v>
      </c>
      <c r="AC3024" t="s">
        <v>74</v>
      </c>
      <c r="AD3024" t="s">
        <v>74</v>
      </c>
      <c r="AE3024" t="s">
        <v>74</v>
      </c>
      <c r="AF3024" t="s">
        <v>74</v>
      </c>
      <c r="AG3024">
        <v>42</v>
      </c>
      <c r="AH3024">
        <v>13</v>
      </c>
      <c r="AI3024">
        <v>18</v>
      </c>
      <c r="AJ3024">
        <v>0</v>
      </c>
      <c r="AK3024">
        <v>7</v>
      </c>
      <c r="AL3024" t="s">
        <v>332</v>
      </c>
      <c r="AM3024" t="s">
        <v>333</v>
      </c>
      <c r="AN3024" t="s">
        <v>49990</v>
      </c>
      <c r="AO3024" t="s">
        <v>41454</v>
      </c>
      <c r="AP3024" t="s">
        <v>41455</v>
      </c>
      <c r="AQ3024" t="s">
        <v>74</v>
      </c>
      <c r="AR3024" t="s">
        <v>41456</v>
      </c>
      <c r="AS3024" t="s">
        <v>41457</v>
      </c>
      <c r="AT3024" t="s">
        <v>34463</v>
      </c>
      <c r="AU3024">
        <v>2016</v>
      </c>
      <c r="AV3024">
        <v>42</v>
      </c>
      <c r="AW3024">
        <v>3</v>
      </c>
      <c r="AX3024" t="s">
        <v>74</v>
      </c>
      <c r="AY3024" t="s">
        <v>74</v>
      </c>
      <c r="AZ3024" t="s">
        <v>74</v>
      </c>
      <c r="BA3024" t="s">
        <v>74</v>
      </c>
      <c r="BB3024">
        <v>412</v>
      </c>
      <c r="BC3024">
        <v>424</v>
      </c>
      <c r="BD3024" t="s">
        <v>74</v>
      </c>
      <c r="BE3024" t="s">
        <v>49991</v>
      </c>
      <c r="BF3024" t="str">
        <f>HYPERLINK("http://dx.doi.org/10.1080/01488376.2016.1147519","http://dx.doi.org/10.1080/01488376.2016.1147519")</f>
        <v>http://dx.doi.org/10.1080/01488376.2016.1147519</v>
      </c>
      <c r="BG3024" t="s">
        <v>74</v>
      </c>
      <c r="BH3024" t="s">
        <v>74</v>
      </c>
      <c r="BI3024">
        <v>13</v>
      </c>
      <c r="BJ3024" t="s">
        <v>2045</v>
      </c>
      <c r="BK3024" t="s">
        <v>99</v>
      </c>
      <c r="BL3024" t="s">
        <v>2045</v>
      </c>
      <c r="BM3024" t="s">
        <v>49992</v>
      </c>
      <c r="BN3024" t="s">
        <v>74</v>
      </c>
      <c r="BO3024" t="s">
        <v>74</v>
      </c>
      <c r="BP3024" t="s">
        <v>74</v>
      </c>
      <c r="BQ3024" t="s">
        <v>74</v>
      </c>
      <c r="BR3024" t="s">
        <v>102</v>
      </c>
      <c r="BS3024" t="s">
        <v>49993</v>
      </c>
      <c r="BT3024" t="str">
        <f>HYPERLINK("https%3A%2F%2Fwww.webofscience.com%2Fwos%2Fwoscc%2Ffull-record%2FWOS:000373853800011","View Full Record in Web of Science")</f>
        <v>View Full Record in Web of Science</v>
      </c>
    </row>
    <row r="3025" spans="1:72" x14ac:dyDescent="0.25">
      <c r="A3025" t="s">
        <v>72</v>
      </c>
      <c r="B3025" t="s">
        <v>49994</v>
      </c>
      <c r="C3025" t="s">
        <v>74</v>
      </c>
      <c r="D3025" t="s">
        <v>74</v>
      </c>
      <c r="E3025" t="s">
        <v>74</v>
      </c>
      <c r="F3025" t="s">
        <v>49995</v>
      </c>
      <c r="G3025" t="s">
        <v>74</v>
      </c>
      <c r="H3025" t="s">
        <v>74</v>
      </c>
      <c r="I3025" t="s">
        <v>49996</v>
      </c>
      <c r="J3025" t="s">
        <v>2309</v>
      </c>
      <c r="K3025" t="s">
        <v>74</v>
      </c>
      <c r="L3025" t="s">
        <v>74</v>
      </c>
      <c r="M3025" t="s">
        <v>78</v>
      </c>
      <c r="N3025" t="s">
        <v>79</v>
      </c>
      <c r="O3025" t="s">
        <v>74</v>
      </c>
      <c r="P3025" t="s">
        <v>74</v>
      </c>
      <c r="Q3025" t="s">
        <v>74</v>
      </c>
      <c r="R3025" t="s">
        <v>74</v>
      </c>
      <c r="S3025" t="s">
        <v>74</v>
      </c>
      <c r="T3025" t="s">
        <v>49997</v>
      </c>
      <c r="U3025" t="s">
        <v>49998</v>
      </c>
      <c r="V3025" t="s">
        <v>49999</v>
      </c>
      <c r="W3025" t="s">
        <v>50000</v>
      </c>
      <c r="X3025" t="s">
        <v>50001</v>
      </c>
      <c r="Y3025" t="s">
        <v>50002</v>
      </c>
      <c r="Z3025" t="s">
        <v>50003</v>
      </c>
      <c r="AA3025" t="s">
        <v>50004</v>
      </c>
      <c r="AB3025" t="s">
        <v>74</v>
      </c>
      <c r="AC3025" t="s">
        <v>50005</v>
      </c>
      <c r="AD3025" t="s">
        <v>50006</v>
      </c>
      <c r="AE3025" t="s">
        <v>50007</v>
      </c>
      <c r="AF3025" t="s">
        <v>74</v>
      </c>
      <c r="AG3025">
        <v>56</v>
      </c>
      <c r="AH3025">
        <v>1</v>
      </c>
      <c r="AI3025">
        <v>1</v>
      </c>
      <c r="AJ3025">
        <v>3</v>
      </c>
      <c r="AK3025">
        <v>6</v>
      </c>
      <c r="AL3025" t="s">
        <v>332</v>
      </c>
      <c r="AM3025" t="s">
        <v>333</v>
      </c>
      <c r="AN3025" t="s">
        <v>334</v>
      </c>
      <c r="AO3025" t="s">
        <v>2322</v>
      </c>
      <c r="AP3025" t="s">
        <v>2323</v>
      </c>
      <c r="AQ3025" t="s">
        <v>74</v>
      </c>
      <c r="AR3025" t="s">
        <v>2324</v>
      </c>
      <c r="AS3025" t="s">
        <v>2325</v>
      </c>
      <c r="AT3025" t="s">
        <v>10107</v>
      </c>
      <c r="AU3025">
        <v>2025</v>
      </c>
      <c r="AV3025">
        <v>61</v>
      </c>
      <c r="AW3025">
        <v>3</v>
      </c>
      <c r="AX3025" t="s">
        <v>74</v>
      </c>
      <c r="AY3025" t="s">
        <v>74</v>
      </c>
      <c r="AZ3025" t="s">
        <v>74</v>
      </c>
      <c r="BA3025" t="s">
        <v>74</v>
      </c>
      <c r="BB3025">
        <v>336</v>
      </c>
      <c r="BC3025">
        <v>356</v>
      </c>
      <c r="BD3025" t="s">
        <v>74</v>
      </c>
      <c r="BE3025" t="s">
        <v>50008</v>
      </c>
      <c r="BF3025" t="str">
        <f>HYPERLINK("http://dx.doi.org/10.1080/00220388.2024.2404573","http://dx.doi.org/10.1080/00220388.2024.2404573")</f>
        <v>http://dx.doi.org/10.1080/00220388.2024.2404573</v>
      </c>
      <c r="BG3025" t="s">
        <v>74</v>
      </c>
      <c r="BH3025" t="s">
        <v>9389</v>
      </c>
      <c r="BI3025">
        <v>21</v>
      </c>
      <c r="BJ3025" t="s">
        <v>701</v>
      </c>
      <c r="BK3025" t="s">
        <v>99</v>
      </c>
      <c r="BL3025" t="s">
        <v>702</v>
      </c>
      <c r="BM3025" t="s">
        <v>50009</v>
      </c>
      <c r="BN3025" t="s">
        <v>74</v>
      </c>
      <c r="BO3025" t="s">
        <v>74</v>
      </c>
      <c r="BP3025" t="s">
        <v>74</v>
      </c>
      <c r="BQ3025" t="s">
        <v>74</v>
      </c>
      <c r="BR3025" t="s">
        <v>102</v>
      </c>
      <c r="BS3025" t="s">
        <v>50010</v>
      </c>
      <c r="BT3025" t="str">
        <f>HYPERLINK("https%3A%2F%2Fwww.webofscience.com%2Fwos%2Fwoscc%2Ffull-record%2FWOS:001320254800001","View Full Record in Web of Science")</f>
        <v>View Full Record in Web of Science</v>
      </c>
    </row>
    <row r="3026" spans="1:72" x14ac:dyDescent="0.25">
      <c r="A3026" t="s">
        <v>72</v>
      </c>
      <c r="B3026" t="s">
        <v>50011</v>
      </c>
      <c r="C3026" t="s">
        <v>74</v>
      </c>
      <c r="D3026" t="s">
        <v>74</v>
      </c>
      <c r="E3026" t="s">
        <v>74</v>
      </c>
      <c r="F3026" t="s">
        <v>50012</v>
      </c>
      <c r="G3026" t="s">
        <v>74</v>
      </c>
      <c r="H3026" t="s">
        <v>74</v>
      </c>
      <c r="I3026" t="s">
        <v>50013</v>
      </c>
      <c r="J3026" t="s">
        <v>6306</v>
      </c>
      <c r="K3026" t="s">
        <v>74</v>
      </c>
      <c r="L3026" t="s">
        <v>74</v>
      </c>
      <c r="M3026" t="s">
        <v>78</v>
      </c>
      <c r="N3026" t="s">
        <v>79</v>
      </c>
      <c r="O3026" t="s">
        <v>74</v>
      </c>
      <c r="P3026" t="s">
        <v>74</v>
      </c>
      <c r="Q3026" t="s">
        <v>74</v>
      </c>
      <c r="R3026" t="s">
        <v>74</v>
      </c>
      <c r="S3026" t="s">
        <v>74</v>
      </c>
      <c r="T3026" t="s">
        <v>50014</v>
      </c>
      <c r="U3026" t="s">
        <v>50015</v>
      </c>
      <c r="V3026" t="s">
        <v>50016</v>
      </c>
      <c r="W3026" t="s">
        <v>50017</v>
      </c>
      <c r="X3026" t="s">
        <v>50018</v>
      </c>
      <c r="Y3026" t="s">
        <v>50019</v>
      </c>
      <c r="Z3026" t="s">
        <v>50020</v>
      </c>
      <c r="AA3026" t="s">
        <v>50021</v>
      </c>
      <c r="AB3026" t="s">
        <v>50022</v>
      </c>
      <c r="AC3026" t="s">
        <v>74</v>
      </c>
      <c r="AD3026" t="s">
        <v>74</v>
      </c>
      <c r="AE3026" t="s">
        <v>74</v>
      </c>
      <c r="AF3026" t="s">
        <v>74</v>
      </c>
      <c r="AG3026">
        <v>127</v>
      </c>
      <c r="AH3026">
        <v>0</v>
      </c>
      <c r="AI3026">
        <v>1</v>
      </c>
      <c r="AJ3026">
        <v>3</v>
      </c>
      <c r="AK3026">
        <v>10</v>
      </c>
      <c r="AL3026" t="s">
        <v>575</v>
      </c>
      <c r="AM3026" t="s">
        <v>576</v>
      </c>
      <c r="AN3026" t="s">
        <v>3242</v>
      </c>
      <c r="AO3026" t="s">
        <v>74</v>
      </c>
      <c r="AP3026" t="s">
        <v>6319</v>
      </c>
      <c r="AQ3026" t="s">
        <v>74</v>
      </c>
      <c r="AR3026" t="s">
        <v>6306</v>
      </c>
      <c r="AS3026" t="s">
        <v>6320</v>
      </c>
      <c r="AT3026" t="s">
        <v>891</v>
      </c>
      <c r="AU3026">
        <v>2024</v>
      </c>
      <c r="AV3026">
        <v>12</v>
      </c>
      <c r="AW3026">
        <v>11</v>
      </c>
      <c r="AX3026" t="s">
        <v>74</v>
      </c>
      <c r="AY3026" t="s">
        <v>74</v>
      </c>
      <c r="AZ3026" t="s">
        <v>74</v>
      </c>
      <c r="BA3026" t="s">
        <v>74</v>
      </c>
      <c r="BB3026" t="s">
        <v>74</v>
      </c>
      <c r="BC3026" t="s">
        <v>74</v>
      </c>
      <c r="BD3026">
        <v>178</v>
      </c>
      <c r="BE3026" t="s">
        <v>50023</v>
      </c>
      <c r="BF3026" t="str">
        <f>HYPERLINK("http://dx.doi.org/10.3390/risks12110178","http://dx.doi.org/10.3390/risks12110178")</f>
        <v>http://dx.doi.org/10.3390/risks12110178</v>
      </c>
      <c r="BG3026" t="s">
        <v>74</v>
      </c>
      <c r="BH3026" t="s">
        <v>74</v>
      </c>
      <c r="BI3026">
        <v>17</v>
      </c>
      <c r="BJ3026" t="s">
        <v>268</v>
      </c>
      <c r="BK3026" t="s">
        <v>313</v>
      </c>
      <c r="BL3026" t="s">
        <v>100</v>
      </c>
      <c r="BM3026" t="s">
        <v>50024</v>
      </c>
      <c r="BN3026" t="s">
        <v>74</v>
      </c>
      <c r="BO3026" t="s">
        <v>212</v>
      </c>
      <c r="BP3026" t="s">
        <v>74</v>
      </c>
      <c r="BQ3026" t="s">
        <v>74</v>
      </c>
      <c r="BR3026" t="s">
        <v>102</v>
      </c>
      <c r="BS3026" t="s">
        <v>50025</v>
      </c>
      <c r="BT3026" t="str">
        <f>HYPERLINK("https%3A%2F%2Fwww.webofscience.com%2Fwos%2Fwoscc%2Ffull-record%2FWOS:001366095300001","View Full Record in Web of Science")</f>
        <v>View Full Record in Web of Science</v>
      </c>
    </row>
    <row r="3027" spans="1:72" x14ac:dyDescent="0.25">
      <c r="A3027" t="s">
        <v>72</v>
      </c>
      <c r="B3027" t="s">
        <v>50026</v>
      </c>
      <c r="C3027" t="s">
        <v>74</v>
      </c>
      <c r="D3027" t="s">
        <v>74</v>
      </c>
      <c r="E3027" t="s">
        <v>74</v>
      </c>
      <c r="F3027" t="s">
        <v>50027</v>
      </c>
      <c r="G3027" t="s">
        <v>74</v>
      </c>
      <c r="H3027" t="s">
        <v>74</v>
      </c>
      <c r="I3027" t="s">
        <v>50028</v>
      </c>
      <c r="J3027" t="s">
        <v>12549</v>
      </c>
      <c r="K3027" t="s">
        <v>74</v>
      </c>
      <c r="L3027" t="s">
        <v>74</v>
      </c>
      <c r="M3027" t="s">
        <v>78</v>
      </c>
      <c r="N3027" t="s">
        <v>79</v>
      </c>
      <c r="O3027" t="s">
        <v>74</v>
      </c>
      <c r="P3027" t="s">
        <v>74</v>
      </c>
      <c r="Q3027" t="s">
        <v>74</v>
      </c>
      <c r="R3027" t="s">
        <v>74</v>
      </c>
      <c r="S3027" t="s">
        <v>74</v>
      </c>
      <c r="T3027" t="s">
        <v>50029</v>
      </c>
      <c r="U3027" t="s">
        <v>74</v>
      </c>
      <c r="V3027" t="s">
        <v>50030</v>
      </c>
      <c r="W3027" t="s">
        <v>50031</v>
      </c>
      <c r="X3027" t="s">
        <v>50032</v>
      </c>
      <c r="Y3027" t="s">
        <v>50033</v>
      </c>
      <c r="Z3027" t="s">
        <v>50034</v>
      </c>
      <c r="AA3027" t="s">
        <v>50035</v>
      </c>
      <c r="AB3027" t="s">
        <v>50036</v>
      </c>
      <c r="AC3027" t="s">
        <v>74</v>
      </c>
      <c r="AD3027" t="s">
        <v>74</v>
      </c>
      <c r="AE3027" t="s">
        <v>74</v>
      </c>
      <c r="AF3027" t="s">
        <v>74</v>
      </c>
      <c r="AG3027">
        <v>36</v>
      </c>
      <c r="AH3027">
        <v>13</v>
      </c>
      <c r="AI3027">
        <v>15</v>
      </c>
      <c r="AJ3027">
        <v>0</v>
      </c>
      <c r="AK3027">
        <v>21</v>
      </c>
      <c r="AL3027" t="s">
        <v>575</v>
      </c>
      <c r="AM3027" t="s">
        <v>576</v>
      </c>
      <c r="AN3027" t="s">
        <v>3242</v>
      </c>
      <c r="AO3027" t="s">
        <v>12562</v>
      </c>
      <c r="AP3027" t="s">
        <v>12563</v>
      </c>
      <c r="AQ3027" t="s">
        <v>74</v>
      </c>
      <c r="AR3027" t="s">
        <v>12564</v>
      </c>
      <c r="AS3027" t="s">
        <v>12565</v>
      </c>
      <c r="AT3027" t="s">
        <v>124</v>
      </c>
      <c r="AU3027">
        <v>2019</v>
      </c>
      <c r="AV3027">
        <v>12</v>
      </c>
      <c r="AW3027">
        <v>4</v>
      </c>
      <c r="AX3027" t="s">
        <v>74</v>
      </c>
      <c r="AY3027" t="s">
        <v>74</v>
      </c>
      <c r="AZ3027" t="s">
        <v>74</v>
      </c>
      <c r="BA3027" t="s">
        <v>74</v>
      </c>
      <c r="BB3027" t="s">
        <v>74</v>
      </c>
      <c r="BC3027" t="s">
        <v>74</v>
      </c>
      <c r="BD3027">
        <v>166</v>
      </c>
      <c r="BE3027" t="s">
        <v>50037</v>
      </c>
      <c r="BF3027" t="str">
        <f>HYPERLINK("http://dx.doi.org/10.3390/jrfm12040166","http://dx.doi.org/10.3390/jrfm12040166")</f>
        <v>http://dx.doi.org/10.3390/jrfm12040166</v>
      </c>
      <c r="BG3027" t="s">
        <v>74</v>
      </c>
      <c r="BH3027" t="s">
        <v>74</v>
      </c>
      <c r="BI3027">
        <v>15</v>
      </c>
      <c r="BJ3027" t="s">
        <v>268</v>
      </c>
      <c r="BK3027" t="s">
        <v>313</v>
      </c>
      <c r="BL3027" t="s">
        <v>100</v>
      </c>
      <c r="BM3027" t="s">
        <v>50038</v>
      </c>
      <c r="BN3027" t="s">
        <v>74</v>
      </c>
      <c r="BO3027" t="s">
        <v>466</v>
      </c>
      <c r="BP3027" t="s">
        <v>74</v>
      </c>
      <c r="BQ3027" t="s">
        <v>74</v>
      </c>
      <c r="BR3027" t="s">
        <v>102</v>
      </c>
      <c r="BS3027" t="s">
        <v>50039</v>
      </c>
      <c r="BT3027" t="str">
        <f>HYPERLINK("https%3A%2F%2Fwww.webofscience.com%2Fwos%2Fwoscc%2Ffull-record%2FWOS:000505725900009","View Full Record in Web of Science")</f>
        <v>View Full Record in Web of Science</v>
      </c>
    </row>
    <row r="3028" spans="1:72" x14ac:dyDescent="0.25">
      <c r="A3028" t="s">
        <v>72</v>
      </c>
      <c r="B3028" t="s">
        <v>50040</v>
      </c>
      <c r="C3028" t="s">
        <v>74</v>
      </c>
      <c r="D3028" t="s">
        <v>74</v>
      </c>
      <c r="E3028" t="s">
        <v>74</v>
      </c>
      <c r="F3028" t="s">
        <v>50041</v>
      </c>
      <c r="G3028" t="s">
        <v>74</v>
      </c>
      <c r="H3028" t="s">
        <v>74</v>
      </c>
      <c r="I3028" t="s">
        <v>50042</v>
      </c>
      <c r="J3028" t="s">
        <v>6001</v>
      </c>
      <c r="K3028" t="s">
        <v>74</v>
      </c>
      <c r="L3028" t="s">
        <v>74</v>
      </c>
      <c r="M3028" t="s">
        <v>78</v>
      </c>
      <c r="N3028" t="s">
        <v>79</v>
      </c>
      <c r="O3028" t="s">
        <v>74</v>
      </c>
      <c r="P3028" t="s">
        <v>74</v>
      </c>
      <c r="Q3028" t="s">
        <v>74</v>
      </c>
      <c r="R3028" t="s">
        <v>74</v>
      </c>
      <c r="S3028" t="s">
        <v>74</v>
      </c>
      <c r="T3028" t="s">
        <v>50043</v>
      </c>
      <c r="U3028" t="s">
        <v>50044</v>
      </c>
      <c r="V3028" t="s">
        <v>50045</v>
      </c>
      <c r="W3028" t="s">
        <v>50046</v>
      </c>
      <c r="X3028" t="s">
        <v>6887</v>
      </c>
      <c r="Y3028" t="s">
        <v>50047</v>
      </c>
      <c r="Z3028" t="s">
        <v>50048</v>
      </c>
      <c r="AA3028" t="s">
        <v>74</v>
      </c>
      <c r="AB3028" t="s">
        <v>74</v>
      </c>
      <c r="AC3028" t="s">
        <v>50049</v>
      </c>
      <c r="AD3028" t="s">
        <v>50050</v>
      </c>
      <c r="AE3028" t="s">
        <v>50051</v>
      </c>
      <c r="AF3028" t="s">
        <v>74</v>
      </c>
      <c r="AG3028">
        <v>48</v>
      </c>
      <c r="AH3028">
        <v>25</v>
      </c>
      <c r="AI3028">
        <v>30</v>
      </c>
      <c r="AJ3028">
        <v>1</v>
      </c>
      <c r="AK3028">
        <v>21</v>
      </c>
      <c r="AL3028" t="s">
        <v>479</v>
      </c>
      <c r="AM3028" t="s">
        <v>480</v>
      </c>
      <c r="AN3028" t="s">
        <v>481</v>
      </c>
      <c r="AO3028" t="s">
        <v>6009</v>
      </c>
      <c r="AP3028" t="s">
        <v>6010</v>
      </c>
      <c r="AQ3028" t="s">
        <v>74</v>
      </c>
      <c r="AR3028" t="s">
        <v>6011</v>
      </c>
      <c r="AS3028" t="s">
        <v>6012</v>
      </c>
      <c r="AT3028" t="s">
        <v>891</v>
      </c>
      <c r="AU3028">
        <v>2017</v>
      </c>
      <c r="AV3028">
        <v>44</v>
      </c>
      <c r="AW3028">
        <v>4</v>
      </c>
      <c r="AX3028" t="s">
        <v>74</v>
      </c>
      <c r="AY3028" t="s">
        <v>74</v>
      </c>
      <c r="AZ3028" t="s">
        <v>74</v>
      </c>
      <c r="BA3028" t="s">
        <v>74</v>
      </c>
      <c r="BB3028">
        <v>603</v>
      </c>
      <c r="BC3028">
        <v>616</v>
      </c>
      <c r="BD3028" t="s">
        <v>74</v>
      </c>
      <c r="BE3028" t="s">
        <v>50052</v>
      </c>
      <c r="BF3028" t="str">
        <f>HYPERLINK("http://dx.doi.org/10.1111/amet.12560","http://dx.doi.org/10.1111/amet.12560")</f>
        <v>http://dx.doi.org/10.1111/amet.12560</v>
      </c>
      <c r="BG3028" t="s">
        <v>74</v>
      </c>
      <c r="BH3028" t="s">
        <v>74</v>
      </c>
      <c r="BI3028">
        <v>14</v>
      </c>
      <c r="BJ3028" t="s">
        <v>3890</v>
      </c>
      <c r="BK3028" t="s">
        <v>99</v>
      </c>
      <c r="BL3028" t="s">
        <v>3890</v>
      </c>
      <c r="BM3028" t="s">
        <v>50053</v>
      </c>
      <c r="BN3028" t="s">
        <v>74</v>
      </c>
      <c r="BO3028" t="s">
        <v>4904</v>
      </c>
      <c r="BP3028" t="s">
        <v>74</v>
      </c>
      <c r="BQ3028" t="s">
        <v>74</v>
      </c>
      <c r="BR3028" t="s">
        <v>102</v>
      </c>
      <c r="BS3028" t="s">
        <v>50054</v>
      </c>
      <c r="BT3028" t="str">
        <f>HYPERLINK("https%3A%2F%2Fwww.webofscience.com%2Fwos%2Fwoscc%2Ffull-record%2FWOS:000415142200003","View Full Record in Web of Science")</f>
        <v>View Full Record in Web of Science</v>
      </c>
    </row>
    <row r="3029" spans="1:72" x14ac:dyDescent="0.25">
      <c r="A3029" t="s">
        <v>72</v>
      </c>
      <c r="B3029" t="s">
        <v>50055</v>
      </c>
      <c r="C3029" t="s">
        <v>74</v>
      </c>
      <c r="D3029" t="s">
        <v>74</v>
      </c>
      <c r="E3029" t="s">
        <v>74</v>
      </c>
      <c r="F3029" t="s">
        <v>50056</v>
      </c>
      <c r="G3029" t="s">
        <v>74</v>
      </c>
      <c r="H3029" t="s">
        <v>74</v>
      </c>
      <c r="I3029" t="s">
        <v>50057</v>
      </c>
      <c r="J3029" t="s">
        <v>35174</v>
      </c>
      <c r="K3029" t="s">
        <v>74</v>
      </c>
      <c r="L3029" t="s">
        <v>74</v>
      </c>
      <c r="M3029" t="s">
        <v>78</v>
      </c>
      <c r="N3029" t="s">
        <v>79</v>
      </c>
      <c r="O3029" t="s">
        <v>74</v>
      </c>
      <c r="P3029" t="s">
        <v>74</v>
      </c>
      <c r="Q3029" t="s">
        <v>74</v>
      </c>
      <c r="R3029" t="s">
        <v>74</v>
      </c>
      <c r="S3029" t="s">
        <v>74</v>
      </c>
      <c r="T3029" t="s">
        <v>50058</v>
      </c>
      <c r="U3029" t="s">
        <v>50059</v>
      </c>
      <c r="V3029" t="s">
        <v>50060</v>
      </c>
      <c r="W3029" t="s">
        <v>50061</v>
      </c>
      <c r="X3029" t="s">
        <v>50062</v>
      </c>
      <c r="Y3029" t="s">
        <v>50063</v>
      </c>
      <c r="Z3029" t="s">
        <v>50064</v>
      </c>
      <c r="AA3029" t="s">
        <v>50065</v>
      </c>
      <c r="AB3029" t="s">
        <v>50066</v>
      </c>
      <c r="AC3029" t="s">
        <v>74</v>
      </c>
      <c r="AD3029" t="s">
        <v>74</v>
      </c>
      <c r="AE3029" t="s">
        <v>74</v>
      </c>
      <c r="AF3029" t="s">
        <v>74</v>
      </c>
      <c r="AG3029">
        <v>66</v>
      </c>
      <c r="AH3029">
        <v>0</v>
      </c>
      <c r="AI3029">
        <v>1</v>
      </c>
      <c r="AJ3029">
        <v>2</v>
      </c>
      <c r="AK3029">
        <v>4</v>
      </c>
      <c r="AL3029" t="s">
        <v>35182</v>
      </c>
      <c r="AM3029" t="s">
        <v>9793</v>
      </c>
      <c r="AN3029" t="s">
        <v>35183</v>
      </c>
      <c r="AO3029" t="s">
        <v>35184</v>
      </c>
      <c r="AP3029" t="s">
        <v>74</v>
      </c>
      <c r="AQ3029" t="s">
        <v>74</v>
      </c>
      <c r="AR3029" t="s">
        <v>35185</v>
      </c>
      <c r="AS3029" t="s">
        <v>35186</v>
      </c>
      <c r="AT3029" t="s">
        <v>605</v>
      </c>
      <c r="AU3029">
        <v>2025</v>
      </c>
      <c r="AV3029">
        <v>17</v>
      </c>
      <c r="AW3029">
        <v>1</v>
      </c>
      <c r="AX3029" t="s">
        <v>74</v>
      </c>
      <c r="AY3029" t="s">
        <v>74</v>
      </c>
      <c r="AZ3029" t="s">
        <v>74</v>
      </c>
      <c r="BA3029" t="s">
        <v>74</v>
      </c>
      <c r="BB3029">
        <v>51</v>
      </c>
      <c r="BC3029">
        <v>74</v>
      </c>
      <c r="BD3029" t="s">
        <v>74</v>
      </c>
      <c r="BE3029" t="s">
        <v>50067</v>
      </c>
      <c r="BF3029" t="str">
        <f>HYPERLINK("http://dx.doi.org/10.55188/ijifsd.v17i1.929","http://dx.doi.org/10.55188/ijifsd.v17i1.929")</f>
        <v>http://dx.doi.org/10.55188/ijifsd.v17i1.929</v>
      </c>
      <c r="BG3029" t="s">
        <v>74</v>
      </c>
      <c r="BH3029" t="s">
        <v>74</v>
      </c>
      <c r="BI3029">
        <v>24</v>
      </c>
      <c r="BJ3029" t="s">
        <v>268</v>
      </c>
      <c r="BK3029" t="s">
        <v>313</v>
      </c>
      <c r="BL3029" t="s">
        <v>100</v>
      </c>
      <c r="BM3029" t="s">
        <v>50068</v>
      </c>
      <c r="BN3029" t="s">
        <v>74</v>
      </c>
      <c r="BO3029" t="s">
        <v>270</v>
      </c>
      <c r="BP3029" t="s">
        <v>74</v>
      </c>
      <c r="BQ3029" t="s">
        <v>74</v>
      </c>
      <c r="BR3029" t="s">
        <v>102</v>
      </c>
      <c r="BS3029" t="s">
        <v>50069</v>
      </c>
      <c r="BT3029" t="str">
        <f>HYPERLINK("https%3A%2F%2Fwww.webofscience.com%2Fwos%2Fwoscc%2Ffull-record%2FWOS:001476155500004","View Full Record in Web of Science")</f>
        <v>View Full Record in Web of Science</v>
      </c>
    </row>
    <row r="3030" spans="1:72" x14ac:dyDescent="0.25">
      <c r="A3030" t="s">
        <v>72</v>
      </c>
      <c r="B3030" t="s">
        <v>50070</v>
      </c>
      <c r="C3030" t="s">
        <v>74</v>
      </c>
      <c r="D3030" t="s">
        <v>74</v>
      </c>
      <c r="E3030" t="s">
        <v>74</v>
      </c>
      <c r="F3030" t="s">
        <v>50071</v>
      </c>
      <c r="G3030" t="s">
        <v>74</v>
      </c>
      <c r="H3030" t="s">
        <v>74</v>
      </c>
      <c r="I3030" t="s">
        <v>50072</v>
      </c>
      <c r="J3030" t="s">
        <v>50073</v>
      </c>
      <c r="K3030" t="s">
        <v>74</v>
      </c>
      <c r="L3030" t="s">
        <v>74</v>
      </c>
      <c r="M3030" t="s">
        <v>78</v>
      </c>
      <c r="N3030" t="s">
        <v>79</v>
      </c>
      <c r="O3030" t="s">
        <v>74</v>
      </c>
      <c r="P3030" t="s">
        <v>74</v>
      </c>
      <c r="Q3030" t="s">
        <v>74</v>
      </c>
      <c r="R3030" t="s">
        <v>74</v>
      </c>
      <c r="S3030" t="s">
        <v>74</v>
      </c>
      <c r="T3030" t="s">
        <v>50074</v>
      </c>
      <c r="U3030" t="s">
        <v>50075</v>
      </c>
      <c r="V3030" t="s">
        <v>50076</v>
      </c>
      <c r="W3030" t="s">
        <v>50077</v>
      </c>
      <c r="X3030" t="s">
        <v>50078</v>
      </c>
      <c r="Y3030" t="s">
        <v>50079</v>
      </c>
      <c r="Z3030" t="s">
        <v>50080</v>
      </c>
      <c r="AA3030" t="s">
        <v>50081</v>
      </c>
      <c r="AB3030" t="s">
        <v>50082</v>
      </c>
      <c r="AC3030" t="s">
        <v>74</v>
      </c>
      <c r="AD3030" t="s">
        <v>74</v>
      </c>
      <c r="AE3030" t="s">
        <v>74</v>
      </c>
      <c r="AF3030" t="s">
        <v>74</v>
      </c>
      <c r="AG3030">
        <v>78</v>
      </c>
      <c r="AH3030">
        <v>15</v>
      </c>
      <c r="AI3030">
        <v>18</v>
      </c>
      <c r="AJ3030">
        <v>13</v>
      </c>
      <c r="AK3030">
        <v>137</v>
      </c>
      <c r="AL3030" t="s">
        <v>757</v>
      </c>
      <c r="AM3030" t="s">
        <v>758</v>
      </c>
      <c r="AN3030" t="s">
        <v>759</v>
      </c>
      <c r="AO3030" t="s">
        <v>50083</v>
      </c>
      <c r="AP3030" t="s">
        <v>50084</v>
      </c>
      <c r="AQ3030" t="s">
        <v>74</v>
      </c>
      <c r="AR3030" t="s">
        <v>50085</v>
      </c>
      <c r="AS3030" t="s">
        <v>50086</v>
      </c>
      <c r="AT3030" t="s">
        <v>1652</v>
      </c>
      <c r="AU3030">
        <v>2023</v>
      </c>
      <c r="AV3030">
        <v>32</v>
      </c>
      <c r="AW3030">
        <v>6</v>
      </c>
      <c r="AX3030" t="s">
        <v>74</v>
      </c>
      <c r="AY3030" t="s">
        <v>74</v>
      </c>
      <c r="AZ3030" t="s">
        <v>74</v>
      </c>
      <c r="BA3030" t="s">
        <v>74</v>
      </c>
      <c r="BB3030">
        <v>1939</v>
      </c>
      <c r="BC3030">
        <v>1957</v>
      </c>
      <c r="BD3030" t="s">
        <v>74</v>
      </c>
      <c r="BE3030" t="s">
        <v>50087</v>
      </c>
      <c r="BF3030" t="str">
        <f>HYPERLINK("http://dx.doi.org/10.1111/poms.13950","http://dx.doi.org/10.1111/poms.13950")</f>
        <v>http://dx.doi.org/10.1111/poms.13950</v>
      </c>
      <c r="BG3030" t="s">
        <v>74</v>
      </c>
      <c r="BH3030" t="s">
        <v>9145</v>
      </c>
      <c r="BI3030">
        <v>19</v>
      </c>
      <c r="BJ3030" t="s">
        <v>50088</v>
      </c>
      <c r="BK3030" t="s">
        <v>128</v>
      </c>
      <c r="BL3030" t="s">
        <v>31860</v>
      </c>
      <c r="BM3030" t="s">
        <v>50089</v>
      </c>
      <c r="BN3030" t="s">
        <v>74</v>
      </c>
      <c r="BO3030" t="s">
        <v>74</v>
      </c>
      <c r="BP3030" t="s">
        <v>74</v>
      </c>
      <c r="BQ3030" t="s">
        <v>74</v>
      </c>
      <c r="BR3030" t="s">
        <v>102</v>
      </c>
      <c r="BS3030" t="s">
        <v>50090</v>
      </c>
      <c r="BT3030" t="str">
        <f>HYPERLINK("https%3A%2F%2Fwww.webofscience.com%2Fwos%2Fwoscc%2Ffull-record%2FWOS:000929029600001","View Full Record in Web of Science")</f>
        <v>View Full Record in Web of Science</v>
      </c>
    </row>
    <row r="3031" spans="1:72" x14ac:dyDescent="0.25">
      <c r="A3031" t="s">
        <v>72</v>
      </c>
      <c r="B3031" t="s">
        <v>50091</v>
      </c>
      <c r="C3031" t="s">
        <v>74</v>
      </c>
      <c r="D3031" t="s">
        <v>74</v>
      </c>
      <c r="E3031" t="s">
        <v>74</v>
      </c>
      <c r="F3031" t="s">
        <v>50092</v>
      </c>
      <c r="G3031" t="s">
        <v>74</v>
      </c>
      <c r="H3031" t="s">
        <v>74</v>
      </c>
      <c r="I3031" t="s">
        <v>50093</v>
      </c>
      <c r="J3031" t="s">
        <v>11997</v>
      </c>
      <c r="K3031" t="s">
        <v>74</v>
      </c>
      <c r="L3031" t="s">
        <v>74</v>
      </c>
      <c r="M3031" t="s">
        <v>78</v>
      </c>
      <c r="N3031" t="s">
        <v>79</v>
      </c>
      <c r="O3031" t="s">
        <v>74</v>
      </c>
      <c r="P3031" t="s">
        <v>74</v>
      </c>
      <c r="Q3031" t="s">
        <v>74</v>
      </c>
      <c r="R3031" t="s">
        <v>74</v>
      </c>
      <c r="S3031" t="s">
        <v>74</v>
      </c>
      <c r="T3031" t="s">
        <v>50094</v>
      </c>
      <c r="U3031" t="s">
        <v>50095</v>
      </c>
      <c r="V3031" t="s">
        <v>50096</v>
      </c>
      <c r="W3031" t="s">
        <v>50097</v>
      </c>
      <c r="X3031" t="s">
        <v>50098</v>
      </c>
      <c r="Y3031" t="s">
        <v>50099</v>
      </c>
      <c r="Z3031" t="s">
        <v>50100</v>
      </c>
      <c r="AA3031" t="s">
        <v>50101</v>
      </c>
      <c r="AB3031" t="s">
        <v>50102</v>
      </c>
      <c r="AC3031" t="s">
        <v>74</v>
      </c>
      <c r="AD3031" t="s">
        <v>74</v>
      </c>
      <c r="AE3031" t="s">
        <v>74</v>
      </c>
      <c r="AF3031" t="s">
        <v>74</v>
      </c>
      <c r="AG3031">
        <v>73</v>
      </c>
      <c r="AH3031">
        <v>5</v>
      </c>
      <c r="AI3031">
        <v>7</v>
      </c>
      <c r="AJ3031">
        <v>5</v>
      </c>
      <c r="AK3031">
        <v>11</v>
      </c>
      <c r="AL3031" t="s">
        <v>12006</v>
      </c>
      <c r="AM3031" t="s">
        <v>1953</v>
      </c>
      <c r="AN3031" t="s">
        <v>12007</v>
      </c>
      <c r="AO3031" t="s">
        <v>74</v>
      </c>
      <c r="AP3031" t="s">
        <v>12008</v>
      </c>
      <c r="AQ3031" t="s">
        <v>74</v>
      </c>
      <c r="AR3031" t="s">
        <v>12009</v>
      </c>
      <c r="AS3031" t="s">
        <v>12010</v>
      </c>
      <c r="AT3031" t="s">
        <v>124</v>
      </c>
      <c r="AU3031">
        <v>2024</v>
      </c>
      <c r="AV3031">
        <v>53</v>
      </c>
      <c r="AW3031">
        <v>3</v>
      </c>
      <c r="AX3031" t="s">
        <v>74</v>
      </c>
      <c r="AY3031" t="s">
        <v>74</v>
      </c>
      <c r="AZ3031" t="s">
        <v>74</v>
      </c>
      <c r="BA3031" t="s">
        <v>74</v>
      </c>
      <c r="BB3031" t="s">
        <v>74</v>
      </c>
      <c r="BC3031" t="s">
        <v>74</v>
      </c>
      <c r="BD3031" t="s">
        <v>74</v>
      </c>
      <c r="BE3031" t="s">
        <v>50103</v>
      </c>
      <c r="BF3031" t="str">
        <f>HYPERLINK("http://dx.doi.org/10.26650/ibr.2024.53.1426335","http://dx.doi.org/10.26650/ibr.2024.53.1426335")</f>
        <v>http://dx.doi.org/10.26650/ibr.2024.53.1426335</v>
      </c>
      <c r="BG3031" t="s">
        <v>74</v>
      </c>
      <c r="BH3031" t="s">
        <v>74</v>
      </c>
      <c r="BI3031">
        <v>22</v>
      </c>
      <c r="BJ3031" t="s">
        <v>268</v>
      </c>
      <c r="BK3031" t="s">
        <v>313</v>
      </c>
      <c r="BL3031" t="s">
        <v>100</v>
      </c>
      <c r="BM3031" t="s">
        <v>50104</v>
      </c>
      <c r="BN3031" t="s">
        <v>74</v>
      </c>
      <c r="BO3031" t="s">
        <v>916</v>
      </c>
      <c r="BP3031" t="s">
        <v>74</v>
      </c>
      <c r="BQ3031" t="s">
        <v>74</v>
      </c>
      <c r="BR3031" t="s">
        <v>102</v>
      </c>
      <c r="BS3031" t="s">
        <v>50105</v>
      </c>
      <c r="BT3031" t="str">
        <f>HYPERLINK("https%3A%2F%2Fwww.webofscience.com%2Fwos%2Fwoscc%2Ffull-record%2FWOS:001407842500007","View Full Record in Web of Science")</f>
        <v>View Full Record in Web of Science</v>
      </c>
    </row>
    <row r="3032" spans="1:72" x14ac:dyDescent="0.25">
      <c r="A3032" t="s">
        <v>72</v>
      </c>
      <c r="B3032" t="s">
        <v>50106</v>
      </c>
      <c r="C3032" t="s">
        <v>74</v>
      </c>
      <c r="D3032" t="s">
        <v>74</v>
      </c>
      <c r="E3032" t="s">
        <v>74</v>
      </c>
      <c r="F3032" t="s">
        <v>50107</v>
      </c>
      <c r="G3032" t="s">
        <v>74</v>
      </c>
      <c r="H3032" t="s">
        <v>74</v>
      </c>
      <c r="I3032" t="s">
        <v>50108</v>
      </c>
      <c r="J3032" t="s">
        <v>50109</v>
      </c>
      <c r="K3032" t="s">
        <v>74</v>
      </c>
      <c r="L3032" t="s">
        <v>74</v>
      </c>
      <c r="M3032" t="s">
        <v>298</v>
      </c>
      <c r="N3032" t="s">
        <v>79</v>
      </c>
      <c r="O3032" t="s">
        <v>74</v>
      </c>
      <c r="P3032" t="s">
        <v>74</v>
      </c>
      <c r="Q3032" t="s">
        <v>74</v>
      </c>
      <c r="R3032" t="s">
        <v>74</v>
      </c>
      <c r="S3032" t="s">
        <v>74</v>
      </c>
      <c r="T3032" t="s">
        <v>50110</v>
      </c>
      <c r="U3032" t="s">
        <v>74</v>
      </c>
      <c r="V3032" t="s">
        <v>50111</v>
      </c>
      <c r="W3032" t="s">
        <v>50112</v>
      </c>
      <c r="X3032" t="s">
        <v>50113</v>
      </c>
      <c r="Y3032" t="s">
        <v>50114</v>
      </c>
      <c r="Z3032" t="s">
        <v>50115</v>
      </c>
      <c r="AA3032" t="s">
        <v>50116</v>
      </c>
      <c r="AB3032" t="s">
        <v>50117</v>
      </c>
      <c r="AC3032" t="s">
        <v>74</v>
      </c>
      <c r="AD3032" t="s">
        <v>74</v>
      </c>
      <c r="AE3032" t="s">
        <v>74</v>
      </c>
      <c r="AF3032" t="s">
        <v>74</v>
      </c>
      <c r="AG3032">
        <v>45</v>
      </c>
      <c r="AH3032">
        <v>0</v>
      </c>
      <c r="AI3032">
        <v>5</v>
      </c>
      <c r="AJ3032">
        <v>2</v>
      </c>
      <c r="AK3032">
        <v>21</v>
      </c>
      <c r="AL3032" t="s">
        <v>34541</v>
      </c>
      <c r="AM3032" t="s">
        <v>34542</v>
      </c>
      <c r="AN3032" t="s">
        <v>34543</v>
      </c>
      <c r="AO3032" t="s">
        <v>50118</v>
      </c>
      <c r="AP3032" t="s">
        <v>50119</v>
      </c>
      <c r="AQ3032" t="s">
        <v>74</v>
      </c>
      <c r="AR3032" t="s">
        <v>50120</v>
      </c>
      <c r="AS3032" t="s">
        <v>50121</v>
      </c>
      <c r="AT3032" t="s">
        <v>723</v>
      </c>
      <c r="AU3032">
        <v>2021</v>
      </c>
      <c r="AV3032">
        <v>21</v>
      </c>
      <c r="AW3032">
        <v>2</v>
      </c>
      <c r="AX3032" t="s">
        <v>74</v>
      </c>
      <c r="AY3032" t="s">
        <v>74</v>
      </c>
      <c r="AZ3032" t="s">
        <v>74</v>
      </c>
      <c r="BA3032" t="s">
        <v>74</v>
      </c>
      <c r="BB3032">
        <v>35</v>
      </c>
      <c r="BC3032">
        <v>49</v>
      </c>
      <c r="BD3032" t="s">
        <v>74</v>
      </c>
      <c r="BE3032" t="s">
        <v>50122</v>
      </c>
      <c r="BF3032" t="str">
        <f>HYPERLINK("http://dx.doi.org/10.19053/01211048.11475","http://dx.doi.org/10.19053/01211048.11475")</f>
        <v>http://dx.doi.org/10.19053/01211048.11475</v>
      </c>
      <c r="BG3032" t="s">
        <v>74</v>
      </c>
      <c r="BH3032" t="s">
        <v>74</v>
      </c>
      <c r="BI3032">
        <v>15</v>
      </c>
      <c r="BJ3032" t="s">
        <v>418</v>
      </c>
      <c r="BK3032" t="s">
        <v>313</v>
      </c>
      <c r="BL3032" t="s">
        <v>100</v>
      </c>
      <c r="BM3032" t="s">
        <v>50123</v>
      </c>
      <c r="BN3032" t="s">
        <v>74</v>
      </c>
      <c r="BO3032" t="s">
        <v>212</v>
      </c>
      <c r="BP3032" t="s">
        <v>74</v>
      </c>
      <c r="BQ3032" t="s">
        <v>74</v>
      </c>
      <c r="BR3032" t="s">
        <v>102</v>
      </c>
      <c r="BS3032" t="s">
        <v>50124</v>
      </c>
      <c r="BT3032" t="str">
        <f>HYPERLINK("https%3A%2F%2Fwww.webofscience.com%2Fwos%2Fwoscc%2Ffull-record%2FWOS:000740520200003","View Full Record in Web of Science")</f>
        <v>View Full Record in Web of Science</v>
      </c>
    </row>
    <row r="3033" spans="1:72" x14ac:dyDescent="0.25">
      <c r="A3033" t="s">
        <v>72</v>
      </c>
      <c r="B3033" t="s">
        <v>50125</v>
      </c>
      <c r="C3033" t="s">
        <v>74</v>
      </c>
      <c r="D3033" t="s">
        <v>74</v>
      </c>
      <c r="E3033" t="s">
        <v>74</v>
      </c>
      <c r="F3033" t="s">
        <v>50126</v>
      </c>
      <c r="G3033" t="s">
        <v>74</v>
      </c>
      <c r="H3033" t="s">
        <v>74</v>
      </c>
      <c r="I3033" t="s">
        <v>50127</v>
      </c>
      <c r="J3033" t="s">
        <v>1143</v>
      </c>
      <c r="K3033" t="s">
        <v>74</v>
      </c>
      <c r="L3033" t="s">
        <v>74</v>
      </c>
      <c r="M3033" t="s">
        <v>78</v>
      </c>
      <c r="N3033" t="s">
        <v>79</v>
      </c>
      <c r="O3033" t="s">
        <v>74</v>
      </c>
      <c r="P3033" t="s">
        <v>74</v>
      </c>
      <c r="Q3033" t="s">
        <v>74</v>
      </c>
      <c r="R3033" t="s">
        <v>74</v>
      </c>
      <c r="S3033" t="s">
        <v>74</v>
      </c>
      <c r="T3033" t="s">
        <v>50128</v>
      </c>
      <c r="U3033" t="s">
        <v>50129</v>
      </c>
      <c r="V3033" t="s">
        <v>50130</v>
      </c>
      <c r="W3033" t="s">
        <v>50131</v>
      </c>
      <c r="X3033" t="s">
        <v>50132</v>
      </c>
      <c r="Y3033" t="s">
        <v>50133</v>
      </c>
      <c r="Z3033" t="s">
        <v>50134</v>
      </c>
      <c r="AA3033" t="s">
        <v>50135</v>
      </c>
      <c r="AB3033" t="s">
        <v>50136</v>
      </c>
      <c r="AC3033" t="s">
        <v>50137</v>
      </c>
      <c r="AD3033" t="s">
        <v>21944</v>
      </c>
      <c r="AE3033" t="s">
        <v>50138</v>
      </c>
      <c r="AF3033" t="s">
        <v>74</v>
      </c>
      <c r="AG3033">
        <v>80</v>
      </c>
      <c r="AH3033">
        <v>14</v>
      </c>
      <c r="AI3033">
        <v>15</v>
      </c>
      <c r="AJ3033">
        <v>23</v>
      </c>
      <c r="AK3033">
        <v>134</v>
      </c>
      <c r="AL3033" t="s">
        <v>385</v>
      </c>
      <c r="AM3033" t="s">
        <v>1153</v>
      </c>
      <c r="AN3033" t="s">
        <v>1154</v>
      </c>
      <c r="AO3033" t="s">
        <v>1155</v>
      </c>
      <c r="AP3033" t="s">
        <v>1156</v>
      </c>
      <c r="AQ3033" t="s">
        <v>74</v>
      </c>
      <c r="AR3033" t="s">
        <v>1157</v>
      </c>
      <c r="AS3033" t="s">
        <v>1158</v>
      </c>
      <c r="AT3033" t="s">
        <v>698</v>
      </c>
      <c r="AU3033">
        <v>2023</v>
      </c>
      <c r="AV3033">
        <v>169</v>
      </c>
      <c r="AW3033" t="s">
        <v>6918</v>
      </c>
      <c r="AX3033" t="s">
        <v>74</v>
      </c>
      <c r="AY3033" t="s">
        <v>74</v>
      </c>
      <c r="AZ3033" t="s">
        <v>74</v>
      </c>
      <c r="BA3033" t="s">
        <v>74</v>
      </c>
      <c r="BB3033">
        <v>55</v>
      </c>
      <c r="BC3033">
        <v>77</v>
      </c>
      <c r="BD3033" t="s">
        <v>74</v>
      </c>
      <c r="BE3033" t="s">
        <v>50139</v>
      </c>
      <c r="BF3033" t="str">
        <f>HYPERLINK("http://dx.doi.org/10.1007/s11205-023-03154-1","http://dx.doi.org/10.1007/s11205-023-03154-1")</f>
        <v>http://dx.doi.org/10.1007/s11205-023-03154-1</v>
      </c>
      <c r="BG3033" t="s">
        <v>74</v>
      </c>
      <c r="BH3033" t="s">
        <v>13995</v>
      </c>
      <c r="BI3033">
        <v>23</v>
      </c>
      <c r="BJ3033" t="s">
        <v>1161</v>
      </c>
      <c r="BK3033" t="s">
        <v>99</v>
      </c>
      <c r="BL3033" t="s">
        <v>1162</v>
      </c>
      <c r="BM3033" t="s">
        <v>50140</v>
      </c>
      <c r="BN3033" t="s">
        <v>74</v>
      </c>
      <c r="BO3033" t="s">
        <v>74</v>
      </c>
      <c r="BP3033" t="s">
        <v>74</v>
      </c>
      <c r="BQ3033" t="s">
        <v>74</v>
      </c>
      <c r="BR3033" t="s">
        <v>102</v>
      </c>
      <c r="BS3033" t="s">
        <v>50141</v>
      </c>
      <c r="BT3033" t="str">
        <f>HYPERLINK("https%3A%2F%2Fwww.webofscience.com%2Fwos%2Fwoscc%2Ffull-record%2FWOS:001006389900001","View Full Record in Web of Science")</f>
        <v>View Full Record in Web of Science</v>
      </c>
    </row>
    <row r="3034" spans="1:72" x14ac:dyDescent="0.25">
      <c r="A3034" t="s">
        <v>72</v>
      </c>
      <c r="B3034" t="s">
        <v>50142</v>
      </c>
      <c r="C3034" t="s">
        <v>74</v>
      </c>
      <c r="D3034" t="s">
        <v>74</v>
      </c>
      <c r="E3034" t="s">
        <v>74</v>
      </c>
      <c r="F3034" t="s">
        <v>50143</v>
      </c>
      <c r="G3034" t="s">
        <v>74</v>
      </c>
      <c r="H3034" t="s">
        <v>74</v>
      </c>
      <c r="I3034" t="s">
        <v>50144</v>
      </c>
      <c r="J3034" t="s">
        <v>50145</v>
      </c>
      <c r="K3034" t="s">
        <v>74</v>
      </c>
      <c r="L3034" t="s">
        <v>74</v>
      </c>
      <c r="M3034" t="s">
        <v>78</v>
      </c>
      <c r="N3034" t="s">
        <v>79</v>
      </c>
      <c r="O3034" t="s">
        <v>74</v>
      </c>
      <c r="P3034" t="s">
        <v>74</v>
      </c>
      <c r="Q3034" t="s">
        <v>74</v>
      </c>
      <c r="R3034" t="s">
        <v>74</v>
      </c>
      <c r="S3034" t="s">
        <v>74</v>
      </c>
      <c r="T3034" t="s">
        <v>50146</v>
      </c>
      <c r="U3034" t="s">
        <v>50147</v>
      </c>
      <c r="V3034" t="s">
        <v>50148</v>
      </c>
      <c r="W3034" t="s">
        <v>50149</v>
      </c>
      <c r="X3034" t="s">
        <v>50150</v>
      </c>
      <c r="Y3034" t="s">
        <v>50151</v>
      </c>
      <c r="Z3034" t="s">
        <v>50152</v>
      </c>
      <c r="AA3034" t="s">
        <v>50153</v>
      </c>
      <c r="AB3034" t="s">
        <v>74</v>
      </c>
      <c r="AC3034" t="s">
        <v>15293</v>
      </c>
      <c r="AD3034" t="s">
        <v>8707</v>
      </c>
      <c r="AE3034" t="s">
        <v>3460</v>
      </c>
      <c r="AF3034" t="s">
        <v>74</v>
      </c>
      <c r="AG3034">
        <v>14</v>
      </c>
      <c r="AH3034">
        <v>4</v>
      </c>
      <c r="AI3034">
        <v>4</v>
      </c>
      <c r="AJ3034">
        <v>2</v>
      </c>
      <c r="AK3034">
        <v>16</v>
      </c>
      <c r="AL3034" t="s">
        <v>823</v>
      </c>
      <c r="AM3034" t="s">
        <v>333</v>
      </c>
      <c r="AN3034" t="s">
        <v>824</v>
      </c>
      <c r="AO3034" t="s">
        <v>50154</v>
      </c>
      <c r="AP3034" t="s">
        <v>50155</v>
      </c>
      <c r="AQ3034" t="s">
        <v>74</v>
      </c>
      <c r="AR3034" t="s">
        <v>50156</v>
      </c>
      <c r="AS3034" t="s">
        <v>50157</v>
      </c>
      <c r="AT3034" t="s">
        <v>868</v>
      </c>
      <c r="AU3034">
        <v>2024</v>
      </c>
      <c r="AV3034">
        <v>12</v>
      </c>
      <c r="AW3034">
        <v>4</v>
      </c>
      <c r="AX3034" t="s">
        <v>74</v>
      </c>
      <c r="AY3034" t="s">
        <v>74</v>
      </c>
      <c r="AZ3034" t="s">
        <v>74</v>
      </c>
      <c r="BA3034" t="s">
        <v>74</v>
      </c>
      <c r="BB3034">
        <v>421</v>
      </c>
      <c r="BC3034">
        <v>440</v>
      </c>
      <c r="BD3034" t="s">
        <v>74</v>
      </c>
      <c r="BE3034" t="s">
        <v>50158</v>
      </c>
      <c r="BF3034" t="str">
        <f>HYPERLINK("http://dx.doi.org/10.1080/20954816.2023.2292373","http://dx.doi.org/10.1080/20954816.2023.2292373")</f>
        <v>http://dx.doi.org/10.1080/20954816.2023.2292373</v>
      </c>
      <c r="BG3034" t="s">
        <v>74</v>
      </c>
      <c r="BH3034" t="s">
        <v>239</v>
      </c>
      <c r="BI3034">
        <v>20</v>
      </c>
      <c r="BJ3034" t="s">
        <v>364</v>
      </c>
      <c r="BK3034" t="s">
        <v>313</v>
      </c>
      <c r="BL3034" t="s">
        <v>365</v>
      </c>
      <c r="BM3034" t="s">
        <v>50159</v>
      </c>
      <c r="BN3034" t="s">
        <v>74</v>
      </c>
      <c r="BO3034" t="s">
        <v>74</v>
      </c>
      <c r="BP3034" t="s">
        <v>74</v>
      </c>
      <c r="BQ3034" t="s">
        <v>74</v>
      </c>
      <c r="BR3034" t="s">
        <v>102</v>
      </c>
      <c r="BS3034" t="s">
        <v>50160</v>
      </c>
      <c r="BT3034" t="str">
        <f>HYPERLINK("https%3A%2F%2Fwww.webofscience.com%2Fwos%2Fwoscc%2Ffull-record%2FWOS:001149462400001","View Full Record in Web of Science")</f>
        <v>View Full Record in Web of Science</v>
      </c>
    </row>
    <row r="3035" spans="1:72" x14ac:dyDescent="0.25">
      <c r="A3035" t="s">
        <v>72</v>
      </c>
      <c r="B3035" t="s">
        <v>50161</v>
      </c>
      <c r="C3035" t="s">
        <v>74</v>
      </c>
      <c r="D3035" t="s">
        <v>74</v>
      </c>
      <c r="E3035" t="s">
        <v>74</v>
      </c>
      <c r="F3035" t="s">
        <v>50162</v>
      </c>
      <c r="G3035" t="s">
        <v>74</v>
      </c>
      <c r="H3035" t="s">
        <v>74</v>
      </c>
      <c r="I3035" t="s">
        <v>50163</v>
      </c>
      <c r="J3035" t="s">
        <v>12339</v>
      </c>
      <c r="K3035" t="s">
        <v>74</v>
      </c>
      <c r="L3035" t="s">
        <v>74</v>
      </c>
      <c r="M3035" t="s">
        <v>78</v>
      </c>
      <c r="N3035" t="s">
        <v>79</v>
      </c>
      <c r="O3035" t="s">
        <v>74</v>
      </c>
      <c r="P3035" t="s">
        <v>74</v>
      </c>
      <c r="Q3035" t="s">
        <v>74</v>
      </c>
      <c r="R3035" t="s">
        <v>74</v>
      </c>
      <c r="S3035" t="s">
        <v>74</v>
      </c>
      <c r="T3035" t="s">
        <v>50164</v>
      </c>
      <c r="U3035" t="s">
        <v>50165</v>
      </c>
      <c r="V3035" t="s">
        <v>50166</v>
      </c>
      <c r="W3035" t="s">
        <v>50167</v>
      </c>
      <c r="X3035" t="s">
        <v>33448</v>
      </c>
      <c r="Y3035" t="s">
        <v>50168</v>
      </c>
      <c r="Z3035" t="s">
        <v>10878</v>
      </c>
      <c r="AA3035" t="s">
        <v>50169</v>
      </c>
      <c r="AB3035" t="s">
        <v>50170</v>
      </c>
      <c r="AC3035" t="s">
        <v>74</v>
      </c>
      <c r="AD3035" t="s">
        <v>74</v>
      </c>
      <c r="AE3035" t="s">
        <v>74</v>
      </c>
      <c r="AF3035" t="s">
        <v>74</v>
      </c>
      <c r="AG3035">
        <v>72</v>
      </c>
      <c r="AH3035">
        <v>28</v>
      </c>
      <c r="AI3035">
        <v>44</v>
      </c>
      <c r="AJ3035">
        <v>1</v>
      </c>
      <c r="AK3035">
        <v>47</v>
      </c>
      <c r="AL3035" t="s">
        <v>823</v>
      </c>
      <c r="AM3035" t="s">
        <v>333</v>
      </c>
      <c r="AN3035" t="s">
        <v>824</v>
      </c>
      <c r="AO3035" t="s">
        <v>12352</v>
      </c>
      <c r="AP3035" t="s">
        <v>12353</v>
      </c>
      <c r="AQ3035" t="s">
        <v>74</v>
      </c>
      <c r="AR3035" t="s">
        <v>12354</v>
      </c>
      <c r="AS3035" t="s">
        <v>12355</v>
      </c>
      <c r="AT3035" t="s">
        <v>74</v>
      </c>
      <c r="AU3035">
        <v>2016</v>
      </c>
      <c r="AV3035">
        <v>35</v>
      </c>
      <c r="AW3035">
        <v>10</v>
      </c>
      <c r="AX3035" t="s">
        <v>74</v>
      </c>
      <c r="AY3035" t="s">
        <v>74</v>
      </c>
      <c r="AZ3035" t="s">
        <v>74</v>
      </c>
      <c r="BA3035" t="s">
        <v>74</v>
      </c>
      <c r="BB3035">
        <v>817</v>
      </c>
      <c r="BC3035">
        <v>832</v>
      </c>
      <c r="BD3035" t="s">
        <v>74</v>
      </c>
      <c r="BE3035" t="s">
        <v>50171</v>
      </c>
      <c r="BF3035" t="str">
        <f>HYPERLINK("http://dx.doi.org/10.1080/0144929X.2016.1183711","http://dx.doi.org/10.1080/0144929X.2016.1183711")</f>
        <v>http://dx.doi.org/10.1080/0144929X.2016.1183711</v>
      </c>
      <c r="BG3035" t="s">
        <v>74</v>
      </c>
      <c r="BH3035" t="s">
        <v>74</v>
      </c>
      <c r="BI3035">
        <v>16</v>
      </c>
      <c r="BJ3035" t="s">
        <v>12357</v>
      </c>
      <c r="BK3035" t="s">
        <v>2623</v>
      </c>
      <c r="BL3035" t="s">
        <v>981</v>
      </c>
      <c r="BM3035" t="s">
        <v>50172</v>
      </c>
      <c r="BN3035" t="s">
        <v>74</v>
      </c>
      <c r="BO3035" t="s">
        <v>74</v>
      </c>
      <c r="BP3035" t="s">
        <v>74</v>
      </c>
      <c r="BQ3035" t="s">
        <v>74</v>
      </c>
      <c r="BR3035" t="s">
        <v>102</v>
      </c>
      <c r="BS3035" t="s">
        <v>50173</v>
      </c>
      <c r="BT3035" t="str">
        <f>HYPERLINK("https%3A%2F%2Fwww.webofscience.com%2Fwos%2Fwoscc%2Ffull-record%2FWOS:000382332500005","View Full Record in Web of Science")</f>
        <v>View Full Record in Web of Science</v>
      </c>
    </row>
    <row r="3036" spans="1:72" x14ac:dyDescent="0.25">
      <c r="A3036" t="s">
        <v>72</v>
      </c>
      <c r="B3036" t="s">
        <v>50174</v>
      </c>
      <c r="C3036" t="s">
        <v>74</v>
      </c>
      <c r="D3036" t="s">
        <v>74</v>
      </c>
      <c r="E3036" t="s">
        <v>74</v>
      </c>
      <c r="F3036" t="s">
        <v>50175</v>
      </c>
      <c r="G3036" t="s">
        <v>74</v>
      </c>
      <c r="H3036" t="s">
        <v>74</v>
      </c>
      <c r="I3036" t="s">
        <v>50176</v>
      </c>
      <c r="J3036" t="s">
        <v>4822</v>
      </c>
      <c r="K3036" t="s">
        <v>74</v>
      </c>
      <c r="L3036" t="s">
        <v>74</v>
      </c>
      <c r="M3036" t="s">
        <v>78</v>
      </c>
      <c r="N3036" t="s">
        <v>79</v>
      </c>
      <c r="O3036" t="s">
        <v>74</v>
      </c>
      <c r="P3036" t="s">
        <v>74</v>
      </c>
      <c r="Q3036" t="s">
        <v>74</v>
      </c>
      <c r="R3036" t="s">
        <v>74</v>
      </c>
      <c r="S3036" t="s">
        <v>74</v>
      </c>
      <c r="T3036" t="s">
        <v>50177</v>
      </c>
      <c r="U3036" t="s">
        <v>50178</v>
      </c>
      <c r="V3036" t="s">
        <v>50179</v>
      </c>
      <c r="W3036" t="s">
        <v>50180</v>
      </c>
      <c r="X3036" t="s">
        <v>50181</v>
      </c>
      <c r="Y3036" t="s">
        <v>50182</v>
      </c>
      <c r="Z3036" t="s">
        <v>50183</v>
      </c>
      <c r="AA3036" t="s">
        <v>50184</v>
      </c>
      <c r="AB3036" t="s">
        <v>50185</v>
      </c>
      <c r="AC3036" t="s">
        <v>74</v>
      </c>
      <c r="AD3036" t="s">
        <v>74</v>
      </c>
      <c r="AE3036" t="s">
        <v>74</v>
      </c>
      <c r="AF3036" t="s">
        <v>74</v>
      </c>
      <c r="AG3036">
        <v>75</v>
      </c>
      <c r="AH3036">
        <v>20</v>
      </c>
      <c r="AI3036">
        <v>23</v>
      </c>
      <c r="AJ3036">
        <v>6</v>
      </c>
      <c r="AK3036">
        <v>40</v>
      </c>
      <c r="AL3036" t="s">
        <v>201</v>
      </c>
      <c r="AM3036" t="s">
        <v>202</v>
      </c>
      <c r="AN3036" t="s">
        <v>203</v>
      </c>
      <c r="AO3036" t="s">
        <v>4833</v>
      </c>
      <c r="AP3036" t="s">
        <v>74</v>
      </c>
      <c r="AQ3036" t="s">
        <v>74</v>
      </c>
      <c r="AR3036" t="s">
        <v>4834</v>
      </c>
      <c r="AS3036" t="s">
        <v>4835</v>
      </c>
      <c r="AT3036" t="s">
        <v>605</v>
      </c>
      <c r="AU3036">
        <v>2022</v>
      </c>
      <c r="AV3036">
        <v>73</v>
      </c>
      <c r="AW3036" t="s">
        <v>74</v>
      </c>
      <c r="AX3036" t="s">
        <v>74</v>
      </c>
      <c r="AY3036" t="s">
        <v>74</v>
      </c>
      <c r="AZ3036" t="s">
        <v>74</v>
      </c>
      <c r="BA3036" t="s">
        <v>74</v>
      </c>
      <c r="BB3036">
        <v>588</v>
      </c>
      <c r="BC3036">
        <v>601</v>
      </c>
      <c r="BD3036" t="s">
        <v>74</v>
      </c>
      <c r="BE3036" t="s">
        <v>50186</v>
      </c>
      <c r="BF3036" t="str">
        <f>HYPERLINK("http://dx.doi.org/10.1016/j.eap.2021.12.015","http://dx.doi.org/10.1016/j.eap.2021.12.015")</f>
        <v>http://dx.doi.org/10.1016/j.eap.2021.12.015</v>
      </c>
      <c r="BG3036" t="s">
        <v>74</v>
      </c>
      <c r="BH3036" t="s">
        <v>6548</v>
      </c>
      <c r="BI3036">
        <v>14</v>
      </c>
      <c r="BJ3036" t="s">
        <v>291</v>
      </c>
      <c r="BK3036" t="s">
        <v>99</v>
      </c>
      <c r="BL3036" t="s">
        <v>100</v>
      </c>
      <c r="BM3036" t="s">
        <v>50187</v>
      </c>
      <c r="BN3036" t="s">
        <v>74</v>
      </c>
      <c r="BO3036" t="s">
        <v>74</v>
      </c>
      <c r="BP3036" t="s">
        <v>74</v>
      </c>
      <c r="BQ3036" t="s">
        <v>74</v>
      </c>
      <c r="BR3036" t="s">
        <v>102</v>
      </c>
      <c r="BS3036" t="s">
        <v>50188</v>
      </c>
      <c r="BT3036" t="str">
        <f>HYPERLINK("https%3A%2F%2Fwww.webofscience.com%2Fwos%2Fwoscc%2Ffull-record%2FWOS:000788739700007","View Full Record in Web of Science")</f>
        <v>View Full Record in Web of Science</v>
      </c>
    </row>
    <row r="3037" spans="1:72" x14ac:dyDescent="0.25">
      <c r="A3037" t="s">
        <v>72</v>
      </c>
      <c r="B3037" t="s">
        <v>50189</v>
      </c>
      <c r="C3037" t="s">
        <v>74</v>
      </c>
      <c r="D3037" t="s">
        <v>74</v>
      </c>
      <c r="E3037" t="s">
        <v>74</v>
      </c>
      <c r="F3037" t="s">
        <v>50190</v>
      </c>
      <c r="G3037" t="s">
        <v>74</v>
      </c>
      <c r="H3037" t="s">
        <v>74</v>
      </c>
      <c r="I3037" t="s">
        <v>50191</v>
      </c>
      <c r="J3037" t="s">
        <v>50192</v>
      </c>
      <c r="K3037" t="s">
        <v>74</v>
      </c>
      <c r="L3037" t="s">
        <v>74</v>
      </c>
      <c r="M3037" t="s">
        <v>78</v>
      </c>
      <c r="N3037" t="s">
        <v>1766</v>
      </c>
      <c r="O3037" t="s">
        <v>74</v>
      </c>
      <c r="P3037" t="s">
        <v>74</v>
      </c>
      <c r="Q3037" t="s">
        <v>74</v>
      </c>
      <c r="R3037" t="s">
        <v>74</v>
      </c>
      <c r="S3037" t="s">
        <v>74</v>
      </c>
      <c r="T3037" t="s">
        <v>50193</v>
      </c>
      <c r="U3037" t="s">
        <v>50194</v>
      </c>
      <c r="V3037" t="s">
        <v>50195</v>
      </c>
      <c r="W3037" t="s">
        <v>50196</v>
      </c>
      <c r="X3037" t="s">
        <v>74</v>
      </c>
      <c r="Y3037" t="s">
        <v>50197</v>
      </c>
      <c r="Z3037" t="s">
        <v>50198</v>
      </c>
      <c r="AA3037" t="s">
        <v>74</v>
      </c>
      <c r="AB3037" t="s">
        <v>74</v>
      </c>
      <c r="AC3037" t="s">
        <v>74</v>
      </c>
      <c r="AD3037" t="s">
        <v>74</v>
      </c>
      <c r="AE3037" t="s">
        <v>74</v>
      </c>
      <c r="AF3037" t="s">
        <v>74</v>
      </c>
      <c r="AG3037">
        <v>56</v>
      </c>
      <c r="AH3037">
        <v>0</v>
      </c>
      <c r="AI3037">
        <v>0</v>
      </c>
      <c r="AJ3037">
        <v>3</v>
      </c>
      <c r="AK3037">
        <v>3</v>
      </c>
      <c r="AL3037" t="s">
        <v>2371</v>
      </c>
      <c r="AM3037" t="s">
        <v>2372</v>
      </c>
      <c r="AN3037" t="s">
        <v>2373</v>
      </c>
      <c r="AO3037" t="s">
        <v>50199</v>
      </c>
      <c r="AP3037" t="s">
        <v>50200</v>
      </c>
      <c r="AQ3037" t="s">
        <v>74</v>
      </c>
      <c r="AR3037" t="s">
        <v>50201</v>
      </c>
      <c r="AS3037" t="s">
        <v>50202</v>
      </c>
      <c r="AT3037" t="s">
        <v>74</v>
      </c>
      <c r="AU3037">
        <v>2025</v>
      </c>
      <c r="AV3037">
        <v>9</v>
      </c>
      <c r="AW3037">
        <v>3</v>
      </c>
      <c r="AX3037" t="s">
        <v>74</v>
      </c>
      <c r="AY3037" t="s">
        <v>74</v>
      </c>
      <c r="AZ3037" t="s">
        <v>74</v>
      </c>
      <c r="BA3037" t="s">
        <v>74</v>
      </c>
      <c r="BB3037">
        <v>247</v>
      </c>
      <c r="BC3037">
        <v>265</v>
      </c>
      <c r="BD3037" t="s">
        <v>74</v>
      </c>
      <c r="BE3037" t="s">
        <v>50203</v>
      </c>
      <c r="BF3037" t="str">
        <f>HYPERLINK("http://dx.doi.org/10.1504/IJHD.2025.147939","http://dx.doi.org/10.1504/IJHD.2025.147939")</f>
        <v>http://dx.doi.org/10.1504/IJHD.2025.147939</v>
      </c>
      <c r="BG3037" t="s">
        <v>74</v>
      </c>
      <c r="BH3037" t="s">
        <v>74</v>
      </c>
      <c r="BI3037">
        <v>19</v>
      </c>
      <c r="BJ3037" t="s">
        <v>364</v>
      </c>
      <c r="BK3037" t="s">
        <v>313</v>
      </c>
      <c r="BL3037" t="s">
        <v>365</v>
      </c>
      <c r="BM3037" t="s">
        <v>50204</v>
      </c>
      <c r="BN3037" t="s">
        <v>74</v>
      </c>
      <c r="BO3037" t="s">
        <v>74</v>
      </c>
      <c r="BP3037" t="s">
        <v>74</v>
      </c>
      <c r="BQ3037" t="s">
        <v>74</v>
      </c>
      <c r="BR3037" t="s">
        <v>102</v>
      </c>
      <c r="BS3037" t="s">
        <v>50205</v>
      </c>
      <c r="BT3037" t="str">
        <f>HYPERLINK("https%3A%2F%2Fwww.webofscience.com%2Fwos%2Fwoscc%2Ffull-record%2FWOS:001548735200001","View Full Record in Web of Science")</f>
        <v>View Full Record in Web of Science</v>
      </c>
    </row>
    <row r="3038" spans="1:72" x14ac:dyDescent="0.25">
      <c r="A3038" t="s">
        <v>72</v>
      </c>
      <c r="B3038" t="s">
        <v>50206</v>
      </c>
      <c r="C3038" t="s">
        <v>74</v>
      </c>
      <c r="D3038" t="s">
        <v>74</v>
      </c>
      <c r="E3038" t="s">
        <v>74</v>
      </c>
      <c r="F3038" t="s">
        <v>50207</v>
      </c>
      <c r="G3038" t="s">
        <v>74</v>
      </c>
      <c r="H3038" t="s">
        <v>74</v>
      </c>
      <c r="I3038" t="s">
        <v>50208</v>
      </c>
      <c r="J3038" t="s">
        <v>27351</v>
      </c>
      <c r="K3038" t="s">
        <v>74</v>
      </c>
      <c r="L3038" t="s">
        <v>74</v>
      </c>
      <c r="M3038" t="s">
        <v>78</v>
      </c>
      <c r="N3038" t="s">
        <v>79</v>
      </c>
      <c r="O3038" t="s">
        <v>74</v>
      </c>
      <c r="P3038" t="s">
        <v>74</v>
      </c>
      <c r="Q3038" t="s">
        <v>74</v>
      </c>
      <c r="R3038" t="s">
        <v>74</v>
      </c>
      <c r="S3038" t="s">
        <v>74</v>
      </c>
      <c r="T3038" t="s">
        <v>50209</v>
      </c>
      <c r="U3038" t="s">
        <v>50210</v>
      </c>
      <c r="V3038" t="s">
        <v>50211</v>
      </c>
      <c r="W3038" t="s">
        <v>50212</v>
      </c>
      <c r="X3038" t="s">
        <v>31913</v>
      </c>
      <c r="Y3038" t="s">
        <v>50213</v>
      </c>
      <c r="Z3038" t="s">
        <v>50214</v>
      </c>
      <c r="AA3038" t="s">
        <v>50215</v>
      </c>
      <c r="AB3038" t="s">
        <v>50216</v>
      </c>
      <c r="AC3038" t="s">
        <v>74</v>
      </c>
      <c r="AD3038" t="s">
        <v>74</v>
      </c>
      <c r="AE3038" t="s">
        <v>74</v>
      </c>
      <c r="AF3038" t="s">
        <v>74</v>
      </c>
      <c r="AG3038">
        <v>64</v>
      </c>
      <c r="AH3038">
        <v>57</v>
      </c>
      <c r="AI3038">
        <v>71</v>
      </c>
      <c r="AJ3038">
        <v>1</v>
      </c>
      <c r="AK3038">
        <v>37</v>
      </c>
      <c r="AL3038" t="s">
        <v>89</v>
      </c>
      <c r="AM3038" t="s">
        <v>90</v>
      </c>
      <c r="AN3038" t="s">
        <v>91</v>
      </c>
      <c r="AO3038" t="s">
        <v>27338</v>
      </c>
      <c r="AP3038" t="s">
        <v>74</v>
      </c>
      <c r="AQ3038" t="s">
        <v>74</v>
      </c>
      <c r="AR3038" t="s">
        <v>27337</v>
      </c>
      <c r="AS3038" t="s">
        <v>27336</v>
      </c>
      <c r="AT3038" t="s">
        <v>4513</v>
      </c>
      <c r="AU3038">
        <v>2021</v>
      </c>
      <c r="AV3038">
        <v>35</v>
      </c>
      <c r="AW3038">
        <v>7</v>
      </c>
      <c r="AX3038" t="s">
        <v>74</v>
      </c>
      <c r="AY3038" t="s">
        <v>74</v>
      </c>
      <c r="AZ3038" t="s">
        <v>441</v>
      </c>
      <c r="BA3038" t="s">
        <v>74</v>
      </c>
      <c r="BB3038">
        <v>947</v>
      </c>
      <c r="BC3038">
        <v>961</v>
      </c>
      <c r="BD3038" t="s">
        <v>74</v>
      </c>
      <c r="BE3038" t="s">
        <v>50217</v>
      </c>
      <c r="BF3038" t="str">
        <f>HYPERLINK("http://dx.doi.org/10.1108/JSM-07-2020-0280","http://dx.doi.org/10.1108/JSM-07-2020-0280")</f>
        <v>http://dx.doi.org/10.1108/JSM-07-2020-0280</v>
      </c>
      <c r="BG3038" t="s">
        <v>74</v>
      </c>
      <c r="BH3038" t="s">
        <v>11151</v>
      </c>
      <c r="BI3038">
        <v>15</v>
      </c>
      <c r="BJ3038" t="s">
        <v>418</v>
      </c>
      <c r="BK3038" t="s">
        <v>99</v>
      </c>
      <c r="BL3038" t="s">
        <v>100</v>
      </c>
      <c r="BM3038" t="s">
        <v>50218</v>
      </c>
      <c r="BN3038" t="s">
        <v>74</v>
      </c>
      <c r="BO3038" t="s">
        <v>74</v>
      </c>
      <c r="BP3038" t="s">
        <v>74</v>
      </c>
      <c r="BQ3038" t="s">
        <v>74</v>
      </c>
      <c r="BR3038" t="s">
        <v>102</v>
      </c>
      <c r="BS3038" t="s">
        <v>50219</v>
      </c>
      <c r="BT3038" t="str">
        <f>HYPERLINK("https%3A%2F%2Fwww.webofscience.com%2Fwos%2Fwoscc%2Ffull-record%2FWOS:000672685000001","View Full Record in Web of Science")</f>
        <v>View Full Record in Web of Science</v>
      </c>
    </row>
    <row r="3039" spans="1:72" x14ac:dyDescent="0.25">
      <c r="A3039" t="s">
        <v>72</v>
      </c>
      <c r="B3039" t="s">
        <v>50220</v>
      </c>
      <c r="C3039" t="s">
        <v>74</v>
      </c>
      <c r="D3039" t="s">
        <v>74</v>
      </c>
      <c r="E3039" t="s">
        <v>74</v>
      </c>
      <c r="F3039" t="s">
        <v>50221</v>
      </c>
      <c r="G3039" t="s">
        <v>74</v>
      </c>
      <c r="H3039" t="s">
        <v>74</v>
      </c>
      <c r="I3039" t="s">
        <v>50222</v>
      </c>
      <c r="J3039" t="s">
        <v>18344</v>
      </c>
      <c r="K3039" t="s">
        <v>74</v>
      </c>
      <c r="L3039" t="s">
        <v>74</v>
      </c>
      <c r="M3039" t="s">
        <v>78</v>
      </c>
      <c r="N3039" t="s">
        <v>372</v>
      </c>
      <c r="O3039" t="s">
        <v>74</v>
      </c>
      <c r="P3039" t="s">
        <v>74</v>
      </c>
      <c r="Q3039" t="s">
        <v>74</v>
      </c>
      <c r="R3039" t="s">
        <v>74</v>
      </c>
      <c r="S3039" t="s">
        <v>74</v>
      </c>
      <c r="T3039" t="s">
        <v>50223</v>
      </c>
      <c r="U3039" t="s">
        <v>50224</v>
      </c>
      <c r="V3039" t="s">
        <v>50225</v>
      </c>
      <c r="W3039" t="s">
        <v>50226</v>
      </c>
      <c r="X3039" t="s">
        <v>50227</v>
      </c>
      <c r="Y3039" t="s">
        <v>50228</v>
      </c>
      <c r="Z3039" t="s">
        <v>50229</v>
      </c>
      <c r="AA3039" t="s">
        <v>74</v>
      </c>
      <c r="AB3039" t="s">
        <v>74</v>
      </c>
      <c r="AC3039" t="s">
        <v>50230</v>
      </c>
      <c r="AD3039" t="s">
        <v>50231</v>
      </c>
      <c r="AE3039" t="s">
        <v>50232</v>
      </c>
      <c r="AF3039" t="s">
        <v>74</v>
      </c>
      <c r="AG3039">
        <v>74</v>
      </c>
      <c r="AH3039">
        <v>0</v>
      </c>
      <c r="AI3039">
        <v>0</v>
      </c>
      <c r="AJ3039">
        <v>0</v>
      </c>
      <c r="AK3039">
        <v>0</v>
      </c>
      <c r="AL3039" t="s">
        <v>89</v>
      </c>
      <c r="AM3039" t="s">
        <v>90</v>
      </c>
      <c r="AN3039" t="s">
        <v>91</v>
      </c>
      <c r="AO3039" t="s">
        <v>18354</v>
      </c>
      <c r="AP3039" t="s">
        <v>18355</v>
      </c>
      <c r="AQ3039" t="s">
        <v>74</v>
      </c>
      <c r="AR3039" t="s">
        <v>18356</v>
      </c>
      <c r="AS3039" t="s">
        <v>18357</v>
      </c>
      <c r="AT3039" t="s">
        <v>50233</v>
      </c>
      <c r="AU3039">
        <v>2026</v>
      </c>
      <c r="AV3039" t="s">
        <v>74</v>
      </c>
      <c r="AW3039" t="s">
        <v>74</v>
      </c>
      <c r="AX3039" t="s">
        <v>74</v>
      </c>
      <c r="AY3039" t="s">
        <v>74</v>
      </c>
      <c r="AZ3039" t="s">
        <v>74</v>
      </c>
      <c r="BA3039" t="s">
        <v>74</v>
      </c>
      <c r="BB3039" t="s">
        <v>74</v>
      </c>
      <c r="BC3039" t="s">
        <v>74</v>
      </c>
      <c r="BD3039" t="s">
        <v>74</v>
      </c>
      <c r="BE3039" t="s">
        <v>50234</v>
      </c>
      <c r="BF3039" t="str">
        <f>HYPERLINK("http://dx.doi.org/10.1108/IJOES-12-2024-0415","http://dx.doi.org/10.1108/IJOES-12-2024-0415")</f>
        <v>http://dx.doi.org/10.1108/IJOES-12-2024-0415</v>
      </c>
      <c r="BG3039" t="s">
        <v>74</v>
      </c>
      <c r="BH3039" t="s">
        <v>5952</v>
      </c>
      <c r="BI3039">
        <v>26</v>
      </c>
      <c r="BJ3039" t="s">
        <v>291</v>
      </c>
      <c r="BK3039" t="s">
        <v>313</v>
      </c>
      <c r="BL3039" t="s">
        <v>100</v>
      </c>
      <c r="BM3039" t="s">
        <v>50235</v>
      </c>
      <c r="BN3039" t="s">
        <v>74</v>
      </c>
      <c r="BO3039" t="s">
        <v>74</v>
      </c>
      <c r="BP3039" t="s">
        <v>74</v>
      </c>
      <c r="BQ3039" t="s">
        <v>74</v>
      </c>
      <c r="BR3039" t="s">
        <v>102</v>
      </c>
      <c r="BS3039" t="s">
        <v>50236</v>
      </c>
      <c r="BT3039" t="str">
        <f>HYPERLINK("https%3A%2F%2Fwww.webofscience.com%2Fwos%2Fwoscc%2Ffull-record%2FWOS:001655124000001","View Full Record in Web of Science")</f>
        <v>View Full Record in Web of Science</v>
      </c>
    </row>
    <row r="3040" spans="1:72" x14ac:dyDescent="0.25">
      <c r="A3040" t="s">
        <v>72</v>
      </c>
      <c r="B3040" t="s">
        <v>50237</v>
      </c>
      <c r="C3040" t="s">
        <v>74</v>
      </c>
      <c r="D3040" t="s">
        <v>74</v>
      </c>
      <c r="E3040" t="s">
        <v>74</v>
      </c>
      <c r="F3040" t="s">
        <v>50238</v>
      </c>
      <c r="G3040" t="s">
        <v>74</v>
      </c>
      <c r="H3040" t="s">
        <v>74</v>
      </c>
      <c r="I3040" t="s">
        <v>50239</v>
      </c>
      <c r="J3040" t="s">
        <v>18133</v>
      </c>
      <c r="K3040" t="s">
        <v>74</v>
      </c>
      <c r="L3040" t="s">
        <v>74</v>
      </c>
      <c r="M3040" t="s">
        <v>78</v>
      </c>
      <c r="N3040" t="s">
        <v>79</v>
      </c>
      <c r="O3040" t="s">
        <v>74</v>
      </c>
      <c r="P3040" t="s">
        <v>74</v>
      </c>
      <c r="Q3040" t="s">
        <v>74</v>
      </c>
      <c r="R3040" t="s">
        <v>74</v>
      </c>
      <c r="S3040" t="s">
        <v>74</v>
      </c>
      <c r="T3040" t="s">
        <v>50240</v>
      </c>
      <c r="U3040" t="s">
        <v>50241</v>
      </c>
      <c r="V3040" t="s">
        <v>50242</v>
      </c>
      <c r="W3040" t="s">
        <v>50243</v>
      </c>
      <c r="X3040" t="s">
        <v>50244</v>
      </c>
      <c r="Y3040" t="s">
        <v>50245</v>
      </c>
      <c r="Z3040" t="s">
        <v>50246</v>
      </c>
      <c r="AA3040" t="s">
        <v>50247</v>
      </c>
      <c r="AB3040" t="s">
        <v>50248</v>
      </c>
      <c r="AC3040" t="s">
        <v>50249</v>
      </c>
      <c r="AD3040" t="s">
        <v>50250</v>
      </c>
      <c r="AE3040" t="s">
        <v>50251</v>
      </c>
      <c r="AF3040" t="s">
        <v>74</v>
      </c>
      <c r="AG3040">
        <v>57</v>
      </c>
      <c r="AH3040">
        <v>0</v>
      </c>
      <c r="AI3040">
        <v>0</v>
      </c>
      <c r="AJ3040">
        <v>1</v>
      </c>
      <c r="AK3040">
        <v>7</v>
      </c>
      <c r="AL3040" t="s">
        <v>18142</v>
      </c>
      <c r="AM3040" t="s">
        <v>7673</v>
      </c>
      <c r="AN3040" t="s">
        <v>18143</v>
      </c>
      <c r="AO3040" t="s">
        <v>18144</v>
      </c>
      <c r="AP3040" t="s">
        <v>50252</v>
      </c>
      <c r="AQ3040" t="s">
        <v>74</v>
      </c>
      <c r="AR3040" t="s">
        <v>18145</v>
      </c>
      <c r="AS3040" t="s">
        <v>18146</v>
      </c>
      <c r="AT3040" t="s">
        <v>743</v>
      </c>
      <c r="AU3040">
        <v>2022</v>
      </c>
      <c r="AV3040">
        <v>23</v>
      </c>
      <c r="AW3040">
        <v>187</v>
      </c>
      <c r="AX3040" t="s">
        <v>74</v>
      </c>
      <c r="AY3040" t="s">
        <v>74</v>
      </c>
      <c r="AZ3040" t="s">
        <v>74</v>
      </c>
      <c r="BA3040" t="s">
        <v>74</v>
      </c>
      <c r="BB3040">
        <v>180</v>
      </c>
      <c r="BC3040">
        <v>191</v>
      </c>
      <c r="BD3040" t="s">
        <v>74</v>
      </c>
      <c r="BE3040" t="s">
        <v>50253</v>
      </c>
      <c r="BF3040" t="str">
        <f>HYPERLINK("http://dx.doi.org/10.47750/QAS/23.187.23","http://dx.doi.org/10.47750/QAS/23.187.23")</f>
        <v>http://dx.doi.org/10.47750/QAS/23.187.23</v>
      </c>
      <c r="BG3040" t="s">
        <v>74</v>
      </c>
      <c r="BH3040" t="s">
        <v>74</v>
      </c>
      <c r="BI3040">
        <v>12</v>
      </c>
      <c r="BJ3040" t="s">
        <v>583</v>
      </c>
      <c r="BK3040" t="s">
        <v>313</v>
      </c>
      <c r="BL3040" t="s">
        <v>100</v>
      </c>
      <c r="BM3040" t="s">
        <v>50254</v>
      </c>
      <c r="BN3040" t="s">
        <v>74</v>
      </c>
      <c r="BO3040" t="s">
        <v>212</v>
      </c>
      <c r="BP3040" t="s">
        <v>74</v>
      </c>
      <c r="BQ3040" t="s">
        <v>74</v>
      </c>
      <c r="BR3040" t="s">
        <v>102</v>
      </c>
      <c r="BS3040" t="s">
        <v>50255</v>
      </c>
      <c r="BT3040" t="str">
        <f>HYPERLINK("https%3A%2F%2Fwww.webofscience.com%2Fwos%2Fwoscc%2Ffull-record%2FWOS:000782185300023","View Full Record in Web of Science")</f>
        <v>View Full Record in Web of Science</v>
      </c>
    </row>
    <row r="3041" spans="1:72" x14ac:dyDescent="0.25">
      <c r="A3041" t="s">
        <v>72</v>
      </c>
      <c r="B3041" t="s">
        <v>50256</v>
      </c>
      <c r="C3041" t="s">
        <v>74</v>
      </c>
      <c r="D3041" t="s">
        <v>74</v>
      </c>
      <c r="E3041" t="s">
        <v>74</v>
      </c>
      <c r="F3041" t="s">
        <v>50257</v>
      </c>
      <c r="G3041" t="s">
        <v>74</v>
      </c>
      <c r="H3041" t="s">
        <v>74</v>
      </c>
      <c r="I3041" t="s">
        <v>50258</v>
      </c>
      <c r="J3041" t="s">
        <v>20213</v>
      </c>
      <c r="K3041" t="s">
        <v>74</v>
      </c>
      <c r="L3041" t="s">
        <v>74</v>
      </c>
      <c r="M3041" t="s">
        <v>78</v>
      </c>
      <c r="N3041" t="s">
        <v>79</v>
      </c>
      <c r="O3041" t="s">
        <v>74</v>
      </c>
      <c r="P3041" t="s">
        <v>74</v>
      </c>
      <c r="Q3041" t="s">
        <v>74</v>
      </c>
      <c r="R3041" t="s">
        <v>74</v>
      </c>
      <c r="S3041" t="s">
        <v>74</v>
      </c>
      <c r="T3041" t="s">
        <v>50259</v>
      </c>
      <c r="U3041" t="s">
        <v>50260</v>
      </c>
      <c r="V3041" t="s">
        <v>50261</v>
      </c>
      <c r="W3041" t="s">
        <v>50262</v>
      </c>
      <c r="X3041" t="s">
        <v>28049</v>
      </c>
      <c r="Y3041" t="s">
        <v>50263</v>
      </c>
      <c r="Z3041" t="s">
        <v>50264</v>
      </c>
      <c r="AA3041" t="s">
        <v>74</v>
      </c>
      <c r="AB3041" t="s">
        <v>74</v>
      </c>
      <c r="AC3041" t="s">
        <v>74</v>
      </c>
      <c r="AD3041" t="s">
        <v>74</v>
      </c>
      <c r="AE3041" t="s">
        <v>74</v>
      </c>
      <c r="AF3041" t="s">
        <v>74</v>
      </c>
      <c r="AG3041">
        <v>69</v>
      </c>
      <c r="AH3041">
        <v>2</v>
      </c>
      <c r="AI3041">
        <v>3</v>
      </c>
      <c r="AJ3041">
        <v>0</v>
      </c>
      <c r="AK3041">
        <v>4</v>
      </c>
      <c r="AL3041" t="s">
        <v>89</v>
      </c>
      <c r="AM3041" t="s">
        <v>90</v>
      </c>
      <c r="AN3041" t="s">
        <v>91</v>
      </c>
      <c r="AO3041" t="s">
        <v>20205</v>
      </c>
      <c r="AP3041" t="s">
        <v>20204</v>
      </c>
      <c r="AQ3041" t="s">
        <v>74</v>
      </c>
      <c r="AR3041" t="s">
        <v>20203</v>
      </c>
      <c r="AS3041" t="s">
        <v>20202</v>
      </c>
      <c r="AT3041" t="s">
        <v>11018</v>
      </c>
      <c r="AU3041">
        <v>2025</v>
      </c>
      <c r="AV3041">
        <v>16</v>
      </c>
      <c r="AW3041">
        <v>8</v>
      </c>
      <c r="AX3041" t="s">
        <v>74</v>
      </c>
      <c r="AY3041" t="s">
        <v>74</v>
      </c>
      <c r="AZ3041" t="s">
        <v>74</v>
      </c>
      <c r="BA3041" t="s">
        <v>74</v>
      </c>
      <c r="BB3041">
        <v>1462</v>
      </c>
      <c r="BC3041">
        <v>1486</v>
      </c>
      <c r="BD3041" t="s">
        <v>74</v>
      </c>
      <c r="BE3041" t="s">
        <v>50265</v>
      </c>
      <c r="BF3041" t="str">
        <f>HYPERLINK("http://dx.doi.org/10.1108/JIABR-09-2023-0308","http://dx.doi.org/10.1108/JIABR-09-2023-0308")</f>
        <v>http://dx.doi.org/10.1108/JIABR-09-2023-0308</v>
      </c>
      <c r="BG3041" t="s">
        <v>74</v>
      </c>
      <c r="BH3041" t="s">
        <v>1239</v>
      </c>
      <c r="BI3041">
        <v>25</v>
      </c>
      <c r="BJ3041" t="s">
        <v>268</v>
      </c>
      <c r="BK3041" t="s">
        <v>313</v>
      </c>
      <c r="BL3041" t="s">
        <v>100</v>
      </c>
      <c r="BM3041" t="s">
        <v>50266</v>
      </c>
      <c r="BN3041" t="s">
        <v>74</v>
      </c>
      <c r="BO3041" t="s">
        <v>74</v>
      </c>
      <c r="BP3041" t="s">
        <v>74</v>
      </c>
      <c r="BQ3041" t="s">
        <v>74</v>
      </c>
      <c r="BR3041" t="s">
        <v>102</v>
      </c>
      <c r="BS3041" t="s">
        <v>50267</v>
      </c>
      <c r="BT3041" t="str">
        <f>HYPERLINK("https%3A%2F%2Fwww.webofscience.com%2Fwos%2Fwoscc%2Ffull-record%2FWOS:001160455100001","View Full Record in Web of Science")</f>
        <v>View Full Record in Web of Science</v>
      </c>
    </row>
    <row r="3042" spans="1:72" x14ac:dyDescent="0.25">
      <c r="A3042" t="s">
        <v>72</v>
      </c>
      <c r="B3042" t="s">
        <v>50268</v>
      </c>
      <c r="C3042" t="s">
        <v>74</v>
      </c>
      <c r="D3042" t="s">
        <v>74</v>
      </c>
      <c r="E3042" t="s">
        <v>74</v>
      </c>
      <c r="F3042" t="s">
        <v>50269</v>
      </c>
      <c r="G3042" t="s">
        <v>74</v>
      </c>
      <c r="H3042" t="s">
        <v>74</v>
      </c>
      <c r="I3042" t="s">
        <v>50270</v>
      </c>
      <c r="J3042" t="s">
        <v>47368</v>
      </c>
      <c r="K3042" t="s">
        <v>74</v>
      </c>
      <c r="L3042" t="s">
        <v>74</v>
      </c>
      <c r="M3042" t="s">
        <v>78</v>
      </c>
      <c r="N3042" t="s">
        <v>79</v>
      </c>
      <c r="O3042" t="s">
        <v>74</v>
      </c>
      <c r="P3042" t="s">
        <v>74</v>
      </c>
      <c r="Q3042" t="s">
        <v>74</v>
      </c>
      <c r="R3042" t="s">
        <v>74</v>
      </c>
      <c r="S3042" t="s">
        <v>74</v>
      </c>
      <c r="T3042" t="s">
        <v>50271</v>
      </c>
      <c r="U3042" t="s">
        <v>50272</v>
      </c>
      <c r="V3042" t="s">
        <v>50273</v>
      </c>
      <c r="W3042" t="s">
        <v>50274</v>
      </c>
      <c r="X3042" t="s">
        <v>36593</v>
      </c>
      <c r="Y3042" t="s">
        <v>50275</v>
      </c>
      <c r="Z3042" t="s">
        <v>50276</v>
      </c>
      <c r="AA3042" t="s">
        <v>50277</v>
      </c>
      <c r="AB3042" t="s">
        <v>50278</v>
      </c>
      <c r="AC3042" t="s">
        <v>74</v>
      </c>
      <c r="AD3042" t="s">
        <v>74</v>
      </c>
      <c r="AE3042" t="s">
        <v>74</v>
      </c>
      <c r="AF3042" t="s">
        <v>74</v>
      </c>
      <c r="AG3042">
        <v>71</v>
      </c>
      <c r="AH3042">
        <v>5</v>
      </c>
      <c r="AI3042">
        <v>5</v>
      </c>
      <c r="AJ3042">
        <v>3</v>
      </c>
      <c r="AK3042">
        <v>5</v>
      </c>
      <c r="AL3042" t="s">
        <v>89</v>
      </c>
      <c r="AM3042" t="s">
        <v>90</v>
      </c>
      <c r="AN3042" t="s">
        <v>91</v>
      </c>
      <c r="AO3042" t="s">
        <v>47372</v>
      </c>
      <c r="AP3042" t="s">
        <v>47373</v>
      </c>
      <c r="AQ3042" t="s">
        <v>74</v>
      </c>
      <c r="AR3042" t="s">
        <v>47374</v>
      </c>
      <c r="AS3042" t="s">
        <v>47375</v>
      </c>
      <c r="AT3042" t="s">
        <v>40544</v>
      </c>
      <c r="AU3042">
        <v>2025</v>
      </c>
      <c r="AV3042">
        <v>17</v>
      </c>
      <c r="AW3042">
        <v>7</v>
      </c>
      <c r="AX3042" t="s">
        <v>74</v>
      </c>
      <c r="AY3042" t="s">
        <v>74</v>
      </c>
      <c r="AZ3042" t="s">
        <v>74</v>
      </c>
      <c r="BA3042" t="s">
        <v>74</v>
      </c>
      <c r="BB3042">
        <v>187</v>
      </c>
      <c r="BC3042">
        <v>204</v>
      </c>
      <c r="BD3042" t="s">
        <v>74</v>
      </c>
      <c r="BE3042" t="s">
        <v>50279</v>
      </c>
      <c r="BF3042" t="str">
        <f>HYPERLINK("http://dx.doi.org/10.1108/JEEE-09-2024-0415","http://dx.doi.org/10.1108/JEEE-09-2024-0415")</f>
        <v>http://dx.doi.org/10.1108/JEEE-09-2024-0415</v>
      </c>
      <c r="BG3042" t="s">
        <v>74</v>
      </c>
      <c r="BH3042" t="s">
        <v>74</v>
      </c>
      <c r="BI3042">
        <v>18</v>
      </c>
      <c r="BJ3042" t="s">
        <v>418</v>
      </c>
      <c r="BK3042" t="s">
        <v>313</v>
      </c>
      <c r="BL3042" t="s">
        <v>100</v>
      </c>
      <c r="BM3042" t="s">
        <v>50280</v>
      </c>
      <c r="BN3042" t="s">
        <v>74</v>
      </c>
      <c r="BO3042" t="s">
        <v>270</v>
      </c>
      <c r="BP3042" t="s">
        <v>74</v>
      </c>
      <c r="BQ3042" t="s">
        <v>74</v>
      </c>
      <c r="BR3042" t="s">
        <v>102</v>
      </c>
      <c r="BS3042" t="s">
        <v>50281</v>
      </c>
      <c r="BT3042" t="str">
        <f>HYPERLINK("https%3A%2F%2Fwww.webofscience.com%2Fwos%2Fwoscc%2Ffull-record%2FWOS:001410943400001","View Full Record in Web of Science")</f>
        <v>View Full Record in Web of Science</v>
      </c>
    </row>
    <row r="3043" spans="1:72" x14ac:dyDescent="0.25">
      <c r="A3043" t="s">
        <v>132</v>
      </c>
      <c r="B3043" t="s">
        <v>50282</v>
      </c>
      <c r="C3043" t="s">
        <v>74</v>
      </c>
      <c r="D3043" t="s">
        <v>50283</v>
      </c>
      <c r="E3043" t="s">
        <v>74</v>
      </c>
      <c r="F3043" t="s">
        <v>50284</v>
      </c>
      <c r="G3043" t="s">
        <v>74</v>
      </c>
      <c r="H3043" t="s">
        <v>74</v>
      </c>
      <c r="I3043" t="s">
        <v>50285</v>
      </c>
      <c r="J3043" t="s">
        <v>50286</v>
      </c>
      <c r="K3043" t="s">
        <v>50287</v>
      </c>
      <c r="L3043" t="s">
        <v>74</v>
      </c>
      <c r="M3043" t="s">
        <v>78</v>
      </c>
      <c r="N3043" t="s">
        <v>138</v>
      </c>
      <c r="O3043" t="s">
        <v>50288</v>
      </c>
      <c r="P3043" t="s">
        <v>50289</v>
      </c>
      <c r="Q3043" t="s">
        <v>50290</v>
      </c>
      <c r="R3043" t="s">
        <v>50291</v>
      </c>
      <c r="S3043" t="s">
        <v>74</v>
      </c>
      <c r="T3043" t="s">
        <v>50292</v>
      </c>
      <c r="U3043" t="s">
        <v>74</v>
      </c>
      <c r="V3043" t="s">
        <v>50293</v>
      </c>
      <c r="W3043" t="s">
        <v>50294</v>
      </c>
      <c r="X3043" t="s">
        <v>74</v>
      </c>
      <c r="Y3043" t="s">
        <v>50295</v>
      </c>
      <c r="Z3043" t="s">
        <v>50296</v>
      </c>
      <c r="AA3043" t="s">
        <v>74</v>
      </c>
      <c r="AB3043" t="s">
        <v>74</v>
      </c>
      <c r="AC3043" t="s">
        <v>74</v>
      </c>
      <c r="AD3043" t="s">
        <v>74</v>
      </c>
      <c r="AE3043" t="s">
        <v>74</v>
      </c>
      <c r="AF3043" t="s">
        <v>74</v>
      </c>
      <c r="AG3043">
        <v>36</v>
      </c>
      <c r="AH3043">
        <v>0</v>
      </c>
      <c r="AI3043">
        <v>0</v>
      </c>
      <c r="AJ3043">
        <v>2</v>
      </c>
      <c r="AK3043">
        <v>2</v>
      </c>
      <c r="AL3043" t="s">
        <v>50297</v>
      </c>
      <c r="AM3043" t="s">
        <v>50298</v>
      </c>
      <c r="AN3043" t="s">
        <v>50299</v>
      </c>
      <c r="AO3043" t="s">
        <v>50300</v>
      </c>
      <c r="AP3043" t="s">
        <v>74</v>
      </c>
      <c r="AQ3043" t="s">
        <v>50301</v>
      </c>
      <c r="AR3043" t="s">
        <v>50302</v>
      </c>
      <c r="AS3043" t="s">
        <v>74</v>
      </c>
      <c r="AT3043" t="s">
        <v>74</v>
      </c>
      <c r="AU3043">
        <v>2024</v>
      </c>
      <c r="AV3043" t="s">
        <v>74</v>
      </c>
      <c r="AW3043" t="s">
        <v>74</v>
      </c>
      <c r="AX3043" t="s">
        <v>74</v>
      </c>
      <c r="AY3043" t="s">
        <v>74</v>
      </c>
      <c r="AZ3043" t="s">
        <v>74</v>
      </c>
      <c r="BA3043" t="s">
        <v>74</v>
      </c>
      <c r="BB3043">
        <v>106</v>
      </c>
      <c r="BC3043">
        <v>113</v>
      </c>
      <c r="BD3043" t="s">
        <v>74</v>
      </c>
      <c r="BE3043" t="s">
        <v>50303</v>
      </c>
      <c r="BF3043" t="str">
        <f>HYPERLINK("http://dx.doi.org/10.3846/bm.2024.1163","http://dx.doi.org/10.3846/bm.2024.1163")</f>
        <v>http://dx.doi.org/10.3846/bm.2024.1163</v>
      </c>
      <c r="BG3043" t="s">
        <v>74</v>
      </c>
      <c r="BH3043" t="s">
        <v>74</v>
      </c>
      <c r="BI3043">
        <v>8</v>
      </c>
      <c r="BJ3043" t="s">
        <v>6512</v>
      </c>
      <c r="BK3043" t="s">
        <v>183</v>
      </c>
      <c r="BL3043" t="s">
        <v>100</v>
      </c>
      <c r="BM3043" t="s">
        <v>50304</v>
      </c>
      <c r="BN3043" t="s">
        <v>74</v>
      </c>
      <c r="BO3043" t="s">
        <v>270</v>
      </c>
      <c r="BP3043" t="s">
        <v>74</v>
      </c>
      <c r="BQ3043" t="s">
        <v>74</v>
      </c>
      <c r="BR3043" t="s">
        <v>102</v>
      </c>
      <c r="BS3043" t="s">
        <v>50305</v>
      </c>
      <c r="BT3043" t="str">
        <f>HYPERLINK("https%3A%2F%2Fwww.webofscience.com%2Fwos%2Fwoscc%2Ffull-record%2FWOS:001609996600014","View Full Record in Web of Science")</f>
        <v>View Full Record in Web of Science</v>
      </c>
    </row>
    <row r="3044" spans="1:72" x14ac:dyDescent="0.25">
      <c r="A3044" t="s">
        <v>8303</v>
      </c>
      <c r="B3044" t="s">
        <v>50306</v>
      </c>
      <c r="C3044" t="s">
        <v>74</v>
      </c>
      <c r="D3044" t="s">
        <v>48629</v>
      </c>
      <c r="E3044" t="s">
        <v>74</v>
      </c>
      <c r="F3044" t="s">
        <v>50307</v>
      </c>
      <c r="G3044" t="s">
        <v>74</v>
      </c>
      <c r="H3044" t="s">
        <v>74</v>
      </c>
      <c r="I3044" t="s">
        <v>50308</v>
      </c>
      <c r="J3044" t="s">
        <v>48632</v>
      </c>
      <c r="K3044" t="s">
        <v>74</v>
      </c>
      <c r="L3044" t="s">
        <v>74</v>
      </c>
      <c r="M3044" t="s">
        <v>78</v>
      </c>
      <c r="N3044" t="s">
        <v>6023</v>
      </c>
      <c r="O3044" t="s">
        <v>74</v>
      </c>
      <c r="P3044" t="s">
        <v>74</v>
      </c>
      <c r="Q3044" t="s">
        <v>74</v>
      </c>
      <c r="R3044" t="s">
        <v>74</v>
      </c>
      <c r="S3044" t="s">
        <v>74</v>
      </c>
      <c r="T3044" t="s">
        <v>74</v>
      </c>
      <c r="U3044" t="s">
        <v>74</v>
      </c>
      <c r="V3044" t="s">
        <v>50309</v>
      </c>
      <c r="W3044" t="s">
        <v>50310</v>
      </c>
      <c r="X3044" t="s">
        <v>74</v>
      </c>
      <c r="Y3044" t="s">
        <v>50311</v>
      </c>
      <c r="Z3044" t="s">
        <v>74</v>
      </c>
      <c r="AA3044" t="s">
        <v>74</v>
      </c>
      <c r="AB3044" t="s">
        <v>74</v>
      </c>
      <c r="AC3044" t="s">
        <v>74</v>
      </c>
      <c r="AD3044" t="s">
        <v>74</v>
      </c>
      <c r="AE3044" t="s">
        <v>74</v>
      </c>
      <c r="AF3044" t="s">
        <v>74</v>
      </c>
      <c r="AG3044">
        <v>25</v>
      </c>
      <c r="AH3044">
        <v>0</v>
      </c>
      <c r="AI3044">
        <v>1</v>
      </c>
      <c r="AJ3044">
        <v>3</v>
      </c>
      <c r="AK3044">
        <v>26</v>
      </c>
      <c r="AL3044" t="s">
        <v>3807</v>
      </c>
      <c r="AM3044" t="s">
        <v>3098</v>
      </c>
      <c r="AN3044" t="s">
        <v>3808</v>
      </c>
      <c r="AO3044" t="s">
        <v>74</v>
      </c>
      <c r="AP3044" t="s">
        <v>74</v>
      </c>
      <c r="AQ3044" t="s">
        <v>48637</v>
      </c>
      <c r="AR3044" t="s">
        <v>74</v>
      </c>
      <c r="AS3044" t="s">
        <v>74</v>
      </c>
      <c r="AT3044" t="s">
        <v>74</v>
      </c>
      <c r="AU3044">
        <v>2011</v>
      </c>
      <c r="AV3044" t="s">
        <v>74</v>
      </c>
      <c r="AW3044" t="s">
        <v>74</v>
      </c>
      <c r="AX3044" t="s">
        <v>74</v>
      </c>
      <c r="AY3044" t="s">
        <v>74</v>
      </c>
      <c r="AZ3044" t="s">
        <v>74</v>
      </c>
      <c r="BA3044" t="s">
        <v>74</v>
      </c>
      <c r="BB3044">
        <v>83</v>
      </c>
      <c r="BC3044">
        <v>117</v>
      </c>
      <c r="BD3044" t="s">
        <v>74</v>
      </c>
      <c r="BE3044" t="s">
        <v>50312</v>
      </c>
      <c r="BF3044" t="str">
        <f>HYPERLINK("http://dx.doi.org/10.1007/978-3-540-77857-8_4","http://dx.doi.org/10.1007/978-3-540-77857-8_4")</f>
        <v>http://dx.doi.org/10.1007/978-3-540-77857-8_4</v>
      </c>
      <c r="BG3044" t="s">
        <v>48639</v>
      </c>
      <c r="BH3044" t="s">
        <v>74</v>
      </c>
      <c r="BI3044">
        <v>35</v>
      </c>
      <c r="BJ3044" t="s">
        <v>1405</v>
      </c>
      <c r="BK3044" t="s">
        <v>8314</v>
      </c>
      <c r="BL3044" t="s">
        <v>1406</v>
      </c>
      <c r="BM3044" t="s">
        <v>48640</v>
      </c>
      <c r="BN3044" t="s">
        <v>74</v>
      </c>
      <c r="BO3044" t="s">
        <v>74</v>
      </c>
      <c r="BP3044" t="s">
        <v>74</v>
      </c>
      <c r="BQ3044" t="s">
        <v>74</v>
      </c>
      <c r="BR3044" t="s">
        <v>102</v>
      </c>
      <c r="BS3044" t="s">
        <v>50313</v>
      </c>
      <c r="BT3044" t="str">
        <f>HYPERLINK("https%3A%2F%2Fwww.webofscience.com%2Fwos%2Fwoscc%2Ffull-record%2FWOS:000289826400004","View Full Record in Web of Science")</f>
        <v>View Full Record in Web of Science</v>
      </c>
    </row>
    <row r="3045" spans="1:72" x14ac:dyDescent="0.25">
      <c r="A3045" t="s">
        <v>72</v>
      </c>
      <c r="B3045" t="s">
        <v>50314</v>
      </c>
      <c r="C3045" t="s">
        <v>74</v>
      </c>
      <c r="D3045" t="s">
        <v>74</v>
      </c>
      <c r="E3045" t="s">
        <v>74</v>
      </c>
      <c r="F3045" t="s">
        <v>50315</v>
      </c>
      <c r="G3045" t="s">
        <v>74</v>
      </c>
      <c r="H3045" t="s">
        <v>74</v>
      </c>
      <c r="I3045" t="s">
        <v>50316</v>
      </c>
      <c r="J3045" t="s">
        <v>22355</v>
      </c>
      <c r="K3045" t="s">
        <v>74</v>
      </c>
      <c r="L3045" t="s">
        <v>74</v>
      </c>
      <c r="M3045" t="s">
        <v>78</v>
      </c>
      <c r="N3045" t="s">
        <v>79</v>
      </c>
      <c r="O3045" t="s">
        <v>74</v>
      </c>
      <c r="P3045" t="s">
        <v>74</v>
      </c>
      <c r="Q3045" t="s">
        <v>74</v>
      </c>
      <c r="R3045" t="s">
        <v>74</v>
      </c>
      <c r="S3045" t="s">
        <v>74</v>
      </c>
      <c r="T3045" t="s">
        <v>50317</v>
      </c>
      <c r="U3045" t="s">
        <v>74</v>
      </c>
      <c r="V3045" t="s">
        <v>50318</v>
      </c>
      <c r="W3045" t="s">
        <v>50319</v>
      </c>
      <c r="X3045" t="s">
        <v>16197</v>
      </c>
      <c r="Y3045" t="s">
        <v>50320</v>
      </c>
      <c r="Z3045" t="s">
        <v>50321</v>
      </c>
      <c r="AA3045" t="s">
        <v>74</v>
      </c>
      <c r="AB3045" t="s">
        <v>74</v>
      </c>
      <c r="AC3045" t="s">
        <v>74</v>
      </c>
      <c r="AD3045" t="s">
        <v>74</v>
      </c>
      <c r="AE3045" t="s">
        <v>74</v>
      </c>
      <c r="AF3045" t="s">
        <v>74</v>
      </c>
      <c r="AG3045">
        <v>48</v>
      </c>
      <c r="AH3045">
        <v>75</v>
      </c>
      <c r="AI3045">
        <v>93</v>
      </c>
      <c r="AJ3045">
        <v>3</v>
      </c>
      <c r="AK3045">
        <v>35</v>
      </c>
      <c r="AL3045" t="s">
        <v>385</v>
      </c>
      <c r="AM3045" t="s">
        <v>1153</v>
      </c>
      <c r="AN3045" t="s">
        <v>1154</v>
      </c>
      <c r="AO3045" t="s">
        <v>22345</v>
      </c>
      <c r="AP3045" t="s">
        <v>22344</v>
      </c>
      <c r="AQ3045" t="s">
        <v>74</v>
      </c>
      <c r="AR3045" t="s">
        <v>22343</v>
      </c>
      <c r="AS3045" t="s">
        <v>22342</v>
      </c>
      <c r="AT3045" t="s">
        <v>208</v>
      </c>
      <c r="AU3045">
        <v>2009</v>
      </c>
      <c r="AV3045">
        <v>84</v>
      </c>
      <c r="AW3045">
        <v>1</v>
      </c>
      <c r="AX3045" t="s">
        <v>74</v>
      </c>
      <c r="AY3045" t="s">
        <v>74</v>
      </c>
      <c r="AZ3045" t="s">
        <v>74</v>
      </c>
      <c r="BA3045" t="s">
        <v>74</v>
      </c>
      <c r="BB3045">
        <v>17</v>
      </c>
      <c r="BC3045">
        <v>28</v>
      </c>
      <c r="BD3045" t="s">
        <v>74</v>
      </c>
      <c r="BE3045" t="s">
        <v>50322</v>
      </c>
      <c r="BF3045" t="str">
        <f>HYPERLINK("http://dx.doi.org/10.1007/s10551-008-9670-y","http://dx.doi.org/10.1007/s10551-008-9670-y")</f>
        <v>http://dx.doi.org/10.1007/s10551-008-9670-y</v>
      </c>
      <c r="BG3045" t="s">
        <v>74</v>
      </c>
      <c r="BH3045" t="s">
        <v>74</v>
      </c>
      <c r="BI3045">
        <v>12</v>
      </c>
      <c r="BJ3045" t="s">
        <v>22340</v>
      </c>
      <c r="BK3045" t="s">
        <v>99</v>
      </c>
      <c r="BL3045" t="s">
        <v>22339</v>
      </c>
      <c r="BM3045" t="s">
        <v>50323</v>
      </c>
      <c r="BN3045" t="s">
        <v>74</v>
      </c>
      <c r="BO3045" t="s">
        <v>74</v>
      </c>
      <c r="BP3045" t="s">
        <v>74</v>
      </c>
      <c r="BQ3045" t="s">
        <v>74</v>
      </c>
      <c r="BR3045" t="s">
        <v>102</v>
      </c>
      <c r="BS3045" t="s">
        <v>50324</v>
      </c>
      <c r="BT3045" t="str">
        <f>HYPERLINK("https%3A%2F%2Fwww.webofscience.com%2Fwos%2Fwoscc%2Ffull-record%2FWOS:000261186900002","View Full Record in Web of Science")</f>
        <v>View Full Record in Web of Science</v>
      </c>
    </row>
    <row r="3046" spans="1:72" x14ac:dyDescent="0.25">
      <c r="A3046" t="s">
        <v>72</v>
      </c>
      <c r="B3046" t="s">
        <v>50325</v>
      </c>
      <c r="C3046" t="s">
        <v>74</v>
      </c>
      <c r="D3046" t="s">
        <v>74</v>
      </c>
      <c r="E3046" t="s">
        <v>74</v>
      </c>
      <c r="F3046" t="s">
        <v>50326</v>
      </c>
      <c r="G3046" t="s">
        <v>74</v>
      </c>
      <c r="H3046" t="s">
        <v>74</v>
      </c>
      <c r="I3046" t="s">
        <v>50327</v>
      </c>
      <c r="J3046" t="s">
        <v>3735</v>
      </c>
      <c r="K3046" t="s">
        <v>74</v>
      </c>
      <c r="L3046" t="s">
        <v>74</v>
      </c>
      <c r="M3046" t="s">
        <v>78</v>
      </c>
      <c r="N3046" t="s">
        <v>79</v>
      </c>
      <c r="O3046" t="s">
        <v>74</v>
      </c>
      <c r="P3046" t="s">
        <v>74</v>
      </c>
      <c r="Q3046" t="s">
        <v>74</v>
      </c>
      <c r="R3046" t="s">
        <v>74</v>
      </c>
      <c r="S3046" t="s">
        <v>74</v>
      </c>
      <c r="T3046" t="s">
        <v>50328</v>
      </c>
      <c r="U3046" t="s">
        <v>50329</v>
      </c>
      <c r="V3046" t="s">
        <v>50330</v>
      </c>
      <c r="W3046" t="s">
        <v>50331</v>
      </c>
      <c r="X3046" t="s">
        <v>50332</v>
      </c>
      <c r="Y3046" t="s">
        <v>48007</v>
      </c>
      <c r="Z3046" t="s">
        <v>50333</v>
      </c>
      <c r="AA3046" t="s">
        <v>50334</v>
      </c>
      <c r="AB3046" t="s">
        <v>50335</v>
      </c>
      <c r="AC3046" t="s">
        <v>74</v>
      </c>
      <c r="AD3046" t="s">
        <v>74</v>
      </c>
      <c r="AE3046" t="s">
        <v>74</v>
      </c>
      <c r="AF3046" t="s">
        <v>74</v>
      </c>
      <c r="AG3046">
        <v>94</v>
      </c>
      <c r="AH3046">
        <v>3</v>
      </c>
      <c r="AI3046">
        <v>4</v>
      </c>
      <c r="AJ3046">
        <v>1</v>
      </c>
      <c r="AK3046">
        <v>15</v>
      </c>
      <c r="AL3046" t="s">
        <v>385</v>
      </c>
      <c r="AM3046" t="s">
        <v>1153</v>
      </c>
      <c r="AN3046" t="s">
        <v>1154</v>
      </c>
      <c r="AO3046" t="s">
        <v>3744</v>
      </c>
      <c r="AP3046" t="s">
        <v>3745</v>
      </c>
      <c r="AQ3046" t="s">
        <v>74</v>
      </c>
      <c r="AR3046" t="s">
        <v>3746</v>
      </c>
      <c r="AS3046" t="s">
        <v>3747</v>
      </c>
      <c r="AT3046" t="s">
        <v>1652</v>
      </c>
      <c r="AU3046">
        <v>2025</v>
      </c>
      <c r="AV3046">
        <v>25</v>
      </c>
      <c r="AW3046">
        <v>3</v>
      </c>
      <c r="AX3046" t="s">
        <v>74</v>
      </c>
      <c r="AY3046" t="s">
        <v>74</v>
      </c>
      <c r="AZ3046" t="s">
        <v>74</v>
      </c>
      <c r="BA3046" t="s">
        <v>74</v>
      </c>
      <c r="BB3046">
        <v>1685</v>
      </c>
      <c r="BC3046">
        <v>1752</v>
      </c>
      <c r="BD3046" t="s">
        <v>74</v>
      </c>
      <c r="BE3046" t="s">
        <v>50336</v>
      </c>
      <c r="BF3046" t="str">
        <f>HYPERLINK("http://dx.doi.org/10.1007/s10660-023-09727-z","http://dx.doi.org/10.1007/s10660-023-09727-z")</f>
        <v>http://dx.doi.org/10.1007/s10660-023-09727-z</v>
      </c>
      <c r="BG3046" t="s">
        <v>74</v>
      </c>
      <c r="BH3046" t="s">
        <v>700</v>
      </c>
      <c r="BI3046">
        <v>68</v>
      </c>
      <c r="BJ3046" t="s">
        <v>98</v>
      </c>
      <c r="BK3046" t="s">
        <v>99</v>
      </c>
      <c r="BL3046" t="s">
        <v>100</v>
      </c>
      <c r="BM3046" t="s">
        <v>50337</v>
      </c>
      <c r="BN3046" t="s">
        <v>74</v>
      </c>
      <c r="BO3046" t="s">
        <v>74</v>
      </c>
      <c r="BP3046" t="s">
        <v>74</v>
      </c>
      <c r="BQ3046" t="s">
        <v>74</v>
      </c>
      <c r="BR3046" t="s">
        <v>102</v>
      </c>
      <c r="BS3046" t="s">
        <v>50338</v>
      </c>
      <c r="BT3046" t="str">
        <f>HYPERLINK("https%3A%2F%2Fwww.webofscience.com%2Fwos%2Fwoscc%2Ffull-record%2FWOS:001026683300001","View Full Record in Web of Science")</f>
        <v>View Full Record in Web of Science</v>
      </c>
    </row>
    <row r="3047" spans="1:72" x14ac:dyDescent="0.25">
      <c r="A3047" t="s">
        <v>72</v>
      </c>
      <c r="B3047" t="s">
        <v>50339</v>
      </c>
      <c r="C3047" t="s">
        <v>74</v>
      </c>
      <c r="D3047" t="s">
        <v>74</v>
      </c>
      <c r="E3047" t="s">
        <v>74</v>
      </c>
      <c r="F3047" t="s">
        <v>50340</v>
      </c>
      <c r="G3047" t="s">
        <v>74</v>
      </c>
      <c r="H3047" t="s">
        <v>74</v>
      </c>
      <c r="I3047" t="s">
        <v>50341</v>
      </c>
      <c r="J3047" t="s">
        <v>1719</v>
      </c>
      <c r="K3047" t="s">
        <v>74</v>
      </c>
      <c r="L3047" t="s">
        <v>74</v>
      </c>
      <c r="M3047" t="s">
        <v>78</v>
      </c>
      <c r="N3047" t="s">
        <v>2335</v>
      </c>
      <c r="O3047" t="s">
        <v>74</v>
      </c>
      <c r="P3047" t="s">
        <v>74</v>
      </c>
      <c r="Q3047" t="s">
        <v>74</v>
      </c>
      <c r="R3047" t="s">
        <v>74</v>
      </c>
      <c r="S3047" t="s">
        <v>74</v>
      </c>
      <c r="T3047" t="s">
        <v>50342</v>
      </c>
      <c r="U3047" t="s">
        <v>50343</v>
      </c>
      <c r="V3047" t="s">
        <v>50344</v>
      </c>
      <c r="W3047" t="s">
        <v>50345</v>
      </c>
      <c r="X3047" t="s">
        <v>50346</v>
      </c>
      <c r="Y3047" t="s">
        <v>50347</v>
      </c>
      <c r="Z3047" t="s">
        <v>50348</v>
      </c>
      <c r="AA3047" t="s">
        <v>50349</v>
      </c>
      <c r="AB3047" t="s">
        <v>50350</v>
      </c>
      <c r="AC3047" t="s">
        <v>74</v>
      </c>
      <c r="AD3047" t="s">
        <v>74</v>
      </c>
      <c r="AE3047" t="s">
        <v>74</v>
      </c>
      <c r="AF3047" t="s">
        <v>74</v>
      </c>
      <c r="AG3047">
        <v>61</v>
      </c>
      <c r="AH3047">
        <v>7</v>
      </c>
      <c r="AI3047">
        <v>11</v>
      </c>
      <c r="AJ3047">
        <v>0</v>
      </c>
      <c r="AK3047">
        <v>17</v>
      </c>
      <c r="AL3047" t="s">
        <v>332</v>
      </c>
      <c r="AM3047" t="s">
        <v>333</v>
      </c>
      <c r="AN3047" t="s">
        <v>334</v>
      </c>
      <c r="AO3047" t="s">
        <v>1732</v>
      </c>
      <c r="AP3047" t="s">
        <v>1733</v>
      </c>
      <c r="AQ3047" t="s">
        <v>74</v>
      </c>
      <c r="AR3047" t="s">
        <v>1734</v>
      </c>
      <c r="AS3047" t="s">
        <v>1735</v>
      </c>
      <c r="AT3047" t="s">
        <v>5472</v>
      </c>
      <c r="AU3047">
        <v>2019</v>
      </c>
      <c r="AV3047">
        <v>5</v>
      </c>
      <c r="AW3047">
        <v>3</v>
      </c>
      <c r="AX3047" t="s">
        <v>74</v>
      </c>
      <c r="AY3047" t="s">
        <v>74</v>
      </c>
      <c r="AZ3047" t="s">
        <v>441</v>
      </c>
      <c r="BA3047" t="s">
        <v>74</v>
      </c>
      <c r="BB3047">
        <v>215</v>
      </c>
      <c r="BC3047">
        <v>230</v>
      </c>
      <c r="BD3047" t="s">
        <v>74</v>
      </c>
      <c r="BE3047" t="s">
        <v>50351</v>
      </c>
      <c r="BF3047" t="str">
        <f>HYPERLINK("http://dx.doi.org/10.1080/23322373.2019.1657766","http://dx.doi.org/10.1080/23322373.2019.1657766")</f>
        <v>http://dx.doi.org/10.1080/23322373.2019.1657766</v>
      </c>
      <c r="BG3047" t="s">
        <v>74</v>
      </c>
      <c r="BH3047" t="s">
        <v>74</v>
      </c>
      <c r="BI3047">
        <v>16</v>
      </c>
      <c r="BJ3047" t="s">
        <v>583</v>
      </c>
      <c r="BK3047" t="s">
        <v>313</v>
      </c>
      <c r="BL3047" t="s">
        <v>100</v>
      </c>
      <c r="BM3047" t="s">
        <v>35655</v>
      </c>
      <c r="BN3047" t="s">
        <v>74</v>
      </c>
      <c r="BO3047" t="s">
        <v>74</v>
      </c>
      <c r="BP3047" t="s">
        <v>74</v>
      </c>
      <c r="BQ3047" t="s">
        <v>74</v>
      </c>
      <c r="BR3047" t="s">
        <v>102</v>
      </c>
      <c r="BS3047" t="s">
        <v>50352</v>
      </c>
      <c r="BT3047" t="str">
        <f>HYPERLINK("https%3A%2F%2Fwww.webofscience.com%2Fwos%2Fwoscc%2Ffull-record%2FWOS:000492778700001","View Full Record in Web of Science")</f>
        <v>View Full Record in Web of Science</v>
      </c>
    </row>
    <row r="3048" spans="1:72" x14ac:dyDescent="0.25">
      <c r="A3048" t="s">
        <v>72</v>
      </c>
      <c r="B3048" t="s">
        <v>50353</v>
      </c>
      <c r="C3048" t="s">
        <v>74</v>
      </c>
      <c r="D3048" t="s">
        <v>74</v>
      </c>
      <c r="E3048" t="s">
        <v>74</v>
      </c>
      <c r="F3048" t="s">
        <v>50354</v>
      </c>
      <c r="G3048" t="s">
        <v>74</v>
      </c>
      <c r="H3048" t="s">
        <v>74</v>
      </c>
      <c r="I3048" t="s">
        <v>50355</v>
      </c>
      <c r="J3048" t="s">
        <v>7368</v>
      </c>
      <c r="K3048" t="s">
        <v>74</v>
      </c>
      <c r="L3048" t="s">
        <v>74</v>
      </c>
      <c r="M3048" t="s">
        <v>78</v>
      </c>
      <c r="N3048" t="s">
        <v>372</v>
      </c>
      <c r="O3048" t="s">
        <v>74</v>
      </c>
      <c r="P3048" t="s">
        <v>74</v>
      </c>
      <c r="Q3048" t="s">
        <v>74</v>
      </c>
      <c r="R3048" t="s">
        <v>74</v>
      </c>
      <c r="S3048" t="s">
        <v>74</v>
      </c>
      <c r="T3048" t="s">
        <v>50356</v>
      </c>
      <c r="U3048" t="s">
        <v>50357</v>
      </c>
      <c r="V3048" t="s">
        <v>50358</v>
      </c>
      <c r="W3048" t="s">
        <v>50359</v>
      </c>
      <c r="X3048" t="s">
        <v>50360</v>
      </c>
      <c r="Y3048" t="s">
        <v>50361</v>
      </c>
      <c r="Z3048" t="s">
        <v>50362</v>
      </c>
      <c r="AA3048" t="s">
        <v>74</v>
      </c>
      <c r="AB3048" t="s">
        <v>74</v>
      </c>
      <c r="AC3048" t="s">
        <v>74</v>
      </c>
      <c r="AD3048" t="s">
        <v>74</v>
      </c>
      <c r="AE3048" t="s">
        <v>74</v>
      </c>
      <c r="AF3048" t="s">
        <v>74</v>
      </c>
      <c r="AG3048">
        <v>54</v>
      </c>
      <c r="AH3048">
        <v>0</v>
      </c>
      <c r="AI3048">
        <v>0</v>
      </c>
      <c r="AJ3048">
        <v>1</v>
      </c>
      <c r="AK3048">
        <v>1</v>
      </c>
      <c r="AL3048" t="s">
        <v>385</v>
      </c>
      <c r="AM3048" t="s">
        <v>151</v>
      </c>
      <c r="AN3048" t="s">
        <v>386</v>
      </c>
      <c r="AO3048" t="s">
        <v>7378</v>
      </c>
      <c r="AP3048" t="s">
        <v>7379</v>
      </c>
      <c r="AQ3048" t="s">
        <v>74</v>
      </c>
      <c r="AR3048" t="s">
        <v>7380</v>
      </c>
      <c r="AS3048" t="s">
        <v>7381</v>
      </c>
      <c r="AT3048" t="s">
        <v>1281</v>
      </c>
      <c r="AU3048">
        <v>2025</v>
      </c>
      <c r="AV3048" t="s">
        <v>74</v>
      </c>
      <c r="AW3048" t="s">
        <v>74</v>
      </c>
      <c r="AX3048" t="s">
        <v>74</v>
      </c>
      <c r="AY3048" t="s">
        <v>74</v>
      </c>
      <c r="AZ3048" t="s">
        <v>74</v>
      </c>
      <c r="BA3048" t="s">
        <v>74</v>
      </c>
      <c r="BB3048" t="s">
        <v>74</v>
      </c>
      <c r="BC3048" t="s">
        <v>74</v>
      </c>
      <c r="BD3048" t="s">
        <v>74</v>
      </c>
      <c r="BE3048" t="s">
        <v>50363</v>
      </c>
      <c r="BF3048" t="str">
        <f>HYPERLINK("http://dx.doi.org/10.1007/s10693-025-00461-1","http://dx.doi.org/10.1007/s10693-025-00461-1")</f>
        <v>http://dx.doi.org/10.1007/s10693-025-00461-1</v>
      </c>
      <c r="BG3048" t="s">
        <v>74</v>
      </c>
      <c r="BH3048" t="s">
        <v>488</v>
      </c>
      <c r="BI3048">
        <v>16</v>
      </c>
      <c r="BJ3048" t="s">
        <v>268</v>
      </c>
      <c r="BK3048" t="s">
        <v>99</v>
      </c>
      <c r="BL3048" t="s">
        <v>100</v>
      </c>
      <c r="BM3048" t="s">
        <v>50364</v>
      </c>
      <c r="BN3048" t="s">
        <v>74</v>
      </c>
      <c r="BO3048" t="s">
        <v>74</v>
      </c>
      <c r="BP3048" t="s">
        <v>74</v>
      </c>
      <c r="BQ3048" t="s">
        <v>74</v>
      </c>
      <c r="BR3048" t="s">
        <v>102</v>
      </c>
      <c r="BS3048" t="s">
        <v>50365</v>
      </c>
      <c r="BT3048" t="str">
        <f>HYPERLINK("https%3A%2F%2Fwww.webofscience.com%2Fwos%2Fwoscc%2Ffull-record%2FWOS:001648941000001","View Full Record in Web of Science")</f>
        <v>View Full Record in Web of Science</v>
      </c>
    </row>
    <row r="3049" spans="1:72" x14ac:dyDescent="0.25">
      <c r="A3049" t="s">
        <v>72</v>
      </c>
      <c r="B3049" t="s">
        <v>50366</v>
      </c>
      <c r="C3049" t="s">
        <v>74</v>
      </c>
      <c r="D3049" t="s">
        <v>74</v>
      </c>
      <c r="E3049" t="s">
        <v>74</v>
      </c>
      <c r="F3049" t="s">
        <v>50367</v>
      </c>
      <c r="G3049" t="s">
        <v>74</v>
      </c>
      <c r="H3049" t="s">
        <v>74</v>
      </c>
      <c r="I3049" t="s">
        <v>50368</v>
      </c>
      <c r="J3049" t="s">
        <v>50369</v>
      </c>
      <c r="K3049" t="s">
        <v>74</v>
      </c>
      <c r="L3049" t="s">
        <v>74</v>
      </c>
      <c r="M3049" t="s">
        <v>78</v>
      </c>
      <c r="N3049" t="s">
        <v>79</v>
      </c>
      <c r="O3049" t="s">
        <v>74</v>
      </c>
      <c r="P3049" t="s">
        <v>74</v>
      </c>
      <c r="Q3049" t="s">
        <v>74</v>
      </c>
      <c r="R3049" t="s">
        <v>74</v>
      </c>
      <c r="S3049" t="s">
        <v>74</v>
      </c>
      <c r="T3049" t="s">
        <v>50370</v>
      </c>
      <c r="U3049" t="s">
        <v>50371</v>
      </c>
      <c r="V3049" t="s">
        <v>50372</v>
      </c>
      <c r="W3049" t="s">
        <v>50373</v>
      </c>
      <c r="X3049" t="s">
        <v>28940</v>
      </c>
      <c r="Y3049" t="s">
        <v>50374</v>
      </c>
      <c r="Z3049" t="s">
        <v>50375</v>
      </c>
      <c r="AA3049" t="s">
        <v>74</v>
      </c>
      <c r="AB3049" t="s">
        <v>50376</v>
      </c>
      <c r="AC3049" t="s">
        <v>50377</v>
      </c>
      <c r="AD3049" t="s">
        <v>50378</v>
      </c>
      <c r="AE3049" t="s">
        <v>50379</v>
      </c>
      <c r="AF3049" t="s">
        <v>74</v>
      </c>
      <c r="AG3049">
        <v>73</v>
      </c>
      <c r="AH3049">
        <v>1</v>
      </c>
      <c r="AI3049">
        <v>1</v>
      </c>
      <c r="AJ3049">
        <v>2</v>
      </c>
      <c r="AK3049">
        <v>5</v>
      </c>
      <c r="AL3049" t="s">
        <v>479</v>
      </c>
      <c r="AM3049" t="s">
        <v>480</v>
      </c>
      <c r="AN3049" t="s">
        <v>481</v>
      </c>
      <c r="AO3049" t="s">
        <v>50380</v>
      </c>
      <c r="AP3049" t="s">
        <v>50381</v>
      </c>
      <c r="AQ3049" t="s">
        <v>74</v>
      </c>
      <c r="AR3049" t="s">
        <v>50382</v>
      </c>
      <c r="AS3049" t="s">
        <v>50383</v>
      </c>
      <c r="AT3049" t="s">
        <v>698</v>
      </c>
      <c r="AU3049">
        <v>2025</v>
      </c>
      <c r="AV3049">
        <v>50</v>
      </c>
      <c r="AW3049">
        <v>3</v>
      </c>
      <c r="AX3049" t="s">
        <v>74</v>
      </c>
      <c r="AY3049" t="s">
        <v>74</v>
      </c>
      <c r="AZ3049" t="s">
        <v>74</v>
      </c>
      <c r="BA3049" t="s">
        <v>74</v>
      </c>
      <c r="BB3049" t="s">
        <v>74</v>
      </c>
      <c r="BC3049" t="s">
        <v>74</v>
      </c>
      <c r="BD3049" t="s">
        <v>74</v>
      </c>
      <c r="BE3049" t="s">
        <v>50384</v>
      </c>
      <c r="BF3049" t="str">
        <f>HYPERLINK("http://dx.doi.org/10.1111/tran.12734","http://dx.doi.org/10.1111/tran.12734")</f>
        <v>http://dx.doi.org/10.1111/tran.12734</v>
      </c>
      <c r="BG3049" t="s">
        <v>74</v>
      </c>
      <c r="BH3049" t="s">
        <v>267</v>
      </c>
      <c r="BI3049">
        <v>18</v>
      </c>
      <c r="BJ3049" t="s">
        <v>20950</v>
      </c>
      <c r="BK3049" t="s">
        <v>99</v>
      </c>
      <c r="BL3049" t="s">
        <v>20950</v>
      </c>
      <c r="BM3049" t="s">
        <v>50385</v>
      </c>
      <c r="BN3049" t="s">
        <v>74</v>
      </c>
      <c r="BO3049" t="s">
        <v>270</v>
      </c>
      <c r="BP3049" t="s">
        <v>74</v>
      </c>
      <c r="BQ3049" t="s">
        <v>74</v>
      </c>
      <c r="BR3049" t="s">
        <v>102</v>
      </c>
      <c r="BS3049" t="s">
        <v>50386</v>
      </c>
      <c r="BT3049" t="str">
        <f>HYPERLINK("https%3A%2F%2Fwww.webofscience.com%2Fwos%2Fwoscc%2Ffull-record%2FWOS:001365210500001","View Full Record in Web of Science")</f>
        <v>View Full Record in Web of Science</v>
      </c>
    </row>
    <row r="3050" spans="1:72" x14ac:dyDescent="0.25">
      <c r="A3050" t="s">
        <v>72</v>
      </c>
      <c r="B3050" t="s">
        <v>50387</v>
      </c>
      <c r="C3050" t="s">
        <v>74</v>
      </c>
      <c r="D3050" t="s">
        <v>74</v>
      </c>
      <c r="E3050" t="s">
        <v>74</v>
      </c>
      <c r="F3050" t="s">
        <v>50388</v>
      </c>
      <c r="G3050" t="s">
        <v>74</v>
      </c>
      <c r="H3050" t="s">
        <v>74</v>
      </c>
      <c r="I3050" t="s">
        <v>50389</v>
      </c>
      <c r="J3050" t="s">
        <v>274</v>
      </c>
      <c r="K3050" t="s">
        <v>74</v>
      </c>
      <c r="L3050" t="s">
        <v>74</v>
      </c>
      <c r="M3050" t="s">
        <v>78</v>
      </c>
      <c r="N3050" t="s">
        <v>79</v>
      </c>
      <c r="O3050" t="s">
        <v>74</v>
      </c>
      <c r="P3050" t="s">
        <v>74</v>
      </c>
      <c r="Q3050" t="s">
        <v>74</v>
      </c>
      <c r="R3050" t="s">
        <v>74</v>
      </c>
      <c r="S3050" t="s">
        <v>74</v>
      </c>
      <c r="T3050" t="s">
        <v>50390</v>
      </c>
      <c r="U3050" t="s">
        <v>74</v>
      </c>
      <c r="V3050" t="s">
        <v>50391</v>
      </c>
      <c r="W3050" t="s">
        <v>50392</v>
      </c>
      <c r="X3050" t="s">
        <v>50393</v>
      </c>
      <c r="Y3050" t="s">
        <v>50394</v>
      </c>
      <c r="Z3050" t="s">
        <v>50395</v>
      </c>
      <c r="AA3050" t="s">
        <v>50396</v>
      </c>
      <c r="AB3050" t="s">
        <v>50397</v>
      </c>
      <c r="AC3050" t="s">
        <v>50398</v>
      </c>
      <c r="AD3050" t="s">
        <v>50399</v>
      </c>
      <c r="AE3050" t="s">
        <v>50400</v>
      </c>
      <c r="AF3050" t="s">
        <v>74</v>
      </c>
      <c r="AG3050">
        <v>8</v>
      </c>
      <c r="AH3050">
        <v>3</v>
      </c>
      <c r="AI3050">
        <v>5</v>
      </c>
      <c r="AJ3050">
        <v>1</v>
      </c>
      <c r="AK3050">
        <v>3</v>
      </c>
      <c r="AL3050" t="s">
        <v>282</v>
      </c>
      <c r="AM3050" t="s">
        <v>283</v>
      </c>
      <c r="AN3050" t="s">
        <v>284</v>
      </c>
      <c r="AO3050" t="s">
        <v>285</v>
      </c>
      <c r="AP3050" t="s">
        <v>286</v>
      </c>
      <c r="AQ3050" t="s">
        <v>74</v>
      </c>
      <c r="AR3050" t="s">
        <v>287</v>
      </c>
      <c r="AS3050" t="s">
        <v>288</v>
      </c>
      <c r="AT3050" t="s">
        <v>743</v>
      </c>
      <c r="AU3050">
        <v>2023</v>
      </c>
      <c r="AV3050">
        <v>225</v>
      </c>
      <c r="AW3050" t="s">
        <v>74</v>
      </c>
      <c r="AX3050" t="s">
        <v>74</v>
      </c>
      <c r="AY3050" t="s">
        <v>74</v>
      </c>
      <c r="AZ3050" t="s">
        <v>74</v>
      </c>
      <c r="BA3050" t="s">
        <v>74</v>
      </c>
      <c r="BB3050" t="s">
        <v>74</v>
      </c>
      <c r="BC3050" t="s">
        <v>74</v>
      </c>
      <c r="BD3050">
        <v>111044</v>
      </c>
      <c r="BE3050" t="s">
        <v>50401</v>
      </c>
      <c r="BF3050" t="str">
        <f>HYPERLINK("http://dx.doi.org/10.1016/j.econlet.2023.111044","http://dx.doi.org/10.1016/j.econlet.2023.111044")</f>
        <v>http://dx.doi.org/10.1016/j.econlet.2023.111044</v>
      </c>
      <c r="BG3050" t="s">
        <v>74</v>
      </c>
      <c r="BH3050" t="s">
        <v>3595</v>
      </c>
      <c r="BI3050">
        <v>7</v>
      </c>
      <c r="BJ3050" t="s">
        <v>291</v>
      </c>
      <c r="BK3050" t="s">
        <v>99</v>
      </c>
      <c r="BL3050" t="s">
        <v>100</v>
      </c>
      <c r="BM3050" t="s">
        <v>50402</v>
      </c>
      <c r="BN3050" t="s">
        <v>74</v>
      </c>
      <c r="BO3050" t="s">
        <v>466</v>
      </c>
      <c r="BP3050" t="s">
        <v>74</v>
      </c>
      <c r="BQ3050" t="s">
        <v>74</v>
      </c>
      <c r="BR3050" t="s">
        <v>102</v>
      </c>
      <c r="BS3050" t="s">
        <v>50403</v>
      </c>
      <c r="BT3050" t="str">
        <f>HYPERLINK("https%3A%2F%2Fwww.webofscience.com%2Fwos%2Fwoscc%2Ffull-record%2FWOS:000955147900001","View Full Record in Web of Science")</f>
        <v>View Full Record in Web of Science</v>
      </c>
    </row>
    <row r="3051" spans="1:72" x14ac:dyDescent="0.25">
      <c r="A3051" t="s">
        <v>72</v>
      </c>
      <c r="B3051" t="s">
        <v>50404</v>
      </c>
      <c r="C3051" t="s">
        <v>74</v>
      </c>
      <c r="D3051" t="s">
        <v>74</v>
      </c>
      <c r="E3051" t="s">
        <v>74</v>
      </c>
      <c r="F3051" t="s">
        <v>50405</v>
      </c>
      <c r="G3051" t="s">
        <v>74</v>
      </c>
      <c r="H3051" t="s">
        <v>74</v>
      </c>
      <c r="I3051" t="s">
        <v>50406</v>
      </c>
      <c r="J3051" t="s">
        <v>836</v>
      </c>
      <c r="K3051" t="s">
        <v>74</v>
      </c>
      <c r="L3051" t="s">
        <v>74</v>
      </c>
      <c r="M3051" t="s">
        <v>78</v>
      </c>
      <c r="N3051" t="s">
        <v>79</v>
      </c>
      <c r="O3051" t="s">
        <v>74</v>
      </c>
      <c r="P3051" t="s">
        <v>74</v>
      </c>
      <c r="Q3051" t="s">
        <v>74</v>
      </c>
      <c r="R3051" t="s">
        <v>74</v>
      </c>
      <c r="S3051" t="s">
        <v>74</v>
      </c>
      <c r="T3051" t="s">
        <v>50407</v>
      </c>
      <c r="U3051" t="s">
        <v>50408</v>
      </c>
      <c r="V3051" t="s">
        <v>50409</v>
      </c>
      <c r="W3051" t="s">
        <v>50410</v>
      </c>
      <c r="X3051" t="s">
        <v>50411</v>
      </c>
      <c r="Y3051" t="s">
        <v>50412</v>
      </c>
      <c r="Z3051" t="s">
        <v>50413</v>
      </c>
      <c r="AA3051" t="s">
        <v>50414</v>
      </c>
      <c r="AB3051" t="s">
        <v>74</v>
      </c>
      <c r="AC3051" t="s">
        <v>25397</v>
      </c>
      <c r="AD3051" t="s">
        <v>25396</v>
      </c>
      <c r="AE3051" t="s">
        <v>50415</v>
      </c>
      <c r="AF3051" t="s">
        <v>74</v>
      </c>
      <c r="AG3051">
        <v>64</v>
      </c>
      <c r="AH3051">
        <v>11</v>
      </c>
      <c r="AI3051">
        <v>11</v>
      </c>
      <c r="AJ3051">
        <v>10</v>
      </c>
      <c r="AK3051">
        <v>32</v>
      </c>
      <c r="AL3051" t="s">
        <v>503</v>
      </c>
      <c r="AM3051" t="s">
        <v>151</v>
      </c>
      <c r="AN3051" t="s">
        <v>504</v>
      </c>
      <c r="AO3051" t="s">
        <v>844</v>
      </c>
      <c r="AP3051" t="s">
        <v>845</v>
      </c>
      <c r="AQ3051" t="s">
        <v>74</v>
      </c>
      <c r="AR3051" t="s">
        <v>846</v>
      </c>
      <c r="AS3051" t="s">
        <v>847</v>
      </c>
      <c r="AT3051" t="s">
        <v>848</v>
      </c>
      <c r="AU3051">
        <v>2024</v>
      </c>
      <c r="AV3051">
        <v>94</v>
      </c>
      <c r="AW3051" t="s">
        <v>74</v>
      </c>
      <c r="AX3051" t="s">
        <v>74</v>
      </c>
      <c r="AY3051" t="s">
        <v>74</v>
      </c>
      <c r="AZ3051" t="s">
        <v>74</v>
      </c>
      <c r="BA3051" t="s">
        <v>74</v>
      </c>
      <c r="BB3051" t="s">
        <v>74</v>
      </c>
      <c r="BC3051" t="s">
        <v>74</v>
      </c>
      <c r="BD3051">
        <v>103259</v>
      </c>
      <c r="BE3051" t="s">
        <v>50416</v>
      </c>
      <c r="BF3051" t="str">
        <f>HYPERLINK("http://dx.doi.org/10.1016/j.irfa.2024.103259","http://dx.doi.org/10.1016/j.irfa.2024.103259")</f>
        <v>http://dx.doi.org/10.1016/j.irfa.2024.103259</v>
      </c>
      <c r="BG3051" t="s">
        <v>74</v>
      </c>
      <c r="BH3051" t="s">
        <v>938</v>
      </c>
      <c r="BI3051">
        <v>12</v>
      </c>
      <c r="BJ3051" t="s">
        <v>268</v>
      </c>
      <c r="BK3051" t="s">
        <v>99</v>
      </c>
      <c r="BL3051" t="s">
        <v>100</v>
      </c>
      <c r="BM3051" t="s">
        <v>50417</v>
      </c>
      <c r="BN3051" t="s">
        <v>74</v>
      </c>
      <c r="BO3051" t="s">
        <v>74</v>
      </c>
      <c r="BP3051" t="s">
        <v>74</v>
      </c>
      <c r="BQ3051" t="s">
        <v>74</v>
      </c>
      <c r="BR3051" t="s">
        <v>102</v>
      </c>
      <c r="BS3051" t="s">
        <v>50418</v>
      </c>
      <c r="BT3051" t="str">
        <f>HYPERLINK("https%3A%2F%2Fwww.webofscience.com%2Fwos%2Fwoscc%2Ffull-record%2FWOS:001223665400001","View Full Record in Web of Science")</f>
        <v>View Full Record in Web of Science</v>
      </c>
    </row>
    <row r="3052" spans="1:72" x14ac:dyDescent="0.25">
      <c r="A3052" t="s">
        <v>72</v>
      </c>
      <c r="B3052" t="s">
        <v>50419</v>
      </c>
      <c r="C3052" t="s">
        <v>74</v>
      </c>
      <c r="D3052" t="s">
        <v>74</v>
      </c>
      <c r="E3052" t="s">
        <v>74</v>
      </c>
      <c r="F3052" t="s">
        <v>50420</v>
      </c>
      <c r="G3052" t="s">
        <v>74</v>
      </c>
      <c r="H3052" t="s">
        <v>74</v>
      </c>
      <c r="I3052" t="s">
        <v>50421</v>
      </c>
      <c r="J3052" t="s">
        <v>40590</v>
      </c>
      <c r="K3052" t="s">
        <v>74</v>
      </c>
      <c r="L3052" t="s">
        <v>74</v>
      </c>
      <c r="M3052" t="s">
        <v>78</v>
      </c>
      <c r="N3052" t="s">
        <v>79</v>
      </c>
      <c r="O3052" t="s">
        <v>74</v>
      </c>
      <c r="P3052" t="s">
        <v>74</v>
      </c>
      <c r="Q3052" t="s">
        <v>74</v>
      </c>
      <c r="R3052" t="s">
        <v>74</v>
      </c>
      <c r="S3052" t="s">
        <v>74</v>
      </c>
      <c r="T3052" t="s">
        <v>50422</v>
      </c>
      <c r="U3052" t="s">
        <v>50423</v>
      </c>
      <c r="V3052" t="s">
        <v>50424</v>
      </c>
      <c r="W3052" t="s">
        <v>50425</v>
      </c>
      <c r="X3052" t="s">
        <v>50426</v>
      </c>
      <c r="Y3052" t="s">
        <v>50427</v>
      </c>
      <c r="Z3052" t="s">
        <v>50428</v>
      </c>
      <c r="AA3052" t="s">
        <v>74</v>
      </c>
      <c r="AB3052" t="s">
        <v>50429</v>
      </c>
      <c r="AC3052" t="s">
        <v>74</v>
      </c>
      <c r="AD3052" t="s">
        <v>74</v>
      </c>
      <c r="AE3052" t="s">
        <v>74</v>
      </c>
      <c r="AF3052" t="s">
        <v>74</v>
      </c>
      <c r="AG3052">
        <v>56</v>
      </c>
      <c r="AH3052">
        <v>1</v>
      </c>
      <c r="AI3052">
        <v>1</v>
      </c>
      <c r="AJ3052">
        <v>4</v>
      </c>
      <c r="AK3052">
        <v>15</v>
      </c>
      <c r="AL3052" t="s">
        <v>332</v>
      </c>
      <c r="AM3052" t="s">
        <v>333</v>
      </c>
      <c r="AN3052" t="s">
        <v>334</v>
      </c>
      <c r="AO3052" t="s">
        <v>40600</v>
      </c>
      <c r="AP3052" t="s">
        <v>40601</v>
      </c>
      <c r="AQ3052" t="s">
        <v>74</v>
      </c>
      <c r="AR3052" t="s">
        <v>40602</v>
      </c>
      <c r="AS3052" t="s">
        <v>40603</v>
      </c>
      <c r="AT3052" t="s">
        <v>958</v>
      </c>
      <c r="AU3052">
        <v>2024</v>
      </c>
      <c r="AV3052">
        <v>22</v>
      </c>
      <c r="AW3052">
        <v>3</v>
      </c>
      <c r="AX3052" t="s">
        <v>74</v>
      </c>
      <c r="AY3052" t="s">
        <v>74</v>
      </c>
      <c r="AZ3052" t="s">
        <v>74</v>
      </c>
      <c r="BA3052" t="s">
        <v>74</v>
      </c>
      <c r="BB3052">
        <v>379</v>
      </c>
      <c r="BC3052">
        <v>408</v>
      </c>
      <c r="BD3052" t="s">
        <v>74</v>
      </c>
      <c r="BE3052" t="s">
        <v>50430</v>
      </c>
      <c r="BF3052" t="str">
        <f>HYPERLINK("http://dx.doi.org/10.1080/14765284.2024.2311680","http://dx.doi.org/10.1080/14765284.2024.2311680")</f>
        <v>http://dx.doi.org/10.1080/14765284.2024.2311680</v>
      </c>
      <c r="BG3052" t="s">
        <v>74</v>
      </c>
      <c r="BH3052" t="s">
        <v>1239</v>
      </c>
      <c r="BI3052">
        <v>30</v>
      </c>
      <c r="BJ3052" t="s">
        <v>291</v>
      </c>
      <c r="BK3052" t="s">
        <v>313</v>
      </c>
      <c r="BL3052" t="s">
        <v>100</v>
      </c>
      <c r="BM3052" t="s">
        <v>40605</v>
      </c>
      <c r="BN3052" t="s">
        <v>74</v>
      </c>
      <c r="BO3052" t="s">
        <v>74</v>
      </c>
      <c r="BP3052" t="s">
        <v>74</v>
      </c>
      <c r="BQ3052" t="s">
        <v>74</v>
      </c>
      <c r="BR3052" t="s">
        <v>102</v>
      </c>
      <c r="BS3052" t="s">
        <v>50431</v>
      </c>
      <c r="BT3052" t="str">
        <f>HYPERLINK("https%3A%2F%2Fwww.webofscience.com%2Fwos%2Fwoscc%2Ffull-record%2FWOS:001170493700001","View Full Record in Web of Science")</f>
        <v>View Full Record in Web of Science</v>
      </c>
    </row>
    <row r="3053" spans="1:72" x14ac:dyDescent="0.25">
      <c r="A3053" t="s">
        <v>72</v>
      </c>
      <c r="B3053" t="s">
        <v>50432</v>
      </c>
      <c r="C3053" t="s">
        <v>74</v>
      </c>
      <c r="D3053" t="s">
        <v>74</v>
      </c>
      <c r="E3053" t="s">
        <v>74</v>
      </c>
      <c r="F3053" t="s">
        <v>50433</v>
      </c>
      <c r="G3053" t="s">
        <v>74</v>
      </c>
      <c r="H3053" t="s">
        <v>74</v>
      </c>
      <c r="I3053" t="s">
        <v>50434</v>
      </c>
      <c r="J3053" t="s">
        <v>24263</v>
      </c>
      <c r="K3053" t="s">
        <v>74</v>
      </c>
      <c r="L3053" t="s">
        <v>74</v>
      </c>
      <c r="M3053" t="s">
        <v>78</v>
      </c>
      <c r="N3053" t="s">
        <v>79</v>
      </c>
      <c r="O3053" t="s">
        <v>74</v>
      </c>
      <c r="P3053" t="s">
        <v>74</v>
      </c>
      <c r="Q3053" t="s">
        <v>74</v>
      </c>
      <c r="R3053" t="s">
        <v>74</v>
      </c>
      <c r="S3053" t="s">
        <v>74</v>
      </c>
      <c r="T3053" t="s">
        <v>50435</v>
      </c>
      <c r="U3053" t="s">
        <v>50436</v>
      </c>
      <c r="V3053" t="s">
        <v>50437</v>
      </c>
      <c r="W3053" t="s">
        <v>50438</v>
      </c>
      <c r="X3053" t="s">
        <v>50439</v>
      </c>
      <c r="Y3053" t="s">
        <v>50440</v>
      </c>
      <c r="Z3053" t="s">
        <v>50441</v>
      </c>
      <c r="AA3053" t="s">
        <v>50442</v>
      </c>
      <c r="AB3053" t="s">
        <v>50443</v>
      </c>
      <c r="AC3053" t="s">
        <v>74</v>
      </c>
      <c r="AD3053" t="s">
        <v>74</v>
      </c>
      <c r="AE3053" t="s">
        <v>74</v>
      </c>
      <c r="AF3053" t="s">
        <v>74</v>
      </c>
      <c r="AG3053">
        <v>54</v>
      </c>
      <c r="AH3053">
        <v>23</v>
      </c>
      <c r="AI3053">
        <v>35</v>
      </c>
      <c r="AJ3053">
        <v>5</v>
      </c>
      <c r="AK3053">
        <v>102</v>
      </c>
      <c r="AL3053" t="s">
        <v>230</v>
      </c>
      <c r="AM3053" t="s">
        <v>231</v>
      </c>
      <c r="AN3053" t="s">
        <v>232</v>
      </c>
      <c r="AO3053" t="s">
        <v>24265</v>
      </c>
      <c r="AP3053" t="s">
        <v>24264</v>
      </c>
      <c r="AQ3053" t="s">
        <v>74</v>
      </c>
      <c r="AR3053" t="s">
        <v>24263</v>
      </c>
      <c r="AS3053" t="s">
        <v>24262</v>
      </c>
      <c r="AT3053" t="s">
        <v>124</v>
      </c>
      <c r="AU3053">
        <v>2020</v>
      </c>
      <c r="AV3053">
        <v>117</v>
      </c>
      <c r="AW3053" t="s">
        <v>74</v>
      </c>
      <c r="AX3053" t="s">
        <v>74</v>
      </c>
      <c r="AY3053" t="s">
        <v>74</v>
      </c>
      <c r="AZ3053" t="s">
        <v>74</v>
      </c>
      <c r="BA3053" t="s">
        <v>74</v>
      </c>
      <c r="BB3053">
        <v>46</v>
      </c>
      <c r="BC3053">
        <v>60</v>
      </c>
      <c r="BD3053" t="s">
        <v>74</v>
      </c>
      <c r="BE3053" t="s">
        <v>50444</v>
      </c>
      <c r="BF3053" t="str">
        <f>HYPERLINK("http://dx.doi.org/10.1016/j.geoforum.2020.09.004","http://dx.doi.org/10.1016/j.geoforum.2020.09.004")</f>
        <v>http://dx.doi.org/10.1016/j.geoforum.2020.09.004</v>
      </c>
      <c r="BG3053" t="s">
        <v>74</v>
      </c>
      <c r="BH3053" t="s">
        <v>74</v>
      </c>
      <c r="BI3053">
        <v>15</v>
      </c>
      <c r="BJ3053" t="s">
        <v>20950</v>
      </c>
      <c r="BK3053" t="s">
        <v>99</v>
      </c>
      <c r="BL3053" t="s">
        <v>20950</v>
      </c>
      <c r="BM3053" t="s">
        <v>34958</v>
      </c>
      <c r="BN3053">
        <v>32981950</v>
      </c>
      <c r="BO3053" t="s">
        <v>1696</v>
      </c>
      <c r="BP3053" t="s">
        <v>74</v>
      </c>
      <c r="BQ3053" t="s">
        <v>74</v>
      </c>
      <c r="BR3053" t="s">
        <v>102</v>
      </c>
      <c r="BS3053" t="s">
        <v>50445</v>
      </c>
      <c r="BT3053" t="str">
        <f>HYPERLINK("https%3A%2F%2Fwww.webofscience.com%2Fwos%2Fwoscc%2Ffull-record%2FWOS:000592912200006","View Full Record in Web of Science")</f>
        <v>View Full Record in Web of Science</v>
      </c>
    </row>
    <row r="3054" spans="1:72" x14ac:dyDescent="0.25">
      <c r="A3054" t="s">
        <v>72</v>
      </c>
      <c r="B3054" t="s">
        <v>50446</v>
      </c>
      <c r="C3054" t="s">
        <v>74</v>
      </c>
      <c r="D3054" t="s">
        <v>74</v>
      </c>
      <c r="E3054" t="s">
        <v>74</v>
      </c>
      <c r="F3054" t="s">
        <v>50447</v>
      </c>
      <c r="G3054" t="s">
        <v>74</v>
      </c>
      <c r="H3054" t="s">
        <v>74</v>
      </c>
      <c r="I3054" t="s">
        <v>50448</v>
      </c>
      <c r="J3054" t="s">
        <v>9414</v>
      </c>
      <c r="K3054" t="s">
        <v>74</v>
      </c>
      <c r="L3054" t="s">
        <v>74</v>
      </c>
      <c r="M3054" t="s">
        <v>78</v>
      </c>
      <c r="N3054" t="s">
        <v>79</v>
      </c>
      <c r="O3054" t="s">
        <v>74</v>
      </c>
      <c r="P3054" t="s">
        <v>74</v>
      </c>
      <c r="Q3054" t="s">
        <v>74</v>
      </c>
      <c r="R3054" t="s">
        <v>74</v>
      </c>
      <c r="S3054" t="s">
        <v>74</v>
      </c>
      <c r="T3054" t="s">
        <v>50449</v>
      </c>
      <c r="U3054" t="s">
        <v>74</v>
      </c>
      <c r="V3054" t="s">
        <v>50450</v>
      </c>
      <c r="W3054" t="s">
        <v>50451</v>
      </c>
      <c r="X3054" t="s">
        <v>50452</v>
      </c>
      <c r="Y3054" t="s">
        <v>50453</v>
      </c>
      <c r="Z3054" t="s">
        <v>50454</v>
      </c>
      <c r="AA3054" t="s">
        <v>74</v>
      </c>
      <c r="AB3054" t="s">
        <v>50455</v>
      </c>
      <c r="AC3054" t="s">
        <v>74</v>
      </c>
      <c r="AD3054" t="s">
        <v>74</v>
      </c>
      <c r="AE3054" t="s">
        <v>74</v>
      </c>
      <c r="AF3054" t="s">
        <v>74</v>
      </c>
      <c r="AG3054">
        <v>61</v>
      </c>
      <c r="AH3054">
        <v>3</v>
      </c>
      <c r="AI3054">
        <v>3</v>
      </c>
      <c r="AJ3054">
        <v>0</v>
      </c>
      <c r="AK3054">
        <v>0</v>
      </c>
      <c r="AL3054" t="s">
        <v>9424</v>
      </c>
      <c r="AM3054" t="s">
        <v>9425</v>
      </c>
      <c r="AN3054" t="s">
        <v>9426</v>
      </c>
      <c r="AO3054" t="s">
        <v>74</v>
      </c>
      <c r="AP3054" t="s">
        <v>9427</v>
      </c>
      <c r="AQ3054" t="s">
        <v>74</v>
      </c>
      <c r="AR3054" t="s">
        <v>9428</v>
      </c>
      <c r="AS3054" t="s">
        <v>9429</v>
      </c>
      <c r="AT3054" t="s">
        <v>124</v>
      </c>
      <c r="AU3054">
        <v>2023</v>
      </c>
      <c r="AV3054">
        <v>10</v>
      </c>
      <c r="AW3054">
        <v>2</v>
      </c>
      <c r="AX3054" t="s">
        <v>74</v>
      </c>
      <c r="AY3054" t="s">
        <v>74</v>
      </c>
      <c r="AZ3054" t="s">
        <v>74</v>
      </c>
      <c r="BA3054" t="s">
        <v>74</v>
      </c>
      <c r="BB3054">
        <v>291</v>
      </c>
      <c r="BC3054">
        <v>310</v>
      </c>
      <c r="BD3054" t="s">
        <v>74</v>
      </c>
      <c r="BE3054" t="s">
        <v>74</v>
      </c>
      <c r="BF3054" t="s">
        <v>74</v>
      </c>
      <c r="BG3054" t="s">
        <v>74</v>
      </c>
      <c r="BH3054" t="s">
        <v>74</v>
      </c>
      <c r="BI3054">
        <v>20</v>
      </c>
      <c r="BJ3054" t="s">
        <v>182</v>
      </c>
      <c r="BK3054" t="s">
        <v>313</v>
      </c>
      <c r="BL3054" t="s">
        <v>184</v>
      </c>
      <c r="BM3054" t="s">
        <v>50456</v>
      </c>
      <c r="BN3054" t="s">
        <v>74</v>
      </c>
      <c r="BO3054" t="s">
        <v>74</v>
      </c>
      <c r="BP3054" t="s">
        <v>74</v>
      </c>
      <c r="BQ3054" t="s">
        <v>74</v>
      </c>
      <c r="BR3054" t="s">
        <v>102</v>
      </c>
      <c r="BS3054" t="s">
        <v>50457</v>
      </c>
      <c r="BT3054" t="str">
        <f>HYPERLINK("https%3A%2F%2Fwww.webofscience.com%2Fwos%2Fwoscc%2Ffull-record%2FWOS:001205767200008","View Full Record in Web of Science")</f>
        <v>View Full Record in Web of Science</v>
      </c>
    </row>
    <row r="3055" spans="1:72" x14ac:dyDescent="0.25">
      <c r="A3055" t="s">
        <v>72</v>
      </c>
      <c r="B3055" t="s">
        <v>50458</v>
      </c>
      <c r="C3055" t="s">
        <v>74</v>
      </c>
      <c r="D3055" t="s">
        <v>74</v>
      </c>
      <c r="E3055" t="s">
        <v>74</v>
      </c>
      <c r="F3055" t="s">
        <v>50459</v>
      </c>
      <c r="G3055" t="s">
        <v>74</v>
      </c>
      <c r="H3055" t="s">
        <v>74</v>
      </c>
      <c r="I3055" t="s">
        <v>50460</v>
      </c>
      <c r="J3055" t="s">
        <v>30522</v>
      </c>
      <c r="K3055" t="s">
        <v>74</v>
      </c>
      <c r="L3055" t="s">
        <v>74</v>
      </c>
      <c r="M3055" t="s">
        <v>78</v>
      </c>
      <c r="N3055" t="s">
        <v>79</v>
      </c>
      <c r="O3055" t="s">
        <v>74</v>
      </c>
      <c r="P3055" t="s">
        <v>74</v>
      </c>
      <c r="Q3055" t="s">
        <v>74</v>
      </c>
      <c r="R3055" t="s">
        <v>74</v>
      </c>
      <c r="S3055" t="s">
        <v>74</v>
      </c>
      <c r="T3055" t="s">
        <v>50461</v>
      </c>
      <c r="U3055" t="s">
        <v>50462</v>
      </c>
      <c r="V3055" t="s">
        <v>50463</v>
      </c>
      <c r="W3055" t="s">
        <v>50464</v>
      </c>
      <c r="X3055" t="s">
        <v>50465</v>
      </c>
      <c r="Y3055" t="s">
        <v>50466</v>
      </c>
      <c r="Z3055" t="s">
        <v>50467</v>
      </c>
      <c r="AA3055" t="s">
        <v>50468</v>
      </c>
      <c r="AB3055" t="s">
        <v>50469</v>
      </c>
      <c r="AC3055" t="s">
        <v>74</v>
      </c>
      <c r="AD3055" t="s">
        <v>74</v>
      </c>
      <c r="AE3055" t="s">
        <v>74</v>
      </c>
      <c r="AF3055" t="s">
        <v>74</v>
      </c>
      <c r="AG3055">
        <v>50</v>
      </c>
      <c r="AH3055">
        <v>3</v>
      </c>
      <c r="AI3055">
        <v>4</v>
      </c>
      <c r="AJ3055">
        <v>3</v>
      </c>
      <c r="AK3055">
        <v>23</v>
      </c>
      <c r="AL3055" t="s">
        <v>575</v>
      </c>
      <c r="AM3055" t="s">
        <v>576</v>
      </c>
      <c r="AN3055" t="s">
        <v>3242</v>
      </c>
      <c r="AO3055" t="s">
        <v>74</v>
      </c>
      <c r="AP3055" t="s">
        <v>30515</v>
      </c>
      <c r="AQ3055" t="s">
        <v>74</v>
      </c>
      <c r="AR3055" t="s">
        <v>30514</v>
      </c>
      <c r="AS3055" t="s">
        <v>30513</v>
      </c>
      <c r="AT3055" t="s">
        <v>208</v>
      </c>
      <c r="AU3055">
        <v>2022</v>
      </c>
      <c r="AV3055">
        <v>11</v>
      </c>
      <c r="AW3055">
        <v>1</v>
      </c>
      <c r="AX3055" t="s">
        <v>74</v>
      </c>
      <c r="AY3055" t="s">
        <v>74</v>
      </c>
      <c r="AZ3055" t="s">
        <v>74</v>
      </c>
      <c r="BA3055" t="s">
        <v>74</v>
      </c>
      <c r="BB3055" t="s">
        <v>74</v>
      </c>
      <c r="BC3055" t="s">
        <v>74</v>
      </c>
      <c r="BD3055">
        <v>14</v>
      </c>
      <c r="BE3055" t="s">
        <v>50470</v>
      </c>
      <c r="BF3055" t="str">
        <f>HYPERLINK("http://dx.doi.org/10.3390/socsci11010014","http://dx.doi.org/10.3390/socsci11010014")</f>
        <v>http://dx.doi.org/10.3390/socsci11010014</v>
      </c>
      <c r="BG3055" t="s">
        <v>74</v>
      </c>
      <c r="BH3055" t="s">
        <v>74</v>
      </c>
      <c r="BI3055">
        <v>16</v>
      </c>
      <c r="BJ3055" t="s">
        <v>364</v>
      </c>
      <c r="BK3055" t="s">
        <v>313</v>
      </c>
      <c r="BL3055" t="s">
        <v>365</v>
      </c>
      <c r="BM3055" t="s">
        <v>50471</v>
      </c>
      <c r="BN3055" t="s">
        <v>74</v>
      </c>
      <c r="BO3055" t="s">
        <v>916</v>
      </c>
      <c r="BP3055" t="s">
        <v>74</v>
      </c>
      <c r="BQ3055" t="s">
        <v>74</v>
      </c>
      <c r="BR3055" t="s">
        <v>102</v>
      </c>
      <c r="BS3055" t="s">
        <v>50472</v>
      </c>
      <c r="BT3055" t="str">
        <f>HYPERLINK("https%3A%2F%2Fwww.webofscience.com%2Fwos%2Fwoscc%2Ffull-record%2FWOS:000747060200001","View Full Record in Web of Science")</f>
        <v>View Full Record in Web of Science</v>
      </c>
    </row>
    <row r="3056" spans="1:72" x14ac:dyDescent="0.25">
      <c r="A3056" t="s">
        <v>72</v>
      </c>
      <c r="B3056" t="s">
        <v>50473</v>
      </c>
      <c r="C3056" t="s">
        <v>74</v>
      </c>
      <c r="D3056" t="s">
        <v>74</v>
      </c>
      <c r="E3056" t="s">
        <v>74</v>
      </c>
      <c r="F3056" t="s">
        <v>50474</v>
      </c>
      <c r="G3056" t="s">
        <v>74</v>
      </c>
      <c r="H3056" t="s">
        <v>74</v>
      </c>
      <c r="I3056" t="s">
        <v>50475</v>
      </c>
      <c r="J3056" t="s">
        <v>656</v>
      </c>
      <c r="K3056" t="s">
        <v>74</v>
      </c>
      <c r="L3056" t="s">
        <v>74</v>
      </c>
      <c r="M3056" t="s">
        <v>78</v>
      </c>
      <c r="N3056" t="s">
        <v>79</v>
      </c>
      <c r="O3056" t="s">
        <v>74</v>
      </c>
      <c r="P3056" t="s">
        <v>74</v>
      </c>
      <c r="Q3056" t="s">
        <v>74</v>
      </c>
      <c r="R3056" t="s">
        <v>74</v>
      </c>
      <c r="S3056" t="s">
        <v>74</v>
      </c>
      <c r="T3056" t="s">
        <v>50476</v>
      </c>
      <c r="U3056" t="s">
        <v>50477</v>
      </c>
      <c r="V3056" t="s">
        <v>50478</v>
      </c>
      <c r="W3056" t="s">
        <v>50479</v>
      </c>
      <c r="X3056" t="s">
        <v>50480</v>
      </c>
      <c r="Y3056" t="s">
        <v>50481</v>
      </c>
      <c r="Z3056" t="s">
        <v>50482</v>
      </c>
      <c r="AA3056" t="s">
        <v>74</v>
      </c>
      <c r="AB3056" t="s">
        <v>74</v>
      </c>
      <c r="AC3056" t="s">
        <v>74</v>
      </c>
      <c r="AD3056" t="s">
        <v>74</v>
      </c>
      <c r="AE3056" t="s">
        <v>74</v>
      </c>
      <c r="AF3056" t="s">
        <v>74</v>
      </c>
      <c r="AG3056">
        <v>21</v>
      </c>
      <c r="AH3056">
        <v>9</v>
      </c>
      <c r="AI3056">
        <v>13</v>
      </c>
      <c r="AJ3056">
        <v>0</v>
      </c>
      <c r="AK3056">
        <v>17</v>
      </c>
      <c r="AL3056" t="s">
        <v>1062</v>
      </c>
      <c r="AM3056" t="s">
        <v>667</v>
      </c>
      <c r="AN3056" t="s">
        <v>668</v>
      </c>
      <c r="AO3056" t="s">
        <v>669</v>
      </c>
      <c r="AP3056" t="s">
        <v>670</v>
      </c>
      <c r="AQ3056" t="s">
        <v>74</v>
      </c>
      <c r="AR3056" t="s">
        <v>671</v>
      </c>
      <c r="AS3056" t="s">
        <v>672</v>
      </c>
      <c r="AT3056" t="s">
        <v>1652</v>
      </c>
      <c r="AU3056">
        <v>2020</v>
      </c>
      <c r="AV3056">
        <v>41</v>
      </c>
      <c r="AW3056">
        <v>2</v>
      </c>
      <c r="AX3056" t="s">
        <v>74</v>
      </c>
      <c r="AY3056" t="s">
        <v>74</v>
      </c>
      <c r="AZ3056" t="s">
        <v>74</v>
      </c>
      <c r="BA3056" t="s">
        <v>74</v>
      </c>
      <c r="BB3056">
        <v>377</v>
      </c>
      <c r="BC3056">
        <v>387</v>
      </c>
      <c r="BD3056" t="s">
        <v>74</v>
      </c>
      <c r="BE3056" t="s">
        <v>50483</v>
      </c>
      <c r="BF3056" t="str">
        <f>HYPERLINK("http://dx.doi.org/10.1007/s10834-019-09641-3","http://dx.doi.org/10.1007/s10834-019-09641-3")</f>
        <v>http://dx.doi.org/10.1007/s10834-019-09641-3</v>
      </c>
      <c r="BG3056" t="s">
        <v>74</v>
      </c>
      <c r="BH3056" t="s">
        <v>74</v>
      </c>
      <c r="BI3056">
        <v>11</v>
      </c>
      <c r="BJ3056" t="s">
        <v>675</v>
      </c>
      <c r="BK3056" t="s">
        <v>99</v>
      </c>
      <c r="BL3056" t="s">
        <v>676</v>
      </c>
      <c r="BM3056" t="s">
        <v>7538</v>
      </c>
      <c r="BN3056" t="s">
        <v>74</v>
      </c>
      <c r="BO3056" t="s">
        <v>74</v>
      </c>
      <c r="BP3056" t="s">
        <v>74</v>
      </c>
      <c r="BQ3056" t="s">
        <v>74</v>
      </c>
      <c r="BR3056" t="s">
        <v>102</v>
      </c>
      <c r="BS3056" t="s">
        <v>50484</v>
      </c>
      <c r="BT3056" t="str">
        <f>HYPERLINK("https%3A%2F%2Fwww.webofscience.com%2Fwos%2Fwoscc%2Ffull-record%2FWOS:000532978200013","View Full Record in Web of Science")</f>
        <v>View Full Record in Web of Science</v>
      </c>
    </row>
    <row r="3057" spans="1:72" x14ac:dyDescent="0.25">
      <c r="A3057" t="s">
        <v>72</v>
      </c>
      <c r="B3057" t="s">
        <v>50485</v>
      </c>
      <c r="C3057" t="s">
        <v>74</v>
      </c>
      <c r="D3057" t="s">
        <v>74</v>
      </c>
      <c r="E3057" t="s">
        <v>74</v>
      </c>
      <c r="F3057" t="s">
        <v>50486</v>
      </c>
      <c r="G3057" t="s">
        <v>74</v>
      </c>
      <c r="H3057" t="s">
        <v>74</v>
      </c>
      <c r="I3057" t="s">
        <v>50487</v>
      </c>
      <c r="J3057" t="s">
        <v>20691</v>
      </c>
      <c r="K3057" t="s">
        <v>74</v>
      </c>
      <c r="L3057" t="s">
        <v>74</v>
      </c>
      <c r="M3057" t="s">
        <v>78</v>
      </c>
      <c r="N3057" t="s">
        <v>79</v>
      </c>
      <c r="O3057" t="s">
        <v>74</v>
      </c>
      <c r="P3057" t="s">
        <v>74</v>
      </c>
      <c r="Q3057" t="s">
        <v>74</v>
      </c>
      <c r="R3057" t="s">
        <v>74</v>
      </c>
      <c r="S3057" t="s">
        <v>74</v>
      </c>
      <c r="T3057" t="s">
        <v>50488</v>
      </c>
      <c r="U3057" t="s">
        <v>50489</v>
      </c>
      <c r="V3057" t="s">
        <v>50490</v>
      </c>
      <c r="W3057" t="s">
        <v>50491</v>
      </c>
      <c r="X3057" t="s">
        <v>50492</v>
      </c>
      <c r="Y3057" t="s">
        <v>50493</v>
      </c>
      <c r="Z3057" t="s">
        <v>50494</v>
      </c>
      <c r="AA3057" t="s">
        <v>74</v>
      </c>
      <c r="AB3057" t="s">
        <v>49716</v>
      </c>
      <c r="AC3057" t="s">
        <v>74</v>
      </c>
      <c r="AD3057" t="s">
        <v>74</v>
      </c>
      <c r="AE3057" t="s">
        <v>74</v>
      </c>
      <c r="AF3057" t="s">
        <v>74</v>
      </c>
      <c r="AG3057">
        <v>71</v>
      </c>
      <c r="AH3057">
        <v>2</v>
      </c>
      <c r="AI3057">
        <v>3</v>
      </c>
      <c r="AJ3057">
        <v>0</v>
      </c>
      <c r="AK3057">
        <v>5</v>
      </c>
      <c r="AL3057" t="s">
        <v>20683</v>
      </c>
      <c r="AM3057" t="s">
        <v>20682</v>
      </c>
      <c r="AN3057" t="s">
        <v>20681</v>
      </c>
      <c r="AO3057" t="s">
        <v>20680</v>
      </c>
      <c r="AP3057" t="s">
        <v>20679</v>
      </c>
      <c r="AQ3057" t="s">
        <v>74</v>
      </c>
      <c r="AR3057" t="s">
        <v>20678</v>
      </c>
      <c r="AS3057" t="s">
        <v>20677</v>
      </c>
      <c r="AT3057" t="s">
        <v>1652</v>
      </c>
      <c r="AU3057">
        <v>2024</v>
      </c>
      <c r="AV3057">
        <v>39</v>
      </c>
      <c r="AW3057">
        <v>2</v>
      </c>
      <c r="AX3057" t="s">
        <v>74</v>
      </c>
      <c r="AY3057" t="s">
        <v>74</v>
      </c>
      <c r="AZ3057" t="s">
        <v>74</v>
      </c>
      <c r="BA3057" t="s">
        <v>74</v>
      </c>
      <c r="BB3057" t="s">
        <v>74</v>
      </c>
      <c r="BC3057" t="s">
        <v>74</v>
      </c>
      <c r="BD3057" t="s">
        <v>74</v>
      </c>
      <c r="BE3057" t="s">
        <v>50495</v>
      </c>
      <c r="BF3057" t="str">
        <f>HYPERLINK("http://dx.doi.org/10.11130/jei.2024013","http://dx.doi.org/10.11130/jei.2024013")</f>
        <v>http://dx.doi.org/10.11130/jei.2024013</v>
      </c>
      <c r="BG3057" t="s">
        <v>74</v>
      </c>
      <c r="BH3057" t="s">
        <v>74</v>
      </c>
      <c r="BI3057">
        <v>34</v>
      </c>
      <c r="BJ3057" t="s">
        <v>291</v>
      </c>
      <c r="BK3057" t="s">
        <v>313</v>
      </c>
      <c r="BL3057" t="s">
        <v>100</v>
      </c>
      <c r="BM3057" t="s">
        <v>50496</v>
      </c>
      <c r="BN3057" t="s">
        <v>74</v>
      </c>
      <c r="BO3057" t="s">
        <v>212</v>
      </c>
      <c r="BP3057" t="s">
        <v>74</v>
      </c>
      <c r="BQ3057" t="s">
        <v>74</v>
      </c>
      <c r="BR3057" t="s">
        <v>102</v>
      </c>
      <c r="BS3057" t="s">
        <v>50497</v>
      </c>
      <c r="BT3057" t="str">
        <f>HYPERLINK("https%3A%2F%2Fwww.webofscience.com%2Fwos%2Fwoscc%2Ffull-record%2FWOS:001240482300007","View Full Record in Web of Science")</f>
        <v>View Full Record in Web of Science</v>
      </c>
    </row>
    <row r="3058" spans="1:72" x14ac:dyDescent="0.25">
      <c r="A3058" t="s">
        <v>72</v>
      </c>
      <c r="B3058" t="s">
        <v>25548</v>
      </c>
      <c r="C3058" t="s">
        <v>74</v>
      </c>
      <c r="D3058" t="s">
        <v>74</v>
      </c>
      <c r="E3058" t="s">
        <v>74</v>
      </c>
      <c r="F3058" t="s">
        <v>25547</v>
      </c>
      <c r="G3058" t="s">
        <v>74</v>
      </c>
      <c r="H3058" t="s">
        <v>74</v>
      </c>
      <c r="I3058" t="s">
        <v>50498</v>
      </c>
      <c r="J3058" t="s">
        <v>2896</v>
      </c>
      <c r="K3058" t="s">
        <v>74</v>
      </c>
      <c r="L3058" t="s">
        <v>74</v>
      </c>
      <c r="M3058" t="s">
        <v>78</v>
      </c>
      <c r="N3058" t="s">
        <v>79</v>
      </c>
      <c r="O3058" t="s">
        <v>74</v>
      </c>
      <c r="P3058" t="s">
        <v>74</v>
      </c>
      <c r="Q3058" t="s">
        <v>74</v>
      </c>
      <c r="R3058" t="s">
        <v>74</v>
      </c>
      <c r="S3058" t="s">
        <v>74</v>
      </c>
      <c r="T3058" t="s">
        <v>50499</v>
      </c>
      <c r="U3058" t="s">
        <v>50500</v>
      </c>
      <c r="V3058" t="s">
        <v>50501</v>
      </c>
      <c r="W3058" t="s">
        <v>50502</v>
      </c>
      <c r="X3058" t="s">
        <v>50503</v>
      </c>
      <c r="Y3058" t="s">
        <v>50504</v>
      </c>
      <c r="Z3058" t="s">
        <v>50505</v>
      </c>
      <c r="AA3058" t="s">
        <v>74</v>
      </c>
      <c r="AB3058" t="s">
        <v>50506</v>
      </c>
      <c r="AC3058" t="s">
        <v>74</v>
      </c>
      <c r="AD3058" t="s">
        <v>74</v>
      </c>
      <c r="AE3058" t="s">
        <v>74</v>
      </c>
      <c r="AF3058" t="s">
        <v>74</v>
      </c>
      <c r="AG3058">
        <v>83</v>
      </c>
      <c r="AH3058">
        <v>0</v>
      </c>
      <c r="AI3058">
        <v>0</v>
      </c>
      <c r="AJ3058">
        <v>3</v>
      </c>
      <c r="AK3058">
        <v>3</v>
      </c>
      <c r="AL3058" t="s">
        <v>2907</v>
      </c>
      <c r="AM3058" t="s">
        <v>2908</v>
      </c>
      <c r="AN3058" t="s">
        <v>2909</v>
      </c>
      <c r="AO3058" t="s">
        <v>2910</v>
      </c>
      <c r="AP3058" t="s">
        <v>12978</v>
      </c>
      <c r="AQ3058" t="s">
        <v>74</v>
      </c>
      <c r="AR3058" t="s">
        <v>2911</v>
      </c>
      <c r="AS3058" t="s">
        <v>2912</v>
      </c>
      <c r="AT3058" t="s">
        <v>289</v>
      </c>
      <c r="AU3058">
        <v>2025</v>
      </c>
      <c r="AV3058">
        <v>37</v>
      </c>
      <c r="AW3058">
        <v>4</v>
      </c>
      <c r="AX3058" t="s">
        <v>74</v>
      </c>
      <c r="AY3058" t="s">
        <v>74</v>
      </c>
      <c r="AZ3058" t="s">
        <v>74</v>
      </c>
      <c r="BA3058" t="s">
        <v>74</v>
      </c>
      <c r="BB3058">
        <v>812</v>
      </c>
      <c r="BC3058">
        <v>838</v>
      </c>
      <c r="BD3058" t="s">
        <v>74</v>
      </c>
      <c r="BE3058" t="s">
        <v>50507</v>
      </c>
      <c r="BF3058" t="str">
        <f>HYPERLINK("http://dx.doi.org/10.1057/s41287-025-00707-7","http://dx.doi.org/10.1057/s41287-025-00707-7")</f>
        <v>http://dx.doi.org/10.1057/s41287-025-00707-7</v>
      </c>
      <c r="BG3058" t="s">
        <v>74</v>
      </c>
      <c r="BH3058" t="s">
        <v>3389</v>
      </c>
      <c r="BI3058">
        <v>27</v>
      </c>
      <c r="BJ3058" t="s">
        <v>1137</v>
      </c>
      <c r="BK3058" t="s">
        <v>99</v>
      </c>
      <c r="BL3058" t="s">
        <v>1137</v>
      </c>
      <c r="BM3058" t="s">
        <v>50508</v>
      </c>
      <c r="BN3058" t="s">
        <v>74</v>
      </c>
      <c r="BO3058" t="s">
        <v>74</v>
      </c>
      <c r="BP3058" t="s">
        <v>74</v>
      </c>
      <c r="BQ3058" t="s">
        <v>74</v>
      </c>
      <c r="BR3058" t="s">
        <v>102</v>
      </c>
      <c r="BS3058" t="s">
        <v>50509</v>
      </c>
      <c r="BT3058" t="str">
        <f>HYPERLINK("https%3A%2F%2Fwww.webofscience.com%2Fwos%2Fwoscc%2Ffull-record%2FWOS:001532147400001","View Full Record in Web of Science")</f>
        <v>View Full Record in Web of Science</v>
      </c>
    </row>
    <row r="3059" spans="1:72" x14ac:dyDescent="0.25">
      <c r="A3059" t="s">
        <v>72</v>
      </c>
      <c r="B3059" t="s">
        <v>50510</v>
      </c>
      <c r="C3059" t="s">
        <v>74</v>
      </c>
      <c r="D3059" t="s">
        <v>74</v>
      </c>
      <c r="E3059" t="s">
        <v>74</v>
      </c>
      <c r="F3059" t="s">
        <v>50511</v>
      </c>
      <c r="G3059" t="s">
        <v>74</v>
      </c>
      <c r="H3059" t="s">
        <v>74</v>
      </c>
      <c r="I3059" t="s">
        <v>50512</v>
      </c>
      <c r="J3059" t="s">
        <v>1878</v>
      </c>
      <c r="K3059" t="s">
        <v>74</v>
      </c>
      <c r="L3059" t="s">
        <v>74</v>
      </c>
      <c r="M3059" t="s">
        <v>78</v>
      </c>
      <c r="N3059" t="s">
        <v>79</v>
      </c>
      <c r="O3059" t="s">
        <v>74</v>
      </c>
      <c r="P3059" t="s">
        <v>74</v>
      </c>
      <c r="Q3059" t="s">
        <v>74</v>
      </c>
      <c r="R3059" t="s">
        <v>74</v>
      </c>
      <c r="S3059" t="s">
        <v>74</v>
      </c>
      <c r="T3059" t="s">
        <v>50513</v>
      </c>
      <c r="U3059" t="s">
        <v>50514</v>
      </c>
      <c r="V3059" t="s">
        <v>50515</v>
      </c>
      <c r="W3059" t="s">
        <v>50516</v>
      </c>
      <c r="X3059" t="s">
        <v>74</v>
      </c>
      <c r="Y3059" t="s">
        <v>50517</v>
      </c>
      <c r="Z3059" t="s">
        <v>50518</v>
      </c>
      <c r="AA3059" t="s">
        <v>50519</v>
      </c>
      <c r="AB3059" t="s">
        <v>50520</v>
      </c>
      <c r="AC3059" t="s">
        <v>74</v>
      </c>
      <c r="AD3059" t="s">
        <v>74</v>
      </c>
      <c r="AE3059" t="s">
        <v>74</v>
      </c>
      <c r="AF3059" t="s">
        <v>74</v>
      </c>
      <c r="AG3059">
        <v>26</v>
      </c>
      <c r="AH3059">
        <v>1</v>
      </c>
      <c r="AI3059">
        <v>2</v>
      </c>
      <c r="AJ3059">
        <v>4</v>
      </c>
      <c r="AK3059">
        <v>19</v>
      </c>
      <c r="AL3059" t="s">
        <v>1889</v>
      </c>
      <c r="AM3059" t="s">
        <v>1890</v>
      </c>
      <c r="AN3059" t="s">
        <v>1891</v>
      </c>
      <c r="AO3059" t="s">
        <v>1892</v>
      </c>
      <c r="AP3059" t="s">
        <v>1893</v>
      </c>
      <c r="AQ3059" t="s">
        <v>74</v>
      </c>
      <c r="AR3059" t="s">
        <v>1894</v>
      </c>
      <c r="AS3059" t="s">
        <v>1895</v>
      </c>
      <c r="AT3059" t="s">
        <v>124</v>
      </c>
      <c r="AU3059">
        <v>2024</v>
      </c>
      <c r="AV3059">
        <v>11</v>
      </c>
      <c r="AW3059">
        <v>4</v>
      </c>
      <c r="AX3059" t="s">
        <v>74</v>
      </c>
      <c r="AY3059" t="s">
        <v>74</v>
      </c>
      <c r="AZ3059" t="s">
        <v>74</v>
      </c>
      <c r="BA3059" t="s">
        <v>74</v>
      </c>
      <c r="BB3059" t="s">
        <v>74</v>
      </c>
      <c r="BC3059" t="s">
        <v>74</v>
      </c>
      <c r="BD3059">
        <v>2442004</v>
      </c>
      <c r="BE3059" t="s">
        <v>50521</v>
      </c>
      <c r="BF3059" t="str">
        <f>HYPERLINK("http://dx.doi.org/10.1142/S2424786324420040","http://dx.doi.org/10.1142/S2424786324420040")</f>
        <v>http://dx.doi.org/10.1142/S2424786324420040</v>
      </c>
      <c r="BG3059" t="s">
        <v>74</v>
      </c>
      <c r="BH3059" t="s">
        <v>2524</v>
      </c>
      <c r="BI3059">
        <v>13</v>
      </c>
      <c r="BJ3059" t="s">
        <v>268</v>
      </c>
      <c r="BK3059" t="s">
        <v>313</v>
      </c>
      <c r="BL3059" t="s">
        <v>100</v>
      </c>
      <c r="BM3059" t="s">
        <v>41888</v>
      </c>
      <c r="BN3059" t="s">
        <v>74</v>
      </c>
      <c r="BO3059" t="s">
        <v>74</v>
      </c>
      <c r="BP3059" t="s">
        <v>74</v>
      </c>
      <c r="BQ3059" t="s">
        <v>74</v>
      </c>
      <c r="BR3059" t="s">
        <v>102</v>
      </c>
      <c r="BS3059" t="s">
        <v>50522</v>
      </c>
      <c r="BT3059" t="str">
        <f>HYPERLINK("https%3A%2F%2Fwww.webofscience.com%2Fwos%2Fwoscc%2Ffull-record%2FWOS:001280354400004","View Full Record in Web of Science")</f>
        <v>View Full Record in Web of Science</v>
      </c>
    </row>
    <row r="3060" spans="1:72" x14ac:dyDescent="0.25">
      <c r="A3060" t="s">
        <v>72</v>
      </c>
      <c r="B3060" t="s">
        <v>50523</v>
      </c>
      <c r="C3060" t="s">
        <v>74</v>
      </c>
      <c r="D3060" t="s">
        <v>74</v>
      </c>
      <c r="E3060" t="s">
        <v>74</v>
      </c>
      <c r="F3060" t="s">
        <v>50524</v>
      </c>
      <c r="G3060" t="s">
        <v>74</v>
      </c>
      <c r="H3060" t="s">
        <v>74</v>
      </c>
      <c r="I3060" t="s">
        <v>50525</v>
      </c>
      <c r="J3060" t="s">
        <v>9372</v>
      </c>
      <c r="K3060" t="s">
        <v>74</v>
      </c>
      <c r="L3060" t="s">
        <v>74</v>
      </c>
      <c r="M3060" t="s">
        <v>78</v>
      </c>
      <c r="N3060" t="s">
        <v>79</v>
      </c>
      <c r="O3060" t="s">
        <v>74</v>
      </c>
      <c r="P3060" t="s">
        <v>74</v>
      </c>
      <c r="Q3060" t="s">
        <v>74</v>
      </c>
      <c r="R3060" t="s">
        <v>74</v>
      </c>
      <c r="S3060" t="s">
        <v>74</v>
      </c>
      <c r="T3060" t="s">
        <v>50526</v>
      </c>
      <c r="U3060" t="s">
        <v>50527</v>
      </c>
      <c r="V3060" t="s">
        <v>50528</v>
      </c>
      <c r="W3060" t="s">
        <v>50529</v>
      </c>
      <c r="X3060" t="s">
        <v>50530</v>
      </c>
      <c r="Y3060" t="s">
        <v>50531</v>
      </c>
      <c r="Z3060" t="s">
        <v>50532</v>
      </c>
      <c r="AA3060" t="s">
        <v>74</v>
      </c>
      <c r="AB3060" t="s">
        <v>74</v>
      </c>
      <c r="AC3060" t="s">
        <v>74</v>
      </c>
      <c r="AD3060" t="s">
        <v>74</v>
      </c>
      <c r="AE3060" t="s">
        <v>74</v>
      </c>
      <c r="AF3060" t="s">
        <v>74</v>
      </c>
      <c r="AG3060">
        <v>68</v>
      </c>
      <c r="AH3060">
        <v>9</v>
      </c>
      <c r="AI3060">
        <v>15</v>
      </c>
      <c r="AJ3060">
        <v>8</v>
      </c>
      <c r="AK3060">
        <v>16</v>
      </c>
      <c r="AL3060" t="s">
        <v>201</v>
      </c>
      <c r="AM3060" t="s">
        <v>202</v>
      </c>
      <c r="AN3060" t="s">
        <v>203</v>
      </c>
      <c r="AO3060" t="s">
        <v>9384</v>
      </c>
      <c r="AP3060" t="s">
        <v>9385</v>
      </c>
      <c r="AQ3060" t="s">
        <v>74</v>
      </c>
      <c r="AR3060" t="s">
        <v>9386</v>
      </c>
      <c r="AS3060" t="s">
        <v>9387</v>
      </c>
      <c r="AT3060" t="s">
        <v>1652</v>
      </c>
      <c r="AU3060">
        <v>2024</v>
      </c>
      <c r="AV3060">
        <v>70</v>
      </c>
      <c r="AW3060" t="s">
        <v>74</v>
      </c>
      <c r="AX3060" t="s">
        <v>8303</v>
      </c>
      <c r="AY3060" t="s">
        <v>74</v>
      </c>
      <c r="AZ3060" t="s">
        <v>74</v>
      </c>
      <c r="BA3060" t="s">
        <v>74</v>
      </c>
      <c r="BB3060" t="s">
        <v>74</v>
      </c>
      <c r="BC3060" t="s">
        <v>74</v>
      </c>
      <c r="BD3060">
        <v>102379</v>
      </c>
      <c r="BE3060" t="s">
        <v>50533</v>
      </c>
      <c r="BF3060" t="str">
        <f>HYPERLINK("http://dx.doi.org/10.1016/j.ribaf.2024.102379","http://dx.doi.org/10.1016/j.ribaf.2024.102379")</f>
        <v>http://dx.doi.org/10.1016/j.ribaf.2024.102379</v>
      </c>
      <c r="BG3060" t="s">
        <v>74</v>
      </c>
      <c r="BH3060" t="s">
        <v>5285</v>
      </c>
      <c r="BI3060">
        <v>20</v>
      </c>
      <c r="BJ3060" t="s">
        <v>268</v>
      </c>
      <c r="BK3060" t="s">
        <v>99</v>
      </c>
      <c r="BL3060" t="s">
        <v>100</v>
      </c>
      <c r="BM3060" t="s">
        <v>50534</v>
      </c>
      <c r="BN3060" t="s">
        <v>74</v>
      </c>
      <c r="BO3060" t="s">
        <v>74</v>
      </c>
      <c r="BP3060" t="s">
        <v>74</v>
      </c>
      <c r="BQ3060" t="s">
        <v>74</v>
      </c>
      <c r="BR3060" t="s">
        <v>102</v>
      </c>
      <c r="BS3060" t="s">
        <v>50535</v>
      </c>
      <c r="BT3060" t="str">
        <f>HYPERLINK("https%3A%2F%2Fwww.webofscience.com%2Fwos%2Fwoscc%2Ffull-record%2FWOS:001237789900001","View Full Record in Web of Science")</f>
        <v>View Full Record in Web of Science</v>
      </c>
    </row>
    <row r="3061" spans="1:72" x14ac:dyDescent="0.25">
      <c r="A3061" t="s">
        <v>132</v>
      </c>
      <c r="B3061" t="s">
        <v>50536</v>
      </c>
      <c r="C3061" t="s">
        <v>74</v>
      </c>
      <c r="D3061" t="s">
        <v>50537</v>
      </c>
      <c r="E3061" t="s">
        <v>74</v>
      </c>
      <c r="F3061" t="s">
        <v>50538</v>
      </c>
      <c r="G3061" t="s">
        <v>74</v>
      </c>
      <c r="H3061" t="s">
        <v>74</v>
      </c>
      <c r="I3061" t="s">
        <v>50539</v>
      </c>
      <c r="J3061" t="s">
        <v>50540</v>
      </c>
      <c r="K3061" t="s">
        <v>12028</v>
      </c>
      <c r="L3061" t="s">
        <v>74</v>
      </c>
      <c r="M3061" t="s">
        <v>78</v>
      </c>
      <c r="N3061" t="s">
        <v>138</v>
      </c>
      <c r="O3061" t="s">
        <v>50541</v>
      </c>
      <c r="P3061" t="s">
        <v>50542</v>
      </c>
      <c r="Q3061" t="s">
        <v>1550</v>
      </c>
      <c r="R3061" t="s">
        <v>74</v>
      </c>
      <c r="S3061" t="s">
        <v>74</v>
      </c>
      <c r="T3061" t="s">
        <v>50543</v>
      </c>
      <c r="U3061" t="s">
        <v>74</v>
      </c>
      <c r="V3061" t="s">
        <v>50544</v>
      </c>
      <c r="W3061" t="s">
        <v>50545</v>
      </c>
      <c r="X3061" t="s">
        <v>50546</v>
      </c>
      <c r="Y3061" t="s">
        <v>50547</v>
      </c>
      <c r="Z3061" t="s">
        <v>74</v>
      </c>
      <c r="AA3061" t="s">
        <v>50548</v>
      </c>
      <c r="AB3061" t="s">
        <v>74</v>
      </c>
      <c r="AC3061" t="s">
        <v>74</v>
      </c>
      <c r="AD3061" t="s">
        <v>74</v>
      </c>
      <c r="AE3061" t="s">
        <v>74</v>
      </c>
      <c r="AF3061" t="s">
        <v>74</v>
      </c>
      <c r="AG3061">
        <v>43</v>
      </c>
      <c r="AH3061">
        <v>0</v>
      </c>
      <c r="AI3061">
        <v>0</v>
      </c>
      <c r="AJ3061">
        <v>0</v>
      </c>
      <c r="AK3061">
        <v>5</v>
      </c>
      <c r="AL3061" t="s">
        <v>12038</v>
      </c>
      <c r="AM3061" t="s">
        <v>12039</v>
      </c>
      <c r="AN3061" t="s">
        <v>12040</v>
      </c>
      <c r="AO3061" t="s">
        <v>12041</v>
      </c>
      <c r="AP3061" t="s">
        <v>74</v>
      </c>
      <c r="AQ3061" t="s">
        <v>50549</v>
      </c>
      <c r="AR3061" t="s">
        <v>12043</v>
      </c>
      <c r="AS3061" t="s">
        <v>74</v>
      </c>
      <c r="AT3061" t="s">
        <v>74</v>
      </c>
      <c r="AU3061">
        <v>2020</v>
      </c>
      <c r="AV3061" t="s">
        <v>74</v>
      </c>
      <c r="AW3061" t="s">
        <v>74</v>
      </c>
      <c r="AX3061" t="s">
        <v>74</v>
      </c>
      <c r="AY3061" t="s">
        <v>74</v>
      </c>
      <c r="AZ3061" t="s">
        <v>74</v>
      </c>
      <c r="BA3061" t="s">
        <v>74</v>
      </c>
      <c r="BB3061">
        <v>278</v>
      </c>
      <c r="BC3061">
        <v>291</v>
      </c>
      <c r="BD3061" t="s">
        <v>74</v>
      </c>
      <c r="BE3061" t="s">
        <v>74</v>
      </c>
      <c r="BF3061" t="s">
        <v>74</v>
      </c>
      <c r="BG3061" t="s">
        <v>74</v>
      </c>
      <c r="BH3061" t="s">
        <v>74</v>
      </c>
      <c r="BI3061">
        <v>14</v>
      </c>
      <c r="BJ3061" t="s">
        <v>50550</v>
      </c>
      <c r="BK3061" t="s">
        <v>1069</v>
      </c>
      <c r="BL3061" t="s">
        <v>50551</v>
      </c>
      <c r="BM3061" t="s">
        <v>50552</v>
      </c>
      <c r="BN3061" t="s">
        <v>74</v>
      </c>
      <c r="BO3061" t="s">
        <v>74</v>
      </c>
      <c r="BP3061" t="s">
        <v>74</v>
      </c>
      <c r="BQ3061" t="s">
        <v>74</v>
      </c>
      <c r="BR3061" t="s">
        <v>102</v>
      </c>
      <c r="BS3061" t="s">
        <v>50553</v>
      </c>
      <c r="BT3061" t="str">
        <f>HYPERLINK("https%3A%2F%2Fwww.webofscience.com%2Fwos%2Fwoscc%2Ffull-record%2FWOS:000717224200021","View Full Record in Web of Science")</f>
        <v>View Full Record in Web of Science</v>
      </c>
    </row>
    <row r="3062" spans="1:72" x14ac:dyDescent="0.25">
      <c r="A3062" t="s">
        <v>72</v>
      </c>
      <c r="B3062" t="s">
        <v>18035</v>
      </c>
      <c r="C3062" t="s">
        <v>74</v>
      </c>
      <c r="D3062" t="s">
        <v>74</v>
      </c>
      <c r="E3062" t="s">
        <v>74</v>
      </c>
      <c r="F3062" t="s">
        <v>18036</v>
      </c>
      <c r="G3062" t="s">
        <v>74</v>
      </c>
      <c r="H3062" t="s">
        <v>74</v>
      </c>
      <c r="I3062" t="s">
        <v>50554</v>
      </c>
      <c r="J3062" t="s">
        <v>15799</v>
      </c>
      <c r="K3062" t="s">
        <v>74</v>
      </c>
      <c r="L3062" t="s">
        <v>74</v>
      </c>
      <c r="M3062" t="s">
        <v>78</v>
      </c>
      <c r="N3062" t="s">
        <v>79</v>
      </c>
      <c r="O3062" t="s">
        <v>74</v>
      </c>
      <c r="P3062" t="s">
        <v>74</v>
      </c>
      <c r="Q3062" t="s">
        <v>74</v>
      </c>
      <c r="R3062" t="s">
        <v>74</v>
      </c>
      <c r="S3062" t="s">
        <v>74</v>
      </c>
      <c r="T3062" t="s">
        <v>50555</v>
      </c>
      <c r="U3062" t="s">
        <v>50556</v>
      </c>
      <c r="V3062" t="s">
        <v>50557</v>
      </c>
      <c r="W3062" t="s">
        <v>50558</v>
      </c>
      <c r="X3062" t="s">
        <v>74</v>
      </c>
      <c r="Y3062" t="s">
        <v>50559</v>
      </c>
      <c r="Z3062" t="s">
        <v>18044</v>
      </c>
      <c r="AA3062" t="s">
        <v>74</v>
      </c>
      <c r="AB3062" t="s">
        <v>18045</v>
      </c>
      <c r="AC3062" t="s">
        <v>50560</v>
      </c>
      <c r="AD3062" t="s">
        <v>50561</v>
      </c>
      <c r="AE3062" t="s">
        <v>50562</v>
      </c>
      <c r="AF3062" t="s">
        <v>74</v>
      </c>
      <c r="AG3062">
        <v>81</v>
      </c>
      <c r="AH3062">
        <v>0</v>
      </c>
      <c r="AI3062">
        <v>0</v>
      </c>
      <c r="AJ3062">
        <v>0</v>
      </c>
      <c r="AK3062">
        <v>1</v>
      </c>
      <c r="AL3062" t="s">
        <v>332</v>
      </c>
      <c r="AM3062" t="s">
        <v>333</v>
      </c>
      <c r="AN3062" t="s">
        <v>334</v>
      </c>
      <c r="AO3062" t="s">
        <v>15807</v>
      </c>
      <c r="AP3062" t="s">
        <v>15808</v>
      </c>
      <c r="AQ3062" t="s">
        <v>74</v>
      </c>
      <c r="AR3062" t="s">
        <v>15809</v>
      </c>
      <c r="AS3062" t="s">
        <v>15810</v>
      </c>
      <c r="AT3062" t="s">
        <v>1693</v>
      </c>
      <c r="AU3062">
        <v>2025</v>
      </c>
      <c r="AV3062">
        <v>54</v>
      </c>
      <c r="AW3062">
        <v>2</v>
      </c>
      <c r="AX3062" t="s">
        <v>74</v>
      </c>
      <c r="AY3062" t="s">
        <v>74</v>
      </c>
      <c r="AZ3062" t="s">
        <v>74</v>
      </c>
      <c r="BA3062" t="s">
        <v>74</v>
      </c>
      <c r="BB3062">
        <v>209</v>
      </c>
      <c r="BC3062">
        <v>232</v>
      </c>
      <c r="BD3062" t="s">
        <v>74</v>
      </c>
      <c r="BE3062" t="s">
        <v>50563</v>
      </c>
      <c r="BF3062" t="str">
        <f>HYPERLINK("http://dx.doi.org/10.1080/03085147.2025.2489881","http://dx.doi.org/10.1080/03085147.2025.2489881")</f>
        <v>http://dx.doi.org/10.1080/03085147.2025.2489881</v>
      </c>
      <c r="BG3062" t="s">
        <v>74</v>
      </c>
      <c r="BH3062" t="s">
        <v>1485</v>
      </c>
      <c r="BI3062">
        <v>24</v>
      </c>
      <c r="BJ3062" t="s">
        <v>15812</v>
      </c>
      <c r="BK3062" t="s">
        <v>99</v>
      </c>
      <c r="BL3062" t="s">
        <v>15813</v>
      </c>
      <c r="BM3062" t="s">
        <v>50564</v>
      </c>
      <c r="BN3062" t="s">
        <v>74</v>
      </c>
      <c r="BO3062" t="s">
        <v>270</v>
      </c>
      <c r="BP3062" t="s">
        <v>74</v>
      </c>
      <c r="BQ3062" t="s">
        <v>74</v>
      </c>
      <c r="BR3062" t="s">
        <v>102</v>
      </c>
      <c r="BS3062" t="s">
        <v>50565</v>
      </c>
      <c r="BT3062" t="str">
        <f>HYPERLINK("https%3A%2F%2Fwww.webofscience.com%2Fwos%2Fwoscc%2Ffull-record%2FWOS:001478082100001","View Full Record in Web of Science")</f>
        <v>View Full Record in Web of Science</v>
      </c>
    </row>
    <row r="3063" spans="1:72" x14ac:dyDescent="0.25">
      <c r="A3063" t="s">
        <v>72</v>
      </c>
      <c r="B3063" t="s">
        <v>50566</v>
      </c>
      <c r="C3063" t="s">
        <v>74</v>
      </c>
      <c r="D3063" t="s">
        <v>74</v>
      </c>
      <c r="E3063" t="s">
        <v>74</v>
      </c>
      <c r="F3063" t="s">
        <v>50567</v>
      </c>
      <c r="G3063" t="s">
        <v>74</v>
      </c>
      <c r="H3063" t="s">
        <v>74</v>
      </c>
      <c r="I3063" t="s">
        <v>50568</v>
      </c>
      <c r="J3063" t="s">
        <v>50569</v>
      </c>
      <c r="K3063" t="s">
        <v>74</v>
      </c>
      <c r="L3063" t="s">
        <v>74</v>
      </c>
      <c r="M3063" t="s">
        <v>78</v>
      </c>
      <c r="N3063" t="s">
        <v>79</v>
      </c>
      <c r="O3063" t="s">
        <v>74</v>
      </c>
      <c r="P3063" t="s">
        <v>74</v>
      </c>
      <c r="Q3063" t="s">
        <v>74</v>
      </c>
      <c r="R3063" t="s">
        <v>74</v>
      </c>
      <c r="S3063" t="s">
        <v>74</v>
      </c>
      <c r="T3063" t="s">
        <v>50570</v>
      </c>
      <c r="U3063" t="s">
        <v>50571</v>
      </c>
      <c r="V3063" t="s">
        <v>50572</v>
      </c>
      <c r="W3063" t="s">
        <v>50573</v>
      </c>
      <c r="X3063" t="s">
        <v>50574</v>
      </c>
      <c r="Y3063" t="s">
        <v>50575</v>
      </c>
      <c r="Z3063" t="s">
        <v>50576</v>
      </c>
      <c r="AA3063" t="s">
        <v>74</v>
      </c>
      <c r="AB3063" t="s">
        <v>50577</v>
      </c>
      <c r="AC3063" t="s">
        <v>74</v>
      </c>
      <c r="AD3063" t="s">
        <v>74</v>
      </c>
      <c r="AE3063" t="s">
        <v>74</v>
      </c>
      <c r="AF3063" t="s">
        <v>74</v>
      </c>
      <c r="AG3063">
        <v>47</v>
      </c>
      <c r="AH3063">
        <v>12</v>
      </c>
      <c r="AI3063">
        <v>16</v>
      </c>
      <c r="AJ3063">
        <v>0</v>
      </c>
      <c r="AK3063">
        <v>28</v>
      </c>
      <c r="AL3063" t="s">
        <v>89</v>
      </c>
      <c r="AM3063" t="s">
        <v>1497</v>
      </c>
      <c r="AN3063" t="s">
        <v>1498</v>
      </c>
      <c r="AO3063" t="s">
        <v>50578</v>
      </c>
      <c r="AP3063" t="s">
        <v>50579</v>
      </c>
      <c r="AQ3063" t="s">
        <v>74</v>
      </c>
      <c r="AR3063" t="s">
        <v>50580</v>
      </c>
      <c r="AS3063" t="s">
        <v>50581</v>
      </c>
      <c r="AT3063" t="s">
        <v>17162</v>
      </c>
      <c r="AU3063">
        <v>2020</v>
      </c>
      <c r="AV3063">
        <v>16</v>
      </c>
      <c r="AW3063">
        <v>3</v>
      </c>
      <c r="AX3063" t="s">
        <v>74</v>
      </c>
      <c r="AY3063" t="s">
        <v>74</v>
      </c>
      <c r="AZ3063" t="s">
        <v>74</v>
      </c>
      <c r="BA3063" t="s">
        <v>74</v>
      </c>
      <c r="BB3063">
        <v>243</v>
      </c>
      <c r="BC3063">
        <v>261</v>
      </c>
      <c r="BD3063" t="s">
        <v>74</v>
      </c>
      <c r="BE3063" t="s">
        <v>50582</v>
      </c>
      <c r="BF3063" t="str">
        <f>HYPERLINK("http://dx.doi.org/10.1108/SEJ-08-2019-0063","http://dx.doi.org/10.1108/SEJ-08-2019-0063")</f>
        <v>http://dx.doi.org/10.1108/SEJ-08-2019-0063</v>
      </c>
      <c r="BG3063" t="s">
        <v>74</v>
      </c>
      <c r="BH3063" t="s">
        <v>2621</v>
      </c>
      <c r="BI3063">
        <v>19</v>
      </c>
      <c r="BJ3063" t="s">
        <v>418</v>
      </c>
      <c r="BK3063" t="s">
        <v>313</v>
      </c>
      <c r="BL3063" t="s">
        <v>100</v>
      </c>
      <c r="BM3063" t="s">
        <v>50583</v>
      </c>
      <c r="BN3063" t="s">
        <v>74</v>
      </c>
      <c r="BO3063" t="s">
        <v>74</v>
      </c>
      <c r="BP3063" t="s">
        <v>74</v>
      </c>
      <c r="BQ3063" t="s">
        <v>74</v>
      </c>
      <c r="BR3063" t="s">
        <v>102</v>
      </c>
      <c r="BS3063" t="s">
        <v>50584</v>
      </c>
      <c r="BT3063" t="str">
        <f>HYPERLINK("https%3A%2F%2Fwww.webofscience.com%2Fwos%2Fwoscc%2Ffull-record%2FWOS:000516601800001","View Full Record in Web of Science")</f>
        <v>View Full Record in Web of Science</v>
      </c>
    </row>
    <row r="3064" spans="1:72" x14ac:dyDescent="0.25">
      <c r="A3064" t="s">
        <v>72</v>
      </c>
      <c r="B3064" t="s">
        <v>50585</v>
      </c>
      <c r="C3064" t="s">
        <v>74</v>
      </c>
      <c r="D3064" t="s">
        <v>74</v>
      </c>
      <c r="E3064" t="s">
        <v>74</v>
      </c>
      <c r="F3064" t="s">
        <v>50586</v>
      </c>
      <c r="G3064" t="s">
        <v>74</v>
      </c>
      <c r="H3064" t="s">
        <v>74</v>
      </c>
      <c r="I3064" t="s">
        <v>50587</v>
      </c>
      <c r="J3064" t="s">
        <v>17444</v>
      </c>
      <c r="K3064" t="s">
        <v>74</v>
      </c>
      <c r="L3064" t="s">
        <v>74</v>
      </c>
      <c r="M3064" t="s">
        <v>78</v>
      </c>
      <c r="N3064" t="s">
        <v>79</v>
      </c>
      <c r="O3064" t="s">
        <v>74</v>
      </c>
      <c r="P3064" t="s">
        <v>74</v>
      </c>
      <c r="Q3064" t="s">
        <v>74</v>
      </c>
      <c r="R3064" t="s">
        <v>74</v>
      </c>
      <c r="S3064" t="s">
        <v>74</v>
      </c>
      <c r="T3064" t="s">
        <v>50588</v>
      </c>
      <c r="U3064" t="s">
        <v>50589</v>
      </c>
      <c r="V3064" t="s">
        <v>50590</v>
      </c>
      <c r="W3064" t="s">
        <v>50591</v>
      </c>
      <c r="X3064" t="s">
        <v>50592</v>
      </c>
      <c r="Y3064" t="s">
        <v>50593</v>
      </c>
      <c r="Z3064" t="s">
        <v>50594</v>
      </c>
      <c r="AA3064" t="s">
        <v>50595</v>
      </c>
      <c r="AB3064" t="s">
        <v>50596</v>
      </c>
      <c r="AC3064" t="s">
        <v>74</v>
      </c>
      <c r="AD3064" t="s">
        <v>74</v>
      </c>
      <c r="AE3064" t="s">
        <v>74</v>
      </c>
      <c r="AF3064" t="s">
        <v>74</v>
      </c>
      <c r="AG3064">
        <v>44</v>
      </c>
      <c r="AH3064">
        <v>4</v>
      </c>
      <c r="AI3064">
        <v>6</v>
      </c>
      <c r="AJ3064">
        <v>0</v>
      </c>
      <c r="AK3064">
        <v>5</v>
      </c>
      <c r="AL3064" t="s">
        <v>89</v>
      </c>
      <c r="AM3064" t="s">
        <v>1497</v>
      </c>
      <c r="AN3064" t="s">
        <v>1498</v>
      </c>
      <c r="AO3064" t="s">
        <v>17454</v>
      </c>
      <c r="AP3064" t="s">
        <v>17455</v>
      </c>
      <c r="AQ3064" t="s">
        <v>74</v>
      </c>
      <c r="AR3064" t="s">
        <v>17456</v>
      </c>
      <c r="AS3064" t="s">
        <v>17457</v>
      </c>
      <c r="AT3064" t="s">
        <v>43157</v>
      </c>
      <c r="AU3064">
        <v>2023</v>
      </c>
      <c r="AV3064">
        <v>49</v>
      </c>
      <c r="AW3064">
        <v>2</v>
      </c>
      <c r="AX3064" t="s">
        <v>74</v>
      </c>
      <c r="AY3064" t="s">
        <v>74</v>
      </c>
      <c r="AZ3064" t="s">
        <v>74</v>
      </c>
      <c r="BA3064" t="s">
        <v>74</v>
      </c>
      <c r="BB3064">
        <v>398</v>
      </c>
      <c r="BC3064">
        <v>419</v>
      </c>
      <c r="BD3064" t="s">
        <v>74</v>
      </c>
      <c r="BE3064" t="s">
        <v>50597</v>
      </c>
      <c r="BF3064" t="str">
        <f>HYPERLINK("http://dx.doi.org/10.1108/MF-04-2022-0169","http://dx.doi.org/10.1108/MF-04-2022-0169")</f>
        <v>http://dx.doi.org/10.1108/MF-04-2022-0169</v>
      </c>
      <c r="BG3064" t="s">
        <v>74</v>
      </c>
      <c r="BH3064" t="s">
        <v>6014</v>
      </c>
      <c r="BI3064">
        <v>22</v>
      </c>
      <c r="BJ3064" t="s">
        <v>268</v>
      </c>
      <c r="BK3064" t="s">
        <v>313</v>
      </c>
      <c r="BL3064" t="s">
        <v>100</v>
      </c>
      <c r="BM3064" t="s">
        <v>43159</v>
      </c>
      <c r="BN3064" t="s">
        <v>74</v>
      </c>
      <c r="BO3064" t="s">
        <v>74</v>
      </c>
      <c r="BP3064" t="s">
        <v>74</v>
      </c>
      <c r="BQ3064" t="s">
        <v>74</v>
      </c>
      <c r="BR3064" t="s">
        <v>102</v>
      </c>
      <c r="BS3064" t="s">
        <v>50598</v>
      </c>
      <c r="BT3064" t="str">
        <f>HYPERLINK("https%3A%2F%2Fwww.webofscience.com%2Fwos%2Fwoscc%2Ffull-record%2FWOS:000853891900001","View Full Record in Web of Science")</f>
        <v>View Full Record in Web of Science</v>
      </c>
    </row>
    <row r="3065" spans="1:72" x14ac:dyDescent="0.25">
      <c r="A3065" t="s">
        <v>72</v>
      </c>
      <c r="B3065" t="s">
        <v>50599</v>
      </c>
      <c r="C3065" t="s">
        <v>74</v>
      </c>
      <c r="D3065" t="s">
        <v>74</v>
      </c>
      <c r="E3065" t="s">
        <v>74</v>
      </c>
      <c r="F3065" t="s">
        <v>50600</v>
      </c>
      <c r="G3065" t="s">
        <v>74</v>
      </c>
      <c r="H3065" t="s">
        <v>74</v>
      </c>
      <c r="I3065" t="s">
        <v>50601</v>
      </c>
      <c r="J3065" t="s">
        <v>424</v>
      </c>
      <c r="K3065" t="s">
        <v>74</v>
      </c>
      <c r="L3065" t="s">
        <v>74</v>
      </c>
      <c r="M3065" t="s">
        <v>78</v>
      </c>
      <c r="N3065" t="s">
        <v>79</v>
      </c>
      <c r="O3065" t="s">
        <v>74</v>
      </c>
      <c r="P3065" t="s">
        <v>74</v>
      </c>
      <c r="Q3065" t="s">
        <v>74</v>
      </c>
      <c r="R3065" t="s">
        <v>74</v>
      </c>
      <c r="S3065" t="s">
        <v>74</v>
      </c>
      <c r="T3065" t="s">
        <v>50602</v>
      </c>
      <c r="U3065" t="s">
        <v>50603</v>
      </c>
      <c r="V3065" t="s">
        <v>50604</v>
      </c>
      <c r="W3065" t="s">
        <v>50605</v>
      </c>
      <c r="X3065" t="s">
        <v>6810</v>
      </c>
      <c r="Y3065" t="s">
        <v>50606</v>
      </c>
      <c r="Z3065" t="s">
        <v>30950</v>
      </c>
      <c r="AA3065" t="s">
        <v>50607</v>
      </c>
      <c r="AB3065" t="s">
        <v>50608</v>
      </c>
      <c r="AC3065" t="s">
        <v>74</v>
      </c>
      <c r="AD3065" t="s">
        <v>74</v>
      </c>
      <c r="AE3065" t="s">
        <v>74</v>
      </c>
      <c r="AF3065" t="s">
        <v>74</v>
      </c>
      <c r="AG3065">
        <v>91</v>
      </c>
      <c r="AH3065">
        <v>8</v>
      </c>
      <c r="AI3065">
        <v>10</v>
      </c>
      <c r="AJ3065">
        <v>7</v>
      </c>
      <c r="AK3065">
        <v>46</v>
      </c>
      <c r="AL3065" t="s">
        <v>89</v>
      </c>
      <c r="AM3065" t="s">
        <v>90</v>
      </c>
      <c r="AN3065" t="s">
        <v>91</v>
      </c>
      <c r="AO3065" t="s">
        <v>436</v>
      </c>
      <c r="AP3065" t="s">
        <v>437</v>
      </c>
      <c r="AQ3065" t="s">
        <v>74</v>
      </c>
      <c r="AR3065" t="s">
        <v>438</v>
      </c>
      <c r="AS3065" t="s">
        <v>439</v>
      </c>
      <c r="AT3065" t="s">
        <v>29813</v>
      </c>
      <c r="AU3065">
        <v>2024</v>
      </c>
      <c r="AV3065">
        <v>42</v>
      </c>
      <c r="AW3065">
        <v>3</v>
      </c>
      <c r="AX3065" t="s">
        <v>74</v>
      </c>
      <c r="AY3065" t="s">
        <v>74</v>
      </c>
      <c r="AZ3065" t="s">
        <v>74</v>
      </c>
      <c r="BA3065" t="s">
        <v>74</v>
      </c>
      <c r="BB3065">
        <v>642</v>
      </c>
      <c r="BC3065">
        <v>668</v>
      </c>
      <c r="BD3065" t="s">
        <v>74</v>
      </c>
      <c r="BE3065" t="s">
        <v>50609</v>
      </c>
      <c r="BF3065" t="str">
        <f>HYPERLINK("http://dx.doi.org/10.1108/IJBM-10-2022-0448","http://dx.doi.org/10.1108/IJBM-10-2022-0448")</f>
        <v>http://dx.doi.org/10.1108/IJBM-10-2022-0448</v>
      </c>
      <c r="BG3065" t="s">
        <v>74</v>
      </c>
      <c r="BH3065" t="s">
        <v>239</v>
      </c>
      <c r="BI3065">
        <v>27</v>
      </c>
      <c r="BJ3065" t="s">
        <v>418</v>
      </c>
      <c r="BK3065" t="s">
        <v>99</v>
      </c>
      <c r="BL3065" t="s">
        <v>100</v>
      </c>
      <c r="BM3065" t="s">
        <v>30846</v>
      </c>
      <c r="BN3065" t="s">
        <v>74</v>
      </c>
      <c r="BO3065" t="s">
        <v>74</v>
      </c>
      <c r="BP3065" t="s">
        <v>74</v>
      </c>
      <c r="BQ3065" t="s">
        <v>74</v>
      </c>
      <c r="BR3065" t="s">
        <v>102</v>
      </c>
      <c r="BS3065" t="s">
        <v>50610</v>
      </c>
      <c r="BT3065" t="str">
        <f>HYPERLINK("https%3A%2F%2Fwww.webofscience.com%2Fwos%2Fwoscc%2Ffull-record%2FWOS:001137434100001","View Full Record in Web of Science")</f>
        <v>View Full Record in Web of Science</v>
      </c>
    </row>
    <row r="3066" spans="1:72" x14ac:dyDescent="0.25">
      <c r="A3066" t="s">
        <v>72</v>
      </c>
      <c r="B3066" t="s">
        <v>50611</v>
      </c>
      <c r="C3066" t="s">
        <v>74</v>
      </c>
      <c r="D3066" t="s">
        <v>74</v>
      </c>
      <c r="E3066" t="s">
        <v>74</v>
      </c>
      <c r="F3066" t="s">
        <v>50612</v>
      </c>
      <c r="G3066" t="s">
        <v>74</v>
      </c>
      <c r="H3066" t="s">
        <v>74</v>
      </c>
      <c r="I3066" t="s">
        <v>50613</v>
      </c>
      <c r="J3066" t="s">
        <v>32689</v>
      </c>
      <c r="K3066" t="s">
        <v>74</v>
      </c>
      <c r="L3066" t="s">
        <v>74</v>
      </c>
      <c r="M3066" t="s">
        <v>78</v>
      </c>
      <c r="N3066" t="s">
        <v>79</v>
      </c>
      <c r="O3066" t="s">
        <v>74</v>
      </c>
      <c r="P3066" t="s">
        <v>74</v>
      </c>
      <c r="Q3066" t="s">
        <v>74</v>
      </c>
      <c r="R3066" t="s">
        <v>74</v>
      </c>
      <c r="S3066" t="s">
        <v>74</v>
      </c>
      <c r="T3066" t="s">
        <v>50614</v>
      </c>
      <c r="U3066" t="s">
        <v>50615</v>
      </c>
      <c r="V3066" t="s">
        <v>50616</v>
      </c>
      <c r="W3066" t="s">
        <v>50617</v>
      </c>
      <c r="X3066" t="s">
        <v>17508</v>
      </c>
      <c r="Y3066" t="s">
        <v>50618</v>
      </c>
      <c r="Z3066" t="s">
        <v>50619</v>
      </c>
      <c r="AA3066" t="s">
        <v>50620</v>
      </c>
      <c r="AB3066" t="s">
        <v>50621</v>
      </c>
      <c r="AC3066" t="s">
        <v>74</v>
      </c>
      <c r="AD3066" t="s">
        <v>74</v>
      </c>
      <c r="AE3066" t="s">
        <v>74</v>
      </c>
      <c r="AF3066" t="s">
        <v>74</v>
      </c>
      <c r="AG3066">
        <v>77</v>
      </c>
      <c r="AH3066">
        <v>5</v>
      </c>
      <c r="AI3066">
        <v>8</v>
      </c>
      <c r="AJ3066">
        <v>0</v>
      </c>
      <c r="AK3066">
        <v>10</v>
      </c>
      <c r="AL3066" t="s">
        <v>89</v>
      </c>
      <c r="AM3066" t="s">
        <v>1497</v>
      </c>
      <c r="AN3066" t="s">
        <v>1498</v>
      </c>
      <c r="AO3066" t="s">
        <v>32681</v>
      </c>
      <c r="AP3066" t="s">
        <v>32680</v>
      </c>
      <c r="AQ3066" t="s">
        <v>74</v>
      </c>
      <c r="AR3066" t="s">
        <v>32679</v>
      </c>
      <c r="AS3066" t="s">
        <v>32678</v>
      </c>
      <c r="AT3066" t="s">
        <v>23822</v>
      </c>
      <c r="AU3066">
        <v>2020</v>
      </c>
      <c r="AV3066">
        <v>16</v>
      </c>
      <c r="AW3066">
        <v>5</v>
      </c>
      <c r="AX3066" t="s">
        <v>74</v>
      </c>
      <c r="AY3066" t="s">
        <v>74</v>
      </c>
      <c r="AZ3066" t="s">
        <v>74</v>
      </c>
      <c r="BA3066" t="s">
        <v>74</v>
      </c>
      <c r="BB3066">
        <v>549</v>
      </c>
      <c r="BC3066">
        <v>574</v>
      </c>
      <c r="BD3066" t="s">
        <v>74</v>
      </c>
      <c r="BE3066" t="s">
        <v>50622</v>
      </c>
      <c r="BF3066" t="str">
        <f>HYPERLINK("http://dx.doi.org/10.1108/IJMF-06-2019-0212","http://dx.doi.org/10.1108/IJMF-06-2019-0212")</f>
        <v>http://dx.doi.org/10.1108/IJMF-06-2019-0212</v>
      </c>
      <c r="BG3066" t="s">
        <v>74</v>
      </c>
      <c r="BH3066" t="s">
        <v>3351</v>
      </c>
      <c r="BI3066">
        <v>26</v>
      </c>
      <c r="BJ3066" t="s">
        <v>268</v>
      </c>
      <c r="BK3066" t="s">
        <v>313</v>
      </c>
      <c r="BL3066" t="s">
        <v>100</v>
      </c>
      <c r="BM3066" t="s">
        <v>50623</v>
      </c>
      <c r="BN3066" t="s">
        <v>74</v>
      </c>
      <c r="BO3066" t="s">
        <v>1696</v>
      </c>
      <c r="BP3066" t="s">
        <v>74</v>
      </c>
      <c r="BQ3066" t="s">
        <v>74</v>
      </c>
      <c r="BR3066" t="s">
        <v>102</v>
      </c>
      <c r="BS3066" t="s">
        <v>50624</v>
      </c>
      <c r="BT3066" t="str">
        <f>HYPERLINK("https%3A%2F%2Fwww.webofscience.com%2Fwos%2Fwoscc%2Ffull-record%2FWOS:000553199900001","View Full Record in Web of Science")</f>
        <v>View Full Record in Web of Science</v>
      </c>
    </row>
    <row r="3067" spans="1:72" x14ac:dyDescent="0.25">
      <c r="A3067" t="s">
        <v>72</v>
      </c>
      <c r="B3067" t="s">
        <v>50625</v>
      </c>
      <c r="C3067" t="s">
        <v>74</v>
      </c>
      <c r="D3067" t="s">
        <v>74</v>
      </c>
      <c r="E3067" t="s">
        <v>74</v>
      </c>
      <c r="F3067" t="s">
        <v>50626</v>
      </c>
      <c r="G3067" t="s">
        <v>74</v>
      </c>
      <c r="H3067" t="s">
        <v>74</v>
      </c>
      <c r="I3067" t="s">
        <v>50627</v>
      </c>
      <c r="J3067" t="s">
        <v>50628</v>
      </c>
      <c r="K3067" t="s">
        <v>74</v>
      </c>
      <c r="L3067" t="s">
        <v>74</v>
      </c>
      <c r="M3067" t="s">
        <v>78</v>
      </c>
      <c r="N3067" t="s">
        <v>1766</v>
      </c>
      <c r="O3067" t="s">
        <v>74</v>
      </c>
      <c r="P3067" t="s">
        <v>74</v>
      </c>
      <c r="Q3067" t="s">
        <v>74</v>
      </c>
      <c r="R3067" t="s">
        <v>74</v>
      </c>
      <c r="S3067" t="s">
        <v>74</v>
      </c>
      <c r="T3067" t="s">
        <v>50629</v>
      </c>
      <c r="U3067" t="s">
        <v>74</v>
      </c>
      <c r="V3067" t="s">
        <v>50630</v>
      </c>
      <c r="W3067" t="s">
        <v>50631</v>
      </c>
      <c r="X3067" t="s">
        <v>74</v>
      </c>
      <c r="Y3067" t="s">
        <v>50632</v>
      </c>
      <c r="Z3067" t="s">
        <v>50633</v>
      </c>
      <c r="AA3067" t="s">
        <v>50634</v>
      </c>
      <c r="AB3067" t="s">
        <v>74</v>
      </c>
      <c r="AC3067" t="s">
        <v>74</v>
      </c>
      <c r="AD3067" t="s">
        <v>74</v>
      </c>
      <c r="AE3067" t="s">
        <v>74</v>
      </c>
      <c r="AF3067" t="s">
        <v>74</v>
      </c>
      <c r="AG3067">
        <v>63</v>
      </c>
      <c r="AH3067">
        <v>1</v>
      </c>
      <c r="AI3067">
        <v>1</v>
      </c>
      <c r="AJ3067">
        <v>3</v>
      </c>
      <c r="AK3067">
        <v>9</v>
      </c>
      <c r="AL3067" t="s">
        <v>4666</v>
      </c>
      <c r="AM3067" t="s">
        <v>995</v>
      </c>
      <c r="AN3067" t="s">
        <v>4025</v>
      </c>
      <c r="AO3067" t="s">
        <v>50635</v>
      </c>
      <c r="AP3067" t="s">
        <v>50636</v>
      </c>
      <c r="AQ3067" t="s">
        <v>74</v>
      </c>
      <c r="AR3067" t="s">
        <v>50637</v>
      </c>
      <c r="AS3067" t="s">
        <v>50638</v>
      </c>
      <c r="AT3067" t="s">
        <v>1159</v>
      </c>
      <c r="AU3067">
        <v>2025</v>
      </c>
      <c r="AV3067">
        <v>20</v>
      </c>
      <c r="AW3067">
        <v>5</v>
      </c>
      <c r="AX3067" t="s">
        <v>74</v>
      </c>
      <c r="AY3067" t="s">
        <v>74</v>
      </c>
      <c r="AZ3067" t="s">
        <v>74</v>
      </c>
      <c r="BA3067" t="s">
        <v>74</v>
      </c>
      <c r="BB3067">
        <v>4239</v>
      </c>
      <c r="BC3067">
        <v>4259</v>
      </c>
      <c r="BD3067" t="s">
        <v>74</v>
      </c>
      <c r="BE3067" t="s">
        <v>50639</v>
      </c>
      <c r="BF3067" t="str">
        <f>HYPERLINK("http://dx.doi.org/10.1007/s41060-025-00753-8","http://dx.doi.org/10.1007/s41060-025-00753-8")</f>
        <v>http://dx.doi.org/10.1007/s41060-025-00753-8</v>
      </c>
      <c r="BG3067" t="s">
        <v>74</v>
      </c>
      <c r="BH3067" t="s">
        <v>2781</v>
      </c>
      <c r="BI3067">
        <v>21</v>
      </c>
      <c r="BJ3067" t="s">
        <v>2686</v>
      </c>
      <c r="BK3067" t="s">
        <v>313</v>
      </c>
      <c r="BL3067" t="s">
        <v>157</v>
      </c>
      <c r="BM3067" t="s">
        <v>50640</v>
      </c>
      <c r="BN3067" t="s">
        <v>74</v>
      </c>
      <c r="BO3067" t="s">
        <v>74</v>
      </c>
      <c r="BP3067" t="s">
        <v>74</v>
      </c>
      <c r="BQ3067" t="s">
        <v>74</v>
      </c>
      <c r="BR3067" t="s">
        <v>102</v>
      </c>
      <c r="BS3067" t="s">
        <v>50641</v>
      </c>
      <c r="BT3067" t="str">
        <f>HYPERLINK("https%3A%2F%2Fwww.webofscience.com%2Fwos%2Fwoscc%2Ffull-record%2FWOS:001447541400001","View Full Record in Web of Science")</f>
        <v>View Full Record in Web of Science</v>
      </c>
    </row>
    <row r="3068" spans="1:72" x14ac:dyDescent="0.25">
      <c r="A3068" t="s">
        <v>72</v>
      </c>
      <c r="B3068" t="s">
        <v>50642</v>
      </c>
      <c r="C3068" t="s">
        <v>74</v>
      </c>
      <c r="D3068" t="s">
        <v>74</v>
      </c>
      <c r="E3068" t="s">
        <v>74</v>
      </c>
      <c r="F3068" t="s">
        <v>50643</v>
      </c>
      <c r="G3068" t="s">
        <v>74</v>
      </c>
      <c r="H3068" t="s">
        <v>74</v>
      </c>
      <c r="I3068" t="s">
        <v>50644</v>
      </c>
      <c r="J3068" t="s">
        <v>1290</v>
      </c>
      <c r="K3068" t="s">
        <v>74</v>
      </c>
      <c r="L3068" t="s">
        <v>74</v>
      </c>
      <c r="M3068" t="s">
        <v>78</v>
      </c>
      <c r="N3068" t="s">
        <v>79</v>
      </c>
      <c r="O3068" t="s">
        <v>74</v>
      </c>
      <c r="P3068" t="s">
        <v>74</v>
      </c>
      <c r="Q3068" t="s">
        <v>74</v>
      </c>
      <c r="R3068" t="s">
        <v>74</v>
      </c>
      <c r="S3068" t="s">
        <v>74</v>
      </c>
      <c r="T3068" t="s">
        <v>50645</v>
      </c>
      <c r="U3068" t="s">
        <v>50646</v>
      </c>
      <c r="V3068" t="s">
        <v>50647</v>
      </c>
      <c r="W3068" t="s">
        <v>50648</v>
      </c>
      <c r="X3068" t="s">
        <v>50649</v>
      </c>
      <c r="Y3068" t="s">
        <v>50650</v>
      </c>
      <c r="Z3068" t="s">
        <v>50651</v>
      </c>
      <c r="AA3068" t="s">
        <v>50652</v>
      </c>
      <c r="AB3068" t="s">
        <v>50653</v>
      </c>
      <c r="AC3068" t="s">
        <v>74</v>
      </c>
      <c r="AD3068" t="s">
        <v>74</v>
      </c>
      <c r="AE3068" t="s">
        <v>74</v>
      </c>
      <c r="AF3068" t="s">
        <v>74</v>
      </c>
      <c r="AG3068">
        <v>128</v>
      </c>
      <c r="AH3068">
        <v>24</v>
      </c>
      <c r="AI3068">
        <v>36</v>
      </c>
      <c r="AJ3068">
        <v>0</v>
      </c>
      <c r="AK3068">
        <v>20</v>
      </c>
      <c r="AL3068" t="s">
        <v>575</v>
      </c>
      <c r="AM3068" t="s">
        <v>576</v>
      </c>
      <c r="AN3068" t="s">
        <v>3242</v>
      </c>
      <c r="AO3068" t="s">
        <v>1299</v>
      </c>
      <c r="AP3068" t="s">
        <v>74</v>
      </c>
      <c r="AQ3068" t="s">
        <v>74</v>
      </c>
      <c r="AR3068" t="s">
        <v>1300</v>
      </c>
      <c r="AS3068" t="s">
        <v>1301</v>
      </c>
      <c r="AT3068" t="s">
        <v>124</v>
      </c>
      <c r="AU3068">
        <v>2019</v>
      </c>
      <c r="AV3068">
        <v>7</v>
      </c>
      <c r="AW3068">
        <v>4</v>
      </c>
      <c r="AX3068" t="s">
        <v>74</v>
      </c>
      <c r="AY3068" t="s">
        <v>74</v>
      </c>
      <c r="AZ3068" t="s">
        <v>74</v>
      </c>
      <c r="BA3068" t="s">
        <v>74</v>
      </c>
      <c r="BB3068" t="s">
        <v>74</v>
      </c>
      <c r="BC3068" t="s">
        <v>74</v>
      </c>
      <c r="BD3068">
        <v>61</v>
      </c>
      <c r="BE3068" t="s">
        <v>50654</v>
      </c>
      <c r="BF3068" t="str">
        <f>HYPERLINK("http://dx.doi.org/10.3390/ijfs7040061","http://dx.doi.org/10.3390/ijfs7040061")</f>
        <v>http://dx.doi.org/10.3390/ijfs7040061</v>
      </c>
      <c r="BG3068" t="s">
        <v>74</v>
      </c>
      <c r="BH3068" t="s">
        <v>74</v>
      </c>
      <c r="BI3068">
        <v>27</v>
      </c>
      <c r="BJ3068" t="s">
        <v>268</v>
      </c>
      <c r="BK3068" t="s">
        <v>313</v>
      </c>
      <c r="BL3068" t="s">
        <v>100</v>
      </c>
      <c r="BM3068" t="s">
        <v>50655</v>
      </c>
      <c r="BN3068" t="s">
        <v>74</v>
      </c>
      <c r="BO3068" t="s">
        <v>916</v>
      </c>
      <c r="BP3068" t="s">
        <v>74</v>
      </c>
      <c r="BQ3068" t="s">
        <v>74</v>
      </c>
      <c r="BR3068" t="s">
        <v>102</v>
      </c>
      <c r="BS3068" t="s">
        <v>50656</v>
      </c>
      <c r="BT3068" t="str">
        <f>HYPERLINK("https%3A%2F%2Fwww.webofscience.com%2Fwos%2Fwoscc%2Ffull-record%2FWOS:000505583100005","View Full Record in Web of Science")</f>
        <v>View Full Record in Web of Science</v>
      </c>
    </row>
    <row r="3069" spans="1:72" x14ac:dyDescent="0.25">
      <c r="A3069" t="s">
        <v>72</v>
      </c>
      <c r="B3069" t="s">
        <v>50657</v>
      </c>
      <c r="C3069" t="s">
        <v>74</v>
      </c>
      <c r="D3069" t="s">
        <v>74</v>
      </c>
      <c r="E3069" t="s">
        <v>74</v>
      </c>
      <c r="F3069" t="s">
        <v>50658</v>
      </c>
      <c r="G3069" t="s">
        <v>74</v>
      </c>
      <c r="H3069" t="s">
        <v>74</v>
      </c>
      <c r="I3069" t="s">
        <v>50659</v>
      </c>
      <c r="J3069" t="s">
        <v>3439</v>
      </c>
      <c r="K3069" t="s">
        <v>74</v>
      </c>
      <c r="L3069" t="s">
        <v>74</v>
      </c>
      <c r="M3069" t="s">
        <v>78</v>
      </c>
      <c r="N3069" t="s">
        <v>79</v>
      </c>
      <c r="O3069" t="s">
        <v>74</v>
      </c>
      <c r="P3069" t="s">
        <v>74</v>
      </c>
      <c r="Q3069" t="s">
        <v>74</v>
      </c>
      <c r="R3069" t="s">
        <v>74</v>
      </c>
      <c r="S3069" t="s">
        <v>74</v>
      </c>
      <c r="T3069" t="s">
        <v>50660</v>
      </c>
      <c r="U3069" t="s">
        <v>50661</v>
      </c>
      <c r="V3069" t="s">
        <v>50662</v>
      </c>
      <c r="W3069" t="s">
        <v>50663</v>
      </c>
      <c r="X3069" t="s">
        <v>50664</v>
      </c>
      <c r="Y3069" t="s">
        <v>50665</v>
      </c>
      <c r="Z3069" t="s">
        <v>50666</v>
      </c>
      <c r="AA3069" t="s">
        <v>50667</v>
      </c>
      <c r="AB3069" t="s">
        <v>50668</v>
      </c>
      <c r="AC3069" t="s">
        <v>74</v>
      </c>
      <c r="AD3069" t="s">
        <v>74</v>
      </c>
      <c r="AE3069" t="s">
        <v>74</v>
      </c>
      <c r="AF3069" t="s">
        <v>74</v>
      </c>
      <c r="AG3069">
        <v>47</v>
      </c>
      <c r="AH3069">
        <v>0</v>
      </c>
      <c r="AI3069">
        <v>2</v>
      </c>
      <c r="AJ3069">
        <v>0</v>
      </c>
      <c r="AK3069">
        <v>1</v>
      </c>
      <c r="AL3069" t="s">
        <v>823</v>
      </c>
      <c r="AM3069" t="s">
        <v>333</v>
      </c>
      <c r="AN3069" t="s">
        <v>824</v>
      </c>
      <c r="AO3069" t="s">
        <v>3443</v>
      </c>
      <c r="AP3069" t="s">
        <v>74</v>
      </c>
      <c r="AQ3069" t="s">
        <v>74</v>
      </c>
      <c r="AR3069" t="s">
        <v>3444</v>
      </c>
      <c r="AS3069" t="s">
        <v>3445</v>
      </c>
      <c r="AT3069" t="s">
        <v>2970</v>
      </c>
      <c r="AU3069">
        <v>2024</v>
      </c>
      <c r="AV3069">
        <v>12</v>
      </c>
      <c r="AW3069">
        <v>1</v>
      </c>
      <c r="AX3069" t="s">
        <v>74</v>
      </c>
      <c r="AY3069" t="s">
        <v>74</v>
      </c>
      <c r="AZ3069" t="s">
        <v>74</v>
      </c>
      <c r="BA3069" t="s">
        <v>74</v>
      </c>
      <c r="BB3069" t="s">
        <v>74</v>
      </c>
      <c r="BC3069" t="s">
        <v>74</v>
      </c>
      <c r="BD3069">
        <v>2431544</v>
      </c>
      <c r="BE3069" t="s">
        <v>50669</v>
      </c>
      <c r="BF3069" t="str">
        <f>HYPERLINK("http://dx.doi.org/10.1080/23322039.2024.2431544","http://dx.doi.org/10.1080/23322039.2024.2431544")</f>
        <v>http://dx.doi.org/10.1080/23322039.2024.2431544</v>
      </c>
      <c r="BG3069" t="s">
        <v>74</v>
      </c>
      <c r="BH3069" t="s">
        <v>74</v>
      </c>
      <c r="BI3069">
        <v>16</v>
      </c>
      <c r="BJ3069" t="s">
        <v>291</v>
      </c>
      <c r="BK3069" t="s">
        <v>313</v>
      </c>
      <c r="BL3069" t="s">
        <v>100</v>
      </c>
      <c r="BM3069" t="s">
        <v>50670</v>
      </c>
      <c r="BN3069" t="s">
        <v>74</v>
      </c>
      <c r="BO3069" t="s">
        <v>916</v>
      </c>
      <c r="BP3069" t="s">
        <v>74</v>
      </c>
      <c r="BQ3069" t="s">
        <v>74</v>
      </c>
      <c r="BR3069" t="s">
        <v>102</v>
      </c>
      <c r="BS3069" t="s">
        <v>50671</v>
      </c>
      <c r="BT3069" t="str">
        <f>HYPERLINK("https%3A%2F%2Fwww.webofscience.com%2Fwos%2Fwoscc%2Ffull-record%2FWOS:001364384200001","View Full Record in Web of Science")</f>
        <v>View Full Record in Web of Science</v>
      </c>
    </row>
    <row r="3070" spans="1:72" x14ac:dyDescent="0.25">
      <c r="A3070" t="s">
        <v>72</v>
      </c>
      <c r="B3070" t="s">
        <v>50672</v>
      </c>
      <c r="C3070" t="s">
        <v>74</v>
      </c>
      <c r="D3070" t="s">
        <v>74</v>
      </c>
      <c r="E3070" t="s">
        <v>74</v>
      </c>
      <c r="F3070" t="s">
        <v>50673</v>
      </c>
      <c r="G3070" t="s">
        <v>74</v>
      </c>
      <c r="H3070" t="s">
        <v>74</v>
      </c>
      <c r="I3070" t="s">
        <v>50674</v>
      </c>
      <c r="J3070" t="s">
        <v>2809</v>
      </c>
      <c r="K3070" t="s">
        <v>74</v>
      </c>
      <c r="L3070" t="s">
        <v>74</v>
      </c>
      <c r="M3070" t="s">
        <v>78</v>
      </c>
      <c r="N3070" t="s">
        <v>79</v>
      </c>
      <c r="O3070" t="s">
        <v>74</v>
      </c>
      <c r="P3070" t="s">
        <v>74</v>
      </c>
      <c r="Q3070" t="s">
        <v>74</v>
      </c>
      <c r="R3070" t="s">
        <v>74</v>
      </c>
      <c r="S3070" t="s">
        <v>74</v>
      </c>
      <c r="T3070" t="s">
        <v>50675</v>
      </c>
      <c r="U3070" t="s">
        <v>74</v>
      </c>
      <c r="V3070" t="s">
        <v>50676</v>
      </c>
      <c r="W3070" t="s">
        <v>50677</v>
      </c>
      <c r="X3070" t="s">
        <v>50678</v>
      </c>
      <c r="Y3070" t="s">
        <v>50679</v>
      </c>
      <c r="Z3070" t="s">
        <v>50680</v>
      </c>
      <c r="AA3070" t="s">
        <v>74</v>
      </c>
      <c r="AB3070" t="s">
        <v>50681</v>
      </c>
      <c r="AC3070" t="s">
        <v>74</v>
      </c>
      <c r="AD3070" t="s">
        <v>74</v>
      </c>
      <c r="AE3070" t="s">
        <v>74</v>
      </c>
      <c r="AF3070" t="s">
        <v>74</v>
      </c>
      <c r="AG3070">
        <v>19</v>
      </c>
      <c r="AH3070">
        <v>2</v>
      </c>
      <c r="AI3070">
        <v>2</v>
      </c>
      <c r="AJ3070">
        <v>1</v>
      </c>
      <c r="AK3070">
        <v>3</v>
      </c>
      <c r="AL3070" t="s">
        <v>479</v>
      </c>
      <c r="AM3070" t="s">
        <v>480</v>
      </c>
      <c r="AN3070" t="s">
        <v>481</v>
      </c>
      <c r="AO3070" t="s">
        <v>2816</v>
      </c>
      <c r="AP3070" t="s">
        <v>2817</v>
      </c>
      <c r="AQ3070" t="s">
        <v>74</v>
      </c>
      <c r="AR3070" t="s">
        <v>2818</v>
      </c>
      <c r="AS3070" t="s">
        <v>2819</v>
      </c>
      <c r="AT3070" t="s">
        <v>1652</v>
      </c>
      <c r="AU3070">
        <v>2024</v>
      </c>
      <c r="AV3070">
        <v>58</v>
      </c>
      <c r="AW3070">
        <v>2</v>
      </c>
      <c r="AX3070" t="s">
        <v>74</v>
      </c>
      <c r="AY3070" t="s">
        <v>74</v>
      </c>
      <c r="AZ3070" t="s">
        <v>74</v>
      </c>
      <c r="BA3070" t="s">
        <v>74</v>
      </c>
      <c r="BB3070">
        <v>538</v>
      </c>
      <c r="BC3070">
        <v>557</v>
      </c>
      <c r="BD3070" t="s">
        <v>74</v>
      </c>
      <c r="BE3070" t="s">
        <v>50682</v>
      </c>
      <c r="BF3070" t="str">
        <f>HYPERLINK("http://dx.doi.org/10.1111/joca.12583","http://dx.doi.org/10.1111/joca.12583")</f>
        <v>http://dx.doi.org/10.1111/joca.12583</v>
      </c>
      <c r="BG3070" t="s">
        <v>74</v>
      </c>
      <c r="BH3070" t="s">
        <v>938</v>
      </c>
      <c r="BI3070">
        <v>20</v>
      </c>
      <c r="BJ3070" t="s">
        <v>1453</v>
      </c>
      <c r="BK3070" t="s">
        <v>99</v>
      </c>
      <c r="BL3070" t="s">
        <v>100</v>
      </c>
      <c r="BM3070" t="s">
        <v>50683</v>
      </c>
      <c r="BN3070" t="s">
        <v>74</v>
      </c>
      <c r="BO3070" t="s">
        <v>270</v>
      </c>
      <c r="BP3070" t="s">
        <v>74</v>
      </c>
      <c r="BQ3070" t="s">
        <v>74</v>
      </c>
      <c r="BR3070" t="s">
        <v>102</v>
      </c>
      <c r="BS3070" t="s">
        <v>50684</v>
      </c>
      <c r="BT3070" t="str">
        <f>HYPERLINK("https%3A%2F%2Fwww.webofscience.com%2Fwos%2Fwoscc%2Ffull-record%2FWOS:001207693700001","View Full Record in Web of Science")</f>
        <v>View Full Record in Web of Science</v>
      </c>
    </row>
    <row r="3071" spans="1:72" x14ac:dyDescent="0.25">
      <c r="A3071" t="s">
        <v>72</v>
      </c>
      <c r="B3071" t="s">
        <v>50685</v>
      </c>
      <c r="C3071" t="s">
        <v>74</v>
      </c>
      <c r="D3071" t="s">
        <v>74</v>
      </c>
      <c r="E3071" t="s">
        <v>74</v>
      </c>
      <c r="F3071" t="s">
        <v>50686</v>
      </c>
      <c r="G3071" t="s">
        <v>74</v>
      </c>
      <c r="H3071" t="s">
        <v>74</v>
      </c>
      <c r="I3071" t="s">
        <v>50687</v>
      </c>
      <c r="J3071" t="s">
        <v>50688</v>
      </c>
      <c r="K3071" t="s">
        <v>74</v>
      </c>
      <c r="L3071" t="s">
        <v>74</v>
      </c>
      <c r="M3071" t="s">
        <v>78</v>
      </c>
      <c r="N3071" t="s">
        <v>79</v>
      </c>
      <c r="O3071" t="s">
        <v>74</v>
      </c>
      <c r="P3071" t="s">
        <v>74</v>
      </c>
      <c r="Q3071" t="s">
        <v>74</v>
      </c>
      <c r="R3071" t="s">
        <v>74</v>
      </c>
      <c r="S3071" t="s">
        <v>74</v>
      </c>
      <c r="T3071" t="s">
        <v>50689</v>
      </c>
      <c r="U3071" t="s">
        <v>50690</v>
      </c>
      <c r="V3071" t="s">
        <v>50691</v>
      </c>
      <c r="W3071" t="s">
        <v>50692</v>
      </c>
      <c r="X3071" t="s">
        <v>50693</v>
      </c>
      <c r="Y3071" t="s">
        <v>50694</v>
      </c>
      <c r="Z3071" t="s">
        <v>50695</v>
      </c>
      <c r="AA3071" t="s">
        <v>50696</v>
      </c>
      <c r="AB3071" t="s">
        <v>50697</v>
      </c>
      <c r="AC3071" t="s">
        <v>50698</v>
      </c>
      <c r="AD3071" t="s">
        <v>50698</v>
      </c>
      <c r="AE3071" t="s">
        <v>50699</v>
      </c>
      <c r="AF3071" t="s">
        <v>74</v>
      </c>
      <c r="AG3071">
        <v>65</v>
      </c>
      <c r="AH3071">
        <v>0</v>
      </c>
      <c r="AI3071">
        <v>0</v>
      </c>
      <c r="AJ3071">
        <v>2</v>
      </c>
      <c r="AK3071">
        <v>3</v>
      </c>
      <c r="AL3071" t="s">
        <v>4666</v>
      </c>
      <c r="AM3071" t="s">
        <v>995</v>
      </c>
      <c r="AN3071" t="s">
        <v>4025</v>
      </c>
      <c r="AO3071" t="s">
        <v>74</v>
      </c>
      <c r="AP3071" t="s">
        <v>50700</v>
      </c>
      <c r="AQ3071" t="s">
        <v>74</v>
      </c>
      <c r="AR3071" t="s">
        <v>50701</v>
      </c>
      <c r="AS3071" t="s">
        <v>50702</v>
      </c>
      <c r="AT3071" t="s">
        <v>24489</v>
      </c>
      <c r="AU3071">
        <v>2024</v>
      </c>
      <c r="AV3071">
        <v>11</v>
      </c>
      <c r="AW3071">
        <v>1</v>
      </c>
      <c r="AX3071" t="s">
        <v>74</v>
      </c>
      <c r="AY3071" t="s">
        <v>74</v>
      </c>
      <c r="AZ3071" t="s">
        <v>74</v>
      </c>
      <c r="BA3071" t="s">
        <v>74</v>
      </c>
      <c r="BB3071" t="s">
        <v>74</v>
      </c>
      <c r="BC3071" t="s">
        <v>74</v>
      </c>
      <c r="BD3071">
        <v>24</v>
      </c>
      <c r="BE3071" t="s">
        <v>50703</v>
      </c>
      <c r="BF3071" t="str">
        <f>HYPERLINK("http://dx.doi.org/10.1186/s40711-024-00225-9","http://dx.doi.org/10.1186/s40711-024-00225-9")</f>
        <v>http://dx.doi.org/10.1186/s40711-024-00225-9</v>
      </c>
      <c r="BG3071" t="s">
        <v>74</v>
      </c>
      <c r="BH3071" t="s">
        <v>74</v>
      </c>
      <c r="BI3071">
        <v>21</v>
      </c>
      <c r="BJ3071" t="s">
        <v>5129</v>
      </c>
      <c r="BK3071" t="s">
        <v>313</v>
      </c>
      <c r="BL3071" t="s">
        <v>5129</v>
      </c>
      <c r="BM3071" t="s">
        <v>50704</v>
      </c>
      <c r="BN3071" t="s">
        <v>74</v>
      </c>
      <c r="BO3071" t="s">
        <v>212</v>
      </c>
      <c r="BP3071" t="s">
        <v>74</v>
      </c>
      <c r="BQ3071" t="s">
        <v>74</v>
      </c>
      <c r="BR3071" t="s">
        <v>102</v>
      </c>
      <c r="BS3071" t="s">
        <v>50705</v>
      </c>
      <c r="BT3071" t="str">
        <f>HYPERLINK("https%3A%2F%2Fwww.webofscience.com%2Fwos%2Fwoscc%2Ffull-record%2FWOS:001350732600001","View Full Record in Web of Science")</f>
        <v>View Full Record in Web of Science</v>
      </c>
    </row>
    <row r="3072" spans="1:72" x14ac:dyDescent="0.25">
      <c r="A3072" t="s">
        <v>72</v>
      </c>
      <c r="B3072" t="s">
        <v>50706</v>
      </c>
      <c r="C3072" t="s">
        <v>74</v>
      </c>
      <c r="D3072" t="s">
        <v>74</v>
      </c>
      <c r="E3072" t="s">
        <v>74</v>
      </c>
      <c r="F3072" t="s">
        <v>50707</v>
      </c>
      <c r="G3072" t="s">
        <v>74</v>
      </c>
      <c r="H3072" t="s">
        <v>74</v>
      </c>
      <c r="I3072" t="s">
        <v>50708</v>
      </c>
      <c r="J3072" t="s">
        <v>5078</v>
      </c>
      <c r="K3072" t="s">
        <v>74</v>
      </c>
      <c r="L3072" t="s">
        <v>74</v>
      </c>
      <c r="M3072" t="s">
        <v>78</v>
      </c>
      <c r="N3072" t="s">
        <v>79</v>
      </c>
      <c r="O3072" t="s">
        <v>74</v>
      </c>
      <c r="P3072" t="s">
        <v>74</v>
      </c>
      <c r="Q3072" t="s">
        <v>74</v>
      </c>
      <c r="R3072" t="s">
        <v>74</v>
      </c>
      <c r="S3072" t="s">
        <v>74</v>
      </c>
      <c r="T3072" t="s">
        <v>50709</v>
      </c>
      <c r="U3072" t="s">
        <v>50710</v>
      </c>
      <c r="V3072" t="s">
        <v>50711</v>
      </c>
      <c r="W3072" t="s">
        <v>50712</v>
      </c>
      <c r="X3072" t="s">
        <v>50713</v>
      </c>
      <c r="Y3072" t="s">
        <v>50714</v>
      </c>
      <c r="Z3072" t="s">
        <v>24354</v>
      </c>
      <c r="AA3072" t="s">
        <v>50715</v>
      </c>
      <c r="AB3072" t="s">
        <v>50716</v>
      </c>
      <c r="AC3072" t="s">
        <v>24351</v>
      </c>
      <c r="AD3072" t="s">
        <v>24350</v>
      </c>
      <c r="AE3072" t="s">
        <v>50717</v>
      </c>
      <c r="AF3072" t="s">
        <v>74</v>
      </c>
      <c r="AG3072">
        <v>66</v>
      </c>
      <c r="AH3072">
        <v>5</v>
      </c>
      <c r="AI3072">
        <v>6</v>
      </c>
      <c r="AJ3072">
        <v>2</v>
      </c>
      <c r="AK3072">
        <v>33</v>
      </c>
      <c r="AL3072" t="s">
        <v>385</v>
      </c>
      <c r="AM3072" t="s">
        <v>151</v>
      </c>
      <c r="AN3072" t="s">
        <v>386</v>
      </c>
      <c r="AO3072" t="s">
        <v>74</v>
      </c>
      <c r="AP3072" t="s">
        <v>5087</v>
      </c>
      <c r="AQ3072" t="s">
        <v>74</v>
      </c>
      <c r="AR3072" t="s">
        <v>5088</v>
      </c>
      <c r="AS3072" t="s">
        <v>5089</v>
      </c>
      <c r="AT3072" t="s">
        <v>7078</v>
      </c>
      <c r="AU3072">
        <v>2023</v>
      </c>
      <c r="AV3072">
        <v>9</v>
      </c>
      <c r="AW3072">
        <v>1</v>
      </c>
      <c r="AX3072" t="s">
        <v>74</v>
      </c>
      <c r="AY3072" t="s">
        <v>74</v>
      </c>
      <c r="AZ3072" t="s">
        <v>74</v>
      </c>
      <c r="BA3072" t="s">
        <v>74</v>
      </c>
      <c r="BB3072" t="s">
        <v>74</v>
      </c>
      <c r="BC3072" t="s">
        <v>74</v>
      </c>
      <c r="BD3072">
        <v>93</v>
      </c>
      <c r="BE3072" t="s">
        <v>50718</v>
      </c>
      <c r="BF3072" t="str">
        <f>HYPERLINK("http://dx.doi.org/10.1186/s40854-023-00487-1","http://dx.doi.org/10.1186/s40854-023-00487-1")</f>
        <v>http://dx.doi.org/10.1186/s40854-023-00487-1</v>
      </c>
      <c r="BG3072" t="s">
        <v>74</v>
      </c>
      <c r="BH3072" t="s">
        <v>74</v>
      </c>
      <c r="BI3072">
        <v>26</v>
      </c>
      <c r="BJ3072" t="s">
        <v>5092</v>
      </c>
      <c r="BK3072" t="s">
        <v>99</v>
      </c>
      <c r="BL3072" t="s">
        <v>2024</v>
      </c>
      <c r="BM3072" t="s">
        <v>50719</v>
      </c>
      <c r="BN3072" t="s">
        <v>74</v>
      </c>
      <c r="BO3072" t="s">
        <v>212</v>
      </c>
      <c r="BP3072" t="s">
        <v>74</v>
      </c>
      <c r="BQ3072" t="s">
        <v>74</v>
      </c>
      <c r="BR3072" t="s">
        <v>102</v>
      </c>
      <c r="BS3072" t="s">
        <v>50720</v>
      </c>
      <c r="BT3072" t="str">
        <f>HYPERLINK("https%3A%2F%2Fwww.webofscience.com%2Fwos%2Fwoscc%2Ffull-record%2FWOS:000981584300002","View Full Record in Web of Science")</f>
        <v>View Full Record in Web of Science</v>
      </c>
    </row>
    <row r="3073" spans="1:72" x14ac:dyDescent="0.25">
      <c r="A3073" t="s">
        <v>72</v>
      </c>
      <c r="B3073" t="s">
        <v>50721</v>
      </c>
      <c r="C3073" t="s">
        <v>74</v>
      </c>
      <c r="D3073" t="s">
        <v>74</v>
      </c>
      <c r="E3073" t="s">
        <v>74</v>
      </c>
      <c r="F3073" t="s">
        <v>50722</v>
      </c>
      <c r="G3073" t="s">
        <v>74</v>
      </c>
      <c r="H3073" t="s">
        <v>74</v>
      </c>
      <c r="I3073" t="s">
        <v>50723</v>
      </c>
      <c r="J3073" t="s">
        <v>34159</v>
      </c>
      <c r="K3073" t="s">
        <v>74</v>
      </c>
      <c r="L3073" t="s">
        <v>74</v>
      </c>
      <c r="M3073" t="s">
        <v>78</v>
      </c>
      <c r="N3073" t="s">
        <v>79</v>
      </c>
      <c r="O3073" t="s">
        <v>74</v>
      </c>
      <c r="P3073" t="s">
        <v>74</v>
      </c>
      <c r="Q3073" t="s">
        <v>74</v>
      </c>
      <c r="R3073" t="s">
        <v>74</v>
      </c>
      <c r="S3073" t="s">
        <v>74</v>
      </c>
      <c r="T3073" t="s">
        <v>50724</v>
      </c>
      <c r="U3073" t="s">
        <v>3098</v>
      </c>
      <c r="V3073" t="s">
        <v>50725</v>
      </c>
      <c r="W3073" t="s">
        <v>50726</v>
      </c>
      <c r="X3073" t="s">
        <v>50727</v>
      </c>
      <c r="Y3073" t="s">
        <v>50728</v>
      </c>
      <c r="Z3073" t="s">
        <v>50729</v>
      </c>
      <c r="AA3073" t="s">
        <v>50730</v>
      </c>
      <c r="AB3073" t="s">
        <v>50731</v>
      </c>
      <c r="AC3073" t="s">
        <v>50732</v>
      </c>
      <c r="AD3073" t="s">
        <v>50733</v>
      </c>
      <c r="AE3073" t="s">
        <v>50734</v>
      </c>
      <c r="AF3073" t="s">
        <v>74</v>
      </c>
      <c r="AG3073">
        <v>68</v>
      </c>
      <c r="AH3073">
        <v>65</v>
      </c>
      <c r="AI3073">
        <v>71</v>
      </c>
      <c r="AJ3073">
        <v>1</v>
      </c>
      <c r="AK3073">
        <v>61</v>
      </c>
      <c r="AL3073" t="s">
        <v>757</v>
      </c>
      <c r="AM3073" t="s">
        <v>758</v>
      </c>
      <c r="AN3073" t="s">
        <v>759</v>
      </c>
      <c r="AO3073" t="s">
        <v>34148</v>
      </c>
      <c r="AP3073" t="s">
        <v>34147</v>
      </c>
      <c r="AQ3073" t="s">
        <v>74</v>
      </c>
      <c r="AR3073" t="s">
        <v>34146</v>
      </c>
      <c r="AS3073" t="s">
        <v>34145</v>
      </c>
      <c r="AT3073" t="s">
        <v>891</v>
      </c>
      <c r="AU3073">
        <v>2020</v>
      </c>
      <c r="AV3073">
        <v>52</v>
      </c>
      <c r="AW3073">
        <v>8</v>
      </c>
      <c r="AX3073" t="s">
        <v>74</v>
      </c>
      <c r="AY3073" t="s">
        <v>74</v>
      </c>
      <c r="AZ3073" t="s">
        <v>74</v>
      </c>
      <c r="BA3073" t="s">
        <v>74</v>
      </c>
      <c r="BB3073">
        <v>1498</v>
      </c>
      <c r="BC3073">
        <v>1515</v>
      </c>
      <c r="BD3073" t="s">
        <v>50735</v>
      </c>
      <c r="BE3073" t="s">
        <v>50736</v>
      </c>
      <c r="BF3073" t="str">
        <f>HYPERLINK("http://dx.doi.org/10.1177/0308518X20904070","http://dx.doi.org/10.1177/0308518X20904070")</f>
        <v>http://dx.doi.org/10.1177/0308518X20904070</v>
      </c>
      <c r="BG3073" t="s">
        <v>74</v>
      </c>
      <c r="BH3073" t="s">
        <v>2621</v>
      </c>
      <c r="BI3073">
        <v>18</v>
      </c>
      <c r="BJ3073" t="s">
        <v>34142</v>
      </c>
      <c r="BK3073" t="s">
        <v>99</v>
      </c>
      <c r="BL3073" t="s">
        <v>34141</v>
      </c>
      <c r="BM3073" t="s">
        <v>50737</v>
      </c>
      <c r="BN3073" t="s">
        <v>74</v>
      </c>
      <c r="BO3073" t="s">
        <v>1696</v>
      </c>
      <c r="BP3073" t="s">
        <v>74</v>
      </c>
      <c r="BQ3073" t="s">
        <v>74</v>
      </c>
      <c r="BR3073" t="s">
        <v>102</v>
      </c>
      <c r="BS3073" t="s">
        <v>50738</v>
      </c>
      <c r="BT3073" t="str">
        <f>HYPERLINK("https%3A%2F%2Fwww.webofscience.com%2Fwos%2Fwoscc%2Ffull-record%2FWOS:000512249000001","View Full Record in Web of Science")</f>
        <v>View Full Record in Web of Science</v>
      </c>
    </row>
    <row r="3074" spans="1:72" x14ac:dyDescent="0.25">
      <c r="A3074" t="s">
        <v>72</v>
      </c>
      <c r="B3074" t="s">
        <v>50739</v>
      </c>
      <c r="C3074" t="s">
        <v>74</v>
      </c>
      <c r="D3074" t="s">
        <v>74</v>
      </c>
      <c r="E3074" t="s">
        <v>74</v>
      </c>
      <c r="F3074" t="s">
        <v>50740</v>
      </c>
      <c r="G3074" t="s">
        <v>74</v>
      </c>
      <c r="H3074" t="s">
        <v>74</v>
      </c>
      <c r="I3074" t="s">
        <v>50741</v>
      </c>
      <c r="J3074" t="s">
        <v>50742</v>
      </c>
      <c r="K3074" t="s">
        <v>74</v>
      </c>
      <c r="L3074" t="s">
        <v>74</v>
      </c>
      <c r="M3074" t="s">
        <v>78</v>
      </c>
      <c r="N3074" t="s">
        <v>79</v>
      </c>
      <c r="O3074" t="s">
        <v>74</v>
      </c>
      <c r="P3074" t="s">
        <v>74</v>
      </c>
      <c r="Q3074" t="s">
        <v>74</v>
      </c>
      <c r="R3074" t="s">
        <v>74</v>
      </c>
      <c r="S3074" t="s">
        <v>74</v>
      </c>
      <c r="T3074" t="s">
        <v>50743</v>
      </c>
      <c r="U3074" t="s">
        <v>74</v>
      </c>
      <c r="V3074" t="s">
        <v>50744</v>
      </c>
      <c r="W3074" t="s">
        <v>50745</v>
      </c>
      <c r="X3074" t="s">
        <v>74</v>
      </c>
      <c r="Y3074" t="s">
        <v>50746</v>
      </c>
      <c r="Z3074" t="s">
        <v>74</v>
      </c>
      <c r="AA3074" t="s">
        <v>50747</v>
      </c>
      <c r="AB3074" t="s">
        <v>74</v>
      </c>
      <c r="AC3074" t="s">
        <v>74</v>
      </c>
      <c r="AD3074" t="s">
        <v>74</v>
      </c>
      <c r="AE3074" t="s">
        <v>74</v>
      </c>
      <c r="AF3074" t="s">
        <v>74</v>
      </c>
      <c r="AG3074">
        <v>43</v>
      </c>
      <c r="AH3074">
        <v>0</v>
      </c>
      <c r="AI3074">
        <v>0</v>
      </c>
      <c r="AJ3074">
        <v>4</v>
      </c>
      <c r="AK3074">
        <v>4</v>
      </c>
      <c r="AL3074" t="s">
        <v>50748</v>
      </c>
      <c r="AM3074" t="s">
        <v>50749</v>
      </c>
      <c r="AN3074" t="s">
        <v>50750</v>
      </c>
      <c r="AO3074" t="s">
        <v>74</v>
      </c>
      <c r="AP3074" t="s">
        <v>50751</v>
      </c>
      <c r="AQ3074" t="s">
        <v>74</v>
      </c>
      <c r="AR3074" t="s">
        <v>50752</v>
      </c>
      <c r="AS3074" t="s">
        <v>50753</v>
      </c>
      <c r="AT3074" t="s">
        <v>74</v>
      </c>
      <c r="AU3074">
        <v>2025</v>
      </c>
      <c r="AV3074">
        <v>11</v>
      </c>
      <c r="AW3074">
        <v>3</v>
      </c>
      <c r="AX3074" t="s">
        <v>74</v>
      </c>
      <c r="AY3074" t="s">
        <v>74</v>
      </c>
      <c r="AZ3074" t="s">
        <v>74</v>
      </c>
      <c r="BA3074" t="s">
        <v>74</v>
      </c>
      <c r="BB3074">
        <v>165</v>
      </c>
      <c r="BC3074">
        <v>193</v>
      </c>
      <c r="BD3074" t="s">
        <v>74</v>
      </c>
      <c r="BE3074" t="s">
        <v>50754</v>
      </c>
      <c r="BF3074" t="str">
        <f>HYPERLINK("http://dx.doi.org/10.51599/are.2025.11.03.06","http://dx.doi.org/10.51599/are.2025.11.03.06")</f>
        <v>http://dx.doi.org/10.51599/are.2025.11.03.06</v>
      </c>
      <c r="BG3074" t="s">
        <v>74</v>
      </c>
      <c r="BH3074" t="s">
        <v>74</v>
      </c>
      <c r="BI3074">
        <v>29</v>
      </c>
      <c r="BJ3074" t="s">
        <v>18270</v>
      </c>
      <c r="BK3074" t="s">
        <v>313</v>
      </c>
      <c r="BL3074" t="s">
        <v>18271</v>
      </c>
      <c r="BM3074" t="s">
        <v>50755</v>
      </c>
      <c r="BN3074" t="s">
        <v>74</v>
      </c>
      <c r="BO3074" t="s">
        <v>212</v>
      </c>
      <c r="BP3074" t="s">
        <v>74</v>
      </c>
      <c r="BQ3074" t="s">
        <v>74</v>
      </c>
      <c r="BR3074" t="s">
        <v>102</v>
      </c>
      <c r="BS3074" t="s">
        <v>50756</v>
      </c>
      <c r="BT3074" t="str">
        <f>HYPERLINK("https%3A%2F%2Fwww.webofscience.com%2Fwos%2Fwoscc%2Ffull-record%2FWOS:001598169300001","View Full Record in Web of Science")</f>
        <v>View Full Record in Web of Science</v>
      </c>
    </row>
    <row r="3075" spans="1:72" x14ac:dyDescent="0.25">
      <c r="A3075" t="s">
        <v>72</v>
      </c>
      <c r="B3075" t="s">
        <v>50757</v>
      </c>
      <c r="C3075" t="s">
        <v>74</v>
      </c>
      <c r="D3075" t="s">
        <v>74</v>
      </c>
      <c r="E3075" t="s">
        <v>74</v>
      </c>
      <c r="F3075" t="s">
        <v>50758</v>
      </c>
      <c r="G3075" t="s">
        <v>74</v>
      </c>
      <c r="H3075" t="s">
        <v>74</v>
      </c>
      <c r="I3075" t="s">
        <v>50759</v>
      </c>
      <c r="J3075" t="s">
        <v>4789</v>
      </c>
      <c r="K3075" t="s">
        <v>74</v>
      </c>
      <c r="L3075" t="s">
        <v>74</v>
      </c>
      <c r="M3075" t="s">
        <v>78</v>
      </c>
      <c r="N3075" t="s">
        <v>79</v>
      </c>
      <c r="O3075" t="s">
        <v>74</v>
      </c>
      <c r="P3075" t="s">
        <v>74</v>
      </c>
      <c r="Q3075" t="s">
        <v>74</v>
      </c>
      <c r="R3075" t="s">
        <v>74</v>
      </c>
      <c r="S3075" t="s">
        <v>74</v>
      </c>
      <c r="T3075" t="s">
        <v>50760</v>
      </c>
      <c r="U3075" t="s">
        <v>50761</v>
      </c>
      <c r="V3075" t="s">
        <v>50762</v>
      </c>
      <c r="W3075" t="s">
        <v>50763</v>
      </c>
      <c r="X3075" t="s">
        <v>50764</v>
      </c>
      <c r="Y3075" t="s">
        <v>50765</v>
      </c>
      <c r="Z3075" t="s">
        <v>50766</v>
      </c>
      <c r="AA3075" t="s">
        <v>50767</v>
      </c>
      <c r="AB3075" t="s">
        <v>18436</v>
      </c>
      <c r="AC3075" t="s">
        <v>74</v>
      </c>
      <c r="AD3075" t="s">
        <v>74</v>
      </c>
      <c r="AE3075" t="s">
        <v>74</v>
      </c>
      <c r="AF3075" t="s">
        <v>74</v>
      </c>
      <c r="AG3075">
        <v>98</v>
      </c>
      <c r="AH3075">
        <v>7</v>
      </c>
      <c r="AI3075">
        <v>8</v>
      </c>
      <c r="AJ3075">
        <v>6</v>
      </c>
      <c r="AK3075">
        <v>49</v>
      </c>
      <c r="AL3075" t="s">
        <v>4485</v>
      </c>
      <c r="AM3075" t="s">
        <v>6724</v>
      </c>
      <c r="AN3075" t="s">
        <v>6725</v>
      </c>
      <c r="AO3075" t="s">
        <v>4797</v>
      </c>
      <c r="AP3075" t="s">
        <v>4798</v>
      </c>
      <c r="AQ3075" t="s">
        <v>74</v>
      </c>
      <c r="AR3075" t="s">
        <v>4799</v>
      </c>
      <c r="AS3075" t="s">
        <v>4800</v>
      </c>
      <c r="AT3075" t="s">
        <v>1159</v>
      </c>
      <c r="AU3075">
        <v>2023</v>
      </c>
      <c r="AV3075">
        <v>72</v>
      </c>
      <c r="AW3075" t="s">
        <v>74</v>
      </c>
      <c r="AX3075" t="s">
        <v>74</v>
      </c>
      <c r="AY3075" t="s">
        <v>74</v>
      </c>
      <c r="AZ3075" t="s">
        <v>74</v>
      </c>
      <c r="BA3075" t="s">
        <v>74</v>
      </c>
      <c r="BB3075" t="s">
        <v>74</v>
      </c>
      <c r="BC3075" t="s">
        <v>74</v>
      </c>
      <c r="BD3075">
        <v>102658</v>
      </c>
      <c r="BE3075" t="s">
        <v>50768</v>
      </c>
      <c r="BF3075" t="str">
        <f>HYPERLINK("http://dx.doi.org/10.1016/j.ijinfomgt.2023.102658","http://dx.doi.org/10.1016/j.ijinfomgt.2023.102658")</f>
        <v>http://dx.doi.org/10.1016/j.ijinfomgt.2023.102658</v>
      </c>
      <c r="BG3075" t="s">
        <v>74</v>
      </c>
      <c r="BH3075" t="s">
        <v>7993</v>
      </c>
      <c r="BI3075">
        <v>15</v>
      </c>
      <c r="BJ3075" t="s">
        <v>2351</v>
      </c>
      <c r="BK3075" t="s">
        <v>99</v>
      </c>
      <c r="BL3075" t="s">
        <v>2351</v>
      </c>
      <c r="BM3075" t="s">
        <v>50769</v>
      </c>
      <c r="BN3075" t="s">
        <v>74</v>
      </c>
      <c r="BO3075" t="s">
        <v>270</v>
      </c>
      <c r="BP3075" t="s">
        <v>74</v>
      </c>
      <c r="BQ3075" t="s">
        <v>74</v>
      </c>
      <c r="BR3075" t="s">
        <v>102</v>
      </c>
      <c r="BS3075" t="s">
        <v>50770</v>
      </c>
      <c r="BT3075" t="str">
        <f>HYPERLINK("https%3A%2F%2Fwww.webofscience.com%2Fwos%2Fwoscc%2Ffull-record%2FWOS:001059603200001","View Full Record in Web of Science")</f>
        <v>View Full Record in Web of Science</v>
      </c>
    </row>
    <row r="3076" spans="1:72" x14ac:dyDescent="0.25">
      <c r="A3076" t="s">
        <v>72</v>
      </c>
      <c r="B3076" t="s">
        <v>50771</v>
      </c>
      <c r="C3076" t="s">
        <v>74</v>
      </c>
      <c r="D3076" t="s">
        <v>74</v>
      </c>
      <c r="E3076" t="s">
        <v>74</v>
      </c>
      <c r="F3076" t="s">
        <v>50772</v>
      </c>
      <c r="G3076" t="s">
        <v>74</v>
      </c>
      <c r="H3076" t="s">
        <v>74</v>
      </c>
      <c r="I3076" t="s">
        <v>50773</v>
      </c>
      <c r="J3076" t="s">
        <v>9191</v>
      </c>
      <c r="K3076" t="s">
        <v>74</v>
      </c>
      <c r="L3076" t="s">
        <v>74</v>
      </c>
      <c r="M3076" t="s">
        <v>78</v>
      </c>
      <c r="N3076" t="s">
        <v>79</v>
      </c>
      <c r="O3076" t="s">
        <v>74</v>
      </c>
      <c r="P3076" t="s">
        <v>74</v>
      </c>
      <c r="Q3076" t="s">
        <v>74</v>
      </c>
      <c r="R3076" t="s">
        <v>74</v>
      </c>
      <c r="S3076" t="s">
        <v>74</v>
      </c>
      <c r="T3076" t="s">
        <v>50774</v>
      </c>
      <c r="U3076" t="s">
        <v>50775</v>
      </c>
      <c r="V3076" t="s">
        <v>50776</v>
      </c>
      <c r="W3076" t="s">
        <v>50777</v>
      </c>
      <c r="X3076" t="s">
        <v>50778</v>
      </c>
      <c r="Y3076" t="s">
        <v>50779</v>
      </c>
      <c r="Z3076" t="s">
        <v>50780</v>
      </c>
      <c r="AA3076" t="s">
        <v>74</v>
      </c>
      <c r="AB3076" t="s">
        <v>50781</v>
      </c>
      <c r="AC3076" t="s">
        <v>50782</v>
      </c>
      <c r="AD3076" t="s">
        <v>50782</v>
      </c>
      <c r="AE3076" t="s">
        <v>50783</v>
      </c>
      <c r="AF3076" t="s">
        <v>74</v>
      </c>
      <c r="AG3076">
        <v>42</v>
      </c>
      <c r="AH3076">
        <v>11</v>
      </c>
      <c r="AI3076">
        <v>15</v>
      </c>
      <c r="AJ3076">
        <v>31</v>
      </c>
      <c r="AK3076">
        <v>78</v>
      </c>
      <c r="AL3076" t="s">
        <v>9204</v>
      </c>
      <c r="AM3076" t="s">
        <v>2016</v>
      </c>
      <c r="AN3076" t="s">
        <v>9205</v>
      </c>
      <c r="AO3076" t="s">
        <v>74</v>
      </c>
      <c r="AP3076" t="s">
        <v>9206</v>
      </c>
      <c r="AQ3076" t="s">
        <v>74</v>
      </c>
      <c r="AR3076" t="s">
        <v>9191</v>
      </c>
      <c r="AS3076" t="s">
        <v>9207</v>
      </c>
      <c r="AT3076" t="s">
        <v>35566</v>
      </c>
      <c r="AU3076">
        <v>2024</v>
      </c>
      <c r="AV3076">
        <v>10</v>
      </c>
      <c r="AW3076">
        <v>9</v>
      </c>
      <c r="AX3076" t="s">
        <v>74</v>
      </c>
      <c r="AY3076" t="s">
        <v>74</v>
      </c>
      <c r="AZ3076" t="s">
        <v>74</v>
      </c>
      <c r="BA3076" t="s">
        <v>74</v>
      </c>
      <c r="BB3076" t="s">
        <v>74</v>
      </c>
      <c r="BC3076" t="s">
        <v>74</v>
      </c>
      <c r="BD3076" t="s">
        <v>50784</v>
      </c>
      <c r="BE3076" t="s">
        <v>50785</v>
      </c>
      <c r="BF3076" t="str">
        <f>HYPERLINK("http://dx.doi.org/10.1016/j.heliyon.2024.e30586","http://dx.doi.org/10.1016/j.heliyon.2024.e30586")</f>
        <v>http://dx.doi.org/10.1016/j.heliyon.2024.e30586</v>
      </c>
      <c r="BG3076" t="s">
        <v>74</v>
      </c>
      <c r="BH3076" t="s">
        <v>5285</v>
      </c>
      <c r="BI3076">
        <v>19</v>
      </c>
      <c r="BJ3076" t="s">
        <v>559</v>
      </c>
      <c r="BK3076" t="s">
        <v>128</v>
      </c>
      <c r="BL3076" t="s">
        <v>560</v>
      </c>
      <c r="BM3076" t="s">
        <v>50786</v>
      </c>
      <c r="BN3076">
        <v>38765177</v>
      </c>
      <c r="BO3076" t="s">
        <v>916</v>
      </c>
      <c r="BP3076" t="s">
        <v>74</v>
      </c>
      <c r="BQ3076" t="s">
        <v>74</v>
      </c>
      <c r="BR3076" t="s">
        <v>102</v>
      </c>
      <c r="BS3076" t="s">
        <v>50787</v>
      </c>
      <c r="BT3076" t="str">
        <f>HYPERLINK("https%3A%2F%2Fwww.webofscience.com%2Fwos%2Fwoscc%2Ffull-record%2FWOS:001239458600001","View Full Record in Web of Science")</f>
        <v>View Full Record in Web of Science</v>
      </c>
    </row>
    <row r="3077" spans="1:72" x14ac:dyDescent="0.25">
      <c r="A3077" t="s">
        <v>72</v>
      </c>
      <c r="B3077" t="s">
        <v>50788</v>
      </c>
      <c r="C3077" t="s">
        <v>74</v>
      </c>
      <c r="D3077" t="s">
        <v>74</v>
      </c>
      <c r="E3077" t="s">
        <v>74</v>
      </c>
      <c r="F3077" t="s">
        <v>50789</v>
      </c>
      <c r="G3077" t="s">
        <v>74</v>
      </c>
      <c r="H3077" t="s">
        <v>74</v>
      </c>
      <c r="I3077" t="s">
        <v>50790</v>
      </c>
      <c r="J3077" t="s">
        <v>13800</v>
      </c>
      <c r="K3077" t="s">
        <v>74</v>
      </c>
      <c r="L3077" t="s">
        <v>74</v>
      </c>
      <c r="M3077" t="s">
        <v>78</v>
      </c>
      <c r="N3077" t="s">
        <v>79</v>
      </c>
      <c r="O3077" t="s">
        <v>74</v>
      </c>
      <c r="P3077" t="s">
        <v>74</v>
      </c>
      <c r="Q3077" t="s">
        <v>74</v>
      </c>
      <c r="R3077" t="s">
        <v>74</v>
      </c>
      <c r="S3077" t="s">
        <v>74</v>
      </c>
      <c r="T3077" t="s">
        <v>50791</v>
      </c>
      <c r="U3077" t="s">
        <v>50792</v>
      </c>
      <c r="V3077" t="s">
        <v>50793</v>
      </c>
      <c r="W3077" t="s">
        <v>50794</v>
      </c>
      <c r="X3077" t="s">
        <v>50795</v>
      </c>
      <c r="Y3077" t="s">
        <v>50796</v>
      </c>
      <c r="Z3077" t="s">
        <v>50797</v>
      </c>
      <c r="AA3077" t="s">
        <v>74</v>
      </c>
      <c r="AB3077" t="s">
        <v>74</v>
      </c>
      <c r="AC3077" t="s">
        <v>74</v>
      </c>
      <c r="AD3077" t="s">
        <v>74</v>
      </c>
      <c r="AE3077" t="s">
        <v>74</v>
      </c>
      <c r="AF3077" t="s">
        <v>74</v>
      </c>
      <c r="AG3077">
        <v>92</v>
      </c>
      <c r="AH3077">
        <v>6</v>
      </c>
      <c r="AI3077">
        <v>9</v>
      </c>
      <c r="AJ3077">
        <v>1</v>
      </c>
      <c r="AK3077">
        <v>15</v>
      </c>
      <c r="AL3077" t="s">
        <v>89</v>
      </c>
      <c r="AM3077" t="s">
        <v>90</v>
      </c>
      <c r="AN3077" t="s">
        <v>91</v>
      </c>
      <c r="AO3077" t="s">
        <v>13808</v>
      </c>
      <c r="AP3077" t="s">
        <v>13809</v>
      </c>
      <c r="AQ3077" t="s">
        <v>74</v>
      </c>
      <c r="AR3077" t="s">
        <v>13810</v>
      </c>
      <c r="AS3077" t="s">
        <v>13811</v>
      </c>
      <c r="AT3077" t="s">
        <v>50798</v>
      </c>
      <c r="AU3077">
        <v>2021</v>
      </c>
      <c r="AV3077">
        <v>36</v>
      </c>
      <c r="AW3077">
        <v>1</v>
      </c>
      <c r="AX3077" t="s">
        <v>74</v>
      </c>
      <c r="AY3077" t="s">
        <v>74</v>
      </c>
      <c r="AZ3077" t="s">
        <v>74</v>
      </c>
      <c r="BA3077" t="s">
        <v>74</v>
      </c>
      <c r="BB3077">
        <v>131</v>
      </c>
      <c r="BC3077">
        <v>148</v>
      </c>
      <c r="BD3077" t="s">
        <v>74</v>
      </c>
      <c r="BE3077" t="s">
        <v>50799</v>
      </c>
      <c r="BF3077" t="str">
        <f>HYPERLINK("http://dx.doi.org/10.1108/GM-06-2019-0087","http://dx.doi.org/10.1108/GM-06-2019-0087")</f>
        <v>http://dx.doi.org/10.1108/GM-06-2019-0087</v>
      </c>
      <c r="BG3077" t="s">
        <v>74</v>
      </c>
      <c r="BH3077" t="s">
        <v>745</v>
      </c>
      <c r="BI3077">
        <v>18</v>
      </c>
      <c r="BJ3077" t="s">
        <v>13813</v>
      </c>
      <c r="BK3077" t="s">
        <v>99</v>
      </c>
      <c r="BL3077" t="s">
        <v>13814</v>
      </c>
      <c r="BM3077" t="s">
        <v>50800</v>
      </c>
      <c r="BN3077" t="s">
        <v>74</v>
      </c>
      <c r="BO3077" t="s">
        <v>74</v>
      </c>
      <c r="BP3077" t="s">
        <v>74</v>
      </c>
      <c r="BQ3077" t="s">
        <v>74</v>
      </c>
      <c r="BR3077" t="s">
        <v>102</v>
      </c>
      <c r="BS3077" t="s">
        <v>50801</v>
      </c>
      <c r="BT3077" t="str">
        <f>HYPERLINK("https%3A%2F%2Fwww.webofscience.com%2Fwos%2Fwoscc%2Ffull-record%2FWOS:000568350500001","View Full Record in Web of Science")</f>
        <v>View Full Record in Web of Science</v>
      </c>
    </row>
    <row r="3078" spans="1:72" x14ac:dyDescent="0.25">
      <c r="A3078" t="s">
        <v>72</v>
      </c>
      <c r="B3078" t="s">
        <v>50802</v>
      </c>
      <c r="C3078" t="s">
        <v>74</v>
      </c>
      <c r="D3078" t="s">
        <v>74</v>
      </c>
      <c r="E3078" t="s">
        <v>74</v>
      </c>
      <c r="F3078" t="s">
        <v>50803</v>
      </c>
      <c r="G3078" t="s">
        <v>74</v>
      </c>
      <c r="H3078" t="s">
        <v>74</v>
      </c>
      <c r="I3078" t="s">
        <v>50804</v>
      </c>
      <c r="J3078" t="s">
        <v>21500</v>
      </c>
      <c r="K3078" t="s">
        <v>74</v>
      </c>
      <c r="L3078" t="s">
        <v>74</v>
      </c>
      <c r="M3078" t="s">
        <v>78</v>
      </c>
      <c r="N3078" t="s">
        <v>79</v>
      </c>
      <c r="O3078" t="s">
        <v>74</v>
      </c>
      <c r="P3078" t="s">
        <v>74</v>
      </c>
      <c r="Q3078" t="s">
        <v>74</v>
      </c>
      <c r="R3078" t="s">
        <v>74</v>
      </c>
      <c r="S3078" t="s">
        <v>74</v>
      </c>
      <c r="T3078" t="s">
        <v>50805</v>
      </c>
      <c r="U3078" t="s">
        <v>50806</v>
      </c>
      <c r="V3078" t="s">
        <v>50807</v>
      </c>
      <c r="W3078" t="s">
        <v>50808</v>
      </c>
      <c r="X3078" t="s">
        <v>50809</v>
      </c>
      <c r="Y3078" t="s">
        <v>50810</v>
      </c>
      <c r="Z3078" t="s">
        <v>50811</v>
      </c>
      <c r="AA3078" t="s">
        <v>50812</v>
      </c>
      <c r="AB3078" t="s">
        <v>50813</v>
      </c>
      <c r="AC3078" t="s">
        <v>74</v>
      </c>
      <c r="AD3078" t="s">
        <v>74</v>
      </c>
      <c r="AE3078" t="s">
        <v>74</v>
      </c>
      <c r="AF3078" t="s">
        <v>74</v>
      </c>
      <c r="AG3078">
        <v>64</v>
      </c>
      <c r="AH3078">
        <v>11</v>
      </c>
      <c r="AI3078">
        <v>14</v>
      </c>
      <c r="AJ3078">
        <v>2</v>
      </c>
      <c r="AK3078">
        <v>25</v>
      </c>
      <c r="AL3078" t="s">
        <v>89</v>
      </c>
      <c r="AM3078" t="s">
        <v>1497</v>
      </c>
      <c r="AN3078" t="s">
        <v>1498</v>
      </c>
      <c r="AO3078" t="s">
        <v>21493</v>
      </c>
      <c r="AP3078" t="s">
        <v>21492</v>
      </c>
      <c r="AQ3078" t="s">
        <v>74</v>
      </c>
      <c r="AR3078" t="s">
        <v>21491</v>
      </c>
      <c r="AS3078" t="s">
        <v>21490</v>
      </c>
      <c r="AT3078" t="s">
        <v>40544</v>
      </c>
      <c r="AU3078">
        <v>2023</v>
      </c>
      <c r="AV3078">
        <v>42</v>
      </c>
      <c r="AW3078">
        <v>1</v>
      </c>
      <c r="AX3078" t="s">
        <v>74</v>
      </c>
      <c r="AY3078" t="s">
        <v>74</v>
      </c>
      <c r="AZ3078" t="s">
        <v>74</v>
      </c>
      <c r="BA3078" t="s">
        <v>74</v>
      </c>
      <c r="BB3078">
        <v>157</v>
      </c>
      <c r="BC3078">
        <v>171</v>
      </c>
      <c r="BD3078" t="s">
        <v>74</v>
      </c>
      <c r="BE3078" t="s">
        <v>50814</v>
      </c>
      <c r="BF3078" t="str">
        <f>HYPERLINK("http://dx.doi.org/10.1108/EDI-02-2022-0028","http://dx.doi.org/10.1108/EDI-02-2022-0028")</f>
        <v>http://dx.doi.org/10.1108/EDI-02-2022-0028</v>
      </c>
      <c r="BG3078" t="s">
        <v>74</v>
      </c>
      <c r="BH3078" t="s">
        <v>6014</v>
      </c>
      <c r="BI3078">
        <v>15</v>
      </c>
      <c r="BJ3078" t="s">
        <v>21488</v>
      </c>
      <c r="BK3078" t="s">
        <v>313</v>
      </c>
      <c r="BL3078" t="s">
        <v>13814</v>
      </c>
      <c r="BM3078" t="s">
        <v>50815</v>
      </c>
      <c r="BN3078" t="s">
        <v>74</v>
      </c>
      <c r="BO3078" t="s">
        <v>74</v>
      </c>
      <c r="BP3078" t="s">
        <v>74</v>
      </c>
      <c r="BQ3078" t="s">
        <v>74</v>
      </c>
      <c r="BR3078" t="s">
        <v>102</v>
      </c>
      <c r="BS3078" t="s">
        <v>50816</v>
      </c>
      <c r="BT3078" t="str">
        <f>HYPERLINK("https%3A%2F%2Fwww.webofscience.com%2Fwos%2Fwoscc%2Ffull-record%2FWOS:000849922800001","View Full Record in Web of Science")</f>
        <v>View Full Record in Web of Science</v>
      </c>
    </row>
    <row r="3079" spans="1:72" x14ac:dyDescent="0.25">
      <c r="A3079" t="s">
        <v>72</v>
      </c>
      <c r="B3079" t="s">
        <v>50817</v>
      </c>
      <c r="C3079" t="s">
        <v>74</v>
      </c>
      <c r="D3079" t="s">
        <v>74</v>
      </c>
      <c r="E3079" t="s">
        <v>74</v>
      </c>
      <c r="F3079" t="s">
        <v>50818</v>
      </c>
      <c r="G3079" t="s">
        <v>74</v>
      </c>
      <c r="H3079" t="s">
        <v>74</v>
      </c>
      <c r="I3079" t="s">
        <v>50819</v>
      </c>
      <c r="J3079" t="s">
        <v>50820</v>
      </c>
      <c r="K3079" t="s">
        <v>74</v>
      </c>
      <c r="L3079" t="s">
        <v>74</v>
      </c>
      <c r="M3079" t="s">
        <v>78</v>
      </c>
      <c r="N3079" t="s">
        <v>79</v>
      </c>
      <c r="O3079" t="s">
        <v>74</v>
      </c>
      <c r="P3079" t="s">
        <v>74</v>
      </c>
      <c r="Q3079" t="s">
        <v>74</v>
      </c>
      <c r="R3079" t="s">
        <v>74</v>
      </c>
      <c r="S3079" t="s">
        <v>74</v>
      </c>
      <c r="T3079" t="s">
        <v>50821</v>
      </c>
      <c r="U3079" t="s">
        <v>74</v>
      </c>
      <c r="V3079" t="s">
        <v>50822</v>
      </c>
      <c r="W3079" t="s">
        <v>50823</v>
      </c>
      <c r="X3079" t="s">
        <v>50824</v>
      </c>
      <c r="Y3079" t="s">
        <v>50825</v>
      </c>
      <c r="Z3079" t="s">
        <v>50826</v>
      </c>
      <c r="AA3079" t="s">
        <v>50827</v>
      </c>
      <c r="AB3079" t="s">
        <v>50828</v>
      </c>
      <c r="AC3079" t="s">
        <v>50829</v>
      </c>
      <c r="AD3079" t="s">
        <v>50830</v>
      </c>
      <c r="AE3079" t="s">
        <v>50831</v>
      </c>
      <c r="AF3079" t="s">
        <v>74</v>
      </c>
      <c r="AG3079">
        <v>95</v>
      </c>
      <c r="AH3079">
        <v>9</v>
      </c>
      <c r="AI3079">
        <v>11</v>
      </c>
      <c r="AJ3079">
        <v>7</v>
      </c>
      <c r="AK3079">
        <v>25</v>
      </c>
      <c r="AL3079" t="s">
        <v>3461</v>
      </c>
      <c r="AM3079" t="s">
        <v>3462</v>
      </c>
      <c r="AN3079" t="s">
        <v>3463</v>
      </c>
      <c r="AO3079" t="s">
        <v>50832</v>
      </c>
      <c r="AP3079" t="s">
        <v>74</v>
      </c>
      <c r="AQ3079" t="s">
        <v>74</v>
      </c>
      <c r="AR3079" t="s">
        <v>50833</v>
      </c>
      <c r="AS3079" t="s">
        <v>50834</v>
      </c>
      <c r="AT3079" t="s">
        <v>26169</v>
      </c>
      <c r="AU3079">
        <v>2024</v>
      </c>
      <c r="AV3079">
        <v>11</v>
      </c>
      <c r="AW3079">
        <v>21</v>
      </c>
      <c r="AX3079" t="s">
        <v>74</v>
      </c>
      <c r="AY3079" t="s">
        <v>74</v>
      </c>
      <c r="AZ3079" t="s">
        <v>74</v>
      </c>
      <c r="BA3079" t="s">
        <v>74</v>
      </c>
      <c r="BB3079">
        <v>34811</v>
      </c>
      <c r="BC3079">
        <v>34825</v>
      </c>
      <c r="BD3079" t="s">
        <v>74</v>
      </c>
      <c r="BE3079" t="s">
        <v>50835</v>
      </c>
      <c r="BF3079" t="str">
        <f>HYPERLINK("http://dx.doi.org/10.1109/JIOT.2024.3432116","http://dx.doi.org/10.1109/JIOT.2024.3432116")</f>
        <v>http://dx.doi.org/10.1109/JIOT.2024.3432116</v>
      </c>
      <c r="BG3079" t="s">
        <v>74</v>
      </c>
      <c r="BH3079" t="s">
        <v>74</v>
      </c>
      <c r="BI3079">
        <v>15</v>
      </c>
      <c r="BJ3079" t="s">
        <v>3467</v>
      </c>
      <c r="BK3079" t="s">
        <v>128</v>
      </c>
      <c r="BL3079" t="s">
        <v>1023</v>
      </c>
      <c r="BM3079" t="s">
        <v>50836</v>
      </c>
      <c r="BN3079" t="s">
        <v>74</v>
      </c>
      <c r="BO3079" t="s">
        <v>74</v>
      </c>
      <c r="BP3079" t="s">
        <v>74</v>
      </c>
      <c r="BQ3079" t="s">
        <v>74</v>
      </c>
      <c r="BR3079" t="s">
        <v>102</v>
      </c>
      <c r="BS3079" t="s">
        <v>50837</v>
      </c>
      <c r="BT3079" t="str">
        <f>HYPERLINK("https%3A%2F%2Fwww.webofscience.com%2Fwos%2Fwoscc%2Ffull-record%2FWOS:001342828900003","View Full Record in Web of Science")</f>
        <v>View Full Record in Web of Science</v>
      </c>
    </row>
    <row r="3080" spans="1:72" x14ac:dyDescent="0.25">
      <c r="A3080" t="s">
        <v>72</v>
      </c>
      <c r="B3080" t="s">
        <v>50838</v>
      </c>
      <c r="C3080" t="s">
        <v>74</v>
      </c>
      <c r="D3080" t="s">
        <v>74</v>
      </c>
      <c r="E3080" t="s">
        <v>74</v>
      </c>
      <c r="F3080" t="s">
        <v>50839</v>
      </c>
      <c r="G3080" t="s">
        <v>74</v>
      </c>
      <c r="H3080" t="s">
        <v>74</v>
      </c>
      <c r="I3080" t="s">
        <v>50840</v>
      </c>
      <c r="J3080" t="s">
        <v>50841</v>
      </c>
      <c r="K3080" t="s">
        <v>74</v>
      </c>
      <c r="L3080" t="s">
        <v>74</v>
      </c>
      <c r="M3080" t="s">
        <v>78</v>
      </c>
      <c r="N3080" t="s">
        <v>79</v>
      </c>
      <c r="O3080" t="s">
        <v>74</v>
      </c>
      <c r="P3080" t="s">
        <v>74</v>
      </c>
      <c r="Q3080" t="s">
        <v>74</v>
      </c>
      <c r="R3080" t="s">
        <v>74</v>
      </c>
      <c r="S3080" t="s">
        <v>74</v>
      </c>
      <c r="T3080" t="s">
        <v>50842</v>
      </c>
      <c r="U3080" t="s">
        <v>50843</v>
      </c>
      <c r="V3080" t="s">
        <v>50844</v>
      </c>
      <c r="W3080" t="s">
        <v>50845</v>
      </c>
      <c r="X3080" t="s">
        <v>50846</v>
      </c>
      <c r="Y3080" t="s">
        <v>50847</v>
      </c>
      <c r="Z3080" t="s">
        <v>50848</v>
      </c>
      <c r="AA3080" t="s">
        <v>49062</v>
      </c>
      <c r="AB3080" t="s">
        <v>74</v>
      </c>
      <c r="AC3080" t="s">
        <v>50849</v>
      </c>
      <c r="AD3080" t="s">
        <v>50850</v>
      </c>
      <c r="AE3080" t="s">
        <v>50851</v>
      </c>
      <c r="AF3080" t="s">
        <v>74</v>
      </c>
      <c r="AG3080">
        <v>89</v>
      </c>
      <c r="AH3080">
        <v>0</v>
      </c>
      <c r="AI3080">
        <v>0</v>
      </c>
      <c r="AJ3080">
        <v>1</v>
      </c>
      <c r="AK3080">
        <v>1</v>
      </c>
      <c r="AL3080" t="s">
        <v>50852</v>
      </c>
      <c r="AM3080" t="s">
        <v>50853</v>
      </c>
      <c r="AN3080" t="s">
        <v>50854</v>
      </c>
      <c r="AO3080" t="s">
        <v>50855</v>
      </c>
      <c r="AP3080" t="s">
        <v>50856</v>
      </c>
      <c r="AQ3080" t="s">
        <v>74</v>
      </c>
      <c r="AR3080" t="s">
        <v>50857</v>
      </c>
      <c r="AS3080" t="s">
        <v>50858</v>
      </c>
      <c r="AT3080" t="s">
        <v>698</v>
      </c>
      <c r="AU3080">
        <v>2025</v>
      </c>
      <c r="AV3080">
        <v>27</v>
      </c>
      <c r="AW3080">
        <v>3</v>
      </c>
      <c r="AX3080" t="s">
        <v>74</v>
      </c>
      <c r="AY3080" t="s">
        <v>74</v>
      </c>
      <c r="AZ3080" t="s">
        <v>74</v>
      </c>
      <c r="BA3080" t="s">
        <v>74</v>
      </c>
      <c r="BB3080" t="s">
        <v>74</v>
      </c>
      <c r="BC3080" t="s">
        <v>74</v>
      </c>
      <c r="BD3080" t="s">
        <v>74</v>
      </c>
      <c r="BE3080" t="s">
        <v>74</v>
      </c>
      <c r="BF3080" t="s">
        <v>74</v>
      </c>
      <c r="BG3080" t="s">
        <v>74</v>
      </c>
      <c r="BH3080" t="s">
        <v>74</v>
      </c>
      <c r="BI3080">
        <v>19</v>
      </c>
      <c r="BJ3080" t="s">
        <v>50859</v>
      </c>
      <c r="BK3080" t="s">
        <v>128</v>
      </c>
      <c r="BL3080" t="s">
        <v>50859</v>
      </c>
      <c r="BM3080" t="s">
        <v>50860</v>
      </c>
      <c r="BN3080" t="s">
        <v>74</v>
      </c>
      <c r="BO3080" t="s">
        <v>74</v>
      </c>
      <c r="BP3080" t="s">
        <v>74</v>
      </c>
      <c r="BQ3080" t="s">
        <v>74</v>
      </c>
      <c r="BR3080" t="s">
        <v>102</v>
      </c>
      <c r="BS3080" t="s">
        <v>50861</v>
      </c>
      <c r="BT3080" t="str">
        <f>HYPERLINK("https%3A%2F%2Fwww.webofscience.com%2Fwos%2Fwoscc%2Ffull-record%2FWOS:001580121000007","View Full Record in Web of Science")</f>
        <v>View Full Record in Web of Science</v>
      </c>
    </row>
    <row r="3081" spans="1:72" x14ac:dyDescent="0.25">
      <c r="A3081" t="s">
        <v>72</v>
      </c>
      <c r="B3081" t="s">
        <v>50862</v>
      </c>
      <c r="C3081" t="s">
        <v>74</v>
      </c>
      <c r="D3081" t="s">
        <v>74</v>
      </c>
      <c r="E3081" t="s">
        <v>74</v>
      </c>
      <c r="F3081" t="s">
        <v>50863</v>
      </c>
      <c r="G3081" t="s">
        <v>74</v>
      </c>
      <c r="H3081" t="s">
        <v>74</v>
      </c>
      <c r="I3081" t="s">
        <v>50864</v>
      </c>
      <c r="J3081" t="s">
        <v>50865</v>
      </c>
      <c r="K3081" t="s">
        <v>74</v>
      </c>
      <c r="L3081" t="s">
        <v>74</v>
      </c>
      <c r="M3081" t="s">
        <v>78</v>
      </c>
      <c r="N3081" t="s">
        <v>79</v>
      </c>
      <c r="O3081" t="s">
        <v>74</v>
      </c>
      <c r="P3081" t="s">
        <v>74</v>
      </c>
      <c r="Q3081" t="s">
        <v>74</v>
      </c>
      <c r="R3081" t="s">
        <v>74</v>
      </c>
      <c r="S3081" t="s">
        <v>74</v>
      </c>
      <c r="T3081" t="s">
        <v>50866</v>
      </c>
      <c r="U3081" t="s">
        <v>50867</v>
      </c>
      <c r="V3081" t="s">
        <v>50868</v>
      </c>
      <c r="W3081" t="s">
        <v>50869</v>
      </c>
      <c r="X3081" t="s">
        <v>50870</v>
      </c>
      <c r="Y3081" t="s">
        <v>50871</v>
      </c>
      <c r="Z3081" t="s">
        <v>50872</v>
      </c>
      <c r="AA3081" t="s">
        <v>50873</v>
      </c>
      <c r="AB3081" t="s">
        <v>50874</v>
      </c>
      <c r="AC3081" t="s">
        <v>74</v>
      </c>
      <c r="AD3081" t="s">
        <v>74</v>
      </c>
      <c r="AE3081" t="s">
        <v>74</v>
      </c>
      <c r="AF3081" t="s">
        <v>74</v>
      </c>
      <c r="AG3081">
        <v>72</v>
      </c>
      <c r="AH3081">
        <v>0</v>
      </c>
      <c r="AI3081">
        <v>0</v>
      </c>
      <c r="AJ3081">
        <v>0</v>
      </c>
      <c r="AK3081">
        <v>0</v>
      </c>
      <c r="AL3081" t="s">
        <v>50875</v>
      </c>
      <c r="AM3081" t="s">
        <v>50876</v>
      </c>
      <c r="AN3081" t="s">
        <v>50877</v>
      </c>
      <c r="AO3081" t="s">
        <v>74</v>
      </c>
      <c r="AP3081" t="s">
        <v>50878</v>
      </c>
      <c r="AQ3081" t="s">
        <v>74</v>
      </c>
      <c r="AR3081" t="s">
        <v>50879</v>
      </c>
      <c r="AS3081" t="s">
        <v>50880</v>
      </c>
      <c r="AT3081" t="s">
        <v>698</v>
      </c>
      <c r="AU3081">
        <v>2025</v>
      </c>
      <c r="AV3081">
        <v>11</v>
      </c>
      <c r="AW3081">
        <v>3</v>
      </c>
      <c r="AX3081" t="s">
        <v>74</v>
      </c>
      <c r="AY3081" t="s">
        <v>74</v>
      </c>
      <c r="AZ3081" t="s">
        <v>74</v>
      </c>
      <c r="BA3081" t="s">
        <v>74</v>
      </c>
      <c r="BB3081">
        <v>161</v>
      </c>
      <c r="BC3081">
        <v>178</v>
      </c>
      <c r="BD3081" t="s">
        <v>74</v>
      </c>
      <c r="BE3081" t="s">
        <v>50881</v>
      </c>
      <c r="BF3081" t="str">
        <f>HYPERLINK("http://dx.doi.org/10.15678/IER.2025.1103.07","http://dx.doi.org/10.15678/IER.2025.1103.07")</f>
        <v>http://dx.doi.org/10.15678/IER.2025.1103.07</v>
      </c>
      <c r="BG3081" t="s">
        <v>74</v>
      </c>
      <c r="BH3081" t="s">
        <v>74</v>
      </c>
      <c r="BI3081">
        <v>18</v>
      </c>
      <c r="BJ3081" t="s">
        <v>1453</v>
      </c>
      <c r="BK3081" t="s">
        <v>313</v>
      </c>
      <c r="BL3081" t="s">
        <v>100</v>
      </c>
      <c r="BM3081" t="s">
        <v>50882</v>
      </c>
      <c r="BN3081" t="s">
        <v>74</v>
      </c>
      <c r="BO3081" t="s">
        <v>212</v>
      </c>
      <c r="BP3081" t="s">
        <v>74</v>
      </c>
      <c r="BQ3081" t="s">
        <v>74</v>
      </c>
      <c r="BR3081" t="s">
        <v>102</v>
      </c>
      <c r="BS3081" t="s">
        <v>50883</v>
      </c>
      <c r="BT3081" t="str">
        <f>HYPERLINK("https%3A%2F%2Fwww.webofscience.com%2Fwos%2Fwoscc%2Ffull-record%2FWOS:001639333500007","View Full Record in Web of Science")</f>
        <v>View Full Record in Web of Science</v>
      </c>
    </row>
    <row r="3082" spans="1:72" x14ac:dyDescent="0.25">
      <c r="A3082" t="s">
        <v>72</v>
      </c>
      <c r="B3082" t="s">
        <v>50884</v>
      </c>
      <c r="C3082" t="s">
        <v>74</v>
      </c>
      <c r="D3082" t="s">
        <v>74</v>
      </c>
      <c r="E3082" t="s">
        <v>74</v>
      </c>
      <c r="F3082" t="s">
        <v>50885</v>
      </c>
      <c r="G3082" t="s">
        <v>74</v>
      </c>
      <c r="H3082" t="s">
        <v>74</v>
      </c>
      <c r="I3082" t="s">
        <v>50886</v>
      </c>
      <c r="J3082" t="s">
        <v>50887</v>
      </c>
      <c r="K3082" t="s">
        <v>74</v>
      </c>
      <c r="L3082" t="s">
        <v>74</v>
      </c>
      <c r="M3082" t="s">
        <v>78</v>
      </c>
      <c r="N3082" t="s">
        <v>79</v>
      </c>
      <c r="O3082" t="s">
        <v>74</v>
      </c>
      <c r="P3082" t="s">
        <v>74</v>
      </c>
      <c r="Q3082" t="s">
        <v>74</v>
      </c>
      <c r="R3082" t="s">
        <v>74</v>
      </c>
      <c r="S3082" t="s">
        <v>74</v>
      </c>
      <c r="T3082" t="s">
        <v>50888</v>
      </c>
      <c r="U3082" t="s">
        <v>74</v>
      </c>
      <c r="V3082" t="s">
        <v>50889</v>
      </c>
      <c r="W3082" t="s">
        <v>50890</v>
      </c>
      <c r="X3082" t="s">
        <v>74</v>
      </c>
      <c r="Y3082" t="s">
        <v>50891</v>
      </c>
      <c r="Z3082" t="s">
        <v>50892</v>
      </c>
      <c r="AA3082" t="s">
        <v>74</v>
      </c>
      <c r="AB3082" t="s">
        <v>74</v>
      </c>
      <c r="AC3082" t="s">
        <v>74</v>
      </c>
      <c r="AD3082" t="s">
        <v>74</v>
      </c>
      <c r="AE3082" t="s">
        <v>74</v>
      </c>
      <c r="AF3082" t="s">
        <v>74</v>
      </c>
      <c r="AG3082">
        <v>0</v>
      </c>
      <c r="AH3082">
        <v>0</v>
      </c>
      <c r="AI3082">
        <v>0</v>
      </c>
      <c r="AJ3082">
        <v>1</v>
      </c>
      <c r="AK3082">
        <v>1</v>
      </c>
      <c r="AL3082" t="s">
        <v>50893</v>
      </c>
      <c r="AM3082" t="s">
        <v>50894</v>
      </c>
      <c r="AN3082" t="s">
        <v>50895</v>
      </c>
      <c r="AO3082" t="s">
        <v>50896</v>
      </c>
      <c r="AP3082" t="s">
        <v>50897</v>
      </c>
      <c r="AQ3082" t="s">
        <v>74</v>
      </c>
      <c r="AR3082" t="s">
        <v>50898</v>
      </c>
      <c r="AS3082" t="s">
        <v>50899</v>
      </c>
      <c r="AT3082" t="s">
        <v>237</v>
      </c>
      <c r="AU3082">
        <v>2024</v>
      </c>
      <c r="AV3082">
        <v>19</v>
      </c>
      <c r="AW3082">
        <v>2</v>
      </c>
      <c r="AX3082" t="s">
        <v>74</v>
      </c>
      <c r="AY3082" t="s">
        <v>74</v>
      </c>
      <c r="AZ3082" t="s">
        <v>74</v>
      </c>
      <c r="BA3082" t="s">
        <v>74</v>
      </c>
      <c r="BB3082">
        <v>99</v>
      </c>
      <c r="BC3082">
        <v>109</v>
      </c>
      <c r="BD3082" t="s">
        <v>74</v>
      </c>
      <c r="BE3082" t="s">
        <v>74</v>
      </c>
      <c r="BF3082" t="s">
        <v>74</v>
      </c>
      <c r="BG3082" t="s">
        <v>74</v>
      </c>
      <c r="BH3082" t="s">
        <v>74</v>
      </c>
      <c r="BI3082">
        <v>11</v>
      </c>
      <c r="BJ3082" t="s">
        <v>12820</v>
      </c>
      <c r="BK3082" t="s">
        <v>313</v>
      </c>
      <c r="BL3082" t="s">
        <v>12820</v>
      </c>
      <c r="BM3082" t="s">
        <v>50900</v>
      </c>
      <c r="BN3082" t="s">
        <v>74</v>
      </c>
      <c r="BO3082" t="s">
        <v>74</v>
      </c>
      <c r="BP3082" t="s">
        <v>74</v>
      </c>
      <c r="BQ3082" t="s">
        <v>74</v>
      </c>
      <c r="BR3082" t="s">
        <v>102</v>
      </c>
      <c r="BS3082" t="s">
        <v>50901</v>
      </c>
      <c r="BT3082" t="str">
        <f>HYPERLINK("https%3A%2F%2Fwww.webofscience.com%2Fwos%2Fwoscc%2Ffull-record%2FWOS:001237060700003","View Full Record in Web of Science")</f>
        <v>View Full Record in Web of Science</v>
      </c>
    </row>
    <row r="3083" spans="1:72" x14ac:dyDescent="0.25">
      <c r="A3083" t="s">
        <v>72</v>
      </c>
      <c r="B3083" t="s">
        <v>50902</v>
      </c>
      <c r="C3083" t="s">
        <v>74</v>
      </c>
      <c r="D3083" t="s">
        <v>74</v>
      </c>
      <c r="E3083" t="s">
        <v>74</v>
      </c>
      <c r="F3083" t="s">
        <v>50903</v>
      </c>
      <c r="G3083" t="s">
        <v>74</v>
      </c>
      <c r="H3083" t="s">
        <v>74</v>
      </c>
      <c r="I3083" t="s">
        <v>50904</v>
      </c>
      <c r="J3083" t="s">
        <v>6283</v>
      </c>
      <c r="K3083" t="s">
        <v>74</v>
      </c>
      <c r="L3083" t="s">
        <v>74</v>
      </c>
      <c r="M3083" t="s">
        <v>78</v>
      </c>
      <c r="N3083" t="s">
        <v>79</v>
      </c>
      <c r="O3083" t="s">
        <v>74</v>
      </c>
      <c r="P3083" t="s">
        <v>74</v>
      </c>
      <c r="Q3083" t="s">
        <v>74</v>
      </c>
      <c r="R3083" t="s">
        <v>74</v>
      </c>
      <c r="S3083" t="s">
        <v>74</v>
      </c>
      <c r="T3083" t="s">
        <v>50905</v>
      </c>
      <c r="U3083" t="s">
        <v>50906</v>
      </c>
      <c r="V3083" t="s">
        <v>50907</v>
      </c>
      <c r="W3083" t="s">
        <v>50908</v>
      </c>
      <c r="X3083" t="s">
        <v>50909</v>
      </c>
      <c r="Y3083" t="s">
        <v>50910</v>
      </c>
      <c r="Z3083" t="s">
        <v>50911</v>
      </c>
      <c r="AA3083" t="s">
        <v>50912</v>
      </c>
      <c r="AB3083" t="s">
        <v>50913</v>
      </c>
      <c r="AC3083" t="s">
        <v>50914</v>
      </c>
      <c r="AD3083" t="s">
        <v>9224</v>
      </c>
      <c r="AE3083" t="s">
        <v>50915</v>
      </c>
      <c r="AF3083" t="s">
        <v>74</v>
      </c>
      <c r="AG3083">
        <v>67</v>
      </c>
      <c r="AH3083">
        <v>39</v>
      </c>
      <c r="AI3083">
        <v>42</v>
      </c>
      <c r="AJ3083">
        <v>0</v>
      </c>
      <c r="AK3083">
        <v>20</v>
      </c>
      <c r="AL3083" t="s">
        <v>479</v>
      </c>
      <c r="AM3083" t="s">
        <v>480</v>
      </c>
      <c r="AN3083" t="s">
        <v>481</v>
      </c>
      <c r="AO3083" t="s">
        <v>6293</v>
      </c>
      <c r="AP3083" t="s">
        <v>6294</v>
      </c>
      <c r="AQ3083" t="s">
        <v>74</v>
      </c>
      <c r="AR3083" t="s">
        <v>6295</v>
      </c>
      <c r="AS3083" t="s">
        <v>6296</v>
      </c>
      <c r="AT3083" t="s">
        <v>124</v>
      </c>
      <c r="AU3083">
        <v>2022</v>
      </c>
      <c r="AV3083">
        <v>30</v>
      </c>
      <c r="AW3083">
        <v>6</v>
      </c>
      <c r="AX3083" t="s">
        <v>74</v>
      </c>
      <c r="AY3083" t="s">
        <v>74</v>
      </c>
      <c r="AZ3083" t="s">
        <v>74</v>
      </c>
      <c r="BA3083" t="s">
        <v>74</v>
      </c>
      <c r="BB3083">
        <v>2015</v>
      </c>
      <c r="BC3083">
        <v>2024</v>
      </c>
      <c r="BD3083" t="s">
        <v>74</v>
      </c>
      <c r="BE3083" t="s">
        <v>50916</v>
      </c>
      <c r="BF3083" t="str">
        <f>HYPERLINK("http://dx.doi.org/10.1002/sd.2367","http://dx.doi.org/10.1002/sd.2367")</f>
        <v>http://dx.doi.org/10.1002/sd.2367</v>
      </c>
      <c r="BG3083" t="s">
        <v>74</v>
      </c>
      <c r="BH3083" t="s">
        <v>126</v>
      </c>
      <c r="BI3083">
        <v>10</v>
      </c>
      <c r="BJ3083" t="s">
        <v>6299</v>
      </c>
      <c r="BK3083" t="s">
        <v>99</v>
      </c>
      <c r="BL3083" t="s">
        <v>6300</v>
      </c>
      <c r="BM3083" t="s">
        <v>13399</v>
      </c>
      <c r="BN3083" t="s">
        <v>74</v>
      </c>
      <c r="BO3083" t="s">
        <v>74</v>
      </c>
      <c r="BP3083" t="s">
        <v>74</v>
      </c>
      <c r="BQ3083" t="s">
        <v>74</v>
      </c>
      <c r="BR3083" t="s">
        <v>102</v>
      </c>
      <c r="BS3083" t="s">
        <v>50917</v>
      </c>
      <c r="BT3083" t="str">
        <f>HYPERLINK("https%3A%2F%2Fwww.webofscience.com%2Fwos%2Fwoscc%2Ffull-record%2FWOS:000832786500001","View Full Record in Web of Science")</f>
        <v>View Full Record in Web of Science</v>
      </c>
    </row>
    <row r="3084" spans="1:72" x14ac:dyDescent="0.25">
      <c r="A3084" t="s">
        <v>72</v>
      </c>
      <c r="B3084" t="s">
        <v>50918</v>
      </c>
      <c r="C3084" t="s">
        <v>74</v>
      </c>
      <c r="D3084" t="s">
        <v>74</v>
      </c>
      <c r="E3084" t="s">
        <v>74</v>
      </c>
      <c r="F3084" t="s">
        <v>50919</v>
      </c>
      <c r="G3084" t="s">
        <v>74</v>
      </c>
      <c r="H3084" t="s">
        <v>74</v>
      </c>
      <c r="I3084" t="s">
        <v>50920</v>
      </c>
      <c r="J3084" t="s">
        <v>8087</v>
      </c>
      <c r="K3084" t="s">
        <v>74</v>
      </c>
      <c r="L3084" t="s">
        <v>74</v>
      </c>
      <c r="M3084" t="s">
        <v>78</v>
      </c>
      <c r="N3084" t="s">
        <v>79</v>
      </c>
      <c r="O3084" t="s">
        <v>74</v>
      </c>
      <c r="P3084" t="s">
        <v>74</v>
      </c>
      <c r="Q3084" t="s">
        <v>74</v>
      </c>
      <c r="R3084" t="s">
        <v>74</v>
      </c>
      <c r="S3084" t="s">
        <v>74</v>
      </c>
      <c r="T3084" t="s">
        <v>50921</v>
      </c>
      <c r="U3084" t="s">
        <v>74</v>
      </c>
      <c r="V3084" t="s">
        <v>50922</v>
      </c>
      <c r="W3084" t="s">
        <v>50923</v>
      </c>
      <c r="X3084" t="s">
        <v>9119</v>
      </c>
      <c r="Y3084" t="s">
        <v>50924</v>
      </c>
      <c r="Z3084" t="s">
        <v>50925</v>
      </c>
      <c r="AA3084" t="s">
        <v>74</v>
      </c>
      <c r="AB3084" t="s">
        <v>74</v>
      </c>
      <c r="AC3084" t="s">
        <v>74</v>
      </c>
      <c r="AD3084" t="s">
        <v>74</v>
      </c>
      <c r="AE3084" t="s">
        <v>74</v>
      </c>
      <c r="AF3084" t="s">
        <v>74</v>
      </c>
      <c r="AG3084">
        <v>52</v>
      </c>
      <c r="AH3084">
        <v>46</v>
      </c>
      <c r="AI3084">
        <v>55</v>
      </c>
      <c r="AJ3084">
        <v>0</v>
      </c>
      <c r="AK3084">
        <v>44</v>
      </c>
      <c r="AL3084" t="s">
        <v>5317</v>
      </c>
      <c r="AM3084" t="s">
        <v>5318</v>
      </c>
      <c r="AN3084" t="s">
        <v>5319</v>
      </c>
      <c r="AO3084" t="s">
        <v>8097</v>
      </c>
      <c r="AP3084" t="s">
        <v>74</v>
      </c>
      <c r="AQ3084" t="s">
        <v>74</v>
      </c>
      <c r="AR3084" t="s">
        <v>8099</v>
      </c>
      <c r="AS3084" t="s">
        <v>8100</v>
      </c>
      <c r="AT3084" t="s">
        <v>848</v>
      </c>
      <c r="AU3084">
        <v>2008</v>
      </c>
      <c r="AV3084">
        <v>32</v>
      </c>
      <c r="AW3084">
        <v>4</v>
      </c>
      <c r="AX3084" t="s">
        <v>74</v>
      </c>
      <c r="AY3084" t="s">
        <v>74</v>
      </c>
      <c r="AZ3084" t="s">
        <v>74</v>
      </c>
      <c r="BA3084" t="s">
        <v>74</v>
      </c>
      <c r="BB3084">
        <v>306</v>
      </c>
      <c r="BC3084">
        <v>313</v>
      </c>
      <c r="BD3084" t="s">
        <v>74</v>
      </c>
      <c r="BE3084" t="s">
        <v>50926</v>
      </c>
      <c r="BF3084" t="str">
        <f>HYPERLINK("http://dx.doi.org/10.1111/j.1470-6431.2007.00640.x","http://dx.doi.org/10.1111/j.1470-6431.2007.00640.x")</f>
        <v>http://dx.doi.org/10.1111/j.1470-6431.2007.00640.x</v>
      </c>
      <c r="BG3084" t="s">
        <v>74</v>
      </c>
      <c r="BH3084" t="s">
        <v>74</v>
      </c>
      <c r="BI3084">
        <v>8</v>
      </c>
      <c r="BJ3084" t="s">
        <v>418</v>
      </c>
      <c r="BK3084" t="s">
        <v>99</v>
      </c>
      <c r="BL3084" t="s">
        <v>100</v>
      </c>
      <c r="BM3084" t="s">
        <v>50927</v>
      </c>
      <c r="BN3084" t="s">
        <v>74</v>
      </c>
      <c r="BO3084" t="s">
        <v>74</v>
      </c>
      <c r="BP3084" t="s">
        <v>74</v>
      </c>
      <c r="BQ3084" t="s">
        <v>74</v>
      </c>
      <c r="BR3084" t="s">
        <v>102</v>
      </c>
      <c r="BS3084" t="s">
        <v>50928</v>
      </c>
      <c r="BT3084" t="str">
        <f>HYPERLINK("https%3A%2F%2Fwww.webofscience.com%2Fwos%2Fwoscc%2Ffull-record%2FWOS:000207985500002","View Full Record in Web of Science")</f>
        <v>View Full Record in Web of Science</v>
      </c>
    </row>
    <row r="3085" spans="1:72" x14ac:dyDescent="0.25">
      <c r="A3085" t="s">
        <v>72</v>
      </c>
      <c r="B3085" t="s">
        <v>50929</v>
      </c>
      <c r="C3085" t="s">
        <v>74</v>
      </c>
      <c r="D3085" t="s">
        <v>74</v>
      </c>
      <c r="E3085" t="s">
        <v>74</v>
      </c>
      <c r="F3085" t="s">
        <v>50930</v>
      </c>
      <c r="G3085" t="s">
        <v>74</v>
      </c>
      <c r="H3085" t="s">
        <v>74</v>
      </c>
      <c r="I3085" t="s">
        <v>50931</v>
      </c>
      <c r="J3085" t="s">
        <v>50932</v>
      </c>
      <c r="K3085" t="s">
        <v>74</v>
      </c>
      <c r="L3085" t="s">
        <v>74</v>
      </c>
      <c r="M3085" t="s">
        <v>4271</v>
      </c>
      <c r="N3085" t="s">
        <v>79</v>
      </c>
      <c r="O3085" t="s">
        <v>74</v>
      </c>
      <c r="P3085" t="s">
        <v>74</v>
      </c>
      <c r="Q3085" t="s">
        <v>74</v>
      </c>
      <c r="R3085" t="s">
        <v>74</v>
      </c>
      <c r="S3085" t="s">
        <v>74</v>
      </c>
      <c r="T3085" t="s">
        <v>50933</v>
      </c>
      <c r="U3085" t="s">
        <v>43307</v>
      </c>
      <c r="V3085" t="s">
        <v>50934</v>
      </c>
      <c r="W3085" t="s">
        <v>50935</v>
      </c>
      <c r="X3085" t="s">
        <v>50936</v>
      </c>
      <c r="Y3085" t="s">
        <v>50937</v>
      </c>
      <c r="Z3085" t="s">
        <v>50938</v>
      </c>
      <c r="AA3085" t="s">
        <v>74</v>
      </c>
      <c r="AB3085" t="s">
        <v>74</v>
      </c>
      <c r="AC3085" t="s">
        <v>74</v>
      </c>
      <c r="AD3085" t="s">
        <v>74</v>
      </c>
      <c r="AE3085" t="s">
        <v>74</v>
      </c>
      <c r="AF3085" t="s">
        <v>74</v>
      </c>
      <c r="AG3085">
        <v>36</v>
      </c>
      <c r="AH3085">
        <v>1</v>
      </c>
      <c r="AI3085">
        <v>2</v>
      </c>
      <c r="AJ3085">
        <v>0</v>
      </c>
      <c r="AK3085">
        <v>3</v>
      </c>
      <c r="AL3085" t="s">
        <v>50939</v>
      </c>
      <c r="AM3085" t="s">
        <v>4280</v>
      </c>
      <c r="AN3085" t="s">
        <v>50940</v>
      </c>
      <c r="AO3085" t="s">
        <v>50941</v>
      </c>
      <c r="AP3085" t="s">
        <v>50942</v>
      </c>
      <c r="AQ3085" t="s">
        <v>74</v>
      </c>
      <c r="AR3085" t="s">
        <v>50943</v>
      </c>
      <c r="AS3085" t="s">
        <v>50944</v>
      </c>
      <c r="AT3085" t="s">
        <v>74</v>
      </c>
      <c r="AU3085">
        <v>2015</v>
      </c>
      <c r="AV3085">
        <v>13</v>
      </c>
      <c r="AW3085">
        <v>3</v>
      </c>
      <c r="AX3085">
        <v>1</v>
      </c>
      <c r="AY3085" t="s">
        <v>74</v>
      </c>
      <c r="AZ3085" t="s">
        <v>74</v>
      </c>
      <c r="BA3085" t="s">
        <v>74</v>
      </c>
      <c r="BB3085">
        <v>85</v>
      </c>
      <c r="BC3085">
        <v>101</v>
      </c>
      <c r="BD3085" t="s">
        <v>74</v>
      </c>
      <c r="BE3085" t="s">
        <v>50945</v>
      </c>
      <c r="BF3085" t="str">
        <f>HYPERLINK("http://dx.doi.org/10.7172/1644-9584.54.6","http://dx.doi.org/10.7172/1644-9584.54.6")</f>
        <v>http://dx.doi.org/10.7172/1644-9584.54.6</v>
      </c>
      <c r="BG3085" t="s">
        <v>74</v>
      </c>
      <c r="BH3085" t="s">
        <v>74</v>
      </c>
      <c r="BI3085">
        <v>17</v>
      </c>
      <c r="BJ3085" t="s">
        <v>583</v>
      </c>
      <c r="BK3085" t="s">
        <v>313</v>
      </c>
      <c r="BL3085" t="s">
        <v>100</v>
      </c>
      <c r="BM3085" t="s">
        <v>50946</v>
      </c>
      <c r="BN3085" t="s">
        <v>74</v>
      </c>
      <c r="BO3085" t="s">
        <v>916</v>
      </c>
      <c r="BP3085" t="s">
        <v>74</v>
      </c>
      <c r="BQ3085" t="s">
        <v>74</v>
      </c>
      <c r="BR3085" t="s">
        <v>102</v>
      </c>
      <c r="BS3085" t="s">
        <v>50947</v>
      </c>
      <c r="BT3085" t="str">
        <f>HYPERLINK("https%3A%2F%2Fwww.webofscience.com%2Fwos%2Fwoscc%2Ffull-record%2FWOS:000378840200006","View Full Record in Web of Science")</f>
        <v>View Full Record in Web of Science</v>
      </c>
    </row>
    <row r="3086" spans="1:72" x14ac:dyDescent="0.25">
      <c r="A3086" t="s">
        <v>132</v>
      </c>
      <c r="B3086" t="s">
        <v>50948</v>
      </c>
      <c r="C3086" t="s">
        <v>21238</v>
      </c>
      <c r="D3086" t="s">
        <v>74</v>
      </c>
      <c r="E3086" t="s">
        <v>74</v>
      </c>
      <c r="F3086" t="s">
        <v>50949</v>
      </c>
      <c r="G3086" t="s">
        <v>21238</v>
      </c>
      <c r="H3086" t="s">
        <v>74</v>
      </c>
      <c r="I3086" t="s">
        <v>50950</v>
      </c>
      <c r="J3086" t="s">
        <v>21236</v>
      </c>
      <c r="K3086" t="s">
        <v>2425</v>
      </c>
      <c r="L3086" t="s">
        <v>74</v>
      </c>
      <c r="M3086" t="s">
        <v>78</v>
      </c>
      <c r="N3086" t="s">
        <v>138</v>
      </c>
      <c r="O3086" t="s">
        <v>34224</v>
      </c>
      <c r="P3086" t="s">
        <v>21234</v>
      </c>
      <c r="Q3086" t="s">
        <v>21233</v>
      </c>
      <c r="R3086" t="s">
        <v>74</v>
      </c>
      <c r="S3086" t="s">
        <v>74</v>
      </c>
      <c r="T3086" t="s">
        <v>50951</v>
      </c>
      <c r="U3086" t="s">
        <v>22744</v>
      </c>
      <c r="V3086" t="s">
        <v>50952</v>
      </c>
      <c r="W3086" t="s">
        <v>50953</v>
      </c>
      <c r="X3086" t="s">
        <v>36593</v>
      </c>
      <c r="Y3086" t="s">
        <v>50954</v>
      </c>
      <c r="Z3086" t="s">
        <v>50955</v>
      </c>
      <c r="AA3086" t="s">
        <v>50956</v>
      </c>
      <c r="AB3086" t="s">
        <v>50957</v>
      </c>
      <c r="AC3086" t="s">
        <v>74</v>
      </c>
      <c r="AD3086" t="s">
        <v>74</v>
      </c>
      <c r="AE3086" t="s">
        <v>74</v>
      </c>
      <c r="AF3086" t="s">
        <v>74</v>
      </c>
      <c r="AG3086">
        <v>37</v>
      </c>
      <c r="AH3086">
        <v>4</v>
      </c>
      <c r="AI3086">
        <v>5</v>
      </c>
      <c r="AJ3086">
        <v>0</v>
      </c>
      <c r="AK3086">
        <v>6</v>
      </c>
      <c r="AL3086" t="s">
        <v>3807</v>
      </c>
      <c r="AM3086" t="s">
        <v>3098</v>
      </c>
      <c r="AN3086" t="s">
        <v>3808</v>
      </c>
      <c r="AO3086" t="s">
        <v>2437</v>
      </c>
      <c r="AP3086" t="s">
        <v>2438</v>
      </c>
      <c r="AQ3086" t="s">
        <v>21226</v>
      </c>
      <c r="AR3086" t="s">
        <v>2440</v>
      </c>
      <c r="AS3086" t="s">
        <v>74</v>
      </c>
      <c r="AT3086" t="s">
        <v>74</v>
      </c>
      <c r="AU3086">
        <v>2009</v>
      </c>
      <c r="AV3086">
        <v>5623</v>
      </c>
      <c r="AW3086" t="s">
        <v>74</v>
      </c>
      <c r="AX3086" t="s">
        <v>74</v>
      </c>
      <c r="AY3086" t="s">
        <v>74</v>
      </c>
      <c r="AZ3086" t="s">
        <v>74</v>
      </c>
      <c r="BA3086" t="s">
        <v>74</v>
      </c>
      <c r="BB3086">
        <v>515</v>
      </c>
      <c r="BC3086">
        <v>524</v>
      </c>
      <c r="BD3086" t="s">
        <v>74</v>
      </c>
      <c r="BE3086" t="s">
        <v>74</v>
      </c>
      <c r="BF3086" t="s">
        <v>74</v>
      </c>
      <c r="BG3086" t="s">
        <v>74</v>
      </c>
      <c r="BH3086" t="s">
        <v>74</v>
      </c>
      <c r="BI3086">
        <v>10</v>
      </c>
      <c r="BJ3086" t="s">
        <v>1803</v>
      </c>
      <c r="BK3086" t="s">
        <v>156</v>
      </c>
      <c r="BL3086" t="s">
        <v>157</v>
      </c>
      <c r="BM3086" t="s">
        <v>21225</v>
      </c>
      <c r="BN3086" t="s">
        <v>74</v>
      </c>
      <c r="BO3086" t="s">
        <v>74</v>
      </c>
      <c r="BP3086" t="s">
        <v>74</v>
      </c>
      <c r="BQ3086" t="s">
        <v>74</v>
      </c>
      <c r="BR3086" t="s">
        <v>102</v>
      </c>
      <c r="BS3086" t="s">
        <v>50958</v>
      </c>
      <c r="BT3086" t="str">
        <f>HYPERLINK("https%3A%2F%2Fwww.webofscience.com%2Fwos%2Fwoscc%2Ffull-record%2FWOS:000269191600057","View Full Record in Web of Science")</f>
        <v>View Full Record in Web of Science</v>
      </c>
    </row>
    <row r="3087" spans="1:72" x14ac:dyDescent="0.25">
      <c r="A3087" t="s">
        <v>72</v>
      </c>
      <c r="B3087" t="s">
        <v>50959</v>
      </c>
      <c r="C3087" t="s">
        <v>74</v>
      </c>
      <c r="D3087" t="s">
        <v>74</v>
      </c>
      <c r="E3087" t="s">
        <v>74</v>
      </c>
      <c r="F3087" t="s">
        <v>50960</v>
      </c>
      <c r="G3087" t="s">
        <v>74</v>
      </c>
      <c r="H3087" t="s">
        <v>74</v>
      </c>
      <c r="I3087" t="s">
        <v>50961</v>
      </c>
      <c r="J3087" t="s">
        <v>2809</v>
      </c>
      <c r="K3087" t="s">
        <v>74</v>
      </c>
      <c r="L3087" t="s">
        <v>74</v>
      </c>
      <c r="M3087" t="s">
        <v>78</v>
      </c>
      <c r="N3087" t="s">
        <v>79</v>
      </c>
      <c r="O3087" t="s">
        <v>74</v>
      </c>
      <c r="P3087" t="s">
        <v>74</v>
      </c>
      <c r="Q3087" t="s">
        <v>74</v>
      </c>
      <c r="R3087" t="s">
        <v>74</v>
      </c>
      <c r="S3087" t="s">
        <v>74</v>
      </c>
      <c r="T3087" t="s">
        <v>50962</v>
      </c>
      <c r="U3087" t="s">
        <v>50963</v>
      </c>
      <c r="V3087" t="s">
        <v>50964</v>
      </c>
      <c r="W3087" t="s">
        <v>50965</v>
      </c>
      <c r="X3087" t="s">
        <v>50966</v>
      </c>
      <c r="Y3087" t="s">
        <v>50967</v>
      </c>
      <c r="Z3087" t="s">
        <v>50968</v>
      </c>
      <c r="AA3087" t="s">
        <v>50969</v>
      </c>
      <c r="AB3087" t="s">
        <v>74</v>
      </c>
      <c r="AC3087" t="s">
        <v>74</v>
      </c>
      <c r="AD3087" t="s">
        <v>74</v>
      </c>
      <c r="AE3087" t="s">
        <v>74</v>
      </c>
      <c r="AF3087" t="s">
        <v>74</v>
      </c>
      <c r="AG3087">
        <v>62</v>
      </c>
      <c r="AH3087">
        <v>0</v>
      </c>
      <c r="AI3087">
        <v>0</v>
      </c>
      <c r="AJ3087">
        <v>4</v>
      </c>
      <c r="AK3087">
        <v>4</v>
      </c>
      <c r="AL3087" t="s">
        <v>479</v>
      </c>
      <c r="AM3087" t="s">
        <v>480</v>
      </c>
      <c r="AN3087" t="s">
        <v>481</v>
      </c>
      <c r="AO3087" t="s">
        <v>2816</v>
      </c>
      <c r="AP3087" t="s">
        <v>2817</v>
      </c>
      <c r="AQ3087" t="s">
        <v>74</v>
      </c>
      <c r="AR3087" t="s">
        <v>2818</v>
      </c>
      <c r="AS3087" t="s">
        <v>2819</v>
      </c>
      <c r="AT3087" t="s">
        <v>698</v>
      </c>
      <c r="AU3087">
        <v>2025</v>
      </c>
      <c r="AV3087">
        <v>59</v>
      </c>
      <c r="AW3087">
        <v>3</v>
      </c>
      <c r="AX3087" t="s">
        <v>74</v>
      </c>
      <c r="AY3087" t="s">
        <v>74</v>
      </c>
      <c r="AZ3087" t="s">
        <v>74</v>
      </c>
      <c r="BA3087" t="s">
        <v>74</v>
      </c>
      <c r="BB3087" t="s">
        <v>74</v>
      </c>
      <c r="BC3087" t="s">
        <v>74</v>
      </c>
      <c r="BD3087" t="s">
        <v>50970</v>
      </c>
      <c r="BE3087" t="s">
        <v>50971</v>
      </c>
      <c r="BF3087" t="str">
        <f>HYPERLINK("http://dx.doi.org/10.1111/joca.70019","http://dx.doi.org/10.1111/joca.70019")</f>
        <v>http://dx.doi.org/10.1111/joca.70019</v>
      </c>
      <c r="BG3087" t="s">
        <v>74</v>
      </c>
      <c r="BH3087" t="s">
        <v>74</v>
      </c>
      <c r="BI3087">
        <v>19</v>
      </c>
      <c r="BJ3087" t="s">
        <v>1453</v>
      </c>
      <c r="BK3087" t="s">
        <v>99</v>
      </c>
      <c r="BL3087" t="s">
        <v>100</v>
      </c>
      <c r="BM3087" t="s">
        <v>50972</v>
      </c>
      <c r="BN3087" t="s">
        <v>74</v>
      </c>
      <c r="BO3087" t="s">
        <v>74</v>
      </c>
      <c r="BP3087" t="s">
        <v>74</v>
      </c>
      <c r="BQ3087" t="s">
        <v>74</v>
      </c>
      <c r="BR3087" t="s">
        <v>102</v>
      </c>
      <c r="BS3087" t="s">
        <v>50973</v>
      </c>
      <c r="BT3087" t="str">
        <f>HYPERLINK("https%3A%2F%2Fwww.webofscience.com%2Fwos%2Fwoscc%2Ffull-record%2FWOS:001576591200001","View Full Record in Web of Science")</f>
        <v>View Full Record in Web of Science</v>
      </c>
    </row>
    <row r="3088" spans="1:72" x14ac:dyDescent="0.25">
      <c r="A3088" t="s">
        <v>72</v>
      </c>
      <c r="B3088" t="s">
        <v>50974</v>
      </c>
      <c r="C3088" t="s">
        <v>74</v>
      </c>
      <c r="D3088" t="s">
        <v>74</v>
      </c>
      <c r="E3088" t="s">
        <v>74</v>
      </c>
      <c r="F3088" t="s">
        <v>50975</v>
      </c>
      <c r="G3088" t="s">
        <v>74</v>
      </c>
      <c r="H3088" t="s">
        <v>74</v>
      </c>
      <c r="I3088" t="s">
        <v>50976</v>
      </c>
      <c r="J3088" t="s">
        <v>4208</v>
      </c>
      <c r="K3088" t="s">
        <v>74</v>
      </c>
      <c r="L3088" t="s">
        <v>74</v>
      </c>
      <c r="M3088" t="s">
        <v>78</v>
      </c>
      <c r="N3088" t="s">
        <v>79</v>
      </c>
      <c r="O3088" t="s">
        <v>74</v>
      </c>
      <c r="P3088" t="s">
        <v>74</v>
      </c>
      <c r="Q3088" t="s">
        <v>74</v>
      </c>
      <c r="R3088" t="s">
        <v>74</v>
      </c>
      <c r="S3088" t="s">
        <v>74</v>
      </c>
      <c r="T3088" t="s">
        <v>74</v>
      </c>
      <c r="U3088" t="s">
        <v>50977</v>
      </c>
      <c r="V3088" t="s">
        <v>50978</v>
      </c>
      <c r="W3088" t="s">
        <v>50979</v>
      </c>
      <c r="X3088" t="s">
        <v>50980</v>
      </c>
      <c r="Y3088" t="s">
        <v>50981</v>
      </c>
      <c r="Z3088" t="s">
        <v>50982</v>
      </c>
      <c r="AA3088" t="s">
        <v>50983</v>
      </c>
      <c r="AB3088" t="s">
        <v>50984</v>
      </c>
      <c r="AC3088" t="s">
        <v>74</v>
      </c>
      <c r="AD3088" t="s">
        <v>74</v>
      </c>
      <c r="AE3088" t="s">
        <v>74</v>
      </c>
      <c r="AF3088" t="s">
        <v>74</v>
      </c>
      <c r="AG3088">
        <v>75</v>
      </c>
      <c r="AH3088">
        <v>4</v>
      </c>
      <c r="AI3088">
        <v>4</v>
      </c>
      <c r="AJ3088">
        <v>0</v>
      </c>
      <c r="AK3088">
        <v>8</v>
      </c>
      <c r="AL3088" t="s">
        <v>4218</v>
      </c>
      <c r="AM3088" t="s">
        <v>4219</v>
      </c>
      <c r="AN3088" t="s">
        <v>4220</v>
      </c>
      <c r="AO3088" t="s">
        <v>4221</v>
      </c>
      <c r="AP3088" t="s">
        <v>74</v>
      </c>
      <c r="AQ3088" t="s">
        <v>74</v>
      </c>
      <c r="AR3088" t="s">
        <v>4208</v>
      </c>
      <c r="AS3088" t="s">
        <v>4222</v>
      </c>
      <c r="AT3088" t="s">
        <v>50985</v>
      </c>
      <c r="AU3088">
        <v>2023</v>
      </c>
      <c r="AV3088">
        <v>18</v>
      </c>
      <c r="AW3088">
        <v>6</v>
      </c>
      <c r="AX3088" t="s">
        <v>74</v>
      </c>
      <c r="AY3088" t="s">
        <v>74</v>
      </c>
      <c r="AZ3088" t="s">
        <v>74</v>
      </c>
      <c r="BA3088" t="s">
        <v>74</v>
      </c>
      <c r="BB3088" t="s">
        <v>74</v>
      </c>
      <c r="BC3088" t="s">
        <v>74</v>
      </c>
      <c r="BD3088" t="s">
        <v>50986</v>
      </c>
      <c r="BE3088" t="s">
        <v>50987</v>
      </c>
      <c r="BF3088" t="str">
        <f>HYPERLINK("http://dx.doi.org/10.1371/journal.pone.0286482","http://dx.doi.org/10.1371/journal.pone.0286482")</f>
        <v>http://dx.doi.org/10.1371/journal.pone.0286482</v>
      </c>
      <c r="BG3088" t="s">
        <v>74</v>
      </c>
      <c r="BH3088" t="s">
        <v>74</v>
      </c>
      <c r="BI3088">
        <v>20</v>
      </c>
      <c r="BJ3088" t="s">
        <v>559</v>
      </c>
      <c r="BK3088" t="s">
        <v>128</v>
      </c>
      <c r="BL3088" t="s">
        <v>560</v>
      </c>
      <c r="BM3088" t="s">
        <v>50988</v>
      </c>
      <c r="BN3088">
        <v>37352218</v>
      </c>
      <c r="BO3088" t="s">
        <v>916</v>
      </c>
      <c r="BP3088" t="s">
        <v>74</v>
      </c>
      <c r="BQ3088" t="s">
        <v>74</v>
      </c>
      <c r="BR3088" t="s">
        <v>102</v>
      </c>
      <c r="BS3088" t="s">
        <v>50989</v>
      </c>
      <c r="BT3088" t="str">
        <f>HYPERLINK("https%3A%2F%2Fwww.webofscience.com%2Fwos%2Fwoscc%2Ffull-record%2FWOS:001023897900138","View Full Record in Web of Science")</f>
        <v>View Full Record in Web of Science</v>
      </c>
    </row>
    <row r="3089" spans="1:72" x14ac:dyDescent="0.25">
      <c r="A3089" t="s">
        <v>72</v>
      </c>
      <c r="B3089" t="s">
        <v>50990</v>
      </c>
      <c r="C3089" t="s">
        <v>74</v>
      </c>
      <c r="D3089" t="s">
        <v>74</v>
      </c>
      <c r="E3089" t="s">
        <v>74</v>
      </c>
      <c r="F3089" t="s">
        <v>50991</v>
      </c>
      <c r="G3089" t="s">
        <v>74</v>
      </c>
      <c r="H3089" t="s">
        <v>74</v>
      </c>
      <c r="I3089" t="s">
        <v>50992</v>
      </c>
      <c r="J3089" t="s">
        <v>4956</v>
      </c>
      <c r="K3089" t="s">
        <v>74</v>
      </c>
      <c r="L3089" t="s">
        <v>74</v>
      </c>
      <c r="M3089" t="s">
        <v>78</v>
      </c>
      <c r="N3089" t="s">
        <v>79</v>
      </c>
      <c r="O3089" t="s">
        <v>74</v>
      </c>
      <c r="P3089" t="s">
        <v>74</v>
      </c>
      <c r="Q3089" t="s">
        <v>74</v>
      </c>
      <c r="R3089" t="s">
        <v>74</v>
      </c>
      <c r="S3089" t="s">
        <v>74</v>
      </c>
      <c r="T3089" t="s">
        <v>50993</v>
      </c>
      <c r="U3089" t="s">
        <v>50994</v>
      </c>
      <c r="V3089" t="s">
        <v>50995</v>
      </c>
      <c r="W3089" t="s">
        <v>50996</v>
      </c>
      <c r="X3089" t="s">
        <v>734</v>
      </c>
      <c r="Y3089" t="s">
        <v>50997</v>
      </c>
      <c r="Z3089" t="s">
        <v>74</v>
      </c>
      <c r="AA3089" t="s">
        <v>74</v>
      </c>
      <c r="AB3089" t="s">
        <v>74</v>
      </c>
      <c r="AC3089" t="s">
        <v>74</v>
      </c>
      <c r="AD3089" t="s">
        <v>74</v>
      </c>
      <c r="AE3089" t="s">
        <v>74</v>
      </c>
      <c r="AF3089" t="s">
        <v>74</v>
      </c>
      <c r="AG3089">
        <v>58</v>
      </c>
      <c r="AH3089">
        <v>109</v>
      </c>
      <c r="AI3089">
        <v>139</v>
      </c>
      <c r="AJ3089">
        <v>3</v>
      </c>
      <c r="AK3089">
        <v>78</v>
      </c>
      <c r="AL3089" t="s">
        <v>230</v>
      </c>
      <c r="AM3089" t="s">
        <v>231</v>
      </c>
      <c r="AN3089" t="s">
        <v>232</v>
      </c>
      <c r="AO3089" t="s">
        <v>4966</v>
      </c>
      <c r="AP3089" t="s">
        <v>74</v>
      </c>
      <c r="AQ3089" t="s">
        <v>74</v>
      </c>
      <c r="AR3089" t="s">
        <v>4968</v>
      </c>
      <c r="AS3089" t="s">
        <v>4969</v>
      </c>
      <c r="AT3089" t="s">
        <v>237</v>
      </c>
      <c r="AU3089">
        <v>2014</v>
      </c>
      <c r="AV3089">
        <v>54</v>
      </c>
      <c r="AW3089" t="s">
        <v>74</v>
      </c>
      <c r="AX3089" t="s">
        <v>74</v>
      </c>
      <c r="AY3089" t="s">
        <v>74</v>
      </c>
      <c r="AZ3089" t="s">
        <v>74</v>
      </c>
      <c r="BA3089" t="s">
        <v>74</v>
      </c>
      <c r="BB3089">
        <v>338</v>
      </c>
      <c r="BC3089">
        <v>349</v>
      </c>
      <c r="BD3089" t="s">
        <v>74</v>
      </c>
      <c r="BE3089" t="s">
        <v>50998</v>
      </c>
      <c r="BF3089" t="str">
        <f>HYPERLINK("http://dx.doi.org/10.1016/j.worlddev.2013.10.006","http://dx.doi.org/10.1016/j.worlddev.2013.10.006")</f>
        <v>http://dx.doi.org/10.1016/j.worlddev.2013.10.006</v>
      </c>
      <c r="BG3089" t="s">
        <v>74</v>
      </c>
      <c r="BH3089" t="s">
        <v>74</v>
      </c>
      <c r="BI3089">
        <v>12</v>
      </c>
      <c r="BJ3089" t="s">
        <v>701</v>
      </c>
      <c r="BK3089" t="s">
        <v>99</v>
      </c>
      <c r="BL3089" t="s">
        <v>702</v>
      </c>
      <c r="BM3089" t="s">
        <v>50999</v>
      </c>
      <c r="BN3089" t="s">
        <v>74</v>
      </c>
      <c r="BO3089" t="s">
        <v>74</v>
      </c>
      <c r="BP3089" t="s">
        <v>74</v>
      </c>
      <c r="BQ3089" t="s">
        <v>74</v>
      </c>
      <c r="BR3089" t="s">
        <v>102</v>
      </c>
      <c r="BS3089" t="s">
        <v>51000</v>
      </c>
      <c r="BT3089" t="str">
        <f>HYPERLINK("https%3A%2F%2Fwww.webofscience.com%2Fwos%2Fwoscc%2Ffull-record%2FWOS:000328723900023","View Full Record in Web of Science")</f>
        <v>View Full Record in Web of Science</v>
      </c>
    </row>
    <row r="3090" spans="1:72" x14ac:dyDescent="0.25">
      <c r="A3090" t="s">
        <v>72</v>
      </c>
      <c r="B3090" t="s">
        <v>51001</v>
      </c>
      <c r="C3090" t="s">
        <v>74</v>
      </c>
      <c r="D3090" t="s">
        <v>74</v>
      </c>
      <c r="E3090" t="s">
        <v>74</v>
      </c>
      <c r="F3090" t="s">
        <v>51002</v>
      </c>
      <c r="G3090" t="s">
        <v>74</v>
      </c>
      <c r="H3090" t="s">
        <v>74</v>
      </c>
      <c r="I3090" t="s">
        <v>51003</v>
      </c>
      <c r="J3090" t="s">
        <v>3253</v>
      </c>
      <c r="K3090" t="s">
        <v>74</v>
      </c>
      <c r="L3090" t="s">
        <v>74</v>
      </c>
      <c r="M3090" t="s">
        <v>78</v>
      </c>
      <c r="N3090" t="s">
        <v>79</v>
      </c>
      <c r="O3090" t="s">
        <v>74</v>
      </c>
      <c r="P3090" t="s">
        <v>74</v>
      </c>
      <c r="Q3090" t="s">
        <v>74</v>
      </c>
      <c r="R3090" t="s">
        <v>74</v>
      </c>
      <c r="S3090" t="s">
        <v>74</v>
      </c>
      <c r="T3090" t="s">
        <v>51004</v>
      </c>
      <c r="U3090" t="s">
        <v>51005</v>
      </c>
      <c r="V3090" t="s">
        <v>51006</v>
      </c>
      <c r="W3090" t="s">
        <v>51007</v>
      </c>
      <c r="X3090" t="s">
        <v>51008</v>
      </c>
      <c r="Y3090" t="s">
        <v>51009</v>
      </c>
      <c r="Z3090" t="s">
        <v>51010</v>
      </c>
      <c r="AA3090" t="s">
        <v>74</v>
      </c>
      <c r="AB3090" t="s">
        <v>51011</v>
      </c>
      <c r="AC3090" t="s">
        <v>74</v>
      </c>
      <c r="AD3090" t="s">
        <v>74</v>
      </c>
      <c r="AE3090" t="s">
        <v>74</v>
      </c>
      <c r="AF3090" t="s">
        <v>74</v>
      </c>
      <c r="AG3090">
        <v>51</v>
      </c>
      <c r="AH3090">
        <v>6</v>
      </c>
      <c r="AI3090">
        <v>7</v>
      </c>
      <c r="AJ3090">
        <v>2</v>
      </c>
      <c r="AK3090">
        <v>23</v>
      </c>
      <c r="AL3090" t="s">
        <v>385</v>
      </c>
      <c r="AM3090" t="s">
        <v>151</v>
      </c>
      <c r="AN3090" t="s">
        <v>386</v>
      </c>
      <c r="AO3090" t="s">
        <v>3260</v>
      </c>
      <c r="AP3090" t="s">
        <v>3261</v>
      </c>
      <c r="AQ3090" t="s">
        <v>74</v>
      </c>
      <c r="AR3090" t="s">
        <v>3262</v>
      </c>
      <c r="AS3090" t="s">
        <v>3263</v>
      </c>
      <c r="AT3090" t="s">
        <v>1652</v>
      </c>
      <c r="AU3090">
        <v>2023</v>
      </c>
      <c r="AV3090">
        <v>46</v>
      </c>
      <c r="AW3090">
        <v>2</v>
      </c>
      <c r="AX3090" t="s">
        <v>74</v>
      </c>
      <c r="AY3090" t="s">
        <v>74</v>
      </c>
      <c r="AZ3090" t="s">
        <v>74</v>
      </c>
      <c r="BA3090" t="s">
        <v>74</v>
      </c>
      <c r="BB3090">
        <v>109</v>
      </c>
      <c r="BC3090">
        <v>135</v>
      </c>
      <c r="BD3090" t="s">
        <v>74</v>
      </c>
      <c r="BE3090" t="s">
        <v>51012</v>
      </c>
      <c r="BF3090" t="str">
        <f>HYPERLINK("http://dx.doi.org/10.1007/s10603-023-09535-w","http://dx.doi.org/10.1007/s10603-023-09535-w")</f>
        <v>http://dx.doi.org/10.1007/s10603-023-09535-w</v>
      </c>
      <c r="BG3090" t="s">
        <v>74</v>
      </c>
      <c r="BH3090" t="s">
        <v>9145</v>
      </c>
      <c r="BI3090">
        <v>27</v>
      </c>
      <c r="BJ3090" t="s">
        <v>418</v>
      </c>
      <c r="BK3090" t="s">
        <v>313</v>
      </c>
      <c r="BL3090" t="s">
        <v>100</v>
      </c>
      <c r="BM3090" t="s">
        <v>51013</v>
      </c>
      <c r="BN3090">
        <v>36776403</v>
      </c>
      <c r="BO3090" t="s">
        <v>678</v>
      </c>
      <c r="BP3090" t="s">
        <v>74</v>
      </c>
      <c r="BQ3090" t="s">
        <v>74</v>
      </c>
      <c r="BR3090" t="s">
        <v>102</v>
      </c>
      <c r="BS3090" t="s">
        <v>51014</v>
      </c>
      <c r="BT3090" t="str">
        <f>HYPERLINK("https%3A%2F%2Fwww.webofscience.com%2Fwos%2Fwoscc%2Ffull-record%2FWOS:000925498400001","View Full Record in Web of Science")</f>
        <v>View Full Record in Web of Science</v>
      </c>
    </row>
    <row r="3091" spans="1:72" x14ac:dyDescent="0.25">
      <c r="A3091" t="s">
        <v>72</v>
      </c>
      <c r="B3091" t="s">
        <v>51015</v>
      </c>
      <c r="C3091" t="s">
        <v>74</v>
      </c>
      <c r="D3091" t="s">
        <v>74</v>
      </c>
      <c r="E3091" t="s">
        <v>74</v>
      </c>
      <c r="F3091" t="s">
        <v>51016</v>
      </c>
      <c r="G3091" t="s">
        <v>74</v>
      </c>
      <c r="H3091" t="s">
        <v>74</v>
      </c>
      <c r="I3091" t="s">
        <v>51017</v>
      </c>
      <c r="J3091" t="s">
        <v>3439</v>
      </c>
      <c r="K3091" t="s">
        <v>74</v>
      </c>
      <c r="L3091" t="s">
        <v>74</v>
      </c>
      <c r="M3091" t="s">
        <v>78</v>
      </c>
      <c r="N3091" t="s">
        <v>79</v>
      </c>
      <c r="O3091" t="s">
        <v>74</v>
      </c>
      <c r="P3091" t="s">
        <v>74</v>
      </c>
      <c r="Q3091" t="s">
        <v>74</v>
      </c>
      <c r="R3091" t="s">
        <v>74</v>
      </c>
      <c r="S3091" t="s">
        <v>74</v>
      </c>
      <c r="T3091" t="s">
        <v>51018</v>
      </c>
      <c r="U3091" t="s">
        <v>51019</v>
      </c>
      <c r="V3091" t="s">
        <v>51020</v>
      </c>
      <c r="W3091" t="s">
        <v>51021</v>
      </c>
      <c r="X3091" t="s">
        <v>51022</v>
      </c>
      <c r="Y3091" t="s">
        <v>51023</v>
      </c>
      <c r="Z3091" t="s">
        <v>51024</v>
      </c>
      <c r="AA3091" t="s">
        <v>74</v>
      </c>
      <c r="AB3091" t="s">
        <v>74</v>
      </c>
      <c r="AC3091" t="s">
        <v>74</v>
      </c>
      <c r="AD3091" t="s">
        <v>74</v>
      </c>
      <c r="AE3091" t="s">
        <v>74</v>
      </c>
      <c r="AF3091" t="s">
        <v>74</v>
      </c>
      <c r="AG3091">
        <v>17</v>
      </c>
      <c r="AH3091">
        <v>7</v>
      </c>
      <c r="AI3091">
        <v>9</v>
      </c>
      <c r="AJ3091">
        <v>2</v>
      </c>
      <c r="AK3091">
        <v>7</v>
      </c>
      <c r="AL3091" t="s">
        <v>2481</v>
      </c>
      <c r="AM3091" t="s">
        <v>2482</v>
      </c>
      <c r="AN3091" t="s">
        <v>2483</v>
      </c>
      <c r="AO3091" t="s">
        <v>3443</v>
      </c>
      <c r="AP3091" t="s">
        <v>74</v>
      </c>
      <c r="AQ3091" t="s">
        <v>74</v>
      </c>
      <c r="AR3091" t="s">
        <v>3444</v>
      </c>
      <c r="AS3091" t="s">
        <v>3445</v>
      </c>
      <c r="AT3091" t="s">
        <v>2487</v>
      </c>
      <c r="AU3091">
        <v>2019</v>
      </c>
      <c r="AV3091">
        <v>7</v>
      </c>
      <c r="AW3091">
        <v>1</v>
      </c>
      <c r="AX3091" t="s">
        <v>74</v>
      </c>
      <c r="AY3091" t="s">
        <v>74</v>
      </c>
      <c r="AZ3091" t="s">
        <v>74</v>
      </c>
      <c r="BA3091" t="s">
        <v>74</v>
      </c>
      <c r="BB3091" t="s">
        <v>74</v>
      </c>
      <c r="BC3091" t="s">
        <v>74</v>
      </c>
      <c r="BD3091">
        <v>1570581</v>
      </c>
      <c r="BE3091" t="s">
        <v>51025</v>
      </c>
      <c r="BF3091" t="str">
        <f>HYPERLINK("http://dx.doi.org/10.1080/23322039.2019.1570581","http://dx.doi.org/10.1080/23322039.2019.1570581")</f>
        <v>http://dx.doi.org/10.1080/23322039.2019.1570581</v>
      </c>
      <c r="BG3091" t="s">
        <v>74</v>
      </c>
      <c r="BH3091" t="s">
        <v>74</v>
      </c>
      <c r="BI3091">
        <v>10</v>
      </c>
      <c r="BJ3091" t="s">
        <v>291</v>
      </c>
      <c r="BK3091" t="s">
        <v>313</v>
      </c>
      <c r="BL3091" t="s">
        <v>100</v>
      </c>
      <c r="BM3091" t="s">
        <v>51026</v>
      </c>
      <c r="BN3091" t="s">
        <v>74</v>
      </c>
      <c r="BO3091" t="s">
        <v>916</v>
      </c>
      <c r="BP3091" t="s">
        <v>74</v>
      </c>
      <c r="BQ3091" t="s">
        <v>74</v>
      </c>
      <c r="BR3091" t="s">
        <v>102</v>
      </c>
      <c r="BS3091" t="s">
        <v>51027</v>
      </c>
      <c r="BT3091" t="str">
        <f>HYPERLINK("https%3A%2F%2Fwww.webofscience.com%2Fwos%2Fwoscc%2Ffull-record%2FWOS:000457001900001","View Full Record in Web of Science")</f>
        <v>View Full Record in Web of Science</v>
      </c>
    </row>
    <row r="3092" spans="1:72" x14ac:dyDescent="0.25">
      <c r="A3092" t="s">
        <v>72</v>
      </c>
      <c r="B3092" t="s">
        <v>51028</v>
      </c>
      <c r="C3092" t="s">
        <v>74</v>
      </c>
      <c r="D3092" t="s">
        <v>74</v>
      </c>
      <c r="E3092" t="s">
        <v>74</v>
      </c>
      <c r="F3092" t="s">
        <v>51029</v>
      </c>
      <c r="G3092" t="s">
        <v>74</v>
      </c>
      <c r="H3092" t="s">
        <v>74</v>
      </c>
      <c r="I3092" t="s">
        <v>51030</v>
      </c>
      <c r="J3092" t="s">
        <v>51031</v>
      </c>
      <c r="K3092" t="s">
        <v>74</v>
      </c>
      <c r="L3092" t="s">
        <v>74</v>
      </c>
      <c r="M3092" t="s">
        <v>78</v>
      </c>
      <c r="N3092" t="s">
        <v>79</v>
      </c>
      <c r="O3092" t="s">
        <v>74</v>
      </c>
      <c r="P3092" t="s">
        <v>74</v>
      </c>
      <c r="Q3092" t="s">
        <v>74</v>
      </c>
      <c r="R3092" t="s">
        <v>74</v>
      </c>
      <c r="S3092" t="s">
        <v>74</v>
      </c>
      <c r="T3092" t="s">
        <v>51032</v>
      </c>
      <c r="U3092" t="s">
        <v>51033</v>
      </c>
      <c r="V3092" t="s">
        <v>51034</v>
      </c>
      <c r="W3092" t="s">
        <v>51035</v>
      </c>
      <c r="X3092" t="s">
        <v>51036</v>
      </c>
      <c r="Y3092" t="s">
        <v>51037</v>
      </c>
      <c r="Z3092" t="s">
        <v>51038</v>
      </c>
      <c r="AA3092" t="s">
        <v>51039</v>
      </c>
      <c r="AB3092" t="s">
        <v>51040</v>
      </c>
      <c r="AC3092" t="s">
        <v>74</v>
      </c>
      <c r="AD3092" t="s">
        <v>74</v>
      </c>
      <c r="AE3092" t="s">
        <v>74</v>
      </c>
      <c r="AF3092" t="s">
        <v>74</v>
      </c>
      <c r="AG3092">
        <v>42</v>
      </c>
      <c r="AH3092">
        <v>4</v>
      </c>
      <c r="AI3092">
        <v>5</v>
      </c>
      <c r="AJ3092">
        <v>0</v>
      </c>
      <c r="AK3092">
        <v>1</v>
      </c>
      <c r="AL3092" t="s">
        <v>201</v>
      </c>
      <c r="AM3092" t="s">
        <v>202</v>
      </c>
      <c r="AN3092" t="s">
        <v>203</v>
      </c>
      <c r="AO3092" t="s">
        <v>51041</v>
      </c>
      <c r="AP3092" t="s">
        <v>74</v>
      </c>
      <c r="AQ3092" t="s">
        <v>74</v>
      </c>
      <c r="AR3092" t="s">
        <v>51042</v>
      </c>
      <c r="AS3092" t="s">
        <v>51043</v>
      </c>
      <c r="AT3092" t="s">
        <v>1652</v>
      </c>
      <c r="AU3092">
        <v>2024</v>
      </c>
      <c r="AV3092">
        <v>13</v>
      </c>
      <c r="AW3092" t="s">
        <v>74</v>
      </c>
      <c r="AX3092" t="s">
        <v>74</v>
      </c>
      <c r="AY3092" t="s">
        <v>74</v>
      </c>
      <c r="AZ3092" t="s">
        <v>74</v>
      </c>
      <c r="BA3092" t="s">
        <v>74</v>
      </c>
      <c r="BB3092" t="s">
        <v>74</v>
      </c>
      <c r="BC3092" t="s">
        <v>74</v>
      </c>
      <c r="BD3092">
        <v>100187</v>
      </c>
      <c r="BE3092" t="s">
        <v>51044</v>
      </c>
      <c r="BF3092" t="str">
        <f>HYPERLINK("http://dx.doi.org/10.1016/j.clrc.2024.100187","http://dx.doi.org/10.1016/j.clrc.2024.100187")</f>
        <v>http://dx.doi.org/10.1016/j.clrc.2024.100187</v>
      </c>
      <c r="BG3092" t="s">
        <v>74</v>
      </c>
      <c r="BH3092" t="s">
        <v>1981</v>
      </c>
      <c r="BI3092">
        <v>13</v>
      </c>
      <c r="BJ3092" t="s">
        <v>3247</v>
      </c>
      <c r="BK3092" t="s">
        <v>313</v>
      </c>
      <c r="BL3092" t="s">
        <v>3248</v>
      </c>
      <c r="BM3092" t="s">
        <v>51045</v>
      </c>
      <c r="BN3092" t="s">
        <v>74</v>
      </c>
      <c r="BO3092" t="s">
        <v>916</v>
      </c>
      <c r="BP3092" t="s">
        <v>74</v>
      </c>
      <c r="BQ3092" t="s">
        <v>74</v>
      </c>
      <c r="BR3092" t="s">
        <v>102</v>
      </c>
      <c r="BS3092" t="s">
        <v>51046</v>
      </c>
      <c r="BT3092" t="str">
        <f>HYPERLINK("https%3A%2F%2Fwww.webofscience.com%2Fwos%2Fwoscc%2Ffull-record%2FWOS:001217746100001","View Full Record in Web of Science")</f>
        <v>View Full Record in Web of Science</v>
      </c>
    </row>
    <row r="3093" spans="1:72" x14ac:dyDescent="0.25">
      <c r="A3093" t="s">
        <v>72</v>
      </c>
      <c r="B3093" t="s">
        <v>51047</v>
      </c>
      <c r="C3093" t="s">
        <v>74</v>
      </c>
      <c r="D3093" t="s">
        <v>74</v>
      </c>
      <c r="E3093" t="s">
        <v>74</v>
      </c>
      <c r="F3093" t="s">
        <v>51048</v>
      </c>
      <c r="G3093" t="s">
        <v>74</v>
      </c>
      <c r="H3093" t="s">
        <v>74</v>
      </c>
      <c r="I3093" t="s">
        <v>51049</v>
      </c>
      <c r="J3093" t="s">
        <v>51050</v>
      </c>
      <c r="K3093" t="s">
        <v>74</v>
      </c>
      <c r="L3093" t="s">
        <v>74</v>
      </c>
      <c r="M3093" t="s">
        <v>78</v>
      </c>
      <c r="N3093" t="s">
        <v>79</v>
      </c>
      <c r="O3093" t="s">
        <v>74</v>
      </c>
      <c r="P3093" t="s">
        <v>74</v>
      </c>
      <c r="Q3093" t="s">
        <v>74</v>
      </c>
      <c r="R3093" t="s">
        <v>74</v>
      </c>
      <c r="S3093" t="s">
        <v>74</v>
      </c>
      <c r="T3093" t="s">
        <v>51051</v>
      </c>
      <c r="U3093" t="s">
        <v>51052</v>
      </c>
      <c r="V3093" t="s">
        <v>51053</v>
      </c>
      <c r="W3093" t="s">
        <v>51054</v>
      </c>
      <c r="X3093" t="s">
        <v>51055</v>
      </c>
      <c r="Y3093" t="s">
        <v>51056</v>
      </c>
      <c r="Z3093" t="s">
        <v>51057</v>
      </c>
      <c r="AA3093" t="s">
        <v>51058</v>
      </c>
      <c r="AB3093" t="s">
        <v>51059</v>
      </c>
      <c r="AC3093" t="s">
        <v>51060</v>
      </c>
      <c r="AD3093" t="s">
        <v>22195</v>
      </c>
      <c r="AE3093" t="s">
        <v>51061</v>
      </c>
      <c r="AF3093" t="s">
        <v>74</v>
      </c>
      <c r="AG3093">
        <v>36</v>
      </c>
      <c r="AH3093">
        <v>7</v>
      </c>
      <c r="AI3093">
        <v>10</v>
      </c>
      <c r="AJ3093">
        <v>1</v>
      </c>
      <c r="AK3093">
        <v>10</v>
      </c>
      <c r="AL3093" t="s">
        <v>575</v>
      </c>
      <c r="AM3093" t="s">
        <v>576</v>
      </c>
      <c r="AN3093" t="s">
        <v>577</v>
      </c>
      <c r="AO3093" t="s">
        <v>74</v>
      </c>
      <c r="AP3093" t="s">
        <v>51062</v>
      </c>
      <c r="AQ3093" t="s">
        <v>74</v>
      </c>
      <c r="AR3093" t="s">
        <v>51050</v>
      </c>
      <c r="AS3093" t="s">
        <v>51063</v>
      </c>
      <c r="AT3093" t="s">
        <v>124</v>
      </c>
      <c r="AU3093">
        <v>2021</v>
      </c>
      <c r="AV3093">
        <v>7</v>
      </c>
      <c r="AW3093">
        <v>12</v>
      </c>
      <c r="AX3093" t="s">
        <v>74</v>
      </c>
      <c r="AY3093" t="s">
        <v>74</v>
      </c>
      <c r="AZ3093" t="s">
        <v>74</v>
      </c>
      <c r="BA3093" t="s">
        <v>74</v>
      </c>
      <c r="BB3093" t="s">
        <v>74</v>
      </c>
      <c r="BC3093" t="s">
        <v>74</v>
      </c>
      <c r="BD3093">
        <v>546</v>
      </c>
      <c r="BE3093" t="s">
        <v>51064</v>
      </c>
      <c r="BF3093" t="str">
        <f>HYPERLINK("http://dx.doi.org/10.3390/horticulturae7120546","http://dx.doi.org/10.3390/horticulturae7120546")</f>
        <v>http://dx.doi.org/10.3390/horticulturae7120546</v>
      </c>
      <c r="BG3093" t="s">
        <v>74</v>
      </c>
      <c r="BH3093" t="s">
        <v>74</v>
      </c>
      <c r="BI3093">
        <v>18</v>
      </c>
      <c r="BJ3093" t="s">
        <v>51065</v>
      </c>
      <c r="BK3093" t="s">
        <v>2623</v>
      </c>
      <c r="BL3093" t="s">
        <v>5152</v>
      </c>
      <c r="BM3093" t="s">
        <v>51066</v>
      </c>
      <c r="BN3093" t="s">
        <v>74</v>
      </c>
      <c r="BO3093" t="s">
        <v>916</v>
      </c>
      <c r="BP3093" t="s">
        <v>74</v>
      </c>
      <c r="BQ3093" t="s">
        <v>74</v>
      </c>
      <c r="BR3093" t="s">
        <v>102</v>
      </c>
      <c r="BS3093" t="s">
        <v>51067</v>
      </c>
      <c r="BT3093" t="str">
        <f>HYPERLINK("https%3A%2F%2Fwww.webofscience.com%2Fwos%2Fwoscc%2Ffull-record%2FWOS:000737144900001","View Full Record in Web of Science")</f>
        <v>View Full Record in Web of Science</v>
      </c>
    </row>
    <row r="3094" spans="1:72" x14ac:dyDescent="0.25">
      <c r="A3094" t="s">
        <v>72</v>
      </c>
      <c r="B3094" t="s">
        <v>51068</v>
      </c>
      <c r="C3094" t="s">
        <v>74</v>
      </c>
      <c r="D3094" t="s">
        <v>74</v>
      </c>
      <c r="E3094" t="s">
        <v>74</v>
      </c>
      <c r="F3094" t="s">
        <v>51069</v>
      </c>
      <c r="G3094" t="s">
        <v>74</v>
      </c>
      <c r="H3094" t="s">
        <v>74</v>
      </c>
      <c r="I3094" t="s">
        <v>51070</v>
      </c>
      <c r="J3094" t="s">
        <v>12620</v>
      </c>
      <c r="K3094" t="s">
        <v>74</v>
      </c>
      <c r="L3094" t="s">
        <v>74</v>
      </c>
      <c r="M3094" t="s">
        <v>78</v>
      </c>
      <c r="N3094" t="s">
        <v>79</v>
      </c>
      <c r="O3094" t="s">
        <v>74</v>
      </c>
      <c r="P3094" t="s">
        <v>74</v>
      </c>
      <c r="Q3094" t="s">
        <v>74</v>
      </c>
      <c r="R3094" t="s">
        <v>74</v>
      </c>
      <c r="S3094" t="s">
        <v>74</v>
      </c>
      <c r="T3094" t="s">
        <v>51071</v>
      </c>
      <c r="U3094" t="s">
        <v>51072</v>
      </c>
      <c r="V3094" t="s">
        <v>51073</v>
      </c>
      <c r="W3094" t="s">
        <v>51074</v>
      </c>
      <c r="X3094" t="s">
        <v>10171</v>
      </c>
      <c r="Y3094" t="s">
        <v>51075</v>
      </c>
      <c r="Z3094" t="s">
        <v>51076</v>
      </c>
      <c r="AA3094" t="s">
        <v>74</v>
      </c>
      <c r="AB3094" t="s">
        <v>51077</v>
      </c>
      <c r="AC3094" t="s">
        <v>74</v>
      </c>
      <c r="AD3094" t="s">
        <v>74</v>
      </c>
      <c r="AE3094" t="s">
        <v>74</v>
      </c>
      <c r="AF3094" t="s">
        <v>74</v>
      </c>
      <c r="AG3094">
        <v>75</v>
      </c>
      <c r="AH3094">
        <v>1</v>
      </c>
      <c r="AI3094">
        <v>1</v>
      </c>
      <c r="AJ3094">
        <v>1</v>
      </c>
      <c r="AK3094">
        <v>4</v>
      </c>
      <c r="AL3094" t="s">
        <v>89</v>
      </c>
      <c r="AM3094" t="s">
        <v>90</v>
      </c>
      <c r="AN3094" t="s">
        <v>91</v>
      </c>
      <c r="AO3094" t="s">
        <v>12628</v>
      </c>
      <c r="AP3094" t="s">
        <v>12629</v>
      </c>
      <c r="AQ3094" t="s">
        <v>74</v>
      </c>
      <c r="AR3094" t="s">
        <v>12630</v>
      </c>
      <c r="AS3094" t="s">
        <v>12631</v>
      </c>
      <c r="AT3094" t="s">
        <v>14094</v>
      </c>
      <c r="AU3094">
        <v>2024</v>
      </c>
      <c r="AV3094">
        <v>44</v>
      </c>
      <c r="AW3094" t="s">
        <v>51078</v>
      </c>
      <c r="AX3094" t="s">
        <v>74</v>
      </c>
      <c r="AY3094" t="s">
        <v>74</v>
      </c>
      <c r="AZ3094" t="s">
        <v>74</v>
      </c>
      <c r="BA3094" t="s">
        <v>74</v>
      </c>
      <c r="BB3094">
        <v>221</v>
      </c>
      <c r="BC3094">
        <v>235</v>
      </c>
      <c r="BD3094" t="s">
        <v>74</v>
      </c>
      <c r="BE3094" t="s">
        <v>51079</v>
      </c>
      <c r="BF3094" t="str">
        <f>HYPERLINK("http://dx.doi.org/10.1108/IJSSP-08-2023-0181","http://dx.doi.org/10.1108/IJSSP-08-2023-0181")</f>
        <v>http://dx.doi.org/10.1108/IJSSP-08-2023-0181</v>
      </c>
      <c r="BG3094" t="s">
        <v>74</v>
      </c>
      <c r="BH3094" t="s">
        <v>2417</v>
      </c>
      <c r="BI3094">
        <v>15</v>
      </c>
      <c r="BJ3094" t="s">
        <v>5129</v>
      </c>
      <c r="BK3094" t="s">
        <v>313</v>
      </c>
      <c r="BL3094" t="s">
        <v>5129</v>
      </c>
      <c r="BM3094" t="s">
        <v>51080</v>
      </c>
      <c r="BN3094" t="s">
        <v>74</v>
      </c>
      <c r="BO3094" t="s">
        <v>74</v>
      </c>
      <c r="BP3094" t="s">
        <v>74</v>
      </c>
      <c r="BQ3094" t="s">
        <v>74</v>
      </c>
      <c r="BR3094" t="s">
        <v>102</v>
      </c>
      <c r="BS3094" t="s">
        <v>51081</v>
      </c>
      <c r="BT3094" t="str">
        <f>HYPERLINK("https%3A%2F%2Fwww.webofscience.com%2Fwos%2Fwoscc%2Ffull-record%2FWOS:001087738900001","View Full Record in Web of Science")</f>
        <v>View Full Record in Web of Science</v>
      </c>
    </row>
    <row r="3095" spans="1:72" x14ac:dyDescent="0.25">
      <c r="A3095" t="s">
        <v>72</v>
      </c>
      <c r="B3095" t="s">
        <v>51082</v>
      </c>
      <c r="C3095" t="s">
        <v>74</v>
      </c>
      <c r="D3095" t="s">
        <v>74</v>
      </c>
      <c r="E3095" t="s">
        <v>74</v>
      </c>
      <c r="F3095" t="s">
        <v>51083</v>
      </c>
      <c r="G3095" t="s">
        <v>74</v>
      </c>
      <c r="H3095" t="s">
        <v>74</v>
      </c>
      <c r="I3095" t="s">
        <v>51084</v>
      </c>
      <c r="J3095" t="s">
        <v>1963</v>
      </c>
      <c r="K3095" t="s">
        <v>74</v>
      </c>
      <c r="L3095" t="s">
        <v>74</v>
      </c>
      <c r="M3095" t="s">
        <v>78</v>
      </c>
      <c r="N3095" t="s">
        <v>79</v>
      </c>
      <c r="O3095" t="s">
        <v>74</v>
      </c>
      <c r="P3095" t="s">
        <v>74</v>
      </c>
      <c r="Q3095" t="s">
        <v>74</v>
      </c>
      <c r="R3095" t="s">
        <v>74</v>
      </c>
      <c r="S3095" t="s">
        <v>74</v>
      </c>
      <c r="T3095" t="s">
        <v>51085</v>
      </c>
      <c r="U3095" t="s">
        <v>51086</v>
      </c>
      <c r="V3095" t="s">
        <v>51087</v>
      </c>
      <c r="W3095" t="s">
        <v>51088</v>
      </c>
      <c r="X3095" t="s">
        <v>51089</v>
      </c>
      <c r="Y3095" t="s">
        <v>51090</v>
      </c>
      <c r="Z3095" t="s">
        <v>51091</v>
      </c>
      <c r="AA3095" t="s">
        <v>51092</v>
      </c>
      <c r="AB3095" t="s">
        <v>51093</v>
      </c>
      <c r="AC3095" t="s">
        <v>74</v>
      </c>
      <c r="AD3095" t="s">
        <v>74</v>
      </c>
      <c r="AE3095" t="s">
        <v>74</v>
      </c>
      <c r="AF3095" t="s">
        <v>74</v>
      </c>
      <c r="AG3095">
        <v>71</v>
      </c>
      <c r="AH3095">
        <v>25</v>
      </c>
      <c r="AI3095">
        <v>32</v>
      </c>
      <c r="AJ3095">
        <v>2</v>
      </c>
      <c r="AK3095">
        <v>18</v>
      </c>
      <c r="AL3095" t="s">
        <v>332</v>
      </c>
      <c r="AM3095" t="s">
        <v>333</v>
      </c>
      <c r="AN3095" t="s">
        <v>334</v>
      </c>
      <c r="AO3095" t="s">
        <v>1975</v>
      </c>
      <c r="AP3095" t="s">
        <v>1976</v>
      </c>
      <c r="AQ3095" t="s">
        <v>74</v>
      </c>
      <c r="AR3095" t="s">
        <v>1977</v>
      </c>
      <c r="AS3095" t="s">
        <v>1978</v>
      </c>
      <c r="AT3095" t="s">
        <v>74</v>
      </c>
      <c r="AU3095">
        <v>2017</v>
      </c>
      <c r="AV3095">
        <v>49</v>
      </c>
      <c r="AW3095">
        <v>32</v>
      </c>
      <c r="AX3095" t="s">
        <v>74</v>
      </c>
      <c r="AY3095" t="s">
        <v>74</v>
      </c>
      <c r="AZ3095" t="s">
        <v>74</v>
      </c>
      <c r="BA3095" t="s">
        <v>74</v>
      </c>
      <c r="BB3095">
        <v>3195</v>
      </c>
      <c r="BC3095">
        <v>3213</v>
      </c>
      <c r="BD3095" t="s">
        <v>74</v>
      </c>
      <c r="BE3095" t="s">
        <v>51094</v>
      </c>
      <c r="BF3095" t="str">
        <f>HYPERLINK("http://dx.doi.org/10.1080/00036846.2016.1257106","http://dx.doi.org/10.1080/00036846.2016.1257106")</f>
        <v>http://dx.doi.org/10.1080/00036846.2016.1257106</v>
      </c>
      <c r="BG3095" t="s">
        <v>74</v>
      </c>
      <c r="BH3095" t="s">
        <v>74</v>
      </c>
      <c r="BI3095">
        <v>19</v>
      </c>
      <c r="BJ3095" t="s">
        <v>291</v>
      </c>
      <c r="BK3095" t="s">
        <v>99</v>
      </c>
      <c r="BL3095" t="s">
        <v>100</v>
      </c>
      <c r="BM3095" t="s">
        <v>51095</v>
      </c>
      <c r="BN3095" t="s">
        <v>74</v>
      </c>
      <c r="BO3095" t="s">
        <v>74</v>
      </c>
      <c r="BP3095" t="s">
        <v>74</v>
      </c>
      <c r="BQ3095" t="s">
        <v>74</v>
      </c>
      <c r="BR3095" t="s">
        <v>102</v>
      </c>
      <c r="BS3095" t="s">
        <v>51096</v>
      </c>
      <c r="BT3095" t="str">
        <f>HYPERLINK("https%3A%2F%2Fwww.webofscience.com%2Fwos%2Fwoscc%2Ffull-record%2FWOS:000398833900006","View Full Record in Web of Science")</f>
        <v>View Full Record in Web of Science</v>
      </c>
    </row>
    <row r="3096" spans="1:72" x14ac:dyDescent="0.25">
      <c r="A3096" t="s">
        <v>72</v>
      </c>
      <c r="B3096" t="s">
        <v>51097</v>
      </c>
      <c r="C3096" t="s">
        <v>74</v>
      </c>
      <c r="D3096" t="s">
        <v>74</v>
      </c>
      <c r="E3096" t="s">
        <v>74</v>
      </c>
      <c r="F3096" t="s">
        <v>51098</v>
      </c>
      <c r="G3096" t="s">
        <v>74</v>
      </c>
      <c r="H3096" t="s">
        <v>74</v>
      </c>
      <c r="I3096" t="s">
        <v>51099</v>
      </c>
      <c r="J3096" t="s">
        <v>900</v>
      </c>
      <c r="K3096" t="s">
        <v>74</v>
      </c>
      <c r="L3096" t="s">
        <v>74</v>
      </c>
      <c r="M3096" t="s">
        <v>78</v>
      </c>
      <c r="N3096" t="s">
        <v>1766</v>
      </c>
      <c r="O3096" t="s">
        <v>74</v>
      </c>
      <c r="P3096" t="s">
        <v>74</v>
      </c>
      <c r="Q3096" t="s">
        <v>74</v>
      </c>
      <c r="R3096" t="s">
        <v>74</v>
      </c>
      <c r="S3096" t="s">
        <v>74</v>
      </c>
      <c r="T3096" t="s">
        <v>51100</v>
      </c>
      <c r="U3096" t="s">
        <v>51101</v>
      </c>
      <c r="V3096" t="s">
        <v>51102</v>
      </c>
      <c r="W3096" t="s">
        <v>51103</v>
      </c>
      <c r="X3096" t="s">
        <v>51104</v>
      </c>
      <c r="Y3096" t="s">
        <v>51105</v>
      </c>
      <c r="Z3096" t="s">
        <v>51106</v>
      </c>
      <c r="AA3096" t="s">
        <v>51107</v>
      </c>
      <c r="AB3096" t="s">
        <v>74</v>
      </c>
      <c r="AC3096" t="s">
        <v>74</v>
      </c>
      <c r="AD3096" t="s">
        <v>74</v>
      </c>
      <c r="AE3096" t="s">
        <v>74</v>
      </c>
      <c r="AF3096" t="s">
        <v>74</v>
      </c>
      <c r="AG3096">
        <v>41</v>
      </c>
      <c r="AH3096">
        <v>8</v>
      </c>
      <c r="AI3096">
        <v>10</v>
      </c>
      <c r="AJ3096">
        <v>2</v>
      </c>
      <c r="AK3096">
        <v>2</v>
      </c>
      <c r="AL3096" t="s">
        <v>575</v>
      </c>
      <c r="AM3096" t="s">
        <v>576</v>
      </c>
      <c r="AN3096" t="s">
        <v>577</v>
      </c>
      <c r="AO3096" t="s">
        <v>74</v>
      </c>
      <c r="AP3096" t="s">
        <v>4045</v>
      </c>
      <c r="AQ3096" t="s">
        <v>74</v>
      </c>
      <c r="AR3096" t="s">
        <v>4046</v>
      </c>
      <c r="AS3096" t="s">
        <v>4047</v>
      </c>
      <c r="AT3096" t="s">
        <v>22963</v>
      </c>
      <c r="AU3096">
        <v>2023</v>
      </c>
      <c r="AV3096">
        <v>2</v>
      </c>
      <c r="AW3096">
        <v>3</v>
      </c>
      <c r="AX3096" t="s">
        <v>74</v>
      </c>
      <c r="AY3096" t="s">
        <v>74</v>
      </c>
      <c r="AZ3096" t="s">
        <v>74</v>
      </c>
      <c r="BA3096" t="s">
        <v>74</v>
      </c>
      <c r="BB3096">
        <v>527</v>
      </c>
      <c r="BC3096">
        <v>542</v>
      </c>
      <c r="BD3096" t="s">
        <v>74</v>
      </c>
      <c r="BE3096" t="s">
        <v>51108</v>
      </c>
      <c r="BF3096" t="str">
        <f>HYPERLINK("http://dx.doi.org/10.3390/fintech2030030","http://dx.doi.org/10.3390/fintech2030030")</f>
        <v>http://dx.doi.org/10.3390/fintech2030030</v>
      </c>
      <c r="BG3096" t="s">
        <v>74</v>
      </c>
      <c r="BH3096" t="s">
        <v>74</v>
      </c>
      <c r="BI3096">
        <v>16</v>
      </c>
      <c r="BJ3096" t="s">
        <v>4049</v>
      </c>
      <c r="BK3096" t="s">
        <v>313</v>
      </c>
      <c r="BL3096" t="s">
        <v>1070</v>
      </c>
      <c r="BM3096" t="s">
        <v>51109</v>
      </c>
      <c r="BN3096" t="s">
        <v>74</v>
      </c>
      <c r="BO3096" t="s">
        <v>916</v>
      </c>
      <c r="BP3096" t="s">
        <v>74</v>
      </c>
      <c r="BQ3096" t="s">
        <v>74</v>
      </c>
      <c r="BR3096" t="s">
        <v>102</v>
      </c>
      <c r="BS3096" t="s">
        <v>51110</v>
      </c>
      <c r="BT3096" t="str">
        <f>HYPERLINK("https%3A%2F%2Fwww.webofscience.com%2Fwos%2Fwoscc%2Ffull-record%2FWOS:001572617200001","View Full Record in Web of Science")</f>
        <v>View Full Record in Web of Science</v>
      </c>
    </row>
    <row r="3097" spans="1:72" x14ac:dyDescent="0.25">
      <c r="A3097" t="s">
        <v>72</v>
      </c>
      <c r="B3097" t="s">
        <v>51111</v>
      </c>
      <c r="C3097" t="s">
        <v>74</v>
      </c>
      <c r="D3097" t="s">
        <v>74</v>
      </c>
      <c r="E3097" t="s">
        <v>74</v>
      </c>
      <c r="F3097" t="s">
        <v>51112</v>
      </c>
      <c r="G3097" t="s">
        <v>74</v>
      </c>
      <c r="H3097" t="s">
        <v>74</v>
      </c>
      <c r="I3097" t="s">
        <v>51113</v>
      </c>
      <c r="J3097" t="s">
        <v>51114</v>
      </c>
      <c r="K3097" t="s">
        <v>74</v>
      </c>
      <c r="L3097" t="s">
        <v>74</v>
      </c>
      <c r="M3097" t="s">
        <v>78</v>
      </c>
      <c r="N3097" t="s">
        <v>79</v>
      </c>
      <c r="O3097" t="s">
        <v>74</v>
      </c>
      <c r="P3097" t="s">
        <v>74</v>
      </c>
      <c r="Q3097" t="s">
        <v>74</v>
      </c>
      <c r="R3097" t="s">
        <v>74</v>
      </c>
      <c r="S3097" t="s">
        <v>74</v>
      </c>
      <c r="T3097" t="s">
        <v>51115</v>
      </c>
      <c r="U3097" t="s">
        <v>51116</v>
      </c>
      <c r="V3097" t="s">
        <v>51117</v>
      </c>
      <c r="W3097" t="s">
        <v>51118</v>
      </c>
      <c r="X3097" t="s">
        <v>51119</v>
      </c>
      <c r="Y3097" t="s">
        <v>51120</v>
      </c>
      <c r="Z3097" t="s">
        <v>51121</v>
      </c>
      <c r="AA3097" t="s">
        <v>51122</v>
      </c>
      <c r="AB3097" t="s">
        <v>51123</v>
      </c>
      <c r="AC3097" t="s">
        <v>74</v>
      </c>
      <c r="AD3097" t="s">
        <v>74</v>
      </c>
      <c r="AE3097" t="s">
        <v>74</v>
      </c>
      <c r="AF3097" t="s">
        <v>74</v>
      </c>
      <c r="AG3097">
        <v>66</v>
      </c>
      <c r="AH3097">
        <v>13</v>
      </c>
      <c r="AI3097">
        <v>18</v>
      </c>
      <c r="AJ3097">
        <v>23</v>
      </c>
      <c r="AK3097">
        <v>110</v>
      </c>
      <c r="AL3097" t="s">
        <v>2907</v>
      </c>
      <c r="AM3097" t="s">
        <v>2908</v>
      </c>
      <c r="AN3097" t="s">
        <v>2909</v>
      </c>
      <c r="AO3097" t="s">
        <v>51124</v>
      </c>
      <c r="AP3097" t="s">
        <v>51125</v>
      </c>
      <c r="AQ3097" t="s">
        <v>74</v>
      </c>
      <c r="AR3097" t="s">
        <v>51126</v>
      </c>
      <c r="AS3097" t="s">
        <v>51127</v>
      </c>
      <c r="AT3097" t="s">
        <v>698</v>
      </c>
      <c r="AU3097">
        <v>2024</v>
      </c>
      <c r="AV3097">
        <v>55</v>
      </c>
      <c r="AW3097">
        <v>7</v>
      </c>
      <c r="AX3097" t="s">
        <v>74</v>
      </c>
      <c r="AY3097" t="s">
        <v>74</v>
      </c>
      <c r="AZ3097" t="s">
        <v>74</v>
      </c>
      <c r="BA3097" t="s">
        <v>74</v>
      </c>
      <c r="BB3097">
        <v>840</v>
      </c>
      <c r="BC3097">
        <v>863</v>
      </c>
      <c r="BD3097" t="s">
        <v>74</v>
      </c>
      <c r="BE3097" t="s">
        <v>51128</v>
      </c>
      <c r="BF3097" t="str">
        <f>HYPERLINK("http://dx.doi.org/10.1057/s41267-024-00705-7","http://dx.doi.org/10.1057/s41267-024-00705-7")</f>
        <v>http://dx.doi.org/10.1057/s41267-024-00705-7</v>
      </c>
      <c r="BG3097" t="s">
        <v>74</v>
      </c>
      <c r="BH3097" t="s">
        <v>5285</v>
      </c>
      <c r="BI3097">
        <v>24</v>
      </c>
      <c r="BJ3097" t="s">
        <v>98</v>
      </c>
      <c r="BK3097" t="s">
        <v>99</v>
      </c>
      <c r="BL3097" t="s">
        <v>100</v>
      </c>
      <c r="BM3097" t="s">
        <v>51129</v>
      </c>
      <c r="BN3097" t="s">
        <v>74</v>
      </c>
      <c r="BO3097" t="s">
        <v>270</v>
      </c>
      <c r="BP3097" t="s">
        <v>74</v>
      </c>
      <c r="BQ3097" t="s">
        <v>74</v>
      </c>
      <c r="BR3097" t="s">
        <v>102</v>
      </c>
      <c r="BS3097" t="s">
        <v>51130</v>
      </c>
      <c r="BT3097" t="str">
        <f>HYPERLINK("https%3A%2F%2Fwww.webofscience.com%2Fwos%2Fwoscc%2Ffull-record%2FWOS:001223471600001","View Full Record in Web of Science")</f>
        <v>View Full Record in Web of Science</v>
      </c>
    </row>
    <row r="3098" spans="1:72" x14ac:dyDescent="0.25">
      <c r="A3098" t="s">
        <v>72</v>
      </c>
      <c r="B3098" t="s">
        <v>51131</v>
      </c>
      <c r="C3098" t="s">
        <v>74</v>
      </c>
      <c r="D3098" t="s">
        <v>74</v>
      </c>
      <c r="E3098" t="s">
        <v>74</v>
      </c>
      <c r="F3098" t="s">
        <v>51132</v>
      </c>
      <c r="G3098" t="s">
        <v>74</v>
      </c>
      <c r="H3098" t="s">
        <v>74</v>
      </c>
      <c r="I3098" t="s">
        <v>51133</v>
      </c>
      <c r="J3098" t="s">
        <v>7274</v>
      </c>
      <c r="K3098" t="s">
        <v>74</v>
      </c>
      <c r="L3098" t="s">
        <v>74</v>
      </c>
      <c r="M3098" t="s">
        <v>78</v>
      </c>
      <c r="N3098" t="s">
        <v>79</v>
      </c>
      <c r="O3098" t="s">
        <v>74</v>
      </c>
      <c r="P3098" t="s">
        <v>74</v>
      </c>
      <c r="Q3098" t="s">
        <v>74</v>
      </c>
      <c r="R3098" t="s">
        <v>74</v>
      </c>
      <c r="S3098" t="s">
        <v>74</v>
      </c>
      <c r="T3098" t="s">
        <v>51134</v>
      </c>
      <c r="U3098" t="s">
        <v>51135</v>
      </c>
      <c r="V3098" t="s">
        <v>51136</v>
      </c>
      <c r="W3098" t="s">
        <v>51137</v>
      </c>
      <c r="X3098" t="s">
        <v>51138</v>
      </c>
      <c r="Y3098" t="s">
        <v>51139</v>
      </c>
      <c r="Z3098" t="s">
        <v>51140</v>
      </c>
      <c r="AA3098" t="s">
        <v>20277</v>
      </c>
      <c r="AB3098" t="s">
        <v>51141</v>
      </c>
      <c r="AC3098" t="s">
        <v>51142</v>
      </c>
      <c r="AD3098" t="s">
        <v>51143</v>
      </c>
      <c r="AE3098" t="s">
        <v>51144</v>
      </c>
      <c r="AF3098" t="s">
        <v>74</v>
      </c>
      <c r="AG3098">
        <v>41</v>
      </c>
      <c r="AH3098">
        <v>5</v>
      </c>
      <c r="AI3098">
        <v>9</v>
      </c>
      <c r="AJ3098">
        <v>1</v>
      </c>
      <c r="AK3098">
        <v>14</v>
      </c>
      <c r="AL3098" t="s">
        <v>2551</v>
      </c>
      <c r="AM3098" t="s">
        <v>231</v>
      </c>
      <c r="AN3098" t="s">
        <v>2552</v>
      </c>
      <c r="AO3098" t="s">
        <v>7284</v>
      </c>
      <c r="AP3098" t="s">
        <v>7285</v>
      </c>
      <c r="AQ3098" t="s">
        <v>74</v>
      </c>
      <c r="AR3098" t="s">
        <v>7286</v>
      </c>
      <c r="AS3098" t="s">
        <v>7287</v>
      </c>
      <c r="AT3098" t="s">
        <v>1540</v>
      </c>
      <c r="AU3098">
        <v>2021</v>
      </c>
      <c r="AV3098">
        <v>35</v>
      </c>
      <c r="AW3098">
        <v>2</v>
      </c>
      <c r="AX3098" t="s">
        <v>74</v>
      </c>
      <c r="AY3098" t="s">
        <v>74</v>
      </c>
      <c r="AZ3098" t="s">
        <v>74</v>
      </c>
      <c r="BA3098" t="s">
        <v>74</v>
      </c>
      <c r="BB3098">
        <v>376</v>
      </c>
      <c r="BC3098">
        <v>397</v>
      </c>
      <c r="BD3098" t="s">
        <v>74</v>
      </c>
      <c r="BE3098" t="s">
        <v>51145</v>
      </c>
      <c r="BF3098" t="str">
        <f>HYPERLINK("http://dx.doi.org/10.1093/wber/lhaa010","http://dx.doi.org/10.1093/wber/lhaa010")</f>
        <v>http://dx.doi.org/10.1093/wber/lhaa010</v>
      </c>
      <c r="BG3098" t="s">
        <v>74</v>
      </c>
      <c r="BH3098" t="s">
        <v>74</v>
      </c>
      <c r="BI3098">
        <v>22</v>
      </c>
      <c r="BJ3098" t="s">
        <v>7291</v>
      </c>
      <c r="BK3098" t="s">
        <v>99</v>
      </c>
      <c r="BL3098" t="s">
        <v>7292</v>
      </c>
      <c r="BM3098" t="s">
        <v>51146</v>
      </c>
      <c r="BN3098" t="s">
        <v>74</v>
      </c>
      <c r="BO3098" t="s">
        <v>74</v>
      </c>
      <c r="BP3098" t="s">
        <v>74</v>
      </c>
      <c r="BQ3098" t="s">
        <v>74</v>
      </c>
      <c r="BR3098" t="s">
        <v>102</v>
      </c>
      <c r="BS3098" t="s">
        <v>51147</v>
      </c>
      <c r="BT3098" t="str">
        <f>HYPERLINK("https%3A%2F%2Fwww.webofscience.com%2Fwos%2Fwoscc%2Ffull-record%2FWOS:000699403800005","View Full Record in Web of Science")</f>
        <v>View Full Record in Web of Science</v>
      </c>
    </row>
    <row r="3099" spans="1:72" x14ac:dyDescent="0.25">
      <c r="A3099" t="s">
        <v>72</v>
      </c>
      <c r="B3099" t="s">
        <v>51148</v>
      </c>
      <c r="C3099" t="s">
        <v>74</v>
      </c>
      <c r="D3099" t="s">
        <v>74</v>
      </c>
      <c r="E3099" t="s">
        <v>74</v>
      </c>
      <c r="F3099" t="s">
        <v>51149</v>
      </c>
      <c r="G3099" t="s">
        <v>74</v>
      </c>
      <c r="H3099" t="s">
        <v>74</v>
      </c>
      <c r="I3099" t="s">
        <v>51150</v>
      </c>
      <c r="J3099" t="s">
        <v>729</v>
      </c>
      <c r="K3099" t="s">
        <v>74</v>
      </c>
      <c r="L3099" t="s">
        <v>74</v>
      </c>
      <c r="M3099" t="s">
        <v>78</v>
      </c>
      <c r="N3099" t="s">
        <v>1766</v>
      </c>
      <c r="O3099" t="s">
        <v>74</v>
      </c>
      <c r="P3099" t="s">
        <v>74</v>
      </c>
      <c r="Q3099" t="s">
        <v>74</v>
      </c>
      <c r="R3099" t="s">
        <v>74</v>
      </c>
      <c r="S3099" t="s">
        <v>74</v>
      </c>
      <c r="T3099" t="s">
        <v>51151</v>
      </c>
      <c r="U3099" t="s">
        <v>51152</v>
      </c>
      <c r="V3099" t="s">
        <v>51153</v>
      </c>
      <c r="W3099" t="s">
        <v>51154</v>
      </c>
      <c r="X3099" t="s">
        <v>17963</v>
      </c>
      <c r="Y3099" t="s">
        <v>51155</v>
      </c>
      <c r="Z3099" t="s">
        <v>51156</v>
      </c>
      <c r="AA3099" t="s">
        <v>74</v>
      </c>
      <c r="AB3099" t="s">
        <v>51157</v>
      </c>
      <c r="AC3099" t="s">
        <v>74</v>
      </c>
      <c r="AD3099" t="s">
        <v>74</v>
      </c>
      <c r="AE3099" t="s">
        <v>74</v>
      </c>
      <c r="AF3099" t="s">
        <v>74</v>
      </c>
      <c r="AG3099">
        <v>173</v>
      </c>
      <c r="AH3099">
        <v>29</v>
      </c>
      <c r="AI3099">
        <v>34</v>
      </c>
      <c r="AJ3099">
        <v>33</v>
      </c>
      <c r="AK3099">
        <v>349</v>
      </c>
      <c r="AL3099" t="s">
        <v>479</v>
      </c>
      <c r="AM3099" t="s">
        <v>480</v>
      </c>
      <c r="AN3099" t="s">
        <v>481</v>
      </c>
      <c r="AO3099" t="s">
        <v>739</v>
      </c>
      <c r="AP3099" t="s">
        <v>740</v>
      </c>
      <c r="AQ3099" t="s">
        <v>74</v>
      </c>
      <c r="AR3099" t="s">
        <v>741</v>
      </c>
      <c r="AS3099" t="s">
        <v>742</v>
      </c>
      <c r="AT3099" t="s">
        <v>1159</v>
      </c>
      <c r="AU3099">
        <v>2024</v>
      </c>
      <c r="AV3099">
        <v>29</v>
      </c>
      <c r="AW3099">
        <v>4</v>
      </c>
      <c r="AX3099" t="s">
        <v>74</v>
      </c>
      <c r="AY3099" t="s">
        <v>74</v>
      </c>
      <c r="AZ3099" t="s">
        <v>74</v>
      </c>
      <c r="BA3099" t="s">
        <v>74</v>
      </c>
      <c r="BB3099">
        <v>4010</v>
      </c>
      <c r="BC3099">
        <v>4045</v>
      </c>
      <c r="BD3099" t="s">
        <v>74</v>
      </c>
      <c r="BE3099" t="s">
        <v>51158</v>
      </c>
      <c r="BF3099" t="str">
        <f>HYPERLINK("http://dx.doi.org/10.1002/ijfe.2854","http://dx.doi.org/10.1002/ijfe.2854")</f>
        <v>http://dx.doi.org/10.1002/ijfe.2854</v>
      </c>
      <c r="BG3099" t="s">
        <v>74</v>
      </c>
      <c r="BH3099" t="s">
        <v>700</v>
      </c>
      <c r="BI3099">
        <v>36</v>
      </c>
      <c r="BJ3099" t="s">
        <v>268</v>
      </c>
      <c r="BK3099" t="s">
        <v>99</v>
      </c>
      <c r="BL3099" t="s">
        <v>100</v>
      </c>
      <c r="BM3099" t="s">
        <v>51159</v>
      </c>
      <c r="BN3099" t="s">
        <v>74</v>
      </c>
      <c r="BO3099" t="s">
        <v>74</v>
      </c>
      <c r="BP3099" t="s">
        <v>74</v>
      </c>
      <c r="BQ3099" t="s">
        <v>74</v>
      </c>
      <c r="BR3099" t="s">
        <v>102</v>
      </c>
      <c r="BS3099" t="s">
        <v>51160</v>
      </c>
      <c r="BT3099" t="str">
        <f>HYPERLINK("https%3A%2F%2Fwww.webofscience.com%2Fwos%2Fwoscc%2Ffull-record%2FWOS:001035837400001","View Full Record in Web of Science")</f>
        <v>View Full Record in Web of Science</v>
      </c>
    </row>
    <row r="3100" spans="1:72" x14ac:dyDescent="0.25">
      <c r="A3100" t="s">
        <v>72</v>
      </c>
      <c r="B3100" t="s">
        <v>51161</v>
      </c>
      <c r="C3100" t="s">
        <v>74</v>
      </c>
      <c r="D3100" t="s">
        <v>74</v>
      </c>
      <c r="E3100" t="s">
        <v>74</v>
      </c>
      <c r="F3100" t="s">
        <v>51162</v>
      </c>
      <c r="G3100" t="s">
        <v>74</v>
      </c>
      <c r="H3100" t="s">
        <v>74</v>
      </c>
      <c r="I3100" t="s">
        <v>51163</v>
      </c>
      <c r="J3100" t="s">
        <v>38063</v>
      </c>
      <c r="K3100" t="s">
        <v>74</v>
      </c>
      <c r="L3100" t="s">
        <v>74</v>
      </c>
      <c r="M3100" t="s">
        <v>78</v>
      </c>
      <c r="N3100" t="s">
        <v>79</v>
      </c>
      <c r="O3100" t="s">
        <v>74</v>
      </c>
      <c r="P3100" t="s">
        <v>74</v>
      </c>
      <c r="Q3100" t="s">
        <v>74</v>
      </c>
      <c r="R3100" t="s">
        <v>74</v>
      </c>
      <c r="S3100" t="s">
        <v>74</v>
      </c>
      <c r="T3100" t="s">
        <v>51164</v>
      </c>
      <c r="U3100" t="s">
        <v>51165</v>
      </c>
      <c r="V3100" t="s">
        <v>51166</v>
      </c>
      <c r="W3100" t="s">
        <v>51167</v>
      </c>
      <c r="X3100" t="s">
        <v>51168</v>
      </c>
      <c r="Y3100" t="s">
        <v>51169</v>
      </c>
      <c r="Z3100" t="s">
        <v>51170</v>
      </c>
      <c r="AA3100" t="s">
        <v>74</v>
      </c>
      <c r="AB3100" t="s">
        <v>51171</v>
      </c>
      <c r="AC3100" t="s">
        <v>51172</v>
      </c>
      <c r="AD3100" t="s">
        <v>51172</v>
      </c>
      <c r="AE3100" t="s">
        <v>51173</v>
      </c>
      <c r="AF3100" t="s">
        <v>74</v>
      </c>
      <c r="AG3100">
        <v>26</v>
      </c>
      <c r="AH3100">
        <v>4</v>
      </c>
      <c r="AI3100">
        <v>5</v>
      </c>
      <c r="AJ3100">
        <v>1</v>
      </c>
      <c r="AK3100">
        <v>8</v>
      </c>
      <c r="AL3100" t="s">
        <v>89</v>
      </c>
      <c r="AM3100" t="s">
        <v>90</v>
      </c>
      <c r="AN3100" t="s">
        <v>91</v>
      </c>
      <c r="AO3100" t="s">
        <v>38074</v>
      </c>
      <c r="AP3100" t="s">
        <v>38075</v>
      </c>
      <c r="AQ3100" t="s">
        <v>74</v>
      </c>
      <c r="AR3100" t="s">
        <v>38076</v>
      </c>
      <c r="AS3100" t="s">
        <v>38077</v>
      </c>
      <c r="AT3100" t="s">
        <v>958</v>
      </c>
      <c r="AU3100">
        <v>2024</v>
      </c>
      <c r="AV3100">
        <v>16</v>
      </c>
      <c r="AW3100">
        <v>4</v>
      </c>
      <c r="AX3100" t="s">
        <v>74</v>
      </c>
      <c r="AY3100" t="s">
        <v>74</v>
      </c>
      <c r="AZ3100" t="s">
        <v>74</v>
      </c>
      <c r="BA3100" t="s">
        <v>74</v>
      </c>
      <c r="BB3100">
        <v>581</v>
      </c>
      <c r="BC3100">
        <v>599</v>
      </c>
      <c r="BD3100" t="s">
        <v>74</v>
      </c>
      <c r="BE3100" t="s">
        <v>51174</v>
      </c>
      <c r="BF3100" t="str">
        <f>HYPERLINK("http://dx.doi.org/10.1108/RBF-04-2023-0099","http://dx.doi.org/10.1108/RBF-04-2023-0099")</f>
        <v>http://dx.doi.org/10.1108/RBF-04-2023-0099</v>
      </c>
      <c r="BG3100" t="s">
        <v>74</v>
      </c>
      <c r="BH3100" t="s">
        <v>3535</v>
      </c>
      <c r="BI3100">
        <v>19</v>
      </c>
      <c r="BJ3100" t="s">
        <v>268</v>
      </c>
      <c r="BK3100" t="s">
        <v>313</v>
      </c>
      <c r="BL3100" t="s">
        <v>100</v>
      </c>
      <c r="BM3100" t="s">
        <v>51175</v>
      </c>
      <c r="BN3100" t="s">
        <v>74</v>
      </c>
      <c r="BO3100" t="s">
        <v>74</v>
      </c>
      <c r="BP3100" t="s">
        <v>74</v>
      </c>
      <c r="BQ3100" t="s">
        <v>74</v>
      </c>
      <c r="BR3100" t="s">
        <v>102</v>
      </c>
      <c r="BS3100" t="s">
        <v>51176</v>
      </c>
      <c r="BT3100" t="str">
        <f>HYPERLINK("https%3A%2F%2Fwww.webofscience.com%2Fwos%2Fwoscc%2Ffull-record%2FWOS:001102192400001","View Full Record in Web of Science")</f>
        <v>View Full Record in Web of Science</v>
      </c>
    </row>
    <row r="3101" spans="1:72" x14ac:dyDescent="0.25">
      <c r="A3101" t="s">
        <v>72</v>
      </c>
      <c r="B3101" t="s">
        <v>51177</v>
      </c>
      <c r="C3101" t="s">
        <v>74</v>
      </c>
      <c r="D3101" t="s">
        <v>74</v>
      </c>
      <c r="E3101" t="s">
        <v>74</v>
      </c>
      <c r="F3101" t="s">
        <v>51178</v>
      </c>
      <c r="G3101" t="s">
        <v>74</v>
      </c>
      <c r="H3101" t="s">
        <v>74</v>
      </c>
      <c r="I3101" t="s">
        <v>51179</v>
      </c>
      <c r="J3101" t="s">
        <v>31058</v>
      </c>
      <c r="K3101" t="s">
        <v>74</v>
      </c>
      <c r="L3101" t="s">
        <v>74</v>
      </c>
      <c r="M3101" t="s">
        <v>78</v>
      </c>
      <c r="N3101" t="s">
        <v>79</v>
      </c>
      <c r="O3101" t="s">
        <v>74</v>
      </c>
      <c r="P3101" t="s">
        <v>74</v>
      </c>
      <c r="Q3101" t="s">
        <v>74</v>
      </c>
      <c r="R3101" t="s">
        <v>74</v>
      </c>
      <c r="S3101" t="s">
        <v>74</v>
      </c>
      <c r="T3101" t="s">
        <v>51180</v>
      </c>
      <c r="U3101" t="s">
        <v>51181</v>
      </c>
      <c r="V3101" t="s">
        <v>51182</v>
      </c>
      <c r="W3101" t="s">
        <v>51183</v>
      </c>
      <c r="X3101" t="s">
        <v>51184</v>
      </c>
      <c r="Y3101" t="s">
        <v>51185</v>
      </c>
      <c r="Z3101" t="s">
        <v>51186</v>
      </c>
      <c r="AA3101" t="s">
        <v>32093</v>
      </c>
      <c r="AB3101" t="s">
        <v>32092</v>
      </c>
      <c r="AC3101" t="s">
        <v>51187</v>
      </c>
      <c r="AD3101" t="s">
        <v>51188</v>
      </c>
      <c r="AE3101" t="s">
        <v>51189</v>
      </c>
      <c r="AF3101" t="s">
        <v>74</v>
      </c>
      <c r="AG3101">
        <v>68</v>
      </c>
      <c r="AH3101">
        <v>39</v>
      </c>
      <c r="AI3101">
        <v>43</v>
      </c>
      <c r="AJ3101">
        <v>4</v>
      </c>
      <c r="AK3101">
        <v>71</v>
      </c>
      <c r="AL3101" t="s">
        <v>757</v>
      </c>
      <c r="AM3101" t="s">
        <v>758</v>
      </c>
      <c r="AN3101" t="s">
        <v>759</v>
      </c>
      <c r="AO3101" t="s">
        <v>31046</v>
      </c>
      <c r="AP3101" t="s">
        <v>31045</v>
      </c>
      <c r="AQ3101" t="s">
        <v>74</v>
      </c>
      <c r="AR3101" t="s">
        <v>31044</v>
      </c>
      <c r="AS3101" t="s">
        <v>31043</v>
      </c>
      <c r="AT3101" t="s">
        <v>891</v>
      </c>
      <c r="AU3101">
        <v>2022</v>
      </c>
      <c r="AV3101">
        <v>61</v>
      </c>
      <c r="AW3101">
        <v>8</v>
      </c>
      <c r="AX3101" t="s">
        <v>74</v>
      </c>
      <c r="AY3101" t="s">
        <v>74</v>
      </c>
      <c r="AZ3101" t="s">
        <v>441</v>
      </c>
      <c r="BA3101" t="s">
        <v>74</v>
      </c>
      <c r="BB3101">
        <v>1992</v>
      </c>
      <c r="BC3101">
        <v>2037</v>
      </c>
      <c r="BD3101">
        <v>7650320982283</v>
      </c>
      <c r="BE3101" t="s">
        <v>51190</v>
      </c>
      <c r="BF3101" t="str">
        <f>HYPERLINK("http://dx.doi.org/10.1177/0007650320982283","http://dx.doi.org/10.1177/0007650320982283")</f>
        <v>http://dx.doi.org/10.1177/0007650320982283</v>
      </c>
      <c r="BG3101" t="s">
        <v>74</v>
      </c>
      <c r="BH3101" t="s">
        <v>7236</v>
      </c>
      <c r="BI3101">
        <v>46</v>
      </c>
      <c r="BJ3101" t="s">
        <v>418</v>
      </c>
      <c r="BK3101" t="s">
        <v>99</v>
      </c>
      <c r="BL3101" t="s">
        <v>100</v>
      </c>
      <c r="BM3101" t="s">
        <v>51191</v>
      </c>
      <c r="BN3101" t="s">
        <v>74</v>
      </c>
      <c r="BO3101" t="s">
        <v>466</v>
      </c>
      <c r="BP3101" t="s">
        <v>74</v>
      </c>
      <c r="BQ3101" t="s">
        <v>74</v>
      </c>
      <c r="BR3101" t="s">
        <v>102</v>
      </c>
      <c r="BS3101" t="s">
        <v>51192</v>
      </c>
      <c r="BT3101" t="str">
        <f>HYPERLINK("https%3A%2F%2Fwww.webofscience.com%2Fwos%2Fwoscc%2Ffull-record%2FWOS:000609718000001","View Full Record in Web of Science")</f>
        <v>View Full Record in Web of Science</v>
      </c>
    </row>
    <row r="3102" spans="1:72" x14ac:dyDescent="0.25">
      <c r="A3102" t="s">
        <v>72</v>
      </c>
      <c r="B3102" t="s">
        <v>51193</v>
      </c>
      <c r="C3102" t="s">
        <v>74</v>
      </c>
      <c r="D3102" t="s">
        <v>74</v>
      </c>
      <c r="E3102" t="s">
        <v>74</v>
      </c>
      <c r="F3102" t="s">
        <v>51194</v>
      </c>
      <c r="G3102" t="s">
        <v>74</v>
      </c>
      <c r="H3102" t="s">
        <v>74</v>
      </c>
      <c r="I3102" t="s">
        <v>51195</v>
      </c>
      <c r="J3102" t="s">
        <v>3231</v>
      </c>
      <c r="K3102" t="s">
        <v>74</v>
      </c>
      <c r="L3102" t="s">
        <v>74</v>
      </c>
      <c r="M3102" t="s">
        <v>78</v>
      </c>
      <c r="N3102" t="s">
        <v>79</v>
      </c>
      <c r="O3102" t="s">
        <v>74</v>
      </c>
      <c r="P3102" t="s">
        <v>74</v>
      </c>
      <c r="Q3102" t="s">
        <v>74</v>
      </c>
      <c r="R3102" t="s">
        <v>74</v>
      </c>
      <c r="S3102" t="s">
        <v>74</v>
      </c>
      <c r="T3102" t="s">
        <v>51196</v>
      </c>
      <c r="U3102" t="s">
        <v>51197</v>
      </c>
      <c r="V3102" t="s">
        <v>51198</v>
      </c>
      <c r="W3102" t="s">
        <v>51199</v>
      </c>
      <c r="X3102" t="s">
        <v>51200</v>
      </c>
      <c r="Y3102" t="s">
        <v>51201</v>
      </c>
      <c r="Z3102" t="s">
        <v>51202</v>
      </c>
      <c r="AA3102" t="s">
        <v>51203</v>
      </c>
      <c r="AB3102" t="s">
        <v>74</v>
      </c>
      <c r="AC3102" t="s">
        <v>74</v>
      </c>
      <c r="AD3102" t="s">
        <v>74</v>
      </c>
      <c r="AE3102" t="s">
        <v>74</v>
      </c>
      <c r="AF3102" t="s">
        <v>74</v>
      </c>
      <c r="AG3102">
        <v>114</v>
      </c>
      <c r="AH3102">
        <v>26</v>
      </c>
      <c r="AI3102">
        <v>32</v>
      </c>
      <c r="AJ3102">
        <v>2</v>
      </c>
      <c r="AK3102">
        <v>32</v>
      </c>
      <c r="AL3102" t="s">
        <v>575</v>
      </c>
      <c r="AM3102" t="s">
        <v>576</v>
      </c>
      <c r="AN3102" t="s">
        <v>577</v>
      </c>
      <c r="AO3102" t="s">
        <v>74</v>
      </c>
      <c r="AP3102" t="s">
        <v>3243</v>
      </c>
      <c r="AQ3102" t="s">
        <v>74</v>
      </c>
      <c r="AR3102" t="s">
        <v>3244</v>
      </c>
      <c r="AS3102" t="s">
        <v>3245</v>
      </c>
      <c r="AT3102" t="s">
        <v>1652</v>
      </c>
      <c r="AU3102">
        <v>2022</v>
      </c>
      <c r="AV3102">
        <v>14</v>
      </c>
      <c r="AW3102">
        <v>12</v>
      </c>
      <c r="AX3102" t="s">
        <v>74</v>
      </c>
      <c r="AY3102" t="s">
        <v>74</v>
      </c>
      <c r="AZ3102" t="s">
        <v>74</v>
      </c>
      <c r="BA3102" t="s">
        <v>74</v>
      </c>
      <c r="BB3102" t="s">
        <v>74</v>
      </c>
      <c r="BC3102" t="s">
        <v>74</v>
      </c>
      <c r="BD3102">
        <v>7114</v>
      </c>
      <c r="BE3102" t="s">
        <v>51204</v>
      </c>
      <c r="BF3102" t="str">
        <f>HYPERLINK("http://dx.doi.org/10.3390/su14127114","http://dx.doi.org/10.3390/su14127114")</f>
        <v>http://dx.doi.org/10.3390/su14127114</v>
      </c>
      <c r="BG3102" t="s">
        <v>74</v>
      </c>
      <c r="BH3102" t="s">
        <v>74</v>
      </c>
      <c r="BI3102">
        <v>17</v>
      </c>
      <c r="BJ3102" t="s">
        <v>3247</v>
      </c>
      <c r="BK3102" t="s">
        <v>2623</v>
      </c>
      <c r="BL3102" t="s">
        <v>3248</v>
      </c>
      <c r="BM3102" t="s">
        <v>51205</v>
      </c>
      <c r="BN3102" t="s">
        <v>74</v>
      </c>
      <c r="BO3102" t="s">
        <v>916</v>
      </c>
      <c r="BP3102" t="s">
        <v>74</v>
      </c>
      <c r="BQ3102" t="s">
        <v>74</v>
      </c>
      <c r="BR3102" t="s">
        <v>102</v>
      </c>
      <c r="BS3102" t="s">
        <v>51206</v>
      </c>
      <c r="BT3102" t="str">
        <f>HYPERLINK("https%3A%2F%2Fwww.webofscience.com%2Fwos%2Fwoscc%2Ffull-record%2FWOS:000816814800001","View Full Record in Web of Science")</f>
        <v>View Full Record in Web of Science</v>
      </c>
    </row>
    <row r="3103" spans="1:72" x14ac:dyDescent="0.25">
      <c r="A3103" t="s">
        <v>72</v>
      </c>
      <c r="B3103" t="s">
        <v>51207</v>
      </c>
      <c r="C3103" t="s">
        <v>74</v>
      </c>
      <c r="D3103" t="s">
        <v>74</v>
      </c>
      <c r="E3103" t="s">
        <v>74</v>
      </c>
      <c r="F3103" t="s">
        <v>51208</v>
      </c>
      <c r="G3103" t="s">
        <v>74</v>
      </c>
      <c r="H3103" t="s">
        <v>74</v>
      </c>
      <c r="I3103" t="s">
        <v>51209</v>
      </c>
      <c r="J3103" t="s">
        <v>51210</v>
      </c>
      <c r="K3103" t="s">
        <v>74</v>
      </c>
      <c r="L3103" t="s">
        <v>74</v>
      </c>
      <c r="M3103" t="s">
        <v>78</v>
      </c>
      <c r="N3103" t="s">
        <v>79</v>
      </c>
      <c r="O3103" t="s">
        <v>74</v>
      </c>
      <c r="P3103" t="s">
        <v>74</v>
      </c>
      <c r="Q3103" t="s">
        <v>74</v>
      </c>
      <c r="R3103" t="s">
        <v>74</v>
      </c>
      <c r="S3103" t="s">
        <v>74</v>
      </c>
      <c r="T3103" t="s">
        <v>51211</v>
      </c>
      <c r="U3103" t="s">
        <v>51212</v>
      </c>
      <c r="V3103" t="s">
        <v>51213</v>
      </c>
      <c r="W3103" t="s">
        <v>51214</v>
      </c>
      <c r="X3103" t="s">
        <v>51215</v>
      </c>
      <c r="Y3103" t="s">
        <v>51216</v>
      </c>
      <c r="Z3103" t="s">
        <v>51217</v>
      </c>
      <c r="AA3103" t="s">
        <v>74</v>
      </c>
      <c r="AB3103" t="s">
        <v>74</v>
      </c>
      <c r="AC3103" t="s">
        <v>74</v>
      </c>
      <c r="AD3103" t="s">
        <v>74</v>
      </c>
      <c r="AE3103" t="s">
        <v>74</v>
      </c>
      <c r="AF3103" t="s">
        <v>74</v>
      </c>
      <c r="AG3103">
        <v>51</v>
      </c>
      <c r="AH3103">
        <v>4</v>
      </c>
      <c r="AI3103">
        <v>8</v>
      </c>
      <c r="AJ3103">
        <v>0</v>
      </c>
      <c r="AK3103">
        <v>4</v>
      </c>
      <c r="AL3103" t="s">
        <v>332</v>
      </c>
      <c r="AM3103" t="s">
        <v>333</v>
      </c>
      <c r="AN3103" t="s">
        <v>334</v>
      </c>
      <c r="AO3103" t="s">
        <v>51218</v>
      </c>
      <c r="AP3103" t="s">
        <v>51219</v>
      </c>
      <c r="AQ3103" t="s">
        <v>74</v>
      </c>
      <c r="AR3103" t="s">
        <v>51220</v>
      </c>
      <c r="AS3103" t="s">
        <v>51221</v>
      </c>
      <c r="AT3103" t="s">
        <v>6450</v>
      </c>
      <c r="AU3103">
        <v>2021</v>
      </c>
      <c r="AV3103">
        <v>23</v>
      </c>
      <c r="AW3103">
        <v>5</v>
      </c>
      <c r="AX3103" t="s">
        <v>74</v>
      </c>
      <c r="AY3103" t="s">
        <v>74</v>
      </c>
      <c r="AZ3103" t="s">
        <v>441</v>
      </c>
      <c r="BA3103" t="s">
        <v>74</v>
      </c>
      <c r="BB3103">
        <v>496</v>
      </c>
      <c r="BC3103">
        <v>514</v>
      </c>
      <c r="BD3103" t="s">
        <v>74</v>
      </c>
      <c r="BE3103" t="s">
        <v>51222</v>
      </c>
      <c r="BF3103" t="str">
        <f>HYPERLINK("http://dx.doi.org/10.1080/10999922.2021.1932329","http://dx.doi.org/10.1080/10999922.2021.1932329")</f>
        <v>http://dx.doi.org/10.1080/10999922.2021.1932329</v>
      </c>
      <c r="BG3103" t="s">
        <v>74</v>
      </c>
      <c r="BH3103" t="s">
        <v>74</v>
      </c>
      <c r="BI3103">
        <v>19</v>
      </c>
      <c r="BJ3103" t="s">
        <v>3868</v>
      </c>
      <c r="BK3103" t="s">
        <v>313</v>
      </c>
      <c r="BL3103" t="s">
        <v>3868</v>
      </c>
      <c r="BM3103" t="s">
        <v>51223</v>
      </c>
      <c r="BN3103" t="s">
        <v>74</v>
      </c>
      <c r="BO3103" t="s">
        <v>74</v>
      </c>
      <c r="BP3103" t="s">
        <v>74</v>
      </c>
      <c r="BQ3103" t="s">
        <v>74</v>
      </c>
      <c r="BR3103" t="s">
        <v>102</v>
      </c>
      <c r="BS3103" t="s">
        <v>51224</v>
      </c>
      <c r="BT3103" t="str">
        <f>HYPERLINK("https%3A%2F%2Fwww.webofscience.com%2Fwos%2Fwoscc%2Ffull-record%2FWOS:000716746400003","View Full Record in Web of Science")</f>
        <v>View Full Record in Web of Science</v>
      </c>
    </row>
    <row r="3104" spans="1:72" x14ac:dyDescent="0.25">
      <c r="A3104" t="s">
        <v>72</v>
      </c>
      <c r="B3104" t="s">
        <v>51225</v>
      </c>
      <c r="C3104" t="s">
        <v>74</v>
      </c>
      <c r="D3104" t="s">
        <v>74</v>
      </c>
      <c r="E3104" t="s">
        <v>74</v>
      </c>
      <c r="F3104" t="s">
        <v>51226</v>
      </c>
      <c r="G3104" t="s">
        <v>74</v>
      </c>
      <c r="H3104" t="s">
        <v>74</v>
      </c>
      <c r="I3104" t="s">
        <v>51227</v>
      </c>
      <c r="J3104" t="s">
        <v>51228</v>
      </c>
      <c r="K3104" t="s">
        <v>74</v>
      </c>
      <c r="L3104" t="s">
        <v>74</v>
      </c>
      <c r="M3104" t="s">
        <v>78</v>
      </c>
      <c r="N3104" t="s">
        <v>372</v>
      </c>
      <c r="O3104" t="s">
        <v>74</v>
      </c>
      <c r="P3104" t="s">
        <v>74</v>
      </c>
      <c r="Q3104" t="s">
        <v>74</v>
      </c>
      <c r="R3104" t="s">
        <v>74</v>
      </c>
      <c r="S3104" t="s">
        <v>74</v>
      </c>
      <c r="T3104" t="s">
        <v>51229</v>
      </c>
      <c r="U3104" t="s">
        <v>51230</v>
      </c>
      <c r="V3104" t="s">
        <v>51231</v>
      </c>
      <c r="W3104" t="s">
        <v>51232</v>
      </c>
      <c r="X3104" t="s">
        <v>51233</v>
      </c>
      <c r="Y3104" t="s">
        <v>51234</v>
      </c>
      <c r="Z3104" t="s">
        <v>51235</v>
      </c>
      <c r="AA3104" t="s">
        <v>74</v>
      </c>
      <c r="AB3104" t="s">
        <v>74</v>
      </c>
      <c r="AC3104" t="s">
        <v>74</v>
      </c>
      <c r="AD3104" t="s">
        <v>74</v>
      </c>
      <c r="AE3104" t="s">
        <v>74</v>
      </c>
      <c r="AF3104" t="s">
        <v>74</v>
      </c>
      <c r="AG3104">
        <v>53</v>
      </c>
      <c r="AH3104">
        <v>0</v>
      </c>
      <c r="AI3104">
        <v>0</v>
      </c>
      <c r="AJ3104">
        <v>2</v>
      </c>
      <c r="AK3104">
        <v>2</v>
      </c>
      <c r="AL3104" t="s">
        <v>89</v>
      </c>
      <c r="AM3104" t="s">
        <v>90</v>
      </c>
      <c r="AN3104" t="s">
        <v>91</v>
      </c>
      <c r="AO3104" t="s">
        <v>51236</v>
      </c>
      <c r="AP3104" t="s">
        <v>51237</v>
      </c>
      <c r="AQ3104" t="s">
        <v>74</v>
      </c>
      <c r="AR3104" t="s">
        <v>51238</v>
      </c>
      <c r="AS3104" t="s">
        <v>51239</v>
      </c>
      <c r="AT3104" t="s">
        <v>51240</v>
      </c>
      <c r="AU3104">
        <v>2025</v>
      </c>
      <c r="AV3104" t="s">
        <v>74</v>
      </c>
      <c r="AW3104" t="s">
        <v>74</v>
      </c>
      <c r="AX3104" t="s">
        <v>74</v>
      </c>
      <c r="AY3104" t="s">
        <v>74</v>
      </c>
      <c r="AZ3104" t="s">
        <v>74</v>
      </c>
      <c r="BA3104" t="s">
        <v>74</v>
      </c>
      <c r="BB3104" t="s">
        <v>74</v>
      </c>
      <c r="BC3104" t="s">
        <v>74</v>
      </c>
      <c r="BD3104" t="s">
        <v>74</v>
      </c>
      <c r="BE3104" t="s">
        <v>51241</v>
      </c>
      <c r="BF3104" t="str">
        <f>HYPERLINK("http://dx.doi.org/10.1108/ARJ-11-2024-0375","http://dx.doi.org/10.1108/ARJ-11-2024-0375")</f>
        <v>http://dx.doi.org/10.1108/ARJ-11-2024-0375</v>
      </c>
      <c r="BG3104" t="s">
        <v>74</v>
      </c>
      <c r="BH3104" t="s">
        <v>488</v>
      </c>
      <c r="BI3104">
        <v>20</v>
      </c>
      <c r="BJ3104" t="s">
        <v>268</v>
      </c>
      <c r="BK3104" t="s">
        <v>313</v>
      </c>
      <c r="BL3104" t="s">
        <v>100</v>
      </c>
      <c r="BM3104" t="s">
        <v>51242</v>
      </c>
      <c r="BN3104" t="s">
        <v>74</v>
      </c>
      <c r="BO3104" t="s">
        <v>74</v>
      </c>
      <c r="BP3104" t="s">
        <v>74</v>
      </c>
      <c r="BQ3104" t="s">
        <v>74</v>
      </c>
      <c r="BR3104" t="s">
        <v>102</v>
      </c>
      <c r="BS3104" t="s">
        <v>51243</v>
      </c>
      <c r="BT3104" t="str">
        <f>HYPERLINK("https%3A%2F%2Fwww.webofscience.com%2Fwos%2Fwoscc%2Ffull-record%2FWOS:001628478900001","View Full Record in Web of Science")</f>
        <v>View Full Record in Web of Science</v>
      </c>
    </row>
    <row r="3105" spans="1:72" x14ac:dyDescent="0.25">
      <c r="A3105" t="s">
        <v>72</v>
      </c>
      <c r="B3105" t="s">
        <v>51244</v>
      </c>
      <c r="C3105" t="s">
        <v>74</v>
      </c>
      <c r="D3105" t="s">
        <v>74</v>
      </c>
      <c r="E3105" t="s">
        <v>74</v>
      </c>
      <c r="F3105" t="s">
        <v>51245</v>
      </c>
      <c r="G3105" t="s">
        <v>74</v>
      </c>
      <c r="H3105" t="s">
        <v>74</v>
      </c>
      <c r="I3105" t="s">
        <v>51246</v>
      </c>
      <c r="J3105" t="s">
        <v>6341</v>
      </c>
      <c r="K3105" t="s">
        <v>74</v>
      </c>
      <c r="L3105" t="s">
        <v>74</v>
      </c>
      <c r="M3105" t="s">
        <v>78</v>
      </c>
      <c r="N3105" t="s">
        <v>79</v>
      </c>
      <c r="O3105" t="s">
        <v>74</v>
      </c>
      <c r="P3105" t="s">
        <v>74</v>
      </c>
      <c r="Q3105" t="s">
        <v>74</v>
      </c>
      <c r="R3105" t="s">
        <v>74</v>
      </c>
      <c r="S3105" t="s">
        <v>74</v>
      </c>
      <c r="T3105" t="s">
        <v>51247</v>
      </c>
      <c r="U3105" t="s">
        <v>74</v>
      </c>
      <c r="V3105" t="s">
        <v>51248</v>
      </c>
      <c r="W3105" t="s">
        <v>51249</v>
      </c>
      <c r="X3105" t="s">
        <v>51250</v>
      </c>
      <c r="Y3105" t="s">
        <v>74</v>
      </c>
      <c r="Z3105" t="s">
        <v>51251</v>
      </c>
      <c r="AA3105" t="s">
        <v>51252</v>
      </c>
      <c r="AB3105" t="s">
        <v>74</v>
      </c>
      <c r="AC3105" t="s">
        <v>74</v>
      </c>
      <c r="AD3105" t="s">
        <v>74</v>
      </c>
      <c r="AE3105" t="s">
        <v>74</v>
      </c>
      <c r="AF3105" t="s">
        <v>74</v>
      </c>
      <c r="AG3105">
        <v>35</v>
      </c>
      <c r="AH3105">
        <v>0</v>
      </c>
      <c r="AI3105">
        <v>0</v>
      </c>
      <c r="AJ3105">
        <v>0</v>
      </c>
      <c r="AK3105">
        <v>0</v>
      </c>
      <c r="AL3105" t="s">
        <v>3097</v>
      </c>
      <c r="AM3105" t="s">
        <v>3098</v>
      </c>
      <c r="AN3105" t="s">
        <v>3099</v>
      </c>
      <c r="AO3105" t="s">
        <v>74</v>
      </c>
      <c r="AP3105" t="s">
        <v>6353</v>
      </c>
      <c r="AQ3105" t="s">
        <v>74</v>
      </c>
      <c r="AR3105" t="s">
        <v>6354</v>
      </c>
      <c r="AS3105" t="s">
        <v>6355</v>
      </c>
      <c r="AT3105" t="s">
        <v>4611</v>
      </c>
      <c r="AU3105">
        <v>2025</v>
      </c>
      <c r="AV3105">
        <v>21</v>
      </c>
      <c r="AW3105">
        <v>4</v>
      </c>
      <c r="AX3105" t="s">
        <v>74</v>
      </c>
      <c r="AY3105" t="s">
        <v>74</v>
      </c>
      <c r="AZ3105" t="s">
        <v>74</v>
      </c>
      <c r="BA3105" t="s">
        <v>74</v>
      </c>
      <c r="BB3105">
        <v>94</v>
      </c>
      <c r="BC3105">
        <v>107</v>
      </c>
      <c r="BD3105" t="s">
        <v>74</v>
      </c>
      <c r="BE3105" t="s">
        <v>51253</v>
      </c>
      <c r="BF3105" t="str">
        <f>HYPERLINK("http://dx.doi.org/10.2478/fiqf-2025-0030","http://dx.doi.org/10.2478/fiqf-2025-0030")</f>
        <v>http://dx.doi.org/10.2478/fiqf-2025-0030</v>
      </c>
      <c r="BG3105" t="s">
        <v>74</v>
      </c>
      <c r="BH3105" t="s">
        <v>74</v>
      </c>
      <c r="BI3105">
        <v>14</v>
      </c>
      <c r="BJ3105" t="s">
        <v>210</v>
      </c>
      <c r="BK3105" t="s">
        <v>313</v>
      </c>
      <c r="BL3105" t="s">
        <v>100</v>
      </c>
      <c r="BM3105" t="s">
        <v>51254</v>
      </c>
      <c r="BN3105" t="s">
        <v>74</v>
      </c>
      <c r="BO3105" t="s">
        <v>212</v>
      </c>
      <c r="BP3105" t="s">
        <v>74</v>
      </c>
      <c r="BQ3105" t="s">
        <v>74</v>
      </c>
      <c r="BR3105" t="s">
        <v>102</v>
      </c>
      <c r="BS3105" t="s">
        <v>51255</v>
      </c>
      <c r="BT3105" t="str">
        <f>HYPERLINK("https%3A%2F%2Fwww.webofscience.com%2Fwos%2Fwoscc%2Ffull-record%2FWOS:001649865000005","View Full Record in Web of Science")</f>
        <v>View Full Record in Web of Science</v>
      </c>
    </row>
    <row r="3106" spans="1:72" x14ac:dyDescent="0.25">
      <c r="A3106" t="s">
        <v>72</v>
      </c>
      <c r="B3106" t="s">
        <v>51256</v>
      </c>
      <c r="C3106" t="s">
        <v>74</v>
      </c>
      <c r="D3106" t="s">
        <v>74</v>
      </c>
      <c r="E3106" t="s">
        <v>74</v>
      </c>
      <c r="F3106" t="s">
        <v>51257</v>
      </c>
      <c r="G3106" t="s">
        <v>74</v>
      </c>
      <c r="H3106" t="s">
        <v>74</v>
      </c>
      <c r="I3106" t="s">
        <v>51258</v>
      </c>
      <c r="J3106" t="s">
        <v>51259</v>
      </c>
      <c r="K3106" t="s">
        <v>74</v>
      </c>
      <c r="L3106" t="s">
        <v>74</v>
      </c>
      <c r="M3106" t="s">
        <v>78</v>
      </c>
      <c r="N3106" t="s">
        <v>79</v>
      </c>
      <c r="O3106" t="s">
        <v>74</v>
      </c>
      <c r="P3106" t="s">
        <v>74</v>
      </c>
      <c r="Q3106" t="s">
        <v>74</v>
      </c>
      <c r="R3106" t="s">
        <v>74</v>
      </c>
      <c r="S3106" t="s">
        <v>74</v>
      </c>
      <c r="T3106" t="s">
        <v>51260</v>
      </c>
      <c r="U3106" t="s">
        <v>51261</v>
      </c>
      <c r="V3106" t="s">
        <v>51262</v>
      </c>
      <c r="W3106" t="s">
        <v>51263</v>
      </c>
      <c r="X3106" t="s">
        <v>74</v>
      </c>
      <c r="Y3106" t="s">
        <v>51264</v>
      </c>
      <c r="Z3106" t="s">
        <v>51265</v>
      </c>
      <c r="AA3106" t="s">
        <v>74</v>
      </c>
      <c r="AB3106" t="s">
        <v>51266</v>
      </c>
      <c r="AC3106" t="s">
        <v>51267</v>
      </c>
      <c r="AD3106" t="s">
        <v>51267</v>
      </c>
      <c r="AE3106" t="s">
        <v>51268</v>
      </c>
      <c r="AF3106" t="s">
        <v>74</v>
      </c>
      <c r="AG3106">
        <v>22</v>
      </c>
      <c r="AH3106">
        <v>3</v>
      </c>
      <c r="AI3106">
        <v>4</v>
      </c>
      <c r="AJ3106">
        <v>1</v>
      </c>
      <c r="AK3106">
        <v>16</v>
      </c>
      <c r="AL3106" t="s">
        <v>2343</v>
      </c>
      <c r="AM3106" t="s">
        <v>2344</v>
      </c>
      <c r="AN3106" t="s">
        <v>2345</v>
      </c>
      <c r="AO3106" t="s">
        <v>51269</v>
      </c>
      <c r="AP3106" t="s">
        <v>51270</v>
      </c>
      <c r="AQ3106" t="s">
        <v>74</v>
      </c>
      <c r="AR3106" t="s">
        <v>51271</v>
      </c>
      <c r="AS3106" t="s">
        <v>51272</v>
      </c>
      <c r="AT3106" t="s">
        <v>74</v>
      </c>
      <c r="AU3106">
        <v>2019</v>
      </c>
      <c r="AV3106">
        <v>26</v>
      </c>
      <c r="AW3106">
        <v>4</v>
      </c>
      <c r="AX3106" t="s">
        <v>74</v>
      </c>
      <c r="AY3106" t="s">
        <v>74</v>
      </c>
      <c r="AZ3106" t="s">
        <v>74</v>
      </c>
      <c r="BA3106" t="s">
        <v>74</v>
      </c>
      <c r="BB3106">
        <v>302</v>
      </c>
      <c r="BC3106">
        <v>312</v>
      </c>
      <c r="BD3106" t="s">
        <v>74</v>
      </c>
      <c r="BE3106" t="s">
        <v>51273</v>
      </c>
      <c r="BF3106" t="str">
        <f>HYPERLINK("http://dx.doi.org/10.1080/13504509.2019.1579766","http://dx.doi.org/10.1080/13504509.2019.1579766")</f>
        <v>http://dx.doi.org/10.1080/13504509.2019.1579766</v>
      </c>
      <c r="BG3106" t="s">
        <v>74</v>
      </c>
      <c r="BH3106" t="s">
        <v>74</v>
      </c>
      <c r="BI3106">
        <v>11</v>
      </c>
      <c r="BJ3106" t="s">
        <v>51274</v>
      </c>
      <c r="BK3106" t="s">
        <v>128</v>
      </c>
      <c r="BL3106" t="s">
        <v>3248</v>
      </c>
      <c r="BM3106" t="s">
        <v>51275</v>
      </c>
      <c r="BN3106" t="s">
        <v>74</v>
      </c>
      <c r="BO3106" t="s">
        <v>74</v>
      </c>
      <c r="BP3106" t="s">
        <v>74</v>
      </c>
      <c r="BQ3106" t="s">
        <v>74</v>
      </c>
      <c r="BR3106" t="s">
        <v>102</v>
      </c>
      <c r="BS3106" t="s">
        <v>51276</v>
      </c>
      <c r="BT3106" t="str">
        <f>HYPERLINK("https%3A%2F%2Fwww.webofscience.com%2Fwos%2Fwoscc%2Ffull-record%2FWOS:000467779000003","View Full Record in Web of Science")</f>
        <v>View Full Record in Web of Science</v>
      </c>
    </row>
    <row r="3107" spans="1:72" x14ac:dyDescent="0.25">
      <c r="A3107" t="s">
        <v>72</v>
      </c>
      <c r="B3107" t="s">
        <v>51277</v>
      </c>
      <c r="C3107" t="s">
        <v>74</v>
      </c>
      <c r="D3107" t="s">
        <v>74</v>
      </c>
      <c r="E3107" t="s">
        <v>74</v>
      </c>
      <c r="F3107" t="s">
        <v>51278</v>
      </c>
      <c r="G3107" t="s">
        <v>74</v>
      </c>
      <c r="H3107" t="s">
        <v>74</v>
      </c>
      <c r="I3107" t="s">
        <v>51279</v>
      </c>
      <c r="J3107" t="s">
        <v>51280</v>
      </c>
      <c r="K3107" t="s">
        <v>74</v>
      </c>
      <c r="L3107" t="s">
        <v>74</v>
      </c>
      <c r="M3107" t="s">
        <v>78</v>
      </c>
      <c r="N3107" t="s">
        <v>79</v>
      </c>
      <c r="O3107" t="s">
        <v>74</v>
      </c>
      <c r="P3107" t="s">
        <v>74</v>
      </c>
      <c r="Q3107" t="s">
        <v>74</v>
      </c>
      <c r="R3107" t="s">
        <v>74</v>
      </c>
      <c r="S3107" t="s">
        <v>74</v>
      </c>
      <c r="T3107" t="s">
        <v>51281</v>
      </c>
      <c r="U3107" t="s">
        <v>51282</v>
      </c>
      <c r="V3107" t="s">
        <v>51283</v>
      </c>
      <c r="W3107" t="s">
        <v>51284</v>
      </c>
      <c r="X3107" t="s">
        <v>51285</v>
      </c>
      <c r="Y3107" t="s">
        <v>51286</v>
      </c>
      <c r="Z3107" t="s">
        <v>51287</v>
      </c>
      <c r="AA3107" t="s">
        <v>51288</v>
      </c>
      <c r="AB3107" t="s">
        <v>51289</v>
      </c>
      <c r="AC3107" t="s">
        <v>74</v>
      </c>
      <c r="AD3107" t="s">
        <v>74</v>
      </c>
      <c r="AE3107" t="s">
        <v>74</v>
      </c>
      <c r="AF3107" t="s">
        <v>74</v>
      </c>
      <c r="AG3107">
        <v>41</v>
      </c>
      <c r="AH3107">
        <v>33</v>
      </c>
      <c r="AI3107">
        <v>37</v>
      </c>
      <c r="AJ3107">
        <v>5</v>
      </c>
      <c r="AK3107">
        <v>94</v>
      </c>
      <c r="AL3107" t="s">
        <v>4485</v>
      </c>
      <c r="AM3107" t="s">
        <v>6724</v>
      </c>
      <c r="AN3107" t="s">
        <v>6725</v>
      </c>
      <c r="AO3107" t="s">
        <v>51290</v>
      </c>
      <c r="AP3107" t="s">
        <v>51291</v>
      </c>
      <c r="AQ3107" t="s">
        <v>74</v>
      </c>
      <c r="AR3107" t="s">
        <v>51280</v>
      </c>
      <c r="AS3107" t="s">
        <v>51292</v>
      </c>
      <c r="AT3107" t="s">
        <v>124</v>
      </c>
      <c r="AU3107">
        <v>2020</v>
      </c>
      <c r="AV3107">
        <v>99</v>
      </c>
      <c r="AW3107" t="s">
        <v>74</v>
      </c>
      <c r="AX3107" t="s">
        <v>74</v>
      </c>
      <c r="AY3107" t="s">
        <v>74</v>
      </c>
      <c r="AZ3107" t="s">
        <v>74</v>
      </c>
      <c r="BA3107" t="s">
        <v>74</v>
      </c>
      <c r="BB3107" t="s">
        <v>74</v>
      </c>
      <c r="BC3107" t="s">
        <v>74</v>
      </c>
      <c r="BD3107">
        <v>105083</v>
      </c>
      <c r="BE3107" t="s">
        <v>51293</v>
      </c>
      <c r="BF3107" t="str">
        <f>HYPERLINK("http://dx.doi.org/10.1016/j.landusepol.2020.105083","http://dx.doi.org/10.1016/j.landusepol.2020.105083")</f>
        <v>http://dx.doi.org/10.1016/j.landusepol.2020.105083</v>
      </c>
      <c r="BG3107" t="s">
        <v>74</v>
      </c>
      <c r="BH3107" t="s">
        <v>74</v>
      </c>
      <c r="BI3107">
        <v>4</v>
      </c>
      <c r="BJ3107" t="s">
        <v>14327</v>
      </c>
      <c r="BK3107" t="s">
        <v>99</v>
      </c>
      <c r="BL3107" t="s">
        <v>129</v>
      </c>
      <c r="BM3107" t="s">
        <v>51294</v>
      </c>
      <c r="BN3107" t="s">
        <v>74</v>
      </c>
      <c r="BO3107" t="s">
        <v>74</v>
      </c>
      <c r="BP3107" t="s">
        <v>74</v>
      </c>
      <c r="BQ3107" t="s">
        <v>74</v>
      </c>
      <c r="BR3107" t="s">
        <v>102</v>
      </c>
      <c r="BS3107" t="s">
        <v>51295</v>
      </c>
      <c r="BT3107" t="str">
        <f>HYPERLINK("https%3A%2F%2Fwww.webofscience.com%2Fwos%2Fwoscc%2Ffull-record%2FWOS:000594488100007","View Full Record in Web of Science")</f>
        <v>View Full Record in Web of Science</v>
      </c>
    </row>
    <row r="3108" spans="1:72" x14ac:dyDescent="0.25">
      <c r="A3108" t="s">
        <v>72</v>
      </c>
      <c r="B3108" t="s">
        <v>51296</v>
      </c>
      <c r="C3108" t="s">
        <v>74</v>
      </c>
      <c r="D3108" t="s">
        <v>74</v>
      </c>
      <c r="E3108" t="s">
        <v>74</v>
      </c>
      <c r="F3108" t="s">
        <v>51297</v>
      </c>
      <c r="G3108" t="s">
        <v>74</v>
      </c>
      <c r="H3108" t="s">
        <v>74</v>
      </c>
      <c r="I3108" t="s">
        <v>51298</v>
      </c>
      <c r="J3108" t="s">
        <v>3874</v>
      </c>
      <c r="K3108" t="s">
        <v>74</v>
      </c>
      <c r="L3108" t="s">
        <v>74</v>
      </c>
      <c r="M3108" t="s">
        <v>78</v>
      </c>
      <c r="N3108" t="s">
        <v>372</v>
      </c>
      <c r="O3108" t="s">
        <v>74</v>
      </c>
      <c r="P3108" t="s">
        <v>74</v>
      </c>
      <c r="Q3108" t="s">
        <v>74</v>
      </c>
      <c r="R3108" t="s">
        <v>74</v>
      </c>
      <c r="S3108" t="s">
        <v>74</v>
      </c>
      <c r="T3108" t="s">
        <v>51299</v>
      </c>
      <c r="U3108" t="s">
        <v>74</v>
      </c>
      <c r="V3108" t="s">
        <v>51300</v>
      </c>
      <c r="W3108" t="s">
        <v>51301</v>
      </c>
      <c r="X3108" t="s">
        <v>51302</v>
      </c>
      <c r="Y3108" t="s">
        <v>51303</v>
      </c>
      <c r="Z3108" t="s">
        <v>51304</v>
      </c>
      <c r="AA3108" t="s">
        <v>74</v>
      </c>
      <c r="AB3108" t="s">
        <v>74</v>
      </c>
      <c r="AC3108" t="s">
        <v>51305</v>
      </c>
      <c r="AD3108" t="s">
        <v>51306</v>
      </c>
      <c r="AE3108" t="s">
        <v>51307</v>
      </c>
      <c r="AF3108" t="s">
        <v>74</v>
      </c>
      <c r="AG3108">
        <v>35</v>
      </c>
      <c r="AH3108">
        <v>0</v>
      </c>
      <c r="AI3108">
        <v>0</v>
      </c>
      <c r="AJ3108">
        <v>0</v>
      </c>
      <c r="AK3108">
        <v>0</v>
      </c>
      <c r="AL3108" t="s">
        <v>479</v>
      </c>
      <c r="AM3108" t="s">
        <v>480</v>
      </c>
      <c r="AN3108" t="s">
        <v>3884</v>
      </c>
      <c r="AO3108" t="s">
        <v>3885</v>
      </c>
      <c r="AP3108" t="s">
        <v>74</v>
      </c>
      <c r="AQ3108" t="s">
        <v>74</v>
      </c>
      <c r="AR3108" t="s">
        <v>3886</v>
      </c>
      <c r="AS3108" t="s">
        <v>3887</v>
      </c>
      <c r="AT3108" t="s">
        <v>51308</v>
      </c>
      <c r="AU3108">
        <v>2025</v>
      </c>
      <c r="AV3108" t="s">
        <v>74</v>
      </c>
      <c r="AW3108" t="s">
        <v>74</v>
      </c>
      <c r="AX3108" t="s">
        <v>74</v>
      </c>
      <c r="AY3108" t="s">
        <v>74</v>
      </c>
      <c r="AZ3108" t="s">
        <v>74</v>
      </c>
      <c r="BA3108" t="s">
        <v>74</v>
      </c>
      <c r="BB3108" t="s">
        <v>74</v>
      </c>
      <c r="BC3108" t="s">
        <v>74</v>
      </c>
      <c r="BD3108" t="s">
        <v>74</v>
      </c>
      <c r="BE3108" t="s">
        <v>51309</v>
      </c>
      <c r="BF3108" t="str">
        <f>HYPERLINK("http://dx.doi.org/10.1002/sea2.70031","http://dx.doi.org/10.1002/sea2.70031")</f>
        <v>http://dx.doi.org/10.1002/sea2.70031</v>
      </c>
      <c r="BG3108" t="s">
        <v>74</v>
      </c>
      <c r="BH3108" t="s">
        <v>488</v>
      </c>
      <c r="BI3108">
        <v>12</v>
      </c>
      <c r="BJ3108" t="s">
        <v>3890</v>
      </c>
      <c r="BK3108" t="s">
        <v>99</v>
      </c>
      <c r="BL3108" t="s">
        <v>3890</v>
      </c>
      <c r="BM3108" t="s">
        <v>51310</v>
      </c>
      <c r="BN3108" t="s">
        <v>74</v>
      </c>
      <c r="BO3108" t="s">
        <v>74</v>
      </c>
      <c r="BP3108" t="s">
        <v>74</v>
      </c>
      <c r="BQ3108" t="s">
        <v>74</v>
      </c>
      <c r="BR3108" t="s">
        <v>102</v>
      </c>
      <c r="BS3108" t="s">
        <v>51311</v>
      </c>
      <c r="BT3108" t="str">
        <f>HYPERLINK("https%3A%2F%2Fwww.webofscience.com%2Fwos%2Fwoscc%2Ffull-record%2FWOS:001640440600001","View Full Record in Web of Science")</f>
        <v>View Full Record in Web of Science</v>
      </c>
    </row>
    <row r="3109" spans="1:72" x14ac:dyDescent="0.25">
      <c r="A3109" t="s">
        <v>72</v>
      </c>
      <c r="B3109" t="s">
        <v>50256</v>
      </c>
      <c r="C3109" t="s">
        <v>74</v>
      </c>
      <c r="D3109" t="s">
        <v>74</v>
      </c>
      <c r="E3109" t="s">
        <v>74</v>
      </c>
      <c r="F3109" t="s">
        <v>50257</v>
      </c>
      <c r="G3109" t="s">
        <v>74</v>
      </c>
      <c r="H3109" t="s">
        <v>74</v>
      </c>
      <c r="I3109" t="s">
        <v>51312</v>
      </c>
      <c r="J3109" t="s">
        <v>3439</v>
      </c>
      <c r="K3109" t="s">
        <v>74</v>
      </c>
      <c r="L3109" t="s">
        <v>74</v>
      </c>
      <c r="M3109" t="s">
        <v>78</v>
      </c>
      <c r="N3109" t="s">
        <v>79</v>
      </c>
      <c r="O3109" t="s">
        <v>74</v>
      </c>
      <c r="P3109" t="s">
        <v>74</v>
      </c>
      <c r="Q3109" t="s">
        <v>74</v>
      </c>
      <c r="R3109" t="s">
        <v>74</v>
      </c>
      <c r="S3109" t="s">
        <v>74</v>
      </c>
      <c r="T3109" t="s">
        <v>51313</v>
      </c>
      <c r="U3109" t="s">
        <v>51314</v>
      </c>
      <c r="V3109" t="s">
        <v>51315</v>
      </c>
      <c r="W3109" t="s">
        <v>51316</v>
      </c>
      <c r="X3109" t="s">
        <v>28049</v>
      </c>
      <c r="Y3109" t="s">
        <v>51317</v>
      </c>
      <c r="Z3109" t="s">
        <v>74</v>
      </c>
      <c r="AA3109" t="s">
        <v>74</v>
      </c>
      <c r="AB3109" t="s">
        <v>74</v>
      </c>
      <c r="AC3109" t="s">
        <v>51318</v>
      </c>
      <c r="AD3109" t="s">
        <v>51318</v>
      </c>
      <c r="AE3109" t="s">
        <v>51319</v>
      </c>
      <c r="AF3109" t="s">
        <v>74</v>
      </c>
      <c r="AG3109">
        <v>64</v>
      </c>
      <c r="AH3109">
        <v>9</v>
      </c>
      <c r="AI3109">
        <v>11</v>
      </c>
      <c r="AJ3109">
        <v>1</v>
      </c>
      <c r="AK3109">
        <v>14</v>
      </c>
      <c r="AL3109" t="s">
        <v>2481</v>
      </c>
      <c r="AM3109" t="s">
        <v>2482</v>
      </c>
      <c r="AN3109" t="s">
        <v>2483</v>
      </c>
      <c r="AO3109" t="s">
        <v>3443</v>
      </c>
      <c r="AP3109" t="s">
        <v>74</v>
      </c>
      <c r="AQ3109" t="s">
        <v>74</v>
      </c>
      <c r="AR3109" t="s">
        <v>3444</v>
      </c>
      <c r="AS3109" t="s">
        <v>3445</v>
      </c>
      <c r="AT3109" t="s">
        <v>2970</v>
      </c>
      <c r="AU3109">
        <v>2024</v>
      </c>
      <c r="AV3109">
        <v>12</v>
      </c>
      <c r="AW3109">
        <v>1</v>
      </c>
      <c r="AX3109" t="s">
        <v>74</v>
      </c>
      <c r="AY3109" t="s">
        <v>74</v>
      </c>
      <c r="AZ3109" t="s">
        <v>74</v>
      </c>
      <c r="BA3109" t="s">
        <v>74</v>
      </c>
      <c r="BB3109" t="s">
        <v>74</v>
      </c>
      <c r="BC3109" t="s">
        <v>74</v>
      </c>
      <c r="BD3109">
        <v>2306536</v>
      </c>
      <c r="BE3109" t="s">
        <v>51320</v>
      </c>
      <c r="BF3109" t="str">
        <f>HYPERLINK("http://dx.doi.org/10.1080/23322039.2024.2306536","http://dx.doi.org/10.1080/23322039.2024.2306536")</f>
        <v>http://dx.doi.org/10.1080/23322039.2024.2306536</v>
      </c>
      <c r="BG3109" t="s">
        <v>74</v>
      </c>
      <c r="BH3109" t="s">
        <v>74</v>
      </c>
      <c r="BI3109">
        <v>18</v>
      </c>
      <c r="BJ3109" t="s">
        <v>291</v>
      </c>
      <c r="BK3109" t="s">
        <v>313</v>
      </c>
      <c r="BL3109" t="s">
        <v>100</v>
      </c>
      <c r="BM3109" t="s">
        <v>51321</v>
      </c>
      <c r="BN3109" t="s">
        <v>74</v>
      </c>
      <c r="BO3109" t="s">
        <v>916</v>
      </c>
      <c r="BP3109" t="s">
        <v>74</v>
      </c>
      <c r="BQ3109" t="s">
        <v>74</v>
      </c>
      <c r="BR3109" t="s">
        <v>102</v>
      </c>
      <c r="BS3109" t="s">
        <v>51322</v>
      </c>
      <c r="BT3109" t="str">
        <f>HYPERLINK("https%3A%2F%2Fwww.webofscience.com%2Fwos%2Fwoscc%2Ffull-record%2FWOS:001174716100001","View Full Record in Web of Science")</f>
        <v>View Full Record in Web of Science</v>
      </c>
    </row>
    <row r="3110" spans="1:72" x14ac:dyDescent="0.25">
      <c r="A3110" t="s">
        <v>132</v>
      </c>
      <c r="B3110" t="s">
        <v>51323</v>
      </c>
      <c r="C3110" t="s">
        <v>74</v>
      </c>
      <c r="D3110" t="s">
        <v>51324</v>
      </c>
      <c r="E3110" t="s">
        <v>74</v>
      </c>
      <c r="F3110" t="s">
        <v>51325</v>
      </c>
      <c r="G3110" t="s">
        <v>74</v>
      </c>
      <c r="H3110" t="s">
        <v>74</v>
      </c>
      <c r="I3110" t="s">
        <v>51326</v>
      </c>
      <c r="J3110" t="s">
        <v>51327</v>
      </c>
      <c r="K3110" t="s">
        <v>22285</v>
      </c>
      <c r="L3110" t="s">
        <v>74</v>
      </c>
      <c r="M3110" t="s">
        <v>78</v>
      </c>
      <c r="N3110" t="s">
        <v>138</v>
      </c>
      <c r="O3110" t="s">
        <v>51328</v>
      </c>
      <c r="P3110" t="s">
        <v>51329</v>
      </c>
      <c r="Q3110" t="s">
        <v>34107</v>
      </c>
      <c r="R3110" t="s">
        <v>51330</v>
      </c>
      <c r="S3110" t="s">
        <v>74</v>
      </c>
      <c r="T3110" t="s">
        <v>51331</v>
      </c>
      <c r="U3110" t="s">
        <v>74</v>
      </c>
      <c r="V3110" t="s">
        <v>51332</v>
      </c>
      <c r="W3110" t="s">
        <v>51333</v>
      </c>
      <c r="X3110" t="s">
        <v>48244</v>
      </c>
      <c r="Y3110" t="s">
        <v>51334</v>
      </c>
      <c r="Z3110" t="s">
        <v>51335</v>
      </c>
      <c r="AA3110" t="s">
        <v>74</v>
      </c>
      <c r="AB3110" t="s">
        <v>51336</v>
      </c>
      <c r="AC3110" t="s">
        <v>74</v>
      </c>
      <c r="AD3110" t="s">
        <v>74</v>
      </c>
      <c r="AE3110" t="s">
        <v>74</v>
      </c>
      <c r="AF3110" t="s">
        <v>74</v>
      </c>
      <c r="AG3110">
        <v>13</v>
      </c>
      <c r="AH3110">
        <v>4</v>
      </c>
      <c r="AI3110">
        <v>5</v>
      </c>
      <c r="AJ3110">
        <v>0</v>
      </c>
      <c r="AK3110">
        <v>3</v>
      </c>
      <c r="AL3110" t="s">
        <v>771</v>
      </c>
      <c r="AM3110" t="s">
        <v>151</v>
      </c>
      <c r="AN3110" t="s">
        <v>785</v>
      </c>
      <c r="AO3110" t="s">
        <v>22273</v>
      </c>
      <c r="AP3110" t="s">
        <v>22272</v>
      </c>
      <c r="AQ3110" t="s">
        <v>51337</v>
      </c>
      <c r="AR3110" t="s">
        <v>22270</v>
      </c>
      <c r="AS3110" t="s">
        <v>74</v>
      </c>
      <c r="AT3110" t="s">
        <v>74</v>
      </c>
      <c r="AU3110">
        <v>2017</v>
      </c>
      <c r="AV3110" t="s">
        <v>74</v>
      </c>
      <c r="AW3110" t="s">
        <v>74</v>
      </c>
      <c r="AX3110" t="s">
        <v>74</v>
      </c>
      <c r="AY3110" t="s">
        <v>74</v>
      </c>
      <c r="AZ3110" t="s">
        <v>74</v>
      </c>
      <c r="BA3110" t="s">
        <v>74</v>
      </c>
      <c r="BB3110">
        <v>226</v>
      </c>
      <c r="BC3110">
        <v>231</v>
      </c>
      <c r="BD3110" t="s">
        <v>74</v>
      </c>
      <c r="BE3110" t="s">
        <v>74</v>
      </c>
      <c r="BF3110" t="s">
        <v>74</v>
      </c>
      <c r="BG3110" t="s">
        <v>74</v>
      </c>
      <c r="BH3110" t="s">
        <v>74</v>
      </c>
      <c r="BI3110">
        <v>6</v>
      </c>
      <c r="BJ3110" t="s">
        <v>51338</v>
      </c>
      <c r="BK3110" t="s">
        <v>1069</v>
      </c>
      <c r="BL3110" t="s">
        <v>51339</v>
      </c>
      <c r="BM3110" t="s">
        <v>51340</v>
      </c>
      <c r="BN3110" t="s">
        <v>74</v>
      </c>
      <c r="BO3110" t="s">
        <v>74</v>
      </c>
      <c r="BP3110" t="s">
        <v>74</v>
      </c>
      <c r="BQ3110" t="s">
        <v>74</v>
      </c>
      <c r="BR3110" t="s">
        <v>102</v>
      </c>
      <c r="BS3110" t="s">
        <v>51341</v>
      </c>
      <c r="BT3110" t="str">
        <f>HYPERLINK("https%3A%2F%2Fwww.webofscience.com%2Fwos%2Fwoscc%2Ffull-record%2FWOS:000464415600038","View Full Record in Web of Science")</f>
        <v>View Full Record in Web of Science</v>
      </c>
    </row>
    <row r="3111" spans="1:72" x14ac:dyDescent="0.25">
      <c r="A3111" t="s">
        <v>72</v>
      </c>
      <c r="B3111" t="s">
        <v>51342</v>
      </c>
      <c r="C3111" t="s">
        <v>74</v>
      </c>
      <c r="D3111" t="s">
        <v>74</v>
      </c>
      <c r="E3111" t="s">
        <v>74</v>
      </c>
      <c r="F3111" t="s">
        <v>51343</v>
      </c>
      <c r="G3111" t="s">
        <v>74</v>
      </c>
      <c r="H3111" t="s">
        <v>74</v>
      </c>
      <c r="I3111" t="s">
        <v>51344</v>
      </c>
      <c r="J3111" t="s">
        <v>900</v>
      </c>
      <c r="K3111" t="s">
        <v>74</v>
      </c>
      <c r="L3111" t="s">
        <v>74</v>
      </c>
      <c r="M3111" t="s">
        <v>78</v>
      </c>
      <c r="N3111" t="s">
        <v>79</v>
      </c>
      <c r="O3111" t="s">
        <v>74</v>
      </c>
      <c r="P3111" t="s">
        <v>74</v>
      </c>
      <c r="Q3111" t="s">
        <v>74</v>
      </c>
      <c r="R3111" t="s">
        <v>74</v>
      </c>
      <c r="S3111" t="s">
        <v>74</v>
      </c>
      <c r="T3111" t="s">
        <v>51345</v>
      </c>
      <c r="U3111" t="s">
        <v>51346</v>
      </c>
      <c r="V3111" t="s">
        <v>51347</v>
      </c>
      <c r="W3111" t="s">
        <v>51348</v>
      </c>
      <c r="X3111" t="s">
        <v>51349</v>
      </c>
      <c r="Y3111" t="s">
        <v>51350</v>
      </c>
      <c r="Z3111" t="s">
        <v>51351</v>
      </c>
      <c r="AA3111" t="s">
        <v>74</v>
      </c>
      <c r="AB3111" t="s">
        <v>74</v>
      </c>
      <c r="AC3111" t="s">
        <v>74</v>
      </c>
      <c r="AD3111" t="s">
        <v>74</v>
      </c>
      <c r="AE3111" t="s">
        <v>74</v>
      </c>
      <c r="AF3111" t="s">
        <v>74</v>
      </c>
      <c r="AG3111">
        <v>60</v>
      </c>
      <c r="AH3111">
        <v>0</v>
      </c>
      <c r="AI3111">
        <v>0</v>
      </c>
      <c r="AJ3111">
        <v>0</v>
      </c>
      <c r="AK3111">
        <v>0</v>
      </c>
      <c r="AL3111" t="s">
        <v>575</v>
      </c>
      <c r="AM3111" t="s">
        <v>576</v>
      </c>
      <c r="AN3111" t="s">
        <v>577</v>
      </c>
      <c r="AO3111" t="s">
        <v>74</v>
      </c>
      <c r="AP3111" t="s">
        <v>4045</v>
      </c>
      <c r="AQ3111" t="s">
        <v>74</v>
      </c>
      <c r="AR3111" t="s">
        <v>4046</v>
      </c>
      <c r="AS3111" t="s">
        <v>4047</v>
      </c>
      <c r="AT3111" t="s">
        <v>51352</v>
      </c>
      <c r="AU3111">
        <v>2023</v>
      </c>
      <c r="AV3111">
        <v>3</v>
      </c>
      <c r="AW3111">
        <v>1</v>
      </c>
      <c r="AX3111" t="s">
        <v>74</v>
      </c>
      <c r="AY3111" t="s">
        <v>74</v>
      </c>
      <c r="AZ3111" t="s">
        <v>74</v>
      </c>
      <c r="BA3111" t="s">
        <v>74</v>
      </c>
      <c r="BB3111">
        <v>1</v>
      </c>
      <c r="BC3111">
        <v>16</v>
      </c>
      <c r="BD3111" t="s">
        <v>74</v>
      </c>
      <c r="BE3111" t="s">
        <v>51353</v>
      </c>
      <c r="BF3111" t="str">
        <f>HYPERLINK("http://dx.doi.org/10.3390/fintech3010001","http://dx.doi.org/10.3390/fintech3010001")</f>
        <v>http://dx.doi.org/10.3390/fintech3010001</v>
      </c>
      <c r="BG3111" t="s">
        <v>74</v>
      </c>
      <c r="BH3111" t="s">
        <v>74</v>
      </c>
      <c r="BI3111">
        <v>16</v>
      </c>
      <c r="BJ3111" t="s">
        <v>4049</v>
      </c>
      <c r="BK3111" t="s">
        <v>313</v>
      </c>
      <c r="BL3111" t="s">
        <v>1070</v>
      </c>
      <c r="BM3111" t="s">
        <v>51354</v>
      </c>
      <c r="BN3111" t="s">
        <v>74</v>
      </c>
      <c r="BO3111" t="s">
        <v>212</v>
      </c>
      <c r="BP3111" t="s">
        <v>74</v>
      </c>
      <c r="BQ3111" t="s">
        <v>74</v>
      </c>
      <c r="BR3111" t="s">
        <v>102</v>
      </c>
      <c r="BS3111" t="s">
        <v>51355</v>
      </c>
      <c r="BT3111" t="str">
        <f>HYPERLINK("https%3A%2F%2Fwww.webofscience.com%2Fwos%2Fwoscc%2Ffull-record%2FWOS:001572629800001","View Full Record in Web of Science")</f>
        <v>View Full Record in Web of Science</v>
      </c>
    </row>
    <row r="3112" spans="1:72" x14ac:dyDescent="0.25">
      <c r="A3112" t="s">
        <v>72</v>
      </c>
      <c r="B3112" t="s">
        <v>51356</v>
      </c>
      <c r="C3112" t="s">
        <v>74</v>
      </c>
      <c r="D3112" t="s">
        <v>74</v>
      </c>
      <c r="E3112" t="s">
        <v>74</v>
      </c>
      <c r="F3112" t="s">
        <v>51357</v>
      </c>
      <c r="G3112" t="s">
        <v>74</v>
      </c>
      <c r="H3112" t="s">
        <v>74</v>
      </c>
      <c r="I3112" t="s">
        <v>51358</v>
      </c>
      <c r="J3112" t="s">
        <v>14135</v>
      </c>
      <c r="K3112" t="s">
        <v>74</v>
      </c>
      <c r="L3112" t="s">
        <v>74</v>
      </c>
      <c r="M3112" t="s">
        <v>78</v>
      </c>
      <c r="N3112" t="s">
        <v>79</v>
      </c>
      <c r="O3112" t="s">
        <v>74</v>
      </c>
      <c r="P3112" t="s">
        <v>74</v>
      </c>
      <c r="Q3112" t="s">
        <v>74</v>
      </c>
      <c r="R3112" t="s">
        <v>74</v>
      </c>
      <c r="S3112" t="s">
        <v>74</v>
      </c>
      <c r="T3112" t="s">
        <v>74</v>
      </c>
      <c r="U3112" t="s">
        <v>51359</v>
      </c>
      <c r="V3112" t="s">
        <v>51360</v>
      </c>
      <c r="W3112" t="s">
        <v>51361</v>
      </c>
      <c r="X3112" t="s">
        <v>51362</v>
      </c>
      <c r="Y3112" t="s">
        <v>51363</v>
      </c>
      <c r="Z3112" t="s">
        <v>51364</v>
      </c>
      <c r="AA3112" t="s">
        <v>74</v>
      </c>
      <c r="AB3112" t="s">
        <v>74</v>
      </c>
      <c r="AC3112" t="s">
        <v>74</v>
      </c>
      <c r="AD3112" t="s">
        <v>74</v>
      </c>
      <c r="AE3112" t="s">
        <v>74</v>
      </c>
      <c r="AF3112" t="s">
        <v>74</v>
      </c>
      <c r="AG3112">
        <v>41</v>
      </c>
      <c r="AH3112">
        <v>74</v>
      </c>
      <c r="AI3112">
        <v>91</v>
      </c>
      <c r="AJ3112">
        <v>0</v>
      </c>
      <c r="AK3112">
        <v>7</v>
      </c>
      <c r="AL3112" t="s">
        <v>479</v>
      </c>
      <c r="AM3112" t="s">
        <v>480</v>
      </c>
      <c r="AN3112" t="s">
        <v>481</v>
      </c>
      <c r="AO3112" t="s">
        <v>14142</v>
      </c>
      <c r="AP3112" t="s">
        <v>14143</v>
      </c>
      <c r="AQ3112" t="s">
        <v>74</v>
      </c>
      <c r="AR3112" t="s">
        <v>14144</v>
      </c>
      <c r="AS3112" t="s">
        <v>14145</v>
      </c>
      <c r="AT3112" t="s">
        <v>605</v>
      </c>
      <c r="AU3112">
        <v>2018</v>
      </c>
      <c r="AV3112">
        <v>49</v>
      </c>
      <c r="AW3112">
        <v>2</v>
      </c>
      <c r="AX3112" t="s">
        <v>74</v>
      </c>
      <c r="AY3112" t="s">
        <v>74</v>
      </c>
      <c r="AZ3112" t="s">
        <v>74</v>
      </c>
      <c r="BA3112" t="s">
        <v>74</v>
      </c>
      <c r="BB3112">
        <v>502</v>
      </c>
      <c r="BC3112">
        <v>517</v>
      </c>
      <c r="BD3112" t="s">
        <v>74</v>
      </c>
      <c r="BE3112" t="s">
        <v>51365</v>
      </c>
      <c r="BF3112" t="str">
        <f>HYPERLINK("http://dx.doi.org/10.1111/dech.12370","http://dx.doi.org/10.1111/dech.12370")</f>
        <v>http://dx.doi.org/10.1111/dech.12370</v>
      </c>
      <c r="BG3112" t="s">
        <v>74</v>
      </c>
      <c r="BH3112" t="s">
        <v>74</v>
      </c>
      <c r="BI3112">
        <v>16</v>
      </c>
      <c r="BJ3112" t="s">
        <v>1137</v>
      </c>
      <c r="BK3112" t="s">
        <v>99</v>
      </c>
      <c r="BL3112" t="s">
        <v>1137</v>
      </c>
      <c r="BM3112" t="s">
        <v>36543</v>
      </c>
      <c r="BN3112" t="s">
        <v>74</v>
      </c>
      <c r="BO3112" t="s">
        <v>74</v>
      </c>
      <c r="BP3112" t="s">
        <v>74</v>
      </c>
      <c r="BQ3112" t="s">
        <v>74</v>
      </c>
      <c r="BR3112" t="s">
        <v>102</v>
      </c>
      <c r="BS3112" t="s">
        <v>51366</v>
      </c>
      <c r="BT3112" t="str">
        <f>HYPERLINK("https%3A%2F%2Fwww.webofscience.com%2Fwos%2Fwoscc%2Ffull-record%2FWOS:000427006500012","View Full Record in Web of Science")</f>
        <v>View Full Record in Web of Science</v>
      </c>
    </row>
    <row r="3113" spans="1:72" x14ac:dyDescent="0.25">
      <c r="A3113" t="s">
        <v>72</v>
      </c>
      <c r="B3113" t="s">
        <v>51367</v>
      </c>
      <c r="C3113" t="s">
        <v>74</v>
      </c>
      <c r="D3113" t="s">
        <v>74</v>
      </c>
      <c r="E3113" t="s">
        <v>74</v>
      </c>
      <c r="F3113" t="s">
        <v>51368</v>
      </c>
      <c r="G3113" t="s">
        <v>74</v>
      </c>
      <c r="H3113" t="s">
        <v>74</v>
      </c>
      <c r="I3113" t="s">
        <v>51369</v>
      </c>
      <c r="J3113" t="s">
        <v>22805</v>
      </c>
      <c r="K3113" t="s">
        <v>74</v>
      </c>
      <c r="L3113" t="s">
        <v>74</v>
      </c>
      <c r="M3113" t="s">
        <v>78</v>
      </c>
      <c r="N3113" t="s">
        <v>79</v>
      </c>
      <c r="O3113" t="s">
        <v>74</v>
      </c>
      <c r="P3113" t="s">
        <v>74</v>
      </c>
      <c r="Q3113" t="s">
        <v>74</v>
      </c>
      <c r="R3113" t="s">
        <v>74</v>
      </c>
      <c r="S3113" t="s">
        <v>74</v>
      </c>
      <c r="T3113" t="s">
        <v>51370</v>
      </c>
      <c r="U3113" t="s">
        <v>51371</v>
      </c>
      <c r="V3113" t="s">
        <v>51372</v>
      </c>
      <c r="W3113" t="s">
        <v>51373</v>
      </c>
      <c r="X3113" t="s">
        <v>51374</v>
      </c>
      <c r="Y3113" t="s">
        <v>51375</v>
      </c>
      <c r="Z3113" t="s">
        <v>51376</v>
      </c>
      <c r="AA3113" t="s">
        <v>51377</v>
      </c>
      <c r="AB3113" t="s">
        <v>51378</v>
      </c>
      <c r="AC3113" t="s">
        <v>74</v>
      </c>
      <c r="AD3113" t="s">
        <v>74</v>
      </c>
      <c r="AE3113" t="s">
        <v>74</v>
      </c>
      <c r="AF3113" t="s">
        <v>74</v>
      </c>
      <c r="AG3113">
        <v>63</v>
      </c>
      <c r="AH3113">
        <v>127</v>
      </c>
      <c r="AI3113">
        <v>151</v>
      </c>
      <c r="AJ3113">
        <v>10</v>
      </c>
      <c r="AK3113">
        <v>173</v>
      </c>
      <c r="AL3113" t="s">
        <v>201</v>
      </c>
      <c r="AM3113" t="s">
        <v>202</v>
      </c>
      <c r="AN3113" t="s">
        <v>203</v>
      </c>
      <c r="AO3113" t="s">
        <v>22797</v>
      </c>
      <c r="AP3113" t="s">
        <v>22796</v>
      </c>
      <c r="AQ3113" t="s">
        <v>74</v>
      </c>
      <c r="AR3113" t="s">
        <v>22795</v>
      </c>
      <c r="AS3113" t="s">
        <v>22794</v>
      </c>
      <c r="AT3113" t="s">
        <v>891</v>
      </c>
      <c r="AU3113">
        <v>2021</v>
      </c>
      <c r="AV3113">
        <v>75</v>
      </c>
      <c r="AW3113" t="s">
        <v>74</v>
      </c>
      <c r="AX3113" t="s">
        <v>74</v>
      </c>
      <c r="AY3113" t="s">
        <v>74</v>
      </c>
      <c r="AZ3113" t="s">
        <v>74</v>
      </c>
      <c r="BA3113" t="s">
        <v>74</v>
      </c>
      <c r="BB3113" t="s">
        <v>74</v>
      </c>
      <c r="BC3113" t="s">
        <v>74</v>
      </c>
      <c r="BD3113">
        <v>101447</v>
      </c>
      <c r="BE3113" t="s">
        <v>51379</v>
      </c>
      <c r="BF3113" t="str">
        <f>HYPERLINK("http://dx.doi.org/10.1016/j.intfin.2021.101447","http://dx.doi.org/10.1016/j.intfin.2021.101447")</f>
        <v>http://dx.doi.org/10.1016/j.intfin.2021.101447</v>
      </c>
      <c r="BG3113" t="s">
        <v>74</v>
      </c>
      <c r="BH3113" t="s">
        <v>4651</v>
      </c>
      <c r="BI3113">
        <v>20</v>
      </c>
      <c r="BJ3113" t="s">
        <v>210</v>
      </c>
      <c r="BK3113" t="s">
        <v>99</v>
      </c>
      <c r="BL3113" t="s">
        <v>100</v>
      </c>
      <c r="BM3113" t="s">
        <v>51380</v>
      </c>
      <c r="BN3113" t="s">
        <v>74</v>
      </c>
      <c r="BO3113" t="s">
        <v>74</v>
      </c>
      <c r="BP3113" t="s">
        <v>74</v>
      </c>
      <c r="BQ3113" t="s">
        <v>74</v>
      </c>
      <c r="BR3113" t="s">
        <v>102</v>
      </c>
      <c r="BS3113" t="s">
        <v>51381</v>
      </c>
      <c r="BT3113" t="str">
        <f>HYPERLINK("https%3A%2F%2Fwww.webofscience.com%2Fwos%2Fwoscc%2Ffull-record%2FWOS:000712073800007","View Full Record in Web of Science")</f>
        <v>View Full Record in Web of Science</v>
      </c>
    </row>
    <row r="3114" spans="1:72" x14ac:dyDescent="0.25">
      <c r="A3114" t="s">
        <v>72</v>
      </c>
      <c r="B3114" t="s">
        <v>51382</v>
      </c>
      <c r="C3114" t="s">
        <v>74</v>
      </c>
      <c r="D3114" t="s">
        <v>74</v>
      </c>
      <c r="E3114" t="s">
        <v>74</v>
      </c>
      <c r="F3114" t="s">
        <v>51383</v>
      </c>
      <c r="G3114" t="s">
        <v>74</v>
      </c>
      <c r="H3114" t="s">
        <v>74</v>
      </c>
      <c r="I3114" t="s">
        <v>51384</v>
      </c>
      <c r="J3114" t="s">
        <v>4657</v>
      </c>
      <c r="K3114" t="s">
        <v>74</v>
      </c>
      <c r="L3114" t="s">
        <v>74</v>
      </c>
      <c r="M3114" t="s">
        <v>78</v>
      </c>
      <c r="N3114" t="s">
        <v>79</v>
      </c>
      <c r="O3114" t="s">
        <v>74</v>
      </c>
      <c r="P3114" t="s">
        <v>74</v>
      </c>
      <c r="Q3114" t="s">
        <v>74</v>
      </c>
      <c r="R3114" t="s">
        <v>74</v>
      </c>
      <c r="S3114" t="s">
        <v>74</v>
      </c>
      <c r="T3114" t="s">
        <v>51385</v>
      </c>
      <c r="U3114" t="s">
        <v>51386</v>
      </c>
      <c r="V3114" t="s">
        <v>51387</v>
      </c>
      <c r="W3114" t="s">
        <v>51388</v>
      </c>
      <c r="X3114" t="s">
        <v>51389</v>
      </c>
      <c r="Y3114" t="s">
        <v>51390</v>
      </c>
      <c r="Z3114" t="s">
        <v>51391</v>
      </c>
      <c r="AA3114" t="s">
        <v>51392</v>
      </c>
      <c r="AB3114" t="s">
        <v>51393</v>
      </c>
      <c r="AC3114" t="s">
        <v>51394</v>
      </c>
      <c r="AD3114" t="s">
        <v>51394</v>
      </c>
      <c r="AE3114" t="s">
        <v>51395</v>
      </c>
      <c r="AF3114" t="s">
        <v>74</v>
      </c>
      <c r="AG3114">
        <v>80</v>
      </c>
      <c r="AH3114">
        <v>0</v>
      </c>
      <c r="AI3114">
        <v>0</v>
      </c>
      <c r="AJ3114">
        <v>1</v>
      </c>
      <c r="AK3114">
        <v>1</v>
      </c>
      <c r="AL3114" t="s">
        <v>4666</v>
      </c>
      <c r="AM3114" t="s">
        <v>995</v>
      </c>
      <c r="AN3114" t="s">
        <v>4025</v>
      </c>
      <c r="AO3114" t="s">
        <v>74</v>
      </c>
      <c r="AP3114" t="s">
        <v>4667</v>
      </c>
      <c r="AQ3114" t="s">
        <v>74</v>
      </c>
      <c r="AR3114" t="s">
        <v>4668</v>
      </c>
      <c r="AS3114" t="s">
        <v>4669</v>
      </c>
      <c r="AT3114" t="s">
        <v>9096</v>
      </c>
      <c r="AU3114">
        <v>2025</v>
      </c>
      <c r="AV3114">
        <v>6</v>
      </c>
      <c r="AW3114">
        <v>1</v>
      </c>
      <c r="AX3114" t="s">
        <v>74</v>
      </c>
      <c r="AY3114" t="s">
        <v>74</v>
      </c>
      <c r="AZ3114" t="s">
        <v>74</v>
      </c>
      <c r="BA3114" t="s">
        <v>74</v>
      </c>
      <c r="BB3114" t="s">
        <v>74</v>
      </c>
      <c r="BC3114" t="s">
        <v>74</v>
      </c>
      <c r="BD3114">
        <v>373</v>
      </c>
      <c r="BE3114" t="s">
        <v>51396</v>
      </c>
      <c r="BF3114" t="str">
        <f>HYPERLINK("http://dx.doi.org/10.1007/s43621-025-01205-w","http://dx.doi.org/10.1007/s43621-025-01205-w")</f>
        <v>http://dx.doi.org/10.1007/s43621-025-01205-w</v>
      </c>
      <c r="BG3114" t="s">
        <v>74</v>
      </c>
      <c r="BH3114" t="s">
        <v>74</v>
      </c>
      <c r="BI3114">
        <v>16</v>
      </c>
      <c r="BJ3114" t="s">
        <v>3247</v>
      </c>
      <c r="BK3114" t="s">
        <v>313</v>
      </c>
      <c r="BL3114" t="s">
        <v>3248</v>
      </c>
      <c r="BM3114" t="s">
        <v>51397</v>
      </c>
      <c r="BN3114" t="s">
        <v>74</v>
      </c>
      <c r="BO3114" t="s">
        <v>212</v>
      </c>
      <c r="BP3114" t="s">
        <v>74</v>
      </c>
      <c r="BQ3114" t="s">
        <v>74</v>
      </c>
      <c r="BR3114" t="s">
        <v>102</v>
      </c>
      <c r="BS3114" t="s">
        <v>51398</v>
      </c>
      <c r="BT3114" t="str">
        <f>HYPERLINK("https%3A%2F%2Fwww.webofscience.com%2Fwos%2Fwoscc%2Ffull-record%2FWOS:001483009900003","View Full Record in Web of Science")</f>
        <v>View Full Record in Web of Science</v>
      </c>
    </row>
    <row r="3115" spans="1:72" x14ac:dyDescent="0.25">
      <c r="A3115" t="s">
        <v>72</v>
      </c>
      <c r="B3115" t="s">
        <v>51399</v>
      </c>
      <c r="C3115" t="s">
        <v>74</v>
      </c>
      <c r="D3115" t="s">
        <v>74</v>
      </c>
      <c r="E3115" t="s">
        <v>74</v>
      </c>
      <c r="F3115" t="s">
        <v>51400</v>
      </c>
      <c r="G3115" t="s">
        <v>74</v>
      </c>
      <c r="H3115" t="s">
        <v>74</v>
      </c>
      <c r="I3115" t="s">
        <v>51401</v>
      </c>
      <c r="J3115" t="s">
        <v>4956</v>
      </c>
      <c r="K3115" t="s">
        <v>74</v>
      </c>
      <c r="L3115" t="s">
        <v>74</v>
      </c>
      <c r="M3115" t="s">
        <v>78</v>
      </c>
      <c r="N3115" t="s">
        <v>79</v>
      </c>
      <c r="O3115" t="s">
        <v>74</v>
      </c>
      <c r="P3115" t="s">
        <v>74</v>
      </c>
      <c r="Q3115" t="s">
        <v>74</v>
      </c>
      <c r="R3115" t="s">
        <v>74</v>
      </c>
      <c r="S3115" t="s">
        <v>74</v>
      </c>
      <c r="T3115" t="s">
        <v>51402</v>
      </c>
      <c r="U3115" t="s">
        <v>51403</v>
      </c>
      <c r="V3115" t="s">
        <v>51404</v>
      </c>
      <c r="W3115" t="s">
        <v>51405</v>
      </c>
      <c r="X3115" t="s">
        <v>51406</v>
      </c>
      <c r="Y3115" t="s">
        <v>51407</v>
      </c>
      <c r="Z3115" t="s">
        <v>51408</v>
      </c>
      <c r="AA3115" t="s">
        <v>51409</v>
      </c>
      <c r="AB3115" t="s">
        <v>74</v>
      </c>
      <c r="AC3115" t="s">
        <v>74</v>
      </c>
      <c r="AD3115" t="s">
        <v>74</v>
      </c>
      <c r="AE3115" t="s">
        <v>74</v>
      </c>
      <c r="AF3115" t="s">
        <v>74</v>
      </c>
      <c r="AG3115">
        <v>46</v>
      </c>
      <c r="AH3115">
        <v>2</v>
      </c>
      <c r="AI3115">
        <v>2</v>
      </c>
      <c r="AJ3115">
        <v>5</v>
      </c>
      <c r="AK3115">
        <v>5</v>
      </c>
      <c r="AL3115" t="s">
        <v>230</v>
      </c>
      <c r="AM3115" t="s">
        <v>231</v>
      </c>
      <c r="AN3115" t="s">
        <v>232</v>
      </c>
      <c r="AO3115" t="s">
        <v>4966</v>
      </c>
      <c r="AP3115" t="s">
        <v>4967</v>
      </c>
      <c r="AQ3115" t="s">
        <v>74</v>
      </c>
      <c r="AR3115" t="s">
        <v>4968</v>
      </c>
      <c r="AS3115" t="s">
        <v>4969</v>
      </c>
      <c r="AT3115" t="s">
        <v>891</v>
      </c>
      <c r="AU3115">
        <v>2025</v>
      </c>
      <c r="AV3115">
        <v>195</v>
      </c>
      <c r="AW3115" t="s">
        <v>74</v>
      </c>
      <c r="AX3115" t="s">
        <v>74</v>
      </c>
      <c r="AY3115" t="s">
        <v>74</v>
      </c>
      <c r="AZ3115" t="s">
        <v>74</v>
      </c>
      <c r="BA3115" t="s">
        <v>74</v>
      </c>
      <c r="BB3115" t="s">
        <v>74</v>
      </c>
      <c r="BC3115" t="s">
        <v>74</v>
      </c>
      <c r="BD3115">
        <v>107136</v>
      </c>
      <c r="BE3115" t="s">
        <v>51410</v>
      </c>
      <c r="BF3115" t="str">
        <f>HYPERLINK("http://dx.doi.org/10.1016/j.worlddev.2025.107136","http://dx.doi.org/10.1016/j.worlddev.2025.107136")</f>
        <v>http://dx.doi.org/10.1016/j.worlddev.2025.107136</v>
      </c>
      <c r="BG3115" t="s">
        <v>74</v>
      </c>
      <c r="BH3115" t="s">
        <v>3389</v>
      </c>
      <c r="BI3115">
        <v>15</v>
      </c>
      <c r="BJ3115" t="s">
        <v>701</v>
      </c>
      <c r="BK3115" t="s">
        <v>99</v>
      </c>
      <c r="BL3115" t="s">
        <v>702</v>
      </c>
      <c r="BM3115" t="s">
        <v>51411</v>
      </c>
      <c r="BN3115" t="s">
        <v>74</v>
      </c>
      <c r="BO3115" t="s">
        <v>74</v>
      </c>
      <c r="BP3115" t="s">
        <v>74</v>
      </c>
      <c r="BQ3115" t="s">
        <v>74</v>
      </c>
      <c r="BR3115" t="s">
        <v>102</v>
      </c>
      <c r="BS3115" t="s">
        <v>51412</v>
      </c>
      <c r="BT3115" t="str">
        <f>HYPERLINK("https%3A%2F%2Fwww.webofscience.com%2Fwos%2Fwoscc%2Ffull-record%2FWOS:001541941600001","View Full Record in Web of Science")</f>
        <v>View Full Record in Web of Science</v>
      </c>
    </row>
    <row r="3116" spans="1:72" x14ac:dyDescent="0.25">
      <c r="A3116" t="s">
        <v>72</v>
      </c>
      <c r="B3116" t="s">
        <v>51413</v>
      </c>
      <c r="C3116" t="s">
        <v>74</v>
      </c>
      <c r="D3116" t="s">
        <v>74</v>
      </c>
      <c r="E3116" t="s">
        <v>74</v>
      </c>
      <c r="F3116" t="s">
        <v>51414</v>
      </c>
      <c r="G3116" t="s">
        <v>74</v>
      </c>
      <c r="H3116" t="s">
        <v>74</v>
      </c>
      <c r="I3116" t="s">
        <v>51415</v>
      </c>
      <c r="J3116" t="s">
        <v>25324</v>
      </c>
      <c r="K3116" t="s">
        <v>74</v>
      </c>
      <c r="L3116" t="s">
        <v>74</v>
      </c>
      <c r="M3116" t="s">
        <v>78</v>
      </c>
      <c r="N3116" t="s">
        <v>79</v>
      </c>
      <c r="O3116" t="s">
        <v>74</v>
      </c>
      <c r="P3116" t="s">
        <v>74</v>
      </c>
      <c r="Q3116" t="s">
        <v>74</v>
      </c>
      <c r="R3116" t="s">
        <v>74</v>
      </c>
      <c r="S3116" t="s">
        <v>74</v>
      </c>
      <c r="T3116" t="s">
        <v>51416</v>
      </c>
      <c r="U3116" t="s">
        <v>51417</v>
      </c>
      <c r="V3116" t="s">
        <v>51418</v>
      </c>
      <c r="W3116" t="s">
        <v>51419</v>
      </c>
      <c r="X3116" t="s">
        <v>51420</v>
      </c>
      <c r="Y3116" t="s">
        <v>51421</v>
      </c>
      <c r="Z3116" t="s">
        <v>51422</v>
      </c>
      <c r="AA3116" t="s">
        <v>51423</v>
      </c>
      <c r="AB3116" t="s">
        <v>51424</v>
      </c>
      <c r="AC3116" t="s">
        <v>51425</v>
      </c>
      <c r="AD3116" t="s">
        <v>51425</v>
      </c>
      <c r="AE3116" t="s">
        <v>51426</v>
      </c>
      <c r="AF3116" t="s">
        <v>74</v>
      </c>
      <c r="AG3116">
        <v>45</v>
      </c>
      <c r="AH3116">
        <v>27</v>
      </c>
      <c r="AI3116">
        <v>33</v>
      </c>
      <c r="AJ3116">
        <v>2</v>
      </c>
      <c r="AK3116">
        <v>12</v>
      </c>
      <c r="AL3116" t="s">
        <v>332</v>
      </c>
      <c r="AM3116" t="s">
        <v>333</v>
      </c>
      <c r="AN3116" t="s">
        <v>334</v>
      </c>
      <c r="AO3116" t="s">
        <v>25316</v>
      </c>
      <c r="AP3116" t="s">
        <v>25315</v>
      </c>
      <c r="AQ3116" t="s">
        <v>74</v>
      </c>
      <c r="AR3116" t="s">
        <v>25314</v>
      </c>
      <c r="AS3116" t="s">
        <v>25313</v>
      </c>
      <c r="AT3116" t="s">
        <v>74</v>
      </c>
      <c r="AU3116">
        <v>2019</v>
      </c>
      <c r="AV3116">
        <v>25</v>
      </c>
      <c r="AW3116">
        <v>2</v>
      </c>
      <c r="AX3116" t="s">
        <v>74</v>
      </c>
      <c r="AY3116" t="s">
        <v>74</v>
      </c>
      <c r="AZ3116" t="s">
        <v>74</v>
      </c>
      <c r="BA3116" t="s">
        <v>74</v>
      </c>
      <c r="BB3116">
        <v>36</v>
      </c>
      <c r="BC3116">
        <v>66</v>
      </c>
      <c r="BD3116" t="s">
        <v>74</v>
      </c>
      <c r="BE3116" t="s">
        <v>51427</v>
      </c>
      <c r="BF3116" t="str">
        <f>HYPERLINK("http://dx.doi.org/10.1080/13545701.2019.1566753","http://dx.doi.org/10.1080/13545701.2019.1566753")</f>
        <v>http://dx.doi.org/10.1080/13545701.2019.1566753</v>
      </c>
      <c r="BG3116" t="s">
        <v>74</v>
      </c>
      <c r="BH3116" t="s">
        <v>74</v>
      </c>
      <c r="BI3116">
        <v>31</v>
      </c>
      <c r="BJ3116" t="s">
        <v>25311</v>
      </c>
      <c r="BK3116" t="s">
        <v>99</v>
      </c>
      <c r="BL3116" t="s">
        <v>13814</v>
      </c>
      <c r="BM3116" t="s">
        <v>51428</v>
      </c>
      <c r="BN3116" t="s">
        <v>74</v>
      </c>
      <c r="BO3116" t="s">
        <v>74</v>
      </c>
      <c r="BP3116" t="s">
        <v>74</v>
      </c>
      <c r="BQ3116" t="s">
        <v>74</v>
      </c>
      <c r="BR3116" t="s">
        <v>102</v>
      </c>
      <c r="BS3116" t="s">
        <v>51429</v>
      </c>
      <c r="BT3116" t="str">
        <f>HYPERLINK("https%3A%2F%2Fwww.webofscience.com%2Fwos%2Fwoscc%2Ffull-record%2FWOS:000461721800002","View Full Record in Web of Science")</f>
        <v>View Full Record in Web of Science</v>
      </c>
    </row>
    <row r="3117" spans="1:72" x14ac:dyDescent="0.25">
      <c r="A3117" t="s">
        <v>72</v>
      </c>
      <c r="B3117" t="s">
        <v>51430</v>
      </c>
      <c r="C3117" t="s">
        <v>74</v>
      </c>
      <c r="D3117" t="s">
        <v>74</v>
      </c>
      <c r="E3117" t="s">
        <v>74</v>
      </c>
      <c r="F3117" t="s">
        <v>51431</v>
      </c>
      <c r="G3117" t="s">
        <v>74</v>
      </c>
      <c r="H3117" t="s">
        <v>74</v>
      </c>
      <c r="I3117" t="s">
        <v>51432</v>
      </c>
      <c r="J3117" t="s">
        <v>34742</v>
      </c>
      <c r="K3117" t="s">
        <v>74</v>
      </c>
      <c r="L3117" t="s">
        <v>74</v>
      </c>
      <c r="M3117" t="s">
        <v>78</v>
      </c>
      <c r="N3117" t="s">
        <v>79</v>
      </c>
      <c r="O3117" t="s">
        <v>74</v>
      </c>
      <c r="P3117" t="s">
        <v>74</v>
      </c>
      <c r="Q3117" t="s">
        <v>74</v>
      </c>
      <c r="R3117" t="s">
        <v>74</v>
      </c>
      <c r="S3117" t="s">
        <v>74</v>
      </c>
      <c r="T3117" t="s">
        <v>51433</v>
      </c>
      <c r="U3117" t="s">
        <v>8565</v>
      </c>
      <c r="V3117" t="s">
        <v>51434</v>
      </c>
      <c r="W3117" t="s">
        <v>51435</v>
      </c>
      <c r="X3117" t="s">
        <v>8519</v>
      </c>
      <c r="Y3117" t="s">
        <v>51436</v>
      </c>
      <c r="Z3117" t="s">
        <v>51437</v>
      </c>
      <c r="AA3117" t="s">
        <v>51438</v>
      </c>
      <c r="AB3117" t="s">
        <v>51439</v>
      </c>
      <c r="AC3117" t="s">
        <v>51440</v>
      </c>
      <c r="AD3117" t="s">
        <v>51440</v>
      </c>
      <c r="AE3117" t="s">
        <v>51440</v>
      </c>
      <c r="AF3117" t="s">
        <v>74</v>
      </c>
      <c r="AG3117">
        <v>38</v>
      </c>
      <c r="AH3117">
        <v>6</v>
      </c>
      <c r="AI3117">
        <v>7</v>
      </c>
      <c r="AJ3117">
        <v>0</v>
      </c>
      <c r="AK3117">
        <v>9</v>
      </c>
      <c r="AL3117" t="s">
        <v>479</v>
      </c>
      <c r="AM3117" t="s">
        <v>480</v>
      </c>
      <c r="AN3117" t="s">
        <v>481</v>
      </c>
      <c r="AO3117" t="s">
        <v>34749</v>
      </c>
      <c r="AP3117" t="s">
        <v>74</v>
      </c>
      <c r="AQ3117" t="s">
        <v>74</v>
      </c>
      <c r="AR3117" t="s">
        <v>34750</v>
      </c>
      <c r="AS3117" t="s">
        <v>34751</v>
      </c>
      <c r="AT3117" t="s">
        <v>124</v>
      </c>
      <c r="AU3117">
        <v>2021</v>
      </c>
      <c r="AV3117">
        <v>13</v>
      </c>
      <c r="AW3117">
        <v>4</v>
      </c>
      <c r="AX3117" t="s">
        <v>74</v>
      </c>
      <c r="AY3117" t="s">
        <v>74</v>
      </c>
      <c r="AZ3117" t="s">
        <v>74</v>
      </c>
      <c r="BA3117" t="s">
        <v>74</v>
      </c>
      <c r="BB3117">
        <v>316</v>
      </c>
      <c r="BC3117">
        <v>334</v>
      </c>
      <c r="BD3117" t="s">
        <v>74</v>
      </c>
      <c r="BE3117" t="s">
        <v>51441</v>
      </c>
      <c r="BF3117" t="str">
        <f>HYPERLINK("http://dx.doi.org/10.1002/pop4.324","http://dx.doi.org/10.1002/pop4.324")</f>
        <v>http://dx.doi.org/10.1002/pop4.324</v>
      </c>
      <c r="BG3117" t="s">
        <v>74</v>
      </c>
      <c r="BH3117" t="s">
        <v>2730</v>
      </c>
      <c r="BI3117">
        <v>19</v>
      </c>
      <c r="BJ3117" t="s">
        <v>2045</v>
      </c>
      <c r="BK3117" t="s">
        <v>313</v>
      </c>
      <c r="BL3117" t="s">
        <v>2045</v>
      </c>
      <c r="BM3117" t="s">
        <v>51442</v>
      </c>
      <c r="BN3117" t="s">
        <v>74</v>
      </c>
      <c r="BO3117" t="s">
        <v>270</v>
      </c>
      <c r="BP3117" t="s">
        <v>74</v>
      </c>
      <c r="BQ3117" t="s">
        <v>74</v>
      </c>
      <c r="BR3117" t="s">
        <v>102</v>
      </c>
      <c r="BS3117" t="s">
        <v>51443</v>
      </c>
      <c r="BT3117" t="str">
        <f>HYPERLINK("https%3A%2F%2Fwww.webofscience.com%2Fwos%2Fwoscc%2Ffull-record%2FWOS:000729912800001","View Full Record in Web of Science")</f>
        <v>View Full Record in Web of Science</v>
      </c>
    </row>
    <row r="3118" spans="1:72" x14ac:dyDescent="0.25">
      <c r="A3118" t="s">
        <v>72</v>
      </c>
      <c r="B3118" t="s">
        <v>51444</v>
      </c>
      <c r="C3118" t="s">
        <v>74</v>
      </c>
      <c r="D3118" t="s">
        <v>74</v>
      </c>
      <c r="E3118" t="s">
        <v>74</v>
      </c>
      <c r="F3118" t="s">
        <v>51445</v>
      </c>
      <c r="G3118" t="s">
        <v>74</v>
      </c>
      <c r="H3118" t="s">
        <v>74</v>
      </c>
      <c r="I3118" t="s">
        <v>51446</v>
      </c>
      <c r="J3118" t="s">
        <v>51447</v>
      </c>
      <c r="K3118" t="s">
        <v>74</v>
      </c>
      <c r="L3118" t="s">
        <v>74</v>
      </c>
      <c r="M3118" t="s">
        <v>78</v>
      </c>
      <c r="N3118" t="s">
        <v>79</v>
      </c>
      <c r="O3118" t="s">
        <v>74</v>
      </c>
      <c r="P3118" t="s">
        <v>74</v>
      </c>
      <c r="Q3118" t="s">
        <v>74</v>
      </c>
      <c r="R3118" t="s">
        <v>74</v>
      </c>
      <c r="S3118" t="s">
        <v>74</v>
      </c>
      <c r="T3118" t="s">
        <v>51448</v>
      </c>
      <c r="U3118" t="s">
        <v>51449</v>
      </c>
      <c r="V3118" t="s">
        <v>51450</v>
      </c>
      <c r="W3118" t="s">
        <v>51451</v>
      </c>
      <c r="X3118" t="s">
        <v>51452</v>
      </c>
      <c r="Y3118" t="s">
        <v>51453</v>
      </c>
      <c r="Z3118" t="s">
        <v>51454</v>
      </c>
      <c r="AA3118" t="s">
        <v>51455</v>
      </c>
      <c r="AB3118" t="s">
        <v>51456</v>
      </c>
      <c r="AC3118" t="s">
        <v>74</v>
      </c>
      <c r="AD3118" t="s">
        <v>74</v>
      </c>
      <c r="AE3118" t="s">
        <v>74</v>
      </c>
      <c r="AF3118" t="s">
        <v>74</v>
      </c>
      <c r="AG3118">
        <v>136</v>
      </c>
      <c r="AH3118">
        <v>2</v>
      </c>
      <c r="AI3118">
        <v>2</v>
      </c>
      <c r="AJ3118">
        <v>7</v>
      </c>
      <c r="AK3118">
        <v>9</v>
      </c>
      <c r="AL3118" t="s">
        <v>575</v>
      </c>
      <c r="AM3118" t="s">
        <v>576</v>
      </c>
      <c r="AN3118" t="s">
        <v>577</v>
      </c>
      <c r="AO3118" t="s">
        <v>74</v>
      </c>
      <c r="AP3118" t="s">
        <v>51457</v>
      </c>
      <c r="AQ3118" t="s">
        <v>74</v>
      </c>
      <c r="AR3118" t="s">
        <v>51458</v>
      </c>
      <c r="AS3118" t="s">
        <v>51459</v>
      </c>
      <c r="AT3118" t="s">
        <v>51460</v>
      </c>
      <c r="AU3118">
        <v>2025</v>
      </c>
      <c r="AV3118">
        <v>15</v>
      </c>
      <c r="AW3118">
        <v>10</v>
      </c>
      <c r="AX3118" t="s">
        <v>74</v>
      </c>
      <c r="AY3118" t="s">
        <v>74</v>
      </c>
      <c r="AZ3118" t="s">
        <v>74</v>
      </c>
      <c r="BA3118" t="s">
        <v>74</v>
      </c>
      <c r="BB3118" t="s">
        <v>74</v>
      </c>
      <c r="BC3118" t="s">
        <v>74</v>
      </c>
      <c r="BD3118">
        <v>5282</v>
      </c>
      <c r="BE3118" t="s">
        <v>51461</v>
      </c>
      <c r="BF3118" t="str">
        <f>HYPERLINK("http://dx.doi.org/10.3390/app15105282","http://dx.doi.org/10.3390/app15105282")</f>
        <v>http://dx.doi.org/10.3390/app15105282</v>
      </c>
      <c r="BG3118" t="s">
        <v>74</v>
      </c>
      <c r="BH3118" t="s">
        <v>74</v>
      </c>
      <c r="BI3118">
        <v>50</v>
      </c>
      <c r="BJ3118" t="s">
        <v>51462</v>
      </c>
      <c r="BK3118" t="s">
        <v>128</v>
      </c>
      <c r="BL3118" t="s">
        <v>51463</v>
      </c>
      <c r="BM3118" t="s">
        <v>51464</v>
      </c>
      <c r="BN3118" t="s">
        <v>74</v>
      </c>
      <c r="BO3118" t="s">
        <v>212</v>
      </c>
      <c r="BP3118" t="s">
        <v>74</v>
      </c>
      <c r="BQ3118" t="s">
        <v>74</v>
      </c>
      <c r="BR3118" t="s">
        <v>102</v>
      </c>
      <c r="BS3118" t="s">
        <v>51465</v>
      </c>
      <c r="BT3118" t="str">
        <f>HYPERLINK("https%3A%2F%2Fwww.webofscience.com%2Fwos%2Fwoscc%2Ffull-record%2FWOS:001495858400001","View Full Record in Web of Science")</f>
        <v>View Full Record in Web of Science</v>
      </c>
    </row>
    <row r="3119" spans="1:72" x14ac:dyDescent="0.25">
      <c r="A3119" t="s">
        <v>8303</v>
      </c>
      <c r="B3119" t="s">
        <v>51466</v>
      </c>
      <c r="C3119" t="s">
        <v>51467</v>
      </c>
      <c r="D3119" t="s">
        <v>74</v>
      </c>
      <c r="E3119" t="s">
        <v>74</v>
      </c>
      <c r="F3119" t="s">
        <v>51468</v>
      </c>
      <c r="G3119" t="s">
        <v>51467</v>
      </c>
      <c r="H3119" t="s">
        <v>74</v>
      </c>
      <c r="I3119" t="s">
        <v>51469</v>
      </c>
      <c r="J3119" t="s">
        <v>51470</v>
      </c>
      <c r="K3119" t="s">
        <v>74</v>
      </c>
      <c r="L3119" t="s">
        <v>74</v>
      </c>
      <c r="M3119" t="s">
        <v>78</v>
      </c>
      <c r="N3119" t="s">
        <v>6023</v>
      </c>
      <c r="O3119" t="s">
        <v>74</v>
      </c>
      <c r="P3119" t="s">
        <v>74</v>
      </c>
      <c r="Q3119" t="s">
        <v>74</v>
      </c>
      <c r="R3119" t="s">
        <v>74</v>
      </c>
      <c r="S3119" t="s">
        <v>74</v>
      </c>
      <c r="T3119" t="s">
        <v>74</v>
      </c>
      <c r="U3119" t="s">
        <v>74</v>
      </c>
      <c r="V3119" t="s">
        <v>51471</v>
      </c>
      <c r="W3119" t="s">
        <v>51472</v>
      </c>
      <c r="X3119" t="s">
        <v>40508</v>
      </c>
      <c r="Y3119" t="s">
        <v>18111</v>
      </c>
      <c r="Z3119" t="s">
        <v>74</v>
      </c>
      <c r="AA3119" t="s">
        <v>7428</v>
      </c>
      <c r="AB3119" t="s">
        <v>51473</v>
      </c>
      <c r="AC3119" t="s">
        <v>74</v>
      </c>
      <c r="AD3119" t="s">
        <v>74</v>
      </c>
      <c r="AE3119" t="s">
        <v>74</v>
      </c>
      <c r="AF3119" t="s">
        <v>74</v>
      </c>
      <c r="AG3119">
        <v>42</v>
      </c>
      <c r="AH3119">
        <v>3</v>
      </c>
      <c r="AI3119">
        <v>3</v>
      </c>
      <c r="AJ3119">
        <v>0</v>
      </c>
      <c r="AK3119">
        <v>6</v>
      </c>
      <c r="AL3119" t="s">
        <v>7551</v>
      </c>
      <c r="AM3119" t="s">
        <v>28825</v>
      </c>
      <c r="AN3119" t="s">
        <v>28824</v>
      </c>
      <c r="AO3119" t="s">
        <v>74</v>
      </c>
      <c r="AP3119" t="s">
        <v>74</v>
      </c>
      <c r="AQ3119" t="s">
        <v>51474</v>
      </c>
      <c r="AR3119" t="s">
        <v>74</v>
      </c>
      <c r="AS3119" t="s">
        <v>74</v>
      </c>
      <c r="AT3119" t="s">
        <v>74</v>
      </c>
      <c r="AU3119">
        <v>2013</v>
      </c>
      <c r="AV3119" t="s">
        <v>74</v>
      </c>
      <c r="AW3119" t="s">
        <v>74</v>
      </c>
      <c r="AX3119" t="s">
        <v>74</v>
      </c>
      <c r="AY3119" t="s">
        <v>74</v>
      </c>
      <c r="AZ3119" t="s">
        <v>74</v>
      </c>
      <c r="BA3119" t="s">
        <v>74</v>
      </c>
      <c r="BB3119">
        <v>105</v>
      </c>
      <c r="BC3119">
        <v>130</v>
      </c>
      <c r="BD3119" t="s">
        <v>74</v>
      </c>
      <c r="BE3119" t="s">
        <v>51475</v>
      </c>
      <c r="BF3119" t="str">
        <f>HYPERLINK("http://dx.doi.org/10.4018/978-1-4666-4173-0.ch006","http://dx.doi.org/10.4018/978-1-4666-4173-0.ch006")</f>
        <v>http://dx.doi.org/10.4018/978-1-4666-4173-0.ch006</v>
      </c>
      <c r="BG3119" t="s">
        <v>51476</v>
      </c>
      <c r="BH3119" t="s">
        <v>74</v>
      </c>
      <c r="BI3119">
        <v>26</v>
      </c>
      <c r="BJ3119" t="s">
        <v>51477</v>
      </c>
      <c r="BK3119" t="s">
        <v>51478</v>
      </c>
      <c r="BL3119" t="s">
        <v>51479</v>
      </c>
      <c r="BM3119" t="s">
        <v>51480</v>
      </c>
      <c r="BN3119" t="s">
        <v>74</v>
      </c>
      <c r="BO3119" t="s">
        <v>74</v>
      </c>
      <c r="BP3119" t="s">
        <v>74</v>
      </c>
      <c r="BQ3119" t="s">
        <v>74</v>
      </c>
      <c r="BR3119" t="s">
        <v>102</v>
      </c>
      <c r="BS3119" t="s">
        <v>51481</v>
      </c>
      <c r="BT3119" t="str">
        <f>HYPERLINK("https%3A%2F%2Fwww.webofscience.com%2Fwos%2Fwoscc%2Ffull-record%2FWOS:000398771300008","View Full Record in Web of Science")</f>
        <v>View Full Record in Web of Science</v>
      </c>
    </row>
    <row r="3120" spans="1:72" x14ac:dyDescent="0.25">
      <c r="A3120" t="s">
        <v>72</v>
      </c>
      <c r="B3120" t="s">
        <v>51482</v>
      </c>
      <c r="C3120" t="s">
        <v>74</v>
      </c>
      <c r="D3120" t="s">
        <v>74</v>
      </c>
      <c r="E3120" t="s">
        <v>74</v>
      </c>
      <c r="F3120" t="s">
        <v>51483</v>
      </c>
      <c r="G3120" t="s">
        <v>74</v>
      </c>
      <c r="H3120" t="s">
        <v>74</v>
      </c>
      <c r="I3120" t="s">
        <v>51484</v>
      </c>
      <c r="J3120" t="s">
        <v>51485</v>
      </c>
      <c r="K3120" t="s">
        <v>74</v>
      </c>
      <c r="L3120" t="s">
        <v>74</v>
      </c>
      <c r="M3120" t="s">
        <v>78</v>
      </c>
      <c r="N3120" t="s">
        <v>79</v>
      </c>
      <c r="O3120" t="s">
        <v>74</v>
      </c>
      <c r="P3120" t="s">
        <v>74</v>
      </c>
      <c r="Q3120" t="s">
        <v>74</v>
      </c>
      <c r="R3120" t="s">
        <v>74</v>
      </c>
      <c r="S3120" t="s">
        <v>74</v>
      </c>
      <c r="T3120" t="s">
        <v>51486</v>
      </c>
      <c r="U3120" t="s">
        <v>51487</v>
      </c>
      <c r="V3120" t="s">
        <v>51488</v>
      </c>
      <c r="W3120" t="s">
        <v>51489</v>
      </c>
      <c r="X3120" t="s">
        <v>51490</v>
      </c>
      <c r="Y3120" t="s">
        <v>51491</v>
      </c>
      <c r="Z3120" t="s">
        <v>51492</v>
      </c>
      <c r="AA3120" t="s">
        <v>74</v>
      </c>
      <c r="AB3120" t="s">
        <v>51493</v>
      </c>
      <c r="AC3120" t="s">
        <v>51494</v>
      </c>
      <c r="AD3120" t="s">
        <v>51495</v>
      </c>
      <c r="AE3120" t="s">
        <v>51496</v>
      </c>
      <c r="AF3120" t="s">
        <v>74</v>
      </c>
      <c r="AG3120">
        <v>84</v>
      </c>
      <c r="AH3120">
        <v>0</v>
      </c>
      <c r="AI3120">
        <v>0</v>
      </c>
      <c r="AJ3120">
        <v>8</v>
      </c>
      <c r="AK3120">
        <v>8</v>
      </c>
      <c r="AL3120" t="s">
        <v>757</v>
      </c>
      <c r="AM3120" t="s">
        <v>758</v>
      </c>
      <c r="AN3120" t="s">
        <v>759</v>
      </c>
      <c r="AO3120" t="s">
        <v>51497</v>
      </c>
      <c r="AP3120" t="s">
        <v>74</v>
      </c>
      <c r="AQ3120" t="s">
        <v>74</v>
      </c>
      <c r="AR3120" t="s">
        <v>51498</v>
      </c>
      <c r="AS3120" t="s">
        <v>51499</v>
      </c>
      <c r="AT3120" t="s">
        <v>698</v>
      </c>
      <c r="AU3120">
        <v>2025</v>
      </c>
      <c r="AV3120">
        <v>12</v>
      </c>
      <c r="AW3120">
        <v>3</v>
      </c>
      <c r="AX3120" t="s">
        <v>74</v>
      </c>
      <c r="AY3120" t="s">
        <v>74</v>
      </c>
      <c r="AZ3120" t="s">
        <v>74</v>
      </c>
      <c r="BA3120" t="s">
        <v>74</v>
      </c>
      <c r="BB3120" t="s">
        <v>74</v>
      </c>
      <c r="BC3120" t="s">
        <v>74</v>
      </c>
      <c r="BD3120">
        <v>2.053951725135132E+16</v>
      </c>
      <c r="BE3120" t="s">
        <v>51500</v>
      </c>
      <c r="BF3120" t="str">
        <f>HYPERLINK("http://dx.doi.org/10.1177/20539517251351321","http://dx.doi.org/10.1177/20539517251351321")</f>
        <v>http://dx.doi.org/10.1177/20539517251351321</v>
      </c>
      <c r="BG3120" t="s">
        <v>74</v>
      </c>
      <c r="BH3120" t="s">
        <v>74</v>
      </c>
      <c r="BI3120">
        <v>18</v>
      </c>
      <c r="BJ3120" t="s">
        <v>364</v>
      </c>
      <c r="BK3120" t="s">
        <v>99</v>
      </c>
      <c r="BL3120" t="s">
        <v>365</v>
      </c>
      <c r="BM3120" t="s">
        <v>51501</v>
      </c>
      <c r="BN3120" t="s">
        <v>74</v>
      </c>
      <c r="BO3120" t="s">
        <v>916</v>
      </c>
      <c r="BP3120" t="s">
        <v>74</v>
      </c>
      <c r="BQ3120" t="s">
        <v>74</v>
      </c>
      <c r="BR3120" t="s">
        <v>102</v>
      </c>
      <c r="BS3120" t="s">
        <v>51502</v>
      </c>
      <c r="BT3120" t="str">
        <f>HYPERLINK("https%3A%2F%2Fwww.webofscience.com%2Fwos%2Fwoscc%2Ffull-record%2FWOS:001541758900001","View Full Record in Web of Science")</f>
        <v>View Full Record in Web of Science</v>
      </c>
    </row>
    <row r="3121" spans="1:72" x14ac:dyDescent="0.25">
      <c r="A3121" t="s">
        <v>132</v>
      </c>
      <c r="B3121" t="s">
        <v>51503</v>
      </c>
      <c r="C3121" t="s">
        <v>74</v>
      </c>
      <c r="D3121" t="s">
        <v>51504</v>
      </c>
      <c r="E3121" t="s">
        <v>74</v>
      </c>
      <c r="F3121" t="s">
        <v>51505</v>
      </c>
      <c r="G3121" t="s">
        <v>74</v>
      </c>
      <c r="H3121" t="s">
        <v>74</v>
      </c>
      <c r="I3121" t="s">
        <v>51506</v>
      </c>
      <c r="J3121" t="s">
        <v>51507</v>
      </c>
      <c r="K3121" t="s">
        <v>51508</v>
      </c>
      <c r="L3121" t="s">
        <v>74</v>
      </c>
      <c r="M3121" t="s">
        <v>78</v>
      </c>
      <c r="N3121" t="s">
        <v>138</v>
      </c>
      <c r="O3121" t="s">
        <v>51509</v>
      </c>
      <c r="P3121" t="s">
        <v>51510</v>
      </c>
      <c r="Q3121" t="s">
        <v>51511</v>
      </c>
      <c r="R3121" t="s">
        <v>51512</v>
      </c>
      <c r="S3121" t="s">
        <v>2854</v>
      </c>
      <c r="T3121" t="s">
        <v>51513</v>
      </c>
      <c r="U3121" t="s">
        <v>74</v>
      </c>
      <c r="V3121" t="s">
        <v>51514</v>
      </c>
      <c r="W3121" t="s">
        <v>51515</v>
      </c>
      <c r="X3121" t="s">
        <v>74</v>
      </c>
      <c r="Y3121" t="s">
        <v>51516</v>
      </c>
      <c r="Z3121" t="s">
        <v>51517</v>
      </c>
      <c r="AA3121" t="s">
        <v>74</v>
      </c>
      <c r="AB3121" t="s">
        <v>74</v>
      </c>
      <c r="AC3121" t="s">
        <v>74</v>
      </c>
      <c r="AD3121" t="s">
        <v>74</v>
      </c>
      <c r="AE3121" t="s">
        <v>74</v>
      </c>
      <c r="AF3121" t="s">
        <v>74</v>
      </c>
      <c r="AG3121">
        <v>12</v>
      </c>
      <c r="AH3121">
        <v>0</v>
      </c>
      <c r="AI3121">
        <v>0</v>
      </c>
      <c r="AJ3121">
        <v>0</v>
      </c>
      <c r="AK3121">
        <v>0</v>
      </c>
      <c r="AL3121" t="s">
        <v>51518</v>
      </c>
      <c r="AM3121" t="s">
        <v>1402</v>
      </c>
      <c r="AN3121" t="s">
        <v>51519</v>
      </c>
      <c r="AO3121" t="s">
        <v>51520</v>
      </c>
      <c r="AP3121" t="s">
        <v>51521</v>
      </c>
      <c r="AQ3121" t="s">
        <v>74</v>
      </c>
      <c r="AR3121" t="s">
        <v>51522</v>
      </c>
      <c r="AS3121" t="s">
        <v>74</v>
      </c>
      <c r="AT3121" t="s">
        <v>74</v>
      </c>
      <c r="AU3121">
        <v>2025</v>
      </c>
      <c r="AV3121" t="s">
        <v>74</v>
      </c>
      <c r="AW3121" t="s">
        <v>74</v>
      </c>
      <c r="AX3121" t="s">
        <v>74</v>
      </c>
      <c r="AY3121" t="s">
        <v>74</v>
      </c>
      <c r="AZ3121" t="s">
        <v>74</v>
      </c>
      <c r="BA3121" t="s">
        <v>74</v>
      </c>
      <c r="BB3121">
        <v>277</v>
      </c>
      <c r="BC3121">
        <v>281</v>
      </c>
      <c r="BD3121" t="s">
        <v>74</v>
      </c>
      <c r="BE3121" t="s">
        <v>74</v>
      </c>
      <c r="BF3121" t="s">
        <v>74</v>
      </c>
      <c r="BG3121" t="s">
        <v>74</v>
      </c>
      <c r="BH3121" t="s">
        <v>74</v>
      </c>
      <c r="BI3121">
        <v>5</v>
      </c>
      <c r="BJ3121" t="s">
        <v>51523</v>
      </c>
      <c r="BK3121" t="s">
        <v>156</v>
      </c>
      <c r="BL3121" t="s">
        <v>157</v>
      </c>
      <c r="BM3121" t="s">
        <v>51524</v>
      </c>
      <c r="BN3121" t="s">
        <v>74</v>
      </c>
      <c r="BO3121" t="s">
        <v>74</v>
      </c>
      <c r="BP3121" t="s">
        <v>74</v>
      </c>
      <c r="BQ3121" t="s">
        <v>74</v>
      </c>
      <c r="BR3121" t="s">
        <v>102</v>
      </c>
      <c r="BS3121" t="s">
        <v>51525</v>
      </c>
      <c r="BT3121" t="str">
        <f>HYPERLINK("https%3A%2F%2Fwww.webofscience.com%2Fwos%2Fwoscc%2Ffull-record%2FWOS:001609884000032","View Full Record in Web of Science")</f>
        <v>View Full Record in Web of Science</v>
      </c>
    </row>
    <row r="3122" spans="1:72" x14ac:dyDescent="0.25">
      <c r="A3122" t="s">
        <v>72</v>
      </c>
      <c r="B3122" t="s">
        <v>51526</v>
      </c>
      <c r="C3122" t="s">
        <v>74</v>
      </c>
      <c r="D3122" t="s">
        <v>74</v>
      </c>
      <c r="E3122" t="s">
        <v>74</v>
      </c>
      <c r="F3122" t="s">
        <v>51527</v>
      </c>
      <c r="G3122" t="s">
        <v>74</v>
      </c>
      <c r="H3122" t="s">
        <v>74</v>
      </c>
      <c r="I3122" t="s">
        <v>51528</v>
      </c>
      <c r="J3122" t="s">
        <v>20213</v>
      </c>
      <c r="K3122" t="s">
        <v>74</v>
      </c>
      <c r="L3122" t="s">
        <v>74</v>
      </c>
      <c r="M3122" t="s">
        <v>78</v>
      </c>
      <c r="N3122" t="s">
        <v>372</v>
      </c>
      <c r="O3122" t="s">
        <v>74</v>
      </c>
      <c r="P3122" t="s">
        <v>74</v>
      </c>
      <c r="Q3122" t="s">
        <v>74</v>
      </c>
      <c r="R3122" t="s">
        <v>74</v>
      </c>
      <c r="S3122" t="s">
        <v>74</v>
      </c>
      <c r="T3122" t="s">
        <v>51529</v>
      </c>
      <c r="U3122" t="s">
        <v>51530</v>
      </c>
      <c r="V3122" t="s">
        <v>51531</v>
      </c>
      <c r="W3122" t="s">
        <v>51532</v>
      </c>
      <c r="X3122" t="s">
        <v>29621</v>
      </c>
      <c r="Y3122" t="s">
        <v>51533</v>
      </c>
      <c r="Z3122" t="s">
        <v>51534</v>
      </c>
      <c r="AA3122" t="s">
        <v>51535</v>
      </c>
      <c r="AB3122" t="s">
        <v>51536</v>
      </c>
      <c r="AC3122" t="s">
        <v>74</v>
      </c>
      <c r="AD3122" t="s">
        <v>74</v>
      </c>
      <c r="AE3122" t="s">
        <v>51537</v>
      </c>
      <c r="AF3122" t="s">
        <v>74</v>
      </c>
      <c r="AG3122">
        <v>80</v>
      </c>
      <c r="AH3122">
        <v>3</v>
      </c>
      <c r="AI3122">
        <v>3</v>
      </c>
      <c r="AJ3122">
        <v>1</v>
      </c>
      <c r="AK3122">
        <v>8</v>
      </c>
      <c r="AL3122" t="s">
        <v>89</v>
      </c>
      <c r="AM3122" t="s">
        <v>90</v>
      </c>
      <c r="AN3122" t="s">
        <v>91</v>
      </c>
      <c r="AO3122" t="s">
        <v>20205</v>
      </c>
      <c r="AP3122" t="s">
        <v>20204</v>
      </c>
      <c r="AQ3122" t="s">
        <v>74</v>
      </c>
      <c r="AR3122" t="s">
        <v>20203</v>
      </c>
      <c r="AS3122" t="s">
        <v>20202</v>
      </c>
      <c r="AT3122" t="s">
        <v>51538</v>
      </c>
      <c r="AU3122">
        <v>2024</v>
      </c>
      <c r="AV3122" t="s">
        <v>74</v>
      </c>
      <c r="AW3122" t="s">
        <v>74</v>
      </c>
      <c r="AX3122" t="s">
        <v>74</v>
      </c>
      <c r="AY3122" t="s">
        <v>74</v>
      </c>
      <c r="AZ3122" t="s">
        <v>74</v>
      </c>
      <c r="BA3122" t="s">
        <v>74</v>
      </c>
      <c r="BB3122" t="s">
        <v>74</v>
      </c>
      <c r="BC3122" t="s">
        <v>74</v>
      </c>
      <c r="BD3122" t="s">
        <v>74</v>
      </c>
      <c r="BE3122" t="s">
        <v>51539</v>
      </c>
      <c r="BF3122" t="str">
        <f>HYPERLINK("http://dx.doi.org/10.1108/JIABR-03-2024-0114","http://dx.doi.org/10.1108/JIABR-03-2024-0114")</f>
        <v>http://dx.doi.org/10.1108/JIABR-03-2024-0114</v>
      </c>
      <c r="BG3122" t="s">
        <v>74</v>
      </c>
      <c r="BH3122" t="s">
        <v>9389</v>
      </c>
      <c r="BI3122">
        <v>19</v>
      </c>
      <c r="BJ3122" t="s">
        <v>268</v>
      </c>
      <c r="BK3122" t="s">
        <v>313</v>
      </c>
      <c r="BL3122" t="s">
        <v>100</v>
      </c>
      <c r="BM3122" t="s">
        <v>51540</v>
      </c>
      <c r="BN3122" t="s">
        <v>74</v>
      </c>
      <c r="BO3122" t="s">
        <v>74</v>
      </c>
      <c r="BP3122" t="s">
        <v>74</v>
      </c>
      <c r="BQ3122" t="s">
        <v>74</v>
      </c>
      <c r="BR3122" t="s">
        <v>102</v>
      </c>
      <c r="BS3122" t="s">
        <v>51541</v>
      </c>
      <c r="BT3122" t="str">
        <f>HYPERLINK("https%3A%2F%2Fwww.webofscience.com%2Fwos%2Fwoscc%2Ffull-record%2FWOS:001314946700001","View Full Record in Web of Science")</f>
        <v>View Full Record in Web of Science</v>
      </c>
    </row>
    <row r="3123" spans="1:72" x14ac:dyDescent="0.25">
      <c r="A3123" t="s">
        <v>72</v>
      </c>
      <c r="B3123" t="s">
        <v>51542</v>
      </c>
      <c r="C3123" t="s">
        <v>74</v>
      </c>
      <c r="D3123" t="s">
        <v>74</v>
      </c>
      <c r="E3123" t="s">
        <v>74</v>
      </c>
      <c r="F3123" t="s">
        <v>51543</v>
      </c>
      <c r="G3123" t="s">
        <v>74</v>
      </c>
      <c r="H3123" t="s">
        <v>74</v>
      </c>
      <c r="I3123" t="s">
        <v>51544</v>
      </c>
      <c r="J3123" t="s">
        <v>51545</v>
      </c>
      <c r="K3123" t="s">
        <v>74</v>
      </c>
      <c r="L3123" t="s">
        <v>74</v>
      </c>
      <c r="M3123" t="s">
        <v>78</v>
      </c>
      <c r="N3123" t="s">
        <v>79</v>
      </c>
      <c r="O3123" t="s">
        <v>74</v>
      </c>
      <c r="P3123" t="s">
        <v>74</v>
      </c>
      <c r="Q3123" t="s">
        <v>74</v>
      </c>
      <c r="R3123" t="s">
        <v>74</v>
      </c>
      <c r="S3123" t="s">
        <v>74</v>
      </c>
      <c r="T3123" t="s">
        <v>51546</v>
      </c>
      <c r="U3123" t="s">
        <v>51547</v>
      </c>
      <c r="V3123" t="s">
        <v>51548</v>
      </c>
      <c r="W3123" t="s">
        <v>74</v>
      </c>
      <c r="X3123" t="s">
        <v>74</v>
      </c>
      <c r="Y3123" t="s">
        <v>51549</v>
      </c>
      <c r="Z3123" t="s">
        <v>51550</v>
      </c>
      <c r="AA3123" t="s">
        <v>74</v>
      </c>
      <c r="AB3123" t="s">
        <v>51551</v>
      </c>
      <c r="AC3123" t="s">
        <v>74</v>
      </c>
      <c r="AD3123" t="s">
        <v>74</v>
      </c>
      <c r="AE3123" t="s">
        <v>74</v>
      </c>
      <c r="AF3123" t="s">
        <v>74</v>
      </c>
      <c r="AG3123">
        <v>34</v>
      </c>
      <c r="AH3123">
        <v>46</v>
      </c>
      <c r="AI3123">
        <v>56</v>
      </c>
      <c r="AJ3123">
        <v>0</v>
      </c>
      <c r="AK3123">
        <v>21</v>
      </c>
      <c r="AL3123" t="s">
        <v>51552</v>
      </c>
      <c r="AM3123" t="s">
        <v>51553</v>
      </c>
      <c r="AN3123" t="s">
        <v>51554</v>
      </c>
      <c r="AO3123" t="s">
        <v>51555</v>
      </c>
      <c r="AP3123" t="s">
        <v>51556</v>
      </c>
      <c r="AQ3123" t="s">
        <v>74</v>
      </c>
      <c r="AR3123" t="s">
        <v>51557</v>
      </c>
      <c r="AS3123" t="s">
        <v>51558</v>
      </c>
      <c r="AT3123" t="s">
        <v>1652</v>
      </c>
      <c r="AU3123">
        <v>2020</v>
      </c>
      <c r="AV3123">
        <v>8</v>
      </c>
      <c r="AW3123">
        <v>2</v>
      </c>
      <c r="AX3123" t="s">
        <v>74</v>
      </c>
      <c r="AY3123" t="s">
        <v>74</v>
      </c>
      <c r="AZ3123" t="s">
        <v>74</v>
      </c>
      <c r="BA3123" t="s">
        <v>74</v>
      </c>
      <c r="BB3123">
        <v>127</v>
      </c>
      <c r="BC3123">
        <v>140</v>
      </c>
      <c r="BD3123" t="s">
        <v>74</v>
      </c>
      <c r="BE3123" t="s">
        <v>51559</v>
      </c>
      <c r="BF3123" t="str">
        <f>HYPERLINK("http://dx.doi.org/10.15678/EBER.2020.080207","http://dx.doi.org/10.15678/EBER.2020.080207")</f>
        <v>http://dx.doi.org/10.15678/EBER.2020.080207</v>
      </c>
      <c r="BG3123" t="s">
        <v>74</v>
      </c>
      <c r="BH3123" t="s">
        <v>74</v>
      </c>
      <c r="BI3123">
        <v>14</v>
      </c>
      <c r="BJ3123" t="s">
        <v>291</v>
      </c>
      <c r="BK3123" t="s">
        <v>313</v>
      </c>
      <c r="BL3123" t="s">
        <v>100</v>
      </c>
      <c r="BM3123" t="s">
        <v>51560</v>
      </c>
      <c r="BN3123" t="s">
        <v>74</v>
      </c>
      <c r="BO3123" t="s">
        <v>212</v>
      </c>
      <c r="BP3123" t="s">
        <v>74</v>
      </c>
      <c r="BQ3123" t="s">
        <v>74</v>
      </c>
      <c r="BR3123" t="s">
        <v>102</v>
      </c>
      <c r="BS3123" t="s">
        <v>51561</v>
      </c>
      <c r="BT3123" t="str">
        <f>HYPERLINK("https%3A%2F%2Fwww.webofscience.com%2Fwos%2Fwoscc%2Ffull-record%2FWOS:000601167300007","View Full Record in Web of Science")</f>
        <v>View Full Record in Web of Science</v>
      </c>
    </row>
    <row r="3124" spans="1:72" x14ac:dyDescent="0.25">
      <c r="A3124" t="s">
        <v>72</v>
      </c>
      <c r="B3124" t="s">
        <v>51562</v>
      </c>
      <c r="C3124" t="s">
        <v>74</v>
      </c>
      <c r="D3124" t="s">
        <v>74</v>
      </c>
      <c r="E3124" t="s">
        <v>74</v>
      </c>
      <c r="F3124" t="s">
        <v>51563</v>
      </c>
      <c r="G3124" t="s">
        <v>74</v>
      </c>
      <c r="H3124" t="s">
        <v>74</v>
      </c>
      <c r="I3124" t="s">
        <v>51564</v>
      </c>
      <c r="J3124" t="s">
        <v>11074</v>
      </c>
      <c r="K3124" t="s">
        <v>74</v>
      </c>
      <c r="L3124" t="s">
        <v>74</v>
      </c>
      <c r="M3124" t="s">
        <v>78</v>
      </c>
      <c r="N3124" t="s">
        <v>79</v>
      </c>
      <c r="O3124" t="s">
        <v>74</v>
      </c>
      <c r="P3124" t="s">
        <v>74</v>
      </c>
      <c r="Q3124" t="s">
        <v>74</v>
      </c>
      <c r="R3124" t="s">
        <v>74</v>
      </c>
      <c r="S3124" t="s">
        <v>74</v>
      </c>
      <c r="T3124" t="s">
        <v>51565</v>
      </c>
      <c r="U3124" t="s">
        <v>74</v>
      </c>
      <c r="V3124" t="s">
        <v>51566</v>
      </c>
      <c r="W3124" t="s">
        <v>51567</v>
      </c>
      <c r="X3124" t="s">
        <v>51568</v>
      </c>
      <c r="Y3124" t="s">
        <v>51569</v>
      </c>
      <c r="Z3124" t="s">
        <v>51570</v>
      </c>
      <c r="AA3124" t="s">
        <v>51571</v>
      </c>
      <c r="AB3124" t="s">
        <v>51572</v>
      </c>
      <c r="AC3124" t="s">
        <v>74</v>
      </c>
      <c r="AD3124" t="s">
        <v>74</v>
      </c>
      <c r="AE3124" t="s">
        <v>74</v>
      </c>
      <c r="AF3124" t="s">
        <v>74</v>
      </c>
      <c r="AG3124">
        <v>29</v>
      </c>
      <c r="AH3124">
        <v>6</v>
      </c>
      <c r="AI3124">
        <v>6</v>
      </c>
      <c r="AJ3124">
        <v>2</v>
      </c>
      <c r="AK3124">
        <v>14</v>
      </c>
      <c r="AL3124" t="s">
        <v>89</v>
      </c>
      <c r="AM3124" t="s">
        <v>1497</v>
      </c>
      <c r="AN3124" t="s">
        <v>1498</v>
      </c>
      <c r="AO3124" t="s">
        <v>11083</v>
      </c>
      <c r="AP3124" t="s">
        <v>11084</v>
      </c>
      <c r="AQ3124" t="s">
        <v>74</v>
      </c>
      <c r="AR3124" t="s">
        <v>11085</v>
      </c>
      <c r="AS3124" t="s">
        <v>11086</v>
      </c>
      <c r="AT3124" t="s">
        <v>18018</v>
      </c>
      <c r="AU3124">
        <v>2023</v>
      </c>
      <c r="AV3124">
        <v>25</v>
      </c>
      <c r="AW3124">
        <v>5</v>
      </c>
      <c r="AX3124" t="s">
        <v>74</v>
      </c>
      <c r="AY3124" t="s">
        <v>74</v>
      </c>
      <c r="AZ3124" t="s">
        <v>74</v>
      </c>
      <c r="BA3124" t="s">
        <v>74</v>
      </c>
      <c r="BB3124">
        <v>480</v>
      </c>
      <c r="BC3124">
        <v>489</v>
      </c>
      <c r="BD3124" t="s">
        <v>74</v>
      </c>
      <c r="BE3124" t="s">
        <v>51573</v>
      </c>
      <c r="BF3124" t="str">
        <f>HYPERLINK("http://dx.doi.org/10.1108/DPRG-12-2022-0149","http://dx.doi.org/10.1108/DPRG-12-2022-0149")</f>
        <v>http://dx.doi.org/10.1108/DPRG-12-2022-0149</v>
      </c>
      <c r="BG3124" t="s">
        <v>74</v>
      </c>
      <c r="BH3124" t="s">
        <v>13995</v>
      </c>
      <c r="BI3124">
        <v>10</v>
      </c>
      <c r="BJ3124" t="s">
        <v>2351</v>
      </c>
      <c r="BK3124" t="s">
        <v>313</v>
      </c>
      <c r="BL3124" t="s">
        <v>2351</v>
      </c>
      <c r="BM3124" t="s">
        <v>51574</v>
      </c>
      <c r="BN3124" t="s">
        <v>74</v>
      </c>
      <c r="BO3124" t="s">
        <v>74</v>
      </c>
      <c r="BP3124" t="s">
        <v>74</v>
      </c>
      <c r="BQ3124" t="s">
        <v>74</v>
      </c>
      <c r="BR3124" t="s">
        <v>102</v>
      </c>
      <c r="BS3124" t="s">
        <v>51575</v>
      </c>
      <c r="BT3124" t="str">
        <f>HYPERLINK("https%3A%2F%2Fwww.webofscience.com%2Fwos%2Fwoscc%2Ffull-record%2FWOS:001006161700001","View Full Record in Web of Science")</f>
        <v>View Full Record in Web of Science</v>
      </c>
    </row>
    <row r="3125" spans="1:72" x14ac:dyDescent="0.25">
      <c r="A3125" t="s">
        <v>72</v>
      </c>
      <c r="B3125" t="s">
        <v>51576</v>
      </c>
      <c r="C3125" t="s">
        <v>74</v>
      </c>
      <c r="D3125" t="s">
        <v>74</v>
      </c>
      <c r="E3125" t="s">
        <v>74</v>
      </c>
      <c r="F3125" t="s">
        <v>51577</v>
      </c>
      <c r="G3125" t="s">
        <v>74</v>
      </c>
      <c r="H3125" t="s">
        <v>74</v>
      </c>
      <c r="I3125" t="s">
        <v>51578</v>
      </c>
      <c r="J3125" t="s">
        <v>3332</v>
      </c>
      <c r="K3125" t="s">
        <v>74</v>
      </c>
      <c r="L3125" t="s">
        <v>74</v>
      </c>
      <c r="M3125" t="s">
        <v>78</v>
      </c>
      <c r="N3125" t="s">
        <v>79</v>
      </c>
      <c r="O3125" t="s">
        <v>74</v>
      </c>
      <c r="P3125" t="s">
        <v>74</v>
      </c>
      <c r="Q3125" t="s">
        <v>74</v>
      </c>
      <c r="R3125" t="s">
        <v>74</v>
      </c>
      <c r="S3125" t="s">
        <v>74</v>
      </c>
      <c r="T3125" t="s">
        <v>51579</v>
      </c>
      <c r="U3125" t="s">
        <v>51580</v>
      </c>
      <c r="V3125" t="s">
        <v>51581</v>
      </c>
      <c r="W3125" t="s">
        <v>51582</v>
      </c>
      <c r="X3125" t="s">
        <v>1440</v>
      </c>
      <c r="Y3125" t="s">
        <v>51583</v>
      </c>
      <c r="Z3125" t="s">
        <v>51584</v>
      </c>
      <c r="AA3125" t="s">
        <v>51585</v>
      </c>
      <c r="AB3125" t="s">
        <v>51586</v>
      </c>
      <c r="AC3125" t="s">
        <v>74</v>
      </c>
      <c r="AD3125" t="s">
        <v>74</v>
      </c>
      <c r="AE3125" t="s">
        <v>74</v>
      </c>
      <c r="AF3125" t="s">
        <v>74</v>
      </c>
      <c r="AG3125">
        <v>81</v>
      </c>
      <c r="AH3125">
        <v>0</v>
      </c>
      <c r="AI3125">
        <v>0</v>
      </c>
      <c r="AJ3125">
        <v>2</v>
      </c>
      <c r="AK3125">
        <v>7</v>
      </c>
      <c r="AL3125" t="s">
        <v>89</v>
      </c>
      <c r="AM3125" t="s">
        <v>90</v>
      </c>
      <c r="AN3125" t="s">
        <v>91</v>
      </c>
      <c r="AO3125" t="s">
        <v>3345</v>
      </c>
      <c r="AP3125" t="s">
        <v>3346</v>
      </c>
      <c r="AQ3125" t="s">
        <v>74</v>
      </c>
      <c r="AR3125" t="s">
        <v>3347</v>
      </c>
      <c r="AS3125" t="s">
        <v>3348</v>
      </c>
      <c r="AT3125" t="s">
        <v>51587</v>
      </c>
      <c r="AU3125">
        <v>2025</v>
      </c>
      <c r="AV3125">
        <v>16</v>
      </c>
      <c r="AW3125">
        <v>6</v>
      </c>
      <c r="AX3125" t="s">
        <v>74</v>
      </c>
      <c r="AY3125" t="s">
        <v>74</v>
      </c>
      <c r="AZ3125" t="s">
        <v>74</v>
      </c>
      <c r="BA3125" t="s">
        <v>74</v>
      </c>
      <c r="BB3125">
        <v>1544</v>
      </c>
      <c r="BC3125">
        <v>1572</v>
      </c>
      <c r="BD3125" t="s">
        <v>74</v>
      </c>
      <c r="BE3125" t="s">
        <v>51588</v>
      </c>
      <c r="BF3125" t="str">
        <f>HYPERLINK("http://dx.doi.org/10.1108/JIMA-04-2024-0162","http://dx.doi.org/10.1108/JIMA-04-2024-0162")</f>
        <v>http://dx.doi.org/10.1108/JIMA-04-2024-0162</v>
      </c>
      <c r="BG3125" t="s">
        <v>74</v>
      </c>
      <c r="BH3125" t="s">
        <v>809</v>
      </c>
      <c r="BI3125">
        <v>29</v>
      </c>
      <c r="BJ3125" t="s">
        <v>418</v>
      </c>
      <c r="BK3125" t="s">
        <v>313</v>
      </c>
      <c r="BL3125" t="s">
        <v>100</v>
      </c>
      <c r="BM3125" t="s">
        <v>51589</v>
      </c>
      <c r="BN3125" t="s">
        <v>74</v>
      </c>
      <c r="BO3125" t="s">
        <v>74</v>
      </c>
      <c r="BP3125" t="s">
        <v>74</v>
      </c>
      <c r="BQ3125" t="s">
        <v>74</v>
      </c>
      <c r="BR3125" t="s">
        <v>102</v>
      </c>
      <c r="BS3125" t="s">
        <v>51590</v>
      </c>
      <c r="BT3125" t="str">
        <f>HYPERLINK("https%3A%2F%2Fwww.webofscience.com%2Fwos%2Fwoscc%2Ffull-record%2FWOS:001367673800001","View Full Record in Web of Science")</f>
        <v>View Full Record in Web of Science</v>
      </c>
    </row>
    <row r="3126" spans="1:72" x14ac:dyDescent="0.25">
      <c r="A3126" t="s">
        <v>72</v>
      </c>
      <c r="B3126" t="s">
        <v>51591</v>
      </c>
      <c r="C3126" t="s">
        <v>74</v>
      </c>
      <c r="D3126" t="s">
        <v>74</v>
      </c>
      <c r="E3126" t="s">
        <v>74</v>
      </c>
      <c r="F3126" t="s">
        <v>51592</v>
      </c>
      <c r="G3126" t="s">
        <v>74</v>
      </c>
      <c r="H3126" t="s">
        <v>74</v>
      </c>
      <c r="I3126" t="s">
        <v>51593</v>
      </c>
      <c r="J3126" t="s">
        <v>51594</v>
      </c>
      <c r="K3126" t="s">
        <v>74</v>
      </c>
      <c r="L3126" t="s">
        <v>74</v>
      </c>
      <c r="M3126" t="s">
        <v>78</v>
      </c>
      <c r="N3126" t="s">
        <v>372</v>
      </c>
      <c r="O3126" t="s">
        <v>74</v>
      </c>
      <c r="P3126" t="s">
        <v>74</v>
      </c>
      <c r="Q3126" t="s">
        <v>74</v>
      </c>
      <c r="R3126" t="s">
        <v>74</v>
      </c>
      <c r="S3126" t="s">
        <v>74</v>
      </c>
      <c r="T3126" t="s">
        <v>51595</v>
      </c>
      <c r="U3126" t="s">
        <v>74</v>
      </c>
      <c r="V3126" t="s">
        <v>51596</v>
      </c>
      <c r="W3126" t="s">
        <v>51597</v>
      </c>
      <c r="X3126" t="s">
        <v>51598</v>
      </c>
      <c r="Y3126" t="s">
        <v>51599</v>
      </c>
      <c r="Z3126" t="s">
        <v>51600</v>
      </c>
      <c r="AA3126" t="s">
        <v>74</v>
      </c>
      <c r="AB3126" t="s">
        <v>51601</v>
      </c>
      <c r="AC3126" t="s">
        <v>74</v>
      </c>
      <c r="AD3126" t="s">
        <v>74</v>
      </c>
      <c r="AE3126" t="s">
        <v>74</v>
      </c>
      <c r="AF3126" t="s">
        <v>74</v>
      </c>
      <c r="AG3126">
        <v>29</v>
      </c>
      <c r="AH3126">
        <v>0</v>
      </c>
      <c r="AI3126">
        <v>0</v>
      </c>
      <c r="AJ3126">
        <v>0</v>
      </c>
      <c r="AK3126">
        <v>0</v>
      </c>
      <c r="AL3126" t="s">
        <v>385</v>
      </c>
      <c r="AM3126" t="s">
        <v>1153</v>
      </c>
      <c r="AN3126" t="s">
        <v>1154</v>
      </c>
      <c r="AO3126" t="s">
        <v>51602</v>
      </c>
      <c r="AP3126" t="s">
        <v>51603</v>
      </c>
      <c r="AQ3126" t="s">
        <v>74</v>
      </c>
      <c r="AR3126" t="s">
        <v>51604</v>
      </c>
      <c r="AS3126" t="s">
        <v>51605</v>
      </c>
      <c r="AT3126" t="s">
        <v>51606</v>
      </c>
      <c r="AU3126">
        <v>2025</v>
      </c>
      <c r="AV3126" t="s">
        <v>74</v>
      </c>
      <c r="AW3126" t="s">
        <v>74</v>
      </c>
      <c r="AX3126" t="s">
        <v>74</v>
      </c>
      <c r="AY3126" t="s">
        <v>74</v>
      </c>
      <c r="AZ3126" t="s">
        <v>74</v>
      </c>
      <c r="BA3126" t="s">
        <v>74</v>
      </c>
      <c r="BB3126" t="s">
        <v>74</v>
      </c>
      <c r="BC3126" t="s">
        <v>74</v>
      </c>
      <c r="BD3126" t="s">
        <v>74</v>
      </c>
      <c r="BE3126" t="s">
        <v>51607</v>
      </c>
      <c r="BF3126" t="str">
        <f>HYPERLINK("http://dx.doi.org/10.1007/s10614-025-10982-5","http://dx.doi.org/10.1007/s10614-025-10982-5")</f>
        <v>http://dx.doi.org/10.1007/s10614-025-10982-5</v>
      </c>
      <c r="BG3126" t="s">
        <v>74</v>
      </c>
      <c r="BH3126" t="s">
        <v>2359</v>
      </c>
      <c r="BI3126">
        <v>25</v>
      </c>
      <c r="BJ3126" t="s">
        <v>51608</v>
      </c>
      <c r="BK3126" t="s">
        <v>2623</v>
      </c>
      <c r="BL3126" t="s">
        <v>51609</v>
      </c>
      <c r="BM3126" t="s">
        <v>51610</v>
      </c>
      <c r="BN3126" t="s">
        <v>74</v>
      </c>
      <c r="BO3126" t="s">
        <v>74</v>
      </c>
      <c r="BP3126" t="s">
        <v>74</v>
      </c>
      <c r="BQ3126" t="s">
        <v>74</v>
      </c>
      <c r="BR3126" t="s">
        <v>102</v>
      </c>
      <c r="BS3126" t="s">
        <v>51611</v>
      </c>
      <c r="BT3126" t="str">
        <f>HYPERLINK("https%3A%2F%2Fwww.webofscience.com%2Fwos%2Fwoscc%2Ffull-record%2FWOS:001483417600001","View Full Record in Web of Science")</f>
        <v>View Full Record in Web of Science</v>
      </c>
    </row>
    <row r="3127" spans="1:72" x14ac:dyDescent="0.25">
      <c r="A3127" t="s">
        <v>72</v>
      </c>
      <c r="B3127" t="s">
        <v>51612</v>
      </c>
      <c r="C3127" t="s">
        <v>74</v>
      </c>
      <c r="D3127" t="s">
        <v>74</v>
      </c>
      <c r="E3127" t="s">
        <v>74</v>
      </c>
      <c r="F3127" t="s">
        <v>51613</v>
      </c>
      <c r="G3127" t="s">
        <v>74</v>
      </c>
      <c r="H3127" t="s">
        <v>74</v>
      </c>
      <c r="I3127" t="s">
        <v>51614</v>
      </c>
      <c r="J3127" t="s">
        <v>36373</v>
      </c>
      <c r="K3127" t="s">
        <v>74</v>
      </c>
      <c r="L3127" t="s">
        <v>74</v>
      </c>
      <c r="M3127" t="s">
        <v>78</v>
      </c>
      <c r="N3127" t="s">
        <v>79</v>
      </c>
      <c r="O3127" t="s">
        <v>74</v>
      </c>
      <c r="P3127" t="s">
        <v>74</v>
      </c>
      <c r="Q3127" t="s">
        <v>74</v>
      </c>
      <c r="R3127" t="s">
        <v>74</v>
      </c>
      <c r="S3127" t="s">
        <v>74</v>
      </c>
      <c r="T3127" t="s">
        <v>51615</v>
      </c>
      <c r="U3127" t="s">
        <v>74</v>
      </c>
      <c r="V3127" t="s">
        <v>51616</v>
      </c>
      <c r="W3127" t="s">
        <v>51617</v>
      </c>
      <c r="X3127" t="s">
        <v>8568</v>
      </c>
      <c r="Y3127" t="s">
        <v>51618</v>
      </c>
      <c r="Z3127" t="s">
        <v>51619</v>
      </c>
      <c r="AA3127" t="s">
        <v>74</v>
      </c>
      <c r="AB3127" t="s">
        <v>74</v>
      </c>
      <c r="AC3127" t="s">
        <v>74</v>
      </c>
      <c r="AD3127" t="s">
        <v>74</v>
      </c>
      <c r="AE3127" t="s">
        <v>74</v>
      </c>
      <c r="AF3127" t="s">
        <v>74</v>
      </c>
      <c r="AG3127">
        <v>27</v>
      </c>
      <c r="AH3127">
        <v>1</v>
      </c>
      <c r="AI3127">
        <v>2</v>
      </c>
      <c r="AJ3127">
        <v>1</v>
      </c>
      <c r="AK3127">
        <v>2</v>
      </c>
      <c r="AL3127" t="s">
        <v>36381</v>
      </c>
      <c r="AM3127" t="s">
        <v>36382</v>
      </c>
      <c r="AN3127" t="s">
        <v>36383</v>
      </c>
      <c r="AO3127" t="s">
        <v>36384</v>
      </c>
      <c r="AP3127" t="s">
        <v>36385</v>
      </c>
      <c r="AQ3127" t="s">
        <v>74</v>
      </c>
      <c r="AR3127" t="s">
        <v>36386</v>
      </c>
      <c r="AS3127" t="s">
        <v>36387</v>
      </c>
      <c r="AT3127" t="s">
        <v>74</v>
      </c>
      <c r="AU3127">
        <v>2024</v>
      </c>
      <c r="AV3127">
        <v>20</v>
      </c>
      <c r="AW3127">
        <v>4</v>
      </c>
      <c r="AX3127" t="s">
        <v>74</v>
      </c>
      <c r="AY3127" t="s">
        <v>74</v>
      </c>
      <c r="AZ3127" t="s">
        <v>74</v>
      </c>
      <c r="BA3127" t="s">
        <v>74</v>
      </c>
      <c r="BB3127" t="s">
        <v>74</v>
      </c>
      <c r="BC3127" t="s">
        <v>74</v>
      </c>
      <c r="BD3127" t="s">
        <v>74</v>
      </c>
      <c r="BE3127" t="s">
        <v>51620</v>
      </c>
      <c r="BF3127" t="str">
        <f>HYPERLINK("http://dx.doi.org/10.14254/1800-5845/2024.20-4.6","http://dx.doi.org/10.14254/1800-5845/2024.20-4.6")</f>
        <v>http://dx.doi.org/10.14254/1800-5845/2024.20-4.6</v>
      </c>
      <c r="BG3127" t="s">
        <v>74</v>
      </c>
      <c r="BH3127" t="s">
        <v>74</v>
      </c>
      <c r="BI3127">
        <v>16</v>
      </c>
      <c r="BJ3127" t="s">
        <v>291</v>
      </c>
      <c r="BK3127" t="s">
        <v>313</v>
      </c>
      <c r="BL3127" t="s">
        <v>100</v>
      </c>
      <c r="BM3127" t="s">
        <v>51621</v>
      </c>
      <c r="BN3127" t="s">
        <v>74</v>
      </c>
      <c r="BO3127" t="s">
        <v>212</v>
      </c>
      <c r="BP3127" t="s">
        <v>74</v>
      </c>
      <c r="BQ3127" t="s">
        <v>74</v>
      </c>
      <c r="BR3127" t="s">
        <v>102</v>
      </c>
      <c r="BS3127" t="s">
        <v>51622</v>
      </c>
      <c r="BT3127" t="str">
        <f>HYPERLINK("https%3A%2F%2Fwww.webofscience.com%2Fwos%2Fwoscc%2Ffull-record%2FWOS:001319545500006","View Full Record in Web of Science")</f>
        <v>View Full Record in Web of Science</v>
      </c>
    </row>
    <row r="3128" spans="1:72" x14ac:dyDescent="0.25">
      <c r="A3128" t="s">
        <v>72</v>
      </c>
      <c r="B3128" t="s">
        <v>51623</v>
      </c>
      <c r="C3128" t="s">
        <v>74</v>
      </c>
      <c r="D3128" t="s">
        <v>74</v>
      </c>
      <c r="E3128" t="s">
        <v>74</v>
      </c>
      <c r="F3128" t="s">
        <v>51624</v>
      </c>
      <c r="G3128" t="s">
        <v>74</v>
      </c>
      <c r="H3128" t="s">
        <v>74</v>
      </c>
      <c r="I3128" t="s">
        <v>51625</v>
      </c>
      <c r="J3128" t="s">
        <v>22601</v>
      </c>
      <c r="K3128" t="s">
        <v>74</v>
      </c>
      <c r="L3128" t="s">
        <v>74</v>
      </c>
      <c r="M3128" t="s">
        <v>78</v>
      </c>
      <c r="N3128" t="s">
        <v>79</v>
      </c>
      <c r="O3128" t="s">
        <v>74</v>
      </c>
      <c r="P3128" t="s">
        <v>74</v>
      </c>
      <c r="Q3128" t="s">
        <v>74</v>
      </c>
      <c r="R3128" t="s">
        <v>74</v>
      </c>
      <c r="S3128" t="s">
        <v>74</v>
      </c>
      <c r="T3128" t="s">
        <v>51626</v>
      </c>
      <c r="U3128" t="s">
        <v>51627</v>
      </c>
      <c r="V3128" t="s">
        <v>51628</v>
      </c>
      <c r="W3128" t="s">
        <v>51629</v>
      </c>
      <c r="X3128" t="s">
        <v>51630</v>
      </c>
      <c r="Y3128" t="s">
        <v>51631</v>
      </c>
      <c r="Z3128" t="s">
        <v>51632</v>
      </c>
      <c r="AA3128" t="s">
        <v>51633</v>
      </c>
      <c r="AB3128" t="s">
        <v>51634</v>
      </c>
      <c r="AC3128" t="s">
        <v>74</v>
      </c>
      <c r="AD3128" t="s">
        <v>74</v>
      </c>
      <c r="AE3128" t="s">
        <v>74</v>
      </c>
      <c r="AF3128" t="s">
        <v>74</v>
      </c>
      <c r="AG3128">
        <v>109</v>
      </c>
      <c r="AH3128">
        <v>4</v>
      </c>
      <c r="AI3128">
        <v>10</v>
      </c>
      <c r="AJ3128">
        <v>2</v>
      </c>
      <c r="AK3128">
        <v>7</v>
      </c>
      <c r="AL3128" t="s">
        <v>201</v>
      </c>
      <c r="AM3128" t="s">
        <v>202</v>
      </c>
      <c r="AN3128" t="s">
        <v>203</v>
      </c>
      <c r="AO3128" t="s">
        <v>22593</v>
      </c>
      <c r="AP3128" t="s">
        <v>74</v>
      </c>
      <c r="AQ3128" t="s">
        <v>74</v>
      </c>
      <c r="AR3128" t="s">
        <v>22592</v>
      </c>
      <c r="AS3128" t="s">
        <v>22591</v>
      </c>
      <c r="AT3128" t="s">
        <v>605</v>
      </c>
      <c r="AU3128">
        <v>2024</v>
      </c>
      <c r="AV3128">
        <v>23</v>
      </c>
      <c r="AW3128" t="s">
        <v>74</v>
      </c>
      <c r="AX3128" t="s">
        <v>74</v>
      </c>
      <c r="AY3128" t="s">
        <v>74</v>
      </c>
      <c r="AZ3128" t="s">
        <v>74</v>
      </c>
      <c r="BA3128" t="s">
        <v>74</v>
      </c>
      <c r="BB3128" t="s">
        <v>74</v>
      </c>
      <c r="BC3128" t="s">
        <v>74</v>
      </c>
      <c r="BD3128" t="s">
        <v>51635</v>
      </c>
      <c r="BE3128" t="s">
        <v>51636</v>
      </c>
      <c r="BF3128" t="str">
        <f>HYPERLINK("http://dx.doi.org/10.1016/j.sciaf.2024.e02096","http://dx.doi.org/10.1016/j.sciaf.2024.e02096")</f>
        <v>http://dx.doi.org/10.1016/j.sciaf.2024.e02096</v>
      </c>
      <c r="BG3128" t="s">
        <v>74</v>
      </c>
      <c r="BH3128" t="s">
        <v>239</v>
      </c>
      <c r="BI3128">
        <v>17</v>
      </c>
      <c r="BJ3128" t="s">
        <v>559</v>
      </c>
      <c r="BK3128" t="s">
        <v>313</v>
      </c>
      <c r="BL3128" t="s">
        <v>560</v>
      </c>
      <c r="BM3128" t="s">
        <v>51637</v>
      </c>
      <c r="BN3128" t="s">
        <v>74</v>
      </c>
      <c r="BO3128" t="s">
        <v>212</v>
      </c>
      <c r="BP3128" t="s">
        <v>74</v>
      </c>
      <c r="BQ3128" t="s">
        <v>74</v>
      </c>
      <c r="BR3128" t="s">
        <v>102</v>
      </c>
      <c r="BS3128" t="s">
        <v>51638</v>
      </c>
      <c r="BT3128" t="str">
        <f>HYPERLINK("https%3A%2F%2Fwww.webofscience.com%2Fwos%2Fwoscc%2Ffull-record%2FWOS:001175281600001","View Full Record in Web of Science")</f>
        <v>View Full Record in Web of Science</v>
      </c>
    </row>
    <row r="3129" spans="1:72" x14ac:dyDescent="0.25">
      <c r="A3129" t="s">
        <v>72</v>
      </c>
      <c r="B3129" t="s">
        <v>47277</v>
      </c>
      <c r="C3129" t="s">
        <v>74</v>
      </c>
      <c r="D3129" t="s">
        <v>74</v>
      </c>
      <c r="E3129" t="s">
        <v>74</v>
      </c>
      <c r="F3129" t="s">
        <v>47278</v>
      </c>
      <c r="G3129" t="s">
        <v>74</v>
      </c>
      <c r="H3129" t="s">
        <v>74</v>
      </c>
      <c r="I3129" t="s">
        <v>51639</v>
      </c>
      <c r="J3129" t="s">
        <v>10376</v>
      </c>
      <c r="K3129" t="s">
        <v>74</v>
      </c>
      <c r="L3129" t="s">
        <v>74</v>
      </c>
      <c r="M3129" t="s">
        <v>78</v>
      </c>
      <c r="N3129" t="s">
        <v>79</v>
      </c>
      <c r="O3129" t="s">
        <v>74</v>
      </c>
      <c r="P3129" t="s">
        <v>74</v>
      </c>
      <c r="Q3129" t="s">
        <v>74</v>
      </c>
      <c r="R3129" t="s">
        <v>74</v>
      </c>
      <c r="S3129" t="s">
        <v>74</v>
      </c>
      <c r="T3129" t="s">
        <v>51640</v>
      </c>
      <c r="U3129" t="s">
        <v>74</v>
      </c>
      <c r="V3129" t="s">
        <v>51641</v>
      </c>
      <c r="W3129" t="s">
        <v>51642</v>
      </c>
      <c r="X3129" t="s">
        <v>74</v>
      </c>
      <c r="Y3129" t="s">
        <v>51643</v>
      </c>
      <c r="Z3129" t="s">
        <v>47284</v>
      </c>
      <c r="AA3129" t="s">
        <v>74</v>
      </c>
      <c r="AB3129" t="s">
        <v>74</v>
      </c>
      <c r="AC3129" t="s">
        <v>74</v>
      </c>
      <c r="AD3129" t="s">
        <v>74</v>
      </c>
      <c r="AE3129" t="s">
        <v>74</v>
      </c>
      <c r="AF3129" t="s">
        <v>74</v>
      </c>
      <c r="AG3129">
        <v>34</v>
      </c>
      <c r="AH3129">
        <v>1</v>
      </c>
      <c r="AI3129">
        <v>1</v>
      </c>
      <c r="AJ3129">
        <v>0</v>
      </c>
      <c r="AK3129">
        <v>0</v>
      </c>
      <c r="AL3129" t="s">
        <v>89</v>
      </c>
      <c r="AM3129" t="s">
        <v>90</v>
      </c>
      <c r="AN3129" t="s">
        <v>91</v>
      </c>
      <c r="AO3129" t="s">
        <v>10385</v>
      </c>
      <c r="AP3129" t="s">
        <v>10386</v>
      </c>
      <c r="AQ3129" t="s">
        <v>74</v>
      </c>
      <c r="AR3129" t="s">
        <v>10387</v>
      </c>
      <c r="AS3129" t="s">
        <v>10388</v>
      </c>
      <c r="AT3129" t="s">
        <v>30092</v>
      </c>
      <c r="AU3129">
        <v>2024</v>
      </c>
      <c r="AV3129">
        <v>66</v>
      </c>
      <c r="AW3129">
        <v>1</v>
      </c>
      <c r="AX3129" t="s">
        <v>74</v>
      </c>
      <c r="AY3129" t="s">
        <v>74</v>
      </c>
      <c r="AZ3129" t="s">
        <v>74</v>
      </c>
      <c r="BA3129" t="s">
        <v>74</v>
      </c>
      <c r="BB3129">
        <v>44</v>
      </c>
      <c r="BC3129">
        <v>60</v>
      </c>
      <c r="BD3129" t="s">
        <v>74</v>
      </c>
      <c r="BE3129" t="s">
        <v>51644</v>
      </c>
      <c r="BF3129" t="str">
        <f>HYPERLINK("http://dx.doi.org/10.1108/IJLMA-12-2022-0268","http://dx.doi.org/10.1108/IJLMA-12-2022-0268")</f>
        <v>http://dx.doi.org/10.1108/IJLMA-12-2022-0268</v>
      </c>
      <c r="BG3129" t="s">
        <v>74</v>
      </c>
      <c r="BH3129" t="s">
        <v>7993</v>
      </c>
      <c r="BI3129">
        <v>17</v>
      </c>
      <c r="BJ3129" t="s">
        <v>182</v>
      </c>
      <c r="BK3129" t="s">
        <v>313</v>
      </c>
      <c r="BL3129" t="s">
        <v>184</v>
      </c>
      <c r="BM3129" t="s">
        <v>51645</v>
      </c>
      <c r="BN3129" t="s">
        <v>74</v>
      </c>
      <c r="BO3129" t="s">
        <v>74</v>
      </c>
      <c r="BP3129" t="s">
        <v>74</v>
      </c>
      <c r="BQ3129" t="s">
        <v>74</v>
      </c>
      <c r="BR3129" t="s">
        <v>102</v>
      </c>
      <c r="BS3129" t="s">
        <v>51646</v>
      </c>
      <c r="BT3129" t="str">
        <f>HYPERLINK("https%3A%2F%2Fwww.webofscience.com%2Fwos%2Fwoscc%2Ffull-record%2FWOS:001128591800001","View Full Record in Web of Science")</f>
        <v>View Full Record in Web of Science</v>
      </c>
    </row>
    <row r="3130" spans="1:72" x14ac:dyDescent="0.25">
      <c r="A3130" t="s">
        <v>72</v>
      </c>
      <c r="B3130" t="s">
        <v>51647</v>
      </c>
      <c r="C3130" t="s">
        <v>74</v>
      </c>
      <c r="D3130" t="s">
        <v>74</v>
      </c>
      <c r="E3130" t="s">
        <v>74</v>
      </c>
      <c r="F3130" t="s">
        <v>51648</v>
      </c>
      <c r="G3130" t="s">
        <v>74</v>
      </c>
      <c r="H3130" t="s">
        <v>74</v>
      </c>
      <c r="I3130" t="s">
        <v>51649</v>
      </c>
      <c r="J3130" t="s">
        <v>4521</v>
      </c>
      <c r="K3130" t="s">
        <v>74</v>
      </c>
      <c r="L3130" t="s">
        <v>74</v>
      </c>
      <c r="M3130" t="s">
        <v>78</v>
      </c>
      <c r="N3130" t="s">
        <v>79</v>
      </c>
      <c r="O3130" t="s">
        <v>74</v>
      </c>
      <c r="P3130" t="s">
        <v>74</v>
      </c>
      <c r="Q3130" t="s">
        <v>74</v>
      </c>
      <c r="R3130" t="s">
        <v>74</v>
      </c>
      <c r="S3130" t="s">
        <v>74</v>
      </c>
      <c r="T3130" t="s">
        <v>51650</v>
      </c>
      <c r="U3130" t="s">
        <v>31137</v>
      </c>
      <c r="V3130" t="s">
        <v>51651</v>
      </c>
      <c r="W3130" t="s">
        <v>51652</v>
      </c>
      <c r="X3130" t="s">
        <v>51653</v>
      </c>
      <c r="Y3130" t="s">
        <v>51654</v>
      </c>
      <c r="Z3130" t="s">
        <v>51655</v>
      </c>
      <c r="AA3130" t="s">
        <v>74</v>
      </c>
      <c r="AB3130" t="s">
        <v>51656</v>
      </c>
      <c r="AC3130" t="s">
        <v>51657</v>
      </c>
      <c r="AD3130" t="s">
        <v>51657</v>
      </c>
      <c r="AE3130" t="s">
        <v>51658</v>
      </c>
      <c r="AF3130" t="s">
        <v>74</v>
      </c>
      <c r="AG3130">
        <v>31</v>
      </c>
      <c r="AH3130">
        <v>5</v>
      </c>
      <c r="AI3130">
        <v>6</v>
      </c>
      <c r="AJ3130">
        <v>1</v>
      </c>
      <c r="AK3130">
        <v>9</v>
      </c>
      <c r="AL3130" t="s">
        <v>409</v>
      </c>
      <c r="AM3130" t="s">
        <v>410</v>
      </c>
      <c r="AN3130" t="s">
        <v>411</v>
      </c>
      <c r="AO3130" t="s">
        <v>4529</v>
      </c>
      <c r="AP3130" t="s">
        <v>4530</v>
      </c>
      <c r="AQ3130" t="s">
        <v>74</v>
      </c>
      <c r="AR3130" t="s">
        <v>4531</v>
      </c>
      <c r="AS3130" t="s">
        <v>4532</v>
      </c>
      <c r="AT3130" t="s">
        <v>698</v>
      </c>
      <c r="AU3130">
        <v>2022</v>
      </c>
      <c r="AV3130">
        <v>21</v>
      </c>
      <c r="AW3130">
        <v>3</v>
      </c>
      <c r="AX3130" t="s">
        <v>74</v>
      </c>
      <c r="AY3130" t="s">
        <v>74</v>
      </c>
      <c r="AZ3130" t="s">
        <v>441</v>
      </c>
      <c r="BA3130" t="s">
        <v>74</v>
      </c>
      <c r="BB3130">
        <v>317</v>
      </c>
      <c r="BC3130">
        <v>342</v>
      </c>
      <c r="BD3130" t="s">
        <v>74</v>
      </c>
      <c r="BE3130" t="s">
        <v>51659</v>
      </c>
      <c r="BF3130" t="str">
        <f>HYPERLINK("http://dx.doi.org/10.1177/09726527221082005","http://dx.doi.org/10.1177/09726527221082005")</f>
        <v>http://dx.doi.org/10.1177/09726527221082005</v>
      </c>
      <c r="BG3130" t="s">
        <v>74</v>
      </c>
      <c r="BH3130" t="s">
        <v>767</v>
      </c>
      <c r="BI3130">
        <v>26</v>
      </c>
      <c r="BJ3130" t="s">
        <v>268</v>
      </c>
      <c r="BK3130" t="s">
        <v>313</v>
      </c>
      <c r="BL3130" t="s">
        <v>100</v>
      </c>
      <c r="BM3130" t="s">
        <v>51660</v>
      </c>
      <c r="BN3130" t="s">
        <v>74</v>
      </c>
      <c r="BO3130" t="s">
        <v>74</v>
      </c>
      <c r="BP3130" t="s">
        <v>74</v>
      </c>
      <c r="BQ3130" t="s">
        <v>74</v>
      </c>
      <c r="BR3130" t="s">
        <v>102</v>
      </c>
      <c r="BS3130" t="s">
        <v>51661</v>
      </c>
      <c r="BT3130" t="str">
        <f>HYPERLINK("https%3A%2F%2Fwww.webofscience.com%2Fwos%2Fwoscc%2Ffull-record%2FWOS:000776713100001","View Full Record in Web of Science")</f>
        <v>View Full Record in Web of Science</v>
      </c>
    </row>
    <row r="3131" spans="1:72" x14ac:dyDescent="0.25">
      <c r="A3131" t="s">
        <v>72</v>
      </c>
      <c r="B3131" t="s">
        <v>13851</v>
      </c>
      <c r="C3131" t="s">
        <v>74</v>
      </c>
      <c r="D3131" t="s">
        <v>74</v>
      </c>
      <c r="E3131" t="s">
        <v>74</v>
      </c>
      <c r="F3131" t="s">
        <v>13852</v>
      </c>
      <c r="G3131" t="s">
        <v>74</v>
      </c>
      <c r="H3131" t="s">
        <v>74</v>
      </c>
      <c r="I3131" t="s">
        <v>51662</v>
      </c>
      <c r="J3131" t="s">
        <v>29719</v>
      </c>
      <c r="K3131" t="s">
        <v>74</v>
      </c>
      <c r="L3131" t="s">
        <v>74</v>
      </c>
      <c r="M3131" t="s">
        <v>78</v>
      </c>
      <c r="N3131" t="s">
        <v>79</v>
      </c>
      <c r="O3131" t="s">
        <v>74</v>
      </c>
      <c r="P3131" t="s">
        <v>74</v>
      </c>
      <c r="Q3131" t="s">
        <v>74</v>
      </c>
      <c r="R3131" t="s">
        <v>74</v>
      </c>
      <c r="S3131" t="s">
        <v>74</v>
      </c>
      <c r="T3131" t="s">
        <v>74</v>
      </c>
      <c r="U3131" t="s">
        <v>74</v>
      </c>
      <c r="V3131" t="s">
        <v>51663</v>
      </c>
      <c r="W3131" t="s">
        <v>51664</v>
      </c>
      <c r="X3131" t="s">
        <v>734</v>
      </c>
      <c r="Y3131" t="s">
        <v>51665</v>
      </c>
      <c r="Z3131" t="s">
        <v>51666</v>
      </c>
      <c r="AA3131" t="s">
        <v>74</v>
      </c>
      <c r="AB3131" t="s">
        <v>74</v>
      </c>
      <c r="AC3131" t="s">
        <v>74</v>
      </c>
      <c r="AD3131" t="s">
        <v>74</v>
      </c>
      <c r="AE3131" t="s">
        <v>74</v>
      </c>
      <c r="AF3131" t="s">
        <v>74</v>
      </c>
      <c r="AG3131">
        <v>28</v>
      </c>
      <c r="AH3131">
        <v>23</v>
      </c>
      <c r="AI3131">
        <v>40</v>
      </c>
      <c r="AJ3131">
        <v>2</v>
      </c>
      <c r="AK3131">
        <v>43</v>
      </c>
      <c r="AL3131" t="s">
        <v>2551</v>
      </c>
      <c r="AM3131" t="s">
        <v>231</v>
      </c>
      <c r="AN3131" t="s">
        <v>2552</v>
      </c>
      <c r="AO3131" t="s">
        <v>29716</v>
      </c>
      <c r="AP3131" t="s">
        <v>29715</v>
      </c>
      <c r="AQ3131" t="s">
        <v>74</v>
      </c>
      <c r="AR3131" t="s">
        <v>29714</v>
      </c>
      <c r="AS3131" t="s">
        <v>29713</v>
      </c>
      <c r="AT3131" t="s">
        <v>289</v>
      </c>
      <c r="AU3131">
        <v>2017</v>
      </c>
      <c r="AV3131">
        <v>32</v>
      </c>
      <c r="AW3131">
        <v>2</v>
      </c>
      <c r="AX3131" t="s">
        <v>74</v>
      </c>
      <c r="AY3131" t="s">
        <v>74</v>
      </c>
      <c r="AZ3131" t="s">
        <v>74</v>
      </c>
      <c r="BA3131" t="s">
        <v>74</v>
      </c>
      <c r="BB3131">
        <v>211</v>
      </c>
      <c r="BC3131">
        <v>226</v>
      </c>
      <c r="BD3131" t="s">
        <v>74</v>
      </c>
      <c r="BE3131" t="s">
        <v>51667</v>
      </c>
      <c r="BF3131" t="str">
        <f>HYPERLINK("http://dx.doi.org/10.1093/wbro/lkx003","http://dx.doi.org/10.1093/wbro/lkx003")</f>
        <v>http://dx.doi.org/10.1093/wbro/lkx003</v>
      </c>
      <c r="BG3131" t="s">
        <v>74</v>
      </c>
      <c r="BH3131" t="s">
        <v>74</v>
      </c>
      <c r="BI3131">
        <v>16</v>
      </c>
      <c r="BJ3131" t="s">
        <v>701</v>
      </c>
      <c r="BK3131" t="s">
        <v>99</v>
      </c>
      <c r="BL3131" t="s">
        <v>702</v>
      </c>
      <c r="BM3131" t="s">
        <v>51668</v>
      </c>
      <c r="BN3131" t="s">
        <v>74</v>
      </c>
      <c r="BO3131" t="s">
        <v>1205</v>
      </c>
      <c r="BP3131" t="s">
        <v>74</v>
      </c>
      <c r="BQ3131" t="s">
        <v>74</v>
      </c>
      <c r="BR3131" t="s">
        <v>102</v>
      </c>
      <c r="BS3131" t="s">
        <v>51669</v>
      </c>
      <c r="BT3131" t="str">
        <f>HYPERLINK("https%3A%2F%2Fwww.webofscience.com%2Fwos%2Fwoscc%2Ffull-record%2FWOS:000410334200004","View Full Record in Web of Science")</f>
        <v>View Full Record in Web of Science</v>
      </c>
    </row>
    <row r="3132" spans="1:72" x14ac:dyDescent="0.25">
      <c r="A3132" t="s">
        <v>72</v>
      </c>
      <c r="B3132" t="s">
        <v>51670</v>
      </c>
      <c r="C3132" t="s">
        <v>74</v>
      </c>
      <c r="D3132" t="s">
        <v>74</v>
      </c>
      <c r="E3132" t="s">
        <v>74</v>
      </c>
      <c r="F3132" t="s">
        <v>51671</v>
      </c>
      <c r="G3132" t="s">
        <v>74</v>
      </c>
      <c r="H3132" t="s">
        <v>74</v>
      </c>
      <c r="I3132" t="s">
        <v>51672</v>
      </c>
      <c r="J3132" t="s">
        <v>9896</v>
      </c>
      <c r="K3132" t="s">
        <v>74</v>
      </c>
      <c r="L3132" t="s">
        <v>74</v>
      </c>
      <c r="M3132" t="s">
        <v>78</v>
      </c>
      <c r="N3132" t="s">
        <v>79</v>
      </c>
      <c r="O3132" t="s">
        <v>74</v>
      </c>
      <c r="P3132" t="s">
        <v>74</v>
      </c>
      <c r="Q3132" t="s">
        <v>74</v>
      </c>
      <c r="R3132" t="s">
        <v>74</v>
      </c>
      <c r="S3132" t="s">
        <v>74</v>
      </c>
      <c r="T3132" t="s">
        <v>51673</v>
      </c>
      <c r="U3132" t="s">
        <v>51674</v>
      </c>
      <c r="V3132" t="s">
        <v>51675</v>
      </c>
      <c r="W3132" t="s">
        <v>51676</v>
      </c>
      <c r="X3132" t="s">
        <v>51677</v>
      </c>
      <c r="Y3132" t="s">
        <v>51678</v>
      </c>
      <c r="Z3132" t="s">
        <v>51679</v>
      </c>
      <c r="AA3132" t="s">
        <v>51680</v>
      </c>
      <c r="AB3132" t="s">
        <v>51681</v>
      </c>
      <c r="AC3132" t="s">
        <v>74</v>
      </c>
      <c r="AD3132" t="s">
        <v>74</v>
      </c>
      <c r="AE3132" t="s">
        <v>74</v>
      </c>
      <c r="AF3132" t="s">
        <v>74</v>
      </c>
      <c r="AG3132">
        <v>64</v>
      </c>
      <c r="AH3132">
        <v>3</v>
      </c>
      <c r="AI3132">
        <v>3</v>
      </c>
      <c r="AJ3132">
        <v>3</v>
      </c>
      <c r="AK3132">
        <v>9</v>
      </c>
      <c r="AL3132" t="s">
        <v>89</v>
      </c>
      <c r="AM3132" t="s">
        <v>1497</v>
      </c>
      <c r="AN3132" t="s">
        <v>1498</v>
      </c>
      <c r="AO3132" t="s">
        <v>9905</v>
      </c>
      <c r="AP3132" t="s">
        <v>9906</v>
      </c>
      <c r="AQ3132" t="s">
        <v>74</v>
      </c>
      <c r="AR3132" t="s">
        <v>9907</v>
      </c>
      <c r="AS3132" t="s">
        <v>9908</v>
      </c>
      <c r="AT3132" t="s">
        <v>24216</v>
      </c>
      <c r="AU3132">
        <v>2023</v>
      </c>
      <c r="AV3132">
        <v>83</v>
      </c>
      <c r="AW3132">
        <v>2</v>
      </c>
      <c r="AX3132" t="s">
        <v>74</v>
      </c>
      <c r="AY3132" t="s">
        <v>74</v>
      </c>
      <c r="AZ3132" t="s">
        <v>74</v>
      </c>
      <c r="BA3132" t="s">
        <v>74</v>
      </c>
      <c r="BB3132">
        <v>299</v>
      </c>
      <c r="BC3132">
        <v>319</v>
      </c>
      <c r="BD3132" t="s">
        <v>74</v>
      </c>
      <c r="BE3132" t="s">
        <v>51682</v>
      </c>
      <c r="BF3132" t="str">
        <f>HYPERLINK("http://dx.doi.org/10.1108/AFR-07-2022-0081","http://dx.doi.org/10.1108/AFR-07-2022-0081")</f>
        <v>http://dx.doi.org/10.1108/AFR-07-2022-0081</v>
      </c>
      <c r="BG3132" t="s">
        <v>74</v>
      </c>
      <c r="BH3132" t="s">
        <v>7904</v>
      </c>
      <c r="BI3132">
        <v>21</v>
      </c>
      <c r="BJ3132" t="s">
        <v>5151</v>
      </c>
      <c r="BK3132" t="s">
        <v>313</v>
      </c>
      <c r="BL3132" t="s">
        <v>5152</v>
      </c>
      <c r="BM3132" t="s">
        <v>51683</v>
      </c>
      <c r="BN3132" t="s">
        <v>74</v>
      </c>
      <c r="BO3132" t="s">
        <v>74</v>
      </c>
      <c r="BP3132" t="s">
        <v>74</v>
      </c>
      <c r="BQ3132" t="s">
        <v>74</v>
      </c>
      <c r="BR3132" t="s">
        <v>102</v>
      </c>
      <c r="BS3132" t="s">
        <v>51684</v>
      </c>
      <c r="BT3132" t="str">
        <f>HYPERLINK("https%3A%2F%2Fwww.webofscience.com%2Fwos%2Fwoscc%2Ffull-record%2FWOS:000893970600001","View Full Record in Web of Science")</f>
        <v>View Full Record in Web of Science</v>
      </c>
    </row>
    <row r="3133" spans="1:72" x14ac:dyDescent="0.25">
      <c r="A3133" t="s">
        <v>72</v>
      </c>
      <c r="B3133" t="s">
        <v>51685</v>
      </c>
      <c r="C3133" t="s">
        <v>74</v>
      </c>
      <c r="D3133" t="s">
        <v>74</v>
      </c>
      <c r="E3133" t="s">
        <v>74</v>
      </c>
      <c r="F3133" t="s">
        <v>51686</v>
      </c>
      <c r="G3133" t="s">
        <v>74</v>
      </c>
      <c r="H3133" t="s">
        <v>74</v>
      </c>
      <c r="I3133" t="s">
        <v>51687</v>
      </c>
      <c r="J3133" t="s">
        <v>20307</v>
      </c>
      <c r="K3133" t="s">
        <v>74</v>
      </c>
      <c r="L3133" t="s">
        <v>74</v>
      </c>
      <c r="M3133" t="s">
        <v>78</v>
      </c>
      <c r="N3133" t="s">
        <v>79</v>
      </c>
      <c r="O3133" t="s">
        <v>74</v>
      </c>
      <c r="P3133" t="s">
        <v>74</v>
      </c>
      <c r="Q3133" t="s">
        <v>74</v>
      </c>
      <c r="R3133" t="s">
        <v>74</v>
      </c>
      <c r="S3133" t="s">
        <v>74</v>
      </c>
      <c r="T3133" t="s">
        <v>51688</v>
      </c>
      <c r="U3133" t="s">
        <v>51689</v>
      </c>
      <c r="V3133" t="s">
        <v>51690</v>
      </c>
      <c r="W3133" t="s">
        <v>51691</v>
      </c>
      <c r="X3133" t="s">
        <v>51692</v>
      </c>
      <c r="Y3133" t="s">
        <v>51693</v>
      </c>
      <c r="Z3133" t="s">
        <v>51694</v>
      </c>
      <c r="AA3133" t="s">
        <v>51695</v>
      </c>
      <c r="AB3133" t="s">
        <v>51696</v>
      </c>
      <c r="AC3133" t="s">
        <v>74</v>
      </c>
      <c r="AD3133" t="s">
        <v>74</v>
      </c>
      <c r="AE3133" t="s">
        <v>74</v>
      </c>
      <c r="AF3133" t="s">
        <v>74</v>
      </c>
      <c r="AG3133">
        <v>72</v>
      </c>
      <c r="AH3133">
        <v>22</v>
      </c>
      <c r="AI3133">
        <v>32</v>
      </c>
      <c r="AJ3133">
        <v>3</v>
      </c>
      <c r="AK3133">
        <v>46</v>
      </c>
      <c r="AL3133" t="s">
        <v>20297</v>
      </c>
      <c r="AM3133" t="s">
        <v>20296</v>
      </c>
      <c r="AN3133" t="s">
        <v>20295</v>
      </c>
      <c r="AO3133" t="s">
        <v>20294</v>
      </c>
      <c r="AP3133" t="s">
        <v>20293</v>
      </c>
      <c r="AQ3133" t="s">
        <v>74</v>
      </c>
      <c r="AR3133" t="s">
        <v>20292</v>
      </c>
      <c r="AS3133" t="s">
        <v>20291</v>
      </c>
      <c r="AT3133" t="s">
        <v>74</v>
      </c>
      <c r="AU3133">
        <v>2020</v>
      </c>
      <c r="AV3133">
        <v>23</v>
      </c>
      <c r="AW3133">
        <v>2</v>
      </c>
      <c r="AX3133" t="s">
        <v>74</v>
      </c>
      <c r="AY3133" t="s">
        <v>74</v>
      </c>
      <c r="AZ3133" t="s">
        <v>74</v>
      </c>
      <c r="BA3133" t="s">
        <v>74</v>
      </c>
      <c r="BB3133">
        <v>156</v>
      </c>
      <c r="BC3133">
        <v>172</v>
      </c>
      <c r="BD3133" t="s">
        <v>74</v>
      </c>
      <c r="BE3133" t="s">
        <v>51697</v>
      </c>
      <c r="BF3133" t="str">
        <f>HYPERLINK("http://dx.doi.org/10.15240/tul/001/2020-2-011","http://dx.doi.org/10.15240/tul/001/2020-2-011")</f>
        <v>http://dx.doi.org/10.15240/tul/001/2020-2-011</v>
      </c>
      <c r="BG3133" t="s">
        <v>74</v>
      </c>
      <c r="BH3133" t="s">
        <v>74</v>
      </c>
      <c r="BI3133">
        <v>17</v>
      </c>
      <c r="BJ3133" t="s">
        <v>5519</v>
      </c>
      <c r="BK3133" t="s">
        <v>99</v>
      </c>
      <c r="BL3133" t="s">
        <v>100</v>
      </c>
      <c r="BM3133" t="s">
        <v>51698</v>
      </c>
      <c r="BN3133" t="s">
        <v>74</v>
      </c>
      <c r="BO3133" t="s">
        <v>916</v>
      </c>
      <c r="BP3133" t="s">
        <v>74</v>
      </c>
      <c r="BQ3133" t="s">
        <v>74</v>
      </c>
      <c r="BR3133" t="s">
        <v>102</v>
      </c>
      <c r="BS3133" t="s">
        <v>51699</v>
      </c>
      <c r="BT3133" t="str">
        <f>HYPERLINK("https%3A%2F%2Fwww.webofscience.com%2Fwos%2Fwoscc%2Ffull-record%2FWOS:000540532600011","View Full Record in Web of Science")</f>
        <v>View Full Record in Web of Science</v>
      </c>
    </row>
    <row r="3134" spans="1:72" x14ac:dyDescent="0.25">
      <c r="A3134" t="s">
        <v>72</v>
      </c>
      <c r="B3134" t="s">
        <v>51700</v>
      </c>
      <c r="C3134" t="s">
        <v>74</v>
      </c>
      <c r="D3134" t="s">
        <v>74</v>
      </c>
      <c r="E3134" t="s">
        <v>74</v>
      </c>
      <c r="F3134" t="s">
        <v>51701</v>
      </c>
      <c r="G3134" t="s">
        <v>74</v>
      </c>
      <c r="H3134" t="s">
        <v>74</v>
      </c>
      <c r="I3134" t="s">
        <v>51702</v>
      </c>
      <c r="J3134" t="s">
        <v>1309</v>
      </c>
      <c r="K3134" t="s">
        <v>74</v>
      </c>
      <c r="L3134" t="s">
        <v>74</v>
      </c>
      <c r="M3134" t="s">
        <v>78</v>
      </c>
      <c r="N3134" t="s">
        <v>79</v>
      </c>
      <c r="O3134" t="s">
        <v>74</v>
      </c>
      <c r="P3134" t="s">
        <v>74</v>
      </c>
      <c r="Q3134" t="s">
        <v>74</v>
      </c>
      <c r="R3134" t="s">
        <v>74</v>
      </c>
      <c r="S3134" t="s">
        <v>74</v>
      </c>
      <c r="T3134" t="s">
        <v>51703</v>
      </c>
      <c r="U3134" t="s">
        <v>51704</v>
      </c>
      <c r="V3134" t="s">
        <v>51705</v>
      </c>
      <c r="W3134" t="s">
        <v>51706</v>
      </c>
      <c r="X3134" t="s">
        <v>51707</v>
      </c>
      <c r="Y3134" t="s">
        <v>51708</v>
      </c>
      <c r="Z3134" t="s">
        <v>37250</v>
      </c>
      <c r="AA3134" t="s">
        <v>74</v>
      </c>
      <c r="AB3134" t="s">
        <v>51709</v>
      </c>
      <c r="AC3134" t="s">
        <v>74</v>
      </c>
      <c r="AD3134" t="s">
        <v>74</v>
      </c>
      <c r="AE3134" t="s">
        <v>74</v>
      </c>
      <c r="AF3134" t="s">
        <v>74</v>
      </c>
      <c r="AG3134">
        <v>99</v>
      </c>
      <c r="AH3134">
        <v>42</v>
      </c>
      <c r="AI3134">
        <v>44</v>
      </c>
      <c r="AJ3134">
        <v>1</v>
      </c>
      <c r="AK3134">
        <v>27</v>
      </c>
      <c r="AL3134" t="s">
        <v>89</v>
      </c>
      <c r="AM3134" t="s">
        <v>1497</v>
      </c>
      <c r="AN3134" t="s">
        <v>1498</v>
      </c>
      <c r="AO3134" t="s">
        <v>1317</v>
      </c>
      <c r="AP3134" t="s">
        <v>74</v>
      </c>
      <c r="AQ3134" t="s">
        <v>74</v>
      </c>
      <c r="AR3134" t="s">
        <v>1319</v>
      </c>
      <c r="AS3134" t="s">
        <v>74</v>
      </c>
      <c r="AT3134" t="s">
        <v>17652</v>
      </c>
      <c r="AU3134">
        <v>2023</v>
      </c>
      <c r="AV3134">
        <v>50</v>
      </c>
      <c r="AW3134">
        <v>5</v>
      </c>
      <c r="AX3134" t="s">
        <v>74</v>
      </c>
      <c r="AY3134" t="s">
        <v>74</v>
      </c>
      <c r="AZ3134" t="s">
        <v>74</v>
      </c>
      <c r="BA3134" t="s">
        <v>74</v>
      </c>
      <c r="BB3134">
        <v>921</v>
      </c>
      <c r="BC3134">
        <v>946</v>
      </c>
      <c r="BD3134" t="s">
        <v>74</v>
      </c>
      <c r="BE3134" t="s">
        <v>51710</v>
      </c>
      <c r="BF3134" t="str">
        <f>HYPERLINK("http://dx.doi.org/10.1108/JES-03-2022-0158","http://dx.doi.org/10.1108/JES-03-2022-0158")</f>
        <v>http://dx.doi.org/10.1108/JES-03-2022-0158</v>
      </c>
      <c r="BG3134" t="s">
        <v>74</v>
      </c>
      <c r="BH3134" t="s">
        <v>2328</v>
      </c>
      <c r="BI3134">
        <v>26</v>
      </c>
      <c r="BJ3134" t="s">
        <v>291</v>
      </c>
      <c r="BK3134" t="s">
        <v>313</v>
      </c>
      <c r="BL3134" t="s">
        <v>100</v>
      </c>
      <c r="BM3134" t="s">
        <v>51711</v>
      </c>
      <c r="BN3134" t="s">
        <v>74</v>
      </c>
      <c r="BO3134" t="s">
        <v>74</v>
      </c>
      <c r="BP3134" t="s">
        <v>74</v>
      </c>
      <c r="BQ3134" t="s">
        <v>74</v>
      </c>
      <c r="BR3134" t="s">
        <v>102</v>
      </c>
      <c r="BS3134" t="s">
        <v>51712</v>
      </c>
      <c r="BT3134" t="str">
        <f>HYPERLINK("https%3A%2F%2Fwww.webofscience.com%2Fwos%2Fwoscc%2Ffull-record%2FWOS:000838285900001","View Full Record in Web of Science")</f>
        <v>View Full Record in Web of Science</v>
      </c>
    </row>
    <row r="3135" spans="1:72" x14ac:dyDescent="0.25">
      <c r="A3135" t="s">
        <v>72</v>
      </c>
      <c r="B3135" t="s">
        <v>51713</v>
      </c>
      <c r="C3135" t="s">
        <v>74</v>
      </c>
      <c r="D3135" t="s">
        <v>74</v>
      </c>
      <c r="E3135" t="s">
        <v>74</v>
      </c>
      <c r="F3135" t="s">
        <v>51714</v>
      </c>
      <c r="G3135" t="s">
        <v>74</v>
      </c>
      <c r="H3135" t="s">
        <v>74</v>
      </c>
      <c r="I3135" t="s">
        <v>51715</v>
      </c>
      <c r="J3135" t="s">
        <v>41406</v>
      </c>
      <c r="K3135" t="s">
        <v>74</v>
      </c>
      <c r="L3135" t="s">
        <v>74</v>
      </c>
      <c r="M3135" t="s">
        <v>78</v>
      </c>
      <c r="N3135" t="s">
        <v>1766</v>
      </c>
      <c r="O3135" t="s">
        <v>74</v>
      </c>
      <c r="P3135" t="s">
        <v>74</v>
      </c>
      <c r="Q3135" t="s">
        <v>74</v>
      </c>
      <c r="R3135" t="s">
        <v>74</v>
      </c>
      <c r="S3135" t="s">
        <v>74</v>
      </c>
      <c r="T3135" t="s">
        <v>51716</v>
      </c>
      <c r="U3135" t="s">
        <v>51717</v>
      </c>
      <c r="V3135" t="s">
        <v>51718</v>
      </c>
      <c r="W3135" t="s">
        <v>51719</v>
      </c>
      <c r="X3135" t="s">
        <v>1515</v>
      </c>
      <c r="Y3135" t="s">
        <v>51720</v>
      </c>
      <c r="Z3135" t="s">
        <v>51721</v>
      </c>
      <c r="AA3135" t="s">
        <v>51722</v>
      </c>
      <c r="AB3135" t="s">
        <v>51723</v>
      </c>
      <c r="AC3135" t="s">
        <v>74</v>
      </c>
      <c r="AD3135" t="s">
        <v>74</v>
      </c>
      <c r="AE3135" t="s">
        <v>74</v>
      </c>
      <c r="AF3135" t="s">
        <v>74</v>
      </c>
      <c r="AG3135">
        <v>77</v>
      </c>
      <c r="AH3135">
        <v>16</v>
      </c>
      <c r="AI3135">
        <v>18</v>
      </c>
      <c r="AJ3135">
        <v>2</v>
      </c>
      <c r="AK3135">
        <v>16</v>
      </c>
      <c r="AL3135" t="s">
        <v>89</v>
      </c>
      <c r="AM3135" t="s">
        <v>90</v>
      </c>
      <c r="AN3135" t="s">
        <v>91</v>
      </c>
      <c r="AO3135" t="s">
        <v>41414</v>
      </c>
      <c r="AP3135" t="s">
        <v>41415</v>
      </c>
      <c r="AQ3135" t="s">
        <v>74</v>
      </c>
      <c r="AR3135" t="s">
        <v>41416</v>
      </c>
      <c r="AS3135" t="s">
        <v>41417</v>
      </c>
      <c r="AT3135" t="s">
        <v>16891</v>
      </c>
      <c r="AU3135">
        <v>2024</v>
      </c>
      <c r="AV3135">
        <v>34</v>
      </c>
      <c r="AW3135">
        <v>4</v>
      </c>
      <c r="AX3135" t="s">
        <v>74</v>
      </c>
      <c r="AY3135" t="s">
        <v>74</v>
      </c>
      <c r="AZ3135" t="s">
        <v>74</v>
      </c>
      <c r="BA3135" t="s">
        <v>74</v>
      </c>
      <c r="BB3135">
        <v>718</v>
      </c>
      <c r="BC3135">
        <v>735</v>
      </c>
      <c r="BD3135" t="s">
        <v>74</v>
      </c>
      <c r="BE3135" t="s">
        <v>51724</v>
      </c>
      <c r="BF3135" t="str">
        <f>HYPERLINK("http://dx.doi.org/10.1108/CR-11-2022-0174","http://dx.doi.org/10.1108/CR-11-2022-0174")</f>
        <v>http://dx.doi.org/10.1108/CR-11-2022-0174</v>
      </c>
      <c r="BG3135" t="s">
        <v>74</v>
      </c>
      <c r="BH3135" t="s">
        <v>700</v>
      </c>
      <c r="BI3135">
        <v>18</v>
      </c>
      <c r="BJ3135" t="s">
        <v>418</v>
      </c>
      <c r="BK3135" t="s">
        <v>313</v>
      </c>
      <c r="BL3135" t="s">
        <v>100</v>
      </c>
      <c r="BM3135" t="s">
        <v>51725</v>
      </c>
      <c r="BN3135" t="s">
        <v>74</v>
      </c>
      <c r="BO3135" t="s">
        <v>74</v>
      </c>
      <c r="BP3135" t="s">
        <v>74</v>
      </c>
      <c r="BQ3135" t="s">
        <v>74</v>
      </c>
      <c r="BR3135" t="s">
        <v>102</v>
      </c>
      <c r="BS3135" t="s">
        <v>51726</v>
      </c>
      <c r="BT3135" t="str">
        <f>HYPERLINK("https%3A%2F%2Fwww.webofscience.com%2Fwos%2Fwoscc%2Ffull-record%2FWOS:001021394600001","View Full Record in Web of Science")</f>
        <v>View Full Record in Web of Science</v>
      </c>
    </row>
    <row r="3136" spans="1:72" x14ac:dyDescent="0.25">
      <c r="A3136" t="s">
        <v>72</v>
      </c>
      <c r="B3136" t="s">
        <v>51727</v>
      </c>
      <c r="C3136" t="s">
        <v>74</v>
      </c>
      <c r="D3136" t="s">
        <v>74</v>
      </c>
      <c r="E3136" t="s">
        <v>74</v>
      </c>
      <c r="F3136" t="s">
        <v>51728</v>
      </c>
      <c r="G3136" t="s">
        <v>74</v>
      </c>
      <c r="H3136" t="s">
        <v>74</v>
      </c>
      <c r="I3136" t="s">
        <v>51729</v>
      </c>
      <c r="J3136" t="s">
        <v>9372</v>
      </c>
      <c r="K3136" t="s">
        <v>74</v>
      </c>
      <c r="L3136" t="s">
        <v>74</v>
      </c>
      <c r="M3136" t="s">
        <v>78</v>
      </c>
      <c r="N3136" t="s">
        <v>79</v>
      </c>
      <c r="O3136" t="s">
        <v>74</v>
      </c>
      <c r="P3136" t="s">
        <v>74</v>
      </c>
      <c r="Q3136" t="s">
        <v>74</v>
      </c>
      <c r="R3136" t="s">
        <v>74</v>
      </c>
      <c r="S3136" t="s">
        <v>74</v>
      </c>
      <c r="T3136" t="s">
        <v>51730</v>
      </c>
      <c r="U3136" t="s">
        <v>51731</v>
      </c>
      <c r="V3136" t="s">
        <v>51732</v>
      </c>
      <c r="W3136" t="s">
        <v>51733</v>
      </c>
      <c r="X3136" t="s">
        <v>51734</v>
      </c>
      <c r="Y3136" t="s">
        <v>51735</v>
      </c>
      <c r="Z3136" t="s">
        <v>51736</v>
      </c>
      <c r="AA3136" t="s">
        <v>74</v>
      </c>
      <c r="AB3136" t="s">
        <v>51737</v>
      </c>
      <c r="AC3136" t="s">
        <v>74</v>
      </c>
      <c r="AD3136" t="s">
        <v>74</v>
      </c>
      <c r="AE3136" t="s">
        <v>74</v>
      </c>
      <c r="AF3136" t="s">
        <v>74</v>
      </c>
      <c r="AG3136">
        <v>232</v>
      </c>
      <c r="AH3136">
        <v>0</v>
      </c>
      <c r="AI3136">
        <v>0</v>
      </c>
      <c r="AJ3136">
        <v>1</v>
      </c>
      <c r="AK3136">
        <v>2</v>
      </c>
      <c r="AL3136" t="s">
        <v>201</v>
      </c>
      <c r="AM3136" t="s">
        <v>202</v>
      </c>
      <c r="AN3136" t="s">
        <v>203</v>
      </c>
      <c r="AO3136" t="s">
        <v>9384</v>
      </c>
      <c r="AP3136" t="s">
        <v>9385</v>
      </c>
      <c r="AQ3136" t="s">
        <v>74</v>
      </c>
      <c r="AR3136" t="s">
        <v>9386</v>
      </c>
      <c r="AS3136" t="s">
        <v>9387</v>
      </c>
      <c r="AT3136" t="s">
        <v>1540</v>
      </c>
      <c r="AU3136">
        <v>2025</v>
      </c>
      <c r="AV3136">
        <v>77</v>
      </c>
      <c r="AW3136" t="s">
        <v>74</v>
      </c>
      <c r="AX3136" t="s">
        <v>8303</v>
      </c>
      <c r="AY3136" t="s">
        <v>74</v>
      </c>
      <c r="AZ3136" t="s">
        <v>74</v>
      </c>
      <c r="BA3136" t="s">
        <v>74</v>
      </c>
      <c r="BB3136" t="s">
        <v>74</v>
      </c>
      <c r="BC3136" t="s">
        <v>74</v>
      </c>
      <c r="BD3136">
        <v>102947</v>
      </c>
      <c r="BE3136" t="s">
        <v>51738</v>
      </c>
      <c r="BF3136" t="str">
        <f>HYPERLINK("http://dx.doi.org/10.1016/j.ribaf.2025.102947","http://dx.doi.org/10.1016/j.ribaf.2025.102947")</f>
        <v>http://dx.doi.org/10.1016/j.ribaf.2025.102947</v>
      </c>
      <c r="BG3136" t="s">
        <v>74</v>
      </c>
      <c r="BH3136" t="s">
        <v>2359</v>
      </c>
      <c r="BI3136">
        <v>30</v>
      </c>
      <c r="BJ3136" t="s">
        <v>268</v>
      </c>
      <c r="BK3136" t="s">
        <v>99</v>
      </c>
      <c r="BL3136" t="s">
        <v>100</v>
      </c>
      <c r="BM3136" t="s">
        <v>51739</v>
      </c>
      <c r="BN3136" t="s">
        <v>74</v>
      </c>
      <c r="BO3136" t="s">
        <v>74</v>
      </c>
      <c r="BP3136" t="s">
        <v>74</v>
      </c>
      <c r="BQ3136" t="s">
        <v>74</v>
      </c>
      <c r="BR3136" t="s">
        <v>102</v>
      </c>
      <c r="BS3136" t="s">
        <v>51740</v>
      </c>
      <c r="BT3136" t="str">
        <f>HYPERLINK("https%3A%2F%2Fwww.webofscience.com%2Fwos%2Fwoscc%2Ffull-record%2FWOS:001493075100004","View Full Record in Web of Science")</f>
        <v>View Full Record in Web of Science</v>
      </c>
    </row>
    <row r="3137" spans="1:72" x14ac:dyDescent="0.25">
      <c r="A3137" t="s">
        <v>72</v>
      </c>
      <c r="B3137" t="s">
        <v>51741</v>
      </c>
      <c r="C3137" t="s">
        <v>74</v>
      </c>
      <c r="D3137" t="s">
        <v>74</v>
      </c>
      <c r="E3137" t="s">
        <v>74</v>
      </c>
      <c r="F3137" t="s">
        <v>51742</v>
      </c>
      <c r="G3137" t="s">
        <v>74</v>
      </c>
      <c r="H3137" t="s">
        <v>74</v>
      </c>
      <c r="I3137" t="s">
        <v>51743</v>
      </c>
      <c r="J3137" t="s">
        <v>51744</v>
      </c>
      <c r="K3137" t="s">
        <v>74</v>
      </c>
      <c r="L3137" t="s">
        <v>74</v>
      </c>
      <c r="M3137" t="s">
        <v>78</v>
      </c>
      <c r="N3137" t="s">
        <v>79</v>
      </c>
      <c r="O3137" t="s">
        <v>74</v>
      </c>
      <c r="P3137" t="s">
        <v>74</v>
      </c>
      <c r="Q3137" t="s">
        <v>74</v>
      </c>
      <c r="R3137" t="s">
        <v>74</v>
      </c>
      <c r="S3137" t="s">
        <v>74</v>
      </c>
      <c r="T3137" t="s">
        <v>51745</v>
      </c>
      <c r="U3137" t="s">
        <v>51746</v>
      </c>
      <c r="V3137" t="s">
        <v>51747</v>
      </c>
      <c r="W3137" t="s">
        <v>51748</v>
      </c>
      <c r="X3137" t="s">
        <v>51749</v>
      </c>
      <c r="Y3137" t="s">
        <v>51750</v>
      </c>
      <c r="Z3137" t="s">
        <v>51751</v>
      </c>
      <c r="AA3137" t="s">
        <v>51752</v>
      </c>
      <c r="AB3137" t="s">
        <v>51753</v>
      </c>
      <c r="AC3137" t="s">
        <v>51754</v>
      </c>
      <c r="AD3137" t="s">
        <v>51755</v>
      </c>
      <c r="AE3137" t="s">
        <v>51756</v>
      </c>
      <c r="AF3137" t="s">
        <v>74</v>
      </c>
      <c r="AG3137">
        <v>44</v>
      </c>
      <c r="AH3137">
        <v>18</v>
      </c>
      <c r="AI3137">
        <v>19</v>
      </c>
      <c r="AJ3137">
        <v>2</v>
      </c>
      <c r="AK3137">
        <v>8</v>
      </c>
      <c r="AL3137" t="s">
        <v>8503</v>
      </c>
      <c r="AM3137" t="s">
        <v>995</v>
      </c>
      <c r="AN3137" t="s">
        <v>8504</v>
      </c>
      <c r="AO3137" t="s">
        <v>74</v>
      </c>
      <c r="AP3137" t="s">
        <v>51757</v>
      </c>
      <c r="AQ3137" t="s">
        <v>74</v>
      </c>
      <c r="AR3137" t="s">
        <v>51758</v>
      </c>
      <c r="AS3137" t="s">
        <v>51759</v>
      </c>
      <c r="AT3137" t="s">
        <v>51760</v>
      </c>
      <c r="AU3137">
        <v>2020</v>
      </c>
      <c r="AV3137">
        <v>20</v>
      </c>
      <c r="AW3137">
        <v>1</v>
      </c>
      <c r="AX3137" t="s">
        <v>74</v>
      </c>
      <c r="AY3137" t="s">
        <v>74</v>
      </c>
      <c r="AZ3137" t="s">
        <v>74</v>
      </c>
      <c r="BA3137" t="s">
        <v>74</v>
      </c>
      <c r="BB3137" t="s">
        <v>74</v>
      </c>
      <c r="BC3137" t="s">
        <v>74</v>
      </c>
      <c r="BD3137" t="s">
        <v>74</v>
      </c>
      <c r="BE3137" t="s">
        <v>51761</v>
      </c>
      <c r="BF3137" t="str">
        <f>HYPERLINK("http://dx.doi.org/10.1186/s12884-020-02978-w","http://dx.doi.org/10.1186/s12884-020-02978-w")</f>
        <v>http://dx.doi.org/10.1186/s12884-020-02978-w</v>
      </c>
      <c r="BG3137" t="s">
        <v>74</v>
      </c>
      <c r="BH3137" t="s">
        <v>74</v>
      </c>
      <c r="BI3137">
        <v>14</v>
      </c>
      <c r="BJ3137" t="s">
        <v>51762</v>
      </c>
      <c r="BK3137" t="s">
        <v>128</v>
      </c>
      <c r="BL3137" t="s">
        <v>51762</v>
      </c>
      <c r="BM3137" t="s">
        <v>51763</v>
      </c>
      <c r="BN3137">
        <v>32398156</v>
      </c>
      <c r="BO3137" t="s">
        <v>916</v>
      </c>
      <c r="BP3137" t="s">
        <v>74</v>
      </c>
      <c r="BQ3137" t="s">
        <v>74</v>
      </c>
      <c r="BR3137" t="s">
        <v>102</v>
      </c>
      <c r="BS3137" t="s">
        <v>51764</v>
      </c>
      <c r="BT3137" t="str">
        <f>HYPERLINK("https%3A%2F%2Fwww.webofscience.com%2Fwos%2Fwoscc%2Ffull-record%2FWOS:000535802000002","View Full Record in Web of Science")</f>
        <v>View Full Record in Web of Science</v>
      </c>
    </row>
    <row r="3138" spans="1:72" x14ac:dyDescent="0.25">
      <c r="A3138" t="s">
        <v>8303</v>
      </c>
      <c r="B3138" t="s">
        <v>51765</v>
      </c>
      <c r="C3138" t="s">
        <v>51766</v>
      </c>
      <c r="D3138" t="s">
        <v>74</v>
      </c>
      <c r="E3138" t="s">
        <v>74</v>
      </c>
      <c r="F3138" t="s">
        <v>51767</v>
      </c>
      <c r="G3138" t="s">
        <v>51766</v>
      </c>
      <c r="H3138" t="s">
        <v>74</v>
      </c>
      <c r="I3138" t="s">
        <v>51768</v>
      </c>
      <c r="J3138" t="s">
        <v>51769</v>
      </c>
      <c r="K3138" t="s">
        <v>74</v>
      </c>
      <c r="L3138" t="s">
        <v>74</v>
      </c>
      <c r="M3138" t="s">
        <v>78</v>
      </c>
      <c r="N3138" t="s">
        <v>6023</v>
      </c>
      <c r="O3138" t="s">
        <v>74</v>
      </c>
      <c r="P3138" t="s">
        <v>74</v>
      </c>
      <c r="Q3138" t="s">
        <v>74</v>
      </c>
      <c r="R3138" t="s">
        <v>74</v>
      </c>
      <c r="S3138" t="s">
        <v>74</v>
      </c>
      <c r="T3138" t="s">
        <v>74</v>
      </c>
      <c r="U3138" t="s">
        <v>9655</v>
      </c>
      <c r="V3138" t="s">
        <v>51770</v>
      </c>
      <c r="W3138" t="s">
        <v>51771</v>
      </c>
      <c r="X3138" t="s">
        <v>51772</v>
      </c>
      <c r="Y3138" t="s">
        <v>51773</v>
      </c>
      <c r="Z3138" t="s">
        <v>74</v>
      </c>
      <c r="AA3138" t="s">
        <v>74</v>
      </c>
      <c r="AB3138" t="s">
        <v>74</v>
      </c>
      <c r="AC3138" t="s">
        <v>74</v>
      </c>
      <c r="AD3138" t="s">
        <v>74</v>
      </c>
      <c r="AE3138" t="s">
        <v>74</v>
      </c>
      <c r="AF3138" t="s">
        <v>74</v>
      </c>
      <c r="AG3138">
        <v>44</v>
      </c>
      <c r="AH3138">
        <v>1</v>
      </c>
      <c r="AI3138">
        <v>1</v>
      </c>
      <c r="AJ3138">
        <v>0</v>
      </c>
      <c r="AK3138">
        <v>1</v>
      </c>
      <c r="AL3138" t="s">
        <v>7551</v>
      </c>
      <c r="AM3138" t="s">
        <v>28825</v>
      </c>
      <c r="AN3138" t="s">
        <v>28824</v>
      </c>
      <c r="AO3138" t="s">
        <v>74</v>
      </c>
      <c r="AP3138" t="s">
        <v>74</v>
      </c>
      <c r="AQ3138" t="s">
        <v>51774</v>
      </c>
      <c r="AR3138" t="s">
        <v>74</v>
      </c>
      <c r="AS3138" t="s">
        <v>74</v>
      </c>
      <c r="AT3138" t="s">
        <v>74</v>
      </c>
      <c r="AU3138">
        <v>2013</v>
      </c>
      <c r="AV3138" t="s">
        <v>74</v>
      </c>
      <c r="AW3138" t="s">
        <v>74</v>
      </c>
      <c r="AX3138" t="s">
        <v>74</v>
      </c>
      <c r="AY3138" t="s">
        <v>74</v>
      </c>
      <c r="AZ3138" t="s">
        <v>74</v>
      </c>
      <c r="BA3138" t="s">
        <v>74</v>
      </c>
      <c r="BB3138">
        <v>349</v>
      </c>
      <c r="BC3138">
        <v>370</v>
      </c>
      <c r="BD3138" t="s">
        <v>74</v>
      </c>
      <c r="BE3138" t="s">
        <v>51775</v>
      </c>
      <c r="BF3138" t="str">
        <f>HYPERLINK("http://dx.doi.org/10.4018/978-1-4666-1939-5.ch019","http://dx.doi.org/10.4018/978-1-4666-1939-5.ch019")</f>
        <v>http://dx.doi.org/10.4018/978-1-4666-1939-5.ch019</v>
      </c>
      <c r="BG3138" t="s">
        <v>51776</v>
      </c>
      <c r="BH3138" t="s">
        <v>74</v>
      </c>
      <c r="BI3138">
        <v>22</v>
      </c>
      <c r="BJ3138" t="s">
        <v>51777</v>
      </c>
      <c r="BK3138" t="s">
        <v>8314</v>
      </c>
      <c r="BL3138" t="s">
        <v>51778</v>
      </c>
      <c r="BM3138" t="s">
        <v>51779</v>
      </c>
      <c r="BN3138" t="s">
        <v>74</v>
      </c>
      <c r="BO3138" t="s">
        <v>74</v>
      </c>
      <c r="BP3138" t="s">
        <v>74</v>
      </c>
      <c r="BQ3138" t="s">
        <v>74</v>
      </c>
      <c r="BR3138" t="s">
        <v>102</v>
      </c>
      <c r="BS3138" t="s">
        <v>51780</v>
      </c>
      <c r="BT3138" t="str">
        <f>HYPERLINK("https%3A%2F%2Fwww.webofscience.com%2Fwos%2Fwoscc%2Ffull-record%2FWOS:000417973700020","View Full Record in Web of Science")</f>
        <v>View Full Record in Web of Science</v>
      </c>
    </row>
    <row r="3139" spans="1:72" x14ac:dyDescent="0.25">
      <c r="A3139" t="s">
        <v>72</v>
      </c>
      <c r="B3139" t="s">
        <v>51781</v>
      </c>
      <c r="C3139" t="s">
        <v>74</v>
      </c>
      <c r="D3139" t="s">
        <v>74</v>
      </c>
      <c r="E3139" t="s">
        <v>74</v>
      </c>
      <c r="F3139" t="s">
        <v>51782</v>
      </c>
      <c r="G3139" t="s">
        <v>74</v>
      </c>
      <c r="H3139" t="s">
        <v>74</v>
      </c>
      <c r="I3139" t="s">
        <v>51783</v>
      </c>
      <c r="J3139" t="s">
        <v>17640</v>
      </c>
      <c r="K3139" t="s">
        <v>74</v>
      </c>
      <c r="L3139" t="s">
        <v>74</v>
      </c>
      <c r="M3139" t="s">
        <v>78</v>
      </c>
      <c r="N3139" t="s">
        <v>79</v>
      </c>
      <c r="O3139" t="s">
        <v>74</v>
      </c>
      <c r="P3139" t="s">
        <v>74</v>
      </c>
      <c r="Q3139" t="s">
        <v>74</v>
      </c>
      <c r="R3139" t="s">
        <v>74</v>
      </c>
      <c r="S3139" t="s">
        <v>74</v>
      </c>
      <c r="T3139" t="s">
        <v>74</v>
      </c>
      <c r="U3139" t="s">
        <v>51784</v>
      </c>
      <c r="V3139" t="s">
        <v>51785</v>
      </c>
      <c r="W3139" t="s">
        <v>51786</v>
      </c>
      <c r="X3139" t="s">
        <v>51787</v>
      </c>
      <c r="Y3139" t="s">
        <v>51788</v>
      </c>
      <c r="Z3139" t="s">
        <v>51789</v>
      </c>
      <c r="AA3139" t="s">
        <v>51790</v>
      </c>
      <c r="AB3139" t="s">
        <v>74</v>
      </c>
      <c r="AC3139" t="s">
        <v>51791</v>
      </c>
      <c r="AD3139" t="s">
        <v>51792</v>
      </c>
      <c r="AE3139" t="s">
        <v>51793</v>
      </c>
      <c r="AF3139" t="s">
        <v>74</v>
      </c>
      <c r="AG3139">
        <v>57</v>
      </c>
      <c r="AH3139">
        <v>5</v>
      </c>
      <c r="AI3139">
        <v>8</v>
      </c>
      <c r="AJ3139">
        <v>5</v>
      </c>
      <c r="AK3139">
        <v>14</v>
      </c>
      <c r="AL3139" t="s">
        <v>4666</v>
      </c>
      <c r="AM3139" t="s">
        <v>995</v>
      </c>
      <c r="AN3139" t="s">
        <v>4025</v>
      </c>
      <c r="AO3139" t="s">
        <v>74</v>
      </c>
      <c r="AP3139" t="s">
        <v>17649</v>
      </c>
      <c r="AQ3139" t="s">
        <v>74</v>
      </c>
      <c r="AR3139" t="s">
        <v>17650</v>
      </c>
      <c r="AS3139" t="s">
        <v>17651</v>
      </c>
      <c r="AT3139" t="s">
        <v>23822</v>
      </c>
      <c r="AU3139">
        <v>2023</v>
      </c>
      <c r="AV3139">
        <v>10</v>
      </c>
      <c r="AW3139">
        <v>1</v>
      </c>
      <c r="AX3139" t="s">
        <v>74</v>
      </c>
      <c r="AY3139" t="s">
        <v>74</v>
      </c>
      <c r="AZ3139" t="s">
        <v>74</v>
      </c>
      <c r="BA3139" t="s">
        <v>74</v>
      </c>
      <c r="BB3139" t="s">
        <v>74</v>
      </c>
      <c r="BC3139" t="s">
        <v>74</v>
      </c>
      <c r="BD3139">
        <v>692</v>
      </c>
      <c r="BE3139" t="s">
        <v>51794</v>
      </c>
      <c r="BF3139" t="str">
        <f>HYPERLINK("http://dx.doi.org/10.1057/s41599-023-02133-8","http://dx.doi.org/10.1057/s41599-023-02133-8")</f>
        <v>http://dx.doi.org/10.1057/s41599-023-02133-8</v>
      </c>
      <c r="BG3139" t="s">
        <v>74</v>
      </c>
      <c r="BH3139" t="s">
        <v>74</v>
      </c>
      <c r="BI3139">
        <v>10</v>
      </c>
      <c r="BJ3139" t="s">
        <v>17654</v>
      </c>
      <c r="BK3139" t="s">
        <v>871</v>
      </c>
      <c r="BL3139" t="s">
        <v>17655</v>
      </c>
      <c r="BM3139" t="s">
        <v>51795</v>
      </c>
      <c r="BN3139" t="s">
        <v>74</v>
      </c>
      <c r="BO3139" t="s">
        <v>916</v>
      </c>
      <c r="BP3139" t="s">
        <v>74</v>
      </c>
      <c r="BQ3139" t="s">
        <v>74</v>
      </c>
      <c r="BR3139" t="s">
        <v>102</v>
      </c>
      <c r="BS3139" t="s">
        <v>51796</v>
      </c>
      <c r="BT3139" t="str">
        <f>HYPERLINK("https%3A%2F%2Fwww.webofscience.com%2Fwos%2Fwoscc%2Ffull-record%2FWOS:001097592500010","View Full Record in Web of Science")</f>
        <v>View Full Record in Web of Science</v>
      </c>
    </row>
    <row r="3140" spans="1:72" x14ac:dyDescent="0.25">
      <c r="A3140" t="s">
        <v>72</v>
      </c>
      <c r="B3140" t="s">
        <v>1984</v>
      </c>
      <c r="C3140" t="s">
        <v>74</v>
      </c>
      <c r="D3140" t="s">
        <v>74</v>
      </c>
      <c r="E3140" t="s">
        <v>74</v>
      </c>
      <c r="F3140" t="s">
        <v>1985</v>
      </c>
      <c r="G3140" t="s">
        <v>74</v>
      </c>
      <c r="H3140" t="s">
        <v>74</v>
      </c>
      <c r="I3140" t="s">
        <v>51797</v>
      </c>
      <c r="J3140" t="s">
        <v>320</v>
      </c>
      <c r="K3140" t="s">
        <v>74</v>
      </c>
      <c r="L3140" t="s">
        <v>74</v>
      </c>
      <c r="M3140" t="s">
        <v>78</v>
      </c>
      <c r="N3140" t="s">
        <v>79</v>
      </c>
      <c r="O3140" t="s">
        <v>74</v>
      </c>
      <c r="P3140" t="s">
        <v>74</v>
      </c>
      <c r="Q3140" t="s">
        <v>74</v>
      </c>
      <c r="R3140" t="s">
        <v>74</v>
      </c>
      <c r="S3140" t="s">
        <v>74</v>
      </c>
      <c r="T3140" t="s">
        <v>51798</v>
      </c>
      <c r="U3140" t="s">
        <v>51799</v>
      </c>
      <c r="V3140" t="s">
        <v>51800</v>
      </c>
      <c r="W3140" t="s">
        <v>51801</v>
      </c>
      <c r="X3140" t="s">
        <v>1992</v>
      </c>
      <c r="Y3140" t="s">
        <v>51802</v>
      </c>
      <c r="Z3140" t="s">
        <v>1994</v>
      </c>
      <c r="AA3140" t="s">
        <v>51803</v>
      </c>
      <c r="AB3140" t="s">
        <v>51804</v>
      </c>
      <c r="AC3140" t="s">
        <v>34580</v>
      </c>
      <c r="AD3140" t="s">
        <v>19652</v>
      </c>
      <c r="AE3140" t="s">
        <v>51805</v>
      </c>
      <c r="AF3140" t="s">
        <v>74</v>
      </c>
      <c r="AG3140">
        <v>100</v>
      </c>
      <c r="AH3140">
        <v>3</v>
      </c>
      <c r="AI3140">
        <v>3</v>
      </c>
      <c r="AJ3140">
        <v>1</v>
      </c>
      <c r="AK3140">
        <v>13</v>
      </c>
      <c r="AL3140" t="s">
        <v>332</v>
      </c>
      <c r="AM3140" t="s">
        <v>333</v>
      </c>
      <c r="AN3140" t="s">
        <v>334</v>
      </c>
      <c r="AO3140" t="s">
        <v>335</v>
      </c>
      <c r="AP3140" t="s">
        <v>336</v>
      </c>
      <c r="AQ3140" t="s">
        <v>74</v>
      </c>
      <c r="AR3140" t="s">
        <v>337</v>
      </c>
      <c r="AS3140" t="s">
        <v>338</v>
      </c>
      <c r="AT3140" t="s">
        <v>6450</v>
      </c>
      <c r="AU3140">
        <v>2022</v>
      </c>
      <c r="AV3140">
        <v>29</v>
      </c>
      <c r="AW3140">
        <v>5</v>
      </c>
      <c r="AX3140" t="s">
        <v>74</v>
      </c>
      <c r="AY3140" t="s">
        <v>74</v>
      </c>
      <c r="AZ3140" t="s">
        <v>74</v>
      </c>
      <c r="BA3140" t="s">
        <v>74</v>
      </c>
      <c r="BB3140">
        <v>1698</v>
      </c>
      <c r="BC3140">
        <v>1722</v>
      </c>
      <c r="BD3140" t="s">
        <v>74</v>
      </c>
      <c r="BE3140" t="s">
        <v>51806</v>
      </c>
      <c r="BF3140" t="str">
        <f>HYPERLINK("http://dx.doi.org/10.1080/09692290.2021.1936593","http://dx.doi.org/10.1080/09692290.2021.1936593")</f>
        <v>http://dx.doi.org/10.1080/09692290.2021.1936593</v>
      </c>
      <c r="BG3140" t="s">
        <v>74</v>
      </c>
      <c r="BH3140" t="s">
        <v>4575</v>
      </c>
      <c r="BI3140">
        <v>25</v>
      </c>
      <c r="BJ3140" t="s">
        <v>342</v>
      </c>
      <c r="BK3140" t="s">
        <v>99</v>
      </c>
      <c r="BL3140" t="s">
        <v>343</v>
      </c>
      <c r="BM3140" t="s">
        <v>51807</v>
      </c>
      <c r="BN3140" t="s">
        <v>74</v>
      </c>
      <c r="BO3140" t="s">
        <v>74</v>
      </c>
      <c r="BP3140" t="s">
        <v>74</v>
      </c>
      <c r="BQ3140" t="s">
        <v>74</v>
      </c>
      <c r="BR3140" t="s">
        <v>102</v>
      </c>
      <c r="BS3140" t="s">
        <v>51808</v>
      </c>
      <c r="BT3140" t="str">
        <f>HYPERLINK("https%3A%2F%2Fwww.webofscience.com%2Fwos%2Fwoscc%2Ffull-record%2FWOS:000671470800001","View Full Record in Web of Science")</f>
        <v>View Full Record in Web of Science</v>
      </c>
    </row>
    <row r="3141" spans="1:72" x14ac:dyDescent="0.25">
      <c r="A3141" t="s">
        <v>72</v>
      </c>
      <c r="B3141" t="s">
        <v>51809</v>
      </c>
      <c r="C3141" t="s">
        <v>74</v>
      </c>
      <c r="D3141" t="s">
        <v>74</v>
      </c>
      <c r="E3141" t="s">
        <v>74</v>
      </c>
      <c r="F3141" t="s">
        <v>51810</v>
      </c>
      <c r="G3141" t="s">
        <v>74</v>
      </c>
      <c r="H3141" t="s">
        <v>74</v>
      </c>
      <c r="I3141" t="s">
        <v>51811</v>
      </c>
      <c r="J3141" t="s">
        <v>217</v>
      </c>
      <c r="K3141" t="s">
        <v>74</v>
      </c>
      <c r="L3141" t="s">
        <v>74</v>
      </c>
      <c r="M3141" t="s">
        <v>78</v>
      </c>
      <c r="N3141" t="s">
        <v>79</v>
      </c>
      <c r="O3141" t="s">
        <v>74</v>
      </c>
      <c r="P3141" t="s">
        <v>74</v>
      </c>
      <c r="Q3141" t="s">
        <v>74</v>
      </c>
      <c r="R3141" t="s">
        <v>74</v>
      </c>
      <c r="S3141" t="s">
        <v>74</v>
      </c>
      <c r="T3141" t="s">
        <v>51812</v>
      </c>
      <c r="U3141" t="s">
        <v>51813</v>
      </c>
      <c r="V3141" t="s">
        <v>51814</v>
      </c>
      <c r="W3141" t="s">
        <v>51815</v>
      </c>
      <c r="X3141" t="s">
        <v>51816</v>
      </c>
      <c r="Y3141" t="s">
        <v>51817</v>
      </c>
      <c r="Z3141" t="s">
        <v>51818</v>
      </c>
      <c r="AA3141" t="s">
        <v>74</v>
      </c>
      <c r="AB3141" t="s">
        <v>74</v>
      </c>
      <c r="AC3141" t="s">
        <v>74</v>
      </c>
      <c r="AD3141" t="s">
        <v>74</v>
      </c>
      <c r="AE3141" t="s">
        <v>74</v>
      </c>
      <c r="AF3141" t="s">
        <v>74</v>
      </c>
      <c r="AG3141">
        <v>51</v>
      </c>
      <c r="AH3141">
        <v>44</v>
      </c>
      <c r="AI3141">
        <v>73</v>
      </c>
      <c r="AJ3141">
        <v>1</v>
      </c>
      <c r="AK3141">
        <v>27</v>
      </c>
      <c r="AL3141" t="s">
        <v>230</v>
      </c>
      <c r="AM3141" t="s">
        <v>231</v>
      </c>
      <c r="AN3141" t="s">
        <v>232</v>
      </c>
      <c r="AO3141" t="s">
        <v>233</v>
      </c>
      <c r="AP3141" t="s">
        <v>234</v>
      </c>
      <c r="AQ3141" t="s">
        <v>74</v>
      </c>
      <c r="AR3141" t="s">
        <v>235</v>
      </c>
      <c r="AS3141" t="s">
        <v>236</v>
      </c>
      <c r="AT3141" t="s">
        <v>208</v>
      </c>
      <c r="AU3141">
        <v>2011</v>
      </c>
      <c r="AV3141">
        <v>33</v>
      </c>
      <c r="AW3141">
        <v>1</v>
      </c>
      <c r="AX3141" t="s">
        <v>74</v>
      </c>
      <c r="AY3141" t="s">
        <v>74</v>
      </c>
      <c r="AZ3141" t="s">
        <v>74</v>
      </c>
      <c r="BA3141" t="s">
        <v>74</v>
      </c>
      <c r="BB3141">
        <v>78</v>
      </c>
      <c r="BC3141">
        <v>85</v>
      </c>
      <c r="BD3141" t="s">
        <v>74</v>
      </c>
      <c r="BE3141" t="s">
        <v>51819</v>
      </c>
      <c r="BF3141" t="str">
        <f>HYPERLINK("http://dx.doi.org/10.1016/j.childyouth.2010.08.015","http://dx.doi.org/10.1016/j.childyouth.2010.08.015")</f>
        <v>http://dx.doi.org/10.1016/j.childyouth.2010.08.015</v>
      </c>
      <c r="BG3141" t="s">
        <v>74</v>
      </c>
      <c r="BH3141" t="s">
        <v>74</v>
      </c>
      <c r="BI3141">
        <v>8</v>
      </c>
      <c r="BJ3141" t="s">
        <v>240</v>
      </c>
      <c r="BK3141" t="s">
        <v>99</v>
      </c>
      <c r="BL3141" t="s">
        <v>240</v>
      </c>
      <c r="BM3141" t="s">
        <v>51820</v>
      </c>
      <c r="BN3141" t="s">
        <v>74</v>
      </c>
      <c r="BO3141" t="s">
        <v>74</v>
      </c>
      <c r="BP3141" t="s">
        <v>74</v>
      </c>
      <c r="BQ3141" t="s">
        <v>74</v>
      </c>
      <c r="BR3141" t="s">
        <v>102</v>
      </c>
      <c r="BS3141" t="s">
        <v>51821</v>
      </c>
      <c r="BT3141" t="str">
        <f>HYPERLINK("https%3A%2F%2Fwww.webofscience.com%2Fwos%2Fwoscc%2Ffull-record%2FWOS:000286859900010","View Full Record in Web of Science")</f>
        <v>View Full Record in Web of Science</v>
      </c>
    </row>
    <row r="3142" spans="1:72" x14ac:dyDescent="0.25">
      <c r="A3142" t="s">
        <v>72</v>
      </c>
      <c r="B3142" t="s">
        <v>51822</v>
      </c>
      <c r="C3142" t="s">
        <v>74</v>
      </c>
      <c r="D3142" t="s">
        <v>74</v>
      </c>
      <c r="E3142" t="s">
        <v>74</v>
      </c>
      <c r="F3142" t="s">
        <v>51823</v>
      </c>
      <c r="G3142" t="s">
        <v>74</v>
      </c>
      <c r="H3142" t="s">
        <v>74</v>
      </c>
      <c r="I3142" t="s">
        <v>51824</v>
      </c>
      <c r="J3142" t="s">
        <v>47368</v>
      </c>
      <c r="K3142" t="s">
        <v>74</v>
      </c>
      <c r="L3142" t="s">
        <v>74</v>
      </c>
      <c r="M3142" t="s">
        <v>78</v>
      </c>
      <c r="N3142" t="s">
        <v>79</v>
      </c>
      <c r="O3142" t="s">
        <v>74</v>
      </c>
      <c r="P3142" t="s">
        <v>74</v>
      </c>
      <c r="Q3142" t="s">
        <v>74</v>
      </c>
      <c r="R3142" t="s">
        <v>74</v>
      </c>
      <c r="S3142" t="s">
        <v>74</v>
      </c>
      <c r="T3142" t="s">
        <v>51825</v>
      </c>
      <c r="U3142" t="s">
        <v>51826</v>
      </c>
      <c r="V3142" t="s">
        <v>51827</v>
      </c>
      <c r="W3142" t="s">
        <v>51828</v>
      </c>
      <c r="X3142" t="s">
        <v>74</v>
      </c>
      <c r="Y3142" t="s">
        <v>51829</v>
      </c>
      <c r="Z3142" t="s">
        <v>51830</v>
      </c>
      <c r="AA3142" t="s">
        <v>74</v>
      </c>
      <c r="AB3142" t="s">
        <v>74</v>
      </c>
      <c r="AC3142" t="s">
        <v>74</v>
      </c>
      <c r="AD3142" t="s">
        <v>74</v>
      </c>
      <c r="AE3142" t="s">
        <v>74</v>
      </c>
      <c r="AF3142" t="s">
        <v>74</v>
      </c>
      <c r="AG3142">
        <v>50</v>
      </c>
      <c r="AH3142">
        <v>4</v>
      </c>
      <c r="AI3142">
        <v>4</v>
      </c>
      <c r="AJ3142">
        <v>0</v>
      </c>
      <c r="AK3142">
        <v>10</v>
      </c>
      <c r="AL3142" t="s">
        <v>89</v>
      </c>
      <c r="AM3142" t="s">
        <v>90</v>
      </c>
      <c r="AN3142" t="s">
        <v>91</v>
      </c>
      <c r="AO3142" t="s">
        <v>47372</v>
      </c>
      <c r="AP3142" t="s">
        <v>47373</v>
      </c>
      <c r="AQ3142" t="s">
        <v>74</v>
      </c>
      <c r="AR3142" t="s">
        <v>47374</v>
      </c>
      <c r="AS3142" t="s">
        <v>47375</v>
      </c>
      <c r="AT3142" t="s">
        <v>11018</v>
      </c>
      <c r="AU3142">
        <v>2023</v>
      </c>
      <c r="AV3142">
        <v>15</v>
      </c>
      <c r="AW3142">
        <v>6</v>
      </c>
      <c r="AX3142" t="s">
        <v>74</v>
      </c>
      <c r="AY3142" t="s">
        <v>74</v>
      </c>
      <c r="AZ3142" t="s">
        <v>74</v>
      </c>
      <c r="BA3142" t="s">
        <v>74</v>
      </c>
      <c r="BB3142">
        <v>1438</v>
      </c>
      <c r="BC3142">
        <v>1458</v>
      </c>
      <c r="BD3142" t="s">
        <v>74</v>
      </c>
      <c r="BE3142" t="s">
        <v>51831</v>
      </c>
      <c r="BF3142" t="str">
        <f>HYPERLINK("http://dx.doi.org/10.1108/JEEE-07-2021-0269","http://dx.doi.org/10.1108/JEEE-07-2021-0269")</f>
        <v>http://dx.doi.org/10.1108/JEEE-07-2021-0269</v>
      </c>
      <c r="BG3142" t="s">
        <v>74</v>
      </c>
      <c r="BH3142" t="s">
        <v>1091</v>
      </c>
      <c r="BI3142">
        <v>21</v>
      </c>
      <c r="BJ3142" t="s">
        <v>418</v>
      </c>
      <c r="BK3142" t="s">
        <v>313</v>
      </c>
      <c r="BL3142" t="s">
        <v>100</v>
      </c>
      <c r="BM3142" t="s">
        <v>51832</v>
      </c>
      <c r="BN3142" t="s">
        <v>74</v>
      </c>
      <c r="BO3142" t="s">
        <v>74</v>
      </c>
      <c r="BP3142" t="s">
        <v>74</v>
      </c>
      <c r="BQ3142" t="s">
        <v>74</v>
      </c>
      <c r="BR3142" t="s">
        <v>102</v>
      </c>
      <c r="BS3142" t="s">
        <v>51833</v>
      </c>
      <c r="BT3142" t="str">
        <f>HYPERLINK("https%3A%2F%2Fwww.webofscience.com%2Fwos%2Fwoscc%2Ffull-record%2FWOS:000800728400001","View Full Record in Web of Science")</f>
        <v>View Full Record in Web of Science</v>
      </c>
    </row>
    <row r="3143" spans="1:72" x14ac:dyDescent="0.25">
      <c r="A3143" t="s">
        <v>72</v>
      </c>
      <c r="B3143" t="s">
        <v>51834</v>
      </c>
      <c r="C3143" t="s">
        <v>74</v>
      </c>
      <c r="D3143" t="s">
        <v>74</v>
      </c>
      <c r="E3143" t="s">
        <v>74</v>
      </c>
      <c r="F3143" t="s">
        <v>51835</v>
      </c>
      <c r="G3143" t="s">
        <v>74</v>
      </c>
      <c r="H3143" t="s">
        <v>74</v>
      </c>
      <c r="I3143" t="s">
        <v>51836</v>
      </c>
      <c r="J3143" t="s">
        <v>51837</v>
      </c>
      <c r="K3143" t="s">
        <v>74</v>
      </c>
      <c r="L3143" t="s">
        <v>74</v>
      </c>
      <c r="M3143" t="s">
        <v>78</v>
      </c>
      <c r="N3143" t="s">
        <v>79</v>
      </c>
      <c r="O3143" t="s">
        <v>74</v>
      </c>
      <c r="P3143" t="s">
        <v>74</v>
      </c>
      <c r="Q3143" t="s">
        <v>74</v>
      </c>
      <c r="R3143" t="s">
        <v>74</v>
      </c>
      <c r="S3143" t="s">
        <v>74</v>
      </c>
      <c r="T3143" t="s">
        <v>51838</v>
      </c>
      <c r="U3143" t="s">
        <v>51839</v>
      </c>
      <c r="V3143" t="s">
        <v>51840</v>
      </c>
      <c r="W3143" t="s">
        <v>51841</v>
      </c>
      <c r="X3143" t="s">
        <v>9493</v>
      </c>
      <c r="Y3143" t="s">
        <v>51842</v>
      </c>
      <c r="Z3143" t="s">
        <v>51843</v>
      </c>
      <c r="AA3143" t="s">
        <v>74</v>
      </c>
      <c r="AB3143" t="s">
        <v>51844</v>
      </c>
      <c r="AC3143" t="s">
        <v>51845</v>
      </c>
      <c r="AD3143" t="s">
        <v>51846</v>
      </c>
      <c r="AE3143" t="s">
        <v>51847</v>
      </c>
      <c r="AF3143" t="s">
        <v>74</v>
      </c>
      <c r="AG3143">
        <v>60</v>
      </c>
      <c r="AH3143">
        <v>7</v>
      </c>
      <c r="AI3143">
        <v>8</v>
      </c>
      <c r="AJ3143">
        <v>0</v>
      </c>
      <c r="AK3143">
        <v>7</v>
      </c>
      <c r="AL3143" t="s">
        <v>259</v>
      </c>
      <c r="AM3143" t="s">
        <v>260</v>
      </c>
      <c r="AN3143" t="s">
        <v>261</v>
      </c>
      <c r="AO3143" t="s">
        <v>51848</v>
      </c>
      <c r="AP3143" t="s">
        <v>51849</v>
      </c>
      <c r="AQ3143" t="s">
        <v>74</v>
      </c>
      <c r="AR3143" t="s">
        <v>51850</v>
      </c>
      <c r="AS3143" t="s">
        <v>51851</v>
      </c>
      <c r="AT3143" t="s">
        <v>605</v>
      </c>
      <c r="AU3143">
        <v>2020</v>
      </c>
      <c r="AV3143">
        <v>48</v>
      </c>
      <c r="AW3143">
        <v>1</v>
      </c>
      <c r="AX3143" t="s">
        <v>74</v>
      </c>
      <c r="AY3143" t="s">
        <v>74</v>
      </c>
      <c r="AZ3143" t="s">
        <v>74</v>
      </c>
      <c r="BA3143" t="s">
        <v>74</v>
      </c>
      <c r="BB3143">
        <v>76</v>
      </c>
      <c r="BC3143">
        <v>99</v>
      </c>
      <c r="BD3143" t="s">
        <v>74</v>
      </c>
      <c r="BE3143" t="s">
        <v>51852</v>
      </c>
      <c r="BF3143" t="str">
        <f>HYPERLINK("http://dx.doi.org/10.1016/j.jce.2019.11.003","http://dx.doi.org/10.1016/j.jce.2019.11.003")</f>
        <v>http://dx.doi.org/10.1016/j.jce.2019.11.003</v>
      </c>
      <c r="BG3143" t="s">
        <v>74</v>
      </c>
      <c r="BH3143" t="s">
        <v>74</v>
      </c>
      <c r="BI3143">
        <v>24</v>
      </c>
      <c r="BJ3143" t="s">
        <v>291</v>
      </c>
      <c r="BK3143" t="s">
        <v>99</v>
      </c>
      <c r="BL3143" t="s">
        <v>100</v>
      </c>
      <c r="BM3143" t="s">
        <v>51853</v>
      </c>
      <c r="BN3143" t="s">
        <v>74</v>
      </c>
      <c r="BO3143" t="s">
        <v>74</v>
      </c>
      <c r="BP3143" t="s">
        <v>74</v>
      </c>
      <c r="BQ3143" t="s">
        <v>74</v>
      </c>
      <c r="BR3143" t="s">
        <v>102</v>
      </c>
      <c r="BS3143" t="s">
        <v>51854</v>
      </c>
      <c r="BT3143" t="str">
        <f>HYPERLINK("https%3A%2F%2Fwww.webofscience.com%2Fwos%2Fwoscc%2Ffull-record%2FWOS:000527892800005","View Full Record in Web of Science")</f>
        <v>View Full Record in Web of Science</v>
      </c>
    </row>
    <row r="3144" spans="1:72" x14ac:dyDescent="0.25">
      <c r="A3144" t="s">
        <v>72</v>
      </c>
      <c r="B3144" t="s">
        <v>51855</v>
      </c>
      <c r="C3144" t="s">
        <v>74</v>
      </c>
      <c r="D3144" t="s">
        <v>74</v>
      </c>
      <c r="E3144" t="s">
        <v>74</v>
      </c>
      <c r="F3144" t="s">
        <v>51856</v>
      </c>
      <c r="G3144" t="s">
        <v>74</v>
      </c>
      <c r="H3144" t="s">
        <v>74</v>
      </c>
      <c r="I3144" t="s">
        <v>51857</v>
      </c>
      <c r="J3144" t="s">
        <v>51858</v>
      </c>
      <c r="K3144" t="s">
        <v>74</v>
      </c>
      <c r="L3144" t="s">
        <v>74</v>
      </c>
      <c r="M3144" t="s">
        <v>78</v>
      </c>
      <c r="N3144" t="s">
        <v>79</v>
      </c>
      <c r="O3144" t="s">
        <v>74</v>
      </c>
      <c r="P3144" t="s">
        <v>74</v>
      </c>
      <c r="Q3144" t="s">
        <v>74</v>
      </c>
      <c r="R3144" t="s">
        <v>74</v>
      </c>
      <c r="S3144" t="s">
        <v>74</v>
      </c>
      <c r="T3144" t="s">
        <v>51859</v>
      </c>
      <c r="U3144" t="s">
        <v>51860</v>
      </c>
      <c r="V3144" t="s">
        <v>51861</v>
      </c>
      <c r="W3144" t="s">
        <v>51862</v>
      </c>
      <c r="X3144" t="s">
        <v>51863</v>
      </c>
      <c r="Y3144" t="s">
        <v>51864</v>
      </c>
      <c r="Z3144" t="s">
        <v>51865</v>
      </c>
      <c r="AA3144" t="s">
        <v>51866</v>
      </c>
      <c r="AB3144" t="s">
        <v>51867</v>
      </c>
      <c r="AC3144" t="s">
        <v>74</v>
      </c>
      <c r="AD3144" t="s">
        <v>74</v>
      </c>
      <c r="AE3144" t="s">
        <v>74</v>
      </c>
      <c r="AF3144" t="s">
        <v>74</v>
      </c>
      <c r="AG3144">
        <v>91</v>
      </c>
      <c r="AH3144">
        <v>31</v>
      </c>
      <c r="AI3144">
        <v>32</v>
      </c>
      <c r="AJ3144">
        <v>3</v>
      </c>
      <c r="AK3144">
        <v>90</v>
      </c>
      <c r="AL3144" t="s">
        <v>757</v>
      </c>
      <c r="AM3144" t="s">
        <v>758</v>
      </c>
      <c r="AN3144" t="s">
        <v>759</v>
      </c>
      <c r="AO3144" t="s">
        <v>51868</v>
      </c>
      <c r="AP3144" t="s">
        <v>51869</v>
      </c>
      <c r="AQ3144" t="s">
        <v>74</v>
      </c>
      <c r="AR3144" t="s">
        <v>51870</v>
      </c>
      <c r="AS3144" t="s">
        <v>51871</v>
      </c>
      <c r="AT3144" t="s">
        <v>698</v>
      </c>
      <c r="AU3144">
        <v>2023</v>
      </c>
      <c r="AV3144">
        <v>87</v>
      </c>
      <c r="AW3144">
        <v>5</v>
      </c>
      <c r="AX3144" t="s">
        <v>74</v>
      </c>
      <c r="AY3144" t="s">
        <v>74</v>
      </c>
      <c r="AZ3144" t="s">
        <v>74</v>
      </c>
      <c r="BA3144" t="s">
        <v>74</v>
      </c>
      <c r="BB3144">
        <v>657</v>
      </c>
      <c r="BC3144">
        <v>678</v>
      </c>
      <c r="BD3144" t="s">
        <v>74</v>
      </c>
      <c r="BE3144" t="s">
        <v>51872</v>
      </c>
      <c r="BF3144" t="str">
        <f>HYPERLINK("http://dx.doi.org/10.1177/00222429221150910","http://dx.doi.org/10.1177/00222429221150910")</f>
        <v>http://dx.doi.org/10.1177/00222429221150910</v>
      </c>
      <c r="BG3144" t="s">
        <v>74</v>
      </c>
      <c r="BH3144" t="s">
        <v>6298</v>
      </c>
      <c r="BI3144">
        <v>22</v>
      </c>
      <c r="BJ3144" t="s">
        <v>418</v>
      </c>
      <c r="BK3144" t="s">
        <v>99</v>
      </c>
      <c r="BL3144" t="s">
        <v>100</v>
      </c>
      <c r="BM3144" t="s">
        <v>51873</v>
      </c>
      <c r="BN3144" t="s">
        <v>74</v>
      </c>
      <c r="BO3144" t="s">
        <v>74</v>
      </c>
      <c r="BP3144" t="s">
        <v>74</v>
      </c>
      <c r="BQ3144" t="s">
        <v>74</v>
      </c>
      <c r="BR3144" t="s">
        <v>102</v>
      </c>
      <c r="BS3144" t="s">
        <v>51874</v>
      </c>
      <c r="BT3144" t="str">
        <f>HYPERLINK("https%3A%2F%2Fwww.webofscience.com%2Fwos%2Fwoscc%2Ffull-record%2FWOS:000974269200001","View Full Record in Web of Science")</f>
        <v>View Full Record in Web of Science</v>
      </c>
    </row>
    <row r="3145" spans="1:72" x14ac:dyDescent="0.25">
      <c r="A3145" t="s">
        <v>72</v>
      </c>
      <c r="B3145" t="s">
        <v>51875</v>
      </c>
      <c r="C3145" t="s">
        <v>74</v>
      </c>
      <c r="D3145" t="s">
        <v>74</v>
      </c>
      <c r="E3145" t="s">
        <v>74</v>
      </c>
      <c r="F3145" t="s">
        <v>51876</v>
      </c>
      <c r="G3145" t="s">
        <v>74</v>
      </c>
      <c r="H3145" t="s">
        <v>74</v>
      </c>
      <c r="I3145" t="s">
        <v>51877</v>
      </c>
      <c r="J3145" t="s">
        <v>4306</v>
      </c>
      <c r="K3145" t="s">
        <v>74</v>
      </c>
      <c r="L3145" t="s">
        <v>74</v>
      </c>
      <c r="M3145" t="s">
        <v>78</v>
      </c>
      <c r="N3145" t="s">
        <v>79</v>
      </c>
      <c r="O3145" t="s">
        <v>74</v>
      </c>
      <c r="P3145" t="s">
        <v>74</v>
      </c>
      <c r="Q3145" t="s">
        <v>74</v>
      </c>
      <c r="R3145" t="s">
        <v>74</v>
      </c>
      <c r="S3145" t="s">
        <v>74</v>
      </c>
      <c r="T3145" t="s">
        <v>51878</v>
      </c>
      <c r="U3145" t="s">
        <v>51879</v>
      </c>
      <c r="V3145" t="s">
        <v>51880</v>
      </c>
      <c r="W3145" t="s">
        <v>51881</v>
      </c>
      <c r="X3145" t="s">
        <v>51882</v>
      </c>
      <c r="Y3145" t="s">
        <v>51883</v>
      </c>
      <c r="Z3145" t="s">
        <v>51884</v>
      </c>
      <c r="AA3145" t="s">
        <v>74</v>
      </c>
      <c r="AB3145" t="s">
        <v>74</v>
      </c>
      <c r="AC3145" t="s">
        <v>51885</v>
      </c>
      <c r="AD3145" t="s">
        <v>51886</v>
      </c>
      <c r="AE3145" t="s">
        <v>51887</v>
      </c>
      <c r="AF3145" t="s">
        <v>74</v>
      </c>
      <c r="AG3145">
        <v>67</v>
      </c>
      <c r="AH3145">
        <v>8</v>
      </c>
      <c r="AI3145">
        <v>8</v>
      </c>
      <c r="AJ3145">
        <v>1</v>
      </c>
      <c r="AK3145">
        <v>58</v>
      </c>
      <c r="AL3145" t="s">
        <v>503</v>
      </c>
      <c r="AM3145" t="s">
        <v>151</v>
      </c>
      <c r="AN3145" t="s">
        <v>504</v>
      </c>
      <c r="AO3145" t="s">
        <v>4315</v>
      </c>
      <c r="AP3145" t="s">
        <v>4316</v>
      </c>
      <c r="AQ3145" t="s">
        <v>74</v>
      </c>
      <c r="AR3145" t="s">
        <v>4317</v>
      </c>
      <c r="AS3145" t="s">
        <v>4318</v>
      </c>
      <c r="AT3145" t="s">
        <v>1159</v>
      </c>
      <c r="AU3145">
        <v>2022</v>
      </c>
      <c r="AV3145">
        <v>183</v>
      </c>
      <c r="AW3145" t="s">
        <v>74</v>
      </c>
      <c r="AX3145" t="s">
        <v>74</v>
      </c>
      <c r="AY3145" t="s">
        <v>74</v>
      </c>
      <c r="AZ3145" t="s">
        <v>74</v>
      </c>
      <c r="BA3145" t="s">
        <v>74</v>
      </c>
      <c r="BB3145" t="s">
        <v>74</v>
      </c>
      <c r="BC3145" t="s">
        <v>74</v>
      </c>
      <c r="BD3145">
        <v>121902</v>
      </c>
      <c r="BE3145" t="s">
        <v>51888</v>
      </c>
      <c r="BF3145" t="str">
        <f>HYPERLINK("http://dx.doi.org/10.1016/j.techfore.2022.121902","http://dx.doi.org/10.1016/j.techfore.2022.121902")</f>
        <v>http://dx.doi.org/10.1016/j.techfore.2022.121902</v>
      </c>
      <c r="BG3145" t="s">
        <v>74</v>
      </c>
      <c r="BH3145" t="s">
        <v>126</v>
      </c>
      <c r="BI3145">
        <v>13</v>
      </c>
      <c r="BJ3145" t="s">
        <v>1627</v>
      </c>
      <c r="BK3145" t="s">
        <v>99</v>
      </c>
      <c r="BL3145" t="s">
        <v>1406</v>
      </c>
      <c r="BM3145" t="s">
        <v>51889</v>
      </c>
      <c r="BN3145" t="s">
        <v>74</v>
      </c>
      <c r="BO3145" t="s">
        <v>74</v>
      </c>
      <c r="BP3145" t="s">
        <v>74</v>
      </c>
      <c r="BQ3145" t="s">
        <v>74</v>
      </c>
      <c r="BR3145" t="s">
        <v>102</v>
      </c>
      <c r="BS3145" t="s">
        <v>51890</v>
      </c>
      <c r="BT3145" t="str">
        <f>HYPERLINK("https%3A%2F%2Fwww.webofscience.com%2Fwos%2Fwoscc%2Ffull-record%2FWOS:000838147600015","View Full Record in Web of Science")</f>
        <v>View Full Record in Web of Science</v>
      </c>
    </row>
    <row r="3146" spans="1:72" x14ac:dyDescent="0.25">
      <c r="A3146" t="s">
        <v>72</v>
      </c>
      <c r="B3146" t="s">
        <v>51891</v>
      </c>
      <c r="C3146" t="s">
        <v>74</v>
      </c>
      <c r="D3146" t="s">
        <v>74</v>
      </c>
      <c r="E3146" t="s">
        <v>74</v>
      </c>
      <c r="F3146" t="s">
        <v>51892</v>
      </c>
      <c r="G3146" t="s">
        <v>74</v>
      </c>
      <c r="H3146" t="s">
        <v>74</v>
      </c>
      <c r="I3146" t="s">
        <v>51893</v>
      </c>
      <c r="J3146" t="s">
        <v>38063</v>
      </c>
      <c r="K3146" t="s">
        <v>74</v>
      </c>
      <c r="L3146" t="s">
        <v>74</v>
      </c>
      <c r="M3146" t="s">
        <v>78</v>
      </c>
      <c r="N3146" t="s">
        <v>79</v>
      </c>
      <c r="O3146" t="s">
        <v>74</v>
      </c>
      <c r="P3146" t="s">
        <v>74</v>
      </c>
      <c r="Q3146" t="s">
        <v>74</v>
      </c>
      <c r="R3146" t="s">
        <v>74</v>
      </c>
      <c r="S3146" t="s">
        <v>74</v>
      </c>
      <c r="T3146" t="s">
        <v>51894</v>
      </c>
      <c r="U3146" t="s">
        <v>51895</v>
      </c>
      <c r="V3146" t="s">
        <v>51896</v>
      </c>
      <c r="W3146" t="s">
        <v>51897</v>
      </c>
      <c r="X3146" t="s">
        <v>51898</v>
      </c>
      <c r="Y3146" t="s">
        <v>51899</v>
      </c>
      <c r="Z3146" t="s">
        <v>51900</v>
      </c>
      <c r="AA3146" t="s">
        <v>51901</v>
      </c>
      <c r="AB3146" t="s">
        <v>51902</v>
      </c>
      <c r="AC3146" t="s">
        <v>51903</v>
      </c>
      <c r="AD3146" t="s">
        <v>51903</v>
      </c>
      <c r="AE3146" t="s">
        <v>51904</v>
      </c>
      <c r="AF3146" t="s">
        <v>74</v>
      </c>
      <c r="AG3146">
        <v>50</v>
      </c>
      <c r="AH3146">
        <v>0</v>
      </c>
      <c r="AI3146">
        <v>0</v>
      </c>
      <c r="AJ3146">
        <v>1</v>
      </c>
      <c r="AK3146">
        <v>3</v>
      </c>
      <c r="AL3146" t="s">
        <v>89</v>
      </c>
      <c r="AM3146" t="s">
        <v>90</v>
      </c>
      <c r="AN3146" t="s">
        <v>91</v>
      </c>
      <c r="AO3146" t="s">
        <v>38074</v>
      </c>
      <c r="AP3146" t="s">
        <v>38075</v>
      </c>
      <c r="AQ3146" t="s">
        <v>74</v>
      </c>
      <c r="AR3146" t="s">
        <v>38076</v>
      </c>
      <c r="AS3146" t="s">
        <v>38077</v>
      </c>
      <c r="AT3146" t="s">
        <v>3206</v>
      </c>
      <c r="AU3146">
        <v>2025</v>
      </c>
      <c r="AV3146">
        <v>17</v>
      </c>
      <c r="AW3146">
        <v>1</v>
      </c>
      <c r="AX3146" t="s">
        <v>74</v>
      </c>
      <c r="AY3146" t="s">
        <v>74</v>
      </c>
      <c r="AZ3146" t="s">
        <v>74</v>
      </c>
      <c r="BA3146" t="s">
        <v>74</v>
      </c>
      <c r="BB3146">
        <v>100</v>
      </c>
      <c r="BC3146">
        <v>122</v>
      </c>
      <c r="BD3146" t="s">
        <v>74</v>
      </c>
      <c r="BE3146" t="s">
        <v>51905</v>
      </c>
      <c r="BF3146" t="str">
        <f>HYPERLINK("http://dx.doi.org/10.1108/RBF-04-2024-0106","http://dx.doi.org/10.1108/RBF-04-2024-0106")</f>
        <v>http://dx.doi.org/10.1108/RBF-04-2024-0106</v>
      </c>
      <c r="BG3146" t="s">
        <v>74</v>
      </c>
      <c r="BH3146" t="s">
        <v>267</v>
      </c>
      <c r="BI3146">
        <v>23</v>
      </c>
      <c r="BJ3146" t="s">
        <v>268</v>
      </c>
      <c r="BK3146" t="s">
        <v>313</v>
      </c>
      <c r="BL3146" t="s">
        <v>100</v>
      </c>
      <c r="BM3146" t="s">
        <v>47807</v>
      </c>
      <c r="BN3146" t="s">
        <v>74</v>
      </c>
      <c r="BO3146" t="s">
        <v>74</v>
      </c>
      <c r="BP3146" t="s">
        <v>74</v>
      </c>
      <c r="BQ3146" t="s">
        <v>74</v>
      </c>
      <c r="BR3146" t="s">
        <v>102</v>
      </c>
      <c r="BS3146" t="s">
        <v>51906</v>
      </c>
      <c r="BT3146" t="str">
        <f>HYPERLINK("https%3A%2F%2Fwww.webofscience.com%2Fwos%2Fwoscc%2Ffull-record%2FWOS:001356775100001","View Full Record in Web of Science")</f>
        <v>View Full Record in Web of Science</v>
      </c>
    </row>
    <row r="3147" spans="1:72" x14ac:dyDescent="0.25">
      <c r="A3147" t="s">
        <v>72</v>
      </c>
      <c r="B3147" t="s">
        <v>51907</v>
      </c>
      <c r="C3147" t="s">
        <v>74</v>
      </c>
      <c r="D3147" t="s">
        <v>74</v>
      </c>
      <c r="E3147" t="s">
        <v>74</v>
      </c>
      <c r="F3147" t="s">
        <v>51908</v>
      </c>
      <c r="G3147" t="s">
        <v>74</v>
      </c>
      <c r="H3147" t="s">
        <v>74</v>
      </c>
      <c r="I3147" t="s">
        <v>51909</v>
      </c>
      <c r="J3147" t="s">
        <v>51910</v>
      </c>
      <c r="K3147" t="s">
        <v>74</v>
      </c>
      <c r="L3147" t="s">
        <v>74</v>
      </c>
      <c r="M3147" t="s">
        <v>78</v>
      </c>
      <c r="N3147" t="s">
        <v>79</v>
      </c>
      <c r="O3147" t="s">
        <v>74</v>
      </c>
      <c r="P3147" t="s">
        <v>74</v>
      </c>
      <c r="Q3147" t="s">
        <v>74</v>
      </c>
      <c r="R3147" t="s">
        <v>74</v>
      </c>
      <c r="S3147" t="s">
        <v>74</v>
      </c>
      <c r="T3147" t="s">
        <v>51911</v>
      </c>
      <c r="U3147" t="s">
        <v>51912</v>
      </c>
      <c r="V3147" t="s">
        <v>51913</v>
      </c>
      <c r="W3147" t="s">
        <v>51914</v>
      </c>
      <c r="X3147" t="s">
        <v>10117</v>
      </c>
      <c r="Y3147" t="s">
        <v>51915</v>
      </c>
      <c r="Z3147" t="s">
        <v>51916</v>
      </c>
      <c r="AA3147" t="s">
        <v>51917</v>
      </c>
      <c r="AB3147" t="s">
        <v>74</v>
      </c>
      <c r="AC3147" t="s">
        <v>74</v>
      </c>
      <c r="AD3147" t="s">
        <v>74</v>
      </c>
      <c r="AE3147" t="s">
        <v>74</v>
      </c>
      <c r="AF3147" t="s">
        <v>74</v>
      </c>
      <c r="AG3147">
        <v>82</v>
      </c>
      <c r="AH3147">
        <v>0</v>
      </c>
      <c r="AI3147">
        <v>0</v>
      </c>
      <c r="AJ3147">
        <v>1</v>
      </c>
      <c r="AK3147">
        <v>3</v>
      </c>
      <c r="AL3147" t="s">
        <v>51918</v>
      </c>
      <c r="AM3147" t="s">
        <v>51919</v>
      </c>
      <c r="AN3147" t="s">
        <v>51920</v>
      </c>
      <c r="AO3147" t="s">
        <v>51921</v>
      </c>
      <c r="AP3147" t="s">
        <v>51922</v>
      </c>
      <c r="AQ3147" t="s">
        <v>74</v>
      </c>
      <c r="AR3147" t="s">
        <v>51923</v>
      </c>
      <c r="AS3147" t="s">
        <v>51924</v>
      </c>
      <c r="AT3147" t="s">
        <v>74</v>
      </c>
      <c r="AU3147">
        <v>2024</v>
      </c>
      <c r="AV3147">
        <v>60</v>
      </c>
      <c r="AW3147">
        <v>3</v>
      </c>
      <c r="AX3147" t="s">
        <v>74</v>
      </c>
      <c r="AY3147" t="s">
        <v>74</v>
      </c>
      <c r="AZ3147" t="s">
        <v>74</v>
      </c>
      <c r="BA3147" t="s">
        <v>74</v>
      </c>
      <c r="BB3147">
        <v>669</v>
      </c>
      <c r="BC3147">
        <v>685</v>
      </c>
      <c r="BD3147" t="s">
        <v>74</v>
      </c>
      <c r="BE3147" t="s">
        <v>51925</v>
      </c>
      <c r="BF3147" t="str">
        <f>HYPERLINK("http://dx.doi.org/10.15270/60-3-1351","http://dx.doi.org/10.15270/60-3-1351")</f>
        <v>http://dx.doi.org/10.15270/60-3-1351</v>
      </c>
      <c r="BG3147" t="s">
        <v>74</v>
      </c>
      <c r="BH3147" t="s">
        <v>74</v>
      </c>
      <c r="BI3147">
        <v>17</v>
      </c>
      <c r="BJ3147" t="s">
        <v>2045</v>
      </c>
      <c r="BK3147" t="s">
        <v>313</v>
      </c>
      <c r="BL3147" t="s">
        <v>2045</v>
      </c>
      <c r="BM3147" t="s">
        <v>51926</v>
      </c>
      <c r="BN3147" t="s">
        <v>74</v>
      </c>
      <c r="BO3147" t="s">
        <v>212</v>
      </c>
      <c r="BP3147" t="s">
        <v>74</v>
      </c>
      <c r="BQ3147" t="s">
        <v>74</v>
      </c>
      <c r="BR3147" t="s">
        <v>102</v>
      </c>
      <c r="BS3147" t="s">
        <v>51927</v>
      </c>
      <c r="BT3147" t="str">
        <f>HYPERLINK("https%3A%2F%2Fwww.webofscience.com%2Fwos%2Fwoscc%2Ffull-record%2FWOS:001314231300011","View Full Record in Web of Science")</f>
        <v>View Full Record in Web of Science</v>
      </c>
    </row>
    <row r="3148" spans="1:72" x14ac:dyDescent="0.25">
      <c r="A3148" t="s">
        <v>8303</v>
      </c>
      <c r="B3148" t="s">
        <v>51928</v>
      </c>
      <c r="C3148" t="s">
        <v>74</v>
      </c>
      <c r="D3148" t="s">
        <v>74</v>
      </c>
      <c r="E3148" t="s">
        <v>74</v>
      </c>
      <c r="F3148" t="s">
        <v>51928</v>
      </c>
      <c r="G3148" t="s">
        <v>74</v>
      </c>
      <c r="H3148" t="s">
        <v>74</v>
      </c>
      <c r="I3148" t="s">
        <v>51929</v>
      </c>
      <c r="J3148" t="s">
        <v>51930</v>
      </c>
      <c r="K3148" t="s">
        <v>74</v>
      </c>
      <c r="L3148" t="s">
        <v>74</v>
      </c>
      <c r="M3148" t="s">
        <v>78</v>
      </c>
      <c r="N3148" t="s">
        <v>19870</v>
      </c>
      <c r="O3148" t="s">
        <v>74</v>
      </c>
      <c r="P3148" t="s">
        <v>74</v>
      </c>
      <c r="Q3148" t="s">
        <v>74</v>
      </c>
      <c r="R3148" t="s">
        <v>74</v>
      </c>
      <c r="S3148" t="s">
        <v>74</v>
      </c>
      <c r="T3148" t="s">
        <v>74</v>
      </c>
      <c r="U3148" t="s">
        <v>51931</v>
      </c>
      <c r="V3148" t="s">
        <v>74</v>
      </c>
      <c r="W3148" t="s">
        <v>74</v>
      </c>
      <c r="X3148" t="s">
        <v>74</v>
      </c>
      <c r="Y3148" t="s">
        <v>74</v>
      </c>
      <c r="Z3148" t="s">
        <v>74</v>
      </c>
      <c r="AA3148" t="s">
        <v>74</v>
      </c>
      <c r="AB3148" t="s">
        <v>74</v>
      </c>
      <c r="AC3148" t="s">
        <v>74</v>
      </c>
      <c r="AD3148" t="s">
        <v>74</v>
      </c>
      <c r="AE3148" t="s">
        <v>74</v>
      </c>
      <c r="AF3148" t="s">
        <v>74</v>
      </c>
      <c r="AG3148">
        <v>472</v>
      </c>
      <c r="AH3148">
        <v>24</v>
      </c>
      <c r="AI3148">
        <v>26</v>
      </c>
      <c r="AJ3148">
        <v>0</v>
      </c>
      <c r="AK3148">
        <v>2</v>
      </c>
      <c r="AL3148" t="s">
        <v>51932</v>
      </c>
      <c r="AM3148" t="s">
        <v>2251</v>
      </c>
      <c r="AN3148" t="s">
        <v>51933</v>
      </c>
      <c r="AO3148" t="s">
        <v>74</v>
      </c>
      <c r="AP3148" t="s">
        <v>74</v>
      </c>
      <c r="AQ3148" t="s">
        <v>51934</v>
      </c>
      <c r="AR3148" t="s">
        <v>74</v>
      </c>
      <c r="AS3148" t="s">
        <v>74</v>
      </c>
      <c r="AT3148" t="s">
        <v>74</v>
      </c>
      <c r="AU3148">
        <v>2012</v>
      </c>
      <c r="AV3148" t="s">
        <v>74</v>
      </c>
      <c r="AW3148" t="s">
        <v>74</v>
      </c>
      <c r="AX3148" t="s">
        <v>74</v>
      </c>
      <c r="AY3148" t="s">
        <v>74</v>
      </c>
      <c r="AZ3148" t="s">
        <v>74</v>
      </c>
      <c r="BA3148" t="s">
        <v>74</v>
      </c>
      <c r="BB3148">
        <v>1</v>
      </c>
      <c r="BC3148">
        <v>230</v>
      </c>
      <c r="BD3148" t="s">
        <v>74</v>
      </c>
      <c r="BE3148" t="s">
        <v>51935</v>
      </c>
      <c r="BF3148" t="str">
        <f>HYPERLINK("http://dx.doi.org/10.1332/policypress/9781847428431.001.0001","http://dx.doi.org/10.1332/policypress/9781847428431.001.0001")</f>
        <v>http://dx.doi.org/10.1332/policypress/9781847428431.001.0001</v>
      </c>
      <c r="BG3148" t="s">
        <v>74</v>
      </c>
      <c r="BH3148" t="s">
        <v>74</v>
      </c>
      <c r="BI3148">
        <v>230</v>
      </c>
      <c r="BJ3148" t="s">
        <v>1161</v>
      </c>
      <c r="BK3148" t="s">
        <v>8314</v>
      </c>
      <c r="BL3148" t="s">
        <v>1162</v>
      </c>
      <c r="BM3148" t="s">
        <v>51936</v>
      </c>
      <c r="BN3148" t="s">
        <v>74</v>
      </c>
      <c r="BO3148" t="s">
        <v>74</v>
      </c>
      <c r="BP3148" t="s">
        <v>74</v>
      </c>
      <c r="BQ3148" t="s">
        <v>74</v>
      </c>
      <c r="BR3148" t="s">
        <v>102</v>
      </c>
      <c r="BS3148" t="s">
        <v>51937</v>
      </c>
      <c r="BT3148" t="str">
        <f>HYPERLINK("https%3A%2F%2Fwww.webofscience.com%2Fwos%2Fwoscc%2Ffull-record%2FWOS:000332206800009","View Full Record in Web of Science")</f>
        <v>View Full Record in Web of Science</v>
      </c>
    </row>
    <row r="3149" spans="1:72" x14ac:dyDescent="0.25">
      <c r="A3149" t="s">
        <v>72</v>
      </c>
      <c r="B3149" t="s">
        <v>17060</v>
      </c>
      <c r="C3149" t="s">
        <v>74</v>
      </c>
      <c r="D3149" t="s">
        <v>74</v>
      </c>
      <c r="E3149" t="s">
        <v>74</v>
      </c>
      <c r="F3149" t="s">
        <v>17061</v>
      </c>
      <c r="G3149" t="s">
        <v>74</v>
      </c>
      <c r="H3149" t="s">
        <v>74</v>
      </c>
      <c r="I3149" t="s">
        <v>51938</v>
      </c>
      <c r="J3149" t="s">
        <v>51939</v>
      </c>
      <c r="K3149" t="s">
        <v>74</v>
      </c>
      <c r="L3149" t="s">
        <v>74</v>
      </c>
      <c r="M3149" t="s">
        <v>78</v>
      </c>
      <c r="N3149" t="s">
        <v>79</v>
      </c>
      <c r="O3149" t="s">
        <v>74</v>
      </c>
      <c r="P3149" t="s">
        <v>74</v>
      </c>
      <c r="Q3149" t="s">
        <v>74</v>
      </c>
      <c r="R3149" t="s">
        <v>74</v>
      </c>
      <c r="S3149" t="s">
        <v>74</v>
      </c>
      <c r="T3149" t="s">
        <v>74</v>
      </c>
      <c r="U3149" t="s">
        <v>74</v>
      </c>
      <c r="V3149" t="s">
        <v>51940</v>
      </c>
      <c r="W3149" t="s">
        <v>51941</v>
      </c>
      <c r="X3149" t="s">
        <v>11237</v>
      </c>
      <c r="Y3149" t="s">
        <v>51942</v>
      </c>
      <c r="Z3149" t="s">
        <v>74</v>
      </c>
      <c r="AA3149" t="s">
        <v>15792</v>
      </c>
      <c r="AB3149" t="s">
        <v>51943</v>
      </c>
      <c r="AC3149" t="s">
        <v>74</v>
      </c>
      <c r="AD3149" t="s">
        <v>74</v>
      </c>
      <c r="AE3149" t="s">
        <v>74</v>
      </c>
      <c r="AF3149" t="s">
        <v>74</v>
      </c>
      <c r="AG3149">
        <v>24</v>
      </c>
      <c r="AH3149">
        <v>5</v>
      </c>
      <c r="AI3149">
        <v>8</v>
      </c>
      <c r="AJ3149">
        <v>0</v>
      </c>
      <c r="AK3149">
        <v>8</v>
      </c>
      <c r="AL3149" t="s">
        <v>5317</v>
      </c>
      <c r="AM3149" t="s">
        <v>480</v>
      </c>
      <c r="AN3149" t="s">
        <v>481</v>
      </c>
      <c r="AO3149" t="s">
        <v>51944</v>
      </c>
      <c r="AP3149" t="s">
        <v>74</v>
      </c>
      <c r="AQ3149" t="s">
        <v>74</v>
      </c>
      <c r="AR3149" t="s">
        <v>51945</v>
      </c>
      <c r="AS3149" t="s">
        <v>51946</v>
      </c>
      <c r="AT3149" t="s">
        <v>848</v>
      </c>
      <c r="AU3149">
        <v>2013</v>
      </c>
      <c r="AV3149">
        <v>51</v>
      </c>
      <c r="AW3149" t="s">
        <v>74</v>
      </c>
      <c r="AX3149" t="s">
        <v>74</v>
      </c>
      <c r="AY3149">
        <v>1</v>
      </c>
      <c r="AZ3149" t="s">
        <v>441</v>
      </c>
      <c r="BA3149" t="s">
        <v>74</v>
      </c>
      <c r="BB3149" t="s">
        <v>51947</v>
      </c>
      <c r="BC3149" t="s">
        <v>51948</v>
      </c>
      <c r="BD3149" t="s">
        <v>74</v>
      </c>
      <c r="BE3149" t="s">
        <v>51949</v>
      </c>
      <c r="BF3149" t="str">
        <f>HYPERLINK("http://dx.doi.org/10.1111/j.1468-2435.2012.00748.x","http://dx.doi.org/10.1111/j.1468-2435.2012.00748.x")</f>
        <v>http://dx.doi.org/10.1111/j.1468-2435.2012.00748.x</v>
      </c>
      <c r="BG3149" t="s">
        <v>74</v>
      </c>
      <c r="BH3149" t="s">
        <v>74</v>
      </c>
      <c r="BI3149">
        <v>15</v>
      </c>
      <c r="BJ3149" t="s">
        <v>3635</v>
      </c>
      <c r="BK3149" t="s">
        <v>99</v>
      </c>
      <c r="BL3149" t="s">
        <v>3635</v>
      </c>
      <c r="BM3149" t="s">
        <v>51950</v>
      </c>
      <c r="BN3149" t="s">
        <v>74</v>
      </c>
      <c r="BO3149" t="s">
        <v>74</v>
      </c>
      <c r="BP3149" t="s">
        <v>74</v>
      </c>
      <c r="BQ3149" t="s">
        <v>74</v>
      </c>
      <c r="BR3149" t="s">
        <v>102</v>
      </c>
      <c r="BS3149" t="s">
        <v>51951</v>
      </c>
      <c r="BT3149" t="str">
        <f>HYPERLINK("https%3A%2F%2Fwww.webofscience.com%2Fwos%2Fwoscc%2Ffull-record%2FWOS:000321589900009","View Full Record in Web of Science")</f>
        <v>View Full Record in Web of Science</v>
      </c>
    </row>
    <row r="3150" spans="1:72" x14ac:dyDescent="0.25">
      <c r="A3150" t="s">
        <v>72</v>
      </c>
      <c r="B3150" t="s">
        <v>51952</v>
      </c>
      <c r="C3150" t="s">
        <v>74</v>
      </c>
      <c r="D3150" t="s">
        <v>74</v>
      </c>
      <c r="E3150" t="s">
        <v>74</v>
      </c>
      <c r="F3150" t="s">
        <v>51953</v>
      </c>
      <c r="G3150" t="s">
        <v>74</v>
      </c>
      <c r="H3150" t="s">
        <v>74</v>
      </c>
      <c r="I3150" t="s">
        <v>51954</v>
      </c>
      <c r="J3150" t="s">
        <v>2471</v>
      </c>
      <c r="K3150" t="s">
        <v>74</v>
      </c>
      <c r="L3150" t="s">
        <v>74</v>
      </c>
      <c r="M3150" t="s">
        <v>78</v>
      </c>
      <c r="N3150" t="s">
        <v>79</v>
      </c>
      <c r="O3150" t="s">
        <v>74</v>
      </c>
      <c r="P3150" t="s">
        <v>74</v>
      </c>
      <c r="Q3150" t="s">
        <v>74</v>
      </c>
      <c r="R3150" t="s">
        <v>74</v>
      </c>
      <c r="S3150" t="s">
        <v>74</v>
      </c>
      <c r="T3150" t="s">
        <v>51955</v>
      </c>
      <c r="U3150" t="s">
        <v>51956</v>
      </c>
      <c r="V3150" t="s">
        <v>51957</v>
      </c>
      <c r="W3150" t="s">
        <v>51958</v>
      </c>
      <c r="X3150" t="s">
        <v>51959</v>
      </c>
      <c r="Y3150" t="s">
        <v>51960</v>
      </c>
      <c r="Z3150" t="s">
        <v>51961</v>
      </c>
      <c r="AA3150" t="s">
        <v>51962</v>
      </c>
      <c r="AB3150" t="s">
        <v>51963</v>
      </c>
      <c r="AC3150" t="s">
        <v>74</v>
      </c>
      <c r="AD3150" t="s">
        <v>74</v>
      </c>
      <c r="AE3150" t="s">
        <v>74</v>
      </c>
      <c r="AF3150" t="s">
        <v>74</v>
      </c>
      <c r="AG3150">
        <v>82</v>
      </c>
      <c r="AH3150">
        <v>0</v>
      </c>
      <c r="AI3150">
        <v>0</v>
      </c>
      <c r="AJ3150">
        <v>2</v>
      </c>
      <c r="AK3150">
        <v>6</v>
      </c>
      <c r="AL3150" t="s">
        <v>823</v>
      </c>
      <c r="AM3150" t="s">
        <v>333</v>
      </c>
      <c r="AN3150" t="s">
        <v>824</v>
      </c>
      <c r="AO3150" t="s">
        <v>2484</v>
      </c>
      <c r="AP3150" t="s">
        <v>74</v>
      </c>
      <c r="AQ3150" t="s">
        <v>74</v>
      </c>
      <c r="AR3150" t="s">
        <v>2485</v>
      </c>
      <c r="AS3150" t="s">
        <v>2486</v>
      </c>
      <c r="AT3150" t="s">
        <v>2970</v>
      </c>
      <c r="AU3150">
        <v>2025</v>
      </c>
      <c r="AV3150">
        <v>11</v>
      </c>
      <c r="AW3150">
        <v>1</v>
      </c>
      <c r="AX3150" t="s">
        <v>74</v>
      </c>
      <c r="AY3150" t="s">
        <v>74</v>
      </c>
      <c r="AZ3150" t="s">
        <v>74</v>
      </c>
      <c r="BA3150" t="s">
        <v>74</v>
      </c>
      <c r="BB3150" t="s">
        <v>74</v>
      </c>
      <c r="BC3150" t="s">
        <v>74</v>
      </c>
      <c r="BD3150">
        <v>2473766</v>
      </c>
      <c r="BE3150" t="s">
        <v>51964</v>
      </c>
      <c r="BF3150" t="str">
        <f>HYPERLINK("http://dx.doi.org/10.1080/23311886.2025.2473766","http://dx.doi.org/10.1080/23311886.2025.2473766")</f>
        <v>http://dx.doi.org/10.1080/23311886.2025.2473766</v>
      </c>
      <c r="BG3150" t="s">
        <v>74</v>
      </c>
      <c r="BH3150" t="s">
        <v>74</v>
      </c>
      <c r="BI3150">
        <v>25</v>
      </c>
      <c r="BJ3150" t="s">
        <v>364</v>
      </c>
      <c r="BK3150" t="s">
        <v>313</v>
      </c>
      <c r="BL3150" t="s">
        <v>365</v>
      </c>
      <c r="BM3150" t="s">
        <v>51965</v>
      </c>
      <c r="BN3150" t="s">
        <v>74</v>
      </c>
      <c r="BO3150" t="s">
        <v>212</v>
      </c>
      <c r="BP3150" t="s">
        <v>74</v>
      </c>
      <c r="BQ3150" t="s">
        <v>74</v>
      </c>
      <c r="BR3150" t="s">
        <v>102</v>
      </c>
      <c r="BS3150" t="s">
        <v>51966</v>
      </c>
      <c r="BT3150" t="str">
        <f>HYPERLINK("https%3A%2F%2Fwww.webofscience.com%2Fwos%2Fwoscc%2Ffull-record%2FWOS:001446532500001","View Full Record in Web of Science")</f>
        <v>View Full Record in Web of Science</v>
      </c>
    </row>
    <row r="3151" spans="1:72" x14ac:dyDescent="0.25">
      <c r="A3151" t="s">
        <v>72</v>
      </c>
      <c r="B3151" t="s">
        <v>37106</v>
      </c>
      <c r="C3151" t="s">
        <v>74</v>
      </c>
      <c r="D3151" t="s">
        <v>74</v>
      </c>
      <c r="E3151" t="s">
        <v>74</v>
      </c>
      <c r="F3151" t="s">
        <v>37107</v>
      </c>
      <c r="G3151" t="s">
        <v>74</v>
      </c>
      <c r="H3151" t="s">
        <v>74</v>
      </c>
      <c r="I3151" t="s">
        <v>51967</v>
      </c>
      <c r="J3151" t="s">
        <v>51968</v>
      </c>
      <c r="K3151" t="s">
        <v>74</v>
      </c>
      <c r="L3151" t="s">
        <v>74</v>
      </c>
      <c r="M3151" t="s">
        <v>78</v>
      </c>
      <c r="N3151" t="s">
        <v>1766</v>
      </c>
      <c r="O3151" t="s">
        <v>74</v>
      </c>
      <c r="P3151" t="s">
        <v>74</v>
      </c>
      <c r="Q3151" t="s">
        <v>74</v>
      </c>
      <c r="R3151" t="s">
        <v>74</v>
      </c>
      <c r="S3151" t="s">
        <v>74</v>
      </c>
      <c r="T3151" t="s">
        <v>51969</v>
      </c>
      <c r="U3151" t="s">
        <v>51970</v>
      </c>
      <c r="V3151" t="s">
        <v>51971</v>
      </c>
      <c r="W3151" t="s">
        <v>51972</v>
      </c>
      <c r="X3151" t="s">
        <v>37114</v>
      </c>
      <c r="Y3151" t="s">
        <v>51973</v>
      </c>
      <c r="Z3151" t="s">
        <v>51974</v>
      </c>
      <c r="AA3151" t="s">
        <v>74</v>
      </c>
      <c r="AB3151" t="s">
        <v>74</v>
      </c>
      <c r="AC3151" t="s">
        <v>51975</v>
      </c>
      <c r="AD3151" t="s">
        <v>51975</v>
      </c>
      <c r="AE3151" t="s">
        <v>51976</v>
      </c>
      <c r="AF3151" t="s">
        <v>74</v>
      </c>
      <c r="AG3151">
        <v>72</v>
      </c>
      <c r="AH3151">
        <v>13</v>
      </c>
      <c r="AI3151">
        <v>14</v>
      </c>
      <c r="AJ3151">
        <v>0</v>
      </c>
      <c r="AK3151">
        <v>25</v>
      </c>
      <c r="AL3151" t="s">
        <v>4083</v>
      </c>
      <c r="AM3151" t="s">
        <v>4084</v>
      </c>
      <c r="AN3151" t="s">
        <v>4085</v>
      </c>
      <c r="AO3151" t="s">
        <v>51977</v>
      </c>
      <c r="AP3151" t="s">
        <v>74</v>
      </c>
      <c r="AQ3151" t="s">
        <v>74</v>
      </c>
      <c r="AR3151" t="s">
        <v>51978</v>
      </c>
      <c r="AS3151" t="s">
        <v>51979</v>
      </c>
      <c r="AT3151" t="s">
        <v>124</v>
      </c>
      <c r="AU3151">
        <v>2016</v>
      </c>
      <c r="AV3151">
        <v>7</v>
      </c>
      <c r="AW3151">
        <v>4</v>
      </c>
      <c r="AX3151" t="s">
        <v>74</v>
      </c>
      <c r="AY3151" t="s">
        <v>74</v>
      </c>
      <c r="AZ3151" t="s">
        <v>74</v>
      </c>
      <c r="BA3151" t="s">
        <v>74</v>
      </c>
      <c r="BB3151">
        <v>253</v>
      </c>
      <c r="BC3151">
        <v>263</v>
      </c>
      <c r="BD3151" t="s">
        <v>74</v>
      </c>
      <c r="BE3151" t="s">
        <v>51980</v>
      </c>
      <c r="BF3151" t="str">
        <f>HYPERLINK("http://dx.doi.org/10.1016/j.accre.2016.11.002","http://dx.doi.org/10.1016/j.accre.2016.11.002")</f>
        <v>http://dx.doi.org/10.1016/j.accre.2016.11.002</v>
      </c>
      <c r="BG3151" t="s">
        <v>74</v>
      </c>
      <c r="BH3151" t="s">
        <v>74</v>
      </c>
      <c r="BI3151">
        <v>11</v>
      </c>
      <c r="BJ3151" t="s">
        <v>43099</v>
      </c>
      <c r="BK3151" t="s">
        <v>313</v>
      </c>
      <c r="BL3151" t="s">
        <v>43100</v>
      </c>
      <c r="BM3151" t="s">
        <v>51981</v>
      </c>
      <c r="BN3151" t="s">
        <v>74</v>
      </c>
      <c r="BO3151" t="s">
        <v>916</v>
      </c>
      <c r="BP3151" t="s">
        <v>74</v>
      </c>
      <c r="BQ3151" t="s">
        <v>74</v>
      </c>
      <c r="BR3151" t="s">
        <v>102</v>
      </c>
      <c r="BS3151" t="s">
        <v>51982</v>
      </c>
      <c r="BT3151" t="str">
        <f>HYPERLINK("https%3A%2F%2Fwww.webofscience.com%2Fwos%2Fwoscc%2Ffull-record%2FWOS:000413273300009","View Full Record in Web of Science")</f>
        <v>View Full Record in Web of Science</v>
      </c>
    </row>
    <row r="3152" spans="1:72" x14ac:dyDescent="0.25">
      <c r="A3152" t="s">
        <v>72</v>
      </c>
      <c r="B3152" t="s">
        <v>51983</v>
      </c>
      <c r="C3152" t="s">
        <v>74</v>
      </c>
      <c r="D3152" t="s">
        <v>74</v>
      </c>
      <c r="E3152" t="s">
        <v>74</v>
      </c>
      <c r="F3152" t="s">
        <v>51984</v>
      </c>
      <c r="G3152" t="s">
        <v>74</v>
      </c>
      <c r="H3152" t="s">
        <v>74</v>
      </c>
      <c r="I3152" t="s">
        <v>51985</v>
      </c>
      <c r="J3152" t="s">
        <v>9873</v>
      </c>
      <c r="K3152" t="s">
        <v>74</v>
      </c>
      <c r="L3152" t="s">
        <v>74</v>
      </c>
      <c r="M3152" t="s">
        <v>78</v>
      </c>
      <c r="N3152" t="s">
        <v>79</v>
      </c>
      <c r="O3152" t="s">
        <v>74</v>
      </c>
      <c r="P3152" t="s">
        <v>74</v>
      </c>
      <c r="Q3152" t="s">
        <v>74</v>
      </c>
      <c r="R3152" t="s">
        <v>74</v>
      </c>
      <c r="S3152" t="s">
        <v>74</v>
      </c>
      <c r="T3152" t="s">
        <v>51986</v>
      </c>
      <c r="U3152" t="s">
        <v>51987</v>
      </c>
      <c r="V3152" t="s">
        <v>51988</v>
      </c>
      <c r="W3152" t="s">
        <v>51989</v>
      </c>
      <c r="X3152" t="s">
        <v>51990</v>
      </c>
      <c r="Y3152" t="s">
        <v>51991</v>
      </c>
      <c r="Z3152" t="s">
        <v>51992</v>
      </c>
      <c r="AA3152" t="s">
        <v>51993</v>
      </c>
      <c r="AB3152" t="s">
        <v>74</v>
      </c>
      <c r="AC3152" t="s">
        <v>51994</v>
      </c>
      <c r="AD3152" t="s">
        <v>51995</v>
      </c>
      <c r="AE3152" t="s">
        <v>51996</v>
      </c>
      <c r="AF3152" t="s">
        <v>74</v>
      </c>
      <c r="AG3152">
        <v>77</v>
      </c>
      <c r="AH3152">
        <v>0</v>
      </c>
      <c r="AI3152">
        <v>0</v>
      </c>
      <c r="AJ3152">
        <v>4</v>
      </c>
      <c r="AK3152">
        <v>4</v>
      </c>
      <c r="AL3152" t="s">
        <v>503</v>
      </c>
      <c r="AM3152" t="s">
        <v>151</v>
      </c>
      <c r="AN3152" t="s">
        <v>504</v>
      </c>
      <c r="AO3152" t="s">
        <v>9886</v>
      </c>
      <c r="AP3152" t="s">
        <v>9887</v>
      </c>
      <c r="AQ3152" t="s">
        <v>74</v>
      </c>
      <c r="AR3152" t="s">
        <v>9888</v>
      </c>
      <c r="AS3152" t="s">
        <v>9889</v>
      </c>
      <c r="AT3152" t="s">
        <v>124</v>
      </c>
      <c r="AU3152">
        <v>2025</v>
      </c>
      <c r="AV3152">
        <v>94</v>
      </c>
      <c r="AW3152" t="s">
        <v>74</v>
      </c>
      <c r="AX3152" t="s">
        <v>132</v>
      </c>
      <c r="AY3152" t="s">
        <v>74</v>
      </c>
      <c r="AZ3152" t="s">
        <v>74</v>
      </c>
      <c r="BA3152" t="s">
        <v>74</v>
      </c>
      <c r="BB3152" t="s">
        <v>74</v>
      </c>
      <c r="BC3152" t="s">
        <v>74</v>
      </c>
      <c r="BD3152">
        <v>102580</v>
      </c>
      <c r="BE3152" t="s">
        <v>51997</v>
      </c>
      <c r="BF3152" t="str">
        <f>HYPERLINK("http://dx.doi.org/10.1016/j.chieco.2025.102580","http://dx.doi.org/10.1016/j.chieco.2025.102580")</f>
        <v>http://dx.doi.org/10.1016/j.chieco.2025.102580</v>
      </c>
      <c r="BG3152" t="s">
        <v>74</v>
      </c>
      <c r="BH3152" t="s">
        <v>74</v>
      </c>
      <c r="BI3152">
        <v>24</v>
      </c>
      <c r="BJ3152" t="s">
        <v>291</v>
      </c>
      <c r="BK3152" t="s">
        <v>99</v>
      </c>
      <c r="BL3152" t="s">
        <v>100</v>
      </c>
      <c r="BM3152" t="s">
        <v>51998</v>
      </c>
      <c r="BN3152" t="s">
        <v>74</v>
      </c>
      <c r="BO3152" t="s">
        <v>74</v>
      </c>
      <c r="BP3152" t="s">
        <v>74</v>
      </c>
      <c r="BQ3152" t="s">
        <v>74</v>
      </c>
      <c r="BR3152" t="s">
        <v>102</v>
      </c>
      <c r="BS3152" t="s">
        <v>51999</v>
      </c>
      <c r="BT3152" t="str">
        <f>HYPERLINK("https%3A%2F%2Fwww.webofscience.com%2Fwos%2Fwoscc%2Ffull-record%2FWOS:001617852600003","View Full Record in Web of Science")</f>
        <v>View Full Record in Web of Science</v>
      </c>
    </row>
    <row r="3153" spans="1:72" x14ac:dyDescent="0.25">
      <c r="A3153" t="s">
        <v>72</v>
      </c>
      <c r="B3153" t="s">
        <v>52000</v>
      </c>
      <c r="C3153" t="s">
        <v>74</v>
      </c>
      <c r="D3153" t="s">
        <v>74</v>
      </c>
      <c r="E3153" t="s">
        <v>74</v>
      </c>
      <c r="F3153" t="s">
        <v>52001</v>
      </c>
      <c r="G3153" t="s">
        <v>74</v>
      </c>
      <c r="H3153" t="s">
        <v>74</v>
      </c>
      <c r="I3153" t="s">
        <v>52002</v>
      </c>
      <c r="J3153" t="s">
        <v>10469</v>
      </c>
      <c r="K3153" t="s">
        <v>74</v>
      </c>
      <c r="L3153" t="s">
        <v>74</v>
      </c>
      <c r="M3153" t="s">
        <v>78</v>
      </c>
      <c r="N3153" t="s">
        <v>79</v>
      </c>
      <c r="O3153" t="s">
        <v>74</v>
      </c>
      <c r="P3153" t="s">
        <v>74</v>
      </c>
      <c r="Q3153" t="s">
        <v>74</v>
      </c>
      <c r="R3153" t="s">
        <v>74</v>
      </c>
      <c r="S3153" t="s">
        <v>74</v>
      </c>
      <c r="T3153" t="s">
        <v>52003</v>
      </c>
      <c r="U3153" t="s">
        <v>52004</v>
      </c>
      <c r="V3153" t="s">
        <v>52005</v>
      </c>
      <c r="W3153" t="s">
        <v>52006</v>
      </c>
      <c r="X3153" t="s">
        <v>74</v>
      </c>
      <c r="Y3153" t="s">
        <v>52007</v>
      </c>
      <c r="Z3153" t="s">
        <v>52008</v>
      </c>
      <c r="AA3153" t="s">
        <v>52009</v>
      </c>
      <c r="AB3153" t="s">
        <v>52010</v>
      </c>
      <c r="AC3153" t="s">
        <v>74</v>
      </c>
      <c r="AD3153" t="s">
        <v>74</v>
      </c>
      <c r="AE3153" t="s">
        <v>74</v>
      </c>
      <c r="AF3153" t="s">
        <v>74</v>
      </c>
      <c r="AG3153">
        <v>64</v>
      </c>
      <c r="AH3153">
        <v>2</v>
      </c>
      <c r="AI3153">
        <v>2</v>
      </c>
      <c r="AJ3153">
        <v>0</v>
      </c>
      <c r="AK3153">
        <v>21</v>
      </c>
      <c r="AL3153" t="s">
        <v>332</v>
      </c>
      <c r="AM3153" t="s">
        <v>333</v>
      </c>
      <c r="AN3153" t="s">
        <v>334</v>
      </c>
      <c r="AO3153" t="s">
        <v>10477</v>
      </c>
      <c r="AP3153" t="s">
        <v>10478</v>
      </c>
      <c r="AQ3153" t="s">
        <v>74</v>
      </c>
      <c r="AR3153" t="s">
        <v>10479</v>
      </c>
      <c r="AS3153" t="s">
        <v>10480</v>
      </c>
      <c r="AT3153" t="s">
        <v>4361</v>
      </c>
      <c r="AU3153">
        <v>2015</v>
      </c>
      <c r="AV3153">
        <v>25</v>
      </c>
      <c r="AW3153">
        <v>8</v>
      </c>
      <c r="AX3153" t="s">
        <v>74</v>
      </c>
      <c r="AY3153" t="s">
        <v>74</v>
      </c>
      <c r="AZ3153" t="s">
        <v>74</v>
      </c>
      <c r="BA3153" t="s">
        <v>74</v>
      </c>
      <c r="BB3153">
        <v>1131</v>
      </c>
      <c r="BC3153">
        <v>1145</v>
      </c>
      <c r="BD3153" t="s">
        <v>74</v>
      </c>
      <c r="BE3153" t="s">
        <v>52011</v>
      </c>
      <c r="BF3153" t="str">
        <f>HYPERLINK("http://dx.doi.org/10.1080/09614524.2015.1082535","http://dx.doi.org/10.1080/09614524.2015.1082535")</f>
        <v>http://dx.doi.org/10.1080/09614524.2015.1082535</v>
      </c>
      <c r="BG3153" t="s">
        <v>74</v>
      </c>
      <c r="BH3153" t="s">
        <v>74</v>
      </c>
      <c r="BI3153">
        <v>15</v>
      </c>
      <c r="BJ3153" t="s">
        <v>1137</v>
      </c>
      <c r="BK3153" t="s">
        <v>313</v>
      </c>
      <c r="BL3153" t="s">
        <v>1137</v>
      </c>
      <c r="BM3153" t="s">
        <v>52012</v>
      </c>
      <c r="BN3153" t="s">
        <v>74</v>
      </c>
      <c r="BO3153" t="s">
        <v>74</v>
      </c>
      <c r="BP3153" t="s">
        <v>74</v>
      </c>
      <c r="BQ3153" t="s">
        <v>74</v>
      </c>
      <c r="BR3153" t="s">
        <v>102</v>
      </c>
      <c r="BS3153" t="s">
        <v>52013</v>
      </c>
      <c r="BT3153" t="str">
        <f>HYPERLINK("https%3A%2F%2Fwww.webofscience.com%2Fwos%2Fwoscc%2Ffull-record%2FWOS:000362341200006","View Full Record in Web of Science")</f>
        <v>View Full Record in Web of Science</v>
      </c>
    </row>
    <row r="3154" spans="1:72" x14ac:dyDescent="0.25">
      <c r="A3154" t="s">
        <v>72</v>
      </c>
      <c r="B3154" t="s">
        <v>52014</v>
      </c>
      <c r="C3154" t="s">
        <v>74</v>
      </c>
      <c r="D3154" t="s">
        <v>74</v>
      </c>
      <c r="E3154" t="s">
        <v>74</v>
      </c>
      <c r="F3154" t="s">
        <v>52015</v>
      </c>
      <c r="G3154" t="s">
        <v>74</v>
      </c>
      <c r="H3154" t="s">
        <v>74</v>
      </c>
      <c r="I3154" t="s">
        <v>52016</v>
      </c>
      <c r="J3154" t="s">
        <v>3056</v>
      </c>
      <c r="K3154" t="s">
        <v>74</v>
      </c>
      <c r="L3154" t="s">
        <v>74</v>
      </c>
      <c r="M3154" t="s">
        <v>78</v>
      </c>
      <c r="N3154" t="s">
        <v>79</v>
      </c>
      <c r="O3154" t="s">
        <v>74</v>
      </c>
      <c r="P3154" t="s">
        <v>74</v>
      </c>
      <c r="Q3154" t="s">
        <v>74</v>
      </c>
      <c r="R3154" t="s">
        <v>74</v>
      </c>
      <c r="S3154" t="s">
        <v>74</v>
      </c>
      <c r="T3154" t="s">
        <v>52017</v>
      </c>
      <c r="U3154" t="s">
        <v>52018</v>
      </c>
      <c r="V3154" t="s">
        <v>52019</v>
      </c>
      <c r="W3154" t="s">
        <v>52020</v>
      </c>
      <c r="X3154" t="s">
        <v>3605</v>
      </c>
      <c r="Y3154" t="s">
        <v>52021</v>
      </c>
      <c r="Z3154" t="s">
        <v>9335</v>
      </c>
      <c r="AA3154" t="s">
        <v>25686</v>
      </c>
      <c r="AB3154" t="s">
        <v>74</v>
      </c>
      <c r="AC3154" t="s">
        <v>74</v>
      </c>
      <c r="AD3154" t="s">
        <v>74</v>
      </c>
      <c r="AE3154" t="s">
        <v>74</v>
      </c>
      <c r="AF3154" t="s">
        <v>74</v>
      </c>
      <c r="AG3154">
        <v>42</v>
      </c>
      <c r="AH3154">
        <v>1</v>
      </c>
      <c r="AI3154">
        <v>1</v>
      </c>
      <c r="AJ3154">
        <v>0</v>
      </c>
      <c r="AK3154">
        <v>0</v>
      </c>
      <c r="AL3154" t="s">
        <v>3064</v>
      </c>
      <c r="AM3154" t="s">
        <v>3065</v>
      </c>
      <c r="AN3154" t="s">
        <v>3066</v>
      </c>
      <c r="AO3154" t="s">
        <v>3067</v>
      </c>
      <c r="AP3154" t="s">
        <v>3068</v>
      </c>
      <c r="AQ3154" t="s">
        <v>74</v>
      </c>
      <c r="AR3154" t="s">
        <v>3069</v>
      </c>
      <c r="AS3154" t="s">
        <v>3070</v>
      </c>
      <c r="AT3154" t="s">
        <v>698</v>
      </c>
      <c r="AU3154">
        <v>2022</v>
      </c>
      <c r="AV3154">
        <v>18</v>
      </c>
      <c r="AW3154">
        <v>3</v>
      </c>
      <c r="AX3154" t="s">
        <v>74</v>
      </c>
      <c r="AY3154" t="s">
        <v>74</v>
      </c>
      <c r="AZ3154" t="s">
        <v>74</v>
      </c>
      <c r="BA3154" t="s">
        <v>74</v>
      </c>
      <c r="BB3154">
        <v>597</v>
      </c>
      <c r="BC3154">
        <v>605</v>
      </c>
      <c r="BD3154" t="s">
        <v>74</v>
      </c>
      <c r="BE3154" t="s">
        <v>52022</v>
      </c>
      <c r="BF3154" t="str">
        <f>HYPERLINK("http://dx.doi.org/10.35716/IJED/20256","http://dx.doi.org/10.35716/IJED/20256")</f>
        <v>http://dx.doi.org/10.35716/IJED/20256</v>
      </c>
      <c r="BG3154" t="s">
        <v>74</v>
      </c>
      <c r="BH3154" t="s">
        <v>74</v>
      </c>
      <c r="BI3154">
        <v>9</v>
      </c>
      <c r="BJ3154" t="s">
        <v>291</v>
      </c>
      <c r="BK3154" t="s">
        <v>313</v>
      </c>
      <c r="BL3154" t="s">
        <v>100</v>
      </c>
      <c r="BM3154" t="s">
        <v>52023</v>
      </c>
      <c r="BN3154" t="s">
        <v>74</v>
      </c>
      <c r="BO3154" t="s">
        <v>74</v>
      </c>
      <c r="BP3154" t="s">
        <v>74</v>
      </c>
      <c r="BQ3154" t="s">
        <v>74</v>
      </c>
      <c r="BR3154" t="s">
        <v>102</v>
      </c>
      <c r="BS3154" t="s">
        <v>52024</v>
      </c>
      <c r="BT3154" t="str">
        <f>HYPERLINK("https%3A%2F%2Fwww.webofscience.com%2Fwos%2Fwoscc%2Ffull-record%2FWOS:000924605300009","View Full Record in Web of Science")</f>
        <v>View Full Record in Web of Science</v>
      </c>
    </row>
    <row r="3155" spans="1:72" x14ac:dyDescent="0.25">
      <c r="A3155" t="s">
        <v>72</v>
      </c>
      <c r="B3155" t="s">
        <v>52025</v>
      </c>
      <c r="C3155" t="s">
        <v>74</v>
      </c>
      <c r="D3155" t="s">
        <v>74</v>
      </c>
      <c r="E3155" t="s">
        <v>74</v>
      </c>
      <c r="F3155" t="s">
        <v>52026</v>
      </c>
      <c r="G3155" t="s">
        <v>74</v>
      </c>
      <c r="H3155" t="s">
        <v>74</v>
      </c>
      <c r="I3155" t="s">
        <v>52027</v>
      </c>
      <c r="J3155" t="s">
        <v>8341</v>
      </c>
      <c r="K3155" t="s">
        <v>74</v>
      </c>
      <c r="L3155" t="s">
        <v>74</v>
      </c>
      <c r="M3155" t="s">
        <v>78</v>
      </c>
      <c r="N3155" t="s">
        <v>79</v>
      </c>
      <c r="O3155" t="s">
        <v>74</v>
      </c>
      <c r="P3155" t="s">
        <v>74</v>
      </c>
      <c r="Q3155" t="s">
        <v>74</v>
      </c>
      <c r="R3155" t="s">
        <v>74</v>
      </c>
      <c r="S3155" t="s">
        <v>74</v>
      </c>
      <c r="T3155" t="s">
        <v>52028</v>
      </c>
      <c r="U3155" t="s">
        <v>2945</v>
      </c>
      <c r="V3155" t="s">
        <v>52029</v>
      </c>
      <c r="W3155" t="s">
        <v>52030</v>
      </c>
      <c r="X3155" t="s">
        <v>52031</v>
      </c>
      <c r="Y3155" t="s">
        <v>52032</v>
      </c>
      <c r="Z3155" t="s">
        <v>52033</v>
      </c>
      <c r="AA3155" t="s">
        <v>52034</v>
      </c>
      <c r="AB3155" t="s">
        <v>74</v>
      </c>
      <c r="AC3155" t="s">
        <v>52035</v>
      </c>
      <c r="AD3155" t="s">
        <v>52036</v>
      </c>
      <c r="AE3155" t="s">
        <v>52037</v>
      </c>
      <c r="AF3155" t="s">
        <v>74</v>
      </c>
      <c r="AG3155">
        <v>51</v>
      </c>
      <c r="AH3155">
        <v>0</v>
      </c>
      <c r="AI3155">
        <v>0</v>
      </c>
      <c r="AJ3155">
        <v>10</v>
      </c>
      <c r="AK3155">
        <v>10</v>
      </c>
      <c r="AL3155" t="s">
        <v>1216</v>
      </c>
      <c r="AM3155" t="s">
        <v>283</v>
      </c>
      <c r="AN3155" t="s">
        <v>1217</v>
      </c>
      <c r="AO3155" t="s">
        <v>74</v>
      </c>
      <c r="AP3155" t="s">
        <v>8349</v>
      </c>
      <c r="AQ3155" t="s">
        <v>74</v>
      </c>
      <c r="AR3155" t="s">
        <v>8350</v>
      </c>
      <c r="AS3155" t="s">
        <v>8351</v>
      </c>
      <c r="AT3155" t="s">
        <v>28113</v>
      </c>
      <c r="AU3155">
        <v>2025</v>
      </c>
      <c r="AV3155">
        <v>9</v>
      </c>
      <c r="AW3155" t="s">
        <v>74</v>
      </c>
      <c r="AX3155" t="s">
        <v>74</v>
      </c>
      <c r="AY3155" t="s">
        <v>74</v>
      </c>
      <c r="AZ3155" t="s">
        <v>74</v>
      </c>
      <c r="BA3155" t="s">
        <v>74</v>
      </c>
      <c r="BB3155" t="s">
        <v>74</v>
      </c>
      <c r="BC3155" t="s">
        <v>74</v>
      </c>
      <c r="BD3155">
        <v>1676462</v>
      </c>
      <c r="BE3155" t="s">
        <v>52038</v>
      </c>
      <c r="BF3155" t="str">
        <f>HYPERLINK("http://dx.doi.org/10.3389/fsufs.2025.1676462","http://dx.doi.org/10.3389/fsufs.2025.1676462")</f>
        <v>http://dx.doi.org/10.3389/fsufs.2025.1676462</v>
      </c>
      <c r="BG3155" t="s">
        <v>74</v>
      </c>
      <c r="BH3155" t="s">
        <v>74</v>
      </c>
      <c r="BI3155">
        <v>13</v>
      </c>
      <c r="BJ3155" t="s">
        <v>7722</v>
      </c>
      <c r="BK3155" t="s">
        <v>128</v>
      </c>
      <c r="BL3155" t="s">
        <v>7722</v>
      </c>
      <c r="BM3155" t="s">
        <v>52039</v>
      </c>
      <c r="BN3155" t="s">
        <v>74</v>
      </c>
      <c r="BO3155" t="s">
        <v>212</v>
      </c>
      <c r="BP3155" t="s">
        <v>74</v>
      </c>
      <c r="BQ3155" t="s">
        <v>74</v>
      </c>
      <c r="BR3155" t="s">
        <v>102</v>
      </c>
      <c r="BS3155" t="s">
        <v>52040</v>
      </c>
      <c r="BT3155" t="str">
        <f>HYPERLINK("https%3A%2F%2Fwww.webofscience.com%2Fwos%2Fwoscc%2Ffull-record%2FWOS:001610009300001","View Full Record in Web of Science")</f>
        <v>View Full Record in Web of Science</v>
      </c>
    </row>
    <row r="3156" spans="1:72" x14ac:dyDescent="0.25">
      <c r="A3156" t="s">
        <v>72</v>
      </c>
      <c r="B3156" t="s">
        <v>49428</v>
      </c>
      <c r="C3156" t="s">
        <v>74</v>
      </c>
      <c r="D3156" t="s">
        <v>74</v>
      </c>
      <c r="E3156" t="s">
        <v>74</v>
      </c>
      <c r="F3156" t="s">
        <v>49429</v>
      </c>
      <c r="G3156" t="s">
        <v>74</v>
      </c>
      <c r="H3156" t="s">
        <v>74</v>
      </c>
      <c r="I3156" t="s">
        <v>52041</v>
      </c>
      <c r="J3156" t="s">
        <v>22355</v>
      </c>
      <c r="K3156" t="s">
        <v>74</v>
      </c>
      <c r="L3156" t="s">
        <v>74</v>
      </c>
      <c r="M3156" t="s">
        <v>78</v>
      </c>
      <c r="N3156" t="s">
        <v>79</v>
      </c>
      <c r="O3156" t="s">
        <v>74</v>
      </c>
      <c r="P3156" t="s">
        <v>74</v>
      </c>
      <c r="Q3156" t="s">
        <v>74</v>
      </c>
      <c r="R3156" t="s">
        <v>74</v>
      </c>
      <c r="S3156" t="s">
        <v>74</v>
      </c>
      <c r="T3156" t="s">
        <v>52042</v>
      </c>
      <c r="U3156" t="s">
        <v>52043</v>
      </c>
      <c r="V3156" t="s">
        <v>52044</v>
      </c>
      <c r="W3156" t="s">
        <v>52045</v>
      </c>
      <c r="X3156" t="s">
        <v>49438</v>
      </c>
      <c r="Y3156" t="s">
        <v>52046</v>
      </c>
      <c r="Z3156" t="s">
        <v>49440</v>
      </c>
      <c r="AA3156" t="s">
        <v>49441</v>
      </c>
      <c r="AB3156" t="s">
        <v>52047</v>
      </c>
      <c r="AC3156" t="s">
        <v>74</v>
      </c>
      <c r="AD3156" t="s">
        <v>74</v>
      </c>
      <c r="AE3156" t="s">
        <v>74</v>
      </c>
      <c r="AF3156" t="s">
        <v>74</v>
      </c>
      <c r="AG3156">
        <v>131</v>
      </c>
      <c r="AH3156">
        <v>42</v>
      </c>
      <c r="AI3156">
        <v>49</v>
      </c>
      <c r="AJ3156">
        <v>6</v>
      </c>
      <c r="AK3156">
        <v>90</v>
      </c>
      <c r="AL3156" t="s">
        <v>385</v>
      </c>
      <c r="AM3156" t="s">
        <v>1153</v>
      </c>
      <c r="AN3156" t="s">
        <v>1154</v>
      </c>
      <c r="AO3156" t="s">
        <v>22345</v>
      </c>
      <c r="AP3156" t="s">
        <v>22344</v>
      </c>
      <c r="AQ3156" t="s">
        <v>74</v>
      </c>
      <c r="AR3156" t="s">
        <v>22343</v>
      </c>
      <c r="AS3156" t="s">
        <v>22342</v>
      </c>
      <c r="AT3156" t="s">
        <v>1540</v>
      </c>
      <c r="AU3156">
        <v>2022</v>
      </c>
      <c r="AV3156">
        <v>177</v>
      </c>
      <c r="AW3156">
        <v>2</v>
      </c>
      <c r="AX3156" t="s">
        <v>74</v>
      </c>
      <c r="AY3156" t="s">
        <v>74</v>
      </c>
      <c r="AZ3156" t="s">
        <v>74</v>
      </c>
      <c r="BA3156" t="s">
        <v>74</v>
      </c>
      <c r="BB3156">
        <v>377</v>
      </c>
      <c r="BC3156">
        <v>394</v>
      </c>
      <c r="BD3156" t="s">
        <v>74</v>
      </c>
      <c r="BE3156" t="s">
        <v>52048</v>
      </c>
      <c r="BF3156" t="str">
        <f>HYPERLINK("http://dx.doi.org/10.1007/s10551-020-04712-0","http://dx.doi.org/10.1007/s10551-020-04712-0")</f>
        <v>http://dx.doi.org/10.1007/s10551-020-04712-0</v>
      </c>
      <c r="BG3156" t="s">
        <v>74</v>
      </c>
      <c r="BH3156" t="s">
        <v>11556</v>
      </c>
      <c r="BI3156">
        <v>18</v>
      </c>
      <c r="BJ3156" t="s">
        <v>22340</v>
      </c>
      <c r="BK3156" t="s">
        <v>99</v>
      </c>
      <c r="BL3156" t="s">
        <v>22339</v>
      </c>
      <c r="BM3156" t="s">
        <v>52049</v>
      </c>
      <c r="BN3156" t="s">
        <v>74</v>
      </c>
      <c r="BO3156" t="s">
        <v>74</v>
      </c>
      <c r="BP3156" t="s">
        <v>74</v>
      </c>
      <c r="BQ3156" t="s">
        <v>74</v>
      </c>
      <c r="BR3156" t="s">
        <v>102</v>
      </c>
      <c r="BS3156" t="s">
        <v>52050</v>
      </c>
      <c r="BT3156" t="str">
        <f>HYPERLINK("https%3A%2F%2Fwww.webofscience.com%2Fwos%2Fwoscc%2Ffull-record%2FWOS:000605873300005","View Full Record in Web of Science")</f>
        <v>View Full Record in Web of Science</v>
      </c>
    </row>
    <row r="3157" spans="1:72" x14ac:dyDescent="0.25">
      <c r="A3157" t="s">
        <v>72</v>
      </c>
      <c r="B3157" t="s">
        <v>52051</v>
      </c>
      <c r="C3157" t="s">
        <v>74</v>
      </c>
      <c r="D3157" t="s">
        <v>74</v>
      </c>
      <c r="E3157" t="s">
        <v>74</v>
      </c>
      <c r="F3157" t="s">
        <v>52052</v>
      </c>
      <c r="G3157" t="s">
        <v>74</v>
      </c>
      <c r="H3157" t="s">
        <v>74</v>
      </c>
      <c r="I3157" t="s">
        <v>52053</v>
      </c>
      <c r="J3157" t="s">
        <v>6306</v>
      </c>
      <c r="K3157" t="s">
        <v>74</v>
      </c>
      <c r="L3157" t="s">
        <v>74</v>
      </c>
      <c r="M3157" t="s">
        <v>78</v>
      </c>
      <c r="N3157" t="s">
        <v>79</v>
      </c>
      <c r="O3157" t="s">
        <v>74</v>
      </c>
      <c r="P3157" t="s">
        <v>74</v>
      </c>
      <c r="Q3157" t="s">
        <v>74</v>
      </c>
      <c r="R3157" t="s">
        <v>74</v>
      </c>
      <c r="S3157" t="s">
        <v>74</v>
      </c>
      <c r="T3157" t="s">
        <v>52054</v>
      </c>
      <c r="U3157" t="s">
        <v>52055</v>
      </c>
      <c r="V3157" t="s">
        <v>52056</v>
      </c>
      <c r="W3157" t="s">
        <v>52057</v>
      </c>
      <c r="X3157" t="s">
        <v>52058</v>
      </c>
      <c r="Y3157" t="s">
        <v>52059</v>
      </c>
      <c r="Z3157" t="s">
        <v>52060</v>
      </c>
      <c r="AA3157" t="s">
        <v>52061</v>
      </c>
      <c r="AB3157" t="s">
        <v>52062</v>
      </c>
      <c r="AC3157" t="s">
        <v>74</v>
      </c>
      <c r="AD3157" t="s">
        <v>74</v>
      </c>
      <c r="AE3157" t="s">
        <v>74</v>
      </c>
      <c r="AF3157" t="s">
        <v>74</v>
      </c>
      <c r="AG3157">
        <v>93</v>
      </c>
      <c r="AH3157">
        <v>0</v>
      </c>
      <c r="AI3157">
        <v>0</v>
      </c>
      <c r="AJ3157">
        <v>0</v>
      </c>
      <c r="AK3157">
        <v>0</v>
      </c>
      <c r="AL3157" t="s">
        <v>575</v>
      </c>
      <c r="AM3157" t="s">
        <v>576</v>
      </c>
      <c r="AN3157" t="s">
        <v>577</v>
      </c>
      <c r="AO3157" t="s">
        <v>74</v>
      </c>
      <c r="AP3157" t="s">
        <v>6319</v>
      </c>
      <c r="AQ3157" t="s">
        <v>74</v>
      </c>
      <c r="AR3157" t="s">
        <v>6306</v>
      </c>
      <c r="AS3157" t="s">
        <v>6320</v>
      </c>
      <c r="AT3157" t="s">
        <v>37214</v>
      </c>
      <c r="AU3157">
        <v>2025</v>
      </c>
      <c r="AV3157">
        <v>13</v>
      </c>
      <c r="AW3157">
        <v>7</v>
      </c>
      <c r="AX3157" t="s">
        <v>74</v>
      </c>
      <c r="AY3157" t="s">
        <v>74</v>
      </c>
      <c r="AZ3157" t="s">
        <v>74</v>
      </c>
      <c r="BA3157" t="s">
        <v>74</v>
      </c>
      <c r="BB3157" t="s">
        <v>74</v>
      </c>
      <c r="BC3157" t="s">
        <v>74</v>
      </c>
      <c r="BD3157">
        <v>123</v>
      </c>
      <c r="BE3157" t="s">
        <v>52063</v>
      </c>
      <c r="BF3157" t="str">
        <f>HYPERLINK("http://dx.doi.org/10.3390/risks13070123","http://dx.doi.org/10.3390/risks13070123")</f>
        <v>http://dx.doi.org/10.3390/risks13070123</v>
      </c>
      <c r="BG3157" t="s">
        <v>74</v>
      </c>
      <c r="BH3157" t="s">
        <v>74</v>
      </c>
      <c r="BI3157">
        <v>21</v>
      </c>
      <c r="BJ3157" t="s">
        <v>268</v>
      </c>
      <c r="BK3157" t="s">
        <v>313</v>
      </c>
      <c r="BL3157" t="s">
        <v>100</v>
      </c>
      <c r="BM3157" t="s">
        <v>52064</v>
      </c>
      <c r="BN3157" t="s">
        <v>74</v>
      </c>
      <c r="BO3157" t="s">
        <v>212</v>
      </c>
      <c r="BP3157" t="s">
        <v>74</v>
      </c>
      <c r="BQ3157" t="s">
        <v>74</v>
      </c>
      <c r="BR3157" t="s">
        <v>102</v>
      </c>
      <c r="BS3157" t="s">
        <v>52065</v>
      </c>
      <c r="BT3157" t="str">
        <f>HYPERLINK("https%3A%2F%2Fwww.webofscience.com%2Fwos%2Fwoscc%2Ffull-record%2FWOS:001535589500001","View Full Record in Web of Science")</f>
        <v>View Full Record in Web of Science</v>
      </c>
    </row>
    <row r="3158" spans="1:72" x14ac:dyDescent="0.25">
      <c r="A3158" t="s">
        <v>72</v>
      </c>
      <c r="B3158" t="s">
        <v>52066</v>
      </c>
      <c r="C3158" t="s">
        <v>74</v>
      </c>
      <c r="D3158" t="s">
        <v>74</v>
      </c>
      <c r="E3158" t="s">
        <v>74</v>
      </c>
      <c r="F3158" t="s">
        <v>52067</v>
      </c>
      <c r="G3158" t="s">
        <v>74</v>
      </c>
      <c r="H3158" t="s">
        <v>74</v>
      </c>
      <c r="I3158" t="s">
        <v>52068</v>
      </c>
      <c r="J3158" t="s">
        <v>4657</v>
      </c>
      <c r="K3158" t="s">
        <v>74</v>
      </c>
      <c r="L3158" t="s">
        <v>74</v>
      </c>
      <c r="M3158" t="s">
        <v>78</v>
      </c>
      <c r="N3158" t="s">
        <v>79</v>
      </c>
      <c r="O3158" t="s">
        <v>74</v>
      </c>
      <c r="P3158" t="s">
        <v>74</v>
      </c>
      <c r="Q3158" t="s">
        <v>74</v>
      </c>
      <c r="R3158" t="s">
        <v>74</v>
      </c>
      <c r="S3158" t="s">
        <v>74</v>
      </c>
      <c r="T3158" t="s">
        <v>74</v>
      </c>
      <c r="U3158" t="s">
        <v>52069</v>
      </c>
      <c r="V3158" t="s">
        <v>52070</v>
      </c>
      <c r="W3158" t="s">
        <v>52071</v>
      </c>
      <c r="X3158" t="s">
        <v>52072</v>
      </c>
      <c r="Y3158" t="s">
        <v>52073</v>
      </c>
      <c r="Z3158" t="s">
        <v>52074</v>
      </c>
      <c r="AA3158" t="s">
        <v>74</v>
      </c>
      <c r="AB3158" t="s">
        <v>74</v>
      </c>
      <c r="AC3158" t="s">
        <v>52075</v>
      </c>
      <c r="AD3158" t="s">
        <v>52075</v>
      </c>
      <c r="AE3158" t="s">
        <v>52076</v>
      </c>
      <c r="AF3158" t="s">
        <v>74</v>
      </c>
      <c r="AG3158">
        <v>90</v>
      </c>
      <c r="AH3158">
        <v>0</v>
      </c>
      <c r="AI3158">
        <v>1</v>
      </c>
      <c r="AJ3158">
        <v>2</v>
      </c>
      <c r="AK3158">
        <v>2</v>
      </c>
      <c r="AL3158" t="s">
        <v>4666</v>
      </c>
      <c r="AM3158" t="s">
        <v>995</v>
      </c>
      <c r="AN3158" t="s">
        <v>4025</v>
      </c>
      <c r="AO3158" t="s">
        <v>74</v>
      </c>
      <c r="AP3158" t="s">
        <v>4667</v>
      </c>
      <c r="AQ3158" t="s">
        <v>74</v>
      </c>
      <c r="AR3158" t="s">
        <v>4668</v>
      </c>
      <c r="AS3158" t="s">
        <v>4669</v>
      </c>
      <c r="AT3158" t="s">
        <v>12473</v>
      </c>
      <c r="AU3158">
        <v>2025</v>
      </c>
      <c r="AV3158">
        <v>6</v>
      </c>
      <c r="AW3158">
        <v>1</v>
      </c>
      <c r="AX3158" t="s">
        <v>74</v>
      </c>
      <c r="AY3158" t="s">
        <v>74</v>
      </c>
      <c r="AZ3158" t="s">
        <v>74</v>
      </c>
      <c r="BA3158" t="s">
        <v>74</v>
      </c>
      <c r="BB3158" t="s">
        <v>74</v>
      </c>
      <c r="BC3158" t="s">
        <v>74</v>
      </c>
      <c r="BD3158">
        <v>1173</v>
      </c>
      <c r="BE3158" t="s">
        <v>52077</v>
      </c>
      <c r="BF3158" t="str">
        <f>HYPERLINK("http://dx.doi.org/10.1007/s43621-025-01942-y","http://dx.doi.org/10.1007/s43621-025-01942-y")</f>
        <v>http://dx.doi.org/10.1007/s43621-025-01942-y</v>
      </c>
      <c r="BG3158" t="s">
        <v>74</v>
      </c>
      <c r="BH3158" t="s">
        <v>74</v>
      </c>
      <c r="BI3158">
        <v>33</v>
      </c>
      <c r="BJ3158" t="s">
        <v>3247</v>
      </c>
      <c r="BK3158" t="s">
        <v>313</v>
      </c>
      <c r="BL3158" t="s">
        <v>3248</v>
      </c>
      <c r="BM3158" t="s">
        <v>52078</v>
      </c>
      <c r="BN3158" t="s">
        <v>74</v>
      </c>
      <c r="BO3158" t="s">
        <v>212</v>
      </c>
      <c r="BP3158" t="s">
        <v>74</v>
      </c>
      <c r="BQ3158" t="s">
        <v>74</v>
      </c>
      <c r="BR3158" t="s">
        <v>102</v>
      </c>
      <c r="BS3158" t="s">
        <v>52079</v>
      </c>
      <c r="BT3158" t="str">
        <f>HYPERLINK("https%3A%2F%2Fwww.webofscience.com%2Fwos%2Fwoscc%2Ffull-record%2FWOS:001605704900004","View Full Record in Web of Science")</f>
        <v>View Full Record in Web of Science</v>
      </c>
    </row>
    <row r="3159" spans="1:72" x14ac:dyDescent="0.25">
      <c r="A3159" t="s">
        <v>72</v>
      </c>
      <c r="B3159" t="s">
        <v>52080</v>
      </c>
      <c r="C3159" t="s">
        <v>74</v>
      </c>
      <c r="D3159" t="s">
        <v>74</v>
      </c>
      <c r="E3159" t="s">
        <v>74</v>
      </c>
      <c r="F3159" t="s">
        <v>52081</v>
      </c>
      <c r="G3159" t="s">
        <v>74</v>
      </c>
      <c r="H3159" t="s">
        <v>74</v>
      </c>
      <c r="I3159" t="s">
        <v>52082</v>
      </c>
      <c r="J3159" t="s">
        <v>6737</v>
      </c>
      <c r="K3159" t="s">
        <v>74</v>
      </c>
      <c r="L3159" t="s">
        <v>74</v>
      </c>
      <c r="M3159" t="s">
        <v>78</v>
      </c>
      <c r="N3159" t="s">
        <v>79</v>
      </c>
      <c r="O3159" t="s">
        <v>74</v>
      </c>
      <c r="P3159" t="s">
        <v>74</v>
      </c>
      <c r="Q3159" t="s">
        <v>74</v>
      </c>
      <c r="R3159" t="s">
        <v>74</v>
      </c>
      <c r="S3159" t="s">
        <v>74</v>
      </c>
      <c r="T3159" t="s">
        <v>52083</v>
      </c>
      <c r="U3159" t="s">
        <v>52084</v>
      </c>
      <c r="V3159" t="s">
        <v>52085</v>
      </c>
      <c r="W3159" t="s">
        <v>52086</v>
      </c>
      <c r="X3159" t="s">
        <v>52087</v>
      </c>
      <c r="Y3159" t="s">
        <v>52088</v>
      </c>
      <c r="Z3159" t="s">
        <v>52089</v>
      </c>
      <c r="AA3159" t="s">
        <v>74</v>
      </c>
      <c r="AB3159" t="s">
        <v>52090</v>
      </c>
      <c r="AC3159" t="s">
        <v>74</v>
      </c>
      <c r="AD3159" t="s">
        <v>74</v>
      </c>
      <c r="AE3159" t="s">
        <v>74</v>
      </c>
      <c r="AF3159" t="s">
        <v>74</v>
      </c>
      <c r="AG3159">
        <v>52</v>
      </c>
      <c r="AH3159">
        <v>3</v>
      </c>
      <c r="AI3159">
        <v>4</v>
      </c>
      <c r="AJ3159">
        <v>1</v>
      </c>
      <c r="AK3159">
        <v>20</v>
      </c>
      <c r="AL3159" t="s">
        <v>6747</v>
      </c>
      <c r="AM3159" t="s">
        <v>6748</v>
      </c>
      <c r="AN3159" t="s">
        <v>6749</v>
      </c>
      <c r="AO3159" t="s">
        <v>6750</v>
      </c>
      <c r="AP3159" t="s">
        <v>74</v>
      </c>
      <c r="AQ3159" t="s">
        <v>74</v>
      </c>
      <c r="AR3159" t="s">
        <v>6751</v>
      </c>
      <c r="AS3159" t="s">
        <v>6752</v>
      </c>
      <c r="AT3159" t="s">
        <v>1933</v>
      </c>
      <c r="AU3159">
        <v>2021</v>
      </c>
      <c r="AV3159">
        <v>12</v>
      </c>
      <c r="AW3159">
        <v>2</v>
      </c>
      <c r="AX3159" t="s">
        <v>74</v>
      </c>
      <c r="AY3159" t="s">
        <v>74</v>
      </c>
      <c r="AZ3159" t="s">
        <v>74</v>
      </c>
      <c r="BA3159" t="s">
        <v>74</v>
      </c>
      <c r="BB3159">
        <v>526</v>
      </c>
      <c r="BC3159">
        <v>556</v>
      </c>
      <c r="BD3159" t="s">
        <v>74</v>
      </c>
      <c r="BE3159" t="s">
        <v>52091</v>
      </c>
      <c r="BF3159" t="str">
        <f>HYPERLINK("http://dx.doi.org/10.14807/ijmp.v12i2.1311","http://dx.doi.org/10.14807/ijmp.v12i2.1311")</f>
        <v>http://dx.doi.org/10.14807/ijmp.v12i2.1311</v>
      </c>
      <c r="BG3159" t="s">
        <v>74</v>
      </c>
      <c r="BH3159" t="s">
        <v>74</v>
      </c>
      <c r="BI3159">
        <v>31</v>
      </c>
      <c r="BJ3159" t="s">
        <v>583</v>
      </c>
      <c r="BK3159" t="s">
        <v>313</v>
      </c>
      <c r="BL3159" t="s">
        <v>100</v>
      </c>
      <c r="BM3159" t="s">
        <v>52092</v>
      </c>
      <c r="BN3159" t="s">
        <v>74</v>
      </c>
      <c r="BO3159" t="s">
        <v>916</v>
      </c>
      <c r="BP3159" t="s">
        <v>74</v>
      </c>
      <c r="BQ3159" t="s">
        <v>74</v>
      </c>
      <c r="BR3159" t="s">
        <v>102</v>
      </c>
      <c r="BS3159" t="s">
        <v>52093</v>
      </c>
      <c r="BT3159" t="str">
        <f>HYPERLINK("https%3A%2F%2Fwww.webofscience.com%2Fwos%2Fwoscc%2Ffull-record%2FWOS:000637199400008","View Full Record in Web of Science")</f>
        <v>View Full Record in Web of Science</v>
      </c>
    </row>
    <row r="3160" spans="1:72" x14ac:dyDescent="0.25">
      <c r="A3160" t="s">
        <v>72</v>
      </c>
      <c r="B3160" t="s">
        <v>52094</v>
      </c>
      <c r="C3160" t="s">
        <v>74</v>
      </c>
      <c r="D3160" t="s">
        <v>74</v>
      </c>
      <c r="E3160" t="s">
        <v>74</v>
      </c>
      <c r="F3160" t="s">
        <v>52095</v>
      </c>
      <c r="G3160" t="s">
        <v>74</v>
      </c>
      <c r="H3160" t="s">
        <v>74</v>
      </c>
      <c r="I3160" t="s">
        <v>52096</v>
      </c>
      <c r="J3160" t="s">
        <v>2288</v>
      </c>
      <c r="K3160" t="s">
        <v>74</v>
      </c>
      <c r="L3160" t="s">
        <v>74</v>
      </c>
      <c r="M3160" t="s">
        <v>78</v>
      </c>
      <c r="N3160" t="s">
        <v>79</v>
      </c>
      <c r="O3160" t="s">
        <v>74</v>
      </c>
      <c r="P3160" t="s">
        <v>74</v>
      </c>
      <c r="Q3160" t="s">
        <v>74</v>
      </c>
      <c r="R3160" t="s">
        <v>74</v>
      </c>
      <c r="S3160" t="s">
        <v>74</v>
      </c>
      <c r="T3160" t="s">
        <v>52097</v>
      </c>
      <c r="U3160" t="s">
        <v>52098</v>
      </c>
      <c r="V3160" t="s">
        <v>52099</v>
      </c>
      <c r="W3160" t="s">
        <v>52100</v>
      </c>
      <c r="X3160" t="s">
        <v>52101</v>
      </c>
      <c r="Y3160" t="s">
        <v>52102</v>
      </c>
      <c r="Z3160" t="s">
        <v>52103</v>
      </c>
      <c r="AA3160" t="s">
        <v>74</v>
      </c>
      <c r="AB3160" t="s">
        <v>74</v>
      </c>
      <c r="AC3160" t="s">
        <v>74</v>
      </c>
      <c r="AD3160" t="s">
        <v>74</v>
      </c>
      <c r="AE3160" t="s">
        <v>74</v>
      </c>
      <c r="AF3160" t="s">
        <v>74</v>
      </c>
      <c r="AG3160">
        <v>69</v>
      </c>
      <c r="AH3160">
        <v>26</v>
      </c>
      <c r="AI3160">
        <v>40</v>
      </c>
      <c r="AJ3160">
        <v>1</v>
      </c>
      <c r="AK3160">
        <v>40</v>
      </c>
      <c r="AL3160" t="s">
        <v>3298</v>
      </c>
      <c r="AM3160" t="s">
        <v>202</v>
      </c>
      <c r="AN3160" t="s">
        <v>3299</v>
      </c>
      <c r="AO3160" t="s">
        <v>2299</v>
      </c>
      <c r="AP3160" t="s">
        <v>2300</v>
      </c>
      <c r="AQ3160" t="s">
        <v>74</v>
      </c>
      <c r="AR3160" t="s">
        <v>2301</v>
      </c>
      <c r="AS3160" t="s">
        <v>2302</v>
      </c>
      <c r="AT3160" t="s">
        <v>698</v>
      </c>
      <c r="AU3160">
        <v>2013</v>
      </c>
      <c r="AV3160">
        <v>104</v>
      </c>
      <c r="AW3160" t="s">
        <v>74</v>
      </c>
      <c r="AX3160" t="s">
        <v>74</v>
      </c>
      <c r="AY3160" t="s">
        <v>74</v>
      </c>
      <c r="AZ3160" t="s">
        <v>74</v>
      </c>
      <c r="BA3160" t="s">
        <v>74</v>
      </c>
      <c r="BB3160">
        <v>56</v>
      </c>
      <c r="BC3160">
        <v>72</v>
      </c>
      <c r="BD3160" t="s">
        <v>74</v>
      </c>
      <c r="BE3160" t="s">
        <v>52104</v>
      </c>
      <c r="BF3160" t="str">
        <f>HYPERLINK("http://dx.doi.org/10.1016/j.jdeveco.2013.04.005","http://dx.doi.org/10.1016/j.jdeveco.2013.04.005")</f>
        <v>http://dx.doi.org/10.1016/j.jdeveco.2013.04.005</v>
      </c>
      <c r="BG3160" t="s">
        <v>74</v>
      </c>
      <c r="BH3160" t="s">
        <v>74</v>
      </c>
      <c r="BI3160">
        <v>17</v>
      </c>
      <c r="BJ3160" t="s">
        <v>291</v>
      </c>
      <c r="BK3160" t="s">
        <v>99</v>
      </c>
      <c r="BL3160" t="s">
        <v>100</v>
      </c>
      <c r="BM3160" t="s">
        <v>52105</v>
      </c>
      <c r="BN3160" t="s">
        <v>74</v>
      </c>
      <c r="BO3160" t="s">
        <v>74</v>
      </c>
      <c r="BP3160" t="s">
        <v>74</v>
      </c>
      <c r="BQ3160" t="s">
        <v>74</v>
      </c>
      <c r="BR3160" t="s">
        <v>102</v>
      </c>
      <c r="BS3160" t="s">
        <v>52106</v>
      </c>
      <c r="BT3160" t="str">
        <f>HYPERLINK("https%3A%2F%2Fwww.webofscience.com%2Fwos%2Fwoscc%2Ffull-record%2FWOS:000323795100004","View Full Record in Web of Science")</f>
        <v>View Full Record in Web of Science</v>
      </c>
    </row>
    <row r="3161" spans="1:72" x14ac:dyDescent="0.25">
      <c r="A3161" t="s">
        <v>72</v>
      </c>
      <c r="B3161" t="s">
        <v>52107</v>
      </c>
      <c r="C3161" t="s">
        <v>74</v>
      </c>
      <c r="D3161" t="s">
        <v>74</v>
      </c>
      <c r="E3161" t="s">
        <v>74</v>
      </c>
      <c r="F3161" t="s">
        <v>52108</v>
      </c>
      <c r="G3161" t="s">
        <v>74</v>
      </c>
      <c r="H3161" t="s">
        <v>74</v>
      </c>
      <c r="I3161" t="s">
        <v>52109</v>
      </c>
      <c r="J3161" t="s">
        <v>656</v>
      </c>
      <c r="K3161" t="s">
        <v>74</v>
      </c>
      <c r="L3161" t="s">
        <v>74</v>
      </c>
      <c r="M3161" t="s">
        <v>78</v>
      </c>
      <c r="N3161" t="s">
        <v>79</v>
      </c>
      <c r="O3161" t="s">
        <v>74</v>
      </c>
      <c r="P3161" t="s">
        <v>74</v>
      </c>
      <c r="Q3161" t="s">
        <v>74</v>
      </c>
      <c r="R3161" t="s">
        <v>74</v>
      </c>
      <c r="S3161" t="s">
        <v>74</v>
      </c>
      <c r="T3161" t="s">
        <v>52110</v>
      </c>
      <c r="U3161" t="s">
        <v>52111</v>
      </c>
      <c r="V3161" t="s">
        <v>52112</v>
      </c>
      <c r="W3161" t="s">
        <v>52113</v>
      </c>
      <c r="X3161" t="s">
        <v>74</v>
      </c>
      <c r="Y3161" t="s">
        <v>52114</v>
      </c>
      <c r="Z3161" t="s">
        <v>52115</v>
      </c>
      <c r="AA3161" t="s">
        <v>74</v>
      </c>
      <c r="AB3161" t="s">
        <v>52116</v>
      </c>
      <c r="AC3161" t="s">
        <v>74</v>
      </c>
      <c r="AD3161" t="s">
        <v>74</v>
      </c>
      <c r="AE3161" t="s">
        <v>74</v>
      </c>
      <c r="AF3161" t="s">
        <v>74</v>
      </c>
      <c r="AG3161">
        <v>113</v>
      </c>
      <c r="AH3161">
        <v>9</v>
      </c>
      <c r="AI3161">
        <v>17</v>
      </c>
      <c r="AJ3161">
        <v>1</v>
      </c>
      <c r="AK3161">
        <v>34</v>
      </c>
      <c r="AL3161" t="s">
        <v>666</v>
      </c>
      <c r="AM3161" t="s">
        <v>667</v>
      </c>
      <c r="AN3161" t="s">
        <v>668</v>
      </c>
      <c r="AO3161" t="s">
        <v>669</v>
      </c>
      <c r="AP3161" t="s">
        <v>670</v>
      </c>
      <c r="AQ3161" t="s">
        <v>74</v>
      </c>
      <c r="AR3161" t="s">
        <v>671</v>
      </c>
      <c r="AS3161" t="s">
        <v>672</v>
      </c>
      <c r="AT3161" t="s">
        <v>1652</v>
      </c>
      <c r="AU3161">
        <v>2016</v>
      </c>
      <c r="AV3161">
        <v>37</v>
      </c>
      <c r="AW3161">
        <v>2</v>
      </c>
      <c r="AX3161" t="s">
        <v>74</v>
      </c>
      <c r="AY3161" t="s">
        <v>74</v>
      </c>
      <c r="AZ3161" t="s">
        <v>74</v>
      </c>
      <c r="BA3161" t="s">
        <v>74</v>
      </c>
      <c r="BB3161">
        <v>226</v>
      </c>
      <c r="BC3161">
        <v>241</v>
      </c>
      <c r="BD3161" t="s">
        <v>74</v>
      </c>
      <c r="BE3161" t="s">
        <v>52117</v>
      </c>
      <c r="BF3161" t="str">
        <f>HYPERLINK("http://dx.doi.org/10.1007/s10834-015-9449-0","http://dx.doi.org/10.1007/s10834-015-9449-0")</f>
        <v>http://dx.doi.org/10.1007/s10834-015-9449-0</v>
      </c>
      <c r="BG3161" t="s">
        <v>74</v>
      </c>
      <c r="BH3161" t="s">
        <v>74</v>
      </c>
      <c r="BI3161">
        <v>16</v>
      </c>
      <c r="BJ3161" t="s">
        <v>675</v>
      </c>
      <c r="BK3161" t="s">
        <v>99</v>
      </c>
      <c r="BL3161" t="s">
        <v>676</v>
      </c>
      <c r="BM3161" t="s">
        <v>52118</v>
      </c>
      <c r="BN3161" t="s">
        <v>74</v>
      </c>
      <c r="BO3161" t="s">
        <v>74</v>
      </c>
      <c r="BP3161" t="s">
        <v>74</v>
      </c>
      <c r="BQ3161" t="s">
        <v>74</v>
      </c>
      <c r="BR3161" t="s">
        <v>102</v>
      </c>
      <c r="BS3161" t="s">
        <v>52119</v>
      </c>
      <c r="BT3161" t="str">
        <f>HYPERLINK("https%3A%2F%2Fwww.webofscience.com%2Fwos%2Fwoscc%2Ffull-record%2FWOS:000384207800008","View Full Record in Web of Science")</f>
        <v>View Full Record in Web of Science</v>
      </c>
    </row>
    <row r="3162" spans="1:72" x14ac:dyDescent="0.25">
      <c r="A3162" t="s">
        <v>72</v>
      </c>
      <c r="B3162" t="s">
        <v>52120</v>
      </c>
      <c r="C3162" t="s">
        <v>74</v>
      </c>
      <c r="D3162" t="s">
        <v>74</v>
      </c>
      <c r="E3162" t="s">
        <v>74</v>
      </c>
      <c r="F3162" t="s">
        <v>52121</v>
      </c>
      <c r="G3162" t="s">
        <v>74</v>
      </c>
      <c r="H3162" t="s">
        <v>74</v>
      </c>
      <c r="I3162" t="s">
        <v>52122</v>
      </c>
      <c r="J3162" t="s">
        <v>14448</v>
      </c>
      <c r="K3162" t="s">
        <v>74</v>
      </c>
      <c r="L3162" t="s">
        <v>74</v>
      </c>
      <c r="M3162" t="s">
        <v>78</v>
      </c>
      <c r="N3162" t="s">
        <v>79</v>
      </c>
      <c r="O3162" t="s">
        <v>74</v>
      </c>
      <c r="P3162" t="s">
        <v>74</v>
      </c>
      <c r="Q3162" t="s">
        <v>74</v>
      </c>
      <c r="R3162" t="s">
        <v>74</v>
      </c>
      <c r="S3162" t="s">
        <v>74</v>
      </c>
      <c r="T3162" t="s">
        <v>52123</v>
      </c>
      <c r="U3162" t="s">
        <v>52124</v>
      </c>
      <c r="V3162" t="s">
        <v>52125</v>
      </c>
      <c r="W3162" t="s">
        <v>52126</v>
      </c>
      <c r="X3162" t="s">
        <v>52127</v>
      </c>
      <c r="Y3162" t="s">
        <v>52128</v>
      </c>
      <c r="Z3162" t="s">
        <v>52129</v>
      </c>
      <c r="AA3162" t="s">
        <v>52130</v>
      </c>
      <c r="AB3162" t="s">
        <v>52131</v>
      </c>
      <c r="AC3162" t="s">
        <v>74</v>
      </c>
      <c r="AD3162" t="s">
        <v>74</v>
      </c>
      <c r="AE3162" t="s">
        <v>74</v>
      </c>
      <c r="AF3162" t="s">
        <v>74</v>
      </c>
      <c r="AG3162">
        <v>80</v>
      </c>
      <c r="AH3162">
        <v>4</v>
      </c>
      <c r="AI3162">
        <v>4</v>
      </c>
      <c r="AJ3162">
        <v>2</v>
      </c>
      <c r="AK3162">
        <v>27</v>
      </c>
      <c r="AL3162" t="s">
        <v>4485</v>
      </c>
      <c r="AM3162" t="s">
        <v>6724</v>
      </c>
      <c r="AN3162" t="s">
        <v>6725</v>
      </c>
      <c r="AO3162" t="s">
        <v>14458</v>
      </c>
      <c r="AP3162" t="s">
        <v>14459</v>
      </c>
      <c r="AQ3162" t="s">
        <v>74</v>
      </c>
      <c r="AR3162" t="s">
        <v>14460</v>
      </c>
      <c r="AS3162" t="s">
        <v>14461</v>
      </c>
      <c r="AT3162" t="s">
        <v>4611</v>
      </c>
      <c r="AU3162">
        <v>2024</v>
      </c>
      <c r="AV3162">
        <v>482</v>
      </c>
      <c r="AW3162" t="s">
        <v>74</v>
      </c>
      <c r="AX3162" t="s">
        <v>74</v>
      </c>
      <c r="AY3162" t="s">
        <v>74</v>
      </c>
      <c r="AZ3162" t="s">
        <v>74</v>
      </c>
      <c r="BA3162" t="s">
        <v>74</v>
      </c>
      <c r="BB3162" t="s">
        <v>74</v>
      </c>
      <c r="BC3162" t="s">
        <v>74</v>
      </c>
      <c r="BD3162">
        <v>144185</v>
      </c>
      <c r="BE3162" t="s">
        <v>52132</v>
      </c>
      <c r="BF3162" t="str">
        <f>HYPERLINK("http://dx.doi.org/10.1016/j.jclepro.2024.144185","http://dx.doi.org/10.1016/j.jclepro.2024.144185")</f>
        <v>http://dx.doi.org/10.1016/j.jclepro.2024.144185</v>
      </c>
      <c r="BG3162" t="s">
        <v>74</v>
      </c>
      <c r="BH3162" t="s">
        <v>267</v>
      </c>
      <c r="BI3162">
        <v>23</v>
      </c>
      <c r="BJ3162" t="s">
        <v>14463</v>
      </c>
      <c r="BK3162" t="s">
        <v>128</v>
      </c>
      <c r="BL3162" t="s">
        <v>14464</v>
      </c>
      <c r="BM3162" t="s">
        <v>52133</v>
      </c>
      <c r="BN3162" t="s">
        <v>74</v>
      </c>
      <c r="BO3162" t="s">
        <v>74</v>
      </c>
      <c r="BP3162" t="s">
        <v>74</v>
      </c>
      <c r="BQ3162" t="s">
        <v>74</v>
      </c>
      <c r="BR3162" t="s">
        <v>102</v>
      </c>
      <c r="BS3162" t="s">
        <v>52134</v>
      </c>
      <c r="BT3162" t="str">
        <f>HYPERLINK("https%3A%2F%2Fwww.webofscience.com%2Fwos%2Fwoscc%2Ffull-record%2FWOS:001359593900001","View Full Record in Web of Science")</f>
        <v>View Full Record in Web of Science</v>
      </c>
    </row>
    <row r="3163" spans="1:72" x14ac:dyDescent="0.25">
      <c r="A3163" t="s">
        <v>72</v>
      </c>
      <c r="B3163" t="s">
        <v>52135</v>
      </c>
      <c r="C3163" t="s">
        <v>74</v>
      </c>
      <c r="D3163" t="s">
        <v>74</v>
      </c>
      <c r="E3163" t="s">
        <v>74</v>
      </c>
      <c r="F3163" t="s">
        <v>52136</v>
      </c>
      <c r="G3163" t="s">
        <v>74</v>
      </c>
      <c r="H3163" t="s">
        <v>74</v>
      </c>
      <c r="I3163" t="s">
        <v>52137</v>
      </c>
      <c r="J3163" t="s">
        <v>3439</v>
      </c>
      <c r="K3163" t="s">
        <v>74</v>
      </c>
      <c r="L3163" t="s">
        <v>74</v>
      </c>
      <c r="M3163" t="s">
        <v>78</v>
      </c>
      <c r="N3163" t="s">
        <v>79</v>
      </c>
      <c r="O3163" t="s">
        <v>74</v>
      </c>
      <c r="P3163" t="s">
        <v>74</v>
      </c>
      <c r="Q3163" t="s">
        <v>74</v>
      </c>
      <c r="R3163" t="s">
        <v>74</v>
      </c>
      <c r="S3163" t="s">
        <v>74</v>
      </c>
      <c r="T3163" t="s">
        <v>52138</v>
      </c>
      <c r="U3163" t="s">
        <v>2945</v>
      </c>
      <c r="V3163" t="s">
        <v>52139</v>
      </c>
      <c r="W3163" t="s">
        <v>52140</v>
      </c>
      <c r="X3163" t="s">
        <v>52141</v>
      </c>
      <c r="Y3163" t="s">
        <v>21527</v>
      </c>
      <c r="Z3163" t="s">
        <v>21526</v>
      </c>
      <c r="AA3163" t="s">
        <v>52142</v>
      </c>
      <c r="AB3163" t="s">
        <v>52143</v>
      </c>
      <c r="AC3163" t="s">
        <v>74</v>
      </c>
      <c r="AD3163" t="s">
        <v>74</v>
      </c>
      <c r="AE3163" t="s">
        <v>74</v>
      </c>
      <c r="AF3163" t="s">
        <v>74</v>
      </c>
      <c r="AG3163">
        <v>55</v>
      </c>
      <c r="AH3163">
        <v>7</v>
      </c>
      <c r="AI3163">
        <v>10</v>
      </c>
      <c r="AJ3163">
        <v>1</v>
      </c>
      <c r="AK3163">
        <v>3</v>
      </c>
      <c r="AL3163" t="s">
        <v>823</v>
      </c>
      <c r="AM3163" t="s">
        <v>333</v>
      </c>
      <c r="AN3163" t="s">
        <v>824</v>
      </c>
      <c r="AO3163" t="s">
        <v>3443</v>
      </c>
      <c r="AP3163" t="s">
        <v>74</v>
      </c>
      <c r="AQ3163" t="s">
        <v>74</v>
      </c>
      <c r="AR3163" t="s">
        <v>3444</v>
      </c>
      <c r="AS3163" t="s">
        <v>3445</v>
      </c>
      <c r="AT3163" t="s">
        <v>2970</v>
      </c>
      <c r="AU3163">
        <v>2025</v>
      </c>
      <c r="AV3163">
        <v>13</v>
      </c>
      <c r="AW3163">
        <v>1</v>
      </c>
      <c r="AX3163" t="s">
        <v>74</v>
      </c>
      <c r="AY3163" t="s">
        <v>74</v>
      </c>
      <c r="AZ3163" t="s">
        <v>74</v>
      </c>
      <c r="BA3163" t="s">
        <v>74</v>
      </c>
      <c r="BB3163" t="s">
        <v>74</v>
      </c>
      <c r="BC3163" t="s">
        <v>74</v>
      </c>
      <c r="BD3163">
        <v>2476093</v>
      </c>
      <c r="BE3163" t="s">
        <v>52144</v>
      </c>
      <c r="BF3163" t="str">
        <f>HYPERLINK("http://dx.doi.org/10.1080/23322039.2025.2476093","http://dx.doi.org/10.1080/23322039.2025.2476093")</f>
        <v>http://dx.doi.org/10.1080/23322039.2025.2476093</v>
      </c>
      <c r="BG3163" t="s">
        <v>74</v>
      </c>
      <c r="BH3163" t="s">
        <v>74</v>
      </c>
      <c r="BI3163">
        <v>15</v>
      </c>
      <c r="BJ3163" t="s">
        <v>291</v>
      </c>
      <c r="BK3163" t="s">
        <v>313</v>
      </c>
      <c r="BL3163" t="s">
        <v>100</v>
      </c>
      <c r="BM3163" t="s">
        <v>52145</v>
      </c>
      <c r="BN3163" t="s">
        <v>74</v>
      </c>
      <c r="BO3163" t="s">
        <v>212</v>
      </c>
      <c r="BP3163" t="s">
        <v>74</v>
      </c>
      <c r="BQ3163" t="s">
        <v>74</v>
      </c>
      <c r="BR3163" t="s">
        <v>102</v>
      </c>
      <c r="BS3163" t="s">
        <v>52146</v>
      </c>
      <c r="BT3163" t="str">
        <f>HYPERLINK("https%3A%2F%2Fwww.webofscience.com%2Fwos%2Fwoscc%2Ffull-record%2FWOS:001443182400001","View Full Record in Web of Science")</f>
        <v>View Full Record in Web of Science</v>
      </c>
    </row>
    <row r="3164" spans="1:72" x14ac:dyDescent="0.25">
      <c r="A3164" t="s">
        <v>72</v>
      </c>
      <c r="B3164" t="s">
        <v>52147</v>
      </c>
      <c r="C3164" t="s">
        <v>74</v>
      </c>
      <c r="D3164" t="s">
        <v>74</v>
      </c>
      <c r="E3164" t="s">
        <v>74</v>
      </c>
      <c r="F3164" t="s">
        <v>52148</v>
      </c>
      <c r="G3164" t="s">
        <v>74</v>
      </c>
      <c r="H3164" t="s">
        <v>74</v>
      </c>
      <c r="I3164" t="s">
        <v>52149</v>
      </c>
      <c r="J3164" t="s">
        <v>3231</v>
      </c>
      <c r="K3164" t="s">
        <v>74</v>
      </c>
      <c r="L3164" t="s">
        <v>74</v>
      </c>
      <c r="M3164" t="s">
        <v>78</v>
      </c>
      <c r="N3164" t="s">
        <v>79</v>
      </c>
      <c r="O3164" t="s">
        <v>74</v>
      </c>
      <c r="P3164" t="s">
        <v>74</v>
      </c>
      <c r="Q3164" t="s">
        <v>74</v>
      </c>
      <c r="R3164" t="s">
        <v>74</v>
      </c>
      <c r="S3164" t="s">
        <v>74</v>
      </c>
      <c r="T3164" t="s">
        <v>52150</v>
      </c>
      <c r="U3164" t="s">
        <v>74</v>
      </c>
      <c r="V3164" t="s">
        <v>52151</v>
      </c>
      <c r="W3164" t="s">
        <v>52152</v>
      </c>
      <c r="X3164" t="s">
        <v>24225</v>
      </c>
      <c r="Y3164" t="s">
        <v>52153</v>
      </c>
      <c r="Z3164" t="s">
        <v>52154</v>
      </c>
      <c r="AA3164" t="s">
        <v>74</v>
      </c>
      <c r="AB3164" t="s">
        <v>74</v>
      </c>
      <c r="AC3164" t="s">
        <v>74</v>
      </c>
      <c r="AD3164" t="s">
        <v>74</v>
      </c>
      <c r="AE3164" t="s">
        <v>74</v>
      </c>
      <c r="AF3164" t="s">
        <v>74</v>
      </c>
      <c r="AG3164">
        <v>43</v>
      </c>
      <c r="AH3164">
        <v>10</v>
      </c>
      <c r="AI3164">
        <v>11</v>
      </c>
      <c r="AJ3164">
        <v>15</v>
      </c>
      <c r="AK3164">
        <v>174</v>
      </c>
      <c r="AL3164" t="s">
        <v>575</v>
      </c>
      <c r="AM3164" t="s">
        <v>576</v>
      </c>
      <c r="AN3164" t="s">
        <v>3242</v>
      </c>
      <c r="AO3164" t="s">
        <v>74</v>
      </c>
      <c r="AP3164" t="s">
        <v>3243</v>
      </c>
      <c r="AQ3164" t="s">
        <v>74</v>
      </c>
      <c r="AR3164" t="s">
        <v>3244</v>
      </c>
      <c r="AS3164" t="s">
        <v>3245</v>
      </c>
      <c r="AT3164" t="s">
        <v>124</v>
      </c>
      <c r="AU3164">
        <v>2022</v>
      </c>
      <c r="AV3164">
        <v>14</v>
      </c>
      <c r="AW3164">
        <v>23</v>
      </c>
      <c r="AX3164" t="s">
        <v>74</v>
      </c>
      <c r="AY3164" t="s">
        <v>74</v>
      </c>
      <c r="AZ3164" t="s">
        <v>74</v>
      </c>
      <c r="BA3164" t="s">
        <v>74</v>
      </c>
      <c r="BB3164" t="s">
        <v>74</v>
      </c>
      <c r="BC3164" t="s">
        <v>74</v>
      </c>
      <c r="BD3164">
        <v>16271</v>
      </c>
      <c r="BE3164" t="s">
        <v>52155</v>
      </c>
      <c r="BF3164" t="str">
        <f>HYPERLINK("http://dx.doi.org/10.3390/su142316271","http://dx.doi.org/10.3390/su142316271")</f>
        <v>http://dx.doi.org/10.3390/su142316271</v>
      </c>
      <c r="BG3164" t="s">
        <v>74</v>
      </c>
      <c r="BH3164" t="s">
        <v>74</v>
      </c>
      <c r="BI3164">
        <v>11</v>
      </c>
      <c r="BJ3164" t="s">
        <v>3247</v>
      </c>
      <c r="BK3164" t="s">
        <v>2623</v>
      </c>
      <c r="BL3164" t="s">
        <v>3248</v>
      </c>
      <c r="BM3164" t="s">
        <v>52156</v>
      </c>
      <c r="BN3164" t="s">
        <v>74</v>
      </c>
      <c r="BO3164" t="s">
        <v>916</v>
      </c>
      <c r="BP3164" t="s">
        <v>74</v>
      </c>
      <c r="BQ3164" t="s">
        <v>74</v>
      </c>
      <c r="BR3164" t="s">
        <v>102</v>
      </c>
      <c r="BS3164" t="s">
        <v>52157</v>
      </c>
      <c r="BT3164" t="str">
        <f>HYPERLINK("https%3A%2F%2Fwww.webofscience.com%2Fwos%2Fwoscc%2Ffull-record%2FWOS:000896276600001","View Full Record in Web of Science")</f>
        <v>View Full Record in Web of Science</v>
      </c>
    </row>
    <row r="3165" spans="1:72" x14ac:dyDescent="0.25">
      <c r="A3165" t="s">
        <v>72</v>
      </c>
      <c r="B3165" t="s">
        <v>52158</v>
      </c>
      <c r="C3165" t="s">
        <v>74</v>
      </c>
      <c r="D3165" t="s">
        <v>74</v>
      </c>
      <c r="E3165" t="s">
        <v>74</v>
      </c>
      <c r="F3165" t="s">
        <v>52159</v>
      </c>
      <c r="G3165" t="s">
        <v>74</v>
      </c>
      <c r="H3165" t="s">
        <v>74</v>
      </c>
      <c r="I3165" t="s">
        <v>52160</v>
      </c>
      <c r="J3165" t="s">
        <v>2309</v>
      </c>
      <c r="K3165" t="s">
        <v>74</v>
      </c>
      <c r="L3165" t="s">
        <v>74</v>
      </c>
      <c r="M3165" t="s">
        <v>78</v>
      </c>
      <c r="N3165" t="s">
        <v>20518</v>
      </c>
      <c r="O3165" t="s">
        <v>74</v>
      </c>
      <c r="P3165" t="s">
        <v>74</v>
      </c>
      <c r="Q3165" t="s">
        <v>74</v>
      </c>
      <c r="R3165" t="s">
        <v>74</v>
      </c>
      <c r="S3165" t="s">
        <v>74</v>
      </c>
      <c r="T3165" t="s">
        <v>74</v>
      </c>
      <c r="U3165" t="s">
        <v>74</v>
      </c>
      <c r="V3165" t="s">
        <v>74</v>
      </c>
      <c r="W3165" t="s">
        <v>52161</v>
      </c>
      <c r="X3165" t="s">
        <v>52162</v>
      </c>
      <c r="Y3165" t="s">
        <v>52163</v>
      </c>
      <c r="Z3165" t="s">
        <v>52164</v>
      </c>
      <c r="AA3165" t="s">
        <v>74</v>
      </c>
      <c r="AB3165" t="s">
        <v>52165</v>
      </c>
      <c r="AC3165" t="s">
        <v>74</v>
      </c>
      <c r="AD3165" t="s">
        <v>74</v>
      </c>
      <c r="AE3165" t="s">
        <v>74</v>
      </c>
      <c r="AF3165" t="s">
        <v>74</v>
      </c>
      <c r="AG3165">
        <v>1</v>
      </c>
      <c r="AH3165">
        <v>0</v>
      </c>
      <c r="AI3165">
        <v>0</v>
      </c>
      <c r="AJ3165">
        <v>0</v>
      </c>
      <c r="AK3165">
        <v>2</v>
      </c>
      <c r="AL3165" t="s">
        <v>332</v>
      </c>
      <c r="AM3165" t="s">
        <v>333</v>
      </c>
      <c r="AN3165" t="s">
        <v>334</v>
      </c>
      <c r="AO3165" t="s">
        <v>2322</v>
      </c>
      <c r="AP3165" t="s">
        <v>2323</v>
      </c>
      <c r="AQ3165" t="s">
        <v>74</v>
      </c>
      <c r="AR3165" t="s">
        <v>2324</v>
      </c>
      <c r="AS3165" t="s">
        <v>2325</v>
      </c>
      <c r="AT3165" t="s">
        <v>14892</v>
      </c>
      <c r="AU3165">
        <v>2024</v>
      </c>
      <c r="AV3165" t="s">
        <v>74</v>
      </c>
      <c r="AW3165" t="s">
        <v>74</v>
      </c>
      <c r="AX3165" t="s">
        <v>74</v>
      </c>
      <c r="AY3165" t="s">
        <v>74</v>
      </c>
      <c r="AZ3165" t="s">
        <v>74</v>
      </c>
      <c r="BA3165" t="s">
        <v>74</v>
      </c>
      <c r="BB3165" t="s">
        <v>74</v>
      </c>
      <c r="BC3165" t="s">
        <v>74</v>
      </c>
      <c r="BD3165" t="s">
        <v>74</v>
      </c>
      <c r="BE3165" t="s">
        <v>52166</v>
      </c>
      <c r="BF3165" t="str">
        <f>HYPERLINK("http://dx.doi.org/10.1080/00220388.2024.2439684","http://dx.doi.org/10.1080/00220388.2024.2439684")</f>
        <v>http://dx.doi.org/10.1080/00220388.2024.2439684</v>
      </c>
      <c r="BG3165" t="s">
        <v>74</v>
      </c>
      <c r="BH3165" t="s">
        <v>809</v>
      </c>
      <c r="BI3165">
        <v>2</v>
      </c>
      <c r="BJ3165" t="s">
        <v>701</v>
      </c>
      <c r="BK3165" t="s">
        <v>99</v>
      </c>
      <c r="BL3165" t="s">
        <v>702</v>
      </c>
      <c r="BM3165" t="s">
        <v>52167</v>
      </c>
      <c r="BN3165" t="s">
        <v>74</v>
      </c>
      <c r="BO3165" t="s">
        <v>74</v>
      </c>
      <c r="BP3165" t="s">
        <v>74</v>
      </c>
      <c r="BQ3165" t="s">
        <v>74</v>
      </c>
      <c r="BR3165" t="s">
        <v>102</v>
      </c>
      <c r="BS3165" t="s">
        <v>52168</v>
      </c>
      <c r="BT3165" t="str">
        <f>HYPERLINK("https%3A%2F%2Fwww.webofscience.com%2Fwos%2Fwoscc%2Ffull-record%2FWOS:001379571300001","View Full Record in Web of Science")</f>
        <v>View Full Record in Web of Science</v>
      </c>
    </row>
    <row r="3166" spans="1:72" x14ac:dyDescent="0.25">
      <c r="A3166" t="s">
        <v>72</v>
      </c>
      <c r="B3166" t="s">
        <v>52169</v>
      </c>
      <c r="C3166" t="s">
        <v>74</v>
      </c>
      <c r="D3166" t="s">
        <v>74</v>
      </c>
      <c r="E3166" t="s">
        <v>74</v>
      </c>
      <c r="F3166" t="s">
        <v>52170</v>
      </c>
      <c r="G3166" t="s">
        <v>74</v>
      </c>
      <c r="H3166" t="s">
        <v>74</v>
      </c>
      <c r="I3166" t="s">
        <v>52171</v>
      </c>
      <c r="J3166" t="s">
        <v>49787</v>
      </c>
      <c r="K3166" t="s">
        <v>74</v>
      </c>
      <c r="L3166" t="s">
        <v>74</v>
      </c>
      <c r="M3166" t="s">
        <v>78</v>
      </c>
      <c r="N3166" t="s">
        <v>79</v>
      </c>
      <c r="O3166" t="s">
        <v>74</v>
      </c>
      <c r="P3166" t="s">
        <v>74</v>
      </c>
      <c r="Q3166" t="s">
        <v>74</v>
      </c>
      <c r="R3166" t="s">
        <v>74</v>
      </c>
      <c r="S3166" t="s">
        <v>74</v>
      </c>
      <c r="T3166" t="s">
        <v>52172</v>
      </c>
      <c r="U3166" t="s">
        <v>74</v>
      </c>
      <c r="V3166" t="s">
        <v>52173</v>
      </c>
      <c r="W3166" t="s">
        <v>52174</v>
      </c>
      <c r="X3166" t="s">
        <v>23191</v>
      </c>
      <c r="Y3166" t="s">
        <v>52175</v>
      </c>
      <c r="Z3166" t="s">
        <v>52176</v>
      </c>
      <c r="AA3166" t="s">
        <v>74</v>
      </c>
      <c r="AB3166" t="s">
        <v>52177</v>
      </c>
      <c r="AC3166" t="s">
        <v>74</v>
      </c>
      <c r="AD3166" t="s">
        <v>74</v>
      </c>
      <c r="AE3166" t="s">
        <v>74</v>
      </c>
      <c r="AF3166" t="s">
        <v>74</v>
      </c>
      <c r="AG3166">
        <v>28</v>
      </c>
      <c r="AH3166">
        <v>2</v>
      </c>
      <c r="AI3166">
        <v>3</v>
      </c>
      <c r="AJ3166">
        <v>1</v>
      </c>
      <c r="AK3166">
        <v>1</v>
      </c>
      <c r="AL3166" t="s">
        <v>49795</v>
      </c>
      <c r="AM3166" t="s">
        <v>49796</v>
      </c>
      <c r="AN3166" t="s">
        <v>49797</v>
      </c>
      <c r="AO3166" t="s">
        <v>49798</v>
      </c>
      <c r="AP3166" t="s">
        <v>49799</v>
      </c>
      <c r="AQ3166" t="s">
        <v>74</v>
      </c>
      <c r="AR3166" t="s">
        <v>49800</v>
      </c>
      <c r="AS3166" t="s">
        <v>49801</v>
      </c>
      <c r="AT3166" t="s">
        <v>289</v>
      </c>
      <c r="AU3166">
        <v>2023</v>
      </c>
      <c r="AV3166">
        <v>13</v>
      </c>
      <c r="AW3166">
        <v>4</v>
      </c>
      <c r="AX3166" t="s">
        <v>74</v>
      </c>
      <c r="AY3166" t="s">
        <v>74</v>
      </c>
      <c r="AZ3166" t="s">
        <v>74</v>
      </c>
      <c r="BA3166" t="s">
        <v>74</v>
      </c>
      <c r="BB3166">
        <v>11177</v>
      </c>
      <c r="BC3166">
        <v>11181</v>
      </c>
      <c r="BD3166" t="s">
        <v>74</v>
      </c>
      <c r="BE3166" t="s">
        <v>52178</v>
      </c>
      <c r="BF3166" t="str">
        <f>HYPERLINK("http://dx.doi.org/10.48084/etasr.5989","http://dx.doi.org/10.48084/etasr.5989")</f>
        <v>http://dx.doi.org/10.48084/etasr.5989</v>
      </c>
      <c r="BG3166" t="s">
        <v>74</v>
      </c>
      <c r="BH3166" t="s">
        <v>74</v>
      </c>
      <c r="BI3166">
        <v>5</v>
      </c>
      <c r="BJ3166" t="s">
        <v>8592</v>
      </c>
      <c r="BK3166" t="s">
        <v>313</v>
      </c>
      <c r="BL3166" t="s">
        <v>2581</v>
      </c>
      <c r="BM3166" t="s">
        <v>52179</v>
      </c>
      <c r="BN3166" t="s">
        <v>74</v>
      </c>
      <c r="BO3166" t="s">
        <v>212</v>
      </c>
      <c r="BP3166" t="s">
        <v>74</v>
      </c>
      <c r="BQ3166" t="s">
        <v>74</v>
      </c>
      <c r="BR3166" t="s">
        <v>102</v>
      </c>
      <c r="BS3166" t="s">
        <v>52180</v>
      </c>
      <c r="BT3166" t="str">
        <f>HYPERLINK("https%3A%2F%2Fwww.webofscience.com%2Fwos%2Fwoscc%2Ffull-record%2FWOS:001049834500020","View Full Record in Web of Science")</f>
        <v>View Full Record in Web of Science</v>
      </c>
    </row>
    <row r="3167" spans="1:72" x14ac:dyDescent="0.25">
      <c r="A3167" t="s">
        <v>72</v>
      </c>
      <c r="B3167" t="s">
        <v>52181</v>
      </c>
      <c r="C3167" t="s">
        <v>74</v>
      </c>
      <c r="D3167" t="s">
        <v>74</v>
      </c>
      <c r="E3167" t="s">
        <v>74</v>
      </c>
      <c r="F3167" t="s">
        <v>52182</v>
      </c>
      <c r="G3167" t="s">
        <v>74</v>
      </c>
      <c r="H3167" t="s">
        <v>74</v>
      </c>
      <c r="I3167" t="s">
        <v>52183</v>
      </c>
      <c r="J3167" t="s">
        <v>8341</v>
      </c>
      <c r="K3167" t="s">
        <v>74</v>
      </c>
      <c r="L3167" t="s">
        <v>74</v>
      </c>
      <c r="M3167" t="s">
        <v>78</v>
      </c>
      <c r="N3167" t="s">
        <v>79</v>
      </c>
      <c r="O3167" t="s">
        <v>74</v>
      </c>
      <c r="P3167" t="s">
        <v>74</v>
      </c>
      <c r="Q3167" t="s">
        <v>74</v>
      </c>
      <c r="R3167" t="s">
        <v>74</v>
      </c>
      <c r="S3167" t="s">
        <v>74</v>
      </c>
      <c r="T3167" t="s">
        <v>52184</v>
      </c>
      <c r="U3167" t="s">
        <v>52185</v>
      </c>
      <c r="V3167" t="s">
        <v>52186</v>
      </c>
      <c r="W3167" t="s">
        <v>52187</v>
      </c>
      <c r="X3167" t="s">
        <v>14744</v>
      </c>
      <c r="Y3167" t="s">
        <v>52188</v>
      </c>
      <c r="Z3167" t="s">
        <v>52189</v>
      </c>
      <c r="AA3167" t="s">
        <v>74</v>
      </c>
      <c r="AB3167" t="s">
        <v>74</v>
      </c>
      <c r="AC3167" t="s">
        <v>74</v>
      </c>
      <c r="AD3167" t="s">
        <v>74</v>
      </c>
      <c r="AE3167" t="s">
        <v>74</v>
      </c>
      <c r="AF3167" t="s">
        <v>74</v>
      </c>
      <c r="AG3167">
        <v>59</v>
      </c>
      <c r="AH3167">
        <v>0</v>
      </c>
      <c r="AI3167">
        <v>0</v>
      </c>
      <c r="AJ3167">
        <v>0</v>
      </c>
      <c r="AK3167">
        <v>0</v>
      </c>
      <c r="AL3167" t="s">
        <v>1216</v>
      </c>
      <c r="AM3167" t="s">
        <v>283</v>
      </c>
      <c r="AN3167" t="s">
        <v>1217</v>
      </c>
      <c r="AO3167" t="s">
        <v>74</v>
      </c>
      <c r="AP3167" t="s">
        <v>8349</v>
      </c>
      <c r="AQ3167" t="s">
        <v>74</v>
      </c>
      <c r="AR3167" t="s">
        <v>8350</v>
      </c>
      <c r="AS3167" t="s">
        <v>8351</v>
      </c>
      <c r="AT3167" t="s">
        <v>26154</v>
      </c>
      <c r="AU3167">
        <v>2025</v>
      </c>
      <c r="AV3167">
        <v>9</v>
      </c>
      <c r="AW3167" t="s">
        <v>74</v>
      </c>
      <c r="AX3167" t="s">
        <v>74</v>
      </c>
      <c r="AY3167" t="s">
        <v>74</v>
      </c>
      <c r="AZ3167" t="s">
        <v>74</v>
      </c>
      <c r="BA3167" t="s">
        <v>74</v>
      </c>
      <c r="BB3167" t="s">
        <v>74</v>
      </c>
      <c r="BC3167" t="s">
        <v>74</v>
      </c>
      <c r="BD3167">
        <v>1723213</v>
      </c>
      <c r="BE3167" t="s">
        <v>52190</v>
      </c>
      <c r="BF3167" t="str">
        <f>HYPERLINK("http://dx.doi.org/10.3389/fsufs.2025.1723213","http://dx.doi.org/10.3389/fsufs.2025.1723213")</f>
        <v>http://dx.doi.org/10.3389/fsufs.2025.1723213</v>
      </c>
      <c r="BG3167" t="s">
        <v>74</v>
      </c>
      <c r="BH3167" t="s">
        <v>74</v>
      </c>
      <c r="BI3167">
        <v>11</v>
      </c>
      <c r="BJ3167" t="s">
        <v>7722</v>
      </c>
      <c r="BK3167" t="s">
        <v>128</v>
      </c>
      <c r="BL3167" t="s">
        <v>7722</v>
      </c>
      <c r="BM3167" t="s">
        <v>52191</v>
      </c>
      <c r="BN3167" t="s">
        <v>74</v>
      </c>
      <c r="BO3167" t="s">
        <v>212</v>
      </c>
      <c r="BP3167" t="s">
        <v>74</v>
      </c>
      <c r="BQ3167" t="s">
        <v>74</v>
      </c>
      <c r="BR3167" t="s">
        <v>102</v>
      </c>
      <c r="BS3167" t="s">
        <v>52192</v>
      </c>
      <c r="BT3167" t="str">
        <f>HYPERLINK("https%3A%2F%2Fwww.webofscience.com%2Fwos%2Fwoscc%2Ffull-record%2FWOS:001650260400001","View Full Record in Web of Science")</f>
        <v>View Full Record in Web of Science</v>
      </c>
    </row>
    <row r="3168" spans="1:72" x14ac:dyDescent="0.25">
      <c r="A3168" t="s">
        <v>72</v>
      </c>
      <c r="B3168" t="s">
        <v>52193</v>
      </c>
      <c r="C3168" t="s">
        <v>74</v>
      </c>
      <c r="D3168" t="s">
        <v>74</v>
      </c>
      <c r="E3168" t="s">
        <v>74</v>
      </c>
      <c r="F3168" t="s">
        <v>52194</v>
      </c>
      <c r="G3168" t="s">
        <v>74</v>
      </c>
      <c r="H3168" t="s">
        <v>74</v>
      </c>
      <c r="I3168" t="s">
        <v>52195</v>
      </c>
      <c r="J3168" t="s">
        <v>18344</v>
      </c>
      <c r="K3168" t="s">
        <v>74</v>
      </c>
      <c r="L3168" t="s">
        <v>74</v>
      </c>
      <c r="M3168" t="s">
        <v>78</v>
      </c>
      <c r="N3168" t="s">
        <v>79</v>
      </c>
      <c r="O3168" t="s">
        <v>74</v>
      </c>
      <c r="P3168" t="s">
        <v>74</v>
      </c>
      <c r="Q3168" t="s">
        <v>74</v>
      </c>
      <c r="R3168" t="s">
        <v>74</v>
      </c>
      <c r="S3168" t="s">
        <v>74</v>
      </c>
      <c r="T3168" t="s">
        <v>52196</v>
      </c>
      <c r="U3168" t="s">
        <v>52197</v>
      </c>
      <c r="V3168" t="s">
        <v>52198</v>
      </c>
      <c r="W3168" t="s">
        <v>52199</v>
      </c>
      <c r="X3168" t="s">
        <v>13481</v>
      </c>
      <c r="Y3168" t="s">
        <v>52200</v>
      </c>
      <c r="Z3168" t="s">
        <v>12156</v>
      </c>
      <c r="AA3168" t="s">
        <v>13483</v>
      </c>
      <c r="AB3168" t="s">
        <v>13484</v>
      </c>
      <c r="AC3168" t="s">
        <v>74</v>
      </c>
      <c r="AD3168" t="s">
        <v>74</v>
      </c>
      <c r="AE3168" t="s">
        <v>74</v>
      </c>
      <c r="AF3168" t="s">
        <v>74</v>
      </c>
      <c r="AG3168">
        <v>82</v>
      </c>
      <c r="AH3168">
        <v>6</v>
      </c>
      <c r="AI3168">
        <v>7</v>
      </c>
      <c r="AJ3168">
        <v>0</v>
      </c>
      <c r="AK3168">
        <v>10</v>
      </c>
      <c r="AL3168" t="s">
        <v>89</v>
      </c>
      <c r="AM3168" t="s">
        <v>1497</v>
      </c>
      <c r="AN3168" t="s">
        <v>1498</v>
      </c>
      <c r="AO3168" t="s">
        <v>18354</v>
      </c>
      <c r="AP3168" t="s">
        <v>18355</v>
      </c>
      <c r="AQ3168" t="s">
        <v>74</v>
      </c>
      <c r="AR3168" t="s">
        <v>18356</v>
      </c>
      <c r="AS3168" t="s">
        <v>18357</v>
      </c>
      <c r="AT3168" t="s">
        <v>74</v>
      </c>
      <c r="AU3168">
        <v>2018</v>
      </c>
      <c r="AV3168">
        <v>34</v>
      </c>
      <c r="AW3168">
        <v>2</v>
      </c>
      <c r="AX3168" t="s">
        <v>74</v>
      </c>
      <c r="AY3168" t="s">
        <v>74</v>
      </c>
      <c r="AZ3168" t="s">
        <v>74</v>
      </c>
      <c r="BA3168" t="s">
        <v>74</v>
      </c>
      <c r="BB3168">
        <v>146</v>
      </c>
      <c r="BC3168">
        <v>165</v>
      </c>
      <c r="BD3168" t="s">
        <v>74</v>
      </c>
      <c r="BE3168" t="s">
        <v>52201</v>
      </c>
      <c r="BF3168" t="str">
        <f>HYPERLINK("http://dx.doi.org/10.1108/IJOES-07-2017-0101","http://dx.doi.org/10.1108/IJOES-07-2017-0101")</f>
        <v>http://dx.doi.org/10.1108/IJOES-07-2017-0101</v>
      </c>
      <c r="BG3168" t="s">
        <v>74</v>
      </c>
      <c r="BH3168" t="s">
        <v>74</v>
      </c>
      <c r="BI3168">
        <v>20</v>
      </c>
      <c r="BJ3168" t="s">
        <v>291</v>
      </c>
      <c r="BK3168" t="s">
        <v>313</v>
      </c>
      <c r="BL3168" t="s">
        <v>100</v>
      </c>
      <c r="BM3168" t="s">
        <v>52202</v>
      </c>
      <c r="BN3168" t="s">
        <v>74</v>
      </c>
      <c r="BO3168" t="s">
        <v>74</v>
      </c>
      <c r="BP3168" t="s">
        <v>74</v>
      </c>
      <c r="BQ3168" t="s">
        <v>74</v>
      </c>
      <c r="BR3168" t="s">
        <v>102</v>
      </c>
      <c r="BS3168" t="s">
        <v>52203</v>
      </c>
      <c r="BT3168" t="str">
        <f>HYPERLINK("https%3A%2F%2Fwww.webofscience.com%2Fwos%2Fwoscc%2Ffull-record%2FWOS:000434298400001","View Full Record in Web of Science")</f>
        <v>View Full Record in Web of Science</v>
      </c>
    </row>
    <row r="3169" spans="1:72" x14ac:dyDescent="0.25">
      <c r="A3169" t="s">
        <v>72</v>
      </c>
      <c r="B3169" t="s">
        <v>52204</v>
      </c>
      <c r="C3169" t="s">
        <v>74</v>
      </c>
      <c r="D3169" t="s">
        <v>74</v>
      </c>
      <c r="E3169" t="s">
        <v>74</v>
      </c>
      <c r="F3169" t="s">
        <v>52205</v>
      </c>
      <c r="G3169" t="s">
        <v>74</v>
      </c>
      <c r="H3169" t="s">
        <v>74</v>
      </c>
      <c r="I3169" t="s">
        <v>52206</v>
      </c>
      <c r="J3169" t="s">
        <v>52207</v>
      </c>
      <c r="K3169" t="s">
        <v>74</v>
      </c>
      <c r="L3169" t="s">
        <v>74</v>
      </c>
      <c r="M3169" t="s">
        <v>78</v>
      </c>
      <c r="N3169" t="s">
        <v>79</v>
      </c>
      <c r="O3169" t="s">
        <v>74</v>
      </c>
      <c r="P3169" t="s">
        <v>74</v>
      </c>
      <c r="Q3169" t="s">
        <v>74</v>
      </c>
      <c r="R3169" t="s">
        <v>74</v>
      </c>
      <c r="S3169" t="s">
        <v>74</v>
      </c>
      <c r="T3169" t="s">
        <v>74</v>
      </c>
      <c r="U3169" t="s">
        <v>52208</v>
      </c>
      <c r="V3169" t="s">
        <v>52209</v>
      </c>
      <c r="W3169" t="s">
        <v>52210</v>
      </c>
      <c r="X3169" t="s">
        <v>7842</v>
      </c>
      <c r="Y3169" t="s">
        <v>52211</v>
      </c>
      <c r="Z3169" t="s">
        <v>52212</v>
      </c>
      <c r="AA3169" t="s">
        <v>37085</v>
      </c>
      <c r="AB3169" t="s">
        <v>37086</v>
      </c>
      <c r="AC3169" t="s">
        <v>74</v>
      </c>
      <c r="AD3169" t="s">
        <v>74</v>
      </c>
      <c r="AE3169" t="s">
        <v>74</v>
      </c>
      <c r="AF3169" t="s">
        <v>74</v>
      </c>
      <c r="AG3169">
        <v>76</v>
      </c>
      <c r="AH3169">
        <v>6</v>
      </c>
      <c r="AI3169">
        <v>8</v>
      </c>
      <c r="AJ3169">
        <v>2</v>
      </c>
      <c r="AK3169">
        <v>8</v>
      </c>
      <c r="AL3169" t="s">
        <v>385</v>
      </c>
      <c r="AM3169" t="s">
        <v>151</v>
      </c>
      <c r="AN3169" t="s">
        <v>386</v>
      </c>
      <c r="AO3169" t="s">
        <v>52213</v>
      </c>
      <c r="AP3169" t="s">
        <v>52214</v>
      </c>
      <c r="AQ3169" t="s">
        <v>74</v>
      </c>
      <c r="AR3169" t="s">
        <v>52215</v>
      </c>
      <c r="AS3169" t="s">
        <v>52216</v>
      </c>
      <c r="AT3169" t="s">
        <v>1652</v>
      </c>
      <c r="AU3169">
        <v>2022</v>
      </c>
      <c r="AV3169">
        <v>39</v>
      </c>
      <c r="AW3169">
        <v>2</v>
      </c>
      <c r="AX3169" t="s">
        <v>74</v>
      </c>
      <c r="AY3169" t="s">
        <v>74</v>
      </c>
      <c r="AZ3169" t="s">
        <v>74</v>
      </c>
      <c r="BA3169" t="s">
        <v>74</v>
      </c>
      <c r="BB3169">
        <v>198</v>
      </c>
      <c r="BC3169">
        <v>219</v>
      </c>
      <c r="BD3169" t="s">
        <v>74</v>
      </c>
      <c r="BE3169" t="s">
        <v>52217</v>
      </c>
      <c r="BF3169" t="str">
        <f>HYPERLINK("http://dx.doi.org/10.1007/s12147-021-09282-7","http://dx.doi.org/10.1007/s12147-021-09282-7")</f>
        <v>http://dx.doi.org/10.1007/s12147-021-09282-7</v>
      </c>
      <c r="BG3169" t="s">
        <v>74</v>
      </c>
      <c r="BH3169" t="s">
        <v>4575</v>
      </c>
      <c r="BI3169">
        <v>22</v>
      </c>
      <c r="BJ3169" t="s">
        <v>21627</v>
      </c>
      <c r="BK3169" t="s">
        <v>313</v>
      </c>
      <c r="BL3169" t="s">
        <v>21627</v>
      </c>
      <c r="BM3169" t="s">
        <v>52218</v>
      </c>
      <c r="BN3169" t="s">
        <v>74</v>
      </c>
      <c r="BO3169" t="s">
        <v>74</v>
      </c>
      <c r="BP3169" t="s">
        <v>74</v>
      </c>
      <c r="BQ3169" t="s">
        <v>74</v>
      </c>
      <c r="BR3169" t="s">
        <v>102</v>
      </c>
      <c r="BS3169" t="s">
        <v>52219</v>
      </c>
      <c r="BT3169" t="str">
        <f>HYPERLINK("https%3A%2F%2Fwww.webofscience.com%2Fwos%2Fwoscc%2Ffull-record%2FWOS:000652959700001","View Full Record in Web of Science")</f>
        <v>View Full Record in Web of Science</v>
      </c>
    </row>
    <row r="3170" spans="1:72" x14ac:dyDescent="0.25">
      <c r="A3170" t="s">
        <v>72</v>
      </c>
      <c r="B3170" t="s">
        <v>52220</v>
      </c>
      <c r="C3170" t="s">
        <v>74</v>
      </c>
      <c r="D3170" t="s">
        <v>74</v>
      </c>
      <c r="E3170" t="s">
        <v>74</v>
      </c>
      <c r="F3170" t="s">
        <v>52221</v>
      </c>
      <c r="G3170" t="s">
        <v>74</v>
      </c>
      <c r="H3170" t="s">
        <v>74</v>
      </c>
      <c r="I3170" t="s">
        <v>52222</v>
      </c>
      <c r="J3170" t="s">
        <v>52223</v>
      </c>
      <c r="K3170" t="s">
        <v>74</v>
      </c>
      <c r="L3170" t="s">
        <v>74</v>
      </c>
      <c r="M3170" t="s">
        <v>78</v>
      </c>
      <c r="N3170" t="s">
        <v>79</v>
      </c>
      <c r="O3170" t="s">
        <v>74</v>
      </c>
      <c r="P3170" t="s">
        <v>74</v>
      </c>
      <c r="Q3170" t="s">
        <v>74</v>
      </c>
      <c r="R3170" t="s">
        <v>74</v>
      </c>
      <c r="S3170" t="s">
        <v>74</v>
      </c>
      <c r="T3170" t="s">
        <v>74</v>
      </c>
      <c r="U3170" t="s">
        <v>52224</v>
      </c>
      <c r="V3170" t="s">
        <v>52225</v>
      </c>
      <c r="W3170" t="s">
        <v>52226</v>
      </c>
      <c r="X3170" t="s">
        <v>52227</v>
      </c>
      <c r="Y3170" t="s">
        <v>52228</v>
      </c>
      <c r="Z3170" t="s">
        <v>52229</v>
      </c>
      <c r="AA3170" t="s">
        <v>74</v>
      </c>
      <c r="AB3170" t="s">
        <v>74</v>
      </c>
      <c r="AC3170" t="s">
        <v>74</v>
      </c>
      <c r="AD3170" t="s">
        <v>74</v>
      </c>
      <c r="AE3170" t="s">
        <v>74</v>
      </c>
      <c r="AF3170" t="s">
        <v>74</v>
      </c>
      <c r="AG3170">
        <v>58</v>
      </c>
      <c r="AH3170">
        <v>15</v>
      </c>
      <c r="AI3170">
        <v>20</v>
      </c>
      <c r="AJ3170">
        <v>5</v>
      </c>
      <c r="AK3170">
        <v>64</v>
      </c>
      <c r="AL3170" t="s">
        <v>2343</v>
      </c>
      <c r="AM3170" t="s">
        <v>2344</v>
      </c>
      <c r="AN3170" t="s">
        <v>2345</v>
      </c>
      <c r="AO3170" t="s">
        <v>52230</v>
      </c>
      <c r="AP3170" t="s">
        <v>52231</v>
      </c>
      <c r="AQ3170" t="s">
        <v>74</v>
      </c>
      <c r="AR3170" t="s">
        <v>52232</v>
      </c>
      <c r="AS3170" t="s">
        <v>52233</v>
      </c>
      <c r="AT3170" t="s">
        <v>11114</v>
      </c>
      <c r="AU3170">
        <v>2023</v>
      </c>
      <c r="AV3170">
        <v>49</v>
      </c>
      <c r="AW3170">
        <v>6</v>
      </c>
      <c r="AX3170" t="s">
        <v>74</v>
      </c>
      <c r="AY3170" t="s">
        <v>74</v>
      </c>
      <c r="AZ3170" t="s">
        <v>74</v>
      </c>
      <c r="BA3170" t="s">
        <v>74</v>
      </c>
      <c r="BB3170">
        <v>477</v>
      </c>
      <c r="BC3170">
        <v>490</v>
      </c>
      <c r="BD3170" t="s">
        <v>74</v>
      </c>
      <c r="BE3170" t="s">
        <v>52234</v>
      </c>
      <c r="BF3170" t="str">
        <f>HYPERLINK("http://dx.doi.org/10.1080/03601277.2022.2126341","http://dx.doi.org/10.1080/03601277.2022.2126341")</f>
        <v>http://dx.doi.org/10.1080/03601277.2022.2126341</v>
      </c>
      <c r="BG3170" t="s">
        <v>74</v>
      </c>
      <c r="BH3170" t="s">
        <v>6014</v>
      </c>
      <c r="BI3170">
        <v>14</v>
      </c>
      <c r="BJ3170" t="s">
        <v>52235</v>
      </c>
      <c r="BK3170" t="s">
        <v>99</v>
      </c>
      <c r="BL3170" t="s">
        <v>52236</v>
      </c>
      <c r="BM3170" t="s">
        <v>52237</v>
      </c>
      <c r="BN3170" t="s">
        <v>74</v>
      </c>
      <c r="BO3170" t="s">
        <v>74</v>
      </c>
      <c r="BP3170" t="s">
        <v>74</v>
      </c>
      <c r="BQ3170" t="s">
        <v>74</v>
      </c>
      <c r="BR3170" t="s">
        <v>102</v>
      </c>
      <c r="BS3170" t="s">
        <v>52238</v>
      </c>
      <c r="BT3170" t="str">
        <f>HYPERLINK("https%3A%2F%2Fwww.webofscience.com%2Fwos%2Fwoscc%2Ffull-record%2FWOS:000860047600001","View Full Record in Web of Science")</f>
        <v>View Full Record in Web of Science</v>
      </c>
    </row>
    <row r="3171" spans="1:72" x14ac:dyDescent="0.25">
      <c r="A3171" t="s">
        <v>72</v>
      </c>
      <c r="B3171" t="s">
        <v>52239</v>
      </c>
      <c r="C3171" t="s">
        <v>74</v>
      </c>
      <c r="D3171" t="s">
        <v>74</v>
      </c>
      <c r="E3171" t="s">
        <v>74</v>
      </c>
      <c r="F3171" t="s">
        <v>52240</v>
      </c>
      <c r="G3171" t="s">
        <v>74</v>
      </c>
      <c r="H3171" t="s">
        <v>74</v>
      </c>
      <c r="I3171" t="s">
        <v>52241</v>
      </c>
      <c r="J3171" t="s">
        <v>2365</v>
      </c>
      <c r="K3171" t="s">
        <v>74</v>
      </c>
      <c r="L3171" t="s">
        <v>74</v>
      </c>
      <c r="M3171" t="s">
        <v>78</v>
      </c>
      <c r="N3171" t="s">
        <v>79</v>
      </c>
      <c r="O3171" t="s">
        <v>74</v>
      </c>
      <c r="P3171" t="s">
        <v>74</v>
      </c>
      <c r="Q3171" t="s">
        <v>74</v>
      </c>
      <c r="R3171" t="s">
        <v>74</v>
      </c>
      <c r="S3171" t="s">
        <v>74</v>
      </c>
      <c r="T3171" t="s">
        <v>52242</v>
      </c>
      <c r="U3171" t="s">
        <v>52243</v>
      </c>
      <c r="V3171" t="s">
        <v>52244</v>
      </c>
      <c r="W3171" t="s">
        <v>52245</v>
      </c>
      <c r="X3171" t="s">
        <v>52246</v>
      </c>
      <c r="Y3171" t="s">
        <v>52247</v>
      </c>
      <c r="Z3171" t="s">
        <v>52248</v>
      </c>
      <c r="AA3171" t="s">
        <v>52249</v>
      </c>
      <c r="AB3171" t="s">
        <v>52250</v>
      </c>
      <c r="AC3171" t="s">
        <v>74</v>
      </c>
      <c r="AD3171" t="s">
        <v>74</v>
      </c>
      <c r="AE3171" t="s">
        <v>74</v>
      </c>
      <c r="AF3171" t="s">
        <v>74</v>
      </c>
      <c r="AG3171">
        <v>42</v>
      </c>
      <c r="AH3171">
        <v>0</v>
      </c>
      <c r="AI3171">
        <v>0</v>
      </c>
      <c r="AJ3171">
        <v>3</v>
      </c>
      <c r="AK3171">
        <v>8</v>
      </c>
      <c r="AL3171" t="s">
        <v>2371</v>
      </c>
      <c r="AM3171" t="s">
        <v>2372</v>
      </c>
      <c r="AN3171" t="s">
        <v>2373</v>
      </c>
      <c r="AO3171" t="s">
        <v>2374</v>
      </c>
      <c r="AP3171" t="s">
        <v>2375</v>
      </c>
      <c r="AQ3171" t="s">
        <v>74</v>
      </c>
      <c r="AR3171" t="s">
        <v>2376</v>
      </c>
      <c r="AS3171" t="s">
        <v>2377</v>
      </c>
      <c r="AT3171" t="s">
        <v>74</v>
      </c>
      <c r="AU3171">
        <v>2024</v>
      </c>
      <c r="AV3171">
        <v>32</v>
      </c>
      <c r="AW3171">
        <v>4</v>
      </c>
      <c r="AX3171" t="s">
        <v>74</v>
      </c>
      <c r="AY3171" t="s">
        <v>74</v>
      </c>
      <c r="AZ3171" t="s">
        <v>74</v>
      </c>
      <c r="BA3171" t="s">
        <v>74</v>
      </c>
      <c r="BB3171" t="s">
        <v>74</v>
      </c>
      <c r="BC3171" t="s">
        <v>74</v>
      </c>
      <c r="BD3171" t="s">
        <v>74</v>
      </c>
      <c r="BE3171" t="s">
        <v>52251</v>
      </c>
      <c r="BF3171" t="str">
        <f>HYPERLINK("http://dx.doi.org/10.1504/IJICBM.2024.140339","http://dx.doi.org/10.1504/IJICBM.2024.140339")</f>
        <v>http://dx.doi.org/10.1504/IJICBM.2024.140339</v>
      </c>
      <c r="BG3171" t="s">
        <v>74</v>
      </c>
      <c r="BH3171" t="s">
        <v>74</v>
      </c>
      <c r="BI3171">
        <v>17</v>
      </c>
      <c r="BJ3171" t="s">
        <v>418</v>
      </c>
      <c r="BK3171" t="s">
        <v>313</v>
      </c>
      <c r="BL3171" t="s">
        <v>100</v>
      </c>
      <c r="BM3171" t="s">
        <v>52252</v>
      </c>
      <c r="BN3171" t="s">
        <v>74</v>
      </c>
      <c r="BO3171" t="s">
        <v>74</v>
      </c>
      <c r="BP3171" t="s">
        <v>74</v>
      </c>
      <c r="BQ3171" t="s">
        <v>74</v>
      </c>
      <c r="BR3171" t="s">
        <v>102</v>
      </c>
      <c r="BS3171" t="s">
        <v>52253</v>
      </c>
      <c r="BT3171" t="str">
        <f>HYPERLINK("https%3A%2F%2Fwww.webofscience.com%2Fwos%2Fwoscc%2Ffull-record%2FWOS:001304158100004","View Full Record in Web of Science")</f>
        <v>View Full Record in Web of Science</v>
      </c>
    </row>
    <row r="3172" spans="1:72" x14ac:dyDescent="0.25">
      <c r="A3172" t="s">
        <v>72</v>
      </c>
      <c r="B3172" t="s">
        <v>52254</v>
      </c>
      <c r="C3172" t="s">
        <v>74</v>
      </c>
      <c r="D3172" t="s">
        <v>74</v>
      </c>
      <c r="E3172" t="s">
        <v>74</v>
      </c>
      <c r="F3172" t="s">
        <v>52255</v>
      </c>
      <c r="G3172" t="s">
        <v>74</v>
      </c>
      <c r="H3172" t="s">
        <v>74</v>
      </c>
      <c r="I3172" t="s">
        <v>52256</v>
      </c>
      <c r="J3172" t="s">
        <v>4539</v>
      </c>
      <c r="K3172" t="s">
        <v>74</v>
      </c>
      <c r="L3172" t="s">
        <v>74</v>
      </c>
      <c r="M3172" t="s">
        <v>78</v>
      </c>
      <c r="N3172" t="s">
        <v>79</v>
      </c>
      <c r="O3172" t="s">
        <v>74</v>
      </c>
      <c r="P3172" t="s">
        <v>74</v>
      </c>
      <c r="Q3172" t="s">
        <v>74</v>
      </c>
      <c r="R3172" t="s">
        <v>74</v>
      </c>
      <c r="S3172" t="s">
        <v>74</v>
      </c>
      <c r="T3172" t="s">
        <v>52257</v>
      </c>
      <c r="U3172" t="s">
        <v>52258</v>
      </c>
      <c r="V3172" t="s">
        <v>52259</v>
      </c>
      <c r="W3172" t="s">
        <v>52260</v>
      </c>
      <c r="X3172" t="s">
        <v>52261</v>
      </c>
      <c r="Y3172" t="s">
        <v>30291</v>
      </c>
      <c r="Z3172" t="s">
        <v>28495</v>
      </c>
      <c r="AA3172" t="s">
        <v>28494</v>
      </c>
      <c r="AB3172" t="s">
        <v>28493</v>
      </c>
      <c r="AC3172" t="s">
        <v>52262</v>
      </c>
      <c r="AD3172" t="s">
        <v>52263</v>
      </c>
      <c r="AE3172" t="s">
        <v>52264</v>
      </c>
      <c r="AF3172" t="s">
        <v>74</v>
      </c>
      <c r="AG3172">
        <v>78</v>
      </c>
      <c r="AH3172">
        <v>1</v>
      </c>
      <c r="AI3172">
        <v>1</v>
      </c>
      <c r="AJ3172">
        <v>1</v>
      </c>
      <c r="AK3172">
        <v>1</v>
      </c>
      <c r="AL3172" t="s">
        <v>479</v>
      </c>
      <c r="AM3172" t="s">
        <v>480</v>
      </c>
      <c r="AN3172" t="s">
        <v>481</v>
      </c>
      <c r="AO3172" t="s">
        <v>4548</v>
      </c>
      <c r="AP3172" t="s">
        <v>4549</v>
      </c>
      <c r="AQ3172" t="s">
        <v>74</v>
      </c>
      <c r="AR3172" t="s">
        <v>4550</v>
      </c>
      <c r="AS3172" t="s">
        <v>4551</v>
      </c>
      <c r="AT3172" t="s">
        <v>698</v>
      </c>
      <c r="AU3172">
        <v>2024</v>
      </c>
      <c r="AV3172">
        <v>42</v>
      </c>
      <c r="AW3172">
        <v>5</v>
      </c>
      <c r="AX3172" t="s">
        <v>74</v>
      </c>
      <c r="AY3172" t="s">
        <v>74</v>
      </c>
      <c r="AZ3172" t="s">
        <v>74</v>
      </c>
      <c r="BA3172" t="s">
        <v>74</v>
      </c>
      <c r="BB3172" t="s">
        <v>74</v>
      </c>
      <c r="BC3172" t="s">
        <v>74</v>
      </c>
      <c r="BD3172" t="s">
        <v>74</v>
      </c>
      <c r="BE3172" t="s">
        <v>52265</v>
      </c>
      <c r="BF3172" t="str">
        <f>HYPERLINK("http://dx.doi.org/10.1111/dpr.12799","http://dx.doi.org/10.1111/dpr.12799")</f>
        <v>http://dx.doi.org/10.1111/dpr.12799</v>
      </c>
      <c r="BG3172" t="s">
        <v>74</v>
      </c>
      <c r="BH3172" t="s">
        <v>2524</v>
      </c>
      <c r="BI3172">
        <v>20</v>
      </c>
      <c r="BJ3172" t="s">
        <v>1137</v>
      </c>
      <c r="BK3172" t="s">
        <v>99</v>
      </c>
      <c r="BL3172" t="s">
        <v>1137</v>
      </c>
      <c r="BM3172" t="s">
        <v>52266</v>
      </c>
      <c r="BN3172" t="s">
        <v>74</v>
      </c>
      <c r="BO3172" t="s">
        <v>466</v>
      </c>
      <c r="BP3172" t="s">
        <v>74</v>
      </c>
      <c r="BQ3172" t="s">
        <v>74</v>
      </c>
      <c r="BR3172" t="s">
        <v>102</v>
      </c>
      <c r="BS3172" t="s">
        <v>52267</v>
      </c>
      <c r="BT3172" t="str">
        <f>HYPERLINK("https%3A%2F%2Fwww.webofscience.com%2Fwos%2Fwoscc%2Ffull-record%2FWOS:001271300000001","View Full Record in Web of Science")</f>
        <v>View Full Record in Web of Science</v>
      </c>
    </row>
    <row r="3173" spans="1:72" x14ac:dyDescent="0.25">
      <c r="A3173" t="s">
        <v>72</v>
      </c>
      <c r="B3173" t="s">
        <v>23302</v>
      </c>
      <c r="C3173" t="s">
        <v>74</v>
      </c>
      <c r="D3173" t="s">
        <v>74</v>
      </c>
      <c r="E3173" t="s">
        <v>74</v>
      </c>
      <c r="F3173" t="s">
        <v>23301</v>
      </c>
      <c r="G3173" t="s">
        <v>74</v>
      </c>
      <c r="H3173" t="s">
        <v>74</v>
      </c>
      <c r="I3173" t="s">
        <v>52268</v>
      </c>
      <c r="J3173" t="s">
        <v>11879</v>
      </c>
      <c r="K3173" t="s">
        <v>74</v>
      </c>
      <c r="L3173" t="s">
        <v>74</v>
      </c>
      <c r="M3173" t="s">
        <v>78</v>
      </c>
      <c r="N3173" t="s">
        <v>79</v>
      </c>
      <c r="O3173" t="s">
        <v>74</v>
      </c>
      <c r="P3173" t="s">
        <v>74</v>
      </c>
      <c r="Q3173" t="s">
        <v>74</v>
      </c>
      <c r="R3173" t="s">
        <v>74</v>
      </c>
      <c r="S3173" t="s">
        <v>74</v>
      </c>
      <c r="T3173" t="s">
        <v>52269</v>
      </c>
      <c r="U3173" t="s">
        <v>52270</v>
      </c>
      <c r="V3173" t="s">
        <v>52271</v>
      </c>
      <c r="W3173" t="s">
        <v>23296</v>
      </c>
      <c r="X3173" t="s">
        <v>23295</v>
      </c>
      <c r="Y3173" t="s">
        <v>23294</v>
      </c>
      <c r="Z3173" t="s">
        <v>23293</v>
      </c>
      <c r="AA3173" t="s">
        <v>52272</v>
      </c>
      <c r="AB3173" t="s">
        <v>52273</v>
      </c>
      <c r="AC3173" t="s">
        <v>52274</v>
      </c>
      <c r="AD3173" t="s">
        <v>23290</v>
      </c>
      <c r="AE3173" t="s">
        <v>52275</v>
      </c>
      <c r="AF3173" t="s">
        <v>74</v>
      </c>
      <c r="AG3173">
        <v>127</v>
      </c>
      <c r="AH3173">
        <v>8</v>
      </c>
      <c r="AI3173">
        <v>11</v>
      </c>
      <c r="AJ3173">
        <v>2</v>
      </c>
      <c r="AK3173">
        <v>5</v>
      </c>
      <c r="AL3173" t="s">
        <v>201</v>
      </c>
      <c r="AM3173" t="s">
        <v>202</v>
      </c>
      <c r="AN3173" t="s">
        <v>203</v>
      </c>
      <c r="AO3173" t="s">
        <v>11889</v>
      </c>
      <c r="AP3173" t="s">
        <v>11890</v>
      </c>
      <c r="AQ3173" t="s">
        <v>74</v>
      </c>
      <c r="AR3173" t="s">
        <v>11891</v>
      </c>
      <c r="AS3173" t="s">
        <v>11892</v>
      </c>
      <c r="AT3173" t="s">
        <v>237</v>
      </c>
      <c r="AU3173">
        <v>2025</v>
      </c>
      <c r="AV3173">
        <v>25</v>
      </c>
      <c r="AW3173">
        <v>1</v>
      </c>
      <c r="AX3173" t="s">
        <v>74</v>
      </c>
      <c r="AY3173" t="s">
        <v>74</v>
      </c>
      <c r="AZ3173" t="s">
        <v>74</v>
      </c>
      <c r="BA3173" t="s">
        <v>74</v>
      </c>
      <c r="BB3173">
        <v>34</v>
      </c>
      <c r="BC3173">
        <v>56</v>
      </c>
      <c r="BD3173" t="s">
        <v>74</v>
      </c>
      <c r="BE3173" t="s">
        <v>52276</v>
      </c>
      <c r="BF3173" t="str">
        <f>HYPERLINK("http://dx.doi.org/10.1016/j.bir.2024.11.004","http://dx.doi.org/10.1016/j.bir.2024.11.004")</f>
        <v>http://dx.doi.org/10.1016/j.bir.2024.11.004</v>
      </c>
      <c r="BG3173" t="s">
        <v>74</v>
      </c>
      <c r="BH3173" t="s">
        <v>1737</v>
      </c>
      <c r="BI3173">
        <v>23</v>
      </c>
      <c r="BJ3173" t="s">
        <v>210</v>
      </c>
      <c r="BK3173" t="s">
        <v>99</v>
      </c>
      <c r="BL3173" t="s">
        <v>100</v>
      </c>
      <c r="BM3173" t="s">
        <v>52277</v>
      </c>
      <c r="BN3173" t="s">
        <v>74</v>
      </c>
      <c r="BO3173" t="s">
        <v>212</v>
      </c>
      <c r="BP3173" t="s">
        <v>74</v>
      </c>
      <c r="BQ3173" t="s">
        <v>74</v>
      </c>
      <c r="BR3173" t="s">
        <v>102</v>
      </c>
      <c r="BS3173" t="s">
        <v>52278</v>
      </c>
      <c r="BT3173" t="str">
        <f>HYPERLINK("https%3A%2F%2Fwww.webofscience.com%2Fwos%2Fwoscc%2Ffull-record%2FWOS:001421837900001","View Full Record in Web of Science")</f>
        <v>View Full Record in Web of Science</v>
      </c>
    </row>
    <row r="3174" spans="1:72" x14ac:dyDescent="0.25">
      <c r="A3174" t="s">
        <v>72</v>
      </c>
      <c r="B3174" t="s">
        <v>52279</v>
      </c>
      <c r="C3174" t="s">
        <v>74</v>
      </c>
      <c r="D3174" t="s">
        <v>74</v>
      </c>
      <c r="E3174" t="s">
        <v>74</v>
      </c>
      <c r="F3174" t="s">
        <v>52280</v>
      </c>
      <c r="G3174" t="s">
        <v>74</v>
      </c>
      <c r="H3174" t="s">
        <v>74</v>
      </c>
      <c r="I3174" t="s">
        <v>52281</v>
      </c>
      <c r="J3174" t="s">
        <v>52282</v>
      </c>
      <c r="K3174" t="s">
        <v>74</v>
      </c>
      <c r="L3174" t="s">
        <v>74</v>
      </c>
      <c r="M3174" t="s">
        <v>78</v>
      </c>
      <c r="N3174" t="s">
        <v>79</v>
      </c>
      <c r="O3174" t="s">
        <v>74</v>
      </c>
      <c r="P3174" t="s">
        <v>74</v>
      </c>
      <c r="Q3174" t="s">
        <v>74</v>
      </c>
      <c r="R3174" t="s">
        <v>74</v>
      </c>
      <c r="S3174" t="s">
        <v>74</v>
      </c>
      <c r="T3174" t="s">
        <v>52283</v>
      </c>
      <c r="U3174" t="s">
        <v>52284</v>
      </c>
      <c r="V3174" t="s">
        <v>52285</v>
      </c>
      <c r="W3174" t="s">
        <v>52286</v>
      </c>
      <c r="X3174" t="s">
        <v>42548</v>
      </c>
      <c r="Y3174" t="s">
        <v>31836</v>
      </c>
      <c r="Z3174" t="s">
        <v>52287</v>
      </c>
      <c r="AA3174" t="s">
        <v>52288</v>
      </c>
      <c r="AB3174" t="s">
        <v>52289</v>
      </c>
      <c r="AC3174" t="s">
        <v>74</v>
      </c>
      <c r="AD3174" t="s">
        <v>74</v>
      </c>
      <c r="AE3174" t="s">
        <v>74</v>
      </c>
      <c r="AF3174" t="s">
        <v>74</v>
      </c>
      <c r="AG3174">
        <v>29</v>
      </c>
      <c r="AH3174">
        <v>5</v>
      </c>
      <c r="AI3174">
        <v>9</v>
      </c>
      <c r="AJ3174">
        <v>1</v>
      </c>
      <c r="AK3174">
        <v>10</v>
      </c>
      <c r="AL3174" t="s">
        <v>4485</v>
      </c>
      <c r="AM3174" t="s">
        <v>231</v>
      </c>
      <c r="AN3174" t="s">
        <v>4486</v>
      </c>
      <c r="AO3174" t="s">
        <v>52290</v>
      </c>
      <c r="AP3174" t="s">
        <v>52291</v>
      </c>
      <c r="AQ3174" t="s">
        <v>74</v>
      </c>
      <c r="AR3174" t="s">
        <v>52292</v>
      </c>
      <c r="AS3174" t="s">
        <v>52293</v>
      </c>
      <c r="AT3174" t="s">
        <v>605</v>
      </c>
      <c r="AU3174">
        <v>2023</v>
      </c>
      <c r="AV3174">
        <v>77</v>
      </c>
      <c r="AW3174">
        <v>1</v>
      </c>
      <c r="AX3174" t="s">
        <v>74</v>
      </c>
      <c r="AY3174" t="s">
        <v>74</v>
      </c>
      <c r="AZ3174" t="s">
        <v>74</v>
      </c>
      <c r="BA3174" t="s">
        <v>74</v>
      </c>
      <c r="BB3174">
        <v>1</v>
      </c>
      <c r="BC3174">
        <v>24</v>
      </c>
      <c r="BD3174" t="s">
        <v>74</v>
      </c>
      <c r="BE3174" t="s">
        <v>52294</v>
      </c>
      <c r="BF3174" t="str">
        <f>HYPERLINK("http://dx.doi.org/10.1016/j.rie.2022.11.002","http://dx.doi.org/10.1016/j.rie.2022.11.002")</f>
        <v>http://dx.doi.org/10.1016/j.rie.2022.11.002</v>
      </c>
      <c r="BG3174" t="s">
        <v>74</v>
      </c>
      <c r="BH3174" t="s">
        <v>7904</v>
      </c>
      <c r="BI3174">
        <v>24</v>
      </c>
      <c r="BJ3174" t="s">
        <v>291</v>
      </c>
      <c r="BK3174" t="s">
        <v>313</v>
      </c>
      <c r="BL3174" t="s">
        <v>100</v>
      </c>
      <c r="BM3174" t="s">
        <v>52295</v>
      </c>
      <c r="BN3174" t="s">
        <v>74</v>
      </c>
      <c r="BO3174" t="s">
        <v>74</v>
      </c>
      <c r="BP3174" t="s">
        <v>74</v>
      </c>
      <c r="BQ3174" t="s">
        <v>74</v>
      </c>
      <c r="BR3174" t="s">
        <v>102</v>
      </c>
      <c r="BS3174" t="s">
        <v>52296</v>
      </c>
      <c r="BT3174" t="str">
        <f>HYPERLINK("https%3A%2F%2Fwww.webofscience.com%2Fwos%2Fwoscc%2Ffull-record%2FWOS:000896966100001","View Full Record in Web of Science")</f>
        <v>View Full Record in Web of Science</v>
      </c>
    </row>
    <row r="3175" spans="1:72" x14ac:dyDescent="0.25">
      <c r="A3175" t="s">
        <v>72</v>
      </c>
      <c r="B3175" t="s">
        <v>52297</v>
      </c>
      <c r="C3175" t="s">
        <v>74</v>
      </c>
      <c r="D3175" t="s">
        <v>74</v>
      </c>
      <c r="E3175" t="s">
        <v>74</v>
      </c>
      <c r="F3175" t="s">
        <v>52298</v>
      </c>
      <c r="G3175" t="s">
        <v>74</v>
      </c>
      <c r="H3175" t="s">
        <v>74</v>
      </c>
      <c r="I3175" t="s">
        <v>52299</v>
      </c>
      <c r="J3175" t="s">
        <v>52300</v>
      </c>
      <c r="K3175" t="s">
        <v>74</v>
      </c>
      <c r="L3175" t="s">
        <v>74</v>
      </c>
      <c r="M3175" t="s">
        <v>78</v>
      </c>
      <c r="N3175" t="s">
        <v>79</v>
      </c>
      <c r="O3175" t="s">
        <v>74</v>
      </c>
      <c r="P3175" t="s">
        <v>74</v>
      </c>
      <c r="Q3175" t="s">
        <v>74</v>
      </c>
      <c r="R3175" t="s">
        <v>74</v>
      </c>
      <c r="S3175" t="s">
        <v>74</v>
      </c>
      <c r="T3175" t="s">
        <v>52301</v>
      </c>
      <c r="U3175" t="s">
        <v>15149</v>
      </c>
      <c r="V3175" t="s">
        <v>52302</v>
      </c>
      <c r="W3175" t="s">
        <v>52303</v>
      </c>
      <c r="X3175" t="s">
        <v>52304</v>
      </c>
      <c r="Y3175" t="s">
        <v>52305</v>
      </c>
      <c r="Z3175" t="s">
        <v>74</v>
      </c>
      <c r="AA3175" t="s">
        <v>52306</v>
      </c>
      <c r="AB3175" t="s">
        <v>74</v>
      </c>
      <c r="AC3175" t="s">
        <v>74</v>
      </c>
      <c r="AD3175" t="s">
        <v>74</v>
      </c>
      <c r="AE3175" t="s">
        <v>74</v>
      </c>
      <c r="AF3175" t="s">
        <v>74</v>
      </c>
      <c r="AG3175">
        <v>24</v>
      </c>
      <c r="AH3175">
        <v>1</v>
      </c>
      <c r="AI3175">
        <v>1</v>
      </c>
      <c r="AJ3175">
        <v>0</v>
      </c>
      <c r="AK3175">
        <v>1</v>
      </c>
      <c r="AL3175" t="s">
        <v>52307</v>
      </c>
      <c r="AM3175" t="s">
        <v>52308</v>
      </c>
      <c r="AN3175" t="s">
        <v>52309</v>
      </c>
      <c r="AO3175" t="s">
        <v>52310</v>
      </c>
      <c r="AP3175" t="s">
        <v>74</v>
      </c>
      <c r="AQ3175" t="s">
        <v>74</v>
      </c>
      <c r="AR3175" t="s">
        <v>52311</v>
      </c>
      <c r="AS3175" t="s">
        <v>52312</v>
      </c>
      <c r="AT3175" t="s">
        <v>1159</v>
      </c>
      <c r="AU3175">
        <v>2023</v>
      </c>
      <c r="AV3175">
        <v>11</v>
      </c>
      <c r="AW3175">
        <v>2</v>
      </c>
      <c r="AX3175" t="s">
        <v>74</v>
      </c>
      <c r="AY3175" t="s">
        <v>74</v>
      </c>
      <c r="AZ3175" t="s">
        <v>74</v>
      </c>
      <c r="BA3175" t="s">
        <v>74</v>
      </c>
      <c r="BB3175">
        <v>120</v>
      </c>
      <c r="BC3175">
        <v>132</v>
      </c>
      <c r="BD3175" t="s">
        <v>74</v>
      </c>
      <c r="BE3175" t="s">
        <v>74</v>
      </c>
      <c r="BF3175" t="s">
        <v>74</v>
      </c>
      <c r="BG3175" t="s">
        <v>74</v>
      </c>
      <c r="BH3175" t="s">
        <v>74</v>
      </c>
      <c r="BI3175">
        <v>13</v>
      </c>
      <c r="BJ3175" t="s">
        <v>3573</v>
      </c>
      <c r="BK3175" t="s">
        <v>313</v>
      </c>
      <c r="BL3175" t="s">
        <v>3573</v>
      </c>
      <c r="BM3175" t="s">
        <v>52313</v>
      </c>
      <c r="BN3175" t="s">
        <v>74</v>
      </c>
      <c r="BO3175" t="s">
        <v>74</v>
      </c>
      <c r="BP3175" t="s">
        <v>74</v>
      </c>
      <c r="BQ3175" t="s">
        <v>74</v>
      </c>
      <c r="BR3175" t="s">
        <v>102</v>
      </c>
      <c r="BS3175" t="s">
        <v>52314</v>
      </c>
      <c r="BT3175" t="str">
        <f>HYPERLINK("https%3A%2F%2Fwww.webofscience.com%2Fwos%2Fwoscc%2Ffull-record%2FWOS:001117818800006","View Full Record in Web of Science")</f>
        <v>View Full Record in Web of Science</v>
      </c>
    </row>
    <row r="3176" spans="1:72" x14ac:dyDescent="0.25">
      <c r="A3176" t="s">
        <v>72</v>
      </c>
      <c r="B3176" t="s">
        <v>52315</v>
      </c>
      <c r="C3176" t="s">
        <v>74</v>
      </c>
      <c r="D3176" t="s">
        <v>74</v>
      </c>
      <c r="E3176" t="s">
        <v>74</v>
      </c>
      <c r="F3176" t="s">
        <v>52316</v>
      </c>
      <c r="G3176" t="s">
        <v>74</v>
      </c>
      <c r="H3176" t="s">
        <v>74</v>
      </c>
      <c r="I3176" t="s">
        <v>52317</v>
      </c>
      <c r="J3176" t="s">
        <v>20929</v>
      </c>
      <c r="K3176" t="s">
        <v>74</v>
      </c>
      <c r="L3176" t="s">
        <v>74</v>
      </c>
      <c r="M3176" t="s">
        <v>78</v>
      </c>
      <c r="N3176" t="s">
        <v>79</v>
      </c>
      <c r="O3176" t="s">
        <v>74</v>
      </c>
      <c r="P3176" t="s">
        <v>74</v>
      </c>
      <c r="Q3176" t="s">
        <v>74</v>
      </c>
      <c r="R3176" t="s">
        <v>74</v>
      </c>
      <c r="S3176" t="s">
        <v>74</v>
      </c>
      <c r="T3176" t="s">
        <v>52318</v>
      </c>
      <c r="U3176" t="s">
        <v>52319</v>
      </c>
      <c r="V3176" t="s">
        <v>52320</v>
      </c>
      <c r="W3176" t="s">
        <v>52321</v>
      </c>
      <c r="X3176" t="s">
        <v>52322</v>
      </c>
      <c r="Y3176" t="s">
        <v>52323</v>
      </c>
      <c r="Z3176" t="s">
        <v>52324</v>
      </c>
      <c r="AA3176" t="s">
        <v>52325</v>
      </c>
      <c r="AB3176" t="s">
        <v>74</v>
      </c>
      <c r="AC3176" t="s">
        <v>52326</v>
      </c>
      <c r="AD3176" t="s">
        <v>52327</v>
      </c>
      <c r="AE3176" t="s">
        <v>52328</v>
      </c>
      <c r="AF3176" t="s">
        <v>74</v>
      </c>
      <c r="AG3176">
        <v>66</v>
      </c>
      <c r="AH3176">
        <v>10</v>
      </c>
      <c r="AI3176">
        <v>11</v>
      </c>
      <c r="AJ3176">
        <v>5</v>
      </c>
      <c r="AK3176">
        <v>99</v>
      </c>
      <c r="AL3176" t="s">
        <v>89</v>
      </c>
      <c r="AM3176" t="s">
        <v>90</v>
      </c>
      <c r="AN3176" t="s">
        <v>91</v>
      </c>
      <c r="AO3176" t="s">
        <v>20922</v>
      </c>
      <c r="AP3176" t="s">
        <v>20921</v>
      </c>
      <c r="AQ3176" t="s">
        <v>74</v>
      </c>
      <c r="AR3176" t="s">
        <v>20920</v>
      </c>
      <c r="AS3176" t="s">
        <v>20919</v>
      </c>
      <c r="AT3176" t="s">
        <v>5746</v>
      </c>
      <c r="AU3176">
        <v>2021</v>
      </c>
      <c r="AV3176">
        <v>13</v>
      </c>
      <c r="AW3176">
        <v>2</v>
      </c>
      <c r="AX3176" t="s">
        <v>74</v>
      </c>
      <c r="AY3176" t="s">
        <v>74</v>
      </c>
      <c r="AZ3176" t="s">
        <v>441</v>
      </c>
      <c r="BA3176" t="s">
        <v>74</v>
      </c>
      <c r="BB3176">
        <v>456</v>
      </c>
      <c r="BC3176">
        <v>474</v>
      </c>
      <c r="BD3176" t="s">
        <v>74</v>
      </c>
      <c r="BE3176" t="s">
        <v>52329</v>
      </c>
      <c r="BF3176" t="str">
        <f>HYPERLINK("http://dx.doi.org/10.1108/CAER-06-2020-0151","http://dx.doi.org/10.1108/CAER-06-2020-0151")</f>
        <v>http://dx.doi.org/10.1108/CAER-06-2020-0151</v>
      </c>
      <c r="BG3176" t="s">
        <v>74</v>
      </c>
      <c r="BH3176" t="s">
        <v>22961</v>
      </c>
      <c r="BI3176">
        <v>19</v>
      </c>
      <c r="BJ3176" t="s">
        <v>18270</v>
      </c>
      <c r="BK3176" t="s">
        <v>2623</v>
      </c>
      <c r="BL3176" t="s">
        <v>18271</v>
      </c>
      <c r="BM3176" t="s">
        <v>52330</v>
      </c>
      <c r="BN3176" t="s">
        <v>74</v>
      </c>
      <c r="BO3176" t="s">
        <v>74</v>
      </c>
      <c r="BP3176" t="s">
        <v>74</v>
      </c>
      <c r="BQ3176" t="s">
        <v>74</v>
      </c>
      <c r="BR3176" t="s">
        <v>102</v>
      </c>
      <c r="BS3176" t="s">
        <v>52331</v>
      </c>
      <c r="BT3176" t="str">
        <f>HYPERLINK("https%3A%2F%2Fwww.webofscience.com%2Fwos%2Fwoscc%2Ffull-record%2FWOS:000586771900001","View Full Record in Web of Science")</f>
        <v>View Full Record in Web of Science</v>
      </c>
    </row>
    <row r="3177" spans="1:72" x14ac:dyDescent="0.25">
      <c r="A3177" t="s">
        <v>72</v>
      </c>
      <c r="B3177" t="s">
        <v>52332</v>
      </c>
      <c r="C3177" t="s">
        <v>74</v>
      </c>
      <c r="D3177" t="s">
        <v>74</v>
      </c>
      <c r="E3177" t="s">
        <v>74</v>
      </c>
      <c r="F3177" t="s">
        <v>52333</v>
      </c>
      <c r="G3177" t="s">
        <v>74</v>
      </c>
      <c r="H3177" t="s">
        <v>74</v>
      </c>
      <c r="I3177" t="s">
        <v>52334</v>
      </c>
      <c r="J3177" t="s">
        <v>1290</v>
      </c>
      <c r="K3177" t="s">
        <v>74</v>
      </c>
      <c r="L3177" t="s">
        <v>74</v>
      </c>
      <c r="M3177" t="s">
        <v>78</v>
      </c>
      <c r="N3177" t="s">
        <v>79</v>
      </c>
      <c r="O3177" t="s">
        <v>74</v>
      </c>
      <c r="P3177" t="s">
        <v>74</v>
      </c>
      <c r="Q3177" t="s">
        <v>74</v>
      </c>
      <c r="R3177" t="s">
        <v>74</v>
      </c>
      <c r="S3177" t="s">
        <v>74</v>
      </c>
      <c r="T3177" t="s">
        <v>52335</v>
      </c>
      <c r="U3177" t="s">
        <v>52336</v>
      </c>
      <c r="V3177" t="s">
        <v>52337</v>
      </c>
      <c r="W3177" t="s">
        <v>52338</v>
      </c>
      <c r="X3177" t="s">
        <v>52339</v>
      </c>
      <c r="Y3177" t="s">
        <v>52340</v>
      </c>
      <c r="Z3177" t="s">
        <v>52341</v>
      </c>
      <c r="AA3177" t="s">
        <v>52342</v>
      </c>
      <c r="AB3177" t="s">
        <v>52343</v>
      </c>
      <c r="AC3177" t="s">
        <v>74</v>
      </c>
      <c r="AD3177" t="s">
        <v>74</v>
      </c>
      <c r="AE3177" t="s">
        <v>74</v>
      </c>
      <c r="AF3177" t="s">
        <v>74</v>
      </c>
      <c r="AG3177">
        <v>56</v>
      </c>
      <c r="AH3177">
        <v>48</v>
      </c>
      <c r="AI3177">
        <v>64</v>
      </c>
      <c r="AJ3177">
        <v>6</v>
      </c>
      <c r="AK3177">
        <v>73</v>
      </c>
      <c r="AL3177" t="s">
        <v>575</v>
      </c>
      <c r="AM3177" t="s">
        <v>576</v>
      </c>
      <c r="AN3177" t="s">
        <v>3242</v>
      </c>
      <c r="AO3177" t="s">
        <v>1299</v>
      </c>
      <c r="AP3177" t="s">
        <v>74</v>
      </c>
      <c r="AQ3177" t="s">
        <v>74</v>
      </c>
      <c r="AR3177" t="s">
        <v>1300</v>
      </c>
      <c r="AS3177" t="s">
        <v>1301</v>
      </c>
      <c r="AT3177" t="s">
        <v>605</v>
      </c>
      <c r="AU3177">
        <v>2022</v>
      </c>
      <c r="AV3177">
        <v>10</v>
      </c>
      <c r="AW3177">
        <v>1</v>
      </c>
      <c r="AX3177" t="s">
        <v>74</v>
      </c>
      <c r="AY3177" t="s">
        <v>74</v>
      </c>
      <c r="AZ3177" t="s">
        <v>74</v>
      </c>
      <c r="BA3177" t="s">
        <v>74</v>
      </c>
      <c r="BB3177" t="s">
        <v>74</v>
      </c>
      <c r="BC3177" t="s">
        <v>74</v>
      </c>
      <c r="BD3177">
        <v>2</v>
      </c>
      <c r="BE3177" t="s">
        <v>52344</v>
      </c>
      <c r="BF3177" t="str">
        <f>HYPERLINK("http://dx.doi.org/10.3390/ijfs10010002","http://dx.doi.org/10.3390/ijfs10010002")</f>
        <v>http://dx.doi.org/10.3390/ijfs10010002</v>
      </c>
      <c r="BG3177" t="s">
        <v>74</v>
      </c>
      <c r="BH3177" t="s">
        <v>74</v>
      </c>
      <c r="BI3177">
        <v>17</v>
      </c>
      <c r="BJ3177" t="s">
        <v>268</v>
      </c>
      <c r="BK3177" t="s">
        <v>313</v>
      </c>
      <c r="BL3177" t="s">
        <v>100</v>
      </c>
      <c r="BM3177" t="s">
        <v>52345</v>
      </c>
      <c r="BN3177" t="s">
        <v>74</v>
      </c>
      <c r="BO3177" t="s">
        <v>916</v>
      </c>
      <c r="BP3177" t="s">
        <v>74</v>
      </c>
      <c r="BQ3177" t="s">
        <v>74</v>
      </c>
      <c r="BR3177" t="s">
        <v>102</v>
      </c>
      <c r="BS3177" t="s">
        <v>52346</v>
      </c>
      <c r="BT3177" t="str">
        <f>HYPERLINK("https%3A%2F%2Fwww.webofscience.com%2Fwos%2Fwoscc%2Ffull-record%2FWOS:000775306000001","View Full Record in Web of Science")</f>
        <v>View Full Record in Web of Science</v>
      </c>
    </row>
    <row r="3178" spans="1:72" x14ac:dyDescent="0.25">
      <c r="A3178" t="s">
        <v>72</v>
      </c>
      <c r="B3178" t="s">
        <v>52347</v>
      </c>
      <c r="C3178" t="s">
        <v>74</v>
      </c>
      <c r="D3178" t="s">
        <v>74</v>
      </c>
      <c r="E3178" t="s">
        <v>74</v>
      </c>
      <c r="F3178" t="s">
        <v>52348</v>
      </c>
      <c r="G3178" t="s">
        <v>74</v>
      </c>
      <c r="H3178" t="s">
        <v>74</v>
      </c>
      <c r="I3178" t="s">
        <v>52349</v>
      </c>
      <c r="J3178" t="s">
        <v>1510</v>
      </c>
      <c r="K3178" t="s">
        <v>74</v>
      </c>
      <c r="L3178" t="s">
        <v>74</v>
      </c>
      <c r="M3178" t="s">
        <v>78</v>
      </c>
      <c r="N3178" t="s">
        <v>79</v>
      </c>
      <c r="O3178" t="s">
        <v>74</v>
      </c>
      <c r="P3178" t="s">
        <v>74</v>
      </c>
      <c r="Q3178" t="s">
        <v>74</v>
      </c>
      <c r="R3178" t="s">
        <v>74</v>
      </c>
      <c r="S3178" t="s">
        <v>74</v>
      </c>
      <c r="T3178" t="s">
        <v>52350</v>
      </c>
      <c r="U3178" t="s">
        <v>74</v>
      </c>
      <c r="V3178" t="s">
        <v>52351</v>
      </c>
      <c r="W3178" t="s">
        <v>52352</v>
      </c>
      <c r="X3178" t="s">
        <v>31719</v>
      </c>
      <c r="Y3178" t="s">
        <v>52353</v>
      </c>
      <c r="Z3178" t="s">
        <v>11142</v>
      </c>
      <c r="AA3178" t="s">
        <v>35946</v>
      </c>
      <c r="AB3178" t="s">
        <v>35947</v>
      </c>
      <c r="AC3178" t="s">
        <v>52354</v>
      </c>
      <c r="AD3178" t="s">
        <v>52355</v>
      </c>
      <c r="AE3178" t="s">
        <v>52356</v>
      </c>
      <c r="AF3178" t="s">
        <v>74</v>
      </c>
      <c r="AG3178">
        <v>43</v>
      </c>
      <c r="AH3178">
        <v>12</v>
      </c>
      <c r="AI3178">
        <v>18</v>
      </c>
      <c r="AJ3178">
        <v>1</v>
      </c>
      <c r="AK3178">
        <v>12</v>
      </c>
      <c r="AL3178" t="s">
        <v>89</v>
      </c>
      <c r="AM3178" t="s">
        <v>1497</v>
      </c>
      <c r="AN3178" t="s">
        <v>1498</v>
      </c>
      <c r="AO3178" t="s">
        <v>1519</v>
      </c>
      <c r="AP3178" t="s">
        <v>1520</v>
      </c>
      <c r="AQ3178" t="s">
        <v>74</v>
      </c>
      <c r="AR3178" t="s">
        <v>1521</v>
      </c>
      <c r="AS3178" t="s">
        <v>1522</v>
      </c>
      <c r="AT3178" t="s">
        <v>14159</v>
      </c>
      <c r="AU3178">
        <v>2021</v>
      </c>
      <c r="AV3178">
        <v>48</v>
      </c>
      <c r="AW3178">
        <v>7</v>
      </c>
      <c r="AX3178" t="s">
        <v>74</v>
      </c>
      <c r="AY3178" t="s">
        <v>74</v>
      </c>
      <c r="AZ3178" t="s">
        <v>74</v>
      </c>
      <c r="BA3178" t="s">
        <v>74</v>
      </c>
      <c r="BB3178">
        <v>1021</v>
      </c>
      <c r="BC3178">
        <v>1043</v>
      </c>
      <c r="BD3178" t="s">
        <v>74</v>
      </c>
      <c r="BE3178" t="s">
        <v>52357</v>
      </c>
      <c r="BF3178" t="str">
        <f>HYPERLINK("http://dx.doi.org/10.1108/IJSE-07-2020-0452","http://dx.doi.org/10.1108/IJSE-07-2020-0452")</f>
        <v>http://dx.doi.org/10.1108/IJSE-07-2020-0452</v>
      </c>
      <c r="BG3178" t="s">
        <v>74</v>
      </c>
      <c r="BH3178" t="s">
        <v>10160</v>
      </c>
      <c r="BI3178">
        <v>23</v>
      </c>
      <c r="BJ3178" t="s">
        <v>291</v>
      </c>
      <c r="BK3178" t="s">
        <v>313</v>
      </c>
      <c r="BL3178" t="s">
        <v>100</v>
      </c>
      <c r="BM3178" t="s">
        <v>14161</v>
      </c>
      <c r="BN3178" t="s">
        <v>74</v>
      </c>
      <c r="BO3178" t="s">
        <v>74</v>
      </c>
      <c r="BP3178" t="s">
        <v>74</v>
      </c>
      <c r="BQ3178" t="s">
        <v>74</v>
      </c>
      <c r="BR3178" t="s">
        <v>102</v>
      </c>
      <c r="BS3178" t="s">
        <v>52358</v>
      </c>
      <c r="BT3178" t="str">
        <f>HYPERLINK("https%3A%2F%2Fwww.webofscience.com%2Fwos%2Fwoscc%2Ffull-record%2FWOS:000635458000001","View Full Record in Web of Science")</f>
        <v>View Full Record in Web of Science</v>
      </c>
    </row>
    <row r="3179" spans="1:72" x14ac:dyDescent="0.25">
      <c r="A3179" t="s">
        <v>72</v>
      </c>
      <c r="B3179" t="s">
        <v>52359</v>
      </c>
      <c r="C3179" t="s">
        <v>74</v>
      </c>
      <c r="D3179" t="s">
        <v>74</v>
      </c>
      <c r="E3179" t="s">
        <v>74</v>
      </c>
      <c r="F3179" t="s">
        <v>52360</v>
      </c>
      <c r="G3179" t="s">
        <v>74</v>
      </c>
      <c r="H3179" t="s">
        <v>74</v>
      </c>
      <c r="I3179" t="s">
        <v>52361</v>
      </c>
      <c r="J3179" t="s">
        <v>22601</v>
      </c>
      <c r="K3179" t="s">
        <v>74</v>
      </c>
      <c r="L3179" t="s">
        <v>74</v>
      </c>
      <c r="M3179" t="s">
        <v>78</v>
      </c>
      <c r="N3179" t="s">
        <v>79</v>
      </c>
      <c r="O3179" t="s">
        <v>74</v>
      </c>
      <c r="P3179" t="s">
        <v>74</v>
      </c>
      <c r="Q3179" t="s">
        <v>74</v>
      </c>
      <c r="R3179" t="s">
        <v>74</v>
      </c>
      <c r="S3179" t="s">
        <v>74</v>
      </c>
      <c r="T3179" t="s">
        <v>52362</v>
      </c>
      <c r="U3179" t="s">
        <v>52363</v>
      </c>
      <c r="V3179" t="s">
        <v>52364</v>
      </c>
      <c r="W3179" t="s">
        <v>52365</v>
      </c>
      <c r="X3179" t="s">
        <v>74</v>
      </c>
      <c r="Y3179" t="s">
        <v>52366</v>
      </c>
      <c r="Z3179" t="s">
        <v>52367</v>
      </c>
      <c r="AA3179" t="s">
        <v>52368</v>
      </c>
      <c r="AB3179" t="s">
        <v>52369</v>
      </c>
      <c r="AC3179" t="s">
        <v>11971</v>
      </c>
      <c r="AD3179" t="s">
        <v>11972</v>
      </c>
      <c r="AE3179" t="s">
        <v>52370</v>
      </c>
      <c r="AF3179" t="s">
        <v>74</v>
      </c>
      <c r="AG3179">
        <v>43</v>
      </c>
      <c r="AH3179">
        <v>0</v>
      </c>
      <c r="AI3179">
        <v>0</v>
      </c>
      <c r="AJ3179">
        <v>1</v>
      </c>
      <c r="AK3179">
        <v>1</v>
      </c>
      <c r="AL3179" t="s">
        <v>201</v>
      </c>
      <c r="AM3179" t="s">
        <v>202</v>
      </c>
      <c r="AN3179" t="s">
        <v>203</v>
      </c>
      <c r="AO3179" t="s">
        <v>22593</v>
      </c>
      <c r="AP3179" t="s">
        <v>74</v>
      </c>
      <c r="AQ3179" t="s">
        <v>74</v>
      </c>
      <c r="AR3179" t="s">
        <v>22592</v>
      </c>
      <c r="AS3179" t="s">
        <v>22591</v>
      </c>
      <c r="AT3179" t="s">
        <v>1652</v>
      </c>
      <c r="AU3179">
        <v>2025</v>
      </c>
      <c r="AV3179">
        <v>28</v>
      </c>
      <c r="AW3179" t="s">
        <v>74</v>
      </c>
      <c r="AX3179" t="s">
        <v>74</v>
      </c>
      <c r="AY3179" t="s">
        <v>74</v>
      </c>
      <c r="AZ3179" t="s">
        <v>74</v>
      </c>
      <c r="BA3179" t="s">
        <v>74</v>
      </c>
      <c r="BB3179" t="s">
        <v>74</v>
      </c>
      <c r="BC3179" t="s">
        <v>74</v>
      </c>
      <c r="BD3179" t="s">
        <v>52371</v>
      </c>
      <c r="BE3179" t="s">
        <v>52372</v>
      </c>
      <c r="BF3179" t="str">
        <f>HYPERLINK("http://dx.doi.org/10.1016/j.sciaf.2025.e02727","http://dx.doi.org/10.1016/j.sciaf.2025.e02727")</f>
        <v>http://dx.doi.org/10.1016/j.sciaf.2025.e02727</v>
      </c>
      <c r="BG3179" t="s">
        <v>74</v>
      </c>
      <c r="BH3179" t="s">
        <v>2359</v>
      </c>
      <c r="BI3179">
        <v>20</v>
      </c>
      <c r="BJ3179" t="s">
        <v>559</v>
      </c>
      <c r="BK3179" t="s">
        <v>313</v>
      </c>
      <c r="BL3179" t="s">
        <v>560</v>
      </c>
      <c r="BM3179" t="s">
        <v>52373</v>
      </c>
      <c r="BN3179" t="s">
        <v>74</v>
      </c>
      <c r="BO3179" t="s">
        <v>916</v>
      </c>
      <c r="BP3179" t="s">
        <v>74</v>
      </c>
      <c r="BQ3179" t="s">
        <v>74</v>
      </c>
      <c r="BR3179" t="s">
        <v>102</v>
      </c>
      <c r="BS3179" t="s">
        <v>52374</v>
      </c>
      <c r="BT3179" t="str">
        <f>HYPERLINK("https%3A%2F%2Fwww.webofscience.com%2Fwos%2Fwoscc%2Ffull-record%2FWOS:001509226700001","View Full Record in Web of Science")</f>
        <v>View Full Record in Web of Science</v>
      </c>
    </row>
    <row r="3180" spans="1:72" x14ac:dyDescent="0.25">
      <c r="A3180" t="s">
        <v>72</v>
      </c>
      <c r="B3180" t="s">
        <v>52375</v>
      </c>
      <c r="C3180" t="s">
        <v>74</v>
      </c>
      <c r="D3180" t="s">
        <v>74</v>
      </c>
      <c r="E3180" t="s">
        <v>74</v>
      </c>
      <c r="F3180" t="s">
        <v>52376</v>
      </c>
      <c r="G3180" t="s">
        <v>74</v>
      </c>
      <c r="H3180" t="s">
        <v>74</v>
      </c>
      <c r="I3180" t="s">
        <v>52377</v>
      </c>
      <c r="J3180" t="s">
        <v>30067</v>
      </c>
      <c r="K3180" t="s">
        <v>74</v>
      </c>
      <c r="L3180" t="s">
        <v>74</v>
      </c>
      <c r="M3180" t="s">
        <v>78</v>
      </c>
      <c r="N3180" t="s">
        <v>79</v>
      </c>
      <c r="O3180" t="s">
        <v>74</v>
      </c>
      <c r="P3180" t="s">
        <v>74</v>
      </c>
      <c r="Q3180" t="s">
        <v>74</v>
      </c>
      <c r="R3180" t="s">
        <v>74</v>
      </c>
      <c r="S3180" t="s">
        <v>74</v>
      </c>
      <c r="T3180" t="s">
        <v>52378</v>
      </c>
      <c r="U3180" t="s">
        <v>52379</v>
      </c>
      <c r="V3180" t="s">
        <v>52380</v>
      </c>
      <c r="W3180" t="s">
        <v>52381</v>
      </c>
      <c r="X3180" t="s">
        <v>17981</v>
      </c>
      <c r="Y3180" t="s">
        <v>52382</v>
      </c>
      <c r="Z3180" t="s">
        <v>52383</v>
      </c>
      <c r="AA3180" t="s">
        <v>52384</v>
      </c>
      <c r="AB3180" t="s">
        <v>52385</v>
      </c>
      <c r="AC3180" t="s">
        <v>74</v>
      </c>
      <c r="AD3180" t="s">
        <v>74</v>
      </c>
      <c r="AE3180" t="s">
        <v>74</v>
      </c>
      <c r="AF3180" t="s">
        <v>74</v>
      </c>
      <c r="AG3180">
        <v>58</v>
      </c>
      <c r="AH3180">
        <v>47</v>
      </c>
      <c r="AI3180">
        <v>56</v>
      </c>
      <c r="AJ3180">
        <v>0</v>
      </c>
      <c r="AK3180">
        <v>17</v>
      </c>
      <c r="AL3180" t="s">
        <v>89</v>
      </c>
      <c r="AM3180" t="s">
        <v>90</v>
      </c>
      <c r="AN3180" t="s">
        <v>91</v>
      </c>
      <c r="AO3180" t="s">
        <v>30059</v>
      </c>
      <c r="AP3180" t="s">
        <v>30058</v>
      </c>
      <c r="AQ3180" t="s">
        <v>74</v>
      </c>
      <c r="AR3180" t="s">
        <v>30057</v>
      </c>
      <c r="AS3180" t="s">
        <v>30056</v>
      </c>
      <c r="AT3180" t="s">
        <v>20892</v>
      </c>
      <c r="AU3180">
        <v>2019</v>
      </c>
      <c r="AV3180">
        <v>13</v>
      </c>
      <c r="AW3180">
        <v>4</v>
      </c>
      <c r="AX3180" t="s">
        <v>74</v>
      </c>
      <c r="AY3180" t="s">
        <v>74</v>
      </c>
      <c r="AZ3180" t="s">
        <v>74</v>
      </c>
      <c r="BA3180" t="s">
        <v>74</v>
      </c>
      <c r="BB3180">
        <v>455</v>
      </c>
      <c r="BC3180">
        <v>471</v>
      </c>
      <c r="BD3180" t="s">
        <v>74</v>
      </c>
      <c r="BE3180" t="s">
        <v>52386</v>
      </c>
      <c r="BF3180" t="str">
        <f>HYPERLINK("http://dx.doi.org/10.1108/JEC-12-2018-0106","http://dx.doi.org/10.1108/JEC-12-2018-0106")</f>
        <v>http://dx.doi.org/10.1108/JEC-12-2018-0106</v>
      </c>
      <c r="BG3180" t="s">
        <v>74</v>
      </c>
      <c r="BH3180" t="s">
        <v>74</v>
      </c>
      <c r="BI3180">
        <v>17</v>
      </c>
      <c r="BJ3180" t="s">
        <v>418</v>
      </c>
      <c r="BK3180" t="s">
        <v>313</v>
      </c>
      <c r="BL3180" t="s">
        <v>100</v>
      </c>
      <c r="BM3180" t="s">
        <v>52387</v>
      </c>
      <c r="BN3180" t="s">
        <v>74</v>
      </c>
      <c r="BO3180" t="s">
        <v>74</v>
      </c>
      <c r="BP3180" t="s">
        <v>74</v>
      </c>
      <c r="BQ3180" t="s">
        <v>74</v>
      </c>
      <c r="BR3180" t="s">
        <v>102</v>
      </c>
      <c r="BS3180" t="s">
        <v>52388</v>
      </c>
      <c r="BT3180" t="str">
        <f>HYPERLINK("https%3A%2F%2Fwww.webofscience.com%2Fwos%2Fwoscc%2Ffull-record%2FWOS:000482060000003","View Full Record in Web of Science")</f>
        <v>View Full Record in Web of Science</v>
      </c>
    </row>
    <row r="3181" spans="1:72" x14ac:dyDescent="0.25">
      <c r="A3181" t="s">
        <v>72</v>
      </c>
      <c r="B3181" t="s">
        <v>52389</v>
      </c>
      <c r="C3181" t="s">
        <v>74</v>
      </c>
      <c r="D3181" t="s">
        <v>74</v>
      </c>
      <c r="E3181" t="s">
        <v>74</v>
      </c>
      <c r="F3181" t="s">
        <v>52390</v>
      </c>
      <c r="G3181" t="s">
        <v>74</v>
      </c>
      <c r="H3181" t="s">
        <v>74</v>
      </c>
      <c r="I3181" t="s">
        <v>52391</v>
      </c>
      <c r="J3181" t="s">
        <v>24588</v>
      </c>
      <c r="K3181" t="s">
        <v>74</v>
      </c>
      <c r="L3181" t="s">
        <v>74</v>
      </c>
      <c r="M3181" t="s">
        <v>78</v>
      </c>
      <c r="N3181" t="s">
        <v>372</v>
      </c>
      <c r="O3181" t="s">
        <v>74</v>
      </c>
      <c r="P3181" t="s">
        <v>74</v>
      </c>
      <c r="Q3181" t="s">
        <v>74</v>
      </c>
      <c r="R3181" t="s">
        <v>74</v>
      </c>
      <c r="S3181" t="s">
        <v>74</v>
      </c>
      <c r="T3181" t="s">
        <v>52392</v>
      </c>
      <c r="U3181" t="s">
        <v>52393</v>
      </c>
      <c r="V3181" t="s">
        <v>52394</v>
      </c>
      <c r="W3181" t="s">
        <v>52395</v>
      </c>
      <c r="X3181" t="s">
        <v>52396</v>
      </c>
      <c r="Y3181" t="s">
        <v>52397</v>
      </c>
      <c r="Z3181" t="s">
        <v>52398</v>
      </c>
      <c r="AA3181" t="s">
        <v>74</v>
      </c>
      <c r="AB3181" t="s">
        <v>52399</v>
      </c>
      <c r="AC3181" t="s">
        <v>74</v>
      </c>
      <c r="AD3181" t="s">
        <v>74</v>
      </c>
      <c r="AE3181" t="s">
        <v>74</v>
      </c>
      <c r="AF3181" t="s">
        <v>74</v>
      </c>
      <c r="AG3181">
        <v>63</v>
      </c>
      <c r="AH3181">
        <v>0</v>
      </c>
      <c r="AI3181">
        <v>0</v>
      </c>
      <c r="AJ3181">
        <v>0</v>
      </c>
      <c r="AK3181">
        <v>2</v>
      </c>
      <c r="AL3181" t="s">
        <v>757</v>
      </c>
      <c r="AM3181" t="s">
        <v>758</v>
      </c>
      <c r="AN3181" t="s">
        <v>759</v>
      </c>
      <c r="AO3181" t="s">
        <v>24578</v>
      </c>
      <c r="AP3181" t="s">
        <v>24577</v>
      </c>
      <c r="AQ3181" t="s">
        <v>74</v>
      </c>
      <c r="AR3181" t="s">
        <v>24576</v>
      </c>
      <c r="AS3181" t="s">
        <v>24575</v>
      </c>
      <c r="AT3181" t="s">
        <v>29692</v>
      </c>
      <c r="AU3181">
        <v>2024</v>
      </c>
      <c r="AV3181" t="s">
        <v>74</v>
      </c>
      <c r="AW3181" t="s">
        <v>74</v>
      </c>
      <c r="AX3181" t="s">
        <v>74</v>
      </c>
      <c r="AY3181" t="s">
        <v>74</v>
      </c>
      <c r="AZ3181" t="s">
        <v>74</v>
      </c>
      <c r="BA3181" t="s">
        <v>74</v>
      </c>
      <c r="BB3181" t="s">
        <v>74</v>
      </c>
      <c r="BC3181" t="s">
        <v>74</v>
      </c>
      <c r="BD3181" t="s">
        <v>74</v>
      </c>
      <c r="BE3181" t="s">
        <v>52400</v>
      </c>
      <c r="BF3181" t="str">
        <f>HYPERLINK("http://dx.doi.org/10.1177/09763996241265491","http://dx.doi.org/10.1177/09763996241265491")</f>
        <v>http://dx.doi.org/10.1177/09763996241265491</v>
      </c>
      <c r="BG3181" t="s">
        <v>74</v>
      </c>
      <c r="BH3181" t="s">
        <v>1136</v>
      </c>
      <c r="BI3181">
        <v>26</v>
      </c>
      <c r="BJ3181" t="s">
        <v>1674</v>
      </c>
      <c r="BK3181" t="s">
        <v>313</v>
      </c>
      <c r="BL3181" t="s">
        <v>1674</v>
      </c>
      <c r="BM3181" t="s">
        <v>52401</v>
      </c>
      <c r="BN3181" t="s">
        <v>74</v>
      </c>
      <c r="BO3181" t="s">
        <v>74</v>
      </c>
      <c r="BP3181" t="s">
        <v>74</v>
      </c>
      <c r="BQ3181" t="s">
        <v>74</v>
      </c>
      <c r="BR3181" t="s">
        <v>102</v>
      </c>
      <c r="BS3181" t="s">
        <v>52402</v>
      </c>
      <c r="BT3181" t="str">
        <f>HYPERLINK("https%3A%2F%2Fwww.webofscience.com%2Fwos%2Fwoscc%2Ffull-record%2FWOS:001326588000001","View Full Record in Web of Science")</f>
        <v>View Full Record in Web of Science</v>
      </c>
    </row>
    <row r="3182" spans="1:72" x14ac:dyDescent="0.25">
      <c r="A3182" t="s">
        <v>72</v>
      </c>
      <c r="B3182" t="s">
        <v>52403</v>
      </c>
      <c r="C3182" t="s">
        <v>74</v>
      </c>
      <c r="D3182" t="s">
        <v>74</v>
      </c>
      <c r="E3182" t="s">
        <v>74</v>
      </c>
      <c r="F3182" t="s">
        <v>52404</v>
      </c>
      <c r="G3182" t="s">
        <v>74</v>
      </c>
      <c r="H3182" t="s">
        <v>74</v>
      </c>
      <c r="I3182" t="s">
        <v>52405</v>
      </c>
      <c r="J3182" t="s">
        <v>3439</v>
      </c>
      <c r="K3182" t="s">
        <v>74</v>
      </c>
      <c r="L3182" t="s">
        <v>74</v>
      </c>
      <c r="M3182" t="s">
        <v>78</v>
      </c>
      <c r="N3182" t="s">
        <v>79</v>
      </c>
      <c r="O3182" t="s">
        <v>74</v>
      </c>
      <c r="P3182" t="s">
        <v>74</v>
      </c>
      <c r="Q3182" t="s">
        <v>74</v>
      </c>
      <c r="R3182" t="s">
        <v>74</v>
      </c>
      <c r="S3182" t="s">
        <v>74</v>
      </c>
      <c r="T3182" t="s">
        <v>52406</v>
      </c>
      <c r="U3182" t="s">
        <v>52407</v>
      </c>
      <c r="V3182" t="s">
        <v>52408</v>
      </c>
      <c r="W3182" t="s">
        <v>52409</v>
      </c>
      <c r="X3182" t="s">
        <v>4060</v>
      </c>
      <c r="Y3182" t="s">
        <v>52410</v>
      </c>
      <c r="Z3182" t="s">
        <v>52411</v>
      </c>
      <c r="AA3182" t="s">
        <v>74</v>
      </c>
      <c r="AB3182" t="s">
        <v>52412</v>
      </c>
      <c r="AC3182" t="s">
        <v>74</v>
      </c>
      <c r="AD3182" t="s">
        <v>74</v>
      </c>
      <c r="AE3182" t="s">
        <v>74</v>
      </c>
      <c r="AF3182" t="s">
        <v>74</v>
      </c>
      <c r="AG3182">
        <v>59</v>
      </c>
      <c r="AH3182">
        <v>1</v>
      </c>
      <c r="AI3182">
        <v>3</v>
      </c>
      <c r="AJ3182">
        <v>0</v>
      </c>
      <c r="AK3182">
        <v>4</v>
      </c>
      <c r="AL3182" t="s">
        <v>2481</v>
      </c>
      <c r="AM3182" t="s">
        <v>2482</v>
      </c>
      <c r="AN3182" t="s">
        <v>2483</v>
      </c>
      <c r="AO3182" t="s">
        <v>3443</v>
      </c>
      <c r="AP3182" t="s">
        <v>74</v>
      </c>
      <c r="AQ3182" t="s">
        <v>74</v>
      </c>
      <c r="AR3182" t="s">
        <v>3444</v>
      </c>
      <c r="AS3182" t="s">
        <v>3445</v>
      </c>
      <c r="AT3182" t="s">
        <v>2970</v>
      </c>
      <c r="AU3182">
        <v>2023</v>
      </c>
      <c r="AV3182">
        <v>11</v>
      </c>
      <c r="AW3182">
        <v>1</v>
      </c>
      <c r="AX3182" t="s">
        <v>74</v>
      </c>
      <c r="AY3182" t="s">
        <v>74</v>
      </c>
      <c r="AZ3182" t="s">
        <v>74</v>
      </c>
      <c r="BA3182" t="s">
        <v>74</v>
      </c>
      <c r="BB3182" t="s">
        <v>74</v>
      </c>
      <c r="BC3182" t="s">
        <v>74</v>
      </c>
      <c r="BD3182">
        <v>2158630</v>
      </c>
      <c r="BE3182" t="s">
        <v>52413</v>
      </c>
      <c r="BF3182" t="str">
        <f>HYPERLINK("http://dx.doi.org/10.1080/23322039.2022.2158630","http://dx.doi.org/10.1080/23322039.2022.2158630")</f>
        <v>http://dx.doi.org/10.1080/23322039.2022.2158630</v>
      </c>
      <c r="BG3182" t="s">
        <v>74</v>
      </c>
      <c r="BH3182" t="s">
        <v>74</v>
      </c>
      <c r="BI3182">
        <v>18</v>
      </c>
      <c r="BJ3182" t="s">
        <v>291</v>
      </c>
      <c r="BK3182" t="s">
        <v>313</v>
      </c>
      <c r="BL3182" t="s">
        <v>100</v>
      </c>
      <c r="BM3182" t="s">
        <v>52414</v>
      </c>
      <c r="BN3182" t="s">
        <v>74</v>
      </c>
      <c r="BO3182" t="s">
        <v>916</v>
      </c>
      <c r="BP3182" t="s">
        <v>74</v>
      </c>
      <c r="BQ3182" t="s">
        <v>74</v>
      </c>
      <c r="BR3182" t="s">
        <v>102</v>
      </c>
      <c r="BS3182" t="s">
        <v>52415</v>
      </c>
      <c r="BT3182" t="str">
        <f>HYPERLINK("https%3A%2F%2Fwww.webofscience.com%2Fwos%2Fwoscc%2Ffull-record%2FWOS:000904665300001","View Full Record in Web of Science")</f>
        <v>View Full Record in Web of Science</v>
      </c>
    </row>
    <row r="3183" spans="1:72" x14ac:dyDescent="0.25">
      <c r="A3183" t="s">
        <v>72</v>
      </c>
      <c r="B3183" t="s">
        <v>52416</v>
      </c>
      <c r="C3183" t="s">
        <v>74</v>
      </c>
      <c r="D3183" t="s">
        <v>74</v>
      </c>
      <c r="E3183" t="s">
        <v>74</v>
      </c>
      <c r="F3183" t="s">
        <v>52417</v>
      </c>
      <c r="G3183" t="s">
        <v>74</v>
      </c>
      <c r="H3183" t="s">
        <v>74</v>
      </c>
      <c r="I3183" t="s">
        <v>52418</v>
      </c>
      <c r="J3183" t="s">
        <v>190</v>
      </c>
      <c r="K3183" t="s">
        <v>74</v>
      </c>
      <c r="L3183" t="s">
        <v>74</v>
      </c>
      <c r="M3183" t="s">
        <v>78</v>
      </c>
      <c r="N3183" t="s">
        <v>79</v>
      </c>
      <c r="O3183" t="s">
        <v>74</v>
      </c>
      <c r="P3183" t="s">
        <v>74</v>
      </c>
      <c r="Q3183" t="s">
        <v>74</v>
      </c>
      <c r="R3183" t="s">
        <v>74</v>
      </c>
      <c r="S3183" t="s">
        <v>74</v>
      </c>
      <c r="T3183" t="s">
        <v>52419</v>
      </c>
      <c r="U3183" t="s">
        <v>52420</v>
      </c>
      <c r="V3183" t="s">
        <v>52421</v>
      </c>
      <c r="W3183" t="s">
        <v>52422</v>
      </c>
      <c r="X3183" t="s">
        <v>52423</v>
      </c>
      <c r="Y3183" t="s">
        <v>52424</v>
      </c>
      <c r="Z3183" t="s">
        <v>52425</v>
      </c>
      <c r="AA3183" t="s">
        <v>74</v>
      </c>
      <c r="AB3183" t="s">
        <v>74</v>
      </c>
      <c r="AC3183" t="s">
        <v>52426</v>
      </c>
      <c r="AD3183" t="s">
        <v>52427</v>
      </c>
      <c r="AE3183" t="s">
        <v>52428</v>
      </c>
      <c r="AF3183" t="s">
        <v>74</v>
      </c>
      <c r="AG3183">
        <v>182</v>
      </c>
      <c r="AH3183">
        <v>8</v>
      </c>
      <c r="AI3183">
        <v>10</v>
      </c>
      <c r="AJ3183">
        <v>18</v>
      </c>
      <c r="AK3183">
        <v>66</v>
      </c>
      <c r="AL3183" t="s">
        <v>201</v>
      </c>
      <c r="AM3183" t="s">
        <v>202</v>
      </c>
      <c r="AN3183" t="s">
        <v>203</v>
      </c>
      <c r="AO3183" t="s">
        <v>204</v>
      </c>
      <c r="AP3183" t="s">
        <v>205</v>
      </c>
      <c r="AQ3183" t="s">
        <v>74</v>
      </c>
      <c r="AR3183" t="s">
        <v>206</v>
      </c>
      <c r="AS3183" t="s">
        <v>207</v>
      </c>
      <c r="AT3183" t="s">
        <v>1652</v>
      </c>
      <c r="AU3183">
        <v>2024</v>
      </c>
      <c r="AV3183">
        <v>93</v>
      </c>
      <c r="AW3183" t="s">
        <v>74</v>
      </c>
      <c r="AX3183" t="s">
        <v>3828</v>
      </c>
      <c r="AY3183" t="s">
        <v>74</v>
      </c>
      <c r="AZ3183" t="s">
        <v>74</v>
      </c>
      <c r="BA3183" t="s">
        <v>74</v>
      </c>
      <c r="BB3183">
        <v>162</v>
      </c>
      <c r="BC3183">
        <v>181</v>
      </c>
      <c r="BD3183" t="s">
        <v>74</v>
      </c>
      <c r="BE3183" t="s">
        <v>52429</v>
      </c>
      <c r="BF3183" t="str">
        <f>HYPERLINK("http://dx.doi.org/10.1016/j.iref.2024.03.032","http://dx.doi.org/10.1016/j.iref.2024.03.032")</f>
        <v>http://dx.doi.org/10.1016/j.iref.2024.03.032</v>
      </c>
      <c r="BG3183" t="s">
        <v>74</v>
      </c>
      <c r="BH3183" t="s">
        <v>1981</v>
      </c>
      <c r="BI3183">
        <v>20</v>
      </c>
      <c r="BJ3183" t="s">
        <v>210</v>
      </c>
      <c r="BK3183" t="s">
        <v>99</v>
      </c>
      <c r="BL3183" t="s">
        <v>100</v>
      </c>
      <c r="BM3183" t="s">
        <v>52430</v>
      </c>
      <c r="BN3183" t="s">
        <v>74</v>
      </c>
      <c r="BO3183" t="s">
        <v>74</v>
      </c>
      <c r="BP3183" t="s">
        <v>74</v>
      </c>
      <c r="BQ3183" t="s">
        <v>74</v>
      </c>
      <c r="BR3183" t="s">
        <v>102</v>
      </c>
      <c r="BS3183" t="s">
        <v>52431</v>
      </c>
      <c r="BT3183" t="str">
        <f>HYPERLINK("https%3A%2F%2Fwww.webofscience.com%2Fwos%2Fwoscc%2Ffull-record%2FWOS:001219717000001","View Full Record in Web of Science")</f>
        <v>View Full Record in Web of Science</v>
      </c>
    </row>
    <row r="3184" spans="1:72" x14ac:dyDescent="0.25">
      <c r="A3184" t="s">
        <v>72</v>
      </c>
      <c r="B3184" t="s">
        <v>52432</v>
      </c>
      <c r="C3184" t="s">
        <v>74</v>
      </c>
      <c r="D3184" t="s">
        <v>74</v>
      </c>
      <c r="E3184" t="s">
        <v>74</v>
      </c>
      <c r="F3184" t="s">
        <v>52433</v>
      </c>
      <c r="G3184" t="s">
        <v>74</v>
      </c>
      <c r="H3184" t="s">
        <v>74</v>
      </c>
      <c r="I3184" t="s">
        <v>52434</v>
      </c>
      <c r="J3184" t="s">
        <v>52435</v>
      </c>
      <c r="K3184" t="s">
        <v>74</v>
      </c>
      <c r="L3184" t="s">
        <v>74</v>
      </c>
      <c r="M3184" t="s">
        <v>78</v>
      </c>
      <c r="N3184" t="s">
        <v>79</v>
      </c>
      <c r="O3184" t="s">
        <v>74</v>
      </c>
      <c r="P3184" t="s">
        <v>74</v>
      </c>
      <c r="Q3184" t="s">
        <v>74</v>
      </c>
      <c r="R3184" t="s">
        <v>74</v>
      </c>
      <c r="S3184" t="s">
        <v>74</v>
      </c>
      <c r="T3184" t="s">
        <v>52436</v>
      </c>
      <c r="U3184" t="s">
        <v>74</v>
      </c>
      <c r="V3184" t="s">
        <v>52437</v>
      </c>
      <c r="W3184" t="s">
        <v>52438</v>
      </c>
      <c r="X3184" t="s">
        <v>52439</v>
      </c>
      <c r="Y3184" t="s">
        <v>52440</v>
      </c>
      <c r="Z3184" t="s">
        <v>52441</v>
      </c>
      <c r="AA3184" t="s">
        <v>74</v>
      </c>
      <c r="AB3184" t="s">
        <v>74</v>
      </c>
      <c r="AC3184" t="s">
        <v>52442</v>
      </c>
      <c r="AD3184" t="s">
        <v>52442</v>
      </c>
      <c r="AE3184" t="s">
        <v>52442</v>
      </c>
      <c r="AF3184" t="s">
        <v>74</v>
      </c>
      <c r="AG3184">
        <v>35</v>
      </c>
      <c r="AH3184">
        <v>1</v>
      </c>
      <c r="AI3184">
        <v>1</v>
      </c>
      <c r="AJ3184">
        <v>0</v>
      </c>
      <c r="AK3184">
        <v>11</v>
      </c>
      <c r="AL3184" t="s">
        <v>479</v>
      </c>
      <c r="AM3184" t="s">
        <v>480</v>
      </c>
      <c r="AN3184" t="s">
        <v>481</v>
      </c>
      <c r="AO3184" t="s">
        <v>52443</v>
      </c>
      <c r="AP3184" t="s">
        <v>52444</v>
      </c>
      <c r="AQ3184" t="s">
        <v>74</v>
      </c>
      <c r="AR3184" t="s">
        <v>52445</v>
      </c>
      <c r="AS3184" t="s">
        <v>52446</v>
      </c>
      <c r="AT3184" t="s">
        <v>124</v>
      </c>
      <c r="AU3184">
        <v>2023</v>
      </c>
      <c r="AV3184">
        <v>58</v>
      </c>
      <c r="AW3184">
        <v>12</v>
      </c>
      <c r="AX3184" t="s">
        <v>74</v>
      </c>
      <c r="AY3184" t="s">
        <v>74</v>
      </c>
      <c r="AZ3184" t="s">
        <v>441</v>
      </c>
      <c r="BA3184" t="s">
        <v>74</v>
      </c>
      <c r="BB3184">
        <v>4596</v>
      </c>
      <c r="BC3184">
        <v>4609</v>
      </c>
      <c r="BD3184" t="s">
        <v>74</v>
      </c>
      <c r="BE3184" t="s">
        <v>52447</v>
      </c>
      <c r="BF3184" t="str">
        <f>HYPERLINK("http://dx.doi.org/10.1002/gj.4862","http://dx.doi.org/10.1002/gj.4862")</f>
        <v>http://dx.doi.org/10.1002/gj.4862</v>
      </c>
      <c r="BG3184" t="s">
        <v>74</v>
      </c>
      <c r="BH3184" t="s">
        <v>7993</v>
      </c>
      <c r="BI3184">
        <v>14</v>
      </c>
      <c r="BJ3184" t="s">
        <v>52448</v>
      </c>
      <c r="BK3184" t="s">
        <v>128</v>
      </c>
      <c r="BL3184" t="s">
        <v>52449</v>
      </c>
      <c r="BM3184" t="s">
        <v>52450</v>
      </c>
      <c r="BN3184" t="s">
        <v>74</v>
      </c>
      <c r="BO3184" t="s">
        <v>74</v>
      </c>
      <c r="BP3184" t="s">
        <v>74</v>
      </c>
      <c r="BQ3184" t="s">
        <v>74</v>
      </c>
      <c r="BR3184" t="s">
        <v>102</v>
      </c>
      <c r="BS3184" t="s">
        <v>52451</v>
      </c>
      <c r="BT3184" t="str">
        <f>HYPERLINK("https%3A%2F%2Fwww.webofscience.com%2Fwos%2Fwoscc%2Ffull-record%2FWOS:001065104000001","View Full Record in Web of Science")</f>
        <v>View Full Record in Web of Science</v>
      </c>
    </row>
    <row r="3185" spans="1:72" x14ac:dyDescent="0.25">
      <c r="A3185" t="s">
        <v>72</v>
      </c>
      <c r="B3185" t="s">
        <v>52452</v>
      </c>
      <c r="C3185" t="s">
        <v>74</v>
      </c>
      <c r="D3185" t="s">
        <v>74</v>
      </c>
      <c r="E3185" t="s">
        <v>74</v>
      </c>
      <c r="F3185" t="s">
        <v>52453</v>
      </c>
      <c r="G3185" t="s">
        <v>74</v>
      </c>
      <c r="H3185" t="s">
        <v>74</v>
      </c>
      <c r="I3185" t="s">
        <v>52454</v>
      </c>
      <c r="J3185" t="s">
        <v>3579</v>
      </c>
      <c r="K3185" t="s">
        <v>74</v>
      </c>
      <c r="L3185" t="s">
        <v>74</v>
      </c>
      <c r="M3185" t="s">
        <v>78</v>
      </c>
      <c r="N3185" t="s">
        <v>79</v>
      </c>
      <c r="O3185" t="s">
        <v>74</v>
      </c>
      <c r="P3185" t="s">
        <v>74</v>
      </c>
      <c r="Q3185" t="s">
        <v>74</v>
      </c>
      <c r="R3185" t="s">
        <v>74</v>
      </c>
      <c r="S3185" t="s">
        <v>74</v>
      </c>
      <c r="T3185" t="s">
        <v>52455</v>
      </c>
      <c r="U3185" t="s">
        <v>52456</v>
      </c>
      <c r="V3185" t="s">
        <v>52457</v>
      </c>
      <c r="W3185" t="s">
        <v>52458</v>
      </c>
      <c r="X3185" t="s">
        <v>21132</v>
      </c>
      <c r="Y3185" t="s">
        <v>9304</v>
      </c>
      <c r="Z3185" t="s">
        <v>52459</v>
      </c>
      <c r="AA3185" t="s">
        <v>74</v>
      </c>
      <c r="AB3185" t="s">
        <v>74</v>
      </c>
      <c r="AC3185" t="s">
        <v>74</v>
      </c>
      <c r="AD3185" t="s">
        <v>74</v>
      </c>
      <c r="AE3185" t="s">
        <v>74</v>
      </c>
      <c r="AF3185" t="s">
        <v>74</v>
      </c>
      <c r="AG3185">
        <v>45</v>
      </c>
      <c r="AH3185">
        <v>0</v>
      </c>
      <c r="AI3185">
        <v>0</v>
      </c>
      <c r="AJ3185">
        <v>2</v>
      </c>
      <c r="AK3185">
        <v>3</v>
      </c>
      <c r="AL3185" t="s">
        <v>3588</v>
      </c>
      <c r="AM3185" t="s">
        <v>410</v>
      </c>
      <c r="AN3185" t="s">
        <v>3589</v>
      </c>
      <c r="AO3185" t="s">
        <v>3590</v>
      </c>
      <c r="AP3185" t="s">
        <v>3591</v>
      </c>
      <c r="AQ3185" t="s">
        <v>74</v>
      </c>
      <c r="AR3185" t="s">
        <v>3592</v>
      </c>
      <c r="AS3185" t="s">
        <v>3593</v>
      </c>
      <c r="AT3185" t="s">
        <v>743</v>
      </c>
      <c r="AU3185">
        <v>2025</v>
      </c>
      <c r="AV3185">
        <v>27</v>
      </c>
      <c r="AW3185">
        <v>1</v>
      </c>
      <c r="AX3185" t="s">
        <v>74</v>
      </c>
      <c r="AY3185" t="s">
        <v>74</v>
      </c>
      <c r="AZ3185" t="s">
        <v>74</v>
      </c>
      <c r="BA3185" t="s">
        <v>74</v>
      </c>
      <c r="BB3185">
        <v>186</v>
      </c>
      <c r="BC3185">
        <v>202</v>
      </c>
      <c r="BD3185" t="s">
        <v>74</v>
      </c>
      <c r="BE3185" t="s">
        <v>52460</v>
      </c>
      <c r="BF3185" t="str">
        <f>HYPERLINK("http://dx.doi.org/10.1007/s40847-024-00323-x","http://dx.doi.org/10.1007/s40847-024-00323-x")</f>
        <v>http://dx.doi.org/10.1007/s40847-024-00323-x</v>
      </c>
      <c r="BG3185" t="s">
        <v>74</v>
      </c>
      <c r="BH3185" t="s">
        <v>1981</v>
      </c>
      <c r="BI3185">
        <v>17</v>
      </c>
      <c r="BJ3185" t="s">
        <v>701</v>
      </c>
      <c r="BK3185" t="s">
        <v>313</v>
      </c>
      <c r="BL3185" t="s">
        <v>702</v>
      </c>
      <c r="BM3185" t="s">
        <v>52461</v>
      </c>
      <c r="BN3185" t="s">
        <v>74</v>
      </c>
      <c r="BO3185" t="s">
        <v>74</v>
      </c>
      <c r="BP3185" t="s">
        <v>74</v>
      </c>
      <c r="BQ3185" t="s">
        <v>74</v>
      </c>
      <c r="BR3185" t="s">
        <v>102</v>
      </c>
      <c r="BS3185" t="s">
        <v>52462</v>
      </c>
      <c r="BT3185" t="str">
        <f>HYPERLINK("https%3A%2F%2Fwww.webofscience.com%2Fwos%2Fwoscc%2Ffull-record%2FWOS:001191010900001","View Full Record in Web of Science")</f>
        <v>View Full Record in Web of Science</v>
      </c>
    </row>
    <row r="3186" spans="1:72" x14ac:dyDescent="0.25">
      <c r="A3186" t="s">
        <v>132</v>
      </c>
      <c r="B3186" t="s">
        <v>52463</v>
      </c>
      <c r="C3186" t="s">
        <v>74</v>
      </c>
      <c r="D3186" t="s">
        <v>52464</v>
      </c>
      <c r="E3186" t="s">
        <v>74</v>
      </c>
      <c r="F3186" t="s">
        <v>52465</v>
      </c>
      <c r="G3186" t="s">
        <v>74</v>
      </c>
      <c r="H3186" t="s">
        <v>74</v>
      </c>
      <c r="I3186" t="s">
        <v>52466</v>
      </c>
      <c r="J3186" t="s">
        <v>52467</v>
      </c>
      <c r="K3186" t="s">
        <v>2425</v>
      </c>
      <c r="L3186" t="s">
        <v>74</v>
      </c>
      <c r="M3186" t="s">
        <v>78</v>
      </c>
      <c r="N3186" t="s">
        <v>138</v>
      </c>
      <c r="O3186" t="s">
        <v>52468</v>
      </c>
      <c r="P3186" t="s">
        <v>52469</v>
      </c>
      <c r="Q3186" t="s">
        <v>52470</v>
      </c>
      <c r="R3186" t="s">
        <v>52471</v>
      </c>
      <c r="S3186" t="s">
        <v>74</v>
      </c>
      <c r="T3186" t="s">
        <v>52472</v>
      </c>
      <c r="U3186" t="s">
        <v>74</v>
      </c>
      <c r="V3186" t="s">
        <v>52473</v>
      </c>
      <c r="W3186" t="s">
        <v>52474</v>
      </c>
      <c r="X3186" t="s">
        <v>29279</v>
      </c>
      <c r="Y3186" t="s">
        <v>52475</v>
      </c>
      <c r="Z3186" t="s">
        <v>52476</v>
      </c>
      <c r="AA3186" t="s">
        <v>52477</v>
      </c>
      <c r="AB3186" t="s">
        <v>52478</v>
      </c>
      <c r="AC3186" t="s">
        <v>74</v>
      </c>
      <c r="AD3186" t="s">
        <v>74</v>
      </c>
      <c r="AE3186" t="s">
        <v>74</v>
      </c>
      <c r="AF3186" t="s">
        <v>74</v>
      </c>
      <c r="AG3186">
        <v>33</v>
      </c>
      <c r="AH3186">
        <v>1</v>
      </c>
      <c r="AI3186">
        <v>1</v>
      </c>
      <c r="AJ3186">
        <v>1</v>
      </c>
      <c r="AK3186">
        <v>8</v>
      </c>
      <c r="AL3186" t="s">
        <v>1062</v>
      </c>
      <c r="AM3186" t="s">
        <v>667</v>
      </c>
      <c r="AN3186" t="s">
        <v>668</v>
      </c>
      <c r="AO3186" t="s">
        <v>2437</v>
      </c>
      <c r="AP3186" t="s">
        <v>2438</v>
      </c>
      <c r="AQ3186" t="s">
        <v>52479</v>
      </c>
      <c r="AR3186" t="s">
        <v>2440</v>
      </c>
      <c r="AS3186" t="s">
        <v>74</v>
      </c>
      <c r="AT3186" t="s">
        <v>74</v>
      </c>
      <c r="AU3186">
        <v>2019</v>
      </c>
      <c r="AV3186">
        <v>11737</v>
      </c>
      <c r="AW3186" t="s">
        <v>74</v>
      </c>
      <c r="AX3186" t="s">
        <v>74</v>
      </c>
      <c r="AY3186" t="s">
        <v>74</v>
      </c>
      <c r="AZ3186" t="s">
        <v>74</v>
      </c>
      <c r="BA3186" t="s">
        <v>74</v>
      </c>
      <c r="BB3186">
        <v>321</v>
      </c>
      <c r="BC3186">
        <v>335</v>
      </c>
      <c r="BD3186" t="s">
        <v>74</v>
      </c>
      <c r="BE3186" t="s">
        <v>52480</v>
      </c>
      <c r="BF3186" t="str">
        <f>HYPERLINK("http://dx.doi.org/10.1007/978-3-030-31500-9_21","http://dx.doi.org/10.1007/978-3-030-31500-9_21")</f>
        <v>http://dx.doi.org/10.1007/978-3-030-31500-9_21</v>
      </c>
      <c r="BG3186" t="s">
        <v>74</v>
      </c>
      <c r="BH3186" t="s">
        <v>74</v>
      </c>
      <c r="BI3186">
        <v>15</v>
      </c>
      <c r="BJ3186" t="s">
        <v>5806</v>
      </c>
      <c r="BK3186" t="s">
        <v>156</v>
      </c>
      <c r="BL3186" t="s">
        <v>2648</v>
      </c>
      <c r="BM3186" t="s">
        <v>52481</v>
      </c>
      <c r="BN3186" t="s">
        <v>74</v>
      </c>
      <c r="BO3186" t="s">
        <v>74</v>
      </c>
      <c r="BP3186" t="s">
        <v>74</v>
      </c>
      <c r="BQ3186" t="s">
        <v>74</v>
      </c>
      <c r="BR3186" t="s">
        <v>102</v>
      </c>
      <c r="BS3186" t="s">
        <v>52482</v>
      </c>
      <c r="BT3186" t="str">
        <f>HYPERLINK("https%3A%2F%2Fwww.webofscience.com%2Fwos%2Fwoscc%2Ffull-record%2FWOS:000558296200021","View Full Record in Web of Science")</f>
        <v>View Full Record in Web of Science</v>
      </c>
    </row>
    <row r="3187" spans="1:72" x14ac:dyDescent="0.25">
      <c r="A3187" t="s">
        <v>72</v>
      </c>
      <c r="B3187" t="s">
        <v>52483</v>
      </c>
      <c r="C3187" t="s">
        <v>74</v>
      </c>
      <c r="D3187" t="s">
        <v>74</v>
      </c>
      <c r="E3187" t="s">
        <v>74</v>
      </c>
      <c r="F3187" t="s">
        <v>52484</v>
      </c>
      <c r="G3187" t="s">
        <v>74</v>
      </c>
      <c r="H3187" t="s">
        <v>74</v>
      </c>
      <c r="I3187" t="s">
        <v>52485</v>
      </c>
      <c r="J3187" t="s">
        <v>190</v>
      </c>
      <c r="K3187" t="s">
        <v>74</v>
      </c>
      <c r="L3187" t="s">
        <v>74</v>
      </c>
      <c r="M3187" t="s">
        <v>78</v>
      </c>
      <c r="N3187" t="s">
        <v>79</v>
      </c>
      <c r="O3187" t="s">
        <v>74</v>
      </c>
      <c r="P3187" t="s">
        <v>74</v>
      </c>
      <c r="Q3187" t="s">
        <v>74</v>
      </c>
      <c r="R3187" t="s">
        <v>74</v>
      </c>
      <c r="S3187" t="s">
        <v>74</v>
      </c>
      <c r="T3187" t="s">
        <v>52486</v>
      </c>
      <c r="U3187" t="s">
        <v>52487</v>
      </c>
      <c r="V3187" t="s">
        <v>52488</v>
      </c>
      <c r="W3187" t="s">
        <v>52489</v>
      </c>
      <c r="X3187" t="s">
        <v>52490</v>
      </c>
      <c r="Y3187" t="s">
        <v>52491</v>
      </c>
      <c r="Z3187" t="s">
        <v>52492</v>
      </c>
      <c r="AA3187" t="s">
        <v>52493</v>
      </c>
      <c r="AB3187" t="s">
        <v>52494</v>
      </c>
      <c r="AC3187" t="s">
        <v>74</v>
      </c>
      <c r="AD3187" t="s">
        <v>74</v>
      </c>
      <c r="AE3187" t="s">
        <v>52495</v>
      </c>
      <c r="AF3187" t="s">
        <v>74</v>
      </c>
      <c r="AG3187">
        <v>95</v>
      </c>
      <c r="AH3187">
        <v>15</v>
      </c>
      <c r="AI3187">
        <v>18</v>
      </c>
      <c r="AJ3187">
        <v>1</v>
      </c>
      <c r="AK3187">
        <v>8</v>
      </c>
      <c r="AL3187" t="s">
        <v>201</v>
      </c>
      <c r="AM3187" t="s">
        <v>202</v>
      </c>
      <c r="AN3187" t="s">
        <v>203</v>
      </c>
      <c r="AO3187" t="s">
        <v>204</v>
      </c>
      <c r="AP3187" t="s">
        <v>205</v>
      </c>
      <c r="AQ3187" t="s">
        <v>74</v>
      </c>
      <c r="AR3187" t="s">
        <v>206</v>
      </c>
      <c r="AS3187" t="s">
        <v>207</v>
      </c>
      <c r="AT3187" t="s">
        <v>698</v>
      </c>
      <c r="AU3187">
        <v>2024</v>
      </c>
      <c r="AV3187">
        <v>95</v>
      </c>
      <c r="AW3187" t="s">
        <v>74</v>
      </c>
      <c r="AX3187" t="s">
        <v>74</v>
      </c>
      <c r="AY3187" t="s">
        <v>74</v>
      </c>
      <c r="AZ3187" t="s">
        <v>74</v>
      </c>
      <c r="BA3187" t="s">
        <v>74</v>
      </c>
      <c r="BB3187" t="s">
        <v>74</v>
      </c>
      <c r="BC3187" t="s">
        <v>74</v>
      </c>
      <c r="BD3187">
        <v>103460</v>
      </c>
      <c r="BE3187" t="s">
        <v>52496</v>
      </c>
      <c r="BF3187" t="str">
        <f>HYPERLINK("http://dx.doi.org/10.1016/j.iref.2024.103460","http://dx.doi.org/10.1016/j.iref.2024.103460")</f>
        <v>http://dx.doi.org/10.1016/j.iref.2024.103460</v>
      </c>
      <c r="BG3187" t="s">
        <v>74</v>
      </c>
      <c r="BH3187" t="s">
        <v>2524</v>
      </c>
      <c r="BI3187">
        <v>23</v>
      </c>
      <c r="BJ3187" t="s">
        <v>210</v>
      </c>
      <c r="BK3187" t="s">
        <v>99</v>
      </c>
      <c r="BL3187" t="s">
        <v>100</v>
      </c>
      <c r="BM3187" t="s">
        <v>52497</v>
      </c>
      <c r="BN3187" t="s">
        <v>74</v>
      </c>
      <c r="BO3187" t="s">
        <v>466</v>
      </c>
      <c r="BP3187" t="s">
        <v>74</v>
      </c>
      <c r="BQ3187" t="s">
        <v>74</v>
      </c>
      <c r="BR3187" t="s">
        <v>102</v>
      </c>
      <c r="BS3187" t="s">
        <v>52498</v>
      </c>
      <c r="BT3187" t="str">
        <f>HYPERLINK("https%3A%2F%2Fwww.webofscience.com%2Fwos%2Fwoscc%2Ffull-record%2FWOS:001285901600001","View Full Record in Web of Science")</f>
        <v>View Full Record in Web of Science</v>
      </c>
    </row>
    <row r="3188" spans="1:72" x14ac:dyDescent="0.25">
      <c r="A3188" t="s">
        <v>72</v>
      </c>
      <c r="B3188" t="s">
        <v>52499</v>
      </c>
      <c r="C3188" t="s">
        <v>74</v>
      </c>
      <c r="D3188" t="s">
        <v>74</v>
      </c>
      <c r="E3188" t="s">
        <v>74</v>
      </c>
      <c r="F3188" t="s">
        <v>52500</v>
      </c>
      <c r="G3188" t="s">
        <v>74</v>
      </c>
      <c r="H3188" t="s">
        <v>74</v>
      </c>
      <c r="I3188" t="s">
        <v>52501</v>
      </c>
      <c r="J3188" t="s">
        <v>424</v>
      </c>
      <c r="K3188" t="s">
        <v>74</v>
      </c>
      <c r="L3188" t="s">
        <v>74</v>
      </c>
      <c r="M3188" t="s">
        <v>78</v>
      </c>
      <c r="N3188" t="s">
        <v>372</v>
      </c>
      <c r="O3188" t="s">
        <v>74</v>
      </c>
      <c r="P3188" t="s">
        <v>74</v>
      </c>
      <c r="Q3188" t="s">
        <v>74</v>
      </c>
      <c r="R3188" t="s">
        <v>74</v>
      </c>
      <c r="S3188" t="s">
        <v>74</v>
      </c>
      <c r="T3188" t="s">
        <v>52502</v>
      </c>
      <c r="U3188" t="s">
        <v>52503</v>
      </c>
      <c r="V3188" t="s">
        <v>52504</v>
      </c>
      <c r="W3188" t="s">
        <v>52505</v>
      </c>
      <c r="X3188" t="s">
        <v>52506</v>
      </c>
      <c r="Y3188" t="s">
        <v>52507</v>
      </c>
      <c r="Z3188" t="s">
        <v>52508</v>
      </c>
      <c r="AA3188" t="s">
        <v>74</v>
      </c>
      <c r="AB3188" t="s">
        <v>74</v>
      </c>
      <c r="AC3188" t="s">
        <v>74</v>
      </c>
      <c r="AD3188" t="s">
        <v>74</v>
      </c>
      <c r="AE3188" t="s">
        <v>74</v>
      </c>
      <c r="AF3188" t="s">
        <v>74</v>
      </c>
      <c r="AG3188">
        <v>52</v>
      </c>
      <c r="AH3188">
        <v>1</v>
      </c>
      <c r="AI3188">
        <v>2</v>
      </c>
      <c r="AJ3188">
        <v>1</v>
      </c>
      <c r="AK3188">
        <v>1</v>
      </c>
      <c r="AL3188" t="s">
        <v>89</v>
      </c>
      <c r="AM3188" t="s">
        <v>90</v>
      </c>
      <c r="AN3188" t="s">
        <v>91</v>
      </c>
      <c r="AO3188" t="s">
        <v>436</v>
      </c>
      <c r="AP3188" t="s">
        <v>437</v>
      </c>
      <c r="AQ3188" t="s">
        <v>74</v>
      </c>
      <c r="AR3188" t="s">
        <v>438</v>
      </c>
      <c r="AS3188" t="s">
        <v>439</v>
      </c>
      <c r="AT3188" t="s">
        <v>14937</v>
      </c>
      <c r="AU3188">
        <v>2025</v>
      </c>
      <c r="AV3188" t="s">
        <v>74</v>
      </c>
      <c r="AW3188" t="s">
        <v>74</v>
      </c>
      <c r="AX3188" t="s">
        <v>74</v>
      </c>
      <c r="AY3188" t="s">
        <v>74</v>
      </c>
      <c r="AZ3188" t="s">
        <v>74</v>
      </c>
      <c r="BA3188" t="s">
        <v>74</v>
      </c>
      <c r="BB3188" t="s">
        <v>74</v>
      </c>
      <c r="BC3188" t="s">
        <v>74</v>
      </c>
      <c r="BD3188" t="s">
        <v>74</v>
      </c>
      <c r="BE3188" t="s">
        <v>52509</v>
      </c>
      <c r="BF3188" t="str">
        <f>HYPERLINK("http://dx.doi.org/10.1108/IJBM-03-2025-0256","http://dx.doi.org/10.1108/IJBM-03-2025-0256")</f>
        <v>http://dx.doi.org/10.1108/IJBM-03-2025-0256</v>
      </c>
      <c r="BG3188" t="s">
        <v>74</v>
      </c>
      <c r="BH3188" t="s">
        <v>3411</v>
      </c>
      <c r="BI3188">
        <v>17</v>
      </c>
      <c r="BJ3188" t="s">
        <v>418</v>
      </c>
      <c r="BK3188" t="s">
        <v>99</v>
      </c>
      <c r="BL3188" t="s">
        <v>100</v>
      </c>
      <c r="BM3188" t="s">
        <v>52510</v>
      </c>
      <c r="BN3188" t="s">
        <v>74</v>
      </c>
      <c r="BO3188" t="s">
        <v>74</v>
      </c>
      <c r="BP3188" t="s">
        <v>74</v>
      </c>
      <c r="BQ3188" t="s">
        <v>74</v>
      </c>
      <c r="BR3188" t="s">
        <v>102</v>
      </c>
      <c r="BS3188" t="s">
        <v>52511</v>
      </c>
      <c r="BT3188" t="str">
        <f>HYPERLINK("https%3A%2F%2Fwww.webofscience.com%2Fwos%2Fwoscc%2Ffull-record%2FWOS:001577486100001","View Full Record in Web of Science")</f>
        <v>View Full Record in Web of Science</v>
      </c>
    </row>
    <row r="3189" spans="1:72" x14ac:dyDescent="0.25">
      <c r="A3189" t="s">
        <v>72</v>
      </c>
      <c r="B3189" t="s">
        <v>52512</v>
      </c>
      <c r="C3189" t="s">
        <v>74</v>
      </c>
      <c r="D3189" t="s">
        <v>74</v>
      </c>
      <c r="E3189" t="s">
        <v>74</v>
      </c>
      <c r="F3189" t="s">
        <v>52513</v>
      </c>
      <c r="G3189" t="s">
        <v>74</v>
      </c>
      <c r="H3189" t="s">
        <v>74</v>
      </c>
      <c r="I3189" t="s">
        <v>52514</v>
      </c>
      <c r="J3189" t="s">
        <v>656</v>
      </c>
      <c r="K3189" t="s">
        <v>74</v>
      </c>
      <c r="L3189" t="s">
        <v>74</v>
      </c>
      <c r="M3189" t="s">
        <v>78</v>
      </c>
      <c r="N3189" t="s">
        <v>79</v>
      </c>
      <c r="O3189" t="s">
        <v>74</v>
      </c>
      <c r="P3189" t="s">
        <v>74</v>
      </c>
      <c r="Q3189" t="s">
        <v>74</v>
      </c>
      <c r="R3189" t="s">
        <v>74</v>
      </c>
      <c r="S3189" t="s">
        <v>74</v>
      </c>
      <c r="T3189" t="s">
        <v>52515</v>
      </c>
      <c r="U3189" t="s">
        <v>52516</v>
      </c>
      <c r="V3189" t="s">
        <v>52517</v>
      </c>
      <c r="W3189" t="s">
        <v>52518</v>
      </c>
      <c r="X3189" t="s">
        <v>52519</v>
      </c>
      <c r="Y3189" t="s">
        <v>35811</v>
      </c>
      <c r="Z3189" t="s">
        <v>52520</v>
      </c>
      <c r="AA3189" t="s">
        <v>74</v>
      </c>
      <c r="AB3189" t="s">
        <v>52521</v>
      </c>
      <c r="AC3189" t="s">
        <v>74</v>
      </c>
      <c r="AD3189" t="s">
        <v>74</v>
      </c>
      <c r="AE3189" t="s">
        <v>74</v>
      </c>
      <c r="AF3189" t="s">
        <v>74</v>
      </c>
      <c r="AG3189">
        <v>60</v>
      </c>
      <c r="AH3189">
        <v>5</v>
      </c>
      <c r="AI3189">
        <v>7</v>
      </c>
      <c r="AJ3189">
        <v>0</v>
      </c>
      <c r="AK3189">
        <v>18</v>
      </c>
      <c r="AL3189" t="s">
        <v>666</v>
      </c>
      <c r="AM3189" t="s">
        <v>667</v>
      </c>
      <c r="AN3189" t="s">
        <v>668</v>
      </c>
      <c r="AO3189" t="s">
        <v>669</v>
      </c>
      <c r="AP3189" t="s">
        <v>670</v>
      </c>
      <c r="AQ3189" t="s">
        <v>74</v>
      </c>
      <c r="AR3189" t="s">
        <v>671</v>
      </c>
      <c r="AS3189" t="s">
        <v>672</v>
      </c>
      <c r="AT3189" t="s">
        <v>124</v>
      </c>
      <c r="AU3189">
        <v>2022</v>
      </c>
      <c r="AV3189">
        <v>43</v>
      </c>
      <c r="AW3189">
        <v>4</v>
      </c>
      <c r="AX3189" t="s">
        <v>74</v>
      </c>
      <c r="AY3189" t="s">
        <v>74</v>
      </c>
      <c r="AZ3189" t="s">
        <v>441</v>
      </c>
      <c r="BA3189" t="s">
        <v>74</v>
      </c>
      <c r="BB3189">
        <v>815</v>
      </c>
      <c r="BC3189">
        <v>831</v>
      </c>
      <c r="BD3189" t="s">
        <v>74</v>
      </c>
      <c r="BE3189" t="s">
        <v>52522</v>
      </c>
      <c r="BF3189" t="str">
        <f>HYPERLINK("http://dx.doi.org/10.1007/s10834-021-09795-z","http://dx.doi.org/10.1007/s10834-021-09795-z")</f>
        <v>http://dx.doi.org/10.1007/s10834-021-09795-z</v>
      </c>
      <c r="BG3189" t="s">
        <v>74</v>
      </c>
      <c r="BH3189" t="s">
        <v>1818</v>
      </c>
      <c r="BI3189">
        <v>17</v>
      </c>
      <c r="BJ3189" t="s">
        <v>675</v>
      </c>
      <c r="BK3189" t="s">
        <v>99</v>
      </c>
      <c r="BL3189" t="s">
        <v>676</v>
      </c>
      <c r="BM3189" t="s">
        <v>677</v>
      </c>
      <c r="BN3189" t="s">
        <v>74</v>
      </c>
      <c r="BO3189" t="s">
        <v>74</v>
      </c>
      <c r="BP3189" t="s">
        <v>74</v>
      </c>
      <c r="BQ3189" t="s">
        <v>74</v>
      </c>
      <c r="BR3189" t="s">
        <v>102</v>
      </c>
      <c r="BS3189" t="s">
        <v>52523</v>
      </c>
      <c r="BT3189" t="str">
        <f>HYPERLINK("https%3A%2F%2Fwww.webofscience.com%2Fwos%2Fwoscc%2Ffull-record%2FWOS:000690335000001","View Full Record in Web of Science")</f>
        <v>View Full Record in Web of Science</v>
      </c>
    </row>
    <row r="3190" spans="1:72" x14ac:dyDescent="0.25">
      <c r="A3190" t="s">
        <v>72</v>
      </c>
      <c r="B3190" t="s">
        <v>52524</v>
      </c>
      <c r="C3190" t="s">
        <v>74</v>
      </c>
      <c r="D3190" t="s">
        <v>74</v>
      </c>
      <c r="E3190" t="s">
        <v>74</v>
      </c>
      <c r="F3190" t="s">
        <v>52525</v>
      </c>
      <c r="G3190" t="s">
        <v>74</v>
      </c>
      <c r="H3190" t="s">
        <v>74</v>
      </c>
      <c r="I3190" t="s">
        <v>52526</v>
      </c>
      <c r="J3190" t="s">
        <v>22769</v>
      </c>
      <c r="K3190" t="s">
        <v>74</v>
      </c>
      <c r="L3190" t="s">
        <v>74</v>
      </c>
      <c r="M3190" t="s">
        <v>78</v>
      </c>
      <c r="N3190" t="s">
        <v>79</v>
      </c>
      <c r="O3190" t="s">
        <v>74</v>
      </c>
      <c r="P3190" t="s">
        <v>74</v>
      </c>
      <c r="Q3190" t="s">
        <v>74</v>
      </c>
      <c r="R3190" t="s">
        <v>74</v>
      </c>
      <c r="S3190" t="s">
        <v>74</v>
      </c>
      <c r="T3190" t="s">
        <v>74</v>
      </c>
      <c r="U3190" t="s">
        <v>74</v>
      </c>
      <c r="V3190" t="s">
        <v>52527</v>
      </c>
      <c r="W3190" t="s">
        <v>52528</v>
      </c>
      <c r="X3190" t="s">
        <v>19923</v>
      </c>
      <c r="Y3190" t="s">
        <v>52529</v>
      </c>
      <c r="Z3190" t="s">
        <v>52530</v>
      </c>
      <c r="AA3190" t="s">
        <v>52531</v>
      </c>
      <c r="AB3190" t="s">
        <v>52532</v>
      </c>
      <c r="AC3190" t="s">
        <v>74</v>
      </c>
      <c r="AD3190" t="s">
        <v>74</v>
      </c>
      <c r="AE3190" t="s">
        <v>74</v>
      </c>
      <c r="AF3190" t="s">
        <v>74</v>
      </c>
      <c r="AG3190">
        <v>54</v>
      </c>
      <c r="AH3190">
        <v>8</v>
      </c>
      <c r="AI3190">
        <v>13</v>
      </c>
      <c r="AJ3190">
        <v>0</v>
      </c>
      <c r="AK3190">
        <v>7</v>
      </c>
      <c r="AL3190" t="s">
        <v>22762</v>
      </c>
      <c r="AM3190" t="s">
        <v>15173</v>
      </c>
      <c r="AN3190" t="s">
        <v>52533</v>
      </c>
      <c r="AO3190" t="s">
        <v>52534</v>
      </c>
      <c r="AP3190" t="s">
        <v>74</v>
      </c>
      <c r="AQ3190" t="s">
        <v>74</v>
      </c>
      <c r="AR3190" t="s">
        <v>22759</v>
      </c>
      <c r="AS3190" t="s">
        <v>22758</v>
      </c>
      <c r="AT3190" t="s">
        <v>38382</v>
      </c>
      <c r="AU3190">
        <v>2018</v>
      </c>
      <c r="AV3190">
        <v>21</v>
      </c>
      <c r="AW3190">
        <v>1</v>
      </c>
      <c r="AX3190" t="s">
        <v>74</v>
      </c>
      <c r="AY3190" t="s">
        <v>74</v>
      </c>
      <c r="AZ3190" t="s">
        <v>74</v>
      </c>
      <c r="BA3190" t="s">
        <v>74</v>
      </c>
      <c r="BB3190" t="s">
        <v>74</v>
      </c>
      <c r="BC3190" t="s">
        <v>74</v>
      </c>
      <c r="BD3190" t="s">
        <v>52535</v>
      </c>
      <c r="BE3190" t="s">
        <v>52536</v>
      </c>
      <c r="BF3190" t="str">
        <f>HYPERLINK("http://dx.doi.org/10.4102/sajems.v21i1.1837","http://dx.doi.org/10.4102/sajems.v21i1.1837")</f>
        <v>http://dx.doi.org/10.4102/sajems.v21i1.1837</v>
      </c>
      <c r="BG3190" t="s">
        <v>74</v>
      </c>
      <c r="BH3190" t="s">
        <v>74</v>
      </c>
      <c r="BI3190">
        <v>15</v>
      </c>
      <c r="BJ3190" t="s">
        <v>5519</v>
      </c>
      <c r="BK3190" t="s">
        <v>99</v>
      </c>
      <c r="BL3190" t="s">
        <v>100</v>
      </c>
      <c r="BM3190" t="s">
        <v>52537</v>
      </c>
      <c r="BN3190" t="s">
        <v>74</v>
      </c>
      <c r="BO3190" t="s">
        <v>916</v>
      </c>
      <c r="BP3190" t="s">
        <v>74</v>
      </c>
      <c r="BQ3190" t="s">
        <v>74</v>
      </c>
      <c r="BR3190" t="s">
        <v>102</v>
      </c>
      <c r="BS3190" t="s">
        <v>52538</v>
      </c>
      <c r="BT3190" t="str">
        <f>HYPERLINK("https%3A%2F%2Fwww.webofscience.com%2Fwos%2Fwoscc%2Ffull-record%2FWOS:000462660300001","View Full Record in Web of Science")</f>
        <v>View Full Record in Web of Science</v>
      </c>
    </row>
    <row r="3191" spans="1:72" x14ac:dyDescent="0.25">
      <c r="A3191" t="s">
        <v>72</v>
      </c>
      <c r="B3191" t="s">
        <v>52539</v>
      </c>
      <c r="C3191" t="s">
        <v>74</v>
      </c>
      <c r="D3191" t="s">
        <v>74</v>
      </c>
      <c r="E3191" t="s">
        <v>74</v>
      </c>
      <c r="F3191" t="s">
        <v>52540</v>
      </c>
      <c r="G3191" t="s">
        <v>74</v>
      </c>
      <c r="H3191" t="s">
        <v>74</v>
      </c>
      <c r="I3191" t="s">
        <v>52541</v>
      </c>
      <c r="J3191" t="s">
        <v>2809</v>
      </c>
      <c r="K3191" t="s">
        <v>74</v>
      </c>
      <c r="L3191" t="s">
        <v>74</v>
      </c>
      <c r="M3191" t="s">
        <v>78</v>
      </c>
      <c r="N3191" t="s">
        <v>79</v>
      </c>
      <c r="O3191" t="s">
        <v>74</v>
      </c>
      <c r="P3191" t="s">
        <v>74</v>
      </c>
      <c r="Q3191" t="s">
        <v>74</v>
      </c>
      <c r="R3191" t="s">
        <v>74</v>
      </c>
      <c r="S3191" t="s">
        <v>74</v>
      </c>
      <c r="T3191" t="s">
        <v>52542</v>
      </c>
      <c r="U3191" t="s">
        <v>74</v>
      </c>
      <c r="V3191" t="s">
        <v>52543</v>
      </c>
      <c r="W3191" t="s">
        <v>52544</v>
      </c>
      <c r="X3191" t="s">
        <v>52545</v>
      </c>
      <c r="Y3191" t="s">
        <v>38069</v>
      </c>
      <c r="Z3191" t="s">
        <v>38070</v>
      </c>
      <c r="AA3191" t="s">
        <v>38071</v>
      </c>
      <c r="AB3191" t="s">
        <v>74</v>
      </c>
      <c r="AC3191" t="s">
        <v>49455</v>
      </c>
      <c r="AD3191" t="s">
        <v>49455</v>
      </c>
      <c r="AE3191" t="s">
        <v>49456</v>
      </c>
      <c r="AF3191" t="s">
        <v>74</v>
      </c>
      <c r="AG3191">
        <v>57</v>
      </c>
      <c r="AH3191">
        <v>3</v>
      </c>
      <c r="AI3191">
        <v>3</v>
      </c>
      <c r="AJ3191">
        <v>1</v>
      </c>
      <c r="AK3191">
        <v>6</v>
      </c>
      <c r="AL3191" t="s">
        <v>479</v>
      </c>
      <c r="AM3191" t="s">
        <v>480</v>
      </c>
      <c r="AN3191" t="s">
        <v>481</v>
      </c>
      <c r="AO3191" t="s">
        <v>2816</v>
      </c>
      <c r="AP3191" t="s">
        <v>2817</v>
      </c>
      <c r="AQ3191" t="s">
        <v>74</v>
      </c>
      <c r="AR3191" t="s">
        <v>2818</v>
      </c>
      <c r="AS3191" t="s">
        <v>2819</v>
      </c>
      <c r="AT3191" t="s">
        <v>38526</v>
      </c>
      <c r="AU3191">
        <v>2025</v>
      </c>
      <c r="AV3191">
        <v>59</v>
      </c>
      <c r="AW3191">
        <v>1</v>
      </c>
      <c r="AX3191" t="s">
        <v>74</v>
      </c>
      <c r="AY3191" t="s">
        <v>74</v>
      </c>
      <c r="AZ3191" t="s">
        <v>74</v>
      </c>
      <c r="BA3191" t="s">
        <v>74</v>
      </c>
      <c r="BB3191" t="s">
        <v>74</v>
      </c>
      <c r="BC3191" t="s">
        <v>74</v>
      </c>
      <c r="BD3191" t="s">
        <v>52546</v>
      </c>
      <c r="BE3191" t="s">
        <v>52547</v>
      </c>
      <c r="BF3191" t="str">
        <f>HYPERLINK("http://dx.doi.org/10.1111/joca.70005","http://dx.doi.org/10.1111/joca.70005")</f>
        <v>http://dx.doi.org/10.1111/joca.70005</v>
      </c>
      <c r="BG3191" t="s">
        <v>74</v>
      </c>
      <c r="BH3191" t="s">
        <v>74</v>
      </c>
      <c r="BI3191">
        <v>14</v>
      </c>
      <c r="BJ3191" t="s">
        <v>1453</v>
      </c>
      <c r="BK3191" t="s">
        <v>99</v>
      </c>
      <c r="BL3191" t="s">
        <v>100</v>
      </c>
      <c r="BM3191" t="s">
        <v>52548</v>
      </c>
      <c r="BN3191" t="s">
        <v>74</v>
      </c>
      <c r="BO3191" t="s">
        <v>1205</v>
      </c>
      <c r="BP3191" t="s">
        <v>74</v>
      </c>
      <c r="BQ3191" t="s">
        <v>74</v>
      </c>
      <c r="BR3191" t="s">
        <v>102</v>
      </c>
      <c r="BS3191" t="s">
        <v>52549</v>
      </c>
      <c r="BT3191" t="str">
        <f>HYPERLINK("https%3A%2F%2Fwww.webofscience.com%2Fwos%2Fwoscc%2Ffull-record%2FWOS:001439043500001","View Full Record in Web of Science")</f>
        <v>View Full Record in Web of Science</v>
      </c>
    </row>
    <row r="3192" spans="1:72" x14ac:dyDescent="0.25">
      <c r="A3192" t="s">
        <v>72</v>
      </c>
      <c r="B3192" t="s">
        <v>52550</v>
      </c>
      <c r="C3192" t="s">
        <v>74</v>
      </c>
      <c r="D3192" t="s">
        <v>74</v>
      </c>
      <c r="E3192" t="s">
        <v>74</v>
      </c>
      <c r="F3192" t="s">
        <v>52551</v>
      </c>
      <c r="G3192" t="s">
        <v>74</v>
      </c>
      <c r="H3192" t="s">
        <v>74</v>
      </c>
      <c r="I3192" t="s">
        <v>52552</v>
      </c>
      <c r="J3192" t="s">
        <v>33542</v>
      </c>
      <c r="K3192" t="s">
        <v>74</v>
      </c>
      <c r="L3192" t="s">
        <v>74</v>
      </c>
      <c r="M3192" t="s">
        <v>78</v>
      </c>
      <c r="N3192" t="s">
        <v>1766</v>
      </c>
      <c r="O3192" t="s">
        <v>74</v>
      </c>
      <c r="P3192" t="s">
        <v>74</v>
      </c>
      <c r="Q3192" t="s">
        <v>74</v>
      </c>
      <c r="R3192" t="s">
        <v>74</v>
      </c>
      <c r="S3192" t="s">
        <v>74</v>
      </c>
      <c r="T3192" t="s">
        <v>52553</v>
      </c>
      <c r="U3192" t="s">
        <v>52554</v>
      </c>
      <c r="V3192" t="s">
        <v>52555</v>
      </c>
      <c r="W3192" t="s">
        <v>52556</v>
      </c>
      <c r="X3192" t="s">
        <v>52557</v>
      </c>
      <c r="Y3192" t="s">
        <v>52558</v>
      </c>
      <c r="Z3192" t="s">
        <v>52559</v>
      </c>
      <c r="AA3192" t="s">
        <v>52560</v>
      </c>
      <c r="AB3192" t="s">
        <v>52561</v>
      </c>
      <c r="AC3192" t="s">
        <v>74</v>
      </c>
      <c r="AD3192" t="s">
        <v>74</v>
      </c>
      <c r="AE3192" t="s">
        <v>74</v>
      </c>
      <c r="AF3192" t="s">
        <v>74</v>
      </c>
      <c r="AG3192">
        <v>155</v>
      </c>
      <c r="AH3192">
        <v>24</v>
      </c>
      <c r="AI3192">
        <v>41</v>
      </c>
      <c r="AJ3192">
        <v>7</v>
      </c>
      <c r="AK3192">
        <v>93</v>
      </c>
      <c r="AL3192" t="s">
        <v>33547</v>
      </c>
      <c r="AM3192" t="s">
        <v>33546</v>
      </c>
      <c r="AN3192" t="s">
        <v>33545</v>
      </c>
      <c r="AO3192" t="s">
        <v>33544</v>
      </c>
      <c r="AP3192" t="s">
        <v>33543</v>
      </c>
      <c r="AQ3192" t="s">
        <v>74</v>
      </c>
      <c r="AR3192" t="s">
        <v>33542</v>
      </c>
      <c r="AS3192" t="s">
        <v>33541</v>
      </c>
      <c r="AT3192" t="s">
        <v>74</v>
      </c>
      <c r="AU3192">
        <v>2021</v>
      </c>
      <c r="AV3192">
        <v>20</v>
      </c>
      <c r="AW3192">
        <v>1</v>
      </c>
      <c r="AX3192" t="s">
        <v>74</v>
      </c>
      <c r="AY3192" t="s">
        <v>74</v>
      </c>
      <c r="AZ3192" t="s">
        <v>74</v>
      </c>
      <c r="BA3192" t="s">
        <v>74</v>
      </c>
      <c r="BB3192">
        <v>93</v>
      </c>
      <c r="BC3192">
        <v>118</v>
      </c>
      <c r="BD3192" t="s">
        <v>74</v>
      </c>
      <c r="BE3192" t="s">
        <v>52562</v>
      </c>
      <c r="BF3192" t="str">
        <f>HYPERLINK("http://dx.doi.org/10.15408/etk.v20i1.16911","http://dx.doi.org/10.15408/etk.v20i1.16911")</f>
        <v>http://dx.doi.org/10.15408/etk.v20i1.16911</v>
      </c>
      <c r="BG3192" t="s">
        <v>74</v>
      </c>
      <c r="BH3192" t="s">
        <v>74</v>
      </c>
      <c r="BI3192">
        <v>26</v>
      </c>
      <c r="BJ3192" t="s">
        <v>291</v>
      </c>
      <c r="BK3192" t="s">
        <v>313</v>
      </c>
      <c r="BL3192" t="s">
        <v>100</v>
      </c>
      <c r="BM3192" t="s">
        <v>52563</v>
      </c>
      <c r="BN3192" t="s">
        <v>74</v>
      </c>
      <c r="BO3192" t="s">
        <v>212</v>
      </c>
      <c r="BP3192" t="s">
        <v>74</v>
      </c>
      <c r="BQ3192" t="s">
        <v>74</v>
      </c>
      <c r="BR3192" t="s">
        <v>102</v>
      </c>
      <c r="BS3192" t="s">
        <v>52564</v>
      </c>
      <c r="BT3192" t="str">
        <f>HYPERLINK("https%3A%2F%2Fwww.webofscience.com%2Fwos%2Fwoscc%2Ffull-record%2FWOS:000621691400008","View Full Record in Web of Science")</f>
        <v>View Full Record in Web of Science</v>
      </c>
    </row>
    <row r="3193" spans="1:72" x14ac:dyDescent="0.25">
      <c r="A3193" t="s">
        <v>72</v>
      </c>
      <c r="B3193" t="s">
        <v>41907</v>
      </c>
      <c r="C3193" t="s">
        <v>74</v>
      </c>
      <c r="D3193" t="s">
        <v>74</v>
      </c>
      <c r="E3193" t="s">
        <v>74</v>
      </c>
      <c r="F3193" t="s">
        <v>41908</v>
      </c>
      <c r="G3193" t="s">
        <v>74</v>
      </c>
      <c r="H3193" t="s">
        <v>74</v>
      </c>
      <c r="I3193" t="s">
        <v>52565</v>
      </c>
      <c r="J3193" t="s">
        <v>1878</v>
      </c>
      <c r="K3193" t="s">
        <v>74</v>
      </c>
      <c r="L3193" t="s">
        <v>74</v>
      </c>
      <c r="M3193" t="s">
        <v>78</v>
      </c>
      <c r="N3193" t="s">
        <v>79</v>
      </c>
      <c r="O3193" t="s">
        <v>74</v>
      </c>
      <c r="P3193" t="s">
        <v>74</v>
      </c>
      <c r="Q3193" t="s">
        <v>74</v>
      </c>
      <c r="R3193" t="s">
        <v>74</v>
      </c>
      <c r="S3193" t="s">
        <v>74</v>
      </c>
      <c r="T3193" t="s">
        <v>52566</v>
      </c>
      <c r="U3193" t="s">
        <v>74</v>
      </c>
      <c r="V3193" t="s">
        <v>52567</v>
      </c>
      <c r="W3193" t="s">
        <v>41912</v>
      </c>
      <c r="X3193" t="s">
        <v>19523</v>
      </c>
      <c r="Y3193" t="s">
        <v>41913</v>
      </c>
      <c r="Z3193" t="s">
        <v>52568</v>
      </c>
      <c r="AA3193" t="s">
        <v>52569</v>
      </c>
      <c r="AB3193" t="s">
        <v>74</v>
      </c>
      <c r="AC3193" t="s">
        <v>74</v>
      </c>
      <c r="AD3193" t="s">
        <v>74</v>
      </c>
      <c r="AE3193" t="s">
        <v>74</v>
      </c>
      <c r="AF3193" t="s">
        <v>74</v>
      </c>
      <c r="AG3193">
        <v>22</v>
      </c>
      <c r="AH3193">
        <v>1</v>
      </c>
      <c r="AI3193">
        <v>2</v>
      </c>
      <c r="AJ3193">
        <v>0</v>
      </c>
      <c r="AK3193">
        <v>6</v>
      </c>
      <c r="AL3193" t="s">
        <v>1889</v>
      </c>
      <c r="AM3193" t="s">
        <v>1890</v>
      </c>
      <c r="AN3193" t="s">
        <v>1891</v>
      </c>
      <c r="AO3193" t="s">
        <v>1892</v>
      </c>
      <c r="AP3193" t="s">
        <v>1893</v>
      </c>
      <c r="AQ3193" t="s">
        <v>74</v>
      </c>
      <c r="AR3193" t="s">
        <v>1894</v>
      </c>
      <c r="AS3193" t="s">
        <v>1895</v>
      </c>
      <c r="AT3193" t="s">
        <v>124</v>
      </c>
      <c r="AU3193">
        <v>2020</v>
      </c>
      <c r="AV3193">
        <v>7</v>
      </c>
      <c r="AW3193">
        <v>4</v>
      </c>
      <c r="AX3193" t="s">
        <v>74</v>
      </c>
      <c r="AY3193" t="s">
        <v>74</v>
      </c>
      <c r="AZ3193" t="s">
        <v>74</v>
      </c>
      <c r="BA3193" t="s">
        <v>74</v>
      </c>
      <c r="BB3193" t="s">
        <v>74</v>
      </c>
      <c r="BC3193" t="s">
        <v>74</v>
      </c>
      <c r="BD3193">
        <v>2050041</v>
      </c>
      <c r="BE3193" t="s">
        <v>52570</v>
      </c>
      <c r="BF3193" t="str">
        <f>HYPERLINK("http://dx.doi.org/10.1142/S2424786320500413","http://dx.doi.org/10.1142/S2424786320500413")</f>
        <v>http://dx.doi.org/10.1142/S2424786320500413</v>
      </c>
      <c r="BG3193" t="s">
        <v>74</v>
      </c>
      <c r="BH3193" t="s">
        <v>74</v>
      </c>
      <c r="BI3193">
        <v>21</v>
      </c>
      <c r="BJ3193" t="s">
        <v>268</v>
      </c>
      <c r="BK3193" t="s">
        <v>313</v>
      </c>
      <c r="BL3193" t="s">
        <v>100</v>
      </c>
      <c r="BM3193" t="s">
        <v>18509</v>
      </c>
      <c r="BN3193" t="s">
        <v>74</v>
      </c>
      <c r="BO3193" t="s">
        <v>74</v>
      </c>
      <c r="BP3193" t="s">
        <v>74</v>
      </c>
      <c r="BQ3193" t="s">
        <v>74</v>
      </c>
      <c r="BR3193" t="s">
        <v>102</v>
      </c>
      <c r="BS3193" t="s">
        <v>52571</v>
      </c>
      <c r="BT3193" t="str">
        <f>HYPERLINK("https%3A%2F%2Fwww.webofscience.com%2Fwos%2Fwoscc%2Ffull-record%2FWOS:000617169600006","View Full Record in Web of Science")</f>
        <v>View Full Record in Web of Science</v>
      </c>
    </row>
    <row r="3194" spans="1:72" x14ac:dyDescent="0.25">
      <c r="A3194" t="s">
        <v>72</v>
      </c>
      <c r="B3194" t="s">
        <v>52572</v>
      </c>
      <c r="C3194" t="s">
        <v>74</v>
      </c>
      <c r="D3194" t="s">
        <v>74</v>
      </c>
      <c r="E3194" t="s">
        <v>74</v>
      </c>
      <c r="F3194" t="s">
        <v>52573</v>
      </c>
      <c r="G3194" t="s">
        <v>74</v>
      </c>
      <c r="H3194" t="s">
        <v>74</v>
      </c>
      <c r="I3194" t="s">
        <v>52574</v>
      </c>
      <c r="J3194" t="s">
        <v>2137</v>
      </c>
      <c r="K3194" t="s">
        <v>74</v>
      </c>
      <c r="L3194" t="s">
        <v>74</v>
      </c>
      <c r="M3194" t="s">
        <v>78</v>
      </c>
      <c r="N3194" t="s">
        <v>79</v>
      </c>
      <c r="O3194" t="s">
        <v>74</v>
      </c>
      <c r="P3194" t="s">
        <v>74</v>
      </c>
      <c r="Q3194" t="s">
        <v>74</v>
      </c>
      <c r="R3194" t="s">
        <v>74</v>
      </c>
      <c r="S3194" t="s">
        <v>74</v>
      </c>
      <c r="T3194" t="s">
        <v>52575</v>
      </c>
      <c r="U3194" t="s">
        <v>52576</v>
      </c>
      <c r="V3194" t="s">
        <v>52577</v>
      </c>
      <c r="W3194" t="s">
        <v>52578</v>
      </c>
      <c r="X3194" t="s">
        <v>52579</v>
      </c>
      <c r="Y3194" t="s">
        <v>52580</v>
      </c>
      <c r="Z3194" t="s">
        <v>52581</v>
      </c>
      <c r="AA3194" t="s">
        <v>52582</v>
      </c>
      <c r="AB3194" t="s">
        <v>52583</v>
      </c>
      <c r="AC3194" t="s">
        <v>52584</v>
      </c>
      <c r="AD3194" t="s">
        <v>52584</v>
      </c>
      <c r="AE3194" t="s">
        <v>52585</v>
      </c>
      <c r="AF3194" t="s">
        <v>74</v>
      </c>
      <c r="AG3194">
        <v>22</v>
      </c>
      <c r="AH3194">
        <v>3</v>
      </c>
      <c r="AI3194">
        <v>3</v>
      </c>
      <c r="AJ3194">
        <v>1</v>
      </c>
      <c r="AK3194">
        <v>9</v>
      </c>
      <c r="AL3194" t="s">
        <v>2145</v>
      </c>
      <c r="AM3194" t="s">
        <v>151</v>
      </c>
      <c r="AN3194" t="s">
        <v>2146</v>
      </c>
      <c r="AO3194" t="s">
        <v>2147</v>
      </c>
      <c r="AP3194" t="s">
        <v>2148</v>
      </c>
      <c r="AQ3194" t="s">
        <v>74</v>
      </c>
      <c r="AR3194" t="s">
        <v>2149</v>
      </c>
      <c r="AS3194" t="s">
        <v>2150</v>
      </c>
      <c r="AT3194" t="s">
        <v>74</v>
      </c>
      <c r="AU3194">
        <v>2023</v>
      </c>
      <c r="AV3194">
        <v>34</v>
      </c>
      <c r="AW3194">
        <v>3</v>
      </c>
      <c r="AX3194" t="s">
        <v>74</v>
      </c>
      <c r="AY3194" t="s">
        <v>74</v>
      </c>
      <c r="AZ3194" t="s">
        <v>74</v>
      </c>
      <c r="BA3194" t="s">
        <v>74</v>
      </c>
      <c r="BB3194">
        <v>309</v>
      </c>
      <c r="BC3194">
        <v>324</v>
      </c>
      <c r="BD3194" t="s">
        <v>74</v>
      </c>
      <c r="BE3194" t="s">
        <v>52586</v>
      </c>
      <c r="BF3194" t="str">
        <f>HYPERLINK("http://dx.doi.org/10.1891/JFCP-2022-0022","http://dx.doi.org/10.1891/JFCP-2022-0022")</f>
        <v>http://dx.doi.org/10.1891/JFCP-2022-0022</v>
      </c>
      <c r="BG3194" t="s">
        <v>74</v>
      </c>
      <c r="BH3194" t="s">
        <v>74</v>
      </c>
      <c r="BI3194">
        <v>16</v>
      </c>
      <c r="BJ3194" t="s">
        <v>1453</v>
      </c>
      <c r="BK3194" t="s">
        <v>313</v>
      </c>
      <c r="BL3194" t="s">
        <v>100</v>
      </c>
      <c r="BM3194" t="s">
        <v>42519</v>
      </c>
      <c r="BN3194" t="s">
        <v>74</v>
      </c>
      <c r="BO3194" t="s">
        <v>74</v>
      </c>
      <c r="BP3194" t="s">
        <v>74</v>
      </c>
      <c r="BQ3194" t="s">
        <v>74</v>
      </c>
      <c r="BR3194" t="s">
        <v>102</v>
      </c>
      <c r="BS3194" t="s">
        <v>52587</v>
      </c>
      <c r="BT3194" t="str">
        <f>HYPERLINK("https%3A%2F%2Fwww.webofscience.com%2Fwos%2Fwoscc%2Ffull-record%2FWOS:001105218800006","View Full Record in Web of Science")</f>
        <v>View Full Record in Web of Science</v>
      </c>
    </row>
    <row r="3195" spans="1:72" x14ac:dyDescent="0.25">
      <c r="A3195" t="s">
        <v>72</v>
      </c>
      <c r="B3195" t="s">
        <v>40587</v>
      </c>
      <c r="C3195" t="s">
        <v>74</v>
      </c>
      <c r="D3195" t="s">
        <v>74</v>
      </c>
      <c r="E3195" t="s">
        <v>74</v>
      </c>
      <c r="F3195" t="s">
        <v>52588</v>
      </c>
      <c r="G3195" t="s">
        <v>74</v>
      </c>
      <c r="H3195" t="s">
        <v>74</v>
      </c>
      <c r="I3195" t="s">
        <v>52589</v>
      </c>
      <c r="J3195" t="s">
        <v>5937</v>
      </c>
      <c r="K3195" t="s">
        <v>74</v>
      </c>
      <c r="L3195" t="s">
        <v>74</v>
      </c>
      <c r="M3195" t="s">
        <v>78</v>
      </c>
      <c r="N3195" t="s">
        <v>372</v>
      </c>
      <c r="O3195" t="s">
        <v>74</v>
      </c>
      <c r="P3195" t="s">
        <v>74</v>
      </c>
      <c r="Q3195" t="s">
        <v>74</v>
      </c>
      <c r="R3195" t="s">
        <v>74</v>
      </c>
      <c r="S3195" t="s">
        <v>74</v>
      </c>
      <c r="T3195" t="s">
        <v>52590</v>
      </c>
      <c r="U3195" t="s">
        <v>27273</v>
      </c>
      <c r="V3195" t="s">
        <v>52591</v>
      </c>
      <c r="W3195" t="s">
        <v>52592</v>
      </c>
      <c r="X3195" t="s">
        <v>52246</v>
      </c>
      <c r="Y3195" t="s">
        <v>52593</v>
      </c>
      <c r="Z3195" t="s">
        <v>40596</v>
      </c>
      <c r="AA3195" t="s">
        <v>40597</v>
      </c>
      <c r="AB3195" t="s">
        <v>74</v>
      </c>
      <c r="AC3195" t="s">
        <v>74</v>
      </c>
      <c r="AD3195" t="s">
        <v>74</v>
      </c>
      <c r="AE3195" t="s">
        <v>74</v>
      </c>
      <c r="AF3195" t="s">
        <v>74</v>
      </c>
      <c r="AG3195">
        <v>95</v>
      </c>
      <c r="AH3195">
        <v>9</v>
      </c>
      <c r="AI3195">
        <v>13</v>
      </c>
      <c r="AJ3195">
        <v>1</v>
      </c>
      <c r="AK3195">
        <v>20</v>
      </c>
      <c r="AL3195" t="s">
        <v>89</v>
      </c>
      <c r="AM3195" t="s">
        <v>90</v>
      </c>
      <c r="AN3195" t="s">
        <v>91</v>
      </c>
      <c r="AO3195" t="s">
        <v>5946</v>
      </c>
      <c r="AP3195" t="s">
        <v>5947</v>
      </c>
      <c r="AQ3195" t="s">
        <v>74</v>
      </c>
      <c r="AR3195" t="s">
        <v>5948</v>
      </c>
      <c r="AS3195" t="s">
        <v>5949</v>
      </c>
      <c r="AT3195" t="s">
        <v>52594</v>
      </c>
      <c r="AU3195">
        <v>2024</v>
      </c>
      <c r="AV3195" t="s">
        <v>74</v>
      </c>
      <c r="AW3195" t="s">
        <v>74</v>
      </c>
      <c r="AX3195" t="s">
        <v>74</v>
      </c>
      <c r="AY3195" t="s">
        <v>74</v>
      </c>
      <c r="AZ3195" t="s">
        <v>74</v>
      </c>
      <c r="BA3195" t="s">
        <v>74</v>
      </c>
      <c r="BB3195" t="s">
        <v>74</v>
      </c>
      <c r="BC3195" t="s">
        <v>74</v>
      </c>
      <c r="BD3195" t="s">
        <v>74</v>
      </c>
      <c r="BE3195" t="s">
        <v>52595</v>
      </c>
      <c r="BF3195" t="str">
        <f>HYPERLINK("http://dx.doi.org/10.1108/JSTPM-03-2023-0034","http://dx.doi.org/10.1108/JSTPM-03-2023-0034")</f>
        <v>http://dx.doi.org/10.1108/JSTPM-03-2023-0034</v>
      </c>
      <c r="BG3195" t="s">
        <v>74</v>
      </c>
      <c r="BH3195" t="s">
        <v>938</v>
      </c>
      <c r="BI3195">
        <v>32</v>
      </c>
      <c r="BJ3195" t="s">
        <v>583</v>
      </c>
      <c r="BK3195" t="s">
        <v>313</v>
      </c>
      <c r="BL3195" t="s">
        <v>100</v>
      </c>
      <c r="BM3195" t="s">
        <v>52596</v>
      </c>
      <c r="BN3195" t="s">
        <v>74</v>
      </c>
      <c r="BO3195" t="s">
        <v>74</v>
      </c>
      <c r="BP3195" t="s">
        <v>74</v>
      </c>
      <c r="BQ3195" t="s">
        <v>74</v>
      </c>
      <c r="BR3195" t="s">
        <v>102</v>
      </c>
      <c r="BS3195" t="s">
        <v>52597</v>
      </c>
      <c r="BT3195" t="str">
        <f>HYPERLINK("https%3A%2F%2Fwww.webofscience.com%2Fwos%2Fwoscc%2Ffull-record%2FWOS:001201506100001","View Full Record in Web of Science")</f>
        <v>View Full Record in Web of Science</v>
      </c>
    </row>
    <row r="3196" spans="1:72" x14ac:dyDescent="0.25">
      <c r="A3196" t="s">
        <v>72</v>
      </c>
      <c r="B3196" t="s">
        <v>33468</v>
      </c>
      <c r="C3196" t="s">
        <v>74</v>
      </c>
      <c r="D3196" t="s">
        <v>74</v>
      </c>
      <c r="E3196" t="s">
        <v>74</v>
      </c>
      <c r="F3196" t="s">
        <v>52598</v>
      </c>
      <c r="G3196" t="s">
        <v>74</v>
      </c>
      <c r="H3196" t="s">
        <v>74</v>
      </c>
      <c r="I3196" t="s">
        <v>52599</v>
      </c>
      <c r="J3196" t="s">
        <v>1290</v>
      </c>
      <c r="K3196" t="s">
        <v>74</v>
      </c>
      <c r="L3196" t="s">
        <v>74</v>
      </c>
      <c r="M3196" t="s">
        <v>78</v>
      </c>
      <c r="N3196" t="s">
        <v>79</v>
      </c>
      <c r="O3196" t="s">
        <v>74</v>
      </c>
      <c r="P3196" t="s">
        <v>74</v>
      </c>
      <c r="Q3196" t="s">
        <v>74</v>
      </c>
      <c r="R3196" t="s">
        <v>74</v>
      </c>
      <c r="S3196" t="s">
        <v>74</v>
      </c>
      <c r="T3196" t="s">
        <v>52600</v>
      </c>
      <c r="U3196" t="s">
        <v>52601</v>
      </c>
      <c r="V3196" t="s">
        <v>52602</v>
      </c>
      <c r="W3196" t="s">
        <v>52603</v>
      </c>
      <c r="X3196" t="s">
        <v>3960</v>
      </c>
      <c r="Y3196" t="s">
        <v>52604</v>
      </c>
      <c r="Z3196" t="s">
        <v>52605</v>
      </c>
      <c r="AA3196" t="s">
        <v>74</v>
      </c>
      <c r="AB3196" t="s">
        <v>74</v>
      </c>
      <c r="AC3196" t="s">
        <v>74</v>
      </c>
      <c r="AD3196" t="s">
        <v>74</v>
      </c>
      <c r="AE3196" t="s">
        <v>74</v>
      </c>
      <c r="AF3196" t="s">
        <v>74</v>
      </c>
      <c r="AG3196">
        <v>97</v>
      </c>
      <c r="AH3196">
        <v>4</v>
      </c>
      <c r="AI3196">
        <v>4</v>
      </c>
      <c r="AJ3196">
        <v>2</v>
      </c>
      <c r="AK3196">
        <v>4</v>
      </c>
      <c r="AL3196" t="s">
        <v>575</v>
      </c>
      <c r="AM3196" t="s">
        <v>576</v>
      </c>
      <c r="AN3196" t="s">
        <v>577</v>
      </c>
      <c r="AO3196" t="s">
        <v>1299</v>
      </c>
      <c r="AP3196" t="s">
        <v>74</v>
      </c>
      <c r="AQ3196" t="s">
        <v>74</v>
      </c>
      <c r="AR3196" t="s">
        <v>1300</v>
      </c>
      <c r="AS3196" t="s">
        <v>1301</v>
      </c>
      <c r="AT3196" t="s">
        <v>124</v>
      </c>
      <c r="AU3196">
        <v>2024</v>
      </c>
      <c r="AV3196">
        <v>12</v>
      </c>
      <c r="AW3196">
        <v>4</v>
      </c>
      <c r="AX3196" t="s">
        <v>74</v>
      </c>
      <c r="AY3196" t="s">
        <v>74</v>
      </c>
      <c r="AZ3196" t="s">
        <v>74</v>
      </c>
      <c r="BA3196" t="s">
        <v>74</v>
      </c>
      <c r="BB3196" t="s">
        <v>74</v>
      </c>
      <c r="BC3196" t="s">
        <v>74</v>
      </c>
      <c r="BD3196">
        <v>115</v>
      </c>
      <c r="BE3196" t="s">
        <v>52606</v>
      </c>
      <c r="BF3196" t="str">
        <f>HYPERLINK("http://dx.doi.org/10.3390/ijfs12040115","http://dx.doi.org/10.3390/ijfs12040115")</f>
        <v>http://dx.doi.org/10.3390/ijfs12040115</v>
      </c>
      <c r="BG3196" t="s">
        <v>74</v>
      </c>
      <c r="BH3196" t="s">
        <v>74</v>
      </c>
      <c r="BI3196">
        <v>20</v>
      </c>
      <c r="BJ3196" t="s">
        <v>268</v>
      </c>
      <c r="BK3196" t="s">
        <v>313</v>
      </c>
      <c r="BL3196" t="s">
        <v>100</v>
      </c>
      <c r="BM3196" t="s">
        <v>52607</v>
      </c>
      <c r="BN3196" t="s">
        <v>74</v>
      </c>
      <c r="BO3196" t="s">
        <v>212</v>
      </c>
      <c r="BP3196" t="s">
        <v>74</v>
      </c>
      <c r="BQ3196" t="s">
        <v>74</v>
      </c>
      <c r="BR3196" t="s">
        <v>102</v>
      </c>
      <c r="BS3196" t="s">
        <v>52608</v>
      </c>
      <c r="BT3196" t="str">
        <f>HYPERLINK("https%3A%2F%2Fwww.webofscience.com%2Fwos%2Fwoscc%2Ffull-record%2FWOS:001384685900001","View Full Record in Web of Science")</f>
        <v>View Full Record in Web of Science</v>
      </c>
    </row>
    <row r="3197" spans="1:72" x14ac:dyDescent="0.25">
      <c r="A3197" t="s">
        <v>72</v>
      </c>
      <c r="B3197" t="s">
        <v>52609</v>
      </c>
      <c r="C3197" t="s">
        <v>74</v>
      </c>
      <c r="D3197" t="s">
        <v>74</v>
      </c>
      <c r="E3197" t="s">
        <v>74</v>
      </c>
      <c r="F3197" t="s">
        <v>52610</v>
      </c>
      <c r="G3197" t="s">
        <v>74</v>
      </c>
      <c r="H3197" t="s">
        <v>74</v>
      </c>
      <c r="I3197" t="s">
        <v>52611</v>
      </c>
      <c r="J3197" t="s">
        <v>4700</v>
      </c>
      <c r="K3197" t="s">
        <v>74</v>
      </c>
      <c r="L3197" t="s">
        <v>74</v>
      </c>
      <c r="M3197" t="s">
        <v>78</v>
      </c>
      <c r="N3197" t="s">
        <v>79</v>
      </c>
      <c r="O3197" t="s">
        <v>74</v>
      </c>
      <c r="P3197" t="s">
        <v>74</v>
      </c>
      <c r="Q3197" t="s">
        <v>74</v>
      </c>
      <c r="R3197" t="s">
        <v>74</v>
      </c>
      <c r="S3197" t="s">
        <v>74</v>
      </c>
      <c r="T3197" t="s">
        <v>52612</v>
      </c>
      <c r="U3197" t="s">
        <v>52613</v>
      </c>
      <c r="V3197" t="s">
        <v>52614</v>
      </c>
      <c r="W3197" t="s">
        <v>52615</v>
      </c>
      <c r="X3197" t="s">
        <v>21132</v>
      </c>
      <c r="Y3197" t="s">
        <v>13841</v>
      </c>
      <c r="Z3197" t="s">
        <v>52616</v>
      </c>
      <c r="AA3197" t="s">
        <v>52617</v>
      </c>
      <c r="AB3197" t="s">
        <v>52618</v>
      </c>
      <c r="AC3197" t="s">
        <v>74</v>
      </c>
      <c r="AD3197" t="s">
        <v>74</v>
      </c>
      <c r="AE3197" t="s">
        <v>74</v>
      </c>
      <c r="AF3197" t="s">
        <v>74</v>
      </c>
      <c r="AG3197">
        <v>54</v>
      </c>
      <c r="AH3197">
        <v>2</v>
      </c>
      <c r="AI3197">
        <v>13</v>
      </c>
      <c r="AJ3197">
        <v>1</v>
      </c>
      <c r="AK3197">
        <v>2</v>
      </c>
      <c r="AL3197" t="s">
        <v>332</v>
      </c>
      <c r="AM3197" t="s">
        <v>333</v>
      </c>
      <c r="AN3197" t="s">
        <v>334</v>
      </c>
      <c r="AO3197" t="s">
        <v>4711</v>
      </c>
      <c r="AP3197" t="s">
        <v>4712</v>
      </c>
      <c r="AQ3197" t="s">
        <v>74</v>
      </c>
      <c r="AR3197" t="s">
        <v>4713</v>
      </c>
      <c r="AS3197" t="s">
        <v>4714</v>
      </c>
      <c r="AT3197" t="s">
        <v>463</v>
      </c>
      <c r="AU3197">
        <v>2024</v>
      </c>
      <c r="AV3197">
        <v>16</v>
      </c>
      <c r="AW3197">
        <v>3</v>
      </c>
      <c r="AX3197" t="s">
        <v>74</v>
      </c>
      <c r="AY3197" t="s">
        <v>74</v>
      </c>
      <c r="AZ3197" t="s">
        <v>74</v>
      </c>
      <c r="BA3197" t="s">
        <v>74</v>
      </c>
      <c r="BB3197">
        <v>309</v>
      </c>
      <c r="BC3197">
        <v>323</v>
      </c>
      <c r="BD3197" t="s">
        <v>74</v>
      </c>
      <c r="BE3197" t="s">
        <v>52619</v>
      </c>
      <c r="BF3197" t="str">
        <f>HYPERLINK("http://dx.doi.org/10.1080/20421338.2023.2296673","http://dx.doi.org/10.1080/20421338.2023.2296673")</f>
        <v>http://dx.doi.org/10.1080/20421338.2023.2296673</v>
      </c>
      <c r="BG3197" t="s">
        <v>74</v>
      </c>
      <c r="BH3197" t="s">
        <v>239</v>
      </c>
      <c r="BI3197">
        <v>15</v>
      </c>
      <c r="BJ3197" t="s">
        <v>559</v>
      </c>
      <c r="BK3197" t="s">
        <v>313</v>
      </c>
      <c r="BL3197" t="s">
        <v>560</v>
      </c>
      <c r="BM3197" t="s">
        <v>32154</v>
      </c>
      <c r="BN3197" t="s">
        <v>74</v>
      </c>
      <c r="BO3197" t="s">
        <v>74</v>
      </c>
      <c r="BP3197" t="s">
        <v>74</v>
      </c>
      <c r="BQ3197" t="s">
        <v>74</v>
      </c>
      <c r="BR3197" t="s">
        <v>102</v>
      </c>
      <c r="BS3197" t="s">
        <v>52620</v>
      </c>
      <c r="BT3197" t="str">
        <f>HYPERLINK("https%3A%2F%2Fwww.webofscience.com%2Fwos%2Fwoscc%2Ffull-record%2FWOS:001147079000001","View Full Record in Web of Science")</f>
        <v>View Full Record in Web of Science</v>
      </c>
    </row>
    <row r="3198" spans="1:72" x14ac:dyDescent="0.25">
      <c r="A3198" t="s">
        <v>72</v>
      </c>
      <c r="B3198" t="s">
        <v>52621</v>
      </c>
      <c r="C3198" t="s">
        <v>74</v>
      </c>
      <c r="D3198" t="s">
        <v>74</v>
      </c>
      <c r="E3198" t="s">
        <v>74</v>
      </c>
      <c r="F3198" t="s">
        <v>52622</v>
      </c>
      <c r="G3198" t="s">
        <v>74</v>
      </c>
      <c r="H3198" t="s">
        <v>74</v>
      </c>
      <c r="I3198" t="s">
        <v>52623</v>
      </c>
      <c r="J3198" t="s">
        <v>3439</v>
      </c>
      <c r="K3198" t="s">
        <v>74</v>
      </c>
      <c r="L3198" t="s">
        <v>74</v>
      </c>
      <c r="M3198" t="s">
        <v>78</v>
      </c>
      <c r="N3198" t="s">
        <v>79</v>
      </c>
      <c r="O3198" t="s">
        <v>74</v>
      </c>
      <c r="P3198" t="s">
        <v>74</v>
      </c>
      <c r="Q3198" t="s">
        <v>74</v>
      </c>
      <c r="R3198" t="s">
        <v>74</v>
      </c>
      <c r="S3198" t="s">
        <v>74</v>
      </c>
      <c r="T3198" t="s">
        <v>52624</v>
      </c>
      <c r="U3198" t="s">
        <v>52625</v>
      </c>
      <c r="V3198" t="s">
        <v>52626</v>
      </c>
      <c r="W3198" t="s">
        <v>52627</v>
      </c>
      <c r="X3198" t="s">
        <v>52628</v>
      </c>
      <c r="Y3198" t="s">
        <v>52629</v>
      </c>
      <c r="Z3198" t="s">
        <v>52630</v>
      </c>
      <c r="AA3198" t="s">
        <v>52631</v>
      </c>
      <c r="AB3198" t="s">
        <v>52632</v>
      </c>
      <c r="AC3198" t="s">
        <v>52633</v>
      </c>
      <c r="AD3198" t="s">
        <v>52633</v>
      </c>
      <c r="AE3198" t="s">
        <v>52634</v>
      </c>
      <c r="AF3198" t="s">
        <v>74</v>
      </c>
      <c r="AG3198">
        <v>99</v>
      </c>
      <c r="AH3198">
        <v>0</v>
      </c>
      <c r="AI3198">
        <v>0</v>
      </c>
      <c r="AJ3198">
        <v>3</v>
      </c>
      <c r="AK3198">
        <v>3</v>
      </c>
      <c r="AL3198" t="s">
        <v>823</v>
      </c>
      <c r="AM3198" t="s">
        <v>333</v>
      </c>
      <c r="AN3198" t="s">
        <v>824</v>
      </c>
      <c r="AO3198" t="s">
        <v>3443</v>
      </c>
      <c r="AP3198" t="s">
        <v>74</v>
      </c>
      <c r="AQ3198" t="s">
        <v>74</v>
      </c>
      <c r="AR3198" t="s">
        <v>3444</v>
      </c>
      <c r="AS3198" t="s">
        <v>3445</v>
      </c>
      <c r="AT3198" t="s">
        <v>2970</v>
      </c>
      <c r="AU3198">
        <v>2025</v>
      </c>
      <c r="AV3198">
        <v>13</v>
      </c>
      <c r="AW3198">
        <v>1</v>
      </c>
      <c r="AX3198" t="s">
        <v>74</v>
      </c>
      <c r="AY3198" t="s">
        <v>74</v>
      </c>
      <c r="AZ3198" t="s">
        <v>74</v>
      </c>
      <c r="BA3198" t="s">
        <v>74</v>
      </c>
      <c r="BB3198" t="s">
        <v>74</v>
      </c>
      <c r="BC3198" t="s">
        <v>74</v>
      </c>
      <c r="BD3198">
        <v>2559058</v>
      </c>
      <c r="BE3198" t="s">
        <v>52635</v>
      </c>
      <c r="BF3198" t="str">
        <f>HYPERLINK("http://dx.doi.org/10.1080/23322039.2025.2559058","http://dx.doi.org/10.1080/23322039.2025.2559058")</f>
        <v>http://dx.doi.org/10.1080/23322039.2025.2559058</v>
      </c>
      <c r="BG3198" t="s">
        <v>74</v>
      </c>
      <c r="BH3198" t="s">
        <v>74</v>
      </c>
      <c r="BI3198">
        <v>17</v>
      </c>
      <c r="BJ3198" t="s">
        <v>291</v>
      </c>
      <c r="BK3198" t="s">
        <v>313</v>
      </c>
      <c r="BL3198" t="s">
        <v>100</v>
      </c>
      <c r="BM3198" t="s">
        <v>52636</v>
      </c>
      <c r="BN3198" t="s">
        <v>74</v>
      </c>
      <c r="BO3198" t="s">
        <v>916</v>
      </c>
      <c r="BP3198" t="s">
        <v>74</v>
      </c>
      <c r="BQ3198" t="s">
        <v>74</v>
      </c>
      <c r="BR3198" t="s">
        <v>102</v>
      </c>
      <c r="BS3198" t="s">
        <v>52637</v>
      </c>
      <c r="BT3198" t="str">
        <f>HYPERLINK("https%3A%2F%2Fwww.webofscience.com%2Fwos%2Fwoscc%2Ffull-record%2FWOS:001574385200001","View Full Record in Web of Science")</f>
        <v>View Full Record in Web of Science</v>
      </c>
    </row>
    <row r="3199" spans="1:72" x14ac:dyDescent="0.25">
      <c r="A3199" t="s">
        <v>72</v>
      </c>
      <c r="B3199" t="s">
        <v>52638</v>
      </c>
      <c r="C3199" t="s">
        <v>74</v>
      </c>
      <c r="D3199" t="s">
        <v>74</v>
      </c>
      <c r="E3199" t="s">
        <v>74</v>
      </c>
      <c r="F3199" t="s">
        <v>52639</v>
      </c>
      <c r="G3199" t="s">
        <v>74</v>
      </c>
      <c r="H3199" t="s">
        <v>74</v>
      </c>
      <c r="I3199" t="s">
        <v>52640</v>
      </c>
      <c r="J3199" t="s">
        <v>52641</v>
      </c>
      <c r="K3199" t="s">
        <v>74</v>
      </c>
      <c r="L3199" t="s">
        <v>74</v>
      </c>
      <c r="M3199" t="s">
        <v>78</v>
      </c>
      <c r="N3199" t="s">
        <v>79</v>
      </c>
      <c r="O3199" t="s">
        <v>74</v>
      </c>
      <c r="P3199" t="s">
        <v>74</v>
      </c>
      <c r="Q3199" t="s">
        <v>74</v>
      </c>
      <c r="R3199" t="s">
        <v>74</v>
      </c>
      <c r="S3199" t="s">
        <v>74</v>
      </c>
      <c r="T3199" t="s">
        <v>52642</v>
      </c>
      <c r="U3199" t="s">
        <v>52643</v>
      </c>
      <c r="V3199" t="s">
        <v>52644</v>
      </c>
      <c r="W3199" t="s">
        <v>52645</v>
      </c>
      <c r="X3199" t="s">
        <v>52646</v>
      </c>
      <c r="Y3199" t="s">
        <v>52647</v>
      </c>
      <c r="Z3199" t="s">
        <v>52648</v>
      </c>
      <c r="AA3199" t="s">
        <v>74</v>
      </c>
      <c r="AB3199" t="s">
        <v>52649</v>
      </c>
      <c r="AC3199" t="s">
        <v>74</v>
      </c>
      <c r="AD3199" t="s">
        <v>74</v>
      </c>
      <c r="AE3199" t="s">
        <v>74</v>
      </c>
      <c r="AF3199" t="s">
        <v>74</v>
      </c>
      <c r="AG3199">
        <v>91</v>
      </c>
      <c r="AH3199">
        <v>4</v>
      </c>
      <c r="AI3199">
        <v>4</v>
      </c>
      <c r="AJ3199">
        <v>2</v>
      </c>
      <c r="AK3199">
        <v>10</v>
      </c>
      <c r="AL3199" t="s">
        <v>332</v>
      </c>
      <c r="AM3199" t="s">
        <v>333</v>
      </c>
      <c r="AN3199" t="s">
        <v>334</v>
      </c>
      <c r="AO3199" t="s">
        <v>52650</v>
      </c>
      <c r="AP3199" t="s">
        <v>52651</v>
      </c>
      <c r="AQ3199" t="s">
        <v>74</v>
      </c>
      <c r="AR3199" t="s">
        <v>52652</v>
      </c>
      <c r="AS3199" t="s">
        <v>52653</v>
      </c>
      <c r="AT3199" t="s">
        <v>52654</v>
      </c>
      <c r="AU3199">
        <v>2024</v>
      </c>
      <c r="AV3199">
        <v>36</v>
      </c>
      <c r="AW3199" t="s">
        <v>52655</v>
      </c>
      <c r="AX3199" t="s">
        <v>74</v>
      </c>
      <c r="AY3199" t="s">
        <v>74</v>
      </c>
      <c r="AZ3199" t="s">
        <v>74</v>
      </c>
      <c r="BA3199" t="s">
        <v>74</v>
      </c>
      <c r="BB3199">
        <v>1385</v>
      </c>
      <c r="BC3199">
        <v>1407</v>
      </c>
      <c r="BD3199" t="s">
        <v>74</v>
      </c>
      <c r="BE3199" t="s">
        <v>52656</v>
      </c>
      <c r="BF3199" t="str">
        <f>HYPERLINK("http://dx.doi.org/10.1080/08985626.2024.2331150","http://dx.doi.org/10.1080/08985626.2024.2331150")</f>
        <v>http://dx.doi.org/10.1080/08985626.2024.2331150</v>
      </c>
      <c r="BG3199" t="s">
        <v>74</v>
      </c>
      <c r="BH3199" t="s">
        <v>1981</v>
      </c>
      <c r="BI3199">
        <v>23</v>
      </c>
      <c r="BJ3199" t="s">
        <v>52657</v>
      </c>
      <c r="BK3199" t="s">
        <v>99</v>
      </c>
      <c r="BL3199" t="s">
        <v>7292</v>
      </c>
      <c r="BM3199" t="s">
        <v>52658</v>
      </c>
      <c r="BN3199" t="s">
        <v>74</v>
      </c>
      <c r="BO3199" t="s">
        <v>74</v>
      </c>
      <c r="BP3199" t="s">
        <v>74</v>
      </c>
      <c r="BQ3199" t="s">
        <v>74</v>
      </c>
      <c r="BR3199" t="s">
        <v>102</v>
      </c>
      <c r="BS3199" t="s">
        <v>52659</v>
      </c>
      <c r="BT3199" t="str">
        <f>HYPERLINK("https%3A%2F%2Fwww.webofscience.com%2Fwos%2Fwoscc%2Ffull-record%2FWOS:001194317300001","View Full Record in Web of Science")</f>
        <v>View Full Record in Web of Science</v>
      </c>
    </row>
    <row r="3200" spans="1:72" x14ac:dyDescent="0.25">
      <c r="A3200" t="s">
        <v>72</v>
      </c>
      <c r="B3200" t="s">
        <v>52660</v>
      </c>
      <c r="C3200" t="s">
        <v>74</v>
      </c>
      <c r="D3200" t="s">
        <v>74</v>
      </c>
      <c r="E3200" t="s">
        <v>74</v>
      </c>
      <c r="F3200" t="s">
        <v>52661</v>
      </c>
      <c r="G3200" t="s">
        <v>74</v>
      </c>
      <c r="H3200" t="s">
        <v>74</v>
      </c>
      <c r="I3200" t="s">
        <v>52662</v>
      </c>
      <c r="J3200" t="s">
        <v>52663</v>
      </c>
      <c r="K3200" t="s">
        <v>74</v>
      </c>
      <c r="L3200" t="s">
        <v>74</v>
      </c>
      <c r="M3200" t="s">
        <v>78</v>
      </c>
      <c r="N3200" t="s">
        <v>79</v>
      </c>
      <c r="O3200" t="s">
        <v>74</v>
      </c>
      <c r="P3200" t="s">
        <v>74</v>
      </c>
      <c r="Q3200" t="s">
        <v>74</v>
      </c>
      <c r="R3200" t="s">
        <v>74</v>
      </c>
      <c r="S3200" t="s">
        <v>74</v>
      </c>
      <c r="T3200" t="s">
        <v>52664</v>
      </c>
      <c r="U3200" t="s">
        <v>52665</v>
      </c>
      <c r="V3200" t="s">
        <v>52666</v>
      </c>
      <c r="W3200" t="s">
        <v>52667</v>
      </c>
      <c r="X3200" t="s">
        <v>52668</v>
      </c>
      <c r="Y3200" t="s">
        <v>52669</v>
      </c>
      <c r="Z3200" t="s">
        <v>52670</v>
      </c>
      <c r="AA3200" t="s">
        <v>52671</v>
      </c>
      <c r="AB3200" t="s">
        <v>52672</v>
      </c>
      <c r="AC3200" t="s">
        <v>52673</v>
      </c>
      <c r="AD3200" t="s">
        <v>52673</v>
      </c>
      <c r="AE3200" t="s">
        <v>52674</v>
      </c>
      <c r="AF3200" t="s">
        <v>74</v>
      </c>
      <c r="AG3200">
        <v>42</v>
      </c>
      <c r="AH3200">
        <v>0</v>
      </c>
      <c r="AI3200">
        <v>0</v>
      </c>
      <c r="AJ3200">
        <v>1</v>
      </c>
      <c r="AK3200">
        <v>9</v>
      </c>
      <c r="AL3200" t="s">
        <v>479</v>
      </c>
      <c r="AM3200" t="s">
        <v>480</v>
      </c>
      <c r="AN3200" t="s">
        <v>481</v>
      </c>
      <c r="AO3200" t="s">
        <v>52675</v>
      </c>
      <c r="AP3200" t="s">
        <v>52676</v>
      </c>
      <c r="AQ3200" t="s">
        <v>74</v>
      </c>
      <c r="AR3200" t="s">
        <v>52677</v>
      </c>
      <c r="AS3200" t="s">
        <v>52678</v>
      </c>
      <c r="AT3200" t="s">
        <v>605</v>
      </c>
      <c r="AU3200">
        <v>2025</v>
      </c>
      <c r="AV3200">
        <v>53</v>
      </c>
      <c r="AW3200">
        <v>1</v>
      </c>
      <c r="AX3200" t="s">
        <v>74</v>
      </c>
      <c r="AY3200" t="s">
        <v>74</v>
      </c>
      <c r="AZ3200" t="s">
        <v>74</v>
      </c>
      <c r="BA3200" t="s">
        <v>74</v>
      </c>
      <c r="BB3200">
        <v>103</v>
      </c>
      <c r="BC3200">
        <v>112</v>
      </c>
      <c r="BD3200" t="s">
        <v>74</v>
      </c>
      <c r="BE3200" t="s">
        <v>52679</v>
      </c>
      <c r="BF3200" t="str">
        <f>HYPERLINK("http://dx.doi.org/10.1111/bld.12621","http://dx.doi.org/10.1111/bld.12621")</f>
        <v>http://dx.doi.org/10.1111/bld.12621</v>
      </c>
      <c r="BG3200" t="s">
        <v>74</v>
      </c>
      <c r="BH3200" t="s">
        <v>9389</v>
      </c>
      <c r="BI3200">
        <v>10</v>
      </c>
      <c r="BJ3200" t="s">
        <v>33095</v>
      </c>
      <c r="BK3200" t="s">
        <v>99</v>
      </c>
      <c r="BL3200" t="s">
        <v>4031</v>
      </c>
      <c r="BM3200" t="s">
        <v>52680</v>
      </c>
      <c r="BN3200" t="s">
        <v>74</v>
      </c>
      <c r="BO3200" t="s">
        <v>466</v>
      </c>
      <c r="BP3200" t="s">
        <v>74</v>
      </c>
      <c r="BQ3200" t="s">
        <v>74</v>
      </c>
      <c r="BR3200" t="s">
        <v>102</v>
      </c>
      <c r="BS3200" t="s">
        <v>52681</v>
      </c>
      <c r="BT3200" t="str">
        <f>HYPERLINK("https%3A%2F%2Fwww.webofscience.com%2Fwos%2Fwoscc%2Ffull-record%2FWOS:001316646000001","View Full Record in Web of Science")</f>
        <v>View Full Record in Web of Science</v>
      </c>
    </row>
    <row r="3201" spans="1:72" x14ac:dyDescent="0.25">
      <c r="A3201" t="s">
        <v>72</v>
      </c>
      <c r="B3201" t="s">
        <v>38060</v>
      </c>
      <c r="C3201" t="s">
        <v>74</v>
      </c>
      <c r="D3201" t="s">
        <v>74</v>
      </c>
      <c r="E3201" t="s">
        <v>74</v>
      </c>
      <c r="F3201" t="s">
        <v>38061</v>
      </c>
      <c r="G3201" t="s">
        <v>74</v>
      </c>
      <c r="H3201" t="s">
        <v>74</v>
      </c>
      <c r="I3201" t="s">
        <v>52682</v>
      </c>
      <c r="J3201" t="s">
        <v>38063</v>
      </c>
      <c r="K3201" t="s">
        <v>74</v>
      </c>
      <c r="L3201" t="s">
        <v>74</v>
      </c>
      <c r="M3201" t="s">
        <v>78</v>
      </c>
      <c r="N3201" t="s">
        <v>79</v>
      </c>
      <c r="O3201" t="s">
        <v>74</v>
      </c>
      <c r="P3201" t="s">
        <v>74</v>
      </c>
      <c r="Q3201" t="s">
        <v>74</v>
      </c>
      <c r="R3201" t="s">
        <v>74</v>
      </c>
      <c r="S3201" t="s">
        <v>74</v>
      </c>
      <c r="T3201" t="s">
        <v>52683</v>
      </c>
      <c r="U3201" t="s">
        <v>52684</v>
      </c>
      <c r="V3201" t="s">
        <v>52685</v>
      </c>
      <c r="W3201" t="s">
        <v>38067</v>
      </c>
      <c r="X3201" t="s">
        <v>38068</v>
      </c>
      <c r="Y3201" t="s">
        <v>38069</v>
      </c>
      <c r="Z3201" t="s">
        <v>38070</v>
      </c>
      <c r="AA3201" t="s">
        <v>38071</v>
      </c>
      <c r="AB3201" t="s">
        <v>74</v>
      </c>
      <c r="AC3201" t="s">
        <v>74</v>
      </c>
      <c r="AD3201" t="s">
        <v>74</v>
      </c>
      <c r="AE3201" t="s">
        <v>74</v>
      </c>
      <c r="AF3201" t="s">
        <v>74</v>
      </c>
      <c r="AG3201">
        <v>82</v>
      </c>
      <c r="AH3201">
        <v>1</v>
      </c>
      <c r="AI3201">
        <v>2</v>
      </c>
      <c r="AJ3201">
        <v>1</v>
      </c>
      <c r="AK3201">
        <v>4</v>
      </c>
      <c r="AL3201" t="s">
        <v>89</v>
      </c>
      <c r="AM3201" t="s">
        <v>90</v>
      </c>
      <c r="AN3201" t="s">
        <v>91</v>
      </c>
      <c r="AO3201" t="s">
        <v>38074</v>
      </c>
      <c r="AP3201" t="s">
        <v>38075</v>
      </c>
      <c r="AQ3201" t="s">
        <v>74</v>
      </c>
      <c r="AR3201" t="s">
        <v>38076</v>
      </c>
      <c r="AS3201" t="s">
        <v>38077</v>
      </c>
      <c r="AT3201" t="s">
        <v>3206</v>
      </c>
      <c r="AU3201">
        <v>2025</v>
      </c>
      <c r="AV3201">
        <v>17</v>
      </c>
      <c r="AW3201">
        <v>1</v>
      </c>
      <c r="AX3201" t="s">
        <v>74</v>
      </c>
      <c r="AY3201" t="s">
        <v>74</v>
      </c>
      <c r="AZ3201" t="s">
        <v>74</v>
      </c>
      <c r="BA3201" t="s">
        <v>74</v>
      </c>
      <c r="BB3201">
        <v>198</v>
      </c>
      <c r="BC3201">
        <v>216</v>
      </c>
      <c r="BD3201" t="s">
        <v>74</v>
      </c>
      <c r="BE3201" t="s">
        <v>52686</v>
      </c>
      <c r="BF3201" t="str">
        <f>HYPERLINK("http://dx.doi.org/10.1108/RBF-06-2024-0179","http://dx.doi.org/10.1108/RBF-06-2024-0179")</f>
        <v>http://dx.doi.org/10.1108/RBF-06-2024-0179</v>
      </c>
      <c r="BG3201" t="s">
        <v>74</v>
      </c>
      <c r="BH3201" t="s">
        <v>809</v>
      </c>
      <c r="BI3201">
        <v>19</v>
      </c>
      <c r="BJ3201" t="s">
        <v>268</v>
      </c>
      <c r="BK3201" t="s">
        <v>313</v>
      </c>
      <c r="BL3201" t="s">
        <v>100</v>
      </c>
      <c r="BM3201" t="s">
        <v>47807</v>
      </c>
      <c r="BN3201" t="s">
        <v>74</v>
      </c>
      <c r="BO3201" t="s">
        <v>74</v>
      </c>
      <c r="BP3201" t="s">
        <v>74</v>
      </c>
      <c r="BQ3201" t="s">
        <v>74</v>
      </c>
      <c r="BR3201" t="s">
        <v>102</v>
      </c>
      <c r="BS3201" t="s">
        <v>52687</v>
      </c>
      <c r="BT3201" t="str">
        <f>HYPERLINK("https%3A%2F%2Fwww.webofscience.com%2Fwos%2Fwoscc%2Ffull-record%2FWOS:001369723700001","View Full Record in Web of Science")</f>
        <v>View Full Record in Web of Science</v>
      </c>
    </row>
    <row r="3202" spans="1:72" x14ac:dyDescent="0.25">
      <c r="A3202" t="s">
        <v>72</v>
      </c>
      <c r="B3202" t="s">
        <v>52688</v>
      </c>
      <c r="C3202" t="s">
        <v>74</v>
      </c>
      <c r="D3202" t="s">
        <v>74</v>
      </c>
      <c r="E3202" t="s">
        <v>74</v>
      </c>
      <c r="F3202" t="s">
        <v>52689</v>
      </c>
      <c r="G3202" t="s">
        <v>74</v>
      </c>
      <c r="H3202" t="s">
        <v>74</v>
      </c>
      <c r="I3202" t="s">
        <v>52690</v>
      </c>
      <c r="J3202" t="s">
        <v>4822</v>
      </c>
      <c r="K3202" t="s">
        <v>74</v>
      </c>
      <c r="L3202" t="s">
        <v>74</v>
      </c>
      <c r="M3202" t="s">
        <v>78</v>
      </c>
      <c r="N3202" t="s">
        <v>79</v>
      </c>
      <c r="O3202" t="s">
        <v>74</v>
      </c>
      <c r="P3202" t="s">
        <v>74</v>
      </c>
      <c r="Q3202" t="s">
        <v>74</v>
      </c>
      <c r="R3202" t="s">
        <v>74</v>
      </c>
      <c r="S3202" t="s">
        <v>74</v>
      </c>
      <c r="T3202" t="s">
        <v>52691</v>
      </c>
      <c r="U3202" t="s">
        <v>52692</v>
      </c>
      <c r="V3202" t="s">
        <v>52693</v>
      </c>
      <c r="W3202" t="s">
        <v>52694</v>
      </c>
      <c r="X3202" t="s">
        <v>52695</v>
      </c>
      <c r="Y3202" t="s">
        <v>4311</v>
      </c>
      <c r="Z3202" t="s">
        <v>52696</v>
      </c>
      <c r="AA3202" t="s">
        <v>13806</v>
      </c>
      <c r="AB3202" t="s">
        <v>13807</v>
      </c>
      <c r="AC3202" t="s">
        <v>74</v>
      </c>
      <c r="AD3202" t="s">
        <v>74</v>
      </c>
      <c r="AE3202" t="s">
        <v>74</v>
      </c>
      <c r="AF3202" t="s">
        <v>74</v>
      </c>
      <c r="AG3202">
        <v>133</v>
      </c>
      <c r="AH3202">
        <v>42</v>
      </c>
      <c r="AI3202">
        <v>47</v>
      </c>
      <c r="AJ3202">
        <v>0</v>
      </c>
      <c r="AK3202">
        <v>47</v>
      </c>
      <c r="AL3202" t="s">
        <v>201</v>
      </c>
      <c r="AM3202" t="s">
        <v>202</v>
      </c>
      <c r="AN3202" t="s">
        <v>203</v>
      </c>
      <c r="AO3202" t="s">
        <v>4833</v>
      </c>
      <c r="AP3202" t="s">
        <v>74</v>
      </c>
      <c r="AQ3202" t="s">
        <v>74</v>
      </c>
      <c r="AR3202" t="s">
        <v>4834</v>
      </c>
      <c r="AS3202" t="s">
        <v>4835</v>
      </c>
      <c r="AT3202" t="s">
        <v>698</v>
      </c>
      <c r="AU3202">
        <v>2020</v>
      </c>
      <c r="AV3202">
        <v>67</v>
      </c>
      <c r="AW3202" t="s">
        <v>74</v>
      </c>
      <c r="AX3202" t="s">
        <v>74</v>
      </c>
      <c r="AY3202" t="s">
        <v>74</v>
      </c>
      <c r="AZ3202" t="s">
        <v>74</v>
      </c>
      <c r="BA3202" t="s">
        <v>74</v>
      </c>
      <c r="BB3202">
        <v>162</v>
      </c>
      <c r="BC3202">
        <v>177</v>
      </c>
      <c r="BD3202" t="s">
        <v>74</v>
      </c>
      <c r="BE3202" t="s">
        <v>52697</v>
      </c>
      <c r="BF3202" t="str">
        <f>HYPERLINK("http://dx.doi.org/10.1016/j.eap.2020.07.006","http://dx.doi.org/10.1016/j.eap.2020.07.006")</f>
        <v>http://dx.doi.org/10.1016/j.eap.2020.07.006</v>
      </c>
      <c r="BG3202" t="s">
        <v>74</v>
      </c>
      <c r="BH3202" t="s">
        <v>74</v>
      </c>
      <c r="BI3202">
        <v>16</v>
      </c>
      <c r="BJ3202" t="s">
        <v>291</v>
      </c>
      <c r="BK3202" t="s">
        <v>99</v>
      </c>
      <c r="BL3202" t="s">
        <v>100</v>
      </c>
      <c r="BM3202" t="s">
        <v>52698</v>
      </c>
      <c r="BN3202" t="s">
        <v>74</v>
      </c>
      <c r="BO3202" t="s">
        <v>74</v>
      </c>
      <c r="BP3202" t="s">
        <v>74</v>
      </c>
      <c r="BQ3202" t="s">
        <v>74</v>
      </c>
      <c r="BR3202" t="s">
        <v>102</v>
      </c>
      <c r="BS3202" t="s">
        <v>52699</v>
      </c>
      <c r="BT3202" t="str">
        <f>HYPERLINK("https%3A%2F%2Fwww.webofscience.com%2Fwos%2Fwoscc%2Ffull-record%2FWOS:000567188900012","View Full Record in Web of Science")</f>
        <v>View Full Record in Web of Science</v>
      </c>
    </row>
    <row r="3203" spans="1:72" x14ac:dyDescent="0.25">
      <c r="A3203" t="s">
        <v>72</v>
      </c>
      <c r="B3203" t="s">
        <v>52700</v>
      </c>
      <c r="C3203" t="s">
        <v>74</v>
      </c>
      <c r="D3203" t="s">
        <v>74</v>
      </c>
      <c r="E3203" t="s">
        <v>74</v>
      </c>
      <c r="F3203" t="s">
        <v>52701</v>
      </c>
      <c r="G3203" t="s">
        <v>74</v>
      </c>
      <c r="H3203" t="s">
        <v>74</v>
      </c>
      <c r="I3203" t="s">
        <v>52702</v>
      </c>
      <c r="J3203" t="s">
        <v>39777</v>
      </c>
      <c r="K3203" t="s">
        <v>74</v>
      </c>
      <c r="L3203" t="s">
        <v>74</v>
      </c>
      <c r="M3203" t="s">
        <v>78</v>
      </c>
      <c r="N3203" t="s">
        <v>372</v>
      </c>
      <c r="O3203" t="s">
        <v>74</v>
      </c>
      <c r="P3203" t="s">
        <v>74</v>
      </c>
      <c r="Q3203" t="s">
        <v>74</v>
      </c>
      <c r="R3203" t="s">
        <v>74</v>
      </c>
      <c r="S3203" t="s">
        <v>74</v>
      </c>
      <c r="T3203" t="s">
        <v>52703</v>
      </c>
      <c r="U3203" t="s">
        <v>74</v>
      </c>
      <c r="V3203" t="s">
        <v>52704</v>
      </c>
      <c r="W3203" t="s">
        <v>52705</v>
      </c>
      <c r="X3203" t="s">
        <v>52706</v>
      </c>
      <c r="Y3203" t="s">
        <v>52707</v>
      </c>
      <c r="Z3203" t="s">
        <v>52708</v>
      </c>
      <c r="AA3203" t="s">
        <v>74</v>
      </c>
      <c r="AB3203" t="s">
        <v>52709</v>
      </c>
      <c r="AC3203" t="s">
        <v>74</v>
      </c>
      <c r="AD3203" t="s">
        <v>74</v>
      </c>
      <c r="AE3203" t="s">
        <v>74</v>
      </c>
      <c r="AF3203" t="s">
        <v>74</v>
      </c>
      <c r="AG3203">
        <v>100</v>
      </c>
      <c r="AH3203">
        <v>1</v>
      </c>
      <c r="AI3203">
        <v>1</v>
      </c>
      <c r="AJ3203">
        <v>6</v>
      </c>
      <c r="AK3203">
        <v>6</v>
      </c>
      <c r="AL3203" t="s">
        <v>89</v>
      </c>
      <c r="AM3203" t="s">
        <v>90</v>
      </c>
      <c r="AN3203" t="s">
        <v>91</v>
      </c>
      <c r="AO3203" t="s">
        <v>39786</v>
      </c>
      <c r="AP3203" t="s">
        <v>39787</v>
      </c>
      <c r="AQ3203" t="s">
        <v>74</v>
      </c>
      <c r="AR3203" t="s">
        <v>39788</v>
      </c>
      <c r="AS3203" t="s">
        <v>39789</v>
      </c>
      <c r="AT3203" t="s">
        <v>27977</v>
      </c>
      <c r="AU3203">
        <v>2025</v>
      </c>
      <c r="AV3203" t="s">
        <v>74</v>
      </c>
      <c r="AW3203" t="s">
        <v>74</v>
      </c>
      <c r="AX3203" t="s">
        <v>74</v>
      </c>
      <c r="AY3203" t="s">
        <v>74</v>
      </c>
      <c r="AZ3203" t="s">
        <v>74</v>
      </c>
      <c r="BA3203" t="s">
        <v>74</v>
      </c>
      <c r="BB3203" t="s">
        <v>74</v>
      </c>
      <c r="BC3203" t="s">
        <v>74</v>
      </c>
      <c r="BD3203" t="s">
        <v>74</v>
      </c>
      <c r="BE3203" t="s">
        <v>52710</v>
      </c>
      <c r="BF3203" t="str">
        <f>HYPERLINK("http://dx.doi.org/10.1108/SAJBS-03-2025-0131","http://dx.doi.org/10.1108/SAJBS-03-2025-0131")</f>
        <v>http://dx.doi.org/10.1108/SAJBS-03-2025-0131</v>
      </c>
      <c r="BG3203" t="s">
        <v>74</v>
      </c>
      <c r="BH3203" t="s">
        <v>12078</v>
      </c>
      <c r="BI3203">
        <v>25</v>
      </c>
      <c r="BJ3203" t="s">
        <v>418</v>
      </c>
      <c r="BK3203" t="s">
        <v>313</v>
      </c>
      <c r="BL3203" t="s">
        <v>100</v>
      </c>
      <c r="BM3203" t="s">
        <v>52711</v>
      </c>
      <c r="BN3203" t="s">
        <v>74</v>
      </c>
      <c r="BO3203" t="s">
        <v>74</v>
      </c>
      <c r="BP3203" t="s">
        <v>74</v>
      </c>
      <c r="BQ3203" t="s">
        <v>74</v>
      </c>
      <c r="BR3203" t="s">
        <v>102</v>
      </c>
      <c r="BS3203" t="s">
        <v>52712</v>
      </c>
      <c r="BT3203" t="str">
        <f>HYPERLINK("https%3A%2F%2Fwww.webofscience.com%2Fwos%2Fwoscc%2Ffull-record%2FWOS:001587715400001","View Full Record in Web of Science")</f>
        <v>View Full Record in Web of Science</v>
      </c>
    </row>
    <row r="3204" spans="1:72" x14ac:dyDescent="0.25">
      <c r="A3204" t="s">
        <v>72</v>
      </c>
      <c r="B3204" t="s">
        <v>52713</v>
      </c>
      <c r="C3204" t="s">
        <v>74</v>
      </c>
      <c r="D3204" t="s">
        <v>74</v>
      </c>
      <c r="E3204" t="s">
        <v>74</v>
      </c>
      <c r="F3204" t="s">
        <v>52714</v>
      </c>
      <c r="G3204" t="s">
        <v>74</v>
      </c>
      <c r="H3204" t="s">
        <v>74</v>
      </c>
      <c r="I3204" t="s">
        <v>52715</v>
      </c>
      <c r="J3204" t="s">
        <v>2334</v>
      </c>
      <c r="K3204" t="s">
        <v>74</v>
      </c>
      <c r="L3204" t="s">
        <v>74</v>
      </c>
      <c r="M3204" t="s">
        <v>78</v>
      </c>
      <c r="N3204" t="s">
        <v>1766</v>
      </c>
      <c r="O3204" t="s">
        <v>74</v>
      </c>
      <c r="P3204" t="s">
        <v>74</v>
      </c>
      <c r="Q3204" t="s">
        <v>74</v>
      </c>
      <c r="R3204" t="s">
        <v>74</v>
      </c>
      <c r="S3204" t="s">
        <v>74</v>
      </c>
      <c r="T3204" t="s">
        <v>52716</v>
      </c>
      <c r="U3204" t="s">
        <v>52717</v>
      </c>
      <c r="V3204" t="s">
        <v>52718</v>
      </c>
      <c r="W3204" t="s">
        <v>52719</v>
      </c>
      <c r="X3204" t="s">
        <v>52720</v>
      </c>
      <c r="Y3204" t="s">
        <v>52721</v>
      </c>
      <c r="Z3204" t="s">
        <v>52722</v>
      </c>
      <c r="AA3204" t="s">
        <v>52723</v>
      </c>
      <c r="AB3204" t="s">
        <v>52724</v>
      </c>
      <c r="AC3204" t="s">
        <v>74</v>
      </c>
      <c r="AD3204" t="s">
        <v>74</v>
      </c>
      <c r="AE3204" t="s">
        <v>74</v>
      </c>
      <c r="AF3204" t="s">
        <v>74</v>
      </c>
      <c r="AG3204">
        <v>123</v>
      </c>
      <c r="AH3204">
        <v>1</v>
      </c>
      <c r="AI3204">
        <v>3</v>
      </c>
      <c r="AJ3204">
        <v>14</v>
      </c>
      <c r="AK3204">
        <v>28</v>
      </c>
      <c r="AL3204" t="s">
        <v>2343</v>
      </c>
      <c r="AM3204" t="s">
        <v>2344</v>
      </c>
      <c r="AN3204" t="s">
        <v>2345</v>
      </c>
      <c r="AO3204" t="s">
        <v>2346</v>
      </c>
      <c r="AP3204" t="s">
        <v>2347</v>
      </c>
      <c r="AQ3204" t="s">
        <v>74</v>
      </c>
      <c r="AR3204" t="s">
        <v>2348</v>
      </c>
      <c r="AS3204" t="s">
        <v>2349</v>
      </c>
      <c r="AT3204" t="s">
        <v>1693</v>
      </c>
      <c r="AU3204">
        <v>2025</v>
      </c>
      <c r="AV3204">
        <v>28</v>
      </c>
      <c r="AW3204">
        <v>2</v>
      </c>
      <c r="AX3204" t="s">
        <v>74</v>
      </c>
      <c r="AY3204" t="s">
        <v>74</v>
      </c>
      <c r="AZ3204" t="s">
        <v>74</v>
      </c>
      <c r="BA3204" t="s">
        <v>74</v>
      </c>
      <c r="BB3204">
        <v>77</v>
      </c>
      <c r="BC3204">
        <v>110</v>
      </c>
      <c r="BD3204" t="s">
        <v>74</v>
      </c>
      <c r="BE3204" t="s">
        <v>52725</v>
      </c>
      <c r="BF3204" t="str">
        <f>HYPERLINK("http://dx.doi.org/10.1080/1097198X.2025.2480970","http://dx.doi.org/10.1080/1097198X.2025.2480970")</f>
        <v>http://dx.doi.org/10.1080/1097198X.2025.2480970</v>
      </c>
      <c r="BG3204" t="s">
        <v>74</v>
      </c>
      <c r="BH3204" t="s">
        <v>1485</v>
      </c>
      <c r="BI3204">
        <v>34</v>
      </c>
      <c r="BJ3204" t="s">
        <v>2351</v>
      </c>
      <c r="BK3204" t="s">
        <v>99</v>
      </c>
      <c r="BL3204" t="s">
        <v>2351</v>
      </c>
      <c r="BM3204" t="s">
        <v>52726</v>
      </c>
      <c r="BN3204" t="s">
        <v>74</v>
      </c>
      <c r="BO3204" t="s">
        <v>74</v>
      </c>
      <c r="BP3204" t="s">
        <v>74</v>
      </c>
      <c r="BQ3204" t="s">
        <v>74</v>
      </c>
      <c r="BR3204" t="s">
        <v>102</v>
      </c>
      <c r="BS3204" t="s">
        <v>52727</v>
      </c>
      <c r="BT3204" t="str">
        <f>HYPERLINK("https%3A%2F%2Fwww.webofscience.com%2Fwos%2Fwoscc%2Ffull-record%2FWOS:001457245500001","View Full Record in Web of Science")</f>
        <v>View Full Record in Web of Science</v>
      </c>
    </row>
    <row r="3205" spans="1:72" x14ac:dyDescent="0.25">
      <c r="A3205" t="s">
        <v>72</v>
      </c>
      <c r="B3205" t="s">
        <v>52728</v>
      </c>
      <c r="C3205" t="s">
        <v>74</v>
      </c>
      <c r="D3205" t="s">
        <v>74</v>
      </c>
      <c r="E3205" t="s">
        <v>74</v>
      </c>
      <c r="F3205" t="s">
        <v>52729</v>
      </c>
      <c r="G3205" t="s">
        <v>74</v>
      </c>
      <c r="H3205" t="s">
        <v>74</v>
      </c>
      <c r="I3205" t="s">
        <v>52730</v>
      </c>
      <c r="J3205" t="s">
        <v>9896</v>
      </c>
      <c r="K3205" t="s">
        <v>74</v>
      </c>
      <c r="L3205" t="s">
        <v>74</v>
      </c>
      <c r="M3205" t="s">
        <v>78</v>
      </c>
      <c r="N3205" t="s">
        <v>79</v>
      </c>
      <c r="O3205" t="s">
        <v>74</v>
      </c>
      <c r="P3205" t="s">
        <v>74</v>
      </c>
      <c r="Q3205" t="s">
        <v>74</v>
      </c>
      <c r="R3205" t="s">
        <v>74</v>
      </c>
      <c r="S3205" t="s">
        <v>74</v>
      </c>
      <c r="T3205" t="s">
        <v>52731</v>
      </c>
      <c r="U3205" t="s">
        <v>52732</v>
      </c>
      <c r="V3205" t="s">
        <v>52733</v>
      </c>
      <c r="W3205" t="s">
        <v>52734</v>
      </c>
      <c r="X3205" t="s">
        <v>52735</v>
      </c>
      <c r="Y3205" t="s">
        <v>52736</v>
      </c>
      <c r="Z3205" t="s">
        <v>52737</v>
      </c>
      <c r="AA3205" t="s">
        <v>52738</v>
      </c>
      <c r="AB3205" t="s">
        <v>52739</v>
      </c>
      <c r="AC3205" t="s">
        <v>74</v>
      </c>
      <c r="AD3205" t="s">
        <v>74</v>
      </c>
      <c r="AE3205" t="s">
        <v>74</v>
      </c>
      <c r="AF3205" t="s">
        <v>74</v>
      </c>
      <c r="AG3205">
        <v>39</v>
      </c>
      <c r="AH3205">
        <v>10</v>
      </c>
      <c r="AI3205">
        <v>12</v>
      </c>
      <c r="AJ3205">
        <v>7</v>
      </c>
      <c r="AK3205">
        <v>20</v>
      </c>
      <c r="AL3205" t="s">
        <v>89</v>
      </c>
      <c r="AM3205" t="s">
        <v>90</v>
      </c>
      <c r="AN3205" t="s">
        <v>91</v>
      </c>
      <c r="AO3205" t="s">
        <v>9905</v>
      </c>
      <c r="AP3205" t="s">
        <v>9906</v>
      </c>
      <c r="AQ3205" t="s">
        <v>74</v>
      </c>
      <c r="AR3205" t="s">
        <v>9907</v>
      </c>
      <c r="AS3205" t="s">
        <v>9908</v>
      </c>
      <c r="AT3205" t="s">
        <v>7851</v>
      </c>
      <c r="AU3205">
        <v>2024</v>
      </c>
      <c r="AV3205">
        <v>84</v>
      </c>
      <c r="AW3205" t="s">
        <v>52740</v>
      </c>
      <c r="AX3205" t="s">
        <v>74</v>
      </c>
      <c r="AY3205" t="s">
        <v>74</v>
      </c>
      <c r="AZ3205" t="s">
        <v>74</v>
      </c>
      <c r="BA3205" t="s">
        <v>74</v>
      </c>
      <c r="BB3205">
        <v>93</v>
      </c>
      <c r="BC3205">
        <v>113</v>
      </c>
      <c r="BD3205" t="s">
        <v>74</v>
      </c>
      <c r="BE3205" t="s">
        <v>52741</v>
      </c>
      <c r="BF3205" t="str">
        <f>HYPERLINK("http://dx.doi.org/10.1108/AFR-10-2023-0132","http://dx.doi.org/10.1108/AFR-10-2023-0132")</f>
        <v>http://dx.doi.org/10.1108/AFR-10-2023-0132</v>
      </c>
      <c r="BG3205" t="s">
        <v>74</v>
      </c>
      <c r="BH3205" t="s">
        <v>938</v>
      </c>
      <c r="BI3205">
        <v>21</v>
      </c>
      <c r="BJ3205" t="s">
        <v>5151</v>
      </c>
      <c r="BK3205" t="s">
        <v>313</v>
      </c>
      <c r="BL3205" t="s">
        <v>5152</v>
      </c>
      <c r="BM3205" t="s">
        <v>52742</v>
      </c>
      <c r="BN3205" t="s">
        <v>74</v>
      </c>
      <c r="BO3205" t="s">
        <v>74</v>
      </c>
      <c r="BP3205" t="s">
        <v>74</v>
      </c>
      <c r="BQ3205" t="s">
        <v>74</v>
      </c>
      <c r="BR3205" t="s">
        <v>102</v>
      </c>
      <c r="BS3205" t="s">
        <v>52743</v>
      </c>
      <c r="BT3205" t="str">
        <f>HYPERLINK("https%3A%2F%2Fwww.webofscience.com%2Fwos%2Fwoscc%2Ffull-record%2FWOS:001206290800001","View Full Record in Web of Science")</f>
        <v>View Full Record in Web of Science</v>
      </c>
    </row>
    <row r="3206" spans="1:72" x14ac:dyDescent="0.25">
      <c r="A3206" t="s">
        <v>72</v>
      </c>
      <c r="B3206" t="s">
        <v>52744</v>
      </c>
      <c r="C3206" t="s">
        <v>74</v>
      </c>
      <c r="D3206" t="s">
        <v>74</v>
      </c>
      <c r="E3206" t="s">
        <v>74</v>
      </c>
      <c r="F3206" t="s">
        <v>52745</v>
      </c>
      <c r="G3206" t="s">
        <v>74</v>
      </c>
      <c r="H3206" t="s">
        <v>74</v>
      </c>
      <c r="I3206" t="s">
        <v>52746</v>
      </c>
      <c r="J3206" t="s">
        <v>52747</v>
      </c>
      <c r="K3206" t="s">
        <v>74</v>
      </c>
      <c r="L3206" t="s">
        <v>74</v>
      </c>
      <c r="M3206" t="s">
        <v>78</v>
      </c>
      <c r="N3206" t="s">
        <v>79</v>
      </c>
      <c r="O3206" t="s">
        <v>74</v>
      </c>
      <c r="P3206" t="s">
        <v>74</v>
      </c>
      <c r="Q3206" t="s">
        <v>74</v>
      </c>
      <c r="R3206" t="s">
        <v>74</v>
      </c>
      <c r="S3206" t="s">
        <v>74</v>
      </c>
      <c r="T3206" t="s">
        <v>52748</v>
      </c>
      <c r="U3206" t="s">
        <v>52749</v>
      </c>
      <c r="V3206" t="s">
        <v>52750</v>
      </c>
      <c r="W3206" t="s">
        <v>52751</v>
      </c>
      <c r="X3206" t="s">
        <v>52752</v>
      </c>
      <c r="Y3206" t="s">
        <v>52753</v>
      </c>
      <c r="Z3206" t="s">
        <v>52754</v>
      </c>
      <c r="AA3206" t="s">
        <v>52755</v>
      </c>
      <c r="AB3206" t="s">
        <v>52756</v>
      </c>
      <c r="AC3206" t="s">
        <v>52757</v>
      </c>
      <c r="AD3206" t="s">
        <v>52758</v>
      </c>
      <c r="AE3206" t="s">
        <v>52759</v>
      </c>
      <c r="AF3206" t="s">
        <v>74</v>
      </c>
      <c r="AG3206">
        <v>122</v>
      </c>
      <c r="AH3206">
        <v>53</v>
      </c>
      <c r="AI3206">
        <v>66</v>
      </c>
      <c r="AJ3206">
        <v>4</v>
      </c>
      <c r="AK3206">
        <v>291</v>
      </c>
      <c r="AL3206" t="s">
        <v>385</v>
      </c>
      <c r="AM3206" t="s">
        <v>1153</v>
      </c>
      <c r="AN3206" t="s">
        <v>1154</v>
      </c>
      <c r="AO3206" t="s">
        <v>52760</v>
      </c>
      <c r="AP3206" t="s">
        <v>52761</v>
      </c>
      <c r="AQ3206" t="s">
        <v>74</v>
      </c>
      <c r="AR3206" t="s">
        <v>52747</v>
      </c>
      <c r="AS3206" t="s">
        <v>52762</v>
      </c>
      <c r="AT3206" t="s">
        <v>698</v>
      </c>
      <c r="AU3206">
        <v>2019</v>
      </c>
      <c r="AV3206">
        <v>120</v>
      </c>
      <c r="AW3206">
        <v>3</v>
      </c>
      <c r="AX3206" t="s">
        <v>74</v>
      </c>
      <c r="AY3206" t="s">
        <v>74</v>
      </c>
      <c r="AZ3206" t="s">
        <v>74</v>
      </c>
      <c r="BA3206" t="s">
        <v>74</v>
      </c>
      <c r="BB3206">
        <v>929</v>
      </c>
      <c r="BC3206">
        <v>960</v>
      </c>
      <c r="BD3206" t="s">
        <v>74</v>
      </c>
      <c r="BE3206" t="s">
        <v>52763</v>
      </c>
      <c r="BF3206" t="str">
        <f>HYPERLINK("http://dx.doi.org/10.1007/s11192-019-03165-1","http://dx.doi.org/10.1007/s11192-019-03165-1")</f>
        <v>http://dx.doi.org/10.1007/s11192-019-03165-1</v>
      </c>
      <c r="BG3206" t="s">
        <v>74</v>
      </c>
      <c r="BH3206" t="s">
        <v>74</v>
      </c>
      <c r="BI3206">
        <v>32</v>
      </c>
      <c r="BJ3206" t="s">
        <v>52764</v>
      </c>
      <c r="BK3206" t="s">
        <v>2623</v>
      </c>
      <c r="BL3206" t="s">
        <v>16852</v>
      </c>
      <c r="BM3206" t="s">
        <v>52765</v>
      </c>
      <c r="BN3206" t="s">
        <v>74</v>
      </c>
      <c r="BO3206" t="s">
        <v>74</v>
      </c>
      <c r="BP3206" t="s">
        <v>74</v>
      </c>
      <c r="BQ3206" t="s">
        <v>74</v>
      </c>
      <c r="BR3206" t="s">
        <v>102</v>
      </c>
      <c r="BS3206" t="s">
        <v>52766</v>
      </c>
      <c r="BT3206" t="str">
        <f>HYPERLINK("https%3A%2F%2Fwww.webofscience.com%2Fwos%2Fwoscc%2Ffull-record%2FWOS:000481434200001","View Full Record in Web of Science")</f>
        <v>View Full Record in Web of Science</v>
      </c>
    </row>
    <row r="3207" spans="1:72" x14ac:dyDescent="0.25">
      <c r="A3207" t="s">
        <v>72</v>
      </c>
      <c r="B3207" t="s">
        <v>52767</v>
      </c>
      <c r="C3207" t="s">
        <v>74</v>
      </c>
      <c r="D3207" t="s">
        <v>74</v>
      </c>
      <c r="E3207" t="s">
        <v>74</v>
      </c>
      <c r="F3207" t="s">
        <v>52768</v>
      </c>
      <c r="G3207" t="s">
        <v>74</v>
      </c>
      <c r="H3207" t="s">
        <v>74</v>
      </c>
      <c r="I3207" t="s">
        <v>52769</v>
      </c>
      <c r="J3207" t="s">
        <v>7910</v>
      </c>
      <c r="K3207" t="s">
        <v>74</v>
      </c>
      <c r="L3207" t="s">
        <v>74</v>
      </c>
      <c r="M3207" t="s">
        <v>78</v>
      </c>
      <c r="N3207" t="s">
        <v>79</v>
      </c>
      <c r="O3207" t="s">
        <v>74</v>
      </c>
      <c r="P3207" t="s">
        <v>74</v>
      </c>
      <c r="Q3207" t="s">
        <v>74</v>
      </c>
      <c r="R3207" t="s">
        <v>74</v>
      </c>
      <c r="S3207" t="s">
        <v>74</v>
      </c>
      <c r="T3207" t="s">
        <v>52770</v>
      </c>
      <c r="U3207" t="s">
        <v>52771</v>
      </c>
      <c r="V3207" t="s">
        <v>52772</v>
      </c>
      <c r="W3207" t="s">
        <v>52773</v>
      </c>
      <c r="X3207" t="s">
        <v>23538</v>
      </c>
      <c r="Y3207" t="s">
        <v>52774</v>
      </c>
      <c r="Z3207" t="s">
        <v>52775</v>
      </c>
      <c r="AA3207" t="s">
        <v>52776</v>
      </c>
      <c r="AB3207" t="s">
        <v>74</v>
      </c>
      <c r="AC3207" t="s">
        <v>74</v>
      </c>
      <c r="AD3207" t="s">
        <v>74</v>
      </c>
      <c r="AE3207" t="s">
        <v>74</v>
      </c>
      <c r="AF3207" t="s">
        <v>74</v>
      </c>
      <c r="AG3207">
        <v>48</v>
      </c>
      <c r="AH3207">
        <v>6</v>
      </c>
      <c r="AI3207">
        <v>8</v>
      </c>
      <c r="AJ3207">
        <v>0</v>
      </c>
      <c r="AK3207">
        <v>13</v>
      </c>
      <c r="AL3207" t="s">
        <v>994</v>
      </c>
      <c r="AM3207" t="s">
        <v>995</v>
      </c>
      <c r="AN3207" t="s">
        <v>2061</v>
      </c>
      <c r="AO3207" t="s">
        <v>7920</v>
      </c>
      <c r="AP3207" t="s">
        <v>7921</v>
      </c>
      <c r="AQ3207" t="s">
        <v>74</v>
      </c>
      <c r="AR3207" t="s">
        <v>7922</v>
      </c>
      <c r="AS3207" t="s">
        <v>7923</v>
      </c>
      <c r="AT3207" t="s">
        <v>289</v>
      </c>
      <c r="AU3207">
        <v>2024</v>
      </c>
      <c r="AV3207">
        <v>25</v>
      </c>
      <c r="AW3207">
        <v>4</v>
      </c>
      <c r="AX3207" t="s">
        <v>74</v>
      </c>
      <c r="AY3207" t="s">
        <v>74</v>
      </c>
      <c r="AZ3207" t="s">
        <v>74</v>
      </c>
      <c r="BA3207" t="s">
        <v>74</v>
      </c>
      <c r="BB3207">
        <v>981</v>
      </c>
      <c r="BC3207">
        <v>1001</v>
      </c>
      <c r="BD3207" t="s">
        <v>74</v>
      </c>
      <c r="BE3207" t="s">
        <v>52777</v>
      </c>
      <c r="BF3207" t="str">
        <f>HYPERLINK("http://dx.doi.org/10.1177/09721509211006866","http://dx.doi.org/10.1177/09721509211006866")</f>
        <v>http://dx.doi.org/10.1177/09721509211006866</v>
      </c>
      <c r="BG3207" t="s">
        <v>74</v>
      </c>
      <c r="BH3207" t="s">
        <v>443</v>
      </c>
      <c r="BI3207">
        <v>21</v>
      </c>
      <c r="BJ3207" t="s">
        <v>98</v>
      </c>
      <c r="BK3207" t="s">
        <v>313</v>
      </c>
      <c r="BL3207" t="s">
        <v>100</v>
      </c>
      <c r="BM3207" t="s">
        <v>52778</v>
      </c>
      <c r="BN3207" t="s">
        <v>74</v>
      </c>
      <c r="BO3207" t="s">
        <v>74</v>
      </c>
      <c r="BP3207" t="s">
        <v>74</v>
      </c>
      <c r="BQ3207" t="s">
        <v>74</v>
      </c>
      <c r="BR3207" t="s">
        <v>102</v>
      </c>
      <c r="BS3207" t="s">
        <v>52779</v>
      </c>
      <c r="BT3207" t="str">
        <f>HYPERLINK("https%3A%2F%2Fwww.webofscience.com%2Fwos%2Fwoscc%2Ffull-record%2FWOS:000644982300001","View Full Record in Web of Science")</f>
        <v>View Full Record in Web of Science</v>
      </c>
    </row>
    <row r="3208" spans="1:72" x14ac:dyDescent="0.25">
      <c r="A3208" t="s">
        <v>72</v>
      </c>
      <c r="B3208" t="s">
        <v>52780</v>
      </c>
      <c r="C3208" t="s">
        <v>74</v>
      </c>
      <c r="D3208" t="s">
        <v>74</v>
      </c>
      <c r="E3208" t="s">
        <v>74</v>
      </c>
      <c r="F3208" t="s">
        <v>52781</v>
      </c>
      <c r="G3208" t="s">
        <v>74</v>
      </c>
      <c r="H3208" t="s">
        <v>74</v>
      </c>
      <c r="I3208" t="s">
        <v>52782</v>
      </c>
      <c r="J3208" t="s">
        <v>23912</v>
      </c>
      <c r="K3208" t="s">
        <v>74</v>
      </c>
      <c r="L3208" t="s">
        <v>74</v>
      </c>
      <c r="M3208" t="s">
        <v>78</v>
      </c>
      <c r="N3208" t="s">
        <v>79</v>
      </c>
      <c r="O3208" t="s">
        <v>74</v>
      </c>
      <c r="P3208" t="s">
        <v>74</v>
      </c>
      <c r="Q3208" t="s">
        <v>74</v>
      </c>
      <c r="R3208" t="s">
        <v>74</v>
      </c>
      <c r="S3208" t="s">
        <v>74</v>
      </c>
      <c r="T3208" t="s">
        <v>74</v>
      </c>
      <c r="U3208" t="s">
        <v>17505</v>
      </c>
      <c r="V3208" t="s">
        <v>52783</v>
      </c>
      <c r="W3208" t="s">
        <v>52784</v>
      </c>
      <c r="X3208" t="s">
        <v>52785</v>
      </c>
      <c r="Y3208" t="s">
        <v>52786</v>
      </c>
      <c r="Z3208" t="s">
        <v>52787</v>
      </c>
      <c r="AA3208" t="s">
        <v>74</v>
      </c>
      <c r="AB3208" t="s">
        <v>74</v>
      </c>
      <c r="AC3208" t="s">
        <v>74</v>
      </c>
      <c r="AD3208" t="s">
        <v>74</v>
      </c>
      <c r="AE3208" t="s">
        <v>74</v>
      </c>
      <c r="AF3208" t="s">
        <v>74</v>
      </c>
      <c r="AG3208">
        <v>34</v>
      </c>
      <c r="AH3208">
        <v>5</v>
      </c>
      <c r="AI3208">
        <v>6</v>
      </c>
      <c r="AJ3208">
        <v>0</v>
      </c>
      <c r="AK3208">
        <v>3</v>
      </c>
      <c r="AL3208" t="s">
        <v>23912</v>
      </c>
      <c r="AM3208" t="s">
        <v>3024</v>
      </c>
      <c r="AN3208" t="s">
        <v>23911</v>
      </c>
      <c r="AO3208" t="s">
        <v>23910</v>
      </c>
      <c r="AP3208" t="s">
        <v>74</v>
      </c>
      <c r="AQ3208" t="s">
        <v>74</v>
      </c>
      <c r="AR3208" t="s">
        <v>23909</v>
      </c>
      <c r="AS3208" t="s">
        <v>23908</v>
      </c>
      <c r="AT3208" t="s">
        <v>74</v>
      </c>
      <c r="AU3208">
        <v>2021</v>
      </c>
      <c r="AV3208">
        <v>41</v>
      </c>
      <c r="AW3208">
        <v>2</v>
      </c>
      <c r="AX3208" t="s">
        <v>74</v>
      </c>
      <c r="AY3208" t="s">
        <v>74</v>
      </c>
      <c r="AZ3208" t="s">
        <v>74</v>
      </c>
      <c r="BA3208" t="s">
        <v>74</v>
      </c>
      <c r="BB3208">
        <v>328</v>
      </c>
      <c r="BC3208">
        <v>341</v>
      </c>
      <c r="BD3208" t="s">
        <v>74</v>
      </c>
      <c r="BE3208" t="s">
        <v>74</v>
      </c>
      <c r="BF3208" t="s">
        <v>74</v>
      </c>
      <c r="BG3208" t="s">
        <v>74</v>
      </c>
      <c r="BH3208" t="s">
        <v>74</v>
      </c>
      <c r="BI3208">
        <v>13</v>
      </c>
      <c r="BJ3208" t="s">
        <v>291</v>
      </c>
      <c r="BK3208" t="s">
        <v>313</v>
      </c>
      <c r="BL3208" t="s">
        <v>100</v>
      </c>
      <c r="BM3208" t="s">
        <v>49771</v>
      </c>
      <c r="BN3208" t="s">
        <v>74</v>
      </c>
      <c r="BO3208" t="s">
        <v>74</v>
      </c>
      <c r="BP3208" t="s">
        <v>74</v>
      </c>
      <c r="BQ3208" t="s">
        <v>74</v>
      </c>
      <c r="BR3208" t="s">
        <v>102</v>
      </c>
      <c r="BS3208" t="s">
        <v>52788</v>
      </c>
      <c r="BT3208" t="str">
        <f>HYPERLINK("https%3A%2F%2Fwww.webofscience.com%2Fwos%2Fwoscc%2Ffull-record%2FWOS:000696954400013","View Full Record in Web of Science")</f>
        <v>View Full Record in Web of Science</v>
      </c>
    </row>
    <row r="3209" spans="1:72" x14ac:dyDescent="0.25">
      <c r="A3209" t="s">
        <v>72</v>
      </c>
      <c r="B3209" t="s">
        <v>52789</v>
      </c>
      <c r="C3209" t="s">
        <v>74</v>
      </c>
      <c r="D3209" t="s">
        <v>74</v>
      </c>
      <c r="E3209" t="s">
        <v>74</v>
      </c>
      <c r="F3209" t="s">
        <v>52790</v>
      </c>
      <c r="G3209" t="s">
        <v>74</v>
      </c>
      <c r="H3209" t="s">
        <v>74</v>
      </c>
      <c r="I3209" t="s">
        <v>52791</v>
      </c>
      <c r="J3209" t="s">
        <v>14135</v>
      </c>
      <c r="K3209" t="s">
        <v>74</v>
      </c>
      <c r="L3209" t="s">
        <v>74</v>
      </c>
      <c r="M3209" t="s">
        <v>78</v>
      </c>
      <c r="N3209" t="s">
        <v>79</v>
      </c>
      <c r="O3209" t="s">
        <v>74</v>
      </c>
      <c r="P3209" t="s">
        <v>74</v>
      </c>
      <c r="Q3209" t="s">
        <v>74</v>
      </c>
      <c r="R3209" t="s">
        <v>74</v>
      </c>
      <c r="S3209" t="s">
        <v>74</v>
      </c>
      <c r="T3209" t="s">
        <v>74</v>
      </c>
      <c r="U3209" t="s">
        <v>52792</v>
      </c>
      <c r="V3209" t="s">
        <v>52793</v>
      </c>
      <c r="W3209" t="s">
        <v>52794</v>
      </c>
      <c r="X3209" t="s">
        <v>11951</v>
      </c>
      <c r="Y3209" t="s">
        <v>52795</v>
      </c>
      <c r="Z3209" t="s">
        <v>52796</v>
      </c>
      <c r="AA3209" t="s">
        <v>74</v>
      </c>
      <c r="AB3209" t="s">
        <v>52797</v>
      </c>
      <c r="AC3209" t="s">
        <v>52798</v>
      </c>
      <c r="AD3209" t="s">
        <v>52799</v>
      </c>
      <c r="AE3209" t="s">
        <v>52800</v>
      </c>
      <c r="AF3209" t="s">
        <v>74</v>
      </c>
      <c r="AG3209">
        <v>58</v>
      </c>
      <c r="AH3209">
        <v>4</v>
      </c>
      <c r="AI3209">
        <v>5</v>
      </c>
      <c r="AJ3209">
        <v>1</v>
      </c>
      <c r="AK3209">
        <v>11</v>
      </c>
      <c r="AL3209" t="s">
        <v>479</v>
      </c>
      <c r="AM3209" t="s">
        <v>480</v>
      </c>
      <c r="AN3209" t="s">
        <v>481</v>
      </c>
      <c r="AO3209" t="s">
        <v>14142</v>
      </c>
      <c r="AP3209" t="s">
        <v>14143</v>
      </c>
      <c r="AQ3209" t="s">
        <v>74</v>
      </c>
      <c r="AR3209" t="s">
        <v>14144</v>
      </c>
      <c r="AS3209" t="s">
        <v>14145</v>
      </c>
      <c r="AT3209" t="s">
        <v>848</v>
      </c>
      <c r="AU3209">
        <v>2021</v>
      </c>
      <c r="AV3209">
        <v>52</v>
      </c>
      <c r="AW3209">
        <v>4</v>
      </c>
      <c r="AX3209" t="s">
        <v>74</v>
      </c>
      <c r="AY3209" t="s">
        <v>74</v>
      </c>
      <c r="AZ3209" t="s">
        <v>74</v>
      </c>
      <c r="BA3209" t="s">
        <v>74</v>
      </c>
      <c r="BB3209">
        <v>780</v>
      </c>
      <c r="BC3209">
        <v>804</v>
      </c>
      <c r="BD3209" t="s">
        <v>74</v>
      </c>
      <c r="BE3209" t="s">
        <v>52801</v>
      </c>
      <c r="BF3209" t="str">
        <f>HYPERLINK("http://dx.doi.org/10.1111/dech.12663","http://dx.doi.org/10.1111/dech.12663")</f>
        <v>http://dx.doi.org/10.1111/dech.12663</v>
      </c>
      <c r="BG3209" t="s">
        <v>74</v>
      </c>
      <c r="BH3209" t="s">
        <v>11242</v>
      </c>
      <c r="BI3209">
        <v>25</v>
      </c>
      <c r="BJ3209" t="s">
        <v>1137</v>
      </c>
      <c r="BK3209" t="s">
        <v>99</v>
      </c>
      <c r="BL3209" t="s">
        <v>1137</v>
      </c>
      <c r="BM3209" t="s">
        <v>33747</v>
      </c>
      <c r="BN3209" t="s">
        <v>74</v>
      </c>
      <c r="BO3209" t="s">
        <v>74</v>
      </c>
      <c r="BP3209" t="s">
        <v>74</v>
      </c>
      <c r="BQ3209" t="s">
        <v>74</v>
      </c>
      <c r="BR3209" t="s">
        <v>102</v>
      </c>
      <c r="BS3209" t="s">
        <v>52802</v>
      </c>
      <c r="BT3209" t="str">
        <f>HYPERLINK("https%3A%2F%2Fwww.webofscience.com%2Fwos%2Fwoscc%2Ffull-record%2FWOS:000661591300001","View Full Record in Web of Science")</f>
        <v>View Full Record in Web of Science</v>
      </c>
    </row>
    <row r="3210" spans="1:72" x14ac:dyDescent="0.25">
      <c r="A3210" t="s">
        <v>72</v>
      </c>
      <c r="B3210" t="s">
        <v>52803</v>
      </c>
      <c r="C3210" t="s">
        <v>74</v>
      </c>
      <c r="D3210" t="s">
        <v>74</v>
      </c>
      <c r="E3210" t="s">
        <v>74</v>
      </c>
      <c r="F3210" t="s">
        <v>52804</v>
      </c>
      <c r="G3210" t="s">
        <v>74</v>
      </c>
      <c r="H3210" t="s">
        <v>74</v>
      </c>
      <c r="I3210" t="s">
        <v>52805</v>
      </c>
      <c r="J3210" t="s">
        <v>52806</v>
      </c>
      <c r="K3210" t="s">
        <v>74</v>
      </c>
      <c r="L3210" t="s">
        <v>74</v>
      </c>
      <c r="M3210" t="s">
        <v>5879</v>
      </c>
      <c r="N3210" t="s">
        <v>79</v>
      </c>
      <c r="O3210" t="s">
        <v>74</v>
      </c>
      <c r="P3210" t="s">
        <v>74</v>
      </c>
      <c r="Q3210" t="s">
        <v>74</v>
      </c>
      <c r="R3210" t="s">
        <v>74</v>
      </c>
      <c r="S3210" t="s">
        <v>74</v>
      </c>
      <c r="T3210" t="s">
        <v>52807</v>
      </c>
      <c r="U3210" t="s">
        <v>74</v>
      </c>
      <c r="V3210" t="s">
        <v>52808</v>
      </c>
      <c r="W3210" t="s">
        <v>52809</v>
      </c>
      <c r="X3210" t="s">
        <v>52810</v>
      </c>
      <c r="Y3210" t="s">
        <v>52811</v>
      </c>
      <c r="Z3210" t="s">
        <v>52812</v>
      </c>
      <c r="AA3210" t="s">
        <v>74</v>
      </c>
      <c r="AB3210" t="s">
        <v>52813</v>
      </c>
      <c r="AC3210" t="s">
        <v>74</v>
      </c>
      <c r="AD3210" t="s">
        <v>74</v>
      </c>
      <c r="AE3210" t="s">
        <v>74</v>
      </c>
      <c r="AF3210" t="s">
        <v>74</v>
      </c>
      <c r="AG3210">
        <v>20</v>
      </c>
      <c r="AH3210">
        <v>0</v>
      </c>
      <c r="AI3210">
        <v>0</v>
      </c>
      <c r="AJ3210">
        <v>1</v>
      </c>
      <c r="AK3210">
        <v>16</v>
      </c>
      <c r="AL3210" t="s">
        <v>52814</v>
      </c>
      <c r="AM3210" t="s">
        <v>52815</v>
      </c>
      <c r="AN3210" t="s">
        <v>52816</v>
      </c>
      <c r="AO3210" t="s">
        <v>52817</v>
      </c>
      <c r="AP3210" t="s">
        <v>52818</v>
      </c>
      <c r="AQ3210" t="s">
        <v>74</v>
      </c>
      <c r="AR3210" t="s">
        <v>52806</v>
      </c>
      <c r="AS3210" t="s">
        <v>52819</v>
      </c>
      <c r="AT3210" t="s">
        <v>74</v>
      </c>
      <c r="AU3210">
        <v>2020</v>
      </c>
      <c r="AV3210">
        <v>36</v>
      </c>
      <c r="AW3210">
        <v>3</v>
      </c>
      <c r="AX3210" t="s">
        <v>74</v>
      </c>
      <c r="AY3210" t="s">
        <v>74</v>
      </c>
      <c r="AZ3210" t="s">
        <v>74</v>
      </c>
      <c r="BA3210" t="s">
        <v>74</v>
      </c>
      <c r="BB3210" t="s">
        <v>74</v>
      </c>
      <c r="BC3210" t="s">
        <v>74</v>
      </c>
      <c r="BD3210" t="s">
        <v>52820</v>
      </c>
      <c r="BE3210" t="s">
        <v>52821</v>
      </c>
      <c r="BF3210" t="str">
        <f>HYPERLINK("http://dx.doi.org/10.15628/holos.2020.9548","http://dx.doi.org/10.15628/holos.2020.9548")</f>
        <v>http://dx.doi.org/10.15628/holos.2020.9548</v>
      </c>
      <c r="BG3210" t="s">
        <v>74</v>
      </c>
      <c r="BH3210" t="s">
        <v>74</v>
      </c>
      <c r="BI3210">
        <v>15</v>
      </c>
      <c r="BJ3210" t="s">
        <v>559</v>
      </c>
      <c r="BK3210" t="s">
        <v>313</v>
      </c>
      <c r="BL3210" t="s">
        <v>560</v>
      </c>
      <c r="BM3210" t="s">
        <v>52822</v>
      </c>
      <c r="BN3210" t="s">
        <v>74</v>
      </c>
      <c r="BO3210" t="s">
        <v>916</v>
      </c>
      <c r="BP3210" t="s">
        <v>74</v>
      </c>
      <c r="BQ3210" t="s">
        <v>74</v>
      </c>
      <c r="BR3210" t="s">
        <v>102</v>
      </c>
      <c r="BS3210" t="s">
        <v>52823</v>
      </c>
      <c r="BT3210" t="str">
        <f>HYPERLINK("https%3A%2F%2Fwww.webofscience.com%2Fwos%2Fwoscc%2Ffull-record%2FWOS:000546796700002","View Full Record in Web of Science")</f>
        <v>View Full Record in Web of Science</v>
      </c>
    </row>
    <row r="3211" spans="1:72" x14ac:dyDescent="0.25">
      <c r="A3211" t="s">
        <v>132</v>
      </c>
      <c r="B3211" t="s">
        <v>52824</v>
      </c>
      <c r="C3211" t="s">
        <v>74</v>
      </c>
      <c r="D3211" t="s">
        <v>74</v>
      </c>
      <c r="E3211" t="s">
        <v>771</v>
      </c>
      <c r="F3211" t="s">
        <v>52825</v>
      </c>
      <c r="G3211" t="s">
        <v>74</v>
      </c>
      <c r="H3211" t="s">
        <v>74</v>
      </c>
      <c r="I3211" t="s">
        <v>52826</v>
      </c>
      <c r="J3211" t="s">
        <v>52827</v>
      </c>
      <c r="K3211" t="s">
        <v>74</v>
      </c>
      <c r="L3211" t="s">
        <v>74</v>
      </c>
      <c r="M3211" t="s">
        <v>78</v>
      </c>
      <c r="N3211" t="s">
        <v>138</v>
      </c>
      <c r="O3211" t="s">
        <v>52828</v>
      </c>
      <c r="P3211" t="s">
        <v>52829</v>
      </c>
      <c r="Q3211" t="s">
        <v>52830</v>
      </c>
      <c r="R3211" t="s">
        <v>52831</v>
      </c>
      <c r="S3211" t="s">
        <v>52832</v>
      </c>
      <c r="T3211" t="s">
        <v>52833</v>
      </c>
      <c r="U3211" t="s">
        <v>74</v>
      </c>
      <c r="V3211" t="s">
        <v>52834</v>
      </c>
      <c r="W3211" t="s">
        <v>52835</v>
      </c>
      <c r="X3211" t="s">
        <v>74</v>
      </c>
      <c r="Y3211" t="s">
        <v>52836</v>
      </c>
      <c r="Z3211" t="s">
        <v>52837</v>
      </c>
      <c r="AA3211" t="s">
        <v>74</v>
      </c>
      <c r="AB3211" t="s">
        <v>74</v>
      </c>
      <c r="AC3211" t="s">
        <v>74</v>
      </c>
      <c r="AD3211" t="s">
        <v>74</v>
      </c>
      <c r="AE3211" t="s">
        <v>74</v>
      </c>
      <c r="AF3211" t="s">
        <v>74</v>
      </c>
      <c r="AG3211">
        <v>31</v>
      </c>
      <c r="AH3211">
        <v>0</v>
      </c>
      <c r="AI3211">
        <v>0</v>
      </c>
      <c r="AJ3211">
        <v>0</v>
      </c>
      <c r="AK3211">
        <v>1</v>
      </c>
      <c r="AL3211" t="s">
        <v>771</v>
      </c>
      <c r="AM3211" t="s">
        <v>151</v>
      </c>
      <c r="AN3211" t="s">
        <v>785</v>
      </c>
      <c r="AO3211" t="s">
        <v>74</v>
      </c>
      <c r="AP3211" t="s">
        <v>74</v>
      </c>
      <c r="AQ3211" t="s">
        <v>52838</v>
      </c>
      <c r="AR3211" t="s">
        <v>74</v>
      </c>
      <c r="AS3211" t="s">
        <v>74</v>
      </c>
      <c r="AT3211" t="s">
        <v>74</v>
      </c>
      <c r="AU3211">
        <v>2024</v>
      </c>
      <c r="AV3211" t="s">
        <v>74</v>
      </c>
      <c r="AW3211" t="s">
        <v>74</v>
      </c>
      <c r="AX3211" t="s">
        <v>74</v>
      </c>
      <c r="AY3211" t="s">
        <v>74</v>
      </c>
      <c r="AZ3211" t="s">
        <v>74</v>
      </c>
      <c r="BA3211" t="s">
        <v>74</v>
      </c>
      <c r="BB3211" t="s">
        <v>74</v>
      </c>
      <c r="BC3211" t="s">
        <v>74</v>
      </c>
      <c r="BD3211" t="s">
        <v>74</v>
      </c>
      <c r="BE3211" t="s">
        <v>52839</v>
      </c>
      <c r="BF3211" t="str">
        <f>HYPERLINK("http://dx.doi.org/10.1109/INTCEC61833.2024.10602866","http://dx.doi.org/10.1109/INTCEC61833.2024.10602866")</f>
        <v>http://dx.doi.org/10.1109/INTCEC61833.2024.10602866</v>
      </c>
      <c r="BG3211" t="s">
        <v>74</v>
      </c>
      <c r="BH3211" t="s">
        <v>74</v>
      </c>
      <c r="BI3211">
        <v>6</v>
      </c>
      <c r="BJ3211" t="s">
        <v>10865</v>
      </c>
      <c r="BK3211" t="s">
        <v>156</v>
      </c>
      <c r="BL3211" t="s">
        <v>981</v>
      </c>
      <c r="BM3211" t="s">
        <v>52840</v>
      </c>
      <c r="BN3211" t="s">
        <v>74</v>
      </c>
      <c r="BO3211" t="s">
        <v>74</v>
      </c>
      <c r="BP3211" t="s">
        <v>74</v>
      </c>
      <c r="BQ3211" t="s">
        <v>74</v>
      </c>
      <c r="BR3211" t="s">
        <v>102</v>
      </c>
      <c r="BS3211" t="s">
        <v>52841</v>
      </c>
      <c r="BT3211" t="str">
        <f>HYPERLINK("https%3A%2F%2Fwww.webofscience.com%2Fwos%2Fwoscc%2Ffull-record%2FWOS:001292764700010","View Full Record in Web of Science")</f>
        <v>View Full Record in Web of Science</v>
      </c>
    </row>
    <row r="3212" spans="1:72" x14ac:dyDescent="0.25">
      <c r="A3212" t="s">
        <v>72</v>
      </c>
      <c r="B3212" t="s">
        <v>52842</v>
      </c>
      <c r="C3212" t="s">
        <v>74</v>
      </c>
      <c r="D3212" t="s">
        <v>74</v>
      </c>
      <c r="E3212" t="s">
        <v>74</v>
      </c>
      <c r="F3212" t="s">
        <v>52843</v>
      </c>
      <c r="G3212" t="s">
        <v>74</v>
      </c>
      <c r="H3212" t="s">
        <v>74</v>
      </c>
      <c r="I3212" t="s">
        <v>52844</v>
      </c>
      <c r="J3212" t="s">
        <v>5812</v>
      </c>
      <c r="K3212" t="s">
        <v>74</v>
      </c>
      <c r="L3212" t="s">
        <v>74</v>
      </c>
      <c r="M3212" t="s">
        <v>78</v>
      </c>
      <c r="N3212" t="s">
        <v>79</v>
      </c>
      <c r="O3212" t="s">
        <v>74</v>
      </c>
      <c r="P3212" t="s">
        <v>74</v>
      </c>
      <c r="Q3212" t="s">
        <v>74</v>
      </c>
      <c r="R3212" t="s">
        <v>74</v>
      </c>
      <c r="S3212" t="s">
        <v>74</v>
      </c>
      <c r="T3212" t="s">
        <v>52845</v>
      </c>
      <c r="U3212" t="s">
        <v>52846</v>
      </c>
      <c r="V3212" t="s">
        <v>52847</v>
      </c>
      <c r="W3212" t="s">
        <v>52848</v>
      </c>
      <c r="X3212" t="s">
        <v>52849</v>
      </c>
      <c r="Y3212" t="s">
        <v>52850</v>
      </c>
      <c r="Z3212" t="s">
        <v>52851</v>
      </c>
      <c r="AA3212" t="s">
        <v>52852</v>
      </c>
      <c r="AB3212" t="s">
        <v>52853</v>
      </c>
      <c r="AC3212" t="s">
        <v>52854</v>
      </c>
      <c r="AD3212" t="s">
        <v>52855</v>
      </c>
      <c r="AE3212" t="s">
        <v>52856</v>
      </c>
      <c r="AF3212" t="s">
        <v>74</v>
      </c>
      <c r="AG3212">
        <v>74</v>
      </c>
      <c r="AH3212">
        <v>23</v>
      </c>
      <c r="AI3212">
        <v>25</v>
      </c>
      <c r="AJ3212">
        <v>2</v>
      </c>
      <c r="AK3212">
        <v>12</v>
      </c>
      <c r="AL3212" t="s">
        <v>332</v>
      </c>
      <c r="AM3212" t="s">
        <v>333</v>
      </c>
      <c r="AN3212" t="s">
        <v>334</v>
      </c>
      <c r="AO3212" t="s">
        <v>5820</v>
      </c>
      <c r="AP3212" t="s">
        <v>5821</v>
      </c>
      <c r="AQ3212" t="s">
        <v>74</v>
      </c>
      <c r="AR3212" t="s">
        <v>5822</v>
      </c>
      <c r="AS3212" t="s">
        <v>5823</v>
      </c>
      <c r="AT3212" t="s">
        <v>2487</v>
      </c>
      <c r="AU3212">
        <v>2020</v>
      </c>
      <c r="AV3212">
        <v>33</v>
      </c>
      <c r="AW3212">
        <v>1</v>
      </c>
      <c r="AX3212" t="s">
        <v>74</v>
      </c>
      <c r="AY3212" t="s">
        <v>74</v>
      </c>
      <c r="AZ3212" t="s">
        <v>74</v>
      </c>
      <c r="BA3212" t="s">
        <v>74</v>
      </c>
      <c r="BB3212">
        <v>3528</v>
      </c>
      <c r="BC3212">
        <v>3544</v>
      </c>
      <c r="BD3212" t="s">
        <v>74</v>
      </c>
      <c r="BE3212" t="s">
        <v>52857</v>
      </c>
      <c r="BF3212" t="str">
        <f>HYPERLINK("http://dx.doi.org/10.1080/1331677X.2020.1774795","http://dx.doi.org/10.1080/1331677X.2020.1774795")</f>
        <v>http://dx.doi.org/10.1080/1331677X.2020.1774795</v>
      </c>
      <c r="BG3212" t="s">
        <v>74</v>
      </c>
      <c r="BH3212" t="s">
        <v>74</v>
      </c>
      <c r="BI3212">
        <v>17</v>
      </c>
      <c r="BJ3212" t="s">
        <v>291</v>
      </c>
      <c r="BK3212" t="s">
        <v>99</v>
      </c>
      <c r="BL3212" t="s">
        <v>100</v>
      </c>
      <c r="BM3212" t="s">
        <v>52858</v>
      </c>
      <c r="BN3212" t="s">
        <v>74</v>
      </c>
      <c r="BO3212" t="s">
        <v>466</v>
      </c>
      <c r="BP3212" t="s">
        <v>74</v>
      </c>
      <c r="BQ3212" t="s">
        <v>74</v>
      </c>
      <c r="BR3212" t="s">
        <v>102</v>
      </c>
      <c r="BS3212" t="s">
        <v>52859</v>
      </c>
      <c r="BT3212" t="str">
        <f>HYPERLINK("https%3A%2F%2Fwww.webofscience.com%2Fwos%2Fwoscc%2Ffull-record%2FWOS:000562145800001","View Full Record in Web of Science")</f>
        <v>View Full Record in Web of Science</v>
      </c>
    </row>
    <row r="3213" spans="1:72" x14ac:dyDescent="0.25">
      <c r="A3213" t="s">
        <v>72</v>
      </c>
      <c r="B3213" t="s">
        <v>52860</v>
      </c>
      <c r="C3213" t="s">
        <v>74</v>
      </c>
      <c r="D3213" t="s">
        <v>74</v>
      </c>
      <c r="E3213" t="s">
        <v>74</v>
      </c>
      <c r="F3213" t="s">
        <v>52861</v>
      </c>
      <c r="G3213" t="s">
        <v>74</v>
      </c>
      <c r="H3213" t="s">
        <v>74</v>
      </c>
      <c r="I3213" t="s">
        <v>52862</v>
      </c>
      <c r="J3213" t="s">
        <v>34159</v>
      </c>
      <c r="K3213" t="s">
        <v>74</v>
      </c>
      <c r="L3213" t="s">
        <v>74</v>
      </c>
      <c r="M3213" t="s">
        <v>78</v>
      </c>
      <c r="N3213" t="s">
        <v>79</v>
      </c>
      <c r="O3213" t="s">
        <v>74</v>
      </c>
      <c r="P3213" t="s">
        <v>74</v>
      </c>
      <c r="Q3213" t="s">
        <v>74</v>
      </c>
      <c r="R3213" t="s">
        <v>74</v>
      </c>
      <c r="S3213" t="s">
        <v>74</v>
      </c>
      <c r="T3213" t="s">
        <v>52863</v>
      </c>
      <c r="U3213" t="s">
        <v>52864</v>
      </c>
      <c r="V3213" t="s">
        <v>52865</v>
      </c>
      <c r="W3213" t="s">
        <v>52866</v>
      </c>
      <c r="X3213" t="s">
        <v>52867</v>
      </c>
      <c r="Y3213" t="s">
        <v>52868</v>
      </c>
      <c r="Z3213" t="s">
        <v>52869</v>
      </c>
      <c r="AA3213" t="s">
        <v>74</v>
      </c>
      <c r="AB3213" t="s">
        <v>52870</v>
      </c>
      <c r="AC3213" t="s">
        <v>52871</v>
      </c>
      <c r="AD3213" t="s">
        <v>52872</v>
      </c>
      <c r="AE3213" t="s">
        <v>52873</v>
      </c>
      <c r="AF3213" t="s">
        <v>74</v>
      </c>
      <c r="AG3213">
        <v>70</v>
      </c>
      <c r="AH3213">
        <v>4</v>
      </c>
      <c r="AI3213">
        <v>5</v>
      </c>
      <c r="AJ3213">
        <v>2</v>
      </c>
      <c r="AK3213">
        <v>8</v>
      </c>
      <c r="AL3213" t="s">
        <v>757</v>
      </c>
      <c r="AM3213" t="s">
        <v>758</v>
      </c>
      <c r="AN3213" t="s">
        <v>759</v>
      </c>
      <c r="AO3213" t="s">
        <v>34148</v>
      </c>
      <c r="AP3213" t="s">
        <v>34147</v>
      </c>
      <c r="AQ3213" t="s">
        <v>74</v>
      </c>
      <c r="AR3213" t="s">
        <v>34146</v>
      </c>
      <c r="AS3213" t="s">
        <v>34145</v>
      </c>
      <c r="AT3213" t="s">
        <v>1652</v>
      </c>
      <c r="AU3213">
        <v>2022</v>
      </c>
      <c r="AV3213">
        <v>54</v>
      </c>
      <c r="AW3213">
        <v>4</v>
      </c>
      <c r="AX3213" t="s">
        <v>74</v>
      </c>
      <c r="AY3213" t="s">
        <v>74</v>
      </c>
      <c r="AZ3213" t="s">
        <v>74</v>
      </c>
      <c r="BA3213" t="s">
        <v>74</v>
      </c>
      <c r="BB3213">
        <v>822</v>
      </c>
      <c r="BC3213">
        <v>838</v>
      </c>
      <c r="BD3213" t="s">
        <v>52874</v>
      </c>
      <c r="BE3213" t="s">
        <v>52875</v>
      </c>
      <c r="BF3213" t="str">
        <f>HYPERLINK("http://dx.doi.org/10.1177/0308518X221092777","http://dx.doi.org/10.1177/0308518X221092777")</f>
        <v>http://dx.doi.org/10.1177/0308518X221092777</v>
      </c>
      <c r="BG3213" t="s">
        <v>74</v>
      </c>
      <c r="BH3213" t="s">
        <v>12980</v>
      </c>
      <c r="BI3213">
        <v>17</v>
      </c>
      <c r="BJ3213" t="s">
        <v>34142</v>
      </c>
      <c r="BK3213" t="s">
        <v>99</v>
      </c>
      <c r="BL3213" t="s">
        <v>34141</v>
      </c>
      <c r="BM3213" t="s">
        <v>52876</v>
      </c>
      <c r="BN3213" t="s">
        <v>74</v>
      </c>
      <c r="BO3213" t="s">
        <v>270</v>
      </c>
      <c r="BP3213" t="s">
        <v>74</v>
      </c>
      <c r="BQ3213" t="s">
        <v>74</v>
      </c>
      <c r="BR3213" t="s">
        <v>102</v>
      </c>
      <c r="BS3213" t="s">
        <v>52877</v>
      </c>
      <c r="BT3213" t="str">
        <f>HYPERLINK("https%3A%2F%2Fwww.webofscience.com%2Fwos%2Fwoscc%2Ffull-record%2FWOS:000782462500001","View Full Record in Web of Science")</f>
        <v>View Full Record in Web of Science</v>
      </c>
    </row>
    <row r="3214" spans="1:72" x14ac:dyDescent="0.25">
      <c r="A3214" t="s">
        <v>72</v>
      </c>
      <c r="B3214" t="s">
        <v>52878</v>
      </c>
      <c r="C3214" t="s">
        <v>74</v>
      </c>
      <c r="D3214" t="s">
        <v>74</v>
      </c>
      <c r="E3214" t="s">
        <v>74</v>
      </c>
      <c r="F3214" t="s">
        <v>52879</v>
      </c>
      <c r="G3214" t="s">
        <v>74</v>
      </c>
      <c r="H3214" t="s">
        <v>74</v>
      </c>
      <c r="I3214" t="s">
        <v>52880</v>
      </c>
      <c r="J3214" t="s">
        <v>52881</v>
      </c>
      <c r="K3214" t="s">
        <v>74</v>
      </c>
      <c r="L3214" t="s">
        <v>74</v>
      </c>
      <c r="M3214" t="s">
        <v>78</v>
      </c>
      <c r="N3214" t="s">
        <v>79</v>
      </c>
      <c r="O3214" t="s">
        <v>74</v>
      </c>
      <c r="P3214" t="s">
        <v>74</v>
      </c>
      <c r="Q3214" t="s">
        <v>74</v>
      </c>
      <c r="R3214" t="s">
        <v>74</v>
      </c>
      <c r="S3214" t="s">
        <v>74</v>
      </c>
      <c r="T3214" t="s">
        <v>52882</v>
      </c>
      <c r="U3214" t="s">
        <v>52883</v>
      </c>
      <c r="V3214" t="s">
        <v>52884</v>
      </c>
      <c r="W3214" t="s">
        <v>52885</v>
      </c>
      <c r="X3214" t="s">
        <v>32376</v>
      </c>
      <c r="Y3214" t="s">
        <v>52886</v>
      </c>
      <c r="Z3214" t="s">
        <v>74</v>
      </c>
      <c r="AA3214" t="s">
        <v>74</v>
      </c>
      <c r="AB3214" t="s">
        <v>74</v>
      </c>
      <c r="AC3214" t="s">
        <v>74</v>
      </c>
      <c r="AD3214" t="s">
        <v>74</v>
      </c>
      <c r="AE3214" t="s">
        <v>74</v>
      </c>
      <c r="AF3214" t="s">
        <v>74</v>
      </c>
      <c r="AG3214">
        <v>68</v>
      </c>
      <c r="AH3214">
        <v>10</v>
      </c>
      <c r="AI3214">
        <v>13</v>
      </c>
      <c r="AJ3214">
        <v>0</v>
      </c>
      <c r="AK3214">
        <v>25</v>
      </c>
      <c r="AL3214" t="s">
        <v>409</v>
      </c>
      <c r="AM3214" t="s">
        <v>410</v>
      </c>
      <c r="AN3214" t="s">
        <v>411</v>
      </c>
      <c r="AO3214" t="s">
        <v>52887</v>
      </c>
      <c r="AP3214" t="s">
        <v>52888</v>
      </c>
      <c r="AQ3214" t="s">
        <v>74</v>
      </c>
      <c r="AR3214" t="s">
        <v>52889</v>
      </c>
      <c r="AS3214" t="s">
        <v>52890</v>
      </c>
      <c r="AT3214" t="s">
        <v>7558</v>
      </c>
      <c r="AU3214">
        <v>2015</v>
      </c>
      <c r="AV3214">
        <v>52</v>
      </c>
      <c r="AW3214">
        <v>4</v>
      </c>
      <c r="AX3214" t="s">
        <v>74</v>
      </c>
      <c r="AY3214" t="s">
        <v>74</v>
      </c>
      <c r="AZ3214" t="s">
        <v>74</v>
      </c>
      <c r="BA3214" t="s">
        <v>74</v>
      </c>
      <c r="BB3214">
        <v>409</v>
      </c>
      <c r="BC3214">
        <v>437</v>
      </c>
      <c r="BD3214" t="s">
        <v>74</v>
      </c>
      <c r="BE3214" t="s">
        <v>52891</v>
      </c>
      <c r="BF3214" t="str">
        <f>HYPERLINK("http://dx.doi.org/10.1177/0019464615603889","http://dx.doi.org/10.1177/0019464615603889")</f>
        <v>http://dx.doi.org/10.1177/0019464615603889</v>
      </c>
      <c r="BG3214" t="s">
        <v>74</v>
      </c>
      <c r="BH3214" t="s">
        <v>74</v>
      </c>
      <c r="BI3214">
        <v>29</v>
      </c>
      <c r="BJ3214" t="s">
        <v>2464</v>
      </c>
      <c r="BK3214" t="s">
        <v>871</v>
      </c>
      <c r="BL3214" t="s">
        <v>2464</v>
      </c>
      <c r="BM3214" t="s">
        <v>52892</v>
      </c>
      <c r="BN3214" t="s">
        <v>74</v>
      </c>
      <c r="BO3214" t="s">
        <v>74</v>
      </c>
      <c r="BP3214" t="s">
        <v>74</v>
      </c>
      <c r="BQ3214" t="s">
        <v>74</v>
      </c>
      <c r="BR3214" t="s">
        <v>102</v>
      </c>
      <c r="BS3214" t="s">
        <v>52893</v>
      </c>
      <c r="BT3214" t="str">
        <f>HYPERLINK("https%3A%2F%2Fwww.webofscience.com%2Fwos%2Fwoscc%2Ffull-record%2FWOS:000366194600001","View Full Record in Web of Science")</f>
        <v>View Full Record in Web of Science</v>
      </c>
    </row>
    <row r="3215" spans="1:72" x14ac:dyDescent="0.25">
      <c r="A3215" t="s">
        <v>72</v>
      </c>
      <c r="B3215" t="s">
        <v>52894</v>
      </c>
      <c r="C3215" t="s">
        <v>74</v>
      </c>
      <c r="D3215" t="s">
        <v>74</v>
      </c>
      <c r="E3215" t="s">
        <v>74</v>
      </c>
      <c r="F3215" t="s">
        <v>52895</v>
      </c>
      <c r="G3215" t="s">
        <v>74</v>
      </c>
      <c r="H3215" t="s">
        <v>74</v>
      </c>
      <c r="I3215" t="s">
        <v>52896</v>
      </c>
      <c r="J3215" t="s">
        <v>12549</v>
      </c>
      <c r="K3215" t="s">
        <v>74</v>
      </c>
      <c r="L3215" t="s">
        <v>74</v>
      </c>
      <c r="M3215" t="s">
        <v>78</v>
      </c>
      <c r="N3215" t="s">
        <v>79</v>
      </c>
      <c r="O3215" t="s">
        <v>74</v>
      </c>
      <c r="P3215" t="s">
        <v>74</v>
      </c>
      <c r="Q3215" t="s">
        <v>74</v>
      </c>
      <c r="R3215" t="s">
        <v>74</v>
      </c>
      <c r="S3215" t="s">
        <v>74</v>
      </c>
      <c r="T3215" t="s">
        <v>52897</v>
      </c>
      <c r="U3215" t="s">
        <v>52898</v>
      </c>
      <c r="V3215" t="s">
        <v>52899</v>
      </c>
      <c r="W3215" t="s">
        <v>52900</v>
      </c>
      <c r="X3215" t="s">
        <v>11237</v>
      </c>
      <c r="Y3215" t="s">
        <v>19588</v>
      </c>
      <c r="Z3215" t="s">
        <v>35519</v>
      </c>
      <c r="AA3215" t="s">
        <v>19586</v>
      </c>
      <c r="AB3215" t="s">
        <v>19585</v>
      </c>
      <c r="AC3215" t="s">
        <v>74</v>
      </c>
      <c r="AD3215" t="s">
        <v>74</v>
      </c>
      <c r="AE3215" t="s">
        <v>74</v>
      </c>
      <c r="AF3215" t="s">
        <v>74</v>
      </c>
      <c r="AG3215">
        <v>28</v>
      </c>
      <c r="AH3215">
        <v>5</v>
      </c>
      <c r="AI3215">
        <v>11</v>
      </c>
      <c r="AJ3215">
        <v>1</v>
      </c>
      <c r="AK3215">
        <v>25</v>
      </c>
      <c r="AL3215" t="s">
        <v>575</v>
      </c>
      <c r="AM3215" t="s">
        <v>576</v>
      </c>
      <c r="AN3215" t="s">
        <v>3242</v>
      </c>
      <c r="AO3215" t="s">
        <v>12562</v>
      </c>
      <c r="AP3215" t="s">
        <v>12563</v>
      </c>
      <c r="AQ3215" t="s">
        <v>74</v>
      </c>
      <c r="AR3215" t="s">
        <v>12564</v>
      </c>
      <c r="AS3215" t="s">
        <v>12565</v>
      </c>
      <c r="AT3215" t="s">
        <v>124</v>
      </c>
      <c r="AU3215">
        <v>2022</v>
      </c>
      <c r="AV3215">
        <v>15</v>
      </c>
      <c r="AW3215">
        <v>12</v>
      </c>
      <c r="AX3215" t="s">
        <v>74</v>
      </c>
      <c r="AY3215" t="s">
        <v>74</v>
      </c>
      <c r="AZ3215" t="s">
        <v>74</v>
      </c>
      <c r="BA3215" t="s">
        <v>74</v>
      </c>
      <c r="BB3215" t="s">
        <v>74</v>
      </c>
      <c r="BC3215" t="s">
        <v>74</v>
      </c>
      <c r="BD3215">
        <v>568</v>
      </c>
      <c r="BE3215" t="s">
        <v>52901</v>
      </c>
      <c r="BF3215" t="str">
        <f>HYPERLINK("http://dx.doi.org/10.3390/jrfm15120568","http://dx.doi.org/10.3390/jrfm15120568")</f>
        <v>http://dx.doi.org/10.3390/jrfm15120568</v>
      </c>
      <c r="BG3215" t="s">
        <v>74</v>
      </c>
      <c r="BH3215" t="s">
        <v>74</v>
      </c>
      <c r="BI3215">
        <v>10</v>
      </c>
      <c r="BJ3215" t="s">
        <v>268</v>
      </c>
      <c r="BK3215" t="s">
        <v>313</v>
      </c>
      <c r="BL3215" t="s">
        <v>100</v>
      </c>
      <c r="BM3215" t="s">
        <v>52902</v>
      </c>
      <c r="BN3215" t="s">
        <v>74</v>
      </c>
      <c r="BO3215" t="s">
        <v>466</v>
      </c>
      <c r="BP3215" t="s">
        <v>74</v>
      </c>
      <c r="BQ3215" t="s">
        <v>74</v>
      </c>
      <c r="BR3215" t="s">
        <v>102</v>
      </c>
      <c r="BS3215" t="s">
        <v>52903</v>
      </c>
      <c r="BT3215" t="str">
        <f>HYPERLINK("https%3A%2F%2Fwww.webofscience.com%2Fwos%2Fwoscc%2Ffull-record%2FWOS:000900935500001","View Full Record in Web of Science")</f>
        <v>View Full Record in Web of Science</v>
      </c>
    </row>
    <row r="3216" spans="1:72" x14ac:dyDescent="0.25">
      <c r="A3216" t="s">
        <v>72</v>
      </c>
      <c r="B3216" t="s">
        <v>52904</v>
      </c>
      <c r="C3216" t="s">
        <v>74</v>
      </c>
      <c r="D3216" t="s">
        <v>74</v>
      </c>
      <c r="E3216" t="s">
        <v>74</v>
      </c>
      <c r="F3216" t="s">
        <v>52905</v>
      </c>
      <c r="G3216" t="s">
        <v>74</v>
      </c>
      <c r="H3216" t="s">
        <v>74</v>
      </c>
      <c r="I3216" t="s">
        <v>52906</v>
      </c>
      <c r="J3216" t="s">
        <v>424</v>
      </c>
      <c r="K3216" t="s">
        <v>74</v>
      </c>
      <c r="L3216" t="s">
        <v>74</v>
      </c>
      <c r="M3216" t="s">
        <v>78</v>
      </c>
      <c r="N3216" t="s">
        <v>372</v>
      </c>
      <c r="O3216" t="s">
        <v>74</v>
      </c>
      <c r="P3216" t="s">
        <v>74</v>
      </c>
      <c r="Q3216" t="s">
        <v>74</v>
      </c>
      <c r="R3216" t="s">
        <v>74</v>
      </c>
      <c r="S3216" t="s">
        <v>74</v>
      </c>
      <c r="T3216" t="s">
        <v>52907</v>
      </c>
      <c r="U3216" t="s">
        <v>52908</v>
      </c>
      <c r="V3216" t="s">
        <v>52909</v>
      </c>
      <c r="W3216" t="s">
        <v>52910</v>
      </c>
      <c r="X3216" t="s">
        <v>52911</v>
      </c>
      <c r="Y3216" t="s">
        <v>52912</v>
      </c>
      <c r="Z3216" t="s">
        <v>52913</v>
      </c>
      <c r="AA3216" t="s">
        <v>74</v>
      </c>
      <c r="AB3216" t="s">
        <v>52914</v>
      </c>
      <c r="AC3216" t="s">
        <v>74</v>
      </c>
      <c r="AD3216" t="s">
        <v>74</v>
      </c>
      <c r="AE3216" t="s">
        <v>74</v>
      </c>
      <c r="AF3216" t="s">
        <v>74</v>
      </c>
      <c r="AG3216">
        <v>83</v>
      </c>
      <c r="AH3216">
        <v>4</v>
      </c>
      <c r="AI3216">
        <v>5</v>
      </c>
      <c r="AJ3216">
        <v>20</v>
      </c>
      <c r="AK3216">
        <v>30</v>
      </c>
      <c r="AL3216" t="s">
        <v>89</v>
      </c>
      <c r="AM3216" t="s">
        <v>90</v>
      </c>
      <c r="AN3216" t="s">
        <v>91</v>
      </c>
      <c r="AO3216" t="s">
        <v>436</v>
      </c>
      <c r="AP3216" t="s">
        <v>437</v>
      </c>
      <c r="AQ3216" t="s">
        <v>74</v>
      </c>
      <c r="AR3216" t="s">
        <v>438</v>
      </c>
      <c r="AS3216" t="s">
        <v>439</v>
      </c>
      <c r="AT3216" t="s">
        <v>10335</v>
      </c>
      <c r="AU3216">
        <v>2025</v>
      </c>
      <c r="AV3216" t="s">
        <v>74</v>
      </c>
      <c r="AW3216" t="s">
        <v>74</v>
      </c>
      <c r="AX3216" t="s">
        <v>74</v>
      </c>
      <c r="AY3216" t="s">
        <v>74</v>
      </c>
      <c r="AZ3216" t="s">
        <v>74</v>
      </c>
      <c r="BA3216" t="s">
        <v>74</v>
      </c>
      <c r="BB3216" t="s">
        <v>74</v>
      </c>
      <c r="BC3216" t="s">
        <v>74</v>
      </c>
      <c r="BD3216" t="s">
        <v>74</v>
      </c>
      <c r="BE3216" t="s">
        <v>52915</v>
      </c>
      <c r="BF3216" t="str">
        <f>HYPERLINK("http://dx.doi.org/10.1108/IJBM-09-2024-0527","http://dx.doi.org/10.1108/IJBM-09-2024-0527")</f>
        <v>http://dx.doi.org/10.1108/IJBM-09-2024-0527</v>
      </c>
      <c r="BG3216" t="s">
        <v>74</v>
      </c>
      <c r="BH3216" t="s">
        <v>2359</v>
      </c>
      <c r="BI3216">
        <v>27</v>
      </c>
      <c r="BJ3216" t="s">
        <v>418</v>
      </c>
      <c r="BK3216" t="s">
        <v>99</v>
      </c>
      <c r="BL3216" t="s">
        <v>100</v>
      </c>
      <c r="BM3216" t="s">
        <v>52916</v>
      </c>
      <c r="BN3216" t="s">
        <v>74</v>
      </c>
      <c r="BO3216" t="s">
        <v>74</v>
      </c>
      <c r="BP3216" t="s">
        <v>74</v>
      </c>
      <c r="BQ3216" t="s">
        <v>74</v>
      </c>
      <c r="BR3216" t="s">
        <v>102</v>
      </c>
      <c r="BS3216" t="s">
        <v>52917</v>
      </c>
      <c r="BT3216" t="str">
        <f>HYPERLINK("https%3A%2F%2Fwww.webofscience.com%2Fwos%2Fwoscc%2Ffull-record%2FWOS:001484329600001","View Full Record in Web of Science")</f>
        <v>View Full Record in Web of Science</v>
      </c>
    </row>
    <row r="3217" spans="1:72" x14ac:dyDescent="0.25">
      <c r="A3217" t="s">
        <v>132</v>
      </c>
      <c r="B3217" t="s">
        <v>52918</v>
      </c>
      <c r="C3217" t="s">
        <v>74</v>
      </c>
      <c r="D3217" t="s">
        <v>74</v>
      </c>
      <c r="E3217" t="s">
        <v>150</v>
      </c>
      <c r="F3217" t="s">
        <v>52919</v>
      </c>
      <c r="G3217" t="s">
        <v>74</v>
      </c>
      <c r="H3217" t="s">
        <v>74</v>
      </c>
      <c r="I3217" t="s">
        <v>52920</v>
      </c>
      <c r="J3217" t="s">
        <v>52921</v>
      </c>
      <c r="K3217" t="s">
        <v>74</v>
      </c>
      <c r="L3217" t="s">
        <v>74</v>
      </c>
      <c r="M3217" t="s">
        <v>78</v>
      </c>
      <c r="N3217" t="s">
        <v>138</v>
      </c>
      <c r="O3217" t="s">
        <v>52922</v>
      </c>
      <c r="P3217" t="s">
        <v>52923</v>
      </c>
      <c r="Q3217" t="s">
        <v>52924</v>
      </c>
      <c r="R3217" t="s">
        <v>52925</v>
      </c>
      <c r="S3217" t="s">
        <v>52926</v>
      </c>
      <c r="T3217" t="s">
        <v>52927</v>
      </c>
      <c r="U3217" t="s">
        <v>74</v>
      </c>
      <c r="V3217" t="s">
        <v>52928</v>
      </c>
      <c r="W3217" t="s">
        <v>52929</v>
      </c>
      <c r="X3217" t="s">
        <v>52930</v>
      </c>
      <c r="Y3217" t="s">
        <v>52931</v>
      </c>
      <c r="Z3217" t="s">
        <v>52932</v>
      </c>
      <c r="AA3217" t="s">
        <v>74</v>
      </c>
      <c r="AB3217" t="s">
        <v>52933</v>
      </c>
      <c r="AC3217" t="s">
        <v>74</v>
      </c>
      <c r="AD3217" t="s">
        <v>74</v>
      </c>
      <c r="AE3217" t="s">
        <v>74</v>
      </c>
      <c r="AF3217" t="s">
        <v>74</v>
      </c>
      <c r="AG3217">
        <v>30</v>
      </c>
      <c r="AH3217">
        <v>0</v>
      </c>
      <c r="AI3217">
        <v>0</v>
      </c>
      <c r="AJ3217">
        <v>0</v>
      </c>
      <c r="AK3217">
        <v>0</v>
      </c>
      <c r="AL3217" t="s">
        <v>150</v>
      </c>
      <c r="AM3217" t="s">
        <v>151</v>
      </c>
      <c r="AN3217" t="s">
        <v>1560</v>
      </c>
      <c r="AO3217" t="s">
        <v>74</v>
      </c>
      <c r="AP3217" t="s">
        <v>74</v>
      </c>
      <c r="AQ3217" t="s">
        <v>52934</v>
      </c>
      <c r="AR3217" t="s">
        <v>74</v>
      </c>
      <c r="AS3217" t="s">
        <v>74</v>
      </c>
      <c r="AT3217" t="s">
        <v>74</v>
      </c>
      <c r="AU3217">
        <v>2024</v>
      </c>
      <c r="AV3217" t="s">
        <v>74</v>
      </c>
      <c r="AW3217" t="s">
        <v>74</v>
      </c>
      <c r="AX3217" t="s">
        <v>74</v>
      </c>
      <c r="AY3217" t="s">
        <v>74</v>
      </c>
      <c r="AZ3217" t="s">
        <v>74</v>
      </c>
      <c r="BA3217" t="s">
        <v>74</v>
      </c>
      <c r="BB3217">
        <v>259</v>
      </c>
      <c r="BC3217">
        <v>268</v>
      </c>
      <c r="BD3217" t="s">
        <v>74</v>
      </c>
      <c r="BE3217" t="s">
        <v>52935</v>
      </c>
      <c r="BF3217" t="str">
        <f>HYPERLINK("http://dx.doi.org/10.1145/3605098.3635895","http://dx.doi.org/10.1145/3605098.3635895")</f>
        <v>http://dx.doi.org/10.1145/3605098.3635895</v>
      </c>
      <c r="BG3217" t="s">
        <v>74</v>
      </c>
      <c r="BH3217" t="s">
        <v>74</v>
      </c>
      <c r="BI3217">
        <v>10</v>
      </c>
      <c r="BJ3217" t="s">
        <v>52936</v>
      </c>
      <c r="BK3217" t="s">
        <v>156</v>
      </c>
      <c r="BL3217" t="s">
        <v>157</v>
      </c>
      <c r="BM3217" t="s">
        <v>52937</v>
      </c>
      <c r="BN3217" t="s">
        <v>74</v>
      </c>
      <c r="BO3217" t="s">
        <v>74</v>
      </c>
      <c r="BP3217" t="s">
        <v>74</v>
      </c>
      <c r="BQ3217" t="s">
        <v>74</v>
      </c>
      <c r="BR3217" t="s">
        <v>102</v>
      </c>
      <c r="BS3217" t="s">
        <v>52938</v>
      </c>
      <c r="BT3217" t="str">
        <f>HYPERLINK("https%3A%2F%2Fwww.webofscience.com%2Fwos%2Fwoscc%2Ffull-record%2FWOS:001236958200038","View Full Record in Web of Science")</f>
        <v>View Full Record in Web of Science</v>
      </c>
    </row>
    <row r="3218" spans="1:72" x14ac:dyDescent="0.25">
      <c r="A3218" t="s">
        <v>72</v>
      </c>
      <c r="B3218" t="s">
        <v>52939</v>
      </c>
      <c r="C3218" t="s">
        <v>74</v>
      </c>
      <c r="D3218" t="s">
        <v>74</v>
      </c>
      <c r="E3218" t="s">
        <v>74</v>
      </c>
      <c r="F3218" t="s">
        <v>52940</v>
      </c>
      <c r="G3218" t="s">
        <v>74</v>
      </c>
      <c r="H3218" t="s">
        <v>74</v>
      </c>
      <c r="I3218" t="s">
        <v>52941</v>
      </c>
      <c r="J3218" t="s">
        <v>35833</v>
      </c>
      <c r="K3218" t="s">
        <v>74</v>
      </c>
      <c r="L3218" t="s">
        <v>74</v>
      </c>
      <c r="M3218" t="s">
        <v>78</v>
      </c>
      <c r="N3218" t="s">
        <v>79</v>
      </c>
      <c r="O3218" t="s">
        <v>74</v>
      </c>
      <c r="P3218" t="s">
        <v>74</v>
      </c>
      <c r="Q3218" t="s">
        <v>74</v>
      </c>
      <c r="R3218" t="s">
        <v>74</v>
      </c>
      <c r="S3218" t="s">
        <v>74</v>
      </c>
      <c r="T3218" t="s">
        <v>74</v>
      </c>
      <c r="U3218" t="s">
        <v>52942</v>
      </c>
      <c r="V3218" t="s">
        <v>52943</v>
      </c>
      <c r="W3218" t="s">
        <v>52944</v>
      </c>
      <c r="X3218" t="s">
        <v>26538</v>
      </c>
      <c r="Y3218" t="s">
        <v>52945</v>
      </c>
      <c r="Z3218" t="s">
        <v>74</v>
      </c>
      <c r="AA3218" t="s">
        <v>74</v>
      </c>
      <c r="AB3218" t="s">
        <v>52946</v>
      </c>
      <c r="AC3218" t="s">
        <v>74</v>
      </c>
      <c r="AD3218" t="s">
        <v>74</v>
      </c>
      <c r="AE3218" t="s">
        <v>74</v>
      </c>
      <c r="AF3218" t="s">
        <v>74</v>
      </c>
      <c r="AG3218">
        <v>83</v>
      </c>
      <c r="AH3218">
        <v>12</v>
      </c>
      <c r="AI3218">
        <v>13</v>
      </c>
      <c r="AJ3218">
        <v>0</v>
      </c>
      <c r="AK3218">
        <v>194</v>
      </c>
      <c r="AL3218" t="s">
        <v>3380</v>
      </c>
      <c r="AM3218" t="s">
        <v>3381</v>
      </c>
      <c r="AN3218" t="s">
        <v>3382</v>
      </c>
      <c r="AO3218" t="s">
        <v>35842</v>
      </c>
      <c r="AP3218" t="s">
        <v>35843</v>
      </c>
      <c r="AQ3218" t="s">
        <v>74</v>
      </c>
      <c r="AR3218" t="s">
        <v>35833</v>
      </c>
      <c r="AS3218" t="s">
        <v>35844</v>
      </c>
      <c r="AT3218" t="s">
        <v>29065</v>
      </c>
      <c r="AU3218">
        <v>2018</v>
      </c>
      <c r="AV3218">
        <v>43</v>
      </c>
      <c r="AW3218">
        <v>2</v>
      </c>
      <c r="AX3218" t="s">
        <v>74</v>
      </c>
      <c r="AY3218" t="s">
        <v>74</v>
      </c>
      <c r="AZ3218" t="s">
        <v>74</v>
      </c>
      <c r="BA3218" t="s">
        <v>74</v>
      </c>
      <c r="BB3218">
        <v>301</v>
      </c>
      <c r="BC3218">
        <v>325</v>
      </c>
      <c r="BD3218" t="s">
        <v>74</v>
      </c>
      <c r="BE3218" t="s">
        <v>52947</v>
      </c>
      <c r="BF3218" t="str">
        <f>HYPERLINK("http://dx.doi.org/10.1086/693537","http://dx.doi.org/10.1086/693537")</f>
        <v>http://dx.doi.org/10.1086/693537</v>
      </c>
      <c r="BG3218" t="s">
        <v>74</v>
      </c>
      <c r="BH3218" t="s">
        <v>74</v>
      </c>
      <c r="BI3218">
        <v>25</v>
      </c>
      <c r="BJ3218" t="s">
        <v>4761</v>
      </c>
      <c r="BK3218" t="s">
        <v>99</v>
      </c>
      <c r="BL3218" t="s">
        <v>4761</v>
      </c>
      <c r="BM3218" t="s">
        <v>52948</v>
      </c>
      <c r="BN3218" t="s">
        <v>74</v>
      </c>
      <c r="BO3218" t="s">
        <v>1205</v>
      </c>
      <c r="BP3218" t="s">
        <v>74</v>
      </c>
      <c r="BQ3218" t="s">
        <v>74</v>
      </c>
      <c r="BR3218" t="s">
        <v>102</v>
      </c>
      <c r="BS3218" t="s">
        <v>52949</v>
      </c>
      <c r="BT3218" t="str">
        <f>HYPERLINK("https%3A%2F%2Fwww.webofscience.com%2Fwos%2Fwoscc%2Ffull-record%2FWOS:000415247800003","View Full Record in Web of Science")</f>
        <v>View Full Record in Web of Science</v>
      </c>
    </row>
    <row r="3219" spans="1:72" x14ac:dyDescent="0.25">
      <c r="A3219" t="s">
        <v>72</v>
      </c>
      <c r="B3219" t="s">
        <v>39844</v>
      </c>
      <c r="C3219" t="s">
        <v>74</v>
      </c>
      <c r="D3219" t="s">
        <v>74</v>
      </c>
      <c r="E3219" t="s">
        <v>74</v>
      </c>
      <c r="F3219" t="s">
        <v>52950</v>
      </c>
      <c r="G3219" t="s">
        <v>74</v>
      </c>
      <c r="H3219" t="s">
        <v>74</v>
      </c>
      <c r="I3219" t="s">
        <v>52951</v>
      </c>
      <c r="J3219" t="s">
        <v>4208</v>
      </c>
      <c r="K3219" t="s">
        <v>74</v>
      </c>
      <c r="L3219" t="s">
        <v>74</v>
      </c>
      <c r="M3219" t="s">
        <v>78</v>
      </c>
      <c r="N3219" t="s">
        <v>52952</v>
      </c>
      <c r="O3219" t="s">
        <v>74</v>
      </c>
      <c r="P3219" t="s">
        <v>74</v>
      </c>
      <c r="Q3219" t="s">
        <v>74</v>
      </c>
      <c r="R3219" t="s">
        <v>74</v>
      </c>
      <c r="S3219" t="s">
        <v>74</v>
      </c>
      <c r="T3219" t="s">
        <v>74</v>
      </c>
      <c r="U3219" t="s">
        <v>74</v>
      </c>
      <c r="V3219" t="s">
        <v>74</v>
      </c>
      <c r="W3219" t="s">
        <v>74</v>
      </c>
      <c r="X3219" t="s">
        <v>74</v>
      </c>
      <c r="Y3219" t="s">
        <v>74</v>
      </c>
      <c r="Z3219" t="s">
        <v>74</v>
      </c>
      <c r="AA3219" t="s">
        <v>74</v>
      </c>
      <c r="AB3219" t="s">
        <v>74</v>
      </c>
      <c r="AC3219" t="s">
        <v>74</v>
      </c>
      <c r="AD3219" t="s">
        <v>74</v>
      </c>
      <c r="AE3219" t="s">
        <v>74</v>
      </c>
      <c r="AF3219" t="s">
        <v>74</v>
      </c>
      <c r="AG3219">
        <v>1</v>
      </c>
      <c r="AH3219">
        <v>0</v>
      </c>
      <c r="AI3219">
        <v>0</v>
      </c>
      <c r="AJ3219">
        <v>2</v>
      </c>
      <c r="AK3219">
        <v>2</v>
      </c>
      <c r="AL3219" t="s">
        <v>4218</v>
      </c>
      <c r="AM3219" t="s">
        <v>4219</v>
      </c>
      <c r="AN3219" t="s">
        <v>4220</v>
      </c>
      <c r="AO3219" t="s">
        <v>74</v>
      </c>
      <c r="AP3219" t="s">
        <v>4221</v>
      </c>
      <c r="AQ3219" t="s">
        <v>74</v>
      </c>
      <c r="AR3219" t="s">
        <v>4208</v>
      </c>
      <c r="AS3219" t="s">
        <v>4222</v>
      </c>
      <c r="AT3219" t="s">
        <v>52953</v>
      </c>
      <c r="AU3219">
        <v>2025</v>
      </c>
      <c r="AV3219">
        <v>20</v>
      </c>
      <c r="AW3219">
        <v>10</v>
      </c>
      <c r="AX3219" t="s">
        <v>74</v>
      </c>
      <c r="AY3219" t="s">
        <v>74</v>
      </c>
      <c r="AZ3219" t="s">
        <v>74</v>
      </c>
      <c r="BA3219" t="s">
        <v>74</v>
      </c>
      <c r="BB3219" t="s">
        <v>74</v>
      </c>
      <c r="BC3219" t="s">
        <v>74</v>
      </c>
      <c r="BD3219" t="s">
        <v>52954</v>
      </c>
      <c r="BE3219" t="s">
        <v>52955</v>
      </c>
      <c r="BF3219" t="str">
        <f>HYPERLINK("http://dx.doi.org/10.1371/journal.pone.0334772","http://dx.doi.org/10.1371/journal.pone.0334772")</f>
        <v>http://dx.doi.org/10.1371/journal.pone.0334772</v>
      </c>
      <c r="BG3219" t="s">
        <v>74</v>
      </c>
      <c r="BH3219" t="s">
        <v>74</v>
      </c>
      <c r="BI3219">
        <v>1</v>
      </c>
      <c r="BJ3219" t="s">
        <v>559</v>
      </c>
      <c r="BK3219" t="s">
        <v>128</v>
      </c>
      <c r="BL3219" t="s">
        <v>560</v>
      </c>
      <c r="BM3219" t="s">
        <v>52956</v>
      </c>
      <c r="BN3219" t="s">
        <v>74</v>
      </c>
      <c r="BO3219" t="s">
        <v>916</v>
      </c>
      <c r="BP3219" t="s">
        <v>74</v>
      </c>
      <c r="BQ3219" t="s">
        <v>74</v>
      </c>
      <c r="BR3219" t="s">
        <v>102</v>
      </c>
      <c r="BS3219" t="s">
        <v>52957</v>
      </c>
      <c r="BT3219" t="str">
        <f>HYPERLINK("https%3A%2F%2Fwww.webofscience.com%2Fwos%2Fwoscc%2Ffull-record%2FWOS:001600295000045","View Full Record in Web of Science")</f>
        <v>View Full Record in Web of Science</v>
      </c>
    </row>
    <row r="3220" spans="1:72" x14ac:dyDescent="0.25">
      <c r="A3220" t="s">
        <v>72</v>
      </c>
      <c r="B3220" t="s">
        <v>14809</v>
      </c>
      <c r="C3220" t="s">
        <v>74</v>
      </c>
      <c r="D3220" t="s">
        <v>74</v>
      </c>
      <c r="E3220" t="s">
        <v>74</v>
      </c>
      <c r="F3220" t="s">
        <v>14810</v>
      </c>
      <c r="G3220" t="s">
        <v>74</v>
      </c>
      <c r="H3220" t="s">
        <v>74</v>
      </c>
      <c r="I3220" t="s">
        <v>52958</v>
      </c>
      <c r="J3220" t="s">
        <v>1309</v>
      </c>
      <c r="K3220" t="s">
        <v>74</v>
      </c>
      <c r="L3220" t="s">
        <v>74</v>
      </c>
      <c r="M3220" t="s">
        <v>78</v>
      </c>
      <c r="N3220" t="s">
        <v>79</v>
      </c>
      <c r="O3220" t="s">
        <v>74</v>
      </c>
      <c r="P3220" t="s">
        <v>74</v>
      </c>
      <c r="Q3220" t="s">
        <v>74</v>
      </c>
      <c r="R3220" t="s">
        <v>74</v>
      </c>
      <c r="S3220" t="s">
        <v>74</v>
      </c>
      <c r="T3220" t="s">
        <v>52959</v>
      </c>
      <c r="U3220" t="s">
        <v>52960</v>
      </c>
      <c r="V3220" t="s">
        <v>52961</v>
      </c>
      <c r="W3220" t="s">
        <v>14815</v>
      </c>
      <c r="X3220" t="s">
        <v>11237</v>
      </c>
      <c r="Y3220" t="s">
        <v>11268</v>
      </c>
      <c r="Z3220" t="s">
        <v>11239</v>
      </c>
      <c r="AA3220" t="s">
        <v>27241</v>
      </c>
      <c r="AB3220" t="s">
        <v>52962</v>
      </c>
      <c r="AC3220" t="s">
        <v>74</v>
      </c>
      <c r="AD3220" t="s">
        <v>74</v>
      </c>
      <c r="AE3220" t="s">
        <v>74</v>
      </c>
      <c r="AF3220" t="s">
        <v>74</v>
      </c>
      <c r="AG3220">
        <v>58</v>
      </c>
      <c r="AH3220">
        <v>13</v>
      </c>
      <c r="AI3220">
        <v>17</v>
      </c>
      <c r="AJ3220">
        <v>0</v>
      </c>
      <c r="AK3220">
        <v>6</v>
      </c>
      <c r="AL3220" t="s">
        <v>89</v>
      </c>
      <c r="AM3220" t="s">
        <v>1497</v>
      </c>
      <c r="AN3220" t="s">
        <v>1498</v>
      </c>
      <c r="AO3220" t="s">
        <v>1317</v>
      </c>
      <c r="AP3220" t="s">
        <v>74</v>
      </c>
      <c r="AQ3220" t="s">
        <v>74</v>
      </c>
      <c r="AR3220" t="s">
        <v>1319</v>
      </c>
      <c r="AS3220" t="s">
        <v>74</v>
      </c>
      <c r="AT3220" t="s">
        <v>9909</v>
      </c>
      <c r="AU3220">
        <v>2020</v>
      </c>
      <c r="AV3220">
        <v>47</v>
      </c>
      <c r="AW3220">
        <v>4</v>
      </c>
      <c r="AX3220" t="s">
        <v>74</v>
      </c>
      <c r="AY3220" t="s">
        <v>74</v>
      </c>
      <c r="AZ3220" t="s">
        <v>74</v>
      </c>
      <c r="BA3220" t="s">
        <v>74</v>
      </c>
      <c r="BB3220">
        <v>849</v>
      </c>
      <c r="BC3220">
        <v>875</v>
      </c>
      <c r="BD3220" t="s">
        <v>74</v>
      </c>
      <c r="BE3220" t="s">
        <v>52963</v>
      </c>
      <c r="BF3220" t="str">
        <f>HYPERLINK("http://dx.doi.org/10.1108/JES-01-2019-0025","http://dx.doi.org/10.1108/JES-01-2019-0025")</f>
        <v>http://dx.doi.org/10.1108/JES-01-2019-0025</v>
      </c>
      <c r="BG3220" t="s">
        <v>74</v>
      </c>
      <c r="BH3220" t="s">
        <v>2621</v>
      </c>
      <c r="BI3220">
        <v>27</v>
      </c>
      <c r="BJ3220" t="s">
        <v>291</v>
      </c>
      <c r="BK3220" t="s">
        <v>313</v>
      </c>
      <c r="BL3220" t="s">
        <v>100</v>
      </c>
      <c r="BM3220" t="s">
        <v>52964</v>
      </c>
      <c r="BN3220" t="s">
        <v>74</v>
      </c>
      <c r="BO3220" t="s">
        <v>2734</v>
      </c>
      <c r="BP3220" t="s">
        <v>74</v>
      </c>
      <c r="BQ3220" t="s">
        <v>74</v>
      </c>
      <c r="BR3220" t="s">
        <v>102</v>
      </c>
      <c r="BS3220" t="s">
        <v>52965</v>
      </c>
      <c r="BT3220" t="str">
        <f>HYPERLINK("https%3A%2F%2Fwww.webofscience.com%2Fwos%2Fwoscc%2Ffull-record%2FWOS:000515986200001","View Full Record in Web of Science")</f>
        <v>View Full Record in Web of Science</v>
      </c>
    </row>
    <row r="3221" spans="1:72" x14ac:dyDescent="0.25">
      <c r="A3221" t="s">
        <v>72</v>
      </c>
      <c r="B3221" t="s">
        <v>52966</v>
      </c>
      <c r="C3221" t="s">
        <v>74</v>
      </c>
      <c r="D3221" t="s">
        <v>74</v>
      </c>
      <c r="E3221" t="s">
        <v>74</v>
      </c>
      <c r="F3221" t="s">
        <v>52967</v>
      </c>
      <c r="G3221" t="s">
        <v>74</v>
      </c>
      <c r="H3221" t="s">
        <v>74</v>
      </c>
      <c r="I3221" t="s">
        <v>52968</v>
      </c>
      <c r="J3221" t="s">
        <v>18344</v>
      </c>
      <c r="K3221" t="s">
        <v>74</v>
      </c>
      <c r="L3221" t="s">
        <v>74</v>
      </c>
      <c r="M3221" t="s">
        <v>78</v>
      </c>
      <c r="N3221" t="s">
        <v>16500</v>
      </c>
      <c r="O3221" t="s">
        <v>74</v>
      </c>
      <c r="P3221" t="s">
        <v>74</v>
      </c>
      <c r="Q3221" t="s">
        <v>74</v>
      </c>
      <c r="R3221" t="s">
        <v>74</v>
      </c>
      <c r="S3221" t="s">
        <v>74</v>
      </c>
      <c r="T3221" t="s">
        <v>52969</v>
      </c>
      <c r="U3221" t="s">
        <v>52970</v>
      </c>
      <c r="V3221" t="s">
        <v>52971</v>
      </c>
      <c r="W3221" t="s">
        <v>52972</v>
      </c>
      <c r="X3221" t="s">
        <v>52973</v>
      </c>
      <c r="Y3221" t="s">
        <v>52974</v>
      </c>
      <c r="Z3221" t="s">
        <v>52975</v>
      </c>
      <c r="AA3221" t="s">
        <v>52976</v>
      </c>
      <c r="AB3221" t="s">
        <v>52977</v>
      </c>
      <c r="AC3221" t="s">
        <v>74</v>
      </c>
      <c r="AD3221" t="s">
        <v>74</v>
      </c>
      <c r="AE3221" t="s">
        <v>74</v>
      </c>
      <c r="AF3221" t="s">
        <v>74</v>
      </c>
      <c r="AG3221">
        <v>180</v>
      </c>
      <c r="AH3221">
        <v>0</v>
      </c>
      <c r="AI3221">
        <v>2</v>
      </c>
      <c r="AJ3221">
        <v>1</v>
      </c>
      <c r="AK3221">
        <v>5</v>
      </c>
      <c r="AL3221" t="s">
        <v>89</v>
      </c>
      <c r="AM3221" t="s">
        <v>90</v>
      </c>
      <c r="AN3221" t="s">
        <v>91</v>
      </c>
      <c r="AO3221" t="s">
        <v>18354</v>
      </c>
      <c r="AP3221" t="s">
        <v>18355</v>
      </c>
      <c r="AQ3221" t="s">
        <v>74</v>
      </c>
      <c r="AR3221" t="s">
        <v>18356</v>
      </c>
      <c r="AS3221" t="s">
        <v>18357</v>
      </c>
      <c r="AT3221" t="s">
        <v>51606</v>
      </c>
      <c r="AU3221">
        <v>2025</v>
      </c>
      <c r="AV3221" t="s">
        <v>74</v>
      </c>
      <c r="AW3221" t="s">
        <v>74</v>
      </c>
      <c r="AX3221" t="s">
        <v>74</v>
      </c>
      <c r="AY3221" t="s">
        <v>74</v>
      </c>
      <c r="AZ3221" t="s">
        <v>74</v>
      </c>
      <c r="BA3221" t="s">
        <v>74</v>
      </c>
      <c r="BB3221" t="s">
        <v>74</v>
      </c>
      <c r="BC3221" t="s">
        <v>74</v>
      </c>
      <c r="BD3221" t="s">
        <v>74</v>
      </c>
      <c r="BE3221" t="s">
        <v>52978</v>
      </c>
      <c r="BF3221" t="str">
        <f>HYPERLINK("http://dx.doi.org/10.1108/IJOES-10-2024-0354","http://dx.doi.org/10.1108/IJOES-10-2024-0354")</f>
        <v>http://dx.doi.org/10.1108/IJOES-10-2024-0354</v>
      </c>
      <c r="BG3221" t="s">
        <v>74</v>
      </c>
      <c r="BH3221" t="s">
        <v>2359</v>
      </c>
      <c r="BI3221">
        <v>24</v>
      </c>
      <c r="BJ3221" t="s">
        <v>291</v>
      </c>
      <c r="BK3221" t="s">
        <v>313</v>
      </c>
      <c r="BL3221" t="s">
        <v>100</v>
      </c>
      <c r="BM3221" t="s">
        <v>52979</v>
      </c>
      <c r="BN3221" t="s">
        <v>74</v>
      </c>
      <c r="BO3221" t="s">
        <v>74</v>
      </c>
      <c r="BP3221" t="s">
        <v>74</v>
      </c>
      <c r="BQ3221" t="s">
        <v>74</v>
      </c>
      <c r="BR3221" t="s">
        <v>102</v>
      </c>
      <c r="BS3221" t="s">
        <v>52980</v>
      </c>
      <c r="BT3221" t="str">
        <f>HYPERLINK("https%3A%2F%2Fwww.webofscience.com%2Fwos%2Fwoscc%2Ffull-record%2FWOS:001481824700001","View Full Record in Web of Science")</f>
        <v>View Full Record in Web of Science</v>
      </c>
    </row>
    <row r="3222" spans="1:72" x14ac:dyDescent="0.25">
      <c r="A3222" t="s">
        <v>72</v>
      </c>
      <c r="B3222" t="s">
        <v>52981</v>
      </c>
      <c r="C3222" t="s">
        <v>74</v>
      </c>
      <c r="D3222" t="s">
        <v>74</v>
      </c>
      <c r="E3222" t="s">
        <v>74</v>
      </c>
      <c r="F3222" t="s">
        <v>52982</v>
      </c>
      <c r="G3222" t="s">
        <v>74</v>
      </c>
      <c r="H3222" t="s">
        <v>74</v>
      </c>
      <c r="I3222" t="s">
        <v>52983</v>
      </c>
      <c r="J3222" t="s">
        <v>424</v>
      </c>
      <c r="K3222" t="s">
        <v>74</v>
      </c>
      <c r="L3222" t="s">
        <v>74</v>
      </c>
      <c r="M3222" t="s">
        <v>78</v>
      </c>
      <c r="N3222" t="s">
        <v>79</v>
      </c>
      <c r="O3222" t="s">
        <v>74</v>
      </c>
      <c r="P3222" t="s">
        <v>74</v>
      </c>
      <c r="Q3222" t="s">
        <v>74</v>
      </c>
      <c r="R3222" t="s">
        <v>74</v>
      </c>
      <c r="S3222" t="s">
        <v>74</v>
      </c>
      <c r="T3222" t="s">
        <v>52984</v>
      </c>
      <c r="U3222" t="s">
        <v>52985</v>
      </c>
      <c r="V3222" t="s">
        <v>52986</v>
      </c>
      <c r="W3222" t="s">
        <v>52987</v>
      </c>
      <c r="X3222" t="s">
        <v>4407</v>
      </c>
      <c r="Y3222" t="s">
        <v>52988</v>
      </c>
      <c r="Z3222" t="s">
        <v>52989</v>
      </c>
      <c r="AA3222" t="s">
        <v>52990</v>
      </c>
      <c r="AB3222" t="s">
        <v>52991</v>
      </c>
      <c r="AC3222" t="s">
        <v>74</v>
      </c>
      <c r="AD3222" t="s">
        <v>74</v>
      </c>
      <c r="AE3222" t="s">
        <v>74</v>
      </c>
      <c r="AF3222" t="s">
        <v>74</v>
      </c>
      <c r="AG3222">
        <v>64</v>
      </c>
      <c r="AH3222">
        <v>14</v>
      </c>
      <c r="AI3222">
        <v>23</v>
      </c>
      <c r="AJ3222">
        <v>1</v>
      </c>
      <c r="AK3222">
        <v>59</v>
      </c>
      <c r="AL3222" t="s">
        <v>89</v>
      </c>
      <c r="AM3222" t="s">
        <v>90</v>
      </c>
      <c r="AN3222" t="s">
        <v>91</v>
      </c>
      <c r="AO3222" t="s">
        <v>436</v>
      </c>
      <c r="AP3222" t="s">
        <v>437</v>
      </c>
      <c r="AQ3222" t="s">
        <v>74</v>
      </c>
      <c r="AR3222" t="s">
        <v>438</v>
      </c>
      <c r="AS3222" t="s">
        <v>439</v>
      </c>
      <c r="AT3222" t="s">
        <v>24041</v>
      </c>
      <c r="AU3222">
        <v>2021</v>
      </c>
      <c r="AV3222">
        <v>39</v>
      </c>
      <c r="AW3222">
        <v>7</v>
      </c>
      <c r="AX3222" t="s">
        <v>74</v>
      </c>
      <c r="AY3222" t="s">
        <v>74</v>
      </c>
      <c r="AZ3222" t="s">
        <v>74</v>
      </c>
      <c r="BA3222" t="s">
        <v>74</v>
      </c>
      <c r="BB3222">
        <v>1049</v>
      </c>
      <c r="BC3222">
        <v>1067</v>
      </c>
      <c r="BD3222" t="s">
        <v>74</v>
      </c>
      <c r="BE3222" t="s">
        <v>52992</v>
      </c>
      <c r="BF3222" t="str">
        <f>HYPERLINK("http://dx.doi.org/10.1108/IJBM-10-2020-0519","http://dx.doi.org/10.1108/IJBM-10-2020-0519")</f>
        <v>http://dx.doi.org/10.1108/IJBM-10-2020-0519</v>
      </c>
      <c r="BG3222" t="s">
        <v>74</v>
      </c>
      <c r="BH3222" t="s">
        <v>1818</v>
      </c>
      <c r="BI3222">
        <v>19</v>
      </c>
      <c r="BJ3222" t="s">
        <v>418</v>
      </c>
      <c r="BK3222" t="s">
        <v>99</v>
      </c>
      <c r="BL3222" t="s">
        <v>100</v>
      </c>
      <c r="BM3222" t="s">
        <v>39328</v>
      </c>
      <c r="BN3222" t="s">
        <v>74</v>
      </c>
      <c r="BO3222" t="s">
        <v>1696</v>
      </c>
      <c r="BP3222" t="s">
        <v>74</v>
      </c>
      <c r="BQ3222" t="s">
        <v>74</v>
      </c>
      <c r="BR3222" t="s">
        <v>102</v>
      </c>
      <c r="BS3222" t="s">
        <v>52993</v>
      </c>
      <c r="BT3222" t="str">
        <f>HYPERLINK("https%3A%2F%2Fwww.webofscience.com%2Fwos%2Fwoscc%2Ffull-record%2FWOS:000688352700001","View Full Record in Web of Science")</f>
        <v>View Full Record in Web of Science</v>
      </c>
    </row>
    <row r="3223" spans="1:72" x14ac:dyDescent="0.25">
      <c r="A3223" t="s">
        <v>72</v>
      </c>
      <c r="B3223" t="s">
        <v>52994</v>
      </c>
      <c r="C3223" t="s">
        <v>74</v>
      </c>
      <c r="D3223" t="s">
        <v>74</v>
      </c>
      <c r="E3223" t="s">
        <v>74</v>
      </c>
      <c r="F3223" t="s">
        <v>52995</v>
      </c>
      <c r="G3223" t="s">
        <v>74</v>
      </c>
      <c r="H3223" t="s">
        <v>74</v>
      </c>
      <c r="I3223" t="s">
        <v>52996</v>
      </c>
      <c r="J3223" t="s">
        <v>52997</v>
      </c>
      <c r="K3223" t="s">
        <v>74</v>
      </c>
      <c r="L3223" t="s">
        <v>74</v>
      </c>
      <c r="M3223" t="s">
        <v>78</v>
      </c>
      <c r="N3223" t="s">
        <v>79</v>
      </c>
      <c r="O3223" t="s">
        <v>74</v>
      </c>
      <c r="P3223" t="s">
        <v>74</v>
      </c>
      <c r="Q3223" t="s">
        <v>74</v>
      </c>
      <c r="R3223" t="s">
        <v>74</v>
      </c>
      <c r="S3223" t="s">
        <v>74</v>
      </c>
      <c r="T3223" t="s">
        <v>52998</v>
      </c>
      <c r="U3223" t="s">
        <v>52999</v>
      </c>
      <c r="V3223" t="s">
        <v>53000</v>
      </c>
      <c r="W3223" t="s">
        <v>53001</v>
      </c>
      <c r="X3223" t="s">
        <v>53002</v>
      </c>
      <c r="Y3223" t="s">
        <v>53003</v>
      </c>
      <c r="Z3223" t="s">
        <v>53004</v>
      </c>
      <c r="AA3223" t="s">
        <v>53005</v>
      </c>
      <c r="AB3223" t="s">
        <v>53006</v>
      </c>
      <c r="AC3223" t="s">
        <v>53007</v>
      </c>
      <c r="AD3223" t="s">
        <v>53008</v>
      </c>
      <c r="AE3223" t="s">
        <v>53009</v>
      </c>
      <c r="AF3223" t="s">
        <v>74</v>
      </c>
      <c r="AG3223">
        <v>73</v>
      </c>
      <c r="AH3223">
        <v>9</v>
      </c>
      <c r="AI3223">
        <v>12</v>
      </c>
      <c r="AJ3223">
        <v>2</v>
      </c>
      <c r="AK3223">
        <v>24</v>
      </c>
      <c r="AL3223" t="s">
        <v>21430</v>
      </c>
      <c r="AM3223" t="s">
        <v>21429</v>
      </c>
      <c r="AN3223" t="s">
        <v>21428</v>
      </c>
      <c r="AO3223" t="s">
        <v>53010</v>
      </c>
      <c r="AP3223" t="s">
        <v>53011</v>
      </c>
      <c r="AQ3223" t="s">
        <v>74</v>
      </c>
      <c r="AR3223" t="s">
        <v>53012</v>
      </c>
      <c r="AS3223" t="s">
        <v>53013</v>
      </c>
      <c r="AT3223" t="s">
        <v>74</v>
      </c>
      <c r="AU3223">
        <v>2019</v>
      </c>
      <c r="AV3223">
        <v>20</v>
      </c>
      <c r="AW3223">
        <v>2</v>
      </c>
      <c r="AX3223" t="s">
        <v>74</v>
      </c>
      <c r="AY3223" t="s">
        <v>74</v>
      </c>
      <c r="AZ3223" t="s">
        <v>74</v>
      </c>
      <c r="BA3223" t="s">
        <v>74</v>
      </c>
      <c r="BB3223">
        <v>244</v>
      </c>
      <c r="BC3223">
        <v>267</v>
      </c>
      <c r="BD3223" t="s">
        <v>74</v>
      </c>
      <c r="BE3223" t="s">
        <v>53014</v>
      </c>
      <c r="BF3223" t="str">
        <f>HYPERLINK("http://dx.doi.org/10.3846/jbem.2019.8114","http://dx.doi.org/10.3846/jbem.2019.8114")</f>
        <v>http://dx.doi.org/10.3846/jbem.2019.8114</v>
      </c>
      <c r="BG3223" t="s">
        <v>74</v>
      </c>
      <c r="BH3223" t="s">
        <v>74</v>
      </c>
      <c r="BI3223">
        <v>24</v>
      </c>
      <c r="BJ3223" t="s">
        <v>1453</v>
      </c>
      <c r="BK3223" t="s">
        <v>99</v>
      </c>
      <c r="BL3223" t="s">
        <v>100</v>
      </c>
      <c r="BM3223" t="s">
        <v>53015</v>
      </c>
      <c r="BN3223" t="s">
        <v>74</v>
      </c>
      <c r="BO3223" t="s">
        <v>916</v>
      </c>
      <c r="BP3223" t="s">
        <v>74</v>
      </c>
      <c r="BQ3223" t="s">
        <v>74</v>
      </c>
      <c r="BR3223" t="s">
        <v>102</v>
      </c>
      <c r="BS3223" t="s">
        <v>53016</v>
      </c>
      <c r="BT3223" t="str">
        <f>HYPERLINK("https%3A%2F%2Fwww.webofscience.com%2Fwos%2Fwoscc%2Ffull-record%2FWOS:000463614700003","View Full Record in Web of Science")</f>
        <v>View Full Record in Web of Science</v>
      </c>
    </row>
    <row r="3224" spans="1:72" x14ac:dyDescent="0.25">
      <c r="A3224" t="s">
        <v>72</v>
      </c>
      <c r="B3224" t="s">
        <v>53017</v>
      </c>
      <c r="C3224" t="s">
        <v>74</v>
      </c>
      <c r="D3224" t="s">
        <v>74</v>
      </c>
      <c r="E3224" t="s">
        <v>74</v>
      </c>
      <c r="F3224" t="s">
        <v>53018</v>
      </c>
      <c r="G3224" t="s">
        <v>74</v>
      </c>
      <c r="H3224" t="s">
        <v>74</v>
      </c>
      <c r="I3224" t="s">
        <v>53019</v>
      </c>
      <c r="J3224" t="s">
        <v>107</v>
      </c>
      <c r="K3224" t="s">
        <v>74</v>
      </c>
      <c r="L3224" t="s">
        <v>74</v>
      </c>
      <c r="M3224" t="s">
        <v>78</v>
      </c>
      <c r="N3224" t="s">
        <v>79</v>
      </c>
      <c r="O3224" t="s">
        <v>74</v>
      </c>
      <c r="P3224" t="s">
        <v>74</v>
      </c>
      <c r="Q3224" t="s">
        <v>74</v>
      </c>
      <c r="R3224" t="s">
        <v>74</v>
      </c>
      <c r="S3224" t="s">
        <v>74</v>
      </c>
      <c r="T3224" t="s">
        <v>53020</v>
      </c>
      <c r="U3224" t="s">
        <v>53021</v>
      </c>
      <c r="V3224" t="s">
        <v>53022</v>
      </c>
      <c r="W3224" t="s">
        <v>53023</v>
      </c>
      <c r="X3224" t="s">
        <v>53024</v>
      </c>
      <c r="Y3224" t="s">
        <v>53025</v>
      </c>
      <c r="Z3224" t="s">
        <v>53026</v>
      </c>
      <c r="AA3224" t="s">
        <v>53027</v>
      </c>
      <c r="AB3224" t="s">
        <v>53028</v>
      </c>
      <c r="AC3224" t="s">
        <v>74</v>
      </c>
      <c r="AD3224" t="s">
        <v>74</v>
      </c>
      <c r="AE3224" t="s">
        <v>74</v>
      </c>
      <c r="AF3224" t="s">
        <v>74</v>
      </c>
      <c r="AG3224">
        <v>96</v>
      </c>
      <c r="AH3224">
        <v>67</v>
      </c>
      <c r="AI3224">
        <v>75</v>
      </c>
      <c r="AJ3224">
        <v>0</v>
      </c>
      <c r="AK3224">
        <v>32</v>
      </c>
      <c r="AL3224" t="s">
        <v>117</v>
      </c>
      <c r="AM3224" t="s">
        <v>118</v>
      </c>
      <c r="AN3224" t="s">
        <v>119</v>
      </c>
      <c r="AO3224" t="s">
        <v>120</v>
      </c>
      <c r="AP3224" t="s">
        <v>121</v>
      </c>
      <c r="AQ3224" t="s">
        <v>74</v>
      </c>
      <c r="AR3224" t="s">
        <v>122</v>
      </c>
      <c r="AS3224" t="s">
        <v>123</v>
      </c>
      <c r="AT3224" t="s">
        <v>1540</v>
      </c>
      <c r="AU3224">
        <v>2022</v>
      </c>
      <c r="AV3224">
        <v>29</v>
      </c>
      <c r="AW3224">
        <v>22</v>
      </c>
      <c r="AX3224" t="s">
        <v>74</v>
      </c>
      <c r="AY3224" t="s">
        <v>74</v>
      </c>
      <c r="AZ3224" t="s">
        <v>74</v>
      </c>
      <c r="BA3224" t="s">
        <v>74</v>
      </c>
      <c r="BB3224">
        <v>33033</v>
      </c>
      <c r="BC3224">
        <v>33045</v>
      </c>
      <c r="BD3224" t="s">
        <v>74</v>
      </c>
      <c r="BE3224" t="s">
        <v>53029</v>
      </c>
      <c r="BF3224" t="str">
        <f>HYPERLINK("http://dx.doi.org/10.1007/s11356-021-17945-x","http://dx.doi.org/10.1007/s11356-021-17945-x")</f>
        <v>http://dx.doi.org/10.1007/s11356-021-17945-x</v>
      </c>
      <c r="BG3224" t="s">
        <v>74</v>
      </c>
      <c r="BH3224" t="s">
        <v>6548</v>
      </c>
      <c r="BI3224">
        <v>13</v>
      </c>
      <c r="BJ3224" t="s">
        <v>127</v>
      </c>
      <c r="BK3224" t="s">
        <v>2623</v>
      </c>
      <c r="BL3224" t="s">
        <v>129</v>
      </c>
      <c r="BM3224" t="s">
        <v>53030</v>
      </c>
      <c r="BN3224">
        <v>35025039</v>
      </c>
      <c r="BO3224" t="s">
        <v>74</v>
      </c>
      <c r="BP3224" t="s">
        <v>74</v>
      </c>
      <c r="BQ3224" t="s">
        <v>74</v>
      </c>
      <c r="BR3224" t="s">
        <v>102</v>
      </c>
      <c r="BS3224" t="s">
        <v>53031</v>
      </c>
      <c r="BT3224" t="str">
        <f>HYPERLINK("https%3A%2F%2Fwww.webofscience.com%2Fwos%2Fwoscc%2Ffull-record%2FWOS:000742328900003","View Full Record in Web of Science")</f>
        <v>View Full Record in Web of Science</v>
      </c>
    </row>
    <row r="3225" spans="1:72" x14ac:dyDescent="0.25">
      <c r="A3225" t="s">
        <v>72</v>
      </c>
      <c r="B3225" t="s">
        <v>53032</v>
      </c>
      <c r="C3225" t="s">
        <v>74</v>
      </c>
      <c r="D3225" t="s">
        <v>74</v>
      </c>
      <c r="E3225" t="s">
        <v>74</v>
      </c>
      <c r="F3225" t="s">
        <v>53033</v>
      </c>
      <c r="G3225" t="s">
        <v>74</v>
      </c>
      <c r="H3225" t="s">
        <v>74</v>
      </c>
      <c r="I3225" t="s">
        <v>53034</v>
      </c>
      <c r="J3225" t="s">
        <v>1510</v>
      </c>
      <c r="K3225" t="s">
        <v>74</v>
      </c>
      <c r="L3225" t="s">
        <v>74</v>
      </c>
      <c r="M3225" t="s">
        <v>78</v>
      </c>
      <c r="N3225" t="s">
        <v>79</v>
      </c>
      <c r="O3225" t="s">
        <v>74</v>
      </c>
      <c r="P3225" t="s">
        <v>74</v>
      </c>
      <c r="Q3225" t="s">
        <v>74</v>
      </c>
      <c r="R3225" t="s">
        <v>74</v>
      </c>
      <c r="S3225" t="s">
        <v>74</v>
      </c>
      <c r="T3225" t="s">
        <v>53035</v>
      </c>
      <c r="U3225" t="s">
        <v>53036</v>
      </c>
      <c r="V3225" t="s">
        <v>53037</v>
      </c>
      <c r="W3225" t="s">
        <v>53038</v>
      </c>
      <c r="X3225" t="s">
        <v>30445</v>
      </c>
      <c r="Y3225" t="s">
        <v>53039</v>
      </c>
      <c r="Z3225" t="s">
        <v>53040</v>
      </c>
      <c r="AA3225" t="s">
        <v>53041</v>
      </c>
      <c r="AB3225" t="s">
        <v>53042</v>
      </c>
      <c r="AC3225" t="s">
        <v>53043</v>
      </c>
      <c r="AD3225" t="s">
        <v>53044</v>
      </c>
      <c r="AE3225" t="s">
        <v>53045</v>
      </c>
      <c r="AF3225" t="s">
        <v>74</v>
      </c>
      <c r="AG3225">
        <v>69</v>
      </c>
      <c r="AH3225">
        <v>10</v>
      </c>
      <c r="AI3225">
        <v>15</v>
      </c>
      <c r="AJ3225">
        <v>8</v>
      </c>
      <c r="AK3225">
        <v>19</v>
      </c>
      <c r="AL3225" t="s">
        <v>89</v>
      </c>
      <c r="AM3225" t="s">
        <v>90</v>
      </c>
      <c r="AN3225" t="s">
        <v>91</v>
      </c>
      <c r="AO3225" t="s">
        <v>1519</v>
      </c>
      <c r="AP3225" t="s">
        <v>1520</v>
      </c>
      <c r="AQ3225" t="s">
        <v>74</v>
      </c>
      <c r="AR3225" t="s">
        <v>1521</v>
      </c>
      <c r="AS3225" t="s">
        <v>1522</v>
      </c>
      <c r="AT3225" t="s">
        <v>868</v>
      </c>
      <c r="AU3225">
        <v>2024</v>
      </c>
      <c r="AV3225">
        <v>51</v>
      </c>
      <c r="AW3225">
        <v>11</v>
      </c>
      <c r="AX3225" t="s">
        <v>74</v>
      </c>
      <c r="AY3225" t="s">
        <v>74</v>
      </c>
      <c r="AZ3225" t="s">
        <v>74</v>
      </c>
      <c r="BA3225" t="s">
        <v>74</v>
      </c>
      <c r="BB3225">
        <v>1388</v>
      </c>
      <c r="BC3225">
        <v>1401</v>
      </c>
      <c r="BD3225" t="s">
        <v>74</v>
      </c>
      <c r="BE3225" t="s">
        <v>53046</v>
      </c>
      <c r="BF3225" t="str">
        <f>HYPERLINK("http://dx.doi.org/10.1108/IJSE-08-2023-0596","http://dx.doi.org/10.1108/IJSE-08-2023-0596")</f>
        <v>http://dx.doi.org/10.1108/IJSE-08-2023-0596</v>
      </c>
      <c r="BG3225" t="s">
        <v>74</v>
      </c>
      <c r="BH3225" t="s">
        <v>1981</v>
      </c>
      <c r="BI3225">
        <v>14</v>
      </c>
      <c r="BJ3225" t="s">
        <v>291</v>
      </c>
      <c r="BK3225" t="s">
        <v>313</v>
      </c>
      <c r="BL3225" t="s">
        <v>100</v>
      </c>
      <c r="BM3225" t="s">
        <v>53047</v>
      </c>
      <c r="BN3225" t="s">
        <v>74</v>
      </c>
      <c r="BO3225" t="s">
        <v>74</v>
      </c>
      <c r="BP3225" t="s">
        <v>74</v>
      </c>
      <c r="BQ3225" t="s">
        <v>74</v>
      </c>
      <c r="BR3225" t="s">
        <v>102</v>
      </c>
      <c r="BS3225" t="s">
        <v>53048</v>
      </c>
      <c r="BT3225" t="str">
        <f>HYPERLINK("https%3A%2F%2Fwww.webofscience.com%2Fwos%2Fwoscc%2Ffull-record%2FWOS:001180540600001","View Full Record in Web of Science")</f>
        <v>View Full Record in Web of Science</v>
      </c>
    </row>
    <row r="3226" spans="1:72" x14ac:dyDescent="0.25">
      <c r="A3226" t="s">
        <v>72</v>
      </c>
      <c r="B3226" t="s">
        <v>53049</v>
      </c>
      <c r="C3226" t="s">
        <v>74</v>
      </c>
      <c r="D3226" t="s">
        <v>74</v>
      </c>
      <c r="E3226" t="s">
        <v>74</v>
      </c>
      <c r="F3226" t="s">
        <v>53050</v>
      </c>
      <c r="G3226" t="s">
        <v>74</v>
      </c>
      <c r="H3226" t="s">
        <v>74</v>
      </c>
      <c r="I3226" t="s">
        <v>53051</v>
      </c>
      <c r="J3226" t="s">
        <v>53052</v>
      </c>
      <c r="K3226" t="s">
        <v>74</v>
      </c>
      <c r="L3226" t="s">
        <v>74</v>
      </c>
      <c r="M3226" t="s">
        <v>78</v>
      </c>
      <c r="N3226" t="s">
        <v>79</v>
      </c>
      <c r="O3226" t="s">
        <v>74</v>
      </c>
      <c r="P3226" t="s">
        <v>74</v>
      </c>
      <c r="Q3226" t="s">
        <v>74</v>
      </c>
      <c r="R3226" t="s">
        <v>74</v>
      </c>
      <c r="S3226" t="s">
        <v>74</v>
      </c>
      <c r="T3226" t="s">
        <v>53053</v>
      </c>
      <c r="U3226" t="s">
        <v>2073</v>
      </c>
      <c r="V3226" t="s">
        <v>53054</v>
      </c>
      <c r="W3226" t="s">
        <v>53055</v>
      </c>
      <c r="X3226" t="s">
        <v>53056</v>
      </c>
      <c r="Y3226" t="s">
        <v>53057</v>
      </c>
      <c r="Z3226" t="s">
        <v>53058</v>
      </c>
      <c r="AA3226" t="s">
        <v>53059</v>
      </c>
      <c r="AB3226" t="s">
        <v>53060</v>
      </c>
      <c r="AC3226" t="s">
        <v>74</v>
      </c>
      <c r="AD3226" t="s">
        <v>74</v>
      </c>
      <c r="AE3226" t="s">
        <v>74</v>
      </c>
      <c r="AF3226" t="s">
        <v>74</v>
      </c>
      <c r="AG3226">
        <v>56</v>
      </c>
      <c r="AH3226">
        <v>0</v>
      </c>
      <c r="AI3226">
        <v>0</v>
      </c>
      <c r="AJ3226">
        <v>0</v>
      </c>
      <c r="AK3226">
        <v>1</v>
      </c>
      <c r="AL3226" t="s">
        <v>53061</v>
      </c>
      <c r="AM3226" t="s">
        <v>53062</v>
      </c>
      <c r="AN3226" t="s">
        <v>53063</v>
      </c>
      <c r="AO3226" t="s">
        <v>53064</v>
      </c>
      <c r="AP3226" t="s">
        <v>53065</v>
      </c>
      <c r="AQ3226" t="s">
        <v>74</v>
      </c>
      <c r="AR3226" t="s">
        <v>53066</v>
      </c>
      <c r="AS3226" t="s">
        <v>53067</v>
      </c>
      <c r="AT3226" t="s">
        <v>1652</v>
      </c>
      <c r="AU3226">
        <v>2025</v>
      </c>
      <c r="AV3226">
        <v>6</v>
      </c>
      <c r="AW3226">
        <v>2</v>
      </c>
      <c r="AX3226" t="s">
        <v>74</v>
      </c>
      <c r="AY3226" t="s">
        <v>74</v>
      </c>
      <c r="AZ3226" t="s">
        <v>74</v>
      </c>
      <c r="BA3226" t="s">
        <v>74</v>
      </c>
      <c r="BB3226">
        <v>261</v>
      </c>
      <c r="BC3226">
        <v>289</v>
      </c>
      <c r="BD3226" t="s">
        <v>74</v>
      </c>
      <c r="BE3226" t="s">
        <v>53068</v>
      </c>
      <c r="BF3226" t="str">
        <f>HYPERLINK("http://dx.doi.org/10.36956/rwae.v6i2.1812","http://dx.doi.org/10.36956/rwae.v6i2.1812")</f>
        <v>http://dx.doi.org/10.36956/rwae.v6i2.1812</v>
      </c>
      <c r="BG3226" t="s">
        <v>74</v>
      </c>
      <c r="BH3226" t="s">
        <v>74</v>
      </c>
      <c r="BI3226">
        <v>29</v>
      </c>
      <c r="BJ3226" t="s">
        <v>5151</v>
      </c>
      <c r="BK3226" t="s">
        <v>313</v>
      </c>
      <c r="BL3226" t="s">
        <v>5152</v>
      </c>
      <c r="BM3226" t="s">
        <v>53069</v>
      </c>
      <c r="BN3226" t="s">
        <v>74</v>
      </c>
      <c r="BO3226" t="s">
        <v>212</v>
      </c>
      <c r="BP3226" t="s">
        <v>74</v>
      </c>
      <c r="BQ3226" t="s">
        <v>74</v>
      </c>
      <c r="BR3226" t="s">
        <v>102</v>
      </c>
      <c r="BS3226" t="s">
        <v>53070</v>
      </c>
      <c r="BT3226" t="str">
        <f>HYPERLINK("https%3A%2F%2Fwww.webofscience.com%2Fwos%2Fwoscc%2Ffull-record%2FWOS:001478147600016","View Full Record in Web of Science")</f>
        <v>View Full Record in Web of Science</v>
      </c>
    </row>
    <row r="3227" spans="1:72" x14ac:dyDescent="0.25">
      <c r="A3227" t="s">
        <v>8303</v>
      </c>
      <c r="B3227" t="s">
        <v>53071</v>
      </c>
      <c r="C3227" t="s">
        <v>53072</v>
      </c>
      <c r="D3227" t="s">
        <v>74</v>
      </c>
      <c r="E3227" t="s">
        <v>74</v>
      </c>
      <c r="F3227" t="s">
        <v>53073</v>
      </c>
      <c r="G3227" t="s">
        <v>53072</v>
      </c>
      <c r="H3227" t="s">
        <v>74</v>
      </c>
      <c r="I3227" t="s">
        <v>53074</v>
      </c>
      <c r="J3227" t="s">
        <v>53075</v>
      </c>
      <c r="K3227" t="s">
        <v>74</v>
      </c>
      <c r="L3227" t="s">
        <v>74</v>
      </c>
      <c r="M3227" t="s">
        <v>78</v>
      </c>
      <c r="N3227" t="s">
        <v>6023</v>
      </c>
      <c r="O3227" t="s">
        <v>74</v>
      </c>
      <c r="P3227" t="s">
        <v>74</v>
      </c>
      <c r="Q3227" t="s">
        <v>74</v>
      </c>
      <c r="R3227" t="s">
        <v>74</v>
      </c>
      <c r="S3227" t="s">
        <v>74</v>
      </c>
      <c r="T3227" t="s">
        <v>74</v>
      </c>
      <c r="U3227" t="s">
        <v>53076</v>
      </c>
      <c r="V3227" t="s">
        <v>53077</v>
      </c>
      <c r="W3227" t="s">
        <v>53078</v>
      </c>
      <c r="X3227" t="s">
        <v>53079</v>
      </c>
      <c r="Y3227" t="s">
        <v>53080</v>
      </c>
      <c r="Z3227" t="s">
        <v>74</v>
      </c>
      <c r="AA3227" t="s">
        <v>74</v>
      </c>
      <c r="AB3227" t="s">
        <v>74</v>
      </c>
      <c r="AC3227" t="s">
        <v>74</v>
      </c>
      <c r="AD3227" t="s">
        <v>74</v>
      </c>
      <c r="AE3227" t="s">
        <v>74</v>
      </c>
      <c r="AF3227" t="s">
        <v>74</v>
      </c>
      <c r="AG3227">
        <v>25</v>
      </c>
      <c r="AH3227">
        <v>0</v>
      </c>
      <c r="AI3227">
        <v>0</v>
      </c>
      <c r="AJ3227">
        <v>0</v>
      </c>
      <c r="AK3227">
        <v>1</v>
      </c>
      <c r="AL3227" t="s">
        <v>7551</v>
      </c>
      <c r="AM3227" t="s">
        <v>28825</v>
      </c>
      <c r="AN3227" t="s">
        <v>28824</v>
      </c>
      <c r="AO3227" t="s">
        <v>74</v>
      </c>
      <c r="AP3227" t="s">
        <v>74</v>
      </c>
      <c r="AQ3227" t="s">
        <v>53081</v>
      </c>
      <c r="AR3227" t="s">
        <v>74</v>
      </c>
      <c r="AS3227" t="s">
        <v>74</v>
      </c>
      <c r="AT3227" t="s">
        <v>74</v>
      </c>
      <c r="AU3227">
        <v>2013</v>
      </c>
      <c r="AV3227" t="s">
        <v>74</v>
      </c>
      <c r="AW3227" t="s">
        <v>74</v>
      </c>
      <c r="AX3227" t="s">
        <v>74</v>
      </c>
      <c r="AY3227" t="s">
        <v>74</v>
      </c>
      <c r="AZ3227" t="s">
        <v>74</v>
      </c>
      <c r="BA3227" t="s">
        <v>74</v>
      </c>
      <c r="BB3227">
        <v>318</v>
      </c>
      <c r="BC3227">
        <v>329</v>
      </c>
      <c r="BD3227" t="s">
        <v>74</v>
      </c>
      <c r="BE3227" t="s">
        <v>53082</v>
      </c>
      <c r="BF3227" t="str">
        <f>HYPERLINK("http://dx.doi.org/10.4018/978-1-4666-2952-3.ch017","http://dx.doi.org/10.4018/978-1-4666-2952-3.ch017")</f>
        <v>http://dx.doi.org/10.4018/978-1-4666-2952-3.ch017</v>
      </c>
      <c r="BG3227" t="s">
        <v>53083</v>
      </c>
      <c r="BH3227" t="s">
        <v>74</v>
      </c>
      <c r="BI3227">
        <v>12</v>
      </c>
      <c r="BJ3227" t="s">
        <v>98</v>
      </c>
      <c r="BK3227" t="s">
        <v>8314</v>
      </c>
      <c r="BL3227" t="s">
        <v>100</v>
      </c>
      <c r="BM3227" t="s">
        <v>53084</v>
      </c>
      <c r="BN3227" t="s">
        <v>74</v>
      </c>
      <c r="BO3227" t="s">
        <v>74</v>
      </c>
      <c r="BP3227" t="s">
        <v>74</v>
      </c>
      <c r="BQ3227" t="s">
        <v>74</v>
      </c>
      <c r="BR3227" t="s">
        <v>102</v>
      </c>
      <c r="BS3227" t="s">
        <v>53085</v>
      </c>
      <c r="BT3227" t="str">
        <f>HYPERLINK("https%3A%2F%2Fwww.webofscience.com%2Fwos%2Fwoscc%2Ffull-record%2FWOS:000323704000017","View Full Record in Web of Science")</f>
        <v>View Full Record in Web of Science</v>
      </c>
    </row>
    <row r="3228" spans="1:72" x14ac:dyDescent="0.25">
      <c r="A3228" t="s">
        <v>72</v>
      </c>
      <c r="B3228" t="s">
        <v>53086</v>
      </c>
      <c r="C3228" t="s">
        <v>74</v>
      </c>
      <c r="D3228" t="s">
        <v>74</v>
      </c>
      <c r="E3228" t="s">
        <v>74</v>
      </c>
      <c r="F3228" t="s">
        <v>53087</v>
      </c>
      <c r="G3228" t="s">
        <v>74</v>
      </c>
      <c r="H3228" t="s">
        <v>74</v>
      </c>
      <c r="I3228" t="s">
        <v>53088</v>
      </c>
      <c r="J3228" t="s">
        <v>53089</v>
      </c>
      <c r="K3228" t="s">
        <v>74</v>
      </c>
      <c r="L3228" t="s">
        <v>74</v>
      </c>
      <c r="M3228" t="s">
        <v>78</v>
      </c>
      <c r="N3228" t="s">
        <v>1766</v>
      </c>
      <c r="O3228" t="s">
        <v>74</v>
      </c>
      <c r="P3228" t="s">
        <v>74</v>
      </c>
      <c r="Q3228" t="s">
        <v>74</v>
      </c>
      <c r="R3228" t="s">
        <v>74</v>
      </c>
      <c r="S3228" t="s">
        <v>74</v>
      </c>
      <c r="T3228" t="s">
        <v>53090</v>
      </c>
      <c r="U3228" t="s">
        <v>53091</v>
      </c>
      <c r="V3228" t="s">
        <v>53092</v>
      </c>
      <c r="W3228" t="s">
        <v>53093</v>
      </c>
      <c r="X3228" t="s">
        <v>53094</v>
      </c>
      <c r="Y3228" t="s">
        <v>19217</v>
      </c>
      <c r="Z3228" t="s">
        <v>53095</v>
      </c>
      <c r="AA3228" t="s">
        <v>53096</v>
      </c>
      <c r="AB3228" t="s">
        <v>53097</v>
      </c>
      <c r="AC3228" t="s">
        <v>74</v>
      </c>
      <c r="AD3228" t="s">
        <v>74</v>
      </c>
      <c r="AE3228" t="s">
        <v>74</v>
      </c>
      <c r="AF3228" t="s">
        <v>74</v>
      </c>
      <c r="AG3228">
        <v>83</v>
      </c>
      <c r="AH3228">
        <v>50</v>
      </c>
      <c r="AI3228">
        <v>64</v>
      </c>
      <c r="AJ3228">
        <v>15</v>
      </c>
      <c r="AK3228">
        <v>116</v>
      </c>
      <c r="AL3228" t="s">
        <v>89</v>
      </c>
      <c r="AM3228" t="s">
        <v>90</v>
      </c>
      <c r="AN3228" t="s">
        <v>91</v>
      </c>
      <c r="AO3228" t="s">
        <v>53098</v>
      </c>
      <c r="AP3228" t="s">
        <v>53099</v>
      </c>
      <c r="AQ3228" t="s">
        <v>74</v>
      </c>
      <c r="AR3228" t="s">
        <v>53100</v>
      </c>
      <c r="AS3228" t="s">
        <v>53101</v>
      </c>
      <c r="AT3228" t="s">
        <v>9909</v>
      </c>
      <c r="AU3228">
        <v>2023</v>
      </c>
      <c r="AV3228">
        <v>31</v>
      </c>
      <c r="AW3228">
        <v>3</v>
      </c>
      <c r="AX3228" t="s">
        <v>74</v>
      </c>
      <c r="AY3228" t="s">
        <v>74</v>
      </c>
      <c r="AZ3228" t="s">
        <v>441</v>
      </c>
      <c r="BA3228" t="s">
        <v>74</v>
      </c>
      <c r="BB3228">
        <v>413</v>
      </c>
      <c r="BC3228">
        <v>436</v>
      </c>
      <c r="BD3228" t="s">
        <v>74</v>
      </c>
      <c r="BE3228" t="s">
        <v>53102</v>
      </c>
      <c r="BF3228" t="str">
        <f>HYPERLINK("http://dx.doi.org/10.1108/MBR-05-2023-0077","http://dx.doi.org/10.1108/MBR-05-2023-0077")</f>
        <v>http://dx.doi.org/10.1108/MBR-05-2023-0077</v>
      </c>
      <c r="BG3228" t="s">
        <v>74</v>
      </c>
      <c r="BH3228" t="s">
        <v>700</v>
      </c>
      <c r="BI3228">
        <v>24</v>
      </c>
      <c r="BJ3228" t="s">
        <v>418</v>
      </c>
      <c r="BK3228" t="s">
        <v>99</v>
      </c>
      <c r="BL3228" t="s">
        <v>100</v>
      </c>
      <c r="BM3228" t="s">
        <v>53103</v>
      </c>
      <c r="BN3228" t="s">
        <v>74</v>
      </c>
      <c r="BO3228" t="s">
        <v>74</v>
      </c>
      <c r="BP3228" t="s">
        <v>74</v>
      </c>
      <c r="BQ3228" t="s">
        <v>74</v>
      </c>
      <c r="BR3228" t="s">
        <v>102</v>
      </c>
      <c r="BS3228" t="s">
        <v>53104</v>
      </c>
      <c r="BT3228" t="str">
        <f>HYPERLINK("https%3A%2F%2Fwww.webofscience.com%2Fwos%2Fwoscc%2Ffull-record%2FWOS:001030863300001","View Full Record in Web of Science")</f>
        <v>View Full Record in Web of Science</v>
      </c>
    </row>
    <row r="3229" spans="1:72" x14ac:dyDescent="0.25">
      <c r="A3229" t="s">
        <v>72</v>
      </c>
      <c r="B3229" t="s">
        <v>53105</v>
      </c>
      <c r="C3229" t="s">
        <v>74</v>
      </c>
      <c r="D3229" t="s">
        <v>74</v>
      </c>
      <c r="E3229" t="s">
        <v>74</v>
      </c>
      <c r="F3229" t="s">
        <v>53106</v>
      </c>
      <c r="G3229" t="s">
        <v>74</v>
      </c>
      <c r="H3229" t="s">
        <v>74</v>
      </c>
      <c r="I3229" t="s">
        <v>53107</v>
      </c>
      <c r="J3229" t="s">
        <v>53108</v>
      </c>
      <c r="K3229" t="s">
        <v>74</v>
      </c>
      <c r="L3229" t="s">
        <v>74</v>
      </c>
      <c r="M3229" t="s">
        <v>78</v>
      </c>
      <c r="N3229" t="s">
        <v>79</v>
      </c>
      <c r="O3229" t="s">
        <v>74</v>
      </c>
      <c r="P3229" t="s">
        <v>74</v>
      </c>
      <c r="Q3229" t="s">
        <v>74</v>
      </c>
      <c r="R3229" t="s">
        <v>74</v>
      </c>
      <c r="S3229" t="s">
        <v>74</v>
      </c>
      <c r="T3229" t="s">
        <v>53109</v>
      </c>
      <c r="U3229" t="s">
        <v>53110</v>
      </c>
      <c r="V3229" t="s">
        <v>53111</v>
      </c>
      <c r="W3229" t="s">
        <v>53112</v>
      </c>
      <c r="X3229" t="s">
        <v>2854</v>
      </c>
      <c r="Y3229" t="s">
        <v>53113</v>
      </c>
      <c r="Z3229" t="s">
        <v>21880</v>
      </c>
      <c r="AA3229" t="s">
        <v>21879</v>
      </c>
      <c r="AB3229" t="s">
        <v>53114</v>
      </c>
      <c r="AC3229" t="s">
        <v>2859</v>
      </c>
      <c r="AD3229" t="s">
        <v>2860</v>
      </c>
      <c r="AE3229" t="s">
        <v>53115</v>
      </c>
      <c r="AF3229" t="s">
        <v>74</v>
      </c>
      <c r="AG3229">
        <v>68</v>
      </c>
      <c r="AH3229">
        <v>20</v>
      </c>
      <c r="AI3229">
        <v>28</v>
      </c>
      <c r="AJ3229">
        <v>2</v>
      </c>
      <c r="AK3229">
        <v>34</v>
      </c>
      <c r="AL3229" t="s">
        <v>89</v>
      </c>
      <c r="AM3229" t="s">
        <v>1497</v>
      </c>
      <c r="AN3229" t="s">
        <v>1498</v>
      </c>
      <c r="AO3229" t="s">
        <v>53116</v>
      </c>
      <c r="AP3229" t="s">
        <v>53117</v>
      </c>
      <c r="AQ3229" t="s">
        <v>74</v>
      </c>
      <c r="AR3229" t="s">
        <v>53118</v>
      </c>
      <c r="AS3229" t="s">
        <v>53119</v>
      </c>
      <c r="AT3229" t="s">
        <v>53120</v>
      </c>
      <c r="AU3229">
        <v>2021</v>
      </c>
      <c r="AV3229">
        <v>22</v>
      </c>
      <c r="AW3229">
        <v>2</v>
      </c>
      <c r="AX3229" t="s">
        <v>74</v>
      </c>
      <c r="AY3229" t="s">
        <v>74</v>
      </c>
      <c r="AZ3229" t="s">
        <v>74</v>
      </c>
      <c r="BA3229" t="s">
        <v>74</v>
      </c>
      <c r="BB3229">
        <v>254</v>
      </c>
      <c r="BC3229">
        <v>271</v>
      </c>
      <c r="BD3229" t="s">
        <v>74</v>
      </c>
      <c r="BE3229" t="s">
        <v>53121</v>
      </c>
      <c r="BF3229" t="str">
        <f>HYPERLINK("http://dx.doi.org/10.1108/YC-09-2020-1213","http://dx.doi.org/10.1108/YC-09-2020-1213")</f>
        <v>http://dx.doi.org/10.1108/YC-09-2020-1213</v>
      </c>
      <c r="BG3229" t="s">
        <v>74</v>
      </c>
      <c r="BH3229" t="s">
        <v>443</v>
      </c>
      <c r="BI3229">
        <v>18</v>
      </c>
      <c r="BJ3229" t="s">
        <v>418</v>
      </c>
      <c r="BK3229" t="s">
        <v>313</v>
      </c>
      <c r="BL3229" t="s">
        <v>100</v>
      </c>
      <c r="BM3229" t="s">
        <v>53122</v>
      </c>
      <c r="BN3229" t="s">
        <v>74</v>
      </c>
      <c r="BO3229" t="s">
        <v>1205</v>
      </c>
      <c r="BP3229" t="s">
        <v>74</v>
      </c>
      <c r="BQ3229" t="s">
        <v>74</v>
      </c>
      <c r="BR3229" t="s">
        <v>102</v>
      </c>
      <c r="BS3229" t="s">
        <v>53123</v>
      </c>
      <c r="BT3229" t="str">
        <f>HYPERLINK("https%3A%2F%2Fwww.webofscience.com%2Fwos%2Fwoscc%2Ffull-record%2FWOS:000637846000001","View Full Record in Web of Science")</f>
        <v>View Full Record in Web of Science</v>
      </c>
    </row>
    <row r="3230" spans="1:72" x14ac:dyDescent="0.25">
      <c r="A3230" t="s">
        <v>72</v>
      </c>
      <c r="B3230" t="s">
        <v>38060</v>
      </c>
      <c r="C3230" t="s">
        <v>74</v>
      </c>
      <c r="D3230" t="s">
        <v>74</v>
      </c>
      <c r="E3230" t="s">
        <v>74</v>
      </c>
      <c r="F3230" t="s">
        <v>38061</v>
      </c>
      <c r="G3230" t="s">
        <v>74</v>
      </c>
      <c r="H3230" t="s">
        <v>74</v>
      </c>
      <c r="I3230" t="s">
        <v>53124</v>
      </c>
      <c r="J3230" t="s">
        <v>53125</v>
      </c>
      <c r="K3230" t="s">
        <v>74</v>
      </c>
      <c r="L3230" t="s">
        <v>74</v>
      </c>
      <c r="M3230" t="s">
        <v>78</v>
      </c>
      <c r="N3230" t="s">
        <v>372</v>
      </c>
      <c r="O3230" t="s">
        <v>74</v>
      </c>
      <c r="P3230" t="s">
        <v>74</v>
      </c>
      <c r="Q3230" t="s">
        <v>74</v>
      </c>
      <c r="R3230" t="s">
        <v>74</v>
      </c>
      <c r="S3230" t="s">
        <v>74</v>
      </c>
      <c r="T3230" t="s">
        <v>53126</v>
      </c>
      <c r="U3230" t="s">
        <v>53127</v>
      </c>
      <c r="V3230" t="s">
        <v>53128</v>
      </c>
      <c r="W3230" t="s">
        <v>38067</v>
      </c>
      <c r="X3230" t="s">
        <v>38068</v>
      </c>
      <c r="Y3230" t="s">
        <v>38069</v>
      </c>
      <c r="Z3230" t="s">
        <v>38070</v>
      </c>
      <c r="AA3230" t="s">
        <v>38071</v>
      </c>
      <c r="AB3230" t="s">
        <v>74</v>
      </c>
      <c r="AC3230" t="s">
        <v>74</v>
      </c>
      <c r="AD3230" t="s">
        <v>74</v>
      </c>
      <c r="AE3230" t="s">
        <v>74</v>
      </c>
      <c r="AF3230" t="s">
        <v>74</v>
      </c>
      <c r="AG3230">
        <v>88</v>
      </c>
      <c r="AH3230">
        <v>5</v>
      </c>
      <c r="AI3230">
        <v>6</v>
      </c>
      <c r="AJ3230">
        <v>3</v>
      </c>
      <c r="AK3230">
        <v>12</v>
      </c>
      <c r="AL3230" t="s">
        <v>2907</v>
      </c>
      <c r="AM3230" t="s">
        <v>2908</v>
      </c>
      <c r="AN3230" t="s">
        <v>2909</v>
      </c>
      <c r="AO3230" t="s">
        <v>53129</v>
      </c>
      <c r="AP3230" t="s">
        <v>53130</v>
      </c>
      <c r="AQ3230" t="s">
        <v>74</v>
      </c>
      <c r="AR3230" t="s">
        <v>53131</v>
      </c>
      <c r="AS3230" t="s">
        <v>53132</v>
      </c>
      <c r="AT3230" t="s">
        <v>53133</v>
      </c>
      <c r="AU3230">
        <v>2024</v>
      </c>
      <c r="AV3230" t="s">
        <v>74</v>
      </c>
      <c r="AW3230" t="s">
        <v>74</v>
      </c>
      <c r="AX3230" t="s">
        <v>74</v>
      </c>
      <c r="AY3230" t="s">
        <v>74</v>
      </c>
      <c r="AZ3230" t="s">
        <v>74</v>
      </c>
      <c r="BA3230" t="s">
        <v>74</v>
      </c>
      <c r="BB3230" t="s">
        <v>74</v>
      </c>
      <c r="BC3230" t="s">
        <v>74</v>
      </c>
      <c r="BD3230" t="s">
        <v>74</v>
      </c>
      <c r="BE3230" t="s">
        <v>53134</v>
      </c>
      <c r="BF3230" t="str">
        <f>HYPERLINK("http://dx.doi.org/10.1057/s41270-024-00364-5","http://dx.doi.org/10.1057/s41270-024-00364-5")</f>
        <v>http://dx.doi.org/10.1057/s41270-024-00364-5</v>
      </c>
      <c r="BG3230" t="s">
        <v>74</v>
      </c>
      <c r="BH3230" t="s">
        <v>267</v>
      </c>
      <c r="BI3230">
        <v>14</v>
      </c>
      <c r="BJ3230" t="s">
        <v>418</v>
      </c>
      <c r="BK3230" t="s">
        <v>313</v>
      </c>
      <c r="BL3230" t="s">
        <v>100</v>
      </c>
      <c r="BM3230" t="s">
        <v>53135</v>
      </c>
      <c r="BN3230" t="s">
        <v>74</v>
      </c>
      <c r="BO3230" t="s">
        <v>74</v>
      </c>
      <c r="BP3230" t="s">
        <v>74</v>
      </c>
      <c r="BQ3230" t="s">
        <v>74</v>
      </c>
      <c r="BR3230" t="s">
        <v>102</v>
      </c>
      <c r="BS3230" t="s">
        <v>53136</v>
      </c>
      <c r="BT3230" t="str">
        <f>HYPERLINK("https%3A%2F%2Fwww.webofscience.com%2Fwos%2Fwoscc%2Ffull-record%2FWOS:001359534500001","View Full Record in Web of Science")</f>
        <v>View Full Record in Web of Science</v>
      </c>
    </row>
    <row r="3231" spans="1:72" x14ac:dyDescent="0.25">
      <c r="A3231" t="s">
        <v>72</v>
      </c>
      <c r="B3231" t="s">
        <v>53137</v>
      </c>
      <c r="C3231" t="s">
        <v>74</v>
      </c>
      <c r="D3231" t="s">
        <v>74</v>
      </c>
      <c r="E3231" t="s">
        <v>74</v>
      </c>
      <c r="F3231" t="s">
        <v>53138</v>
      </c>
      <c r="G3231" t="s">
        <v>74</v>
      </c>
      <c r="H3231" t="s">
        <v>74</v>
      </c>
      <c r="I3231" t="s">
        <v>53139</v>
      </c>
      <c r="J3231" t="s">
        <v>5078</v>
      </c>
      <c r="K3231" t="s">
        <v>74</v>
      </c>
      <c r="L3231" t="s">
        <v>74</v>
      </c>
      <c r="M3231" t="s">
        <v>78</v>
      </c>
      <c r="N3231" t="s">
        <v>79</v>
      </c>
      <c r="O3231" t="s">
        <v>74</v>
      </c>
      <c r="P3231" t="s">
        <v>74</v>
      </c>
      <c r="Q3231" t="s">
        <v>74</v>
      </c>
      <c r="R3231" t="s">
        <v>74</v>
      </c>
      <c r="S3231" t="s">
        <v>74</v>
      </c>
      <c r="T3231" t="s">
        <v>53140</v>
      </c>
      <c r="U3231" t="s">
        <v>53141</v>
      </c>
      <c r="V3231" t="s">
        <v>53142</v>
      </c>
      <c r="W3231" t="s">
        <v>53143</v>
      </c>
      <c r="X3231" t="s">
        <v>36540</v>
      </c>
      <c r="Y3231" t="s">
        <v>53144</v>
      </c>
      <c r="Z3231" t="s">
        <v>53145</v>
      </c>
      <c r="AA3231" t="s">
        <v>74</v>
      </c>
      <c r="AB3231" t="s">
        <v>53146</v>
      </c>
      <c r="AC3231" t="s">
        <v>74</v>
      </c>
      <c r="AD3231" t="s">
        <v>74</v>
      </c>
      <c r="AE3231" t="s">
        <v>74</v>
      </c>
      <c r="AF3231" t="s">
        <v>74</v>
      </c>
      <c r="AG3231">
        <v>68</v>
      </c>
      <c r="AH3231">
        <v>33</v>
      </c>
      <c r="AI3231">
        <v>40</v>
      </c>
      <c r="AJ3231">
        <v>13</v>
      </c>
      <c r="AK3231">
        <v>66</v>
      </c>
      <c r="AL3231" t="s">
        <v>385</v>
      </c>
      <c r="AM3231" t="s">
        <v>151</v>
      </c>
      <c r="AN3231" t="s">
        <v>386</v>
      </c>
      <c r="AO3231" t="s">
        <v>74</v>
      </c>
      <c r="AP3231" t="s">
        <v>5087</v>
      </c>
      <c r="AQ3231" t="s">
        <v>74</v>
      </c>
      <c r="AR3231" t="s">
        <v>5088</v>
      </c>
      <c r="AS3231" t="s">
        <v>5089</v>
      </c>
      <c r="AT3231" t="s">
        <v>37136</v>
      </c>
      <c r="AU3231">
        <v>2022</v>
      </c>
      <c r="AV3231">
        <v>8</v>
      </c>
      <c r="AW3231">
        <v>1</v>
      </c>
      <c r="AX3231" t="s">
        <v>74</v>
      </c>
      <c r="AY3231" t="s">
        <v>74</v>
      </c>
      <c r="AZ3231" t="s">
        <v>74</v>
      </c>
      <c r="BA3231" t="s">
        <v>74</v>
      </c>
      <c r="BB3231" t="s">
        <v>74</v>
      </c>
      <c r="BC3231" t="s">
        <v>74</v>
      </c>
      <c r="BD3231">
        <v>14</v>
      </c>
      <c r="BE3231" t="s">
        <v>53147</v>
      </c>
      <c r="BF3231" t="str">
        <f>HYPERLINK("http://dx.doi.org/10.1186/s40854-021-00324-3","http://dx.doi.org/10.1186/s40854-021-00324-3")</f>
        <v>http://dx.doi.org/10.1186/s40854-021-00324-3</v>
      </c>
      <c r="BG3231" t="s">
        <v>74</v>
      </c>
      <c r="BH3231" t="s">
        <v>74</v>
      </c>
      <c r="BI3231">
        <v>24</v>
      </c>
      <c r="BJ3231" t="s">
        <v>5092</v>
      </c>
      <c r="BK3231" t="s">
        <v>99</v>
      </c>
      <c r="BL3231" t="s">
        <v>2024</v>
      </c>
      <c r="BM3231" t="s">
        <v>53148</v>
      </c>
      <c r="BN3231" t="s">
        <v>74</v>
      </c>
      <c r="BO3231" t="s">
        <v>916</v>
      </c>
      <c r="BP3231" t="s">
        <v>74</v>
      </c>
      <c r="BQ3231" t="s">
        <v>74</v>
      </c>
      <c r="BR3231" t="s">
        <v>102</v>
      </c>
      <c r="BS3231" t="s">
        <v>53149</v>
      </c>
      <c r="BT3231" t="str">
        <f>HYPERLINK("https%3A%2F%2Fwww.webofscience.com%2Fwos%2Fwoscc%2Ffull-record%2FWOS:000752903500001","View Full Record in Web of Science")</f>
        <v>View Full Record in Web of Science</v>
      </c>
    </row>
    <row r="3232" spans="1:72" x14ac:dyDescent="0.25">
      <c r="A3232" t="s">
        <v>72</v>
      </c>
      <c r="B3232" t="s">
        <v>53150</v>
      </c>
      <c r="C3232" t="s">
        <v>74</v>
      </c>
      <c r="D3232" t="s">
        <v>74</v>
      </c>
      <c r="E3232" t="s">
        <v>74</v>
      </c>
      <c r="F3232" t="s">
        <v>53151</v>
      </c>
      <c r="G3232" t="s">
        <v>74</v>
      </c>
      <c r="H3232" t="s">
        <v>74</v>
      </c>
      <c r="I3232" t="s">
        <v>53152</v>
      </c>
      <c r="J3232" t="s">
        <v>24588</v>
      </c>
      <c r="K3232" t="s">
        <v>74</v>
      </c>
      <c r="L3232" t="s">
        <v>74</v>
      </c>
      <c r="M3232" t="s">
        <v>78</v>
      </c>
      <c r="N3232" t="s">
        <v>372</v>
      </c>
      <c r="O3232" t="s">
        <v>74</v>
      </c>
      <c r="P3232" t="s">
        <v>74</v>
      </c>
      <c r="Q3232" t="s">
        <v>74</v>
      </c>
      <c r="R3232" t="s">
        <v>74</v>
      </c>
      <c r="S3232" t="s">
        <v>74</v>
      </c>
      <c r="T3232" t="s">
        <v>53153</v>
      </c>
      <c r="U3232" t="s">
        <v>53154</v>
      </c>
      <c r="V3232" t="s">
        <v>53155</v>
      </c>
      <c r="W3232" t="s">
        <v>53156</v>
      </c>
      <c r="X3232" t="s">
        <v>53157</v>
      </c>
      <c r="Y3232" t="s">
        <v>53158</v>
      </c>
      <c r="Z3232" t="s">
        <v>53159</v>
      </c>
      <c r="AA3232" t="s">
        <v>74</v>
      </c>
      <c r="AB3232" t="s">
        <v>53160</v>
      </c>
      <c r="AC3232" t="s">
        <v>74</v>
      </c>
      <c r="AD3232" t="s">
        <v>74</v>
      </c>
      <c r="AE3232" t="s">
        <v>74</v>
      </c>
      <c r="AF3232" t="s">
        <v>74</v>
      </c>
      <c r="AG3232">
        <v>55</v>
      </c>
      <c r="AH3232">
        <v>0</v>
      </c>
      <c r="AI3232">
        <v>0</v>
      </c>
      <c r="AJ3232">
        <v>1</v>
      </c>
      <c r="AK3232">
        <v>5</v>
      </c>
      <c r="AL3232" t="s">
        <v>757</v>
      </c>
      <c r="AM3232" t="s">
        <v>758</v>
      </c>
      <c r="AN3232" t="s">
        <v>759</v>
      </c>
      <c r="AO3232" t="s">
        <v>24578</v>
      </c>
      <c r="AP3232" t="s">
        <v>24577</v>
      </c>
      <c r="AQ3232" t="s">
        <v>74</v>
      </c>
      <c r="AR3232" t="s">
        <v>24576</v>
      </c>
      <c r="AS3232" t="s">
        <v>24575</v>
      </c>
      <c r="AT3232" t="s">
        <v>36881</v>
      </c>
      <c r="AU3232">
        <v>2025</v>
      </c>
      <c r="AV3232" t="s">
        <v>74</v>
      </c>
      <c r="AW3232" t="s">
        <v>74</v>
      </c>
      <c r="AX3232" t="s">
        <v>74</v>
      </c>
      <c r="AY3232" t="s">
        <v>74</v>
      </c>
      <c r="AZ3232" t="s">
        <v>74</v>
      </c>
      <c r="BA3232" t="s">
        <v>74</v>
      </c>
      <c r="BB3232" t="s">
        <v>74</v>
      </c>
      <c r="BC3232" t="s">
        <v>74</v>
      </c>
      <c r="BD3232" t="s">
        <v>74</v>
      </c>
      <c r="BE3232" t="s">
        <v>53161</v>
      </c>
      <c r="BF3232" t="str">
        <f>HYPERLINK("http://dx.doi.org/10.1177/09763996251324616","http://dx.doi.org/10.1177/09763996251324616")</f>
        <v>http://dx.doi.org/10.1177/09763996251324616</v>
      </c>
      <c r="BG3232" t="s">
        <v>74</v>
      </c>
      <c r="BH3232" t="s">
        <v>2781</v>
      </c>
      <c r="BI3232">
        <v>25</v>
      </c>
      <c r="BJ3232" t="s">
        <v>1674</v>
      </c>
      <c r="BK3232" t="s">
        <v>313</v>
      </c>
      <c r="BL3232" t="s">
        <v>1674</v>
      </c>
      <c r="BM3232" t="s">
        <v>53162</v>
      </c>
      <c r="BN3232" t="s">
        <v>74</v>
      </c>
      <c r="BO3232" t="s">
        <v>74</v>
      </c>
      <c r="BP3232" t="s">
        <v>74</v>
      </c>
      <c r="BQ3232" t="s">
        <v>74</v>
      </c>
      <c r="BR3232" t="s">
        <v>102</v>
      </c>
      <c r="BS3232" t="s">
        <v>53163</v>
      </c>
      <c r="BT3232" t="str">
        <f>HYPERLINK("https%3A%2F%2Fwww.webofscience.com%2Fwos%2Fwoscc%2Ffull-record%2FWOS:001454689900001","View Full Record in Web of Science")</f>
        <v>View Full Record in Web of Science</v>
      </c>
    </row>
    <row r="3233" spans="1:72" x14ac:dyDescent="0.25">
      <c r="A3233" t="s">
        <v>72</v>
      </c>
      <c r="B3233" t="s">
        <v>53164</v>
      </c>
      <c r="C3233" t="s">
        <v>74</v>
      </c>
      <c r="D3233" t="s">
        <v>74</v>
      </c>
      <c r="E3233" t="s">
        <v>74</v>
      </c>
      <c r="F3233" t="s">
        <v>53165</v>
      </c>
      <c r="G3233" t="s">
        <v>74</v>
      </c>
      <c r="H3233" t="s">
        <v>74</v>
      </c>
      <c r="I3233" t="s">
        <v>53166</v>
      </c>
      <c r="J3233" t="s">
        <v>38533</v>
      </c>
      <c r="K3233" t="s">
        <v>74</v>
      </c>
      <c r="L3233" t="s">
        <v>74</v>
      </c>
      <c r="M3233" t="s">
        <v>78</v>
      </c>
      <c r="N3233" t="s">
        <v>79</v>
      </c>
      <c r="O3233" t="s">
        <v>74</v>
      </c>
      <c r="P3233" t="s">
        <v>74</v>
      </c>
      <c r="Q3233" t="s">
        <v>74</v>
      </c>
      <c r="R3233" t="s">
        <v>74</v>
      </c>
      <c r="S3233" t="s">
        <v>74</v>
      </c>
      <c r="T3233" t="s">
        <v>53167</v>
      </c>
      <c r="U3233" t="s">
        <v>2945</v>
      </c>
      <c r="V3233" t="s">
        <v>53168</v>
      </c>
      <c r="W3233" t="s">
        <v>53169</v>
      </c>
      <c r="X3233" t="s">
        <v>74</v>
      </c>
      <c r="Y3233" t="s">
        <v>53170</v>
      </c>
      <c r="Z3233" t="s">
        <v>74</v>
      </c>
      <c r="AA3233" t="s">
        <v>74</v>
      </c>
      <c r="AB3233" t="s">
        <v>53171</v>
      </c>
      <c r="AC3233" t="s">
        <v>53172</v>
      </c>
      <c r="AD3233" t="s">
        <v>53173</v>
      </c>
      <c r="AE3233" t="s">
        <v>53174</v>
      </c>
      <c r="AF3233" t="s">
        <v>74</v>
      </c>
      <c r="AG3233">
        <v>51</v>
      </c>
      <c r="AH3233">
        <v>1</v>
      </c>
      <c r="AI3233">
        <v>2</v>
      </c>
      <c r="AJ3233">
        <v>9</v>
      </c>
      <c r="AK3233">
        <v>9</v>
      </c>
      <c r="AL3233" t="s">
        <v>5488</v>
      </c>
      <c r="AM3233" t="s">
        <v>1356</v>
      </c>
      <c r="AN3233" t="s">
        <v>5489</v>
      </c>
      <c r="AO3233" t="s">
        <v>38542</v>
      </c>
      <c r="AP3233" t="s">
        <v>38543</v>
      </c>
      <c r="AQ3233" t="s">
        <v>74</v>
      </c>
      <c r="AR3233" t="s">
        <v>38544</v>
      </c>
      <c r="AS3233" t="s">
        <v>38545</v>
      </c>
      <c r="AT3233" t="s">
        <v>74</v>
      </c>
      <c r="AU3233">
        <v>2025</v>
      </c>
      <c r="AV3233">
        <v>21</v>
      </c>
      <c r="AW3233">
        <v>2</v>
      </c>
      <c r="AX3233" t="s">
        <v>74</v>
      </c>
      <c r="AY3233" t="s">
        <v>74</v>
      </c>
      <c r="AZ3233" t="s">
        <v>74</v>
      </c>
      <c r="BA3233" t="s">
        <v>74</v>
      </c>
      <c r="BB3233" t="s">
        <v>74</v>
      </c>
      <c r="BC3233" t="s">
        <v>74</v>
      </c>
      <c r="BD3233" t="s">
        <v>74</v>
      </c>
      <c r="BE3233" t="s">
        <v>53175</v>
      </c>
      <c r="BF3233" t="str">
        <f>HYPERLINK("http://dx.doi.org/10.21511/im.21(2).2025.16","http://dx.doi.org/10.21511/im.21(2).2025.16")</f>
        <v>http://dx.doi.org/10.21511/im.21(2).2025.16</v>
      </c>
      <c r="BG3233" t="s">
        <v>74</v>
      </c>
      <c r="BH3233" t="s">
        <v>74</v>
      </c>
      <c r="BI3233">
        <v>15</v>
      </c>
      <c r="BJ3233" t="s">
        <v>418</v>
      </c>
      <c r="BK3233" t="s">
        <v>313</v>
      </c>
      <c r="BL3233" t="s">
        <v>100</v>
      </c>
      <c r="BM3233" t="s">
        <v>53176</v>
      </c>
      <c r="BN3233" t="s">
        <v>74</v>
      </c>
      <c r="BO3233" t="s">
        <v>212</v>
      </c>
      <c r="BP3233" t="s">
        <v>74</v>
      </c>
      <c r="BQ3233" t="s">
        <v>74</v>
      </c>
      <c r="BR3233" t="s">
        <v>102</v>
      </c>
      <c r="BS3233" t="s">
        <v>53177</v>
      </c>
      <c r="BT3233" t="str">
        <f>HYPERLINK("https%3A%2F%2Fwww.webofscience.com%2Fwos%2Fwoscc%2Ffull-record%2FWOS:001526916100006","View Full Record in Web of Science")</f>
        <v>View Full Record in Web of Science</v>
      </c>
    </row>
    <row r="3234" spans="1:72" x14ac:dyDescent="0.25">
      <c r="A3234" t="s">
        <v>72</v>
      </c>
      <c r="B3234" t="s">
        <v>53178</v>
      </c>
      <c r="C3234" t="s">
        <v>74</v>
      </c>
      <c r="D3234" t="s">
        <v>74</v>
      </c>
      <c r="E3234" t="s">
        <v>74</v>
      </c>
      <c r="F3234" t="s">
        <v>53179</v>
      </c>
      <c r="G3234" t="s">
        <v>74</v>
      </c>
      <c r="H3234" t="s">
        <v>74</v>
      </c>
      <c r="I3234" t="s">
        <v>53180</v>
      </c>
      <c r="J3234" t="s">
        <v>53181</v>
      </c>
      <c r="K3234" t="s">
        <v>74</v>
      </c>
      <c r="L3234" t="s">
        <v>74</v>
      </c>
      <c r="M3234" t="s">
        <v>78</v>
      </c>
      <c r="N3234" t="s">
        <v>79</v>
      </c>
      <c r="O3234" t="s">
        <v>74</v>
      </c>
      <c r="P3234" t="s">
        <v>74</v>
      </c>
      <c r="Q3234" t="s">
        <v>74</v>
      </c>
      <c r="R3234" t="s">
        <v>74</v>
      </c>
      <c r="S3234" t="s">
        <v>74</v>
      </c>
      <c r="T3234" t="s">
        <v>53182</v>
      </c>
      <c r="U3234" t="s">
        <v>53183</v>
      </c>
      <c r="V3234" t="s">
        <v>53184</v>
      </c>
      <c r="W3234" t="s">
        <v>53185</v>
      </c>
      <c r="X3234" t="s">
        <v>43753</v>
      </c>
      <c r="Y3234" t="s">
        <v>53186</v>
      </c>
      <c r="Z3234" t="s">
        <v>53187</v>
      </c>
      <c r="AA3234" t="s">
        <v>74</v>
      </c>
      <c r="AB3234" t="s">
        <v>74</v>
      </c>
      <c r="AC3234" t="s">
        <v>74</v>
      </c>
      <c r="AD3234" t="s">
        <v>74</v>
      </c>
      <c r="AE3234" t="s">
        <v>74</v>
      </c>
      <c r="AF3234" t="s">
        <v>74</v>
      </c>
      <c r="AG3234">
        <v>76</v>
      </c>
      <c r="AH3234">
        <v>4</v>
      </c>
      <c r="AI3234">
        <v>4</v>
      </c>
      <c r="AJ3234">
        <v>1</v>
      </c>
      <c r="AK3234">
        <v>8</v>
      </c>
      <c r="AL3234" t="s">
        <v>53188</v>
      </c>
      <c r="AM3234" t="s">
        <v>5184</v>
      </c>
      <c r="AN3234" t="s">
        <v>53189</v>
      </c>
      <c r="AO3234" t="s">
        <v>53190</v>
      </c>
      <c r="AP3234" t="s">
        <v>53191</v>
      </c>
      <c r="AQ3234" t="s">
        <v>74</v>
      </c>
      <c r="AR3234" t="s">
        <v>53192</v>
      </c>
      <c r="AS3234" t="s">
        <v>53193</v>
      </c>
      <c r="AT3234" t="s">
        <v>605</v>
      </c>
      <c r="AU3234">
        <v>2023</v>
      </c>
      <c r="AV3234">
        <v>76</v>
      </c>
      <c r="AW3234">
        <v>304</v>
      </c>
      <c r="AX3234" t="s">
        <v>74</v>
      </c>
      <c r="AY3234" t="s">
        <v>74</v>
      </c>
      <c r="AZ3234" t="s">
        <v>74</v>
      </c>
      <c r="BA3234" t="s">
        <v>74</v>
      </c>
      <c r="BB3234">
        <v>51</v>
      </c>
      <c r="BC3234">
        <v>66</v>
      </c>
      <c r="BD3234" t="s">
        <v>74</v>
      </c>
      <c r="BE3234" t="s">
        <v>53194</v>
      </c>
      <c r="BF3234" t="str">
        <f>HYPERLINK("http://dx.doi.org/10.13133/2037-3643/17967","http://dx.doi.org/10.13133/2037-3643/17967")</f>
        <v>http://dx.doi.org/10.13133/2037-3643/17967</v>
      </c>
      <c r="BG3234" t="s">
        <v>74</v>
      </c>
      <c r="BH3234" t="s">
        <v>74</v>
      </c>
      <c r="BI3234">
        <v>16</v>
      </c>
      <c r="BJ3234" t="s">
        <v>291</v>
      </c>
      <c r="BK3234" t="s">
        <v>313</v>
      </c>
      <c r="BL3234" t="s">
        <v>100</v>
      </c>
      <c r="BM3234" t="s">
        <v>53195</v>
      </c>
      <c r="BN3234" t="s">
        <v>74</v>
      </c>
      <c r="BO3234" t="s">
        <v>74</v>
      </c>
      <c r="BP3234" t="s">
        <v>74</v>
      </c>
      <c r="BQ3234" t="s">
        <v>74</v>
      </c>
      <c r="BR3234" t="s">
        <v>102</v>
      </c>
      <c r="BS3234" t="s">
        <v>53196</v>
      </c>
      <c r="BT3234" t="str">
        <f>HYPERLINK("https%3A%2F%2Fwww.webofscience.com%2Fwos%2Fwoscc%2Ffull-record%2FWOS:000996216800003","View Full Record in Web of Science")</f>
        <v>View Full Record in Web of Science</v>
      </c>
    </row>
    <row r="3235" spans="1:72" x14ac:dyDescent="0.25">
      <c r="A3235" t="s">
        <v>72</v>
      </c>
      <c r="B3235" t="s">
        <v>53197</v>
      </c>
      <c r="C3235" t="s">
        <v>74</v>
      </c>
      <c r="D3235" t="s">
        <v>74</v>
      </c>
      <c r="E3235" t="s">
        <v>74</v>
      </c>
      <c r="F3235" t="s">
        <v>53198</v>
      </c>
      <c r="G3235" t="s">
        <v>74</v>
      </c>
      <c r="H3235" t="s">
        <v>74</v>
      </c>
      <c r="I3235" t="s">
        <v>53199</v>
      </c>
      <c r="J3235" t="s">
        <v>4822</v>
      </c>
      <c r="K3235" t="s">
        <v>74</v>
      </c>
      <c r="L3235" t="s">
        <v>74</v>
      </c>
      <c r="M3235" t="s">
        <v>78</v>
      </c>
      <c r="N3235" t="s">
        <v>79</v>
      </c>
      <c r="O3235" t="s">
        <v>74</v>
      </c>
      <c r="P3235" t="s">
        <v>74</v>
      </c>
      <c r="Q3235" t="s">
        <v>74</v>
      </c>
      <c r="R3235" t="s">
        <v>74</v>
      </c>
      <c r="S3235" t="s">
        <v>74</v>
      </c>
      <c r="T3235" t="s">
        <v>53200</v>
      </c>
      <c r="U3235" t="s">
        <v>53201</v>
      </c>
      <c r="V3235" t="s">
        <v>53202</v>
      </c>
      <c r="W3235" t="s">
        <v>53203</v>
      </c>
      <c r="X3235" t="s">
        <v>50795</v>
      </c>
      <c r="Y3235" t="s">
        <v>53204</v>
      </c>
      <c r="Z3235" t="s">
        <v>53205</v>
      </c>
      <c r="AA3235" t="s">
        <v>74</v>
      </c>
      <c r="AB3235" t="s">
        <v>74</v>
      </c>
      <c r="AC3235" t="s">
        <v>74</v>
      </c>
      <c r="AD3235" t="s">
        <v>74</v>
      </c>
      <c r="AE3235" t="s">
        <v>74</v>
      </c>
      <c r="AF3235" t="s">
        <v>74</v>
      </c>
      <c r="AG3235">
        <v>60</v>
      </c>
      <c r="AH3235">
        <v>0</v>
      </c>
      <c r="AI3235">
        <v>0</v>
      </c>
      <c r="AJ3235">
        <v>7</v>
      </c>
      <c r="AK3235">
        <v>13</v>
      </c>
      <c r="AL3235" t="s">
        <v>201</v>
      </c>
      <c r="AM3235" t="s">
        <v>202</v>
      </c>
      <c r="AN3235" t="s">
        <v>203</v>
      </c>
      <c r="AO3235" t="s">
        <v>4833</v>
      </c>
      <c r="AP3235" t="s">
        <v>74</v>
      </c>
      <c r="AQ3235" t="s">
        <v>74</v>
      </c>
      <c r="AR3235" t="s">
        <v>4834</v>
      </c>
      <c r="AS3235" t="s">
        <v>4835</v>
      </c>
      <c r="AT3235" t="s">
        <v>1652</v>
      </c>
      <c r="AU3235">
        <v>2025</v>
      </c>
      <c r="AV3235">
        <v>86</v>
      </c>
      <c r="AW3235" t="s">
        <v>74</v>
      </c>
      <c r="AX3235" t="s">
        <v>74</v>
      </c>
      <c r="AY3235" t="s">
        <v>74</v>
      </c>
      <c r="AZ3235" t="s">
        <v>74</v>
      </c>
      <c r="BA3235" t="s">
        <v>74</v>
      </c>
      <c r="BB3235">
        <v>1083</v>
      </c>
      <c r="BC3235">
        <v>1098</v>
      </c>
      <c r="BD3235" t="s">
        <v>74</v>
      </c>
      <c r="BE3235" t="s">
        <v>53206</v>
      </c>
      <c r="BF3235" t="str">
        <f>HYPERLINK("http://dx.doi.org/10.1016/j.eap.2025.04.021","http://dx.doi.org/10.1016/j.eap.2025.04.021")</f>
        <v>http://dx.doi.org/10.1016/j.eap.2025.04.021</v>
      </c>
      <c r="BG3235" t="s">
        <v>74</v>
      </c>
      <c r="BH3235" t="s">
        <v>1485</v>
      </c>
      <c r="BI3235">
        <v>16</v>
      </c>
      <c r="BJ3235" t="s">
        <v>291</v>
      </c>
      <c r="BK3235" t="s">
        <v>99</v>
      </c>
      <c r="BL3235" t="s">
        <v>100</v>
      </c>
      <c r="BM3235" t="s">
        <v>53207</v>
      </c>
      <c r="BN3235" t="s">
        <v>74</v>
      </c>
      <c r="BO3235" t="s">
        <v>74</v>
      </c>
      <c r="BP3235" t="s">
        <v>74</v>
      </c>
      <c r="BQ3235" t="s">
        <v>74</v>
      </c>
      <c r="BR3235" t="s">
        <v>102</v>
      </c>
      <c r="BS3235" t="s">
        <v>53208</v>
      </c>
      <c r="BT3235" t="str">
        <f>HYPERLINK("https%3A%2F%2Fwww.webofscience.com%2Fwos%2Fwoscc%2Ffull-record%2FWOS:001481746100001","View Full Record in Web of Science")</f>
        <v>View Full Record in Web of Science</v>
      </c>
    </row>
    <row r="3236" spans="1:72" x14ac:dyDescent="0.25">
      <c r="A3236" t="s">
        <v>72</v>
      </c>
      <c r="B3236" t="s">
        <v>53209</v>
      </c>
      <c r="C3236" t="s">
        <v>74</v>
      </c>
      <c r="D3236" t="s">
        <v>74</v>
      </c>
      <c r="E3236" t="s">
        <v>74</v>
      </c>
      <c r="F3236" t="s">
        <v>53210</v>
      </c>
      <c r="G3236" t="s">
        <v>74</v>
      </c>
      <c r="H3236" t="s">
        <v>74</v>
      </c>
      <c r="I3236" t="s">
        <v>53211</v>
      </c>
      <c r="J3236" t="s">
        <v>449</v>
      </c>
      <c r="K3236" t="s">
        <v>74</v>
      </c>
      <c r="L3236" t="s">
        <v>74</v>
      </c>
      <c r="M3236" t="s">
        <v>78</v>
      </c>
      <c r="N3236" t="s">
        <v>79</v>
      </c>
      <c r="O3236" t="s">
        <v>74</v>
      </c>
      <c r="P3236" t="s">
        <v>74</v>
      </c>
      <c r="Q3236" t="s">
        <v>74</v>
      </c>
      <c r="R3236" t="s">
        <v>74</v>
      </c>
      <c r="S3236" t="s">
        <v>74</v>
      </c>
      <c r="T3236" t="s">
        <v>53212</v>
      </c>
      <c r="U3236" t="s">
        <v>53213</v>
      </c>
      <c r="V3236" t="s">
        <v>53214</v>
      </c>
      <c r="W3236" t="s">
        <v>53215</v>
      </c>
      <c r="X3236" t="s">
        <v>53216</v>
      </c>
      <c r="Y3236" t="s">
        <v>53217</v>
      </c>
      <c r="Z3236" t="s">
        <v>53218</v>
      </c>
      <c r="AA3236" t="s">
        <v>53219</v>
      </c>
      <c r="AB3236" t="s">
        <v>53220</v>
      </c>
      <c r="AC3236" t="s">
        <v>53221</v>
      </c>
      <c r="AD3236" t="s">
        <v>53222</v>
      </c>
      <c r="AE3236" t="s">
        <v>53223</v>
      </c>
      <c r="AF3236" t="s">
        <v>74</v>
      </c>
      <c r="AG3236">
        <v>71</v>
      </c>
      <c r="AH3236">
        <v>24</v>
      </c>
      <c r="AI3236">
        <v>25</v>
      </c>
      <c r="AJ3236">
        <v>1</v>
      </c>
      <c r="AK3236">
        <v>25</v>
      </c>
      <c r="AL3236" t="s">
        <v>332</v>
      </c>
      <c r="AM3236" t="s">
        <v>333</v>
      </c>
      <c r="AN3236" t="s">
        <v>334</v>
      </c>
      <c r="AO3236" t="s">
        <v>459</v>
      </c>
      <c r="AP3236" t="s">
        <v>460</v>
      </c>
      <c r="AQ3236" t="s">
        <v>74</v>
      </c>
      <c r="AR3236" t="s">
        <v>461</v>
      </c>
      <c r="AS3236" t="s">
        <v>462</v>
      </c>
      <c r="AT3236" t="s">
        <v>74</v>
      </c>
      <c r="AU3236">
        <v>2017</v>
      </c>
      <c r="AV3236">
        <v>22</v>
      </c>
      <c r="AW3236">
        <v>4</v>
      </c>
      <c r="AX3236" t="s">
        <v>74</v>
      </c>
      <c r="AY3236" t="s">
        <v>74</v>
      </c>
      <c r="AZ3236" t="s">
        <v>441</v>
      </c>
      <c r="BA3236" t="s">
        <v>74</v>
      </c>
      <c r="BB3236">
        <v>355</v>
      </c>
      <c r="BC3236">
        <v>370</v>
      </c>
      <c r="BD3236" t="s">
        <v>74</v>
      </c>
      <c r="BE3236" t="s">
        <v>53224</v>
      </c>
      <c r="BF3236" t="str">
        <f>HYPERLINK("http://dx.doi.org/10.1080/13563467.2017.1259304","http://dx.doi.org/10.1080/13563467.2017.1259304")</f>
        <v>http://dx.doi.org/10.1080/13563467.2017.1259304</v>
      </c>
      <c r="BG3236" t="s">
        <v>74</v>
      </c>
      <c r="BH3236" t="s">
        <v>74</v>
      </c>
      <c r="BI3236">
        <v>16</v>
      </c>
      <c r="BJ3236" t="s">
        <v>342</v>
      </c>
      <c r="BK3236" t="s">
        <v>99</v>
      </c>
      <c r="BL3236" t="s">
        <v>343</v>
      </c>
      <c r="BM3236" t="s">
        <v>10371</v>
      </c>
      <c r="BN3236" t="s">
        <v>74</v>
      </c>
      <c r="BO3236" t="s">
        <v>74</v>
      </c>
      <c r="BP3236" t="s">
        <v>74</v>
      </c>
      <c r="BQ3236" t="s">
        <v>74</v>
      </c>
      <c r="BR3236" t="s">
        <v>102</v>
      </c>
      <c r="BS3236" t="s">
        <v>53225</v>
      </c>
      <c r="BT3236" t="str">
        <f>HYPERLINK("https%3A%2F%2Fwww.webofscience.com%2Fwos%2Fwoscc%2Ffull-record%2FWOS:000402863400001","View Full Record in Web of Science")</f>
        <v>View Full Record in Web of Science</v>
      </c>
    </row>
    <row r="3237" spans="1:72" x14ac:dyDescent="0.25">
      <c r="A3237" t="s">
        <v>72</v>
      </c>
      <c r="B3237" t="s">
        <v>53226</v>
      </c>
      <c r="C3237" t="s">
        <v>74</v>
      </c>
      <c r="D3237" t="s">
        <v>74</v>
      </c>
      <c r="E3237" t="s">
        <v>74</v>
      </c>
      <c r="F3237" t="s">
        <v>53227</v>
      </c>
      <c r="G3237" t="s">
        <v>74</v>
      </c>
      <c r="H3237" t="s">
        <v>74</v>
      </c>
      <c r="I3237" t="s">
        <v>53228</v>
      </c>
      <c r="J3237" t="s">
        <v>15203</v>
      </c>
      <c r="K3237" t="s">
        <v>74</v>
      </c>
      <c r="L3237" t="s">
        <v>74</v>
      </c>
      <c r="M3237" t="s">
        <v>78</v>
      </c>
      <c r="N3237" t="s">
        <v>79</v>
      </c>
      <c r="O3237" t="s">
        <v>74</v>
      </c>
      <c r="P3237" t="s">
        <v>74</v>
      </c>
      <c r="Q3237" t="s">
        <v>74</v>
      </c>
      <c r="R3237" t="s">
        <v>74</v>
      </c>
      <c r="S3237" t="s">
        <v>74</v>
      </c>
      <c r="T3237" t="s">
        <v>53229</v>
      </c>
      <c r="U3237" t="s">
        <v>53230</v>
      </c>
      <c r="V3237" t="s">
        <v>53231</v>
      </c>
      <c r="W3237" t="s">
        <v>53232</v>
      </c>
      <c r="X3237" t="s">
        <v>53233</v>
      </c>
      <c r="Y3237" t="s">
        <v>21601</v>
      </c>
      <c r="Z3237" t="s">
        <v>21600</v>
      </c>
      <c r="AA3237" t="s">
        <v>53234</v>
      </c>
      <c r="AB3237" t="s">
        <v>74</v>
      </c>
      <c r="AC3237" t="s">
        <v>53235</v>
      </c>
      <c r="AD3237" t="s">
        <v>53236</v>
      </c>
      <c r="AE3237" t="s">
        <v>53237</v>
      </c>
      <c r="AF3237" t="s">
        <v>74</v>
      </c>
      <c r="AG3237">
        <v>137</v>
      </c>
      <c r="AH3237">
        <v>14</v>
      </c>
      <c r="AI3237">
        <v>18</v>
      </c>
      <c r="AJ3237">
        <v>1</v>
      </c>
      <c r="AK3237">
        <v>38</v>
      </c>
      <c r="AL3237" t="s">
        <v>1216</v>
      </c>
      <c r="AM3237" t="s">
        <v>283</v>
      </c>
      <c r="AN3237" t="s">
        <v>1217</v>
      </c>
      <c r="AO3237" t="s">
        <v>74</v>
      </c>
      <c r="AP3237" t="s">
        <v>15215</v>
      </c>
      <c r="AQ3237" t="s">
        <v>74</v>
      </c>
      <c r="AR3237" t="s">
        <v>15216</v>
      </c>
      <c r="AS3237" t="s">
        <v>15217</v>
      </c>
      <c r="AT3237" t="s">
        <v>53238</v>
      </c>
      <c r="AU3237">
        <v>2022</v>
      </c>
      <c r="AV3237">
        <v>10</v>
      </c>
      <c r="AW3237" t="s">
        <v>74</v>
      </c>
      <c r="AX3237" t="s">
        <v>74</v>
      </c>
      <c r="AY3237" t="s">
        <v>74</v>
      </c>
      <c r="AZ3237" t="s">
        <v>74</v>
      </c>
      <c r="BA3237" t="s">
        <v>74</v>
      </c>
      <c r="BB3237" t="s">
        <v>74</v>
      </c>
      <c r="BC3237" t="s">
        <v>74</v>
      </c>
      <c r="BD3237">
        <v>873652</v>
      </c>
      <c r="BE3237" t="s">
        <v>53239</v>
      </c>
      <c r="BF3237" t="str">
        <f>HYPERLINK("http://dx.doi.org/10.3389/fenvs.2022.873652","http://dx.doi.org/10.3389/fenvs.2022.873652")</f>
        <v>http://dx.doi.org/10.3389/fenvs.2022.873652</v>
      </c>
      <c r="BG3237" t="s">
        <v>74</v>
      </c>
      <c r="BH3237" t="s">
        <v>74</v>
      </c>
      <c r="BI3237">
        <v>17</v>
      </c>
      <c r="BJ3237" t="s">
        <v>127</v>
      </c>
      <c r="BK3237" t="s">
        <v>128</v>
      </c>
      <c r="BL3237" t="s">
        <v>129</v>
      </c>
      <c r="BM3237" t="s">
        <v>53240</v>
      </c>
      <c r="BN3237" t="s">
        <v>74</v>
      </c>
      <c r="BO3237" t="s">
        <v>212</v>
      </c>
      <c r="BP3237" t="s">
        <v>74</v>
      </c>
      <c r="BQ3237" t="s">
        <v>74</v>
      </c>
      <c r="BR3237" t="s">
        <v>102</v>
      </c>
      <c r="BS3237" t="s">
        <v>53241</v>
      </c>
      <c r="BT3237" t="str">
        <f>HYPERLINK("https%3A%2F%2Fwww.webofscience.com%2Fwos%2Fwoscc%2Ffull-record%2FWOS:000806836700001","View Full Record in Web of Science")</f>
        <v>View Full Record in Web of Science</v>
      </c>
    </row>
    <row r="3238" spans="1:72" x14ac:dyDescent="0.25">
      <c r="A3238" t="s">
        <v>72</v>
      </c>
      <c r="B3238" t="s">
        <v>53242</v>
      </c>
      <c r="C3238" t="s">
        <v>74</v>
      </c>
      <c r="D3238" t="s">
        <v>74</v>
      </c>
      <c r="E3238" t="s">
        <v>74</v>
      </c>
      <c r="F3238" t="s">
        <v>53243</v>
      </c>
      <c r="G3238" t="s">
        <v>74</v>
      </c>
      <c r="H3238" t="s">
        <v>74</v>
      </c>
      <c r="I3238" t="s">
        <v>53244</v>
      </c>
      <c r="J3238" t="s">
        <v>656</v>
      </c>
      <c r="K3238" t="s">
        <v>74</v>
      </c>
      <c r="L3238" t="s">
        <v>74</v>
      </c>
      <c r="M3238" t="s">
        <v>78</v>
      </c>
      <c r="N3238" t="s">
        <v>79</v>
      </c>
      <c r="O3238" t="s">
        <v>74</v>
      </c>
      <c r="P3238" t="s">
        <v>74</v>
      </c>
      <c r="Q3238" t="s">
        <v>74</v>
      </c>
      <c r="R3238" t="s">
        <v>74</v>
      </c>
      <c r="S3238" t="s">
        <v>74</v>
      </c>
      <c r="T3238" t="s">
        <v>53245</v>
      </c>
      <c r="U3238" t="s">
        <v>53246</v>
      </c>
      <c r="V3238" t="s">
        <v>53247</v>
      </c>
      <c r="W3238" t="s">
        <v>53248</v>
      </c>
      <c r="X3238" t="s">
        <v>53249</v>
      </c>
      <c r="Y3238" t="s">
        <v>53250</v>
      </c>
      <c r="Z3238" t="s">
        <v>53251</v>
      </c>
      <c r="AA3238" t="s">
        <v>53252</v>
      </c>
      <c r="AB3238" t="s">
        <v>53253</v>
      </c>
      <c r="AC3238" t="s">
        <v>74</v>
      </c>
      <c r="AD3238" t="s">
        <v>74</v>
      </c>
      <c r="AE3238" t="s">
        <v>74</v>
      </c>
      <c r="AF3238" t="s">
        <v>74</v>
      </c>
      <c r="AG3238">
        <v>56</v>
      </c>
      <c r="AH3238">
        <v>29</v>
      </c>
      <c r="AI3238">
        <v>43</v>
      </c>
      <c r="AJ3238">
        <v>1</v>
      </c>
      <c r="AK3238">
        <v>28</v>
      </c>
      <c r="AL3238" t="s">
        <v>666</v>
      </c>
      <c r="AM3238" t="s">
        <v>667</v>
      </c>
      <c r="AN3238" t="s">
        <v>668</v>
      </c>
      <c r="AO3238" t="s">
        <v>669</v>
      </c>
      <c r="AP3238" t="s">
        <v>670</v>
      </c>
      <c r="AQ3238" t="s">
        <v>74</v>
      </c>
      <c r="AR3238" t="s">
        <v>671</v>
      </c>
      <c r="AS3238" t="s">
        <v>672</v>
      </c>
      <c r="AT3238" t="s">
        <v>605</v>
      </c>
      <c r="AU3238">
        <v>2017</v>
      </c>
      <c r="AV3238">
        <v>38</v>
      </c>
      <c r="AW3238">
        <v>1</v>
      </c>
      <c r="AX3238" t="s">
        <v>74</v>
      </c>
      <c r="AY3238" t="s">
        <v>74</v>
      </c>
      <c r="AZ3238" t="s">
        <v>74</v>
      </c>
      <c r="BA3238" t="s">
        <v>74</v>
      </c>
      <c r="BB3238">
        <v>70</v>
      </c>
      <c r="BC3238">
        <v>83</v>
      </c>
      <c r="BD3238" t="s">
        <v>74</v>
      </c>
      <c r="BE3238" t="s">
        <v>53254</v>
      </c>
      <c r="BF3238" t="str">
        <f>HYPERLINK("http://dx.doi.org/10.1007/s10834-016-9512-5","http://dx.doi.org/10.1007/s10834-016-9512-5")</f>
        <v>http://dx.doi.org/10.1007/s10834-016-9512-5</v>
      </c>
      <c r="BG3238" t="s">
        <v>74</v>
      </c>
      <c r="BH3238" t="s">
        <v>74</v>
      </c>
      <c r="BI3238">
        <v>14</v>
      </c>
      <c r="BJ3238" t="s">
        <v>675</v>
      </c>
      <c r="BK3238" t="s">
        <v>99</v>
      </c>
      <c r="BL3238" t="s">
        <v>676</v>
      </c>
      <c r="BM3238" t="s">
        <v>53255</v>
      </c>
      <c r="BN3238" t="s">
        <v>74</v>
      </c>
      <c r="BO3238" t="s">
        <v>74</v>
      </c>
      <c r="BP3238" t="s">
        <v>74</v>
      </c>
      <c r="BQ3238" t="s">
        <v>74</v>
      </c>
      <c r="BR3238" t="s">
        <v>102</v>
      </c>
      <c r="BS3238" t="s">
        <v>53256</v>
      </c>
      <c r="BT3238" t="str">
        <f>HYPERLINK("https%3A%2F%2Fwww.webofscience.com%2Fwos%2Fwoscc%2Ffull-record%2FWOS:000394275200006","View Full Record in Web of Science")</f>
        <v>View Full Record in Web of Science</v>
      </c>
    </row>
    <row r="3239" spans="1:72" x14ac:dyDescent="0.25">
      <c r="A3239" t="s">
        <v>72</v>
      </c>
      <c r="B3239" t="s">
        <v>43461</v>
      </c>
      <c r="C3239" t="s">
        <v>74</v>
      </c>
      <c r="D3239" t="s">
        <v>74</v>
      </c>
      <c r="E3239" t="s">
        <v>74</v>
      </c>
      <c r="F3239" t="s">
        <v>43462</v>
      </c>
      <c r="G3239" t="s">
        <v>74</v>
      </c>
      <c r="H3239" t="s">
        <v>74</v>
      </c>
      <c r="I3239" t="s">
        <v>53257</v>
      </c>
      <c r="J3239" t="s">
        <v>2137</v>
      </c>
      <c r="K3239" t="s">
        <v>74</v>
      </c>
      <c r="L3239" t="s">
        <v>74</v>
      </c>
      <c r="M3239" t="s">
        <v>78</v>
      </c>
      <c r="N3239" t="s">
        <v>79</v>
      </c>
      <c r="O3239" t="s">
        <v>74</v>
      </c>
      <c r="P3239" t="s">
        <v>74</v>
      </c>
      <c r="Q3239" t="s">
        <v>74</v>
      </c>
      <c r="R3239" t="s">
        <v>74</v>
      </c>
      <c r="S3239" t="s">
        <v>74</v>
      </c>
      <c r="T3239" t="s">
        <v>53258</v>
      </c>
      <c r="U3239" t="s">
        <v>53259</v>
      </c>
      <c r="V3239" t="s">
        <v>53260</v>
      </c>
      <c r="W3239" t="s">
        <v>53261</v>
      </c>
      <c r="X3239" t="s">
        <v>43468</v>
      </c>
      <c r="Y3239" t="s">
        <v>41016</v>
      </c>
      <c r="Z3239" t="s">
        <v>43470</v>
      </c>
      <c r="AA3239" t="s">
        <v>43471</v>
      </c>
      <c r="AB3239" t="s">
        <v>74</v>
      </c>
      <c r="AC3239" t="s">
        <v>74</v>
      </c>
      <c r="AD3239" t="s">
        <v>74</v>
      </c>
      <c r="AE3239" t="s">
        <v>74</v>
      </c>
      <c r="AF3239" t="s">
        <v>74</v>
      </c>
      <c r="AG3239">
        <v>61</v>
      </c>
      <c r="AH3239">
        <v>18</v>
      </c>
      <c r="AI3239">
        <v>24</v>
      </c>
      <c r="AJ3239">
        <v>1</v>
      </c>
      <c r="AK3239">
        <v>33</v>
      </c>
      <c r="AL3239" t="s">
        <v>2145</v>
      </c>
      <c r="AM3239" t="s">
        <v>151</v>
      </c>
      <c r="AN3239" t="s">
        <v>2146</v>
      </c>
      <c r="AO3239" t="s">
        <v>2147</v>
      </c>
      <c r="AP3239" t="s">
        <v>2148</v>
      </c>
      <c r="AQ3239" t="s">
        <v>74</v>
      </c>
      <c r="AR3239" t="s">
        <v>2149</v>
      </c>
      <c r="AS3239" t="s">
        <v>2150</v>
      </c>
      <c r="AT3239" t="s">
        <v>74</v>
      </c>
      <c r="AU3239">
        <v>2021</v>
      </c>
      <c r="AV3239">
        <v>32</v>
      </c>
      <c r="AW3239">
        <v>1</v>
      </c>
      <c r="AX3239" t="s">
        <v>74</v>
      </c>
      <c r="AY3239" t="s">
        <v>74</v>
      </c>
      <c r="AZ3239" t="s">
        <v>74</v>
      </c>
      <c r="BA3239" t="s">
        <v>74</v>
      </c>
      <c r="BB3239">
        <v>21</v>
      </c>
      <c r="BC3239">
        <v>34</v>
      </c>
      <c r="BD3239" t="s">
        <v>74</v>
      </c>
      <c r="BE3239" t="s">
        <v>53262</v>
      </c>
      <c r="BF3239" t="str">
        <f>HYPERLINK("http://dx.doi.org/10.1891/JFCP-18-00086","http://dx.doi.org/10.1891/JFCP-18-00086")</f>
        <v>http://dx.doi.org/10.1891/JFCP-18-00086</v>
      </c>
      <c r="BG3239" t="s">
        <v>74</v>
      </c>
      <c r="BH3239" t="s">
        <v>74</v>
      </c>
      <c r="BI3239">
        <v>14</v>
      </c>
      <c r="BJ3239" t="s">
        <v>1453</v>
      </c>
      <c r="BK3239" t="s">
        <v>313</v>
      </c>
      <c r="BL3239" t="s">
        <v>100</v>
      </c>
      <c r="BM3239" t="s">
        <v>36133</v>
      </c>
      <c r="BN3239" t="s">
        <v>74</v>
      </c>
      <c r="BO3239" t="s">
        <v>74</v>
      </c>
      <c r="BP3239" t="s">
        <v>74</v>
      </c>
      <c r="BQ3239" t="s">
        <v>74</v>
      </c>
      <c r="BR3239" t="s">
        <v>102</v>
      </c>
      <c r="BS3239" t="s">
        <v>53263</v>
      </c>
      <c r="BT3239" t="str">
        <f>HYPERLINK("https%3A%2F%2Fwww.webofscience.com%2Fwos%2Fwoscc%2Ffull-record%2FWOS:000659298600002","View Full Record in Web of Science")</f>
        <v>View Full Record in Web of Science</v>
      </c>
    </row>
    <row r="3240" spans="1:72" x14ac:dyDescent="0.25">
      <c r="A3240" t="s">
        <v>72</v>
      </c>
      <c r="B3240" t="s">
        <v>53264</v>
      </c>
      <c r="C3240" t="s">
        <v>74</v>
      </c>
      <c r="D3240" t="s">
        <v>74</v>
      </c>
      <c r="E3240" t="s">
        <v>74</v>
      </c>
      <c r="F3240" t="s">
        <v>53265</v>
      </c>
      <c r="G3240" t="s">
        <v>74</v>
      </c>
      <c r="H3240" t="s">
        <v>74</v>
      </c>
      <c r="I3240" t="s">
        <v>53266</v>
      </c>
      <c r="J3240" t="s">
        <v>53267</v>
      </c>
      <c r="K3240" t="s">
        <v>74</v>
      </c>
      <c r="L3240" t="s">
        <v>74</v>
      </c>
      <c r="M3240" t="s">
        <v>78</v>
      </c>
      <c r="N3240" t="s">
        <v>79</v>
      </c>
      <c r="O3240" t="s">
        <v>74</v>
      </c>
      <c r="P3240" t="s">
        <v>74</v>
      </c>
      <c r="Q3240" t="s">
        <v>74</v>
      </c>
      <c r="R3240" t="s">
        <v>74</v>
      </c>
      <c r="S3240" t="s">
        <v>74</v>
      </c>
      <c r="T3240" t="s">
        <v>74</v>
      </c>
      <c r="U3240" t="s">
        <v>18318</v>
      </c>
      <c r="V3240" t="s">
        <v>53268</v>
      </c>
      <c r="W3240" t="s">
        <v>53269</v>
      </c>
      <c r="X3240" t="s">
        <v>53270</v>
      </c>
      <c r="Y3240" t="s">
        <v>53271</v>
      </c>
      <c r="Z3240" t="s">
        <v>53272</v>
      </c>
      <c r="AA3240" t="s">
        <v>53273</v>
      </c>
      <c r="AB3240" t="s">
        <v>2928</v>
      </c>
      <c r="AC3240" t="s">
        <v>53274</v>
      </c>
      <c r="AD3240" t="s">
        <v>53274</v>
      </c>
      <c r="AE3240" t="s">
        <v>53275</v>
      </c>
      <c r="AF3240" t="s">
        <v>74</v>
      </c>
      <c r="AG3240">
        <v>70</v>
      </c>
      <c r="AH3240">
        <v>12</v>
      </c>
      <c r="AI3240">
        <v>16</v>
      </c>
      <c r="AJ3240">
        <v>0</v>
      </c>
      <c r="AK3240">
        <v>12</v>
      </c>
      <c r="AL3240" t="s">
        <v>332</v>
      </c>
      <c r="AM3240" t="s">
        <v>333</v>
      </c>
      <c r="AN3240" t="s">
        <v>334</v>
      </c>
      <c r="AO3240" t="s">
        <v>53276</v>
      </c>
      <c r="AP3240" t="s">
        <v>53277</v>
      </c>
      <c r="AQ3240" t="s">
        <v>74</v>
      </c>
      <c r="AR3240" t="s">
        <v>53278</v>
      </c>
      <c r="AS3240" t="s">
        <v>53279</v>
      </c>
      <c r="AT3240" t="s">
        <v>5028</v>
      </c>
      <c r="AU3240">
        <v>2021</v>
      </c>
      <c r="AV3240">
        <v>57</v>
      </c>
      <c r="AW3240">
        <v>4</v>
      </c>
      <c r="AX3240" t="s">
        <v>74</v>
      </c>
      <c r="AY3240" t="s">
        <v>74</v>
      </c>
      <c r="AZ3240" t="s">
        <v>74</v>
      </c>
      <c r="BA3240" t="s">
        <v>74</v>
      </c>
      <c r="BB3240">
        <v>688</v>
      </c>
      <c r="BC3240">
        <v>706</v>
      </c>
      <c r="BD3240" t="s">
        <v>74</v>
      </c>
      <c r="BE3240" t="s">
        <v>53280</v>
      </c>
      <c r="BF3240" t="str">
        <f>HYPERLINK("http://dx.doi.org/10.1080/10437797.2020.1714524","http://dx.doi.org/10.1080/10437797.2020.1714524")</f>
        <v>http://dx.doi.org/10.1080/10437797.2020.1714524</v>
      </c>
      <c r="BG3240" t="s">
        <v>74</v>
      </c>
      <c r="BH3240" t="s">
        <v>2621</v>
      </c>
      <c r="BI3240">
        <v>19</v>
      </c>
      <c r="BJ3240" t="s">
        <v>53281</v>
      </c>
      <c r="BK3240" t="s">
        <v>99</v>
      </c>
      <c r="BL3240" t="s">
        <v>53281</v>
      </c>
      <c r="BM3240" t="s">
        <v>53282</v>
      </c>
      <c r="BN3240" t="s">
        <v>74</v>
      </c>
      <c r="BO3240" t="s">
        <v>74</v>
      </c>
      <c r="BP3240" t="s">
        <v>74</v>
      </c>
      <c r="BQ3240" t="s">
        <v>74</v>
      </c>
      <c r="BR3240" t="s">
        <v>102</v>
      </c>
      <c r="BS3240" t="s">
        <v>53283</v>
      </c>
      <c r="BT3240" t="str">
        <f>HYPERLINK("https%3A%2F%2Fwww.webofscience.com%2Fwos%2Fwoscc%2Ffull-record%2FWOS:000514890500001","View Full Record in Web of Science")</f>
        <v>View Full Record in Web of Science</v>
      </c>
    </row>
    <row r="3241" spans="1:72" x14ac:dyDescent="0.25">
      <c r="A3241" t="s">
        <v>72</v>
      </c>
      <c r="B3241" t="s">
        <v>53284</v>
      </c>
      <c r="C3241" t="s">
        <v>74</v>
      </c>
      <c r="D3241" t="s">
        <v>74</v>
      </c>
      <c r="E3241" t="s">
        <v>74</v>
      </c>
      <c r="F3241" t="s">
        <v>53285</v>
      </c>
      <c r="G3241" t="s">
        <v>74</v>
      </c>
      <c r="H3241" t="s">
        <v>74</v>
      </c>
      <c r="I3241" t="s">
        <v>53286</v>
      </c>
      <c r="J3241" t="s">
        <v>793</v>
      </c>
      <c r="K3241" t="s">
        <v>74</v>
      </c>
      <c r="L3241" t="s">
        <v>74</v>
      </c>
      <c r="M3241" t="s">
        <v>78</v>
      </c>
      <c r="N3241" t="s">
        <v>372</v>
      </c>
      <c r="O3241" t="s">
        <v>74</v>
      </c>
      <c r="P3241" t="s">
        <v>74</v>
      </c>
      <c r="Q3241" t="s">
        <v>74</v>
      </c>
      <c r="R3241" t="s">
        <v>74</v>
      </c>
      <c r="S3241" t="s">
        <v>74</v>
      </c>
      <c r="T3241" t="s">
        <v>53287</v>
      </c>
      <c r="U3241" t="s">
        <v>74</v>
      </c>
      <c r="V3241" t="s">
        <v>53288</v>
      </c>
      <c r="W3241" t="s">
        <v>53289</v>
      </c>
      <c r="X3241" t="s">
        <v>53290</v>
      </c>
      <c r="Y3241" t="s">
        <v>53291</v>
      </c>
      <c r="Z3241" t="s">
        <v>53292</v>
      </c>
      <c r="AA3241" t="s">
        <v>53293</v>
      </c>
      <c r="AB3241" t="s">
        <v>53294</v>
      </c>
      <c r="AC3241" t="s">
        <v>53295</v>
      </c>
      <c r="AD3241" t="s">
        <v>53296</v>
      </c>
      <c r="AE3241" t="s">
        <v>53297</v>
      </c>
      <c r="AF3241" t="s">
        <v>74</v>
      </c>
      <c r="AG3241">
        <v>40</v>
      </c>
      <c r="AH3241">
        <v>0</v>
      </c>
      <c r="AI3241">
        <v>0</v>
      </c>
      <c r="AJ3241">
        <v>5</v>
      </c>
      <c r="AK3241">
        <v>5</v>
      </c>
      <c r="AL3241" t="s">
        <v>89</v>
      </c>
      <c r="AM3241" t="s">
        <v>90</v>
      </c>
      <c r="AN3241" t="s">
        <v>91</v>
      </c>
      <c r="AO3241" t="s">
        <v>803</v>
      </c>
      <c r="AP3241" t="s">
        <v>804</v>
      </c>
      <c r="AQ3241" t="s">
        <v>74</v>
      </c>
      <c r="AR3241" t="s">
        <v>805</v>
      </c>
      <c r="AS3241" t="s">
        <v>806</v>
      </c>
      <c r="AT3241" t="s">
        <v>28342</v>
      </c>
      <c r="AU3241">
        <v>2025</v>
      </c>
      <c r="AV3241" t="s">
        <v>74</v>
      </c>
      <c r="AW3241" t="s">
        <v>74</v>
      </c>
      <c r="AX3241" t="s">
        <v>74</v>
      </c>
      <c r="AY3241" t="s">
        <v>74</v>
      </c>
      <c r="AZ3241" t="s">
        <v>74</v>
      </c>
      <c r="BA3241" t="s">
        <v>74</v>
      </c>
      <c r="BB3241" t="s">
        <v>74</v>
      </c>
      <c r="BC3241" t="s">
        <v>74</v>
      </c>
      <c r="BD3241" t="s">
        <v>74</v>
      </c>
      <c r="BE3241" t="s">
        <v>53298</v>
      </c>
      <c r="BF3241" t="str">
        <f>HYPERLINK("http://dx.doi.org/10.1108/JAL-11-2024-0322","http://dx.doi.org/10.1108/JAL-11-2024-0322")</f>
        <v>http://dx.doi.org/10.1108/JAL-11-2024-0322</v>
      </c>
      <c r="BG3241" t="s">
        <v>74</v>
      </c>
      <c r="BH3241" t="s">
        <v>3389</v>
      </c>
      <c r="BI3241">
        <v>33</v>
      </c>
      <c r="BJ3241" t="s">
        <v>268</v>
      </c>
      <c r="BK3241" t="s">
        <v>313</v>
      </c>
      <c r="BL3241" t="s">
        <v>100</v>
      </c>
      <c r="BM3241" t="s">
        <v>53299</v>
      </c>
      <c r="BN3241" t="s">
        <v>74</v>
      </c>
      <c r="BO3241" t="s">
        <v>74</v>
      </c>
      <c r="BP3241" t="s">
        <v>74</v>
      </c>
      <c r="BQ3241" t="s">
        <v>74</v>
      </c>
      <c r="BR3241" t="s">
        <v>102</v>
      </c>
      <c r="BS3241" t="s">
        <v>53300</v>
      </c>
      <c r="BT3241" t="str">
        <f>HYPERLINK("https%3A%2F%2Fwww.webofscience.com%2Fwos%2Fwoscc%2Ffull-record%2FWOS:001519659400001","View Full Record in Web of Science")</f>
        <v>View Full Record in Web of Science</v>
      </c>
    </row>
    <row r="3242" spans="1:72" x14ac:dyDescent="0.25">
      <c r="A3242" t="s">
        <v>132</v>
      </c>
      <c r="B3242" t="s">
        <v>53301</v>
      </c>
      <c r="C3242" t="s">
        <v>74</v>
      </c>
      <c r="D3242" t="s">
        <v>74</v>
      </c>
      <c r="E3242" t="s">
        <v>771</v>
      </c>
      <c r="F3242" t="s">
        <v>53302</v>
      </c>
      <c r="G3242" t="s">
        <v>74</v>
      </c>
      <c r="H3242" t="s">
        <v>74</v>
      </c>
      <c r="I3242" t="s">
        <v>53303</v>
      </c>
      <c r="J3242" t="s">
        <v>53304</v>
      </c>
      <c r="K3242" t="s">
        <v>53305</v>
      </c>
      <c r="L3242" t="s">
        <v>74</v>
      </c>
      <c r="M3242" t="s">
        <v>78</v>
      </c>
      <c r="N3242" t="s">
        <v>138</v>
      </c>
      <c r="O3242" t="s">
        <v>53306</v>
      </c>
      <c r="P3242" t="s">
        <v>53307</v>
      </c>
      <c r="Q3242" t="s">
        <v>53308</v>
      </c>
      <c r="R3242" t="s">
        <v>53309</v>
      </c>
      <c r="S3242" t="s">
        <v>74</v>
      </c>
      <c r="T3242" t="s">
        <v>53310</v>
      </c>
      <c r="U3242" t="s">
        <v>74</v>
      </c>
      <c r="V3242" t="s">
        <v>53311</v>
      </c>
      <c r="W3242" t="s">
        <v>53312</v>
      </c>
      <c r="X3242" t="s">
        <v>27362</v>
      </c>
      <c r="Y3242" t="s">
        <v>53313</v>
      </c>
      <c r="Z3242" t="s">
        <v>53314</v>
      </c>
      <c r="AA3242" t="s">
        <v>74</v>
      </c>
      <c r="AB3242" t="s">
        <v>74</v>
      </c>
      <c r="AC3242" t="s">
        <v>74</v>
      </c>
      <c r="AD3242" t="s">
        <v>74</v>
      </c>
      <c r="AE3242" t="s">
        <v>74</v>
      </c>
      <c r="AF3242" t="s">
        <v>74</v>
      </c>
      <c r="AG3242">
        <v>10</v>
      </c>
      <c r="AH3242">
        <v>0</v>
      </c>
      <c r="AI3242">
        <v>0</v>
      </c>
      <c r="AJ3242">
        <v>2</v>
      </c>
      <c r="AK3242">
        <v>2</v>
      </c>
      <c r="AL3242" t="s">
        <v>771</v>
      </c>
      <c r="AM3242" t="s">
        <v>151</v>
      </c>
      <c r="AN3242" t="s">
        <v>785</v>
      </c>
      <c r="AO3242" t="s">
        <v>53315</v>
      </c>
      <c r="AP3242" t="s">
        <v>74</v>
      </c>
      <c r="AQ3242" t="s">
        <v>53316</v>
      </c>
      <c r="AR3242" t="s">
        <v>53317</v>
      </c>
      <c r="AS3242" t="s">
        <v>74</v>
      </c>
      <c r="AT3242" t="s">
        <v>74</v>
      </c>
      <c r="AU3242">
        <v>2024</v>
      </c>
      <c r="AV3242" t="s">
        <v>74</v>
      </c>
      <c r="AW3242" t="s">
        <v>74</v>
      </c>
      <c r="AX3242" t="s">
        <v>74</v>
      </c>
      <c r="AY3242" t="s">
        <v>74</v>
      </c>
      <c r="AZ3242" t="s">
        <v>74</v>
      </c>
      <c r="BA3242" t="s">
        <v>74</v>
      </c>
      <c r="BB3242">
        <v>240</v>
      </c>
      <c r="BC3242">
        <v>245</v>
      </c>
      <c r="BD3242" t="s">
        <v>74</v>
      </c>
      <c r="BE3242" t="s">
        <v>53318</v>
      </c>
      <c r="BF3242" t="str">
        <f>HYPERLINK("http://dx.doi.org/10.1109/WPMC63271.2024.10863671","http://dx.doi.org/10.1109/WPMC63271.2024.10863671")</f>
        <v>http://dx.doi.org/10.1109/WPMC63271.2024.10863671</v>
      </c>
      <c r="BG3242" t="s">
        <v>74</v>
      </c>
      <c r="BH3242" t="s">
        <v>74</v>
      </c>
      <c r="BI3242">
        <v>6</v>
      </c>
      <c r="BJ3242" t="s">
        <v>53319</v>
      </c>
      <c r="BK3242" t="s">
        <v>156</v>
      </c>
      <c r="BL3242" t="s">
        <v>1023</v>
      </c>
      <c r="BM3242" t="s">
        <v>53320</v>
      </c>
      <c r="BN3242" t="s">
        <v>74</v>
      </c>
      <c r="BO3242" t="s">
        <v>74</v>
      </c>
      <c r="BP3242" t="s">
        <v>74</v>
      </c>
      <c r="BQ3242" t="s">
        <v>74</v>
      </c>
      <c r="BR3242" t="s">
        <v>102</v>
      </c>
      <c r="BS3242" t="s">
        <v>53321</v>
      </c>
      <c r="BT3242" t="str">
        <f>HYPERLINK("https%3A%2F%2Fwww.webofscience.com%2Fwos%2Fwoscc%2Ffull-record%2FWOS:001488384100046","View Full Record in Web of Science")</f>
        <v>View Full Record in Web of Science</v>
      </c>
    </row>
    <row r="3243" spans="1:72" x14ac:dyDescent="0.25">
      <c r="A3243" t="s">
        <v>72</v>
      </c>
      <c r="B3243" t="s">
        <v>53322</v>
      </c>
      <c r="C3243" t="s">
        <v>74</v>
      </c>
      <c r="D3243" t="s">
        <v>74</v>
      </c>
      <c r="E3243" t="s">
        <v>74</v>
      </c>
      <c r="F3243" t="s">
        <v>53323</v>
      </c>
      <c r="G3243" t="s">
        <v>74</v>
      </c>
      <c r="H3243" t="s">
        <v>74</v>
      </c>
      <c r="I3243" t="s">
        <v>53324</v>
      </c>
      <c r="J3243" t="s">
        <v>2137</v>
      </c>
      <c r="K3243" t="s">
        <v>74</v>
      </c>
      <c r="L3243" t="s">
        <v>74</v>
      </c>
      <c r="M3243" t="s">
        <v>78</v>
      </c>
      <c r="N3243" t="s">
        <v>79</v>
      </c>
      <c r="O3243" t="s">
        <v>74</v>
      </c>
      <c r="P3243" t="s">
        <v>74</v>
      </c>
      <c r="Q3243" t="s">
        <v>74</v>
      </c>
      <c r="R3243" t="s">
        <v>74</v>
      </c>
      <c r="S3243" t="s">
        <v>74</v>
      </c>
      <c r="T3243" t="s">
        <v>53325</v>
      </c>
      <c r="U3243" t="s">
        <v>53326</v>
      </c>
      <c r="V3243" t="s">
        <v>53327</v>
      </c>
      <c r="W3243" t="s">
        <v>53328</v>
      </c>
      <c r="X3243" t="s">
        <v>53329</v>
      </c>
      <c r="Y3243" t="s">
        <v>53330</v>
      </c>
      <c r="Z3243" t="s">
        <v>53331</v>
      </c>
      <c r="AA3243" t="s">
        <v>74</v>
      </c>
      <c r="AB3243" t="s">
        <v>74</v>
      </c>
      <c r="AC3243" t="s">
        <v>74</v>
      </c>
      <c r="AD3243" t="s">
        <v>74</v>
      </c>
      <c r="AE3243" t="s">
        <v>74</v>
      </c>
      <c r="AF3243" t="s">
        <v>74</v>
      </c>
      <c r="AG3243">
        <v>25</v>
      </c>
      <c r="AH3243">
        <v>9</v>
      </c>
      <c r="AI3243">
        <v>9</v>
      </c>
      <c r="AJ3243">
        <v>10</v>
      </c>
      <c r="AK3243">
        <v>27</v>
      </c>
      <c r="AL3243" t="s">
        <v>2145</v>
      </c>
      <c r="AM3243" t="s">
        <v>151</v>
      </c>
      <c r="AN3243" t="s">
        <v>2146</v>
      </c>
      <c r="AO3243" t="s">
        <v>2147</v>
      </c>
      <c r="AP3243" t="s">
        <v>2148</v>
      </c>
      <c r="AQ3243" t="s">
        <v>74</v>
      </c>
      <c r="AR3243" t="s">
        <v>2149</v>
      </c>
      <c r="AS3243" t="s">
        <v>2150</v>
      </c>
      <c r="AT3243" t="s">
        <v>74</v>
      </c>
      <c r="AU3243">
        <v>2023</v>
      </c>
      <c r="AV3243">
        <v>34</v>
      </c>
      <c r="AW3243">
        <v>3</v>
      </c>
      <c r="AX3243" t="s">
        <v>74</v>
      </c>
      <c r="AY3243" t="s">
        <v>74</v>
      </c>
      <c r="AZ3243" t="s">
        <v>74</v>
      </c>
      <c r="BA3243" t="s">
        <v>74</v>
      </c>
      <c r="BB3243">
        <v>404</v>
      </c>
      <c r="BC3243">
        <v>414</v>
      </c>
      <c r="BD3243" t="s">
        <v>74</v>
      </c>
      <c r="BE3243" t="s">
        <v>53332</v>
      </c>
      <c r="BF3243" t="str">
        <f>HYPERLINK("http://dx.doi.org/10.1891/JFCP-2022-0015","http://dx.doi.org/10.1891/JFCP-2022-0015")</f>
        <v>http://dx.doi.org/10.1891/JFCP-2022-0015</v>
      </c>
      <c r="BG3243" t="s">
        <v>74</v>
      </c>
      <c r="BH3243" t="s">
        <v>74</v>
      </c>
      <c r="BI3243">
        <v>11</v>
      </c>
      <c r="BJ3243" t="s">
        <v>1453</v>
      </c>
      <c r="BK3243" t="s">
        <v>313</v>
      </c>
      <c r="BL3243" t="s">
        <v>100</v>
      </c>
      <c r="BM3243" t="s">
        <v>42519</v>
      </c>
      <c r="BN3243" t="s">
        <v>74</v>
      </c>
      <c r="BO3243" t="s">
        <v>74</v>
      </c>
      <c r="BP3243" t="s">
        <v>74</v>
      </c>
      <c r="BQ3243" t="s">
        <v>74</v>
      </c>
      <c r="BR3243" t="s">
        <v>102</v>
      </c>
      <c r="BS3243" t="s">
        <v>53333</v>
      </c>
      <c r="BT3243" t="str">
        <f>HYPERLINK("https%3A%2F%2Fwww.webofscience.com%2Fwos%2Fwoscc%2Ffull-record%2FWOS:001105218800008","View Full Record in Web of Science")</f>
        <v>View Full Record in Web of Science</v>
      </c>
    </row>
    <row r="3244" spans="1:72" x14ac:dyDescent="0.25">
      <c r="A3244" t="s">
        <v>72</v>
      </c>
      <c r="B3244" t="s">
        <v>53334</v>
      </c>
      <c r="C3244" t="s">
        <v>74</v>
      </c>
      <c r="D3244" t="s">
        <v>74</v>
      </c>
      <c r="E3244" t="s">
        <v>74</v>
      </c>
      <c r="F3244" t="s">
        <v>53335</v>
      </c>
      <c r="G3244" t="s">
        <v>74</v>
      </c>
      <c r="H3244" t="s">
        <v>74</v>
      </c>
      <c r="I3244" t="s">
        <v>53336</v>
      </c>
      <c r="J3244" t="s">
        <v>53337</v>
      </c>
      <c r="K3244" t="s">
        <v>74</v>
      </c>
      <c r="L3244" t="s">
        <v>74</v>
      </c>
      <c r="M3244" t="s">
        <v>78</v>
      </c>
      <c r="N3244" t="s">
        <v>79</v>
      </c>
      <c r="O3244" t="s">
        <v>74</v>
      </c>
      <c r="P3244" t="s">
        <v>74</v>
      </c>
      <c r="Q3244" t="s">
        <v>74</v>
      </c>
      <c r="R3244" t="s">
        <v>74</v>
      </c>
      <c r="S3244" t="s">
        <v>74</v>
      </c>
      <c r="T3244" t="s">
        <v>53338</v>
      </c>
      <c r="U3244" t="s">
        <v>53339</v>
      </c>
      <c r="V3244" t="s">
        <v>53340</v>
      </c>
      <c r="W3244" t="s">
        <v>53341</v>
      </c>
      <c r="X3244" t="s">
        <v>53342</v>
      </c>
      <c r="Y3244" t="s">
        <v>53343</v>
      </c>
      <c r="Z3244" t="s">
        <v>53344</v>
      </c>
      <c r="AA3244" t="s">
        <v>53345</v>
      </c>
      <c r="AB3244" t="s">
        <v>53346</v>
      </c>
      <c r="AC3244" t="s">
        <v>74</v>
      </c>
      <c r="AD3244" t="s">
        <v>74</v>
      </c>
      <c r="AE3244" t="s">
        <v>74</v>
      </c>
      <c r="AF3244" t="s">
        <v>74</v>
      </c>
      <c r="AG3244">
        <v>82</v>
      </c>
      <c r="AH3244">
        <v>1</v>
      </c>
      <c r="AI3244">
        <v>1</v>
      </c>
      <c r="AJ3244">
        <v>3</v>
      </c>
      <c r="AK3244">
        <v>4</v>
      </c>
      <c r="AL3244" t="s">
        <v>479</v>
      </c>
      <c r="AM3244" t="s">
        <v>480</v>
      </c>
      <c r="AN3244" t="s">
        <v>481</v>
      </c>
      <c r="AO3244" t="s">
        <v>53347</v>
      </c>
      <c r="AP3244" t="s">
        <v>53348</v>
      </c>
      <c r="AQ3244" t="s">
        <v>74</v>
      </c>
      <c r="AR3244" t="s">
        <v>53337</v>
      </c>
      <c r="AS3244" t="s">
        <v>53349</v>
      </c>
      <c r="AT3244" t="s">
        <v>891</v>
      </c>
      <c r="AU3244">
        <v>2025</v>
      </c>
      <c r="AV3244">
        <v>78</v>
      </c>
      <c r="AW3244">
        <v>4</v>
      </c>
      <c r="AX3244" t="s">
        <v>74</v>
      </c>
      <c r="AY3244" t="s">
        <v>74</v>
      </c>
      <c r="AZ3244" t="s">
        <v>74</v>
      </c>
      <c r="BA3244" t="s">
        <v>74</v>
      </c>
      <c r="BB3244">
        <v>1424</v>
      </c>
      <c r="BC3244">
        <v>1439</v>
      </c>
      <c r="BD3244" t="s">
        <v>74</v>
      </c>
      <c r="BE3244" t="s">
        <v>53350</v>
      </c>
      <c r="BF3244" t="str">
        <f>HYPERLINK("http://dx.doi.org/10.1111/kykl.12477","http://dx.doi.org/10.1111/kykl.12477")</f>
        <v>http://dx.doi.org/10.1111/kykl.12477</v>
      </c>
      <c r="BG3244" t="s">
        <v>74</v>
      </c>
      <c r="BH3244" t="s">
        <v>7657</v>
      </c>
      <c r="BI3244">
        <v>16</v>
      </c>
      <c r="BJ3244" t="s">
        <v>291</v>
      </c>
      <c r="BK3244" t="s">
        <v>99</v>
      </c>
      <c r="BL3244" t="s">
        <v>100</v>
      </c>
      <c r="BM3244" t="s">
        <v>53351</v>
      </c>
      <c r="BN3244" t="s">
        <v>74</v>
      </c>
      <c r="BO3244" t="s">
        <v>74</v>
      </c>
      <c r="BP3244" t="s">
        <v>74</v>
      </c>
      <c r="BQ3244" t="s">
        <v>74</v>
      </c>
      <c r="BR3244" t="s">
        <v>102</v>
      </c>
      <c r="BS3244" t="s">
        <v>53352</v>
      </c>
      <c r="BT3244" t="str">
        <f>HYPERLINK("https%3A%2F%2Fwww.webofscience.com%2Fwos%2Fwoscc%2Ffull-record%2FWOS:001506195700001","View Full Record in Web of Science")</f>
        <v>View Full Record in Web of Science</v>
      </c>
    </row>
    <row r="3245" spans="1:72" x14ac:dyDescent="0.25">
      <c r="A3245" t="s">
        <v>72</v>
      </c>
      <c r="B3245" t="s">
        <v>53353</v>
      </c>
      <c r="C3245" t="s">
        <v>74</v>
      </c>
      <c r="D3245" t="s">
        <v>74</v>
      </c>
      <c r="E3245" t="s">
        <v>74</v>
      </c>
      <c r="F3245" t="s">
        <v>53354</v>
      </c>
      <c r="G3245" t="s">
        <v>74</v>
      </c>
      <c r="H3245" t="s">
        <v>74</v>
      </c>
      <c r="I3245" t="s">
        <v>53355</v>
      </c>
      <c r="J3245" t="s">
        <v>53356</v>
      </c>
      <c r="K3245" t="s">
        <v>74</v>
      </c>
      <c r="L3245" t="s">
        <v>74</v>
      </c>
      <c r="M3245" t="s">
        <v>78</v>
      </c>
      <c r="N3245" t="s">
        <v>79</v>
      </c>
      <c r="O3245" t="s">
        <v>74</v>
      </c>
      <c r="P3245" t="s">
        <v>74</v>
      </c>
      <c r="Q3245" t="s">
        <v>74</v>
      </c>
      <c r="R3245" t="s">
        <v>74</v>
      </c>
      <c r="S3245" t="s">
        <v>74</v>
      </c>
      <c r="T3245" t="s">
        <v>74</v>
      </c>
      <c r="U3245" t="s">
        <v>53357</v>
      </c>
      <c r="V3245" t="s">
        <v>53358</v>
      </c>
      <c r="W3245" t="s">
        <v>53359</v>
      </c>
      <c r="X3245" t="s">
        <v>53360</v>
      </c>
      <c r="Y3245" t="s">
        <v>53361</v>
      </c>
      <c r="Z3245" t="s">
        <v>53362</v>
      </c>
      <c r="AA3245" t="s">
        <v>53363</v>
      </c>
      <c r="AB3245" t="s">
        <v>53364</v>
      </c>
      <c r="AC3245" t="s">
        <v>74</v>
      </c>
      <c r="AD3245" t="s">
        <v>74</v>
      </c>
      <c r="AE3245" t="s">
        <v>74</v>
      </c>
      <c r="AF3245" t="s">
        <v>74</v>
      </c>
      <c r="AG3245">
        <v>86</v>
      </c>
      <c r="AH3245">
        <v>40</v>
      </c>
      <c r="AI3245">
        <v>43</v>
      </c>
      <c r="AJ3245">
        <v>2</v>
      </c>
      <c r="AK3245">
        <v>76</v>
      </c>
      <c r="AL3245" t="s">
        <v>479</v>
      </c>
      <c r="AM3245" t="s">
        <v>480</v>
      </c>
      <c r="AN3245" t="s">
        <v>481</v>
      </c>
      <c r="AO3245" t="s">
        <v>53365</v>
      </c>
      <c r="AP3245" t="s">
        <v>53366</v>
      </c>
      <c r="AQ3245" t="s">
        <v>74</v>
      </c>
      <c r="AR3245" t="s">
        <v>53367</v>
      </c>
      <c r="AS3245" t="s">
        <v>53368</v>
      </c>
      <c r="AT3245" t="s">
        <v>891</v>
      </c>
      <c r="AU3245">
        <v>2019</v>
      </c>
      <c r="AV3245">
        <v>36</v>
      </c>
      <c r="AW3245">
        <v>6</v>
      </c>
      <c r="AX3245" t="s">
        <v>74</v>
      </c>
      <c r="AY3245" t="s">
        <v>74</v>
      </c>
      <c r="AZ3245" t="s">
        <v>74</v>
      </c>
      <c r="BA3245" t="s">
        <v>74</v>
      </c>
      <c r="BB3245">
        <v>744</v>
      </c>
      <c r="BC3245">
        <v>763</v>
      </c>
      <c r="BD3245" t="s">
        <v>74</v>
      </c>
      <c r="BE3245" t="s">
        <v>53369</v>
      </c>
      <c r="BF3245" t="str">
        <f>HYPERLINK("http://dx.doi.org/10.1111/jpim.12504","http://dx.doi.org/10.1111/jpim.12504")</f>
        <v>http://dx.doi.org/10.1111/jpim.12504</v>
      </c>
      <c r="BG3245" t="s">
        <v>74</v>
      </c>
      <c r="BH3245" t="s">
        <v>10482</v>
      </c>
      <c r="BI3245">
        <v>20</v>
      </c>
      <c r="BJ3245" t="s">
        <v>13649</v>
      </c>
      <c r="BK3245" t="s">
        <v>2623</v>
      </c>
      <c r="BL3245" t="s">
        <v>13650</v>
      </c>
      <c r="BM3245" t="s">
        <v>53370</v>
      </c>
      <c r="BN3245" t="s">
        <v>74</v>
      </c>
      <c r="BO3245" t="s">
        <v>1205</v>
      </c>
      <c r="BP3245" t="s">
        <v>74</v>
      </c>
      <c r="BQ3245" t="s">
        <v>74</v>
      </c>
      <c r="BR3245" t="s">
        <v>102</v>
      </c>
      <c r="BS3245" t="s">
        <v>53371</v>
      </c>
      <c r="BT3245" t="str">
        <f>HYPERLINK("https%3A%2F%2Fwww.webofscience.com%2Fwos%2Fwoscc%2Ffull-record%2FWOS:000484312400001","View Full Record in Web of Science")</f>
        <v>View Full Record in Web of Science</v>
      </c>
    </row>
    <row r="3246" spans="1:72" x14ac:dyDescent="0.25">
      <c r="A3246" t="s">
        <v>8303</v>
      </c>
      <c r="B3246" t="s">
        <v>53372</v>
      </c>
      <c r="C3246" t="s">
        <v>53372</v>
      </c>
      <c r="D3246" t="s">
        <v>74</v>
      </c>
      <c r="E3246" t="s">
        <v>74</v>
      </c>
      <c r="F3246" t="s">
        <v>53373</v>
      </c>
      <c r="G3246" t="s">
        <v>53372</v>
      </c>
      <c r="H3246" t="s">
        <v>74</v>
      </c>
      <c r="I3246" t="s">
        <v>53374</v>
      </c>
      <c r="J3246" t="s">
        <v>53375</v>
      </c>
      <c r="K3246" t="s">
        <v>16364</v>
      </c>
      <c r="L3246" t="s">
        <v>74</v>
      </c>
      <c r="M3246" t="s">
        <v>78</v>
      </c>
      <c r="N3246" t="s">
        <v>6023</v>
      </c>
      <c r="O3246" t="s">
        <v>74</v>
      </c>
      <c r="P3246" t="s">
        <v>74</v>
      </c>
      <c r="Q3246" t="s">
        <v>74</v>
      </c>
      <c r="R3246" t="s">
        <v>74</v>
      </c>
      <c r="S3246" t="s">
        <v>74</v>
      </c>
      <c r="T3246" t="s">
        <v>74</v>
      </c>
      <c r="U3246" t="s">
        <v>74</v>
      </c>
      <c r="V3246" t="s">
        <v>74</v>
      </c>
      <c r="W3246" t="s">
        <v>74</v>
      </c>
      <c r="X3246" t="s">
        <v>74</v>
      </c>
      <c r="Y3246" t="s">
        <v>74</v>
      </c>
      <c r="Z3246" t="s">
        <v>74</v>
      </c>
      <c r="AA3246" t="s">
        <v>74</v>
      </c>
      <c r="AB3246" t="s">
        <v>74</v>
      </c>
      <c r="AC3246" t="s">
        <v>74</v>
      </c>
      <c r="AD3246" t="s">
        <v>74</v>
      </c>
      <c r="AE3246" t="s">
        <v>74</v>
      </c>
      <c r="AF3246" t="s">
        <v>74</v>
      </c>
      <c r="AG3246">
        <v>15</v>
      </c>
      <c r="AH3246">
        <v>0</v>
      </c>
      <c r="AI3246">
        <v>0</v>
      </c>
      <c r="AJ3246">
        <v>0</v>
      </c>
      <c r="AK3246">
        <v>0</v>
      </c>
      <c r="AL3246" t="s">
        <v>16367</v>
      </c>
      <c r="AM3246" t="s">
        <v>2661</v>
      </c>
      <c r="AN3246" t="s">
        <v>16368</v>
      </c>
      <c r="AO3246" t="s">
        <v>74</v>
      </c>
      <c r="AP3246" t="s">
        <v>74</v>
      </c>
      <c r="AQ3246" t="s">
        <v>53376</v>
      </c>
      <c r="AR3246" t="s">
        <v>16370</v>
      </c>
      <c r="AS3246" t="s">
        <v>74</v>
      </c>
      <c r="AT3246" t="s">
        <v>74</v>
      </c>
      <c r="AU3246">
        <v>2012</v>
      </c>
      <c r="AV3246" t="s">
        <v>74</v>
      </c>
      <c r="AW3246" t="s">
        <v>74</v>
      </c>
      <c r="AX3246" t="s">
        <v>74</v>
      </c>
      <c r="AY3246" t="s">
        <v>74</v>
      </c>
      <c r="AZ3246" t="s">
        <v>74</v>
      </c>
      <c r="BA3246" t="s">
        <v>74</v>
      </c>
      <c r="BB3246">
        <v>17</v>
      </c>
      <c r="BC3246">
        <v>38</v>
      </c>
      <c r="BD3246" t="s">
        <v>74</v>
      </c>
      <c r="BE3246" t="s">
        <v>74</v>
      </c>
      <c r="BF3246" t="s">
        <v>74</v>
      </c>
      <c r="BG3246" t="s">
        <v>53377</v>
      </c>
      <c r="BH3246" t="s">
        <v>74</v>
      </c>
      <c r="BI3246">
        <v>22</v>
      </c>
      <c r="BJ3246" t="s">
        <v>1405</v>
      </c>
      <c r="BK3246" t="s">
        <v>8314</v>
      </c>
      <c r="BL3246" t="s">
        <v>1406</v>
      </c>
      <c r="BM3246" t="s">
        <v>53378</v>
      </c>
      <c r="BN3246" t="s">
        <v>74</v>
      </c>
      <c r="BO3246" t="s">
        <v>74</v>
      </c>
      <c r="BP3246" t="s">
        <v>74</v>
      </c>
      <c r="BQ3246" t="s">
        <v>74</v>
      </c>
      <c r="BR3246" t="s">
        <v>102</v>
      </c>
      <c r="BS3246" t="s">
        <v>53379</v>
      </c>
      <c r="BT3246" t="str">
        <f>HYPERLINK("https%3A%2F%2Fwww.webofscience.com%2Fwos%2Fwoscc%2Ffull-record%2FWOS:000323618800004","View Full Record in Web of Science")</f>
        <v>View Full Record in Web of Science</v>
      </c>
    </row>
    <row r="3247" spans="1:72" x14ac:dyDescent="0.25">
      <c r="A3247" t="s">
        <v>72</v>
      </c>
      <c r="B3247" t="s">
        <v>53380</v>
      </c>
      <c r="C3247" t="s">
        <v>74</v>
      </c>
      <c r="D3247" t="s">
        <v>74</v>
      </c>
      <c r="E3247" t="s">
        <v>74</v>
      </c>
      <c r="F3247" t="s">
        <v>53381</v>
      </c>
      <c r="G3247" t="s">
        <v>74</v>
      </c>
      <c r="H3247" t="s">
        <v>74</v>
      </c>
      <c r="I3247" t="s">
        <v>53382</v>
      </c>
      <c r="J3247" t="s">
        <v>53383</v>
      </c>
      <c r="K3247" t="s">
        <v>74</v>
      </c>
      <c r="L3247" t="s">
        <v>74</v>
      </c>
      <c r="M3247" t="s">
        <v>78</v>
      </c>
      <c r="N3247" t="s">
        <v>79</v>
      </c>
      <c r="O3247" t="s">
        <v>74</v>
      </c>
      <c r="P3247" t="s">
        <v>74</v>
      </c>
      <c r="Q3247" t="s">
        <v>74</v>
      </c>
      <c r="R3247" t="s">
        <v>74</v>
      </c>
      <c r="S3247" t="s">
        <v>74</v>
      </c>
      <c r="T3247" t="s">
        <v>53384</v>
      </c>
      <c r="U3247" t="s">
        <v>53385</v>
      </c>
      <c r="V3247" t="s">
        <v>53386</v>
      </c>
      <c r="W3247" t="s">
        <v>53387</v>
      </c>
      <c r="X3247" t="s">
        <v>53388</v>
      </c>
      <c r="Y3247" t="s">
        <v>53389</v>
      </c>
      <c r="Z3247" t="s">
        <v>53390</v>
      </c>
      <c r="AA3247" t="s">
        <v>53391</v>
      </c>
      <c r="AB3247" t="s">
        <v>53392</v>
      </c>
      <c r="AC3247" t="s">
        <v>74</v>
      </c>
      <c r="AD3247" t="s">
        <v>74</v>
      </c>
      <c r="AE3247" t="s">
        <v>74</v>
      </c>
      <c r="AF3247" t="s">
        <v>74</v>
      </c>
      <c r="AG3247">
        <v>54</v>
      </c>
      <c r="AH3247">
        <v>32</v>
      </c>
      <c r="AI3247">
        <v>39</v>
      </c>
      <c r="AJ3247">
        <v>4</v>
      </c>
      <c r="AK3247">
        <v>84</v>
      </c>
      <c r="AL3247" t="s">
        <v>89</v>
      </c>
      <c r="AM3247" t="s">
        <v>90</v>
      </c>
      <c r="AN3247" t="s">
        <v>91</v>
      </c>
      <c r="AO3247" t="s">
        <v>53393</v>
      </c>
      <c r="AP3247" t="s">
        <v>53394</v>
      </c>
      <c r="AQ3247" t="s">
        <v>74</v>
      </c>
      <c r="AR3247" t="s">
        <v>53395</v>
      </c>
      <c r="AS3247" t="s">
        <v>53396</v>
      </c>
      <c r="AT3247" t="s">
        <v>48872</v>
      </c>
      <c r="AU3247">
        <v>2020</v>
      </c>
      <c r="AV3247">
        <v>37</v>
      </c>
      <c r="AW3247">
        <v>2</v>
      </c>
      <c r="AX3247" t="s">
        <v>74</v>
      </c>
      <c r="AY3247" t="s">
        <v>74</v>
      </c>
      <c r="AZ3247" t="s">
        <v>74</v>
      </c>
      <c r="BA3247" t="s">
        <v>74</v>
      </c>
      <c r="BB3247">
        <v>299</v>
      </c>
      <c r="BC3247">
        <v>317</v>
      </c>
      <c r="BD3247" t="s">
        <v>74</v>
      </c>
      <c r="BE3247" t="s">
        <v>53397</v>
      </c>
      <c r="BF3247" t="str">
        <f>HYPERLINK("http://dx.doi.org/10.1108/IMR-05-2019-0130","http://dx.doi.org/10.1108/IMR-05-2019-0130")</f>
        <v>http://dx.doi.org/10.1108/IMR-05-2019-0130</v>
      </c>
      <c r="BG3247" t="s">
        <v>74</v>
      </c>
      <c r="BH3247" t="s">
        <v>7249</v>
      </c>
      <c r="BI3247">
        <v>19</v>
      </c>
      <c r="BJ3247" t="s">
        <v>418</v>
      </c>
      <c r="BK3247" t="s">
        <v>99</v>
      </c>
      <c r="BL3247" t="s">
        <v>100</v>
      </c>
      <c r="BM3247" t="s">
        <v>53398</v>
      </c>
      <c r="BN3247" t="s">
        <v>74</v>
      </c>
      <c r="BO3247" t="s">
        <v>74</v>
      </c>
      <c r="BP3247" t="s">
        <v>74</v>
      </c>
      <c r="BQ3247" t="s">
        <v>74</v>
      </c>
      <c r="BR3247" t="s">
        <v>102</v>
      </c>
      <c r="BS3247" t="s">
        <v>53399</v>
      </c>
      <c r="BT3247" t="str">
        <f>HYPERLINK("https%3A%2F%2Fwww.webofscience.com%2Fwos%2Fwoscc%2Ffull-record%2FWOS:000528232400001","View Full Record in Web of Science")</f>
        <v>View Full Record in Web of Science</v>
      </c>
    </row>
    <row r="3248" spans="1:72" x14ac:dyDescent="0.25">
      <c r="A3248" t="s">
        <v>72</v>
      </c>
      <c r="B3248" t="s">
        <v>53400</v>
      </c>
      <c r="C3248" t="s">
        <v>74</v>
      </c>
      <c r="D3248" t="s">
        <v>74</v>
      </c>
      <c r="E3248" t="s">
        <v>74</v>
      </c>
      <c r="F3248" t="s">
        <v>53401</v>
      </c>
      <c r="G3248" t="s">
        <v>74</v>
      </c>
      <c r="H3248" t="s">
        <v>74</v>
      </c>
      <c r="I3248" t="s">
        <v>53402</v>
      </c>
      <c r="J3248" t="s">
        <v>22769</v>
      </c>
      <c r="K3248" t="s">
        <v>74</v>
      </c>
      <c r="L3248" t="s">
        <v>74</v>
      </c>
      <c r="M3248" t="s">
        <v>78</v>
      </c>
      <c r="N3248" t="s">
        <v>79</v>
      </c>
      <c r="O3248" t="s">
        <v>74</v>
      </c>
      <c r="P3248" t="s">
        <v>74</v>
      </c>
      <c r="Q3248" t="s">
        <v>74</v>
      </c>
      <c r="R3248" t="s">
        <v>74</v>
      </c>
      <c r="S3248" t="s">
        <v>74</v>
      </c>
      <c r="T3248" t="s">
        <v>53403</v>
      </c>
      <c r="U3248" t="s">
        <v>53404</v>
      </c>
      <c r="V3248" t="s">
        <v>53405</v>
      </c>
      <c r="W3248" t="s">
        <v>53406</v>
      </c>
      <c r="X3248" t="s">
        <v>53407</v>
      </c>
      <c r="Y3248" t="s">
        <v>53408</v>
      </c>
      <c r="Z3248" t="s">
        <v>53409</v>
      </c>
      <c r="AA3248" t="s">
        <v>53410</v>
      </c>
      <c r="AB3248" t="s">
        <v>74</v>
      </c>
      <c r="AC3248" t="s">
        <v>74</v>
      </c>
      <c r="AD3248" t="s">
        <v>74</v>
      </c>
      <c r="AE3248" t="s">
        <v>74</v>
      </c>
      <c r="AF3248" t="s">
        <v>74</v>
      </c>
      <c r="AG3248">
        <v>62</v>
      </c>
      <c r="AH3248">
        <v>0</v>
      </c>
      <c r="AI3248">
        <v>1</v>
      </c>
      <c r="AJ3248">
        <v>0</v>
      </c>
      <c r="AK3248">
        <v>5</v>
      </c>
      <c r="AL3248" t="s">
        <v>23556</v>
      </c>
      <c r="AM3248" t="s">
        <v>23555</v>
      </c>
      <c r="AN3248" t="s">
        <v>23554</v>
      </c>
      <c r="AO3248" t="s">
        <v>22760</v>
      </c>
      <c r="AP3248" t="s">
        <v>52534</v>
      </c>
      <c r="AQ3248" t="s">
        <v>74</v>
      </c>
      <c r="AR3248" t="s">
        <v>22759</v>
      </c>
      <c r="AS3248" t="s">
        <v>22758</v>
      </c>
      <c r="AT3248" t="s">
        <v>11087</v>
      </c>
      <c r="AU3248">
        <v>2024</v>
      </c>
      <c r="AV3248">
        <v>27</v>
      </c>
      <c r="AW3248">
        <v>1</v>
      </c>
      <c r="AX3248" t="s">
        <v>74</v>
      </c>
      <c r="AY3248" t="s">
        <v>74</v>
      </c>
      <c r="AZ3248" t="s">
        <v>74</v>
      </c>
      <c r="BA3248" t="s">
        <v>74</v>
      </c>
      <c r="BB3248" t="s">
        <v>74</v>
      </c>
      <c r="BC3248" t="s">
        <v>74</v>
      </c>
      <c r="BD3248" t="s">
        <v>53411</v>
      </c>
      <c r="BE3248" t="s">
        <v>53412</v>
      </c>
      <c r="BF3248" t="str">
        <f>HYPERLINK("http://dx.doi.org/10.4102/sajems.v27i1.5133","http://dx.doi.org/10.4102/sajems.v27i1.5133")</f>
        <v>http://dx.doi.org/10.4102/sajems.v27i1.5133</v>
      </c>
      <c r="BG3248" t="s">
        <v>74</v>
      </c>
      <c r="BH3248" t="s">
        <v>74</v>
      </c>
      <c r="BI3248">
        <v>11</v>
      </c>
      <c r="BJ3248" t="s">
        <v>5519</v>
      </c>
      <c r="BK3248" t="s">
        <v>99</v>
      </c>
      <c r="BL3248" t="s">
        <v>100</v>
      </c>
      <c r="BM3248" t="s">
        <v>53413</v>
      </c>
      <c r="BN3248" t="s">
        <v>74</v>
      </c>
      <c r="BO3248" t="s">
        <v>916</v>
      </c>
      <c r="BP3248" t="s">
        <v>74</v>
      </c>
      <c r="BQ3248" t="s">
        <v>74</v>
      </c>
      <c r="BR3248" t="s">
        <v>102</v>
      </c>
      <c r="BS3248" t="s">
        <v>53414</v>
      </c>
      <c r="BT3248" t="str">
        <f>HYPERLINK("https%3A%2F%2Fwww.webofscience.com%2Fwos%2Fwoscc%2Ffull-record%2FWOS:001157638000001","View Full Record in Web of Science")</f>
        <v>View Full Record in Web of Science</v>
      </c>
    </row>
    <row r="3249" spans="1:72" x14ac:dyDescent="0.25">
      <c r="A3249" t="s">
        <v>72</v>
      </c>
      <c r="B3249" t="s">
        <v>53415</v>
      </c>
      <c r="C3249" t="s">
        <v>74</v>
      </c>
      <c r="D3249" t="s">
        <v>74</v>
      </c>
      <c r="E3249" t="s">
        <v>74</v>
      </c>
      <c r="F3249" t="s">
        <v>53416</v>
      </c>
      <c r="G3249" t="s">
        <v>74</v>
      </c>
      <c r="H3249" t="s">
        <v>74</v>
      </c>
      <c r="I3249" t="s">
        <v>53417</v>
      </c>
      <c r="J3249" t="s">
        <v>3231</v>
      </c>
      <c r="K3249" t="s">
        <v>74</v>
      </c>
      <c r="L3249" t="s">
        <v>74</v>
      </c>
      <c r="M3249" t="s">
        <v>78</v>
      </c>
      <c r="N3249" t="s">
        <v>79</v>
      </c>
      <c r="O3249" t="s">
        <v>74</v>
      </c>
      <c r="P3249" t="s">
        <v>74</v>
      </c>
      <c r="Q3249" t="s">
        <v>74</v>
      </c>
      <c r="R3249" t="s">
        <v>74</v>
      </c>
      <c r="S3249" t="s">
        <v>74</v>
      </c>
      <c r="T3249" t="s">
        <v>53418</v>
      </c>
      <c r="U3249" t="s">
        <v>53419</v>
      </c>
      <c r="V3249" t="s">
        <v>53420</v>
      </c>
      <c r="W3249" t="s">
        <v>53421</v>
      </c>
      <c r="X3249" t="s">
        <v>53422</v>
      </c>
      <c r="Y3249" t="s">
        <v>53423</v>
      </c>
      <c r="Z3249" t="s">
        <v>53424</v>
      </c>
      <c r="AA3249" t="s">
        <v>53425</v>
      </c>
      <c r="AB3249" t="s">
        <v>53426</v>
      </c>
      <c r="AC3249" t="s">
        <v>53427</v>
      </c>
      <c r="AD3249" t="s">
        <v>53428</v>
      </c>
      <c r="AE3249" t="s">
        <v>53429</v>
      </c>
      <c r="AF3249" t="s">
        <v>74</v>
      </c>
      <c r="AG3249">
        <v>83</v>
      </c>
      <c r="AH3249">
        <v>84</v>
      </c>
      <c r="AI3249">
        <v>117</v>
      </c>
      <c r="AJ3249">
        <v>7</v>
      </c>
      <c r="AK3249">
        <v>102</v>
      </c>
      <c r="AL3249" t="s">
        <v>575</v>
      </c>
      <c r="AM3249" t="s">
        <v>576</v>
      </c>
      <c r="AN3249" t="s">
        <v>577</v>
      </c>
      <c r="AO3249" t="s">
        <v>74</v>
      </c>
      <c r="AP3249" t="s">
        <v>3243</v>
      </c>
      <c r="AQ3249" t="s">
        <v>74</v>
      </c>
      <c r="AR3249" t="s">
        <v>3244</v>
      </c>
      <c r="AS3249" t="s">
        <v>3245</v>
      </c>
      <c r="AT3249" t="s">
        <v>124</v>
      </c>
      <c r="AU3249">
        <v>2020</v>
      </c>
      <c r="AV3249">
        <v>12</v>
      </c>
      <c r="AW3249">
        <v>24</v>
      </c>
      <c r="AX3249" t="s">
        <v>74</v>
      </c>
      <c r="AY3249" t="s">
        <v>74</v>
      </c>
      <c r="AZ3249" t="s">
        <v>74</v>
      </c>
      <c r="BA3249" t="s">
        <v>74</v>
      </c>
      <c r="BB3249" t="s">
        <v>74</v>
      </c>
      <c r="BC3249" t="s">
        <v>74</v>
      </c>
      <c r="BD3249">
        <v>10316</v>
      </c>
      <c r="BE3249" t="s">
        <v>53430</v>
      </c>
      <c r="BF3249" t="str">
        <f>HYPERLINK("http://dx.doi.org/10.3390/su122410316","http://dx.doi.org/10.3390/su122410316")</f>
        <v>http://dx.doi.org/10.3390/su122410316</v>
      </c>
      <c r="BG3249" t="s">
        <v>74</v>
      </c>
      <c r="BH3249" t="s">
        <v>74</v>
      </c>
      <c r="BI3249">
        <v>24</v>
      </c>
      <c r="BJ3249" t="s">
        <v>3247</v>
      </c>
      <c r="BK3249" t="s">
        <v>2623</v>
      </c>
      <c r="BL3249" t="s">
        <v>3248</v>
      </c>
      <c r="BM3249" t="s">
        <v>53431</v>
      </c>
      <c r="BN3249" t="s">
        <v>74</v>
      </c>
      <c r="BO3249" t="s">
        <v>916</v>
      </c>
      <c r="BP3249" t="s">
        <v>74</v>
      </c>
      <c r="BQ3249" t="s">
        <v>74</v>
      </c>
      <c r="BR3249" t="s">
        <v>102</v>
      </c>
      <c r="BS3249" t="s">
        <v>53432</v>
      </c>
      <c r="BT3249" t="str">
        <f>HYPERLINK("https%3A%2F%2Fwww.webofscience.com%2Fwos%2Fwoscc%2Ffull-record%2FWOS:000603221000001","View Full Record in Web of Science")</f>
        <v>View Full Record in Web of Science</v>
      </c>
    </row>
    <row r="3250" spans="1:72" x14ac:dyDescent="0.25">
      <c r="A3250" t="s">
        <v>72</v>
      </c>
      <c r="B3250" t="s">
        <v>53433</v>
      </c>
      <c r="C3250" t="s">
        <v>74</v>
      </c>
      <c r="D3250" t="s">
        <v>74</v>
      </c>
      <c r="E3250" t="s">
        <v>74</v>
      </c>
      <c r="F3250" t="s">
        <v>53434</v>
      </c>
      <c r="G3250" t="s">
        <v>74</v>
      </c>
      <c r="H3250" t="s">
        <v>74</v>
      </c>
      <c r="I3250" t="s">
        <v>53435</v>
      </c>
      <c r="J3250" t="s">
        <v>23346</v>
      </c>
      <c r="K3250" t="s">
        <v>74</v>
      </c>
      <c r="L3250" t="s">
        <v>74</v>
      </c>
      <c r="M3250" t="s">
        <v>78</v>
      </c>
      <c r="N3250" t="s">
        <v>79</v>
      </c>
      <c r="O3250" t="s">
        <v>74</v>
      </c>
      <c r="P3250" t="s">
        <v>74</v>
      </c>
      <c r="Q3250" t="s">
        <v>74</v>
      </c>
      <c r="R3250" t="s">
        <v>74</v>
      </c>
      <c r="S3250" t="s">
        <v>74</v>
      </c>
      <c r="T3250" t="s">
        <v>53436</v>
      </c>
      <c r="U3250" t="s">
        <v>53437</v>
      </c>
      <c r="V3250" t="s">
        <v>53438</v>
      </c>
      <c r="W3250" t="s">
        <v>53439</v>
      </c>
      <c r="X3250" t="s">
        <v>53440</v>
      </c>
      <c r="Y3250" t="s">
        <v>53441</v>
      </c>
      <c r="Z3250" t="s">
        <v>53442</v>
      </c>
      <c r="AA3250" t="s">
        <v>53443</v>
      </c>
      <c r="AB3250" t="s">
        <v>53444</v>
      </c>
      <c r="AC3250" t="s">
        <v>74</v>
      </c>
      <c r="AD3250" t="s">
        <v>74</v>
      </c>
      <c r="AE3250" t="s">
        <v>74</v>
      </c>
      <c r="AF3250" t="s">
        <v>74</v>
      </c>
      <c r="AG3250">
        <v>87</v>
      </c>
      <c r="AH3250">
        <v>73</v>
      </c>
      <c r="AI3250">
        <v>102</v>
      </c>
      <c r="AJ3250">
        <v>1</v>
      </c>
      <c r="AK3250">
        <v>53</v>
      </c>
      <c r="AL3250" t="s">
        <v>89</v>
      </c>
      <c r="AM3250" t="s">
        <v>1497</v>
      </c>
      <c r="AN3250" t="s">
        <v>1498</v>
      </c>
      <c r="AO3250" t="s">
        <v>23340</v>
      </c>
      <c r="AP3250" t="s">
        <v>23339</v>
      </c>
      <c r="AQ3250" t="s">
        <v>74</v>
      </c>
      <c r="AR3250" t="s">
        <v>23338</v>
      </c>
      <c r="AS3250" t="s">
        <v>23337</v>
      </c>
      <c r="AT3250" t="s">
        <v>7590</v>
      </c>
      <c r="AU3250">
        <v>2019</v>
      </c>
      <c r="AV3250">
        <v>15</v>
      </c>
      <c r="AW3250">
        <v>5</v>
      </c>
      <c r="AX3250" t="s">
        <v>74</v>
      </c>
      <c r="AY3250" t="s">
        <v>74</v>
      </c>
      <c r="AZ3250" t="s">
        <v>74</v>
      </c>
      <c r="BA3250" t="s">
        <v>74</v>
      </c>
      <c r="BB3250">
        <v>689</v>
      </c>
      <c r="BC3250">
        <v>709</v>
      </c>
      <c r="BD3250" t="s">
        <v>74</v>
      </c>
      <c r="BE3250" t="s">
        <v>53445</v>
      </c>
      <c r="BF3250" t="str">
        <f>HYPERLINK("http://dx.doi.org/10.1108/SRJ-07-2018-0162","http://dx.doi.org/10.1108/SRJ-07-2018-0162")</f>
        <v>http://dx.doi.org/10.1108/SRJ-07-2018-0162</v>
      </c>
      <c r="BG3250" t="s">
        <v>74</v>
      </c>
      <c r="BH3250" t="s">
        <v>74</v>
      </c>
      <c r="BI3250">
        <v>21</v>
      </c>
      <c r="BJ3250" t="s">
        <v>583</v>
      </c>
      <c r="BK3250" t="s">
        <v>313</v>
      </c>
      <c r="BL3250" t="s">
        <v>100</v>
      </c>
      <c r="BM3250" t="s">
        <v>53446</v>
      </c>
      <c r="BN3250" t="s">
        <v>74</v>
      </c>
      <c r="BO3250" t="s">
        <v>74</v>
      </c>
      <c r="BP3250" t="s">
        <v>74</v>
      </c>
      <c r="BQ3250" t="s">
        <v>74</v>
      </c>
      <c r="BR3250" t="s">
        <v>102</v>
      </c>
      <c r="BS3250" t="s">
        <v>53447</v>
      </c>
      <c r="BT3250" t="str">
        <f>HYPERLINK("https%3A%2F%2Fwww.webofscience.com%2Fwos%2Fwoscc%2Ffull-record%2FWOS:000479243800007","View Full Record in Web of Science")</f>
        <v>View Full Record in Web of Science</v>
      </c>
    </row>
    <row r="3251" spans="1:72" x14ac:dyDescent="0.25">
      <c r="A3251" t="s">
        <v>72</v>
      </c>
      <c r="B3251" t="s">
        <v>53448</v>
      </c>
      <c r="C3251" t="s">
        <v>74</v>
      </c>
      <c r="D3251" t="s">
        <v>74</v>
      </c>
      <c r="E3251" t="s">
        <v>74</v>
      </c>
      <c r="F3251" t="s">
        <v>53449</v>
      </c>
      <c r="G3251" t="s">
        <v>74</v>
      </c>
      <c r="H3251" t="s">
        <v>74</v>
      </c>
      <c r="I3251" t="s">
        <v>53450</v>
      </c>
      <c r="J3251" t="s">
        <v>7298</v>
      </c>
      <c r="K3251" t="s">
        <v>74</v>
      </c>
      <c r="L3251" t="s">
        <v>74</v>
      </c>
      <c r="M3251" t="s">
        <v>78</v>
      </c>
      <c r="N3251" t="s">
        <v>79</v>
      </c>
      <c r="O3251" t="s">
        <v>74</v>
      </c>
      <c r="P3251" t="s">
        <v>74</v>
      </c>
      <c r="Q3251" t="s">
        <v>74</v>
      </c>
      <c r="R3251" t="s">
        <v>74</v>
      </c>
      <c r="S3251" t="s">
        <v>74</v>
      </c>
      <c r="T3251" t="s">
        <v>53451</v>
      </c>
      <c r="U3251" t="s">
        <v>53452</v>
      </c>
      <c r="V3251" t="s">
        <v>53453</v>
      </c>
      <c r="W3251" t="s">
        <v>53454</v>
      </c>
      <c r="X3251" t="s">
        <v>53455</v>
      </c>
      <c r="Y3251" t="s">
        <v>53456</v>
      </c>
      <c r="Z3251" t="s">
        <v>53457</v>
      </c>
      <c r="AA3251" t="s">
        <v>53458</v>
      </c>
      <c r="AB3251" t="s">
        <v>74</v>
      </c>
      <c r="AC3251" t="s">
        <v>74</v>
      </c>
      <c r="AD3251" t="s">
        <v>74</v>
      </c>
      <c r="AE3251" t="s">
        <v>74</v>
      </c>
      <c r="AF3251" t="s">
        <v>74</v>
      </c>
      <c r="AG3251">
        <v>49</v>
      </c>
      <c r="AH3251">
        <v>4</v>
      </c>
      <c r="AI3251">
        <v>5</v>
      </c>
      <c r="AJ3251">
        <v>2</v>
      </c>
      <c r="AK3251">
        <v>34</v>
      </c>
      <c r="AL3251" t="s">
        <v>479</v>
      </c>
      <c r="AM3251" t="s">
        <v>480</v>
      </c>
      <c r="AN3251" t="s">
        <v>481</v>
      </c>
      <c r="AO3251" t="s">
        <v>7308</v>
      </c>
      <c r="AP3251" t="s">
        <v>7309</v>
      </c>
      <c r="AQ3251" t="s">
        <v>74</v>
      </c>
      <c r="AR3251" t="s">
        <v>7310</v>
      </c>
      <c r="AS3251" t="s">
        <v>7311</v>
      </c>
      <c r="AT3251" t="s">
        <v>605</v>
      </c>
      <c r="AU3251">
        <v>2019</v>
      </c>
      <c r="AV3251">
        <v>90</v>
      </c>
      <c r="AW3251">
        <v>1</v>
      </c>
      <c r="AX3251" t="s">
        <v>74</v>
      </c>
      <c r="AY3251" t="s">
        <v>74</v>
      </c>
      <c r="AZ3251" t="s">
        <v>74</v>
      </c>
      <c r="BA3251" t="s">
        <v>74</v>
      </c>
      <c r="BB3251">
        <v>187</v>
      </c>
      <c r="BC3251">
        <v>215</v>
      </c>
      <c r="BD3251" t="s">
        <v>74</v>
      </c>
      <c r="BE3251" t="s">
        <v>53459</v>
      </c>
      <c r="BF3251" t="str">
        <f>HYPERLINK("http://dx.doi.org/10.1111/apce.12212","http://dx.doi.org/10.1111/apce.12212")</f>
        <v>http://dx.doi.org/10.1111/apce.12212</v>
      </c>
      <c r="BG3251" t="s">
        <v>74</v>
      </c>
      <c r="BH3251" t="s">
        <v>74</v>
      </c>
      <c r="BI3251">
        <v>29</v>
      </c>
      <c r="BJ3251" t="s">
        <v>291</v>
      </c>
      <c r="BK3251" t="s">
        <v>99</v>
      </c>
      <c r="BL3251" t="s">
        <v>100</v>
      </c>
      <c r="BM3251" t="s">
        <v>53460</v>
      </c>
      <c r="BN3251" t="s">
        <v>74</v>
      </c>
      <c r="BO3251" t="s">
        <v>1696</v>
      </c>
      <c r="BP3251" t="s">
        <v>74</v>
      </c>
      <c r="BQ3251" t="s">
        <v>74</v>
      </c>
      <c r="BR3251" t="s">
        <v>102</v>
      </c>
      <c r="BS3251" t="s">
        <v>53461</v>
      </c>
      <c r="BT3251" t="str">
        <f>HYPERLINK("https%3A%2F%2Fwww.webofscience.com%2Fwos%2Fwoscc%2Ffull-record%2FWOS:000457613600008","View Full Record in Web of Science")</f>
        <v>View Full Record in Web of Science</v>
      </c>
    </row>
    <row r="3252" spans="1:72" x14ac:dyDescent="0.25">
      <c r="A3252" t="s">
        <v>132</v>
      </c>
      <c r="B3252" t="s">
        <v>53462</v>
      </c>
      <c r="C3252" t="s">
        <v>74</v>
      </c>
      <c r="D3252" t="s">
        <v>53463</v>
      </c>
      <c r="E3252" t="s">
        <v>74</v>
      </c>
      <c r="F3252" t="s">
        <v>53464</v>
      </c>
      <c r="G3252" t="s">
        <v>74</v>
      </c>
      <c r="H3252" t="s">
        <v>74</v>
      </c>
      <c r="I3252" t="s">
        <v>53465</v>
      </c>
      <c r="J3252" t="s">
        <v>53466</v>
      </c>
      <c r="K3252" t="s">
        <v>74</v>
      </c>
      <c r="L3252" t="s">
        <v>74</v>
      </c>
      <c r="M3252" t="s">
        <v>78</v>
      </c>
      <c r="N3252" t="s">
        <v>138</v>
      </c>
      <c r="O3252" t="s">
        <v>10615</v>
      </c>
      <c r="P3252" t="s">
        <v>53467</v>
      </c>
      <c r="Q3252" t="s">
        <v>1550</v>
      </c>
      <c r="R3252" t="s">
        <v>53468</v>
      </c>
      <c r="S3252" t="s">
        <v>74</v>
      </c>
      <c r="T3252" t="s">
        <v>53469</v>
      </c>
      <c r="U3252" t="s">
        <v>74</v>
      </c>
      <c r="V3252" t="s">
        <v>53470</v>
      </c>
      <c r="W3252" t="s">
        <v>53471</v>
      </c>
      <c r="X3252" t="s">
        <v>53472</v>
      </c>
      <c r="Y3252" t="s">
        <v>53473</v>
      </c>
      <c r="Z3252" t="s">
        <v>53474</v>
      </c>
      <c r="AA3252" t="s">
        <v>53475</v>
      </c>
      <c r="AB3252" t="s">
        <v>53476</v>
      </c>
      <c r="AC3252" t="s">
        <v>74</v>
      </c>
      <c r="AD3252" t="s">
        <v>74</v>
      </c>
      <c r="AE3252" t="s">
        <v>74</v>
      </c>
      <c r="AF3252" t="s">
        <v>74</v>
      </c>
      <c r="AG3252">
        <v>20</v>
      </c>
      <c r="AH3252">
        <v>2</v>
      </c>
      <c r="AI3252">
        <v>2</v>
      </c>
      <c r="AJ3252">
        <v>0</v>
      </c>
      <c r="AK3252">
        <v>1</v>
      </c>
      <c r="AL3252" t="s">
        <v>771</v>
      </c>
      <c r="AM3252" t="s">
        <v>151</v>
      </c>
      <c r="AN3252" t="s">
        <v>785</v>
      </c>
      <c r="AO3252" t="s">
        <v>74</v>
      </c>
      <c r="AP3252" t="s">
        <v>74</v>
      </c>
      <c r="AQ3252" t="s">
        <v>53477</v>
      </c>
      <c r="AR3252" t="s">
        <v>74</v>
      </c>
      <c r="AS3252" t="s">
        <v>74</v>
      </c>
      <c r="AT3252" t="s">
        <v>74</v>
      </c>
      <c r="AU3252">
        <v>2020</v>
      </c>
      <c r="AV3252" t="s">
        <v>74</v>
      </c>
      <c r="AW3252" t="s">
        <v>74</v>
      </c>
      <c r="AX3252" t="s">
        <v>74</v>
      </c>
      <c r="AY3252" t="s">
        <v>74</v>
      </c>
      <c r="AZ3252" t="s">
        <v>74</v>
      </c>
      <c r="BA3252" t="s">
        <v>74</v>
      </c>
      <c r="BB3252" t="s">
        <v>74</v>
      </c>
      <c r="BC3252" t="s">
        <v>74</v>
      </c>
      <c r="BD3252" t="s">
        <v>74</v>
      </c>
      <c r="BE3252" t="s">
        <v>74</v>
      </c>
      <c r="BF3252" t="s">
        <v>74</v>
      </c>
      <c r="BG3252" t="s">
        <v>74</v>
      </c>
      <c r="BH3252" t="s">
        <v>74</v>
      </c>
      <c r="BI3252">
        <v>11</v>
      </c>
      <c r="BJ3252" t="s">
        <v>1803</v>
      </c>
      <c r="BK3252" t="s">
        <v>156</v>
      </c>
      <c r="BL3252" t="s">
        <v>157</v>
      </c>
      <c r="BM3252" t="s">
        <v>53478</v>
      </c>
      <c r="BN3252" t="s">
        <v>74</v>
      </c>
      <c r="BO3252" t="s">
        <v>74</v>
      </c>
      <c r="BP3252" t="s">
        <v>74</v>
      </c>
      <c r="BQ3252" t="s">
        <v>74</v>
      </c>
      <c r="BR3252" t="s">
        <v>102</v>
      </c>
      <c r="BS3252" t="s">
        <v>53479</v>
      </c>
      <c r="BT3252" t="str">
        <f>HYPERLINK("https%3A%2F%2Fwww.webofscience.com%2Fwos%2Fwoscc%2Ffull-record%2FWOS:000618861200058","View Full Record in Web of Science")</f>
        <v>View Full Record in Web of Science</v>
      </c>
    </row>
    <row r="3253" spans="1:72" x14ac:dyDescent="0.25">
      <c r="A3253" t="s">
        <v>72</v>
      </c>
      <c r="B3253" t="s">
        <v>53480</v>
      </c>
      <c r="C3253" t="s">
        <v>74</v>
      </c>
      <c r="D3253" t="s">
        <v>74</v>
      </c>
      <c r="E3253" t="s">
        <v>74</v>
      </c>
      <c r="F3253" t="s">
        <v>53481</v>
      </c>
      <c r="G3253" t="s">
        <v>74</v>
      </c>
      <c r="H3253" t="s">
        <v>74</v>
      </c>
      <c r="I3253" t="s">
        <v>53482</v>
      </c>
      <c r="J3253" t="s">
        <v>51594</v>
      </c>
      <c r="K3253" t="s">
        <v>74</v>
      </c>
      <c r="L3253" t="s">
        <v>74</v>
      </c>
      <c r="M3253" t="s">
        <v>78</v>
      </c>
      <c r="N3253" t="s">
        <v>372</v>
      </c>
      <c r="O3253" t="s">
        <v>74</v>
      </c>
      <c r="P3253" t="s">
        <v>74</v>
      </c>
      <c r="Q3253" t="s">
        <v>74</v>
      </c>
      <c r="R3253" t="s">
        <v>74</v>
      </c>
      <c r="S3253" t="s">
        <v>74</v>
      </c>
      <c r="T3253" t="s">
        <v>53483</v>
      </c>
      <c r="U3253" t="s">
        <v>53484</v>
      </c>
      <c r="V3253" t="s">
        <v>53485</v>
      </c>
      <c r="W3253" t="s">
        <v>53486</v>
      </c>
      <c r="X3253" t="s">
        <v>53487</v>
      </c>
      <c r="Y3253" t="s">
        <v>53488</v>
      </c>
      <c r="Z3253" t="s">
        <v>53489</v>
      </c>
      <c r="AA3253" t="s">
        <v>74</v>
      </c>
      <c r="AB3253" t="s">
        <v>74</v>
      </c>
      <c r="AC3253" t="s">
        <v>53490</v>
      </c>
      <c r="AD3253" t="s">
        <v>53490</v>
      </c>
      <c r="AE3253" t="s">
        <v>53491</v>
      </c>
      <c r="AF3253" t="s">
        <v>74</v>
      </c>
      <c r="AG3253">
        <v>54</v>
      </c>
      <c r="AH3253">
        <v>0</v>
      </c>
      <c r="AI3253">
        <v>0</v>
      </c>
      <c r="AJ3253">
        <v>1</v>
      </c>
      <c r="AK3253">
        <v>1</v>
      </c>
      <c r="AL3253" t="s">
        <v>385</v>
      </c>
      <c r="AM3253" t="s">
        <v>1153</v>
      </c>
      <c r="AN3253" t="s">
        <v>1154</v>
      </c>
      <c r="AO3253" t="s">
        <v>51602</v>
      </c>
      <c r="AP3253" t="s">
        <v>51603</v>
      </c>
      <c r="AQ3253" t="s">
        <v>74</v>
      </c>
      <c r="AR3253" t="s">
        <v>51604</v>
      </c>
      <c r="AS3253" t="s">
        <v>51605</v>
      </c>
      <c r="AT3253" t="s">
        <v>29141</v>
      </c>
      <c r="AU3253">
        <v>2025</v>
      </c>
      <c r="AV3253" t="s">
        <v>74</v>
      </c>
      <c r="AW3253" t="s">
        <v>74</v>
      </c>
      <c r="AX3253" t="s">
        <v>74</v>
      </c>
      <c r="AY3253" t="s">
        <v>74</v>
      </c>
      <c r="AZ3253" t="s">
        <v>74</v>
      </c>
      <c r="BA3253" t="s">
        <v>74</v>
      </c>
      <c r="BB3253" t="s">
        <v>74</v>
      </c>
      <c r="BC3253" t="s">
        <v>74</v>
      </c>
      <c r="BD3253" t="s">
        <v>74</v>
      </c>
      <c r="BE3253" t="s">
        <v>53492</v>
      </c>
      <c r="BF3253" t="str">
        <f>HYPERLINK("http://dx.doi.org/10.1007/s10614-025-11167-w","http://dx.doi.org/10.1007/s10614-025-11167-w")</f>
        <v>http://dx.doi.org/10.1007/s10614-025-11167-w</v>
      </c>
      <c r="BG3253" t="s">
        <v>74</v>
      </c>
      <c r="BH3253" t="s">
        <v>2044</v>
      </c>
      <c r="BI3253">
        <v>30</v>
      </c>
      <c r="BJ3253" t="s">
        <v>51608</v>
      </c>
      <c r="BK3253" t="s">
        <v>2623</v>
      </c>
      <c r="BL3253" t="s">
        <v>51609</v>
      </c>
      <c r="BM3253" t="s">
        <v>53493</v>
      </c>
      <c r="BN3253" t="s">
        <v>74</v>
      </c>
      <c r="BO3253" t="s">
        <v>74</v>
      </c>
      <c r="BP3253" t="s">
        <v>74</v>
      </c>
      <c r="BQ3253" t="s">
        <v>74</v>
      </c>
      <c r="BR3253" t="s">
        <v>102</v>
      </c>
      <c r="BS3253" t="s">
        <v>53494</v>
      </c>
      <c r="BT3253" t="str">
        <f>HYPERLINK("https%3A%2F%2Fwww.webofscience.com%2Fwos%2Fwoscc%2Ffull-record%2FWOS:001613210100001","View Full Record in Web of Science")</f>
        <v>View Full Record in Web of Science</v>
      </c>
    </row>
    <row r="3254" spans="1:72" x14ac:dyDescent="0.25">
      <c r="A3254" t="s">
        <v>72</v>
      </c>
      <c r="B3254" t="s">
        <v>53495</v>
      </c>
      <c r="C3254" t="s">
        <v>74</v>
      </c>
      <c r="D3254" t="s">
        <v>74</v>
      </c>
      <c r="E3254" t="s">
        <v>74</v>
      </c>
      <c r="F3254" t="s">
        <v>53496</v>
      </c>
      <c r="G3254" t="s">
        <v>74</v>
      </c>
      <c r="H3254" t="s">
        <v>74</v>
      </c>
      <c r="I3254" t="s">
        <v>53497</v>
      </c>
      <c r="J3254" t="s">
        <v>3231</v>
      </c>
      <c r="K3254" t="s">
        <v>74</v>
      </c>
      <c r="L3254" t="s">
        <v>74</v>
      </c>
      <c r="M3254" t="s">
        <v>78</v>
      </c>
      <c r="N3254" t="s">
        <v>79</v>
      </c>
      <c r="O3254" t="s">
        <v>74</v>
      </c>
      <c r="P3254" t="s">
        <v>74</v>
      </c>
      <c r="Q3254" t="s">
        <v>74</v>
      </c>
      <c r="R3254" t="s">
        <v>74</v>
      </c>
      <c r="S3254" t="s">
        <v>74</v>
      </c>
      <c r="T3254" t="s">
        <v>53498</v>
      </c>
      <c r="U3254" t="s">
        <v>53499</v>
      </c>
      <c r="V3254" t="s">
        <v>53500</v>
      </c>
      <c r="W3254" t="s">
        <v>53501</v>
      </c>
      <c r="X3254" t="s">
        <v>53502</v>
      </c>
      <c r="Y3254" t="s">
        <v>53503</v>
      </c>
      <c r="Z3254" t="s">
        <v>53504</v>
      </c>
      <c r="AA3254" t="s">
        <v>53505</v>
      </c>
      <c r="AB3254" t="s">
        <v>53506</v>
      </c>
      <c r="AC3254" t="s">
        <v>74</v>
      </c>
      <c r="AD3254" t="s">
        <v>74</v>
      </c>
      <c r="AE3254" t="s">
        <v>74</v>
      </c>
      <c r="AF3254" t="s">
        <v>74</v>
      </c>
      <c r="AG3254">
        <v>90</v>
      </c>
      <c r="AH3254">
        <v>5</v>
      </c>
      <c r="AI3254">
        <v>5</v>
      </c>
      <c r="AJ3254">
        <v>0</v>
      </c>
      <c r="AK3254">
        <v>5</v>
      </c>
      <c r="AL3254" t="s">
        <v>575</v>
      </c>
      <c r="AM3254" t="s">
        <v>576</v>
      </c>
      <c r="AN3254" t="s">
        <v>577</v>
      </c>
      <c r="AO3254" t="s">
        <v>74</v>
      </c>
      <c r="AP3254" t="s">
        <v>3243</v>
      </c>
      <c r="AQ3254" t="s">
        <v>74</v>
      </c>
      <c r="AR3254" t="s">
        <v>3244</v>
      </c>
      <c r="AS3254" t="s">
        <v>3245</v>
      </c>
      <c r="AT3254" t="s">
        <v>891</v>
      </c>
      <c r="AU3254">
        <v>2021</v>
      </c>
      <c r="AV3254">
        <v>13</v>
      </c>
      <c r="AW3254">
        <v>21</v>
      </c>
      <c r="AX3254" t="s">
        <v>74</v>
      </c>
      <c r="AY3254" t="s">
        <v>74</v>
      </c>
      <c r="AZ3254" t="s">
        <v>74</v>
      </c>
      <c r="BA3254" t="s">
        <v>74</v>
      </c>
      <c r="BB3254" t="s">
        <v>74</v>
      </c>
      <c r="BC3254" t="s">
        <v>74</v>
      </c>
      <c r="BD3254">
        <v>11977</v>
      </c>
      <c r="BE3254" t="s">
        <v>53507</v>
      </c>
      <c r="BF3254" t="str">
        <f>HYPERLINK("http://dx.doi.org/10.3390/su132111977","http://dx.doi.org/10.3390/su132111977")</f>
        <v>http://dx.doi.org/10.3390/su132111977</v>
      </c>
      <c r="BG3254" t="s">
        <v>74</v>
      </c>
      <c r="BH3254" t="s">
        <v>74</v>
      </c>
      <c r="BI3254">
        <v>22</v>
      </c>
      <c r="BJ3254" t="s">
        <v>3247</v>
      </c>
      <c r="BK3254" t="s">
        <v>2623</v>
      </c>
      <c r="BL3254" t="s">
        <v>3248</v>
      </c>
      <c r="BM3254" t="s">
        <v>53508</v>
      </c>
      <c r="BN3254" t="s">
        <v>74</v>
      </c>
      <c r="BO3254" t="s">
        <v>916</v>
      </c>
      <c r="BP3254" t="s">
        <v>74</v>
      </c>
      <c r="BQ3254" t="s">
        <v>74</v>
      </c>
      <c r="BR3254" t="s">
        <v>102</v>
      </c>
      <c r="BS3254" t="s">
        <v>53509</v>
      </c>
      <c r="BT3254" t="str">
        <f>HYPERLINK("https%3A%2F%2Fwww.webofscience.com%2Fwos%2Fwoscc%2Ffull-record%2FWOS:000718503900001","View Full Record in Web of Science")</f>
        <v>View Full Record in Web of Science</v>
      </c>
    </row>
    <row r="3255" spans="1:72" x14ac:dyDescent="0.25">
      <c r="A3255" t="s">
        <v>72</v>
      </c>
      <c r="B3255" t="s">
        <v>53510</v>
      </c>
      <c r="C3255" t="s">
        <v>74</v>
      </c>
      <c r="D3255" t="s">
        <v>74</v>
      </c>
      <c r="E3255" t="s">
        <v>74</v>
      </c>
      <c r="F3255" t="s">
        <v>53511</v>
      </c>
      <c r="G3255" t="s">
        <v>74</v>
      </c>
      <c r="H3255" t="s">
        <v>74</v>
      </c>
      <c r="I3255" t="s">
        <v>53512</v>
      </c>
      <c r="J3255" t="s">
        <v>449</v>
      </c>
      <c r="K3255" t="s">
        <v>74</v>
      </c>
      <c r="L3255" t="s">
        <v>74</v>
      </c>
      <c r="M3255" t="s">
        <v>78</v>
      </c>
      <c r="N3255" t="s">
        <v>79</v>
      </c>
      <c r="O3255" t="s">
        <v>74</v>
      </c>
      <c r="P3255" t="s">
        <v>74</v>
      </c>
      <c r="Q3255" t="s">
        <v>74</v>
      </c>
      <c r="R3255" t="s">
        <v>74</v>
      </c>
      <c r="S3255" t="s">
        <v>74</v>
      </c>
      <c r="T3255" t="s">
        <v>53513</v>
      </c>
      <c r="U3255" t="s">
        <v>53514</v>
      </c>
      <c r="V3255" t="s">
        <v>53515</v>
      </c>
      <c r="W3255" t="s">
        <v>53516</v>
      </c>
      <c r="X3255" t="s">
        <v>53517</v>
      </c>
      <c r="Y3255" t="s">
        <v>53518</v>
      </c>
      <c r="Z3255" t="s">
        <v>53519</v>
      </c>
      <c r="AA3255" t="s">
        <v>74</v>
      </c>
      <c r="AB3255" t="s">
        <v>53520</v>
      </c>
      <c r="AC3255" t="s">
        <v>74</v>
      </c>
      <c r="AD3255" t="s">
        <v>74</v>
      </c>
      <c r="AE3255" t="s">
        <v>74</v>
      </c>
      <c r="AF3255" t="s">
        <v>74</v>
      </c>
      <c r="AG3255">
        <v>68</v>
      </c>
      <c r="AH3255">
        <v>2</v>
      </c>
      <c r="AI3255">
        <v>2</v>
      </c>
      <c r="AJ3255">
        <v>3</v>
      </c>
      <c r="AK3255">
        <v>5</v>
      </c>
      <c r="AL3255" t="s">
        <v>332</v>
      </c>
      <c r="AM3255" t="s">
        <v>333</v>
      </c>
      <c r="AN3255" t="s">
        <v>334</v>
      </c>
      <c r="AO3255" t="s">
        <v>459</v>
      </c>
      <c r="AP3255" t="s">
        <v>460</v>
      </c>
      <c r="AQ3255" t="s">
        <v>74</v>
      </c>
      <c r="AR3255" t="s">
        <v>461</v>
      </c>
      <c r="AS3255" t="s">
        <v>462</v>
      </c>
      <c r="AT3255" t="s">
        <v>10107</v>
      </c>
      <c r="AU3255">
        <v>2025</v>
      </c>
      <c r="AV3255">
        <v>30</v>
      </c>
      <c r="AW3255">
        <v>2</v>
      </c>
      <c r="AX3255" t="s">
        <v>74</v>
      </c>
      <c r="AY3255" t="s">
        <v>74</v>
      </c>
      <c r="AZ3255" t="s">
        <v>74</v>
      </c>
      <c r="BA3255" t="s">
        <v>74</v>
      </c>
      <c r="BB3255">
        <v>254</v>
      </c>
      <c r="BC3255">
        <v>266</v>
      </c>
      <c r="BD3255" t="s">
        <v>74</v>
      </c>
      <c r="BE3255" t="s">
        <v>53521</v>
      </c>
      <c r="BF3255" t="str">
        <f>HYPERLINK("http://dx.doi.org/10.1080/13563467.2024.2418081","http://dx.doi.org/10.1080/13563467.2024.2418081")</f>
        <v>http://dx.doi.org/10.1080/13563467.2024.2418081</v>
      </c>
      <c r="BG3255" t="s">
        <v>74</v>
      </c>
      <c r="BH3255" t="s">
        <v>1136</v>
      </c>
      <c r="BI3255">
        <v>13</v>
      </c>
      <c r="BJ3255" t="s">
        <v>342</v>
      </c>
      <c r="BK3255" t="s">
        <v>99</v>
      </c>
      <c r="BL3255" t="s">
        <v>343</v>
      </c>
      <c r="BM3255" t="s">
        <v>53522</v>
      </c>
      <c r="BN3255" t="s">
        <v>74</v>
      </c>
      <c r="BO3255" t="s">
        <v>74</v>
      </c>
      <c r="BP3255" t="s">
        <v>74</v>
      </c>
      <c r="BQ3255" t="s">
        <v>74</v>
      </c>
      <c r="BR3255" t="s">
        <v>102</v>
      </c>
      <c r="BS3255" t="s">
        <v>53523</v>
      </c>
      <c r="BT3255" t="str">
        <f>HYPERLINK("https%3A%2F%2Fwww.webofscience.com%2Fwos%2Fwoscc%2Ffull-record%2FWOS:001340811300001","View Full Record in Web of Science")</f>
        <v>View Full Record in Web of Science</v>
      </c>
    </row>
    <row r="3256" spans="1:72" x14ac:dyDescent="0.25">
      <c r="A3256" t="s">
        <v>72</v>
      </c>
      <c r="B3256" t="s">
        <v>53524</v>
      </c>
      <c r="C3256" t="s">
        <v>74</v>
      </c>
      <c r="D3256" t="s">
        <v>74</v>
      </c>
      <c r="E3256" t="s">
        <v>74</v>
      </c>
      <c r="F3256" t="s">
        <v>53525</v>
      </c>
      <c r="G3256" t="s">
        <v>74</v>
      </c>
      <c r="H3256" t="s">
        <v>74</v>
      </c>
      <c r="I3256" t="s">
        <v>53526</v>
      </c>
      <c r="J3256" t="s">
        <v>51545</v>
      </c>
      <c r="K3256" t="s">
        <v>74</v>
      </c>
      <c r="L3256" t="s">
        <v>74</v>
      </c>
      <c r="M3256" t="s">
        <v>78</v>
      </c>
      <c r="N3256" t="s">
        <v>79</v>
      </c>
      <c r="O3256" t="s">
        <v>74</v>
      </c>
      <c r="P3256" t="s">
        <v>74</v>
      </c>
      <c r="Q3256" t="s">
        <v>74</v>
      </c>
      <c r="R3256" t="s">
        <v>74</v>
      </c>
      <c r="S3256" t="s">
        <v>74</v>
      </c>
      <c r="T3256" t="s">
        <v>53527</v>
      </c>
      <c r="U3256" t="s">
        <v>53528</v>
      </c>
      <c r="V3256" t="s">
        <v>53529</v>
      </c>
      <c r="W3256" t="s">
        <v>53530</v>
      </c>
      <c r="X3256" t="s">
        <v>53531</v>
      </c>
      <c r="Y3256" t="s">
        <v>53532</v>
      </c>
      <c r="Z3256" t="s">
        <v>53533</v>
      </c>
      <c r="AA3256" t="s">
        <v>53534</v>
      </c>
      <c r="AB3256" t="s">
        <v>53535</v>
      </c>
      <c r="AC3256" t="s">
        <v>74</v>
      </c>
      <c r="AD3256" t="s">
        <v>74</v>
      </c>
      <c r="AE3256" t="s">
        <v>74</v>
      </c>
      <c r="AF3256" t="s">
        <v>74</v>
      </c>
      <c r="AG3256">
        <v>117</v>
      </c>
      <c r="AH3256">
        <v>12</v>
      </c>
      <c r="AI3256">
        <v>17</v>
      </c>
      <c r="AJ3256">
        <v>3</v>
      </c>
      <c r="AK3256">
        <v>30</v>
      </c>
      <c r="AL3256" t="s">
        <v>51552</v>
      </c>
      <c r="AM3256" t="s">
        <v>51553</v>
      </c>
      <c r="AN3256" t="s">
        <v>51554</v>
      </c>
      <c r="AO3256" t="s">
        <v>51555</v>
      </c>
      <c r="AP3256" t="s">
        <v>51556</v>
      </c>
      <c r="AQ3256" t="s">
        <v>74</v>
      </c>
      <c r="AR3256" t="s">
        <v>51557</v>
      </c>
      <c r="AS3256" t="s">
        <v>51558</v>
      </c>
      <c r="AT3256" t="s">
        <v>698</v>
      </c>
      <c r="AU3256">
        <v>2022</v>
      </c>
      <c r="AV3256">
        <v>10</v>
      </c>
      <c r="AW3256">
        <v>3</v>
      </c>
      <c r="AX3256" t="s">
        <v>74</v>
      </c>
      <c r="AY3256" t="s">
        <v>74</v>
      </c>
      <c r="AZ3256" t="s">
        <v>74</v>
      </c>
      <c r="BA3256" t="s">
        <v>74</v>
      </c>
      <c r="BB3256">
        <v>143</v>
      </c>
      <c r="BC3256">
        <v>165</v>
      </c>
      <c r="BD3256" t="s">
        <v>74</v>
      </c>
      <c r="BE3256" t="s">
        <v>53536</v>
      </c>
      <c r="BF3256" t="str">
        <f>HYPERLINK("http://dx.doi.org/10.15678/EBER.2022.100309","http://dx.doi.org/10.15678/EBER.2022.100309")</f>
        <v>http://dx.doi.org/10.15678/EBER.2022.100309</v>
      </c>
      <c r="BG3256" t="s">
        <v>74</v>
      </c>
      <c r="BH3256" t="s">
        <v>74</v>
      </c>
      <c r="BI3256">
        <v>23</v>
      </c>
      <c r="BJ3256" t="s">
        <v>291</v>
      </c>
      <c r="BK3256" t="s">
        <v>313</v>
      </c>
      <c r="BL3256" t="s">
        <v>100</v>
      </c>
      <c r="BM3256" t="s">
        <v>53537</v>
      </c>
      <c r="BN3256" t="s">
        <v>74</v>
      </c>
      <c r="BO3256" t="s">
        <v>916</v>
      </c>
      <c r="BP3256" t="s">
        <v>74</v>
      </c>
      <c r="BQ3256" t="s">
        <v>74</v>
      </c>
      <c r="BR3256" t="s">
        <v>102</v>
      </c>
      <c r="BS3256" t="s">
        <v>53538</v>
      </c>
      <c r="BT3256" t="str">
        <f>HYPERLINK("https%3A%2F%2Fwww.webofscience.com%2Fwos%2Fwoscc%2Ffull-record%2FWOS:000876729800009","View Full Record in Web of Science")</f>
        <v>View Full Record in Web of Science</v>
      </c>
    </row>
    <row r="3257" spans="1:72" x14ac:dyDescent="0.25">
      <c r="A3257" t="s">
        <v>72</v>
      </c>
      <c r="B3257" t="s">
        <v>53539</v>
      </c>
      <c r="C3257" t="s">
        <v>74</v>
      </c>
      <c r="D3257" t="s">
        <v>74</v>
      </c>
      <c r="E3257" t="s">
        <v>74</v>
      </c>
      <c r="F3257" t="s">
        <v>53540</v>
      </c>
      <c r="G3257" t="s">
        <v>74</v>
      </c>
      <c r="H3257" t="s">
        <v>74</v>
      </c>
      <c r="I3257" t="s">
        <v>53541</v>
      </c>
      <c r="J3257" t="s">
        <v>53542</v>
      </c>
      <c r="K3257" t="s">
        <v>74</v>
      </c>
      <c r="L3257" t="s">
        <v>74</v>
      </c>
      <c r="M3257" t="s">
        <v>78</v>
      </c>
      <c r="N3257" t="s">
        <v>79</v>
      </c>
      <c r="O3257" t="s">
        <v>74</v>
      </c>
      <c r="P3257" t="s">
        <v>74</v>
      </c>
      <c r="Q3257" t="s">
        <v>74</v>
      </c>
      <c r="R3257" t="s">
        <v>74</v>
      </c>
      <c r="S3257" t="s">
        <v>74</v>
      </c>
      <c r="T3257" t="s">
        <v>53543</v>
      </c>
      <c r="U3257" t="s">
        <v>53544</v>
      </c>
      <c r="V3257" t="s">
        <v>53545</v>
      </c>
      <c r="W3257" t="s">
        <v>53546</v>
      </c>
      <c r="X3257" t="s">
        <v>53547</v>
      </c>
      <c r="Y3257" t="s">
        <v>53548</v>
      </c>
      <c r="Z3257" t="s">
        <v>53549</v>
      </c>
      <c r="AA3257" t="s">
        <v>53550</v>
      </c>
      <c r="AB3257" t="s">
        <v>53551</v>
      </c>
      <c r="AC3257" t="s">
        <v>74</v>
      </c>
      <c r="AD3257" t="s">
        <v>74</v>
      </c>
      <c r="AE3257" t="s">
        <v>74</v>
      </c>
      <c r="AF3257" t="s">
        <v>74</v>
      </c>
      <c r="AG3257">
        <v>66</v>
      </c>
      <c r="AH3257">
        <v>2</v>
      </c>
      <c r="AI3257">
        <v>4</v>
      </c>
      <c r="AJ3257">
        <v>0</v>
      </c>
      <c r="AK3257">
        <v>18</v>
      </c>
      <c r="AL3257" t="s">
        <v>89</v>
      </c>
      <c r="AM3257" t="s">
        <v>1497</v>
      </c>
      <c r="AN3257" t="s">
        <v>1498</v>
      </c>
      <c r="AO3257" t="s">
        <v>53552</v>
      </c>
      <c r="AP3257" t="s">
        <v>53553</v>
      </c>
      <c r="AQ3257" t="s">
        <v>74</v>
      </c>
      <c r="AR3257" t="s">
        <v>53554</v>
      </c>
      <c r="AS3257" t="s">
        <v>53555</v>
      </c>
      <c r="AT3257" t="s">
        <v>17906</v>
      </c>
      <c r="AU3257">
        <v>2023</v>
      </c>
      <c r="AV3257">
        <v>13</v>
      </c>
      <c r="AW3257">
        <v>2</v>
      </c>
      <c r="AX3257" t="s">
        <v>74</v>
      </c>
      <c r="AY3257" t="s">
        <v>74</v>
      </c>
      <c r="AZ3257" t="s">
        <v>74</v>
      </c>
      <c r="BA3257" t="s">
        <v>74</v>
      </c>
      <c r="BB3257">
        <v>342</v>
      </c>
      <c r="BC3257">
        <v>357</v>
      </c>
      <c r="BD3257" t="s">
        <v>74</v>
      </c>
      <c r="BE3257" t="s">
        <v>53556</v>
      </c>
      <c r="BF3257" t="str">
        <f>HYPERLINK("http://dx.doi.org/10.1108/JADEE-05-2021-0104","http://dx.doi.org/10.1108/JADEE-05-2021-0104")</f>
        <v>http://dx.doi.org/10.1108/JADEE-05-2021-0104</v>
      </c>
      <c r="BG3257" t="s">
        <v>74</v>
      </c>
      <c r="BH3257" t="s">
        <v>2730</v>
      </c>
      <c r="BI3257">
        <v>16</v>
      </c>
      <c r="BJ3257" t="s">
        <v>18270</v>
      </c>
      <c r="BK3257" t="s">
        <v>313</v>
      </c>
      <c r="BL3257" t="s">
        <v>18271</v>
      </c>
      <c r="BM3257" t="s">
        <v>53557</v>
      </c>
      <c r="BN3257" t="s">
        <v>74</v>
      </c>
      <c r="BO3257" t="s">
        <v>74</v>
      </c>
      <c r="BP3257" t="s">
        <v>74</v>
      </c>
      <c r="BQ3257" t="s">
        <v>74</v>
      </c>
      <c r="BR3257" t="s">
        <v>102</v>
      </c>
      <c r="BS3257" t="s">
        <v>53558</v>
      </c>
      <c r="BT3257" t="str">
        <f>HYPERLINK("https%3A%2F%2Fwww.webofscience.com%2Fwos%2Fwoscc%2Ffull-record%2FWOS:000724834900001","View Full Record in Web of Science")</f>
        <v>View Full Record in Web of Science</v>
      </c>
    </row>
    <row r="3258" spans="1:72" x14ac:dyDescent="0.25">
      <c r="A3258" t="s">
        <v>72</v>
      </c>
      <c r="B3258" t="s">
        <v>53559</v>
      </c>
      <c r="C3258" t="s">
        <v>74</v>
      </c>
      <c r="D3258" t="s">
        <v>74</v>
      </c>
      <c r="E3258" t="s">
        <v>74</v>
      </c>
      <c r="F3258" t="s">
        <v>53560</v>
      </c>
      <c r="G3258" t="s">
        <v>74</v>
      </c>
      <c r="H3258" t="s">
        <v>74</v>
      </c>
      <c r="I3258" t="s">
        <v>53561</v>
      </c>
      <c r="J3258" t="s">
        <v>1290</v>
      </c>
      <c r="K3258" t="s">
        <v>74</v>
      </c>
      <c r="L3258" t="s">
        <v>74</v>
      </c>
      <c r="M3258" t="s">
        <v>78</v>
      </c>
      <c r="N3258" t="s">
        <v>79</v>
      </c>
      <c r="O3258" t="s">
        <v>74</v>
      </c>
      <c r="P3258" t="s">
        <v>74</v>
      </c>
      <c r="Q3258" t="s">
        <v>74</v>
      </c>
      <c r="R3258" t="s">
        <v>74</v>
      </c>
      <c r="S3258" t="s">
        <v>74</v>
      </c>
      <c r="T3258" t="s">
        <v>53562</v>
      </c>
      <c r="U3258" t="s">
        <v>7318</v>
      </c>
      <c r="V3258" t="s">
        <v>53563</v>
      </c>
      <c r="W3258" t="s">
        <v>53564</v>
      </c>
      <c r="X3258" t="s">
        <v>53565</v>
      </c>
      <c r="Y3258" t="s">
        <v>53566</v>
      </c>
      <c r="Z3258" t="s">
        <v>53567</v>
      </c>
      <c r="AA3258" t="s">
        <v>53568</v>
      </c>
      <c r="AB3258" t="s">
        <v>53569</v>
      </c>
      <c r="AC3258" t="s">
        <v>74</v>
      </c>
      <c r="AD3258" t="s">
        <v>74</v>
      </c>
      <c r="AE3258" t="s">
        <v>74</v>
      </c>
      <c r="AF3258" t="s">
        <v>74</v>
      </c>
      <c r="AG3258">
        <v>41</v>
      </c>
      <c r="AH3258">
        <v>7</v>
      </c>
      <c r="AI3258">
        <v>11</v>
      </c>
      <c r="AJ3258">
        <v>3</v>
      </c>
      <c r="AK3258">
        <v>22</v>
      </c>
      <c r="AL3258" t="s">
        <v>575</v>
      </c>
      <c r="AM3258" t="s">
        <v>576</v>
      </c>
      <c r="AN3258" t="s">
        <v>3242</v>
      </c>
      <c r="AO3258" t="s">
        <v>1299</v>
      </c>
      <c r="AP3258" t="s">
        <v>74</v>
      </c>
      <c r="AQ3258" t="s">
        <v>74</v>
      </c>
      <c r="AR3258" t="s">
        <v>1300</v>
      </c>
      <c r="AS3258" t="s">
        <v>1301</v>
      </c>
      <c r="AT3258" t="s">
        <v>1652</v>
      </c>
      <c r="AU3258">
        <v>2022</v>
      </c>
      <c r="AV3258">
        <v>10</v>
      </c>
      <c r="AW3258">
        <v>2</v>
      </c>
      <c r="AX3258" t="s">
        <v>74</v>
      </c>
      <c r="AY3258" t="s">
        <v>74</v>
      </c>
      <c r="AZ3258" t="s">
        <v>74</v>
      </c>
      <c r="BA3258" t="s">
        <v>74</v>
      </c>
      <c r="BB3258" t="s">
        <v>74</v>
      </c>
      <c r="BC3258" t="s">
        <v>74</v>
      </c>
      <c r="BD3258">
        <v>35</v>
      </c>
      <c r="BE3258" t="s">
        <v>53570</v>
      </c>
      <c r="BF3258" t="str">
        <f>HYPERLINK("http://dx.doi.org/10.3390/ijfs10020035","http://dx.doi.org/10.3390/ijfs10020035")</f>
        <v>http://dx.doi.org/10.3390/ijfs10020035</v>
      </c>
      <c r="BG3258" t="s">
        <v>74</v>
      </c>
      <c r="BH3258" t="s">
        <v>74</v>
      </c>
      <c r="BI3258">
        <v>17</v>
      </c>
      <c r="BJ3258" t="s">
        <v>268</v>
      </c>
      <c r="BK3258" t="s">
        <v>313</v>
      </c>
      <c r="BL3258" t="s">
        <v>100</v>
      </c>
      <c r="BM3258" t="s">
        <v>53571</v>
      </c>
      <c r="BN3258" t="s">
        <v>74</v>
      </c>
      <c r="BO3258" t="s">
        <v>916</v>
      </c>
      <c r="BP3258" t="s">
        <v>74</v>
      </c>
      <c r="BQ3258" t="s">
        <v>74</v>
      </c>
      <c r="BR3258" t="s">
        <v>102</v>
      </c>
      <c r="BS3258" t="s">
        <v>53572</v>
      </c>
      <c r="BT3258" t="str">
        <f>HYPERLINK("https%3A%2F%2Fwww.webofscience.com%2Fwos%2Fwoscc%2Ffull-record%2FWOS:000816157300001","View Full Record in Web of Science")</f>
        <v>View Full Record in Web of Science</v>
      </c>
    </row>
    <row r="3259" spans="1:72" x14ac:dyDescent="0.25">
      <c r="A3259" t="s">
        <v>72</v>
      </c>
      <c r="B3259" t="s">
        <v>53573</v>
      </c>
      <c r="C3259" t="s">
        <v>74</v>
      </c>
      <c r="D3259" t="s">
        <v>74</v>
      </c>
      <c r="E3259" t="s">
        <v>74</v>
      </c>
      <c r="F3259" t="s">
        <v>53574</v>
      </c>
      <c r="G3259" t="s">
        <v>74</v>
      </c>
      <c r="H3259" t="s">
        <v>74</v>
      </c>
      <c r="I3259" t="s">
        <v>53575</v>
      </c>
      <c r="J3259" t="s">
        <v>48562</v>
      </c>
      <c r="K3259" t="s">
        <v>74</v>
      </c>
      <c r="L3259" t="s">
        <v>74</v>
      </c>
      <c r="M3259" t="s">
        <v>78</v>
      </c>
      <c r="N3259" t="s">
        <v>79</v>
      </c>
      <c r="O3259" t="s">
        <v>74</v>
      </c>
      <c r="P3259" t="s">
        <v>74</v>
      </c>
      <c r="Q3259" t="s">
        <v>74</v>
      </c>
      <c r="R3259" t="s">
        <v>74</v>
      </c>
      <c r="S3259" t="s">
        <v>74</v>
      </c>
      <c r="T3259" t="s">
        <v>53576</v>
      </c>
      <c r="U3259" t="s">
        <v>53577</v>
      </c>
      <c r="V3259" t="s">
        <v>53578</v>
      </c>
      <c r="W3259" t="s">
        <v>53579</v>
      </c>
      <c r="X3259" t="s">
        <v>53580</v>
      </c>
      <c r="Y3259" t="s">
        <v>53581</v>
      </c>
      <c r="Z3259" t="s">
        <v>53582</v>
      </c>
      <c r="AA3259" t="s">
        <v>74</v>
      </c>
      <c r="AB3259" t="s">
        <v>74</v>
      </c>
      <c r="AC3259" t="s">
        <v>53583</v>
      </c>
      <c r="AD3259" t="s">
        <v>53583</v>
      </c>
      <c r="AE3259" t="s">
        <v>53584</v>
      </c>
      <c r="AF3259" t="s">
        <v>74</v>
      </c>
      <c r="AG3259">
        <v>96</v>
      </c>
      <c r="AH3259">
        <v>1</v>
      </c>
      <c r="AI3259">
        <v>1</v>
      </c>
      <c r="AJ3259">
        <v>2</v>
      </c>
      <c r="AK3259">
        <v>2</v>
      </c>
      <c r="AL3259" t="s">
        <v>48575</v>
      </c>
      <c r="AM3259" t="s">
        <v>4280</v>
      </c>
      <c r="AN3259" t="s">
        <v>48576</v>
      </c>
      <c r="AO3259" t="s">
        <v>48577</v>
      </c>
      <c r="AP3259" t="s">
        <v>74</v>
      </c>
      <c r="AQ3259" t="s">
        <v>74</v>
      </c>
      <c r="AR3259" t="s">
        <v>48578</v>
      </c>
      <c r="AS3259" t="s">
        <v>48579</v>
      </c>
      <c r="AT3259" t="s">
        <v>339</v>
      </c>
      <c r="AU3259">
        <v>2025</v>
      </c>
      <c r="AV3259">
        <v>19</v>
      </c>
      <c r="AW3259">
        <v>1</v>
      </c>
      <c r="AX3259" t="s">
        <v>74</v>
      </c>
      <c r="AY3259" t="s">
        <v>74</v>
      </c>
      <c r="AZ3259" t="s">
        <v>74</v>
      </c>
      <c r="BA3259" t="s">
        <v>74</v>
      </c>
      <c r="BB3259" t="s">
        <v>74</v>
      </c>
      <c r="BC3259" t="s">
        <v>74</v>
      </c>
      <c r="BD3259">
        <v>20250172</v>
      </c>
      <c r="BE3259" t="s">
        <v>53585</v>
      </c>
      <c r="BF3259" t="str">
        <f>HYPERLINK("http://dx.doi.org/10.1515/econ-2025-0172","http://dx.doi.org/10.1515/econ-2025-0172")</f>
        <v>http://dx.doi.org/10.1515/econ-2025-0172</v>
      </c>
      <c r="BG3259" t="s">
        <v>74</v>
      </c>
      <c r="BH3259" t="s">
        <v>74</v>
      </c>
      <c r="BI3259">
        <v>21</v>
      </c>
      <c r="BJ3259" t="s">
        <v>291</v>
      </c>
      <c r="BK3259" t="s">
        <v>99</v>
      </c>
      <c r="BL3259" t="s">
        <v>100</v>
      </c>
      <c r="BM3259" t="s">
        <v>53586</v>
      </c>
      <c r="BN3259" t="s">
        <v>74</v>
      </c>
      <c r="BO3259" t="s">
        <v>212</v>
      </c>
      <c r="BP3259" t="s">
        <v>74</v>
      </c>
      <c r="BQ3259" t="s">
        <v>74</v>
      </c>
      <c r="BR3259" t="s">
        <v>102</v>
      </c>
      <c r="BS3259" t="s">
        <v>53587</v>
      </c>
      <c r="BT3259" t="str">
        <f>HYPERLINK("https%3A%2F%2Fwww.webofscience.com%2Fwos%2Fwoscc%2Ffull-record%2FWOS:001597605700001","View Full Record in Web of Science")</f>
        <v>View Full Record in Web of Science</v>
      </c>
    </row>
    <row r="3260" spans="1:72" x14ac:dyDescent="0.25">
      <c r="A3260" t="s">
        <v>72</v>
      </c>
      <c r="B3260" t="s">
        <v>53588</v>
      </c>
      <c r="C3260" t="s">
        <v>74</v>
      </c>
      <c r="D3260" t="s">
        <v>74</v>
      </c>
      <c r="E3260" t="s">
        <v>74</v>
      </c>
      <c r="F3260" t="s">
        <v>53589</v>
      </c>
      <c r="G3260" t="s">
        <v>74</v>
      </c>
      <c r="H3260" t="s">
        <v>74</v>
      </c>
      <c r="I3260" t="s">
        <v>53590</v>
      </c>
      <c r="J3260" t="s">
        <v>17640</v>
      </c>
      <c r="K3260" t="s">
        <v>74</v>
      </c>
      <c r="L3260" t="s">
        <v>74</v>
      </c>
      <c r="M3260" t="s">
        <v>78</v>
      </c>
      <c r="N3260" t="s">
        <v>79</v>
      </c>
      <c r="O3260" t="s">
        <v>74</v>
      </c>
      <c r="P3260" t="s">
        <v>74</v>
      </c>
      <c r="Q3260" t="s">
        <v>74</v>
      </c>
      <c r="R3260" t="s">
        <v>74</v>
      </c>
      <c r="S3260" t="s">
        <v>74</v>
      </c>
      <c r="T3260" t="s">
        <v>74</v>
      </c>
      <c r="U3260" t="s">
        <v>53591</v>
      </c>
      <c r="V3260" t="s">
        <v>53592</v>
      </c>
      <c r="W3260" t="s">
        <v>53593</v>
      </c>
      <c r="X3260" t="s">
        <v>53594</v>
      </c>
      <c r="Y3260" t="s">
        <v>53595</v>
      </c>
      <c r="Z3260" t="s">
        <v>53596</v>
      </c>
      <c r="AA3260" t="s">
        <v>74</v>
      </c>
      <c r="AB3260" t="s">
        <v>53597</v>
      </c>
      <c r="AC3260" t="s">
        <v>53598</v>
      </c>
      <c r="AD3260" t="s">
        <v>53598</v>
      </c>
      <c r="AE3260" t="s">
        <v>53599</v>
      </c>
      <c r="AF3260" t="s">
        <v>74</v>
      </c>
      <c r="AG3260">
        <v>61</v>
      </c>
      <c r="AH3260">
        <v>0</v>
      </c>
      <c r="AI3260">
        <v>0</v>
      </c>
      <c r="AJ3260">
        <v>1</v>
      </c>
      <c r="AK3260">
        <v>1</v>
      </c>
      <c r="AL3260" t="s">
        <v>4666</v>
      </c>
      <c r="AM3260" t="s">
        <v>995</v>
      </c>
      <c r="AN3260" t="s">
        <v>4025</v>
      </c>
      <c r="AO3260" t="s">
        <v>74</v>
      </c>
      <c r="AP3260" t="s">
        <v>17649</v>
      </c>
      <c r="AQ3260" t="s">
        <v>74</v>
      </c>
      <c r="AR3260" t="s">
        <v>17650</v>
      </c>
      <c r="AS3260" t="s">
        <v>17651</v>
      </c>
      <c r="AT3260" t="s">
        <v>53600</v>
      </c>
      <c r="AU3260">
        <v>2025</v>
      </c>
      <c r="AV3260">
        <v>12</v>
      </c>
      <c r="AW3260">
        <v>1</v>
      </c>
      <c r="AX3260" t="s">
        <v>74</v>
      </c>
      <c r="AY3260" t="s">
        <v>74</v>
      </c>
      <c r="AZ3260" t="s">
        <v>74</v>
      </c>
      <c r="BA3260" t="s">
        <v>74</v>
      </c>
      <c r="BB3260" t="s">
        <v>74</v>
      </c>
      <c r="BC3260" t="s">
        <v>74</v>
      </c>
      <c r="BD3260">
        <v>1473</v>
      </c>
      <c r="BE3260" t="s">
        <v>53601</v>
      </c>
      <c r="BF3260" t="str">
        <f>HYPERLINK("http://dx.doi.org/10.1057/s41599-025-05299-5","http://dx.doi.org/10.1057/s41599-025-05299-5")</f>
        <v>http://dx.doi.org/10.1057/s41599-025-05299-5</v>
      </c>
      <c r="BG3260" t="s">
        <v>74</v>
      </c>
      <c r="BH3260" t="s">
        <v>74</v>
      </c>
      <c r="BI3260">
        <v>15</v>
      </c>
      <c r="BJ3260" t="s">
        <v>17654</v>
      </c>
      <c r="BK3260" t="s">
        <v>871</v>
      </c>
      <c r="BL3260" t="s">
        <v>17655</v>
      </c>
      <c r="BM3260" t="s">
        <v>53602</v>
      </c>
      <c r="BN3260" t="s">
        <v>74</v>
      </c>
      <c r="BO3260" t="s">
        <v>212</v>
      </c>
      <c r="BP3260" t="s">
        <v>74</v>
      </c>
      <c r="BQ3260" t="s">
        <v>74</v>
      </c>
      <c r="BR3260" t="s">
        <v>102</v>
      </c>
      <c r="BS3260" t="s">
        <v>53603</v>
      </c>
      <c r="BT3260" t="str">
        <f>HYPERLINK("https%3A%2F%2Fwww.webofscience.com%2Fwos%2Fwoscc%2Ffull-record%2FWOS:001580397200009","View Full Record in Web of Science")</f>
        <v>View Full Record in Web of Science</v>
      </c>
    </row>
    <row r="3261" spans="1:72" x14ac:dyDescent="0.25">
      <c r="A3261" t="s">
        <v>72</v>
      </c>
      <c r="B3261" t="s">
        <v>26259</v>
      </c>
      <c r="C3261" t="s">
        <v>74</v>
      </c>
      <c r="D3261" t="s">
        <v>74</v>
      </c>
      <c r="E3261" t="s">
        <v>74</v>
      </c>
      <c r="F3261" t="s">
        <v>26258</v>
      </c>
      <c r="G3261" t="s">
        <v>74</v>
      </c>
      <c r="H3261" t="s">
        <v>74</v>
      </c>
      <c r="I3261" t="s">
        <v>53604</v>
      </c>
      <c r="J3261" t="s">
        <v>12172</v>
      </c>
      <c r="K3261" t="s">
        <v>74</v>
      </c>
      <c r="L3261" t="s">
        <v>74</v>
      </c>
      <c r="M3261" t="s">
        <v>78</v>
      </c>
      <c r="N3261" t="s">
        <v>79</v>
      </c>
      <c r="O3261" t="s">
        <v>74</v>
      </c>
      <c r="P3261" t="s">
        <v>74</v>
      </c>
      <c r="Q3261" t="s">
        <v>74</v>
      </c>
      <c r="R3261" t="s">
        <v>74</v>
      </c>
      <c r="S3261" t="s">
        <v>74</v>
      </c>
      <c r="T3261" t="s">
        <v>53605</v>
      </c>
      <c r="U3261" t="s">
        <v>51895</v>
      </c>
      <c r="V3261" t="s">
        <v>53606</v>
      </c>
      <c r="W3261" t="s">
        <v>53607</v>
      </c>
      <c r="X3261" t="s">
        <v>53608</v>
      </c>
      <c r="Y3261" t="s">
        <v>53609</v>
      </c>
      <c r="Z3261" t="s">
        <v>53610</v>
      </c>
      <c r="AA3261" t="s">
        <v>25431</v>
      </c>
      <c r="AB3261" t="s">
        <v>53611</v>
      </c>
      <c r="AC3261" t="s">
        <v>74</v>
      </c>
      <c r="AD3261" t="s">
        <v>74</v>
      </c>
      <c r="AE3261" t="s">
        <v>74</v>
      </c>
      <c r="AF3261" t="s">
        <v>74</v>
      </c>
      <c r="AG3261">
        <v>61</v>
      </c>
      <c r="AH3261">
        <v>1</v>
      </c>
      <c r="AI3261">
        <v>1</v>
      </c>
      <c r="AJ3261">
        <v>2</v>
      </c>
      <c r="AK3261">
        <v>9</v>
      </c>
      <c r="AL3261" t="s">
        <v>757</v>
      </c>
      <c r="AM3261" t="s">
        <v>758</v>
      </c>
      <c r="AN3261" t="s">
        <v>759</v>
      </c>
      <c r="AO3261" t="s">
        <v>12179</v>
      </c>
      <c r="AP3261" t="s">
        <v>74</v>
      </c>
      <c r="AQ3261" t="s">
        <v>74</v>
      </c>
      <c r="AR3261" t="s">
        <v>12172</v>
      </c>
      <c r="AS3261" t="s">
        <v>12180</v>
      </c>
      <c r="AT3261" t="s">
        <v>743</v>
      </c>
      <c r="AU3261">
        <v>2024</v>
      </c>
      <c r="AV3261">
        <v>14</v>
      </c>
      <c r="AW3261">
        <v>2</v>
      </c>
      <c r="AX3261" t="s">
        <v>74</v>
      </c>
      <c r="AY3261" t="s">
        <v>74</v>
      </c>
      <c r="AZ3261" t="s">
        <v>74</v>
      </c>
      <c r="BA3261" t="s">
        <v>74</v>
      </c>
      <c r="BB3261" t="s">
        <v>74</v>
      </c>
      <c r="BC3261" t="s">
        <v>74</v>
      </c>
      <c r="BD3261">
        <v>2.1582440241253564E+16</v>
      </c>
      <c r="BE3261" t="s">
        <v>53612</v>
      </c>
      <c r="BF3261" t="str">
        <f>HYPERLINK("http://dx.doi.org/10.1177/21582440241253564","http://dx.doi.org/10.1177/21582440241253564")</f>
        <v>http://dx.doi.org/10.1177/21582440241253564</v>
      </c>
      <c r="BG3261" t="s">
        <v>74</v>
      </c>
      <c r="BH3261" t="s">
        <v>74</v>
      </c>
      <c r="BI3261">
        <v>13</v>
      </c>
      <c r="BJ3261" t="s">
        <v>364</v>
      </c>
      <c r="BK3261" t="s">
        <v>99</v>
      </c>
      <c r="BL3261" t="s">
        <v>365</v>
      </c>
      <c r="BM3261" t="s">
        <v>53613</v>
      </c>
      <c r="BN3261" t="s">
        <v>74</v>
      </c>
      <c r="BO3261" t="s">
        <v>212</v>
      </c>
      <c r="BP3261" t="s">
        <v>74</v>
      </c>
      <c r="BQ3261" t="s">
        <v>74</v>
      </c>
      <c r="BR3261" t="s">
        <v>102</v>
      </c>
      <c r="BS3261" t="s">
        <v>53614</v>
      </c>
      <c r="BT3261" t="str">
        <f>HYPERLINK("https%3A%2F%2Fwww.webofscience.com%2Fwos%2Fwoscc%2Ffull-record%2FWOS:001230337000001","View Full Record in Web of Science")</f>
        <v>View Full Record in Web of Science</v>
      </c>
    </row>
    <row r="3262" spans="1:72" x14ac:dyDescent="0.25">
      <c r="A3262" t="s">
        <v>72</v>
      </c>
      <c r="B3262" t="s">
        <v>53615</v>
      </c>
      <c r="C3262" t="s">
        <v>74</v>
      </c>
      <c r="D3262" t="s">
        <v>74</v>
      </c>
      <c r="E3262" t="s">
        <v>74</v>
      </c>
      <c r="F3262" t="s">
        <v>53616</v>
      </c>
      <c r="G3262" t="s">
        <v>74</v>
      </c>
      <c r="H3262" t="s">
        <v>74</v>
      </c>
      <c r="I3262" t="s">
        <v>53617</v>
      </c>
      <c r="J3262" t="s">
        <v>3231</v>
      </c>
      <c r="K3262" t="s">
        <v>74</v>
      </c>
      <c r="L3262" t="s">
        <v>74</v>
      </c>
      <c r="M3262" t="s">
        <v>78</v>
      </c>
      <c r="N3262" t="s">
        <v>79</v>
      </c>
      <c r="O3262" t="s">
        <v>74</v>
      </c>
      <c r="P3262" t="s">
        <v>74</v>
      </c>
      <c r="Q3262" t="s">
        <v>74</v>
      </c>
      <c r="R3262" t="s">
        <v>74</v>
      </c>
      <c r="S3262" t="s">
        <v>74</v>
      </c>
      <c r="T3262" t="s">
        <v>53618</v>
      </c>
      <c r="U3262" t="s">
        <v>53619</v>
      </c>
      <c r="V3262" t="s">
        <v>53620</v>
      </c>
      <c r="W3262" t="s">
        <v>53621</v>
      </c>
      <c r="X3262" t="s">
        <v>53622</v>
      </c>
      <c r="Y3262" t="s">
        <v>53623</v>
      </c>
      <c r="Z3262" t="s">
        <v>53624</v>
      </c>
      <c r="AA3262" t="s">
        <v>53625</v>
      </c>
      <c r="AB3262" t="s">
        <v>53626</v>
      </c>
      <c r="AC3262" t="s">
        <v>53627</v>
      </c>
      <c r="AD3262" t="s">
        <v>53628</v>
      </c>
      <c r="AE3262" t="s">
        <v>53629</v>
      </c>
      <c r="AF3262" t="s">
        <v>74</v>
      </c>
      <c r="AG3262">
        <v>30</v>
      </c>
      <c r="AH3262">
        <v>4</v>
      </c>
      <c r="AI3262">
        <v>5</v>
      </c>
      <c r="AJ3262">
        <v>1</v>
      </c>
      <c r="AK3262">
        <v>38</v>
      </c>
      <c r="AL3262" t="s">
        <v>575</v>
      </c>
      <c r="AM3262" t="s">
        <v>576</v>
      </c>
      <c r="AN3262" t="s">
        <v>3242</v>
      </c>
      <c r="AO3262" t="s">
        <v>74</v>
      </c>
      <c r="AP3262" t="s">
        <v>3243</v>
      </c>
      <c r="AQ3262" t="s">
        <v>74</v>
      </c>
      <c r="AR3262" t="s">
        <v>3244</v>
      </c>
      <c r="AS3262" t="s">
        <v>3245</v>
      </c>
      <c r="AT3262" t="s">
        <v>1540</v>
      </c>
      <c r="AU3262">
        <v>2018</v>
      </c>
      <c r="AV3262">
        <v>10</v>
      </c>
      <c r="AW3262">
        <v>5</v>
      </c>
      <c r="AX3262" t="s">
        <v>74</v>
      </c>
      <c r="AY3262" t="s">
        <v>74</v>
      </c>
      <c r="AZ3262" t="s">
        <v>74</v>
      </c>
      <c r="BA3262" t="s">
        <v>74</v>
      </c>
      <c r="BB3262" t="s">
        <v>74</v>
      </c>
      <c r="BC3262" t="s">
        <v>74</v>
      </c>
      <c r="BD3262">
        <v>1406</v>
      </c>
      <c r="BE3262" t="s">
        <v>53630</v>
      </c>
      <c r="BF3262" t="str">
        <f>HYPERLINK("http://dx.doi.org/10.3390/su10051406","http://dx.doi.org/10.3390/su10051406")</f>
        <v>http://dx.doi.org/10.3390/su10051406</v>
      </c>
      <c r="BG3262" t="s">
        <v>74</v>
      </c>
      <c r="BH3262" t="s">
        <v>74</v>
      </c>
      <c r="BI3262">
        <v>17</v>
      </c>
      <c r="BJ3262" t="s">
        <v>3247</v>
      </c>
      <c r="BK3262" t="s">
        <v>2623</v>
      </c>
      <c r="BL3262" t="s">
        <v>3248</v>
      </c>
      <c r="BM3262" t="s">
        <v>31395</v>
      </c>
      <c r="BN3262" t="s">
        <v>74</v>
      </c>
      <c r="BO3262" t="s">
        <v>916</v>
      </c>
      <c r="BP3262" t="s">
        <v>74</v>
      </c>
      <c r="BQ3262" t="s">
        <v>74</v>
      </c>
      <c r="BR3262" t="s">
        <v>102</v>
      </c>
      <c r="BS3262" t="s">
        <v>53631</v>
      </c>
      <c r="BT3262" t="str">
        <f>HYPERLINK("https%3A%2F%2Fwww.webofscience.com%2Fwos%2Fwoscc%2Ffull-record%2FWOS:000435587100102","View Full Record in Web of Science")</f>
        <v>View Full Record in Web of Science</v>
      </c>
    </row>
    <row r="3263" spans="1:72" x14ac:dyDescent="0.25">
      <c r="A3263" t="s">
        <v>72</v>
      </c>
      <c r="B3263" t="s">
        <v>53632</v>
      </c>
      <c r="C3263" t="s">
        <v>74</v>
      </c>
      <c r="D3263" t="s">
        <v>74</v>
      </c>
      <c r="E3263" t="s">
        <v>74</v>
      </c>
      <c r="F3263" t="s">
        <v>53633</v>
      </c>
      <c r="G3263" t="s">
        <v>74</v>
      </c>
      <c r="H3263" t="s">
        <v>74</v>
      </c>
      <c r="I3263" t="s">
        <v>53634</v>
      </c>
      <c r="J3263" t="s">
        <v>656</v>
      </c>
      <c r="K3263" t="s">
        <v>74</v>
      </c>
      <c r="L3263" t="s">
        <v>74</v>
      </c>
      <c r="M3263" t="s">
        <v>78</v>
      </c>
      <c r="N3263" t="s">
        <v>79</v>
      </c>
      <c r="O3263" t="s">
        <v>74</v>
      </c>
      <c r="P3263" t="s">
        <v>74</v>
      </c>
      <c r="Q3263" t="s">
        <v>74</v>
      </c>
      <c r="R3263" t="s">
        <v>74</v>
      </c>
      <c r="S3263" t="s">
        <v>74</v>
      </c>
      <c r="T3263" t="s">
        <v>53635</v>
      </c>
      <c r="U3263" t="s">
        <v>53636</v>
      </c>
      <c r="V3263" t="s">
        <v>53637</v>
      </c>
      <c r="W3263" t="s">
        <v>53638</v>
      </c>
      <c r="X3263" t="s">
        <v>53639</v>
      </c>
      <c r="Y3263" t="s">
        <v>53640</v>
      </c>
      <c r="Z3263" t="s">
        <v>53641</v>
      </c>
      <c r="AA3263" t="s">
        <v>74</v>
      </c>
      <c r="AB3263" t="s">
        <v>74</v>
      </c>
      <c r="AC3263" t="s">
        <v>74</v>
      </c>
      <c r="AD3263" t="s">
        <v>74</v>
      </c>
      <c r="AE3263" t="s">
        <v>74</v>
      </c>
      <c r="AF3263" t="s">
        <v>74</v>
      </c>
      <c r="AG3263">
        <v>38</v>
      </c>
      <c r="AH3263">
        <v>2</v>
      </c>
      <c r="AI3263">
        <v>3</v>
      </c>
      <c r="AJ3263">
        <v>1</v>
      </c>
      <c r="AK3263">
        <v>11</v>
      </c>
      <c r="AL3263" t="s">
        <v>666</v>
      </c>
      <c r="AM3263" t="s">
        <v>667</v>
      </c>
      <c r="AN3263" t="s">
        <v>668</v>
      </c>
      <c r="AO3263" t="s">
        <v>669</v>
      </c>
      <c r="AP3263" t="s">
        <v>670</v>
      </c>
      <c r="AQ3263" t="s">
        <v>74</v>
      </c>
      <c r="AR3263" t="s">
        <v>671</v>
      </c>
      <c r="AS3263" t="s">
        <v>672</v>
      </c>
      <c r="AT3263" t="s">
        <v>124</v>
      </c>
      <c r="AU3263">
        <v>2022</v>
      </c>
      <c r="AV3263">
        <v>43</v>
      </c>
      <c r="AW3263">
        <v>4</v>
      </c>
      <c r="AX3263" t="s">
        <v>74</v>
      </c>
      <c r="AY3263" t="s">
        <v>74</v>
      </c>
      <c r="AZ3263" t="s">
        <v>441</v>
      </c>
      <c r="BA3263" t="s">
        <v>74</v>
      </c>
      <c r="BB3263">
        <v>667</v>
      </c>
      <c r="BC3263">
        <v>677</v>
      </c>
      <c r="BD3263" t="s">
        <v>74</v>
      </c>
      <c r="BE3263" t="s">
        <v>53642</v>
      </c>
      <c r="BF3263" t="str">
        <f>HYPERLINK("http://dx.doi.org/10.1007/s10834-022-09828-1","http://dx.doi.org/10.1007/s10834-022-09828-1")</f>
        <v>http://dx.doi.org/10.1007/s10834-022-09828-1</v>
      </c>
      <c r="BG3263" t="s">
        <v>74</v>
      </c>
      <c r="BH3263" t="s">
        <v>674</v>
      </c>
      <c r="BI3263">
        <v>11</v>
      </c>
      <c r="BJ3263" t="s">
        <v>675</v>
      </c>
      <c r="BK3263" t="s">
        <v>99</v>
      </c>
      <c r="BL3263" t="s">
        <v>676</v>
      </c>
      <c r="BM3263" t="s">
        <v>677</v>
      </c>
      <c r="BN3263" t="s">
        <v>74</v>
      </c>
      <c r="BO3263" t="s">
        <v>74</v>
      </c>
      <c r="BP3263" t="s">
        <v>74</v>
      </c>
      <c r="BQ3263" t="s">
        <v>74</v>
      </c>
      <c r="BR3263" t="s">
        <v>102</v>
      </c>
      <c r="BS3263" t="s">
        <v>53643</v>
      </c>
      <c r="BT3263" t="str">
        <f>HYPERLINK("https%3A%2F%2Fwww.webofscience.com%2Fwos%2Fwoscc%2Ffull-record%2FWOS:000761972300001","View Full Record in Web of Science")</f>
        <v>View Full Record in Web of Science</v>
      </c>
    </row>
    <row r="3264" spans="1:72" x14ac:dyDescent="0.25">
      <c r="A3264" t="s">
        <v>72</v>
      </c>
      <c r="B3264" t="s">
        <v>53644</v>
      </c>
      <c r="C3264" t="s">
        <v>74</v>
      </c>
      <c r="D3264" t="s">
        <v>74</v>
      </c>
      <c r="E3264" t="s">
        <v>74</v>
      </c>
      <c r="F3264" t="s">
        <v>53645</v>
      </c>
      <c r="G3264" t="s">
        <v>74</v>
      </c>
      <c r="H3264" t="s">
        <v>74</v>
      </c>
      <c r="I3264" t="s">
        <v>53646</v>
      </c>
      <c r="J3264" t="s">
        <v>6283</v>
      </c>
      <c r="K3264" t="s">
        <v>74</v>
      </c>
      <c r="L3264" t="s">
        <v>74</v>
      </c>
      <c r="M3264" t="s">
        <v>78</v>
      </c>
      <c r="N3264" t="s">
        <v>372</v>
      </c>
      <c r="O3264" t="s">
        <v>74</v>
      </c>
      <c r="P3264" t="s">
        <v>74</v>
      </c>
      <c r="Q3264" t="s">
        <v>74</v>
      </c>
      <c r="R3264" t="s">
        <v>74</v>
      </c>
      <c r="S3264" t="s">
        <v>74</v>
      </c>
      <c r="T3264" t="s">
        <v>53647</v>
      </c>
      <c r="U3264" t="s">
        <v>53648</v>
      </c>
      <c r="V3264" t="s">
        <v>53649</v>
      </c>
      <c r="W3264" t="s">
        <v>53650</v>
      </c>
      <c r="X3264" t="s">
        <v>53651</v>
      </c>
      <c r="Y3264" t="s">
        <v>53652</v>
      </c>
      <c r="Z3264" t="s">
        <v>53653</v>
      </c>
      <c r="AA3264" t="s">
        <v>53654</v>
      </c>
      <c r="AB3264" t="s">
        <v>74</v>
      </c>
      <c r="AC3264" t="s">
        <v>53655</v>
      </c>
      <c r="AD3264" t="s">
        <v>53655</v>
      </c>
      <c r="AE3264" t="s">
        <v>53656</v>
      </c>
      <c r="AF3264" t="s">
        <v>74</v>
      </c>
      <c r="AG3264">
        <v>186</v>
      </c>
      <c r="AH3264">
        <v>0</v>
      </c>
      <c r="AI3264">
        <v>0</v>
      </c>
      <c r="AJ3264">
        <v>5</v>
      </c>
      <c r="AK3264">
        <v>5</v>
      </c>
      <c r="AL3264" t="s">
        <v>479</v>
      </c>
      <c r="AM3264" t="s">
        <v>480</v>
      </c>
      <c r="AN3264" t="s">
        <v>481</v>
      </c>
      <c r="AO3264" t="s">
        <v>6293</v>
      </c>
      <c r="AP3264" t="s">
        <v>6294</v>
      </c>
      <c r="AQ3264" t="s">
        <v>74</v>
      </c>
      <c r="AR3264" t="s">
        <v>6295</v>
      </c>
      <c r="AS3264" t="s">
        <v>6296</v>
      </c>
      <c r="AT3264" t="s">
        <v>53657</v>
      </c>
      <c r="AU3264">
        <v>2025</v>
      </c>
      <c r="AV3264" t="s">
        <v>74</v>
      </c>
      <c r="AW3264" t="s">
        <v>74</v>
      </c>
      <c r="AX3264" t="s">
        <v>74</v>
      </c>
      <c r="AY3264" t="s">
        <v>74</v>
      </c>
      <c r="AZ3264" t="s">
        <v>74</v>
      </c>
      <c r="BA3264" t="s">
        <v>74</v>
      </c>
      <c r="BB3264" t="s">
        <v>74</v>
      </c>
      <c r="BC3264" t="s">
        <v>74</v>
      </c>
      <c r="BD3264" t="s">
        <v>74</v>
      </c>
      <c r="BE3264" t="s">
        <v>53658</v>
      </c>
      <c r="BF3264" t="str">
        <f>HYPERLINK("http://dx.doi.org/10.1002/sd.70493","http://dx.doi.org/10.1002/sd.70493")</f>
        <v>http://dx.doi.org/10.1002/sd.70493</v>
      </c>
      <c r="BG3264" t="s">
        <v>74</v>
      </c>
      <c r="BH3264" t="s">
        <v>2044</v>
      </c>
      <c r="BI3264">
        <v>38</v>
      </c>
      <c r="BJ3264" t="s">
        <v>6299</v>
      </c>
      <c r="BK3264" t="s">
        <v>99</v>
      </c>
      <c r="BL3264" t="s">
        <v>6300</v>
      </c>
      <c r="BM3264" t="s">
        <v>53659</v>
      </c>
      <c r="BN3264" t="s">
        <v>74</v>
      </c>
      <c r="BO3264" t="s">
        <v>1205</v>
      </c>
      <c r="BP3264" t="s">
        <v>74</v>
      </c>
      <c r="BQ3264" t="s">
        <v>74</v>
      </c>
      <c r="BR3264" t="s">
        <v>102</v>
      </c>
      <c r="BS3264" t="s">
        <v>53660</v>
      </c>
      <c r="BT3264" t="str">
        <f>HYPERLINK("https%3A%2F%2Fwww.webofscience.com%2Fwos%2Fwoscc%2Ffull-record%2FWOS:001626256900001","View Full Record in Web of Science")</f>
        <v>View Full Record in Web of Science</v>
      </c>
    </row>
    <row r="3265" spans="1:72" x14ac:dyDescent="0.25">
      <c r="A3265" t="s">
        <v>72</v>
      </c>
      <c r="B3265" t="s">
        <v>53661</v>
      </c>
      <c r="C3265" t="s">
        <v>74</v>
      </c>
      <c r="D3265" t="s">
        <v>74</v>
      </c>
      <c r="E3265" t="s">
        <v>74</v>
      </c>
      <c r="F3265" t="s">
        <v>53662</v>
      </c>
      <c r="G3265" t="s">
        <v>74</v>
      </c>
      <c r="H3265" t="s">
        <v>74</v>
      </c>
      <c r="I3265" t="s">
        <v>53663</v>
      </c>
      <c r="J3265" t="s">
        <v>6594</v>
      </c>
      <c r="K3265" t="s">
        <v>74</v>
      </c>
      <c r="L3265" t="s">
        <v>74</v>
      </c>
      <c r="M3265" t="s">
        <v>298</v>
      </c>
      <c r="N3265" t="s">
        <v>79</v>
      </c>
      <c r="O3265" t="s">
        <v>74</v>
      </c>
      <c r="P3265" t="s">
        <v>74</v>
      </c>
      <c r="Q3265" t="s">
        <v>74</v>
      </c>
      <c r="R3265" t="s">
        <v>74</v>
      </c>
      <c r="S3265" t="s">
        <v>74</v>
      </c>
      <c r="T3265" t="s">
        <v>53664</v>
      </c>
      <c r="U3265" t="s">
        <v>53665</v>
      </c>
      <c r="V3265" t="s">
        <v>53666</v>
      </c>
      <c r="W3265" t="s">
        <v>53667</v>
      </c>
      <c r="X3265" t="s">
        <v>21025</v>
      </c>
      <c r="Y3265" t="s">
        <v>53668</v>
      </c>
      <c r="Z3265" t="s">
        <v>53669</v>
      </c>
      <c r="AA3265" t="s">
        <v>74</v>
      </c>
      <c r="AB3265" t="s">
        <v>53670</v>
      </c>
      <c r="AC3265" t="s">
        <v>74</v>
      </c>
      <c r="AD3265" t="s">
        <v>74</v>
      </c>
      <c r="AE3265" t="s">
        <v>74</v>
      </c>
      <c r="AF3265" t="s">
        <v>74</v>
      </c>
      <c r="AG3265">
        <v>56</v>
      </c>
      <c r="AH3265">
        <v>0</v>
      </c>
      <c r="AI3265">
        <v>0</v>
      </c>
      <c r="AJ3265">
        <v>0</v>
      </c>
      <c r="AK3265">
        <v>0</v>
      </c>
      <c r="AL3265" t="s">
        <v>6604</v>
      </c>
      <c r="AM3265" t="s">
        <v>6605</v>
      </c>
      <c r="AN3265" t="s">
        <v>6606</v>
      </c>
      <c r="AO3265" t="s">
        <v>6607</v>
      </c>
      <c r="AP3265" t="s">
        <v>6608</v>
      </c>
      <c r="AQ3265" t="s">
        <v>74</v>
      </c>
      <c r="AR3265" t="s">
        <v>6609</v>
      </c>
      <c r="AS3265" t="s">
        <v>6610</v>
      </c>
      <c r="AT3265" t="s">
        <v>6611</v>
      </c>
      <c r="AU3265">
        <v>2025</v>
      </c>
      <c r="AV3265">
        <v>15</v>
      </c>
      <c r="AW3265">
        <v>30</v>
      </c>
      <c r="AX3265" t="s">
        <v>74</v>
      </c>
      <c r="AY3265" t="s">
        <v>74</v>
      </c>
      <c r="AZ3265" t="s">
        <v>74</v>
      </c>
      <c r="BA3265" t="s">
        <v>74</v>
      </c>
      <c r="BB3265">
        <v>363</v>
      </c>
      <c r="BC3265">
        <v>378</v>
      </c>
      <c r="BD3265" t="s">
        <v>74</v>
      </c>
      <c r="BE3265" t="s">
        <v>53671</v>
      </c>
      <c r="BF3265" t="str">
        <f>HYPERLINK("http://dx.doi.org/10.17163/ret.n30.2025.10","http://dx.doi.org/10.17163/ret.n30.2025.10")</f>
        <v>http://dx.doi.org/10.17163/ret.n30.2025.10</v>
      </c>
      <c r="BG3265" t="s">
        <v>74</v>
      </c>
      <c r="BH3265" t="s">
        <v>74</v>
      </c>
      <c r="BI3265">
        <v>16</v>
      </c>
      <c r="BJ3265" t="s">
        <v>291</v>
      </c>
      <c r="BK3265" t="s">
        <v>313</v>
      </c>
      <c r="BL3265" t="s">
        <v>100</v>
      </c>
      <c r="BM3265" t="s">
        <v>53672</v>
      </c>
      <c r="BN3265" t="s">
        <v>74</v>
      </c>
      <c r="BO3265" t="s">
        <v>212</v>
      </c>
      <c r="BP3265" t="s">
        <v>74</v>
      </c>
      <c r="BQ3265" t="s">
        <v>74</v>
      </c>
      <c r="BR3265" t="s">
        <v>102</v>
      </c>
      <c r="BS3265" t="s">
        <v>53673</v>
      </c>
      <c r="BT3265" t="str">
        <f>HYPERLINK("https%3A%2F%2Fwww.webofscience.com%2Fwos%2Fwoscc%2Ffull-record%2FWOS:001591374000010","View Full Record in Web of Science")</f>
        <v>View Full Record in Web of Science</v>
      </c>
    </row>
    <row r="3266" spans="1:72" x14ac:dyDescent="0.25">
      <c r="A3266" t="s">
        <v>72</v>
      </c>
      <c r="B3266" t="s">
        <v>53674</v>
      </c>
      <c r="C3266" t="s">
        <v>74</v>
      </c>
      <c r="D3266" t="s">
        <v>74</v>
      </c>
      <c r="E3266" t="s">
        <v>74</v>
      </c>
      <c r="F3266" t="s">
        <v>53675</v>
      </c>
      <c r="G3266" t="s">
        <v>74</v>
      </c>
      <c r="H3266" t="s">
        <v>74</v>
      </c>
      <c r="I3266" t="s">
        <v>53676</v>
      </c>
      <c r="J3266" t="s">
        <v>4618</v>
      </c>
      <c r="K3266" t="s">
        <v>74</v>
      </c>
      <c r="L3266" t="s">
        <v>74</v>
      </c>
      <c r="M3266" t="s">
        <v>78</v>
      </c>
      <c r="N3266" t="s">
        <v>79</v>
      </c>
      <c r="O3266" t="s">
        <v>74</v>
      </c>
      <c r="P3266" t="s">
        <v>74</v>
      </c>
      <c r="Q3266" t="s">
        <v>74</v>
      </c>
      <c r="R3266" t="s">
        <v>74</v>
      </c>
      <c r="S3266" t="s">
        <v>74</v>
      </c>
      <c r="T3266" t="s">
        <v>53677</v>
      </c>
      <c r="U3266" t="s">
        <v>53678</v>
      </c>
      <c r="V3266" t="s">
        <v>53679</v>
      </c>
      <c r="W3266" t="s">
        <v>53680</v>
      </c>
      <c r="X3266" t="s">
        <v>53681</v>
      </c>
      <c r="Y3266" t="s">
        <v>53682</v>
      </c>
      <c r="Z3266" t="s">
        <v>53683</v>
      </c>
      <c r="AA3266" t="s">
        <v>53684</v>
      </c>
      <c r="AB3266" t="s">
        <v>53685</v>
      </c>
      <c r="AC3266" t="s">
        <v>74</v>
      </c>
      <c r="AD3266" t="s">
        <v>74</v>
      </c>
      <c r="AE3266" t="s">
        <v>74</v>
      </c>
      <c r="AF3266" t="s">
        <v>74</v>
      </c>
      <c r="AG3266">
        <v>75</v>
      </c>
      <c r="AH3266">
        <v>1</v>
      </c>
      <c r="AI3266">
        <v>1</v>
      </c>
      <c r="AJ3266">
        <v>5</v>
      </c>
      <c r="AK3266">
        <v>11</v>
      </c>
      <c r="AL3266" t="s">
        <v>89</v>
      </c>
      <c r="AM3266" t="s">
        <v>90</v>
      </c>
      <c r="AN3266" t="s">
        <v>91</v>
      </c>
      <c r="AO3266" t="s">
        <v>4627</v>
      </c>
      <c r="AP3266" t="s">
        <v>4628</v>
      </c>
      <c r="AQ3266" t="s">
        <v>74</v>
      </c>
      <c r="AR3266" t="s">
        <v>4629</v>
      </c>
      <c r="AS3266" t="s">
        <v>4630</v>
      </c>
      <c r="AT3266" t="s">
        <v>53686</v>
      </c>
      <c r="AU3266">
        <v>2025</v>
      </c>
      <c r="AV3266">
        <v>18</v>
      </c>
      <c r="AW3266">
        <v>2</v>
      </c>
      <c r="AX3266" t="s">
        <v>74</v>
      </c>
      <c r="AY3266" t="s">
        <v>74</v>
      </c>
      <c r="AZ3266" t="s">
        <v>74</v>
      </c>
      <c r="BA3266" t="s">
        <v>74</v>
      </c>
      <c r="BB3266">
        <v>402</v>
      </c>
      <c r="BC3266">
        <v>421</v>
      </c>
      <c r="BD3266" t="s">
        <v>74</v>
      </c>
      <c r="BE3266" t="s">
        <v>53687</v>
      </c>
      <c r="BF3266" t="str">
        <f>HYPERLINK("http://dx.doi.org/10.1108/IMEFM-01-2024-0011","http://dx.doi.org/10.1108/IMEFM-01-2024-0011")</f>
        <v>http://dx.doi.org/10.1108/IMEFM-01-2024-0011</v>
      </c>
      <c r="BG3266" t="s">
        <v>74</v>
      </c>
      <c r="BH3266" t="s">
        <v>1737</v>
      </c>
      <c r="BI3266">
        <v>20</v>
      </c>
      <c r="BJ3266" t="s">
        <v>4632</v>
      </c>
      <c r="BK3266" t="s">
        <v>99</v>
      </c>
      <c r="BL3266" t="s">
        <v>100</v>
      </c>
      <c r="BM3266" t="s">
        <v>53688</v>
      </c>
      <c r="BN3266" t="s">
        <v>74</v>
      </c>
      <c r="BO3266" t="s">
        <v>74</v>
      </c>
      <c r="BP3266" t="s">
        <v>74</v>
      </c>
      <c r="BQ3266" t="s">
        <v>74</v>
      </c>
      <c r="BR3266" t="s">
        <v>102</v>
      </c>
      <c r="BS3266" t="s">
        <v>53689</v>
      </c>
      <c r="BT3266" t="str">
        <f>HYPERLINK("https%3A%2F%2Fwww.webofscience.com%2Fwos%2Fwoscc%2Ffull-record%2FWOS:001393300800001","View Full Record in Web of Science")</f>
        <v>View Full Record in Web of Science</v>
      </c>
    </row>
    <row r="3267" spans="1:72" x14ac:dyDescent="0.25">
      <c r="A3267" t="s">
        <v>72</v>
      </c>
      <c r="B3267" t="s">
        <v>53690</v>
      </c>
      <c r="C3267" t="s">
        <v>74</v>
      </c>
      <c r="D3267" t="s">
        <v>74</v>
      </c>
      <c r="E3267" t="s">
        <v>74</v>
      </c>
      <c r="F3267" t="s">
        <v>53691</v>
      </c>
      <c r="G3267" t="s">
        <v>74</v>
      </c>
      <c r="H3267" t="s">
        <v>74</v>
      </c>
      <c r="I3267" t="s">
        <v>53692</v>
      </c>
      <c r="J3267" t="s">
        <v>9191</v>
      </c>
      <c r="K3267" t="s">
        <v>74</v>
      </c>
      <c r="L3267" t="s">
        <v>74</v>
      </c>
      <c r="M3267" t="s">
        <v>78</v>
      </c>
      <c r="N3267" t="s">
        <v>79</v>
      </c>
      <c r="O3267" t="s">
        <v>74</v>
      </c>
      <c r="P3267" t="s">
        <v>74</v>
      </c>
      <c r="Q3267" t="s">
        <v>74</v>
      </c>
      <c r="R3267" t="s">
        <v>74</v>
      </c>
      <c r="S3267" t="s">
        <v>74</v>
      </c>
      <c r="T3267" t="s">
        <v>53693</v>
      </c>
      <c r="U3267" t="s">
        <v>53694</v>
      </c>
      <c r="V3267" t="s">
        <v>53695</v>
      </c>
      <c r="W3267" t="s">
        <v>53696</v>
      </c>
      <c r="X3267" t="s">
        <v>53697</v>
      </c>
      <c r="Y3267" t="s">
        <v>53698</v>
      </c>
      <c r="Z3267" t="s">
        <v>53699</v>
      </c>
      <c r="AA3267" t="s">
        <v>53700</v>
      </c>
      <c r="AB3267" t="s">
        <v>53701</v>
      </c>
      <c r="AC3267" t="s">
        <v>74</v>
      </c>
      <c r="AD3267" t="s">
        <v>74</v>
      </c>
      <c r="AE3267" t="s">
        <v>74</v>
      </c>
      <c r="AF3267" t="s">
        <v>74</v>
      </c>
      <c r="AG3267">
        <v>81</v>
      </c>
      <c r="AH3267">
        <v>23</v>
      </c>
      <c r="AI3267">
        <v>27</v>
      </c>
      <c r="AJ3267">
        <v>0</v>
      </c>
      <c r="AK3267">
        <v>7</v>
      </c>
      <c r="AL3267" t="s">
        <v>9204</v>
      </c>
      <c r="AM3267" t="s">
        <v>2016</v>
      </c>
      <c r="AN3267" t="s">
        <v>9205</v>
      </c>
      <c r="AO3267" t="s">
        <v>74</v>
      </c>
      <c r="AP3267" t="s">
        <v>9206</v>
      </c>
      <c r="AQ3267" t="s">
        <v>74</v>
      </c>
      <c r="AR3267" t="s">
        <v>9191</v>
      </c>
      <c r="AS3267" t="s">
        <v>9207</v>
      </c>
      <c r="AT3267" t="s">
        <v>1652</v>
      </c>
      <c r="AU3267">
        <v>2023</v>
      </c>
      <c r="AV3267">
        <v>9</v>
      </c>
      <c r="AW3267">
        <v>6</v>
      </c>
      <c r="AX3267" t="s">
        <v>74</v>
      </c>
      <c r="AY3267" t="s">
        <v>74</v>
      </c>
      <c r="AZ3267" t="s">
        <v>74</v>
      </c>
      <c r="BA3267" t="s">
        <v>74</v>
      </c>
      <c r="BB3267" t="s">
        <v>74</v>
      </c>
      <c r="BC3267" t="s">
        <v>74</v>
      </c>
      <c r="BD3267" t="s">
        <v>53702</v>
      </c>
      <c r="BE3267" t="s">
        <v>53703</v>
      </c>
      <c r="BF3267" t="str">
        <f>HYPERLINK("http://dx.doi.org/10.1016/j.heliyon.2023.e17133","http://dx.doi.org/10.1016/j.heliyon.2023.e17133")</f>
        <v>http://dx.doi.org/10.1016/j.heliyon.2023.e17133</v>
      </c>
      <c r="BG3267" t="s">
        <v>74</v>
      </c>
      <c r="BH3267" t="s">
        <v>13995</v>
      </c>
      <c r="BI3267">
        <v>12</v>
      </c>
      <c r="BJ3267" t="s">
        <v>559</v>
      </c>
      <c r="BK3267" t="s">
        <v>128</v>
      </c>
      <c r="BL3267" t="s">
        <v>560</v>
      </c>
      <c r="BM3267" t="s">
        <v>53704</v>
      </c>
      <c r="BN3267">
        <v>37484335</v>
      </c>
      <c r="BO3267" t="s">
        <v>916</v>
      </c>
      <c r="BP3267" t="s">
        <v>74</v>
      </c>
      <c r="BQ3267" t="s">
        <v>74</v>
      </c>
      <c r="BR3267" t="s">
        <v>102</v>
      </c>
      <c r="BS3267" t="s">
        <v>53705</v>
      </c>
      <c r="BT3267" t="str">
        <f>HYPERLINK("https%3A%2F%2Fwww.webofscience.com%2Fwos%2Fwoscc%2Ffull-record%2FWOS:001043542100001","View Full Record in Web of Science")</f>
        <v>View Full Record in Web of Science</v>
      </c>
    </row>
    <row r="3268" spans="1:72" x14ac:dyDescent="0.25">
      <c r="A3268" t="s">
        <v>132</v>
      </c>
      <c r="B3268" t="s">
        <v>53706</v>
      </c>
      <c r="C3268" t="s">
        <v>74</v>
      </c>
      <c r="D3268" t="s">
        <v>74</v>
      </c>
      <c r="E3268" t="s">
        <v>134</v>
      </c>
      <c r="F3268" t="s">
        <v>53707</v>
      </c>
      <c r="G3268" t="s">
        <v>74</v>
      </c>
      <c r="H3268" t="s">
        <v>74</v>
      </c>
      <c r="I3268" t="s">
        <v>53708</v>
      </c>
      <c r="J3268" t="s">
        <v>53709</v>
      </c>
      <c r="K3268" t="s">
        <v>74</v>
      </c>
      <c r="L3268" t="s">
        <v>74</v>
      </c>
      <c r="M3268" t="s">
        <v>78</v>
      </c>
      <c r="N3268" t="s">
        <v>138</v>
      </c>
      <c r="O3268" t="s">
        <v>53710</v>
      </c>
      <c r="P3268" t="s">
        <v>53711</v>
      </c>
      <c r="Q3268" t="s">
        <v>11799</v>
      </c>
      <c r="R3268" t="s">
        <v>53712</v>
      </c>
      <c r="S3268" t="s">
        <v>74</v>
      </c>
      <c r="T3268" t="s">
        <v>53713</v>
      </c>
      <c r="U3268" t="s">
        <v>74</v>
      </c>
      <c r="V3268" t="s">
        <v>53714</v>
      </c>
      <c r="W3268" t="s">
        <v>53715</v>
      </c>
      <c r="X3268" t="s">
        <v>74</v>
      </c>
      <c r="Y3268" t="s">
        <v>53716</v>
      </c>
      <c r="Z3268" t="s">
        <v>53717</v>
      </c>
      <c r="AA3268" t="s">
        <v>74</v>
      </c>
      <c r="AB3268" t="s">
        <v>53718</v>
      </c>
      <c r="AC3268" t="s">
        <v>74</v>
      </c>
      <c r="AD3268" t="s">
        <v>74</v>
      </c>
      <c r="AE3268" t="s">
        <v>74</v>
      </c>
      <c r="AF3268" t="s">
        <v>74</v>
      </c>
      <c r="AG3268">
        <v>10</v>
      </c>
      <c r="AH3268">
        <v>5</v>
      </c>
      <c r="AI3268">
        <v>6</v>
      </c>
      <c r="AJ3268">
        <v>0</v>
      </c>
      <c r="AK3268">
        <v>2</v>
      </c>
      <c r="AL3268" t="s">
        <v>150</v>
      </c>
      <c r="AM3268" t="s">
        <v>151</v>
      </c>
      <c r="AN3268" t="s">
        <v>1560</v>
      </c>
      <c r="AO3268" t="s">
        <v>74</v>
      </c>
      <c r="AP3268" t="s">
        <v>74</v>
      </c>
      <c r="AQ3268" t="s">
        <v>53719</v>
      </c>
      <c r="AR3268" t="s">
        <v>74</v>
      </c>
      <c r="AS3268" t="s">
        <v>74</v>
      </c>
      <c r="AT3268" t="s">
        <v>74</v>
      </c>
      <c r="AU3268">
        <v>2023</v>
      </c>
      <c r="AV3268" t="s">
        <v>74</v>
      </c>
      <c r="AW3268" t="s">
        <v>74</v>
      </c>
      <c r="AX3268" t="s">
        <v>74</v>
      </c>
      <c r="AY3268" t="s">
        <v>74</v>
      </c>
      <c r="AZ3268" t="s">
        <v>74</v>
      </c>
      <c r="BA3268" t="s">
        <v>74</v>
      </c>
      <c r="BB3268">
        <v>99</v>
      </c>
      <c r="BC3268">
        <v>106</v>
      </c>
      <c r="BD3268" t="s">
        <v>74</v>
      </c>
      <c r="BE3268" t="s">
        <v>53720</v>
      </c>
      <c r="BF3268" t="str">
        <f>HYPERLINK("http://dx.doi.org/10.1145/3588001.3609367","http://dx.doi.org/10.1145/3588001.3609367")</f>
        <v>http://dx.doi.org/10.1145/3588001.3609367</v>
      </c>
      <c r="BG3268" t="s">
        <v>74</v>
      </c>
      <c r="BH3268" t="s">
        <v>74</v>
      </c>
      <c r="BI3268">
        <v>8</v>
      </c>
      <c r="BJ3268" t="s">
        <v>53721</v>
      </c>
      <c r="BK3268" t="s">
        <v>1069</v>
      </c>
      <c r="BL3268" t="s">
        <v>53722</v>
      </c>
      <c r="BM3268" t="s">
        <v>53723</v>
      </c>
      <c r="BN3268" t="s">
        <v>74</v>
      </c>
      <c r="BO3268" t="s">
        <v>212</v>
      </c>
      <c r="BP3268" t="s">
        <v>74</v>
      </c>
      <c r="BQ3268" t="s">
        <v>74</v>
      </c>
      <c r="BR3268" t="s">
        <v>102</v>
      </c>
      <c r="BS3268" t="s">
        <v>53724</v>
      </c>
      <c r="BT3268" t="str">
        <f>HYPERLINK("https%3A%2F%2Fwww.webofscience.com%2Fwos%2Fwoscc%2Ffull-record%2FWOS:001147880400011","View Full Record in Web of Science")</f>
        <v>View Full Record in Web of Science</v>
      </c>
    </row>
    <row r="3269" spans="1:72" x14ac:dyDescent="0.25">
      <c r="A3269" t="s">
        <v>72</v>
      </c>
      <c r="B3269" t="s">
        <v>14660</v>
      </c>
      <c r="C3269" t="s">
        <v>74</v>
      </c>
      <c r="D3269" t="s">
        <v>74</v>
      </c>
      <c r="E3269" t="s">
        <v>74</v>
      </c>
      <c r="F3269" t="s">
        <v>14661</v>
      </c>
      <c r="G3269" t="s">
        <v>74</v>
      </c>
      <c r="H3269" t="s">
        <v>74</v>
      </c>
      <c r="I3269" t="s">
        <v>53725</v>
      </c>
      <c r="J3269" t="s">
        <v>8087</v>
      </c>
      <c r="K3269" t="s">
        <v>74</v>
      </c>
      <c r="L3269" t="s">
        <v>74</v>
      </c>
      <c r="M3269" t="s">
        <v>78</v>
      </c>
      <c r="N3269" t="s">
        <v>79</v>
      </c>
      <c r="O3269" t="s">
        <v>74</v>
      </c>
      <c r="P3269" t="s">
        <v>74</v>
      </c>
      <c r="Q3269" t="s">
        <v>74</v>
      </c>
      <c r="R3269" t="s">
        <v>74</v>
      </c>
      <c r="S3269" t="s">
        <v>74</v>
      </c>
      <c r="T3269" t="s">
        <v>74</v>
      </c>
      <c r="U3269" t="s">
        <v>74</v>
      </c>
      <c r="V3269" t="s">
        <v>53726</v>
      </c>
      <c r="W3269" t="s">
        <v>39308</v>
      </c>
      <c r="X3269" t="s">
        <v>14667</v>
      </c>
      <c r="Y3269" t="s">
        <v>18099</v>
      </c>
      <c r="Z3269" t="s">
        <v>14669</v>
      </c>
      <c r="AA3269" t="s">
        <v>14670</v>
      </c>
      <c r="AB3269" t="s">
        <v>14671</v>
      </c>
      <c r="AC3269" t="s">
        <v>74</v>
      </c>
      <c r="AD3269" t="s">
        <v>74</v>
      </c>
      <c r="AE3269" t="s">
        <v>74</v>
      </c>
      <c r="AF3269" t="s">
        <v>74</v>
      </c>
      <c r="AG3269">
        <v>33</v>
      </c>
      <c r="AH3269">
        <v>40</v>
      </c>
      <c r="AI3269">
        <v>53</v>
      </c>
      <c r="AJ3269">
        <v>1</v>
      </c>
      <c r="AK3269">
        <v>37</v>
      </c>
      <c r="AL3269" t="s">
        <v>479</v>
      </c>
      <c r="AM3269" t="s">
        <v>480</v>
      </c>
      <c r="AN3269" t="s">
        <v>481</v>
      </c>
      <c r="AO3269" t="s">
        <v>8097</v>
      </c>
      <c r="AP3269" t="s">
        <v>8098</v>
      </c>
      <c r="AQ3269" t="s">
        <v>74</v>
      </c>
      <c r="AR3269" t="s">
        <v>8099</v>
      </c>
      <c r="AS3269" t="s">
        <v>8100</v>
      </c>
      <c r="AT3269" t="s">
        <v>848</v>
      </c>
      <c r="AU3269">
        <v>2018</v>
      </c>
      <c r="AV3269">
        <v>42</v>
      </c>
      <c r="AW3269">
        <v>4</v>
      </c>
      <c r="AX3269" t="s">
        <v>74</v>
      </c>
      <c r="AY3269" t="s">
        <v>74</v>
      </c>
      <c r="AZ3269" t="s">
        <v>74</v>
      </c>
      <c r="BA3269" t="s">
        <v>74</v>
      </c>
      <c r="BB3269">
        <v>448</v>
      </c>
      <c r="BC3269">
        <v>459</v>
      </c>
      <c r="BD3269" t="s">
        <v>74</v>
      </c>
      <c r="BE3269" t="s">
        <v>53727</v>
      </c>
      <c r="BF3269" t="str">
        <f>HYPERLINK("http://dx.doi.org/10.1111/ijcs.12445","http://dx.doi.org/10.1111/ijcs.12445")</f>
        <v>http://dx.doi.org/10.1111/ijcs.12445</v>
      </c>
      <c r="BG3269" t="s">
        <v>74</v>
      </c>
      <c r="BH3269" t="s">
        <v>74</v>
      </c>
      <c r="BI3269">
        <v>12</v>
      </c>
      <c r="BJ3269" t="s">
        <v>418</v>
      </c>
      <c r="BK3269" t="s">
        <v>99</v>
      </c>
      <c r="BL3269" t="s">
        <v>100</v>
      </c>
      <c r="BM3269" t="s">
        <v>53728</v>
      </c>
      <c r="BN3269" t="s">
        <v>74</v>
      </c>
      <c r="BO3269" t="s">
        <v>74</v>
      </c>
      <c r="BP3269" t="s">
        <v>74</v>
      </c>
      <c r="BQ3269" t="s">
        <v>74</v>
      </c>
      <c r="BR3269" t="s">
        <v>102</v>
      </c>
      <c r="BS3269" t="s">
        <v>53729</v>
      </c>
      <c r="BT3269" t="str">
        <f>HYPERLINK("https%3A%2F%2Fwww.webofscience.com%2Fwos%2Fwoscc%2Ffull-record%2FWOS:000438204600008","View Full Record in Web of Science")</f>
        <v>View Full Record in Web of Science</v>
      </c>
    </row>
    <row r="3270" spans="1:72" x14ac:dyDescent="0.25">
      <c r="A3270" t="s">
        <v>72</v>
      </c>
      <c r="B3270" t="s">
        <v>53730</v>
      </c>
      <c r="C3270" t="s">
        <v>74</v>
      </c>
      <c r="D3270" t="s">
        <v>74</v>
      </c>
      <c r="E3270" t="s">
        <v>74</v>
      </c>
      <c r="F3270" t="s">
        <v>53731</v>
      </c>
      <c r="G3270" t="s">
        <v>74</v>
      </c>
      <c r="H3270" t="s">
        <v>74</v>
      </c>
      <c r="I3270" t="s">
        <v>53732</v>
      </c>
      <c r="J3270" t="s">
        <v>12427</v>
      </c>
      <c r="K3270" t="s">
        <v>74</v>
      </c>
      <c r="L3270" t="s">
        <v>74</v>
      </c>
      <c r="M3270" t="s">
        <v>78</v>
      </c>
      <c r="N3270" t="s">
        <v>79</v>
      </c>
      <c r="O3270" t="s">
        <v>74</v>
      </c>
      <c r="P3270" t="s">
        <v>74</v>
      </c>
      <c r="Q3270" t="s">
        <v>74</v>
      </c>
      <c r="R3270" t="s">
        <v>74</v>
      </c>
      <c r="S3270" t="s">
        <v>74</v>
      </c>
      <c r="T3270" t="s">
        <v>53733</v>
      </c>
      <c r="U3270" t="s">
        <v>4348</v>
      </c>
      <c r="V3270" t="s">
        <v>53734</v>
      </c>
      <c r="W3270" t="s">
        <v>53735</v>
      </c>
      <c r="X3270" t="s">
        <v>41169</v>
      </c>
      <c r="Y3270" t="s">
        <v>41170</v>
      </c>
      <c r="Z3270" t="s">
        <v>53736</v>
      </c>
      <c r="AA3270" t="s">
        <v>41172</v>
      </c>
      <c r="AB3270" t="s">
        <v>41173</v>
      </c>
      <c r="AC3270" t="s">
        <v>74</v>
      </c>
      <c r="AD3270" t="s">
        <v>74</v>
      </c>
      <c r="AE3270" t="s">
        <v>74</v>
      </c>
      <c r="AF3270" t="s">
        <v>74</v>
      </c>
      <c r="AG3270">
        <v>80</v>
      </c>
      <c r="AH3270">
        <v>16</v>
      </c>
      <c r="AI3270">
        <v>20</v>
      </c>
      <c r="AJ3270">
        <v>3</v>
      </c>
      <c r="AK3270">
        <v>10</v>
      </c>
      <c r="AL3270" t="s">
        <v>201</v>
      </c>
      <c r="AM3270" t="s">
        <v>202</v>
      </c>
      <c r="AN3270" t="s">
        <v>203</v>
      </c>
      <c r="AO3270" t="s">
        <v>74</v>
      </c>
      <c r="AP3270" t="s">
        <v>12435</v>
      </c>
      <c r="AQ3270" t="s">
        <v>74</v>
      </c>
      <c r="AR3270" t="s">
        <v>12436</v>
      </c>
      <c r="AS3270" t="s">
        <v>12437</v>
      </c>
      <c r="AT3270" t="s">
        <v>1652</v>
      </c>
      <c r="AU3270">
        <v>2024</v>
      </c>
      <c r="AV3270">
        <v>4</v>
      </c>
      <c r="AW3270">
        <v>1</v>
      </c>
      <c r="AX3270" t="s">
        <v>74</v>
      </c>
      <c r="AY3270" t="s">
        <v>74</v>
      </c>
      <c r="AZ3270" t="s">
        <v>74</v>
      </c>
      <c r="BA3270" t="s">
        <v>74</v>
      </c>
      <c r="BB3270" t="s">
        <v>74</v>
      </c>
      <c r="BC3270" t="s">
        <v>74</v>
      </c>
      <c r="BD3270">
        <v>100074</v>
      </c>
      <c r="BE3270" t="s">
        <v>53737</v>
      </c>
      <c r="BF3270" t="str">
        <f>HYPERLINK("http://dx.doi.org/10.1016/j.digbus.2024.100074","http://dx.doi.org/10.1016/j.digbus.2024.100074")</f>
        <v>http://dx.doi.org/10.1016/j.digbus.2024.100074</v>
      </c>
      <c r="BG3270" t="s">
        <v>74</v>
      </c>
      <c r="BH3270" t="s">
        <v>1239</v>
      </c>
      <c r="BI3270">
        <v>12</v>
      </c>
      <c r="BJ3270" t="s">
        <v>98</v>
      </c>
      <c r="BK3270" t="s">
        <v>313</v>
      </c>
      <c r="BL3270" t="s">
        <v>100</v>
      </c>
      <c r="BM3270" t="s">
        <v>53738</v>
      </c>
      <c r="BN3270" t="s">
        <v>74</v>
      </c>
      <c r="BO3270" t="s">
        <v>212</v>
      </c>
      <c r="BP3270" t="s">
        <v>74</v>
      </c>
      <c r="BQ3270" t="s">
        <v>74</v>
      </c>
      <c r="BR3270" t="s">
        <v>102</v>
      </c>
      <c r="BS3270" t="s">
        <v>53739</v>
      </c>
      <c r="BT3270" t="str">
        <f>HYPERLINK("https%3A%2F%2Fwww.webofscience.com%2Fwos%2Fwoscc%2Ffull-record%2FWOS:001302753900001","View Full Record in Web of Science")</f>
        <v>View Full Record in Web of Science</v>
      </c>
    </row>
    <row r="3271" spans="1:72" x14ac:dyDescent="0.25">
      <c r="A3271" t="s">
        <v>72</v>
      </c>
      <c r="B3271" t="s">
        <v>53740</v>
      </c>
      <c r="C3271" t="s">
        <v>74</v>
      </c>
      <c r="D3271" t="s">
        <v>74</v>
      </c>
      <c r="E3271" t="s">
        <v>74</v>
      </c>
      <c r="F3271" t="s">
        <v>53741</v>
      </c>
      <c r="G3271" t="s">
        <v>74</v>
      </c>
      <c r="H3271" t="s">
        <v>74</v>
      </c>
      <c r="I3271" t="s">
        <v>53742</v>
      </c>
      <c r="J3271" t="s">
        <v>7728</v>
      </c>
      <c r="K3271" t="s">
        <v>74</v>
      </c>
      <c r="L3271" t="s">
        <v>74</v>
      </c>
      <c r="M3271" t="s">
        <v>78</v>
      </c>
      <c r="N3271" t="s">
        <v>79</v>
      </c>
      <c r="O3271" t="s">
        <v>74</v>
      </c>
      <c r="P3271" t="s">
        <v>74</v>
      </c>
      <c r="Q3271" t="s">
        <v>74</v>
      </c>
      <c r="R3271" t="s">
        <v>74</v>
      </c>
      <c r="S3271" t="s">
        <v>74</v>
      </c>
      <c r="T3271" t="s">
        <v>53743</v>
      </c>
      <c r="U3271" t="s">
        <v>53744</v>
      </c>
      <c r="V3271" t="s">
        <v>53745</v>
      </c>
      <c r="W3271" t="s">
        <v>53746</v>
      </c>
      <c r="X3271" t="s">
        <v>36426</v>
      </c>
      <c r="Y3271" t="s">
        <v>53747</v>
      </c>
      <c r="Z3271" t="s">
        <v>53748</v>
      </c>
      <c r="AA3271" t="s">
        <v>74</v>
      </c>
      <c r="AB3271" t="s">
        <v>74</v>
      </c>
      <c r="AC3271" t="s">
        <v>74</v>
      </c>
      <c r="AD3271" t="s">
        <v>74</v>
      </c>
      <c r="AE3271" t="s">
        <v>74</v>
      </c>
      <c r="AF3271" t="s">
        <v>74</v>
      </c>
      <c r="AG3271">
        <v>62</v>
      </c>
      <c r="AH3271">
        <v>0</v>
      </c>
      <c r="AI3271">
        <v>0</v>
      </c>
      <c r="AJ3271">
        <v>1</v>
      </c>
      <c r="AK3271">
        <v>1</v>
      </c>
      <c r="AL3271" t="s">
        <v>2371</v>
      </c>
      <c r="AM3271" t="s">
        <v>2372</v>
      </c>
      <c r="AN3271" t="s">
        <v>2373</v>
      </c>
      <c r="AO3271" t="s">
        <v>7738</v>
      </c>
      <c r="AP3271" t="s">
        <v>7739</v>
      </c>
      <c r="AQ3271" t="s">
        <v>74</v>
      </c>
      <c r="AR3271" t="s">
        <v>7740</v>
      </c>
      <c r="AS3271" t="s">
        <v>7741</v>
      </c>
      <c r="AT3271" t="s">
        <v>74</v>
      </c>
      <c r="AU3271">
        <v>2024</v>
      </c>
      <c r="AV3271">
        <v>30</v>
      </c>
      <c r="AW3271">
        <v>4</v>
      </c>
      <c r="AX3271" t="s">
        <v>74</v>
      </c>
      <c r="AY3271" t="s">
        <v>74</v>
      </c>
      <c r="AZ3271" t="s">
        <v>74</v>
      </c>
      <c r="BA3271" t="s">
        <v>74</v>
      </c>
      <c r="BB3271">
        <v>485</v>
      </c>
      <c r="BC3271">
        <v>512</v>
      </c>
      <c r="BD3271" t="s">
        <v>74</v>
      </c>
      <c r="BE3271" t="s">
        <v>53749</v>
      </c>
      <c r="BF3271" t="str">
        <f>HYPERLINK("http://dx.doi.org/10.1504/GBER.2024.138798","http://dx.doi.org/10.1504/GBER.2024.138798")</f>
        <v>http://dx.doi.org/10.1504/GBER.2024.138798</v>
      </c>
      <c r="BG3271" t="s">
        <v>74</v>
      </c>
      <c r="BH3271" t="s">
        <v>74</v>
      </c>
      <c r="BI3271">
        <v>28</v>
      </c>
      <c r="BJ3271" t="s">
        <v>1453</v>
      </c>
      <c r="BK3271" t="s">
        <v>313</v>
      </c>
      <c r="BL3271" t="s">
        <v>100</v>
      </c>
      <c r="BM3271" t="s">
        <v>53750</v>
      </c>
      <c r="BN3271" t="s">
        <v>74</v>
      </c>
      <c r="BO3271" t="s">
        <v>74</v>
      </c>
      <c r="BP3271" t="s">
        <v>74</v>
      </c>
      <c r="BQ3271" t="s">
        <v>74</v>
      </c>
      <c r="BR3271" t="s">
        <v>102</v>
      </c>
      <c r="BS3271" t="s">
        <v>53751</v>
      </c>
      <c r="BT3271" t="str">
        <f>HYPERLINK("https%3A%2F%2Fwww.webofscience.com%2Fwos%2Fwoscc%2Ffull-record%2FWOS:001551743800006","View Full Record in Web of Science")</f>
        <v>View Full Record in Web of Science</v>
      </c>
    </row>
    <row r="3272" spans="1:72" x14ac:dyDescent="0.25">
      <c r="A3272" t="s">
        <v>132</v>
      </c>
      <c r="B3272" t="s">
        <v>53752</v>
      </c>
      <c r="C3272" t="s">
        <v>74</v>
      </c>
      <c r="D3272" t="s">
        <v>74</v>
      </c>
      <c r="E3272" t="s">
        <v>771</v>
      </c>
      <c r="F3272" t="s">
        <v>53753</v>
      </c>
      <c r="G3272" t="s">
        <v>74</v>
      </c>
      <c r="H3272" t="s">
        <v>74</v>
      </c>
      <c r="I3272" t="s">
        <v>53754</v>
      </c>
      <c r="J3272" t="s">
        <v>53755</v>
      </c>
      <c r="K3272" t="s">
        <v>74</v>
      </c>
      <c r="L3272" t="s">
        <v>74</v>
      </c>
      <c r="M3272" t="s">
        <v>78</v>
      </c>
      <c r="N3272" t="s">
        <v>138</v>
      </c>
      <c r="O3272" t="s">
        <v>53756</v>
      </c>
      <c r="P3272" t="s">
        <v>53757</v>
      </c>
      <c r="Q3272" t="s">
        <v>53758</v>
      </c>
      <c r="R3272" t="s">
        <v>53759</v>
      </c>
      <c r="S3272" t="s">
        <v>74</v>
      </c>
      <c r="T3272" t="s">
        <v>53760</v>
      </c>
      <c r="U3272" t="s">
        <v>53761</v>
      </c>
      <c r="V3272" t="s">
        <v>53762</v>
      </c>
      <c r="W3272" t="s">
        <v>53763</v>
      </c>
      <c r="X3272" t="s">
        <v>53764</v>
      </c>
      <c r="Y3272" t="s">
        <v>53765</v>
      </c>
      <c r="Z3272" t="s">
        <v>53766</v>
      </c>
      <c r="AA3272" t="s">
        <v>53767</v>
      </c>
      <c r="AB3272" t="s">
        <v>74</v>
      </c>
      <c r="AC3272" t="s">
        <v>74</v>
      </c>
      <c r="AD3272" t="s">
        <v>74</v>
      </c>
      <c r="AE3272" t="s">
        <v>74</v>
      </c>
      <c r="AF3272" t="s">
        <v>74</v>
      </c>
      <c r="AG3272">
        <v>34</v>
      </c>
      <c r="AH3272">
        <v>5</v>
      </c>
      <c r="AI3272">
        <v>6</v>
      </c>
      <c r="AJ3272">
        <v>0</v>
      </c>
      <c r="AK3272">
        <v>2</v>
      </c>
      <c r="AL3272" t="s">
        <v>771</v>
      </c>
      <c r="AM3272" t="s">
        <v>151</v>
      </c>
      <c r="AN3272" t="s">
        <v>785</v>
      </c>
      <c r="AO3272" t="s">
        <v>74</v>
      </c>
      <c r="AP3272" t="s">
        <v>74</v>
      </c>
      <c r="AQ3272" t="s">
        <v>53768</v>
      </c>
      <c r="AR3272" t="s">
        <v>74</v>
      </c>
      <c r="AS3272" t="s">
        <v>74</v>
      </c>
      <c r="AT3272" t="s">
        <v>74</v>
      </c>
      <c r="AU3272">
        <v>2019</v>
      </c>
      <c r="AV3272" t="s">
        <v>74</v>
      </c>
      <c r="AW3272" t="s">
        <v>74</v>
      </c>
      <c r="AX3272" t="s">
        <v>74</v>
      </c>
      <c r="AY3272" t="s">
        <v>74</v>
      </c>
      <c r="AZ3272" t="s">
        <v>74</v>
      </c>
      <c r="BA3272" t="s">
        <v>74</v>
      </c>
      <c r="BB3272" t="s">
        <v>74</v>
      </c>
      <c r="BC3272" t="s">
        <v>74</v>
      </c>
      <c r="BD3272" t="s">
        <v>74</v>
      </c>
      <c r="BE3272" t="s">
        <v>53769</v>
      </c>
      <c r="BF3272" t="str">
        <f>HYPERLINK("http://dx.doi.org/10.1109/macs48846.2019.9024818","http://dx.doi.org/10.1109/macs48846.2019.9024818")</f>
        <v>http://dx.doi.org/10.1109/macs48846.2019.9024818</v>
      </c>
      <c r="BG3272" t="s">
        <v>74</v>
      </c>
      <c r="BH3272" t="s">
        <v>74</v>
      </c>
      <c r="BI3272">
        <v>7</v>
      </c>
      <c r="BJ3272" t="s">
        <v>53770</v>
      </c>
      <c r="BK3272" t="s">
        <v>156</v>
      </c>
      <c r="BL3272" t="s">
        <v>53771</v>
      </c>
      <c r="BM3272" t="s">
        <v>53772</v>
      </c>
      <c r="BN3272" t="s">
        <v>74</v>
      </c>
      <c r="BO3272" t="s">
        <v>74</v>
      </c>
      <c r="BP3272" t="s">
        <v>74</v>
      </c>
      <c r="BQ3272" t="s">
        <v>74</v>
      </c>
      <c r="BR3272" t="s">
        <v>102</v>
      </c>
      <c r="BS3272" t="s">
        <v>53773</v>
      </c>
      <c r="BT3272" t="str">
        <f>HYPERLINK("https%3A%2F%2Fwww.webofscience.com%2Fwos%2Fwoscc%2Ffull-record%2FWOS:000557908800056","View Full Record in Web of Science")</f>
        <v>View Full Record in Web of Science</v>
      </c>
    </row>
    <row r="3273" spans="1:72" x14ac:dyDescent="0.25">
      <c r="A3273" t="s">
        <v>72</v>
      </c>
      <c r="B3273" t="s">
        <v>53774</v>
      </c>
      <c r="C3273" t="s">
        <v>74</v>
      </c>
      <c r="D3273" t="s">
        <v>74</v>
      </c>
      <c r="E3273" t="s">
        <v>74</v>
      </c>
      <c r="F3273" t="s">
        <v>53775</v>
      </c>
      <c r="G3273" t="s">
        <v>74</v>
      </c>
      <c r="H3273" t="s">
        <v>74</v>
      </c>
      <c r="I3273" t="s">
        <v>53776</v>
      </c>
      <c r="J3273" t="s">
        <v>2896</v>
      </c>
      <c r="K3273" t="s">
        <v>74</v>
      </c>
      <c r="L3273" t="s">
        <v>74</v>
      </c>
      <c r="M3273" t="s">
        <v>78</v>
      </c>
      <c r="N3273" t="s">
        <v>79</v>
      </c>
      <c r="O3273" t="s">
        <v>74</v>
      </c>
      <c r="P3273" t="s">
        <v>74</v>
      </c>
      <c r="Q3273" t="s">
        <v>74</v>
      </c>
      <c r="R3273" t="s">
        <v>74</v>
      </c>
      <c r="S3273" t="s">
        <v>74</v>
      </c>
      <c r="T3273" t="s">
        <v>53777</v>
      </c>
      <c r="U3273" t="s">
        <v>53778</v>
      </c>
      <c r="V3273" t="s">
        <v>53779</v>
      </c>
      <c r="W3273" t="s">
        <v>53780</v>
      </c>
      <c r="X3273" t="s">
        <v>53781</v>
      </c>
      <c r="Y3273" t="s">
        <v>53782</v>
      </c>
      <c r="Z3273" t="s">
        <v>53783</v>
      </c>
      <c r="AA3273" t="s">
        <v>53784</v>
      </c>
      <c r="AB3273" t="s">
        <v>53785</v>
      </c>
      <c r="AC3273" t="s">
        <v>53786</v>
      </c>
      <c r="AD3273" t="s">
        <v>53786</v>
      </c>
      <c r="AE3273" t="s">
        <v>53787</v>
      </c>
      <c r="AF3273" t="s">
        <v>74</v>
      </c>
      <c r="AG3273">
        <v>63</v>
      </c>
      <c r="AH3273">
        <v>0</v>
      </c>
      <c r="AI3273">
        <v>0</v>
      </c>
      <c r="AJ3273">
        <v>0</v>
      </c>
      <c r="AK3273">
        <v>3</v>
      </c>
      <c r="AL3273" t="s">
        <v>2907</v>
      </c>
      <c r="AM3273" t="s">
        <v>2908</v>
      </c>
      <c r="AN3273" t="s">
        <v>2909</v>
      </c>
      <c r="AO3273" t="s">
        <v>2910</v>
      </c>
      <c r="AP3273" t="s">
        <v>12978</v>
      </c>
      <c r="AQ3273" t="s">
        <v>74</v>
      </c>
      <c r="AR3273" t="s">
        <v>2911</v>
      </c>
      <c r="AS3273" t="s">
        <v>2912</v>
      </c>
      <c r="AT3273" t="s">
        <v>891</v>
      </c>
      <c r="AU3273">
        <v>2017</v>
      </c>
      <c r="AV3273">
        <v>29</v>
      </c>
      <c r="AW3273">
        <v>5</v>
      </c>
      <c r="AX3273" t="s">
        <v>74</v>
      </c>
      <c r="AY3273" t="s">
        <v>74</v>
      </c>
      <c r="AZ3273" t="s">
        <v>74</v>
      </c>
      <c r="BA3273" t="s">
        <v>74</v>
      </c>
      <c r="BB3273">
        <v>1053</v>
      </c>
      <c r="BC3273">
        <v>1069</v>
      </c>
      <c r="BD3273" t="s">
        <v>74</v>
      </c>
      <c r="BE3273" t="s">
        <v>53788</v>
      </c>
      <c r="BF3273" t="str">
        <f>HYPERLINK("http://dx.doi.org/10.1057/s41287-016-0071-2","http://dx.doi.org/10.1057/s41287-016-0071-2")</f>
        <v>http://dx.doi.org/10.1057/s41287-016-0071-2</v>
      </c>
      <c r="BG3273" t="s">
        <v>74</v>
      </c>
      <c r="BH3273" t="s">
        <v>74</v>
      </c>
      <c r="BI3273">
        <v>17</v>
      </c>
      <c r="BJ3273" t="s">
        <v>1137</v>
      </c>
      <c r="BK3273" t="s">
        <v>99</v>
      </c>
      <c r="BL3273" t="s">
        <v>1137</v>
      </c>
      <c r="BM3273" t="s">
        <v>53789</v>
      </c>
      <c r="BN3273" t="s">
        <v>74</v>
      </c>
      <c r="BO3273" t="s">
        <v>74</v>
      </c>
      <c r="BP3273" t="s">
        <v>74</v>
      </c>
      <c r="BQ3273" t="s">
        <v>74</v>
      </c>
      <c r="BR3273" t="s">
        <v>102</v>
      </c>
      <c r="BS3273" t="s">
        <v>53790</v>
      </c>
      <c r="BT3273" t="str">
        <f>HYPERLINK("https%3A%2F%2Fwww.webofscience.com%2Fwos%2Fwoscc%2Ffull-record%2FWOS:000415762900007","View Full Record in Web of Science")</f>
        <v>View Full Record in Web of Science</v>
      </c>
    </row>
    <row r="3274" spans="1:72" x14ac:dyDescent="0.25">
      <c r="A3274" t="s">
        <v>72</v>
      </c>
      <c r="B3274" t="s">
        <v>53791</v>
      </c>
      <c r="C3274" t="s">
        <v>74</v>
      </c>
      <c r="D3274" t="s">
        <v>74</v>
      </c>
      <c r="E3274" t="s">
        <v>74</v>
      </c>
      <c r="F3274" t="s">
        <v>53792</v>
      </c>
      <c r="G3274" t="s">
        <v>74</v>
      </c>
      <c r="H3274" t="s">
        <v>74</v>
      </c>
      <c r="I3274" t="s">
        <v>53793</v>
      </c>
      <c r="J3274" t="s">
        <v>34159</v>
      </c>
      <c r="K3274" t="s">
        <v>74</v>
      </c>
      <c r="L3274" t="s">
        <v>74</v>
      </c>
      <c r="M3274" t="s">
        <v>78</v>
      </c>
      <c r="N3274" t="s">
        <v>79</v>
      </c>
      <c r="O3274" t="s">
        <v>74</v>
      </c>
      <c r="P3274" t="s">
        <v>74</v>
      </c>
      <c r="Q3274" t="s">
        <v>74</v>
      </c>
      <c r="R3274" t="s">
        <v>74</v>
      </c>
      <c r="S3274" t="s">
        <v>74</v>
      </c>
      <c r="T3274" t="s">
        <v>53794</v>
      </c>
      <c r="U3274" t="s">
        <v>53795</v>
      </c>
      <c r="V3274" t="s">
        <v>53796</v>
      </c>
      <c r="W3274" t="s">
        <v>53797</v>
      </c>
      <c r="X3274" t="s">
        <v>52867</v>
      </c>
      <c r="Y3274" t="s">
        <v>53798</v>
      </c>
      <c r="Z3274" t="s">
        <v>53799</v>
      </c>
      <c r="AA3274" t="s">
        <v>74</v>
      </c>
      <c r="AB3274" t="s">
        <v>53800</v>
      </c>
      <c r="AC3274" t="s">
        <v>53801</v>
      </c>
      <c r="AD3274" t="s">
        <v>53802</v>
      </c>
      <c r="AE3274" t="s">
        <v>53803</v>
      </c>
      <c r="AF3274" t="s">
        <v>74</v>
      </c>
      <c r="AG3274">
        <v>91</v>
      </c>
      <c r="AH3274">
        <v>5</v>
      </c>
      <c r="AI3274">
        <v>5</v>
      </c>
      <c r="AJ3274">
        <v>0</v>
      </c>
      <c r="AK3274">
        <v>7</v>
      </c>
      <c r="AL3274" t="s">
        <v>757</v>
      </c>
      <c r="AM3274" t="s">
        <v>758</v>
      </c>
      <c r="AN3274" t="s">
        <v>759</v>
      </c>
      <c r="AO3274" t="s">
        <v>34148</v>
      </c>
      <c r="AP3274" t="s">
        <v>34147</v>
      </c>
      <c r="AQ3274" t="s">
        <v>74</v>
      </c>
      <c r="AR3274" t="s">
        <v>34146</v>
      </c>
      <c r="AS3274" t="s">
        <v>34145</v>
      </c>
      <c r="AT3274" t="s">
        <v>1652</v>
      </c>
      <c r="AU3274">
        <v>2022</v>
      </c>
      <c r="AV3274">
        <v>54</v>
      </c>
      <c r="AW3274">
        <v>4</v>
      </c>
      <c r="AX3274" t="s">
        <v>74</v>
      </c>
      <c r="AY3274" t="s">
        <v>74</v>
      </c>
      <c r="AZ3274" t="s">
        <v>74</v>
      </c>
      <c r="BA3274" t="s">
        <v>74</v>
      </c>
      <c r="BB3274">
        <v>779</v>
      </c>
      <c r="BC3274">
        <v>799</v>
      </c>
      <c r="BD3274" t="s">
        <v>53804</v>
      </c>
      <c r="BE3274" t="s">
        <v>53805</v>
      </c>
      <c r="BF3274" t="str">
        <f>HYPERLINK("http://dx.doi.org/10.1177/0308518X211006110","http://dx.doi.org/10.1177/0308518X211006110")</f>
        <v>http://dx.doi.org/10.1177/0308518X211006110</v>
      </c>
      <c r="BG3274" t="s">
        <v>74</v>
      </c>
      <c r="BH3274" t="s">
        <v>443</v>
      </c>
      <c r="BI3274">
        <v>21</v>
      </c>
      <c r="BJ3274" t="s">
        <v>34142</v>
      </c>
      <c r="BK3274" t="s">
        <v>99</v>
      </c>
      <c r="BL3274" t="s">
        <v>34141</v>
      </c>
      <c r="BM3274" t="s">
        <v>52876</v>
      </c>
      <c r="BN3274">
        <v>35528226</v>
      </c>
      <c r="BO3274" t="s">
        <v>1696</v>
      </c>
      <c r="BP3274" t="s">
        <v>74</v>
      </c>
      <c r="BQ3274" t="s">
        <v>74</v>
      </c>
      <c r="BR3274" t="s">
        <v>102</v>
      </c>
      <c r="BS3274" t="s">
        <v>53806</v>
      </c>
      <c r="BT3274" t="str">
        <f>HYPERLINK("https%3A%2F%2Fwww.webofscience.com%2Fwos%2Fwoscc%2Ffull-record%2FWOS:000646013300001","View Full Record in Web of Science")</f>
        <v>View Full Record in Web of Science</v>
      </c>
    </row>
    <row r="3275" spans="1:72" x14ac:dyDescent="0.25">
      <c r="A3275" t="s">
        <v>132</v>
      </c>
      <c r="B3275" t="s">
        <v>53807</v>
      </c>
      <c r="C3275" t="s">
        <v>74</v>
      </c>
      <c r="D3275" t="s">
        <v>53808</v>
      </c>
      <c r="E3275" t="s">
        <v>74</v>
      </c>
      <c r="F3275" t="s">
        <v>53809</v>
      </c>
      <c r="G3275" t="s">
        <v>74</v>
      </c>
      <c r="H3275" t="s">
        <v>74</v>
      </c>
      <c r="I3275" t="s">
        <v>53810</v>
      </c>
      <c r="J3275" t="s">
        <v>53811</v>
      </c>
      <c r="K3275" t="s">
        <v>2425</v>
      </c>
      <c r="L3275" t="s">
        <v>74</v>
      </c>
      <c r="M3275" t="s">
        <v>78</v>
      </c>
      <c r="N3275" t="s">
        <v>138</v>
      </c>
      <c r="O3275" t="s">
        <v>53812</v>
      </c>
      <c r="P3275" t="s">
        <v>53813</v>
      </c>
      <c r="Q3275" t="s">
        <v>53814</v>
      </c>
      <c r="R3275" t="s">
        <v>53815</v>
      </c>
      <c r="S3275" t="s">
        <v>53816</v>
      </c>
      <c r="T3275" t="s">
        <v>53817</v>
      </c>
      <c r="U3275" t="s">
        <v>74</v>
      </c>
      <c r="V3275" t="s">
        <v>53818</v>
      </c>
      <c r="W3275" t="s">
        <v>53819</v>
      </c>
      <c r="X3275" t="s">
        <v>53820</v>
      </c>
      <c r="Y3275" t="s">
        <v>53821</v>
      </c>
      <c r="Z3275" t="s">
        <v>53822</v>
      </c>
      <c r="AA3275" t="s">
        <v>74</v>
      </c>
      <c r="AB3275" t="s">
        <v>74</v>
      </c>
      <c r="AC3275" t="s">
        <v>74</v>
      </c>
      <c r="AD3275" t="s">
        <v>74</v>
      </c>
      <c r="AE3275" t="s">
        <v>74</v>
      </c>
      <c r="AF3275" t="s">
        <v>74</v>
      </c>
      <c r="AG3275">
        <v>8</v>
      </c>
      <c r="AH3275">
        <v>0</v>
      </c>
      <c r="AI3275">
        <v>0</v>
      </c>
      <c r="AJ3275">
        <v>1</v>
      </c>
      <c r="AK3275">
        <v>1</v>
      </c>
      <c r="AL3275" t="s">
        <v>1062</v>
      </c>
      <c r="AM3275" t="s">
        <v>667</v>
      </c>
      <c r="AN3275" t="s">
        <v>668</v>
      </c>
      <c r="AO3275" t="s">
        <v>2437</v>
      </c>
      <c r="AP3275" t="s">
        <v>2438</v>
      </c>
      <c r="AQ3275" t="s">
        <v>53823</v>
      </c>
      <c r="AR3275" t="s">
        <v>2440</v>
      </c>
      <c r="AS3275" t="s">
        <v>74</v>
      </c>
      <c r="AT3275" t="s">
        <v>74</v>
      </c>
      <c r="AU3275">
        <v>2024</v>
      </c>
      <c r="AV3275">
        <v>14542</v>
      </c>
      <c r="AW3275" t="s">
        <v>74</v>
      </c>
      <c r="AX3275" t="s">
        <v>74</v>
      </c>
      <c r="AY3275" t="s">
        <v>74</v>
      </c>
      <c r="AZ3275" t="s">
        <v>74</v>
      </c>
      <c r="BA3275" t="s">
        <v>74</v>
      </c>
      <c r="BB3275">
        <v>222</v>
      </c>
      <c r="BC3275">
        <v>231</v>
      </c>
      <c r="BD3275" t="s">
        <v>74</v>
      </c>
      <c r="BE3275" t="s">
        <v>53824</v>
      </c>
      <c r="BF3275" t="str">
        <f>HYPERLINK("http://dx.doi.org/10.1007/978-3-031-60994-7_18","http://dx.doi.org/10.1007/978-3-031-60994-7_18")</f>
        <v>http://dx.doi.org/10.1007/978-3-031-60994-7_18</v>
      </c>
      <c r="BG3275" t="s">
        <v>74</v>
      </c>
      <c r="BH3275" t="s">
        <v>74</v>
      </c>
      <c r="BI3275">
        <v>10</v>
      </c>
      <c r="BJ3275" t="s">
        <v>53825</v>
      </c>
      <c r="BK3275" t="s">
        <v>156</v>
      </c>
      <c r="BL3275" t="s">
        <v>2648</v>
      </c>
      <c r="BM3275" t="s">
        <v>53826</v>
      </c>
      <c r="BN3275" t="s">
        <v>74</v>
      </c>
      <c r="BO3275" t="s">
        <v>74</v>
      </c>
      <c r="BP3275" t="s">
        <v>74</v>
      </c>
      <c r="BQ3275" t="s">
        <v>74</v>
      </c>
      <c r="BR3275" t="s">
        <v>102</v>
      </c>
      <c r="BS3275" t="s">
        <v>53827</v>
      </c>
      <c r="BT3275" t="str">
        <f>HYPERLINK("https%3A%2F%2Fwww.webofscience.com%2Fwos%2Fwoscc%2Ffull-record%2FWOS:001288423600018","View Full Record in Web of Science")</f>
        <v>View Full Record in Web of Science</v>
      </c>
    </row>
    <row r="3276" spans="1:72" x14ac:dyDescent="0.25">
      <c r="A3276" t="s">
        <v>72</v>
      </c>
      <c r="B3276" t="s">
        <v>53828</v>
      </c>
      <c r="C3276" t="s">
        <v>74</v>
      </c>
      <c r="D3276" t="s">
        <v>74</v>
      </c>
      <c r="E3276" t="s">
        <v>74</v>
      </c>
      <c r="F3276" t="s">
        <v>53829</v>
      </c>
      <c r="G3276" t="s">
        <v>74</v>
      </c>
      <c r="H3276" t="s">
        <v>74</v>
      </c>
      <c r="I3276" t="s">
        <v>53830</v>
      </c>
      <c r="J3276" t="s">
        <v>1987</v>
      </c>
      <c r="K3276" t="s">
        <v>74</v>
      </c>
      <c r="L3276" t="s">
        <v>74</v>
      </c>
      <c r="M3276" t="s">
        <v>78</v>
      </c>
      <c r="N3276" t="s">
        <v>79</v>
      </c>
      <c r="O3276" t="s">
        <v>74</v>
      </c>
      <c r="P3276" t="s">
        <v>74</v>
      </c>
      <c r="Q3276" t="s">
        <v>74</v>
      </c>
      <c r="R3276" t="s">
        <v>74</v>
      </c>
      <c r="S3276" t="s">
        <v>74</v>
      </c>
      <c r="T3276" t="s">
        <v>53831</v>
      </c>
      <c r="U3276" t="s">
        <v>53832</v>
      </c>
      <c r="V3276" t="s">
        <v>53833</v>
      </c>
      <c r="W3276" t="s">
        <v>53834</v>
      </c>
      <c r="X3276" t="s">
        <v>53835</v>
      </c>
      <c r="Y3276" t="s">
        <v>53836</v>
      </c>
      <c r="Z3276" t="s">
        <v>53837</v>
      </c>
      <c r="AA3276" t="s">
        <v>53838</v>
      </c>
      <c r="AB3276" t="s">
        <v>53839</v>
      </c>
      <c r="AC3276" t="s">
        <v>53840</v>
      </c>
      <c r="AD3276" t="s">
        <v>53841</v>
      </c>
      <c r="AE3276" t="s">
        <v>53842</v>
      </c>
      <c r="AF3276" t="s">
        <v>74</v>
      </c>
      <c r="AG3276">
        <v>28</v>
      </c>
      <c r="AH3276">
        <v>4</v>
      </c>
      <c r="AI3276">
        <v>6</v>
      </c>
      <c r="AJ3276">
        <v>0</v>
      </c>
      <c r="AK3276">
        <v>4</v>
      </c>
      <c r="AL3276" t="s">
        <v>479</v>
      </c>
      <c r="AM3276" t="s">
        <v>480</v>
      </c>
      <c r="AN3276" t="s">
        <v>481</v>
      </c>
      <c r="AO3276" t="s">
        <v>1997</v>
      </c>
      <c r="AP3276" t="s">
        <v>1998</v>
      </c>
      <c r="AQ3276" t="s">
        <v>74</v>
      </c>
      <c r="AR3276" t="s">
        <v>1999</v>
      </c>
      <c r="AS3276" t="s">
        <v>2000</v>
      </c>
      <c r="AT3276" t="s">
        <v>289</v>
      </c>
      <c r="AU3276">
        <v>2021</v>
      </c>
      <c r="AV3276">
        <v>33</v>
      </c>
      <c r="AW3276">
        <v>6</v>
      </c>
      <c r="AX3276" t="s">
        <v>74</v>
      </c>
      <c r="AY3276" t="s">
        <v>74</v>
      </c>
      <c r="AZ3276" t="s">
        <v>74</v>
      </c>
      <c r="BA3276" t="s">
        <v>74</v>
      </c>
      <c r="BB3276">
        <v>1043</v>
      </c>
      <c r="BC3276">
        <v>1062</v>
      </c>
      <c r="BD3276" t="s">
        <v>74</v>
      </c>
      <c r="BE3276" t="s">
        <v>53843</v>
      </c>
      <c r="BF3276" t="str">
        <f>HYPERLINK("http://dx.doi.org/10.1002/jid.3560","http://dx.doi.org/10.1002/jid.3560")</f>
        <v>http://dx.doi.org/10.1002/jid.3560</v>
      </c>
      <c r="BG3276" t="s">
        <v>74</v>
      </c>
      <c r="BH3276" t="s">
        <v>11242</v>
      </c>
      <c r="BI3276">
        <v>20</v>
      </c>
      <c r="BJ3276" t="s">
        <v>1137</v>
      </c>
      <c r="BK3276" t="s">
        <v>99</v>
      </c>
      <c r="BL3276" t="s">
        <v>1137</v>
      </c>
      <c r="BM3276" t="s">
        <v>53844</v>
      </c>
      <c r="BN3276" t="s">
        <v>74</v>
      </c>
      <c r="BO3276" t="s">
        <v>466</v>
      </c>
      <c r="BP3276" t="s">
        <v>74</v>
      </c>
      <c r="BQ3276" t="s">
        <v>74</v>
      </c>
      <c r="BR3276" t="s">
        <v>102</v>
      </c>
      <c r="BS3276" t="s">
        <v>53845</v>
      </c>
      <c r="BT3276" t="str">
        <f>HYPERLINK("https%3A%2F%2Fwww.webofscience.com%2Fwos%2Fwoscc%2Ffull-record%2FWOS:000657135000001","View Full Record in Web of Science")</f>
        <v>View Full Record in Web of Science</v>
      </c>
    </row>
    <row r="3277" spans="1:72" x14ac:dyDescent="0.25">
      <c r="A3277" t="s">
        <v>72</v>
      </c>
      <c r="B3277" t="s">
        <v>53846</v>
      </c>
      <c r="C3277" t="s">
        <v>74</v>
      </c>
      <c r="D3277" t="s">
        <v>74</v>
      </c>
      <c r="E3277" t="s">
        <v>74</v>
      </c>
      <c r="F3277" t="s">
        <v>53847</v>
      </c>
      <c r="G3277" t="s">
        <v>74</v>
      </c>
      <c r="H3277" t="s">
        <v>74</v>
      </c>
      <c r="I3277" t="s">
        <v>53848</v>
      </c>
      <c r="J3277" t="s">
        <v>53849</v>
      </c>
      <c r="K3277" t="s">
        <v>74</v>
      </c>
      <c r="L3277" t="s">
        <v>74</v>
      </c>
      <c r="M3277" t="s">
        <v>78</v>
      </c>
      <c r="N3277" t="s">
        <v>79</v>
      </c>
      <c r="O3277" t="s">
        <v>74</v>
      </c>
      <c r="P3277" t="s">
        <v>74</v>
      </c>
      <c r="Q3277" t="s">
        <v>74</v>
      </c>
      <c r="R3277" t="s">
        <v>74</v>
      </c>
      <c r="S3277" t="s">
        <v>74</v>
      </c>
      <c r="T3277" t="s">
        <v>74</v>
      </c>
      <c r="U3277" t="s">
        <v>53850</v>
      </c>
      <c r="V3277" t="s">
        <v>53851</v>
      </c>
      <c r="W3277" t="s">
        <v>53852</v>
      </c>
      <c r="X3277" t="s">
        <v>53853</v>
      </c>
      <c r="Y3277" t="s">
        <v>53854</v>
      </c>
      <c r="Z3277" t="s">
        <v>53855</v>
      </c>
      <c r="AA3277" t="s">
        <v>74</v>
      </c>
      <c r="AB3277" t="s">
        <v>53856</v>
      </c>
      <c r="AC3277" t="s">
        <v>74</v>
      </c>
      <c r="AD3277" t="s">
        <v>74</v>
      </c>
      <c r="AE3277" t="s">
        <v>74</v>
      </c>
      <c r="AF3277" t="s">
        <v>74</v>
      </c>
      <c r="AG3277">
        <v>58</v>
      </c>
      <c r="AH3277">
        <v>0</v>
      </c>
      <c r="AI3277">
        <v>0</v>
      </c>
      <c r="AJ3277">
        <v>0</v>
      </c>
      <c r="AK3277">
        <v>0</v>
      </c>
      <c r="AL3277" t="s">
        <v>4218</v>
      </c>
      <c r="AM3277" t="s">
        <v>4219</v>
      </c>
      <c r="AN3277" t="s">
        <v>4220</v>
      </c>
      <c r="AO3277" t="s">
        <v>74</v>
      </c>
      <c r="AP3277" t="s">
        <v>53857</v>
      </c>
      <c r="AQ3277" t="s">
        <v>74</v>
      </c>
      <c r="AR3277" t="s">
        <v>53858</v>
      </c>
      <c r="AS3277" t="s">
        <v>53859</v>
      </c>
      <c r="AT3277" t="s">
        <v>18861</v>
      </c>
      <c r="AU3277">
        <v>2023</v>
      </c>
      <c r="AV3277">
        <v>3</v>
      </c>
      <c r="AW3277">
        <v>3</v>
      </c>
      <c r="AX3277" t="s">
        <v>74</v>
      </c>
      <c r="AY3277" t="s">
        <v>74</v>
      </c>
      <c r="AZ3277" t="s">
        <v>74</v>
      </c>
      <c r="BA3277" t="s">
        <v>74</v>
      </c>
      <c r="BB3277" t="s">
        <v>74</v>
      </c>
      <c r="BC3277" t="s">
        <v>74</v>
      </c>
      <c r="BD3277" t="s">
        <v>53860</v>
      </c>
      <c r="BE3277" t="s">
        <v>53861</v>
      </c>
      <c r="BF3277" t="str">
        <f>HYPERLINK("http://dx.doi.org/10.1371/journal.pgph.0001137","http://dx.doi.org/10.1371/journal.pgph.0001137")</f>
        <v>http://dx.doi.org/10.1371/journal.pgph.0001137</v>
      </c>
      <c r="BG3277" t="s">
        <v>74</v>
      </c>
      <c r="BH3277" t="s">
        <v>74</v>
      </c>
      <c r="BI3277">
        <v>18</v>
      </c>
      <c r="BJ3277" t="s">
        <v>7080</v>
      </c>
      <c r="BK3277" t="s">
        <v>313</v>
      </c>
      <c r="BL3277" t="s">
        <v>7080</v>
      </c>
      <c r="BM3277" t="s">
        <v>53862</v>
      </c>
      <c r="BN3277">
        <v>36963020</v>
      </c>
      <c r="BO3277" t="s">
        <v>916</v>
      </c>
      <c r="BP3277" t="s">
        <v>74</v>
      </c>
      <c r="BQ3277" t="s">
        <v>74</v>
      </c>
      <c r="BR3277" t="s">
        <v>102</v>
      </c>
      <c r="BS3277" t="s">
        <v>53863</v>
      </c>
      <c r="BT3277" t="str">
        <f>HYPERLINK("https%3A%2F%2Fwww.webofscience.com%2Fwos%2Fwoscc%2Ffull-record%2FWOS:001417663100001","View Full Record in Web of Science")</f>
        <v>View Full Record in Web of Science</v>
      </c>
    </row>
    <row r="3278" spans="1:72" x14ac:dyDescent="0.25">
      <c r="A3278" t="s">
        <v>72</v>
      </c>
      <c r="B3278" t="s">
        <v>53864</v>
      </c>
      <c r="C3278" t="s">
        <v>74</v>
      </c>
      <c r="D3278" t="s">
        <v>74</v>
      </c>
      <c r="E3278" t="s">
        <v>74</v>
      </c>
      <c r="F3278" t="s">
        <v>53865</v>
      </c>
      <c r="G3278" t="s">
        <v>74</v>
      </c>
      <c r="H3278" t="s">
        <v>74</v>
      </c>
      <c r="I3278" t="s">
        <v>53866</v>
      </c>
      <c r="J3278" t="s">
        <v>13617</v>
      </c>
      <c r="K3278" t="s">
        <v>74</v>
      </c>
      <c r="L3278" t="s">
        <v>74</v>
      </c>
      <c r="M3278" t="s">
        <v>78</v>
      </c>
      <c r="N3278" t="s">
        <v>79</v>
      </c>
      <c r="O3278" t="s">
        <v>74</v>
      </c>
      <c r="P3278" t="s">
        <v>74</v>
      </c>
      <c r="Q3278" t="s">
        <v>74</v>
      </c>
      <c r="R3278" t="s">
        <v>74</v>
      </c>
      <c r="S3278" t="s">
        <v>74</v>
      </c>
      <c r="T3278" t="s">
        <v>53867</v>
      </c>
      <c r="U3278" t="s">
        <v>74</v>
      </c>
      <c r="V3278" t="s">
        <v>53868</v>
      </c>
      <c r="W3278" t="s">
        <v>53869</v>
      </c>
      <c r="X3278" t="s">
        <v>53870</v>
      </c>
      <c r="Y3278" t="s">
        <v>53871</v>
      </c>
      <c r="Z3278" t="s">
        <v>53872</v>
      </c>
      <c r="AA3278" t="s">
        <v>74</v>
      </c>
      <c r="AB3278" t="s">
        <v>74</v>
      </c>
      <c r="AC3278" t="s">
        <v>74</v>
      </c>
      <c r="AD3278" t="s">
        <v>74</v>
      </c>
      <c r="AE3278" t="s">
        <v>74</v>
      </c>
      <c r="AF3278" t="s">
        <v>74</v>
      </c>
      <c r="AG3278">
        <v>55</v>
      </c>
      <c r="AH3278">
        <v>0</v>
      </c>
      <c r="AI3278">
        <v>0</v>
      </c>
      <c r="AJ3278">
        <v>0</v>
      </c>
      <c r="AK3278">
        <v>9</v>
      </c>
      <c r="AL3278" t="s">
        <v>1216</v>
      </c>
      <c r="AM3278" t="s">
        <v>283</v>
      </c>
      <c r="AN3278" t="s">
        <v>1217</v>
      </c>
      <c r="AO3278" t="s">
        <v>74</v>
      </c>
      <c r="AP3278" t="s">
        <v>13624</v>
      </c>
      <c r="AQ3278" t="s">
        <v>74</v>
      </c>
      <c r="AR3278" t="s">
        <v>13625</v>
      </c>
      <c r="AS3278" t="s">
        <v>13626</v>
      </c>
      <c r="AT3278" t="s">
        <v>9278</v>
      </c>
      <c r="AU3278">
        <v>2024</v>
      </c>
      <c r="AV3278">
        <v>12</v>
      </c>
      <c r="AW3278" t="s">
        <v>74</v>
      </c>
      <c r="AX3278" t="s">
        <v>74</v>
      </c>
      <c r="AY3278" t="s">
        <v>74</v>
      </c>
      <c r="AZ3278" t="s">
        <v>74</v>
      </c>
      <c r="BA3278" t="s">
        <v>74</v>
      </c>
      <c r="BB3278" t="s">
        <v>74</v>
      </c>
      <c r="BC3278" t="s">
        <v>74</v>
      </c>
      <c r="BD3278">
        <v>1398136</v>
      </c>
      <c r="BE3278" t="s">
        <v>53873</v>
      </c>
      <c r="BF3278" t="str">
        <f>HYPERLINK("http://dx.doi.org/10.3389/fpubh.2024.1398136","http://dx.doi.org/10.3389/fpubh.2024.1398136")</f>
        <v>http://dx.doi.org/10.3389/fpubh.2024.1398136</v>
      </c>
      <c r="BG3278" t="s">
        <v>74</v>
      </c>
      <c r="BH3278" t="s">
        <v>74</v>
      </c>
      <c r="BI3278">
        <v>8</v>
      </c>
      <c r="BJ3278" t="s">
        <v>7080</v>
      </c>
      <c r="BK3278" t="s">
        <v>2623</v>
      </c>
      <c r="BL3278" t="s">
        <v>7080</v>
      </c>
      <c r="BM3278" t="s">
        <v>53874</v>
      </c>
      <c r="BN3278">
        <v>39157524</v>
      </c>
      <c r="BO3278" t="s">
        <v>916</v>
      </c>
      <c r="BP3278" t="s">
        <v>74</v>
      </c>
      <c r="BQ3278" t="s">
        <v>74</v>
      </c>
      <c r="BR3278" t="s">
        <v>102</v>
      </c>
      <c r="BS3278" t="s">
        <v>53875</v>
      </c>
      <c r="BT3278" t="str">
        <f>HYPERLINK("https%3A%2F%2Fwww.webofscience.com%2Fwos%2Fwoscc%2Ffull-record%2FWOS:001290610800001","View Full Record in Web of Science")</f>
        <v>View Full Record in Web of Science</v>
      </c>
    </row>
    <row r="3279" spans="1:72" x14ac:dyDescent="0.25">
      <c r="A3279" t="s">
        <v>72</v>
      </c>
      <c r="B3279" t="s">
        <v>53876</v>
      </c>
      <c r="C3279" t="s">
        <v>74</v>
      </c>
      <c r="D3279" t="s">
        <v>74</v>
      </c>
      <c r="E3279" t="s">
        <v>74</v>
      </c>
      <c r="F3279" t="s">
        <v>53877</v>
      </c>
      <c r="G3279" t="s">
        <v>74</v>
      </c>
      <c r="H3279" t="s">
        <v>74</v>
      </c>
      <c r="I3279" t="s">
        <v>53878</v>
      </c>
      <c r="J3279" t="s">
        <v>37898</v>
      </c>
      <c r="K3279" t="s">
        <v>74</v>
      </c>
      <c r="L3279" t="s">
        <v>74</v>
      </c>
      <c r="M3279" t="s">
        <v>78</v>
      </c>
      <c r="N3279" t="s">
        <v>79</v>
      </c>
      <c r="O3279" t="s">
        <v>74</v>
      </c>
      <c r="P3279" t="s">
        <v>74</v>
      </c>
      <c r="Q3279" t="s">
        <v>74</v>
      </c>
      <c r="R3279" t="s">
        <v>74</v>
      </c>
      <c r="S3279" t="s">
        <v>74</v>
      </c>
      <c r="T3279" t="s">
        <v>74</v>
      </c>
      <c r="U3279" t="s">
        <v>74</v>
      </c>
      <c r="V3279" t="s">
        <v>53879</v>
      </c>
      <c r="W3279" t="s">
        <v>53880</v>
      </c>
      <c r="X3279" t="s">
        <v>53881</v>
      </c>
      <c r="Y3279" t="s">
        <v>53882</v>
      </c>
      <c r="Z3279" t="s">
        <v>53883</v>
      </c>
      <c r="AA3279" t="s">
        <v>74</v>
      </c>
      <c r="AB3279" t="s">
        <v>74</v>
      </c>
      <c r="AC3279" t="s">
        <v>74</v>
      </c>
      <c r="AD3279" t="s">
        <v>74</v>
      </c>
      <c r="AE3279" t="s">
        <v>74</v>
      </c>
      <c r="AF3279" t="s">
        <v>74</v>
      </c>
      <c r="AG3279">
        <v>13</v>
      </c>
      <c r="AH3279">
        <v>1</v>
      </c>
      <c r="AI3279">
        <v>1</v>
      </c>
      <c r="AJ3279">
        <v>0</v>
      </c>
      <c r="AK3279">
        <v>7</v>
      </c>
      <c r="AL3279" t="s">
        <v>37907</v>
      </c>
      <c r="AM3279" t="s">
        <v>37908</v>
      </c>
      <c r="AN3279" t="s">
        <v>37909</v>
      </c>
      <c r="AO3279" t="s">
        <v>37910</v>
      </c>
      <c r="AP3279" t="s">
        <v>37911</v>
      </c>
      <c r="AQ3279" t="s">
        <v>74</v>
      </c>
      <c r="AR3279" t="s">
        <v>37912</v>
      </c>
      <c r="AS3279" t="s">
        <v>37913</v>
      </c>
      <c r="AT3279" t="s">
        <v>1652</v>
      </c>
      <c r="AU3279">
        <v>2016</v>
      </c>
      <c r="AV3279">
        <v>20</v>
      </c>
      <c r="AW3279">
        <v>1</v>
      </c>
      <c r="AX3279" t="s">
        <v>74</v>
      </c>
      <c r="AY3279" t="s">
        <v>74</v>
      </c>
      <c r="AZ3279" t="s">
        <v>74</v>
      </c>
      <c r="BA3279" t="s">
        <v>74</v>
      </c>
      <c r="BB3279">
        <v>27</v>
      </c>
      <c r="BC3279">
        <v>38</v>
      </c>
      <c r="BD3279" t="s">
        <v>74</v>
      </c>
      <c r="BE3279" t="s">
        <v>53884</v>
      </c>
      <c r="BF3279" t="str">
        <f>HYPERLINK("http://dx.doi.org/10.4314/jae.v20i1.3","http://dx.doi.org/10.4314/jae.v20i1.3")</f>
        <v>http://dx.doi.org/10.4314/jae.v20i1.3</v>
      </c>
      <c r="BG3279" t="s">
        <v>74</v>
      </c>
      <c r="BH3279" t="s">
        <v>74</v>
      </c>
      <c r="BI3279">
        <v>12</v>
      </c>
      <c r="BJ3279" t="s">
        <v>18208</v>
      </c>
      <c r="BK3279" t="s">
        <v>313</v>
      </c>
      <c r="BL3279" t="s">
        <v>5152</v>
      </c>
      <c r="BM3279" t="s">
        <v>53885</v>
      </c>
      <c r="BN3279" t="s">
        <v>74</v>
      </c>
      <c r="BO3279" t="s">
        <v>212</v>
      </c>
      <c r="BP3279" t="s">
        <v>74</v>
      </c>
      <c r="BQ3279" t="s">
        <v>74</v>
      </c>
      <c r="BR3279" t="s">
        <v>102</v>
      </c>
      <c r="BS3279" t="s">
        <v>53886</v>
      </c>
      <c r="BT3279" t="str">
        <f>HYPERLINK("https%3A%2F%2Fwww.webofscience.com%2Fwos%2Fwoscc%2Ffull-record%2FWOS:000379790700003","View Full Record in Web of Science")</f>
        <v>View Full Record in Web of Science</v>
      </c>
    </row>
    <row r="3280" spans="1:72" x14ac:dyDescent="0.25">
      <c r="A3280" t="s">
        <v>72</v>
      </c>
      <c r="B3280" t="s">
        <v>53887</v>
      </c>
      <c r="C3280" t="s">
        <v>74</v>
      </c>
      <c r="D3280" t="s">
        <v>74</v>
      </c>
      <c r="E3280" t="s">
        <v>74</v>
      </c>
      <c r="F3280" t="s">
        <v>53888</v>
      </c>
      <c r="G3280" t="s">
        <v>74</v>
      </c>
      <c r="H3280" t="s">
        <v>74</v>
      </c>
      <c r="I3280" t="s">
        <v>53889</v>
      </c>
      <c r="J3280" t="s">
        <v>20213</v>
      </c>
      <c r="K3280" t="s">
        <v>74</v>
      </c>
      <c r="L3280" t="s">
        <v>74</v>
      </c>
      <c r="M3280" t="s">
        <v>78</v>
      </c>
      <c r="N3280" t="s">
        <v>372</v>
      </c>
      <c r="O3280" t="s">
        <v>74</v>
      </c>
      <c r="P3280" t="s">
        <v>74</v>
      </c>
      <c r="Q3280" t="s">
        <v>74</v>
      </c>
      <c r="R3280" t="s">
        <v>74</v>
      </c>
      <c r="S3280" t="s">
        <v>74</v>
      </c>
      <c r="T3280" t="s">
        <v>53890</v>
      </c>
      <c r="U3280" t="s">
        <v>53891</v>
      </c>
      <c r="V3280" t="s">
        <v>53892</v>
      </c>
      <c r="W3280" t="s">
        <v>53893</v>
      </c>
      <c r="X3280" t="s">
        <v>29621</v>
      </c>
      <c r="Y3280" t="s">
        <v>53894</v>
      </c>
      <c r="Z3280" t="s">
        <v>53895</v>
      </c>
      <c r="AA3280" t="s">
        <v>32450</v>
      </c>
      <c r="AB3280" t="s">
        <v>74</v>
      </c>
      <c r="AC3280" t="s">
        <v>74</v>
      </c>
      <c r="AD3280" t="s">
        <v>74</v>
      </c>
      <c r="AE3280" t="s">
        <v>74</v>
      </c>
      <c r="AF3280" t="s">
        <v>74</v>
      </c>
      <c r="AG3280">
        <v>119</v>
      </c>
      <c r="AH3280">
        <v>0</v>
      </c>
      <c r="AI3280">
        <v>0</v>
      </c>
      <c r="AJ3280">
        <v>0</v>
      </c>
      <c r="AK3280">
        <v>0</v>
      </c>
      <c r="AL3280" t="s">
        <v>89</v>
      </c>
      <c r="AM3280" t="s">
        <v>90</v>
      </c>
      <c r="AN3280" t="s">
        <v>91</v>
      </c>
      <c r="AO3280" t="s">
        <v>20205</v>
      </c>
      <c r="AP3280" t="s">
        <v>20204</v>
      </c>
      <c r="AQ3280" t="s">
        <v>74</v>
      </c>
      <c r="AR3280" t="s">
        <v>20203</v>
      </c>
      <c r="AS3280" t="s">
        <v>20202</v>
      </c>
      <c r="AT3280" t="s">
        <v>18850</v>
      </c>
      <c r="AU3280">
        <v>2025</v>
      </c>
      <c r="AV3280" t="s">
        <v>74</v>
      </c>
      <c r="AW3280" t="s">
        <v>74</v>
      </c>
      <c r="AX3280" t="s">
        <v>74</v>
      </c>
      <c r="AY3280" t="s">
        <v>74</v>
      </c>
      <c r="AZ3280" t="s">
        <v>74</v>
      </c>
      <c r="BA3280" t="s">
        <v>74</v>
      </c>
      <c r="BB3280" t="s">
        <v>74</v>
      </c>
      <c r="BC3280" t="s">
        <v>74</v>
      </c>
      <c r="BD3280" t="s">
        <v>74</v>
      </c>
      <c r="BE3280" t="s">
        <v>53896</v>
      </c>
      <c r="BF3280" t="str">
        <f>HYPERLINK("http://dx.doi.org/10.1108/JIABR-09-2024-0374","http://dx.doi.org/10.1108/JIABR-09-2024-0374")</f>
        <v>http://dx.doi.org/10.1108/JIABR-09-2024-0374</v>
      </c>
      <c r="BG3280" t="s">
        <v>74</v>
      </c>
      <c r="BH3280" t="s">
        <v>3411</v>
      </c>
      <c r="BI3280">
        <v>26</v>
      </c>
      <c r="BJ3280" t="s">
        <v>268</v>
      </c>
      <c r="BK3280" t="s">
        <v>313</v>
      </c>
      <c r="BL3280" t="s">
        <v>100</v>
      </c>
      <c r="BM3280" t="s">
        <v>53897</v>
      </c>
      <c r="BN3280" t="s">
        <v>74</v>
      </c>
      <c r="BO3280" t="s">
        <v>74</v>
      </c>
      <c r="BP3280" t="s">
        <v>74</v>
      </c>
      <c r="BQ3280" t="s">
        <v>74</v>
      </c>
      <c r="BR3280" t="s">
        <v>102</v>
      </c>
      <c r="BS3280" t="s">
        <v>53898</v>
      </c>
      <c r="BT3280" t="str">
        <f>HYPERLINK("https%3A%2F%2Fwww.webofscience.com%2Fwos%2Fwoscc%2Ffull-record%2FWOS:001587781100001","View Full Record in Web of Science")</f>
        <v>View Full Record in Web of Science</v>
      </c>
    </row>
    <row r="3281" spans="1:72" x14ac:dyDescent="0.25">
      <c r="A3281" t="s">
        <v>72</v>
      </c>
      <c r="B3281" t="s">
        <v>53899</v>
      </c>
      <c r="C3281" t="s">
        <v>74</v>
      </c>
      <c r="D3281" t="s">
        <v>74</v>
      </c>
      <c r="E3281" t="s">
        <v>74</v>
      </c>
      <c r="F3281" t="s">
        <v>53900</v>
      </c>
      <c r="G3281" t="s">
        <v>74</v>
      </c>
      <c r="H3281" t="s">
        <v>74</v>
      </c>
      <c r="I3281" t="s">
        <v>53901</v>
      </c>
      <c r="J3281" t="s">
        <v>53902</v>
      </c>
      <c r="K3281" t="s">
        <v>74</v>
      </c>
      <c r="L3281" t="s">
        <v>74</v>
      </c>
      <c r="M3281" t="s">
        <v>78</v>
      </c>
      <c r="N3281" t="s">
        <v>79</v>
      </c>
      <c r="O3281" t="s">
        <v>74</v>
      </c>
      <c r="P3281" t="s">
        <v>74</v>
      </c>
      <c r="Q3281" t="s">
        <v>74</v>
      </c>
      <c r="R3281" t="s">
        <v>74</v>
      </c>
      <c r="S3281" t="s">
        <v>74</v>
      </c>
      <c r="T3281" t="s">
        <v>53903</v>
      </c>
      <c r="U3281" t="s">
        <v>53904</v>
      </c>
      <c r="V3281" t="s">
        <v>53905</v>
      </c>
      <c r="W3281" t="s">
        <v>53906</v>
      </c>
      <c r="X3281" t="s">
        <v>53907</v>
      </c>
      <c r="Y3281" t="s">
        <v>53908</v>
      </c>
      <c r="Z3281" t="s">
        <v>53909</v>
      </c>
      <c r="AA3281" t="s">
        <v>53910</v>
      </c>
      <c r="AB3281" t="s">
        <v>53911</v>
      </c>
      <c r="AC3281" t="s">
        <v>53912</v>
      </c>
      <c r="AD3281" t="s">
        <v>53912</v>
      </c>
      <c r="AE3281" t="s">
        <v>53913</v>
      </c>
      <c r="AF3281" t="s">
        <v>74</v>
      </c>
      <c r="AG3281">
        <v>100</v>
      </c>
      <c r="AH3281">
        <v>1</v>
      </c>
      <c r="AI3281">
        <v>2</v>
      </c>
      <c r="AJ3281">
        <v>9</v>
      </c>
      <c r="AK3281">
        <v>17</v>
      </c>
      <c r="AL3281" t="s">
        <v>201</v>
      </c>
      <c r="AM3281" t="s">
        <v>202</v>
      </c>
      <c r="AN3281" t="s">
        <v>203</v>
      </c>
      <c r="AO3281" t="s">
        <v>53914</v>
      </c>
      <c r="AP3281" t="s">
        <v>53915</v>
      </c>
      <c r="AQ3281" t="s">
        <v>74</v>
      </c>
      <c r="AR3281" t="s">
        <v>53916</v>
      </c>
      <c r="AS3281" t="s">
        <v>53917</v>
      </c>
      <c r="AT3281" t="s">
        <v>237</v>
      </c>
      <c r="AU3281">
        <v>2025</v>
      </c>
      <c r="AV3281">
        <v>280</v>
      </c>
      <c r="AW3281" t="s">
        <v>74</v>
      </c>
      <c r="AX3281" t="s">
        <v>74</v>
      </c>
      <c r="AY3281" t="s">
        <v>74</v>
      </c>
      <c r="AZ3281" t="s">
        <v>74</v>
      </c>
      <c r="BA3281" t="s">
        <v>74</v>
      </c>
      <c r="BB3281" t="s">
        <v>74</v>
      </c>
      <c r="BC3281" t="s">
        <v>74</v>
      </c>
      <c r="BD3281">
        <v>109498</v>
      </c>
      <c r="BE3281" t="s">
        <v>53918</v>
      </c>
      <c r="BF3281" t="str">
        <f>HYPERLINK("http://dx.doi.org/10.1016/j.ijpe.2024.109498","http://dx.doi.org/10.1016/j.ijpe.2024.109498")</f>
        <v>http://dx.doi.org/10.1016/j.ijpe.2024.109498</v>
      </c>
      <c r="BG3281" t="s">
        <v>74</v>
      </c>
      <c r="BH3281" t="s">
        <v>809</v>
      </c>
      <c r="BI3281">
        <v>17</v>
      </c>
      <c r="BJ3281" t="s">
        <v>47349</v>
      </c>
      <c r="BK3281" t="s">
        <v>128</v>
      </c>
      <c r="BL3281" t="s">
        <v>31860</v>
      </c>
      <c r="BM3281" t="s">
        <v>53919</v>
      </c>
      <c r="BN3281" t="s">
        <v>74</v>
      </c>
      <c r="BO3281" t="s">
        <v>270</v>
      </c>
      <c r="BP3281" t="s">
        <v>74</v>
      </c>
      <c r="BQ3281" t="s">
        <v>74</v>
      </c>
      <c r="BR3281" t="s">
        <v>102</v>
      </c>
      <c r="BS3281" t="s">
        <v>53920</v>
      </c>
      <c r="BT3281" t="str">
        <f>HYPERLINK("https%3A%2F%2Fwww.webofscience.com%2Fwos%2Fwoscc%2Ffull-record%2FWOS:001393733700001","View Full Record in Web of Science")</f>
        <v>View Full Record in Web of Science</v>
      </c>
    </row>
    <row r="3282" spans="1:72" x14ac:dyDescent="0.25">
      <c r="A3282" t="s">
        <v>72</v>
      </c>
      <c r="B3282" t="s">
        <v>53921</v>
      </c>
      <c r="C3282" t="s">
        <v>74</v>
      </c>
      <c r="D3282" t="s">
        <v>74</v>
      </c>
      <c r="E3282" t="s">
        <v>74</v>
      </c>
      <c r="F3282" t="s">
        <v>53922</v>
      </c>
      <c r="G3282" t="s">
        <v>74</v>
      </c>
      <c r="H3282" t="s">
        <v>74</v>
      </c>
      <c r="I3282" t="s">
        <v>53923</v>
      </c>
      <c r="J3282" t="s">
        <v>18169</v>
      </c>
      <c r="K3282" t="s">
        <v>74</v>
      </c>
      <c r="L3282" t="s">
        <v>74</v>
      </c>
      <c r="M3282" t="s">
        <v>78</v>
      </c>
      <c r="N3282" t="s">
        <v>79</v>
      </c>
      <c r="O3282" t="s">
        <v>74</v>
      </c>
      <c r="P3282" t="s">
        <v>74</v>
      </c>
      <c r="Q3282" t="s">
        <v>74</v>
      </c>
      <c r="R3282" t="s">
        <v>74</v>
      </c>
      <c r="S3282" t="s">
        <v>74</v>
      </c>
      <c r="T3282" t="s">
        <v>53924</v>
      </c>
      <c r="U3282" t="s">
        <v>74</v>
      </c>
      <c r="V3282" t="s">
        <v>53925</v>
      </c>
      <c r="W3282" t="s">
        <v>53926</v>
      </c>
      <c r="X3282" t="s">
        <v>53927</v>
      </c>
      <c r="Y3282" t="s">
        <v>53928</v>
      </c>
      <c r="Z3282" t="s">
        <v>53929</v>
      </c>
      <c r="AA3282" t="s">
        <v>53930</v>
      </c>
      <c r="AB3282" t="s">
        <v>53931</v>
      </c>
      <c r="AC3282" t="s">
        <v>74</v>
      </c>
      <c r="AD3282" t="s">
        <v>74</v>
      </c>
      <c r="AE3282" t="s">
        <v>74</v>
      </c>
      <c r="AF3282" t="s">
        <v>74</v>
      </c>
      <c r="AG3282">
        <v>17</v>
      </c>
      <c r="AH3282">
        <v>0</v>
      </c>
      <c r="AI3282">
        <v>0</v>
      </c>
      <c r="AJ3282">
        <v>2</v>
      </c>
      <c r="AK3282">
        <v>2</v>
      </c>
      <c r="AL3282" t="s">
        <v>18181</v>
      </c>
      <c r="AM3282" t="s">
        <v>4238</v>
      </c>
      <c r="AN3282" t="s">
        <v>18182</v>
      </c>
      <c r="AO3282" t="s">
        <v>18183</v>
      </c>
      <c r="AP3282" t="s">
        <v>18184</v>
      </c>
      <c r="AQ3282" t="s">
        <v>74</v>
      </c>
      <c r="AR3282" t="s">
        <v>18185</v>
      </c>
      <c r="AS3282" t="s">
        <v>18186</v>
      </c>
      <c r="AT3282" t="s">
        <v>53932</v>
      </c>
      <c r="AU3282">
        <v>2024</v>
      </c>
      <c r="AV3282">
        <v>210</v>
      </c>
      <c r="AW3282" t="s">
        <v>53933</v>
      </c>
      <c r="AX3282" t="s">
        <v>74</v>
      </c>
      <c r="AY3282" t="s">
        <v>74</v>
      </c>
      <c r="AZ3282" t="s">
        <v>74</v>
      </c>
      <c r="BA3282" t="s">
        <v>74</v>
      </c>
      <c r="BB3282">
        <v>30</v>
      </c>
      <c r="BC3282">
        <v>42</v>
      </c>
      <c r="BD3282" t="s">
        <v>74</v>
      </c>
      <c r="BE3282" t="s">
        <v>53934</v>
      </c>
      <c r="BF3282" t="str">
        <f>HYPERLINK("http://dx.doi.org/10.21003/ea.V210-05","http://dx.doi.org/10.21003/ea.V210-05")</f>
        <v>http://dx.doi.org/10.21003/ea.V210-05</v>
      </c>
      <c r="BG3282" t="s">
        <v>74</v>
      </c>
      <c r="BH3282" t="s">
        <v>74</v>
      </c>
      <c r="BI3282">
        <v>13</v>
      </c>
      <c r="BJ3282" t="s">
        <v>291</v>
      </c>
      <c r="BK3282" t="s">
        <v>313</v>
      </c>
      <c r="BL3282" t="s">
        <v>100</v>
      </c>
      <c r="BM3282" t="s">
        <v>53935</v>
      </c>
      <c r="BN3282" t="s">
        <v>74</v>
      </c>
      <c r="BO3282" t="s">
        <v>212</v>
      </c>
      <c r="BP3282" t="s">
        <v>74</v>
      </c>
      <c r="BQ3282" t="s">
        <v>74</v>
      </c>
      <c r="BR3282" t="s">
        <v>102</v>
      </c>
      <c r="BS3282" t="s">
        <v>53936</v>
      </c>
      <c r="BT3282" t="str">
        <f>HYPERLINK("https%3A%2F%2Fwww.webofscience.com%2Fwos%2Fwoscc%2Ffull-record%2FWOS:001511120300005","View Full Record in Web of Science")</f>
        <v>View Full Record in Web of Science</v>
      </c>
    </row>
    <row r="3283" spans="1:72" x14ac:dyDescent="0.25">
      <c r="A3283" t="s">
        <v>72</v>
      </c>
      <c r="B3283" t="s">
        <v>53937</v>
      </c>
      <c r="C3283" t="s">
        <v>74</v>
      </c>
      <c r="D3283" t="s">
        <v>74</v>
      </c>
      <c r="E3283" t="s">
        <v>74</v>
      </c>
      <c r="F3283" t="s">
        <v>53938</v>
      </c>
      <c r="G3283" t="s">
        <v>74</v>
      </c>
      <c r="H3283" t="s">
        <v>74</v>
      </c>
      <c r="I3283" t="s">
        <v>53939</v>
      </c>
      <c r="J3283" t="s">
        <v>6283</v>
      </c>
      <c r="K3283" t="s">
        <v>74</v>
      </c>
      <c r="L3283" t="s">
        <v>74</v>
      </c>
      <c r="M3283" t="s">
        <v>78</v>
      </c>
      <c r="N3283" t="s">
        <v>16500</v>
      </c>
      <c r="O3283" t="s">
        <v>74</v>
      </c>
      <c r="P3283" t="s">
        <v>74</v>
      </c>
      <c r="Q3283" t="s">
        <v>74</v>
      </c>
      <c r="R3283" t="s">
        <v>74</v>
      </c>
      <c r="S3283" t="s">
        <v>74</v>
      </c>
      <c r="T3283" t="s">
        <v>53940</v>
      </c>
      <c r="U3283" t="s">
        <v>53941</v>
      </c>
      <c r="V3283" t="s">
        <v>53942</v>
      </c>
      <c r="W3283" t="s">
        <v>53943</v>
      </c>
      <c r="X3283" t="s">
        <v>53944</v>
      </c>
      <c r="Y3283" t="s">
        <v>53945</v>
      </c>
      <c r="Z3283" t="s">
        <v>53946</v>
      </c>
      <c r="AA3283" t="s">
        <v>74</v>
      </c>
      <c r="AB3283" t="s">
        <v>74</v>
      </c>
      <c r="AC3283" t="s">
        <v>74</v>
      </c>
      <c r="AD3283" t="s">
        <v>74</v>
      </c>
      <c r="AE3283" t="s">
        <v>74</v>
      </c>
      <c r="AF3283" t="s">
        <v>74</v>
      </c>
      <c r="AG3283">
        <v>101</v>
      </c>
      <c r="AH3283">
        <v>0</v>
      </c>
      <c r="AI3283">
        <v>0</v>
      </c>
      <c r="AJ3283">
        <v>0</v>
      </c>
      <c r="AK3283">
        <v>0</v>
      </c>
      <c r="AL3283" t="s">
        <v>479</v>
      </c>
      <c r="AM3283" t="s">
        <v>480</v>
      </c>
      <c r="AN3283" t="s">
        <v>481</v>
      </c>
      <c r="AO3283" t="s">
        <v>6293</v>
      </c>
      <c r="AP3283" t="s">
        <v>6294</v>
      </c>
      <c r="AQ3283" t="s">
        <v>74</v>
      </c>
      <c r="AR3283" t="s">
        <v>6295</v>
      </c>
      <c r="AS3283" t="s">
        <v>6296</v>
      </c>
      <c r="AT3283" t="s">
        <v>53947</v>
      </c>
      <c r="AU3283">
        <v>2025</v>
      </c>
      <c r="AV3283" t="s">
        <v>74</v>
      </c>
      <c r="AW3283" t="s">
        <v>74</v>
      </c>
      <c r="AX3283" t="s">
        <v>74</v>
      </c>
      <c r="AY3283" t="s">
        <v>74</v>
      </c>
      <c r="AZ3283" t="s">
        <v>74</v>
      </c>
      <c r="BA3283" t="s">
        <v>74</v>
      </c>
      <c r="BB3283" t="s">
        <v>74</v>
      </c>
      <c r="BC3283" t="s">
        <v>74</v>
      </c>
      <c r="BD3283" t="s">
        <v>74</v>
      </c>
      <c r="BE3283" t="s">
        <v>53948</v>
      </c>
      <c r="BF3283" t="str">
        <f>HYPERLINK("http://dx.doi.org/10.1002/sd.70611","http://dx.doi.org/10.1002/sd.70611")</f>
        <v>http://dx.doi.org/10.1002/sd.70611</v>
      </c>
      <c r="BG3283" t="s">
        <v>74</v>
      </c>
      <c r="BH3283" t="s">
        <v>488</v>
      </c>
      <c r="BI3283">
        <v>20</v>
      </c>
      <c r="BJ3283" t="s">
        <v>6299</v>
      </c>
      <c r="BK3283" t="s">
        <v>99</v>
      </c>
      <c r="BL3283" t="s">
        <v>6300</v>
      </c>
      <c r="BM3283" t="s">
        <v>53949</v>
      </c>
      <c r="BN3283" t="s">
        <v>74</v>
      </c>
      <c r="BO3283" t="s">
        <v>74</v>
      </c>
      <c r="BP3283" t="s">
        <v>74</v>
      </c>
      <c r="BQ3283" t="s">
        <v>74</v>
      </c>
      <c r="BR3283" t="s">
        <v>102</v>
      </c>
      <c r="BS3283" t="s">
        <v>53950</v>
      </c>
      <c r="BT3283" t="str">
        <f>HYPERLINK("https%3A%2F%2Fwww.webofscience.com%2Fwos%2Fwoscc%2Ffull-record%2FWOS:001650146200001","View Full Record in Web of Science")</f>
        <v>View Full Record in Web of Science</v>
      </c>
    </row>
    <row r="3284" spans="1:72" x14ac:dyDescent="0.25">
      <c r="A3284" t="s">
        <v>72</v>
      </c>
      <c r="B3284" t="s">
        <v>53951</v>
      </c>
      <c r="C3284" t="s">
        <v>74</v>
      </c>
      <c r="D3284" t="s">
        <v>74</v>
      </c>
      <c r="E3284" t="s">
        <v>74</v>
      </c>
      <c r="F3284" t="s">
        <v>53952</v>
      </c>
      <c r="G3284" t="s">
        <v>74</v>
      </c>
      <c r="H3284" t="s">
        <v>74</v>
      </c>
      <c r="I3284" t="s">
        <v>53953</v>
      </c>
      <c r="J3284" t="s">
        <v>17819</v>
      </c>
      <c r="K3284" t="s">
        <v>74</v>
      </c>
      <c r="L3284" t="s">
        <v>74</v>
      </c>
      <c r="M3284" t="s">
        <v>78</v>
      </c>
      <c r="N3284" t="s">
        <v>79</v>
      </c>
      <c r="O3284" t="s">
        <v>74</v>
      </c>
      <c r="P3284" t="s">
        <v>74</v>
      </c>
      <c r="Q3284" t="s">
        <v>74</v>
      </c>
      <c r="R3284" t="s">
        <v>74</v>
      </c>
      <c r="S3284" t="s">
        <v>74</v>
      </c>
      <c r="T3284" t="s">
        <v>74</v>
      </c>
      <c r="U3284" t="s">
        <v>74</v>
      </c>
      <c r="V3284" t="s">
        <v>53954</v>
      </c>
      <c r="W3284" t="s">
        <v>53955</v>
      </c>
      <c r="X3284" t="s">
        <v>2340</v>
      </c>
      <c r="Y3284" t="s">
        <v>53956</v>
      </c>
      <c r="Z3284" t="s">
        <v>53957</v>
      </c>
      <c r="AA3284" t="s">
        <v>74</v>
      </c>
      <c r="AB3284" t="s">
        <v>74</v>
      </c>
      <c r="AC3284" t="s">
        <v>74</v>
      </c>
      <c r="AD3284" t="s">
        <v>74</v>
      </c>
      <c r="AE3284" t="s">
        <v>74</v>
      </c>
      <c r="AF3284" t="s">
        <v>74</v>
      </c>
      <c r="AG3284">
        <v>32</v>
      </c>
      <c r="AH3284">
        <v>0</v>
      </c>
      <c r="AI3284">
        <v>0</v>
      </c>
      <c r="AJ3284">
        <v>6</v>
      </c>
      <c r="AK3284">
        <v>6</v>
      </c>
      <c r="AL3284" t="s">
        <v>5379</v>
      </c>
      <c r="AM3284" t="s">
        <v>5380</v>
      </c>
      <c r="AN3284" t="s">
        <v>5425</v>
      </c>
      <c r="AO3284" t="s">
        <v>17830</v>
      </c>
      <c r="AP3284" t="s">
        <v>17831</v>
      </c>
      <c r="AQ3284" t="s">
        <v>74</v>
      </c>
      <c r="AR3284" t="s">
        <v>17819</v>
      </c>
      <c r="AS3284" t="s">
        <v>17832</v>
      </c>
      <c r="AT3284" t="s">
        <v>891</v>
      </c>
      <c r="AU3284">
        <v>2025</v>
      </c>
      <c r="AV3284">
        <v>58</v>
      </c>
      <c r="AW3284">
        <v>11</v>
      </c>
      <c r="AX3284" t="s">
        <v>74</v>
      </c>
      <c r="AY3284" t="s">
        <v>74</v>
      </c>
      <c r="AZ3284" t="s">
        <v>74</v>
      </c>
      <c r="BA3284" t="s">
        <v>74</v>
      </c>
      <c r="BB3284">
        <v>120</v>
      </c>
      <c r="BC3284">
        <v>126</v>
      </c>
      <c r="BD3284" t="s">
        <v>74</v>
      </c>
      <c r="BE3284" t="s">
        <v>53958</v>
      </c>
      <c r="BF3284" t="str">
        <f>HYPERLINK("http://dx.doi.org/10.1109/MC.2025.3599598","http://dx.doi.org/10.1109/MC.2025.3599598")</f>
        <v>http://dx.doi.org/10.1109/MC.2025.3599598</v>
      </c>
      <c r="BG3284" t="s">
        <v>74</v>
      </c>
      <c r="BH3284" t="s">
        <v>74</v>
      </c>
      <c r="BI3284">
        <v>7</v>
      </c>
      <c r="BJ3284" t="s">
        <v>17834</v>
      </c>
      <c r="BK3284" t="s">
        <v>128</v>
      </c>
      <c r="BL3284" t="s">
        <v>157</v>
      </c>
      <c r="BM3284" t="s">
        <v>53959</v>
      </c>
      <c r="BN3284" t="s">
        <v>74</v>
      </c>
      <c r="BO3284" t="s">
        <v>74</v>
      </c>
      <c r="BP3284" t="s">
        <v>74</v>
      </c>
      <c r="BQ3284" t="s">
        <v>74</v>
      </c>
      <c r="BR3284" t="s">
        <v>102</v>
      </c>
      <c r="BS3284" t="s">
        <v>53960</v>
      </c>
      <c r="BT3284" t="str">
        <f>HYPERLINK("https%3A%2F%2Fwww.webofscience.com%2Fwos%2Fwoscc%2Ffull-record%2FWOS:001606159600012","View Full Record in Web of Science")</f>
        <v>View Full Record in Web of Science</v>
      </c>
    </row>
    <row r="3285" spans="1:72" x14ac:dyDescent="0.25">
      <c r="A3285" t="s">
        <v>72</v>
      </c>
      <c r="B3285" t="s">
        <v>53961</v>
      </c>
      <c r="C3285" t="s">
        <v>74</v>
      </c>
      <c r="D3285" t="s">
        <v>74</v>
      </c>
      <c r="E3285" t="s">
        <v>74</v>
      </c>
      <c r="F3285" t="s">
        <v>53962</v>
      </c>
      <c r="G3285" t="s">
        <v>74</v>
      </c>
      <c r="H3285" t="s">
        <v>74</v>
      </c>
      <c r="I3285" t="s">
        <v>53963</v>
      </c>
      <c r="J3285" t="s">
        <v>53964</v>
      </c>
      <c r="K3285" t="s">
        <v>74</v>
      </c>
      <c r="L3285" t="s">
        <v>74</v>
      </c>
      <c r="M3285" t="s">
        <v>78</v>
      </c>
      <c r="N3285" t="s">
        <v>79</v>
      </c>
      <c r="O3285" t="s">
        <v>74</v>
      </c>
      <c r="P3285" t="s">
        <v>74</v>
      </c>
      <c r="Q3285" t="s">
        <v>74</v>
      </c>
      <c r="R3285" t="s">
        <v>74</v>
      </c>
      <c r="S3285" t="s">
        <v>74</v>
      </c>
      <c r="T3285" t="s">
        <v>53965</v>
      </c>
      <c r="U3285" t="s">
        <v>53966</v>
      </c>
      <c r="V3285" t="s">
        <v>53967</v>
      </c>
      <c r="W3285" t="s">
        <v>53968</v>
      </c>
      <c r="X3285" t="s">
        <v>53969</v>
      </c>
      <c r="Y3285" t="s">
        <v>53970</v>
      </c>
      <c r="Z3285" t="s">
        <v>53971</v>
      </c>
      <c r="AA3285" t="s">
        <v>53972</v>
      </c>
      <c r="AB3285" t="s">
        <v>53973</v>
      </c>
      <c r="AC3285" t="s">
        <v>74</v>
      </c>
      <c r="AD3285" t="s">
        <v>74</v>
      </c>
      <c r="AE3285" t="s">
        <v>74</v>
      </c>
      <c r="AF3285" t="s">
        <v>74</v>
      </c>
      <c r="AG3285">
        <v>71</v>
      </c>
      <c r="AH3285">
        <v>0</v>
      </c>
      <c r="AI3285">
        <v>0</v>
      </c>
      <c r="AJ3285">
        <v>1</v>
      </c>
      <c r="AK3285">
        <v>7</v>
      </c>
      <c r="AL3285" t="s">
        <v>16099</v>
      </c>
      <c r="AM3285" t="s">
        <v>16100</v>
      </c>
      <c r="AN3285" t="s">
        <v>16101</v>
      </c>
      <c r="AO3285" t="s">
        <v>53974</v>
      </c>
      <c r="AP3285" t="s">
        <v>53975</v>
      </c>
      <c r="AQ3285" t="s">
        <v>74</v>
      </c>
      <c r="AR3285" t="s">
        <v>53976</v>
      </c>
      <c r="AS3285" t="s">
        <v>53977</v>
      </c>
      <c r="AT3285" t="s">
        <v>1652</v>
      </c>
      <c r="AU3285">
        <v>2024</v>
      </c>
      <c r="AV3285">
        <v>31</v>
      </c>
      <c r="AW3285">
        <v>2</v>
      </c>
      <c r="AX3285" t="s">
        <v>74</v>
      </c>
      <c r="AY3285" t="s">
        <v>74</v>
      </c>
      <c r="AZ3285" t="s">
        <v>74</v>
      </c>
      <c r="BA3285" t="s">
        <v>74</v>
      </c>
      <c r="BB3285" t="s">
        <v>74</v>
      </c>
      <c r="BC3285" t="s">
        <v>74</v>
      </c>
      <c r="BD3285" t="s">
        <v>53978</v>
      </c>
      <c r="BE3285" t="s">
        <v>53979</v>
      </c>
      <c r="BF3285" t="str">
        <f>HYPERLINK("http://dx.doi.org/10.1002/isaf.1550","http://dx.doi.org/10.1002/isaf.1550")</f>
        <v>http://dx.doi.org/10.1002/isaf.1550</v>
      </c>
      <c r="BG3285" t="s">
        <v>74</v>
      </c>
      <c r="BH3285" t="s">
        <v>74</v>
      </c>
      <c r="BI3285">
        <v>16</v>
      </c>
      <c r="BJ3285" t="s">
        <v>268</v>
      </c>
      <c r="BK3285" t="s">
        <v>313</v>
      </c>
      <c r="BL3285" t="s">
        <v>100</v>
      </c>
      <c r="BM3285" t="s">
        <v>53980</v>
      </c>
      <c r="BN3285" t="s">
        <v>74</v>
      </c>
      <c r="BO3285" t="s">
        <v>74</v>
      </c>
      <c r="BP3285" t="s">
        <v>74</v>
      </c>
      <c r="BQ3285" t="s">
        <v>74</v>
      </c>
      <c r="BR3285" t="s">
        <v>102</v>
      </c>
      <c r="BS3285" t="s">
        <v>53981</v>
      </c>
      <c r="BT3285" t="str">
        <f>HYPERLINK("https%3A%2F%2Fwww.webofscience.com%2Fwos%2Fwoscc%2Ffull-record%2FWOS:001253760100002","View Full Record in Web of Science")</f>
        <v>View Full Record in Web of Science</v>
      </c>
    </row>
    <row r="3286" spans="1:72" x14ac:dyDescent="0.25">
      <c r="A3286" t="s">
        <v>72</v>
      </c>
      <c r="B3286" t="s">
        <v>53982</v>
      </c>
      <c r="C3286" t="s">
        <v>74</v>
      </c>
      <c r="D3286" t="s">
        <v>74</v>
      </c>
      <c r="E3286" t="s">
        <v>74</v>
      </c>
      <c r="F3286" t="s">
        <v>53983</v>
      </c>
      <c r="G3286" t="s">
        <v>74</v>
      </c>
      <c r="H3286" t="s">
        <v>74</v>
      </c>
      <c r="I3286" t="s">
        <v>53984</v>
      </c>
      <c r="J3286" t="s">
        <v>4842</v>
      </c>
      <c r="K3286" t="s">
        <v>74</v>
      </c>
      <c r="L3286" t="s">
        <v>74</v>
      </c>
      <c r="M3286" t="s">
        <v>78</v>
      </c>
      <c r="N3286" t="s">
        <v>79</v>
      </c>
      <c r="O3286" t="s">
        <v>74</v>
      </c>
      <c r="P3286" t="s">
        <v>74</v>
      </c>
      <c r="Q3286" t="s">
        <v>74</v>
      </c>
      <c r="R3286" t="s">
        <v>74</v>
      </c>
      <c r="S3286" t="s">
        <v>74</v>
      </c>
      <c r="T3286" t="s">
        <v>53985</v>
      </c>
      <c r="U3286" t="s">
        <v>53986</v>
      </c>
      <c r="V3286" t="s">
        <v>53987</v>
      </c>
      <c r="W3286" t="s">
        <v>53988</v>
      </c>
      <c r="X3286" t="s">
        <v>53989</v>
      </c>
      <c r="Y3286" t="s">
        <v>53990</v>
      </c>
      <c r="Z3286" t="s">
        <v>53991</v>
      </c>
      <c r="AA3286" t="s">
        <v>53992</v>
      </c>
      <c r="AB3286" t="s">
        <v>53993</v>
      </c>
      <c r="AC3286" t="s">
        <v>74</v>
      </c>
      <c r="AD3286" t="s">
        <v>74</v>
      </c>
      <c r="AE3286" t="s">
        <v>74</v>
      </c>
      <c r="AF3286" t="s">
        <v>74</v>
      </c>
      <c r="AG3286">
        <v>87</v>
      </c>
      <c r="AH3286">
        <v>30</v>
      </c>
      <c r="AI3286">
        <v>41</v>
      </c>
      <c r="AJ3286">
        <v>0</v>
      </c>
      <c r="AK3286">
        <v>27</v>
      </c>
      <c r="AL3286" t="s">
        <v>823</v>
      </c>
      <c r="AM3286" t="s">
        <v>333</v>
      </c>
      <c r="AN3286" t="s">
        <v>824</v>
      </c>
      <c r="AO3286" t="s">
        <v>4853</v>
      </c>
      <c r="AP3286" t="s">
        <v>74</v>
      </c>
      <c r="AQ3286" t="s">
        <v>74</v>
      </c>
      <c r="AR3286" t="s">
        <v>4854</v>
      </c>
      <c r="AS3286" t="s">
        <v>4855</v>
      </c>
      <c r="AT3286" t="s">
        <v>11604</v>
      </c>
      <c r="AU3286">
        <v>2019</v>
      </c>
      <c r="AV3286">
        <v>6</v>
      </c>
      <c r="AW3286">
        <v>1</v>
      </c>
      <c r="AX3286" t="s">
        <v>74</v>
      </c>
      <c r="AY3286" t="s">
        <v>74</v>
      </c>
      <c r="AZ3286" t="s">
        <v>74</v>
      </c>
      <c r="BA3286" t="s">
        <v>74</v>
      </c>
      <c r="BB3286" t="s">
        <v>74</v>
      </c>
      <c r="BC3286" t="s">
        <v>74</v>
      </c>
      <c r="BD3286">
        <v>1644715</v>
      </c>
      <c r="BE3286" t="s">
        <v>53994</v>
      </c>
      <c r="BF3286" t="str">
        <f>HYPERLINK("http://dx.doi.org/10.1080/23311975.2019.1644715","http://dx.doi.org/10.1080/23311975.2019.1644715")</f>
        <v>http://dx.doi.org/10.1080/23311975.2019.1644715</v>
      </c>
      <c r="BG3286" t="s">
        <v>74</v>
      </c>
      <c r="BH3286" t="s">
        <v>74</v>
      </c>
      <c r="BI3286">
        <v>20</v>
      </c>
      <c r="BJ3286" t="s">
        <v>418</v>
      </c>
      <c r="BK3286" t="s">
        <v>313</v>
      </c>
      <c r="BL3286" t="s">
        <v>100</v>
      </c>
      <c r="BM3286" t="s">
        <v>53995</v>
      </c>
      <c r="BN3286" t="s">
        <v>74</v>
      </c>
      <c r="BO3286" t="s">
        <v>916</v>
      </c>
      <c r="BP3286" t="s">
        <v>74</v>
      </c>
      <c r="BQ3286" t="s">
        <v>74</v>
      </c>
      <c r="BR3286" t="s">
        <v>102</v>
      </c>
      <c r="BS3286" t="s">
        <v>53996</v>
      </c>
      <c r="BT3286" t="str">
        <f>HYPERLINK("https%3A%2F%2Fwww.webofscience.com%2Fwos%2Fwoscc%2Ffull-record%2FWOS:000478046900001","View Full Record in Web of Science")</f>
        <v>View Full Record in Web of Science</v>
      </c>
    </row>
    <row r="3287" spans="1:72" x14ac:dyDescent="0.25">
      <c r="A3287" t="s">
        <v>72</v>
      </c>
      <c r="B3287" t="s">
        <v>53997</v>
      </c>
      <c r="C3287" t="s">
        <v>74</v>
      </c>
      <c r="D3287" t="s">
        <v>74</v>
      </c>
      <c r="E3287" t="s">
        <v>74</v>
      </c>
      <c r="F3287" t="s">
        <v>53998</v>
      </c>
      <c r="G3287" t="s">
        <v>74</v>
      </c>
      <c r="H3287" t="s">
        <v>74</v>
      </c>
      <c r="I3287" t="s">
        <v>53999</v>
      </c>
      <c r="J3287" t="s">
        <v>54000</v>
      </c>
      <c r="K3287" t="s">
        <v>74</v>
      </c>
      <c r="L3287" t="s">
        <v>74</v>
      </c>
      <c r="M3287" t="s">
        <v>78</v>
      </c>
      <c r="N3287" t="s">
        <v>79</v>
      </c>
      <c r="O3287" t="s">
        <v>74</v>
      </c>
      <c r="P3287" t="s">
        <v>74</v>
      </c>
      <c r="Q3287" t="s">
        <v>74</v>
      </c>
      <c r="R3287" t="s">
        <v>74</v>
      </c>
      <c r="S3287" t="s">
        <v>74</v>
      </c>
      <c r="T3287" t="s">
        <v>54001</v>
      </c>
      <c r="U3287" t="s">
        <v>74</v>
      </c>
      <c r="V3287" t="s">
        <v>54002</v>
      </c>
      <c r="W3287" t="s">
        <v>54003</v>
      </c>
      <c r="X3287" t="s">
        <v>54004</v>
      </c>
      <c r="Y3287" t="s">
        <v>54005</v>
      </c>
      <c r="Z3287" t="s">
        <v>54006</v>
      </c>
      <c r="AA3287" t="s">
        <v>54007</v>
      </c>
      <c r="AB3287" t="s">
        <v>54008</v>
      </c>
      <c r="AC3287" t="s">
        <v>54009</v>
      </c>
      <c r="AD3287" t="s">
        <v>54009</v>
      </c>
      <c r="AE3287" t="s">
        <v>54010</v>
      </c>
      <c r="AF3287" t="s">
        <v>74</v>
      </c>
      <c r="AG3287">
        <v>21</v>
      </c>
      <c r="AH3287">
        <v>1</v>
      </c>
      <c r="AI3287">
        <v>1</v>
      </c>
      <c r="AJ3287">
        <v>2</v>
      </c>
      <c r="AK3287">
        <v>6</v>
      </c>
      <c r="AL3287" t="s">
        <v>117</v>
      </c>
      <c r="AM3287" t="s">
        <v>118</v>
      </c>
      <c r="AN3287" t="s">
        <v>119</v>
      </c>
      <c r="AO3287" t="s">
        <v>54011</v>
      </c>
      <c r="AP3287" t="s">
        <v>54012</v>
      </c>
      <c r="AQ3287" t="s">
        <v>74</v>
      </c>
      <c r="AR3287" t="s">
        <v>54013</v>
      </c>
      <c r="AS3287" t="s">
        <v>54014</v>
      </c>
      <c r="AT3287" t="s">
        <v>1652</v>
      </c>
      <c r="AU3287">
        <v>2025</v>
      </c>
      <c r="AV3287">
        <v>24</v>
      </c>
      <c r="AW3287">
        <v>2</v>
      </c>
      <c r="AX3287" t="s">
        <v>74</v>
      </c>
      <c r="AY3287" t="s">
        <v>74</v>
      </c>
      <c r="AZ3287" t="s">
        <v>74</v>
      </c>
      <c r="BA3287" t="s">
        <v>74</v>
      </c>
      <c r="BB3287">
        <v>1873</v>
      </c>
      <c r="BC3287">
        <v>1882</v>
      </c>
      <c r="BD3287" t="s">
        <v>54015</v>
      </c>
      <c r="BE3287" t="s">
        <v>54016</v>
      </c>
      <c r="BF3287" t="str">
        <f>HYPERLINK("http://dx.doi.org/10.1007/s10209-024-01153-8","http://dx.doi.org/10.1007/s10209-024-01153-8")</f>
        <v>http://dx.doi.org/10.1007/s10209-024-01153-8</v>
      </c>
      <c r="BG3287" t="s">
        <v>74</v>
      </c>
      <c r="BH3287" t="s">
        <v>9389</v>
      </c>
      <c r="BI3287">
        <v>10</v>
      </c>
      <c r="BJ3287" t="s">
        <v>12357</v>
      </c>
      <c r="BK3287" t="s">
        <v>2623</v>
      </c>
      <c r="BL3287" t="s">
        <v>981</v>
      </c>
      <c r="BM3287" t="s">
        <v>54017</v>
      </c>
      <c r="BN3287" t="s">
        <v>74</v>
      </c>
      <c r="BO3287" t="s">
        <v>74</v>
      </c>
      <c r="BP3287" t="s">
        <v>74</v>
      </c>
      <c r="BQ3287" t="s">
        <v>74</v>
      </c>
      <c r="BR3287" t="s">
        <v>102</v>
      </c>
      <c r="BS3287" t="s">
        <v>54018</v>
      </c>
      <c r="BT3287" t="str">
        <f>HYPERLINK("https%3A%2F%2Fwww.webofscience.com%2Fwos%2Fwoscc%2Ffull-record%2FWOS:001315027100001","View Full Record in Web of Science")</f>
        <v>View Full Record in Web of Science</v>
      </c>
    </row>
    <row r="3288" spans="1:72" x14ac:dyDescent="0.25">
      <c r="A3288" t="s">
        <v>72</v>
      </c>
      <c r="B3288" t="s">
        <v>54019</v>
      </c>
      <c r="C3288" t="s">
        <v>74</v>
      </c>
      <c r="D3288" t="s">
        <v>74</v>
      </c>
      <c r="E3288" t="s">
        <v>74</v>
      </c>
      <c r="F3288" t="s">
        <v>54020</v>
      </c>
      <c r="G3288" t="s">
        <v>74</v>
      </c>
      <c r="H3288" t="s">
        <v>74</v>
      </c>
      <c r="I3288" t="s">
        <v>54021</v>
      </c>
      <c r="J3288" t="s">
        <v>38347</v>
      </c>
      <c r="K3288" t="s">
        <v>74</v>
      </c>
      <c r="L3288" t="s">
        <v>74</v>
      </c>
      <c r="M3288" t="s">
        <v>78</v>
      </c>
      <c r="N3288" t="s">
        <v>79</v>
      </c>
      <c r="O3288" t="s">
        <v>74</v>
      </c>
      <c r="P3288" t="s">
        <v>74</v>
      </c>
      <c r="Q3288" t="s">
        <v>74</v>
      </c>
      <c r="R3288" t="s">
        <v>74</v>
      </c>
      <c r="S3288" t="s">
        <v>74</v>
      </c>
      <c r="T3288" t="s">
        <v>54022</v>
      </c>
      <c r="U3288" t="s">
        <v>54023</v>
      </c>
      <c r="V3288" t="s">
        <v>54024</v>
      </c>
      <c r="W3288" t="s">
        <v>54025</v>
      </c>
      <c r="X3288" t="s">
        <v>11804</v>
      </c>
      <c r="Y3288" t="s">
        <v>54026</v>
      </c>
      <c r="Z3288" t="s">
        <v>54027</v>
      </c>
      <c r="AA3288" t="s">
        <v>54028</v>
      </c>
      <c r="AB3288" t="s">
        <v>54029</v>
      </c>
      <c r="AC3288" t="s">
        <v>74</v>
      </c>
      <c r="AD3288" t="s">
        <v>74</v>
      </c>
      <c r="AE3288" t="s">
        <v>74</v>
      </c>
      <c r="AF3288" t="s">
        <v>74</v>
      </c>
      <c r="AG3288">
        <v>80</v>
      </c>
      <c r="AH3288">
        <v>5</v>
      </c>
      <c r="AI3288">
        <v>5</v>
      </c>
      <c r="AJ3288">
        <v>0</v>
      </c>
      <c r="AK3288">
        <v>7</v>
      </c>
      <c r="AL3288" t="s">
        <v>23556</v>
      </c>
      <c r="AM3288" t="s">
        <v>17036</v>
      </c>
      <c r="AN3288" t="s">
        <v>38355</v>
      </c>
      <c r="AO3288" t="s">
        <v>38356</v>
      </c>
      <c r="AP3288" t="s">
        <v>38357</v>
      </c>
      <c r="AQ3288" t="s">
        <v>74</v>
      </c>
      <c r="AR3288" t="s">
        <v>38358</v>
      </c>
      <c r="AS3288" t="s">
        <v>38359</v>
      </c>
      <c r="AT3288" t="s">
        <v>1221</v>
      </c>
      <c r="AU3288">
        <v>2020</v>
      </c>
      <c r="AV3288">
        <v>16</v>
      </c>
      <c r="AW3288">
        <v>1</v>
      </c>
      <c r="AX3288" t="s">
        <v>74</v>
      </c>
      <c r="AY3288" t="s">
        <v>74</v>
      </c>
      <c r="AZ3288" t="s">
        <v>74</v>
      </c>
      <c r="BA3288" t="s">
        <v>74</v>
      </c>
      <c r="BB3288" t="s">
        <v>74</v>
      </c>
      <c r="BC3288" t="s">
        <v>74</v>
      </c>
      <c r="BD3288" t="s">
        <v>54030</v>
      </c>
      <c r="BE3288" t="s">
        <v>54031</v>
      </c>
      <c r="BF3288" t="str">
        <f>HYPERLINK("http://dx.doi.org/10.4102/td.v16i1.809","http://dx.doi.org/10.4102/td.v16i1.809")</f>
        <v>http://dx.doi.org/10.4102/td.v16i1.809</v>
      </c>
      <c r="BG3288" t="s">
        <v>74</v>
      </c>
      <c r="BH3288" t="s">
        <v>74</v>
      </c>
      <c r="BI3288">
        <v>10</v>
      </c>
      <c r="BJ3288" t="s">
        <v>364</v>
      </c>
      <c r="BK3288" t="s">
        <v>313</v>
      </c>
      <c r="BL3288" t="s">
        <v>365</v>
      </c>
      <c r="BM3288" t="s">
        <v>54032</v>
      </c>
      <c r="BN3288" t="s">
        <v>74</v>
      </c>
      <c r="BO3288" t="s">
        <v>916</v>
      </c>
      <c r="BP3288" t="s">
        <v>74</v>
      </c>
      <c r="BQ3288" t="s">
        <v>74</v>
      </c>
      <c r="BR3288" t="s">
        <v>102</v>
      </c>
      <c r="BS3288" t="s">
        <v>54033</v>
      </c>
      <c r="BT3288" t="str">
        <f>HYPERLINK("https%3A%2F%2Fwww.webofscience.com%2Fwos%2Fwoscc%2Ffull-record%2FWOS:000602332900001","View Full Record in Web of Science")</f>
        <v>View Full Record in Web of Science</v>
      </c>
    </row>
    <row r="3289" spans="1:72" x14ac:dyDescent="0.25">
      <c r="A3289" t="s">
        <v>72</v>
      </c>
      <c r="B3289" t="s">
        <v>40587</v>
      </c>
      <c r="C3289" t="s">
        <v>74</v>
      </c>
      <c r="D3289" t="s">
        <v>74</v>
      </c>
      <c r="E3289" t="s">
        <v>74</v>
      </c>
      <c r="F3289" t="s">
        <v>52588</v>
      </c>
      <c r="G3289" t="s">
        <v>74</v>
      </c>
      <c r="H3289" t="s">
        <v>74</v>
      </c>
      <c r="I3289" t="s">
        <v>54034</v>
      </c>
      <c r="J3289" t="s">
        <v>5937</v>
      </c>
      <c r="K3289" t="s">
        <v>74</v>
      </c>
      <c r="L3289" t="s">
        <v>74</v>
      </c>
      <c r="M3289" t="s">
        <v>78</v>
      </c>
      <c r="N3289" t="s">
        <v>372</v>
      </c>
      <c r="O3289" t="s">
        <v>74</v>
      </c>
      <c r="P3289" t="s">
        <v>74</v>
      </c>
      <c r="Q3289" t="s">
        <v>74</v>
      </c>
      <c r="R3289" t="s">
        <v>74</v>
      </c>
      <c r="S3289" t="s">
        <v>74</v>
      </c>
      <c r="T3289" t="s">
        <v>54035</v>
      </c>
      <c r="U3289" t="s">
        <v>54036</v>
      </c>
      <c r="V3289" t="s">
        <v>54037</v>
      </c>
      <c r="W3289" t="s">
        <v>54038</v>
      </c>
      <c r="X3289" t="s">
        <v>52246</v>
      </c>
      <c r="Y3289" t="s">
        <v>52593</v>
      </c>
      <c r="Z3289" t="s">
        <v>54039</v>
      </c>
      <c r="AA3289" t="s">
        <v>40597</v>
      </c>
      <c r="AB3289" t="s">
        <v>74</v>
      </c>
      <c r="AC3289" t="s">
        <v>74</v>
      </c>
      <c r="AD3289" t="s">
        <v>74</v>
      </c>
      <c r="AE3289" t="s">
        <v>74</v>
      </c>
      <c r="AF3289" t="s">
        <v>74</v>
      </c>
      <c r="AG3289">
        <v>150</v>
      </c>
      <c r="AH3289">
        <v>2</v>
      </c>
      <c r="AI3289">
        <v>3</v>
      </c>
      <c r="AJ3289">
        <v>3</v>
      </c>
      <c r="AK3289">
        <v>8</v>
      </c>
      <c r="AL3289" t="s">
        <v>89</v>
      </c>
      <c r="AM3289" t="s">
        <v>90</v>
      </c>
      <c r="AN3289" t="s">
        <v>91</v>
      </c>
      <c r="AO3289" t="s">
        <v>5946</v>
      </c>
      <c r="AP3289" t="s">
        <v>5947</v>
      </c>
      <c r="AQ3289" t="s">
        <v>74</v>
      </c>
      <c r="AR3289" t="s">
        <v>5948</v>
      </c>
      <c r="AS3289" t="s">
        <v>5949</v>
      </c>
      <c r="AT3289" t="s">
        <v>54040</v>
      </c>
      <c r="AU3289">
        <v>2025</v>
      </c>
      <c r="AV3289" t="s">
        <v>74</v>
      </c>
      <c r="AW3289" t="s">
        <v>74</v>
      </c>
      <c r="AX3289" t="s">
        <v>74</v>
      </c>
      <c r="AY3289" t="s">
        <v>74</v>
      </c>
      <c r="AZ3289" t="s">
        <v>74</v>
      </c>
      <c r="BA3289" t="s">
        <v>74</v>
      </c>
      <c r="BB3289" t="s">
        <v>74</v>
      </c>
      <c r="BC3289" t="s">
        <v>74</v>
      </c>
      <c r="BD3289" t="s">
        <v>74</v>
      </c>
      <c r="BE3289" t="s">
        <v>54041</v>
      </c>
      <c r="BF3289" t="str">
        <f>HYPERLINK("http://dx.doi.org/10.1108/JSTPM-08-2023-0144","http://dx.doi.org/10.1108/JSTPM-08-2023-0144")</f>
        <v>http://dx.doi.org/10.1108/JSTPM-08-2023-0144</v>
      </c>
      <c r="BG3289" t="s">
        <v>74</v>
      </c>
      <c r="BH3289" t="s">
        <v>417</v>
      </c>
      <c r="BI3289">
        <v>35</v>
      </c>
      <c r="BJ3289" t="s">
        <v>583</v>
      </c>
      <c r="BK3289" t="s">
        <v>313</v>
      </c>
      <c r="BL3289" t="s">
        <v>100</v>
      </c>
      <c r="BM3289" t="s">
        <v>54042</v>
      </c>
      <c r="BN3289" t="s">
        <v>74</v>
      </c>
      <c r="BO3289" t="s">
        <v>74</v>
      </c>
      <c r="BP3289" t="s">
        <v>74</v>
      </c>
      <c r="BQ3289" t="s">
        <v>74</v>
      </c>
      <c r="BR3289" t="s">
        <v>102</v>
      </c>
      <c r="BS3289" t="s">
        <v>54043</v>
      </c>
      <c r="BT3289" t="str">
        <f>HYPERLINK("https%3A%2F%2Fwww.webofscience.com%2Fwos%2Fwoscc%2Ffull-record%2FWOS:001431817800001","View Full Record in Web of Science")</f>
        <v>View Full Record in Web of Science</v>
      </c>
    </row>
    <row r="3290" spans="1:72" x14ac:dyDescent="0.25">
      <c r="A3290" t="s">
        <v>132</v>
      </c>
      <c r="B3290" t="s">
        <v>54044</v>
      </c>
      <c r="C3290" t="s">
        <v>74</v>
      </c>
      <c r="D3290" t="s">
        <v>74</v>
      </c>
      <c r="E3290" t="s">
        <v>74</v>
      </c>
      <c r="F3290" t="s">
        <v>54045</v>
      </c>
      <c r="G3290" t="s">
        <v>74</v>
      </c>
      <c r="H3290" t="s">
        <v>74</v>
      </c>
      <c r="I3290" t="s">
        <v>54046</v>
      </c>
      <c r="J3290" t="s">
        <v>24135</v>
      </c>
      <c r="K3290" t="s">
        <v>74</v>
      </c>
      <c r="L3290" t="s">
        <v>74</v>
      </c>
      <c r="M3290" t="s">
        <v>78</v>
      </c>
      <c r="N3290" t="s">
        <v>138</v>
      </c>
      <c r="O3290" t="s">
        <v>54047</v>
      </c>
      <c r="P3290" t="s">
        <v>54048</v>
      </c>
      <c r="Q3290" t="s">
        <v>54049</v>
      </c>
      <c r="R3290" t="s">
        <v>74</v>
      </c>
      <c r="S3290" t="s">
        <v>74</v>
      </c>
      <c r="T3290" t="s">
        <v>54050</v>
      </c>
      <c r="U3290" t="s">
        <v>74</v>
      </c>
      <c r="V3290" t="s">
        <v>54051</v>
      </c>
      <c r="W3290" t="s">
        <v>54052</v>
      </c>
      <c r="X3290" t="s">
        <v>28097</v>
      </c>
      <c r="Y3290" t="s">
        <v>54053</v>
      </c>
      <c r="Z3290" t="s">
        <v>54054</v>
      </c>
      <c r="AA3290" t="s">
        <v>54055</v>
      </c>
      <c r="AB3290" t="s">
        <v>54056</v>
      </c>
      <c r="AC3290" t="s">
        <v>74</v>
      </c>
      <c r="AD3290" t="s">
        <v>74</v>
      </c>
      <c r="AE3290" t="s">
        <v>74</v>
      </c>
      <c r="AF3290" t="s">
        <v>74</v>
      </c>
      <c r="AG3290">
        <v>62</v>
      </c>
      <c r="AH3290">
        <v>7</v>
      </c>
      <c r="AI3290">
        <v>8</v>
      </c>
      <c r="AJ3290">
        <v>2</v>
      </c>
      <c r="AK3290">
        <v>21</v>
      </c>
      <c r="AL3290" t="s">
        <v>4605</v>
      </c>
      <c r="AM3290" t="s">
        <v>4280</v>
      </c>
      <c r="AN3290" t="s">
        <v>4606</v>
      </c>
      <c r="AO3290" t="s">
        <v>24125</v>
      </c>
      <c r="AP3290" t="s">
        <v>24124</v>
      </c>
      <c r="AQ3290" t="s">
        <v>74</v>
      </c>
      <c r="AR3290" t="s">
        <v>24123</v>
      </c>
      <c r="AS3290" t="s">
        <v>24122</v>
      </c>
      <c r="AT3290" t="s">
        <v>3387</v>
      </c>
      <c r="AU3290">
        <v>2023</v>
      </c>
      <c r="AV3290">
        <v>17</v>
      </c>
      <c r="AW3290">
        <v>1</v>
      </c>
      <c r="AX3290" t="s">
        <v>74</v>
      </c>
      <c r="AY3290" t="s">
        <v>74</v>
      </c>
      <c r="AZ3290" t="s">
        <v>74</v>
      </c>
      <c r="BA3290" t="s">
        <v>74</v>
      </c>
      <c r="BB3290">
        <v>1085</v>
      </c>
      <c r="BC3290">
        <v>1102</v>
      </c>
      <c r="BD3290" t="s">
        <v>74</v>
      </c>
      <c r="BE3290" t="s">
        <v>54057</v>
      </c>
      <c r="BF3290" t="str">
        <f>HYPERLINK("http://dx.doi.org/10.2478/picbe-2023-0098","http://dx.doi.org/10.2478/picbe-2023-0098")</f>
        <v>http://dx.doi.org/10.2478/picbe-2023-0098</v>
      </c>
      <c r="BG3290" t="s">
        <v>74</v>
      </c>
      <c r="BH3290" t="s">
        <v>74</v>
      </c>
      <c r="BI3290">
        <v>18</v>
      </c>
      <c r="BJ3290" t="s">
        <v>418</v>
      </c>
      <c r="BK3290" t="s">
        <v>156</v>
      </c>
      <c r="BL3290" t="s">
        <v>100</v>
      </c>
      <c r="BM3290" t="s">
        <v>54058</v>
      </c>
      <c r="BN3290" t="s">
        <v>74</v>
      </c>
      <c r="BO3290" t="s">
        <v>270</v>
      </c>
      <c r="BP3290" t="s">
        <v>74</v>
      </c>
      <c r="BQ3290" t="s">
        <v>74</v>
      </c>
      <c r="BR3290" t="s">
        <v>102</v>
      </c>
      <c r="BS3290" t="s">
        <v>54059</v>
      </c>
      <c r="BT3290" t="str">
        <f>HYPERLINK("https%3A%2F%2Fwww.webofscience.com%2Fwos%2Fwoscc%2Ffull-record%2FWOS:001029771300024","View Full Record in Web of Science")</f>
        <v>View Full Record in Web of Science</v>
      </c>
    </row>
    <row r="3291" spans="1:72" x14ac:dyDescent="0.25">
      <c r="A3291" t="s">
        <v>72</v>
      </c>
      <c r="B3291" t="s">
        <v>54060</v>
      </c>
      <c r="C3291" t="s">
        <v>74</v>
      </c>
      <c r="D3291" t="s">
        <v>74</v>
      </c>
      <c r="E3291" t="s">
        <v>74</v>
      </c>
      <c r="F3291" t="s">
        <v>54061</v>
      </c>
      <c r="G3291" t="s">
        <v>74</v>
      </c>
      <c r="H3291" t="s">
        <v>74</v>
      </c>
      <c r="I3291" t="s">
        <v>54062</v>
      </c>
      <c r="J3291" t="s">
        <v>54063</v>
      </c>
      <c r="K3291" t="s">
        <v>74</v>
      </c>
      <c r="L3291" t="s">
        <v>74</v>
      </c>
      <c r="M3291" t="s">
        <v>78</v>
      </c>
      <c r="N3291" t="s">
        <v>79</v>
      </c>
      <c r="O3291" t="s">
        <v>74</v>
      </c>
      <c r="P3291" t="s">
        <v>74</v>
      </c>
      <c r="Q3291" t="s">
        <v>74</v>
      </c>
      <c r="R3291" t="s">
        <v>74</v>
      </c>
      <c r="S3291" t="s">
        <v>74</v>
      </c>
      <c r="T3291" t="s">
        <v>54064</v>
      </c>
      <c r="U3291" t="s">
        <v>54065</v>
      </c>
      <c r="V3291" t="s">
        <v>54066</v>
      </c>
      <c r="W3291" t="s">
        <v>54067</v>
      </c>
      <c r="X3291" t="s">
        <v>54068</v>
      </c>
      <c r="Y3291" t="s">
        <v>54069</v>
      </c>
      <c r="Z3291" t="s">
        <v>54070</v>
      </c>
      <c r="AA3291" t="s">
        <v>1151</v>
      </c>
      <c r="AB3291" t="s">
        <v>74</v>
      </c>
      <c r="AC3291" t="s">
        <v>74</v>
      </c>
      <c r="AD3291" t="s">
        <v>74</v>
      </c>
      <c r="AE3291" t="s">
        <v>74</v>
      </c>
      <c r="AF3291" t="s">
        <v>74</v>
      </c>
      <c r="AG3291">
        <v>68</v>
      </c>
      <c r="AH3291">
        <v>1</v>
      </c>
      <c r="AI3291">
        <v>3</v>
      </c>
      <c r="AJ3291">
        <v>1</v>
      </c>
      <c r="AK3291">
        <v>4</v>
      </c>
      <c r="AL3291" t="s">
        <v>385</v>
      </c>
      <c r="AM3291" t="s">
        <v>151</v>
      </c>
      <c r="AN3291" t="s">
        <v>386</v>
      </c>
      <c r="AO3291" t="s">
        <v>54071</v>
      </c>
      <c r="AP3291" t="s">
        <v>54072</v>
      </c>
      <c r="AQ3291" t="s">
        <v>74</v>
      </c>
      <c r="AR3291" t="s">
        <v>54073</v>
      </c>
      <c r="AS3291" t="s">
        <v>54074</v>
      </c>
      <c r="AT3291" t="s">
        <v>605</v>
      </c>
      <c r="AU3291">
        <v>2024</v>
      </c>
      <c r="AV3291">
        <v>16</v>
      </c>
      <c r="AW3291">
        <v>1</v>
      </c>
      <c r="AX3291" t="s">
        <v>74</v>
      </c>
      <c r="AY3291" t="s">
        <v>74</v>
      </c>
      <c r="AZ3291" t="s">
        <v>74</v>
      </c>
      <c r="BA3291" t="s">
        <v>74</v>
      </c>
      <c r="BB3291">
        <v>86</v>
      </c>
      <c r="BC3291">
        <v>98</v>
      </c>
      <c r="BD3291" t="s">
        <v>74</v>
      </c>
      <c r="BE3291" t="s">
        <v>54075</v>
      </c>
      <c r="BF3291" t="str">
        <f>HYPERLINK("http://dx.doi.org/10.1007/s12552-023-09398-3","http://dx.doi.org/10.1007/s12552-023-09398-3")</f>
        <v>http://dx.doi.org/10.1007/s12552-023-09398-3</v>
      </c>
      <c r="BG3291" t="s">
        <v>74</v>
      </c>
      <c r="BH3291" t="s">
        <v>2417</v>
      </c>
      <c r="BI3291">
        <v>13</v>
      </c>
      <c r="BJ3291" t="s">
        <v>54076</v>
      </c>
      <c r="BK3291" t="s">
        <v>99</v>
      </c>
      <c r="BL3291" t="s">
        <v>54077</v>
      </c>
      <c r="BM3291" t="s">
        <v>54078</v>
      </c>
      <c r="BN3291" t="s">
        <v>74</v>
      </c>
      <c r="BO3291" t="s">
        <v>74</v>
      </c>
      <c r="BP3291" t="s">
        <v>74</v>
      </c>
      <c r="BQ3291" t="s">
        <v>74</v>
      </c>
      <c r="BR3291" t="s">
        <v>102</v>
      </c>
      <c r="BS3291" t="s">
        <v>54079</v>
      </c>
      <c r="BT3291" t="str">
        <f>HYPERLINK("https%3A%2F%2Fwww.webofscience.com%2Fwos%2Fwoscc%2Ffull-record%2FWOS:001086792800001","View Full Record in Web of Science")</f>
        <v>View Full Record in Web of Science</v>
      </c>
    </row>
    <row r="3292" spans="1:72" x14ac:dyDescent="0.25">
      <c r="A3292" t="s">
        <v>72</v>
      </c>
      <c r="B3292" t="s">
        <v>54080</v>
      </c>
      <c r="C3292" t="s">
        <v>74</v>
      </c>
      <c r="D3292" t="s">
        <v>74</v>
      </c>
      <c r="E3292" t="s">
        <v>74</v>
      </c>
      <c r="F3292" t="s">
        <v>54081</v>
      </c>
      <c r="G3292" t="s">
        <v>74</v>
      </c>
      <c r="H3292" t="s">
        <v>74</v>
      </c>
      <c r="I3292" t="s">
        <v>54082</v>
      </c>
      <c r="J3292" t="s">
        <v>16989</v>
      </c>
      <c r="K3292" t="s">
        <v>74</v>
      </c>
      <c r="L3292" t="s">
        <v>74</v>
      </c>
      <c r="M3292" t="s">
        <v>78</v>
      </c>
      <c r="N3292" t="s">
        <v>79</v>
      </c>
      <c r="O3292" t="s">
        <v>74</v>
      </c>
      <c r="P3292" t="s">
        <v>74</v>
      </c>
      <c r="Q3292" t="s">
        <v>74</v>
      </c>
      <c r="R3292" t="s">
        <v>74</v>
      </c>
      <c r="S3292" t="s">
        <v>74</v>
      </c>
      <c r="T3292" t="s">
        <v>54083</v>
      </c>
      <c r="U3292" t="s">
        <v>74</v>
      </c>
      <c r="V3292" t="s">
        <v>54084</v>
      </c>
      <c r="W3292" t="s">
        <v>54085</v>
      </c>
      <c r="X3292" t="s">
        <v>74</v>
      </c>
      <c r="Y3292" t="s">
        <v>54086</v>
      </c>
      <c r="Z3292" t="s">
        <v>54087</v>
      </c>
      <c r="AA3292" t="s">
        <v>54088</v>
      </c>
      <c r="AB3292" t="s">
        <v>74</v>
      </c>
      <c r="AC3292" t="s">
        <v>74</v>
      </c>
      <c r="AD3292" t="s">
        <v>74</v>
      </c>
      <c r="AE3292" t="s">
        <v>74</v>
      </c>
      <c r="AF3292" t="s">
        <v>74</v>
      </c>
      <c r="AG3292">
        <v>26</v>
      </c>
      <c r="AH3292">
        <v>0</v>
      </c>
      <c r="AI3292">
        <v>0</v>
      </c>
      <c r="AJ3292">
        <v>6</v>
      </c>
      <c r="AK3292">
        <v>6</v>
      </c>
      <c r="AL3292" t="s">
        <v>16996</v>
      </c>
      <c r="AM3292" t="s">
        <v>1953</v>
      </c>
      <c r="AN3292" t="s">
        <v>16997</v>
      </c>
      <c r="AO3292" t="s">
        <v>16998</v>
      </c>
      <c r="AP3292" t="s">
        <v>74</v>
      </c>
      <c r="AQ3292" t="s">
        <v>74</v>
      </c>
      <c r="AR3292" t="s">
        <v>16999</v>
      </c>
      <c r="AS3292" t="s">
        <v>17000</v>
      </c>
      <c r="AT3292" t="s">
        <v>74</v>
      </c>
      <c r="AU3292">
        <v>2025</v>
      </c>
      <c r="AV3292">
        <v>12</v>
      </c>
      <c r="AW3292">
        <v>2</v>
      </c>
      <c r="AX3292" t="s">
        <v>74</v>
      </c>
      <c r="AY3292" t="s">
        <v>74</v>
      </c>
      <c r="AZ3292" t="s">
        <v>74</v>
      </c>
      <c r="BA3292" t="s">
        <v>74</v>
      </c>
      <c r="BB3292">
        <v>318</v>
      </c>
      <c r="BC3292">
        <v>334</v>
      </c>
      <c r="BD3292" t="s">
        <v>74</v>
      </c>
      <c r="BE3292" t="s">
        <v>54089</v>
      </c>
      <c r="BF3292" t="str">
        <f>HYPERLINK("http://dx.doi.org/10.26650/JEPR1633492","http://dx.doi.org/10.26650/JEPR1633492")</f>
        <v>http://dx.doi.org/10.26650/JEPR1633492</v>
      </c>
      <c r="BG3292" t="s">
        <v>74</v>
      </c>
      <c r="BH3292" t="s">
        <v>74</v>
      </c>
      <c r="BI3292">
        <v>17</v>
      </c>
      <c r="BJ3292" t="s">
        <v>210</v>
      </c>
      <c r="BK3292" t="s">
        <v>313</v>
      </c>
      <c r="BL3292" t="s">
        <v>100</v>
      </c>
      <c r="BM3292" t="s">
        <v>54090</v>
      </c>
      <c r="BN3292" t="s">
        <v>74</v>
      </c>
      <c r="BO3292" t="s">
        <v>212</v>
      </c>
      <c r="BP3292" t="s">
        <v>74</v>
      </c>
      <c r="BQ3292" t="s">
        <v>74</v>
      </c>
      <c r="BR3292" t="s">
        <v>102</v>
      </c>
      <c r="BS3292" t="s">
        <v>54091</v>
      </c>
      <c r="BT3292" t="str">
        <f>HYPERLINK("https%3A%2F%2Fwww.webofscience.com%2Fwos%2Fwoscc%2Ffull-record%2FWOS:001552842400005","View Full Record in Web of Science")</f>
        <v>View Full Record in Web of Science</v>
      </c>
    </row>
    <row r="3293" spans="1:72" x14ac:dyDescent="0.25">
      <c r="A3293" t="s">
        <v>72</v>
      </c>
      <c r="B3293" t="s">
        <v>54092</v>
      </c>
      <c r="C3293" t="s">
        <v>74</v>
      </c>
      <c r="D3293" t="s">
        <v>74</v>
      </c>
      <c r="E3293" t="s">
        <v>74</v>
      </c>
      <c r="F3293" t="s">
        <v>54093</v>
      </c>
      <c r="G3293" t="s">
        <v>74</v>
      </c>
      <c r="H3293" t="s">
        <v>74</v>
      </c>
      <c r="I3293" t="s">
        <v>54094</v>
      </c>
      <c r="J3293" t="s">
        <v>424</v>
      </c>
      <c r="K3293" t="s">
        <v>74</v>
      </c>
      <c r="L3293" t="s">
        <v>74</v>
      </c>
      <c r="M3293" t="s">
        <v>78</v>
      </c>
      <c r="N3293" t="s">
        <v>79</v>
      </c>
      <c r="O3293" t="s">
        <v>74</v>
      </c>
      <c r="P3293" t="s">
        <v>74</v>
      </c>
      <c r="Q3293" t="s">
        <v>74</v>
      </c>
      <c r="R3293" t="s">
        <v>74</v>
      </c>
      <c r="S3293" t="s">
        <v>74</v>
      </c>
      <c r="T3293" t="s">
        <v>54095</v>
      </c>
      <c r="U3293" t="s">
        <v>54096</v>
      </c>
      <c r="V3293" t="s">
        <v>54097</v>
      </c>
      <c r="W3293" t="s">
        <v>54098</v>
      </c>
      <c r="X3293" t="s">
        <v>6810</v>
      </c>
      <c r="Y3293" t="s">
        <v>54099</v>
      </c>
      <c r="Z3293" t="s">
        <v>30950</v>
      </c>
      <c r="AA3293" t="s">
        <v>40031</v>
      </c>
      <c r="AB3293" t="s">
        <v>43110</v>
      </c>
      <c r="AC3293" t="s">
        <v>74</v>
      </c>
      <c r="AD3293" t="s">
        <v>74</v>
      </c>
      <c r="AE3293" t="s">
        <v>74</v>
      </c>
      <c r="AF3293" t="s">
        <v>74</v>
      </c>
      <c r="AG3293">
        <v>84</v>
      </c>
      <c r="AH3293">
        <v>6</v>
      </c>
      <c r="AI3293">
        <v>11</v>
      </c>
      <c r="AJ3293">
        <v>1</v>
      </c>
      <c r="AK3293">
        <v>19</v>
      </c>
      <c r="AL3293" t="s">
        <v>89</v>
      </c>
      <c r="AM3293" t="s">
        <v>90</v>
      </c>
      <c r="AN3293" t="s">
        <v>91</v>
      </c>
      <c r="AO3293" t="s">
        <v>436</v>
      </c>
      <c r="AP3293" t="s">
        <v>437</v>
      </c>
      <c r="AQ3293" t="s">
        <v>74</v>
      </c>
      <c r="AR3293" t="s">
        <v>438</v>
      </c>
      <c r="AS3293" t="s">
        <v>439</v>
      </c>
      <c r="AT3293" t="s">
        <v>10136</v>
      </c>
      <c r="AU3293">
        <v>2023</v>
      </c>
      <c r="AV3293">
        <v>41</v>
      </c>
      <c r="AW3293">
        <v>1</v>
      </c>
      <c r="AX3293" t="s">
        <v>74</v>
      </c>
      <c r="AY3293" t="s">
        <v>74</v>
      </c>
      <c r="AZ3293" t="s">
        <v>74</v>
      </c>
      <c r="BA3293" t="s">
        <v>74</v>
      </c>
      <c r="BB3293">
        <v>70</v>
      </c>
      <c r="BC3293">
        <v>106</v>
      </c>
      <c r="BD3293" t="s">
        <v>74</v>
      </c>
      <c r="BE3293" t="s">
        <v>54100</v>
      </c>
      <c r="BF3293" t="str">
        <f>HYPERLINK("http://dx.doi.org/10.1108/IJBM-01-2022-0022","http://dx.doi.org/10.1108/IJBM-01-2022-0022")</f>
        <v>http://dx.doi.org/10.1108/IJBM-01-2022-0022</v>
      </c>
      <c r="BG3293" t="s">
        <v>74</v>
      </c>
      <c r="BH3293" t="s">
        <v>3050</v>
      </c>
      <c r="BI3293">
        <v>37</v>
      </c>
      <c r="BJ3293" t="s">
        <v>418</v>
      </c>
      <c r="BK3293" t="s">
        <v>99</v>
      </c>
      <c r="BL3293" t="s">
        <v>100</v>
      </c>
      <c r="BM3293" t="s">
        <v>10138</v>
      </c>
      <c r="BN3293" t="s">
        <v>74</v>
      </c>
      <c r="BO3293" t="s">
        <v>74</v>
      </c>
      <c r="BP3293" t="s">
        <v>74</v>
      </c>
      <c r="BQ3293" t="s">
        <v>74</v>
      </c>
      <c r="BR3293" t="s">
        <v>102</v>
      </c>
      <c r="BS3293" t="s">
        <v>54101</v>
      </c>
      <c r="BT3293" t="str">
        <f>HYPERLINK("https%3A%2F%2Fwww.webofscience.com%2Fwos%2Fwoscc%2Ffull-record%2FWOS:000865924200001","View Full Record in Web of Science")</f>
        <v>View Full Record in Web of Science</v>
      </c>
    </row>
    <row r="3294" spans="1:72" x14ac:dyDescent="0.25">
      <c r="A3294" t="s">
        <v>72</v>
      </c>
      <c r="B3294" t="s">
        <v>54102</v>
      </c>
      <c r="C3294" t="s">
        <v>74</v>
      </c>
      <c r="D3294" t="s">
        <v>74</v>
      </c>
      <c r="E3294" t="s">
        <v>74</v>
      </c>
      <c r="F3294" t="s">
        <v>54103</v>
      </c>
      <c r="G3294" t="s">
        <v>74</v>
      </c>
      <c r="H3294" t="s">
        <v>74</v>
      </c>
      <c r="I3294" t="s">
        <v>54104</v>
      </c>
      <c r="J3294" t="s">
        <v>50628</v>
      </c>
      <c r="K3294" t="s">
        <v>74</v>
      </c>
      <c r="L3294" t="s">
        <v>74</v>
      </c>
      <c r="M3294" t="s">
        <v>78</v>
      </c>
      <c r="N3294" t="s">
        <v>79</v>
      </c>
      <c r="O3294" t="s">
        <v>74</v>
      </c>
      <c r="P3294" t="s">
        <v>74</v>
      </c>
      <c r="Q3294" t="s">
        <v>74</v>
      </c>
      <c r="R3294" t="s">
        <v>74</v>
      </c>
      <c r="S3294" t="s">
        <v>74</v>
      </c>
      <c r="T3294" t="s">
        <v>54105</v>
      </c>
      <c r="U3294" t="s">
        <v>54106</v>
      </c>
      <c r="V3294" t="s">
        <v>54107</v>
      </c>
      <c r="W3294" t="s">
        <v>54108</v>
      </c>
      <c r="X3294" t="s">
        <v>4939</v>
      </c>
      <c r="Y3294" t="s">
        <v>54109</v>
      </c>
      <c r="Z3294" t="s">
        <v>54110</v>
      </c>
      <c r="AA3294" t="s">
        <v>4942</v>
      </c>
      <c r="AB3294" t="s">
        <v>74</v>
      </c>
      <c r="AC3294" t="s">
        <v>74</v>
      </c>
      <c r="AD3294" t="s">
        <v>74</v>
      </c>
      <c r="AE3294" t="s">
        <v>74</v>
      </c>
      <c r="AF3294" t="s">
        <v>74</v>
      </c>
      <c r="AG3294">
        <v>39</v>
      </c>
      <c r="AH3294">
        <v>2</v>
      </c>
      <c r="AI3294">
        <v>3</v>
      </c>
      <c r="AJ3294">
        <v>2</v>
      </c>
      <c r="AK3294">
        <v>5</v>
      </c>
      <c r="AL3294" t="s">
        <v>4666</v>
      </c>
      <c r="AM3294" t="s">
        <v>995</v>
      </c>
      <c r="AN3294" t="s">
        <v>4025</v>
      </c>
      <c r="AO3294" t="s">
        <v>50635</v>
      </c>
      <c r="AP3294" t="s">
        <v>50636</v>
      </c>
      <c r="AQ3294" t="s">
        <v>74</v>
      </c>
      <c r="AR3294" t="s">
        <v>50637</v>
      </c>
      <c r="AS3294" t="s">
        <v>50638</v>
      </c>
      <c r="AT3294" t="s">
        <v>1159</v>
      </c>
      <c r="AU3294">
        <v>2025</v>
      </c>
      <c r="AV3294">
        <v>20</v>
      </c>
      <c r="AW3294">
        <v>5</v>
      </c>
      <c r="AX3294" t="s">
        <v>74</v>
      </c>
      <c r="AY3294" t="s">
        <v>74</v>
      </c>
      <c r="AZ3294" t="s">
        <v>74</v>
      </c>
      <c r="BA3294" t="s">
        <v>74</v>
      </c>
      <c r="BB3294">
        <v>4297</v>
      </c>
      <c r="BC3294">
        <v>4319</v>
      </c>
      <c r="BD3294" t="s">
        <v>74</v>
      </c>
      <c r="BE3294" t="s">
        <v>54111</v>
      </c>
      <c r="BF3294" t="str">
        <f>HYPERLINK("http://dx.doi.org/10.1007/s41060-025-00719-w","http://dx.doi.org/10.1007/s41060-025-00719-w")</f>
        <v>http://dx.doi.org/10.1007/s41060-025-00719-w</v>
      </c>
      <c r="BG3294" t="s">
        <v>74</v>
      </c>
      <c r="BH3294" t="s">
        <v>1737</v>
      </c>
      <c r="BI3294">
        <v>23</v>
      </c>
      <c r="BJ3294" t="s">
        <v>2686</v>
      </c>
      <c r="BK3294" t="s">
        <v>313</v>
      </c>
      <c r="BL3294" t="s">
        <v>157</v>
      </c>
      <c r="BM3294" t="s">
        <v>50640</v>
      </c>
      <c r="BN3294" t="s">
        <v>74</v>
      </c>
      <c r="BO3294" t="s">
        <v>74</v>
      </c>
      <c r="BP3294" t="s">
        <v>74</v>
      </c>
      <c r="BQ3294" t="s">
        <v>74</v>
      </c>
      <c r="BR3294" t="s">
        <v>102</v>
      </c>
      <c r="BS3294" t="s">
        <v>54112</v>
      </c>
      <c r="BT3294" t="str">
        <f>HYPERLINK("https%3A%2F%2Fwww.webofscience.com%2Fwos%2Fwoscc%2Ffull-record%2FWOS:001409406400001","View Full Record in Web of Science")</f>
        <v>View Full Record in Web of Science</v>
      </c>
    </row>
    <row r="3295" spans="1:72" x14ac:dyDescent="0.25">
      <c r="A3295" t="s">
        <v>72</v>
      </c>
      <c r="B3295" t="s">
        <v>54113</v>
      </c>
      <c r="C3295" t="s">
        <v>74</v>
      </c>
      <c r="D3295" t="s">
        <v>74</v>
      </c>
      <c r="E3295" t="s">
        <v>74</v>
      </c>
      <c r="F3295" t="s">
        <v>54114</v>
      </c>
      <c r="G3295" t="s">
        <v>74</v>
      </c>
      <c r="H3295" t="s">
        <v>74</v>
      </c>
      <c r="I3295" t="s">
        <v>54115</v>
      </c>
      <c r="J3295" t="s">
        <v>54116</v>
      </c>
      <c r="K3295" t="s">
        <v>74</v>
      </c>
      <c r="L3295" t="s">
        <v>74</v>
      </c>
      <c r="M3295" t="s">
        <v>78</v>
      </c>
      <c r="N3295" t="s">
        <v>372</v>
      </c>
      <c r="O3295" t="s">
        <v>74</v>
      </c>
      <c r="P3295" t="s">
        <v>74</v>
      </c>
      <c r="Q3295" t="s">
        <v>74</v>
      </c>
      <c r="R3295" t="s">
        <v>74</v>
      </c>
      <c r="S3295" t="s">
        <v>74</v>
      </c>
      <c r="T3295" t="s">
        <v>54117</v>
      </c>
      <c r="U3295" t="s">
        <v>51230</v>
      </c>
      <c r="V3295" t="s">
        <v>54118</v>
      </c>
      <c r="W3295" t="s">
        <v>54119</v>
      </c>
      <c r="X3295" t="s">
        <v>74</v>
      </c>
      <c r="Y3295" t="s">
        <v>54120</v>
      </c>
      <c r="Z3295" t="s">
        <v>54121</v>
      </c>
      <c r="AA3295" t="s">
        <v>54122</v>
      </c>
      <c r="AB3295" t="s">
        <v>54123</v>
      </c>
      <c r="AC3295" t="s">
        <v>74</v>
      </c>
      <c r="AD3295" t="s">
        <v>74</v>
      </c>
      <c r="AE3295" t="s">
        <v>74</v>
      </c>
      <c r="AF3295" t="s">
        <v>74</v>
      </c>
      <c r="AG3295">
        <v>52</v>
      </c>
      <c r="AH3295">
        <v>1</v>
      </c>
      <c r="AI3295">
        <v>2</v>
      </c>
      <c r="AJ3295">
        <v>4</v>
      </c>
      <c r="AK3295">
        <v>5</v>
      </c>
      <c r="AL3295" t="s">
        <v>3588</v>
      </c>
      <c r="AM3295" t="s">
        <v>410</v>
      </c>
      <c r="AN3295" t="s">
        <v>3589</v>
      </c>
      <c r="AO3295" t="s">
        <v>54124</v>
      </c>
      <c r="AP3295" t="s">
        <v>54125</v>
      </c>
      <c r="AQ3295" t="s">
        <v>74</v>
      </c>
      <c r="AR3295" t="s">
        <v>54116</v>
      </c>
      <c r="AS3295" t="s">
        <v>54126</v>
      </c>
      <c r="AT3295" t="s">
        <v>54127</v>
      </c>
      <c r="AU3295">
        <v>2025</v>
      </c>
      <c r="AV3295" t="s">
        <v>74</v>
      </c>
      <c r="AW3295" t="s">
        <v>74</v>
      </c>
      <c r="AX3295" t="s">
        <v>74</v>
      </c>
      <c r="AY3295" t="s">
        <v>74</v>
      </c>
      <c r="AZ3295" t="s">
        <v>74</v>
      </c>
      <c r="BA3295" t="s">
        <v>74</v>
      </c>
      <c r="BB3295" t="s">
        <v>74</v>
      </c>
      <c r="BC3295" t="s">
        <v>74</v>
      </c>
      <c r="BD3295" t="s">
        <v>74</v>
      </c>
      <c r="BE3295" t="s">
        <v>54128</v>
      </c>
      <c r="BF3295" t="str">
        <f>HYPERLINK("http://dx.doi.org/10.1007/s12597-025-00955-5","http://dx.doi.org/10.1007/s12597-025-00955-5")</f>
        <v>http://dx.doi.org/10.1007/s12597-025-00955-5</v>
      </c>
      <c r="BG3295" t="s">
        <v>74</v>
      </c>
      <c r="BH3295" t="s">
        <v>2359</v>
      </c>
      <c r="BI3295">
        <v>24</v>
      </c>
      <c r="BJ3295" t="s">
        <v>3174</v>
      </c>
      <c r="BK3295" t="s">
        <v>313</v>
      </c>
      <c r="BL3295" t="s">
        <v>3174</v>
      </c>
      <c r="BM3295" t="s">
        <v>54129</v>
      </c>
      <c r="BN3295" t="s">
        <v>74</v>
      </c>
      <c r="BO3295" t="s">
        <v>74</v>
      </c>
      <c r="BP3295" t="s">
        <v>74</v>
      </c>
      <c r="BQ3295" t="s">
        <v>74</v>
      </c>
      <c r="BR3295" t="s">
        <v>102</v>
      </c>
      <c r="BS3295" t="s">
        <v>54130</v>
      </c>
      <c r="BT3295" t="str">
        <f>HYPERLINK("https%3A%2F%2Fwww.webofscience.com%2Fwos%2Fwoscc%2Ffull-record%2FWOS:001493606600001","View Full Record in Web of Science")</f>
        <v>View Full Record in Web of Science</v>
      </c>
    </row>
    <row r="3296" spans="1:72" x14ac:dyDescent="0.25">
      <c r="A3296" t="s">
        <v>132</v>
      </c>
      <c r="B3296" t="s">
        <v>54131</v>
      </c>
      <c r="C3296" t="s">
        <v>74</v>
      </c>
      <c r="D3296" t="s">
        <v>54132</v>
      </c>
      <c r="E3296" t="s">
        <v>74</v>
      </c>
      <c r="F3296" t="s">
        <v>54133</v>
      </c>
      <c r="G3296" t="s">
        <v>74</v>
      </c>
      <c r="H3296" t="s">
        <v>74</v>
      </c>
      <c r="I3296" t="s">
        <v>54134</v>
      </c>
      <c r="J3296" t="s">
        <v>54135</v>
      </c>
      <c r="K3296" t="s">
        <v>74</v>
      </c>
      <c r="L3296" t="s">
        <v>74</v>
      </c>
      <c r="M3296" t="s">
        <v>78</v>
      </c>
      <c r="N3296" t="s">
        <v>138</v>
      </c>
      <c r="O3296" t="s">
        <v>54136</v>
      </c>
      <c r="P3296" t="s">
        <v>54137</v>
      </c>
      <c r="Q3296" t="s">
        <v>1052</v>
      </c>
      <c r="R3296" t="s">
        <v>74</v>
      </c>
      <c r="S3296" t="s">
        <v>74</v>
      </c>
      <c r="T3296" t="s">
        <v>54138</v>
      </c>
      <c r="U3296" t="s">
        <v>74</v>
      </c>
      <c r="V3296" t="s">
        <v>54139</v>
      </c>
      <c r="W3296" t="s">
        <v>54140</v>
      </c>
      <c r="X3296" t="s">
        <v>74</v>
      </c>
      <c r="Y3296" t="s">
        <v>54141</v>
      </c>
      <c r="Z3296" t="s">
        <v>54142</v>
      </c>
      <c r="AA3296" t="s">
        <v>74</v>
      </c>
      <c r="AB3296" t="s">
        <v>74</v>
      </c>
      <c r="AC3296" t="s">
        <v>74</v>
      </c>
      <c r="AD3296" t="s">
        <v>74</v>
      </c>
      <c r="AE3296" t="s">
        <v>74</v>
      </c>
      <c r="AF3296" t="s">
        <v>74</v>
      </c>
      <c r="AG3296">
        <v>48</v>
      </c>
      <c r="AH3296">
        <v>11</v>
      </c>
      <c r="AI3296">
        <v>22</v>
      </c>
      <c r="AJ3296">
        <v>1</v>
      </c>
      <c r="AK3296">
        <v>52</v>
      </c>
      <c r="AL3296" t="s">
        <v>3298</v>
      </c>
      <c r="AM3296" t="s">
        <v>202</v>
      </c>
      <c r="AN3296" t="s">
        <v>23868</v>
      </c>
      <c r="AO3296" t="s">
        <v>74</v>
      </c>
      <c r="AP3296" t="s">
        <v>74</v>
      </c>
      <c r="AQ3296" t="s">
        <v>74</v>
      </c>
      <c r="AR3296" t="s">
        <v>74</v>
      </c>
      <c r="AS3296" t="s">
        <v>74</v>
      </c>
      <c r="AT3296" t="s">
        <v>74</v>
      </c>
      <c r="AU3296">
        <v>2015</v>
      </c>
      <c r="AV3296" t="s">
        <v>74</v>
      </c>
      <c r="AW3296" t="s">
        <v>74</v>
      </c>
      <c r="AX3296" t="s">
        <v>74</v>
      </c>
      <c r="AY3296" t="s">
        <v>74</v>
      </c>
      <c r="AZ3296" t="s">
        <v>74</v>
      </c>
      <c r="BA3296" t="s">
        <v>74</v>
      </c>
      <c r="BB3296">
        <v>1003</v>
      </c>
      <c r="BC3296">
        <v>1011</v>
      </c>
      <c r="BD3296" t="s">
        <v>74</v>
      </c>
      <c r="BE3296" t="s">
        <v>54143</v>
      </c>
      <c r="BF3296" t="str">
        <f>HYPERLINK("http://dx.doi.org/10.1016/j.sbspro.2015.06.359","http://dx.doi.org/10.1016/j.sbspro.2015.06.359")</f>
        <v>http://dx.doi.org/10.1016/j.sbspro.2015.06.359</v>
      </c>
      <c r="BG3296" t="s">
        <v>74</v>
      </c>
      <c r="BH3296" t="s">
        <v>74</v>
      </c>
      <c r="BI3296">
        <v>9</v>
      </c>
      <c r="BJ3296" t="s">
        <v>418</v>
      </c>
      <c r="BK3296" t="s">
        <v>183</v>
      </c>
      <c r="BL3296" t="s">
        <v>100</v>
      </c>
      <c r="BM3296" t="s">
        <v>54144</v>
      </c>
      <c r="BN3296" t="s">
        <v>74</v>
      </c>
      <c r="BO3296" t="s">
        <v>212</v>
      </c>
      <c r="BP3296" t="s">
        <v>74</v>
      </c>
      <c r="BQ3296" t="s">
        <v>74</v>
      </c>
      <c r="BR3296" t="s">
        <v>102</v>
      </c>
      <c r="BS3296" t="s">
        <v>54145</v>
      </c>
      <c r="BT3296" t="str">
        <f>HYPERLINK("https%3A%2F%2Fwww.webofscience.com%2Fwos%2Fwoscc%2Ffull-record%2FWOS:000380509900119","View Full Record in Web of Science")</f>
        <v>View Full Record in Web of Science</v>
      </c>
    </row>
    <row r="3297" spans="1:72" x14ac:dyDescent="0.25">
      <c r="A3297" t="s">
        <v>72</v>
      </c>
      <c r="B3297" t="s">
        <v>54146</v>
      </c>
      <c r="C3297" t="s">
        <v>74</v>
      </c>
      <c r="D3297" t="s">
        <v>74</v>
      </c>
      <c r="E3297" t="s">
        <v>74</v>
      </c>
      <c r="F3297" t="s">
        <v>54147</v>
      </c>
      <c r="G3297" t="s">
        <v>74</v>
      </c>
      <c r="H3297" t="s">
        <v>74</v>
      </c>
      <c r="I3297" t="s">
        <v>54148</v>
      </c>
      <c r="J3297" t="s">
        <v>1510</v>
      </c>
      <c r="K3297" t="s">
        <v>74</v>
      </c>
      <c r="L3297" t="s">
        <v>74</v>
      </c>
      <c r="M3297" t="s">
        <v>78</v>
      </c>
      <c r="N3297" t="s">
        <v>79</v>
      </c>
      <c r="O3297" t="s">
        <v>74</v>
      </c>
      <c r="P3297" t="s">
        <v>74</v>
      </c>
      <c r="Q3297" t="s">
        <v>74</v>
      </c>
      <c r="R3297" t="s">
        <v>74</v>
      </c>
      <c r="S3297" t="s">
        <v>74</v>
      </c>
      <c r="T3297" t="s">
        <v>54149</v>
      </c>
      <c r="U3297" t="s">
        <v>54150</v>
      </c>
      <c r="V3297" t="s">
        <v>54151</v>
      </c>
      <c r="W3297" t="s">
        <v>54152</v>
      </c>
      <c r="X3297" t="s">
        <v>54153</v>
      </c>
      <c r="Y3297" t="s">
        <v>54154</v>
      </c>
      <c r="Z3297" t="s">
        <v>54155</v>
      </c>
      <c r="AA3297" t="s">
        <v>54156</v>
      </c>
      <c r="AB3297" t="s">
        <v>54157</v>
      </c>
      <c r="AC3297" t="s">
        <v>74</v>
      </c>
      <c r="AD3297" t="s">
        <v>74</v>
      </c>
      <c r="AE3297" t="s">
        <v>74</v>
      </c>
      <c r="AF3297" t="s">
        <v>74</v>
      </c>
      <c r="AG3297">
        <v>60</v>
      </c>
      <c r="AH3297">
        <v>5</v>
      </c>
      <c r="AI3297">
        <v>9</v>
      </c>
      <c r="AJ3297">
        <v>1</v>
      </c>
      <c r="AK3297">
        <v>12</v>
      </c>
      <c r="AL3297" t="s">
        <v>89</v>
      </c>
      <c r="AM3297" t="s">
        <v>1497</v>
      </c>
      <c r="AN3297" t="s">
        <v>1498</v>
      </c>
      <c r="AO3297" t="s">
        <v>1519</v>
      </c>
      <c r="AP3297" t="s">
        <v>1520</v>
      </c>
      <c r="AQ3297" t="s">
        <v>74</v>
      </c>
      <c r="AR3297" t="s">
        <v>1521</v>
      </c>
      <c r="AS3297" t="s">
        <v>1522</v>
      </c>
      <c r="AT3297" t="s">
        <v>11927</v>
      </c>
      <c r="AU3297">
        <v>2022</v>
      </c>
      <c r="AV3297">
        <v>49</v>
      </c>
      <c r="AW3297">
        <v>9</v>
      </c>
      <c r="AX3297" t="s">
        <v>74</v>
      </c>
      <c r="AY3297" t="s">
        <v>74</v>
      </c>
      <c r="AZ3297" t="s">
        <v>74</v>
      </c>
      <c r="BA3297" t="s">
        <v>74</v>
      </c>
      <c r="BB3297">
        <v>1302</v>
      </c>
      <c r="BC3297">
        <v>1323</v>
      </c>
      <c r="BD3297" t="s">
        <v>74</v>
      </c>
      <c r="BE3297" t="s">
        <v>54158</v>
      </c>
      <c r="BF3297" t="str">
        <f>HYPERLINK("http://dx.doi.org/10.1108/IJSE-04-2020-0254","http://dx.doi.org/10.1108/IJSE-04-2020-0254")</f>
        <v>http://dx.doi.org/10.1108/IJSE-04-2020-0254</v>
      </c>
      <c r="BG3297" t="s">
        <v>74</v>
      </c>
      <c r="BH3297" t="s">
        <v>12980</v>
      </c>
      <c r="BI3297">
        <v>22</v>
      </c>
      <c r="BJ3297" t="s">
        <v>291</v>
      </c>
      <c r="BK3297" t="s">
        <v>313</v>
      </c>
      <c r="BL3297" t="s">
        <v>100</v>
      </c>
      <c r="BM3297" t="s">
        <v>54159</v>
      </c>
      <c r="BN3297" t="s">
        <v>74</v>
      </c>
      <c r="BO3297" t="s">
        <v>74</v>
      </c>
      <c r="BP3297" t="s">
        <v>74</v>
      </c>
      <c r="BQ3297" t="s">
        <v>74</v>
      </c>
      <c r="BR3297" t="s">
        <v>102</v>
      </c>
      <c r="BS3297" t="s">
        <v>54160</v>
      </c>
      <c r="BT3297" t="str">
        <f>HYPERLINK("https%3A%2F%2Fwww.webofscience.com%2Fwos%2Fwoscc%2Ffull-record%2FWOS:000782620500001","View Full Record in Web of Science")</f>
        <v>View Full Record in Web of Science</v>
      </c>
    </row>
    <row r="3298" spans="1:72" x14ac:dyDescent="0.25">
      <c r="A3298" t="s">
        <v>72</v>
      </c>
      <c r="B3298" t="s">
        <v>54161</v>
      </c>
      <c r="C3298" t="s">
        <v>74</v>
      </c>
      <c r="D3298" t="s">
        <v>74</v>
      </c>
      <c r="E3298" t="s">
        <v>74</v>
      </c>
      <c r="F3298" t="s">
        <v>54162</v>
      </c>
      <c r="G3298" t="s">
        <v>74</v>
      </c>
      <c r="H3298" t="s">
        <v>74</v>
      </c>
      <c r="I3298" t="s">
        <v>54163</v>
      </c>
      <c r="J3298" t="s">
        <v>9372</v>
      </c>
      <c r="K3298" t="s">
        <v>74</v>
      </c>
      <c r="L3298" t="s">
        <v>74</v>
      </c>
      <c r="M3298" t="s">
        <v>78</v>
      </c>
      <c r="N3298" t="s">
        <v>79</v>
      </c>
      <c r="O3298" t="s">
        <v>74</v>
      </c>
      <c r="P3298" t="s">
        <v>74</v>
      </c>
      <c r="Q3298" t="s">
        <v>74</v>
      </c>
      <c r="R3298" t="s">
        <v>74</v>
      </c>
      <c r="S3298" t="s">
        <v>74</v>
      </c>
      <c r="T3298" t="s">
        <v>54164</v>
      </c>
      <c r="U3298" t="s">
        <v>54165</v>
      </c>
      <c r="V3298" t="s">
        <v>54166</v>
      </c>
      <c r="W3298" t="s">
        <v>54167</v>
      </c>
      <c r="X3298" t="s">
        <v>48468</v>
      </c>
      <c r="Y3298" t="s">
        <v>54168</v>
      </c>
      <c r="Z3298" t="s">
        <v>54169</v>
      </c>
      <c r="AA3298" t="s">
        <v>74</v>
      </c>
      <c r="AB3298" t="s">
        <v>74</v>
      </c>
      <c r="AC3298" t="s">
        <v>74</v>
      </c>
      <c r="AD3298" t="s">
        <v>74</v>
      </c>
      <c r="AE3298" t="s">
        <v>74</v>
      </c>
      <c r="AF3298" t="s">
        <v>74</v>
      </c>
      <c r="AG3298">
        <v>85</v>
      </c>
      <c r="AH3298">
        <v>0</v>
      </c>
      <c r="AI3298">
        <v>0</v>
      </c>
      <c r="AJ3298">
        <v>0</v>
      </c>
      <c r="AK3298">
        <v>0</v>
      </c>
      <c r="AL3298" t="s">
        <v>201</v>
      </c>
      <c r="AM3298" t="s">
        <v>202</v>
      </c>
      <c r="AN3298" t="s">
        <v>203</v>
      </c>
      <c r="AO3298" t="s">
        <v>9384</v>
      </c>
      <c r="AP3298" t="s">
        <v>9385</v>
      </c>
      <c r="AQ3298" t="s">
        <v>74</v>
      </c>
      <c r="AR3298" t="s">
        <v>9386</v>
      </c>
      <c r="AS3298" t="s">
        <v>9387</v>
      </c>
      <c r="AT3298" t="s">
        <v>237</v>
      </c>
      <c r="AU3298">
        <v>2026</v>
      </c>
      <c r="AV3298">
        <v>82</v>
      </c>
      <c r="AW3298" t="s">
        <v>74</v>
      </c>
      <c r="AX3298" t="s">
        <v>74</v>
      </c>
      <c r="AY3298" t="s">
        <v>74</v>
      </c>
      <c r="AZ3298" t="s">
        <v>74</v>
      </c>
      <c r="BA3298" t="s">
        <v>74</v>
      </c>
      <c r="BB3298" t="s">
        <v>74</v>
      </c>
      <c r="BC3298" t="s">
        <v>74</v>
      </c>
      <c r="BD3298">
        <v>103251</v>
      </c>
      <c r="BE3298" t="s">
        <v>54170</v>
      </c>
      <c r="BF3298" t="str">
        <f>HYPERLINK("http://dx.doi.org/10.1016/j.ribaf.2025.103251","http://dx.doi.org/10.1016/j.ribaf.2025.103251")</f>
        <v>http://dx.doi.org/10.1016/j.ribaf.2025.103251</v>
      </c>
      <c r="BG3298" t="s">
        <v>74</v>
      </c>
      <c r="BH3298" t="s">
        <v>74</v>
      </c>
      <c r="BI3298">
        <v>21</v>
      </c>
      <c r="BJ3298" t="s">
        <v>268</v>
      </c>
      <c r="BK3298" t="s">
        <v>99</v>
      </c>
      <c r="BL3298" t="s">
        <v>100</v>
      </c>
      <c r="BM3298" t="s">
        <v>54171</v>
      </c>
      <c r="BN3298" t="s">
        <v>74</v>
      </c>
      <c r="BO3298" t="s">
        <v>74</v>
      </c>
      <c r="BP3298" t="s">
        <v>74</v>
      </c>
      <c r="BQ3298" t="s">
        <v>74</v>
      </c>
      <c r="BR3298" t="s">
        <v>102</v>
      </c>
      <c r="BS3298" t="s">
        <v>54172</v>
      </c>
      <c r="BT3298" t="str">
        <f>HYPERLINK("https%3A%2F%2Fwww.webofscience.com%2Fwos%2Fwoscc%2Ffull-record%2FWOS:001639949800001","View Full Record in Web of Science")</f>
        <v>View Full Record in Web of Science</v>
      </c>
    </row>
    <row r="3299" spans="1:72" x14ac:dyDescent="0.25">
      <c r="A3299" t="s">
        <v>72</v>
      </c>
      <c r="B3299" t="s">
        <v>54173</v>
      </c>
      <c r="C3299" t="s">
        <v>74</v>
      </c>
      <c r="D3299" t="s">
        <v>74</v>
      </c>
      <c r="E3299" t="s">
        <v>74</v>
      </c>
      <c r="F3299" t="s">
        <v>54174</v>
      </c>
      <c r="G3299" t="s">
        <v>74</v>
      </c>
      <c r="H3299" t="s">
        <v>74</v>
      </c>
      <c r="I3299" t="s">
        <v>54175</v>
      </c>
      <c r="J3299" t="s">
        <v>54176</v>
      </c>
      <c r="K3299" t="s">
        <v>74</v>
      </c>
      <c r="L3299" t="s">
        <v>74</v>
      </c>
      <c r="M3299" t="s">
        <v>78</v>
      </c>
      <c r="N3299" t="s">
        <v>79</v>
      </c>
      <c r="O3299" t="s">
        <v>74</v>
      </c>
      <c r="P3299" t="s">
        <v>74</v>
      </c>
      <c r="Q3299" t="s">
        <v>74</v>
      </c>
      <c r="R3299" t="s">
        <v>74</v>
      </c>
      <c r="S3299" t="s">
        <v>74</v>
      </c>
      <c r="T3299" t="s">
        <v>54177</v>
      </c>
      <c r="U3299" t="s">
        <v>54178</v>
      </c>
      <c r="V3299" t="s">
        <v>54179</v>
      </c>
      <c r="W3299" t="s">
        <v>54180</v>
      </c>
      <c r="X3299" t="s">
        <v>17981</v>
      </c>
      <c r="Y3299" t="s">
        <v>54181</v>
      </c>
      <c r="Z3299" t="s">
        <v>54182</v>
      </c>
      <c r="AA3299" t="s">
        <v>54183</v>
      </c>
      <c r="AB3299" t="s">
        <v>74</v>
      </c>
      <c r="AC3299" t="s">
        <v>74</v>
      </c>
      <c r="AD3299" t="s">
        <v>74</v>
      </c>
      <c r="AE3299" t="s">
        <v>74</v>
      </c>
      <c r="AF3299" t="s">
        <v>74</v>
      </c>
      <c r="AG3299">
        <v>54</v>
      </c>
      <c r="AH3299">
        <v>0</v>
      </c>
      <c r="AI3299">
        <v>1</v>
      </c>
      <c r="AJ3299">
        <v>0</v>
      </c>
      <c r="AK3299">
        <v>5</v>
      </c>
      <c r="AL3299" t="s">
        <v>54184</v>
      </c>
      <c r="AM3299" t="s">
        <v>17036</v>
      </c>
      <c r="AN3299" t="s">
        <v>54185</v>
      </c>
      <c r="AO3299" t="s">
        <v>54186</v>
      </c>
      <c r="AP3299" t="s">
        <v>74</v>
      </c>
      <c r="AQ3299" t="s">
        <v>74</v>
      </c>
      <c r="AR3299" t="s">
        <v>54187</v>
      </c>
      <c r="AS3299" t="s">
        <v>54188</v>
      </c>
      <c r="AT3299" t="s">
        <v>74</v>
      </c>
      <c r="AU3299">
        <v>2021</v>
      </c>
      <c r="AV3299">
        <v>21</v>
      </c>
      <c r="AW3299" t="s">
        <v>74</v>
      </c>
      <c r="AX3299" t="s">
        <v>74</v>
      </c>
      <c r="AY3299" t="s">
        <v>74</v>
      </c>
      <c r="AZ3299" t="s">
        <v>74</v>
      </c>
      <c r="BA3299" t="s">
        <v>74</v>
      </c>
      <c r="BB3299">
        <v>27</v>
      </c>
      <c r="BC3299">
        <v>47</v>
      </c>
      <c r="BD3299" t="s">
        <v>74</v>
      </c>
      <c r="BE3299" t="s">
        <v>54189</v>
      </c>
      <c r="BF3299" t="str">
        <f>HYPERLINK("http://dx.doi.org/10.4314/saaj.v21i1.2","http://dx.doi.org/10.4314/saaj.v21i1.2")</f>
        <v>http://dx.doi.org/10.4314/saaj.v21i1.2</v>
      </c>
      <c r="BG3299" t="s">
        <v>74</v>
      </c>
      <c r="BH3299" t="s">
        <v>74</v>
      </c>
      <c r="BI3299">
        <v>21</v>
      </c>
      <c r="BJ3299" t="s">
        <v>268</v>
      </c>
      <c r="BK3299" t="s">
        <v>313</v>
      </c>
      <c r="BL3299" t="s">
        <v>100</v>
      </c>
      <c r="BM3299" t="s">
        <v>54190</v>
      </c>
      <c r="BN3299" t="s">
        <v>74</v>
      </c>
      <c r="BO3299" t="s">
        <v>212</v>
      </c>
      <c r="BP3299" t="s">
        <v>74</v>
      </c>
      <c r="BQ3299" t="s">
        <v>74</v>
      </c>
      <c r="BR3299" t="s">
        <v>102</v>
      </c>
      <c r="BS3299" t="s">
        <v>54191</v>
      </c>
      <c r="BT3299" t="str">
        <f>HYPERLINK("https%3A%2F%2Fwww.webofscience.com%2Fwos%2Fwoscc%2Ffull-record%2FWOS:000733042000002","View Full Record in Web of Science")</f>
        <v>View Full Record in Web of Science</v>
      </c>
    </row>
    <row r="3300" spans="1:72" x14ac:dyDescent="0.25">
      <c r="A3300" t="s">
        <v>72</v>
      </c>
      <c r="B3300" t="s">
        <v>54192</v>
      </c>
      <c r="C3300" t="s">
        <v>74</v>
      </c>
      <c r="D3300" t="s">
        <v>74</v>
      </c>
      <c r="E3300" t="s">
        <v>74</v>
      </c>
      <c r="F3300" t="s">
        <v>54193</v>
      </c>
      <c r="G3300" t="s">
        <v>74</v>
      </c>
      <c r="H3300" t="s">
        <v>74</v>
      </c>
      <c r="I3300" t="s">
        <v>54194</v>
      </c>
      <c r="J3300" t="s">
        <v>1491</v>
      </c>
      <c r="K3300" t="s">
        <v>74</v>
      </c>
      <c r="L3300" t="s">
        <v>74</v>
      </c>
      <c r="M3300" t="s">
        <v>78</v>
      </c>
      <c r="N3300" t="s">
        <v>79</v>
      </c>
      <c r="O3300" t="s">
        <v>74</v>
      </c>
      <c r="P3300" t="s">
        <v>74</v>
      </c>
      <c r="Q3300" t="s">
        <v>74</v>
      </c>
      <c r="R3300" t="s">
        <v>74</v>
      </c>
      <c r="S3300" t="s">
        <v>74</v>
      </c>
      <c r="T3300" t="s">
        <v>54195</v>
      </c>
      <c r="U3300" t="s">
        <v>54196</v>
      </c>
      <c r="V3300" t="s">
        <v>54197</v>
      </c>
      <c r="W3300" t="s">
        <v>54198</v>
      </c>
      <c r="X3300" t="s">
        <v>54199</v>
      </c>
      <c r="Y3300" t="s">
        <v>54200</v>
      </c>
      <c r="Z3300" t="s">
        <v>54201</v>
      </c>
      <c r="AA3300" t="s">
        <v>54202</v>
      </c>
      <c r="AB3300" t="s">
        <v>54203</v>
      </c>
      <c r="AC3300" t="s">
        <v>74</v>
      </c>
      <c r="AD3300" t="s">
        <v>74</v>
      </c>
      <c r="AE3300" t="s">
        <v>74</v>
      </c>
      <c r="AF3300" t="s">
        <v>74</v>
      </c>
      <c r="AG3300">
        <v>40</v>
      </c>
      <c r="AH3300">
        <v>3</v>
      </c>
      <c r="AI3300">
        <v>3</v>
      </c>
      <c r="AJ3300">
        <v>4</v>
      </c>
      <c r="AK3300">
        <v>10</v>
      </c>
      <c r="AL3300" t="s">
        <v>89</v>
      </c>
      <c r="AM3300" t="s">
        <v>90</v>
      </c>
      <c r="AN3300" t="s">
        <v>91</v>
      </c>
      <c r="AO3300" t="s">
        <v>1499</v>
      </c>
      <c r="AP3300" t="s">
        <v>1500</v>
      </c>
      <c r="AQ3300" t="s">
        <v>74</v>
      </c>
      <c r="AR3300" t="s">
        <v>1501</v>
      </c>
      <c r="AS3300" t="s">
        <v>1502</v>
      </c>
      <c r="AT3300" t="s">
        <v>20394</v>
      </c>
      <c r="AU3300">
        <v>2025</v>
      </c>
      <c r="AV3300">
        <v>33</v>
      </c>
      <c r="AW3300">
        <v>2</v>
      </c>
      <c r="AX3300" t="s">
        <v>74</v>
      </c>
      <c r="AY3300" t="s">
        <v>74</v>
      </c>
      <c r="AZ3300" t="s">
        <v>74</v>
      </c>
      <c r="BA3300" t="s">
        <v>74</v>
      </c>
      <c r="BB3300">
        <v>244</v>
      </c>
      <c r="BC3300">
        <v>264</v>
      </c>
      <c r="BD3300" t="s">
        <v>74</v>
      </c>
      <c r="BE3300" t="s">
        <v>54204</v>
      </c>
      <c r="BF3300" t="str">
        <f>HYPERLINK("http://dx.doi.org/10.1108/JFRC-11-2024-0224","http://dx.doi.org/10.1108/JFRC-11-2024-0224")</f>
        <v>http://dx.doi.org/10.1108/JFRC-11-2024-0224</v>
      </c>
      <c r="BG3300" t="s">
        <v>74</v>
      </c>
      <c r="BH3300" t="s">
        <v>809</v>
      </c>
      <c r="BI3300">
        <v>21</v>
      </c>
      <c r="BJ3300" t="s">
        <v>268</v>
      </c>
      <c r="BK3300" t="s">
        <v>313</v>
      </c>
      <c r="BL3300" t="s">
        <v>100</v>
      </c>
      <c r="BM3300" t="s">
        <v>54205</v>
      </c>
      <c r="BN3300" t="s">
        <v>74</v>
      </c>
      <c r="BO3300" t="s">
        <v>74</v>
      </c>
      <c r="BP3300" t="s">
        <v>74</v>
      </c>
      <c r="BQ3300" t="s">
        <v>74</v>
      </c>
      <c r="BR3300" t="s">
        <v>102</v>
      </c>
      <c r="BS3300" t="s">
        <v>54206</v>
      </c>
      <c r="BT3300" t="str">
        <f>HYPERLINK("https%3A%2F%2Fwww.webofscience.com%2Fwos%2Fwoscc%2Ffull-record%2FWOS:001378698500001","View Full Record in Web of Science")</f>
        <v>View Full Record in Web of Science</v>
      </c>
    </row>
    <row r="3301" spans="1:72" x14ac:dyDescent="0.25">
      <c r="A3301" t="s">
        <v>72</v>
      </c>
      <c r="B3301" t="s">
        <v>54207</v>
      </c>
      <c r="C3301" t="s">
        <v>74</v>
      </c>
      <c r="D3301" t="s">
        <v>74</v>
      </c>
      <c r="E3301" t="s">
        <v>74</v>
      </c>
      <c r="F3301" t="s">
        <v>54208</v>
      </c>
      <c r="G3301" t="s">
        <v>74</v>
      </c>
      <c r="H3301" t="s">
        <v>74</v>
      </c>
      <c r="I3301" t="s">
        <v>54209</v>
      </c>
      <c r="J3301" t="s">
        <v>17640</v>
      </c>
      <c r="K3301" t="s">
        <v>74</v>
      </c>
      <c r="L3301" t="s">
        <v>74</v>
      </c>
      <c r="M3301" t="s">
        <v>78</v>
      </c>
      <c r="N3301" t="s">
        <v>79</v>
      </c>
      <c r="O3301" t="s">
        <v>74</v>
      </c>
      <c r="P3301" t="s">
        <v>74</v>
      </c>
      <c r="Q3301" t="s">
        <v>74</v>
      </c>
      <c r="R3301" t="s">
        <v>74</v>
      </c>
      <c r="S3301" t="s">
        <v>74</v>
      </c>
      <c r="T3301" t="s">
        <v>74</v>
      </c>
      <c r="U3301" t="s">
        <v>54210</v>
      </c>
      <c r="V3301" t="s">
        <v>54211</v>
      </c>
      <c r="W3301" t="s">
        <v>54212</v>
      </c>
      <c r="X3301" t="s">
        <v>11050</v>
      </c>
      <c r="Y3301" t="s">
        <v>54213</v>
      </c>
      <c r="Z3301" t="s">
        <v>54214</v>
      </c>
      <c r="AA3301" t="s">
        <v>54215</v>
      </c>
      <c r="AB3301" t="s">
        <v>54216</v>
      </c>
      <c r="AC3301" t="s">
        <v>18234</v>
      </c>
      <c r="AD3301" t="s">
        <v>18235</v>
      </c>
      <c r="AE3301" t="s">
        <v>18236</v>
      </c>
      <c r="AF3301" t="s">
        <v>74</v>
      </c>
      <c r="AG3301">
        <v>65</v>
      </c>
      <c r="AH3301">
        <v>2</v>
      </c>
      <c r="AI3301">
        <v>2</v>
      </c>
      <c r="AJ3301">
        <v>4</v>
      </c>
      <c r="AK3301">
        <v>7</v>
      </c>
      <c r="AL3301" t="s">
        <v>4666</v>
      </c>
      <c r="AM3301" t="s">
        <v>995</v>
      </c>
      <c r="AN3301" t="s">
        <v>4025</v>
      </c>
      <c r="AO3301" t="s">
        <v>74</v>
      </c>
      <c r="AP3301" t="s">
        <v>17649</v>
      </c>
      <c r="AQ3301" t="s">
        <v>74</v>
      </c>
      <c r="AR3301" t="s">
        <v>17650</v>
      </c>
      <c r="AS3301" t="s">
        <v>17651</v>
      </c>
      <c r="AT3301" t="s">
        <v>17906</v>
      </c>
      <c r="AU3301">
        <v>2025</v>
      </c>
      <c r="AV3301">
        <v>12</v>
      </c>
      <c r="AW3301">
        <v>1</v>
      </c>
      <c r="AX3301" t="s">
        <v>74</v>
      </c>
      <c r="AY3301" t="s">
        <v>74</v>
      </c>
      <c r="AZ3301" t="s">
        <v>74</v>
      </c>
      <c r="BA3301" t="s">
        <v>74</v>
      </c>
      <c r="BB3301" t="s">
        <v>74</v>
      </c>
      <c r="BC3301" t="s">
        <v>74</v>
      </c>
      <c r="BD3301">
        <v>408</v>
      </c>
      <c r="BE3301" t="s">
        <v>54217</v>
      </c>
      <c r="BF3301" t="str">
        <f>HYPERLINK("http://dx.doi.org/10.1057/s41599-025-04728-9","http://dx.doi.org/10.1057/s41599-025-04728-9")</f>
        <v>http://dx.doi.org/10.1057/s41599-025-04728-9</v>
      </c>
      <c r="BG3301" t="s">
        <v>74</v>
      </c>
      <c r="BH3301" t="s">
        <v>74</v>
      </c>
      <c r="BI3301">
        <v>15</v>
      </c>
      <c r="BJ3301" t="s">
        <v>17654</v>
      </c>
      <c r="BK3301" t="s">
        <v>871</v>
      </c>
      <c r="BL3301" t="s">
        <v>17655</v>
      </c>
      <c r="BM3301" t="s">
        <v>54218</v>
      </c>
      <c r="BN3301" t="s">
        <v>74</v>
      </c>
      <c r="BO3301" t="s">
        <v>212</v>
      </c>
      <c r="BP3301" t="s">
        <v>74</v>
      </c>
      <c r="BQ3301" t="s">
        <v>74</v>
      </c>
      <c r="BR3301" t="s">
        <v>102</v>
      </c>
      <c r="BS3301" t="s">
        <v>54219</v>
      </c>
      <c r="BT3301" t="str">
        <f>HYPERLINK("https%3A%2F%2Fwww.webofscience.com%2Fwos%2Fwoscc%2Ffull-record%2FWOS:001449748900001","View Full Record in Web of Science")</f>
        <v>View Full Record in Web of Science</v>
      </c>
    </row>
    <row r="3302" spans="1:72" x14ac:dyDescent="0.25">
      <c r="A3302" t="s">
        <v>72</v>
      </c>
      <c r="B3302" t="s">
        <v>54220</v>
      </c>
      <c r="C3302" t="s">
        <v>74</v>
      </c>
      <c r="D3302" t="s">
        <v>74</v>
      </c>
      <c r="E3302" t="s">
        <v>74</v>
      </c>
      <c r="F3302" t="s">
        <v>54221</v>
      </c>
      <c r="G3302" t="s">
        <v>74</v>
      </c>
      <c r="H3302" t="s">
        <v>74</v>
      </c>
      <c r="I3302" t="s">
        <v>54222</v>
      </c>
      <c r="J3302" t="s">
        <v>54223</v>
      </c>
      <c r="K3302" t="s">
        <v>74</v>
      </c>
      <c r="L3302" t="s">
        <v>74</v>
      </c>
      <c r="M3302" t="s">
        <v>78</v>
      </c>
      <c r="N3302" t="s">
        <v>79</v>
      </c>
      <c r="O3302" t="s">
        <v>74</v>
      </c>
      <c r="P3302" t="s">
        <v>74</v>
      </c>
      <c r="Q3302" t="s">
        <v>74</v>
      </c>
      <c r="R3302" t="s">
        <v>74</v>
      </c>
      <c r="S3302" t="s">
        <v>74</v>
      </c>
      <c r="T3302" t="s">
        <v>54224</v>
      </c>
      <c r="U3302" t="s">
        <v>54225</v>
      </c>
      <c r="V3302" t="s">
        <v>54226</v>
      </c>
      <c r="W3302" t="s">
        <v>54227</v>
      </c>
      <c r="X3302" t="s">
        <v>54228</v>
      </c>
      <c r="Y3302" t="s">
        <v>54229</v>
      </c>
      <c r="Z3302" t="s">
        <v>54230</v>
      </c>
      <c r="AA3302" t="s">
        <v>74</v>
      </c>
      <c r="AB3302" t="s">
        <v>74</v>
      </c>
      <c r="AC3302" t="s">
        <v>54231</v>
      </c>
      <c r="AD3302" t="s">
        <v>54232</v>
      </c>
      <c r="AE3302" t="s">
        <v>54233</v>
      </c>
      <c r="AF3302" t="s">
        <v>74</v>
      </c>
      <c r="AG3302">
        <v>40</v>
      </c>
      <c r="AH3302">
        <v>13</v>
      </c>
      <c r="AI3302">
        <v>14</v>
      </c>
      <c r="AJ3302">
        <v>0</v>
      </c>
      <c r="AK3302">
        <v>29</v>
      </c>
      <c r="AL3302" t="s">
        <v>385</v>
      </c>
      <c r="AM3302" t="s">
        <v>1153</v>
      </c>
      <c r="AN3302" t="s">
        <v>1154</v>
      </c>
      <c r="AO3302" t="s">
        <v>54234</v>
      </c>
      <c r="AP3302" t="s">
        <v>54235</v>
      </c>
      <c r="AQ3302" t="s">
        <v>74</v>
      </c>
      <c r="AR3302" t="s">
        <v>54236</v>
      </c>
      <c r="AS3302" t="s">
        <v>54237</v>
      </c>
      <c r="AT3302" t="s">
        <v>698</v>
      </c>
      <c r="AU3302">
        <v>2016</v>
      </c>
      <c r="AV3302">
        <v>15</v>
      </c>
      <c r="AW3302">
        <v>3</v>
      </c>
      <c r="AX3302" t="s">
        <v>74</v>
      </c>
      <c r="AY3302" t="s">
        <v>74</v>
      </c>
      <c r="AZ3302" t="s">
        <v>74</v>
      </c>
      <c r="BA3302" t="s">
        <v>74</v>
      </c>
      <c r="BB3302">
        <v>291</v>
      </c>
      <c r="BC3302">
        <v>301</v>
      </c>
      <c r="BD3302" t="s">
        <v>74</v>
      </c>
      <c r="BE3302" t="s">
        <v>54238</v>
      </c>
      <c r="BF3302" t="str">
        <f>HYPERLINK("http://dx.doi.org/10.1007/s11842-016-9323-4","http://dx.doi.org/10.1007/s11842-016-9323-4")</f>
        <v>http://dx.doi.org/10.1007/s11842-016-9323-4</v>
      </c>
      <c r="BG3302" t="s">
        <v>74</v>
      </c>
      <c r="BH3302" t="s">
        <v>74</v>
      </c>
      <c r="BI3302">
        <v>11</v>
      </c>
      <c r="BJ3302" t="s">
        <v>50859</v>
      </c>
      <c r="BK3302" t="s">
        <v>2623</v>
      </c>
      <c r="BL3302" t="s">
        <v>50859</v>
      </c>
      <c r="BM3302" t="s">
        <v>54239</v>
      </c>
      <c r="BN3302" t="s">
        <v>74</v>
      </c>
      <c r="BO3302" t="s">
        <v>74</v>
      </c>
      <c r="BP3302" t="s">
        <v>74</v>
      </c>
      <c r="BQ3302" t="s">
        <v>74</v>
      </c>
      <c r="BR3302" t="s">
        <v>102</v>
      </c>
      <c r="BS3302" t="s">
        <v>54240</v>
      </c>
      <c r="BT3302" t="str">
        <f>HYPERLINK("https%3A%2F%2Fwww.webofscience.com%2Fwos%2Fwoscc%2Ffull-record%2FWOS:000381096400002","View Full Record in Web of Science")</f>
        <v>View Full Record in Web of Science</v>
      </c>
    </row>
    <row r="3303" spans="1:72" x14ac:dyDescent="0.25">
      <c r="A3303" t="s">
        <v>72</v>
      </c>
      <c r="B3303" t="s">
        <v>54241</v>
      </c>
      <c r="C3303" t="s">
        <v>74</v>
      </c>
      <c r="D3303" t="s">
        <v>74</v>
      </c>
      <c r="E3303" t="s">
        <v>74</v>
      </c>
      <c r="F3303" t="s">
        <v>54242</v>
      </c>
      <c r="G3303" t="s">
        <v>74</v>
      </c>
      <c r="H3303" t="s">
        <v>74</v>
      </c>
      <c r="I3303" t="s">
        <v>54243</v>
      </c>
      <c r="J3303" t="s">
        <v>9616</v>
      </c>
      <c r="K3303" t="s">
        <v>74</v>
      </c>
      <c r="L3303" t="s">
        <v>74</v>
      </c>
      <c r="M3303" t="s">
        <v>78</v>
      </c>
      <c r="N3303" t="s">
        <v>79</v>
      </c>
      <c r="O3303" t="s">
        <v>74</v>
      </c>
      <c r="P3303" t="s">
        <v>74</v>
      </c>
      <c r="Q3303" t="s">
        <v>74</v>
      </c>
      <c r="R3303" t="s">
        <v>74</v>
      </c>
      <c r="S3303" t="s">
        <v>74</v>
      </c>
      <c r="T3303" t="s">
        <v>54244</v>
      </c>
      <c r="U3303" t="s">
        <v>74</v>
      </c>
      <c r="V3303" t="s">
        <v>54245</v>
      </c>
      <c r="W3303" t="s">
        <v>54246</v>
      </c>
      <c r="X3303" t="s">
        <v>48567</v>
      </c>
      <c r="Y3303" t="s">
        <v>54247</v>
      </c>
      <c r="Z3303" t="s">
        <v>54248</v>
      </c>
      <c r="AA3303" t="s">
        <v>54249</v>
      </c>
      <c r="AB3303" t="s">
        <v>74</v>
      </c>
      <c r="AC3303" t="s">
        <v>74</v>
      </c>
      <c r="AD3303" t="s">
        <v>74</v>
      </c>
      <c r="AE3303" t="s">
        <v>74</v>
      </c>
      <c r="AF3303" t="s">
        <v>74</v>
      </c>
      <c r="AG3303">
        <v>59</v>
      </c>
      <c r="AH3303">
        <v>6</v>
      </c>
      <c r="AI3303">
        <v>16</v>
      </c>
      <c r="AJ3303">
        <v>42</v>
      </c>
      <c r="AK3303">
        <v>83</v>
      </c>
      <c r="AL3303" t="s">
        <v>575</v>
      </c>
      <c r="AM3303" t="s">
        <v>576</v>
      </c>
      <c r="AN3303" t="s">
        <v>577</v>
      </c>
      <c r="AO3303" t="s">
        <v>74</v>
      </c>
      <c r="AP3303" t="s">
        <v>9626</v>
      </c>
      <c r="AQ3303" t="s">
        <v>74</v>
      </c>
      <c r="AR3303" t="s">
        <v>9616</v>
      </c>
      <c r="AS3303" t="s">
        <v>9627</v>
      </c>
      <c r="AT3303" t="s">
        <v>891</v>
      </c>
      <c r="AU3303">
        <v>2024</v>
      </c>
      <c r="AV3303">
        <v>12</v>
      </c>
      <c r="AW3303">
        <v>11</v>
      </c>
      <c r="AX3303" t="s">
        <v>74</v>
      </c>
      <c r="AY3303" t="s">
        <v>74</v>
      </c>
      <c r="AZ3303" t="s">
        <v>74</v>
      </c>
      <c r="BA3303" t="s">
        <v>74</v>
      </c>
      <c r="BB3303" t="s">
        <v>74</v>
      </c>
      <c r="BC3303" t="s">
        <v>74</v>
      </c>
      <c r="BD3303">
        <v>298</v>
      </c>
      <c r="BE3303" t="s">
        <v>54250</v>
      </c>
      <c r="BF3303" t="str">
        <f>HYPERLINK("http://dx.doi.org/10.3390/economies12110298","http://dx.doi.org/10.3390/economies12110298")</f>
        <v>http://dx.doi.org/10.3390/economies12110298</v>
      </c>
      <c r="BG3303" t="s">
        <v>74</v>
      </c>
      <c r="BH3303" t="s">
        <v>74</v>
      </c>
      <c r="BI3303">
        <v>13</v>
      </c>
      <c r="BJ3303" t="s">
        <v>291</v>
      </c>
      <c r="BK3303" t="s">
        <v>313</v>
      </c>
      <c r="BL3303" t="s">
        <v>100</v>
      </c>
      <c r="BM3303" t="s">
        <v>54251</v>
      </c>
      <c r="BN3303" t="s">
        <v>74</v>
      </c>
      <c r="BO3303" t="s">
        <v>916</v>
      </c>
      <c r="BP3303" t="s">
        <v>74</v>
      </c>
      <c r="BQ3303" t="s">
        <v>74</v>
      </c>
      <c r="BR3303" t="s">
        <v>102</v>
      </c>
      <c r="BS3303" t="s">
        <v>54252</v>
      </c>
      <c r="BT3303" t="str">
        <f>HYPERLINK("https%3A%2F%2Fwww.webofscience.com%2Fwos%2Fwoscc%2Ffull-record%2FWOS:001364321200001","View Full Record in Web of Science")</f>
        <v>View Full Record in Web of Science</v>
      </c>
    </row>
    <row r="3304" spans="1:72" x14ac:dyDescent="0.25">
      <c r="A3304" t="s">
        <v>72</v>
      </c>
      <c r="B3304" t="s">
        <v>54253</v>
      </c>
      <c r="C3304" t="s">
        <v>74</v>
      </c>
      <c r="D3304" t="s">
        <v>74</v>
      </c>
      <c r="E3304" t="s">
        <v>74</v>
      </c>
      <c r="F3304" t="s">
        <v>54254</v>
      </c>
      <c r="G3304" t="s">
        <v>74</v>
      </c>
      <c r="H3304" t="s">
        <v>74</v>
      </c>
      <c r="I3304" t="s">
        <v>54255</v>
      </c>
      <c r="J3304" t="s">
        <v>54256</v>
      </c>
      <c r="K3304" t="s">
        <v>74</v>
      </c>
      <c r="L3304" t="s">
        <v>74</v>
      </c>
      <c r="M3304" t="s">
        <v>78</v>
      </c>
      <c r="N3304" t="s">
        <v>79</v>
      </c>
      <c r="O3304" t="s">
        <v>74</v>
      </c>
      <c r="P3304" t="s">
        <v>74</v>
      </c>
      <c r="Q3304" t="s">
        <v>74</v>
      </c>
      <c r="R3304" t="s">
        <v>74</v>
      </c>
      <c r="S3304" t="s">
        <v>74</v>
      </c>
      <c r="T3304" t="s">
        <v>54257</v>
      </c>
      <c r="U3304" t="s">
        <v>54258</v>
      </c>
      <c r="V3304" t="s">
        <v>54259</v>
      </c>
      <c r="W3304" t="s">
        <v>54260</v>
      </c>
      <c r="X3304" t="s">
        <v>54261</v>
      </c>
      <c r="Y3304" t="s">
        <v>54262</v>
      </c>
      <c r="Z3304" t="s">
        <v>54263</v>
      </c>
      <c r="AA3304" t="s">
        <v>74</v>
      </c>
      <c r="AB3304" t="s">
        <v>54264</v>
      </c>
      <c r="AC3304" t="s">
        <v>74</v>
      </c>
      <c r="AD3304" t="s">
        <v>74</v>
      </c>
      <c r="AE3304" t="s">
        <v>74</v>
      </c>
      <c r="AF3304" t="s">
        <v>74</v>
      </c>
      <c r="AG3304">
        <v>101</v>
      </c>
      <c r="AH3304">
        <v>13</v>
      </c>
      <c r="AI3304">
        <v>18</v>
      </c>
      <c r="AJ3304">
        <v>1</v>
      </c>
      <c r="AK3304">
        <v>21</v>
      </c>
      <c r="AL3304" t="s">
        <v>3861</v>
      </c>
      <c r="AM3304" t="s">
        <v>2016</v>
      </c>
      <c r="AN3304" t="s">
        <v>3862</v>
      </c>
      <c r="AO3304" t="s">
        <v>54265</v>
      </c>
      <c r="AP3304" t="s">
        <v>54266</v>
      </c>
      <c r="AQ3304" t="s">
        <v>74</v>
      </c>
      <c r="AR3304" t="s">
        <v>54267</v>
      </c>
      <c r="AS3304" t="s">
        <v>54268</v>
      </c>
      <c r="AT3304" t="s">
        <v>1652</v>
      </c>
      <c r="AU3304">
        <v>2023</v>
      </c>
      <c r="AV3304">
        <v>19</v>
      </c>
      <c r="AW3304">
        <v>2</v>
      </c>
      <c r="AX3304" t="s">
        <v>74</v>
      </c>
      <c r="AY3304" t="s">
        <v>74</v>
      </c>
      <c r="AZ3304" t="s">
        <v>74</v>
      </c>
      <c r="BA3304" t="s">
        <v>74</v>
      </c>
      <c r="BB3304">
        <v>560</v>
      </c>
      <c r="BC3304">
        <v>584</v>
      </c>
      <c r="BD3304" t="s">
        <v>54269</v>
      </c>
      <c r="BE3304" t="s">
        <v>54270</v>
      </c>
      <c r="BF3304" t="str">
        <f>HYPERLINK("http://dx.doi.org/10.1017/S1743923X22000253","http://dx.doi.org/10.1017/S1743923X22000253")</f>
        <v>http://dx.doi.org/10.1017/S1743923X22000253</v>
      </c>
      <c r="BG3304" t="s">
        <v>74</v>
      </c>
      <c r="BH3304" t="s">
        <v>2328</v>
      </c>
      <c r="BI3304">
        <v>25</v>
      </c>
      <c r="BJ3304" t="s">
        <v>54271</v>
      </c>
      <c r="BK3304" t="s">
        <v>99</v>
      </c>
      <c r="BL3304" t="s">
        <v>54272</v>
      </c>
      <c r="BM3304" t="s">
        <v>54273</v>
      </c>
      <c r="BN3304" t="s">
        <v>74</v>
      </c>
      <c r="BO3304" t="s">
        <v>74</v>
      </c>
      <c r="BP3304" t="s">
        <v>74</v>
      </c>
      <c r="BQ3304" t="s">
        <v>74</v>
      </c>
      <c r="BR3304" t="s">
        <v>102</v>
      </c>
      <c r="BS3304" t="s">
        <v>54274</v>
      </c>
      <c r="BT3304" t="str">
        <f>HYPERLINK("https%3A%2F%2Fwww.webofscience.com%2Fwos%2Fwoscc%2Ffull-record%2FWOS:000847581700001","View Full Record in Web of Science")</f>
        <v>View Full Record in Web of Science</v>
      </c>
    </row>
    <row r="3305" spans="1:72" x14ac:dyDescent="0.25">
      <c r="A3305" t="s">
        <v>72</v>
      </c>
      <c r="B3305" t="s">
        <v>54275</v>
      </c>
      <c r="C3305" t="s">
        <v>74</v>
      </c>
      <c r="D3305" t="s">
        <v>74</v>
      </c>
      <c r="E3305" t="s">
        <v>74</v>
      </c>
      <c r="F3305" t="s">
        <v>54276</v>
      </c>
      <c r="G3305" t="s">
        <v>74</v>
      </c>
      <c r="H3305" t="s">
        <v>74</v>
      </c>
      <c r="I3305" t="s">
        <v>54277</v>
      </c>
      <c r="J3305" t="s">
        <v>424</v>
      </c>
      <c r="K3305" t="s">
        <v>74</v>
      </c>
      <c r="L3305" t="s">
        <v>74</v>
      </c>
      <c r="M3305" t="s">
        <v>78</v>
      </c>
      <c r="N3305" t="s">
        <v>79</v>
      </c>
      <c r="O3305" t="s">
        <v>74</v>
      </c>
      <c r="P3305" t="s">
        <v>74</v>
      </c>
      <c r="Q3305" t="s">
        <v>74</v>
      </c>
      <c r="R3305" t="s">
        <v>74</v>
      </c>
      <c r="S3305" t="s">
        <v>74</v>
      </c>
      <c r="T3305" t="s">
        <v>54278</v>
      </c>
      <c r="U3305" t="s">
        <v>54279</v>
      </c>
      <c r="V3305" t="s">
        <v>54280</v>
      </c>
      <c r="W3305" t="s">
        <v>54281</v>
      </c>
      <c r="X3305" t="s">
        <v>54282</v>
      </c>
      <c r="Y3305" t="s">
        <v>54283</v>
      </c>
      <c r="Z3305" t="s">
        <v>54284</v>
      </c>
      <c r="AA3305" t="s">
        <v>74</v>
      </c>
      <c r="AB3305" t="s">
        <v>54285</v>
      </c>
      <c r="AC3305" t="s">
        <v>74</v>
      </c>
      <c r="AD3305" t="s">
        <v>74</v>
      </c>
      <c r="AE3305" t="s">
        <v>74</v>
      </c>
      <c r="AF3305" t="s">
        <v>74</v>
      </c>
      <c r="AG3305">
        <v>115</v>
      </c>
      <c r="AH3305">
        <v>3</v>
      </c>
      <c r="AI3305">
        <v>4</v>
      </c>
      <c r="AJ3305">
        <v>1</v>
      </c>
      <c r="AK3305">
        <v>11</v>
      </c>
      <c r="AL3305" t="s">
        <v>89</v>
      </c>
      <c r="AM3305" t="s">
        <v>90</v>
      </c>
      <c r="AN3305" t="s">
        <v>91</v>
      </c>
      <c r="AO3305" t="s">
        <v>436</v>
      </c>
      <c r="AP3305" t="s">
        <v>437</v>
      </c>
      <c r="AQ3305" t="s">
        <v>74</v>
      </c>
      <c r="AR3305" t="s">
        <v>438</v>
      </c>
      <c r="AS3305" t="s">
        <v>439</v>
      </c>
      <c r="AT3305" t="s">
        <v>11018</v>
      </c>
      <c r="AU3305">
        <v>2024</v>
      </c>
      <c r="AV3305">
        <v>42</v>
      </c>
      <c r="AW3305">
        <v>7</v>
      </c>
      <c r="AX3305" t="s">
        <v>74</v>
      </c>
      <c r="AY3305" t="s">
        <v>74</v>
      </c>
      <c r="AZ3305" t="s">
        <v>74</v>
      </c>
      <c r="BA3305" t="s">
        <v>74</v>
      </c>
      <c r="BB3305">
        <v>1634</v>
      </c>
      <c r="BC3305">
        <v>1665</v>
      </c>
      <c r="BD3305" t="s">
        <v>74</v>
      </c>
      <c r="BE3305" t="s">
        <v>54286</v>
      </c>
      <c r="BF3305" t="str">
        <f>HYPERLINK("http://dx.doi.org/10.1108/IJBM-09-2023-0528","http://dx.doi.org/10.1108/IJBM-09-2023-0528")</f>
        <v>http://dx.doi.org/10.1108/IJBM-09-2023-0528</v>
      </c>
      <c r="BG3305" t="s">
        <v>74</v>
      </c>
      <c r="BH3305" t="s">
        <v>6256</v>
      </c>
      <c r="BI3305">
        <v>32</v>
      </c>
      <c r="BJ3305" t="s">
        <v>418</v>
      </c>
      <c r="BK3305" t="s">
        <v>99</v>
      </c>
      <c r="BL3305" t="s">
        <v>100</v>
      </c>
      <c r="BM3305" t="s">
        <v>11020</v>
      </c>
      <c r="BN3305" t="s">
        <v>74</v>
      </c>
      <c r="BO3305" t="s">
        <v>74</v>
      </c>
      <c r="BP3305" t="s">
        <v>74</v>
      </c>
      <c r="BQ3305" t="s">
        <v>74</v>
      </c>
      <c r="BR3305" t="s">
        <v>102</v>
      </c>
      <c r="BS3305" t="s">
        <v>54287</v>
      </c>
      <c r="BT3305" t="str">
        <f>HYPERLINK("https%3A%2F%2Fwww.webofscience.com%2Fwos%2Fwoscc%2Ffull-record%2FWOS:001238042800001","View Full Record in Web of Science")</f>
        <v>View Full Record in Web of Science</v>
      </c>
    </row>
    <row r="3306" spans="1:72" x14ac:dyDescent="0.25">
      <c r="A3306" t="s">
        <v>72</v>
      </c>
      <c r="B3306" t="s">
        <v>54288</v>
      </c>
      <c r="C3306" t="s">
        <v>74</v>
      </c>
      <c r="D3306" t="s">
        <v>74</v>
      </c>
      <c r="E3306" t="s">
        <v>74</v>
      </c>
      <c r="F3306" t="s">
        <v>54289</v>
      </c>
      <c r="G3306" t="s">
        <v>74</v>
      </c>
      <c r="H3306" t="s">
        <v>74</v>
      </c>
      <c r="I3306" t="s">
        <v>54290</v>
      </c>
      <c r="J3306" t="s">
        <v>944</v>
      </c>
      <c r="K3306" t="s">
        <v>74</v>
      </c>
      <c r="L3306" t="s">
        <v>74</v>
      </c>
      <c r="M3306" t="s">
        <v>78</v>
      </c>
      <c r="N3306" t="s">
        <v>1766</v>
      </c>
      <c r="O3306" t="s">
        <v>74</v>
      </c>
      <c r="P3306" t="s">
        <v>74</v>
      </c>
      <c r="Q3306" t="s">
        <v>74</v>
      </c>
      <c r="R3306" t="s">
        <v>74</v>
      </c>
      <c r="S3306" t="s">
        <v>74</v>
      </c>
      <c r="T3306" t="s">
        <v>54291</v>
      </c>
      <c r="U3306" t="s">
        <v>54292</v>
      </c>
      <c r="V3306" t="s">
        <v>54293</v>
      </c>
      <c r="W3306" t="s">
        <v>54294</v>
      </c>
      <c r="X3306" t="s">
        <v>6388</v>
      </c>
      <c r="Y3306" t="s">
        <v>54295</v>
      </c>
      <c r="Z3306" t="s">
        <v>54296</v>
      </c>
      <c r="AA3306" t="s">
        <v>54297</v>
      </c>
      <c r="AB3306" t="s">
        <v>54298</v>
      </c>
      <c r="AC3306" t="s">
        <v>74</v>
      </c>
      <c r="AD3306" t="s">
        <v>74</v>
      </c>
      <c r="AE3306" t="s">
        <v>74</v>
      </c>
      <c r="AF3306" t="s">
        <v>74</v>
      </c>
      <c r="AG3306">
        <v>120</v>
      </c>
      <c r="AH3306">
        <v>25</v>
      </c>
      <c r="AI3306">
        <v>27</v>
      </c>
      <c r="AJ3306">
        <v>7</v>
      </c>
      <c r="AK3306">
        <v>87</v>
      </c>
      <c r="AL3306" t="s">
        <v>332</v>
      </c>
      <c r="AM3306" t="s">
        <v>333</v>
      </c>
      <c r="AN3306" t="s">
        <v>334</v>
      </c>
      <c r="AO3306" t="s">
        <v>954</v>
      </c>
      <c r="AP3306" t="s">
        <v>955</v>
      </c>
      <c r="AQ3306" t="s">
        <v>74</v>
      </c>
      <c r="AR3306" t="s">
        <v>956</v>
      </c>
      <c r="AS3306" t="s">
        <v>957</v>
      </c>
      <c r="AT3306" t="s">
        <v>5028</v>
      </c>
      <c r="AU3306">
        <v>2021</v>
      </c>
      <c r="AV3306">
        <v>23</v>
      </c>
      <c r="AW3306">
        <v>4</v>
      </c>
      <c r="AX3306" t="s">
        <v>74</v>
      </c>
      <c r="AY3306" t="s">
        <v>74</v>
      </c>
      <c r="AZ3306" t="s">
        <v>74</v>
      </c>
      <c r="BA3306" t="s">
        <v>74</v>
      </c>
      <c r="BB3306">
        <v>291</v>
      </c>
      <c r="BC3306">
        <v>319</v>
      </c>
      <c r="BD3306" t="s">
        <v>74</v>
      </c>
      <c r="BE3306" t="s">
        <v>54299</v>
      </c>
      <c r="BF3306" t="str">
        <f>HYPERLINK("http://dx.doi.org/10.1080/13691066.2021.2010507","http://dx.doi.org/10.1080/13691066.2021.2010507")</f>
        <v>http://dx.doi.org/10.1080/13691066.2021.2010507</v>
      </c>
      <c r="BG3306" t="s">
        <v>74</v>
      </c>
      <c r="BH3306" t="s">
        <v>2730</v>
      </c>
      <c r="BI3306">
        <v>29</v>
      </c>
      <c r="BJ3306" t="s">
        <v>268</v>
      </c>
      <c r="BK3306" t="s">
        <v>99</v>
      </c>
      <c r="BL3306" t="s">
        <v>100</v>
      </c>
      <c r="BM3306" t="s">
        <v>54300</v>
      </c>
      <c r="BN3306" t="s">
        <v>74</v>
      </c>
      <c r="BO3306" t="s">
        <v>74</v>
      </c>
      <c r="BP3306" t="s">
        <v>74</v>
      </c>
      <c r="BQ3306" t="s">
        <v>74</v>
      </c>
      <c r="BR3306" t="s">
        <v>102</v>
      </c>
      <c r="BS3306" t="s">
        <v>54301</v>
      </c>
      <c r="BT3306" t="str">
        <f>HYPERLINK("https%3A%2F%2Fwww.webofscience.com%2Fwos%2Fwoscc%2Ffull-record%2FWOS:000729734300001","View Full Record in Web of Science")</f>
        <v>View Full Record in Web of Science</v>
      </c>
    </row>
    <row r="3307" spans="1:72" x14ac:dyDescent="0.25">
      <c r="A3307" t="s">
        <v>132</v>
      </c>
      <c r="B3307" t="s">
        <v>54302</v>
      </c>
      <c r="C3307" t="s">
        <v>74</v>
      </c>
      <c r="D3307" t="s">
        <v>54303</v>
      </c>
      <c r="E3307" t="s">
        <v>74</v>
      </c>
      <c r="F3307" t="s">
        <v>54304</v>
      </c>
      <c r="G3307" t="s">
        <v>74</v>
      </c>
      <c r="H3307" t="s">
        <v>74</v>
      </c>
      <c r="I3307" t="s">
        <v>54305</v>
      </c>
      <c r="J3307" t="s">
        <v>54306</v>
      </c>
      <c r="K3307" t="s">
        <v>5767</v>
      </c>
      <c r="L3307" t="s">
        <v>74</v>
      </c>
      <c r="M3307" t="s">
        <v>78</v>
      </c>
      <c r="N3307" t="s">
        <v>138</v>
      </c>
      <c r="O3307" t="s">
        <v>54307</v>
      </c>
      <c r="P3307" t="s">
        <v>54308</v>
      </c>
      <c r="Q3307" t="s">
        <v>54309</v>
      </c>
      <c r="R3307" t="s">
        <v>54310</v>
      </c>
      <c r="S3307" t="s">
        <v>74</v>
      </c>
      <c r="T3307" t="s">
        <v>54311</v>
      </c>
      <c r="U3307" t="s">
        <v>54312</v>
      </c>
      <c r="V3307" t="s">
        <v>54313</v>
      </c>
      <c r="W3307" t="s">
        <v>54314</v>
      </c>
      <c r="X3307" t="s">
        <v>54315</v>
      </c>
      <c r="Y3307" t="s">
        <v>54316</v>
      </c>
      <c r="Z3307" t="s">
        <v>54317</v>
      </c>
      <c r="AA3307" t="s">
        <v>54318</v>
      </c>
      <c r="AB3307" t="s">
        <v>54319</v>
      </c>
      <c r="AC3307" t="s">
        <v>74</v>
      </c>
      <c r="AD3307" t="s">
        <v>74</v>
      </c>
      <c r="AE3307" t="s">
        <v>74</v>
      </c>
      <c r="AF3307" t="s">
        <v>74</v>
      </c>
      <c r="AG3307">
        <v>13</v>
      </c>
      <c r="AH3307">
        <v>0</v>
      </c>
      <c r="AI3307">
        <v>0</v>
      </c>
      <c r="AJ3307">
        <v>0</v>
      </c>
      <c r="AK3307">
        <v>2</v>
      </c>
      <c r="AL3307" t="s">
        <v>1062</v>
      </c>
      <c r="AM3307" t="s">
        <v>667</v>
      </c>
      <c r="AN3307" t="s">
        <v>668</v>
      </c>
      <c r="AO3307" t="s">
        <v>5780</v>
      </c>
      <c r="AP3307" t="s">
        <v>5781</v>
      </c>
      <c r="AQ3307" t="s">
        <v>54320</v>
      </c>
      <c r="AR3307" t="s">
        <v>5783</v>
      </c>
      <c r="AS3307" t="s">
        <v>74</v>
      </c>
      <c r="AT3307" t="s">
        <v>74</v>
      </c>
      <c r="AU3307">
        <v>2022</v>
      </c>
      <c r="AV3307" t="s">
        <v>74</v>
      </c>
      <c r="AW3307" t="s">
        <v>74</v>
      </c>
      <c r="AX3307" t="s">
        <v>74</v>
      </c>
      <c r="AY3307" t="s">
        <v>74</v>
      </c>
      <c r="AZ3307" t="s">
        <v>74</v>
      </c>
      <c r="BA3307" t="s">
        <v>74</v>
      </c>
      <c r="BB3307">
        <v>245</v>
      </c>
      <c r="BC3307">
        <v>252</v>
      </c>
      <c r="BD3307" t="s">
        <v>74</v>
      </c>
      <c r="BE3307" t="s">
        <v>54321</v>
      </c>
      <c r="BF3307" t="str">
        <f>HYPERLINK("http://dx.doi.org/10.1007/978-3-031-05351-1_14","http://dx.doi.org/10.1007/978-3-031-05351-1_14")</f>
        <v>http://dx.doi.org/10.1007/978-3-031-05351-1_14</v>
      </c>
      <c r="BG3307" t="s">
        <v>74</v>
      </c>
      <c r="BH3307" t="s">
        <v>74</v>
      </c>
      <c r="BI3307">
        <v>8</v>
      </c>
      <c r="BJ3307" t="s">
        <v>9556</v>
      </c>
      <c r="BK3307" t="s">
        <v>183</v>
      </c>
      <c r="BL3307" t="s">
        <v>100</v>
      </c>
      <c r="BM3307" t="s">
        <v>54322</v>
      </c>
      <c r="BN3307" t="s">
        <v>74</v>
      </c>
      <c r="BO3307" t="s">
        <v>74</v>
      </c>
      <c r="BP3307" t="s">
        <v>74</v>
      </c>
      <c r="BQ3307" t="s">
        <v>74</v>
      </c>
      <c r="BR3307" t="s">
        <v>102</v>
      </c>
      <c r="BS3307" t="s">
        <v>54323</v>
      </c>
      <c r="BT3307" t="str">
        <f>HYPERLINK("https%3A%2F%2Fwww.webofscience.com%2Fwos%2Fwoscc%2Ffull-record%2FWOS:000865799400014","View Full Record in Web of Science")</f>
        <v>View Full Record in Web of Science</v>
      </c>
    </row>
    <row r="3308" spans="1:72" x14ac:dyDescent="0.25">
      <c r="A3308" t="s">
        <v>72</v>
      </c>
      <c r="B3308" t="s">
        <v>54324</v>
      </c>
      <c r="C3308" t="s">
        <v>74</v>
      </c>
      <c r="D3308" t="s">
        <v>74</v>
      </c>
      <c r="E3308" t="s">
        <v>74</v>
      </c>
      <c r="F3308" t="s">
        <v>54325</v>
      </c>
      <c r="G3308" t="s">
        <v>74</v>
      </c>
      <c r="H3308" t="s">
        <v>74</v>
      </c>
      <c r="I3308" t="s">
        <v>54326</v>
      </c>
      <c r="J3308" t="s">
        <v>54327</v>
      </c>
      <c r="K3308" t="s">
        <v>74</v>
      </c>
      <c r="L3308" t="s">
        <v>74</v>
      </c>
      <c r="M3308" t="s">
        <v>78</v>
      </c>
      <c r="N3308" t="s">
        <v>79</v>
      </c>
      <c r="O3308" t="s">
        <v>74</v>
      </c>
      <c r="P3308" t="s">
        <v>74</v>
      </c>
      <c r="Q3308" t="s">
        <v>74</v>
      </c>
      <c r="R3308" t="s">
        <v>74</v>
      </c>
      <c r="S3308" t="s">
        <v>74</v>
      </c>
      <c r="T3308" t="s">
        <v>54328</v>
      </c>
      <c r="U3308" t="s">
        <v>74</v>
      </c>
      <c r="V3308" t="s">
        <v>54329</v>
      </c>
      <c r="W3308" t="s">
        <v>54330</v>
      </c>
      <c r="X3308" t="s">
        <v>74</v>
      </c>
      <c r="Y3308" t="s">
        <v>54331</v>
      </c>
      <c r="Z3308" t="s">
        <v>54332</v>
      </c>
      <c r="AA3308" t="s">
        <v>74</v>
      </c>
      <c r="AB3308" t="s">
        <v>74</v>
      </c>
      <c r="AC3308" t="s">
        <v>74</v>
      </c>
      <c r="AD3308" t="s">
        <v>74</v>
      </c>
      <c r="AE3308" t="s">
        <v>74</v>
      </c>
      <c r="AF3308" t="s">
        <v>74</v>
      </c>
      <c r="AG3308">
        <v>3</v>
      </c>
      <c r="AH3308">
        <v>1</v>
      </c>
      <c r="AI3308">
        <v>1</v>
      </c>
      <c r="AJ3308">
        <v>1</v>
      </c>
      <c r="AK3308">
        <v>7</v>
      </c>
      <c r="AL3308" t="s">
        <v>54333</v>
      </c>
      <c r="AM3308" t="s">
        <v>54334</v>
      </c>
      <c r="AN3308" t="s">
        <v>54335</v>
      </c>
      <c r="AO3308" t="s">
        <v>54336</v>
      </c>
      <c r="AP3308" t="s">
        <v>54337</v>
      </c>
      <c r="AQ3308" t="s">
        <v>74</v>
      </c>
      <c r="AR3308" t="s">
        <v>54338</v>
      </c>
      <c r="AS3308" t="s">
        <v>54339</v>
      </c>
      <c r="AT3308" t="s">
        <v>289</v>
      </c>
      <c r="AU3308">
        <v>2021</v>
      </c>
      <c r="AV3308">
        <v>174</v>
      </c>
      <c r="AW3308">
        <v>3</v>
      </c>
      <c r="AX3308" t="s">
        <v>74</v>
      </c>
      <c r="AY3308" t="s">
        <v>74</v>
      </c>
      <c r="AZ3308" t="s">
        <v>74</v>
      </c>
      <c r="BA3308" t="s">
        <v>74</v>
      </c>
      <c r="BB3308">
        <v>99</v>
      </c>
      <c r="BC3308">
        <v>103</v>
      </c>
      <c r="BD3308" t="s">
        <v>74</v>
      </c>
      <c r="BE3308" t="s">
        <v>54340</v>
      </c>
      <c r="BF3308" t="str">
        <f>HYPERLINK("http://dx.doi.org/10.1680/jmapl.20.00030","http://dx.doi.org/10.1680/jmapl.20.00030")</f>
        <v>http://dx.doi.org/10.1680/jmapl.20.00030</v>
      </c>
      <c r="BG3308" t="s">
        <v>74</v>
      </c>
      <c r="BH3308" t="s">
        <v>74</v>
      </c>
      <c r="BI3308">
        <v>5</v>
      </c>
      <c r="BJ3308" t="s">
        <v>583</v>
      </c>
      <c r="BK3308" t="s">
        <v>313</v>
      </c>
      <c r="BL3308" t="s">
        <v>100</v>
      </c>
      <c r="BM3308" t="s">
        <v>54341</v>
      </c>
      <c r="BN3308" t="s">
        <v>74</v>
      </c>
      <c r="BO3308" t="s">
        <v>74</v>
      </c>
      <c r="BP3308" t="s">
        <v>74</v>
      </c>
      <c r="BQ3308" t="s">
        <v>74</v>
      </c>
      <c r="BR3308" t="s">
        <v>102</v>
      </c>
      <c r="BS3308" t="s">
        <v>54342</v>
      </c>
      <c r="BT3308" t="str">
        <f>HYPERLINK("https%3A%2F%2Fwww.webofscience.com%2Fwos%2Fwoscc%2Ffull-record%2FWOS:000686328400003","View Full Record in Web of Science")</f>
        <v>View Full Record in Web of Science</v>
      </c>
    </row>
    <row r="3309" spans="1:72" x14ac:dyDescent="0.25">
      <c r="A3309" t="s">
        <v>72</v>
      </c>
      <c r="B3309" t="s">
        <v>43161</v>
      </c>
      <c r="C3309" t="s">
        <v>74</v>
      </c>
      <c r="D3309" t="s">
        <v>74</v>
      </c>
      <c r="E3309" t="s">
        <v>74</v>
      </c>
      <c r="F3309" t="s">
        <v>43162</v>
      </c>
      <c r="G3309" t="s">
        <v>74</v>
      </c>
      <c r="H3309" t="s">
        <v>74</v>
      </c>
      <c r="I3309" t="s">
        <v>54343</v>
      </c>
      <c r="J3309" t="s">
        <v>656</v>
      </c>
      <c r="K3309" t="s">
        <v>74</v>
      </c>
      <c r="L3309" t="s">
        <v>74</v>
      </c>
      <c r="M3309" t="s">
        <v>78</v>
      </c>
      <c r="N3309" t="s">
        <v>79</v>
      </c>
      <c r="O3309" t="s">
        <v>74</v>
      </c>
      <c r="P3309" t="s">
        <v>74</v>
      </c>
      <c r="Q3309" t="s">
        <v>74</v>
      </c>
      <c r="R3309" t="s">
        <v>74</v>
      </c>
      <c r="S3309" t="s">
        <v>74</v>
      </c>
      <c r="T3309" t="s">
        <v>54344</v>
      </c>
      <c r="U3309" t="s">
        <v>54345</v>
      </c>
      <c r="V3309" t="s">
        <v>54346</v>
      </c>
      <c r="W3309" t="s">
        <v>54347</v>
      </c>
      <c r="X3309" t="s">
        <v>43169</v>
      </c>
      <c r="Y3309" t="s">
        <v>54348</v>
      </c>
      <c r="Z3309" t="s">
        <v>48041</v>
      </c>
      <c r="AA3309" t="s">
        <v>43172</v>
      </c>
      <c r="AB3309" t="s">
        <v>48042</v>
      </c>
      <c r="AC3309" t="s">
        <v>74</v>
      </c>
      <c r="AD3309" t="s">
        <v>74</v>
      </c>
      <c r="AE3309" t="s">
        <v>74</v>
      </c>
      <c r="AF3309" t="s">
        <v>74</v>
      </c>
      <c r="AG3309">
        <v>77</v>
      </c>
      <c r="AH3309">
        <v>14</v>
      </c>
      <c r="AI3309">
        <v>15</v>
      </c>
      <c r="AJ3309">
        <v>9</v>
      </c>
      <c r="AK3309">
        <v>65</v>
      </c>
      <c r="AL3309" t="s">
        <v>666</v>
      </c>
      <c r="AM3309" t="s">
        <v>667</v>
      </c>
      <c r="AN3309" t="s">
        <v>668</v>
      </c>
      <c r="AO3309" t="s">
        <v>669</v>
      </c>
      <c r="AP3309" t="s">
        <v>670</v>
      </c>
      <c r="AQ3309" t="s">
        <v>74</v>
      </c>
      <c r="AR3309" t="s">
        <v>671</v>
      </c>
      <c r="AS3309" t="s">
        <v>672</v>
      </c>
      <c r="AT3309" t="s">
        <v>124</v>
      </c>
      <c r="AU3309">
        <v>2024</v>
      </c>
      <c r="AV3309">
        <v>45</v>
      </c>
      <c r="AW3309">
        <v>4</v>
      </c>
      <c r="AX3309" t="s">
        <v>74</v>
      </c>
      <c r="AY3309" t="s">
        <v>74</v>
      </c>
      <c r="AZ3309" t="s">
        <v>74</v>
      </c>
      <c r="BA3309" t="s">
        <v>74</v>
      </c>
      <c r="BB3309">
        <v>852</v>
      </c>
      <c r="BC3309">
        <v>875</v>
      </c>
      <c r="BD3309" t="s">
        <v>74</v>
      </c>
      <c r="BE3309" t="s">
        <v>54349</v>
      </c>
      <c r="BF3309" t="str">
        <f>HYPERLINK("http://dx.doi.org/10.1007/s10834-023-09943-7","http://dx.doi.org/10.1007/s10834-023-09943-7")</f>
        <v>http://dx.doi.org/10.1007/s10834-023-09943-7</v>
      </c>
      <c r="BG3309" t="s">
        <v>74</v>
      </c>
      <c r="BH3309" t="s">
        <v>1524</v>
      </c>
      <c r="BI3309">
        <v>24</v>
      </c>
      <c r="BJ3309" t="s">
        <v>675</v>
      </c>
      <c r="BK3309" t="s">
        <v>99</v>
      </c>
      <c r="BL3309" t="s">
        <v>676</v>
      </c>
      <c r="BM3309" t="s">
        <v>54350</v>
      </c>
      <c r="BN3309" t="s">
        <v>74</v>
      </c>
      <c r="BO3309" t="s">
        <v>74</v>
      </c>
      <c r="BP3309" t="s">
        <v>74</v>
      </c>
      <c r="BQ3309" t="s">
        <v>74</v>
      </c>
      <c r="BR3309" t="s">
        <v>102</v>
      </c>
      <c r="BS3309" t="s">
        <v>54351</v>
      </c>
      <c r="BT3309" t="str">
        <f>HYPERLINK("https%3A%2F%2Fwww.webofscience.com%2Fwos%2Fwoscc%2Ffull-record%2FWOS:001129534200001","View Full Record in Web of Science")</f>
        <v>View Full Record in Web of Science</v>
      </c>
    </row>
    <row r="3310" spans="1:72" x14ac:dyDescent="0.25">
      <c r="A3310" t="s">
        <v>72</v>
      </c>
      <c r="B3310" t="s">
        <v>54352</v>
      </c>
      <c r="C3310" t="s">
        <v>74</v>
      </c>
      <c r="D3310" t="s">
        <v>74</v>
      </c>
      <c r="E3310" t="s">
        <v>74</v>
      </c>
      <c r="F3310" t="s">
        <v>54353</v>
      </c>
      <c r="G3310" t="s">
        <v>74</v>
      </c>
      <c r="H3310" t="s">
        <v>74</v>
      </c>
      <c r="I3310" t="s">
        <v>54354</v>
      </c>
      <c r="J3310" t="s">
        <v>1309</v>
      </c>
      <c r="K3310" t="s">
        <v>74</v>
      </c>
      <c r="L3310" t="s">
        <v>74</v>
      </c>
      <c r="M3310" t="s">
        <v>78</v>
      </c>
      <c r="N3310" t="s">
        <v>372</v>
      </c>
      <c r="O3310" t="s">
        <v>74</v>
      </c>
      <c r="P3310" t="s">
        <v>74</v>
      </c>
      <c r="Q3310" t="s">
        <v>74</v>
      </c>
      <c r="R3310" t="s">
        <v>74</v>
      </c>
      <c r="S3310" t="s">
        <v>74</v>
      </c>
      <c r="T3310" t="s">
        <v>54355</v>
      </c>
      <c r="U3310" t="s">
        <v>36491</v>
      </c>
      <c r="V3310" t="s">
        <v>54356</v>
      </c>
      <c r="W3310" t="s">
        <v>54357</v>
      </c>
      <c r="X3310" t="s">
        <v>48604</v>
      </c>
      <c r="Y3310" t="s">
        <v>54358</v>
      </c>
      <c r="Z3310" t="s">
        <v>54359</v>
      </c>
      <c r="AA3310" t="s">
        <v>74</v>
      </c>
      <c r="AB3310" t="s">
        <v>74</v>
      </c>
      <c r="AC3310" t="s">
        <v>74</v>
      </c>
      <c r="AD3310" t="s">
        <v>74</v>
      </c>
      <c r="AE3310" t="s">
        <v>74</v>
      </c>
      <c r="AF3310" t="s">
        <v>74</v>
      </c>
      <c r="AG3310">
        <v>27</v>
      </c>
      <c r="AH3310">
        <v>0</v>
      </c>
      <c r="AI3310">
        <v>0</v>
      </c>
      <c r="AJ3310">
        <v>0</v>
      </c>
      <c r="AK3310">
        <v>0</v>
      </c>
      <c r="AL3310" t="s">
        <v>89</v>
      </c>
      <c r="AM3310" t="s">
        <v>90</v>
      </c>
      <c r="AN3310" t="s">
        <v>91</v>
      </c>
      <c r="AO3310" t="s">
        <v>1317</v>
      </c>
      <c r="AP3310" t="s">
        <v>1318</v>
      </c>
      <c r="AQ3310" t="s">
        <v>74</v>
      </c>
      <c r="AR3310" t="s">
        <v>1319</v>
      </c>
      <c r="AS3310" t="s">
        <v>1320</v>
      </c>
      <c r="AT3310" t="s">
        <v>3888</v>
      </c>
      <c r="AU3310">
        <v>2025</v>
      </c>
      <c r="AV3310" t="s">
        <v>74</v>
      </c>
      <c r="AW3310" t="s">
        <v>74</v>
      </c>
      <c r="AX3310" t="s">
        <v>74</v>
      </c>
      <c r="AY3310" t="s">
        <v>74</v>
      </c>
      <c r="AZ3310" t="s">
        <v>74</v>
      </c>
      <c r="BA3310" t="s">
        <v>74</v>
      </c>
      <c r="BB3310" t="s">
        <v>74</v>
      </c>
      <c r="BC3310" t="s">
        <v>74</v>
      </c>
      <c r="BD3310" t="s">
        <v>74</v>
      </c>
      <c r="BE3310" t="s">
        <v>54360</v>
      </c>
      <c r="BF3310" t="str">
        <f>HYPERLINK("http://dx.doi.org/10.1108/JES-03-2025-0213","http://dx.doi.org/10.1108/JES-03-2025-0213")</f>
        <v>http://dx.doi.org/10.1108/JES-03-2025-0213</v>
      </c>
      <c r="BG3310" t="s">
        <v>74</v>
      </c>
      <c r="BH3310" t="s">
        <v>488</v>
      </c>
      <c r="BI3310">
        <v>13</v>
      </c>
      <c r="BJ3310" t="s">
        <v>291</v>
      </c>
      <c r="BK3310" t="s">
        <v>313</v>
      </c>
      <c r="BL3310" t="s">
        <v>100</v>
      </c>
      <c r="BM3310" t="s">
        <v>54361</v>
      </c>
      <c r="BN3310" t="s">
        <v>74</v>
      </c>
      <c r="BO3310" t="s">
        <v>74</v>
      </c>
      <c r="BP3310" t="s">
        <v>74</v>
      </c>
      <c r="BQ3310" t="s">
        <v>74</v>
      </c>
      <c r="BR3310" t="s">
        <v>102</v>
      </c>
      <c r="BS3310" t="s">
        <v>54362</v>
      </c>
      <c r="BT3310" t="str">
        <f>HYPERLINK("https%3A%2F%2Fwww.webofscience.com%2Fwos%2Fwoscc%2Ffull-record%2FWOS:001642384200001","View Full Record in Web of Science")</f>
        <v>View Full Record in Web of Science</v>
      </c>
    </row>
    <row r="3311" spans="1:72" x14ac:dyDescent="0.25">
      <c r="A3311" t="s">
        <v>72</v>
      </c>
      <c r="B3311" t="s">
        <v>54363</v>
      </c>
      <c r="C3311" t="s">
        <v>74</v>
      </c>
      <c r="D3311" t="s">
        <v>74</v>
      </c>
      <c r="E3311" t="s">
        <v>74</v>
      </c>
      <c r="F3311" t="s">
        <v>54364</v>
      </c>
      <c r="G3311" t="s">
        <v>74</v>
      </c>
      <c r="H3311" t="s">
        <v>74</v>
      </c>
      <c r="I3311" t="s">
        <v>54365</v>
      </c>
      <c r="J3311" t="s">
        <v>43511</v>
      </c>
      <c r="K3311" t="s">
        <v>74</v>
      </c>
      <c r="L3311" t="s">
        <v>74</v>
      </c>
      <c r="M3311" t="s">
        <v>78</v>
      </c>
      <c r="N3311" t="s">
        <v>79</v>
      </c>
      <c r="O3311" t="s">
        <v>74</v>
      </c>
      <c r="P3311" t="s">
        <v>74</v>
      </c>
      <c r="Q3311" t="s">
        <v>74</v>
      </c>
      <c r="R3311" t="s">
        <v>74</v>
      </c>
      <c r="S3311" t="s">
        <v>74</v>
      </c>
      <c r="T3311" t="s">
        <v>54366</v>
      </c>
      <c r="U3311" t="s">
        <v>54367</v>
      </c>
      <c r="V3311" t="s">
        <v>54368</v>
      </c>
      <c r="W3311" t="s">
        <v>54369</v>
      </c>
      <c r="X3311" t="s">
        <v>33811</v>
      </c>
      <c r="Y3311" t="s">
        <v>54370</v>
      </c>
      <c r="Z3311" t="s">
        <v>54371</v>
      </c>
      <c r="AA3311" t="s">
        <v>54372</v>
      </c>
      <c r="AB3311" t="s">
        <v>74</v>
      </c>
      <c r="AC3311" t="s">
        <v>74</v>
      </c>
      <c r="AD3311" t="s">
        <v>74</v>
      </c>
      <c r="AE3311" t="s">
        <v>74</v>
      </c>
      <c r="AF3311" t="s">
        <v>74</v>
      </c>
      <c r="AG3311">
        <v>37</v>
      </c>
      <c r="AH3311">
        <v>1</v>
      </c>
      <c r="AI3311">
        <v>1</v>
      </c>
      <c r="AJ3311">
        <v>1</v>
      </c>
      <c r="AK3311">
        <v>11</v>
      </c>
      <c r="AL3311" t="s">
        <v>479</v>
      </c>
      <c r="AM3311" t="s">
        <v>480</v>
      </c>
      <c r="AN3311" t="s">
        <v>481</v>
      </c>
      <c r="AO3311" t="s">
        <v>43523</v>
      </c>
      <c r="AP3311" t="s">
        <v>43524</v>
      </c>
      <c r="AQ3311" t="s">
        <v>74</v>
      </c>
      <c r="AR3311" t="s">
        <v>43511</v>
      </c>
      <c r="AS3311" t="s">
        <v>43525</v>
      </c>
      <c r="AT3311" t="s">
        <v>891</v>
      </c>
      <c r="AU3311">
        <v>2019</v>
      </c>
      <c r="AV3311">
        <v>51</v>
      </c>
      <c r="AW3311">
        <v>5</v>
      </c>
      <c r="AX3311" t="s">
        <v>74</v>
      </c>
      <c r="AY3311" t="s">
        <v>74</v>
      </c>
      <c r="AZ3311" t="s">
        <v>74</v>
      </c>
      <c r="BA3311" t="s">
        <v>74</v>
      </c>
      <c r="BB3311">
        <v>1534</v>
      </c>
      <c r="BC3311">
        <v>1553</v>
      </c>
      <c r="BD3311" t="s">
        <v>74</v>
      </c>
      <c r="BE3311" t="s">
        <v>54373</v>
      </c>
      <c r="BF3311" t="str">
        <f>HYPERLINK("http://dx.doi.org/10.1111/anti.12571","http://dx.doi.org/10.1111/anti.12571")</f>
        <v>http://dx.doi.org/10.1111/anti.12571</v>
      </c>
      <c r="BG3311" t="s">
        <v>74</v>
      </c>
      <c r="BH3311" t="s">
        <v>2208</v>
      </c>
      <c r="BI3311">
        <v>20</v>
      </c>
      <c r="BJ3311" t="s">
        <v>20950</v>
      </c>
      <c r="BK3311" t="s">
        <v>99</v>
      </c>
      <c r="BL3311" t="s">
        <v>20950</v>
      </c>
      <c r="BM3311" t="s">
        <v>54374</v>
      </c>
      <c r="BN3311" t="s">
        <v>74</v>
      </c>
      <c r="BO3311" t="s">
        <v>74</v>
      </c>
      <c r="BP3311" t="s">
        <v>74</v>
      </c>
      <c r="BQ3311" t="s">
        <v>74</v>
      </c>
      <c r="BR3311" t="s">
        <v>102</v>
      </c>
      <c r="BS3311" t="s">
        <v>54375</v>
      </c>
      <c r="BT3311" t="str">
        <f>HYPERLINK("https%3A%2F%2Fwww.webofscience.com%2Fwos%2Fwoscc%2Ffull-record%2FWOS:000486834900001","View Full Record in Web of Science")</f>
        <v>View Full Record in Web of Science</v>
      </c>
    </row>
    <row r="3312" spans="1:72" x14ac:dyDescent="0.25">
      <c r="A3312" t="s">
        <v>72</v>
      </c>
      <c r="B3312" t="s">
        <v>54376</v>
      </c>
      <c r="C3312" t="s">
        <v>74</v>
      </c>
      <c r="D3312" t="s">
        <v>74</v>
      </c>
      <c r="E3312" t="s">
        <v>74</v>
      </c>
      <c r="F3312" t="s">
        <v>54377</v>
      </c>
      <c r="G3312" t="s">
        <v>74</v>
      </c>
      <c r="H3312" t="s">
        <v>74</v>
      </c>
      <c r="I3312" t="s">
        <v>54378</v>
      </c>
      <c r="J3312" t="s">
        <v>28279</v>
      </c>
      <c r="K3312" t="s">
        <v>74</v>
      </c>
      <c r="L3312" t="s">
        <v>74</v>
      </c>
      <c r="M3312" t="s">
        <v>78</v>
      </c>
      <c r="N3312" t="s">
        <v>79</v>
      </c>
      <c r="O3312" t="s">
        <v>74</v>
      </c>
      <c r="P3312" t="s">
        <v>74</v>
      </c>
      <c r="Q3312" t="s">
        <v>74</v>
      </c>
      <c r="R3312" t="s">
        <v>74</v>
      </c>
      <c r="S3312" t="s">
        <v>74</v>
      </c>
      <c r="T3312" t="s">
        <v>54379</v>
      </c>
      <c r="U3312" t="s">
        <v>54380</v>
      </c>
      <c r="V3312" t="s">
        <v>54381</v>
      </c>
      <c r="W3312" t="s">
        <v>54382</v>
      </c>
      <c r="X3312" t="s">
        <v>54383</v>
      </c>
      <c r="Y3312" t="s">
        <v>54384</v>
      </c>
      <c r="Z3312" t="s">
        <v>54385</v>
      </c>
      <c r="AA3312" t="s">
        <v>54386</v>
      </c>
      <c r="AB3312" t="s">
        <v>54387</v>
      </c>
      <c r="AC3312" t="s">
        <v>74</v>
      </c>
      <c r="AD3312" t="s">
        <v>74</v>
      </c>
      <c r="AE3312" t="s">
        <v>74</v>
      </c>
      <c r="AF3312" t="s">
        <v>74</v>
      </c>
      <c r="AG3312">
        <v>93</v>
      </c>
      <c r="AH3312">
        <v>29</v>
      </c>
      <c r="AI3312">
        <v>31</v>
      </c>
      <c r="AJ3312">
        <v>1</v>
      </c>
      <c r="AK3312">
        <v>39</v>
      </c>
      <c r="AL3312" t="s">
        <v>89</v>
      </c>
      <c r="AM3312" t="s">
        <v>90</v>
      </c>
      <c r="AN3312" t="s">
        <v>91</v>
      </c>
      <c r="AO3312" t="s">
        <v>28269</v>
      </c>
      <c r="AP3312" t="s">
        <v>28268</v>
      </c>
      <c r="AQ3312" t="s">
        <v>74</v>
      </c>
      <c r="AR3312" t="s">
        <v>28267</v>
      </c>
      <c r="AS3312" t="s">
        <v>28266</v>
      </c>
      <c r="AT3312" t="s">
        <v>15405</v>
      </c>
      <c r="AU3312">
        <v>2022</v>
      </c>
      <c r="AV3312">
        <v>29</v>
      </c>
      <c r="AW3312">
        <v>3</v>
      </c>
      <c r="AX3312" t="s">
        <v>74</v>
      </c>
      <c r="AY3312" t="s">
        <v>74</v>
      </c>
      <c r="AZ3312" t="s">
        <v>74</v>
      </c>
      <c r="BA3312" t="s">
        <v>74</v>
      </c>
      <c r="BB3312">
        <v>335</v>
      </c>
      <c r="BC3312">
        <v>353</v>
      </c>
      <c r="BD3312" t="s">
        <v>74</v>
      </c>
      <c r="BE3312" t="s">
        <v>54388</v>
      </c>
      <c r="BF3312" t="str">
        <f>HYPERLINK("http://dx.doi.org/10.1108/JSBED-10-2020-0370","http://dx.doi.org/10.1108/JSBED-10-2020-0370")</f>
        <v>http://dx.doi.org/10.1108/JSBED-10-2020-0370</v>
      </c>
      <c r="BG3312" t="s">
        <v>74</v>
      </c>
      <c r="BH3312" t="s">
        <v>4651</v>
      </c>
      <c r="BI3312">
        <v>19</v>
      </c>
      <c r="BJ3312" t="s">
        <v>418</v>
      </c>
      <c r="BK3312" t="s">
        <v>313</v>
      </c>
      <c r="BL3312" t="s">
        <v>100</v>
      </c>
      <c r="BM3312" t="s">
        <v>54389</v>
      </c>
      <c r="BN3312" t="s">
        <v>74</v>
      </c>
      <c r="BO3312" t="s">
        <v>74</v>
      </c>
      <c r="BP3312" t="s">
        <v>74</v>
      </c>
      <c r="BQ3312" t="s">
        <v>74</v>
      </c>
      <c r="BR3312" t="s">
        <v>102</v>
      </c>
      <c r="BS3312" t="s">
        <v>54390</v>
      </c>
      <c r="BT3312" t="str">
        <f>HYPERLINK("https%3A%2F%2Fwww.webofscience.com%2Fwos%2Fwoscc%2Ffull-record%2FWOS:000708450200001","View Full Record in Web of Science")</f>
        <v>View Full Record in Web of Science</v>
      </c>
    </row>
    <row r="3313" spans="1:72" x14ac:dyDescent="0.25">
      <c r="A3313" t="s">
        <v>72</v>
      </c>
      <c r="B3313" t="s">
        <v>54391</v>
      </c>
      <c r="C3313" t="s">
        <v>74</v>
      </c>
      <c r="D3313" t="s">
        <v>74</v>
      </c>
      <c r="E3313" t="s">
        <v>74</v>
      </c>
      <c r="F3313" t="s">
        <v>54392</v>
      </c>
      <c r="G3313" t="s">
        <v>74</v>
      </c>
      <c r="H3313" t="s">
        <v>74</v>
      </c>
      <c r="I3313" t="s">
        <v>54393</v>
      </c>
      <c r="J3313" t="s">
        <v>2919</v>
      </c>
      <c r="K3313" t="s">
        <v>74</v>
      </c>
      <c r="L3313" t="s">
        <v>74</v>
      </c>
      <c r="M3313" t="s">
        <v>78</v>
      </c>
      <c r="N3313" t="s">
        <v>372</v>
      </c>
      <c r="O3313" t="s">
        <v>74</v>
      </c>
      <c r="P3313" t="s">
        <v>74</v>
      </c>
      <c r="Q3313" t="s">
        <v>74</v>
      </c>
      <c r="R3313" t="s">
        <v>74</v>
      </c>
      <c r="S3313" t="s">
        <v>74</v>
      </c>
      <c r="T3313" t="s">
        <v>54394</v>
      </c>
      <c r="U3313" t="s">
        <v>54395</v>
      </c>
      <c r="V3313" t="s">
        <v>54396</v>
      </c>
      <c r="W3313" t="s">
        <v>54397</v>
      </c>
      <c r="X3313" t="s">
        <v>54398</v>
      </c>
      <c r="Y3313" t="s">
        <v>3185</v>
      </c>
      <c r="Z3313" t="s">
        <v>54399</v>
      </c>
      <c r="AA3313" t="s">
        <v>3187</v>
      </c>
      <c r="AB3313" t="s">
        <v>74</v>
      </c>
      <c r="AC3313" t="s">
        <v>74</v>
      </c>
      <c r="AD3313" t="s">
        <v>74</v>
      </c>
      <c r="AE3313" t="s">
        <v>74</v>
      </c>
      <c r="AF3313" t="s">
        <v>74</v>
      </c>
      <c r="AG3313">
        <v>42</v>
      </c>
      <c r="AH3313">
        <v>3</v>
      </c>
      <c r="AI3313">
        <v>3</v>
      </c>
      <c r="AJ3313">
        <v>0</v>
      </c>
      <c r="AK3313">
        <v>0</v>
      </c>
      <c r="AL3313" t="s">
        <v>332</v>
      </c>
      <c r="AM3313" t="s">
        <v>333</v>
      </c>
      <c r="AN3313" t="s">
        <v>334</v>
      </c>
      <c r="AO3313" t="s">
        <v>2931</v>
      </c>
      <c r="AP3313" t="s">
        <v>2932</v>
      </c>
      <c r="AQ3313" t="s">
        <v>74</v>
      </c>
      <c r="AR3313" t="s">
        <v>2933</v>
      </c>
      <c r="AS3313" t="s">
        <v>2934</v>
      </c>
      <c r="AT3313" t="s">
        <v>48846</v>
      </c>
      <c r="AU3313">
        <v>2024</v>
      </c>
      <c r="AV3313" t="s">
        <v>74</v>
      </c>
      <c r="AW3313" t="s">
        <v>74</v>
      </c>
      <c r="AX3313" t="s">
        <v>74</v>
      </c>
      <c r="AY3313" t="s">
        <v>74</v>
      </c>
      <c r="AZ3313" t="s">
        <v>74</v>
      </c>
      <c r="BA3313" t="s">
        <v>74</v>
      </c>
      <c r="BB3313" t="s">
        <v>74</v>
      </c>
      <c r="BC3313" t="s">
        <v>74</v>
      </c>
      <c r="BD3313" t="s">
        <v>74</v>
      </c>
      <c r="BE3313" t="s">
        <v>54400</v>
      </c>
      <c r="BF3313" t="str">
        <f>HYPERLINK("http://dx.doi.org/10.1080/10875549.2024.2393113","http://dx.doi.org/10.1080/10875549.2024.2393113")</f>
        <v>http://dx.doi.org/10.1080/10875549.2024.2393113</v>
      </c>
      <c r="BG3313" t="s">
        <v>74</v>
      </c>
      <c r="BH3313" t="s">
        <v>393</v>
      </c>
      <c r="BI3313">
        <v>20</v>
      </c>
      <c r="BJ3313" t="s">
        <v>2045</v>
      </c>
      <c r="BK3313" t="s">
        <v>313</v>
      </c>
      <c r="BL3313" t="s">
        <v>2045</v>
      </c>
      <c r="BM3313" t="s">
        <v>54401</v>
      </c>
      <c r="BN3313" t="s">
        <v>74</v>
      </c>
      <c r="BO3313" t="s">
        <v>74</v>
      </c>
      <c r="BP3313" t="s">
        <v>74</v>
      </c>
      <c r="BQ3313" t="s">
        <v>74</v>
      </c>
      <c r="BR3313" t="s">
        <v>102</v>
      </c>
      <c r="BS3313" t="s">
        <v>54402</v>
      </c>
      <c r="BT3313" t="str">
        <f>HYPERLINK("https%3A%2F%2Fwww.webofscience.com%2Fwos%2Fwoscc%2Ffull-record%2FWOS:001295217400001","View Full Record in Web of Science")</f>
        <v>View Full Record in Web of Science</v>
      </c>
    </row>
    <row r="3314" spans="1:72" x14ac:dyDescent="0.25">
      <c r="A3314" t="s">
        <v>72</v>
      </c>
      <c r="B3314" t="s">
        <v>54403</v>
      </c>
      <c r="C3314" t="s">
        <v>74</v>
      </c>
      <c r="D3314" t="s">
        <v>74</v>
      </c>
      <c r="E3314" t="s">
        <v>74</v>
      </c>
      <c r="F3314" t="s">
        <v>54404</v>
      </c>
      <c r="G3314" t="s">
        <v>74</v>
      </c>
      <c r="H3314" t="s">
        <v>74</v>
      </c>
      <c r="I3314" t="s">
        <v>54405</v>
      </c>
      <c r="J3314" t="s">
        <v>6283</v>
      </c>
      <c r="K3314" t="s">
        <v>74</v>
      </c>
      <c r="L3314" t="s">
        <v>74</v>
      </c>
      <c r="M3314" t="s">
        <v>78</v>
      </c>
      <c r="N3314" t="s">
        <v>79</v>
      </c>
      <c r="O3314" t="s">
        <v>74</v>
      </c>
      <c r="P3314" t="s">
        <v>74</v>
      </c>
      <c r="Q3314" t="s">
        <v>74</v>
      </c>
      <c r="R3314" t="s">
        <v>74</v>
      </c>
      <c r="S3314" t="s">
        <v>74</v>
      </c>
      <c r="T3314" t="s">
        <v>54406</v>
      </c>
      <c r="U3314" t="s">
        <v>54407</v>
      </c>
      <c r="V3314" t="s">
        <v>54408</v>
      </c>
      <c r="W3314" t="s">
        <v>54409</v>
      </c>
      <c r="X3314" t="s">
        <v>54410</v>
      </c>
      <c r="Y3314" t="s">
        <v>54411</v>
      </c>
      <c r="Z3314" t="s">
        <v>54412</v>
      </c>
      <c r="AA3314" t="s">
        <v>54413</v>
      </c>
      <c r="AB3314" t="s">
        <v>54414</v>
      </c>
      <c r="AC3314" t="s">
        <v>74</v>
      </c>
      <c r="AD3314" t="s">
        <v>74</v>
      </c>
      <c r="AE3314" t="s">
        <v>74</v>
      </c>
      <c r="AF3314" t="s">
        <v>74</v>
      </c>
      <c r="AG3314">
        <v>43</v>
      </c>
      <c r="AH3314">
        <v>4</v>
      </c>
      <c r="AI3314">
        <v>5</v>
      </c>
      <c r="AJ3314">
        <v>1</v>
      </c>
      <c r="AK3314">
        <v>15</v>
      </c>
      <c r="AL3314" t="s">
        <v>479</v>
      </c>
      <c r="AM3314" t="s">
        <v>480</v>
      </c>
      <c r="AN3314" t="s">
        <v>481</v>
      </c>
      <c r="AO3314" t="s">
        <v>6293</v>
      </c>
      <c r="AP3314" t="s">
        <v>6294</v>
      </c>
      <c r="AQ3314" t="s">
        <v>74</v>
      </c>
      <c r="AR3314" t="s">
        <v>6295</v>
      </c>
      <c r="AS3314" t="s">
        <v>6296</v>
      </c>
      <c r="AT3314" t="s">
        <v>1159</v>
      </c>
      <c r="AU3314">
        <v>2022</v>
      </c>
      <c r="AV3314">
        <v>30</v>
      </c>
      <c r="AW3314">
        <v>5</v>
      </c>
      <c r="AX3314" t="s">
        <v>74</v>
      </c>
      <c r="AY3314" t="s">
        <v>74</v>
      </c>
      <c r="AZ3314" t="s">
        <v>74</v>
      </c>
      <c r="BA3314" t="s">
        <v>74</v>
      </c>
      <c r="BB3314">
        <v>804</v>
      </c>
      <c r="BC3314">
        <v>816</v>
      </c>
      <c r="BD3314" t="s">
        <v>74</v>
      </c>
      <c r="BE3314" t="s">
        <v>54415</v>
      </c>
      <c r="BF3314" t="str">
        <f>HYPERLINK("http://dx.doi.org/10.1002/sd.2273","http://dx.doi.org/10.1002/sd.2273")</f>
        <v>http://dx.doi.org/10.1002/sd.2273</v>
      </c>
      <c r="BG3314" t="s">
        <v>74</v>
      </c>
      <c r="BH3314" t="s">
        <v>2730</v>
      </c>
      <c r="BI3314">
        <v>13</v>
      </c>
      <c r="BJ3314" t="s">
        <v>6299</v>
      </c>
      <c r="BK3314" t="s">
        <v>99</v>
      </c>
      <c r="BL3314" t="s">
        <v>6300</v>
      </c>
      <c r="BM3314" t="s">
        <v>54416</v>
      </c>
      <c r="BN3314" t="s">
        <v>74</v>
      </c>
      <c r="BO3314" t="s">
        <v>74</v>
      </c>
      <c r="BP3314" t="s">
        <v>74</v>
      </c>
      <c r="BQ3314" t="s">
        <v>74</v>
      </c>
      <c r="BR3314" t="s">
        <v>102</v>
      </c>
      <c r="BS3314" t="s">
        <v>54417</v>
      </c>
      <c r="BT3314" t="str">
        <f>HYPERLINK("https%3A%2F%2Fwww.webofscience.com%2Fwos%2Fwoscc%2Ffull-record%2FWOS:000725330600001","View Full Record in Web of Science")</f>
        <v>View Full Record in Web of Science</v>
      </c>
    </row>
    <row r="3315" spans="1:72" x14ac:dyDescent="0.25">
      <c r="A3315" t="s">
        <v>72</v>
      </c>
      <c r="B3315" t="s">
        <v>54418</v>
      </c>
      <c r="C3315" t="s">
        <v>74</v>
      </c>
      <c r="D3315" t="s">
        <v>74</v>
      </c>
      <c r="E3315" t="s">
        <v>74</v>
      </c>
      <c r="F3315" t="s">
        <v>54419</v>
      </c>
      <c r="G3315" t="s">
        <v>74</v>
      </c>
      <c r="H3315" t="s">
        <v>74</v>
      </c>
      <c r="I3315" t="s">
        <v>54420</v>
      </c>
      <c r="J3315" t="s">
        <v>8447</v>
      </c>
      <c r="K3315" t="s">
        <v>74</v>
      </c>
      <c r="L3315" t="s">
        <v>74</v>
      </c>
      <c r="M3315" t="s">
        <v>78</v>
      </c>
      <c r="N3315" t="s">
        <v>79</v>
      </c>
      <c r="O3315" t="s">
        <v>74</v>
      </c>
      <c r="P3315" t="s">
        <v>74</v>
      </c>
      <c r="Q3315" t="s">
        <v>74</v>
      </c>
      <c r="R3315" t="s">
        <v>74</v>
      </c>
      <c r="S3315" t="s">
        <v>74</v>
      </c>
      <c r="T3315" t="s">
        <v>54421</v>
      </c>
      <c r="U3315" t="s">
        <v>74</v>
      </c>
      <c r="V3315" t="s">
        <v>54422</v>
      </c>
      <c r="W3315" t="s">
        <v>54423</v>
      </c>
      <c r="X3315" t="s">
        <v>54424</v>
      </c>
      <c r="Y3315" t="s">
        <v>54425</v>
      </c>
      <c r="Z3315" t="s">
        <v>54426</v>
      </c>
      <c r="AA3315" t="s">
        <v>74</v>
      </c>
      <c r="AB3315" t="s">
        <v>74</v>
      </c>
      <c r="AC3315" t="s">
        <v>74</v>
      </c>
      <c r="AD3315" t="s">
        <v>74</v>
      </c>
      <c r="AE3315" t="s">
        <v>74</v>
      </c>
      <c r="AF3315" t="s">
        <v>74</v>
      </c>
      <c r="AG3315">
        <v>27</v>
      </c>
      <c r="AH3315">
        <v>13</v>
      </c>
      <c r="AI3315">
        <v>14</v>
      </c>
      <c r="AJ3315">
        <v>0</v>
      </c>
      <c r="AK3315">
        <v>30</v>
      </c>
      <c r="AL3315" t="s">
        <v>3298</v>
      </c>
      <c r="AM3315" t="s">
        <v>202</v>
      </c>
      <c r="AN3315" t="s">
        <v>3299</v>
      </c>
      <c r="AO3315" t="s">
        <v>8453</v>
      </c>
      <c r="AP3315" t="s">
        <v>74</v>
      </c>
      <c r="AQ3315" t="s">
        <v>74</v>
      </c>
      <c r="AR3315" t="s">
        <v>8454</v>
      </c>
      <c r="AS3315" t="s">
        <v>8455</v>
      </c>
      <c r="AT3315" t="s">
        <v>289</v>
      </c>
      <c r="AU3315">
        <v>2011</v>
      </c>
      <c r="AV3315">
        <v>32</v>
      </c>
      <c r="AW3315">
        <v>4</v>
      </c>
      <c r="AX3315" t="s">
        <v>74</v>
      </c>
      <c r="AY3315" t="s">
        <v>74</v>
      </c>
      <c r="AZ3315" t="s">
        <v>441</v>
      </c>
      <c r="BA3315" t="s">
        <v>74</v>
      </c>
      <c r="BB3315">
        <v>609</v>
      </c>
      <c r="BC3315">
        <v>620</v>
      </c>
      <c r="BD3315" t="s">
        <v>74</v>
      </c>
      <c r="BE3315" t="s">
        <v>54427</v>
      </c>
      <c r="BF3315" t="str">
        <f>HYPERLINK("http://dx.doi.org/10.1016/j.joep.2011.02.005","http://dx.doi.org/10.1016/j.joep.2011.02.005")</f>
        <v>http://dx.doi.org/10.1016/j.joep.2011.02.005</v>
      </c>
      <c r="BG3315" t="s">
        <v>74</v>
      </c>
      <c r="BH3315" t="s">
        <v>74</v>
      </c>
      <c r="BI3315">
        <v>12</v>
      </c>
      <c r="BJ3315" t="s">
        <v>6780</v>
      </c>
      <c r="BK3315" t="s">
        <v>99</v>
      </c>
      <c r="BL3315" t="s">
        <v>6781</v>
      </c>
      <c r="BM3315" t="s">
        <v>54428</v>
      </c>
      <c r="BN3315" t="s">
        <v>74</v>
      </c>
      <c r="BO3315" t="s">
        <v>1696</v>
      </c>
      <c r="BP3315" t="s">
        <v>74</v>
      </c>
      <c r="BQ3315" t="s">
        <v>74</v>
      </c>
      <c r="BR3315" t="s">
        <v>102</v>
      </c>
      <c r="BS3315" t="s">
        <v>54429</v>
      </c>
      <c r="BT3315" t="str">
        <f>HYPERLINK("https%3A%2F%2Fwww.webofscience.com%2Fwos%2Fwoscc%2Ffull-record%2FWOS:000294525900007","View Full Record in Web of Science")</f>
        <v>View Full Record in Web of Science</v>
      </c>
    </row>
    <row r="3316" spans="1:72" x14ac:dyDescent="0.25">
      <c r="A3316" t="s">
        <v>72</v>
      </c>
      <c r="B3316" t="s">
        <v>54430</v>
      </c>
      <c r="C3316" t="s">
        <v>74</v>
      </c>
      <c r="D3316" t="s">
        <v>74</v>
      </c>
      <c r="E3316" t="s">
        <v>74</v>
      </c>
      <c r="F3316" t="s">
        <v>54431</v>
      </c>
      <c r="G3316" t="s">
        <v>74</v>
      </c>
      <c r="H3316" t="s">
        <v>74</v>
      </c>
      <c r="I3316" t="s">
        <v>54432</v>
      </c>
      <c r="J3316" t="s">
        <v>39777</v>
      </c>
      <c r="K3316" t="s">
        <v>74</v>
      </c>
      <c r="L3316" t="s">
        <v>74</v>
      </c>
      <c r="M3316" t="s">
        <v>78</v>
      </c>
      <c r="N3316" t="s">
        <v>79</v>
      </c>
      <c r="O3316" t="s">
        <v>74</v>
      </c>
      <c r="P3316" t="s">
        <v>74</v>
      </c>
      <c r="Q3316" t="s">
        <v>74</v>
      </c>
      <c r="R3316" t="s">
        <v>74</v>
      </c>
      <c r="S3316" t="s">
        <v>74</v>
      </c>
      <c r="T3316" t="s">
        <v>54433</v>
      </c>
      <c r="U3316" t="s">
        <v>54434</v>
      </c>
      <c r="V3316" t="s">
        <v>54435</v>
      </c>
      <c r="W3316" t="s">
        <v>54436</v>
      </c>
      <c r="X3316" t="s">
        <v>51200</v>
      </c>
      <c r="Y3316" t="s">
        <v>54437</v>
      </c>
      <c r="Z3316" t="s">
        <v>54438</v>
      </c>
      <c r="AA3316" t="s">
        <v>54439</v>
      </c>
      <c r="AB3316" t="s">
        <v>54440</v>
      </c>
      <c r="AC3316" t="s">
        <v>74</v>
      </c>
      <c r="AD3316" t="s">
        <v>74</v>
      </c>
      <c r="AE3316" t="s">
        <v>74</v>
      </c>
      <c r="AF3316" t="s">
        <v>74</v>
      </c>
      <c r="AG3316">
        <v>80</v>
      </c>
      <c r="AH3316">
        <v>12</v>
      </c>
      <c r="AI3316">
        <v>14</v>
      </c>
      <c r="AJ3316">
        <v>2</v>
      </c>
      <c r="AK3316">
        <v>10</v>
      </c>
      <c r="AL3316" t="s">
        <v>89</v>
      </c>
      <c r="AM3316" t="s">
        <v>90</v>
      </c>
      <c r="AN3316" t="s">
        <v>91</v>
      </c>
      <c r="AO3316" t="s">
        <v>39786</v>
      </c>
      <c r="AP3316" t="s">
        <v>39787</v>
      </c>
      <c r="AQ3316" t="s">
        <v>74</v>
      </c>
      <c r="AR3316" t="s">
        <v>39788</v>
      </c>
      <c r="AS3316" t="s">
        <v>39789</v>
      </c>
      <c r="AT3316" t="s">
        <v>11087</v>
      </c>
      <c r="AU3316">
        <v>2025</v>
      </c>
      <c r="AV3316">
        <v>14</v>
      </c>
      <c r="AW3316">
        <v>1</v>
      </c>
      <c r="AX3316" t="s">
        <v>74</v>
      </c>
      <c r="AY3316" t="s">
        <v>74</v>
      </c>
      <c r="AZ3316" t="s">
        <v>74</v>
      </c>
      <c r="BA3316" t="s">
        <v>74</v>
      </c>
      <c r="BB3316">
        <v>72</v>
      </c>
      <c r="BC3316">
        <v>89</v>
      </c>
      <c r="BD3316" t="s">
        <v>74</v>
      </c>
      <c r="BE3316" t="s">
        <v>54441</v>
      </c>
      <c r="BF3316" t="str">
        <f>HYPERLINK("http://dx.doi.org/10.1108/SAJBS-01-2024-0038","http://dx.doi.org/10.1108/SAJBS-01-2024-0038")</f>
        <v>http://dx.doi.org/10.1108/SAJBS-01-2024-0038</v>
      </c>
      <c r="BG3316" t="s">
        <v>74</v>
      </c>
      <c r="BH3316" t="s">
        <v>9389</v>
      </c>
      <c r="BI3316">
        <v>18</v>
      </c>
      <c r="BJ3316" t="s">
        <v>418</v>
      </c>
      <c r="BK3316" t="s">
        <v>313</v>
      </c>
      <c r="BL3316" t="s">
        <v>100</v>
      </c>
      <c r="BM3316" t="s">
        <v>54442</v>
      </c>
      <c r="BN3316" t="s">
        <v>74</v>
      </c>
      <c r="BO3316" t="s">
        <v>74</v>
      </c>
      <c r="BP3316" t="s">
        <v>74</v>
      </c>
      <c r="BQ3316" t="s">
        <v>74</v>
      </c>
      <c r="BR3316" t="s">
        <v>102</v>
      </c>
      <c r="BS3316" t="s">
        <v>54443</v>
      </c>
      <c r="BT3316" t="str">
        <f>HYPERLINK("https%3A%2F%2Fwww.webofscience.com%2Fwos%2Fwoscc%2Ffull-record%2FWOS:001319639400001","View Full Record in Web of Science")</f>
        <v>View Full Record in Web of Science</v>
      </c>
    </row>
    <row r="3317" spans="1:72" x14ac:dyDescent="0.25">
      <c r="A3317" t="s">
        <v>132</v>
      </c>
      <c r="B3317" t="s">
        <v>54444</v>
      </c>
      <c r="C3317" t="s">
        <v>74</v>
      </c>
      <c r="D3317" t="s">
        <v>54445</v>
      </c>
      <c r="E3317" t="s">
        <v>74</v>
      </c>
      <c r="F3317" t="s">
        <v>54446</v>
      </c>
      <c r="G3317" t="s">
        <v>74</v>
      </c>
      <c r="H3317" t="s">
        <v>74</v>
      </c>
      <c r="I3317" t="s">
        <v>54447</v>
      </c>
      <c r="J3317" t="s">
        <v>54448</v>
      </c>
      <c r="K3317" t="s">
        <v>54449</v>
      </c>
      <c r="L3317" t="s">
        <v>74</v>
      </c>
      <c r="M3317" t="s">
        <v>78</v>
      </c>
      <c r="N3317" t="s">
        <v>138</v>
      </c>
      <c r="O3317" t="s">
        <v>54450</v>
      </c>
      <c r="P3317" t="s">
        <v>54451</v>
      </c>
      <c r="Q3317" t="s">
        <v>54452</v>
      </c>
      <c r="R3317" t="s">
        <v>54453</v>
      </c>
      <c r="S3317" t="s">
        <v>74</v>
      </c>
      <c r="T3317" t="s">
        <v>54454</v>
      </c>
      <c r="U3317" t="s">
        <v>74</v>
      </c>
      <c r="V3317" t="s">
        <v>54455</v>
      </c>
      <c r="W3317" t="s">
        <v>54456</v>
      </c>
      <c r="X3317" t="s">
        <v>42835</v>
      </c>
      <c r="Y3317" t="s">
        <v>54457</v>
      </c>
      <c r="Z3317" t="s">
        <v>54458</v>
      </c>
      <c r="AA3317" t="s">
        <v>74</v>
      </c>
      <c r="AB3317" t="s">
        <v>74</v>
      </c>
      <c r="AC3317" t="s">
        <v>74</v>
      </c>
      <c r="AD3317" t="s">
        <v>74</v>
      </c>
      <c r="AE3317" t="s">
        <v>74</v>
      </c>
      <c r="AF3317" t="s">
        <v>74</v>
      </c>
      <c r="AG3317">
        <v>21</v>
      </c>
      <c r="AH3317">
        <v>0</v>
      </c>
      <c r="AI3317">
        <v>0</v>
      </c>
      <c r="AJ3317">
        <v>0</v>
      </c>
      <c r="AK3317">
        <v>4</v>
      </c>
      <c r="AL3317" t="s">
        <v>771</v>
      </c>
      <c r="AM3317" t="s">
        <v>151</v>
      </c>
      <c r="AN3317" t="s">
        <v>785</v>
      </c>
      <c r="AO3317" t="s">
        <v>54459</v>
      </c>
      <c r="AP3317" t="s">
        <v>54460</v>
      </c>
      <c r="AQ3317" t="s">
        <v>54461</v>
      </c>
      <c r="AR3317" t="s">
        <v>54462</v>
      </c>
      <c r="AS3317" t="s">
        <v>74</v>
      </c>
      <c r="AT3317" t="s">
        <v>74</v>
      </c>
      <c r="AU3317">
        <v>2019</v>
      </c>
      <c r="AV3317" t="s">
        <v>74</v>
      </c>
      <c r="AW3317" t="s">
        <v>74</v>
      </c>
      <c r="AX3317" t="s">
        <v>74</v>
      </c>
      <c r="AY3317" t="s">
        <v>74</v>
      </c>
      <c r="AZ3317" t="s">
        <v>74</v>
      </c>
      <c r="BA3317" t="s">
        <v>74</v>
      </c>
      <c r="BB3317">
        <v>581</v>
      </c>
      <c r="BC3317">
        <v>588</v>
      </c>
      <c r="BD3317" t="s">
        <v>74</v>
      </c>
      <c r="BE3317" t="s">
        <v>74</v>
      </c>
      <c r="BF3317" t="s">
        <v>74</v>
      </c>
      <c r="BG3317" t="s">
        <v>74</v>
      </c>
      <c r="BH3317" t="s">
        <v>74</v>
      </c>
      <c r="BI3317">
        <v>8</v>
      </c>
      <c r="BJ3317" t="s">
        <v>54463</v>
      </c>
      <c r="BK3317" t="s">
        <v>156</v>
      </c>
      <c r="BL3317" t="s">
        <v>54464</v>
      </c>
      <c r="BM3317" t="s">
        <v>54465</v>
      </c>
      <c r="BN3317" t="s">
        <v>74</v>
      </c>
      <c r="BO3317" t="s">
        <v>74</v>
      </c>
      <c r="BP3317" t="s">
        <v>74</v>
      </c>
      <c r="BQ3317" t="s">
        <v>74</v>
      </c>
      <c r="BR3317" t="s">
        <v>102</v>
      </c>
      <c r="BS3317" t="s">
        <v>54466</v>
      </c>
      <c r="BT3317" t="str">
        <f>HYPERLINK("https%3A%2F%2Fwww.webofscience.com%2Fwos%2Fwoscc%2Ffull-record%2FWOS:000561704100105","View Full Record in Web of Science")</f>
        <v>View Full Record in Web of Science</v>
      </c>
    </row>
    <row r="3318" spans="1:72" x14ac:dyDescent="0.25">
      <c r="A3318" t="s">
        <v>72</v>
      </c>
      <c r="B3318" t="s">
        <v>54467</v>
      </c>
      <c r="C3318" t="s">
        <v>74</v>
      </c>
      <c r="D3318" t="s">
        <v>74</v>
      </c>
      <c r="E3318" t="s">
        <v>74</v>
      </c>
      <c r="F3318" t="s">
        <v>54468</v>
      </c>
      <c r="G3318" t="s">
        <v>74</v>
      </c>
      <c r="H3318" t="s">
        <v>74</v>
      </c>
      <c r="I3318" t="s">
        <v>54469</v>
      </c>
      <c r="J3318" t="s">
        <v>3231</v>
      </c>
      <c r="K3318" t="s">
        <v>74</v>
      </c>
      <c r="L3318" t="s">
        <v>74</v>
      </c>
      <c r="M3318" t="s">
        <v>78</v>
      </c>
      <c r="N3318" t="s">
        <v>1766</v>
      </c>
      <c r="O3318" t="s">
        <v>74</v>
      </c>
      <c r="P3318" t="s">
        <v>74</v>
      </c>
      <c r="Q3318" t="s">
        <v>74</v>
      </c>
      <c r="R3318" t="s">
        <v>74</v>
      </c>
      <c r="S3318" t="s">
        <v>74</v>
      </c>
      <c r="T3318" t="s">
        <v>54470</v>
      </c>
      <c r="U3318" t="s">
        <v>54471</v>
      </c>
      <c r="V3318" t="s">
        <v>54472</v>
      </c>
      <c r="W3318" t="s">
        <v>54473</v>
      </c>
      <c r="X3318" t="s">
        <v>54474</v>
      </c>
      <c r="Y3318" t="s">
        <v>54475</v>
      </c>
      <c r="Z3318" t="s">
        <v>54476</v>
      </c>
      <c r="AA3318" t="s">
        <v>54477</v>
      </c>
      <c r="AB3318" t="s">
        <v>54478</v>
      </c>
      <c r="AC3318" t="s">
        <v>54479</v>
      </c>
      <c r="AD3318" t="s">
        <v>54480</v>
      </c>
      <c r="AE3318" t="s">
        <v>54481</v>
      </c>
      <c r="AF3318" t="s">
        <v>74</v>
      </c>
      <c r="AG3318">
        <v>179</v>
      </c>
      <c r="AH3318">
        <v>2</v>
      </c>
      <c r="AI3318">
        <v>2</v>
      </c>
      <c r="AJ3318">
        <v>8</v>
      </c>
      <c r="AK3318">
        <v>48</v>
      </c>
      <c r="AL3318" t="s">
        <v>575</v>
      </c>
      <c r="AM3318" t="s">
        <v>576</v>
      </c>
      <c r="AN3318" t="s">
        <v>3242</v>
      </c>
      <c r="AO3318" t="s">
        <v>74</v>
      </c>
      <c r="AP3318" t="s">
        <v>3243</v>
      </c>
      <c r="AQ3318" t="s">
        <v>74</v>
      </c>
      <c r="AR3318" t="s">
        <v>3244</v>
      </c>
      <c r="AS3318" t="s">
        <v>3245</v>
      </c>
      <c r="AT3318" t="s">
        <v>698</v>
      </c>
      <c r="AU3318">
        <v>2023</v>
      </c>
      <c r="AV3318">
        <v>15</v>
      </c>
      <c r="AW3318">
        <v>17</v>
      </c>
      <c r="AX3318" t="s">
        <v>74</v>
      </c>
      <c r="AY3318" t="s">
        <v>74</v>
      </c>
      <c r="AZ3318" t="s">
        <v>74</v>
      </c>
      <c r="BA3318" t="s">
        <v>74</v>
      </c>
      <c r="BB3318" t="s">
        <v>74</v>
      </c>
      <c r="BC3318" t="s">
        <v>74</v>
      </c>
      <c r="BD3318">
        <v>12817</v>
      </c>
      <c r="BE3318" t="s">
        <v>54482</v>
      </c>
      <c r="BF3318" t="str">
        <f>HYPERLINK("http://dx.doi.org/10.3390/su151712817","http://dx.doi.org/10.3390/su151712817")</f>
        <v>http://dx.doi.org/10.3390/su151712817</v>
      </c>
      <c r="BG3318" t="s">
        <v>74</v>
      </c>
      <c r="BH3318" t="s">
        <v>74</v>
      </c>
      <c r="BI3318">
        <v>37</v>
      </c>
      <c r="BJ3318" t="s">
        <v>3247</v>
      </c>
      <c r="BK3318" t="s">
        <v>2623</v>
      </c>
      <c r="BL3318" t="s">
        <v>3248</v>
      </c>
      <c r="BM3318" t="s">
        <v>54483</v>
      </c>
      <c r="BN3318" t="s">
        <v>74</v>
      </c>
      <c r="BO3318" t="s">
        <v>916</v>
      </c>
      <c r="BP3318" t="s">
        <v>74</v>
      </c>
      <c r="BQ3318" t="s">
        <v>74</v>
      </c>
      <c r="BR3318" t="s">
        <v>102</v>
      </c>
      <c r="BS3318" t="s">
        <v>54484</v>
      </c>
      <c r="BT3318" t="str">
        <f>HYPERLINK("https%3A%2F%2Fwww.webofscience.com%2Fwos%2Fwoscc%2Ffull-record%2FWOS:001144826600001","View Full Record in Web of Science")</f>
        <v>View Full Record in Web of Science</v>
      </c>
    </row>
    <row r="3319" spans="1:72" x14ac:dyDescent="0.25">
      <c r="A3319" t="s">
        <v>72</v>
      </c>
      <c r="B3319" t="s">
        <v>54485</v>
      </c>
      <c r="C3319" t="s">
        <v>74</v>
      </c>
      <c r="D3319" t="s">
        <v>74</v>
      </c>
      <c r="E3319" t="s">
        <v>74</v>
      </c>
      <c r="F3319" t="s">
        <v>54486</v>
      </c>
      <c r="G3319" t="s">
        <v>74</v>
      </c>
      <c r="H3319" t="s">
        <v>74</v>
      </c>
      <c r="I3319" t="s">
        <v>54487</v>
      </c>
      <c r="J3319" t="s">
        <v>54488</v>
      </c>
      <c r="K3319" t="s">
        <v>74</v>
      </c>
      <c r="L3319" t="s">
        <v>74</v>
      </c>
      <c r="M3319" t="s">
        <v>78</v>
      </c>
      <c r="N3319" t="s">
        <v>79</v>
      </c>
      <c r="O3319" t="s">
        <v>74</v>
      </c>
      <c r="P3319" t="s">
        <v>74</v>
      </c>
      <c r="Q3319" t="s">
        <v>74</v>
      </c>
      <c r="R3319" t="s">
        <v>74</v>
      </c>
      <c r="S3319" t="s">
        <v>74</v>
      </c>
      <c r="T3319" t="s">
        <v>54489</v>
      </c>
      <c r="U3319" t="s">
        <v>54490</v>
      </c>
      <c r="V3319" t="s">
        <v>54491</v>
      </c>
      <c r="W3319" t="s">
        <v>54492</v>
      </c>
      <c r="X3319" t="s">
        <v>54493</v>
      </c>
      <c r="Y3319" t="s">
        <v>54494</v>
      </c>
      <c r="Z3319" t="s">
        <v>54495</v>
      </c>
      <c r="AA3319" t="s">
        <v>54496</v>
      </c>
      <c r="AB3319" t="s">
        <v>54497</v>
      </c>
      <c r="AC3319" t="s">
        <v>54498</v>
      </c>
      <c r="AD3319" t="s">
        <v>54499</v>
      </c>
      <c r="AE3319" t="s">
        <v>54500</v>
      </c>
      <c r="AF3319" t="s">
        <v>74</v>
      </c>
      <c r="AG3319">
        <v>101</v>
      </c>
      <c r="AH3319">
        <v>3</v>
      </c>
      <c r="AI3319">
        <v>3</v>
      </c>
      <c r="AJ3319">
        <v>3</v>
      </c>
      <c r="AK3319">
        <v>4</v>
      </c>
      <c r="AL3319" t="s">
        <v>201</v>
      </c>
      <c r="AM3319" t="s">
        <v>202</v>
      </c>
      <c r="AN3319" t="s">
        <v>203</v>
      </c>
      <c r="AO3319" t="s">
        <v>54501</v>
      </c>
      <c r="AP3319" t="s">
        <v>74</v>
      </c>
      <c r="AQ3319" t="s">
        <v>74</v>
      </c>
      <c r="AR3319" t="s">
        <v>54502</v>
      </c>
      <c r="AS3319" t="s">
        <v>54503</v>
      </c>
      <c r="AT3319" t="s">
        <v>74</v>
      </c>
      <c r="AU3319">
        <v>2024</v>
      </c>
      <c r="AV3319">
        <v>44</v>
      </c>
      <c r="AW3319" t="s">
        <v>74</v>
      </c>
      <c r="AX3319" t="s">
        <v>74</v>
      </c>
      <c r="AY3319" t="s">
        <v>74</v>
      </c>
      <c r="AZ3319" t="s">
        <v>74</v>
      </c>
      <c r="BA3319" t="s">
        <v>74</v>
      </c>
      <c r="BB3319" t="s">
        <v>74</v>
      </c>
      <c r="BC3319" t="s">
        <v>74</v>
      </c>
      <c r="BD3319">
        <v>100592</v>
      </c>
      <c r="BE3319" t="s">
        <v>54504</v>
      </c>
      <c r="BF3319" t="str">
        <f>HYPERLINK("http://dx.doi.org/10.1016/j.crm.2024.100592","http://dx.doi.org/10.1016/j.crm.2024.100592")</f>
        <v>http://dx.doi.org/10.1016/j.crm.2024.100592</v>
      </c>
      <c r="BG3319" t="s">
        <v>74</v>
      </c>
      <c r="BH3319" t="s">
        <v>1981</v>
      </c>
      <c r="BI3319">
        <v>16</v>
      </c>
      <c r="BJ3319" t="s">
        <v>54505</v>
      </c>
      <c r="BK3319" t="s">
        <v>2623</v>
      </c>
      <c r="BL3319" t="s">
        <v>43100</v>
      </c>
      <c r="BM3319" t="s">
        <v>54506</v>
      </c>
      <c r="BN3319" t="s">
        <v>74</v>
      </c>
      <c r="BO3319" t="s">
        <v>916</v>
      </c>
      <c r="BP3319" t="s">
        <v>74</v>
      </c>
      <c r="BQ3319" t="s">
        <v>74</v>
      </c>
      <c r="BR3319" t="s">
        <v>102</v>
      </c>
      <c r="BS3319" t="s">
        <v>54507</v>
      </c>
      <c r="BT3319" t="str">
        <f>HYPERLINK("https%3A%2F%2Fwww.webofscience.com%2Fwos%2Fwoscc%2Ffull-record%2FWOS:001206851600001","View Full Record in Web of Science")</f>
        <v>View Full Record in Web of Science</v>
      </c>
    </row>
    <row r="3320" spans="1:72" x14ac:dyDescent="0.25">
      <c r="A3320" t="s">
        <v>72</v>
      </c>
      <c r="B3320" t="s">
        <v>54508</v>
      </c>
      <c r="C3320" t="s">
        <v>74</v>
      </c>
      <c r="D3320" t="s">
        <v>74</v>
      </c>
      <c r="E3320" t="s">
        <v>74</v>
      </c>
      <c r="F3320" t="s">
        <v>54509</v>
      </c>
      <c r="G3320" t="s">
        <v>74</v>
      </c>
      <c r="H3320" t="s">
        <v>74</v>
      </c>
      <c r="I3320" t="s">
        <v>54510</v>
      </c>
      <c r="J3320" t="s">
        <v>5540</v>
      </c>
      <c r="K3320" t="s">
        <v>74</v>
      </c>
      <c r="L3320" t="s">
        <v>74</v>
      </c>
      <c r="M3320" t="s">
        <v>78</v>
      </c>
      <c r="N3320" t="s">
        <v>16500</v>
      </c>
      <c r="O3320" t="s">
        <v>74</v>
      </c>
      <c r="P3320" t="s">
        <v>74</v>
      </c>
      <c r="Q3320" t="s">
        <v>74</v>
      </c>
      <c r="R3320" t="s">
        <v>74</v>
      </c>
      <c r="S3320" t="s">
        <v>74</v>
      </c>
      <c r="T3320" t="s">
        <v>54511</v>
      </c>
      <c r="U3320" t="s">
        <v>54512</v>
      </c>
      <c r="V3320" t="s">
        <v>54513</v>
      </c>
      <c r="W3320" t="s">
        <v>54514</v>
      </c>
      <c r="X3320" t="s">
        <v>74</v>
      </c>
      <c r="Y3320" t="s">
        <v>54515</v>
      </c>
      <c r="Z3320" t="s">
        <v>54516</v>
      </c>
      <c r="AA3320" t="s">
        <v>54517</v>
      </c>
      <c r="AB3320" t="s">
        <v>74</v>
      </c>
      <c r="AC3320" t="s">
        <v>74</v>
      </c>
      <c r="AD3320" t="s">
        <v>74</v>
      </c>
      <c r="AE3320" t="s">
        <v>74</v>
      </c>
      <c r="AF3320" t="s">
        <v>74</v>
      </c>
      <c r="AG3320">
        <v>143</v>
      </c>
      <c r="AH3320">
        <v>0</v>
      </c>
      <c r="AI3320">
        <v>0</v>
      </c>
      <c r="AJ3320">
        <v>5</v>
      </c>
      <c r="AK3320">
        <v>5</v>
      </c>
      <c r="AL3320" t="s">
        <v>479</v>
      </c>
      <c r="AM3320" t="s">
        <v>480</v>
      </c>
      <c r="AN3320" t="s">
        <v>481</v>
      </c>
      <c r="AO3320" t="s">
        <v>5549</v>
      </c>
      <c r="AP3320" t="s">
        <v>5550</v>
      </c>
      <c r="AQ3320" t="s">
        <v>74</v>
      </c>
      <c r="AR3320" t="s">
        <v>5551</v>
      </c>
      <c r="AS3320" t="s">
        <v>5552</v>
      </c>
      <c r="AT3320" t="s">
        <v>54518</v>
      </c>
      <c r="AU3320">
        <v>2025</v>
      </c>
      <c r="AV3320" t="s">
        <v>74</v>
      </c>
      <c r="AW3320" t="s">
        <v>74</v>
      </c>
      <c r="AX3320" t="s">
        <v>74</v>
      </c>
      <c r="AY3320" t="s">
        <v>74</v>
      </c>
      <c r="AZ3320" t="s">
        <v>74</v>
      </c>
      <c r="BA3320" t="s">
        <v>74</v>
      </c>
      <c r="BB3320" t="s">
        <v>74</v>
      </c>
      <c r="BC3320" t="s">
        <v>74</v>
      </c>
      <c r="BD3320" t="s">
        <v>74</v>
      </c>
      <c r="BE3320" t="s">
        <v>54519</v>
      </c>
      <c r="BF3320" t="str">
        <f>HYPERLINK("http://dx.doi.org/10.1111/joes.70029","http://dx.doi.org/10.1111/joes.70029")</f>
        <v>http://dx.doi.org/10.1111/joes.70029</v>
      </c>
      <c r="BG3320" t="s">
        <v>74</v>
      </c>
      <c r="BH3320" t="s">
        <v>12078</v>
      </c>
      <c r="BI3320">
        <v>22</v>
      </c>
      <c r="BJ3320" t="s">
        <v>291</v>
      </c>
      <c r="BK3320" t="s">
        <v>99</v>
      </c>
      <c r="BL3320" t="s">
        <v>100</v>
      </c>
      <c r="BM3320" t="s">
        <v>54520</v>
      </c>
      <c r="BN3320" t="s">
        <v>74</v>
      </c>
      <c r="BO3320" t="s">
        <v>74</v>
      </c>
      <c r="BP3320" t="s">
        <v>74</v>
      </c>
      <c r="BQ3320" t="s">
        <v>74</v>
      </c>
      <c r="BR3320" t="s">
        <v>102</v>
      </c>
      <c r="BS3320" t="s">
        <v>54521</v>
      </c>
      <c r="BT3320" t="str">
        <f>HYPERLINK("https%3A%2F%2Fwww.webofscience.com%2Fwos%2Fwoscc%2Ffull-record%2FWOS:001602914900001","View Full Record in Web of Science")</f>
        <v>View Full Record in Web of Science</v>
      </c>
    </row>
    <row r="3321" spans="1:72" x14ac:dyDescent="0.25">
      <c r="A3321" t="s">
        <v>72</v>
      </c>
      <c r="B3321" t="s">
        <v>54522</v>
      </c>
      <c r="C3321" t="s">
        <v>74</v>
      </c>
      <c r="D3321" t="s">
        <v>74</v>
      </c>
      <c r="E3321" t="s">
        <v>74</v>
      </c>
      <c r="F3321" t="s">
        <v>54523</v>
      </c>
      <c r="G3321" t="s">
        <v>74</v>
      </c>
      <c r="H3321" t="s">
        <v>74</v>
      </c>
      <c r="I3321" t="s">
        <v>54524</v>
      </c>
      <c r="J3321" t="s">
        <v>54525</v>
      </c>
      <c r="K3321" t="s">
        <v>74</v>
      </c>
      <c r="L3321" t="s">
        <v>74</v>
      </c>
      <c r="M3321" t="s">
        <v>78</v>
      </c>
      <c r="N3321" t="s">
        <v>79</v>
      </c>
      <c r="O3321" t="s">
        <v>74</v>
      </c>
      <c r="P3321" t="s">
        <v>74</v>
      </c>
      <c r="Q3321" t="s">
        <v>74</v>
      </c>
      <c r="R3321" t="s">
        <v>74</v>
      </c>
      <c r="S3321" t="s">
        <v>74</v>
      </c>
      <c r="T3321" t="s">
        <v>54526</v>
      </c>
      <c r="U3321" t="s">
        <v>54527</v>
      </c>
      <c r="V3321" t="s">
        <v>54528</v>
      </c>
      <c r="W3321" t="s">
        <v>54529</v>
      </c>
      <c r="X3321" t="s">
        <v>28940</v>
      </c>
      <c r="Y3321" t="s">
        <v>54530</v>
      </c>
      <c r="Z3321" t="s">
        <v>54531</v>
      </c>
      <c r="AA3321" t="s">
        <v>74</v>
      </c>
      <c r="AB3321" t="s">
        <v>74</v>
      </c>
      <c r="AC3321" t="s">
        <v>74</v>
      </c>
      <c r="AD3321" t="s">
        <v>74</v>
      </c>
      <c r="AE3321" t="s">
        <v>74</v>
      </c>
      <c r="AF3321" t="s">
        <v>74</v>
      </c>
      <c r="AG3321">
        <v>29</v>
      </c>
      <c r="AH3321">
        <v>6</v>
      </c>
      <c r="AI3321">
        <v>8</v>
      </c>
      <c r="AJ3321">
        <v>2</v>
      </c>
      <c r="AK3321">
        <v>21</v>
      </c>
      <c r="AL3321" t="s">
        <v>2551</v>
      </c>
      <c r="AM3321" t="s">
        <v>231</v>
      </c>
      <c r="AN3321" t="s">
        <v>2552</v>
      </c>
      <c r="AO3321" t="s">
        <v>54532</v>
      </c>
      <c r="AP3321" t="s">
        <v>74</v>
      </c>
      <c r="AQ3321" t="s">
        <v>74</v>
      </c>
      <c r="AR3321" t="s">
        <v>54533</v>
      </c>
      <c r="AS3321" t="s">
        <v>54534</v>
      </c>
      <c r="AT3321" t="s">
        <v>848</v>
      </c>
      <c r="AU3321">
        <v>2011</v>
      </c>
      <c r="AV3321">
        <v>4</v>
      </c>
      <c r="AW3321">
        <v>2</v>
      </c>
      <c r="AX3321" t="s">
        <v>74</v>
      </c>
      <c r="AY3321" t="s">
        <v>74</v>
      </c>
      <c r="AZ3321" t="s">
        <v>74</v>
      </c>
      <c r="BA3321" t="s">
        <v>74</v>
      </c>
      <c r="BB3321">
        <v>269</v>
      </c>
      <c r="BC3321">
        <v>286</v>
      </c>
      <c r="BD3321" t="s">
        <v>74</v>
      </c>
      <c r="BE3321" t="s">
        <v>54535</v>
      </c>
      <c r="BF3321" t="str">
        <f>HYPERLINK("http://dx.doi.org/10.1093/cjres/rsr007","http://dx.doi.org/10.1093/cjres/rsr007")</f>
        <v>http://dx.doi.org/10.1093/cjres/rsr007</v>
      </c>
      <c r="BG3321" t="s">
        <v>74</v>
      </c>
      <c r="BH3321" t="s">
        <v>74</v>
      </c>
      <c r="BI3321">
        <v>18</v>
      </c>
      <c r="BJ3321" t="s">
        <v>54536</v>
      </c>
      <c r="BK3321" t="s">
        <v>99</v>
      </c>
      <c r="BL3321" t="s">
        <v>54537</v>
      </c>
      <c r="BM3321" t="s">
        <v>54538</v>
      </c>
      <c r="BN3321" t="s">
        <v>74</v>
      </c>
      <c r="BO3321" t="s">
        <v>74</v>
      </c>
      <c r="BP3321" t="s">
        <v>74</v>
      </c>
      <c r="BQ3321" t="s">
        <v>74</v>
      </c>
      <c r="BR3321" t="s">
        <v>102</v>
      </c>
      <c r="BS3321" t="s">
        <v>54539</v>
      </c>
      <c r="BT3321" t="str">
        <f>HYPERLINK("https%3A%2F%2Fwww.webofscience.com%2Fwos%2Fwoscc%2Ffull-record%2FWOS:000293852300009","View Full Record in Web of Science")</f>
        <v>View Full Record in Web of Science</v>
      </c>
    </row>
    <row r="3322" spans="1:72" x14ac:dyDescent="0.25">
      <c r="A3322" t="s">
        <v>72</v>
      </c>
      <c r="B3322" t="s">
        <v>54540</v>
      </c>
      <c r="C3322" t="s">
        <v>74</v>
      </c>
      <c r="D3322" t="s">
        <v>74</v>
      </c>
      <c r="E3322" t="s">
        <v>74</v>
      </c>
      <c r="F3322" t="s">
        <v>54541</v>
      </c>
      <c r="G3322" t="s">
        <v>74</v>
      </c>
      <c r="H3322" t="s">
        <v>74</v>
      </c>
      <c r="I3322" t="s">
        <v>54542</v>
      </c>
      <c r="J3322" t="s">
        <v>7910</v>
      </c>
      <c r="K3322" t="s">
        <v>74</v>
      </c>
      <c r="L3322" t="s">
        <v>74</v>
      </c>
      <c r="M3322" t="s">
        <v>78</v>
      </c>
      <c r="N3322" t="s">
        <v>79</v>
      </c>
      <c r="O3322" t="s">
        <v>74</v>
      </c>
      <c r="P3322" t="s">
        <v>74</v>
      </c>
      <c r="Q3322" t="s">
        <v>74</v>
      </c>
      <c r="R3322" t="s">
        <v>74</v>
      </c>
      <c r="S3322" t="s">
        <v>74</v>
      </c>
      <c r="T3322" t="s">
        <v>54543</v>
      </c>
      <c r="U3322" t="s">
        <v>74</v>
      </c>
      <c r="V3322" t="s">
        <v>54544</v>
      </c>
      <c r="W3322" t="s">
        <v>54545</v>
      </c>
      <c r="X3322" t="s">
        <v>74</v>
      </c>
      <c r="Y3322" t="s">
        <v>54546</v>
      </c>
      <c r="Z3322" t="s">
        <v>54547</v>
      </c>
      <c r="AA3322" t="s">
        <v>54548</v>
      </c>
      <c r="AB3322" t="s">
        <v>54549</v>
      </c>
      <c r="AC3322" t="s">
        <v>74</v>
      </c>
      <c r="AD3322" t="s">
        <v>74</v>
      </c>
      <c r="AE3322" t="s">
        <v>74</v>
      </c>
      <c r="AF3322" t="s">
        <v>74</v>
      </c>
      <c r="AG3322">
        <v>16</v>
      </c>
      <c r="AH3322">
        <v>3</v>
      </c>
      <c r="AI3322">
        <v>4</v>
      </c>
      <c r="AJ3322">
        <v>0</v>
      </c>
      <c r="AK3322">
        <v>8</v>
      </c>
      <c r="AL3322" t="s">
        <v>994</v>
      </c>
      <c r="AM3322" t="s">
        <v>995</v>
      </c>
      <c r="AN3322" t="s">
        <v>2061</v>
      </c>
      <c r="AO3322" t="s">
        <v>7920</v>
      </c>
      <c r="AP3322" t="s">
        <v>7921</v>
      </c>
      <c r="AQ3322" t="s">
        <v>74</v>
      </c>
      <c r="AR3322" t="s">
        <v>7922</v>
      </c>
      <c r="AS3322" t="s">
        <v>7923</v>
      </c>
      <c r="AT3322" t="s">
        <v>237</v>
      </c>
      <c r="AU3322">
        <v>2024</v>
      </c>
      <c r="AV3322">
        <v>25</v>
      </c>
      <c r="AW3322">
        <v>1</v>
      </c>
      <c r="AX3322" t="s">
        <v>74</v>
      </c>
      <c r="AY3322" t="s">
        <v>74</v>
      </c>
      <c r="AZ3322" t="s">
        <v>74</v>
      </c>
      <c r="BA3322" t="s">
        <v>74</v>
      </c>
      <c r="BB3322">
        <v>216</v>
      </c>
      <c r="BC3322">
        <v>231</v>
      </c>
      <c r="BD3322">
        <v>972150920934256</v>
      </c>
      <c r="BE3322" t="s">
        <v>54550</v>
      </c>
      <c r="BF3322" t="str">
        <f>HYPERLINK("http://dx.doi.org/10.1177/0972150920934256","http://dx.doi.org/10.1177/0972150920934256")</f>
        <v>http://dx.doi.org/10.1177/0972150920934256</v>
      </c>
      <c r="BG3322" t="s">
        <v>74</v>
      </c>
      <c r="BH3322" t="s">
        <v>2937</v>
      </c>
      <c r="BI3322">
        <v>16</v>
      </c>
      <c r="BJ3322" t="s">
        <v>98</v>
      </c>
      <c r="BK3322" t="s">
        <v>313</v>
      </c>
      <c r="BL3322" t="s">
        <v>100</v>
      </c>
      <c r="BM3322" t="s">
        <v>54551</v>
      </c>
      <c r="BN3322" t="s">
        <v>74</v>
      </c>
      <c r="BO3322" t="s">
        <v>74</v>
      </c>
      <c r="BP3322" t="s">
        <v>74</v>
      </c>
      <c r="BQ3322" t="s">
        <v>74</v>
      </c>
      <c r="BR3322" t="s">
        <v>102</v>
      </c>
      <c r="BS3322" t="s">
        <v>54552</v>
      </c>
      <c r="BT3322" t="str">
        <f>HYPERLINK("https%3A%2F%2Fwww.webofscience.com%2Fwos%2Fwoscc%2Ffull-record%2FWOS:000563045900001","View Full Record in Web of Science")</f>
        <v>View Full Record in Web of Science</v>
      </c>
    </row>
    <row r="3323" spans="1:72" x14ac:dyDescent="0.25">
      <c r="A3323" t="s">
        <v>72</v>
      </c>
      <c r="B3323" t="s">
        <v>54553</v>
      </c>
      <c r="C3323" t="s">
        <v>74</v>
      </c>
      <c r="D3323" t="s">
        <v>74</v>
      </c>
      <c r="E3323" t="s">
        <v>74</v>
      </c>
      <c r="F3323" t="s">
        <v>54554</v>
      </c>
      <c r="G3323" t="s">
        <v>74</v>
      </c>
      <c r="H3323" t="s">
        <v>74</v>
      </c>
      <c r="I3323" t="s">
        <v>54555</v>
      </c>
      <c r="J3323" t="s">
        <v>22355</v>
      </c>
      <c r="K3323" t="s">
        <v>74</v>
      </c>
      <c r="L3323" t="s">
        <v>74</v>
      </c>
      <c r="M3323" t="s">
        <v>78</v>
      </c>
      <c r="N3323" t="s">
        <v>372</v>
      </c>
      <c r="O3323" t="s">
        <v>74</v>
      </c>
      <c r="P3323" t="s">
        <v>74</v>
      </c>
      <c r="Q3323" t="s">
        <v>74</v>
      </c>
      <c r="R3323" t="s">
        <v>74</v>
      </c>
      <c r="S3323" t="s">
        <v>74</v>
      </c>
      <c r="T3323" t="s">
        <v>54556</v>
      </c>
      <c r="U3323" t="s">
        <v>54557</v>
      </c>
      <c r="V3323" t="s">
        <v>54558</v>
      </c>
      <c r="W3323" t="s">
        <v>54559</v>
      </c>
      <c r="X3323" t="s">
        <v>54560</v>
      </c>
      <c r="Y3323" t="s">
        <v>54561</v>
      </c>
      <c r="Z3323" t="s">
        <v>54562</v>
      </c>
      <c r="AA3323" t="s">
        <v>74</v>
      </c>
      <c r="AB3323" t="s">
        <v>54563</v>
      </c>
      <c r="AC3323" t="s">
        <v>74</v>
      </c>
      <c r="AD3323" t="s">
        <v>74</v>
      </c>
      <c r="AE3323" t="s">
        <v>74</v>
      </c>
      <c r="AF3323" t="s">
        <v>74</v>
      </c>
      <c r="AG3323">
        <v>106</v>
      </c>
      <c r="AH3323">
        <v>0</v>
      </c>
      <c r="AI3323">
        <v>0</v>
      </c>
      <c r="AJ3323">
        <v>4</v>
      </c>
      <c r="AK3323">
        <v>4</v>
      </c>
      <c r="AL3323" t="s">
        <v>385</v>
      </c>
      <c r="AM3323" t="s">
        <v>1153</v>
      </c>
      <c r="AN3323" t="s">
        <v>1154</v>
      </c>
      <c r="AO3323" t="s">
        <v>22345</v>
      </c>
      <c r="AP3323" t="s">
        <v>22344</v>
      </c>
      <c r="AQ3323" t="s">
        <v>74</v>
      </c>
      <c r="AR3323" t="s">
        <v>22343</v>
      </c>
      <c r="AS3323" t="s">
        <v>22342</v>
      </c>
      <c r="AT3323" t="s">
        <v>54564</v>
      </c>
      <c r="AU3323">
        <v>2025</v>
      </c>
      <c r="AV3323" t="s">
        <v>74</v>
      </c>
      <c r="AW3323" t="s">
        <v>74</v>
      </c>
      <c r="AX3323" t="s">
        <v>74</v>
      </c>
      <c r="AY3323" t="s">
        <v>74</v>
      </c>
      <c r="AZ3323" t="s">
        <v>74</v>
      </c>
      <c r="BA3323" t="s">
        <v>74</v>
      </c>
      <c r="BB3323" t="s">
        <v>74</v>
      </c>
      <c r="BC3323" t="s">
        <v>74</v>
      </c>
      <c r="BD3323" t="s">
        <v>74</v>
      </c>
      <c r="BE3323" t="s">
        <v>54565</v>
      </c>
      <c r="BF3323" t="str">
        <f>HYPERLINK("http://dx.doi.org/10.1007/s10551-025-06126-2","http://dx.doi.org/10.1007/s10551-025-06126-2")</f>
        <v>http://dx.doi.org/10.1007/s10551-025-06126-2</v>
      </c>
      <c r="BG3323" t="s">
        <v>74</v>
      </c>
      <c r="BH3323" t="s">
        <v>3411</v>
      </c>
      <c r="BI3323">
        <v>14</v>
      </c>
      <c r="BJ3323" t="s">
        <v>22340</v>
      </c>
      <c r="BK3323" t="s">
        <v>99</v>
      </c>
      <c r="BL3323" t="s">
        <v>22339</v>
      </c>
      <c r="BM3323" t="s">
        <v>54566</v>
      </c>
      <c r="BN3323" t="s">
        <v>74</v>
      </c>
      <c r="BO3323" t="s">
        <v>74</v>
      </c>
      <c r="BP3323" t="s">
        <v>74</v>
      </c>
      <c r="BQ3323" t="s">
        <v>74</v>
      </c>
      <c r="BR3323" t="s">
        <v>102</v>
      </c>
      <c r="BS3323" t="s">
        <v>54567</v>
      </c>
      <c r="BT3323" t="str">
        <f>HYPERLINK("https%3A%2F%2Fwww.webofscience.com%2Fwos%2Fwoscc%2Ffull-record%2FWOS:001570165000001","View Full Record in Web of Science")</f>
        <v>View Full Record in Web of Science</v>
      </c>
    </row>
    <row r="3324" spans="1:72" x14ac:dyDescent="0.25">
      <c r="A3324" t="s">
        <v>72</v>
      </c>
      <c r="B3324" t="s">
        <v>54568</v>
      </c>
      <c r="C3324" t="s">
        <v>74</v>
      </c>
      <c r="D3324" t="s">
        <v>74</v>
      </c>
      <c r="E3324" t="s">
        <v>74</v>
      </c>
      <c r="F3324" t="s">
        <v>54569</v>
      </c>
      <c r="G3324" t="s">
        <v>74</v>
      </c>
      <c r="H3324" t="s">
        <v>74</v>
      </c>
      <c r="I3324" t="s">
        <v>54570</v>
      </c>
      <c r="J3324" t="s">
        <v>54571</v>
      </c>
      <c r="K3324" t="s">
        <v>74</v>
      </c>
      <c r="L3324" t="s">
        <v>74</v>
      </c>
      <c r="M3324" t="s">
        <v>78</v>
      </c>
      <c r="N3324" t="s">
        <v>79</v>
      </c>
      <c r="O3324" t="s">
        <v>74</v>
      </c>
      <c r="P3324" t="s">
        <v>74</v>
      </c>
      <c r="Q3324" t="s">
        <v>74</v>
      </c>
      <c r="R3324" t="s">
        <v>74</v>
      </c>
      <c r="S3324" t="s">
        <v>74</v>
      </c>
      <c r="T3324" t="s">
        <v>54572</v>
      </c>
      <c r="U3324" t="s">
        <v>54573</v>
      </c>
      <c r="V3324" t="s">
        <v>54574</v>
      </c>
      <c r="W3324" t="s">
        <v>54575</v>
      </c>
      <c r="X3324" t="s">
        <v>54576</v>
      </c>
      <c r="Y3324" t="s">
        <v>54577</v>
      </c>
      <c r="Z3324" t="s">
        <v>54578</v>
      </c>
      <c r="AA3324" t="s">
        <v>54579</v>
      </c>
      <c r="AB3324" t="s">
        <v>54580</v>
      </c>
      <c r="AC3324" t="s">
        <v>54581</v>
      </c>
      <c r="AD3324" t="s">
        <v>54582</v>
      </c>
      <c r="AE3324" t="s">
        <v>54583</v>
      </c>
      <c r="AF3324" t="s">
        <v>74</v>
      </c>
      <c r="AG3324">
        <v>67</v>
      </c>
      <c r="AH3324">
        <v>25</v>
      </c>
      <c r="AI3324">
        <v>36</v>
      </c>
      <c r="AJ3324">
        <v>2</v>
      </c>
      <c r="AK3324">
        <v>121</v>
      </c>
      <c r="AL3324" t="s">
        <v>54584</v>
      </c>
      <c r="AM3324" t="s">
        <v>54585</v>
      </c>
      <c r="AN3324" t="s">
        <v>54586</v>
      </c>
      <c r="AO3324" t="s">
        <v>54587</v>
      </c>
      <c r="AP3324" t="s">
        <v>74</v>
      </c>
      <c r="AQ3324" t="s">
        <v>74</v>
      </c>
      <c r="AR3324" t="s">
        <v>54588</v>
      </c>
      <c r="AS3324" t="s">
        <v>54589</v>
      </c>
      <c r="AT3324" t="s">
        <v>74</v>
      </c>
      <c r="AU3324">
        <v>2020</v>
      </c>
      <c r="AV3324">
        <v>18</v>
      </c>
      <c r="AW3324">
        <v>4</v>
      </c>
      <c r="AX3324" t="s">
        <v>74</v>
      </c>
      <c r="AY3324" t="s">
        <v>74</v>
      </c>
      <c r="AZ3324" t="s">
        <v>74</v>
      </c>
      <c r="BA3324" t="s">
        <v>74</v>
      </c>
      <c r="BB3324">
        <v>78</v>
      </c>
      <c r="BC3324">
        <v>96</v>
      </c>
      <c r="BD3324" t="s">
        <v>74</v>
      </c>
      <c r="BE3324" t="s">
        <v>54590</v>
      </c>
      <c r="BF3324" t="str">
        <f>HYPERLINK("http://dx.doi.org/10.18522/2073-6606-2020-18-4-78-96","http://dx.doi.org/10.18522/2073-6606-2020-18-4-78-96")</f>
        <v>http://dx.doi.org/10.18522/2073-6606-2020-18-4-78-96</v>
      </c>
      <c r="BG3324" t="s">
        <v>74</v>
      </c>
      <c r="BH3324" t="s">
        <v>74</v>
      </c>
      <c r="BI3324">
        <v>19</v>
      </c>
      <c r="BJ3324" t="s">
        <v>291</v>
      </c>
      <c r="BK3324" t="s">
        <v>313</v>
      </c>
      <c r="BL3324" t="s">
        <v>100</v>
      </c>
      <c r="BM3324" t="s">
        <v>54591</v>
      </c>
      <c r="BN3324" t="s">
        <v>74</v>
      </c>
      <c r="BO3324" t="s">
        <v>212</v>
      </c>
      <c r="BP3324" t="s">
        <v>74</v>
      </c>
      <c r="BQ3324" t="s">
        <v>74</v>
      </c>
      <c r="BR3324" t="s">
        <v>102</v>
      </c>
      <c r="BS3324" t="s">
        <v>54592</v>
      </c>
      <c r="BT3324" t="str">
        <f>HYPERLINK("https%3A%2F%2Fwww.webofscience.com%2Fwos%2Fwoscc%2Ffull-record%2FWOS:000603663700005","View Full Record in Web of Science")</f>
        <v>View Full Record in Web of Science</v>
      </c>
    </row>
    <row r="3325" spans="1:72" x14ac:dyDescent="0.25">
      <c r="A3325" t="s">
        <v>72</v>
      </c>
      <c r="B3325" t="s">
        <v>54593</v>
      </c>
      <c r="C3325" t="s">
        <v>74</v>
      </c>
      <c r="D3325" t="s">
        <v>74</v>
      </c>
      <c r="E3325" t="s">
        <v>74</v>
      </c>
      <c r="F3325" t="s">
        <v>54594</v>
      </c>
      <c r="G3325" t="s">
        <v>74</v>
      </c>
      <c r="H3325" t="s">
        <v>74</v>
      </c>
      <c r="I3325" t="s">
        <v>54595</v>
      </c>
      <c r="J3325" t="s">
        <v>28279</v>
      </c>
      <c r="K3325" t="s">
        <v>74</v>
      </c>
      <c r="L3325" t="s">
        <v>74</v>
      </c>
      <c r="M3325" t="s">
        <v>78</v>
      </c>
      <c r="N3325" t="s">
        <v>372</v>
      </c>
      <c r="O3325" t="s">
        <v>74</v>
      </c>
      <c r="P3325" t="s">
        <v>74</v>
      </c>
      <c r="Q3325" t="s">
        <v>74</v>
      </c>
      <c r="R3325" t="s">
        <v>74</v>
      </c>
      <c r="S3325" t="s">
        <v>74</v>
      </c>
      <c r="T3325" t="s">
        <v>54596</v>
      </c>
      <c r="U3325" t="s">
        <v>54597</v>
      </c>
      <c r="V3325" t="s">
        <v>54598</v>
      </c>
      <c r="W3325" t="s">
        <v>54599</v>
      </c>
      <c r="X3325" t="s">
        <v>54600</v>
      </c>
      <c r="Y3325" t="s">
        <v>54601</v>
      </c>
      <c r="Z3325" t="s">
        <v>54602</v>
      </c>
      <c r="AA3325" t="s">
        <v>74</v>
      </c>
      <c r="AB3325" t="s">
        <v>54603</v>
      </c>
      <c r="AC3325" t="s">
        <v>74</v>
      </c>
      <c r="AD3325" t="s">
        <v>74</v>
      </c>
      <c r="AE3325" t="s">
        <v>74</v>
      </c>
      <c r="AF3325" t="s">
        <v>74</v>
      </c>
      <c r="AG3325">
        <v>137</v>
      </c>
      <c r="AH3325">
        <v>0</v>
      </c>
      <c r="AI3325">
        <v>0</v>
      </c>
      <c r="AJ3325">
        <v>1</v>
      </c>
      <c r="AK3325">
        <v>3</v>
      </c>
      <c r="AL3325" t="s">
        <v>89</v>
      </c>
      <c r="AM3325" t="s">
        <v>90</v>
      </c>
      <c r="AN3325" t="s">
        <v>91</v>
      </c>
      <c r="AO3325" t="s">
        <v>28269</v>
      </c>
      <c r="AP3325" t="s">
        <v>28268</v>
      </c>
      <c r="AQ3325" t="s">
        <v>74</v>
      </c>
      <c r="AR3325" t="s">
        <v>28267</v>
      </c>
      <c r="AS3325" t="s">
        <v>28266</v>
      </c>
      <c r="AT3325" t="s">
        <v>54604</v>
      </c>
      <c r="AU3325">
        <v>2025</v>
      </c>
      <c r="AV3325" t="s">
        <v>74</v>
      </c>
      <c r="AW3325" t="s">
        <v>74</v>
      </c>
      <c r="AX3325" t="s">
        <v>74</v>
      </c>
      <c r="AY3325" t="s">
        <v>74</v>
      </c>
      <c r="AZ3325" t="s">
        <v>74</v>
      </c>
      <c r="BA3325" t="s">
        <v>74</v>
      </c>
      <c r="BB3325" t="s">
        <v>74</v>
      </c>
      <c r="BC3325" t="s">
        <v>74</v>
      </c>
      <c r="BD3325" t="s">
        <v>74</v>
      </c>
      <c r="BE3325" t="s">
        <v>54605</v>
      </c>
      <c r="BF3325" t="str">
        <f>HYPERLINK("http://dx.doi.org/10.1108/JSBED-10-2024-0501","http://dx.doi.org/10.1108/JSBED-10-2024-0501")</f>
        <v>http://dx.doi.org/10.1108/JSBED-10-2024-0501</v>
      </c>
      <c r="BG3325" t="s">
        <v>74</v>
      </c>
      <c r="BH3325" t="s">
        <v>7657</v>
      </c>
      <c r="BI3325">
        <v>24</v>
      </c>
      <c r="BJ3325" t="s">
        <v>418</v>
      </c>
      <c r="BK3325" t="s">
        <v>313</v>
      </c>
      <c r="BL3325" t="s">
        <v>100</v>
      </c>
      <c r="BM3325" t="s">
        <v>54606</v>
      </c>
      <c r="BN3325" t="s">
        <v>74</v>
      </c>
      <c r="BO3325" t="s">
        <v>74</v>
      </c>
      <c r="BP3325" t="s">
        <v>74</v>
      </c>
      <c r="BQ3325" t="s">
        <v>74</v>
      </c>
      <c r="BR3325" t="s">
        <v>102</v>
      </c>
      <c r="BS3325" t="s">
        <v>54607</v>
      </c>
      <c r="BT3325" t="str">
        <f>HYPERLINK("https%3A%2F%2Fwww.webofscience.com%2Fwos%2Fwoscc%2Ffull-record%2FWOS:001504041000001","View Full Record in Web of Science")</f>
        <v>View Full Record in Web of Science</v>
      </c>
    </row>
    <row r="3326" spans="1:72" x14ac:dyDescent="0.25">
      <c r="A3326" t="s">
        <v>72</v>
      </c>
      <c r="B3326" t="s">
        <v>54608</v>
      </c>
      <c r="C3326" t="s">
        <v>74</v>
      </c>
      <c r="D3326" t="s">
        <v>74</v>
      </c>
      <c r="E3326" t="s">
        <v>74</v>
      </c>
      <c r="F3326" t="s">
        <v>54609</v>
      </c>
      <c r="G3326" t="s">
        <v>74</v>
      </c>
      <c r="H3326" t="s">
        <v>74</v>
      </c>
      <c r="I3326" t="s">
        <v>54610</v>
      </c>
      <c r="J3326" t="s">
        <v>3231</v>
      </c>
      <c r="K3326" t="s">
        <v>74</v>
      </c>
      <c r="L3326" t="s">
        <v>74</v>
      </c>
      <c r="M3326" t="s">
        <v>78</v>
      </c>
      <c r="N3326" t="s">
        <v>79</v>
      </c>
      <c r="O3326" t="s">
        <v>74</v>
      </c>
      <c r="P3326" t="s">
        <v>74</v>
      </c>
      <c r="Q3326" t="s">
        <v>74</v>
      </c>
      <c r="R3326" t="s">
        <v>74</v>
      </c>
      <c r="S3326" t="s">
        <v>74</v>
      </c>
      <c r="T3326" t="s">
        <v>54611</v>
      </c>
      <c r="U3326" t="s">
        <v>54612</v>
      </c>
      <c r="V3326" t="s">
        <v>54613</v>
      </c>
      <c r="W3326" t="s">
        <v>54614</v>
      </c>
      <c r="X3326" t="s">
        <v>54615</v>
      </c>
      <c r="Y3326" t="s">
        <v>54616</v>
      </c>
      <c r="Z3326" t="s">
        <v>54617</v>
      </c>
      <c r="AA3326" t="s">
        <v>54618</v>
      </c>
      <c r="AB3326" t="s">
        <v>54619</v>
      </c>
      <c r="AC3326" t="s">
        <v>74</v>
      </c>
      <c r="AD3326" t="s">
        <v>74</v>
      </c>
      <c r="AE3326" t="s">
        <v>74</v>
      </c>
      <c r="AF3326" t="s">
        <v>74</v>
      </c>
      <c r="AG3326">
        <v>58</v>
      </c>
      <c r="AH3326">
        <v>11</v>
      </c>
      <c r="AI3326">
        <v>14</v>
      </c>
      <c r="AJ3326">
        <v>1</v>
      </c>
      <c r="AK3326">
        <v>20</v>
      </c>
      <c r="AL3326" t="s">
        <v>575</v>
      </c>
      <c r="AM3326" t="s">
        <v>576</v>
      </c>
      <c r="AN3326" t="s">
        <v>3242</v>
      </c>
      <c r="AO3326" t="s">
        <v>74</v>
      </c>
      <c r="AP3326" t="s">
        <v>3243</v>
      </c>
      <c r="AQ3326" t="s">
        <v>74</v>
      </c>
      <c r="AR3326" t="s">
        <v>3244</v>
      </c>
      <c r="AS3326" t="s">
        <v>3245</v>
      </c>
      <c r="AT3326" t="s">
        <v>698</v>
      </c>
      <c r="AU3326">
        <v>2023</v>
      </c>
      <c r="AV3326">
        <v>15</v>
      </c>
      <c r="AW3326">
        <v>18</v>
      </c>
      <c r="AX3326" t="s">
        <v>74</v>
      </c>
      <c r="AY3326" t="s">
        <v>74</v>
      </c>
      <c r="AZ3326" t="s">
        <v>74</v>
      </c>
      <c r="BA3326" t="s">
        <v>74</v>
      </c>
      <c r="BB3326" t="s">
        <v>74</v>
      </c>
      <c r="BC3326" t="s">
        <v>74</v>
      </c>
      <c r="BD3326">
        <v>13942</v>
      </c>
      <c r="BE3326" t="s">
        <v>54620</v>
      </c>
      <c r="BF3326" t="str">
        <f>HYPERLINK("http://dx.doi.org/10.3390/su151813942","http://dx.doi.org/10.3390/su151813942")</f>
        <v>http://dx.doi.org/10.3390/su151813942</v>
      </c>
      <c r="BG3326" t="s">
        <v>74</v>
      </c>
      <c r="BH3326" t="s">
        <v>74</v>
      </c>
      <c r="BI3326">
        <v>18</v>
      </c>
      <c r="BJ3326" t="s">
        <v>3247</v>
      </c>
      <c r="BK3326" t="s">
        <v>2623</v>
      </c>
      <c r="BL3326" t="s">
        <v>3248</v>
      </c>
      <c r="BM3326" t="s">
        <v>54621</v>
      </c>
      <c r="BN3326" t="s">
        <v>74</v>
      </c>
      <c r="BO3326" t="s">
        <v>212</v>
      </c>
      <c r="BP3326" t="s">
        <v>74</v>
      </c>
      <c r="BQ3326" t="s">
        <v>74</v>
      </c>
      <c r="BR3326" t="s">
        <v>102</v>
      </c>
      <c r="BS3326" t="s">
        <v>54622</v>
      </c>
      <c r="BT3326" t="str">
        <f>HYPERLINK("https%3A%2F%2Fwww.webofscience.com%2Fwos%2Fwoscc%2Ffull-record%2FWOS:001074214800001","View Full Record in Web of Science")</f>
        <v>View Full Record in Web of Science</v>
      </c>
    </row>
    <row r="3327" spans="1:72" x14ac:dyDescent="0.25">
      <c r="A3327" t="s">
        <v>72</v>
      </c>
      <c r="B3327" t="s">
        <v>54623</v>
      </c>
      <c r="C3327" t="s">
        <v>74</v>
      </c>
      <c r="D3327" t="s">
        <v>74</v>
      </c>
      <c r="E3327" t="s">
        <v>74</v>
      </c>
      <c r="F3327" t="s">
        <v>54624</v>
      </c>
      <c r="G3327" t="s">
        <v>74</v>
      </c>
      <c r="H3327" t="s">
        <v>74</v>
      </c>
      <c r="I3327" t="s">
        <v>54625</v>
      </c>
      <c r="J3327" t="s">
        <v>39861</v>
      </c>
      <c r="K3327" t="s">
        <v>74</v>
      </c>
      <c r="L3327" t="s">
        <v>74</v>
      </c>
      <c r="M3327" t="s">
        <v>78</v>
      </c>
      <c r="N3327" t="s">
        <v>79</v>
      </c>
      <c r="O3327" t="s">
        <v>74</v>
      </c>
      <c r="P3327" t="s">
        <v>74</v>
      </c>
      <c r="Q3327" t="s">
        <v>74</v>
      </c>
      <c r="R3327" t="s">
        <v>74</v>
      </c>
      <c r="S3327" t="s">
        <v>74</v>
      </c>
      <c r="T3327" t="s">
        <v>54626</v>
      </c>
      <c r="U3327" t="s">
        <v>54627</v>
      </c>
      <c r="V3327" t="s">
        <v>54628</v>
      </c>
      <c r="W3327" t="s">
        <v>54629</v>
      </c>
      <c r="X3327" t="s">
        <v>54630</v>
      </c>
      <c r="Y3327" t="s">
        <v>54631</v>
      </c>
      <c r="Z3327" t="s">
        <v>54632</v>
      </c>
      <c r="AA3327" t="s">
        <v>54633</v>
      </c>
      <c r="AB3327" t="s">
        <v>54634</v>
      </c>
      <c r="AC3327" t="s">
        <v>74</v>
      </c>
      <c r="AD3327" t="s">
        <v>74</v>
      </c>
      <c r="AE3327" t="s">
        <v>74</v>
      </c>
      <c r="AF3327" t="s">
        <v>74</v>
      </c>
      <c r="AG3327">
        <v>103</v>
      </c>
      <c r="AH3327">
        <v>0</v>
      </c>
      <c r="AI3327">
        <v>0</v>
      </c>
      <c r="AJ3327">
        <v>3</v>
      </c>
      <c r="AK3327">
        <v>4</v>
      </c>
      <c r="AL3327" t="s">
        <v>89</v>
      </c>
      <c r="AM3327" t="s">
        <v>90</v>
      </c>
      <c r="AN3327" t="s">
        <v>91</v>
      </c>
      <c r="AO3327" t="s">
        <v>39870</v>
      </c>
      <c r="AP3327" t="s">
        <v>39871</v>
      </c>
      <c r="AQ3327" t="s">
        <v>74</v>
      </c>
      <c r="AR3327" t="s">
        <v>39872</v>
      </c>
      <c r="AS3327" t="s">
        <v>39873</v>
      </c>
      <c r="AT3327" t="s">
        <v>54635</v>
      </c>
      <c r="AU3327">
        <v>2025</v>
      </c>
      <c r="AV3327">
        <v>38</v>
      </c>
      <c r="AW3327">
        <v>6</v>
      </c>
      <c r="AX3327" t="s">
        <v>74</v>
      </c>
      <c r="AY3327" t="s">
        <v>74</v>
      </c>
      <c r="AZ3327" t="s">
        <v>74</v>
      </c>
      <c r="BA3327" t="s">
        <v>74</v>
      </c>
      <c r="BB3327">
        <v>1633</v>
      </c>
      <c r="BC3327">
        <v>1661</v>
      </c>
      <c r="BD3327" t="s">
        <v>74</v>
      </c>
      <c r="BE3327" t="s">
        <v>54636</v>
      </c>
      <c r="BF3327" t="str">
        <f>HYPERLINK("http://dx.doi.org/10.1108/AAAJ-03-2024-6930","http://dx.doi.org/10.1108/AAAJ-03-2024-6930")</f>
        <v>http://dx.doi.org/10.1108/AAAJ-03-2024-6930</v>
      </c>
      <c r="BG3327" t="s">
        <v>74</v>
      </c>
      <c r="BH3327" t="s">
        <v>7657</v>
      </c>
      <c r="BI3327">
        <v>29</v>
      </c>
      <c r="BJ3327" t="s">
        <v>268</v>
      </c>
      <c r="BK3327" t="s">
        <v>99</v>
      </c>
      <c r="BL3327" t="s">
        <v>100</v>
      </c>
      <c r="BM3327" t="s">
        <v>54637</v>
      </c>
      <c r="BN3327" t="s">
        <v>74</v>
      </c>
      <c r="BO3327" t="s">
        <v>74</v>
      </c>
      <c r="BP3327" t="s">
        <v>74</v>
      </c>
      <c r="BQ3327" t="s">
        <v>74</v>
      </c>
      <c r="BR3327" t="s">
        <v>102</v>
      </c>
      <c r="BS3327" t="s">
        <v>54638</v>
      </c>
      <c r="BT3327" t="str">
        <f>HYPERLINK("https%3A%2F%2Fwww.webofscience.com%2Fwos%2Fwoscc%2Ffull-record%2FWOS:001501520800001","View Full Record in Web of Science")</f>
        <v>View Full Record in Web of Science</v>
      </c>
    </row>
    <row r="3328" spans="1:72" x14ac:dyDescent="0.25">
      <c r="A3328" t="s">
        <v>72</v>
      </c>
      <c r="B3328" t="s">
        <v>54639</v>
      </c>
      <c r="C3328" t="s">
        <v>74</v>
      </c>
      <c r="D3328" t="s">
        <v>74</v>
      </c>
      <c r="E3328" t="s">
        <v>74</v>
      </c>
      <c r="F3328" t="s">
        <v>54640</v>
      </c>
      <c r="G3328" t="s">
        <v>74</v>
      </c>
      <c r="H3328" t="s">
        <v>74</v>
      </c>
      <c r="I3328" t="s">
        <v>54641</v>
      </c>
      <c r="J3328" t="s">
        <v>12172</v>
      </c>
      <c r="K3328" t="s">
        <v>74</v>
      </c>
      <c r="L3328" t="s">
        <v>74</v>
      </c>
      <c r="M3328" t="s">
        <v>78</v>
      </c>
      <c r="N3328" t="s">
        <v>79</v>
      </c>
      <c r="O3328" t="s">
        <v>74</v>
      </c>
      <c r="P3328" t="s">
        <v>74</v>
      </c>
      <c r="Q3328" t="s">
        <v>74</v>
      </c>
      <c r="R3328" t="s">
        <v>74</v>
      </c>
      <c r="S3328" t="s">
        <v>74</v>
      </c>
      <c r="T3328" t="s">
        <v>54642</v>
      </c>
      <c r="U3328" t="s">
        <v>54643</v>
      </c>
      <c r="V3328" t="s">
        <v>54644</v>
      </c>
      <c r="W3328" t="s">
        <v>54645</v>
      </c>
      <c r="X3328" t="s">
        <v>54646</v>
      </c>
      <c r="Y3328" t="s">
        <v>54647</v>
      </c>
      <c r="Z3328" t="s">
        <v>54648</v>
      </c>
      <c r="AA3328" t="s">
        <v>54649</v>
      </c>
      <c r="AB3328" t="s">
        <v>54650</v>
      </c>
      <c r="AC3328" t="s">
        <v>54651</v>
      </c>
      <c r="AD3328" t="s">
        <v>54652</v>
      </c>
      <c r="AE3328" t="s">
        <v>54653</v>
      </c>
      <c r="AF3328" t="s">
        <v>74</v>
      </c>
      <c r="AG3328">
        <v>82</v>
      </c>
      <c r="AH3328">
        <v>9</v>
      </c>
      <c r="AI3328">
        <v>20</v>
      </c>
      <c r="AJ3328">
        <v>11</v>
      </c>
      <c r="AK3328">
        <v>60</v>
      </c>
      <c r="AL3328" t="s">
        <v>757</v>
      </c>
      <c r="AM3328" t="s">
        <v>758</v>
      </c>
      <c r="AN3328" t="s">
        <v>759</v>
      </c>
      <c r="AO3328" t="s">
        <v>12179</v>
      </c>
      <c r="AP3328" t="s">
        <v>74</v>
      </c>
      <c r="AQ3328" t="s">
        <v>74</v>
      </c>
      <c r="AR3328" t="s">
        <v>12172</v>
      </c>
      <c r="AS3328" t="s">
        <v>12180</v>
      </c>
      <c r="AT3328" t="s">
        <v>208</v>
      </c>
      <c r="AU3328">
        <v>2024</v>
      </c>
      <c r="AV3328">
        <v>14</v>
      </c>
      <c r="AW3328">
        <v>1</v>
      </c>
      <c r="AX3328" t="s">
        <v>74</v>
      </c>
      <c r="AY3328" t="s">
        <v>74</v>
      </c>
      <c r="AZ3328" t="s">
        <v>74</v>
      </c>
      <c r="BA3328" t="s">
        <v>74</v>
      </c>
      <c r="BB3328" t="s">
        <v>74</v>
      </c>
      <c r="BC3328" t="s">
        <v>74</v>
      </c>
      <c r="BD3328">
        <v>2.1582440241227768E+16</v>
      </c>
      <c r="BE3328" t="s">
        <v>54654</v>
      </c>
      <c r="BF3328" t="str">
        <f>HYPERLINK("http://dx.doi.org/10.1177/21582440241227770","http://dx.doi.org/10.1177/21582440241227770")</f>
        <v>http://dx.doi.org/10.1177/21582440241227770</v>
      </c>
      <c r="BG3328" t="s">
        <v>74</v>
      </c>
      <c r="BH3328" t="s">
        <v>74</v>
      </c>
      <c r="BI3328">
        <v>16</v>
      </c>
      <c r="BJ3328" t="s">
        <v>364</v>
      </c>
      <c r="BK3328" t="s">
        <v>99</v>
      </c>
      <c r="BL3328" t="s">
        <v>365</v>
      </c>
      <c r="BM3328" t="s">
        <v>54655</v>
      </c>
      <c r="BN3328" t="s">
        <v>74</v>
      </c>
      <c r="BO3328" t="s">
        <v>916</v>
      </c>
      <c r="BP3328" t="s">
        <v>74</v>
      </c>
      <c r="BQ3328" t="s">
        <v>74</v>
      </c>
      <c r="BR3328" t="s">
        <v>102</v>
      </c>
      <c r="BS3328" t="s">
        <v>54656</v>
      </c>
      <c r="BT3328" t="str">
        <f>HYPERLINK("https%3A%2F%2Fwww.webofscience.com%2Fwos%2Fwoscc%2Ffull-record%2FWOS:001154354500001","View Full Record in Web of Science")</f>
        <v>View Full Record in Web of Science</v>
      </c>
    </row>
    <row r="3329" spans="1:72" x14ac:dyDescent="0.25">
      <c r="A3329" t="s">
        <v>72</v>
      </c>
      <c r="B3329" t="s">
        <v>54657</v>
      </c>
      <c r="C3329" t="s">
        <v>74</v>
      </c>
      <c r="D3329" t="s">
        <v>74</v>
      </c>
      <c r="E3329" t="s">
        <v>74</v>
      </c>
      <c r="F3329" t="s">
        <v>54658</v>
      </c>
      <c r="G3329" t="s">
        <v>74</v>
      </c>
      <c r="H3329" t="s">
        <v>74</v>
      </c>
      <c r="I3329" t="s">
        <v>54659</v>
      </c>
      <c r="J3329" t="s">
        <v>36720</v>
      </c>
      <c r="K3329" t="s">
        <v>74</v>
      </c>
      <c r="L3329" t="s">
        <v>74</v>
      </c>
      <c r="M3329" t="s">
        <v>78</v>
      </c>
      <c r="N3329" t="s">
        <v>79</v>
      </c>
      <c r="O3329" t="s">
        <v>74</v>
      </c>
      <c r="P3329" t="s">
        <v>74</v>
      </c>
      <c r="Q3329" t="s">
        <v>74</v>
      </c>
      <c r="R3329" t="s">
        <v>74</v>
      </c>
      <c r="S3329" t="s">
        <v>74</v>
      </c>
      <c r="T3329" t="s">
        <v>54660</v>
      </c>
      <c r="U3329" t="s">
        <v>54661</v>
      </c>
      <c r="V3329" t="s">
        <v>54662</v>
      </c>
      <c r="W3329" t="s">
        <v>54663</v>
      </c>
      <c r="X3329" t="s">
        <v>5505</v>
      </c>
      <c r="Y3329" t="s">
        <v>54664</v>
      </c>
      <c r="Z3329" t="s">
        <v>54665</v>
      </c>
      <c r="AA3329" t="s">
        <v>54666</v>
      </c>
      <c r="AB3329" t="s">
        <v>54667</v>
      </c>
      <c r="AC3329" t="s">
        <v>54668</v>
      </c>
      <c r="AD3329" t="s">
        <v>54669</v>
      </c>
      <c r="AE3329" t="s">
        <v>54670</v>
      </c>
      <c r="AF3329" t="s">
        <v>74</v>
      </c>
      <c r="AG3329">
        <v>58</v>
      </c>
      <c r="AH3329">
        <v>1</v>
      </c>
      <c r="AI3329">
        <v>2</v>
      </c>
      <c r="AJ3329">
        <v>0</v>
      </c>
      <c r="AK3329">
        <v>18</v>
      </c>
      <c r="AL3329" t="s">
        <v>230</v>
      </c>
      <c r="AM3329" t="s">
        <v>231</v>
      </c>
      <c r="AN3329" t="s">
        <v>232</v>
      </c>
      <c r="AO3329" t="s">
        <v>36727</v>
      </c>
      <c r="AP3329" t="s">
        <v>74</v>
      </c>
      <c r="AQ3329" t="s">
        <v>74</v>
      </c>
      <c r="AR3329" t="s">
        <v>36729</v>
      </c>
      <c r="AS3329" t="s">
        <v>36730</v>
      </c>
      <c r="AT3329" t="s">
        <v>208</v>
      </c>
      <c r="AU3329">
        <v>2017</v>
      </c>
      <c r="AV3329">
        <v>104</v>
      </c>
      <c r="AW3329" t="s">
        <v>74</v>
      </c>
      <c r="AX3329" t="s">
        <v>74</v>
      </c>
      <c r="AY3329" t="s">
        <v>74</v>
      </c>
      <c r="AZ3329" t="s">
        <v>74</v>
      </c>
      <c r="BA3329" t="s">
        <v>74</v>
      </c>
      <c r="BB3329">
        <v>155</v>
      </c>
      <c r="BC3329">
        <v>165</v>
      </c>
      <c r="BD3329" t="s">
        <v>74</v>
      </c>
      <c r="BE3329" t="s">
        <v>54671</v>
      </c>
      <c r="BF3329" t="str">
        <f>HYPERLINK("http://dx.doi.org/10.1016/j.paid.2016.07.019","http://dx.doi.org/10.1016/j.paid.2016.07.019")</f>
        <v>http://dx.doi.org/10.1016/j.paid.2016.07.019</v>
      </c>
      <c r="BG3329" t="s">
        <v>74</v>
      </c>
      <c r="BH3329" t="s">
        <v>74</v>
      </c>
      <c r="BI3329">
        <v>11</v>
      </c>
      <c r="BJ3329" t="s">
        <v>36732</v>
      </c>
      <c r="BK3329" t="s">
        <v>99</v>
      </c>
      <c r="BL3329" t="s">
        <v>2993</v>
      </c>
      <c r="BM3329" t="s">
        <v>54672</v>
      </c>
      <c r="BN3329" t="s">
        <v>74</v>
      </c>
      <c r="BO3329" t="s">
        <v>74</v>
      </c>
      <c r="BP3329" t="s">
        <v>74</v>
      </c>
      <c r="BQ3329" t="s">
        <v>74</v>
      </c>
      <c r="BR3329" t="s">
        <v>102</v>
      </c>
      <c r="BS3329" t="s">
        <v>54673</v>
      </c>
      <c r="BT3329" t="str">
        <f>HYPERLINK("https%3A%2F%2Fwww.webofscience.com%2Fwos%2Fwoscc%2Ffull-record%2FWOS:000386402400026","View Full Record in Web of Science")</f>
        <v>View Full Record in Web of Science</v>
      </c>
    </row>
    <row r="3330" spans="1:72" x14ac:dyDescent="0.25">
      <c r="A3330" t="s">
        <v>72</v>
      </c>
      <c r="B3330" t="s">
        <v>54674</v>
      </c>
      <c r="C3330" t="s">
        <v>74</v>
      </c>
      <c r="D3330" t="s">
        <v>74</v>
      </c>
      <c r="E3330" t="s">
        <v>74</v>
      </c>
      <c r="F3330" t="s">
        <v>54675</v>
      </c>
      <c r="G3330" t="s">
        <v>74</v>
      </c>
      <c r="H3330" t="s">
        <v>74</v>
      </c>
      <c r="I3330" t="s">
        <v>54676</v>
      </c>
      <c r="J3330" t="s">
        <v>54677</v>
      </c>
      <c r="K3330" t="s">
        <v>74</v>
      </c>
      <c r="L3330" t="s">
        <v>74</v>
      </c>
      <c r="M3330" t="s">
        <v>78</v>
      </c>
      <c r="N3330" t="s">
        <v>79</v>
      </c>
      <c r="O3330" t="s">
        <v>74</v>
      </c>
      <c r="P3330" t="s">
        <v>74</v>
      </c>
      <c r="Q3330" t="s">
        <v>74</v>
      </c>
      <c r="R3330" t="s">
        <v>74</v>
      </c>
      <c r="S3330" t="s">
        <v>74</v>
      </c>
      <c r="T3330" t="s">
        <v>54678</v>
      </c>
      <c r="U3330" t="s">
        <v>54679</v>
      </c>
      <c r="V3330" t="s">
        <v>54680</v>
      </c>
      <c r="W3330" t="s">
        <v>54681</v>
      </c>
      <c r="X3330" t="s">
        <v>54682</v>
      </c>
      <c r="Y3330" t="s">
        <v>54683</v>
      </c>
      <c r="Z3330" t="s">
        <v>54684</v>
      </c>
      <c r="AA3330" t="s">
        <v>74</v>
      </c>
      <c r="AB3330" t="s">
        <v>54685</v>
      </c>
      <c r="AC3330" t="s">
        <v>74</v>
      </c>
      <c r="AD3330" t="s">
        <v>74</v>
      </c>
      <c r="AE3330" t="s">
        <v>54686</v>
      </c>
      <c r="AF3330" t="s">
        <v>74</v>
      </c>
      <c r="AG3330">
        <v>85</v>
      </c>
      <c r="AH3330">
        <v>0</v>
      </c>
      <c r="AI3330">
        <v>0</v>
      </c>
      <c r="AJ3330">
        <v>2</v>
      </c>
      <c r="AK3330">
        <v>6</v>
      </c>
      <c r="AL3330" t="s">
        <v>201</v>
      </c>
      <c r="AM3330" t="s">
        <v>202</v>
      </c>
      <c r="AN3330" t="s">
        <v>203</v>
      </c>
      <c r="AO3330" t="s">
        <v>54687</v>
      </c>
      <c r="AP3330" t="s">
        <v>54688</v>
      </c>
      <c r="AQ3330" t="s">
        <v>74</v>
      </c>
      <c r="AR3330" t="s">
        <v>54689</v>
      </c>
      <c r="AS3330" t="s">
        <v>54690</v>
      </c>
      <c r="AT3330" t="s">
        <v>1652</v>
      </c>
      <c r="AU3330">
        <v>2025</v>
      </c>
      <c r="AV3330">
        <v>73</v>
      </c>
      <c r="AW3330" t="s">
        <v>74</v>
      </c>
      <c r="AX3330" t="s">
        <v>74</v>
      </c>
      <c r="AY3330" t="s">
        <v>74</v>
      </c>
      <c r="AZ3330" t="s">
        <v>74</v>
      </c>
      <c r="BA3330" t="s">
        <v>74</v>
      </c>
      <c r="BB3330">
        <v>51</v>
      </c>
      <c r="BC3330">
        <v>64</v>
      </c>
      <c r="BD3330" t="s">
        <v>74</v>
      </c>
      <c r="BE3330" t="s">
        <v>54691</v>
      </c>
      <c r="BF3330" t="str">
        <f>HYPERLINK("http://dx.doi.org/10.1016/j.strueco.2024.12.017","http://dx.doi.org/10.1016/j.strueco.2024.12.017")</f>
        <v>http://dx.doi.org/10.1016/j.strueco.2024.12.017</v>
      </c>
      <c r="BG3330" t="s">
        <v>74</v>
      </c>
      <c r="BH3330" t="s">
        <v>809</v>
      </c>
      <c r="BI3330">
        <v>14</v>
      </c>
      <c r="BJ3330" t="s">
        <v>291</v>
      </c>
      <c r="BK3330" t="s">
        <v>99</v>
      </c>
      <c r="BL3330" t="s">
        <v>100</v>
      </c>
      <c r="BM3330" t="s">
        <v>54692</v>
      </c>
      <c r="BN3330" t="s">
        <v>74</v>
      </c>
      <c r="BO3330" t="s">
        <v>74</v>
      </c>
      <c r="BP3330" t="s">
        <v>74</v>
      </c>
      <c r="BQ3330" t="s">
        <v>74</v>
      </c>
      <c r="BR3330" t="s">
        <v>102</v>
      </c>
      <c r="BS3330" t="s">
        <v>54693</v>
      </c>
      <c r="BT3330" t="str">
        <f>HYPERLINK("https%3A%2F%2Fwww.webofscience.com%2Fwos%2Fwoscc%2Ffull-record%2FWOS:001402219000001","View Full Record in Web of Science")</f>
        <v>View Full Record in Web of Science</v>
      </c>
    </row>
    <row r="3331" spans="1:72" x14ac:dyDescent="0.25">
      <c r="A3331" t="s">
        <v>72</v>
      </c>
      <c r="B3331" t="s">
        <v>54694</v>
      </c>
      <c r="C3331" t="s">
        <v>74</v>
      </c>
      <c r="D3331" t="s">
        <v>74</v>
      </c>
      <c r="E3331" t="s">
        <v>74</v>
      </c>
      <c r="F3331" t="s">
        <v>54695</v>
      </c>
      <c r="G3331" t="s">
        <v>74</v>
      </c>
      <c r="H3331" t="s">
        <v>74</v>
      </c>
      <c r="I3331" t="s">
        <v>54696</v>
      </c>
      <c r="J3331" t="s">
        <v>4956</v>
      </c>
      <c r="K3331" t="s">
        <v>74</v>
      </c>
      <c r="L3331" t="s">
        <v>74</v>
      </c>
      <c r="M3331" t="s">
        <v>78</v>
      </c>
      <c r="N3331" t="s">
        <v>79</v>
      </c>
      <c r="O3331" t="s">
        <v>74</v>
      </c>
      <c r="P3331" t="s">
        <v>74</v>
      </c>
      <c r="Q3331" t="s">
        <v>74</v>
      </c>
      <c r="R3331" t="s">
        <v>74</v>
      </c>
      <c r="S3331" t="s">
        <v>74</v>
      </c>
      <c r="T3331" t="s">
        <v>54697</v>
      </c>
      <c r="U3331" t="s">
        <v>54698</v>
      </c>
      <c r="V3331" t="s">
        <v>54699</v>
      </c>
      <c r="W3331" t="s">
        <v>54700</v>
      </c>
      <c r="X3331" t="s">
        <v>54701</v>
      </c>
      <c r="Y3331" t="s">
        <v>54702</v>
      </c>
      <c r="Z3331" t="s">
        <v>74</v>
      </c>
      <c r="AA3331" t="s">
        <v>54703</v>
      </c>
      <c r="AB3331" t="s">
        <v>74</v>
      </c>
      <c r="AC3331" t="s">
        <v>74</v>
      </c>
      <c r="AD3331" t="s">
        <v>74</v>
      </c>
      <c r="AE3331" t="s">
        <v>74</v>
      </c>
      <c r="AF3331" t="s">
        <v>74</v>
      </c>
      <c r="AG3331">
        <v>22</v>
      </c>
      <c r="AH3331">
        <v>6</v>
      </c>
      <c r="AI3331">
        <v>9</v>
      </c>
      <c r="AJ3331">
        <v>0</v>
      </c>
      <c r="AK3331">
        <v>18</v>
      </c>
      <c r="AL3331" t="s">
        <v>230</v>
      </c>
      <c r="AM3331" t="s">
        <v>231</v>
      </c>
      <c r="AN3331" t="s">
        <v>232</v>
      </c>
      <c r="AO3331" t="s">
        <v>4966</v>
      </c>
      <c r="AP3331" t="s">
        <v>74</v>
      </c>
      <c r="AQ3331" t="s">
        <v>74</v>
      </c>
      <c r="AR3331" t="s">
        <v>4968</v>
      </c>
      <c r="AS3331" t="s">
        <v>4969</v>
      </c>
      <c r="AT3331" t="s">
        <v>743</v>
      </c>
      <c r="AU3331">
        <v>2011</v>
      </c>
      <c r="AV3331">
        <v>39</v>
      </c>
      <c r="AW3331">
        <v>4</v>
      </c>
      <c r="AX3331" t="s">
        <v>74</v>
      </c>
      <c r="AY3331" t="s">
        <v>74</v>
      </c>
      <c r="AZ3331" t="s">
        <v>74</v>
      </c>
      <c r="BA3331" t="s">
        <v>74</v>
      </c>
      <c r="BB3331">
        <v>600</v>
      </c>
      <c r="BC3331">
        <v>610</v>
      </c>
      <c r="BD3331" t="s">
        <v>74</v>
      </c>
      <c r="BE3331" t="s">
        <v>54704</v>
      </c>
      <c r="BF3331" t="str">
        <f>HYPERLINK("http://dx.doi.org/10.1016/j.worlddev.2010.08.017","http://dx.doi.org/10.1016/j.worlddev.2010.08.017")</f>
        <v>http://dx.doi.org/10.1016/j.worlddev.2010.08.017</v>
      </c>
      <c r="BG3331" t="s">
        <v>74</v>
      </c>
      <c r="BH3331" t="s">
        <v>74</v>
      </c>
      <c r="BI3331">
        <v>11</v>
      </c>
      <c r="BJ3331" t="s">
        <v>701</v>
      </c>
      <c r="BK3331" t="s">
        <v>99</v>
      </c>
      <c r="BL3331" t="s">
        <v>702</v>
      </c>
      <c r="BM3331" t="s">
        <v>54705</v>
      </c>
      <c r="BN3331" t="s">
        <v>74</v>
      </c>
      <c r="BO3331" t="s">
        <v>74</v>
      </c>
      <c r="BP3331" t="s">
        <v>74</v>
      </c>
      <c r="BQ3331" t="s">
        <v>74</v>
      </c>
      <c r="BR3331" t="s">
        <v>102</v>
      </c>
      <c r="BS3331" t="s">
        <v>54706</v>
      </c>
      <c r="BT3331" t="str">
        <f>HYPERLINK("https%3A%2F%2Fwww.webofscience.com%2Fwos%2Fwoscc%2Ffull-record%2FWOS:000288638100011","View Full Record in Web of Science")</f>
        <v>View Full Record in Web of Science</v>
      </c>
    </row>
    <row r="3332" spans="1:72" x14ac:dyDescent="0.25">
      <c r="A3332" t="s">
        <v>72</v>
      </c>
      <c r="B3332" t="s">
        <v>54707</v>
      </c>
      <c r="C3332" t="s">
        <v>74</v>
      </c>
      <c r="D3332" t="s">
        <v>74</v>
      </c>
      <c r="E3332" t="s">
        <v>74</v>
      </c>
      <c r="F3332" t="s">
        <v>54708</v>
      </c>
      <c r="G3332" t="s">
        <v>74</v>
      </c>
      <c r="H3332" t="s">
        <v>74</v>
      </c>
      <c r="I3332" t="s">
        <v>54709</v>
      </c>
      <c r="J3332" t="s">
        <v>4618</v>
      </c>
      <c r="K3332" t="s">
        <v>74</v>
      </c>
      <c r="L3332" t="s">
        <v>74</v>
      </c>
      <c r="M3332" t="s">
        <v>78</v>
      </c>
      <c r="N3332" t="s">
        <v>79</v>
      </c>
      <c r="O3332" t="s">
        <v>74</v>
      </c>
      <c r="P3332" t="s">
        <v>74</v>
      </c>
      <c r="Q3332" t="s">
        <v>74</v>
      </c>
      <c r="R3332" t="s">
        <v>74</v>
      </c>
      <c r="S3332" t="s">
        <v>74</v>
      </c>
      <c r="T3332" t="s">
        <v>54710</v>
      </c>
      <c r="U3332" t="s">
        <v>54711</v>
      </c>
      <c r="V3332" t="s">
        <v>54712</v>
      </c>
      <c r="W3332" t="s">
        <v>54713</v>
      </c>
      <c r="X3332" t="s">
        <v>54714</v>
      </c>
      <c r="Y3332" t="s">
        <v>54715</v>
      </c>
      <c r="Z3332" t="s">
        <v>54716</v>
      </c>
      <c r="AA3332" t="s">
        <v>54717</v>
      </c>
      <c r="AB3332" t="s">
        <v>54718</v>
      </c>
      <c r="AC3332" t="s">
        <v>74</v>
      </c>
      <c r="AD3332" t="s">
        <v>74</v>
      </c>
      <c r="AE3332" t="s">
        <v>74</v>
      </c>
      <c r="AF3332" t="s">
        <v>74</v>
      </c>
      <c r="AG3332">
        <v>67</v>
      </c>
      <c r="AH3332">
        <v>6</v>
      </c>
      <c r="AI3332">
        <v>7</v>
      </c>
      <c r="AJ3332">
        <v>0</v>
      </c>
      <c r="AK3332">
        <v>10</v>
      </c>
      <c r="AL3332" t="s">
        <v>89</v>
      </c>
      <c r="AM3332" t="s">
        <v>90</v>
      </c>
      <c r="AN3332" t="s">
        <v>91</v>
      </c>
      <c r="AO3332" t="s">
        <v>4627</v>
      </c>
      <c r="AP3332" t="s">
        <v>4628</v>
      </c>
      <c r="AQ3332" t="s">
        <v>74</v>
      </c>
      <c r="AR3332" t="s">
        <v>4629</v>
      </c>
      <c r="AS3332" t="s">
        <v>4630</v>
      </c>
      <c r="AT3332" t="s">
        <v>54719</v>
      </c>
      <c r="AU3332">
        <v>2023</v>
      </c>
      <c r="AV3332">
        <v>16</v>
      </c>
      <c r="AW3332">
        <v>6</v>
      </c>
      <c r="AX3332" t="s">
        <v>74</v>
      </c>
      <c r="AY3332" t="s">
        <v>74</v>
      </c>
      <c r="AZ3332" t="s">
        <v>74</v>
      </c>
      <c r="BA3332" t="s">
        <v>74</v>
      </c>
      <c r="BB3332">
        <v>1219</v>
      </c>
      <c r="BC3332">
        <v>1247</v>
      </c>
      <c r="BD3332" t="s">
        <v>74</v>
      </c>
      <c r="BE3332" t="s">
        <v>54720</v>
      </c>
      <c r="BF3332" t="str">
        <f>HYPERLINK("http://dx.doi.org/10.1108/IMEFM-11-2022-0451","http://dx.doi.org/10.1108/IMEFM-11-2022-0451")</f>
        <v>http://dx.doi.org/10.1108/IMEFM-11-2022-0451</v>
      </c>
      <c r="BG3332" t="s">
        <v>74</v>
      </c>
      <c r="BH3332" t="s">
        <v>7993</v>
      </c>
      <c r="BI3332">
        <v>29</v>
      </c>
      <c r="BJ3332" t="s">
        <v>4632</v>
      </c>
      <c r="BK3332" t="s">
        <v>99</v>
      </c>
      <c r="BL3332" t="s">
        <v>100</v>
      </c>
      <c r="BM3332" t="s">
        <v>54721</v>
      </c>
      <c r="BN3332" t="s">
        <v>74</v>
      </c>
      <c r="BO3332" t="s">
        <v>74</v>
      </c>
      <c r="BP3332" t="s">
        <v>74</v>
      </c>
      <c r="BQ3332" t="s">
        <v>74</v>
      </c>
      <c r="BR3332" t="s">
        <v>102</v>
      </c>
      <c r="BS3332" t="s">
        <v>54722</v>
      </c>
      <c r="BT3332" t="str">
        <f>HYPERLINK("https%3A%2F%2Fwww.webofscience.com%2Fwos%2Fwoscc%2Ffull-record%2FWOS:001048807400001","View Full Record in Web of Science")</f>
        <v>View Full Record in Web of Science</v>
      </c>
    </row>
    <row r="3333" spans="1:72" x14ac:dyDescent="0.25">
      <c r="A3333" t="s">
        <v>72</v>
      </c>
      <c r="B3333" t="s">
        <v>54723</v>
      </c>
      <c r="C3333" t="s">
        <v>74</v>
      </c>
      <c r="D3333" t="s">
        <v>74</v>
      </c>
      <c r="E3333" t="s">
        <v>74</v>
      </c>
      <c r="F3333" t="s">
        <v>54724</v>
      </c>
      <c r="G3333" t="s">
        <v>74</v>
      </c>
      <c r="H3333" t="s">
        <v>74</v>
      </c>
      <c r="I3333" t="s">
        <v>54725</v>
      </c>
      <c r="J3333" t="s">
        <v>1659</v>
      </c>
      <c r="K3333" t="s">
        <v>74</v>
      </c>
      <c r="L3333" t="s">
        <v>74</v>
      </c>
      <c r="M3333" t="s">
        <v>78</v>
      </c>
      <c r="N3333" t="s">
        <v>79</v>
      </c>
      <c r="O3333" t="s">
        <v>74</v>
      </c>
      <c r="P3333" t="s">
        <v>74</v>
      </c>
      <c r="Q3333" t="s">
        <v>74</v>
      </c>
      <c r="R3333" t="s">
        <v>74</v>
      </c>
      <c r="S3333" t="s">
        <v>74</v>
      </c>
      <c r="T3333" t="s">
        <v>54726</v>
      </c>
      <c r="U3333" t="s">
        <v>74</v>
      </c>
      <c r="V3333" t="s">
        <v>54727</v>
      </c>
      <c r="W3333" t="s">
        <v>54728</v>
      </c>
      <c r="X3333" t="s">
        <v>54729</v>
      </c>
      <c r="Y3333" t="s">
        <v>54730</v>
      </c>
      <c r="Z3333" t="s">
        <v>54731</v>
      </c>
      <c r="AA3333" t="s">
        <v>54732</v>
      </c>
      <c r="AB3333" t="s">
        <v>54733</v>
      </c>
      <c r="AC3333" t="s">
        <v>54734</v>
      </c>
      <c r="AD3333" t="s">
        <v>54735</v>
      </c>
      <c r="AE3333" t="s">
        <v>54736</v>
      </c>
      <c r="AF3333" t="s">
        <v>74</v>
      </c>
      <c r="AG3333">
        <v>33</v>
      </c>
      <c r="AH3333">
        <v>5</v>
      </c>
      <c r="AI3333">
        <v>15</v>
      </c>
      <c r="AJ3333">
        <v>0</v>
      </c>
      <c r="AK3333">
        <v>22</v>
      </c>
      <c r="AL3333" t="s">
        <v>1666</v>
      </c>
      <c r="AM3333" t="s">
        <v>1667</v>
      </c>
      <c r="AN3333" t="s">
        <v>1668</v>
      </c>
      <c r="AO3333" t="s">
        <v>1669</v>
      </c>
      <c r="AP3333" t="s">
        <v>1670</v>
      </c>
      <c r="AQ3333" t="s">
        <v>74</v>
      </c>
      <c r="AR3333" t="s">
        <v>1671</v>
      </c>
      <c r="AS3333" t="s">
        <v>1672</v>
      </c>
      <c r="AT3333" t="s">
        <v>74</v>
      </c>
      <c r="AU3333">
        <v>2020</v>
      </c>
      <c r="AV3333">
        <v>16</v>
      </c>
      <c r="AW3333">
        <v>4</v>
      </c>
      <c r="AX3333" t="s">
        <v>74</v>
      </c>
      <c r="AY3333" t="s">
        <v>74</v>
      </c>
      <c r="AZ3333" t="s">
        <v>74</v>
      </c>
      <c r="BA3333" t="s">
        <v>74</v>
      </c>
      <c r="BB3333">
        <v>1115</v>
      </c>
      <c r="BC3333">
        <v>1131</v>
      </c>
      <c r="BD3333" t="s">
        <v>74</v>
      </c>
      <c r="BE3333" t="s">
        <v>54737</v>
      </c>
      <c r="BF3333" t="str">
        <f>HYPERLINK("http://dx.doi.org/10.17059/ekon.reg.2020-4-8","http://dx.doi.org/10.17059/ekon.reg.2020-4-8")</f>
        <v>http://dx.doi.org/10.17059/ekon.reg.2020-4-8</v>
      </c>
      <c r="BG3333" t="s">
        <v>74</v>
      </c>
      <c r="BH3333" t="s">
        <v>74</v>
      </c>
      <c r="BI3333">
        <v>17</v>
      </c>
      <c r="BJ3333" t="s">
        <v>1674</v>
      </c>
      <c r="BK3333" t="s">
        <v>313</v>
      </c>
      <c r="BL3333" t="s">
        <v>1674</v>
      </c>
      <c r="BM3333" t="s">
        <v>54738</v>
      </c>
      <c r="BN3333" t="s">
        <v>74</v>
      </c>
      <c r="BO3333" t="s">
        <v>315</v>
      </c>
      <c r="BP3333" t="s">
        <v>74</v>
      </c>
      <c r="BQ3333" t="s">
        <v>74</v>
      </c>
      <c r="BR3333" t="s">
        <v>102</v>
      </c>
      <c r="BS3333" t="s">
        <v>54739</v>
      </c>
      <c r="BT3333" t="str">
        <f>HYPERLINK("https%3A%2F%2Fwww.webofscience.com%2Fwos%2Fwoscc%2Ffull-record%2FWOS:000604649400008","View Full Record in Web of Science")</f>
        <v>View Full Record in Web of Science</v>
      </c>
    </row>
    <row r="3334" spans="1:72" x14ac:dyDescent="0.25">
      <c r="A3334" t="s">
        <v>72</v>
      </c>
      <c r="B3334" t="s">
        <v>54740</v>
      </c>
      <c r="C3334" t="s">
        <v>74</v>
      </c>
      <c r="D3334" t="s">
        <v>74</v>
      </c>
      <c r="E3334" t="s">
        <v>74</v>
      </c>
      <c r="F3334" t="s">
        <v>54741</v>
      </c>
      <c r="G3334" t="s">
        <v>74</v>
      </c>
      <c r="H3334" t="s">
        <v>74</v>
      </c>
      <c r="I3334" t="s">
        <v>54742</v>
      </c>
      <c r="J3334" t="s">
        <v>2692</v>
      </c>
      <c r="K3334" t="s">
        <v>74</v>
      </c>
      <c r="L3334" t="s">
        <v>74</v>
      </c>
      <c r="M3334" t="s">
        <v>78</v>
      </c>
      <c r="N3334" t="s">
        <v>79</v>
      </c>
      <c r="O3334" t="s">
        <v>74</v>
      </c>
      <c r="P3334" t="s">
        <v>74</v>
      </c>
      <c r="Q3334" t="s">
        <v>74</v>
      </c>
      <c r="R3334" t="s">
        <v>74</v>
      </c>
      <c r="S3334" t="s">
        <v>74</v>
      </c>
      <c r="T3334" t="s">
        <v>54743</v>
      </c>
      <c r="U3334" t="s">
        <v>54744</v>
      </c>
      <c r="V3334" t="s">
        <v>54745</v>
      </c>
      <c r="W3334" t="s">
        <v>54746</v>
      </c>
      <c r="X3334" t="s">
        <v>54747</v>
      </c>
      <c r="Y3334" t="s">
        <v>54748</v>
      </c>
      <c r="Z3334" t="s">
        <v>25348</v>
      </c>
      <c r="AA3334" t="s">
        <v>46482</v>
      </c>
      <c r="AB3334" t="s">
        <v>46483</v>
      </c>
      <c r="AC3334" t="s">
        <v>74</v>
      </c>
      <c r="AD3334" t="s">
        <v>74</v>
      </c>
      <c r="AE3334" t="s">
        <v>74</v>
      </c>
      <c r="AF3334" t="s">
        <v>74</v>
      </c>
      <c r="AG3334">
        <v>33</v>
      </c>
      <c r="AH3334">
        <v>57</v>
      </c>
      <c r="AI3334">
        <v>80</v>
      </c>
      <c r="AJ3334">
        <v>1</v>
      </c>
      <c r="AK3334">
        <v>24</v>
      </c>
      <c r="AL3334" t="s">
        <v>479</v>
      </c>
      <c r="AM3334" t="s">
        <v>480</v>
      </c>
      <c r="AN3334" t="s">
        <v>481</v>
      </c>
      <c r="AO3334" t="s">
        <v>2705</v>
      </c>
      <c r="AP3334" t="s">
        <v>2706</v>
      </c>
      <c r="AQ3334" t="s">
        <v>74</v>
      </c>
      <c r="AR3334" t="s">
        <v>2707</v>
      </c>
      <c r="AS3334" t="s">
        <v>2708</v>
      </c>
      <c r="AT3334" t="s">
        <v>1159</v>
      </c>
      <c r="AU3334">
        <v>2018</v>
      </c>
      <c r="AV3334">
        <v>67</v>
      </c>
      <c r="AW3334">
        <v>4</v>
      </c>
      <c r="AX3334" t="s">
        <v>74</v>
      </c>
      <c r="AY3334" t="s">
        <v>74</v>
      </c>
      <c r="AZ3334" t="s">
        <v>74</v>
      </c>
      <c r="BA3334" t="s">
        <v>74</v>
      </c>
      <c r="BB3334">
        <v>497</v>
      </c>
      <c r="BC3334">
        <v>509</v>
      </c>
      <c r="BD3334" t="s">
        <v>74</v>
      </c>
      <c r="BE3334" t="s">
        <v>54749</v>
      </c>
      <c r="BF3334" t="str">
        <f>HYPERLINK("http://dx.doi.org/10.1111/fare.12335","http://dx.doi.org/10.1111/fare.12335")</f>
        <v>http://dx.doi.org/10.1111/fare.12335</v>
      </c>
      <c r="BG3334" t="s">
        <v>74</v>
      </c>
      <c r="BH3334" t="s">
        <v>74</v>
      </c>
      <c r="BI3334">
        <v>13</v>
      </c>
      <c r="BJ3334" t="s">
        <v>240</v>
      </c>
      <c r="BK3334" t="s">
        <v>99</v>
      </c>
      <c r="BL3334" t="s">
        <v>240</v>
      </c>
      <c r="BM3334" t="s">
        <v>54750</v>
      </c>
      <c r="BN3334" t="s">
        <v>74</v>
      </c>
      <c r="BO3334" t="s">
        <v>1205</v>
      </c>
      <c r="BP3334" t="s">
        <v>74</v>
      </c>
      <c r="BQ3334" t="s">
        <v>74</v>
      </c>
      <c r="BR3334" t="s">
        <v>102</v>
      </c>
      <c r="BS3334" t="s">
        <v>54751</v>
      </c>
      <c r="BT3334" t="str">
        <f>HYPERLINK("https%3A%2F%2Fwww.webofscience.com%2Fwos%2Fwoscc%2Ffull-record%2FWOS:000446263800004","View Full Record in Web of Science")</f>
        <v>View Full Record in Web of Science</v>
      </c>
    </row>
    <row r="3335" spans="1:72" x14ac:dyDescent="0.25">
      <c r="A3335" t="s">
        <v>72</v>
      </c>
      <c r="B3335" t="s">
        <v>54752</v>
      </c>
      <c r="C3335" t="s">
        <v>74</v>
      </c>
      <c r="D3335" t="s">
        <v>74</v>
      </c>
      <c r="E3335" t="s">
        <v>74</v>
      </c>
      <c r="F3335" t="s">
        <v>54753</v>
      </c>
      <c r="G3335" t="s">
        <v>74</v>
      </c>
      <c r="H3335" t="s">
        <v>74</v>
      </c>
      <c r="I3335" t="s">
        <v>54754</v>
      </c>
      <c r="J3335" t="s">
        <v>51280</v>
      </c>
      <c r="K3335" t="s">
        <v>74</v>
      </c>
      <c r="L3335" t="s">
        <v>74</v>
      </c>
      <c r="M3335" t="s">
        <v>78</v>
      </c>
      <c r="N3335" t="s">
        <v>79</v>
      </c>
      <c r="O3335" t="s">
        <v>74</v>
      </c>
      <c r="P3335" t="s">
        <v>74</v>
      </c>
      <c r="Q3335" t="s">
        <v>74</v>
      </c>
      <c r="R3335" t="s">
        <v>74</v>
      </c>
      <c r="S3335" t="s">
        <v>74</v>
      </c>
      <c r="T3335" t="s">
        <v>54755</v>
      </c>
      <c r="U3335" t="s">
        <v>54756</v>
      </c>
      <c r="V3335" t="s">
        <v>54757</v>
      </c>
      <c r="W3335" t="s">
        <v>54758</v>
      </c>
      <c r="X3335" t="s">
        <v>54759</v>
      </c>
      <c r="Y3335" t="s">
        <v>54760</v>
      </c>
      <c r="Z3335" t="s">
        <v>54761</v>
      </c>
      <c r="AA3335" t="s">
        <v>49062</v>
      </c>
      <c r="AB3335" t="s">
        <v>49063</v>
      </c>
      <c r="AC3335" t="s">
        <v>50849</v>
      </c>
      <c r="AD3335" t="s">
        <v>50850</v>
      </c>
      <c r="AE3335" t="s">
        <v>54762</v>
      </c>
      <c r="AF3335" t="s">
        <v>74</v>
      </c>
      <c r="AG3335">
        <v>84</v>
      </c>
      <c r="AH3335">
        <v>15</v>
      </c>
      <c r="AI3335">
        <v>17</v>
      </c>
      <c r="AJ3335">
        <v>0</v>
      </c>
      <c r="AK3335">
        <v>15</v>
      </c>
      <c r="AL3335" t="s">
        <v>4485</v>
      </c>
      <c r="AM3335" t="s">
        <v>6724</v>
      </c>
      <c r="AN3335" t="s">
        <v>6725</v>
      </c>
      <c r="AO3335" t="s">
        <v>51290</v>
      </c>
      <c r="AP3335" t="s">
        <v>51291</v>
      </c>
      <c r="AQ3335" t="s">
        <v>74</v>
      </c>
      <c r="AR3335" t="s">
        <v>51280</v>
      </c>
      <c r="AS3335" t="s">
        <v>51292</v>
      </c>
      <c r="AT3335" t="s">
        <v>124</v>
      </c>
      <c r="AU3335">
        <v>2021</v>
      </c>
      <c r="AV3335">
        <v>111</v>
      </c>
      <c r="AW3335" t="s">
        <v>74</v>
      </c>
      <c r="AX3335" t="s">
        <v>74</v>
      </c>
      <c r="AY3335" t="s">
        <v>74</v>
      </c>
      <c r="AZ3335" t="s">
        <v>74</v>
      </c>
      <c r="BA3335" t="s">
        <v>74</v>
      </c>
      <c r="BB3335" t="s">
        <v>74</v>
      </c>
      <c r="BC3335" t="s">
        <v>74</v>
      </c>
      <c r="BD3335">
        <v>105765</v>
      </c>
      <c r="BE3335" t="s">
        <v>54763</v>
      </c>
      <c r="BF3335" t="str">
        <f>HYPERLINK("http://dx.doi.org/10.1016/j.landusepol.2021.105765","http://dx.doi.org/10.1016/j.landusepol.2021.105765")</f>
        <v>http://dx.doi.org/10.1016/j.landusepol.2021.105765</v>
      </c>
      <c r="BG3335" t="s">
        <v>74</v>
      </c>
      <c r="BH3335" t="s">
        <v>74</v>
      </c>
      <c r="BI3335">
        <v>12</v>
      </c>
      <c r="BJ3335" t="s">
        <v>14327</v>
      </c>
      <c r="BK3335" t="s">
        <v>99</v>
      </c>
      <c r="BL3335" t="s">
        <v>129</v>
      </c>
      <c r="BM3335" t="s">
        <v>54764</v>
      </c>
      <c r="BN3335" t="s">
        <v>74</v>
      </c>
      <c r="BO3335" t="s">
        <v>74</v>
      </c>
      <c r="BP3335" t="s">
        <v>74</v>
      </c>
      <c r="BQ3335" t="s">
        <v>74</v>
      </c>
      <c r="BR3335" t="s">
        <v>102</v>
      </c>
      <c r="BS3335" t="s">
        <v>54765</v>
      </c>
      <c r="BT3335" t="str">
        <f>HYPERLINK("https%3A%2F%2Fwww.webofscience.com%2Fwos%2Fwoscc%2Ffull-record%2FWOS:000725639300001","View Full Record in Web of Science")</f>
        <v>View Full Record in Web of Science</v>
      </c>
    </row>
    <row r="3336" spans="1:72" x14ac:dyDescent="0.25">
      <c r="A3336" t="s">
        <v>72</v>
      </c>
      <c r="B3336" t="s">
        <v>54766</v>
      </c>
      <c r="C3336" t="s">
        <v>74</v>
      </c>
      <c r="D3336" t="s">
        <v>74</v>
      </c>
      <c r="E3336" t="s">
        <v>74</v>
      </c>
      <c r="F3336" t="s">
        <v>54767</v>
      </c>
      <c r="G3336" t="s">
        <v>74</v>
      </c>
      <c r="H3336" t="s">
        <v>74</v>
      </c>
      <c r="I3336" t="s">
        <v>54768</v>
      </c>
      <c r="J3336" t="s">
        <v>3231</v>
      </c>
      <c r="K3336" t="s">
        <v>74</v>
      </c>
      <c r="L3336" t="s">
        <v>74</v>
      </c>
      <c r="M3336" t="s">
        <v>78</v>
      </c>
      <c r="N3336" t="s">
        <v>1766</v>
      </c>
      <c r="O3336" t="s">
        <v>74</v>
      </c>
      <c r="P3336" t="s">
        <v>74</v>
      </c>
      <c r="Q3336" t="s">
        <v>74</v>
      </c>
      <c r="R3336" t="s">
        <v>74</v>
      </c>
      <c r="S3336" t="s">
        <v>74</v>
      </c>
      <c r="T3336" t="s">
        <v>54769</v>
      </c>
      <c r="U3336" t="s">
        <v>54770</v>
      </c>
      <c r="V3336" t="s">
        <v>54771</v>
      </c>
      <c r="W3336" t="s">
        <v>54772</v>
      </c>
      <c r="X3336" t="s">
        <v>74</v>
      </c>
      <c r="Y3336" t="s">
        <v>54773</v>
      </c>
      <c r="Z3336" t="s">
        <v>54774</v>
      </c>
      <c r="AA3336" t="s">
        <v>74</v>
      </c>
      <c r="AB3336" t="s">
        <v>54775</v>
      </c>
      <c r="AC3336" t="s">
        <v>54776</v>
      </c>
      <c r="AD3336" t="s">
        <v>54777</v>
      </c>
      <c r="AE3336" t="s">
        <v>54778</v>
      </c>
      <c r="AF3336" t="s">
        <v>74</v>
      </c>
      <c r="AG3336">
        <v>236</v>
      </c>
      <c r="AH3336">
        <v>2</v>
      </c>
      <c r="AI3336">
        <v>2</v>
      </c>
      <c r="AJ3336">
        <v>9</v>
      </c>
      <c r="AK3336">
        <v>26</v>
      </c>
      <c r="AL3336" t="s">
        <v>575</v>
      </c>
      <c r="AM3336" t="s">
        <v>576</v>
      </c>
      <c r="AN3336" t="s">
        <v>3242</v>
      </c>
      <c r="AO3336" t="s">
        <v>74</v>
      </c>
      <c r="AP3336" t="s">
        <v>3243</v>
      </c>
      <c r="AQ3336" t="s">
        <v>74</v>
      </c>
      <c r="AR3336" t="s">
        <v>3244</v>
      </c>
      <c r="AS3336" t="s">
        <v>3245</v>
      </c>
      <c r="AT3336" t="s">
        <v>698</v>
      </c>
      <c r="AU3336">
        <v>2024</v>
      </c>
      <c r="AV3336">
        <v>16</v>
      </c>
      <c r="AW3336">
        <v>18</v>
      </c>
      <c r="AX3336" t="s">
        <v>74</v>
      </c>
      <c r="AY3336" t="s">
        <v>74</v>
      </c>
      <c r="AZ3336" t="s">
        <v>74</v>
      </c>
      <c r="BA3336" t="s">
        <v>74</v>
      </c>
      <c r="BB3336" t="s">
        <v>74</v>
      </c>
      <c r="BC3336" t="s">
        <v>74</v>
      </c>
      <c r="BD3336">
        <v>7908</v>
      </c>
      <c r="BE3336" t="s">
        <v>54779</v>
      </c>
      <c r="BF3336" t="str">
        <f>HYPERLINK("http://dx.doi.org/10.3390/su16187908","http://dx.doi.org/10.3390/su16187908")</f>
        <v>http://dx.doi.org/10.3390/su16187908</v>
      </c>
      <c r="BG3336" t="s">
        <v>74</v>
      </c>
      <c r="BH3336" t="s">
        <v>74</v>
      </c>
      <c r="BI3336">
        <v>23</v>
      </c>
      <c r="BJ3336" t="s">
        <v>3247</v>
      </c>
      <c r="BK3336" t="s">
        <v>2623</v>
      </c>
      <c r="BL3336" t="s">
        <v>3248</v>
      </c>
      <c r="BM3336" t="s">
        <v>54780</v>
      </c>
      <c r="BN3336" t="s">
        <v>74</v>
      </c>
      <c r="BO3336" t="s">
        <v>212</v>
      </c>
      <c r="BP3336" t="s">
        <v>74</v>
      </c>
      <c r="BQ3336" t="s">
        <v>74</v>
      </c>
      <c r="BR3336" t="s">
        <v>102</v>
      </c>
      <c r="BS3336" t="s">
        <v>54781</v>
      </c>
      <c r="BT3336" t="str">
        <f>HYPERLINK("https%3A%2F%2Fwww.webofscience.com%2Fwos%2Fwoscc%2Ffull-record%2FWOS:001323659900001","View Full Record in Web of Science")</f>
        <v>View Full Record in Web of Science</v>
      </c>
    </row>
    <row r="3337" spans="1:72" x14ac:dyDescent="0.25">
      <c r="A3337" t="s">
        <v>72</v>
      </c>
      <c r="B3337" t="s">
        <v>54782</v>
      </c>
      <c r="C3337" t="s">
        <v>74</v>
      </c>
      <c r="D3337" t="s">
        <v>74</v>
      </c>
      <c r="E3337" t="s">
        <v>74</v>
      </c>
      <c r="F3337" t="s">
        <v>54783</v>
      </c>
      <c r="G3337" t="s">
        <v>74</v>
      </c>
      <c r="H3337" t="s">
        <v>74</v>
      </c>
      <c r="I3337" t="s">
        <v>54784</v>
      </c>
      <c r="J3337" t="s">
        <v>54785</v>
      </c>
      <c r="K3337" t="s">
        <v>74</v>
      </c>
      <c r="L3337" t="s">
        <v>74</v>
      </c>
      <c r="M3337" t="s">
        <v>78</v>
      </c>
      <c r="N3337" t="s">
        <v>79</v>
      </c>
      <c r="O3337" t="s">
        <v>74</v>
      </c>
      <c r="P3337" t="s">
        <v>74</v>
      </c>
      <c r="Q3337" t="s">
        <v>74</v>
      </c>
      <c r="R3337" t="s">
        <v>74</v>
      </c>
      <c r="S3337" t="s">
        <v>74</v>
      </c>
      <c r="T3337" t="s">
        <v>54786</v>
      </c>
      <c r="U3337" t="s">
        <v>54787</v>
      </c>
      <c r="V3337" t="s">
        <v>54788</v>
      </c>
      <c r="W3337" t="s">
        <v>54789</v>
      </c>
      <c r="X3337" t="s">
        <v>74</v>
      </c>
      <c r="Y3337" t="s">
        <v>54790</v>
      </c>
      <c r="Z3337" t="s">
        <v>54791</v>
      </c>
      <c r="AA3337" t="s">
        <v>54792</v>
      </c>
      <c r="AB3337" t="s">
        <v>54793</v>
      </c>
      <c r="AC3337" t="s">
        <v>74</v>
      </c>
      <c r="AD3337" t="s">
        <v>74</v>
      </c>
      <c r="AE3337" t="s">
        <v>74</v>
      </c>
      <c r="AF3337" t="s">
        <v>74</v>
      </c>
      <c r="AG3337">
        <v>50</v>
      </c>
      <c r="AH3337">
        <v>47</v>
      </c>
      <c r="AI3337">
        <v>67</v>
      </c>
      <c r="AJ3337">
        <v>16</v>
      </c>
      <c r="AK3337">
        <v>35</v>
      </c>
      <c r="AL3337" t="s">
        <v>201</v>
      </c>
      <c r="AM3337" t="s">
        <v>202</v>
      </c>
      <c r="AN3337" t="s">
        <v>203</v>
      </c>
      <c r="AO3337" t="s">
        <v>54794</v>
      </c>
      <c r="AP3337" t="s">
        <v>74</v>
      </c>
      <c r="AQ3337" t="s">
        <v>74</v>
      </c>
      <c r="AR3337" t="s">
        <v>54795</v>
      </c>
      <c r="AS3337" t="s">
        <v>54796</v>
      </c>
      <c r="AT3337" t="s">
        <v>605</v>
      </c>
      <c r="AU3337">
        <v>2024</v>
      </c>
      <c r="AV3337">
        <v>7</v>
      </c>
      <c r="AW3337" t="s">
        <v>74</v>
      </c>
      <c r="AX3337" t="s">
        <v>74</v>
      </c>
      <c r="AY3337" t="s">
        <v>74</v>
      </c>
      <c r="AZ3337" t="s">
        <v>74</v>
      </c>
      <c r="BA3337" t="s">
        <v>74</v>
      </c>
      <c r="BB3337" t="s">
        <v>74</v>
      </c>
      <c r="BC3337" t="s">
        <v>74</v>
      </c>
      <c r="BD3337">
        <v>100379</v>
      </c>
      <c r="BE3337" t="s">
        <v>54797</v>
      </c>
      <c r="BF3337" t="str">
        <f>HYPERLINK("http://dx.doi.org/10.1016/j.atech.2023.100379","http://dx.doi.org/10.1016/j.atech.2023.100379")</f>
        <v>http://dx.doi.org/10.1016/j.atech.2023.100379</v>
      </c>
      <c r="BG3337" t="s">
        <v>74</v>
      </c>
      <c r="BH3337" t="s">
        <v>1524</v>
      </c>
      <c r="BI3337">
        <v>10</v>
      </c>
      <c r="BJ3337" t="s">
        <v>54798</v>
      </c>
      <c r="BK3337" t="s">
        <v>313</v>
      </c>
      <c r="BL3337" t="s">
        <v>5152</v>
      </c>
      <c r="BM3337" t="s">
        <v>54799</v>
      </c>
      <c r="BN3337" t="s">
        <v>74</v>
      </c>
      <c r="BO3337" t="s">
        <v>212</v>
      </c>
      <c r="BP3337" t="s">
        <v>74</v>
      </c>
      <c r="BQ3337" t="s">
        <v>74</v>
      </c>
      <c r="BR3337" t="s">
        <v>102</v>
      </c>
      <c r="BS3337" t="s">
        <v>54800</v>
      </c>
      <c r="BT3337" t="str">
        <f>HYPERLINK("https%3A%2F%2Fwww.webofscience.com%2Fwos%2Fwoscc%2Ffull-record%2FWOS:001134487200001","View Full Record in Web of Science")</f>
        <v>View Full Record in Web of Science</v>
      </c>
    </row>
    <row r="3338" spans="1:72" x14ac:dyDescent="0.25">
      <c r="A3338" t="s">
        <v>72</v>
      </c>
      <c r="B3338" t="s">
        <v>54801</v>
      </c>
      <c r="C3338" t="s">
        <v>74</v>
      </c>
      <c r="D3338" t="s">
        <v>74</v>
      </c>
      <c r="E3338" t="s">
        <v>74</v>
      </c>
      <c r="F3338" t="s">
        <v>54802</v>
      </c>
      <c r="G3338" t="s">
        <v>74</v>
      </c>
      <c r="H3338" t="s">
        <v>74</v>
      </c>
      <c r="I3338" t="s">
        <v>54803</v>
      </c>
      <c r="J3338" t="s">
        <v>13800</v>
      </c>
      <c r="K3338" t="s">
        <v>74</v>
      </c>
      <c r="L3338" t="s">
        <v>74</v>
      </c>
      <c r="M3338" t="s">
        <v>78</v>
      </c>
      <c r="N3338" t="s">
        <v>79</v>
      </c>
      <c r="O3338" t="s">
        <v>74</v>
      </c>
      <c r="P3338" t="s">
        <v>74</v>
      </c>
      <c r="Q3338" t="s">
        <v>74</v>
      </c>
      <c r="R3338" t="s">
        <v>74</v>
      </c>
      <c r="S3338" t="s">
        <v>74</v>
      </c>
      <c r="T3338" t="s">
        <v>54804</v>
      </c>
      <c r="U3338" t="s">
        <v>54805</v>
      </c>
      <c r="V3338" t="s">
        <v>54806</v>
      </c>
      <c r="W3338" t="s">
        <v>54807</v>
      </c>
      <c r="X3338" t="s">
        <v>14866</v>
      </c>
      <c r="Y3338" t="s">
        <v>54808</v>
      </c>
      <c r="Z3338" t="s">
        <v>14868</v>
      </c>
      <c r="AA3338" t="s">
        <v>14869</v>
      </c>
      <c r="AB3338" t="s">
        <v>14870</v>
      </c>
      <c r="AC3338" t="s">
        <v>74</v>
      </c>
      <c r="AD3338" t="s">
        <v>74</v>
      </c>
      <c r="AE3338" t="s">
        <v>74</v>
      </c>
      <c r="AF3338" t="s">
        <v>74</v>
      </c>
      <c r="AG3338">
        <v>111</v>
      </c>
      <c r="AH3338">
        <v>14</v>
      </c>
      <c r="AI3338">
        <v>19</v>
      </c>
      <c r="AJ3338">
        <v>4</v>
      </c>
      <c r="AK3338">
        <v>58</v>
      </c>
      <c r="AL3338" t="s">
        <v>89</v>
      </c>
      <c r="AM3338" t="s">
        <v>90</v>
      </c>
      <c r="AN3338" t="s">
        <v>91</v>
      </c>
      <c r="AO3338" t="s">
        <v>13808</v>
      </c>
      <c r="AP3338" t="s">
        <v>13809</v>
      </c>
      <c r="AQ3338" t="s">
        <v>74</v>
      </c>
      <c r="AR3338" t="s">
        <v>13810</v>
      </c>
      <c r="AS3338" t="s">
        <v>13811</v>
      </c>
      <c r="AT3338" t="s">
        <v>54809</v>
      </c>
      <c r="AU3338">
        <v>2021</v>
      </c>
      <c r="AV3338">
        <v>36</v>
      </c>
      <c r="AW3338">
        <v>8</v>
      </c>
      <c r="AX3338" t="s">
        <v>74</v>
      </c>
      <c r="AY3338" t="s">
        <v>74</v>
      </c>
      <c r="AZ3338" t="s">
        <v>74</v>
      </c>
      <c r="BA3338" t="s">
        <v>74</v>
      </c>
      <c r="BB3338">
        <v>930</v>
      </c>
      <c r="BC3338">
        <v>951</v>
      </c>
      <c r="BD3338" t="s">
        <v>74</v>
      </c>
      <c r="BE3338" t="s">
        <v>54810</v>
      </c>
      <c r="BF3338" t="str">
        <f>HYPERLINK("http://dx.doi.org/10.1108/GM-10-2020-0309","http://dx.doi.org/10.1108/GM-10-2020-0309")</f>
        <v>http://dx.doi.org/10.1108/GM-10-2020-0309</v>
      </c>
      <c r="BG3338" t="s">
        <v>74</v>
      </c>
      <c r="BH3338" t="s">
        <v>11151</v>
      </c>
      <c r="BI3338">
        <v>22</v>
      </c>
      <c r="BJ3338" t="s">
        <v>13813</v>
      </c>
      <c r="BK3338" t="s">
        <v>99</v>
      </c>
      <c r="BL3338" t="s">
        <v>13814</v>
      </c>
      <c r="BM3338" t="s">
        <v>54811</v>
      </c>
      <c r="BN3338" t="s">
        <v>74</v>
      </c>
      <c r="BO3338" t="s">
        <v>3694</v>
      </c>
      <c r="BP3338" t="s">
        <v>74</v>
      </c>
      <c r="BQ3338" t="s">
        <v>74</v>
      </c>
      <c r="BR3338" t="s">
        <v>102</v>
      </c>
      <c r="BS3338" t="s">
        <v>54812</v>
      </c>
      <c r="BT3338" t="str">
        <f>HYPERLINK("https%3A%2F%2Fwww.webofscience.com%2Fwos%2Fwoscc%2Ffull-record%2FWOS:000670406200001","View Full Record in Web of Science")</f>
        <v>View Full Record in Web of Science</v>
      </c>
    </row>
    <row r="3339" spans="1:72" x14ac:dyDescent="0.25">
      <c r="A3339" t="s">
        <v>132</v>
      </c>
      <c r="B3339" t="s">
        <v>54813</v>
      </c>
      <c r="C3339" t="s">
        <v>74</v>
      </c>
      <c r="D3339" t="s">
        <v>631</v>
      </c>
      <c r="E3339" t="s">
        <v>74</v>
      </c>
      <c r="F3339" t="s">
        <v>54814</v>
      </c>
      <c r="G3339" t="s">
        <v>74</v>
      </c>
      <c r="H3339" t="s">
        <v>74</v>
      </c>
      <c r="I3339" t="s">
        <v>54815</v>
      </c>
      <c r="J3339" t="s">
        <v>634</v>
      </c>
      <c r="K3339" t="s">
        <v>74</v>
      </c>
      <c r="L3339" t="s">
        <v>74</v>
      </c>
      <c r="M3339" t="s">
        <v>78</v>
      </c>
      <c r="N3339" t="s">
        <v>138</v>
      </c>
      <c r="O3339" t="s">
        <v>635</v>
      </c>
      <c r="P3339" t="s">
        <v>636</v>
      </c>
      <c r="Q3339" t="s">
        <v>637</v>
      </c>
      <c r="R3339" t="s">
        <v>638</v>
      </c>
      <c r="S3339" t="s">
        <v>74</v>
      </c>
      <c r="T3339" t="s">
        <v>54816</v>
      </c>
      <c r="U3339" t="s">
        <v>74</v>
      </c>
      <c r="V3339" t="s">
        <v>54817</v>
      </c>
      <c r="W3339" t="s">
        <v>54818</v>
      </c>
      <c r="X3339" t="s">
        <v>54819</v>
      </c>
      <c r="Y3339" t="s">
        <v>54820</v>
      </c>
      <c r="Z3339" t="s">
        <v>54821</v>
      </c>
      <c r="AA3339" t="s">
        <v>54822</v>
      </c>
      <c r="AB3339" t="s">
        <v>74</v>
      </c>
      <c r="AC3339" t="s">
        <v>74</v>
      </c>
      <c r="AD3339" t="s">
        <v>74</v>
      </c>
      <c r="AE3339" t="s">
        <v>74</v>
      </c>
      <c r="AF3339" t="s">
        <v>74</v>
      </c>
      <c r="AG3339">
        <v>23</v>
      </c>
      <c r="AH3339">
        <v>1</v>
      </c>
      <c r="AI3339">
        <v>1</v>
      </c>
      <c r="AJ3339">
        <v>0</v>
      </c>
      <c r="AK3339">
        <v>5</v>
      </c>
      <c r="AL3339" t="s">
        <v>645</v>
      </c>
      <c r="AM3339" t="s">
        <v>646</v>
      </c>
      <c r="AN3339" t="s">
        <v>647</v>
      </c>
      <c r="AO3339" t="s">
        <v>74</v>
      </c>
      <c r="AP3339" t="s">
        <v>74</v>
      </c>
      <c r="AQ3339" t="s">
        <v>648</v>
      </c>
      <c r="AR3339" t="s">
        <v>74</v>
      </c>
      <c r="AS3339" t="s">
        <v>74</v>
      </c>
      <c r="AT3339" t="s">
        <v>74</v>
      </c>
      <c r="AU3339">
        <v>2020</v>
      </c>
      <c r="AV3339" t="s">
        <v>74</v>
      </c>
      <c r="AW3339" t="s">
        <v>74</v>
      </c>
      <c r="AX3339" t="s">
        <v>74</v>
      </c>
      <c r="AY3339" t="s">
        <v>74</v>
      </c>
      <c r="AZ3339" t="s">
        <v>74</v>
      </c>
      <c r="BA3339" t="s">
        <v>74</v>
      </c>
      <c r="BB3339">
        <v>9844</v>
      </c>
      <c r="BC3339">
        <v>9854</v>
      </c>
      <c r="BD3339" t="s">
        <v>74</v>
      </c>
      <c r="BE3339" t="s">
        <v>74</v>
      </c>
      <c r="BF3339" t="s">
        <v>74</v>
      </c>
      <c r="BG3339" t="s">
        <v>74</v>
      </c>
      <c r="BH3339" t="s">
        <v>74</v>
      </c>
      <c r="BI3339">
        <v>11</v>
      </c>
      <c r="BJ3339" t="s">
        <v>649</v>
      </c>
      <c r="BK3339" t="s">
        <v>183</v>
      </c>
      <c r="BL3339" t="s">
        <v>650</v>
      </c>
      <c r="BM3339" t="s">
        <v>651</v>
      </c>
      <c r="BN3339" t="s">
        <v>74</v>
      </c>
      <c r="BO3339" t="s">
        <v>74</v>
      </c>
      <c r="BP3339" t="s">
        <v>74</v>
      </c>
      <c r="BQ3339" t="s">
        <v>74</v>
      </c>
      <c r="BR3339" t="s">
        <v>102</v>
      </c>
      <c r="BS3339" t="s">
        <v>54823</v>
      </c>
      <c r="BT3339" t="str">
        <f>HYPERLINK("https%3A%2F%2Fwww.webofscience.com%2Fwos%2Fwoscc%2Ffull-record%2FWOS:000661489800047","View Full Record in Web of Science")</f>
        <v>View Full Record in Web of Science</v>
      </c>
    </row>
    <row r="3340" spans="1:72" x14ac:dyDescent="0.25">
      <c r="A3340" t="s">
        <v>72</v>
      </c>
      <c r="B3340" t="s">
        <v>54824</v>
      </c>
      <c r="C3340" t="s">
        <v>74</v>
      </c>
      <c r="D3340" t="s">
        <v>74</v>
      </c>
      <c r="E3340" t="s">
        <v>74</v>
      </c>
      <c r="F3340" t="s">
        <v>54825</v>
      </c>
      <c r="G3340" t="s">
        <v>74</v>
      </c>
      <c r="H3340" t="s">
        <v>74</v>
      </c>
      <c r="I3340" t="s">
        <v>54826</v>
      </c>
      <c r="J3340" t="s">
        <v>51280</v>
      </c>
      <c r="K3340" t="s">
        <v>74</v>
      </c>
      <c r="L3340" t="s">
        <v>74</v>
      </c>
      <c r="M3340" t="s">
        <v>78</v>
      </c>
      <c r="N3340" t="s">
        <v>79</v>
      </c>
      <c r="O3340" t="s">
        <v>74</v>
      </c>
      <c r="P3340" t="s">
        <v>74</v>
      </c>
      <c r="Q3340" t="s">
        <v>74</v>
      </c>
      <c r="R3340" t="s">
        <v>74</v>
      </c>
      <c r="S3340" t="s">
        <v>74</v>
      </c>
      <c r="T3340" t="s">
        <v>54827</v>
      </c>
      <c r="U3340" t="s">
        <v>54828</v>
      </c>
      <c r="V3340" t="s">
        <v>54829</v>
      </c>
      <c r="W3340" t="s">
        <v>54830</v>
      </c>
      <c r="X3340" t="s">
        <v>54831</v>
      </c>
      <c r="Y3340" t="s">
        <v>54832</v>
      </c>
      <c r="Z3340" t="s">
        <v>54833</v>
      </c>
      <c r="AA3340" t="s">
        <v>54834</v>
      </c>
      <c r="AB3340" t="s">
        <v>54835</v>
      </c>
      <c r="AC3340" t="s">
        <v>54836</v>
      </c>
      <c r="AD3340" t="s">
        <v>54836</v>
      </c>
      <c r="AE3340" t="s">
        <v>54837</v>
      </c>
      <c r="AF3340" t="s">
        <v>74</v>
      </c>
      <c r="AG3340">
        <v>58</v>
      </c>
      <c r="AH3340">
        <v>9</v>
      </c>
      <c r="AI3340">
        <v>14</v>
      </c>
      <c r="AJ3340">
        <v>0</v>
      </c>
      <c r="AK3340">
        <v>48</v>
      </c>
      <c r="AL3340" t="s">
        <v>4485</v>
      </c>
      <c r="AM3340" t="s">
        <v>231</v>
      </c>
      <c r="AN3340" t="s">
        <v>4486</v>
      </c>
      <c r="AO3340" t="s">
        <v>51290</v>
      </c>
      <c r="AP3340" t="s">
        <v>51291</v>
      </c>
      <c r="AQ3340" t="s">
        <v>74</v>
      </c>
      <c r="AR3340" t="s">
        <v>51280</v>
      </c>
      <c r="AS3340" t="s">
        <v>51292</v>
      </c>
      <c r="AT3340" t="s">
        <v>124</v>
      </c>
      <c r="AU3340">
        <v>2018</v>
      </c>
      <c r="AV3340">
        <v>79</v>
      </c>
      <c r="AW3340" t="s">
        <v>74</v>
      </c>
      <c r="AX3340" t="s">
        <v>74</v>
      </c>
      <c r="AY3340" t="s">
        <v>74</v>
      </c>
      <c r="AZ3340" t="s">
        <v>74</v>
      </c>
      <c r="BA3340" t="s">
        <v>74</v>
      </c>
      <c r="BB3340">
        <v>707</v>
      </c>
      <c r="BC3340">
        <v>716</v>
      </c>
      <c r="BD3340" t="s">
        <v>74</v>
      </c>
      <c r="BE3340" t="s">
        <v>54838</v>
      </c>
      <c r="BF3340" t="str">
        <f>HYPERLINK("http://dx.doi.org/10.1016/j.landusepol.2018.09.005","http://dx.doi.org/10.1016/j.landusepol.2018.09.005")</f>
        <v>http://dx.doi.org/10.1016/j.landusepol.2018.09.005</v>
      </c>
      <c r="BG3340" t="s">
        <v>74</v>
      </c>
      <c r="BH3340" t="s">
        <v>74</v>
      </c>
      <c r="BI3340">
        <v>10</v>
      </c>
      <c r="BJ3340" t="s">
        <v>14327</v>
      </c>
      <c r="BK3340" t="s">
        <v>99</v>
      </c>
      <c r="BL3340" t="s">
        <v>129</v>
      </c>
      <c r="BM3340" t="s">
        <v>54839</v>
      </c>
      <c r="BN3340" t="s">
        <v>74</v>
      </c>
      <c r="BO3340" t="s">
        <v>74</v>
      </c>
      <c r="BP3340" t="s">
        <v>74</v>
      </c>
      <c r="BQ3340" t="s">
        <v>74</v>
      </c>
      <c r="BR3340" t="s">
        <v>102</v>
      </c>
      <c r="BS3340" t="s">
        <v>54840</v>
      </c>
      <c r="BT3340" t="str">
        <f>HYPERLINK("https%3A%2F%2Fwww.webofscience.com%2Fwos%2Fwoscc%2Ffull-record%2FWOS:000454378800063","View Full Record in Web of Science")</f>
        <v>View Full Record in Web of Science</v>
      </c>
    </row>
    <row r="3341" spans="1:72" x14ac:dyDescent="0.25">
      <c r="A3341" t="s">
        <v>72</v>
      </c>
      <c r="B3341" t="s">
        <v>54841</v>
      </c>
      <c r="C3341" t="s">
        <v>74</v>
      </c>
      <c r="D3341" t="s">
        <v>74</v>
      </c>
      <c r="E3341" t="s">
        <v>74</v>
      </c>
      <c r="F3341" t="s">
        <v>54842</v>
      </c>
      <c r="G3341" t="s">
        <v>74</v>
      </c>
      <c r="H3341" t="s">
        <v>74</v>
      </c>
      <c r="I3341" t="s">
        <v>54843</v>
      </c>
      <c r="J3341" t="s">
        <v>11490</v>
      </c>
      <c r="K3341" t="s">
        <v>74</v>
      </c>
      <c r="L3341" t="s">
        <v>74</v>
      </c>
      <c r="M3341" t="s">
        <v>78</v>
      </c>
      <c r="N3341" t="s">
        <v>79</v>
      </c>
      <c r="O3341" t="s">
        <v>74</v>
      </c>
      <c r="P3341" t="s">
        <v>74</v>
      </c>
      <c r="Q3341" t="s">
        <v>74</v>
      </c>
      <c r="R3341" t="s">
        <v>74</v>
      </c>
      <c r="S3341" t="s">
        <v>74</v>
      </c>
      <c r="T3341" t="s">
        <v>54844</v>
      </c>
      <c r="U3341" t="s">
        <v>54845</v>
      </c>
      <c r="V3341" t="s">
        <v>54846</v>
      </c>
      <c r="W3341" t="s">
        <v>54847</v>
      </c>
      <c r="X3341" t="s">
        <v>54848</v>
      </c>
      <c r="Y3341" t="s">
        <v>54849</v>
      </c>
      <c r="Z3341" t="s">
        <v>54850</v>
      </c>
      <c r="AA3341" t="s">
        <v>74</v>
      </c>
      <c r="AB3341" t="s">
        <v>54851</v>
      </c>
      <c r="AC3341" t="s">
        <v>54852</v>
      </c>
      <c r="AD3341" t="s">
        <v>54853</v>
      </c>
      <c r="AE3341" t="s">
        <v>54854</v>
      </c>
      <c r="AF3341" t="s">
        <v>74</v>
      </c>
      <c r="AG3341">
        <v>70</v>
      </c>
      <c r="AH3341">
        <v>45</v>
      </c>
      <c r="AI3341">
        <v>58</v>
      </c>
      <c r="AJ3341">
        <v>4</v>
      </c>
      <c r="AK3341">
        <v>40</v>
      </c>
      <c r="AL3341" t="s">
        <v>332</v>
      </c>
      <c r="AM3341" t="s">
        <v>333</v>
      </c>
      <c r="AN3341" t="s">
        <v>334</v>
      </c>
      <c r="AO3341" t="s">
        <v>11502</v>
      </c>
      <c r="AP3341" t="s">
        <v>11503</v>
      </c>
      <c r="AQ3341" t="s">
        <v>74</v>
      </c>
      <c r="AR3341" t="s">
        <v>11504</v>
      </c>
      <c r="AS3341" t="s">
        <v>11505</v>
      </c>
      <c r="AT3341" t="s">
        <v>13792</v>
      </c>
      <c r="AU3341">
        <v>2020</v>
      </c>
      <c r="AV3341">
        <v>26</v>
      </c>
      <c r="AW3341" t="s">
        <v>13793</v>
      </c>
      <c r="AX3341" t="s">
        <v>74</v>
      </c>
      <c r="AY3341" t="s">
        <v>74</v>
      </c>
      <c r="AZ3341" t="s">
        <v>441</v>
      </c>
      <c r="BA3341" t="s">
        <v>74</v>
      </c>
      <c r="BB3341">
        <v>302</v>
      </c>
      <c r="BC3341">
        <v>318</v>
      </c>
      <c r="BD3341" t="s">
        <v>74</v>
      </c>
      <c r="BE3341" t="s">
        <v>54855</v>
      </c>
      <c r="BF3341" t="str">
        <f>HYPERLINK("http://dx.doi.org/10.1080/1351847X.2019.1639526","http://dx.doi.org/10.1080/1351847X.2019.1639526")</f>
        <v>http://dx.doi.org/10.1080/1351847X.2019.1639526</v>
      </c>
      <c r="BG3341" t="s">
        <v>74</v>
      </c>
      <c r="BH3341" t="s">
        <v>8650</v>
      </c>
      <c r="BI3341">
        <v>17</v>
      </c>
      <c r="BJ3341" t="s">
        <v>268</v>
      </c>
      <c r="BK3341" t="s">
        <v>99</v>
      </c>
      <c r="BL3341" t="s">
        <v>100</v>
      </c>
      <c r="BM3341" t="s">
        <v>13795</v>
      </c>
      <c r="BN3341" t="s">
        <v>74</v>
      </c>
      <c r="BO3341" t="s">
        <v>74</v>
      </c>
      <c r="BP3341" t="s">
        <v>74</v>
      </c>
      <c r="BQ3341" t="s">
        <v>74</v>
      </c>
      <c r="BR3341" t="s">
        <v>102</v>
      </c>
      <c r="BS3341" t="s">
        <v>54856</v>
      </c>
      <c r="BT3341" t="str">
        <f>HYPERLINK("https%3A%2F%2Fwww.webofscience.com%2Fwos%2Fwoscc%2Ffull-record%2FWOS:000476428900001","View Full Record in Web of Science")</f>
        <v>View Full Record in Web of Science</v>
      </c>
    </row>
    <row r="3342" spans="1:72" x14ac:dyDescent="0.25">
      <c r="A3342" t="s">
        <v>72</v>
      </c>
      <c r="B3342" t="s">
        <v>54857</v>
      </c>
      <c r="C3342" t="s">
        <v>74</v>
      </c>
      <c r="D3342" t="s">
        <v>74</v>
      </c>
      <c r="E3342" t="s">
        <v>74</v>
      </c>
      <c r="F3342" t="s">
        <v>54858</v>
      </c>
      <c r="G3342" t="s">
        <v>74</v>
      </c>
      <c r="H3342" t="s">
        <v>74</v>
      </c>
      <c r="I3342" t="s">
        <v>54859</v>
      </c>
      <c r="J3342" t="s">
        <v>6306</v>
      </c>
      <c r="K3342" t="s">
        <v>74</v>
      </c>
      <c r="L3342" t="s">
        <v>74</v>
      </c>
      <c r="M3342" t="s">
        <v>78</v>
      </c>
      <c r="N3342" t="s">
        <v>79</v>
      </c>
      <c r="O3342" t="s">
        <v>74</v>
      </c>
      <c r="P3342" t="s">
        <v>74</v>
      </c>
      <c r="Q3342" t="s">
        <v>74</v>
      </c>
      <c r="R3342" t="s">
        <v>74</v>
      </c>
      <c r="S3342" t="s">
        <v>74</v>
      </c>
      <c r="T3342" t="s">
        <v>54860</v>
      </c>
      <c r="U3342" t="s">
        <v>45120</v>
      </c>
      <c r="V3342" t="s">
        <v>54861</v>
      </c>
      <c r="W3342" t="s">
        <v>54862</v>
      </c>
      <c r="X3342" t="s">
        <v>1992</v>
      </c>
      <c r="Y3342" t="s">
        <v>54863</v>
      </c>
      <c r="Z3342" t="s">
        <v>54864</v>
      </c>
      <c r="AA3342" t="s">
        <v>74</v>
      </c>
      <c r="AB3342" t="s">
        <v>54865</v>
      </c>
      <c r="AC3342" t="s">
        <v>74</v>
      </c>
      <c r="AD3342" t="s">
        <v>74</v>
      </c>
      <c r="AE3342" t="s">
        <v>74</v>
      </c>
      <c r="AF3342" t="s">
        <v>74</v>
      </c>
      <c r="AG3342">
        <v>54</v>
      </c>
      <c r="AH3342">
        <v>20</v>
      </c>
      <c r="AI3342">
        <v>21</v>
      </c>
      <c r="AJ3342">
        <v>2</v>
      </c>
      <c r="AK3342">
        <v>6</v>
      </c>
      <c r="AL3342" t="s">
        <v>575</v>
      </c>
      <c r="AM3342" t="s">
        <v>576</v>
      </c>
      <c r="AN3342" t="s">
        <v>3242</v>
      </c>
      <c r="AO3342" t="s">
        <v>74</v>
      </c>
      <c r="AP3342" t="s">
        <v>6319</v>
      </c>
      <c r="AQ3342" t="s">
        <v>74</v>
      </c>
      <c r="AR3342" t="s">
        <v>6306</v>
      </c>
      <c r="AS3342" t="s">
        <v>6320</v>
      </c>
      <c r="AT3342" t="s">
        <v>743</v>
      </c>
      <c r="AU3342">
        <v>2024</v>
      </c>
      <c r="AV3342">
        <v>12</v>
      </c>
      <c r="AW3342">
        <v>4</v>
      </c>
      <c r="AX3342" t="s">
        <v>74</v>
      </c>
      <c r="AY3342" t="s">
        <v>74</v>
      </c>
      <c r="AZ3342" t="s">
        <v>74</v>
      </c>
      <c r="BA3342" t="s">
        <v>74</v>
      </c>
      <c r="BB3342" t="s">
        <v>74</v>
      </c>
      <c r="BC3342" t="s">
        <v>74</v>
      </c>
      <c r="BD3342">
        <v>58</v>
      </c>
      <c r="BE3342" t="s">
        <v>54866</v>
      </c>
      <c r="BF3342" t="str">
        <f>HYPERLINK("http://dx.doi.org/10.3390/risks12040058","http://dx.doi.org/10.3390/risks12040058")</f>
        <v>http://dx.doi.org/10.3390/risks12040058</v>
      </c>
      <c r="BG3342" t="s">
        <v>74</v>
      </c>
      <c r="BH3342" t="s">
        <v>74</v>
      </c>
      <c r="BI3342">
        <v>21</v>
      </c>
      <c r="BJ3342" t="s">
        <v>268</v>
      </c>
      <c r="BK3342" t="s">
        <v>313</v>
      </c>
      <c r="BL3342" t="s">
        <v>100</v>
      </c>
      <c r="BM3342" t="s">
        <v>54867</v>
      </c>
      <c r="BN3342" t="s">
        <v>74</v>
      </c>
      <c r="BO3342" t="s">
        <v>916</v>
      </c>
      <c r="BP3342" t="s">
        <v>74</v>
      </c>
      <c r="BQ3342" t="s">
        <v>74</v>
      </c>
      <c r="BR3342" t="s">
        <v>102</v>
      </c>
      <c r="BS3342" t="s">
        <v>54868</v>
      </c>
      <c r="BT3342" t="str">
        <f>HYPERLINK("https%3A%2F%2Fwww.webofscience.com%2Fwos%2Fwoscc%2Ffull-record%2FWOS:001211392800001","View Full Record in Web of Science")</f>
        <v>View Full Record in Web of Science</v>
      </c>
    </row>
    <row r="3343" spans="1:72" x14ac:dyDescent="0.25">
      <c r="A3343" t="s">
        <v>72</v>
      </c>
      <c r="B3343" t="s">
        <v>54869</v>
      </c>
      <c r="C3343" t="s">
        <v>74</v>
      </c>
      <c r="D3343" t="s">
        <v>74</v>
      </c>
      <c r="E3343" t="s">
        <v>74</v>
      </c>
      <c r="F3343" t="s">
        <v>54870</v>
      </c>
      <c r="G3343" t="s">
        <v>74</v>
      </c>
      <c r="H3343" t="s">
        <v>74</v>
      </c>
      <c r="I3343" t="s">
        <v>54871</v>
      </c>
      <c r="J3343" t="s">
        <v>18194</v>
      </c>
      <c r="K3343" t="s">
        <v>74</v>
      </c>
      <c r="L3343" t="s">
        <v>74</v>
      </c>
      <c r="M3343" t="s">
        <v>78</v>
      </c>
      <c r="N3343" t="s">
        <v>79</v>
      </c>
      <c r="O3343" t="s">
        <v>74</v>
      </c>
      <c r="P3343" t="s">
        <v>74</v>
      </c>
      <c r="Q3343" t="s">
        <v>74</v>
      </c>
      <c r="R3343" t="s">
        <v>74</v>
      </c>
      <c r="S3343" t="s">
        <v>74</v>
      </c>
      <c r="T3343" t="s">
        <v>54872</v>
      </c>
      <c r="U3343" t="s">
        <v>54873</v>
      </c>
      <c r="V3343" t="s">
        <v>54874</v>
      </c>
      <c r="W3343" t="s">
        <v>54875</v>
      </c>
      <c r="X3343" t="s">
        <v>54876</v>
      </c>
      <c r="Y3343" t="s">
        <v>54877</v>
      </c>
      <c r="Z3343" t="s">
        <v>54878</v>
      </c>
      <c r="AA3343" t="s">
        <v>54879</v>
      </c>
      <c r="AB3343" t="s">
        <v>74</v>
      </c>
      <c r="AC3343" t="s">
        <v>74</v>
      </c>
      <c r="AD3343" t="s">
        <v>74</v>
      </c>
      <c r="AE3343" t="s">
        <v>74</v>
      </c>
      <c r="AF3343" t="s">
        <v>74</v>
      </c>
      <c r="AG3343">
        <v>45</v>
      </c>
      <c r="AH3343">
        <v>24</v>
      </c>
      <c r="AI3343">
        <v>27</v>
      </c>
      <c r="AJ3343">
        <v>5</v>
      </c>
      <c r="AK3343">
        <v>98</v>
      </c>
      <c r="AL3343" t="s">
        <v>575</v>
      </c>
      <c r="AM3343" t="s">
        <v>576</v>
      </c>
      <c r="AN3343" t="s">
        <v>3242</v>
      </c>
      <c r="AO3343" t="s">
        <v>74</v>
      </c>
      <c r="AP3343" t="s">
        <v>18205</v>
      </c>
      <c r="AQ3343" t="s">
        <v>74</v>
      </c>
      <c r="AR3343" t="s">
        <v>18194</v>
      </c>
      <c r="AS3343" t="s">
        <v>18206</v>
      </c>
      <c r="AT3343" t="s">
        <v>208</v>
      </c>
      <c r="AU3343">
        <v>2023</v>
      </c>
      <c r="AV3343">
        <v>13</v>
      </c>
      <c r="AW3343">
        <v>1</v>
      </c>
      <c r="AX3343" t="s">
        <v>74</v>
      </c>
      <c r="AY3343" t="s">
        <v>74</v>
      </c>
      <c r="AZ3343" t="s">
        <v>74</v>
      </c>
      <c r="BA3343" t="s">
        <v>74</v>
      </c>
      <c r="BB3343" t="s">
        <v>74</v>
      </c>
      <c r="BC3343" t="s">
        <v>74</v>
      </c>
      <c r="BD3343">
        <v>219</v>
      </c>
      <c r="BE3343" t="s">
        <v>54880</v>
      </c>
      <c r="BF3343" t="str">
        <f>HYPERLINK("http://dx.doi.org/10.3390/agriculture13010219","http://dx.doi.org/10.3390/agriculture13010219")</f>
        <v>http://dx.doi.org/10.3390/agriculture13010219</v>
      </c>
      <c r="BG3343" t="s">
        <v>74</v>
      </c>
      <c r="BH3343" t="s">
        <v>74</v>
      </c>
      <c r="BI3343">
        <v>13</v>
      </c>
      <c r="BJ3343" t="s">
        <v>18208</v>
      </c>
      <c r="BK3343" t="s">
        <v>128</v>
      </c>
      <c r="BL3343" t="s">
        <v>5152</v>
      </c>
      <c r="BM3343" t="s">
        <v>54881</v>
      </c>
      <c r="BN3343" t="s">
        <v>74</v>
      </c>
      <c r="BO3343" t="s">
        <v>916</v>
      </c>
      <c r="BP3343" t="s">
        <v>74</v>
      </c>
      <c r="BQ3343" t="s">
        <v>74</v>
      </c>
      <c r="BR3343" t="s">
        <v>102</v>
      </c>
      <c r="BS3343" t="s">
        <v>54882</v>
      </c>
      <c r="BT3343" t="str">
        <f>HYPERLINK("https%3A%2F%2Fwww.webofscience.com%2Fwos%2Fwoscc%2Ffull-record%2FWOS:000914392800001","View Full Record in Web of Science")</f>
        <v>View Full Record in Web of Science</v>
      </c>
    </row>
    <row r="3344" spans="1:72" x14ac:dyDescent="0.25">
      <c r="A3344" t="s">
        <v>72</v>
      </c>
      <c r="B3344" t="s">
        <v>54883</v>
      </c>
      <c r="C3344" t="s">
        <v>74</v>
      </c>
      <c r="D3344" t="s">
        <v>74</v>
      </c>
      <c r="E3344" t="s">
        <v>74</v>
      </c>
      <c r="F3344" t="s">
        <v>54884</v>
      </c>
      <c r="G3344" t="s">
        <v>74</v>
      </c>
      <c r="H3344" t="s">
        <v>74</v>
      </c>
      <c r="I3344" t="s">
        <v>54885</v>
      </c>
      <c r="J3344" t="s">
        <v>4657</v>
      </c>
      <c r="K3344" t="s">
        <v>74</v>
      </c>
      <c r="L3344" t="s">
        <v>74</v>
      </c>
      <c r="M3344" t="s">
        <v>78</v>
      </c>
      <c r="N3344" t="s">
        <v>1766</v>
      </c>
      <c r="O3344" t="s">
        <v>74</v>
      </c>
      <c r="P3344" t="s">
        <v>74</v>
      </c>
      <c r="Q3344" t="s">
        <v>74</v>
      </c>
      <c r="R3344" t="s">
        <v>74</v>
      </c>
      <c r="S3344" t="s">
        <v>74</v>
      </c>
      <c r="T3344" t="s">
        <v>54886</v>
      </c>
      <c r="U3344" t="s">
        <v>900</v>
      </c>
      <c r="V3344" t="s">
        <v>54887</v>
      </c>
      <c r="W3344" t="s">
        <v>54888</v>
      </c>
      <c r="X3344" t="s">
        <v>54889</v>
      </c>
      <c r="Y3344" t="s">
        <v>54890</v>
      </c>
      <c r="Z3344" t="s">
        <v>54891</v>
      </c>
      <c r="AA3344" t="s">
        <v>54892</v>
      </c>
      <c r="AB3344" t="s">
        <v>54893</v>
      </c>
      <c r="AC3344" t="s">
        <v>54894</v>
      </c>
      <c r="AD3344" t="s">
        <v>54894</v>
      </c>
      <c r="AE3344" t="s">
        <v>54895</v>
      </c>
      <c r="AF3344" t="s">
        <v>74</v>
      </c>
      <c r="AG3344">
        <v>44</v>
      </c>
      <c r="AH3344">
        <v>7</v>
      </c>
      <c r="AI3344">
        <v>9</v>
      </c>
      <c r="AJ3344">
        <v>26</v>
      </c>
      <c r="AK3344">
        <v>47</v>
      </c>
      <c r="AL3344" t="s">
        <v>4666</v>
      </c>
      <c r="AM3344" t="s">
        <v>995</v>
      </c>
      <c r="AN3344" t="s">
        <v>4025</v>
      </c>
      <c r="AO3344" t="s">
        <v>74</v>
      </c>
      <c r="AP3344" t="s">
        <v>4667</v>
      </c>
      <c r="AQ3344" t="s">
        <v>74</v>
      </c>
      <c r="AR3344" t="s">
        <v>4668</v>
      </c>
      <c r="AS3344" t="s">
        <v>4669</v>
      </c>
      <c r="AT3344" t="s">
        <v>19701</v>
      </c>
      <c r="AU3344">
        <v>2025</v>
      </c>
      <c r="AV3344">
        <v>6</v>
      </c>
      <c r="AW3344">
        <v>1</v>
      </c>
      <c r="AX3344" t="s">
        <v>74</v>
      </c>
      <c r="AY3344" t="s">
        <v>74</v>
      </c>
      <c r="AZ3344" t="s">
        <v>74</v>
      </c>
      <c r="BA3344" t="s">
        <v>74</v>
      </c>
      <c r="BB3344" t="s">
        <v>74</v>
      </c>
      <c r="BC3344" t="s">
        <v>74</v>
      </c>
      <c r="BD3344">
        <v>148</v>
      </c>
      <c r="BE3344" t="s">
        <v>54896</v>
      </c>
      <c r="BF3344" t="str">
        <f>HYPERLINK("http://dx.doi.org/10.1007/s43621-025-00934-2","http://dx.doi.org/10.1007/s43621-025-00934-2")</f>
        <v>http://dx.doi.org/10.1007/s43621-025-00934-2</v>
      </c>
      <c r="BG3344" t="s">
        <v>74</v>
      </c>
      <c r="BH3344" t="s">
        <v>74</v>
      </c>
      <c r="BI3344">
        <v>22</v>
      </c>
      <c r="BJ3344" t="s">
        <v>3247</v>
      </c>
      <c r="BK3344" t="s">
        <v>313</v>
      </c>
      <c r="BL3344" t="s">
        <v>3248</v>
      </c>
      <c r="BM3344" t="s">
        <v>54897</v>
      </c>
      <c r="BN3344" t="s">
        <v>74</v>
      </c>
      <c r="BO3344" t="s">
        <v>212</v>
      </c>
      <c r="BP3344" t="s">
        <v>74</v>
      </c>
      <c r="BQ3344" t="s">
        <v>74</v>
      </c>
      <c r="BR3344" t="s">
        <v>102</v>
      </c>
      <c r="BS3344" t="s">
        <v>54898</v>
      </c>
      <c r="BT3344" t="str">
        <f>HYPERLINK("https%3A%2F%2Fwww.webofscience.com%2Fwos%2Fwoscc%2Ffull-record%2FWOS:001434634600001","View Full Record in Web of Science")</f>
        <v>View Full Record in Web of Science</v>
      </c>
    </row>
    <row r="3345" spans="1:72" x14ac:dyDescent="0.25">
      <c r="A3345" t="s">
        <v>72</v>
      </c>
      <c r="B3345" t="s">
        <v>54899</v>
      </c>
      <c r="C3345" t="s">
        <v>74</v>
      </c>
      <c r="D3345" t="s">
        <v>74</v>
      </c>
      <c r="E3345" t="s">
        <v>74</v>
      </c>
      <c r="F3345" t="s">
        <v>54900</v>
      </c>
      <c r="G3345" t="s">
        <v>74</v>
      </c>
      <c r="H3345" t="s">
        <v>74</v>
      </c>
      <c r="I3345" t="s">
        <v>54901</v>
      </c>
      <c r="J3345" t="s">
        <v>4956</v>
      </c>
      <c r="K3345" t="s">
        <v>74</v>
      </c>
      <c r="L3345" t="s">
        <v>74</v>
      </c>
      <c r="M3345" t="s">
        <v>78</v>
      </c>
      <c r="N3345" t="s">
        <v>79</v>
      </c>
      <c r="O3345" t="s">
        <v>74</v>
      </c>
      <c r="P3345" t="s">
        <v>74</v>
      </c>
      <c r="Q3345" t="s">
        <v>74</v>
      </c>
      <c r="R3345" t="s">
        <v>74</v>
      </c>
      <c r="S3345" t="s">
        <v>74</v>
      </c>
      <c r="T3345" t="s">
        <v>54902</v>
      </c>
      <c r="U3345" t="s">
        <v>54903</v>
      </c>
      <c r="V3345" t="s">
        <v>54904</v>
      </c>
      <c r="W3345" t="s">
        <v>54905</v>
      </c>
      <c r="X3345" t="s">
        <v>2516</v>
      </c>
      <c r="Y3345" t="s">
        <v>54906</v>
      </c>
      <c r="Z3345" t="s">
        <v>74</v>
      </c>
      <c r="AA3345" t="s">
        <v>74</v>
      </c>
      <c r="AB3345" t="s">
        <v>74</v>
      </c>
      <c r="AC3345" t="s">
        <v>74</v>
      </c>
      <c r="AD3345" t="s">
        <v>74</v>
      </c>
      <c r="AE3345" t="s">
        <v>74</v>
      </c>
      <c r="AF3345" t="s">
        <v>74</v>
      </c>
      <c r="AG3345">
        <v>55</v>
      </c>
      <c r="AH3345">
        <v>366</v>
      </c>
      <c r="AI3345">
        <v>475</v>
      </c>
      <c r="AJ3345">
        <v>2</v>
      </c>
      <c r="AK3345">
        <v>72</v>
      </c>
      <c r="AL3345" t="s">
        <v>230</v>
      </c>
      <c r="AM3345" t="s">
        <v>231</v>
      </c>
      <c r="AN3345" t="s">
        <v>232</v>
      </c>
      <c r="AO3345" t="s">
        <v>4966</v>
      </c>
      <c r="AP3345" t="s">
        <v>74</v>
      </c>
      <c r="AQ3345" t="s">
        <v>74</v>
      </c>
      <c r="AR3345" t="s">
        <v>4968</v>
      </c>
      <c r="AS3345" t="s">
        <v>4969</v>
      </c>
      <c r="AT3345" t="s">
        <v>208</v>
      </c>
      <c r="AU3345">
        <v>2009</v>
      </c>
      <c r="AV3345">
        <v>37</v>
      </c>
      <c r="AW3345">
        <v>1</v>
      </c>
      <c r="AX3345" t="s">
        <v>74</v>
      </c>
      <c r="AY3345" t="s">
        <v>74</v>
      </c>
      <c r="AZ3345" t="s">
        <v>74</v>
      </c>
      <c r="BA3345" t="s">
        <v>74</v>
      </c>
      <c r="BB3345">
        <v>104</v>
      </c>
      <c r="BC3345">
        <v>115</v>
      </c>
      <c r="BD3345" t="s">
        <v>74</v>
      </c>
      <c r="BE3345" t="s">
        <v>54907</v>
      </c>
      <c r="BF3345" t="str">
        <f>HYPERLINK("http://dx.doi.org/10.1016/j.worlddev.2008.05.007","http://dx.doi.org/10.1016/j.worlddev.2008.05.007")</f>
        <v>http://dx.doi.org/10.1016/j.worlddev.2008.05.007</v>
      </c>
      <c r="BG3345" t="s">
        <v>74</v>
      </c>
      <c r="BH3345" t="s">
        <v>74</v>
      </c>
      <c r="BI3345">
        <v>12</v>
      </c>
      <c r="BJ3345" t="s">
        <v>701</v>
      </c>
      <c r="BK3345" t="s">
        <v>99</v>
      </c>
      <c r="BL3345" t="s">
        <v>702</v>
      </c>
      <c r="BM3345" t="s">
        <v>54908</v>
      </c>
      <c r="BN3345" t="s">
        <v>74</v>
      </c>
      <c r="BO3345" t="s">
        <v>74</v>
      </c>
      <c r="BP3345" t="s">
        <v>74</v>
      </c>
      <c r="BQ3345" t="s">
        <v>74</v>
      </c>
      <c r="BR3345" t="s">
        <v>102</v>
      </c>
      <c r="BS3345" t="s">
        <v>54909</v>
      </c>
      <c r="BT3345" t="str">
        <f>HYPERLINK("https%3A%2F%2Fwww.webofscience.com%2Fwos%2Fwoscc%2Ffull-record%2FWOS:000262273400009","View Full Record in Web of Science")</f>
        <v>View Full Record in Web of Science</v>
      </c>
    </row>
    <row r="3346" spans="1:72" x14ac:dyDescent="0.25">
      <c r="A3346" t="s">
        <v>72</v>
      </c>
      <c r="B3346" t="s">
        <v>54910</v>
      </c>
      <c r="C3346" t="s">
        <v>74</v>
      </c>
      <c r="D3346" t="s">
        <v>74</v>
      </c>
      <c r="E3346" t="s">
        <v>74</v>
      </c>
      <c r="F3346" t="s">
        <v>54911</v>
      </c>
      <c r="G3346" t="s">
        <v>74</v>
      </c>
      <c r="H3346" t="s">
        <v>74</v>
      </c>
      <c r="I3346" t="s">
        <v>54912</v>
      </c>
      <c r="J3346" t="s">
        <v>320</v>
      </c>
      <c r="K3346" t="s">
        <v>74</v>
      </c>
      <c r="L3346" t="s">
        <v>74</v>
      </c>
      <c r="M3346" t="s">
        <v>78</v>
      </c>
      <c r="N3346" t="s">
        <v>79</v>
      </c>
      <c r="O3346" t="s">
        <v>74</v>
      </c>
      <c r="P3346" t="s">
        <v>74</v>
      </c>
      <c r="Q3346" t="s">
        <v>74</v>
      </c>
      <c r="R3346" t="s">
        <v>74</v>
      </c>
      <c r="S3346" t="s">
        <v>74</v>
      </c>
      <c r="T3346" t="s">
        <v>54913</v>
      </c>
      <c r="U3346" t="s">
        <v>54914</v>
      </c>
      <c r="V3346" t="s">
        <v>54915</v>
      </c>
      <c r="W3346" t="s">
        <v>54916</v>
      </c>
      <c r="X3346" t="s">
        <v>5313</v>
      </c>
      <c r="Y3346" t="s">
        <v>54917</v>
      </c>
      <c r="Z3346" t="s">
        <v>54918</v>
      </c>
      <c r="AA3346" t="s">
        <v>74</v>
      </c>
      <c r="AB3346" t="s">
        <v>54919</v>
      </c>
      <c r="AC3346" t="s">
        <v>74</v>
      </c>
      <c r="AD3346" t="s">
        <v>74</v>
      </c>
      <c r="AE3346" t="s">
        <v>74</v>
      </c>
      <c r="AF3346" t="s">
        <v>74</v>
      </c>
      <c r="AG3346">
        <v>68</v>
      </c>
      <c r="AH3346">
        <v>23</v>
      </c>
      <c r="AI3346">
        <v>30</v>
      </c>
      <c r="AJ3346">
        <v>0</v>
      </c>
      <c r="AK3346">
        <v>17</v>
      </c>
      <c r="AL3346" t="s">
        <v>332</v>
      </c>
      <c r="AM3346" t="s">
        <v>333</v>
      </c>
      <c r="AN3346" t="s">
        <v>334</v>
      </c>
      <c r="AO3346" t="s">
        <v>335</v>
      </c>
      <c r="AP3346" t="s">
        <v>336</v>
      </c>
      <c r="AQ3346" t="s">
        <v>74</v>
      </c>
      <c r="AR3346" t="s">
        <v>337</v>
      </c>
      <c r="AS3346" t="s">
        <v>338</v>
      </c>
      <c r="AT3346" t="s">
        <v>10107</v>
      </c>
      <c r="AU3346">
        <v>2023</v>
      </c>
      <c r="AV3346">
        <v>30</v>
      </c>
      <c r="AW3346">
        <v>2</v>
      </c>
      <c r="AX3346" t="s">
        <v>74</v>
      </c>
      <c r="AY3346" t="s">
        <v>74</v>
      </c>
      <c r="AZ3346" t="s">
        <v>74</v>
      </c>
      <c r="BA3346" t="s">
        <v>74</v>
      </c>
      <c r="BB3346">
        <v>535</v>
      </c>
      <c r="BC3346">
        <v>557</v>
      </c>
      <c r="BD3346" t="s">
        <v>74</v>
      </c>
      <c r="BE3346" t="s">
        <v>54920</v>
      </c>
      <c r="BF3346" t="str">
        <f>HYPERLINK("http://dx.doi.org/10.1080/09692290.2021.2016470","http://dx.doi.org/10.1080/09692290.2021.2016470")</f>
        <v>http://dx.doi.org/10.1080/09692290.2021.2016470</v>
      </c>
      <c r="BG3346" t="s">
        <v>74</v>
      </c>
      <c r="BH3346" t="s">
        <v>2730</v>
      </c>
      <c r="BI3346">
        <v>23</v>
      </c>
      <c r="BJ3346" t="s">
        <v>342</v>
      </c>
      <c r="BK3346" t="s">
        <v>99</v>
      </c>
      <c r="BL3346" t="s">
        <v>343</v>
      </c>
      <c r="BM3346" t="s">
        <v>54921</v>
      </c>
      <c r="BN3346" t="s">
        <v>74</v>
      </c>
      <c r="BO3346" t="s">
        <v>270</v>
      </c>
      <c r="BP3346" t="s">
        <v>74</v>
      </c>
      <c r="BQ3346" t="s">
        <v>74</v>
      </c>
      <c r="BR3346" t="s">
        <v>102</v>
      </c>
      <c r="BS3346" t="s">
        <v>54922</v>
      </c>
      <c r="BT3346" t="str">
        <f>HYPERLINK("https%3A%2F%2Fwww.webofscience.com%2Fwos%2Fwoscc%2Ffull-record%2FWOS:000734956700001","View Full Record in Web of Science")</f>
        <v>View Full Record in Web of Science</v>
      </c>
    </row>
    <row r="3347" spans="1:72" x14ac:dyDescent="0.25">
      <c r="A3347" t="s">
        <v>72</v>
      </c>
      <c r="B3347" t="s">
        <v>54923</v>
      </c>
      <c r="C3347" t="s">
        <v>74</v>
      </c>
      <c r="D3347" t="s">
        <v>74</v>
      </c>
      <c r="E3347" t="s">
        <v>74</v>
      </c>
      <c r="F3347" t="s">
        <v>54924</v>
      </c>
      <c r="G3347" t="s">
        <v>74</v>
      </c>
      <c r="H3347" t="s">
        <v>74</v>
      </c>
      <c r="I3347" t="s">
        <v>54925</v>
      </c>
      <c r="J3347" t="s">
        <v>11135</v>
      </c>
      <c r="K3347" t="s">
        <v>74</v>
      </c>
      <c r="L3347" t="s">
        <v>74</v>
      </c>
      <c r="M3347" t="s">
        <v>78</v>
      </c>
      <c r="N3347" t="s">
        <v>79</v>
      </c>
      <c r="O3347" t="s">
        <v>74</v>
      </c>
      <c r="P3347" t="s">
        <v>74</v>
      </c>
      <c r="Q3347" t="s">
        <v>74</v>
      </c>
      <c r="R3347" t="s">
        <v>74</v>
      </c>
      <c r="S3347" t="s">
        <v>74</v>
      </c>
      <c r="T3347" t="s">
        <v>54926</v>
      </c>
      <c r="U3347" t="s">
        <v>54927</v>
      </c>
      <c r="V3347" t="s">
        <v>54928</v>
      </c>
      <c r="W3347" t="s">
        <v>54929</v>
      </c>
      <c r="X3347" t="s">
        <v>54930</v>
      </c>
      <c r="Y3347" t="s">
        <v>54931</v>
      </c>
      <c r="Z3347" t="s">
        <v>54932</v>
      </c>
      <c r="AA3347" t="s">
        <v>54933</v>
      </c>
      <c r="AB3347" t="s">
        <v>54934</v>
      </c>
      <c r="AC3347" t="s">
        <v>54935</v>
      </c>
      <c r="AD3347" t="s">
        <v>54936</v>
      </c>
      <c r="AE3347" t="s">
        <v>54937</v>
      </c>
      <c r="AF3347" t="s">
        <v>74</v>
      </c>
      <c r="AG3347">
        <v>55</v>
      </c>
      <c r="AH3347">
        <v>3</v>
      </c>
      <c r="AI3347">
        <v>6</v>
      </c>
      <c r="AJ3347">
        <v>13</v>
      </c>
      <c r="AK3347">
        <v>150</v>
      </c>
      <c r="AL3347" t="s">
        <v>332</v>
      </c>
      <c r="AM3347" t="s">
        <v>333</v>
      </c>
      <c r="AN3347" t="s">
        <v>334</v>
      </c>
      <c r="AO3347" t="s">
        <v>11145</v>
      </c>
      <c r="AP3347" t="s">
        <v>11146</v>
      </c>
      <c r="AQ3347" t="s">
        <v>74</v>
      </c>
      <c r="AR3347" t="s">
        <v>11147</v>
      </c>
      <c r="AS3347" t="s">
        <v>11148</v>
      </c>
      <c r="AT3347" t="s">
        <v>2326</v>
      </c>
      <c r="AU3347">
        <v>2025</v>
      </c>
      <c r="AV3347">
        <v>37</v>
      </c>
      <c r="AW3347">
        <v>12</v>
      </c>
      <c r="AX3347" t="s">
        <v>74</v>
      </c>
      <c r="AY3347" t="s">
        <v>74</v>
      </c>
      <c r="AZ3347" t="s">
        <v>74</v>
      </c>
      <c r="BA3347" t="s">
        <v>74</v>
      </c>
      <c r="BB3347">
        <v>2970</v>
      </c>
      <c r="BC3347">
        <v>2983</v>
      </c>
      <c r="BD3347" t="s">
        <v>74</v>
      </c>
      <c r="BE3347" t="s">
        <v>54938</v>
      </c>
      <c r="BF3347" t="str">
        <f>HYPERLINK("http://dx.doi.org/10.1080/09537325.2024.2389137","http://dx.doi.org/10.1080/09537325.2024.2389137")</f>
        <v>http://dx.doi.org/10.1080/09537325.2024.2389137</v>
      </c>
      <c r="BG3347" t="s">
        <v>74</v>
      </c>
      <c r="BH3347" t="s">
        <v>393</v>
      </c>
      <c r="BI3347">
        <v>14</v>
      </c>
      <c r="BJ3347" t="s">
        <v>11152</v>
      </c>
      <c r="BK3347" t="s">
        <v>99</v>
      </c>
      <c r="BL3347" t="s">
        <v>650</v>
      </c>
      <c r="BM3347" t="s">
        <v>54939</v>
      </c>
      <c r="BN3347" t="s">
        <v>74</v>
      </c>
      <c r="BO3347" t="s">
        <v>74</v>
      </c>
      <c r="BP3347" t="s">
        <v>74</v>
      </c>
      <c r="BQ3347" t="s">
        <v>74</v>
      </c>
      <c r="BR3347" t="s">
        <v>102</v>
      </c>
      <c r="BS3347" t="s">
        <v>54940</v>
      </c>
      <c r="BT3347" t="str">
        <f>HYPERLINK("https%3A%2F%2Fwww.webofscience.com%2Fwos%2Fwoscc%2Ffull-record%2FWOS:001289465700001","View Full Record in Web of Science")</f>
        <v>View Full Record in Web of Science</v>
      </c>
    </row>
    <row r="3348" spans="1:72" x14ac:dyDescent="0.25">
      <c r="A3348" t="s">
        <v>72</v>
      </c>
      <c r="B3348" t="s">
        <v>54941</v>
      </c>
      <c r="C3348" t="s">
        <v>74</v>
      </c>
      <c r="D3348" t="s">
        <v>74</v>
      </c>
      <c r="E3348" t="s">
        <v>74</v>
      </c>
      <c r="F3348" t="s">
        <v>54942</v>
      </c>
      <c r="G3348" t="s">
        <v>74</v>
      </c>
      <c r="H3348" t="s">
        <v>74</v>
      </c>
      <c r="I3348" t="s">
        <v>54943</v>
      </c>
      <c r="J3348" t="s">
        <v>54944</v>
      </c>
      <c r="K3348" t="s">
        <v>74</v>
      </c>
      <c r="L3348" t="s">
        <v>74</v>
      </c>
      <c r="M3348" t="s">
        <v>78</v>
      </c>
      <c r="N3348" t="s">
        <v>79</v>
      </c>
      <c r="O3348" t="s">
        <v>74</v>
      </c>
      <c r="P3348" t="s">
        <v>74</v>
      </c>
      <c r="Q3348" t="s">
        <v>74</v>
      </c>
      <c r="R3348" t="s">
        <v>74</v>
      </c>
      <c r="S3348" t="s">
        <v>74</v>
      </c>
      <c r="T3348" t="s">
        <v>54945</v>
      </c>
      <c r="U3348" t="s">
        <v>54946</v>
      </c>
      <c r="V3348" t="s">
        <v>54947</v>
      </c>
      <c r="W3348" t="s">
        <v>54948</v>
      </c>
      <c r="X3348" t="s">
        <v>54949</v>
      </c>
      <c r="Y3348" t="s">
        <v>54950</v>
      </c>
      <c r="Z3348" t="s">
        <v>54951</v>
      </c>
      <c r="AA3348" t="s">
        <v>54952</v>
      </c>
      <c r="AB3348" t="s">
        <v>74</v>
      </c>
      <c r="AC3348" t="s">
        <v>54953</v>
      </c>
      <c r="AD3348" t="s">
        <v>54954</v>
      </c>
      <c r="AE3348" t="s">
        <v>54955</v>
      </c>
      <c r="AF3348" t="s">
        <v>74</v>
      </c>
      <c r="AG3348">
        <v>43</v>
      </c>
      <c r="AH3348">
        <v>0</v>
      </c>
      <c r="AI3348">
        <v>0</v>
      </c>
      <c r="AJ3348">
        <v>0</v>
      </c>
      <c r="AK3348">
        <v>0</v>
      </c>
      <c r="AL3348" t="s">
        <v>54956</v>
      </c>
      <c r="AM3348" t="s">
        <v>10034</v>
      </c>
      <c r="AN3348" t="s">
        <v>54957</v>
      </c>
      <c r="AO3348" t="s">
        <v>54958</v>
      </c>
      <c r="AP3348" t="s">
        <v>54959</v>
      </c>
      <c r="AQ3348" t="s">
        <v>74</v>
      </c>
      <c r="AR3348" t="s">
        <v>54960</v>
      </c>
      <c r="AS3348" t="s">
        <v>54961</v>
      </c>
      <c r="AT3348" t="s">
        <v>1652</v>
      </c>
      <c r="AU3348">
        <v>2025</v>
      </c>
      <c r="AV3348">
        <v>25</v>
      </c>
      <c r="AW3348">
        <v>2</v>
      </c>
      <c r="AX3348" t="s">
        <v>74</v>
      </c>
      <c r="AY3348" t="s">
        <v>74</v>
      </c>
      <c r="AZ3348" t="s">
        <v>74</v>
      </c>
      <c r="BA3348" t="s">
        <v>74</v>
      </c>
      <c r="BB3348">
        <v>221</v>
      </c>
      <c r="BC3348">
        <v>233</v>
      </c>
      <c r="BD3348" t="s">
        <v>74</v>
      </c>
      <c r="BE3348" t="s">
        <v>54962</v>
      </c>
      <c r="BF3348" t="str">
        <f>HYPERLINK("http://dx.doi.org/10.5391/IJFIS.2025.25.2.221","http://dx.doi.org/10.5391/IJFIS.2025.25.2.221")</f>
        <v>http://dx.doi.org/10.5391/IJFIS.2025.25.2.221</v>
      </c>
      <c r="BG3348" t="s">
        <v>74</v>
      </c>
      <c r="BH3348" t="s">
        <v>74</v>
      </c>
      <c r="BI3348">
        <v>13</v>
      </c>
      <c r="BJ3348" t="s">
        <v>1803</v>
      </c>
      <c r="BK3348" t="s">
        <v>313</v>
      </c>
      <c r="BL3348" t="s">
        <v>157</v>
      </c>
      <c r="BM3348" t="s">
        <v>54963</v>
      </c>
      <c r="BN3348" t="s">
        <v>74</v>
      </c>
      <c r="BO3348" t="s">
        <v>212</v>
      </c>
      <c r="BP3348" t="s">
        <v>74</v>
      </c>
      <c r="BQ3348" t="s">
        <v>74</v>
      </c>
      <c r="BR3348" t="s">
        <v>102</v>
      </c>
      <c r="BS3348" t="s">
        <v>54964</v>
      </c>
      <c r="BT3348" t="str">
        <f>HYPERLINK("https%3A%2F%2Fwww.webofscience.com%2Fwos%2Fwoscc%2Ffull-record%2FWOS:001519235800009","View Full Record in Web of Science")</f>
        <v>View Full Record in Web of Science</v>
      </c>
    </row>
    <row r="3349" spans="1:72" x14ac:dyDescent="0.25">
      <c r="A3349" t="s">
        <v>72</v>
      </c>
      <c r="B3349" t="s">
        <v>54965</v>
      </c>
      <c r="C3349" t="s">
        <v>74</v>
      </c>
      <c r="D3349" t="s">
        <v>74</v>
      </c>
      <c r="E3349" t="s">
        <v>74</v>
      </c>
      <c r="F3349" t="s">
        <v>54966</v>
      </c>
      <c r="G3349" t="s">
        <v>74</v>
      </c>
      <c r="H3349" t="s">
        <v>74</v>
      </c>
      <c r="I3349" t="s">
        <v>54967</v>
      </c>
      <c r="J3349" t="s">
        <v>2943</v>
      </c>
      <c r="K3349" t="s">
        <v>74</v>
      </c>
      <c r="L3349" t="s">
        <v>74</v>
      </c>
      <c r="M3349" t="s">
        <v>78</v>
      </c>
      <c r="N3349" t="s">
        <v>79</v>
      </c>
      <c r="O3349" t="s">
        <v>74</v>
      </c>
      <c r="P3349" t="s">
        <v>74</v>
      </c>
      <c r="Q3349" t="s">
        <v>74</v>
      </c>
      <c r="R3349" t="s">
        <v>74</v>
      </c>
      <c r="S3349" t="s">
        <v>74</v>
      </c>
      <c r="T3349" t="s">
        <v>54968</v>
      </c>
      <c r="U3349" t="s">
        <v>9983</v>
      </c>
      <c r="V3349" t="s">
        <v>54969</v>
      </c>
      <c r="W3349" t="s">
        <v>54970</v>
      </c>
      <c r="X3349" t="s">
        <v>54971</v>
      </c>
      <c r="Y3349" t="s">
        <v>54972</v>
      </c>
      <c r="Z3349" t="s">
        <v>54973</v>
      </c>
      <c r="AA3349" t="s">
        <v>54974</v>
      </c>
      <c r="AB3349" t="s">
        <v>54975</v>
      </c>
      <c r="AC3349" t="s">
        <v>74</v>
      </c>
      <c r="AD3349" t="s">
        <v>74</v>
      </c>
      <c r="AE3349" t="s">
        <v>74</v>
      </c>
      <c r="AF3349" t="s">
        <v>74</v>
      </c>
      <c r="AG3349">
        <v>38</v>
      </c>
      <c r="AH3349">
        <v>23</v>
      </c>
      <c r="AI3349">
        <v>37</v>
      </c>
      <c r="AJ3349">
        <v>0</v>
      </c>
      <c r="AK3349">
        <v>34</v>
      </c>
      <c r="AL3349" t="s">
        <v>385</v>
      </c>
      <c r="AM3349" t="s">
        <v>151</v>
      </c>
      <c r="AN3349" t="s">
        <v>386</v>
      </c>
      <c r="AO3349" t="s">
        <v>2952</v>
      </c>
      <c r="AP3349" t="s">
        <v>2953</v>
      </c>
      <c r="AQ3349" t="s">
        <v>74</v>
      </c>
      <c r="AR3349" t="s">
        <v>2954</v>
      </c>
      <c r="AS3349" t="s">
        <v>2955</v>
      </c>
      <c r="AT3349" t="s">
        <v>14656</v>
      </c>
      <c r="AU3349">
        <v>2020</v>
      </c>
      <c r="AV3349">
        <v>6</v>
      </c>
      <c r="AW3349">
        <v>1</v>
      </c>
      <c r="AX3349" t="s">
        <v>74</v>
      </c>
      <c r="AY3349" t="s">
        <v>74</v>
      </c>
      <c r="AZ3349" t="s">
        <v>74</v>
      </c>
      <c r="BA3349" t="s">
        <v>74</v>
      </c>
      <c r="BB3349" t="s">
        <v>74</v>
      </c>
      <c r="BC3349" t="s">
        <v>74</v>
      </c>
      <c r="BD3349">
        <v>14</v>
      </c>
      <c r="BE3349" t="s">
        <v>54976</v>
      </c>
      <c r="BF3349" t="str">
        <f>HYPERLINK("http://dx.doi.org/10.1186/s43093-020-00022-z","http://dx.doi.org/10.1186/s43093-020-00022-z")</f>
        <v>http://dx.doi.org/10.1186/s43093-020-00022-z</v>
      </c>
      <c r="BG3349" t="s">
        <v>74</v>
      </c>
      <c r="BH3349" t="s">
        <v>74</v>
      </c>
      <c r="BI3349">
        <v>14</v>
      </c>
      <c r="BJ3349" t="s">
        <v>418</v>
      </c>
      <c r="BK3349" t="s">
        <v>313</v>
      </c>
      <c r="BL3349" t="s">
        <v>100</v>
      </c>
      <c r="BM3349" t="s">
        <v>54977</v>
      </c>
      <c r="BN3349" t="s">
        <v>74</v>
      </c>
      <c r="BO3349" t="s">
        <v>916</v>
      </c>
      <c r="BP3349" t="s">
        <v>74</v>
      </c>
      <c r="BQ3349" t="s">
        <v>74</v>
      </c>
      <c r="BR3349" t="s">
        <v>102</v>
      </c>
      <c r="BS3349" t="s">
        <v>54978</v>
      </c>
      <c r="BT3349" t="str">
        <f>HYPERLINK("https%3A%2F%2Fwww.webofscience.com%2Fwos%2Fwoscc%2Ffull-record%2FWOS:000521263200001","View Full Record in Web of Science")</f>
        <v>View Full Record in Web of Science</v>
      </c>
    </row>
    <row r="3350" spans="1:72" x14ac:dyDescent="0.25">
      <c r="A3350" t="s">
        <v>72</v>
      </c>
      <c r="B3350" t="s">
        <v>54979</v>
      </c>
      <c r="C3350" t="s">
        <v>74</v>
      </c>
      <c r="D3350" t="s">
        <v>74</v>
      </c>
      <c r="E3350" t="s">
        <v>74</v>
      </c>
      <c r="F3350" t="s">
        <v>54980</v>
      </c>
      <c r="G3350" t="s">
        <v>74</v>
      </c>
      <c r="H3350" t="s">
        <v>74</v>
      </c>
      <c r="I3350" t="s">
        <v>54981</v>
      </c>
      <c r="J3350" t="s">
        <v>3561</v>
      </c>
      <c r="K3350" t="s">
        <v>74</v>
      </c>
      <c r="L3350" t="s">
        <v>74</v>
      </c>
      <c r="M3350" t="s">
        <v>78</v>
      </c>
      <c r="N3350" t="s">
        <v>79</v>
      </c>
      <c r="O3350" t="s">
        <v>74</v>
      </c>
      <c r="P3350" t="s">
        <v>74</v>
      </c>
      <c r="Q3350" t="s">
        <v>74</v>
      </c>
      <c r="R3350" t="s">
        <v>74</v>
      </c>
      <c r="S3350" t="s">
        <v>74</v>
      </c>
      <c r="T3350" t="s">
        <v>54982</v>
      </c>
      <c r="U3350" t="s">
        <v>54983</v>
      </c>
      <c r="V3350" t="s">
        <v>54984</v>
      </c>
      <c r="W3350" t="s">
        <v>54985</v>
      </c>
      <c r="X3350" t="s">
        <v>74</v>
      </c>
      <c r="Y3350" t="s">
        <v>54986</v>
      </c>
      <c r="Z3350" t="s">
        <v>54987</v>
      </c>
      <c r="AA3350" t="s">
        <v>74</v>
      </c>
      <c r="AB3350" t="s">
        <v>74</v>
      </c>
      <c r="AC3350" t="s">
        <v>74</v>
      </c>
      <c r="AD3350" t="s">
        <v>74</v>
      </c>
      <c r="AE3350" t="s">
        <v>74</v>
      </c>
      <c r="AF3350" t="s">
        <v>74</v>
      </c>
      <c r="AG3350">
        <v>52</v>
      </c>
      <c r="AH3350">
        <v>5</v>
      </c>
      <c r="AI3350">
        <v>6</v>
      </c>
      <c r="AJ3350">
        <v>0</v>
      </c>
      <c r="AK3350">
        <v>4</v>
      </c>
      <c r="AL3350" t="s">
        <v>89</v>
      </c>
      <c r="AM3350" t="s">
        <v>90</v>
      </c>
      <c r="AN3350" t="s">
        <v>91</v>
      </c>
      <c r="AO3350" t="s">
        <v>3568</v>
      </c>
      <c r="AP3350" t="s">
        <v>3569</v>
      </c>
      <c r="AQ3350" t="s">
        <v>74</v>
      </c>
      <c r="AR3350" t="s">
        <v>3570</v>
      </c>
      <c r="AS3350" t="s">
        <v>3571</v>
      </c>
      <c r="AT3350" t="s">
        <v>35535</v>
      </c>
      <c r="AU3350">
        <v>2024</v>
      </c>
      <c r="AV3350">
        <v>27</v>
      </c>
      <c r="AW3350">
        <v>2</v>
      </c>
      <c r="AX3350" t="s">
        <v>74</v>
      </c>
      <c r="AY3350" t="s">
        <v>74</v>
      </c>
      <c r="AZ3350" t="s">
        <v>74</v>
      </c>
      <c r="BA3350" t="s">
        <v>74</v>
      </c>
      <c r="BB3350">
        <v>348</v>
      </c>
      <c r="BC3350">
        <v>362</v>
      </c>
      <c r="BD3350" t="s">
        <v>74</v>
      </c>
      <c r="BE3350" t="s">
        <v>54988</v>
      </c>
      <c r="BF3350" t="str">
        <f>HYPERLINK("http://dx.doi.org/10.1108/JMLC-02-2023-0040","http://dx.doi.org/10.1108/JMLC-02-2023-0040")</f>
        <v>http://dx.doi.org/10.1108/JMLC-02-2023-0040</v>
      </c>
      <c r="BG3350" t="s">
        <v>74</v>
      </c>
      <c r="BH3350" t="s">
        <v>13995</v>
      </c>
      <c r="BI3350">
        <v>15</v>
      </c>
      <c r="BJ3350" t="s">
        <v>3573</v>
      </c>
      <c r="BK3350" t="s">
        <v>313</v>
      </c>
      <c r="BL3350" t="s">
        <v>3573</v>
      </c>
      <c r="BM3350" t="s">
        <v>54989</v>
      </c>
      <c r="BN3350" t="s">
        <v>74</v>
      </c>
      <c r="BO3350" t="s">
        <v>74</v>
      </c>
      <c r="BP3350" t="s">
        <v>74</v>
      </c>
      <c r="BQ3350" t="s">
        <v>74</v>
      </c>
      <c r="BR3350" t="s">
        <v>102</v>
      </c>
      <c r="BS3350" t="s">
        <v>54990</v>
      </c>
      <c r="BT3350" t="str">
        <f>HYPERLINK("https%3A%2F%2Fwww.webofscience.com%2Fwos%2Fwoscc%2Ffull-record%2FWOS:000999651200001","View Full Record in Web of Science")</f>
        <v>View Full Record in Web of Science</v>
      </c>
    </row>
    <row r="3351" spans="1:72" x14ac:dyDescent="0.25">
      <c r="A3351" t="s">
        <v>72</v>
      </c>
      <c r="B3351" t="s">
        <v>54991</v>
      </c>
      <c r="C3351" t="s">
        <v>74</v>
      </c>
      <c r="D3351" t="s">
        <v>74</v>
      </c>
      <c r="E3351" t="s">
        <v>74</v>
      </c>
      <c r="F3351" t="s">
        <v>54992</v>
      </c>
      <c r="G3351" t="s">
        <v>74</v>
      </c>
      <c r="H3351" t="s">
        <v>74</v>
      </c>
      <c r="I3351" t="s">
        <v>54993</v>
      </c>
      <c r="J3351" t="s">
        <v>13634</v>
      </c>
      <c r="K3351" t="s">
        <v>74</v>
      </c>
      <c r="L3351" t="s">
        <v>74</v>
      </c>
      <c r="M3351" t="s">
        <v>78</v>
      </c>
      <c r="N3351" t="s">
        <v>79</v>
      </c>
      <c r="O3351" t="s">
        <v>74</v>
      </c>
      <c r="P3351" t="s">
        <v>74</v>
      </c>
      <c r="Q3351" t="s">
        <v>74</v>
      </c>
      <c r="R3351" t="s">
        <v>74</v>
      </c>
      <c r="S3351" t="s">
        <v>74</v>
      </c>
      <c r="T3351" t="s">
        <v>54994</v>
      </c>
      <c r="U3351" t="s">
        <v>54995</v>
      </c>
      <c r="V3351" t="s">
        <v>54996</v>
      </c>
      <c r="W3351" t="s">
        <v>54997</v>
      </c>
      <c r="X3351" t="s">
        <v>54998</v>
      </c>
      <c r="Y3351" t="s">
        <v>54999</v>
      </c>
      <c r="Z3351" t="s">
        <v>55000</v>
      </c>
      <c r="AA3351" t="s">
        <v>55001</v>
      </c>
      <c r="AB3351" t="s">
        <v>55002</v>
      </c>
      <c r="AC3351" t="s">
        <v>55003</v>
      </c>
      <c r="AD3351" t="s">
        <v>55004</v>
      </c>
      <c r="AE3351" t="s">
        <v>55005</v>
      </c>
      <c r="AF3351" t="s">
        <v>74</v>
      </c>
      <c r="AG3351">
        <v>65</v>
      </c>
      <c r="AH3351">
        <v>12</v>
      </c>
      <c r="AI3351">
        <v>14</v>
      </c>
      <c r="AJ3351">
        <v>1</v>
      </c>
      <c r="AK3351">
        <v>24</v>
      </c>
      <c r="AL3351" t="s">
        <v>3461</v>
      </c>
      <c r="AM3351" t="s">
        <v>3462</v>
      </c>
      <c r="AN3351" t="s">
        <v>3463</v>
      </c>
      <c r="AO3351" t="s">
        <v>13644</v>
      </c>
      <c r="AP3351" t="s">
        <v>13645</v>
      </c>
      <c r="AQ3351" t="s">
        <v>74</v>
      </c>
      <c r="AR3351" t="s">
        <v>13646</v>
      </c>
      <c r="AS3351" t="s">
        <v>13647</v>
      </c>
      <c r="AT3351" t="s">
        <v>605</v>
      </c>
      <c r="AU3351">
        <v>2023</v>
      </c>
      <c r="AV3351">
        <v>70</v>
      </c>
      <c r="AW3351">
        <v>3</v>
      </c>
      <c r="AX3351" t="s">
        <v>74</v>
      </c>
      <c r="AY3351" t="s">
        <v>74</v>
      </c>
      <c r="AZ3351" t="s">
        <v>74</v>
      </c>
      <c r="BA3351" t="s">
        <v>74</v>
      </c>
      <c r="BB3351">
        <v>1186</v>
      </c>
      <c r="BC3351">
        <v>1198</v>
      </c>
      <c r="BD3351" t="s">
        <v>74</v>
      </c>
      <c r="BE3351" t="s">
        <v>55006</v>
      </c>
      <c r="BF3351" t="str">
        <f>HYPERLINK("http://dx.doi.org/10.1109/TEM.2022.3156527","http://dx.doi.org/10.1109/TEM.2022.3156527")</f>
        <v>http://dx.doi.org/10.1109/TEM.2022.3156527</v>
      </c>
      <c r="BG3351" t="s">
        <v>74</v>
      </c>
      <c r="BH3351" t="s">
        <v>767</v>
      </c>
      <c r="BI3351">
        <v>13</v>
      </c>
      <c r="BJ3351" t="s">
        <v>13649</v>
      </c>
      <c r="BK3351" t="s">
        <v>2623</v>
      </c>
      <c r="BL3351" t="s">
        <v>13650</v>
      </c>
      <c r="BM3351" t="s">
        <v>55007</v>
      </c>
      <c r="BN3351" t="s">
        <v>74</v>
      </c>
      <c r="BO3351" t="s">
        <v>74</v>
      </c>
      <c r="BP3351" t="s">
        <v>74</v>
      </c>
      <c r="BQ3351" t="s">
        <v>74</v>
      </c>
      <c r="BR3351" t="s">
        <v>102</v>
      </c>
      <c r="BS3351" t="s">
        <v>55008</v>
      </c>
      <c r="BT3351" t="str">
        <f>HYPERLINK("https%3A%2F%2Fwww.webofscience.com%2Fwos%2Fwoscc%2Ffull-record%2FWOS:000773235600001","View Full Record in Web of Science")</f>
        <v>View Full Record in Web of Science</v>
      </c>
    </row>
    <row r="3352" spans="1:72" x14ac:dyDescent="0.25">
      <c r="A3352" t="s">
        <v>72</v>
      </c>
      <c r="B3352" t="s">
        <v>55009</v>
      </c>
      <c r="C3352" t="s">
        <v>74</v>
      </c>
      <c r="D3352" t="s">
        <v>74</v>
      </c>
      <c r="E3352" t="s">
        <v>74</v>
      </c>
      <c r="F3352" t="s">
        <v>55010</v>
      </c>
      <c r="G3352" t="s">
        <v>74</v>
      </c>
      <c r="H3352" t="s">
        <v>74</v>
      </c>
      <c r="I3352" t="s">
        <v>55011</v>
      </c>
      <c r="J3352" t="s">
        <v>9616</v>
      </c>
      <c r="K3352" t="s">
        <v>74</v>
      </c>
      <c r="L3352" t="s">
        <v>74</v>
      </c>
      <c r="M3352" t="s">
        <v>78</v>
      </c>
      <c r="N3352" t="s">
        <v>79</v>
      </c>
      <c r="O3352" t="s">
        <v>74</v>
      </c>
      <c r="P3352" t="s">
        <v>74</v>
      </c>
      <c r="Q3352" t="s">
        <v>74</v>
      </c>
      <c r="R3352" t="s">
        <v>74</v>
      </c>
      <c r="S3352" t="s">
        <v>74</v>
      </c>
      <c r="T3352" t="s">
        <v>55012</v>
      </c>
      <c r="U3352" t="s">
        <v>55013</v>
      </c>
      <c r="V3352" t="s">
        <v>55014</v>
      </c>
      <c r="W3352" t="s">
        <v>55015</v>
      </c>
      <c r="X3352" t="s">
        <v>55016</v>
      </c>
      <c r="Y3352" t="s">
        <v>55017</v>
      </c>
      <c r="Z3352" t="s">
        <v>55018</v>
      </c>
      <c r="AA3352" t="s">
        <v>74</v>
      </c>
      <c r="AB3352" t="s">
        <v>74</v>
      </c>
      <c r="AC3352" t="s">
        <v>74</v>
      </c>
      <c r="AD3352" t="s">
        <v>74</v>
      </c>
      <c r="AE3352" t="s">
        <v>74</v>
      </c>
      <c r="AF3352" t="s">
        <v>74</v>
      </c>
      <c r="AG3352">
        <v>131</v>
      </c>
      <c r="AH3352">
        <v>0</v>
      </c>
      <c r="AI3352">
        <v>0</v>
      </c>
      <c r="AJ3352">
        <v>2</v>
      </c>
      <c r="AK3352">
        <v>2</v>
      </c>
      <c r="AL3352" t="s">
        <v>575</v>
      </c>
      <c r="AM3352" t="s">
        <v>576</v>
      </c>
      <c r="AN3352" t="s">
        <v>577</v>
      </c>
      <c r="AO3352" t="s">
        <v>74</v>
      </c>
      <c r="AP3352" t="s">
        <v>9626</v>
      </c>
      <c r="AQ3352" t="s">
        <v>74</v>
      </c>
      <c r="AR3352" t="s">
        <v>9616</v>
      </c>
      <c r="AS3352" t="s">
        <v>9627</v>
      </c>
      <c r="AT3352" t="s">
        <v>19170</v>
      </c>
      <c r="AU3352">
        <v>2025</v>
      </c>
      <c r="AV3352">
        <v>13</v>
      </c>
      <c r="AW3352">
        <v>11</v>
      </c>
      <c r="AX3352" t="s">
        <v>74</v>
      </c>
      <c r="AY3352" t="s">
        <v>74</v>
      </c>
      <c r="AZ3352" t="s">
        <v>74</v>
      </c>
      <c r="BA3352" t="s">
        <v>74</v>
      </c>
      <c r="BB3352" t="s">
        <v>74</v>
      </c>
      <c r="BC3352" t="s">
        <v>74</v>
      </c>
      <c r="BD3352">
        <v>317</v>
      </c>
      <c r="BE3352" t="s">
        <v>55019</v>
      </c>
      <c r="BF3352" t="str">
        <f>HYPERLINK("http://dx.doi.org/10.3390/economies13110317","http://dx.doi.org/10.3390/economies13110317")</f>
        <v>http://dx.doi.org/10.3390/economies13110317</v>
      </c>
      <c r="BG3352" t="s">
        <v>74</v>
      </c>
      <c r="BH3352" t="s">
        <v>74</v>
      </c>
      <c r="BI3352">
        <v>29</v>
      </c>
      <c r="BJ3352" t="s">
        <v>291</v>
      </c>
      <c r="BK3352" t="s">
        <v>313</v>
      </c>
      <c r="BL3352" t="s">
        <v>100</v>
      </c>
      <c r="BM3352" t="s">
        <v>55020</v>
      </c>
      <c r="BN3352" t="s">
        <v>74</v>
      </c>
      <c r="BO3352" t="s">
        <v>212</v>
      </c>
      <c r="BP3352" t="s">
        <v>74</v>
      </c>
      <c r="BQ3352" t="s">
        <v>74</v>
      </c>
      <c r="BR3352" t="s">
        <v>102</v>
      </c>
      <c r="BS3352" t="s">
        <v>55021</v>
      </c>
      <c r="BT3352" t="str">
        <f>HYPERLINK("https%3A%2F%2Fwww.webofscience.com%2Fwos%2Fwoscc%2Ffull-record%2FWOS:001623672900001","View Full Record in Web of Science")</f>
        <v>View Full Record in Web of Science</v>
      </c>
    </row>
    <row r="3353" spans="1:72" x14ac:dyDescent="0.25">
      <c r="A3353" t="s">
        <v>72</v>
      </c>
      <c r="B3353" t="s">
        <v>55022</v>
      </c>
      <c r="C3353" t="s">
        <v>74</v>
      </c>
      <c r="D3353" t="s">
        <v>74</v>
      </c>
      <c r="E3353" t="s">
        <v>74</v>
      </c>
      <c r="F3353" t="s">
        <v>55023</v>
      </c>
      <c r="G3353" t="s">
        <v>74</v>
      </c>
      <c r="H3353" t="s">
        <v>74</v>
      </c>
      <c r="I3353" t="s">
        <v>55024</v>
      </c>
      <c r="J3353" t="s">
        <v>320</v>
      </c>
      <c r="K3353" t="s">
        <v>74</v>
      </c>
      <c r="L3353" t="s">
        <v>74</v>
      </c>
      <c r="M3353" t="s">
        <v>78</v>
      </c>
      <c r="N3353" t="s">
        <v>79</v>
      </c>
      <c r="O3353" t="s">
        <v>74</v>
      </c>
      <c r="P3353" t="s">
        <v>74</v>
      </c>
      <c r="Q3353" t="s">
        <v>74</v>
      </c>
      <c r="R3353" t="s">
        <v>74</v>
      </c>
      <c r="S3353" t="s">
        <v>74</v>
      </c>
      <c r="T3353" t="s">
        <v>55025</v>
      </c>
      <c r="U3353" t="s">
        <v>55026</v>
      </c>
      <c r="V3353" t="s">
        <v>55027</v>
      </c>
      <c r="W3353" t="s">
        <v>55028</v>
      </c>
      <c r="X3353" t="s">
        <v>52867</v>
      </c>
      <c r="Y3353" t="s">
        <v>55029</v>
      </c>
      <c r="Z3353" t="s">
        <v>55030</v>
      </c>
      <c r="AA3353" t="s">
        <v>74</v>
      </c>
      <c r="AB3353" t="s">
        <v>53800</v>
      </c>
      <c r="AC3353" t="s">
        <v>74</v>
      </c>
      <c r="AD3353" t="s">
        <v>74</v>
      </c>
      <c r="AE3353" t="s">
        <v>74</v>
      </c>
      <c r="AF3353" t="s">
        <v>74</v>
      </c>
      <c r="AG3353">
        <v>109</v>
      </c>
      <c r="AH3353">
        <v>26</v>
      </c>
      <c r="AI3353">
        <v>31</v>
      </c>
      <c r="AJ3353">
        <v>1</v>
      </c>
      <c r="AK3353">
        <v>19</v>
      </c>
      <c r="AL3353" t="s">
        <v>332</v>
      </c>
      <c r="AM3353" t="s">
        <v>333</v>
      </c>
      <c r="AN3353" t="s">
        <v>334</v>
      </c>
      <c r="AO3353" t="s">
        <v>335</v>
      </c>
      <c r="AP3353" t="s">
        <v>336</v>
      </c>
      <c r="AQ3353" t="s">
        <v>74</v>
      </c>
      <c r="AR3353" t="s">
        <v>337</v>
      </c>
      <c r="AS3353" t="s">
        <v>338</v>
      </c>
      <c r="AT3353" t="s">
        <v>74</v>
      </c>
      <c r="AU3353">
        <v>2021</v>
      </c>
      <c r="AV3353">
        <v>28</v>
      </c>
      <c r="AW3353">
        <v>6</v>
      </c>
      <c r="AX3353" t="s">
        <v>74</v>
      </c>
      <c r="AY3353" t="s">
        <v>74</v>
      </c>
      <c r="AZ3353" t="s">
        <v>74</v>
      </c>
      <c r="BA3353" t="s">
        <v>74</v>
      </c>
      <c r="BB3353">
        <v>1607</v>
      </c>
      <c r="BC3353">
        <v>1631</v>
      </c>
      <c r="BD3353" t="s">
        <v>74</v>
      </c>
      <c r="BE3353" t="s">
        <v>55031</v>
      </c>
      <c r="BF3353" t="str">
        <f>HYPERLINK("http://dx.doi.org/10.1080/09692290.2020.1785923","http://dx.doi.org/10.1080/09692290.2020.1785923")</f>
        <v>http://dx.doi.org/10.1080/09692290.2020.1785923</v>
      </c>
      <c r="BG3353" t="s">
        <v>74</v>
      </c>
      <c r="BH3353" t="s">
        <v>3351</v>
      </c>
      <c r="BI3353">
        <v>25</v>
      </c>
      <c r="BJ3353" t="s">
        <v>342</v>
      </c>
      <c r="BK3353" t="s">
        <v>99</v>
      </c>
      <c r="BL3353" t="s">
        <v>343</v>
      </c>
      <c r="BM3353" t="s">
        <v>55032</v>
      </c>
      <c r="BN3353" t="s">
        <v>74</v>
      </c>
      <c r="BO3353" t="s">
        <v>1205</v>
      </c>
      <c r="BP3353" t="s">
        <v>74</v>
      </c>
      <c r="BQ3353" t="s">
        <v>74</v>
      </c>
      <c r="BR3353" t="s">
        <v>102</v>
      </c>
      <c r="BS3353" t="s">
        <v>55033</v>
      </c>
      <c r="BT3353" t="str">
        <f>HYPERLINK("https%3A%2F%2Fwww.webofscience.com%2Fwos%2Fwoscc%2Ffull-record%2FWOS:000547527800001","View Full Record in Web of Science")</f>
        <v>View Full Record in Web of Science</v>
      </c>
    </row>
    <row r="3354" spans="1:72" x14ac:dyDescent="0.25">
      <c r="A3354" t="s">
        <v>72</v>
      </c>
      <c r="B3354" t="s">
        <v>55034</v>
      </c>
      <c r="C3354" t="s">
        <v>74</v>
      </c>
      <c r="D3354" t="s">
        <v>74</v>
      </c>
      <c r="E3354" t="s">
        <v>74</v>
      </c>
      <c r="F3354" t="s">
        <v>55035</v>
      </c>
      <c r="G3354" t="s">
        <v>74</v>
      </c>
      <c r="H3354" t="s">
        <v>74</v>
      </c>
      <c r="I3354" t="s">
        <v>55036</v>
      </c>
      <c r="J3354" t="s">
        <v>18169</v>
      </c>
      <c r="K3354" t="s">
        <v>74</v>
      </c>
      <c r="L3354" t="s">
        <v>74</v>
      </c>
      <c r="M3354" t="s">
        <v>78</v>
      </c>
      <c r="N3354" t="s">
        <v>79</v>
      </c>
      <c r="O3354" t="s">
        <v>74</v>
      </c>
      <c r="P3354" t="s">
        <v>74</v>
      </c>
      <c r="Q3354" t="s">
        <v>74</v>
      </c>
      <c r="R3354" t="s">
        <v>74</v>
      </c>
      <c r="S3354" t="s">
        <v>74</v>
      </c>
      <c r="T3354" t="s">
        <v>55037</v>
      </c>
      <c r="U3354" t="s">
        <v>74</v>
      </c>
      <c r="V3354" t="s">
        <v>55038</v>
      </c>
      <c r="W3354" t="s">
        <v>55039</v>
      </c>
      <c r="X3354" t="s">
        <v>23951</v>
      </c>
      <c r="Y3354" t="s">
        <v>55040</v>
      </c>
      <c r="Z3354" t="s">
        <v>55041</v>
      </c>
      <c r="AA3354" t="s">
        <v>55042</v>
      </c>
      <c r="AB3354" t="s">
        <v>55043</v>
      </c>
      <c r="AC3354" t="s">
        <v>74</v>
      </c>
      <c r="AD3354" t="s">
        <v>74</v>
      </c>
      <c r="AE3354" t="s">
        <v>74</v>
      </c>
      <c r="AF3354" t="s">
        <v>74</v>
      </c>
      <c r="AG3354">
        <v>17</v>
      </c>
      <c r="AH3354">
        <v>15</v>
      </c>
      <c r="AI3354">
        <v>22</v>
      </c>
      <c r="AJ3354">
        <v>0</v>
      </c>
      <c r="AK3354">
        <v>62</v>
      </c>
      <c r="AL3354" t="s">
        <v>18181</v>
      </c>
      <c r="AM3354" t="s">
        <v>4238</v>
      </c>
      <c r="AN3354" t="s">
        <v>18182</v>
      </c>
      <c r="AO3354" t="s">
        <v>18183</v>
      </c>
      <c r="AP3354" t="s">
        <v>18184</v>
      </c>
      <c r="AQ3354" t="s">
        <v>74</v>
      </c>
      <c r="AR3354" t="s">
        <v>18185</v>
      </c>
      <c r="AS3354" t="s">
        <v>18186</v>
      </c>
      <c r="AT3354" t="s">
        <v>55044</v>
      </c>
      <c r="AU3354">
        <v>2018</v>
      </c>
      <c r="AV3354">
        <v>169</v>
      </c>
      <c r="AW3354" t="s">
        <v>6918</v>
      </c>
      <c r="AX3354" t="s">
        <v>74</v>
      </c>
      <c r="AY3354" t="s">
        <v>74</v>
      </c>
      <c r="AZ3354" t="s">
        <v>74</v>
      </c>
      <c r="BA3354" t="s">
        <v>74</v>
      </c>
      <c r="BB3354">
        <v>67</v>
      </c>
      <c r="BC3354">
        <v>71</v>
      </c>
      <c r="BD3354" t="s">
        <v>74</v>
      </c>
      <c r="BE3354" t="s">
        <v>55045</v>
      </c>
      <c r="BF3354" t="str">
        <f>HYPERLINK("http://dx.doi.org/10.21003/ea.V169-13","http://dx.doi.org/10.21003/ea.V169-13")</f>
        <v>http://dx.doi.org/10.21003/ea.V169-13</v>
      </c>
      <c r="BG3354" t="s">
        <v>74</v>
      </c>
      <c r="BH3354" t="s">
        <v>74</v>
      </c>
      <c r="BI3354">
        <v>5</v>
      </c>
      <c r="BJ3354" t="s">
        <v>291</v>
      </c>
      <c r="BK3354" t="s">
        <v>313</v>
      </c>
      <c r="BL3354" t="s">
        <v>100</v>
      </c>
      <c r="BM3354" t="s">
        <v>55046</v>
      </c>
      <c r="BN3354" t="s">
        <v>74</v>
      </c>
      <c r="BO3354" t="s">
        <v>212</v>
      </c>
      <c r="BP3354" t="s">
        <v>74</v>
      </c>
      <c r="BQ3354" t="s">
        <v>74</v>
      </c>
      <c r="BR3354" t="s">
        <v>102</v>
      </c>
      <c r="BS3354" t="s">
        <v>55047</v>
      </c>
      <c r="BT3354" t="str">
        <f>HYPERLINK("https%3A%2F%2Fwww.webofscience.com%2Fwos%2Fwoscc%2Ffull-record%2FWOS:000442111200013","View Full Record in Web of Science")</f>
        <v>View Full Record in Web of Science</v>
      </c>
    </row>
    <row r="3355" spans="1:72" x14ac:dyDescent="0.25">
      <c r="A3355" t="s">
        <v>72</v>
      </c>
      <c r="B3355" t="s">
        <v>55048</v>
      </c>
      <c r="C3355" t="s">
        <v>74</v>
      </c>
      <c r="D3355" t="s">
        <v>74</v>
      </c>
      <c r="E3355" t="s">
        <v>74</v>
      </c>
      <c r="F3355" t="s">
        <v>55049</v>
      </c>
      <c r="G3355" t="s">
        <v>74</v>
      </c>
      <c r="H3355" t="s">
        <v>74</v>
      </c>
      <c r="I3355" t="s">
        <v>55050</v>
      </c>
      <c r="J3355" t="s">
        <v>22728</v>
      </c>
      <c r="K3355" t="s">
        <v>74</v>
      </c>
      <c r="L3355" t="s">
        <v>74</v>
      </c>
      <c r="M3355" t="s">
        <v>78</v>
      </c>
      <c r="N3355" t="s">
        <v>79</v>
      </c>
      <c r="O3355" t="s">
        <v>74</v>
      </c>
      <c r="P3355" t="s">
        <v>74</v>
      </c>
      <c r="Q3355" t="s">
        <v>74</v>
      </c>
      <c r="R3355" t="s">
        <v>74</v>
      </c>
      <c r="S3355" t="s">
        <v>74</v>
      </c>
      <c r="T3355" t="s">
        <v>55051</v>
      </c>
      <c r="U3355" t="s">
        <v>55052</v>
      </c>
      <c r="V3355" t="s">
        <v>55053</v>
      </c>
      <c r="W3355" t="s">
        <v>55054</v>
      </c>
      <c r="X3355" t="s">
        <v>55055</v>
      </c>
      <c r="Y3355" t="s">
        <v>55056</v>
      </c>
      <c r="Z3355" t="s">
        <v>55057</v>
      </c>
      <c r="AA3355" t="s">
        <v>55058</v>
      </c>
      <c r="AB3355" t="s">
        <v>55059</v>
      </c>
      <c r="AC3355" t="s">
        <v>55060</v>
      </c>
      <c r="AD3355" t="s">
        <v>55061</v>
      </c>
      <c r="AE3355" t="s">
        <v>55062</v>
      </c>
      <c r="AF3355" t="s">
        <v>74</v>
      </c>
      <c r="AG3355">
        <v>111</v>
      </c>
      <c r="AH3355">
        <v>6</v>
      </c>
      <c r="AI3355">
        <v>6</v>
      </c>
      <c r="AJ3355">
        <v>12</v>
      </c>
      <c r="AK3355">
        <v>56</v>
      </c>
      <c r="AL3355" t="s">
        <v>385</v>
      </c>
      <c r="AM3355" t="s">
        <v>151</v>
      </c>
      <c r="AN3355" t="s">
        <v>386</v>
      </c>
      <c r="AO3355" t="s">
        <v>22719</v>
      </c>
      <c r="AP3355" t="s">
        <v>22718</v>
      </c>
      <c r="AQ3355" t="s">
        <v>74</v>
      </c>
      <c r="AR3355" t="s">
        <v>22717</v>
      </c>
      <c r="AS3355" t="s">
        <v>22716</v>
      </c>
      <c r="AT3355" t="s">
        <v>124</v>
      </c>
      <c r="AU3355">
        <v>2025</v>
      </c>
      <c r="AV3355">
        <v>21</v>
      </c>
      <c r="AW3355">
        <v>1</v>
      </c>
      <c r="AX3355" t="s">
        <v>74</v>
      </c>
      <c r="AY3355" t="s">
        <v>74</v>
      </c>
      <c r="AZ3355" t="s">
        <v>74</v>
      </c>
      <c r="BA3355" t="s">
        <v>74</v>
      </c>
      <c r="BB3355" t="s">
        <v>74</v>
      </c>
      <c r="BC3355" t="s">
        <v>74</v>
      </c>
      <c r="BD3355">
        <v>13</v>
      </c>
      <c r="BE3355" t="s">
        <v>55063</v>
      </c>
      <c r="BF3355" t="str">
        <f>HYPERLINK("http://dx.doi.org/10.1007/s11365-024-01025-w","http://dx.doi.org/10.1007/s11365-024-01025-w")</f>
        <v>http://dx.doi.org/10.1007/s11365-024-01025-w</v>
      </c>
      <c r="BG3355" t="s">
        <v>74</v>
      </c>
      <c r="BH3355" t="s">
        <v>74</v>
      </c>
      <c r="BI3355">
        <v>35</v>
      </c>
      <c r="BJ3355" t="s">
        <v>98</v>
      </c>
      <c r="BK3355" t="s">
        <v>99</v>
      </c>
      <c r="BL3355" t="s">
        <v>100</v>
      </c>
      <c r="BM3355" t="s">
        <v>55064</v>
      </c>
      <c r="BN3355" t="s">
        <v>74</v>
      </c>
      <c r="BO3355" t="s">
        <v>270</v>
      </c>
      <c r="BP3355" t="s">
        <v>74</v>
      </c>
      <c r="BQ3355" t="s">
        <v>74</v>
      </c>
      <c r="BR3355" t="s">
        <v>102</v>
      </c>
      <c r="BS3355" t="s">
        <v>55065</v>
      </c>
      <c r="BT3355" t="str">
        <f>HYPERLINK("https%3A%2F%2Fwww.webofscience.com%2Fwos%2Fwoscc%2Ffull-record%2FWOS:001348891000001","View Full Record in Web of Science")</f>
        <v>View Full Record in Web of Science</v>
      </c>
    </row>
    <row r="3356" spans="1:72" x14ac:dyDescent="0.25">
      <c r="A3356" t="s">
        <v>72</v>
      </c>
      <c r="B3356" t="s">
        <v>22221</v>
      </c>
      <c r="C3356" t="s">
        <v>74</v>
      </c>
      <c r="D3356" t="s">
        <v>74</v>
      </c>
      <c r="E3356" t="s">
        <v>74</v>
      </c>
      <c r="F3356" t="s">
        <v>22220</v>
      </c>
      <c r="G3356" t="s">
        <v>74</v>
      </c>
      <c r="H3356" t="s">
        <v>74</v>
      </c>
      <c r="I3356" t="s">
        <v>55066</v>
      </c>
      <c r="J3356" t="s">
        <v>3332</v>
      </c>
      <c r="K3356" t="s">
        <v>74</v>
      </c>
      <c r="L3356" t="s">
        <v>74</v>
      </c>
      <c r="M3356" t="s">
        <v>78</v>
      </c>
      <c r="N3356" t="s">
        <v>372</v>
      </c>
      <c r="O3356" t="s">
        <v>74</v>
      </c>
      <c r="P3356" t="s">
        <v>74</v>
      </c>
      <c r="Q3356" t="s">
        <v>74</v>
      </c>
      <c r="R3356" t="s">
        <v>74</v>
      </c>
      <c r="S3356" t="s">
        <v>74</v>
      </c>
      <c r="T3356" t="s">
        <v>55067</v>
      </c>
      <c r="U3356" t="s">
        <v>55068</v>
      </c>
      <c r="V3356" t="s">
        <v>55069</v>
      </c>
      <c r="W3356" t="s">
        <v>55070</v>
      </c>
      <c r="X3356" t="s">
        <v>55071</v>
      </c>
      <c r="Y3356" t="s">
        <v>55072</v>
      </c>
      <c r="Z3356" t="s">
        <v>55073</v>
      </c>
      <c r="AA3356" t="s">
        <v>24780</v>
      </c>
      <c r="AB3356" t="s">
        <v>74</v>
      </c>
      <c r="AC3356" t="s">
        <v>74</v>
      </c>
      <c r="AD3356" t="s">
        <v>74</v>
      </c>
      <c r="AE3356" t="s">
        <v>74</v>
      </c>
      <c r="AF3356" t="s">
        <v>74</v>
      </c>
      <c r="AG3356">
        <v>72</v>
      </c>
      <c r="AH3356">
        <v>0</v>
      </c>
      <c r="AI3356">
        <v>0</v>
      </c>
      <c r="AJ3356">
        <v>2</v>
      </c>
      <c r="AK3356">
        <v>2</v>
      </c>
      <c r="AL3356" t="s">
        <v>89</v>
      </c>
      <c r="AM3356" t="s">
        <v>90</v>
      </c>
      <c r="AN3356" t="s">
        <v>91</v>
      </c>
      <c r="AO3356" t="s">
        <v>3345</v>
      </c>
      <c r="AP3356" t="s">
        <v>3346</v>
      </c>
      <c r="AQ3356" t="s">
        <v>74</v>
      </c>
      <c r="AR3356" t="s">
        <v>3347</v>
      </c>
      <c r="AS3356" t="s">
        <v>3348</v>
      </c>
      <c r="AT3356" t="s">
        <v>12632</v>
      </c>
      <c r="AU3356">
        <v>2025</v>
      </c>
      <c r="AV3356" t="s">
        <v>74</v>
      </c>
      <c r="AW3356" t="s">
        <v>74</v>
      </c>
      <c r="AX3356" t="s">
        <v>74</v>
      </c>
      <c r="AY3356" t="s">
        <v>74</v>
      </c>
      <c r="AZ3356" t="s">
        <v>74</v>
      </c>
      <c r="BA3356" t="s">
        <v>74</v>
      </c>
      <c r="BB3356" t="s">
        <v>74</v>
      </c>
      <c r="BC3356" t="s">
        <v>74</v>
      </c>
      <c r="BD3356" t="s">
        <v>74</v>
      </c>
      <c r="BE3356" t="s">
        <v>55074</v>
      </c>
      <c r="BF3356" t="str">
        <f>HYPERLINK("http://dx.doi.org/10.1108/JIMA-07-2023-0218","http://dx.doi.org/10.1108/JIMA-07-2023-0218")</f>
        <v>http://dx.doi.org/10.1108/JIMA-07-2023-0218</v>
      </c>
      <c r="BG3356" t="s">
        <v>74</v>
      </c>
      <c r="BH3356" t="s">
        <v>2044</v>
      </c>
      <c r="BI3356">
        <v>31</v>
      </c>
      <c r="BJ3356" t="s">
        <v>418</v>
      </c>
      <c r="BK3356" t="s">
        <v>313</v>
      </c>
      <c r="BL3356" t="s">
        <v>100</v>
      </c>
      <c r="BM3356" t="s">
        <v>55075</v>
      </c>
      <c r="BN3356" t="s">
        <v>74</v>
      </c>
      <c r="BO3356" t="s">
        <v>74</v>
      </c>
      <c r="BP3356" t="s">
        <v>74</v>
      </c>
      <c r="BQ3356" t="s">
        <v>74</v>
      </c>
      <c r="BR3356" t="s">
        <v>102</v>
      </c>
      <c r="BS3356" t="s">
        <v>55076</v>
      </c>
      <c r="BT3356" t="str">
        <f>HYPERLINK("https%3A%2F%2Fwww.webofscience.com%2Fwos%2Fwoscc%2Ffull-record%2FWOS:001617418900001","View Full Record in Web of Science")</f>
        <v>View Full Record in Web of Science</v>
      </c>
    </row>
    <row r="3357" spans="1:72" x14ac:dyDescent="0.25">
      <c r="A3357" t="s">
        <v>72</v>
      </c>
      <c r="B3357" t="s">
        <v>55077</v>
      </c>
      <c r="C3357" t="s">
        <v>74</v>
      </c>
      <c r="D3357" t="s">
        <v>74</v>
      </c>
      <c r="E3357" t="s">
        <v>74</v>
      </c>
      <c r="F3357" t="s">
        <v>55078</v>
      </c>
      <c r="G3357" t="s">
        <v>74</v>
      </c>
      <c r="H3357" t="s">
        <v>74</v>
      </c>
      <c r="I3357" t="s">
        <v>55079</v>
      </c>
      <c r="J3357" t="s">
        <v>46209</v>
      </c>
      <c r="K3357" t="s">
        <v>74</v>
      </c>
      <c r="L3357" t="s">
        <v>74</v>
      </c>
      <c r="M3357" t="s">
        <v>78</v>
      </c>
      <c r="N3357" t="s">
        <v>79</v>
      </c>
      <c r="O3357" t="s">
        <v>74</v>
      </c>
      <c r="P3357" t="s">
        <v>74</v>
      </c>
      <c r="Q3357" t="s">
        <v>74</v>
      </c>
      <c r="R3357" t="s">
        <v>74</v>
      </c>
      <c r="S3357" t="s">
        <v>74</v>
      </c>
      <c r="T3357" t="s">
        <v>55080</v>
      </c>
      <c r="U3357" t="s">
        <v>55081</v>
      </c>
      <c r="V3357" t="s">
        <v>55082</v>
      </c>
      <c r="W3357" t="s">
        <v>55083</v>
      </c>
      <c r="X3357" t="s">
        <v>55084</v>
      </c>
      <c r="Y3357" t="s">
        <v>55085</v>
      </c>
      <c r="Z3357" t="s">
        <v>55086</v>
      </c>
      <c r="AA3357" t="s">
        <v>55087</v>
      </c>
      <c r="AB3357" t="s">
        <v>55088</v>
      </c>
      <c r="AC3357" t="s">
        <v>74</v>
      </c>
      <c r="AD3357" t="s">
        <v>74</v>
      </c>
      <c r="AE3357" t="s">
        <v>74</v>
      </c>
      <c r="AF3357" t="s">
        <v>74</v>
      </c>
      <c r="AG3357">
        <v>40</v>
      </c>
      <c r="AH3357">
        <v>8</v>
      </c>
      <c r="AI3357">
        <v>8</v>
      </c>
      <c r="AJ3357">
        <v>1</v>
      </c>
      <c r="AK3357">
        <v>12</v>
      </c>
      <c r="AL3357" t="s">
        <v>4485</v>
      </c>
      <c r="AM3357" t="s">
        <v>6724</v>
      </c>
      <c r="AN3357" t="s">
        <v>6725</v>
      </c>
      <c r="AO3357" t="s">
        <v>46221</v>
      </c>
      <c r="AP3357" t="s">
        <v>46222</v>
      </c>
      <c r="AQ3357" t="s">
        <v>74</v>
      </c>
      <c r="AR3357" t="s">
        <v>46209</v>
      </c>
      <c r="AS3357" t="s">
        <v>46223</v>
      </c>
      <c r="AT3357" t="s">
        <v>208</v>
      </c>
      <c r="AU3357">
        <v>2024</v>
      </c>
      <c r="AV3357">
        <v>122</v>
      </c>
      <c r="AW3357" t="s">
        <v>74</v>
      </c>
      <c r="AX3357" t="s">
        <v>74</v>
      </c>
      <c r="AY3357" t="s">
        <v>74</v>
      </c>
      <c r="AZ3357" t="s">
        <v>74</v>
      </c>
      <c r="BA3357" t="s">
        <v>74</v>
      </c>
      <c r="BB3357" t="s">
        <v>74</v>
      </c>
      <c r="BC3357" t="s">
        <v>74</v>
      </c>
      <c r="BD3357">
        <v>102574</v>
      </c>
      <c r="BE3357" t="s">
        <v>55089</v>
      </c>
      <c r="BF3357" t="str">
        <f>HYPERLINK("http://dx.doi.org/10.1016/j.foodpol.2023.102574","http://dx.doi.org/10.1016/j.foodpol.2023.102574")</f>
        <v>http://dx.doi.org/10.1016/j.foodpol.2023.102574</v>
      </c>
      <c r="BG3357" t="s">
        <v>74</v>
      </c>
      <c r="BH3357" t="s">
        <v>1524</v>
      </c>
      <c r="BI3357">
        <v>24</v>
      </c>
      <c r="BJ3357" t="s">
        <v>46225</v>
      </c>
      <c r="BK3357" t="s">
        <v>2623</v>
      </c>
      <c r="BL3357" t="s">
        <v>46226</v>
      </c>
      <c r="BM3357" t="s">
        <v>55090</v>
      </c>
      <c r="BN3357" t="s">
        <v>74</v>
      </c>
      <c r="BO3357" t="s">
        <v>74</v>
      </c>
      <c r="BP3357" t="s">
        <v>74</v>
      </c>
      <c r="BQ3357" t="s">
        <v>74</v>
      </c>
      <c r="BR3357" t="s">
        <v>102</v>
      </c>
      <c r="BS3357" t="s">
        <v>55091</v>
      </c>
      <c r="BT3357" t="str">
        <f>HYPERLINK("https%3A%2F%2Fwww.webofscience.com%2Fwos%2Fwoscc%2Ffull-record%2FWOS:001138250200001","View Full Record in Web of Science")</f>
        <v>View Full Record in Web of Science</v>
      </c>
    </row>
    <row r="3358" spans="1:72" x14ac:dyDescent="0.25">
      <c r="A3358" t="s">
        <v>72</v>
      </c>
      <c r="B3358" t="s">
        <v>55092</v>
      </c>
      <c r="C3358" t="s">
        <v>74</v>
      </c>
      <c r="D3358" t="s">
        <v>74</v>
      </c>
      <c r="E3358" t="s">
        <v>74</v>
      </c>
      <c r="F3358" t="s">
        <v>55093</v>
      </c>
      <c r="G3358" t="s">
        <v>74</v>
      </c>
      <c r="H3358" t="s">
        <v>74</v>
      </c>
      <c r="I3358" t="s">
        <v>55094</v>
      </c>
      <c r="J3358" t="s">
        <v>4055</v>
      </c>
      <c r="K3358" t="s">
        <v>74</v>
      </c>
      <c r="L3358" t="s">
        <v>74</v>
      </c>
      <c r="M3358" t="s">
        <v>78</v>
      </c>
      <c r="N3358" t="s">
        <v>79</v>
      </c>
      <c r="O3358" t="s">
        <v>74</v>
      </c>
      <c r="P3358" t="s">
        <v>74</v>
      </c>
      <c r="Q3358" t="s">
        <v>74</v>
      </c>
      <c r="R3358" t="s">
        <v>74</v>
      </c>
      <c r="S3358" t="s">
        <v>74</v>
      </c>
      <c r="T3358" t="s">
        <v>55095</v>
      </c>
      <c r="U3358" t="s">
        <v>55096</v>
      </c>
      <c r="V3358" t="s">
        <v>55097</v>
      </c>
      <c r="W3358" t="s">
        <v>55098</v>
      </c>
      <c r="X3358" t="s">
        <v>23538</v>
      </c>
      <c r="Y3358" t="s">
        <v>55099</v>
      </c>
      <c r="Z3358" t="s">
        <v>55100</v>
      </c>
      <c r="AA3358" t="s">
        <v>74</v>
      </c>
      <c r="AB3358" t="s">
        <v>55101</v>
      </c>
      <c r="AC3358" t="s">
        <v>74</v>
      </c>
      <c r="AD3358" t="s">
        <v>74</v>
      </c>
      <c r="AE3358" t="s">
        <v>74</v>
      </c>
      <c r="AF3358" t="s">
        <v>74</v>
      </c>
      <c r="AG3358">
        <v>65</v>
      </c>
      <c r="AH3358">
        <v>9</v>
      </c>
      <c r="AI3358">
        <v>12</v>
      </c>
      <c r="AJ3358">
        <v>2</v>
      </c>
      <c r="AK3358">
        <v>19</v>
      </c>
      <c r="AL3358" t="s">
        <v>2907</v>
      </c>
      <c r="AM3358" t="s">
        <v>2908</v>
      </c>
      <c r="AN3358" t="s">
        <v>2909</v>
      </c>
      <c r="AO3358" t="s">
        <v>4064</v>
      </c>
      <c r="AP3358" t="s">
        <v>4065</v>
      </c>
      <c r="AQ3358" t="s">
        <v>74</v>
      </c>
      <c r="AR3358" t="s">
        <v>4066</v>
      </c>
      <c r="AS3358" t="s">
        <v>4067</v>
      </c>
      <c r="AT3358" t="s">
        <v>605</v>
      </c>
      <c r="AU3358">
        <v>2023</v>
      </c>
      <c r="AV3358">
        <v>28</v>
      </c>
      <c r="AW3358">
        <v>1</v>
      </c>
      <c r="AX3358" t="s">
        <v>74</v>
      </c>
      <c r="AY3358" t="s">
        <v>74</v>
      </c>
      <c r="AZ3358" t="s">
        <v>74</v>
      </c>
      <c r="BA3358" t="s">
        <v>74</v>
      </c>
      <c r="BB3358">
        <v>43</v>
      </c>
      <c r="BC3358">
        <v>57</v>
      </c>
      <c r="BD3358" t="s">
        <v>74</v>
      </c>
      <c r="BE3358" t="s">
        <v>55102</v>
      </c>
      <c r="BF3358" t="str">
        <f>HYPERLINK("http://dx.doi.org/10.1057/s41264-021-00133-w","http://dx.doi.org/10.1057/s41264-021-00133-w")</f>
        <v>http://dx.doi.org/10.1057/s41264-021-00133-w</v>
      </c>
      <c r="BG3358" t="s">
        <v>74</v>
      </c>
      <c r="BH3358" t="s">
        <v>6548</v>
      </c>
      <c r="BI3358">
        <v>15</v>
      </c>
      <c r="BJ3358" t="s">
        <v>418</v>
      </c>
      <c r="BK3358" t="s">
        <v>313</v>
      </c>
      <c r="BL3358" t="s">
        <v>100</v>
      </c>
      <c r="BM3358" t="s">
        <v>4069</v>
      </c>
      <c r="BN3358" t="s">
        <v>74</v>
      </c>
      <c r="BO3358" t="s">
        <v>3694</v>
      </c>
      <c r="BP3358" t="s">
        <v>74</v>
      </c>
      <c r="BQ3358" t="s">
        <v>74</v>
      </c>
      <c r="BR3358" t="s">
        <v>102</v>
      </c>
      <c r="BS3358" t="s">
        <v>55103</v>
      </c>
      <c r="BT3358" t="str">
        <f>HYPERLINK("https%3A%2F%2Fwww.webofscience.com%2Fwos%2Fwoscc%2Ffull-record%2FWOS:000742270400001","View Full Record in Web of Science")</f>
        <v>View Full Record in Web of Science</v>
      </c>
    </row>
    <row r="3359" spans="1:72" x14ac:dyDescent="0.25">
      <c r="A3359" t="s">
        <v>72</v>
      </c>
      <c r="B3359" t="s">
        <v>55104</v>
      </c>
      <c r="C3359" t="s">
        <v>74</v>
      </c>
      <c r="D3359" t="s">
        <v>74</v>
      </c>
      <c r="E3359" t="s">
        <v>74</v>
      </c>
      <c r="F3359" t="s">
        <v>55105</v>
      </c>
      <c r="G3359" t="s">
        <v>74</v>
      </c>
      <c r="H3359" t="s">
        <v>74</v>
      </c>
      <c r="I3359" t="s">
        <v>55106</v>
      </c>
      <c r="J3359" t="s">
        <v>5937</v>
      </c>
      <c r="K3359" t="s">
        <v>74</v>
      </c>
      <c r="L3359" t="s">
        <v>74</v>
      </c>
      <c r="M3359" t="s">
        <v>78</v>
      </c>
      <c r="N3359" t="s">
        <v>372</v>
      </c>
      <c r="O3359" t="s">
        <v>74</v>
      </c>
      <c r="P3359" t="s">
        <v>74</v>
      </c>
      <c r="Q3359" t="s">
        <v>74</v>
      </c>
      <c r="R3359" t="s">
        <v>74</v>
      </c>
      <c r="S3359" t="s">
        <v>74</v>
      </c>
      <c r="T3359" t="s">
        <v>55107</v>
      </c>
      <c r="U3359" t="s">
        <v>55108</v>
      </c>
      <c r="V3359" t="s">
        <v>55109</v>
      </c>
      <c r="W3359" t="s">
        <v>55110</v>
      </c>
      <c r="X3359" t="s">
        <v>49244</v>
      </c>
      <c r="Y3359" t="s">
        <v>55111</v>
      </c>
      <c r="Z3359" t="s">
        <v>55112</v>
      </c>
      <c r="AA3359" t="s">
        <v>55113</v>
      </c>
      <c r="AB3359" t="s">
        <v>55114</v>
      </c>
      <c r="AC3359" t="s">
        <v>74</v>
      </c>
      <c r="AD3359" t="s">
        <v>74</v>
      </c>
      <c r="AE3359" t="s">
        <v>74</v>
      </c>
      <c r="AF3359" t="s">
        <v>74</v>
      </c>
      <c r="AG3359">
        <v>70</v>
      </c>
      <c r="AH3359">
        <v>2</v>
      </c>
      <c r="AI3359">
        <v>3</v>
      </c>
      <c r="AJ3359">
        <v>2</v>
      </c>
      <c r="AK3359">
        <v>5</v>
      </c>
      <c r="AL3359" t="s">
        <v>89</v>
      </c>
      <c r="AM3359" t="s">
        <v>90</v>
      </c>
      <c r="AN3359" t="s">
        <v>91</v>
      </c>
      <c r="AO3359" t="s">
        <v>5946</v>
      </c>
      <c r="AP3359" t="s">
        <v>5947</v>
      </c>
      <c r="AQ3359" t="s">
        <v>74</v>
      </c>
      <c r="AR3359" t="s">
        <v>5948</v>
      </c>
      <c r="AS3359" t="s">
        <v>5949</v>
      </c>
      <c r="AT3359" t="s">
        <v>55115</v>
      </c>
      <c r="AU3359">
        <v>2025</v>
      </c>
      <c r="AV3359" t="s">
        <v>74</v>
      </c>
      <c r="AW3359" t="s">
        <v>74</v>
      </c>
      <c r="AX3359" t="s">
        <v>74</v>
      </c>
      <c r="AY3359" t="s">
        <v>74</v>
      </c>
      <c r="AZ3359" t="s">
        <v>74</v>
      </c>
      <c r="BA3359" t="s">
        <v>74</v>
      </c>
      <c r="BB3359" t="s">
        <v>74</v>
      </c>
      <c r="BC3359" t="s">
        <v>74</v>
      </c>
      <c r="BD3359" t="s">
        <v>74</v>
      </c>
      <c r="BE3359" t="s">
        <v>55116</v>
      </c>
      <c r="BF3359" t="str">
        <f>HYPERLINK("http://dx.doi.org/10.1108/JSTPM-02-2024-0057","http://dx.doi.org/10.1108/JSTPM-02-2024-0057")</f>
        <v>http://dx.doi.org/10.1108/JSTPM-02-2024-0057</v>
      </c>
      <c r="BG3359" t="s">
        <v>74</v>
      </c>
      <c r="BH3359" t="s">
        <v>2359</v>
      </c>
      <c r="BI3359">
        <v>20</v>
      </c>
      <c r="BJ3359" t="s">
        <v>583</v>
      </c>
      <c r="BK3359" t="s">
        <v>313</v>
      </c>
      <c r="BL3359" t="s">
        <v>100</v>
      </c>
      <c r="BM3359" t="s">
        <v>55117</v>
      </c>
      <c r="BN3359" t="s">
        <v>74</v>
      </c>
      <c r="BO3359" t="s">
        <v>74</v>
      </c>
      <c r="BP3359" t="s">
        <v>74</v>
      </c>
      <c r="BQ3359" t="s">
        <v>74</v>
      </c>
      <c r="BR3359" t="s">
        <v>102</v>
      </c>
      <c r="BS3359" t="s">
        <v>55118</v>
      </c>
      <c r="BT3359" t="str">
        <f>HYPERLINK("https%3A%2F%2Fwww.webofscience.com%2Fwos%2Fwoscc%2Ffull-record%2FWOS:001491074000001","View Full Record in Web of Science")</f>
        <v>View Full Record in Web of Science</v>
      </c>
    </row>
    <row r="3360" spans="1:72" x14ac:dyDescent="0.25">
      <c r="A3360" t="s">
        <v>72</v>
      </c>
      <c r="B3360" t="s">
        <v>55119</v>
      </c>
      <c r="C3360" t="s">
        <v>74</v>
      </c>
      <c r="D3360" t="s">
        <v>74</v>
      </c>
      <c r="E3360" t="s">
        <v>74</v>
      </c>
      <c r="F3360" t="s">
        <v>55120</v>
      </c>
      <c r="G3360" t="s">
        <v>74</v>
      </c>
      <c r="H3360" t="s">
        <v>74</v>
      </c>
      <c r="I3360" t="s">
        <v>55121</v>
      </c>
      <c r="J3360" t="s">
        <v>55122</v>
      </c>
      <c r="K3360" t="s">
        <v>74</v>
      </c>
      <c r="L3360" t="s">
        <v>74</v>
      </c>
      <c r="M3360" t="s">
        <v>78</v>
      </c>
      <c r="N3360" t="s">
        <v>79</v>
      </c>
      <c r="O3360" t="s">
        <v>74</v>
      </c>
      <c r="P3360" t="s">
        <v>74</v>
      </c>
      <c r="Q3360" t="s">
        <v>74</v>
      </c>
      <c r="R3360" t="s">
        <v>74</v>
      </c>
      <c r="S3360" t="s">
        <v>74</v>
      </c>
      <c r="T3360" t="s">
        <v>55123</v>
      </c>
      <c r="U3360" t="s">
        <v>55124</v>
      </c>
      <c r="V3360" t="s">
        <v>55125</v>
      </c>
      <c r="W3360" t="s">
        <v>55126</v>
      </c>
      <c r="X3360" t="s">
        <v>25767</v>
      </c>
      <c r="Y3360" t="s">
        <v>55127</v>
      </c>
      <c r="Z3360" t="s">
        <v>55128</v>
      </c>
      <c r="AA3360" t="s">
        <v>55129</v>
      </c>
      <c r="AB3360" t="s">
        <v>55130</v>
      </c>
      <c r="AC3360" t="s">
        <v>55131</v>
      </c>
      <c r="AD3360" t="s">
        <v>55131</v>
      </c>
      <c r="AE3360" t="s">
        <v>55132</v>
      </c>
      <c r="AF3360" t="s">
        <v>74</v>
      </c>
      <c r="AG3360">
        <v>18</v>
      </c>
      <c r="AH3360">
        <v>1</v>
      </c>
      <c r="AI3360">
        <v>1</v>
      </c>
      <c r="AJ3360">
        <v>0</v>
      </c>
      <c r="AK3360">
        <v>1</v>
      </c>
      <c r="AL3360" t="s">
        <v>55133</v>
      </c>
      <c r="AM3360" t="s">
        <v>55134</v>
      </c>
      <c r="AN3360" t="s">
        <v>55135</v>
      </c>
      <c r="AO3360" t="s">
        <v>55136</v>
      </c>
      <c r="AP3360" t="s">
        <v>74</v>
      </c>
      <c r="AQ3360" t="s">
        <v>74</v>
      </c>
      <c r="AR3360" t="s">
        <v>55137</v>
      </c>
      <c r="AS3360" t="s">
        <v>55138</v>
      </c>
      <c r="AT3360" t="s">
        <v>74</v>
      </c>
      <c r="AU3360">
        <v>2017</v>
      </c>
      <c r="AV3360" t="s">
        <v>74</v>
      </c>
      <c r="AW3360" t="s">
        <v>74</v>
      </c>
      <c r="AX3360" t="s">
        <v>74</v>
      </c>
      <c r="AY3360" t="s">
        <v>74</v>
      </c>
      <c r="AZ3360" t="s">
        <v>441</v>
      </c>
      <c r="BA3360" t="s">
        <v>74</v>
      </c>
      <c r="BB3360">
        <v>215</v>
      </c>
      <c r="BC3360">
        <v>228</v>
      </c>
      <c r="BD3360" t="s">
        <v>74</v>
      </c>
      <c r="BE3360" t="s">
        <v>74</v>
      </c>
      <c r="BF3360" t="s">
        <v>74</v>
      </c>
      <c r="BG3360" t="s">
        <v>74</v>
      </c>
      <c r="BH3360" t="s">
        <v>74</v>
      </c>
      <c r="BI3360">
        <v>14</v>
      </c>
      <c r="BJ3360" t="s">
        <v>8262</v>
      </c>
      <c r="BK3360" t="s">
        <v>313</v>
      </c>
      <c r="BL3360" t="s">
        <v>8262</v>
      </c>
      <c r="BM3360" t="s">
        <v>55139</v>
      </c>
      <c r="BN3360" t="s">
        <v>74</v>
      </c>
      <c r="BO3360" t="s">
        <v>74</v>
      </c>
      <c r="BP3360" t="s">
        <v>74</v>
      </c>
      <c r="BQ3360" t="s">
        <v>74</v>
      </c>
      <c r="BR3360" t="s">
        <v>102</v>
      </c>
      <c r="BS3360" t="s">
        <v>55140</v>
      </c>
      <c r="BT3360" t="str">
        <f>HYPERLINK("https%3A%2F%2Fwww.webofscience.com%2Fwos%2Fwoscc%2Ffull-record%2FWOS:000422733900020","View Full Record in Web of Science")</f>
        <v>View Full Record in Web of Science</v>
      </c>
    </row>
    <row r="3361" spans="1:72" x14ac:dyDescent="0.25">
      <c r="A3361" t="s">
        <v>72</v>
      </c>
      <c r="B3361" t="s">
        <v>55141</v>
      </c>
      <c r="C3361" t="s">
        <v>74</v>
      </c>
      <c r="D3361" t="s">
        <v>74</v>
      </c>
      <c r="E3361" t="s">
        <v>74</v>
      </c>
      <c r="F3361" t="s">
        <v>55142</v>
      </c>
      <c r="G3361" t="s">
        <v>74</v>
      </c>
      <c r="H3361" t="s">
        <v>74</v>
      </c>
      <c r="I3361" t="s">
        <v>55143</v>
      </c>
      <c r="J3361" t="s">
        <v>26105</v>
      </c>
      <c r="K3361" t="s">
        <v>74</v>
      </c>
      <c r="L3361" t="s">
        <v>74</v>
      </c>
      <c r="M3361" t="s">
        <v>78</v>
      </c>
      <c r="N3361" t="s">
        <v>79</v>
      </c>
      <c r="O3361" t="s">
        <v>74</v>
      </c>
      <c r="P3361" t="s">
        <v>74</v>
      </c>
      <c r="Q3361" t="s">
        <v>74</v>
      </c>
      <c r="R3361" t="s">
        <v>74</v>
      </c>
      <c r="S3361" t="s">
        <v>74</v>
      </c>
      <c r="T3361" t="s">
        <v>55144</v>
      </c>
      <c r="U3361" t="s">
        <v>55145</v>
      </c>
      <c r="V3361" t="s">
        <v>55146</v>
      </c>
      <c r="W3361" t="s">
        <v>55147</v>
      </c>
      <c r="X3361" t="s">
        <v>55148</v>
      </c>
      <c r="Y3361" t="s">
        <v>55149</v>
      </c>
      <c r="Z3361" t="s">
        <v>55150</v>
      </c>
      <c r="AA3361" t="s">
        <v>55151</v>
      </c>
      <c r="AB3361" t="s">
        <v>55152</v>
      </c>
      <c r="AC3361" t="s">
        <v>18234</v>
      </c>
      <c r="AD3361" t="s">
        <v>18235</v>
      </c>
      <c r="AE3361" t="s">
        <v>55153</v>
      </c>
      <c r="AF3361" t="s">
        <v>74</v>
      </c>
      <c r="AG3361">
        <v>97</v>
      </c>
      <c r="AH3361">
        <v>9</v>
      </c>
      <c r="AI3361">
        <v>10</v>
      </c>
      <c r="AJ3361">
        <v>3</v>
      </c>
      <c r="AK3361">
        <v>25</v>
      </c>
      <c r="AL3361" t="s">
        <v>479</v>
      </c>
      <c r="AM3361" t="s">
        <v>480</v>
      </c>
      <c r="AN3361" t="s">
        <v>481</v>
      </c>
      <c r="AO3361" t="s">
        <v>26107</v>
      </c>
      <c r="AP3361" t="s">
        <v>26106</v>
      </c>
      <c r="AQ3361" t="s">
        <v>74</v>
      </c>
      <c r="AR3361" t="s">
        <v>26105</v>
      </c>
      <c r="AS3361" t="s">
        <v>26104</v>
      </c>
      <c r="AT3361" t="s">
        <v>743</v>
      </c>
      <c r="AU3361">
        <v>2024</v>
      </c>
      <c r="AV3361">
        <v>40</v>
      </c>
      <c r="AW3361">
        <v>2</v>
      </c>
      <c r="AX3361" t="s">
        <v>74</v>
      </c>
      <c r="AY3361" t="s">
        <v>74</v>
      </c>
      <c r="AZ3361" t="s">
        <v>441</v>
      </c>
      <c r="BA3361" t="s">
        <v>74</v>
      </c>
      <c r="BB3361">
        <v>484</v>
      </c>
      <c r="BC3361">
        <v>512</v>
      </c>
      <c r="BD3361" t="s">
        <v>74</v>
      </c>
      <c r="BE3361" t="s">
        <v>55154</v>
      </c>
      <c r="BF3361" t="str">
        <f>HYPERLINK("http://dx.doi.org/10.1002/agr.21891","http://dx.doi.org/10.1002/agr.21891")</f>
        <v>http://dx.doi.org/10.1002/agr.21891</v>
      </c>
      <c r="BG3361" t="s">
        <v>74</v>
      </c>
      <c r="BH3361" t="s">
        <v>1524</v>
      </c>
      <c r="BI3361">
        <v>29</v>
      </c>
      <c r="BJ3361" t="s">
        <v>26102</v>
      </c>
      <c r="BK3361" t="s">
        <v>2623</v>
      </c>
      <c r="BL3361" t="s">
        <v>26101</v>
      </c>
      <c r="BM3361" t="s">
        <v>55155</v>
      </c>
      <c r="BN3361" t="s">
        <v>74</v>
      </c>
      <c r="BO3361" t="s">
        <v>466</v>
      </c>
      <c r="BP3361" t="s">
        <v>74</v>
      </c>
      <c r="BQ3361" t="s">
        <v>74</v>
      </c>
      <c r="BR3361" t="s">
        <v>102</v>
      </c>
      <c r="BS3361" t="s">
        <v>55156</v>
      </c>
      <c r="BT3361" t="str">
        <f>HYPERLINK("https%3A%2F%2Fwww.webofscience.com%2Fwos%2Fwoscc%2Ffull-record%2FWOS:001138389800001","View Full Record in Web of Science")</f>
        <v>View Full Record in Web of Science</v>
      </c>
    </row>
    <row r="3362" spans="1:72" x14ac:dyDescent="0.25">
      <c r="A3362" t="s">
        <v>72</v>
      </c>
      <c r="B3362" t="s">
        <v>55157</v>
      </c>
      <c r="C3362" t="s">
        <v>74</v>
      </c>
      <c r="D3362" t="s">
        <v>74</v>
      </c>
      <c r="E3362" t="s">
        <v>74</v>
      </c>
      <c r="F3362" t="s">
        <v>55158</v>
      </c>
      <c r="G3362" t="s">
        <v>74</v>
      </c>
      <c r="H3362" t="s">
        <v>74</v>
      </c>
      <c r="I3362" t="s">
        <v>55159</v>
      </c>
      <c r="J3362" t="s">
        <v>14101</v>
      </c>
      <c r="K3362" t="s">
        <v>74</v>
      </c>
      <c r="L3362" t="s">
        <v>74</v>
      </c>
      <c r="M3362" t="s">
        <v>78</v>
      </c>
      <c r="N3362" t="s">
        <v>1766</v>
      </c>
      <c r="O3362" t="s">
        <v>74</v>
      </c>
      <c r="P3362" t="s">
        <v>74</v>
      </c>
      <c r="Q3362" t="s">
        <v>74</v>
      </c>
      <c r="R3362" t="s">
        <v>74</v>
      </c>
      <c r="S3362" t="s">
        <v>74</v>
      </c>
      <c r="T3362" t="s">
        <v>55160</v>
      </c>
      <c r="U3362" t="s">
        <v>55161</v>
      </c>
      <c r="V3362" t="s">
        <v>55162</v>
      </c>
      <c r="W3362" t="s">
        <v>55163</v>
      </c>
      <c r="X3362" t="s">
        <v>55164</v>
      </c>
      <c r="Y3362" t="s">
        <v>55165</v>
      </c>
      <c r="Z3362" t="s">
        <v>55166</v>
      </c>
      <c r="AA3362" t="s">
        <v>55167</v>
      </c>
      <c r="AB3362" t="s">
        <v>74</v>
      </c>
      <c r="AC3362" t="s">
        <v>74</v>
      </c>
      <c r="AD3362" t="s">
        <v>74</v>
      </c>
      <c r="AE3362" t="s">
        <v>74</v>
      </c>
      <c r="AF3362" t="s">
        <v>74</v>
      </c>
      <c r="AG3362">
        <v>515</v>
      </c>
      <c r="AH3362">
        <v>21</v>
      </c>
      <c r="AI3362">
        <v>24</v>
      </c>
      <c r="AJ3362">
        <v>19</v>
      </c>
      <c r="AK3362">
        <v>19</v>
      </c>
      <c r="AL3362" t="s">
        <v>4083</v>
      </c>
      <c r="AM3362" t="s">
        <v>4084</v>
      </c>
      <c r="AN3362" t="s">
        <v>4085</v>
      </c>
      <c r="AO3362" t="s">
        <v>74</v>
      </c>
      <c r="AP3362" t="s">
        <v>14110</v>
      </c>
      <c r="AQ3362" t="s">
        <v>74</v>
      </c>
      <c r="AR3362" t="s">
        <v>14111</v>
      </c>
      <c r="AS3362" t="s">
        <v>14112</v>
      </c>
      <c r="AT3362" t="s">
        <v>848</v>
      </c>
      <c r="AU3362">
        <v>2025</v>
      </c>
      <c r="AV3362">
        <v>3</v>
      </c>
      <c r="AW3362">
        <v>3</v>
      </c>
      <c r="AX3362" t="s">
        <v>74</v>
      </c>
      <c r="AY3362" t="s">
        <v>74</v>
      </c>
      <c r="AZ3362" t="s">
        <v>74</v>
      </c>
      <c r="BA3362" t="s">
        <v>74</v>
      </c>
      <c r="BB3362" t="s">
        <v>74</v>
      </c>
      <c r="BC3362" t="s">
        <v>74</v>
      </c>
      <c r="BD3362">
        <v>100202</v>
      </c>
      <c r="BE3362" t="s">
        <v>55168</v>
      </c>
      <c r="BF3362" t="str">
        <f>HYPERLINK("http://dx.doi.org/10.1016/j.grets.2025.100202","http://dx.doi.org/10.1016/j.grets.2025.100202")</f>
        <v>http://dx.doi.org/10.1016/j.grets.2025.100202</v>
      </c>
      <c r="BG3362" t="s">
        <v>74</v>
      </c>
      <c r="BH3362" t="s">
        <v>2781</v>
      </c>
      <c r="BI3362">
        <v>31</v>
      </c>
      <c r="BJ3362" t="s">
        <v>14114</v>
      </c>
      <c r="BK3362" t="s">
        <v>313</v>
      </c>
      <c r="BL3362" t="s">
        <v>560</v>
      </c>
      <c r="BM3362" t="s">
        <v>55169</v>
      </c>
      <c r="BN3362" t="s">
        <v>74</v>
      </c>
      <c r="BO3362" t="s">
        <v>212</v>
      </c>
      <c r="BP3362" t="s">
        <v>74</v>
      </c>
      <c r="BQ3362" t="s">
        <v>74</v>
      </c>
      <c r="BR3362" t="s">
        <v>102</v>
      </c>
      <c r="BS3362" t="s">
        <v>55170</v>
      </c>
      <c r="BT3362" t="str">
        <f>HYPERLINK("https%3A%2F%2Fwww.webofscience.com%2Fwos%2Fwoscc%2Ffull-record%2FWOS:001575998400001","View Full Record in Web of Science")</f>
        <v>View Full Record in Web of Science</v>
      </c>
    </row>
    <row r="3363" spans="1:72" x14ac:dyDescent="0.25">
      <c r="A3363" t="s">
        <v>72</v>
      </c>
      <c r="B3363" t="s">
        <v>55171</v>
      </c>
      <c r="C3363" t="s">
        <v>74</v>
      </c>
      <c r="D3363" t="s">
        <v>74</v>
      </c>
      <c r="E3363" t="s">
        <v>74</v>
      </c>
      <c r="F3363" t="s">
        <v>55172</v>
      </c>
      <c r="G3363" t="s">
        <v>74</v>
      </c>
      <c r="H3363" t="s">
        <v>74</v>
      </c>
      <c r="I3363" t="s">
        <v>55173</v>
      </c>
      <c r="J3363" t="s">
        <v>4055</v>
      </c>
      <c r="K3363" t="s">
        <v>74</v>
      </c>
      <c r="L3363" t="s">
        <v>74</v>
      </c>
      <c r="M3363" t="s">
        <v>78</v>
      </c>
      <c r="N3363" t="s">
        <v>1766</v>
      </c>
      <c r="O3363" t="s">
        <v>74</v>
      </c>
      <c r="P3363" t="s">
        <v>74</v>
      </c>
      <c r="Q3363" t="s">
        <v>74</v>
      </c>
      <c r="R3363" t="s">
        <v>74</v>
      </c>
      <c r="S3363" t="s">
        <v>74</v>
      </c>
      <c r="T3363" t="s">
        <v>55174</v>
      </c>
      <c r="U3363" t="s">
        <v>55175</v>
      </c>
      <c r="V3363" t="s">
        <v>55176</v>
      </c>
      <c r="W3363" t="s">
        <v>55177</v>
      </c>
      <c r="X3363" t="s">
        <v>33513</v>
      </c>
      <c r="Y3363" t="s">
        <v>55178</v>
      </c>
      <c r="Z3363" t="s">
        <v>55179</v>
      </c>
      <c r="AA3363" t="s">
        <v>74</v>
      </c>
      <c r="AB3363" t="s">
        <v>74</v>
      </c>
      <c r="AC3363" t="s">
        <v>74</v>
      </c>
      <c r="AD3363" t="s">
        <v>74</v>
      </c>
      <c r="AE3363" t="s">
        <v>74</v>
      </c>
      <c r="AF3363" t="s">
        <v>74</v>
      </c>
      <c r="AG3363">
        <v>57</v>
      </c>
      <c r="AH3363">
        <v>37</v>
      </c>
      <c r="AI3363">
        <v>47</v>
      </c>
      <c r="AJ3363">
        <v>4</v>
      </c>
      <c r="AK3363">
        <v>77</v>
      </c>
      <c r="AL3363" t="s">
        <v>2907</v>
      </c>
      <c r="AM3363" t="s">
        <v>2908</v>
      </c>
      <c r="AN3363" t="s">
        <v>2909</v>
      </c>
      <c r="AO3363" t="s">
        <v>4064</v>
      </c>
      <c r="AP3363" t="s">
        <v>4065</v>
      </c>
      <c r="AQ3363" t="s">
        <v>74</v>
      </c>
      <c r="AR3363" t="s">
        <v>4066</v>
      </c>
      <c r="AS3363" t="s">
        <v>4067</v>
      </c>
      <c r="AT3363" t="s">
        <v>124</v>
      </c>
      <c r="AU3363">
        <v>2023</v>
      </c>
      <c r="AV3363">
        <v>28</v>
      </c>
      <c r="AW3363">
        <v>4</v>
      </c>
      <c r="AX3363" t="s">
        <v>74</v>
      </c>
      <c r="AY3363" t="s">
        <v>74</v>
      </c>
      <c r="AZ3363" t="s">
        <v>441</v>
      </c>
      <c r="BA3363" t="s">
        <v>74</v>
      </c>
      <c r="BB3363">
        <v>748</v>
      </c>
      <c r="BC3363">
        <v>762</v>
      </c>
      <c r="BD3363" t="s">
        <v>74</v>
      </c>
      <c r="BE3363" t="s">
        <v>55180</v>
      </c>
      <c r="BF3363" t="str">
        <f>HYPERLINK("http://dx.doi.org/10.1057/s41264-022-00200-w","http://dx.doi.org/10.1057/s41264-022-00200-w")</f>
        <v>http://dx.doi.org/10.1057/s41264-022-00200-w</v>
      </c>
      <c r="BG3363" t="s">
        <v>74</v>
      </c>
      <c r="BH3363" t="s">
        <v>7904</v>
      </c>
      <c r="BI3363">
        <v>15</v>
      </c>
      <c r="BJ3363" t="s">
        <v>418</v>
      </c>
      <c r="BK3363" t="s">
        <v>313</v>
      </c>
      <c r="BL3363" t="s">
        <v>100</v>
      </c>
      <c r="BM3363" t="s">
        <v>55181</v>
      </c>
      <c r="BN3363" t="s">
        <v>74</v>
      </c>
      <c r="BO3363" t="s">
        <v>678</v>
      </c>
      <c r="BP3363" t="s">
        <v>74</v>
      </c>
      <c r="BQ3363" t="s">
        <v>74</v>
      </c>
      <c r="BR3363" t="s">
        <v>102</v>
      </c>
      <c r="BS3363" t="s">
        <v>55182</v>
      </c>
      <c r="BT3363" t="str">
        <f>HYPERLINK("https%3A%2F%2Fwww.webofscience.com%2Fwos%2Fwoscc%2Ffull-record%2FWOS:000901851600001","View Full Record in Web of Science")</f>
        <v>View Full Record in Web of Science</v>
      </c>
    </row>
    <row r="3364" spans="1:72" x14ac:dyDescent="0.25">
      <c r="A3364" t="s">
        <v>72</v>
      </c>
      <c r="B3364" t="s">
        <v>55183</v>
      </c>
      <c r="C3364" t="s">
        <v>74</v>
      </c>
      <c r="D3364" t="s">
        <v>74</v>
      </c>
      <c r="E3364" t="s">
        <v>74</v>
      </c>
      <c r="F3364" t="s">
        <v>55184</v>
      </c>
      <c r="G3364" t="s">
        <v>74</v>
      </c>
      <c r="H3364" t="s">
        <v>74</v>
      </c>
      <c r="I3364" t="s">
        <v>55185</v>
      </c>
      <c r="J3364" t="s">
        <v>8577</v>
      </c>
      <c r="K3364" t="s">
        <v>74</v>
      </c>
      <c r="L3364" t="s">
        <v>74</v>
      </c>
      <c r="M3364" t="s">
        <v>78</v>
      </c>
      <c r="N3364" t="s">
        <v>79</v>
      </c>
      <c r="O3364" t="s">
        <v>74</v>
      </c>
      <c r="P3364" t="s">
        <v>74</v>
      </c>
      <c r="Q3364" t="s">
        <v>74</v>
      </c>
      <c r="R3364" t="s">
        <v>74</v>
      </c>
      <c r="S3364" t="s">
        <v>74</v>
      </c>
      <c r="T3364" t="s">
        <v>55186</v>
      </c>
      <c r="U3364" t="s">
        <v>74</v>
      </c>
      <c r="V3364" t="s">
        <v>55187</v>
      </c>
      <c r="W3364" t="s">
        <v>55188</v>
      </c>
      <c r="X3364" t="s">
        <v>55189</v>
      </c>
      <c r="Y3364" t="s">
        <v>55190</v>
      </c>
      <c r="Z3364" t="s">
        <v>55191</v>
      </c>
      <c r="AA3364" t="s">
        <v>55192</v>
      </c>
      <c r="AB3364" t="s">
        <v>74</v>
      </c>
      <c r="AC3364" t="s">
        <v>74</v>
      </c>
      <c r="AD3364" t="s">
        <v>74</v>
      </c>
      <c r="AE3364" t="s">
        <v>74</v>
      </c>
      <c r="AF3364" t="s">
        <v>74</v>
      </c>
      <c r="AG3364">
        <v>59</v>
      </c>
      <c r="AH3364">
        <v>0</v>
      </c>
      <c r="AI3364">
        <v>0</v>
      </c>
      <c r="AJ3364">
        <v>8</v>
      </c>
      <c r="AK3364">
        <v>8</v>
      </c>
      <c r="AL3364" t="s">
        <v>8587</v>
      </c>
      <c r="AM3364" t="s">
        <v>5144</v>
      </c>
      <c r="AN3364" t="s">
        <v>8588</v>
      </c>
      <c r="AO3364" t="s">
        <v>8589</v>
      </c>
      <c r="AP3364" t="s">
        <v>74</v>
      </c>
      <c r="AQ3364" t="s">
        <v>74</v>
      </c>
      <c r="AR3364" t="s">
        <v>8590</v>
      </c>
      <c r="AS3364" t="s">
        <v>8591</v>
      </c>
      <c r="AT3364" t="s">
        <v>74</v>
      </c>
      <c r="AU3364">
        <v>2025</v>
      </c>
      <c r="AV3364">
        <v>22</v>
      </c>
      <c r="AW3364">
        <v>6</v>
      </c>
      <c r="AX3364" t="s">
        <v>74</v>
      </c>
      <c r="AY3364" t="s">
        <v>74</v>
      </c>
      <c r="AZ3364" t="s">
        <v>74</v>
      </c>
      <c r="BA3364" t="s">
        <v>74</v>
      </c>
      <c r="BB3364">
        <v>131</v>
      </c>
      <c r="BC3364">
        <v>151</v>
      </c>
      <c r="BD3364" t="s">
        <v>74</v>
      </c>
      <c r="BE3364" t="s">
        <v>74</v>
      </c>
      <c r="BF3364" t="s">
        <v>74</v>
      </c>
      <c r="BG3364" t="s">
        <v>74</v>
      </c>
      <c r="BH3364" t="s">
        <v>74</v>
      </c>
      <c r="BI3364">
        <v>21</v>
      </c>
      <c r="BJ3364" t="s">
        <v>8592</v>
      </c>
      <c r="BK3364" t="s">
        <v>128</v>
      </c>
      <c r="BL3364" t="s">
        <v>2581</v>
      </c>
      <c r="BM3364" t="s">
        <v>55193</v>
      </c>
      <c r="BN3364" t="s">
        <v>74</v>
      </c>
      <c r="BO3364" t="s">
        <v>74</v>
      </c>
      <c r="BP3364" t="s">
        <v>74</v>
      </c>
      <c r="BQ3364" t="s">
        <v>74</v>
      </c>
      <c r="BR3364" t="s">
        <v>102</v>
      </c>
      <c r="BS3364" t="s">
        <v>55194</v>
      </c>
      <c r="BT3364" t="str">
        <f>HYPERLINK("https%3A%2F%2Fwww.webofscience.com%2Fwos%2Fwoscc%2Ffull-record%2FWOS:001522335300004","View Full Record in Web of Science")</f>
        <v>View Full Record in Web of Science</v>
      </c>
    </row>
    <row r="3365" spans="1:72" x14ac:dyDescent="0.25">
      <c r="A3365" t="s">
        <v>72</v>
      </c>
      <c r="B3365" t="s">
        <v>55195</v>
      </c>
      <c r="C3365" t="s">
        <v>74</v>
      </c>
      <c r="D3365" t="s">
        <v>74</v>
      </c>
      <c r="E3365" t="s">
        <v>74</v>
      </c>
      <c r="F3365" t="s">
        <v>55196</v>
      </c>
      <c r="G3365" t="s">
        <v>74</v>
      </c>
      <c r="H3365" t="s">
        <v>74</v>
      </c>
      <c r="I3365" t="s">
        <v>55197</v>
      </c>
      <c r="J3365" t="s">
        <v>55198</v>
      </c>
      <c r="K3365" t="s">
        <v>74</v>
      </c>
      <c r="L3365" t="s">
        <v>74</v>
      </c>
      <c r="M3365" t="s">
        <v>78</v>
      </c>
      <c r="N3365" t="s">
        <v>79</v>
      </c>
      <c r="O3365" t="s">
        <v>74</v>
      </c>
      <c r="P3365" t="s">
        <v>74</v>
      </c>
      <c r="Q3365" t="s">
        <v>74</v>
      </c>
      <c r="R3365" t="s">
        <v>74</v>
      </c>
      <c r="S3365" t="s">
        <v>74</v>
      </c>
      <c r="T3365" t="s">
        <v>55199</v>
      </c>
      <c r="U3365" t="s">
        <v>30032</v>
      </c>
      <c r="V3365" t="s">
        <v>55200</v>
      </c>
      <c r="W3365" t="s">
        <v>55201</v>
      </c>
      <c r="X3365" t="s">
        <v>55202</v>
      </c>
      <c r="Y3365" t="s">
        <v>55203</v>
      </c>
      <c r="Z3365" t="s">
        <v>55204</v>
      </c>
      <c r="AA3365" t="s">
        <v>74</v>
      </c>
      <c r="AB3365" t="s">
        <v>74</v>
      </c>
      <c r="AC3365" t="s">
        <v>74</v>
      </c>
      <c r="AD3365" t="s">
        <v>74</v>
      </c>
      <c r="AE3365" t="s">
        <v>74</v>
      </c>
      <c r="AF3365" t="s">
        <v>74</v>
      </c>
      <c r="AG3365">
        <v>25</v>
      </c>
      <c r="AH3365">
        <v>11</v>
      </c>
      <c r="AI3365">
        <v>20</v>
      </c>
      <c r="AJ3365">
        <v>0</v>
      </c>
      <c r="AK3365">
        <v>18</v>
      </c>
      <c r="AL3365" t="s">
        <v>55205</v>
      </c>
      <c r="AM3365" t="s">
        <v>55206</v>
      </c>
      <c r="AN3365" t="s">
        <v>55207</v>
      </c>
      <c r="AO3365" t="s">
        <v>55208</v>
      </c>
      <c r="AP3365" t="s">
        <v>74</v>
      </c>
      <c r="AQ3365" t="s">
        <v>74</v>
      </c>
      <c r="AR3365" t="s">
        <v>55209</v>
      </c>
      <c r="AS3365" t="s">
        <v>55210</v>
      </c>
      <c r="AT3365" t="s">
        <v>74</v>
      </c>
      <c r="AU3365">
        <v>2017</v>
      </c>
      <c r="AV3365">
        <v>11</v>
      </c>
      <c r="AW3365">
        <v>2</v>
      </c>
      <c r="AX3365" t="s">
        <v>74</v>
      </c>
      <c r="AY3365" t="s">
        <v>74</v>
      </c>
      <c r="AZ3365" t="s">
        <v>74</v>
      </c>
      <c r="BA3365" t="s">
        <v>74</v>
      </c>
      <c r="BB3365">
        <v>27</v>
      </c>
      <c r="BC3365">
        <v>38</v>
      </c>
      <c r="BD3365" t="s">
        <v>74</v>
      </c>
      <c r="BE3365" t="s">
        <v>74</v>
      </c>
      <c r="BF3365" t="s">
        <v>74</v>
      </c>
      <c r="BG3365" t="s">
        <v>74</v>
      </c>
      <c r="BH3365" t="s">
        <v>74</v>
      </c>
      <c r="BI3365">
        <v>12</v>
      </c>
      <c r="BJ3365" t="s">
        <v>4031</v>
      </c>
      <c r="BK3365" t="s">
        <v>313</v>
      </c>
      <c r="BL3365" t="s">
        <v>4031</v>
      </c>
      <c r="BM3365" t="s">
        <v>55211</v>
      </c>
      <c r="BN3365" t="s">
        <v>74</v>
      </c>
      <c r="BO3365" t="s">
        <v>74</v>
      </c>
      <c r="BP3365" t="s">
        <v>74</v>
      </c>
      <c r="BQ3365" t="s">
        <v>74</v>
      </c>
      <c r="BR3365" t="s">
        <v>102</v>
      </c>
      <c r="BS3365" t="s">
        <v>55212</v>
      </c>
      <c r="BT3365" t="str">
        <f>HYPERLINK("https%3A%2F%2Fwww.webofscience.com%2Fwos%2Fwoscc%2Ffull-record%2FWOS:000419292400004","View Full Record in Web of Science")</f>
        <v>View Full Record in Web of Science</v>
      </c>
    </row>
    <row r="3366" spans="1:72" x14ac:dyDescent="0.25">
      <c r="A3366" t="s">
        <v>72</v>
      </c>
      <c r="B3366" t="s">
        <v>55213</v>
      </c>
      <c r="C3366" t="s">
        <v>74</v>
      </c>
      <c r="D3366" t="s">
        <v>74</v>
      </c>
      <c r="E3366" t="s">
        <v>74</v>
      </c>
      <c r="F3366" t="s">
        <v>55214</v>
      </c>
      <c r="G3366" t="s">
        <v>74</v>
      </c>
      <c r="H3366" t="s">
        <v>74</v>
      </c>
      <c r="I3366" t="s">
        <v>55215</v>
      </c>
      <c r="J3366" t="s">
        <v>8341</v>
      </c>
      <c r="K3366" t="s">
        <v>74</v>
      </c>
      <c r="L3366" t="s">
        <v>74</v>
      </c>
      <c r="M3366" t="s">
        <v>78</v>
      </c>
      <c r="N3366" t="s">
        <v>1766</v>
      </c>
      <c r="O3366" t="s">
        <v>74</v>
      </c>
      <c r="P3366" t="s">
        <v>74</v>
      </c>
      <c r="Q3366" t="s">
        <v>74</v>
      </c>
      <c r="R3366" t="s">
        <v>74</v>
      </c>
      <c r="S3366" t="s">
        <v>74</v>
      </c>
      <c r="T3366" t="s">
        <v>55216</v>
      </c>
      <c r="U3366" t="s">
        <v>55217</v>
      </c>
      <c r="V3366" t="s">
        <v>55218</v>
      </c>
      <c r="W3366" t="s">
        <v>55219</v>
      </c>
      <c r="X3366" t="s">
        <v>55220</v>
      </c>
      <c r="Y3366" t="s">
        <v>55221</v>
      </c>
      <c r="Z3366" t="s">
        <v>55222</v>
      </c>
      <c r="AA3366" t="s">
        <v>55223</v>
      </c>
      <c r="AB3366" t="s">
        <v>74</v>
      </c>
      <c r="AC3366" t="s">
        <v>55224</v>
      </c>
      <c r="AD3366" t="s">
        <v>55225</v>
      </c>
      <c r="AE3366" t="s">
        <v>55226</v>
      </c>
      <c r="AF3366" t="s">
        <v>74</v>
      </c>
      <c r="AG3366">
        <v>131</v>
      </c>
      <c r="AH3366">
        <v>0</v>
      </c>
      <c r="AI3366">
        <v>0</v>
      </c>
      <c r="AJ3366">
        <v>2</v>
      </c>
      <c r="AK3366">
        <v>2</v>
      </c>
      <c r="AL3366" t="s">
        <v>1216</v>
      </c>
      <c r="AM3366" t="s">
        <v>283</v>
      </c>
      <c r="AN3366" t="s">
        <v>1217</v>
      </c>
      <c r="AO3366" t="s">
        <v>74</v>
      </c>
      <c r="AP3366" t="s">
        <v>8349</v>
      </c>
      <c r="AQ3366" t="s">
        <v>74</v>
      </c>
      <c r="AR3366" t="s">
        <v>8350</v>
      </c>
      <c r="AS3366" t="s">
        <v>8351</v>
      </c>
      <c r="AT3366" t="s">
        <v>26438</v>
      </c>
      <c r="AU3366">
        <v>2025</v>
      </c>
      <c r="AV3366">
        <v>9</v>
      </c>
      <c r="AW3366" t="s">
        <v>74</v>
      </c>
      <c r="AX3366" t="s">
        <v>74</v>
      </c>
      <c r="AY3366" t="s">
        <v>74</v>
      </c>
      <c r="AZ3366" t="s">
        <v>74</v>
      </c>
      <c r="BA3366" t="s">
        <v>74</v>
      </c>
      <c r="BB3366" t="s">
        <v>74</v>
      </c>
      <c r="BC3366" t="s">
        <v>74</v>
      </c>
      <c r="BD3366">
        <v>1649834</v>
      </c>
      <c r="BE3366" t="s">
        <v>55227</v>
      </c>
      <c r="BF3366" t="str">
        <f>HYPERLINK("http://dx.doi.org/10.3389/fsufs.2025.1649834","http://dx.doi.org/10.3389/fsufs.2025.1649834")</f>
        <v>http://dx.doi.org/10.3389/fsufs.2025.1649834</v>
      </c>
      <c r="BG3366" t="s">
        <v>74</v>
      </c>
      <c r="BH3366" t="s">
        <v>74</v>
      </c>
      <c r="BI3366">
        <v>16</v>
      </c>
      <c r="BJ3366" t="s">
        <v>7722</v>
      </c>
      <c r="BK3366" t="s">
        <v>128</v>
      </c>
      <c r="BL3366" t="s">
        <v>7722</v>
      </c>
      <c r="BM3366" t="s">
        <v>55228</v>
      </c>
      <c r="BN3366" t="s">
        <v>74</v>
      </c>
      <c r="BO3366" t="s">
        <v>212</v>
      </c>
      <c r="BP3366" t="s">
        <v>74</v>
      </c>
      <c r="BQ3366" t="s">
        <v>74</v>
      </c>
      <c r="BR3366" t="s">
        <v>102</v>
      </c>
      <c r="BS3366" t="s">
        <v>55229</v>
      </c>
      <c r="BT3366" t="str">
        <f>HYPERLINK("https%3A%2F%2Fwww.webofscience.com%2Fwos%2Fwoscc%2Ffull-record%2FWOS:001628299400001","View Full Record in Web of Science")</f>
        <v>View Full Record in Web of Science</v>
      </c>
    </row>
    <row r="3367" spans="1:72" x14ac:dyDescent="0.25">
      <c r="A3367" t="s">
        <v>72</v>
      </c>
      <c r="B3367" t="s">
        <v>55230</v>
      </c>
      <c r="C3367" t="s">
        <v>74</v>
      </c>
      <c r="D3367" t="s">
        <v>74</v>
      </c>
      <c r="E3367" t="s">
        <v>74</v>
      </c>
      <c r="F3367" t="s">
        <v>55231</v>
      </c>
      <c r="G3367" t="s">
        <v>74</v>
      </c>
      <c r="H3367" t="s">
        <v>74</v>
      </c>
      <c r="I3367" t="s">
        <v>55232</v>
      </c>
      <c r="J3367" t="s">
        <v>12549</v>
      </c>
      <c r="K3367" t="s">
        <v>74</v>
      </c>
      <c r="L3367" t="s">
        <v>74</v>
      </c>
      <c r="M3367" t="s">
        <v>78</v>
      </c>
      <c r="N3367" t="s">
        <v>79</v>
      </c>
      <c r="O3367" t="s">
        <v>74</v>
      </c>
      <c r="P3367" t="s">
        <v>74</v>
      </c>
      <c r="Q3367" t="s">
        <v>74</v>
      </c>
      <c r="R3367" t="s">
        <v>74</v>
      </c>
      <c r="S3367" t="s">
        <v>74</v>
      </c>
      <c r="T3367" t="s">
        <v>55233</v>
      </c>
      <c r="U3367" t="s">
        <v>74</v>
      </c>
      <c r="V3367" t="s">
        <v>55234</v>
      </c>
      <c r="W3367" t="s">
        <v>55235</v>
      </c>
      <c r="X3367" t="s">
        <v>55236</v>
      </c>
      <c r="Y3367" t="s">
        <v>55237</v>
      </c>
      <c r="Z3367" t="s">
        <v>55238</v>
      </c>
      <c r="AA3367" t="s">
        <v>74</v>
      </c>
      <c r="AB3367" t="s">
        <v>74</v>
      </c>
      <c r="AC3367" t="s">
        <v>55239</v>
      </c>
      <c r="AD3367" t="s">
        <v>55239</v>
      </c>
      <c r="AE3367" t="s">
        <v>55240</v>
      </c>
      <c r="AF3367" t="s">
        <v>74</v>
      </c>
      <c r="AG3367">
        <v>31</v>
      </c>
      <c r="AH3367">
        <v>17</v>
      </c>
      <c r="AI3367">
        <v>29</v>
      </c>
      <c r="AJ3367">
        <v>2</v>
      </c>
      <c r="AK3367">
        <v>37</v>
      </c>
      <c r="AL3367" t="s">
        <v>575</v>
      </c>
      <c r="AM3367" t="s">
        <v>576</v>
      </c>
      <c r="AN3367" t="s">
        <v>3242</v>
      </c>
      <c r="AO3367" t="s">
        <v>12562</v>
      </c>
      <c r="AP3367" t="s">
        <v>12563</v>
      </c>
      <c r="AQ3367" t="s">
        <v>74</v>
      </c>
      <c r="AR3367" t="s">
        <v>12564</v>
      </c>
      <c r="AS3367" t="s">
        <v>12565</v>
      </c>
      <c r="AT3367" t="s">
        <v>891</v>
      </c>
      <c r="AU3367">
        <v>2020</v>
      </c>
      <c r="AV3367">
        <v>13</v>
      </c>
      <c r="AW3367">
        <v>11</v>
      </c>
      <c r="AX3367" t="s">
        <v>74</v>
      </c>
      <c r="AY3367" t="s">
        <v>74</v>
      </c>
      <c r="AZ3367" t="s">
        <v>74</v>
      </c>
      <c r="BA3367" t="s">
        <v>74</v>
      </c>
      <c r="BB3367" t="s">
        <v>74</v>
      </c>
      <c r="BC3367" t="s">
        <v>74</v>
      </c>
      <c r="BD3367">
        <v>260</v>
      </c>
      <c r="BE3367" t="s">
        <v>55241</v>
      </c>
      <c r="BF3367" t="str">
        <f>HYPERLINK("http://dx.doi.org/10.3390/jrfm13110260","http://dx.doi.org/10.3390/jrfm13110260")</f>
        <v>http://dx.doi.org/10.3390/jrfm13110260</v>
      </c>
      <c r="BG3367" t="s">
        <v>74</v>
      </c>
      <c r="BH3367" t="s">
        <v>74</v>
      </c>
      <c r="BI3367">
        <v>10</v>
      </c>
      <c r="BJ3367" t="s">
        <v>268</v>
      </c>
      <c r="BK3367" t="s">
        <v>313</v>
      </c>
      <c r="BL3367" t="s">
        <v>100</v>
      </c>
      <c r="BM3367" t="s">
        <v>55242</v>
      </c>
      <c r="BN3367" t="s">
        <v>74</v>
      </c>
      <c r="BO3367" t="s">
        <v>466</v>
      </c>
      <c r="BP3367" t="s">
        <v>74</v>
      </c>
      <c r="BQ3367" t="s">
        <v>74</v>
      </c>
      <c r="BR3367" t="s">
        <v>102</v>
      </c>
      <c r="BS3367" t="s">
        <v>55243</v>
      </c>
      <c r="BT3367" t="str">
        <f>HYPERLINK("https%3A%2F%2Fwww.webofscience.com%2Fwos%2Fwoscc%2Ffull-record%2FWOS:000593163400001","View Full Record in Web of Science")</f>
        <v>View Full Record in Web of Science</v>
      </c>
    </row>
    <row r="3368" spans="1:72" x14ac:dyDescent="0.25">
      <c r="A3368" t="s">
        <v>72</v>
      </c>
      <c r="B3368" t="s">
        <v>55244</v>
      </c>
      <c r="C3368" t="s">
        <v>74</v>
      </c>
      <c r="D3368" t="s">
        <v>74</v>
      </c>
      <c r="E3368" t="s">
        <v>74</v>
      </c>
      <c r="F3368" t="s">
        <v>55245</v>
      </c>
      <c r="G3368" t="s">
        <v>74</v>
      </c>
      <c r="H3368" t="s">
        <v>74</v>
      </c>
      <c r="I3368" t="s">
        <v>55246</v>
      </c>
      <c r="J3368" t="s">
        <v>55247</v>
      </c>
      <c r="K3368" t="s">
        <v>74</v>
      </c>
      <c r="L3368" t="s">
        <v>74</v>
      </c>
      <c r="M3368" t="s">
        <v>78</v>
      </c>
      <c r="N3368" t="s">
        <v>79</v>
      </c>
      <c r="O3368" t="s">
        <v>74</v>
      </c>
      <c r="P3368" t="s">
        <v>74</v>
      </c>
      <c r="Q3368" t="s">
        <v>74</v>
      </c>
      <c r="R3368" t="s">
        <v>74</v>
      </c>
      <c r="S3368" t="s">
        <v>74</v>
      </c>
      <c r="T3368" t="s">
        <v>55248</v>
      </c>
      <c r="U3368" t="s">
        <v>55249</v>
      </c>
      <c r="V3368" t="s">
        <v>55250</v>
      </c>
      <c r="W3368" t="s">
        <v>55251</v>
      </c>
      <c r="X3368" t="s">
        <v>3960</v>
      </c>
      <c r="Y3368" t="s">
        <v>55252</v>
      </c>
      <c r="Z3368" t="s">
        <v>55253</v>
      </c>
      <c r="AA3368" t="s">
        <v>55254</v>
      </c>
      <c r="AB3368" t="s">
        <v>55255</v>
      </c>
      <c r="AC3368" t="s">
        <v>74</v>
      </c>
      <c r="AD3368" t="s">
        <v>74</v>
      </c>
      <c r="AE3368" t="s">
        <v>74</v>
      </c>
      <c r="AF3368" t="s">
        <v>74</v>
      </c>
      <c r="AG3368">
        <v>73</v>
      </c>
      <c r="AH3368">
        <v>1</v>
      </c>
      <c r="AI3368">
        <v>3</v>
      </c>
      <c r="AJ3368">
        <v>0</v>
      </c>
      <c r="AK3368">
        <v>6</v>
      </c>
      <c r="AL3368" t="s">
        <v>1889</v>
      </c>
      <c r="AM3368" t="s">
        <v>1890</v>
      </c>
      <c r="AN3368" t="s">
        <v>1891</v>
      </c>
      <c r="AO3368" t="s">
        <v>55256</v>
      </c>
      <c r="AP3368" t="s">
        <v>55257</v>
      </c>
      <c r="AQ3368" t="s">
        <v>74</v>
      </c>
      <c r="AR3368" t="s">
        <v>55258</v>
      </c>
      <c r="AS3368" t="s">
        <v>55259</v>
      </c>
      <c r="AT3368" t="s">
        <v>1159</v>
      </c>
      <c r="AU3368">
        <v>2023</v>
      </c>
      <c r="AV3368">
        <v>14</v>
      </c>
      <c r="AW3368">
        <v>3</v>
      </c>
      <c r="AX3368" t="s">
        <v>74</v>
      </c>
      <c r="AY3368" t="s">
        <v>74</v>
      </c>
      <c r="AZ3368" t="s">
        <v>74</v>
      </c>
      <c r="BA3368" t="s">
        <v>74</v>
      </c>
      <c r="BB3368" t="s">
        <v>74</v>
      </c>
      <c r="BC3368" t="s">
        <v>74</v>
      </c>
      <c r="BD3368" t="s">
        <v>74</v>
      </c>
      <c r="BE3368" t="s">
        <v>55260</v>
      </c>
      <c r="BF3368" t="str">
        <f>HYPERLINK("http://dx.doi.org/10.1142/S1793993323500266","http://dx.doi.org/10.1142/S1793993323500266")</f>
        <v>http://dx.doi.org/10.1142/S1793993323500266</v>
      </c>
      <c r="BG3368" t="s">
        <v>74</v>
      </c>
      <c r="BH3368" t="s">
        <v>3535</v>
      </c>
      <c r="BI3368">
        <v>24</v>
      </c>
      <c r="BJ3368" t="s">
        <v>291</v>
      </c>
      <c r="BK3368" t="s">
        <v>313</v>
      </c>
      <c r="BL3368" t="s">
        <v>100</v>
      </c>
      <c r="BM3368" t="s">
        <v>55261</v>
      </c>
      <c r="BN3368" t="s">
        <v>74</v>
      </c>
      <c r="BO3368" t="s">
        <v>74</v>
      </c>
      <c r="BP3368" t="s">
        <v>74</v>
      </c>
      <c r="BQ3368" t="s">
        <v>74</v>
      </c>
      <c r="BR3368" t="s">
        <v>102</v>
      </c>
      <c r="BS3368" t="s">
        <v>55262</v>
      </c>
      <c r="BT3368" t="str">
        <f>HYPERLINK("https%3A%2F%2Fwww.webofscience.com%2Fwos%2Fwoscc%2Ffull-record%2FWOS:001101303400002","View Full Record in Web of Science")</f>
        <v>View Full Record in Web of Science</v>
      </c>
    </row>
    <row r="3369" spans="1:72" x14ac:dyDescent="0.25">
      <c r="A3369" t="s">
        <v>72</v>
      </c>
      <c r="B3369" t="s">
        <v>55263</v>
      </c>
      <c r="C3369" t="s">
        <v>74</v>
      </c>
      <c r="D3369" t="s">
        <v>74</v>
      </c>
      <c r="E3369" t="s">
        <v>74</v>
      </c>
      <c r="F3369" t="s">
        <v>55264</v>
      </c>
      <c r="G3369" t="s">
        <v>74</v>
      </c>
      <c r="H3369" t="s">
        <v>74</v>
      </c>
      <c r="I3369" t="s">
        <v>55265</v>
      </c>
      <c r="J3369" t="s">
        <v>18075</v>
      </c>
      <c r="K3369" t="s">
        <v>74</v>
      </c>
      <c r="L3369" t="s">
        <v>74</v>
      </c>
      <c r="M3369" t="s">
        <v>78</v>
      </c>
      <c r="N3369" t="s">
        <v>79</v>
      </c>
      <c r="O3369" t="s">
        <v>74</v>
      </c>
      <c r="P3369" t="s">
        <v>74</v>
      </c>
      <c r="Q3369" t="s">
        <v>74</v>
      </c>
      <c r="R3369" t="s">
        <v>74</v>
      </c>
      <c r="S3369" t="s">
        <v>74</v>
      </c>
      <c r="T3369" t="s">
        <v>55266</v>
      </c>
      <c r="U3369" t="s">
        <v>55267</v>
      </c>
      <c r="V3369" t="s">
        <v>55268</v>
      </c>
      <c r="W3369" t="s">
        <v>55269</v>
      </c>
      <c r="X3369" t="s">
        <v>55270</v>
      </c>
      <c r="Y3369" t="s">
        <v>55271</v>
      </c>
      <c r="Z3369" t="s">
        <v>55272</v>
      </c>
      <c r="AA3369" t="s">
        <v>55273</v>
      </c>
      <c r="AB3369" t="s">
        <v>55274</v>
      </c>
      <c r="AC3369" t="s">
        <v>74</v>
      </c>
      <c r="AD3369" t="s">
        <v>74</v>
      </c>
      <c r="AE3369" t="s">
        <v>74</v>
      </c>
      <c r="AF3369" t="s">
        <v>74</v>
      </c>
      <c r="AG3369">
        <v>92</v>
      </c>
      <c r="AH3369">
        <v>5</v>
      </c>
      <c r="AI3369">
        <v>8</v>
      </c>
      <c r="AJ3369">
        <v>6</v>
      </c>
      <c r="AK3369">
        <v>42</v>
      </c>
      <c r="AL3369" t="s">
        <v>89</v>
      </c>
      <c r="AM3369" t="s">
        <v>90</v>
      </c>
      <c r="AN3369" t="s">
        <v>91</v>
      </c>
      <c r="AO3369" t="s">
        <v>18085</v>
      </c>
      <c r="AP3369" t="s">
        <v>18086</v>
      </c>
      <c r="AQ3369" t="s">
        <v>74</v>
      </c>
      <c r="AR3369" t="s">
        <v>18075</v>
      </c>
      <c r="AS3369" t="s">
        <v>18087</v>
      </c>
      <c r="AT3369" t="s">
        <v>26169</v>
      </c>
      <c r="AU3369">
        <v>2023</v>
      </c>
      <c r="AV3369">
        <v>52</v>
      </c>
      <c r="AW3369">
        <v>10</v>
      </c>
      <c r="AX3369" t="s">
        <v>74</v>
      </c>
      <c r="AY3369" t="s">
        <v>74</v>
      </c>
      <c r="AZ3369" t="s">
        <v>74</v>
      </c>
      <c r="BA3369" t="s">
        <v>74</v>
      </c>
      <c r="BB3369">
        <v>4229</v>
      </c>
      <c r="BC3369">
        <v>4256</v>
      </c>
      <c r="BD3369" t="s">
        <v>74</v>
      </c>
      <c r="BE3369" t="s">
        <v>55275</v>
      </c>
      <c r="BF3369" t="str">
        <f>HYPERLINK("http://dx.doi.org/10.1108/K-01-2022-0112","http://dx.doi.org/10.1108/K-01-2022-0112")</f>
        <v>http://dx.doi.org/10.1108/K-01-2022-0112</v>
      </c>
      <c r="BG3369" t="s">
        <v>74</v>
      </c>
      <c r="BH3369" t="s">
        <v>1091</v>
      </c>
      <c r="BI3369">
        <v>28</v>
      </c>
      <c r="BJ3369" t="s">
        <v>6568</v>
      </c>
      <c r="BK3369" t="s">
        <v>128</v>
      </c>
      <c r="BL3369" t="s">
        <v>157</v>
      </c>
      <c r="BM3369" t="s">
        <v>26167</v>
      </c>
      <c r="BN3369" t="s">
        <v>74</v>
      </c>
      <c r="BO3369" t="s">
        <v>1696</v>
      </c>
      <c r="BP3369" t="s">
        <v>74</v>
      </c>
      <c r="BQ3369" t="s">
        <v>74</v>
      </c>
      <c r="BR3369" t="s">
        <v>102</v>
      </c>
      <c r="BS3369" t="s">
        <v>55276</v>
      </c>
      <c r="BT3369" t="str">
        <f>HYPERLINK("https%3A%2F%2Fwww.webofscience.com%2Fwos%2Fwoscc%2Ffull-record%2FWOS:000803254000001","View Full Record in Web of Science")</f>
        <v>View Full Record in Web of Science</v>
      </c>
    </row>
    <row r="3370" spans="1:72" x14ac:dyDescent="0.25">
      <c r="A3370" t="s">
        <v>72</v>
      </c>
      <c r="B3370" t="s">
        <v>55277</v>
      </c>
      <c r="C3370" t="s">
        <v>74</v>
      </c>
      <c r="D3370" t="s">
        <v>74</v>
      </c>
      <c r="E3370" t="s">
        <v>74</v>
      </c>
      <c r="F3370" t="s">
        <v>55278</v>
      </c>
      <c r="G3370" t="s">
        <v>74</v>
      </c>
      <c r="H3370" t="s">
        <v>74</v>
      </c>
      <c r="I3370" t="s">
        <v>55279</v>
      </c>
      <c r="J3370" t="s">
        <v>38646</v>
      </c>
      <c r="K3370" t="s">
        <v>74</v>
      </c>
      <c r="L3370" t="s">
        <v>74</v>
      </c>
      <c r="M3370" t="s">
        <v>78</v>
      </c>
      <c r="N3370" t="s">
        <v>79</v>
      </c>
      <c r="O3370" t="s">
        <v>74</v>
      </c>
      <c r="P3370" t="s">
        <v>74</v>
      </c>
      <c r="Q3370" t="s">
        <v>74</v>
      </c>
      <c r="R3370" t="s">
        <v>74</v>
      </c>
      <c r="S3370" t="s">
        <v>74</v>
      </c>
      <c r="T3370" t="s">
        <v>55280</v>
      </c>
      <c r="U3370" t="s">
        <v>55281</v>
      </c>
      <c r="V3370" t="s">
        <v>55282</v>
      </c>
      <c r="W3370" t="s">
        <v>55283</v>
      </c>
      <c r="X3370" t="s">
        <v>55284</v>
      </c>
      <c r="Y3370" t="s">
        <v>9751</v>
      </c>
      <c r="Z3370" t="s">
        <v>55285</v>
      </c>
      <c r="AA3370" t="s">
        <v>55286</v>
      </c>
      <c r="AB3370" t="s">
        <v>55287</v>
      </c>
      <c r="AC3370" t="s">
        <v>55288</v>
      </c>
      <c r="AD3370" t="s">
        <v>55288</v>
      </c>
      <c r="AE3370" t="s">
        <v>55289</v>
      </c>
      <c r="AF3370" t="s">
        <v>74</v>
      </c>
      <c r="AG3370">
        <v>183</v>
      </c>
      <c r="AH3370">
        <v>7</v>
      </c>
      <c r="AI3370">
        <v>9</v>
      </c>
      <c r="AJ3370">
        <v>0</v>
      </c>
      <c r="AK3370">
        <v>3</v>
      </c>
      <c r="AL3370" t="s">
        <v>89</v>
      </c>
      <c r="AM3370" t="s">
        <v>90</v>
      </c>
      <c r="AN3370" t="s">
        <v>91</v>
      </c>
      <c r="AO3370" t="s">
        <v>38650</v>
      </c>
      <c r="AP3370" t="s">
        <v>38651</v>
      </c>
      <c r="AQ3370" t="s">
        <v>74</v>
      </c>
      <c r="AR3370" t="s">
        <v>38646</v>
      </c>
      <c r="AS3370" t="s">
        <v>38652</v>
      </c>
      <c r="AT3370" t="s">
        <v>2357</v>
      </c>
      <c r="AU3370">
        <v>2025</v>
      </c>
      <c r="AV3370">
        <v>27</v>
      </c>
      <c r="AW3370">
        <v>4</v>
      </c>
      <c r="AX3370" t="s">
        <v>74</v>
      </c>
      <c r="AY3370" t="s">
        <v>74</v>
      </c>
      <c r="AZ3370" t="s">
        <v>74</v>
      </c>
      <c r="BA3370" t="s">
        <v>74</v>
      </c>
      <c r="BB3370">
        <v>789</v>
      </c>
      <c r="BC3370">
        <v>819</v>
      </c>
      <c r="BD3370" t="s">
        <v>74</v>
      </c>
      <c r="BE3370" t="s">
        <v>55290</v>
      </c>
      <c r="BF3370" t="str">
        <f>HYPERLINK("http://dx.doi.org/10.1108/FS-09-2022-0097","http://dx.doi.org/10.1108/FS-09-2022-0097")</f>
        <v>http://dx.doi.org/10.1108/FS-09-2022-0097</v>
      </c>
      <c r="BG3370" t="s">
        <v>74</v>
      </c>
      <c r="BH3370" t="s">
        <v>2781</v>
      </c>
      <c r="BI3370">
        <v>31</v>
      </c>
      <c r="BJ3370" t="s">
        <v>22623</v>
      </c>
      <c r="BK3370" t="s">
        <v>313</v>
      </c>
      <c r="BL3370" t="s">
        <v>3868</v>
      </c>
      <c r="BM3370" t="s">
        <v>38654</v>
      </c>
      <c r="BN3370" t="s">
        <v>74</v>
      </c>
      <c r="BO3370" t="s">
        <v>74</v>
      </c>
      <c r="BP3370" t="s">
        <v>74</v>
      </c>
      <c r="BQ3370" t="s">
        <v>74</v>
      </c>
      <c r="BR3370" t="s">
        <v>102</v>
      </c>
      <c r="BS3370" t="s">
        <v>55291</v>
      </c>
      <c r="BT3370" t="str">
        <f>HYPERLINK("https%3A%2F%2Fwww.webofscience.com%2Fwos%2Fwoscc%2Ffull-record%2FWOS:001441298900001","View Full Record in Web of Science")</f>
        <v>View Full Record in Web of Science</v>
      </c>
    </row>
    <row r="3371" spans="1:72" x14ac:dyDescent="0.25">
      <c r="A3371" t="s">
        <v>132</v>
      </c>
      <c r="B3371" t="s">
        <v>55292</v>
      </c>
      <c r="C3371" t="s">
        <v>74</v>
      </c>
      <c r="D3371" t="s">
        <v>55293</v>
      </c>
      <c r="E3371" t="s">
        <v>74</v>
      </c>
      <c r="F3371" t="s">
        <v>55294</v>
      </c>
      <c r="G3371" t="s">
        <v>74</v>
      </c>
      <c r="H3371" t="s">
        <v>74</v>
      </c>
      <c r="I3371" t="s">
        <v>55295</v>
      </c>
      <c r="J3371" t="s">
        <v>55296</v>
      </c>
      <c r="K3371" t="s">
        <v>2425</v>
      </c>
      <c r="L3371" t="s">
        <v>74</v>
      </c>
      <c r="M3371" t="s">
        <v>78</v>
      </c>
      <c r="N3371" t="s">
        <v>138</v>
      </c>
      <c r="O3371" t="s">
        <v>55297</v>
      </c>
      <c r="P3371" t="s">
        <v>55298</v>
      </c>
      <c r="Q3371" t="s">
        <v>55299</v>
      </c>
      <c r="R3371" t="s">
        <v>74</v>
      </c>
      <c r="S3371" t="s">
        <v>74</v>
      </c>
      <c r="T3371" t="s">
        <v>55300</v>
      </c>
      <c r="U3371" t="s">
        <v>74</v>
      </c>
      <c r="V3371" t="s">
        <v>55301</v>
      </c>
      <c r="W3371" t="s">
        <v>55302</v>
      </c>
      <c r="X3371" t="s">
        <v>12035</v>
      </c>
      <c r="Y3371" t="s">
        <v>55303</v>
      </c>
      <c r="Z3371" t="s">
        <v>55304</v>
      </c>
      <c r="AA3371" t="s">
        <v>55305</v>
      </c>
      <c r="AB3371" t="s">
        <v>55306</v>
      </c>
      <c r="AC3371" t="s">
        <v>74</v>
      </c>
      <c r="AD3371" t="s">
        <v>74</v>
      </c>
      <c r="AE3371" t="s">
        <v>74</v>
      </c>
      <c r="AF3371" t="s">
        <v>74</v>
      </c>
      <c r="AG3371">
        <v>23</v>
      </c>
      <c r="AH3371">
        <v>0</v>
      </c>
      <c r="AI3371">
        <v>0</v>
      </c>
      <c r="AJ3371">
        <v>0</v>
      </c>
      <c r="AK3371">
        <v>3</v>
      </c>
      <c r="AL3371" t="s">
        <v>3807</v>
      </c>
      <c r="AM3371" t="s">
        <v>3098</v>
      </c>
      <c r="AN3371" t="s">
        <v>3808</v>
      </c>
      <c r="AO3371" t="s">
        <v>2437</v>
      </c>
      <c r="AP3371" t="s">
        <v>2438</v>
      </c>
      <c r="AQ3371" t="s">
        <v>55307</v>
      </c>
      <c r="AR3371" t="s">
        <v>2440</v>
      </c>
      <c r="AS3371" t="s">
        <v>74</v>
      </c>
      <c r="AT3371" t="s">
        <v>74</v>
      </c>
      <c r="AU3371">
        <v>2015</v>
      </c>
      <c r="AV3371">
        <v>9051</v>
      </c>
      <c r="AW3371" t="s">
        <v>74</v>
      </c>
      <c r="AX3371" t="s">
        <v>74</v>
      </c>
      <c r="AY3371" t="s">
        <v>74</v>
      </c>
      <c r="AZ3371" t="s">
        <v>74</v>
      </c>
      <c r="BA3371" t="s">
        <v>74</v>
      </c>
      <c r="BB3371">
        <v>161</v>
      </c>
      <c r="BC3371">
        <v>175</v>
      </c>
      <c r="BD3371" t="s">
        <v>74</v>
      </c>
      <c r="BE3371" t="s">
        <v>55308</v>
      </c>
      <c r="BF3371" t="str">
        <f>HYPERLINK("http://dx.doi.org/10.1007/978-3-319-20370-6_13","http://dx.doi.org/10.1007/978-3-319-20370-6_13")</f>
        <v>http://dx.doi.org/10.1007/978-3-319-20370-6_13</v>
      </c>
      <c r="BG3371" t="s">
        <v>74</v>
      </c>
      <c r="BH3371" t="s">
        <v>74</v>
      </c>
      <c r="BI3371">
        <v>15</v>
      </c>
      <c r="BJ3371" t="s">
        <v>4694</v>
      </c>
      <c r="BK3371" t="s">
        <v>156</v>
      </c>
      <c r="BL3371" t="s">
        <v>157</v>
      </c>
      <c r="BM3371" t="s">
        <v>55309</v>
      </c>
      <c r="BN3371" t="s">
        <v>74</v>
      </c>
      <c r="BO3371" t="s">
        <v>1696</v>
      </c>
      <c r="BP3371" t="s">
        <v>74</v>
      </c>
      <c r="BQ3371" t="s">
        <v>74</v>
      </c>
      <c r="BR3371" t="s">
        <v>102</v>
      </c>
      <c r="BS3371" t="s">
        <v>55310</v>
      </c>
      <c r="BT3371" t="str">
        <f>HYPERLINK("https%3A%2F%2Fwww.webofscience.com%2Fwos%2Fwoscc%2Ffull-record%2FWOS:000363774800013","View Full Record in Web of Science")</f>
        <v>View Full Record in Web of Science</v>
      </c>
    </row>
    <row r="3372" spans="1:72" x14ac:dyDescent="0.25">
      <c r="A3372" t="s">
        <v>72</v>
      </c>
      <c r="B3372" t="s">
        <v>55311</v>
      </c>
      <c r="C3372" t="s">
        <v>74</v>
      </c>
      <c r="D3372" t="s">
        <v>74</v>
      </c>
      <c r="E3372" t="s">
        <v>74</v>
      </c>
      <c r="F3372" t="s">
        <v>55312</v>
      </c>
      <c r="G3372" t="s">
        <v>74</v>
      </c>
      <c r="H3372" t="s">
        <v>74</v>
      </c>
      <c r="I3372" t="s">
        <v>55313</v>
      </c>
      <c r="J3372" t="s">
        <v>4208</v>
      </c>
      <c r="K3372" t="s">
        <v>74</v>
      </c>
      <c r="L3372" t="s">
        <v>74</v>
      </c>
      <c r="M3372" t="s">
        <v>78</v>
      </c>
      <c r="N3372" t="s">
        <v>79</v>
      </c>
      <c r="O3372" t="s">
        <v>74</v>
      </c>
      <c r="P3372" t="s">
        <v>74</v>
      </c>
      <c r="Q3372" t="s">
        <v>74</v>
      </c>
      <c r="R3372" t="s">
        <v>74</v>
      </c>
      <c r="S3372" t="s">
        <v>74</v>
      </c>
      <c r="T3372" t="s">
        <v>74</v>
      </c>
      <c r="U3372" t="s">
        <v>55314</v>
      </c>
      <c r="V3372" t="s">
        <v>55315</v>
      </c>
      <c r="W3372" t="s">
        <v>55316</v>
      </c>
      <c r="X3372" t="s">
        <v>33811</v>
      </c>
      <c r="Y3372" t="s">
        <v>55317</v>
      </c>
      <c r="Z3372" t="s">
        <v>55318</v>
      </c>
      <c r="AA3372" t="s">
        <v>55319</v>
      </c>
      <c r="AB3372" t="s">
        <v>74</v>
      </c>
      <c r="AC3372" t="s">
        <v>55320</v>
      </c>
      <c r="AD3372" t="s">
        <v>55320</v>
      </c>
      <c r="AE3372" t="s">
        <v>55321</v>
      </c>
      <c r="AF3372" t="s">
        <v>74</v>
      </c>
      <c r="AG3372">
        <v>51</v>
      </c>
      <c r="AH3372">
        <v>0</v>
      </c>
      <c r="AI3372">
        <v>0</v>
      </c>
      <c r="AJ3372">
        <v>1</v>
      </c>
      <c r="AK3372">
        <v>1</v>
      </c>
      <c r="AL3372" t="s">
        <v>4218</v>
      </c>
      <c r="AM3372" t="s">
        <v>4219</v>
      </c>
      <c r="AN3372" t="s">
        <v>4220</v>
      </c>
      <c r="AO3372" t="s">
        <v>74</v>
      </c>
      <c r="AP3372" t="s">
        <v>4221</v>
      </c>
      <c r="AQ3372" t="s">
        <v>74</v>
      </c>
      <c r="AR3372" t="s">
        <v>4208</v>
      </c>
      <c r="AS3372" t="s">
        <v>4222</v>
      </c>
      <c r="AT3372" t="s">
        <v>53600</v>
      </c>
      <c r="AU3372">
        <v>2025</v>
      </c>
      <c r="AV3372">
        <v>20</v>
      </c>
      <c r="AW3372">
        <v>9</v>
      </c>
      <c r="AX3372" t="s">
        <v>74</v>
      </c>
      <c r="AY3372" t="s">
        <v>74</v>
      </c>
      <c r="AZ3372" t="s">
        <v>74</v>
      </c>
      <c r="BA3372" t="s">
        <v>74</v>
      </c>
      <c r="BB3372" t="s">
        <v>74</v>
      </c>
      <c r="BC3372" t="s">
        <v>74</v>
      </c>
      <c r="BD3372" t="s">
        <v>55322</v>
      </c>
      <c r="BE3372" t="s">
        <v>55323</v>
      </c>
      <c r="BF3372" t="str">
        <f>HYPERLINK("http://dx.doi.org/10.1371/journal.pone.0331374","http://dx.doi.org/10.1371/journal.pone.0331374")</f>
        <v>http://dx.doi.org/10.1371/journal.pone.0331374</v>
      </c>
      <c r="BG3372" t="s">
        <v>74</v>
      </c>
      <c r="BH3372" t="s">
        <v>74</v>
      </c>
      <c r="BI3372">
        <v>16</v>
      </c>
      <c r="BJ3372" t="s">
        <v>559</v>
      </c>
      <c r="BK3372" t="s">
        <v>128</v>
      </c>
      <c r="BL3372" t="s">
        <v>560</v>
      </c>
      <c r="BM3372" t="s">
        <v>55324</v>
      </c>
      <c r="BN3372">
        <v>40991580</v>
      </c>
      <c r="BO3372" t="s">
        <v>916</v>
      </c>
      <c r="BP3372" t="s">
        <v>74</v>
      </c>
      <c r="BQ3372" t="s">
        <v>74</v>
      </c>
      <c r="BR3372" t="s">
        <v>102</v>
      </c>
      <c r="BS3372" t="s">
        <v>55325</v>
      </c>
      <c r="BT3372" t="str">
        <f>HYPERLINK("https%3A%2F%2Fwww.webofscience.com%2Fwos%2Fwoscc%2Ffull-record%2FWOS:001579481500013","View Full Record in Web of Science")</f>
        <v>View Full Record in Web of Science</v>
      </c>
    </row>
    <row r="3373" spans="1:72" x14ac:dyDescent="0.25">
      <c r="A3373" t="s">
        <v>72</v>
      </c>
      <c r="B3373" t="s">
        <v>55326</v>
      </c>
      <c r="C3373" t="s">
        <v>74</v>
      </c>
      <c r="D3373" t="s">
        <v>74</v>
      </c>
      <c r="E3373" t="s">
        <v>74</v>
      </c>
      <c r="F3373" t="s">
        <v>55327</v>
      </c>
      <c r="G3373" t="s">
        <v>74</v>
      </c>
      <c r="H3373" t="s">
        <v>74</v>
      </c>
      <c r="I3373" t="s">
        <v>55328</v>
      </c>
      <c r="J3373" t="s">
        <v>55329</v>
      </c>
      <c r="K3373" t="s">
        <v>74</v>
      </c>
      <c r="L3373" t="s">
        <v>74</v>
      </c>
      <c r="M3373" t="s">
        <v>78</v>
      </c>
      <c r="N3373" t="s">
        <v>79</v>
      </c>
      <c r="O3373" t="s">
        <v>74</v>
      </c>
      <c r="P3373" t="s">
        <v>74</v>
      </c>
      <c r="Q3373" t="s">
        <v>74</v>
      </c>
      <c r="R3373" t="s">
        <v>74</v>
      </c>
      <c r="S3373" t="s">
        <v>74</v>
      </c>
      <c r="T3373" t="s">
        <v>55330</v>
      </c>
      <c r="U3373" t="s">
        <v>55331</v>
      </c>
      <c r="V3373" t="s">
        <v>55332</v>
      </c>
      <c r="W3373" t="s">
        <v>55333</v>
      </c>
      <c r="X3373" t="s">
        <v>23562</v>
      </c>
      <c r="Y3373" t="s">
        <v>55334</v>
      </c>
      <c r="Z3373" t="s">
        <v>55335</v>
      </c>
      <c r="AA3373" t="s">
        <v>74</v>
      </c>
      <c r="AB3373" t="s">
        <v>55336</v>
      </c>
      <c r="AC3373" t="s">
        <v>55337</v>
      </c>
      <c r="AD3373" t="s">
        <v>55337</v>
      </c>
      <c r="AE3373" t="s">
        <v>55338</v>
      </c>
      <c r="AF3373" t="s">
        <v>74</v>
      </c>
      <c r="AG3373">
        <v>55</v>
      </c>
      <c r="AH3373">
        <v>3</v>
      </c>
      <c r="AI3373">
        <v>3</v>
      </c>
      <c r="AJ3373">
        <v>0</v>
      </c>
      <c r="AK3373">
        <v>1</v>
      </c>
      <c r="AL3373" t="s">
        <v>1216</v>
      </c>
      <c r="AM3373" t="s">
        <v>283</v>
      </c>
      <c r="AN3373" t="s">
        <v>1217</v>
      </c>
      <c r="AO3373" t="s">
        <v>74</v>
      </c>
      <c r="AP3373" t="s">
        <v>55339</v>
      </c>
      <c r="AQ3373" t="s">
        <v>74</v>
      </c>
      <c r="AR3373" t="s">
        <v>55340</v>
      </c>
      <c r="AS3373" t="s">
        <v>55341</v>
      </c>
      <c r="AT3373" t="s">
        <v>12165</v>
      </c>
      <c r="AU3373">
        <v>2022</v>
      </c>
      <c r="AV3373">
        <v>4</v>
      </c>
      <c r="AW3373" t="s">
        <v>74</v>
      </c>
      <c r="AX3373" t="s">
        <v>74</v>
      </c>
      <c r="AY3373" t="s">
        <v>74</v>
      </c>
      <c r="AZ3373" t="s">
        <v>74</v>
      </c>
      <c r="BA3373" t="s">
        <v>74</v>
      </c>
      <c r="BB3373" t="s">
        <v>74</v>
      </c>
      <c r="BC3373" t="s">
        <v>74</v>
      </c>
      <c r="BD3373">
        <v>860406</v>
      </c>
      <c r="BE3373" t="s">
        <v>55342</v>
      </c>
      <c r="BF3373" t="str">
        <f>HYPERLINK("http://dx.doi.org/10.3389/fhumd.2022.860406","http://dx.doi.org/10.3389/fhumd.2022.860406")</f>
        <v>http://dx.doi.org/10.3389/fhumd.2022.860406</v>
      </c>
      <c r="BG3373" t="s">
        <v>74</v>
      </c>
      <c r="BH3373" t="s">
        <v>74</v>
      </c>
      <c r="BI3373">
        <v>11</v>
      </c>
      <c r="BJ3373" t="s">
        <v>55343</v>
      </c>
      <c r="BK3373" t="s">
        <v>313</v>
      </c>
      <c r="BL3373" t="s">
        <v>55343</v>
      </c>
      <c r="BM3373" t="s">
        <v>55344</v>
      </c>
      <c r="BN3373" t="s">
        <v>74</v>
      </c>
      <c r="BO3373" t="s">
        <v>916</v>
      </c>
      <c r="BP3373" t="s">
        <v>74</v>
      </c>
      <c r="BQ3373" t="s">
        <v>74</v>
      </c>
      <c r="BR3373" t="s">
        <v>102</v>
      </c>
      <c r="BS3373" t="s">
        <v>55345</v>
      </c>
      <c r="BT3373" t="str">
        <f>HYPERLINK("https%3A%2F%2Fwww.webofscience.com%2Fwos%2Fwoscc%2Ffull-record%2FWOS:001091844200001","View Full Record in Web of Science")</f>
        <v>View Full Record in Web of Science</v>
      </c>
    </row>
    <row r="3374" spans="1:72" x14ac:dyDescent="0.25">
      <c r="A3374" t="s">
        <v>72</v>
      </c>
      <c r="B3374" t="s">
        <v>55346</v>
      </c>
      <c r="C3374" t="s">
        <v>74</v>
      </c>
      <c r="D3374" t="s">
        <v>74</v>
      </c>
      <c r="E3374" t="s">
        <v>74</v>
      </c>
      <c r="F3374" t="s">
        <v>55347</v>
      </c>
      <c r="G3374" t="s">
        <v>74</v>
      </c>
      <c r="H3374" t="s">
        <v>74</v>
      </c>
      <c r="I3374" t="s">
        <v>55348</v>
      </c>
      <c r="J3374" t="s">
        <v>14166</v>
      </c>
      <c r="K3374" t="s">
        <v>74</v>
      </c>
      <c r="L3374" t="s">
        <v>74</v>
      </c>
      <c r="M3374" t="s">
        <v>78</v>
      </c>
      <c r="N3374" t="s">
        <v>1766</v>
      </c>
      <c r="O3374" t="s">
        <v>74</v>
      </c>
      <c r="P3374" t="s">
        <v>74</v>
      </c>
      <c r="Q3374" t="s">
        <v>74</v>
      </c>
      <c r="R3374" t="s">
        <v>74</v>
      </c>
      <c r="S3374" t="s">
        <v>74</v>
      </c>
      <c r="T3374" t="s">
        <v>55349</v>
      </c>
      <c r="U3374" t="s">
        <v>55350</v>
      </c>
      <c r="V3374" t="s">
        <v>55351</v>
      </c>
      <c r="W3374" t="s">
        <v>55352</v>
      </c>
      <c r="X3374" t="s">
        <v>55353</v>
      </c>
      <c r="Y3374" t="s">
        <v>55354</v>
      </c>
      <c r="Z3374" t="s">
        <v>55355</v>
      </c>
      <c r="AA3374" t="s">
        <v>74</v>
      </c>
      <c r="AB3374" t="s">
        <v>74</v>
      </c>
      <c r="AC3374" t="s">
        <v>74</v>
      </c>
      <c r="AD3374" t="s">
        <v>74</v>
      </c>
      <c r="AE3374" t="s">
        <v>74</v>
      </c>
      <c r="AF3374" t="s">
        <v>74</v>
      </c>
      <c r="AG3374">
        <v>154</v>
      </c>
      <c r="AH3374">
        <v>1</v>
      </c>
      <c r="AI3374">
        <v>1</v>
      </c>
      <c r="AJ3374">
        <v>5</v>
      </c>
      <c r="AK3374">
        <v>8</v>
      </c>
      <c r="AL3374" t="s">
        <v>6030</v>
      </c>
      <c r="AM3374" t="s">
        <v>6031</v>
      </c>
      <c r="AN3374" t="s">
        <v>14172</v>
      </c>
      <c r="AO3374" t="s">
        <v>14173</v>
      </c>
      <c r="AP3374" t="s">
        <v>14174</v>
      </c>
      <c r="AQ3374" t="s">
        <v>74</v>
      </c>
      <c r="AR3374" t="s">
        <v>14175</v>
      </c>
      <c r="AS3374" t="s">
        <v>14176</v>
      </c>
      <c r="AT3374" t="s">
        <v>74</v>
      </c>
      <c r="AU3374">
        <v>2024</v>
      </c>
      <c r="AV3374">
        <v>16</v>
      </c>
      <c r="AW3374" t="s">
        <v>74</v>
      </c>
      <c r="AX3374" t="s">
        <v>74</v>
      </c>
      <c r="AY3374" t="s">
        <v>74</v>
      </c>
      <c r="AZ3374" t="s">
        <v>74</v>
      </c>
      <c r="BA3374" t="s">
        <v>74</v>
      </c>
      <c r="BB3374">
        <v>273</v>
      </c>
      <c r="BC3374">
        <v>294</v>
      </c>
      <c r="BD3374" t="s">
        <v>74</v>
      </c>
      <c r="BE3374" t="s">
        <v>55356</v>
      </c>
      <c r="BF3374" t="str">
        <f>HYPERLINK("http://dx.doi.org/10.1146/annurev-financial-082123-105416","http://dx.doi.org/10.1146/annurev-financial-082123-105416")</f>
        <v>http://dx.doi.org/10.1146/annurev-financial-082123-105416</v>
      </c>
      <c r="BG3374" t="s">
        <v>74</v>
      </c>
      <c r="BH3374" t="s">
        <v>74</v>
      </c>
      <c r="BI3374">
        <v>22</v>
      </c>
      <c r="BJ3374" t="s">
        <v>210</v>
      </c>
      <c r="BK3374" t="s">
        <v>99</v>
      </c>
      <c r="BL3374" t="s">
        <v>100</v>
      </c>
      <c r="BM3374" t="s">
        <v>14270</v>
      </c>
      <c r="BN3374" t="s">
        <v>74</v>
      </c>
      <c r="BO3374" t="s">
        <v>270</v>
      </c>
      <c r="BP3374" t="s">
        <v>74</v>
      </c>
      <c r="BQ3374" t="s">
        <v>74</v>
      </c>
      <c r="BR3374" t="s">
        <v>102</v>
      </c>
      <c r="BS3374" t="s">
        <v>55357</v>
      </c>
      <c r="BT3374" t="str">
        <f>HYPERLINK("https%3A%2F%2Fwww.webofscience.com%2Fwos%2Fwoscc%2Ffull-record%2FWOS:001349328500012","View Full Record in Web of Science")</f>
        <v>View Full Record in Web of Science</v>
      </c>
    </row>
    <row r="3375" spans="1:72" x14ac:dyDescent="0.25">
      <c r="A3375" t="s">
        <v>72</v>
      </c>
      <c r="B3375" t="s">
        <v>55358</v>
      </c>
      <c r="C3375" t="s">
        <v>74</v>
      </c>
      <c r="D3375" t="s">
        <v>74</v>
      </c>
      <c r="E3375" t="s">
        <v>74</v>
      </c>
      <c r="F3375" t="s">
        <v>55359</v>
      </c>
      <c r="G3375" t="s">
        <v>74</v>
      </c>
      <c r="H3375" t="s">
        <v>74</v>
      </c>
      <c r="I3375" t="s">
        <v>55360</v>
      </c>
      <c r="J3375" t="s">
        <v>48463</v>
      </c>
      <c r="K3375" t="s">
        <v>74</v>
      </c>
      <c r="L3375" t="s">
        <v>74</v>
      </c>
      <c r="M3375" t="s">
        <v>78</v>
      </c>
      <c r="N3375" t="s">
        <v>79</v>
      </c>
      <c r="O3375" t="s">
        <v>74</v>
      </c>
      <c r="P3375" t="s">
        <v>74</v>
      </c>
      <c r="Q3375" t="s">
        <v>74</v>
      </c>
      <c r="R3375" t="s">
        <v>74</v>
      </c>
      <c r="S3375" t="s">
        <v>74</v>
      </c>
      <c r="T3375" t="s">
        <v>55361</v>
      </c>
      <c r="U3375" t="s">
        <v>55362</v>
      </c>
      <c r="V3375" t="s">
        <v>55363</v>
      </c>
      <c r="W3375" t="s">
        <v>55364</v>
      </c>
      <c r="X3375" t="s">
        <v>55365</v>
      </c>
      <c r="Y3375" t="s">
        <v>55366</v>
      </c>
      <c r="Z3375" t="s">
        <v>55367</v>
      </c>
      <c r="AA3375" t="s">
        <v>55368</v>
      </c>
      <c r="AB3375" t="s">
        <v>55369</v>
      </c>
      <c r="AC3375" t="s">
        <v>74</v>
      </c>
      <c r="AD3375" t="s">
        <v>74</v>
      </c>
      <c r="AE3375" t="s">
        <v>74</v>
      </c>
      <c r="AF3375" t="s">
        <v>74</v>
      </c>
      <c r="AG3375">
        <v>113</v>
      </c>
      <c r="AH3375">
        <v>30</v>
      </c>
      <c r="AI3375">
        <v>38</v>
      </c>
      <c r="AJ3375">
        <v>5</v>
      </c>
      <c r="AK3375">
        <v>6</v>
      </c>
      <c r="AL3375" t="s">
        <v>201</v>
      </c>
      <c r="AM3375" t="s">
        <v>202</v>
      </c>
      <c r="AN3375" t="s">
        <v>203</v>
      </c>
      <c r="AO3375" t="s">
        <v>74</v>
      </c>
      <c r="AP3375" t="s">
        <v>48473</v>
      </c>
      <c r="AQ3375" t="s">
        <v>74</v>
      </c>
      <c r="AR3375" t="s">
        <v>48474</v>
      </c>
      <c r="AS3375" t="s">
        <v>48475</v>
      </c>
      <c r="AT3375" t="s">
        <v>1652</v>
      </c>
      <c r="AU3375">
        <v>2022</v>
      </c>
      <c r="AV3375">
        <v>4</v>
      </c>
      <c r="AW3375" t="s">
        <v>74</v>
      </c>
      <c r="AX3375" t="s">
        <v>74</v>
      </c>
      <c r="AY3375" t="s">
        <v>74</v>
      </c>
      <c r="AZ3375" t="s">
        <v>74</v>
      </c>
      <c r="BA3375" t="s">
        <v>74</v>
      </c>
      <c r="BB3375" t="s">
        <v>74</v>
      </c>
      <c r="BC3375" t="s">
        <v>74</v>
      </c>
      <c r="BD3375">
        <v>100084</v>
      </c>
      <c r="BE3375" t="s">
        <v>55370</v>
      </c>
      <c r="BF3375" t="str">
        <f>HYPERLINK("http://dx.doi.org/10.1016/j.resglo.2022.100084","http://dx.doi.org/10.1016/j.resglo.2022.100084")</f>
        <v>http://dx.doi.org/10.1016/j.resglo.2022.100084</v>
      </c>
      <c r="BG3375" t="s">
        <v>74</v>
      </c>
      <c r="BH3375" t="s">
        <v>74</v>
      </c>
      <c r="BI3375">
        <v>13</v>
      </c>
      <c r="BJ3375" t="s">
        <v>48477</v>
      </c>
      <c r="BK3375" t="s">
        <v>313</v>
      </c>
      <c r="BL3375" t="s">
        <v>48478</v>
      </c>
      <c r="BM3375" t="s">
        <v>55371</v>
      </c>
      <c r="BN3375" t="s">
        <v>74</v>
      </c>
      <c r="BO3375" t="s">
        <v>916</v>
      </c>
      <c r="BP3375" t="s">
        <v>74</v>
      </c>
      <c r="BQ3375" t="s">
        <v>74</v>
      </c>
      <c r="BR3375" t="s">
        <v>102</v>
      </c>
      <c r="BS3375" t="s">
        <v>55372</v>
      </c>
      <c r="BT3375" t="str">
        <f>HYPERLINK("https%3A%2F%2Fwww.webofscience.com%2Fwos%2Fwoscc%2Ffull-record%2FWOS:001407413700010","View Full Record in Web of Science")</f>
        <v>View Full Record in Web of Science</v>
      </c>
    </row>
    <row r="3376" spans="1:72" x14ac:dyDescent="0.25">
      <c r="A3376" t="s">
        <v>72</v>
      </c>
      <c r="B3376" t="s">
        <v>55373</v>
      </c>
      <c r="C3376" t="s">
        <v>74</v>
      </c>
      <c r="D3376" t="s">
        <v>74</v>
      </c>
      <c r="E3376" t="s">
        <v>74</v>
      </c>
      <c r="F3376" t="s">
        <v>55374</v>
      </c>
      <c r="G3376" t="s">
        <v>74</v>
      </c>
      <c r="H3376" t="s">
        <v>74</v>
      </c>
      <c r="I3376" t="s">
        <v>55375</v>
      </c>
      <c r="J3376" t="s">
        <v>55376</v>
      </c>
      <c r="K3376" t="s">
        <v>74</v>
      </c>
      <c r="L3376" t="s">
        <v>74</v>
      </c>
      <c r="M3376" t="s">
        <v>78</v>
      </c>
      <c r="N3376" t="s">
        <v>79</v>
      </c>
      <c r="O3376" t="s">
        <v>74</v>
      </c>
      <c r="P3376" t="s">
        <v>74</v>
      </c>
      <c r="Q3376" t="s">
        <v>74</v>
      </c>
      <c r="R3376" t="s">
        <v>74</v>
      </c>
      <c r="S3376" t="s">
        <v>74</v>
      </c>
      <c r="T3376" t="s">
        <v>55377</v>
      </c>
      <c r="U3376" t="s">
        <v>74</v>
      </c>
      <c r="V3376" t="s">
        <v>55378</v>
      </c>
      <c r="W3376" t="s">
        <v>55379</v>
      </c>
      <c r="X3376" t="s">
        <v>55380</v>
      </c>
      <c r="Y3376" t="s">
        <v>55381</v>
      </c>
      <c r="Z3376" t="s">
        <v>55382</v>
      </c>
      <c r="AA3376" t="s">
        <v>55383</v>
      </c>
      <c r="AB3376" t="s">
        <v>74</v>
      </c>
      <c r="AC3376" t="s">
        <v>55384</v>
      </c>
      <c r="AD3376" t="s">
        <v>55384</v>
      </c>
      <c r="AE3376" t="s">
        <v>55385</v>
      </c>
      <c r="AF3376" t="s">
        <v>74</v>
      </c>
      <c r="AG3376">
        <v>20</v>
      </c>
      <c r="AH3376">
        <v>0</v>
      </c>
      <c r="AI3376">
        <v>0</v>
      </c>
      <c r="AJ3376">
        <v>0</v>
      </c>
      <c r="AK3376">
        <v>0</v>
      </c>
      <c r="AL3376" t="s">
        <v>55386</v>
      </c>
      <c r="AM3376" t="s">
        <v>55387</v>
      </c>
      <c r="AN3376" t="s">
        <v>55388</v>
      </c>
      <c r="AO3376" t="s">
        <v>55389</v>
      </c>
      <c r="AP3376" t="s">
        <v>55390</v>
      </c>
      <c r="AQ3376" t="s">
        <v>74</v>
      </c>
      <c r="AR3376" t="s">
        <v>55391</v>
      </c>
      <c r="AS3376" t="s">
        <v>55392</v>
      </c>
      <c r="AT3376" t="s">
        <v>891</v>
      </c>
      <c r="AU3376">
        <v>2025</v>
      </c>
      <c r="AV3376">
        <v>14</v>
      </c>
      <c r="AW3376">
        <v>4</v>
      </c>
      <c r="AX3376" t="s">
        <v>74</v>
      </c>
      <c r="AY3376" t="s">
        <v>74</v>
      </c>
      <c r="AZ3376" t="s">
        <v>74</v>
      </c>
      <c r="BA3376" t="s">
        <v>74</v>
      </c>
      <c r="BB3376">
        <v>3331</v>
      </c>
      <c r="BC3376">
        <v>3338</v>
      </c>
      <c r="BD3376" t="s">
        <v>74</v>
      </c>
      <c r="BE3376" t="s">
        <v>55393</v>
      </c>
      <c r="BF3376" t="str">
        <f>HYPERLINK("http://dx.doi.org/10.18421/TEM144-41","http://dx.doi.org/10.18421/TEM144-41")</f>
        <v>http://dx.doi.org/10.18421/TEM144-41</v>
      </c>
      <c r="BG3376" t="s">
        <v>74</v>
      </c>
      <c r="BH3376" t="s">
        <v>74</v>
      </c>
      <c r="BI3376">
        <v>8</v>
      </c>
      <c r="BJ3376" t="s">
        <v>1779</v>
      </c>
      <c r="BK3376" t="s">
        <v>313</v>
      </c>
      <c r="BL3376" t="s">
        <v>157</v>
      </c>
      <c r="BM3376" t="s">
        <v>55394</v>
      </c>
      <c r="BN3376" t="s">
        <v>74</v>
      </c>
      <c r="BO3376" t="s">
        <v>212</v>
      </c>
      <c r="BP3376" t="s">
        <v>74</v>
      </c>
      <c r="BQ3376" t="s">
        <v>74</v>
      </c>
      <c r="BR3376" t="s">
        <v>102</v>
      </c>
      <c r="BS3376" t="s">
        <v>55395</v>
      </c>
      <c r="BT3376" t="str">
        <f>HYPERLINK("https%3A%2F%2Fwww.webofscience.com%2Fwos%2Fwoscc%2Ffull-record%2FWOS:001628505800037","View Full Record in Web of Science")</f>
        <v>View Full Record in Web of Science</v>
      </c>
    </row>
    <row r="3377" spans="1:72" x14ac:dyDescent="0.25">
      <c r="A3377" t="s">
        <v>72</v>
      </c>
      <c r="B3377" t="s">
        <v>55396</v>
      </c>
      <c r="C3377" t="s">
        <v>74</v>
      </c>
      <c r="D3377" t="s">
        <v>74</v>
      </c>
      <c r="E3377" t="s">
        <v>74</v>
      </c>
      <c r="F3377" t="s">
        <v>55397</v>
      </c>
      <c r="G3377" t="s">
        <v>74</v>
      </c>
      <c r="H3377" t="s">
        <v>74</v>
      </c>
      <c r="I3377" t="s">
        <v>55398</v>
      </c>
      <c r="J3377" t="s">
        <v>55399</v>
      </c>
      <c r="K3377" t="s">
        <v>74</v>
      </c>
      <c r="L3377" t="s">
        <v>74</v>
      </c>
      <c r="M3377" t="s">
        <v>78</v>
      </c>
      <c r="N3377" t="s">
        <v>79</v>
      </c>
      <c r="O3377" t="s">
        <v>74</v>
      </c>
      <c r="P3377" t="s">
        <v>74</v>
      </c>
      <c r="Q3377" t="s">
        <v>74</v>
      </c>
      <c r="R3377" t="s">
        <v>74</v>
      </c>
      <c r="S3377" t="s">
        <v>74</v>
      </c>
      <c r="T3377" t="s">
        <v>55400</v>
      </c>
      <c r="U3377" t="s">
        <v>55401</v>
      </c>
      <c r="V3377" t="s">
        <v>55402</v>
      </c>
      <c r="W3377" t="s">
        <v>55403</v>
      </c>
      <c r="X3377" t="s">
        <v>55404</v>
      </c>
      <c r="Y3377" t="s">
        <v>55405</v>
      </c>
      <c r="Z3377" t="s">
        <v>55406</v>
      </c>
      <c r="AA3377" t="s">
        <v>74</v>
      </c>
      <c r="AB3377" t="s">
        <v>55407</v>
      </c>
      <c r="AC3377" t="s">
        <v>74</v>
      </c>
      <c r="AD3377" t="s">
        <v>74</v>
      </c>
      <c r="AE3377" t="s">
        <v>74</v>
      </c>
      <c r="AF3377" t="s">
        <v>74</v>
      </c>
      <c r="AG3377">
        <v>73</v>
      </c>
      <c r="AH3377">
        <v>5</v>
      </c>
      <c r="AI3377">
        <v>6</v>
      </c>
      <c r="AJ3377">
        <v>2</v>
      </c>
      <c r="AK3377">
        <v>5</v>
      </c>
      <c r="AL3377" t="s">
        <v>994</v>
      </c>
      <c r="AM3377" t="s">
        <v>995</v>
      </c>
      <c r="AN3377" t="s">
        <v>2061</v>
      </c>
      <c r="AO3377" t="s">
        <v>55408</v>
      </c>
      <c r="AP3377" t="s">
        <v>55409</v>
      </c>
      <c r="AQ3377" t="s">
        <v>74</v>
      </c>
      <c r="AR3377" t="s">
        <v>55410</v>
      </c>
      <c r="AS3377" t="s">
        <v>55411</v>
      </c>
      <c r="AT3377" t="s">
        <v>605</v>
      </c>
      <c r="AU3377">
        <v>2024</v>
      </c>
      <c r="AV3377">
        <v>61</v>
      </c>
      <c r="AW3377">
        <v>2</v>
      </c>
      <c r="AX3377" t="s">
        <v>74</v>
      </c>
      <c r="AY3377" t="s">
        <v>74</v>
      </c>
      <c r="AZ3377" t="s">
        <v>74</v>
      </c>
      <c r="BA3377" t="s">
        <v>74</v>
      </c>
      <c r="BB3377">
        <v>197</v>
      </c>
      <c r="BC3377">
        <v>213</v>
      </c>
      <c r="BD3377" t="s">
        <v>74</v>
      </c>
      <c r="BE3377" t="s">
        <v>55412</v>
      </c>
      <c r="BF3377" t="str">
        <f>HYPERLINK("http://dx.doi.org/10.1177/00223433221116654","http://dx.doi.org/10.1177/00223433221116654")</f>
        <v>http://dx.doi.org/10.1177/00223433221116654</v>
      </c>
      <c r="BG3377" t="s">
        <v>74</v>
      </c>
      <c r="BH3377" t="s">
        <v>7904</v>
      </c>
      <c r="BI3377">
        <v>17</v>
      </c>
      <c r="BJ3377" t="s">
        <v>1040</v>
      </c>
      <c r="BK3377" t="s">
        <v>99</v>
      </c>
      <c r="BL3377" t="s">
        <v>1041</v>
      </c>
      <c r="BM3377" t="s">
        <v>55413</v>
      </c>
      <c r="BN3377" t="s">
        <v>74</v>
      </c>
      <c r="BO3377" t="s">
        <v>74</v>
      </c>
      <c r="BP3377" t="s">
        <v>74</v>
      </c>
      <c r="BQ3377" t="s">
        <v>74</v>
      </c>
      <c r="BR3377" t="s">
        <v>102</v>
      </c>
      <c r="BS3377" t="s">
        <v>55414</v>
      </c>
      <c r="BT3377" t="str">
        <f>HYPERLINK("https%3A%2F%2Fwww.webofscience.com%2Fwos%2Fwoscc%2Ffull-record%2FWOS:000902127400001","View Full Record in Web of Science")</f>
        <v>View Full Record in Web of Science</v>
      </c>
    </row>
    <row r="3378" spans="1:72" x14ac:dyDescent="0.25">
      <c r="A3378" t="s">
        <v>72</v>
      </c>
      <c r="B3378" t="s">
        <v>55415</v>
      </c>
      <c r="C3378" t="s">
        <v>74</v>
      </c>
      <c r="D3378" t="s">
        <v>74</v>
      </c>
      <c r="E3378" t="s">
        <v>74</v>
      </c>
      <c r="F3378" t="s">
        <v>55416</v>
      </c>
      <c r="G3378" t="s">
        <v>74</v>
      </c>
      <c r="H3378" t="s">
        <v>74</v>
      </c>
      <c r="I3378" t="s">
        <v>55417</v>
      </c>
      <c r="J3378" t="s">
        <v>4956</v>
      </c>
      <c r="K3378" t="s">
        <v>74</v>
      </c>
      <c r="L3378" t="s">
        <v>74</v>
      </c>
      <c r="M3378" t="s">
        <v>78</v>
      </c>
      <c r="N3378" t="s">
        <v>79</v>
      </c>
      <c r="O3378" t="s">
        <v>74</v>
      </c>
      <c r="P3378" t="s">
        <v>74</v>
      </c>
      <c r="Q3378" t="s">
        <v>74</v>
      </c>
      <c r="R3378" t="s">
        <v>74</v>
      </c>
      <c r="S3378" t="s">
        <v>74</v>
      </c>
      <c r="T3378" t="s">
        <v>55418</v>
      </c>
      <c r="U3378" t="s">
        <v>55419</v>
      </c>
      <c r="V3378" t="s">
        <v>55420</v>
      </c>
      <c r="W3378" t="s">
        <v>55421</v>
      </c>
      <c r="X3378" t="s">
        <v>55422</v>
      </c>
      <c r="Y3378" t="s">
        <v>55423</v>
      </c>
      <c r="Z3378" t="s">
        <v>55424</v>
      </c>
      <c r="AA3378" t="s">
        <v>55425</v>
      </c>
      <c r="AB3378" t="s">
        <v>55426</v>
      </c>
      <c r="AC3378" t="s">
        <v>55427</v>
      </c>
      <c r="AD3378" t="s">
        <v>55428</v>
      </c>
      <c r="AE3378" t="s">
        <v>55429</v>
      </c>
      <c r="AF3378" t="s">
        <v>74</v>
      </c>
      <c r="AG3378">
        <v>80</v>
      </c>
      <c r="AH3378">
        <v>23</v>
      </c>
      <c r="AI3378">
        <v>30</v>
      </c>
      <c r="AJ3378">
        <v>21</v>
      </c>
      <c r="AK3378">
        <v>107</v>
      </c>
      <c r="AL3378" t="s">
        <v>230</v>
      </c>
      <c r="AM3378" t="s">
        <v>231</v>
      </c>
      <c r="AN3378" t="s">
        <v>232</v>
      </c>
      <c r="AO3378" t="s">
        <v>4966</v>
      </c>
      <c r="AP3378" t="s">
        <v>4967</v>
      </c>
      <c r="AQ3378" t="s">
        <v>74</v>
      </c>
      <c r="AR3378" t="s">
        <v>4968</v>
      </c>
      <c r="AS3378" t="s">
        <v>4969</v>
      </c>
      <c r="AT3378" t="s">
        <v>743</v>
      </c>
      <c r="AU3378">
        <v>2023</v>
      </c>
      <c r="AV3378">
        <v>164</v>
      </c>
      <c r="AW3378" t="s">
        <v>74</v>
      </c>
      <c r="AX3378" t="s">
        <v>74</v>
      </c>
      <c r="AY3378" t="s">
        <v>74</v>
      </c>
      <c r="AZ3378" t="s">
        <v>74</v>
      </c>
      <c r="BA3378" t="s">
        <v>74</v>
      </c>
      <c r="BB3378" t="s">
        <v>74</v>
      </c>
      <c r="BC3378" t="s">
        <v>74</v>
      </c>
      <c r="BD3378">
        <v>106177</v>
      </c>
      <c r="BE3378" t="s">
        <v>55430</v>
      </c>
      <c r="BF3378" t="str">
        <f>HYPERLINK("http://dx.doi.org/10.1016/j.worlddev.2022.106177","http://dx.doi.org/10.1016/j.worlddev.2022.106177")</f>
        <v>http://dx.doi.org/10.1016/j.worlddev.2022.106177</v>
      </c>
      <c r="BG3378" t="s">
        <v>74</v>
      </c>
      <c r="BH3378" t="s">
        <v>11288</v>
      </c>
      <c r="BI3378">
        <v>17</v>
      </c>
      <c r="BJ3378" t="s">
        <v>701</v>
      </c>
      <c r="BK3378" t="s">
        <v>99</v>
      </c>
      <c r="BL3378" t="s">
        <v>702</v>
      </c>
      <c r="BM3378" t="s">
        <v>55431</v>
      </c>
      <c r="BN3378" t="s">
        <v>74</v>
      </c>
      <c r="BO3378" t="s">
        <v>270</v>
      </c>
      <c r="BP3378" t="s">
        <v>74</v>
      </c>
      <c r="BQ3378" t="s">
        <v>74</v>
      </c>
      <c r="BR3378" t="s">
        <v>102</v>
      </c>
      <c r="BS3378" t="s">
        <v>55432</v>
      </c>
      <c r="BT3378" t="str">
        <f>HYPERLINK("https%3A%2F%2Fwww.webofscience.com%2Fwos%2Fwoscc%2Ffull-record%2FWOS:000917911700001","View Full Record in Web of Science")</f>
        <v>View Full Record in Web of Science</v>
      </c>
    </row>
    <row r="3379" spans="1:72" x14ac:dyDescent="0.25">
      <c r="A3379" t="s">
        <v>72</v>
      </c>
      <c r="B3379" t="s">
        <v>55433</v>
      </c>
      <c r="C3379" t="s">
        <v>74</v>
      </c>
      <c r="D3379" t="s">
        <v>74</v>
      </c>
      <c r="E3379" t="s">
        <v>74</v>
      </c>
      <c r="F3379" t="s">
        <v>55433</v>
      </c>
      <c r="G3379" t="s">
        <v>74</v>
      </c>
      <c r="H3379" t="s">
        <v>74</v>
      </c>
      <c r="I3379" t="s">
        <v>55434</v>
      </c>
      <c r="J3379" t="s">
        <v>45153</v>
      </c>
      <c r="K3379" t="s">
        <v>74</v>
      </c>
      <c r="L3379" t="s">
        <v>74</v>
      </c>
      <c r="M3379" t="s">
        <v>78</v>
      </c>
      <c r="N3379" t="s">
        <v>79</v>
      </c>
      <c r="O3379" t="s">
        <v>74</v>
      </c>
      <c r="P3379" t="s">
        <v>74</v>
      </c>
      <c r="Q3379" t="s">
        <v>74</v>
      </c>
      <c r="R3379" t="s">
        <v>74</v>
      </c>
      <c r="S3379" t="s">
        <v>74</v>
      </c>
      <c r="T3379" t="s">
        <v>74</v>
      </c>
      <c r="U3379" t="s">
        <v>55435</v>
      </c>
      <c r="V3379" t="s">
        <v>55436</v>
      </c>
      <c r="W3379" t="s">
        <v>55437</v>
      </c>
      <c r="X3379" t="s">
        <v>46280</v>
      </c>
      <c r="Y3379" t="s">
        <v>55438</v>
      </c>
      <c r="Z3379" t="s">
        <v>74</v>
      </c>
      <c r="AA3379" t="s">
        <v>74</v>
      </c>
      <c r="AB3379" t="s">
        <v>55439</v>
      </c>
      <c r="AC3379" t="s">
        <v>74</v>
      </c>
      <c r="AD3379" t="s">
        <v>74</v>
      </c>
      <c r="AE3379" t="s">
        <v>74</v>
      </c>
      <c r="AF3379" t="s">
        <v>74</v>
      </c>
      <c r="AG3379">
        <v>71</v>
      </c>
      <c r="AH3379">
        <v>79</v>
      </c>
      <c r="AI3379">
        <v>95</v>
      </c>
      <c r="AJ3379">
        <v>0</v>
      </c>
      <c r="AK3379">
        <v>19</v>
      </c>
      <c r="AL3379" t="s">
        <v>994</v>
      </c>
      <c r="AM3379" t="s">
        <v>995</v>
      </c>
      <c r="AN3379" t="s">
        <v>2061</v>
      </c>
      <c r="AO3379" t="s">
        <v>45164</v>
      </c>
      <c r="AP3379" t="s">
        <v>55440</v>
      </c>
      <c r="AQ3379" t="s">
        <v>74</v>
      </c>
      <c r="AR3379" t="s">
        <v>45165</v>
      </c>
      <c r="AS3379" t="s">
        <v>45166</v>
      </c>
      <c r="AT3379" t="s">
        <v>1159</v>
      </c>
      <c r="AU3379">
        <v>2003</v>
      </c>
      <c r="AV3379">
        <v>21</v>
      </c>
      <c r="AW3379">
        <v>5</v>
      </c>
      <c r="AX3379" t="s">
        <v>74</v>
      </c>
      <c r="AY3379" t="s">
        <v>74</v>
      </c>
      <c r="AZ3379" t="s">
        <v>74</v>
      </c>
      <c r="BA3379" t="s">
        <v>74</v>
      </c>
      <c r="BB3379">
        <v>513</v>
      </c>
      <c r="BC3379">
        <v>532</v>
      </c>
      <c r="BD3379" t="s">
        <v>74</v>
      </c>
      <c r="BE3379" t="s">
        <v>55441</v>
      </c>
      <c r="BF3379" t="str">
        <f>HYPERLINK("http://dx.doi.org/10.1068/d310t","http://dx.doi.org/10.1068/d310t")</f>
        <v>http://dx.doi.org/10.1068/d310t</v>
      </c>
      <c r="BG3379" t="s">
        <v>74</v>
      </c>
      <c r="BH3379" t="s">
        <v>74</v>
      </c>
      <c r="BI3379">
        <v>20</v>
      </c>
      <c r="BJ3379" t="s">
        <v>34142</v>
      </c>
      <c r="BK3379" t="s">
        <v>99</v>
      </c>
      <c r="BL3379" t="s">
        <v>34141</v>
      </c>
      <c r="BM3379" t="s">
        <v>55442</v>
      </c>
      <c r="BN3379" t="s">
        <v>74</v>
      </c>
      <c r="BO3379" t="s">
        <v>74</v>
      </c>
      <c r="BP3379" t="s">
        <v>74</v>
      </c>
      <c r="BQ3379" t="s">
        <v>74</v>
      </c>
      <c r="BR3379" t="s">
        <v>102</v>
      </c>
      <c r="BS3379" t="s">
        <v>55443</v>
      </c>
      <c r="BT3379" t="str">
        <f>HYPERLINK("https%3A%2F%2Fwww.webofscience.com%2Fwos%2Fwoscc%2Ffull-record%2FWOS:000186570500002","View Full Record in Web of Science")</f>
        <v>View Full Record in Web of Science</v>
      </c>
    </row>
    <row r="3380" spans="1:72" x14ac:dyDescent="0.25">
      <c r="A3380" t="s">
        <v>72</v>
      </c>
      <c r="B3380" t="s">
        <v>55444</v>
      </c>
      <c r="C3380" t="s">
        <v>74</v>
      </c>
      <c r="D3380" t="s">
        <v>74</v>
      </c>
      <c r="E3380" t="s">
        <v>74</v>
      </c>
      <c r="F3380" t="s">
        <v>55445</v>
      </c>
      <c r="G3380" t="s">
        <v>74</v>
      </c>
      <c r="H3380" t="s">
        <v>74</v>
      </c>
      <c r="I3380" t="s">
        <v>55446</v>
      </c>
      <c r="J3380" t="s">
        <v>27560</v>
      </c>
      <c r="K3380" t="s">
        <v>74</v>
      </c>
      <c r="L3380" t="s">
        <v>74</v>
      </c>
      <c r="M3380" t="s">
        <v>78</v>
      </c>
      <c r="N3380" t="s">
        <v>79</v>
      </c>
      <c r="O3380" t="s">
        <v>74</v>
      </c>
      <c r="P3380" t="s">
        <v>74</v>
      </c>
      <c r="Q3380" t="s">
        <v>74</v>
      </c>
      <c r="R3380" t="s">
        <v>74</v>
      </c>
      <c r="S3380" t="s">
        <v>74</v>
      </c>
      <c r="T3380" t="s">
        <v>55447</v>
      </c>
      <c r="U3380" t="s">
        <v>55448</v>
      </c>
      <c r="V3380" t="s">
        <v>55449</v>
      </c>
      <c r="W3380" t="s">
        <v>55450</v>
      </c>
      <c r="X3380" t="s">
        <v>55451</v>
      </c>
      <c r="Y3380" t="s">
        <v>55452</v>
      </c>
      <c r="Z3380" t="s">
        <v>55453</v>
      </c>
      <c r="AA3380" t="s">
        <v>55454</v>
      </c>
      <c r="AB3380" t="s">
        <v>55455</v>
      </c>
      <c r="AC3380" t="s">
        <v>74</v>
      </c>
      <c r="AD3380" t="s">
        <v>74</v>
      </c>
      <c r="AE3380" t="s">
        <v>74</v>
      </c>
      <c r="AF3380" t="s">
        <v>74</v>
      </c>
      <c r="AG3380">
        <v>77</v>
      </c>
      <c r="AH3380">
        <v>20</v>
      </c>
      <c r="AI3380">
        <v>22</v>
      </c>
      <c r="AJ3380">
        <v>0</v>
      </c>
      <c r="AK3380">
        <v>9</v>
      </c>
      <c r="AL3380" t="s">
        <v>4485</v>
      </c>
      <c r="AM3380" t="s">
        <v>231</v>
      </c>
      <c r="AN3380" t="s">
        <v>4486</v>
      </c>
      <c r="AO3380" t="s">
        <v>27549</v>
      </c>
      <c r="AP3380" t="s">
        <v>27548</v>
      </c>
      <c r="AQ3380" t="s">
        <v>74</v>
      </c>
      <c r="AR3380" t="s">
        <v>27547</v>
      </c>
      <c r="AS3380" t="s">
        <v>27546</v>
      </c>
      <c r="AT3380" t="s">
        <v>1159</v>
      </c>
      <c r="AU3380">
        <v>2020</v>
      </c>
      <c r="AV3380">
        <v>145</v>
      </c>
      <c r="AW3380" t="s">
        <v>74</v>
      </c>
      <c r="AX3380" t="s">
        <v>74</v>
      </c>
      <c r="AY3380" t="s">
        <v>74</v>
      </c>
      <c r="AZ3380" t="s">
        <v>74</v>
      </c>
      <c r="BA3380" t="s">
        <v>74</v>
      </c>
      <c r="BB3380" t="s">
        <v>74</v>
      </c>
      <c r="BC3380" t="s">
        <v>74</v>
      </c>
      <c r="BD3380">
        <v>111719</v>
      </c>
      <c r="BE3380" t="s">
        <v>55456</v>
      </c>
      <c r="BF3380" t="str">
        <f>HYPERLINK("http://dx.doi.org/10.1016/j.enpol.2020.111719","http://dx.doi.org/10.1016/j.enpol.2020.111719")</f>
        <v>http://dx.doi.org/10.1016/j.enpol.2020.111719</v>
      </c>
      <c r="BG3380" t="s">
        <v>74</v>
      </c>
      <c r="BH3380" t="s">
        <v>74</v>
      </c>
      <c r="BI3380">
        <v>12</v>
      </c>
      <c r="BJ3380" t="s">
        <v>27544</v>
      </c>
      <c r="BK3380" t="s">
        <v>2623</v>
      </c>
      <c r="BL3380" t="s">
        <v>27543</v>
      </c>
      <c r="BM3380" t="s">
        <v>55457</v>
      </c>
      <c r="BN3380" t="s">
        <v>74</v>
      </c>
      <c r="BO3380" t="s">
        <v>74</v>
      </c>
      <c r="BP3380" t="s">
        <v>74</v>
      </c>
      <c r="BQ3380" t="s">
        <v>74</v>
      </c>
      <c r="BR3380" t="s">
        <v>102</v>
      </c>
      <c r="BS3380" t="s">
        <v>55458</v>
      </c>
      <c r="BT3380" t="str">
        <f>HYPERLINK("https%3A%2F%2Fwww.webofscience.com%2Fwos%2Fwoscc%2Ffull-record%2FWOS:000579443800017","View Full Record in Web of Science")</f>
        <v>View Full Record in Web of Science</v>
      </c>
    </row>
    <row r="3381" spans="1:72" x14ac:dyDescent="0.25">
      <c r="A3381" t="s">
        <v>72</v>
      </c>
      <c r="B3381" t="s">
        <v>55459</v>
      </c>
      <c r="C3381" t="s">
        <v>74</v>
      </c>
      <c r="D3381" t="s">
        <v>74</v>
      </c>
      <c r="E3381" t="s">
        <v>74</v>
      </c>
      <c r="F3381" t="s">
        <v>55460</v>
      </c>
      <c r="G3381" t="s">
        <v>74</v>
      </c>
      <c r="H3381" t="s">
        <v>74</v>
      </c>
      <c r="I3381" t="s">
        <v>55461</v>
      </c>
      <c r="J3381" t="s">
        <v>55462</v>
      </c>
      <c r="K3381" t="s">
        <v>74</v>
      </c>
      <c r="L3381" t="s">
        <v>74</v>
      </c>
      <c r="M3381" t="s">
        <v>78</v>
      </c>
      <c r="N3381" t="s">
        <v>79</v>
      </c>
      <c r="O3381" t="s">
        <v>74</v>
      </c>
      <c r="P3381" t="s">
        <v>74</v>
      </c>
      <c r="Q3381" t="s">
        <v>74</v>
      </c>
      <c r="R3381" t="s">
        <v>74</v>
      </c>
      <c r="S3381" t="s">
        <v>74</v>
      </c>
      <c r="T3381" t="s">
        <v>74</v>
      </c>
      <c r="U3381" t="s">
        <v>74</v>
      </c>
      <c r="V3381" t="s">
        <v>55463</v>
      </c>
      <c r="W3381" t="s">
        <v>55464</v>
      </c>
      <c r="X3381" t="s">
        <v>55465</v>
      </c>
      <c r="Y3381" t="s">
        <v>55466</v>
      </c>
      <c r="Z3381" t="s">
        <v>74</v>
      </c>
      <c r="AA3381" t="s">
        <v>74</v>
      </c>
      <c r="AB3381" t="s">
        <v>74</v>
      </c>
      <c r="AC3381" t="s">
        <v>55467</v>
      </c>
      <c r="AD3381" t="s">
        <v>55468</v>
      </c>
      <c r="AE3381" t="s">
        <v>55469</v>
      </c>
      <c r="AF3381" t="s">
        <v>74</v>
      </c>
      <c r="AG3381">
        <v>16</v>
      </c>
      <c r="AH3381">
        <v>8</v>
      </c>
      <c r="AI3381">
        <v>10</v>
      </c>
      <c r="AJ3381">
        <v>3</v>
      </c>
      <c r="AK3381">
        <v>17</v>
      </c>
      <c r="AL3381" t="s">
        <v>479</v>
      </c>
      <c r="AM3381" t="s">
        <v>480</v>
      </c>
      <c r="AN3381" t="s">
        <v>481</v>
      </c>
      <c r="AO3381" t="s">
        <v>55470</v>
      </c>
      <c r="AP3381" t="s">
        <v>55471</v>
      </c>
      <c r="AQ3381" t="s">
        <v>74</v>
      </c>
      <c r="AR3381" t="s">
        <v>55472</v>
      </c>
      <c r="AS3381" t="s">
        <v>55473</v>
      </c>
      <c r="AT3381" t="s">
        <v>891</v>
      </c>
      <c r="AU3381">
        <v>2022</v>
      </c>
      <c r="AV3381">
        <v>55</v>
      </c>
      <c r="AW3381">
        <v>4</v>
      </c>
      <c r="AX3381" t="s">
        <v>74</v>
      </c>
      <c r="AY3381" t="s">
        <v>74</v>
      </c>
      <c r="AZ3381" t="s">
        <v>74</v>
      </c>
      <c r="BA3381" t="s">
        <v>74</v>
      </c>
      <c r="BB3381">
        <v>1702</v>
      </c>
      <c r="BC3381">
        <v>1728</v>
      </c>
      <c r="BD3381" t="s">
        <v>74</v>
      </c>
      <c r="BE3381" t="s">
        <v>55474</v>
      </c>
      <c r="BF3381" t="str">
        <f>HYPERLINK("http://dx.doi.org/10.1111/caje.12627","http://dx.doi.org/10.1111/caje.12627")</f>
        <v>http://dx.doi.org/10.1111/caje.12627</v>
      </c>
      <c r="BG3381" t="s">
        <v>74</v>
      </c>
      <c r="BH3381" t="s">
        <v>5112</v>
      </c>
      <c r="BI3381">
        <v>27</v>
      </c>
      <c r="BJ3381" t="s">
        <v>291</v>
      </c>
      <c r="BK3381" t="s">
        <v>99</v>
      </c>
      <c r="BL3381" t="s">
        <v>100</v>
      </c>
      <c r="BM3381" t="s">
        <v>55475</v>
      </c>
      <c r="BN3381" t="s">
        <v>74</v>
      </c>
      <c r="BO3381" t="s">
        <v>1696</v>
      </c>
      <c r="BP3381" t="s">
        <v>74</v>
      </c>
      <c r="BQ3381" t="s">
        <v>74</v>
      </c>
      <c r="BR3381" t="s">
        <v>102</v>
      </c>
      <c r="BS3381" t="s">
        <v>55476</v>
      </c>
      <c r="BT3381" t="str">
        <f>HYPERLINK("https%3A%2F%2Fwww.webofscience.com%2Fwos%2Fwoscc%2Ffull-record%2FWOS:000879318900001","View Full Record in Web of Science")</f>
        <v>View Full Record in Web of Science</v>
      </c>
    </row>
    <row r="3382" spans="1:72" x14ac:dyDescent="0.25">
      <c r="A3382" t="s">
        <v>72</v>
      </c>
      <c r="B3382" t="s">
        <v>55477</v>
      </c>
      <c r="C3382" t="s">
        <v>74</v>
      </c>
      <c r="D3382" t="s">
        <v>74</v>
      </c>
      <c r="E3382" t="s">
        <v>74</v>
      </c>
      <c r="F3382" t="s">
        <v>55478</v>
      </c>
      <c r="G3382" t="s">
        <v>74</v>
      </c>
      <c r="H3382" t="s">
        <v>74</v>
      </c>
      <c r="I3382" t="s">
        <v>55479</v>
      </c>
      <c r="J3382" t="s">
        <v>3036</v>
      </c>
      <c r="K3382" t="s">
        <v>74</v>
      </c>
      <c r="L3382" t="s">
        <v>74</v>
      </c>
      <c r="M3382" t="s">
        <v>78</v>
      </c>
      <c r="N3382" t="s">
        <v>79</v>
      </c>
      <c r="O3382" t="s">
        <v>74</v>
      </c>
      <c r="P3382" t="s">
        <v>74</v>
      </c>
      <c r="Q3382" t="s">
        <v>74</v>
      </c>
      <c r="R3382" t="s">
        <v>74</v>
      </c>
      <c r="S3382" t="s">
        <v>74</v>
      </c>
      <c r="T3382" t="s">
        <v>55480</v>
      </c>
      <c r="U3382" t="s">
        <v>55481</v>
      </c>
      <c r="V3382" t="s">
        <v>55482</v>
      </c>
      <c r="W3382" t="s">
        <v>55483</v>
      </c>
      <c r="X3382" t="s">
        <v>54398</v>
      </c>
      <c r="Y3382" t="s">
        <v>55484</v>
      </c>
      <c r="Z3382" t="s">
        <v>55485</v>
      </c>
      <c r="AA3382" t="s">
        <v>55486</v>
      </c>
      <c r="AB3382" t="s">
        <v>55487</v>
      </c>
      <c r="AC3382" t="s">
        <v>74</v>
      </c>
      <c r="AD3382" t="s">
        <v>74</v>
      </c>
      <c r="AE3382" t="s">
        <v>74</v>
      </c>
      <c r="AF3382" t="s">
        <v>74</v>
      </c>
      <c r="AG3382">
        <v>85</v>
      </c>
      <c r="AH3382">
        <v>9</v>
      </c>
      <c r="AI3382">
        <v>12</v>
      </c>
      <c r="AJ3382">
        <v>0</v>
      </c>
      <c r="AK3382">
        <v>4</v>
      </c>
      <c r="AL3382" t="s">
        <v>385</v>
      </c>
      <c r="AM3382" t="s">
        <v>151</v>
      </c>
      <c r="AN3382" t="s">
        <v>386</v>
      </c>
      <c r="AO3382" t="s">
        <v>3045</v>
      </c>
      <c r="AP3382" t="s">
        <v>3046</v>
      </c>
      <c r="AQ3382" t="s">
        <v>74</v>
      </c>
      <c r="AR3382" t="s">
        <v>3047</v>
      </c>
      <c r="AS3382" t="s">
        <v>3048</v>
      </c>
      <c r="AT3382" t="s">
        <v>605</v>
      </c>
      <c r="AU3382">
        <v>2024</v>
      </c>
      <c r="AV3382">
        <v>15</v>
      </c>
      <c r="AW3382">
        <v>1</v>
      </c>
      <c r="AX3382" t="s">
        <v>74</v>
      </c>
      <c r="AY3382" t="s">
        <v>74</v>
      </c>
      <c r="AZ3382" t="s">
        <v>74</v>
      </c>
      <c r="BA3382" t="s">
        <v>74</v>
      </c>
      <c r="BB3382">
        <v>3512</v>
      </c>
      <c r="BC3382">
        <v>3550</v>
      </c>
      <c r="BD3382" t="s">
        <v>74</v>
      </c>
      <c r="BE3382" t="s">
        <v>55488</v>
      </c>
      <c r="BF3382" t="str">
        <f>HYPERLINK("http://dx.doi.org/10.1007/s13132-023-01260-6","http://dx.doi.org/10.1007/s13132-023-01260-6")</f>
        <v>http://dx.doi.org/10.1007/s13132-023-01260-6</v>
      </c>
      <c r="BG3382" t="s">
        <v>74</v>
      </c>
      <c r="BH3382" t="s">
        <v>3595</v>
      </c>
      <c r="BI3382">
        <v>39</v>
      </c>
      <c r="BJ3382" t="s">
        <v>291</v>
      </c>
      <c r="BK3382" t="s">
        <v>99</v>
      </c>
      <c r="BL3382" t="s">
        <v>100</v>
      </c>
      <c r="BM3382" t="s">
        <v>19952</v>
      </c>
      <c r="BN3382">
        <v>40478978</v>
      </c>
      <c r="BO3382" t="s">
        <v>3694</v>
      </c>
      <c r="BP3382" t="s">
        <v>74</v>
      </c>
      <c r="BQ3382" t="s">
        <v>74</v>
      </c>
      <c r="BR3382" t="s">
        <v>102</v>
      </c>
      <c r="BS3382" t="s">
        <v>55489</v>
      </c>
      <c r="BT3382" t="str">
        <f>HYPERLINK("https%3A%2F%2Fwww.webofscience.com%2Fwos%2Fwoscc%2Ffull-record%2FWOS:000957525900003","View Full Record in Web of Science")</f>
        <v>View Full Record in Web of Science</v>
      </c>
    </row>
    <row r="3383" spans="1:72" x14ac:dyDescent="0.25">
      <c r="A3383" t="s">
        <v>72</v>
      </c>
      <c r="B3383" t="s">
        <v>55490</v>
      </c>
      <c r="C3383" t="s">
        <v>74</v>
      </c>
      <c r="D3383" t="s">
        <v>74</v>
      </c>
      <c r="E3383" t="s">
        <v>74</v>
      </c>
      <c r="F3383" t="s">
        <v>55491</v>
      </c>
      <c r="G3383" t="s">
        <v>74</v>
      </c>
      <c r="H3383" t="s">
        <v>74</v>
      </c>
      <c r="I3383" t="s">
        <v>55492</v>
      </c>
      <c r="J3383" t="s">
        <v>52641</v>
      </c>
      <c r="K3383" t="s">
        <v>74</v>
      </c>
      <c r="L3383" t="s">
        <v>74</v>
      </c>
      <c r="M3383" t="s">
        <v>78</v>
      </c>
      <c r="N3383" t="s">
        <v>79</v>
      </c>
      <c r="O3383" t="s">
        <v>74</v>
      </c>
      <c r="P3383" t="s">
        <v>74</v>
      </c>
      <c r="Q3383" t="s">
        <v>74</v>
      </c>
      <c r="R3383" t="s">
        <v>74</v>
      </c>
      <c r="S3383" t="s">
        <v>74</v>
      </c>
      <c r="T3383" t="s">
        <v>55493</v>
      </c>
      <c r="U3383" t="s">
        <v>55494</v>
      </c>
      <c r="V3383" t="s">
        <v>55495</v>
      </c>
      <c r="W3383" t="s">
        <v>55496</v>
      </c>
      <c r="X3383" t="s">
        <v>55497</v>
      </c>
      <c r="Y3383" t="s">
        <v>55498</v>
      </c>
      <c r="Z3383" t="s">
        <v>55499</v>
      </c>
      <c r="AA3383" t="s">
        <v>55500</v>
      </c>
      <c r="AB3383" t="s">
        <v>74</v>
      </c>
      <c r="AC3383" t="s">
        <v>55501</v>
      </c>
      <c r="AD3383" t="s">
        <v>55501</v>
      </c>
      <c r="AE3383" t="s">
        <v>55502</v>
      </c>
      <c r="AF3383" t="s">
        <v>74</v>
      </c>
      <c r="AG3383">
        <v>67</v>
      </c>
      <c r="AH3383">
        <v>3</v>
      </c>
      <c r="AI3383">
        <v>3</v>
      </c>
      <c r="AJ3383">
        <v>8</v>
      </c>
      <c r="AK3383">
        <v>26</v>
      </c>
      <c r="AL3383" t="s">
        <v>332</v>
      </c>
      <c r="AM3383" t="s">
        <v>333</v>
      </c>
      <c r="AN3383" t="s">
        <v>334</v>
      </c>
      <c r="AO3383" t="s">
        <v>52650</v>
      </c>
      <c r="AP3383" t="s">
        <v>52651</v>
      </c>
      <c r="AQ3383" t="s">
        <v>74</v>
      </c>
      <c r="AR3383" t="s">
        <v>52652</v>
      </c>
      <c r="AS3383" t="s">
        <v>52653</v>
      </c>
      <c r="AT3383" t="s">
        <v>24216</v>
      </c>
      <c r="AU3383">
        <v>2024</v>
      </c>
      <c r="AV3383">
        <v>36</v>
      </c>
      <c r="AW3383" t="s">
        <v>5324</v>
      </c>
      <c r="AX3383" t="s">
        <v>74</v>
      </c>
      <c r="AY3383" t="s">
        <v>74</v>
      </c>
      <c r="AZ3383" t="s">
        <v>74</v>
      </c>
      <c r="BA3383" t="s">
        <v>74</v>
      </c>
      <c r="BB3383">
        <v>366</v>
      </c>
      <c r="BC3383">
        <v>385</v>
      </c>
      <c r="BD3383" t="s">
        <v>74</v>
      </c>
      <c r="BE3383" t="s">
        <v>55503</v>
      </c>
      <c r="BF3383" t="str">
        <f>HYPERLINK("http://dx.doi.org/10.1080/08985626.2023.2298985","http://dx.doi.org/10.1080/08985626.2023.2298985")</f>
        <v>http://dx.doi.org/10.1080/08985626.2023.2298985</v>
      </c>
      <c r="BG3383" t="s">
        <v>74</v>
      </c>
      <c r="BH3383" t="s">
        <v>1524</v>
      </c>
      <c r="BI3383">
        <v>20</v>
      </c>
      <c r="BJ3383" t="s">
        <v>52657</v>
      </c>
      <c r="BK3383" t="s">
        <v>99</v>
      </c>
      <c r="BL3383" t="s">
        <v>7292</v>
      </c>
      <c r="BM3383" t="s">
        <v>55504</v>
      </c>
      <c r="BN3383" t="s">
        <v>74</v>
      </c>
      <c r="BO3383" t="s">
        <v>270</v>
      </c>
      <c r="BP3383" t="s">
        <v>74</v>
      </c>
      <c r="BQ3383" t="s">
        <v>74</v>
      </c>
      <c r="BR3383" t="s">
        <v>102</v>
      </c>
      <c r="BS3383" t="s">
        <v>55505</v>
      </c>
      <c r="BT3383" t="str">
        <f>HYPERLINK("https%3A%2F%2Fwww.webofscience.com%2Fwos%2Fwoscc%2Ffull-record%2FWOS:001131621300001","View Full Record in Web of Science")</f>
        <v>View Full Record in Web of Science</v>
      </c>
    </row>
    <row r="3384" spans="1:72" x14ac:dyDescent="0.25">
      <c r="A3384" t="s">
        <v>72</v>
      </c>
      <c r="B3384" t="s">
        <v>55506</v>
      </c>
      <c r="C3384" t="s">
        <v>74</v>
      </c>
      <c r="D3384" t="s">
        <v>74</v>
      </c>
      <c r="E3384" t="s">
        <v>74</v>
      </c>
      <c r="F3384" t="s">
        <v>55507</v>
      </c>
      <c r="G3384" t="s">
        <v>74</v>
      </c>
      <c r="H3384" t="s">
        <v>74</v>
      </c>
      <c r="I3384" t="s">
        <v>55508</v>
      </c>
      <c r="J3384" t="s">
        <v>2763</v>
      </c>
      <c r="K3384" t="s">
        <v>74</v>
      </c>
      <c r="L3384" t="s">
        <v>74</v>
      </c>
      <c r="M3384" t="s">
        <v>78</v>
      </c>
      <c r="N3384" t="s">
        <v>79</v>
      </c>
      <c r="O3384" t="s">
        <v>74</v>
      </c>
      <c r="P3384" t="s">
        <v>74</v>
      </c>
      <c r="Q3384" t="s">
        <v>74</v>
      </c>
      <c r="R3384" t="s">
        <v>74</v>
      </c>
      <c r="S3384" t="s">
        <v>74</v>
      </c>
      <c r="T3384" t="s">
        <v>74</v>
      </c>
      <c r="U3384" t="s">
        <v>55509</v>
      </c>
      <c r="V3384" t="s">
        <v>55510</v>
      </c>
      <c r="W3384" t="s">
        <v>55511</v>
      </c>
      <c r="X3384" t="s">
        <v>55512</v>
      </c>
      <c r="Y3384" t="s">
        <v>55513</v>
      </c>
      <c r="Z3384" t="s">
        <v>55514</v>
      </c>
      <c r="AA3384" t="s">
        <v>74</v>
      </c>
      <c r="AB3384" t="s">
        <v>55515</v>
      </c>
      <c r="AC3384" t="s">
        <v>74</v>
      </c>
      <c r="AD3384" t="s">
        <v>74</v>
      </c>
      <c r="AE3384" t="s">
        <v>74</v>
      </c>
      <c r="AF3384" t="s">
        <v>74</v>
      </c>
      <c r="AG3384">
        <v>44</v>
      </c>
      <c r="AH3384">
        <v>32</v>
      </c>
      <c r="AI3384">
        <v>42</v>
      </c>
      <c r="AJ3384">
        <v>0</v>
      </c>
      <c r="AK3384">
        <v>20</v>
      </c>
      <c r="AL3384" t="s">
        <v>479</v>
      </c>
      <c r="AM3384" t="s">
        <v>480</v>
      </c>
      <c r="AN3384" t="s">
        <v>481</v>
      </c>
      <c r="AO3384" t="s">
        <v>2776</v>
      </c>
      <c r="AP3384" t="s">
        <v>2777</v>
      </c>
      <c r="AQ3384" t="s">
        <v>74</v>
      </c>
      <c r="AR3384" t="s">
        <v>2778</v>
      </c>
      <c r="AS3384" t="s">
        <v>2779</v>
      </c>
      <c r="AT3384" t="s">
        <v>1540</v>
      </c>
      <c r="AU3384">
        <v>2018</v>
      </c>
      <c r="AV3384">
        <v>22</v>
      </c>
      <c r="AW3384">
        <v>2</v>
      </c>
      <c r="AX3384" t="s">
        <v>74</v>
      </c>
      <c r="AY3384" t="s">
        <v>74</v>
      </c>
      <c r="AZ3384" t="s">
        <v>74</v>
      </c>
      <c r="BA3384" t="s">
        <v>74</v>
      </c>
      <c r="BB3384">
        <v>808</v>
      </c>
      <c r="BC3384">
        <v>826</v>
      </c>
      <c r="BD3384" t="s">
        <v>74</v>
      </c>
      <c r="BE3384" t="s">
        <v>55516</v>
      </c>
      <c r="BF3384" t="str">
        <f>HYPERLINK("http://dx.doi.org/10.1111/rode.12368","http://dx.doi.org/10.1111/rode.12368")</f>
        <v>http://dx.doi.org/10.1111/rode.12368</v>
      </c>
      <c r="BG3384" t="s">
        <v>74</v>
      </c>
      <c r="BH3384" t="s">
        <v>74</v>
      </c>
      <c r="BI3384">
        <v>19</v>
      </c>
      <c r="BJ3384" t="s">
        <v>701</v>
      </c>
      <c r="BK3384" t="s">
        <v>99</v>
      </c>
      <c r="BL3384" t="s">
        <v>702</v>
      </c>
      <c r="BM3384" t="s">
        <v>55517</v>
      </c>
      <c r="BN3384" t="s">
        <v>74</v>
      </c>
      <c r="BO3384" t="s">
        <v>74</v>
      </c>
      <c r="BP3384" t="s">
        <v>74</v>
      </c>
      <c r="BQ3384" t="s">
        <v>74</v>
      </c>
      <c r="BR3384" t="s">
        <v>102</v>
      </c>
      <c r="BS3384" t="s">
        <v>55518</v>
      </c>
      <c r="BT3384" t="str">
        <f>HYPERLINK("https%3A%2F%2Fwww.webofscience.com%2Fwos%2Fwoscc%2Ffull-record%2FWOS:000430690700017","View Full Record in Web of Science")</f>
        <v>View Full Record in Web of Science</v>
      </c>
    </row>
    <row r="3385" spans="1:72" x14ac:dyDescent="0.25">
      <c r="A3385" t="s">
        <v>72</v>
      </c>
      <c r="B3385" t="s">
        <v>55519</v>
      </c>
      <c r="C3385" t="s">
        <v>74</v>
      </c>
      <c r="D3385" t="s">
        <v>74</v>
      </c>
      <c r="E3385" t="s">
        <v>74</v>
      </c>
      <c r="F3385" t="s">
        <v>55520</v>
      </c>
      <c r="G3385" t="s">
        <v>74</v>
      </c>
      <c r="H3385" t="s">
        <v>74</v>
      </c>
      <c r="I3385" t="s">
        <v>55521</v>
      </c>
      <c r="J3385" t="s">
        <v>20213</v>
      </c>
      <c r="K3385" t="s">
        <v>74</v>
      </c>
      <c r="L3385" t="s">
        <v>74</v>
      </c>
      <c r="M3385" t="s">
        <v>78</v>
      </c>
      <c r="N3385" t="s">
        <v>372</v>
      </c>
      <c r="O3385" t="s">
        <v>74</v>
      </c>
      <c r="P3385" t="s">
        <v>74</v>
      </c>
      <c r="Q3385" t="s">
        <v>74</v>
      </c>
      <c r="R3385" t="s">
        <v>74</v>
      </c>
      <c r="S3385" t="s">
        <v>74</v>
      </c>
      <c r="T3385" t="s">
        <v>55522</v>
      </c>
      <c r="U3385" t="s">
        <v>55523</v>
      </c>
      <c r="V3385" t="s">
        <v>55524</v>
      </c>
      <c r="W3385" t="s">
        <v>55525</v>
      </c>
      <c r="X3385" t="s">
        <v>55526</v>
      </c>
      <c r="Y3385" t="s">
        <v>55527</v>
      </c>
      <c r="Z3385" t="s">
        <v>55528</v>
      </c>
      <c r="AA3385" t="s">
        <v>55529</v>
      </c>
      <c r="AB3385" t="s">
        <v>74</v>
      </c>
      <c r="AC3385" t="s">
        <v>74</v>
      </c>
      <c r="AD3385" t="s">
        <v>74</v>
      </c>
      <c r="AE3385" t="s">
        <v>74</v>
      </c>
      <c r="AF3385" t="s">
        <v>74</v>
      </c>
      <c r="AG3385">
        <v>54</v>
      </c>
      <c r="AH3385">
        <v>1</v>
      </c>
      <c r="AI3385">
        <v>1</v>
      </c>
      <c r="AJ3385">
        <v>4</v>
      </c>
      <c r="AK3385">
        <v>4</v>
      </c>
      <c r="AL3385" t="s">
        <v>89</v>
      </c>
      <c r="AM3385" t="s">
        <v>90</v>
      </c>
      <c r="AN3385" t="s">
        <v>91</v>
      </c>
      <c r="AO3385" t="s">
        <v>20205</v>
      </c>
      <c r="AP3385" t="s">
        <v>20204</v>
      </c>
      <c r="AQ3385" t="s">
        <v>74</v>
      </c>
      <c r="AR3385" t="s">
        <v>20203</v>
      </c>
      <c r="AS3385" t="s">
        <v>20202</v>
      </c>
      <c r="AT3385" t="s">
        <v>55530</v>
      </c>
      <c r="AU3385">
        <v>2025</v>
      </c>
      <c r="AV3385" t="s">
        <v>74</v>
      </c>
      <c r="AW3385" t="s">
        <v>74</v>
      </c>
      <c r="AX3385" t="s">
        <v>74</v>
      </c>
      <c r="AY3385" t="s">
        <v>74</v>
      </c>
      <c r="AZ3385" t="s">
        <v>74</v>
      </c>
      <c r="BA3385" t="s">
        <v>74</v>
      </c>
      <c r="BB3385" t="s">
        <v>74</v>
      </c>
      <c r="BC3385" t="s">
        <v>74</v>
      </c>
      <c r="BD3385" t="s">
        <v>74</v>
      </c>
      <c r="BE3385" t="s">
        <v>55531</v>
      </c>
      <c r="BF3385" t="str">
        <f>HYPERLINK("http://dx.doi.org/10.1108/JIABR-01-2025-0026","http://dx.doi.org/10.1108/JIABR-01-2025-0026")</f>
        <v>http://dx.doi.org/10.1108/JIABR-01-2025-0026</v>
      </c>
      <c r="BG3385" t="s">
        <v>74</v>
      </c>
      <c r="BH3385" t="s">
        <v>3411</v>
      </c>
      <c r="BI3385">
        <v>21</v>
      </c>
      <c r="BJ3385" t="s">
        <v>268</v>
      </c>
      <c r="BK3385" t="s">
        <v>313</v>
      </c>
      <c r="BL3385" t="s">
        <v>100</v>
      </c>
      <c r="BM3385" t="s">
        <v>55532</v>
      </c>
      <c r="BN3385" t="s">
        <v>74</v>
      </c>
      <c r="BO3385" t="s">
        <v>74</v>
      </c>
      <c r="BP3385" t="s">
        <v>74</v>
      </c>
      <c r="BQ3385" t="s">
        <v>74</v>
      </c>
      <c r="BR3385" t="s">
        <v>102</v>
      </c>
      <c r="BS3385" t="s">
        <v>55533</v>
      </c>
      <c r="BT3385" t="str">
        <f>HYPERLINK("https%3A%2F%2Fwww.webofscience.com%2Fwos%2Fwoscc%2Ffull-record%2FWOS:001574307900001","View Full Record in Web of Science")</f>
        <v>View Full Record in Web of Science</v>
      </c>
    </row>
    <row r="3386" spans="1:72" x14ac:dyDescent="0.25">
      <c r="A3386" t="s">
        <v>72</v>
      </c>
      <c r="B3386" t="s">
        <v>55534</v>
      </c>
      <c r="C3386" t="s">
        <v>74</v>
      </c>
      <c r="D3386" t="s">
        <v>74</v>
      </c>
      <c r="E3386" t="s">
        <v>74</v>
      </c>
      <c r="F3386" t="s">
        <v>55535</v>
      </c>
      <c r="G3386" t="s">
        <v>74</v>
      </c>
      <c r="H3386" t="s">
        <v>74</v>
      </c>
      <c r="I3386" t="s">
        <v>55536</v>
      </c>
      <c r="J3386" t="s">
        <v>20213</v>
      </c>
      <c r="K3386" t="s">
        <v>74</v>
      </c>
      <c r="L3386" t="s">
        <v>74</v>
      </c>
      <c r="M3386" t="s">
        <v>78</v>
      </c>
      <c r="N3386" t="s">
        <v>372</v>
      </c>
      <c r="O3386" t="s">
        <v>74</v>
      </c>
      <c r="P3386" t="s">
        <v>74</v>
      </c>
      <c r="Q3386" t="s">
        <v>74</v>
      </c>
      <c r="R3386" t="s">
        <v>74</v>
      </c>
      <c r="S3386" t="s">
        <v>74</v>
      </c>
      <c r="T3386" t="s">
        <v>55537</v>
      </c>
      <c r="U3386" t="s">
        <v>55538</v>
      </c>
      <c r="V3386" t="s">
        <v>55539</v>
      </c>
      <c r="W3386" t="s">
        <v>55540</v>
      </c>
      <c r="X3386" t="s">
        <v>55541</v>
      </c>
      <c r="Y3386" t="s">
        <v>55542</v>
      </c>
      <c r="Z3386" t="s">
        <v>55543</v>
      </c>
      <c r="AA3386" t="s">
        <v>55544</v>
      </c>
      <c r="AB3386" t="s">
        <v>74</v>
      </c>
      <c r="AC3386" t="s">
        <v>74</v>
      </c>
      <c r="AD3386" t="s">
        <v>74</v>
      </c>
      <c r="AE3386" t="s">
        <v>74</v>
      </c>
      <c r="AF3386" t="s">
        <v>74</v>
      </c>
      <c r="AG3386">
        <v>31</v>
      </c>
      <c r="AH3386">
        <v>0</v>
      </c>
      <c r="AI3386">
        <v>0</v>
      </c>
      <c r="AJ3386">
        <v>0</v>
      </c>
      <c r="AK3386">
        <v>0</v>
      </c>
      <c r="AL3386" t="s">
        <v>89</v>
      </c>
      <c r="AM3386" t="s">
        <v>90</v>
      </c>
      <c r="AN3386" t="s">
        <v>91</v>
      </c>
      <c r="AO3386" t="s">
        <v>20205</v>
      </c>
      <c r="AP3386" t="s">
        <v>20204</v>
      </c>
      <c r="AQ3386" t="s">
        <v>74</v>
      </c>
      <c r="AR3386" t="s">
        <v>20203</v>
      </c>
      <c r="AS3386" t="s">
        <v>20202</v>
      </c>
      <c r="AT3386" t="s">
        <v>12632</v>
      </c>
      <c r="AU3386">
        <v>2025</v>
      </c>
      <c r="AV3386" t="s">
        <v>74</v>
      </c>
      <c r="AW3386" t="s">
        <v>74</v>
      </c>
      <c r="AX3386" t="s">
        <v>74</v>
      </c>
      <c r="AY3386" t="s">
        <v>74</v>
      </c>
      <c r="AZ3386" t="s">
        <v>74</v>
      </c>
      <c r="BA3386" t="s">
        <v>74</v>
      </c>
      <c r="BB3386" t="s">
        <v>74</v>
      </c>
      <c r="BC3386" t="s">
        <v>74</v>
      </c>
      <c r="BD3386" t="s">
        <v>74</v>
      </c>
      <c r="BE3386" t="s">
        <v>55545</v>
      </c>
      <c r="BF3386" t="str">
        <f>HYPERLINK("http://dx.doi.org/10.1108/JIABR-02-2025-0072","http://dx.doi.org/10.1108/JIABR-02-2025-0072")</f>
        <v>http://dx.doi.org/10.1108/JIABR-02-2025-0072</v>
      </c>
      <c r="BG3386" t="s">
        <v>74</v>
      </c>
      <c r="BH3386" t="s">
        <v>2044</v>
      </c>
      <c r="BI3386">
        <v>15</v>
      </c>
      <c r="BJ3386" t="s">
        <v>268</v>
      </c>
      <c r="BK3386" t="s">
        <v>313</v>
      </c>
      <c r="BL3386" t="s">
        <v>100</v>
      </c>
      <c r="BM3386" t="s">
        <v>55546</v>
      </c>
      <c r="BN3386" t="s">
        <v>74</v>
      </c>
      <c r="BO3386" t="s">
        <v>74</v>
      </c>
      <c r="BP3386" t="s">
        <v>74</v>
      </c>
      <c r="BQ3386" t="s">
        <v>74</v>
      </c>
      <c r="BR3386" t="s">
        <v>102</v>
      </c>
      <c r="BS3386" t="s">
        <v>55547</v>
      </c>
      <c r="BT3386" t="str">
        <f>HYPERLINK("https%3A%2F%2Fwww.webofscience.com%2Fwos%2Fwoscc%2Ffull-record%2FWOS:001616621700001","View Full Record in Web of Science")</f>
        <v>View Full Record in Web of Science</v>
      </c>
    </row>
    <row r="3387" spans="1:72" x14ac:dyDescent="0.25">
      <c r="A3387" t="s">
        <v>72</v>
      </c>
      <c r="B3387" t="s">
        <v>55548</v>
      </c>
      <c r="C3387" t="s">
        <v>74</v>
      </c>
      <c r="D3387" t="s">
        <v>74</v>
      </c>
      <c r="E3387" t="s">
        <v>74</v>
      </c>
      <c r="F3387" t="s">
        <v>55549</v>
      </c>
      <c r="G3387" t="s">
        <v>74</v>
      </c>
      <c r="H3387" t="s">
        <v>74</v>
      </c>
      <c r="I3387" t="s">
        <v>55550</v>
      </c>
      <c r="J3387" t="s">
        <v>55551</v>
      </c>
      <c r="K3387" t="s">
        <v>74</v>
      </c>
      <c r="L3387" t="s">
        <v>74</v>
      </c>
      <c r="M3387" t="s">
        <v>78</v>
      </c>
      <c r="N3387" t="s">
        <v>79</v>
      </c>
      <c r="O3387" t="s">
        <v>74</v>
      </c>
      <c r="P3387" t="s">
        <v>74</v>
      </c>
      <c r="Q3387" t="s">
        <v>74</v>
      </c>
      <c r="R3387" t="s">
        <v>74</v>
      </c>
      <c r="S3387" t="s">
        <v>74</v>
      </c>
      <c r="T3387" t="s">
        <v>55552</v>
      </c>
      <c r="U3387" t="s">
        <v>43400</v>
      </c>
      <c r="V3387" t="s">
        <v>55553</v>
      </c>
      <c r="W3387" t="s">
        <v>55554</v>
      </c>
      <c r="X3387" t="s">
        <v>55555</v>
      </c>
      <c r="Y3387" t="s">
        <v>55556</v>
      </c>
      <c r="Z3387" t="s">
        <v>29402</v>
      </c>
      <c r="AA3387" t="s">
        <v>55557</v>
      </c>
      <c r="AB3387" t="s">
        <v>55558</v>
      </c>
      <c r="AC3387" t="s">
        <v>74</v>
      </c>
      <c r="AD3387" t="s">
        <v>74</v>
      </c>
      <c r="AE3387" t="s">
        <v>74</v>
      </c>
      <c r="AF3387" t="s">
        <v>74</v>
      </c>
      <c r="AG3387">
        <v>102</v>
      </c>
      <c r="AH3387">
        <v>1</v>
      </c>
      <c r="AI3387">
        <v>1</v>
      </c>
      <c r="AJ3387">
        <v>1</v>
      </c>
      <c r="AK3387">
        <v>3</v>
      </c>
      <c r="AL3387" t="s">
        <v>479</v>
      </c>
      <c r="AM3387" t="s">
        <v>480</v>
      </c>
      <c r="AN3387" t="s">
        <v>481</v>
      </c>
      <c r="AO3387" t="s">
        <v>74</v>
      </c>
      <c r="AP3387" t="s">
        <v>55559</v>
      </c>
      <c r="AQ3387" t="s">
        <v>74</v>
      </c>
      <c r="AR3387" t="s">
        <v>55560</v>
      </c>
      <c r="AS3387" t="s">
        <v>55561</v>
      </c>
      <c r="AT3387" t="s">
        <v>74</v>
      </c>
      <c r="AU3387">
        <v>2025</v>
      </c>
      <c r="AV3387">
        <v>2025</v>
      </c>
      <c r="AW3387">
        <v>1</v>
      </c>
      <c r="AX3387" t="s">
        <v>74</v>
      </c>
      <c r="AY3387" t="s">
        <v>74</v>
      </c>
      <c r="AZ3387" t="s">
        <v>74</v>
      </c>
      <c r="BA3387" t="s">
        <v>74</v>
      </c>
      <c r="BB3387" t="s">
        <v>74</v>
      </c>
      <c r="BC3387" t="s">
        <v>74</v>
      </c>
      <c r="BD3387">
        <v>9352257</v>
      </c>
      <c r="BE3387" t="s">
        <v>55562</v>
      </c>
      <c r="BF3387" t="str">
        <f>HYPERLINK("http://dx.doi.org/10.1155/hbe2/9352257","http://dx.doi.org/10.1155/hbe2/9352257")</f>
        <v>http://dx.doi.org/10.1155/hbe2/9352257</v>
      </c>
      <c r="BG3387" t="s">
        <v>74</v>
      </c>
      <c r="BH3387" t="s">
        <v>74</v>
      </c>
      <c r="BI3387">
        <v>36</v>
      </c>
      <c r="BJ3387" t="s">
        <v>2992</v>
      </c>
      <c r="BK3387" t="s">
        <v>313</v>
      </c>
      <c r="BL3387" t="s">
        <v>2993</v>
      </c>
      <c r="BM3387" t="s">
        <v>55563</v>
      </c>
      <c r="BN3387" t="s">
        <v>74</v>
      </c>
      <c r="BO3387" t="s">
        <v>212</v>
      </c>
      <c r="BP3387" t="s">
        <v>74</v>
      </c>
      <c r="BQ3387" t="s">
        <v>74</v>
      </c>
      <c r="BR3387" t="s">
        <v>102</v>
      </c>
      <c r="BS3387" t="s">
        <v>55564</v>
      </c>
      <c r="BT3387" t="str">
        <f>HYPERLINK("https%3A%2F%2Fwww.webofscience.com%2Fwos%2Fwoscc%2Ffull-record%2FWOS:001402377300001","View Full Record in Web of Science")</f>
        <v>View Full Record in Web of Science</v>
      </c>
    </row>
    <row r="3388" spans="1:72" x14ac:dyDescent="0.25">
      <c r="A3388" t="s">
        <v>72</v>
      </c>
      <c r="B3388" t="s">
        <v>55565</v>
      </c>
      <c r="C3388" t="s">
        <v>74</v>
      </c>
      <c r="D3388" t="s">
        <v>74</v>
      </c>
      <c r="E3388" t="s">
        <v>74</v>
      </c>
      <c r="F3388" t="s">
        <v>55566</v>
      </c>
      <c r="G3388" t="s">
        <v>74</v>
      </c>
      <c r="H3388" t="s">
        <v>74</v>
      </c>
      <c r="I3388" t="s">
        <v>55567</v>
      </c>
      <c r="J3388" t="s">
        <v>55568</v>
      </c>
      <c r="K3388" t="s">
        <v>74</v>
      </c>
      <c r="L3388" t="s">
        <v>74</v>
      </c>
      <c r="M3388" t="s">
        <v>78</v>
      </c>
      <c r="N3388" t="s">
        <v>79</v>
      </c>
      <c r="O3388" t="s">
        <v>74</v>
      </c>
      <c r="P3388" t="s">
        <v>74</v>
      </c>
      <c r="Q3388" t="s">
        <v>74</v>
      </c>
      <c r="R3388" t="s">
        <v>74</v>
      </c>
      <c r="S3388" t="s">
        <v>74</v>
      </c>
      <c r="T3388" t="s">
        <v>55569</v>
      </c>
      <c r="U3388" t="s">
        <v>55570</v>
      </c>
      <c r="V3388" t="s">
        <v>55571</v>
      </c>
      <c r="W3388" t="s">
        <v>55572</v>
      </c>
      <c r="X3388" t="s">
        <v>7713</v>
      </c>
      <c r="Y3388" t="s">
        <v>55573</v>
      </c>
      <c r="Z3388" t="s">
        <v>8030</v>
      </c>
      <c r="AA3388" t="s">
        <v>7716</v>
      </c>
      <c r="AB3388" t="s">
        <v>55574</v>
      </c>
      <c r="AC3388" t="s">
        <v>55575</v>
      </c>
      <c r="AD3388" t="s">
        <v>55575</v>
      </c>
      <c r="AE3388" t="s">
        <v>55576</v>
      </c>
      <c r="AF3388" t="s">
        <v>74</v>
      </c>
      <c r="AG3388">
        <v>66</v>
      </c>
      <c r="AH3388">
        <v>7</v>
      </c>
      <c r="AI3388">
        <v>7</v>
      </c>
      <c r="AJ3388">
        <v>7</v>
      </c>
      <c r="AK3388">
        <v>33</v>
      </c>
      <c r="AL3388" t="s">
        <v>479</v>
      </c>
      <c r="AM3388" t="s">
        <v>480</v>
      </c>
      <c r="AN3388" t="s">
        <v>481</v>
      </c>
      <c r="AO3388" t="s">
        <v>55577</v>
      </c>
      <c r="AP3388" t="s">
        <v>55578</v>
      </c>
      <c r="AQ3388" t="s">
        <v>74</v>
      </c>
      <c r="AR3388" t="s">
        <v>55579</v>
      </c>
      <c r="AS3388" t="s">
        <v>55580</v>
      </c>
      <c r="AT3388" t="s">
        <v>698</v>
      </c>
      <c r="AU3388">
        <v>2024</v>
      </c>
      <c r="AV3388">
        <v>75</v>
      </c>
      <c r="AW3388">
        <v>3</v>
      </c>
      <c r="AX3388" t="s">
        <v>74</v>
      </c>
      <c r="AY3388" t="s">
        <v>74</v>
      </c>
      <c r="AZ3388" t="s">
        <v>74</v>
      </c>
      <c r="BA3388" t="s">
        <v>74</v>
      </c>
      <c r="BB3388">
        <v>931</v>
      </c>
      <c r="BC3388">
        <v>954</v>
      </c>
      <c r="BD3388" t="s">
        <v>74</v>
      </c>
      <c r="BE3388" t="s">
        <v>55581</v>
      </c>
      <c r="BF3388" t="str">
        <f>HYPERLINK("http://dx.doi.org/10.1111/1477-9552.12609","http://dx.doi.org/10.1111/1477-9552.12609")</f>
        <v>http://dx.doi.org/10.1111/1477-9552.12609</v>
      </c>
      <c r="BG3388" t="s">
        <v>74</v>
      </c>
      <c r="BH3388" t="s">
        <v>6256</v>
      </c>
      <c r="BI3388">
        <v>24</v>
      </c>
      <c r="BJ3388" t="s">
        <v>18270</v>
      </c>
      <c r="BK3388" t="s">
        <v>2623</v>
      </c>
      <c r="BL3388" t="s">
        <v>18271</v>
      </c>
      <c r="BM3388" t="s">
        <v>55582</v>
      </c>
      <c r="BN3388" t="s">
        <v>74</v>
      </c>
      <c r="BO3388" t="s">
        <v>466</v>
      </c>
      <c r="BP3388" t="s">
        <v>74</v>
      </c>
      <c r="BQ3388" t="s">
        <v>74</v>
      </c>
      <c r="BR3388" t="s">
        <v>102</v>
      </c>
      <c r="BS3388" t="s">
        <v>55583</v>
      </c>
      <c r="BT3388" t="str">
        <f>HYPERLINK("https%3A%2F%2Fwww.webofscience.com%2Fwos%2Fwoscc%2Ffull-record%2FWOS:001248798900001","View Full Record in Web of Science")</f>
        <v>View Full Record in Web of Science</v>
      </c>
    </row>
    <row r="3389" spans="1:72" x14ac:dyDescent="0.25">
      <c r="A3389" t="s">
        <v>72</v>
      </c>
      <c r="B3389" t="s">
        <v>55584</v>
      </c>
      <c r="C3389" t="s">
        <v>74</v>
      </c>
      <c r="D3389" t="s">
        <v>74</v>
      </c>
      <c r="E3389" t="s">
        <v>74</v>
      </c>
      <c r="F3389" t="s">
        <v>55585</v>
      </c>
      <c r="G3389" t="s">
        <v>74</v>
      </c>
      <c r="H3389" t="s">
        <v>74</v>
      </c>
      <c r="I3389" t="s">
        <v>55586</v>
      </c>
      <c r="J3389" t="s">
        <v>55587</v>
      </c>
      <c r="K3389" t="s">
        <v>74</v>
      </c>
      <c r="L3389" t="s">
        <v>74</v>
      </c>
      <c r="M3389" t="s">
        <v>78</v>
      </c>
      <c r="N3389" t="s">
        <v>1766</v>
      </c>
      <c r="O3389" t="s">
        <v>74</v>
      </c>
      <c r="P3389" t="s">
        <v>74</v>
      </c>
      <c r="Q3389" t="s">
        <v>74</v>
      </c>
      <c r="R3389" t="s">
        <v>74</v>
      </c>
      <c r="S3389" t="s">
        <v>74</v>
      </c>
      <c r="T3389" t="s">
        <v>55588</v>
      </c>
      <c r="U3389" t="s">
        <v>74</v>
      </c>
      <c r="V3389" t="s">
        <v>55589</v>
      </c>
      <c r="W3389" t="s">
        <v>55590</v>
      </c>
      <c r="X3389" t="s">
        <v>74</v>
      </c>
      <c r="Y3389" t="s">
        <v>55591</v>
      </c>
      <c r="Z3389" t="s">
        <v>55592</v>
      </c>
      <c r="AA3389" t="s">
        <v>55593</v>
      </c>
      <c r="AB3389" t="s">
        <v>55594</v>
      </c>
      <c r="AC3389" t="s">
        <v>55595</v>
      </c>
      <c r="AD3389" t="s">
        <v>55596</v>
      </c>
      <c r="AE3389" t="s">
        <v>55597</v>
      </c>
      <c r="AF3389" t="s">
        <v>74</v>
      </c>
      <c r="AG3389">
        <v>109</v>
      </c>
      <c r="AH3389">
        <v>84</v>
      </c>
      <c r="AI3389">
        <v>94</v>
      </c>
      <c r="AJ3389">
        <v>4</v>
      </c>
      <c r="AK3389">
        <v>12</v>
      </c>
      <c r="AL3389" t="s">
        <v>4083</v>
      </c>
      <c r="AM3389" t="s">
        <v>4084</v>
      </c>
      <c r="AN3389" t="s">
        <v>4085</v>
      </c>
      <c r="AO3389" t="s">
        <v>55598</v>
      </c>
      <c r="AP3389" t="s">
        <v>55599</v>
      </c>
      <c r="AQ3389" t="s">
        <v>74</v>
      </c>
      <c r="AR3389" t="s">
        <v>55600</v>
      </c>
      <c r="AS3389" t="s">
        <v>55601</v>
      </c>
      <c r="AT3389" t="s">
        <v>848</v>
      </c>
      <c r="AU3389">
        <v>2023</v>
      </c>
      <c r="AV3389">
        <v>8</v>
      </c>
      <c r="AW3389">
        <v>4</v>
      </c>
      <c r="AX3389" t="s">
        <v>74</v>
      </c>
      <c r="AY3389" t="s">
        <v>74</v>
      </c>
      <c r="AZ3389" t="s">
        <v>74</v>
      </c>
      <c r="BA3389" t="s">
        <v>74</v>
      </c>
      <c r="BB3389">
        <v>365</v>
      </c>
      <c r="BC3389">
        <v>374</v>
      </c>
      <c r="BD3389" t="s">
        <v>74</v>
      </c>
      <c r="BE3389" t="s">
        <v>55602</v>
      </c>
      <c r="BF3389" t="str">
        <f>HYPERLINK("http://dx.doi.org/10.1016/j.aaf.2022.06.003","http://dx.doi.org/10.1016/j.aaf.2022.06.003")</f>
        <v>http://dx.doi.org/10.1016/j.aaf.2022.06.003</v>
      </c>
      <c r="BG3389" t="s">
        <v>74</v>
      </c>
      <c r="BH3389" t="s">
        <v>74</v>
      </c>
      <c r="BI3389">
        <v>10</v>
      </c>
      <c r="BJ3389" t="s">
        <v>55603</v>
      </c>
      <c r="BK3389" t="s">
        <v>313</v>
      </c>
      <c r="BL3389" t="s">
        <v>55603</v>
      </c>
      <c r="BM3389" t="s">
        <v>55604</v>
      </c>
      <c r="BN3389" t="s">
        <v>74</v>
      </c>
      <c r="BO3389" t="s">
        <v>212</v>
      </c>
      <c r="BP3389" t="s">
        <v>74</v>
      </c>
      <c r="BQ3389" t="s">
        <v>74</v>
      </c>
      <c r="BR3389" t="s">
        <v>102</v>
      </c>
      <c r="BS3389" t="s">
        <v>55605</v>
      </c>
      <c r="BT3389" t="str">
        <f>HYPERLINK("https%3A%2F%2Fwww.webofscience.com%2Fwos%2Fwoscc%2Ffull-record%2FWOS:000935503800001","View Full Record in Web of Science")</f>
        <v>View Full Record in Web of Science</v>
      </c>
    </row>
    <row r="3390" spans="1:72" x14ac:dyDescent="0.25">
      <c r="A3390" t="s">
        <v>72</v>
      </c>
      <c r="B3390" t="s">
        <v>55606</v>
      </c>
      <c r="C3390" t="s">
        <v>74</v>
      </c>
      <c r="D3390" t="s">
        <v>74</v>
      </c>
      <c r="E3390" t="s">
        <v>74</v>
      </c>
      <c r="F3390" t="s">
        <v>55607</v>
      </c>
      <c r="G3390" t="s">
        <v>74</v>
      </c>
      <c r="H3390" t="s">
        <v>74</v>
      </c>
      <c r="I3390" t="s">
        <v>55608</v>
      </c>
      <c r="J3390" t="s">
        <v>4618</v>
      </c>
      <c r="K3390" t="s">
        <v>74</v>
      </c>
      <c r="L3390" t="s">
        <v>74</v>
      </c>
      <c r="M3390" t="s">
        <v>78</v>
      </c>
      <c r="N3390" t="s">
        <v>79</v>
      </c>
      <c r="O3390" t="s">
        <v>74</v>
      </c>
      <c r="P3390" t="s">
        <v>74</v>
      </c>
      <c r="Q3390" t="s">
        <v>74</v>
      </c>
      <c r="R3390" t="s">
        <v>74</v>
      </c>
      <c r="S3390" t="s">
        <v>74</v>
      </c>
      <c r="T3390" t="s">
        <v>55609</v>
      </c>
      <c r="U3390" t="s">
        <v>55610</v>
      </c>
      <c r="V3390" t="s">
        <v>55611</v>
      </c>
      <c r="W3390" t="s">
        <v>55612</v>
      </c>
      <c r="X3390" t="s">
        <v>55613</v>
      </c>
      <c r="Y3390" t="s">
        <v>55614</v>
      </c>
      <c r="Z3390" t="s">
        <v>55615</v>
      </c>
      <c r="AA3390" t="s">
        <v>55616</v>
      </c>
      <c r="AB3390" t="s">
        <v>55617</v>
      </c>
      <c r="AC3390" t="s">
        <v>55618</v>
      </c>
      <c r="AD3390" t="s">
        <v>55619</v>
      </c>
      <c r="AE3390" t="s">
        <v>55620</v>
      </c>
      <c r="AF3390" t="s">
        <v>74</v>
      </c>
      <c r="AG3390">
        <v>79</v>
      </c>
      <c r="AH3390">
        <v>1</v>
      </c>
      <c r="AI3390">
        <v>2</v>
      </c>
      <c r="AJ3390">
        <v>0</v>
      </c>
      <c r="AK3390">
        <v>4</v>
      </c>
      <c r="AL3390" t="s">
        <v>89</v>
      </c>
      <c r="AM3390" t="s">
        <v>90</v>
      </c>
      <c r="AN3390" t="s">
        <v>91</v>
      </c>
      <c r="AO3390" t="s">
        <v>4627</v>
      </c>
      <c r="AP3390" t="s">
        <v>4628</v>
      </c>
      <c r="AQ3390" t="s">
        <v>74</v>
      </c>
      <c r="AR3390" t="s">
        <v>4629</v>
      </c>
      <c r="AS3390" t="s">
        <v>4630</v>
      </c>
      <c r="AT3390" t="s">
        <v>13886</v>
      </c>
      <c r="AU3390">
        <v>2025</v>
      </c>
      <c r="AV3390">
        <v>18</v>
      </c>
      <c r="AW3390">
        <v>4</v>
      </c>
      <c r="AX3390" t="s">
        <v>74</v>
      </c>
      <c r="AY3390" t="s">
        <v>74</v>
      </c>
      <c r="AZ3390" t="s">
        <v>74</v>
      </c>
      <c r="BA3390" t="s">
        <v>74</v>
      </c>
      <c r="BB3390">
        <v>765</v>
      </c>
      <c r="BC3390">
        <v>786</v>
      </c>
      <c r="BD3390" t="s">
        <v>74</v>
      </c>
      <c r="BE3390" t="s">
        <v>55621</v>
      </c>
      <c r="BF3390" t="str">
        <f>HYPERLINK("http://dx.doi.org/10.1108/IMEFM-06-2024-0288","http://dx.doi.org/10.1108/IMEFM-06-2024-0288")</f>
        <v>http://dx.doi.org/10.1108/IMEFM-06-2024-0288</v>
      </c>
      <c r="BG3390" t="s">
        <v>74</v>
      </c>
      <c r="BH3390" t="s">
        <v>417</v>
      </c>
      <c r="BI3390">
        <v>22</v>
      </c>
      <c r="BJ3390" t="s">
        <v>4632</v>
      </c>
      <c r="BK3390" t="s">
        <v>99</v>
      </c>
      <c r="BL3390" t="s">
        <v>100</v>
      </c>
      <c r="BM3390" t="s">
        <v>55622</v>
      </c>
      <c r="BN3390" t="s">
        <v>74</v>
      </c>
      <c r="BO3390" t="s">
        <v>74</v>
      </c>
      <c r="BP3390" t="s">
        <v>74</v>
      </c>
      <c r="BQ3390" t="s">
        <v>74</v>
      </c>
      <c r="BR3390" t="s">
        <v>102</v>
      </c>
      <c r="BS3390" t="s">
        <v>55623</v>
      </c>
      <c r="BT3390" t="str">
        <f>HYPERLINK("https%3A%2F%2Fwww.webofscience.com%2Fwos%2Fwoscc%2Ffull-record%2FWOS:001413977900001","View Full Record in Web of Science")</f>
        <v>View Full Record in Web of Science</v>
      </c>
    </row>
    <row r="3391" spans="1:72" x14ac:dyDescent="0.25">
      <c r="A3391" t="s">
        <v>72</v>
      </c>
      <c r="B3391" t="s">
        <v>55624</v>
      </c>
      <c r="C3391" t="s">
        <v>74</v>
      </c>
      <c r="D3391" t="s">
        <v>74</v>
      </c>
      <c r="E3391" t="s">
        <v>74</v>
      </c>
      <c r="F3391" t="s">
        <v>55625</v>
      </c>
      <c r="G3391" t="s">
        <v>74</v>
      </c>
      <c r="H3391" t="s">
        <v>74</v>
      </c>
      <c r="I3391" t="s">
        <v>55626</v>
      </c>
      <c r="J3391" t="s">
        <v>47368</v>
      </c>
      <c r="K3391" t="s">
        <v>74</v>
      </c>
      <c r="L3391" t="s">
        <v>74</v>
      </c>
      <c r="M3391" t="s">
        <v>78</v>
      </c>
      <c r="N3391" t="s">
        <v>79</v>
      </c>
      <c r="O3391" t="s">
        <v>74</v>
      </c>
      <c r="P3391" t="s">
        <v>74</v>
      </c>
      <c r="Q3391" t="s">
        <v>74</v>
      </c>
      <c r="R3391" t="s">
        <v>74</v>
      </c>
      <c r="S3391" t="s">
        <v>74</v>
      </c>
      <c r="T3391" t="s">
        <v>55627</v>
      </c>
      <c r="U3391" t="s">
        <v>55628</v>
      </c>
      <c r="V3391" t="s">
        <v>55629</v>
      </c>
      <c r="W3391" t="s">
        <v>55630</v>
      </c>
      <c r="X3391" t="s">
        <v>26361</v>
      </c>
      <c r="Y3391" t="s">
        <v>55631</v>
      </c>
      <c r="Z3391" t="s">
        <v>55632</v>
      </c>
      <c r="AA3391" t="s">
        <v>55633</v>
      </c>
      <c r="AB3391" t="s">
        <v>55634</v>
      </c>
      <c r="AC3391" t="s">
        <v>74</v>
      </c>
      <c r="AD3391" t="s">
        <v>74</v>
      </c>
      <c r="AE3391" t="s">
        <v>74</v>
      </c>
      <c r="AF3391" t="s">
        <v>74</v>
      </c>
      <c r="AG3391">
        <v>94</v>
      </c>
      <c r="AH3391">
        <v>3</v>
      </c>
      <c r="AI3391">
        <v>6</v>
      </c>
      <c r="AJ3391">
        <v>3</v>
      </c>
      <c r="AK3391">
        <v>20</v>
      </c>
      <c r="AL3391" t="s">
        <v>89</v>
      </c>
      <c r="AM3391" t="s">
        <v>90</v>
      </c>
      <c r="AN3391" t="s">
        <v>91</v>
      </c>
      <c r="AO3391" t="s">
        <v>47372</v>
      </c>
      <c r="AP3391" t="s">
        <v>47373</v>
      </c>
      <c r="AQ3391" t="s">
        <v>74</v>
      </c>
      <c r="AR3391" t="s">
        <v>47374</v>
      </c>
      <c r="AS3391" t="s">
        <v>47375</v>
      </c>
      <c r="AT3391" t="s">
        <v>13012</v>
      </c>
      <c r="AU3391">
        <v>2024</v>
      </c>
      <c r="AV3391">
        <v>16</v>
      </c>
      <c r="AW3391">
        <v>3</v>
      </c>
      <c r="AX3391" t="s">
        <v>74</v>
      </c>
      <c r="AY3391" t="s">
        <v>74</v>
      </c>
      <c r="AZ3391" t="s">
        <v>74</v>
      </c>
      <c r="BA3391" t="s">
        <v>74</v>
      </c>
      <c r="BB3391">
        <v>675</v>
      </c>
      <c r="BC3391">
        <v>697</v>
      </c>
      <c r="BD3391" t="s">
        <v>74</v>
      </c>
      <c r="BE3391" t="s">
        <v>55635</v>
      </c>
      <c r="BF3391" t="str">
        <f>HYPERLINK("http://dx.doi.org/10.1108/JEEE-02-2022-0043","http://dx.doi.org/10.1108/JEEE-02-2022-0043")</f>
        <v>http://dx.doi.org/10.1108/JEEE-02-2022-0043</v>
      </c>
      <c r="BG3391" t="s">
        <v>74</v>
      </c>
      <c r="BH3391" t="s">
        <v>5112</v>
      </c>
      <c r="BI3391">
        <v>23</v>
      </c>
      <c r="BJ3391" t="s">
        <v>418</v>
      </c>
      <c r="BK3391" t="s">
        <v>313</v>
      </c>
      <c r="BL3391" t="s">
        <v>100</v>
      </c>
      <c r="BM3391" t="s">
        <v>55636</v>
      </c>
      <c r="BN3391" t="s">
        <v>74</v>
      </c>
      <c r="BO3391" t="s">
        <v>212</v>
      </c>
      <c r="BP3391" t="s">
        <v>74</v>
      </c>
      <c r="BQ3391" t="s">
        <v>74</v>
      </c>
      <c r="BR3391" t="s">
        <v>102</v>
      </c>
      <c r="BS3391" t="s">
        <v>55637</v>
      </c>
      <c r="BT3391" t="str">
        <f>HYPERLINK("https%3A%2F%2Fwww.webofscience.com%2Fwos%2Fwoscc%2Ffull-record%2FWOS:000874655000001","View Full Record in Web of Science")</f>
        <v>View Full Record in Web of Science</v>
      </c>
    </row>
    <row r="3392" spans="1:72" x14ac:dyDescent="0.25">
      <c r="A3392" t="s">
        <v>72</v>
      </c>
      <c r="B3392" t="s">
        <v>55638</v>
      </c>
      <c r="C3392" t="s">
        <v>74</v>
      </c>
      <c r="D3392" t="s">
        <v>74</v>
      </c>
      <c r="E3392" t="s">
        <v>74</v>
      </c>
      <c r="F3392" t="s">
        <v>55639</v>
      </c>
      <c r="G3392" t="s">
        <v>74</v>
      </c>
      <c r="H3392" t="s">
        <v>74</v>
      </c>
      <c r="I3392" t="s">
        <v>55640</v>
      </c>
      <c r="J3392" t="s">
        <v>44551</v>
      </c>
      <c r="K3392" t="s">
        <v>74</v>
      </c>
      <c r="L3392" t="s">
        <v>74</v>
      </c>
      <c r="M3392" t="s">
        <v>78</v>
      </c>
      <c r="N3392" t="s">
        <v>79</v>
      </c>
      <c r="O3392" t="s">
        <v>74</v>
      </c>
      <c r="P3392" t="s">
        <v>74</v>
      </c>
      <c r="Q3392" t="s">
        <v>74</v>
      </c>
      <c r="R3392" t="s">
        <v>74</v>
      </c>
      <c r="S3392" t="s">
        <v>74</v>
      </c>
      <c r="T3392" t="s">
        <v>55641</v>
      </c>
      <c r="U3392" t="s">
        <v>55642</v>
      </c>
      <c r="V3392" t="s">
        <v>55643</v>
      </c>
      <c r="W3392" t="s">
        <v>55644</v>
      </c>
      <c r="X3392" t="s">
        <v>55645</v>
      </c>
      <c r="Y3392" t="s">
        <v>55646</v>
      </c>
      <c r="Z3392" t="s">
        <v>74</v>
      </c>
      <c r="AA3392" t="s">
        <v>74</v>
      </c>
      <c r="AB3392" t="s">
        <v>74</v>
      </c>
      <c r="AC3392" t="s">
        <v>55647</v>
      </c>
      <c r="AD3392" t="s">
        <v>8707</v>
      </c>
      <c r="AE3392" t="s">
        <v>55648</v>
      </c>
      <c r="AF3392" t="s">
        <v>74</v>
      </c>
      <c r="AG3392">
        <v>36</v>
      </c>
      <c r="AH3392">
        <v>12</v>
      </c>
      <c r="AI3392">
        <v>12</v>
      </c>
      <c r="AJ3392">
        <v>2</v>
      </c>
      <c r="AK3392">
        <v>37</v>
      </c>
      <c r="AL3392" t="s">
        <v>479</v>
      </c>
      <c r="AM3392" t="s">
        <v>480</v>
      </c>
      <c r="AN3392" t="s">
        <v>481</v>
      </c>
      <c r="AO3392" t="s">
        <v>44555</v>
      </c>
      <c r="AP3392" t="s">
        <v>44556</v>
      </c>
      <c r="AQ3392" t="s">
        <v>74</v>
      </c>
      <c r="AR3392" t="s">
        <v>44557</v>
      </c>
      <c r="AS3392" t="s">
        <v>44558</v>
      </c>
      <c r="AT3392" t="s">
        <v>891</v>
      </c>
      <c r="AU3392">
        <v>2017</v>
      </c>
      <c r="AV3392">
        <v>40</v>
      </c>
      <c r="AW3392">
        <v>11</v>
      </c>
      <c r="AX3392" t="s">
        <v>74</v>
      </c>
      <c r="AY3392" t="s">
        <v>74</v>
      </c>
      <c r="AZ3392" t="s">
        <v>441</v>
      </c>
      <c r="BA3392" t="s">
        <v>74</v>
      </c>
      <c r="BB3392">
        <v>2328</v>
      </c>
      <c r="BC3392">
        <v>2353</v>
      </c>
      <c r="BD3392" t="s">
        <v>74</v>
      </c>
      <c r="BE3392" t="s">
        <v>55649</v>
      </c>
      <c r="BF3392" t="str">
        <f>HYPERLINK("http://dx.doi.org/10.1111/twec.12540","http://dx.doi.org/10.1111/twec.12540")</f>
        <v>http://dx.doi.org/10.1111/twec.12540</v>
      </c>
      <c r="BG3392" t="s">
        <v>74</v>
      </c>
      <c r="BH3392" t="s">
        <v>74</v>
      </c>
      <c r="BI3392">
        <v>26</v>
      </c>
      <c r="BJ3392" t="s">
        <v>44560</v>
      </c>
      <c r="BK3392" t="s">
        <v>99</v>
      </c>
      <c r="BL3392" t="s">
        <v>1284</v>
      </c>
      <c r="BM3392" t="s">
        <v>55650</v>
      </c>
      <c r="BN3392" t="s">
        <v>74</v>
      </c>
      <c r="BO3392" t="s">
        <v>74</v>
      </c>
      <c r="BP3392" t="s">
        <v>74</v>
      </c>
      <c r="BQ3392" t="s">
        <v>74</v>
      </c>
      <c r="BR3392" t="s">
        <v>102</v>
      </c>
      <c r="BS3392" t="s">
        <v>55651</v>
      </c>
      <c r="BT3392" t="str">
        <f>HYPERLINK("https%3A%2F%2Fwww.webofscience.com%2Fwos%2Fwoscc%2Ffull-record%2FWOS:000414935100001","View Full Record in Web of Science")</f>
        <v>View Full Record in Web of Science</v>
      </c>
    </row>
    <row r="3393" spans="1:72" x14ac:dyDescent="0.25">
      <c r="A3393" t="s">
        <v>72</v>
      </c>
      <c r="B3393" t="s">
        <v>55652</v>
      </c>
      <c r="C3393" t="s">
        <v>74</v>
      </c>
      <c r="D3393" t="s">
        <v>74</v>
      </c>
      <c r="E3393" t="s">
        <v>74</v>
      </c>
      <c r="F3393" t="s">
        <v>55653</v>
      </c>
      <c r="G3393" t="s">
        <v>74</v>
      </c>
      <c r="H3393" t="s">
        <v>74</v>
      </c>
      <c r="I3393" t="s">
        <v>55654</v>
      </c>
      <c r="J3393" t="s">
        <v>55655</v>
      </c>
      <c r="K3393" t="s">
        <v>74</v>
      </c>
      <c r="L3393" t="s">
        <v>74</v>
      </c>
      <c r="M3393" t="s">
        <v>78</v>
      </c>
      <c r="N3393" t="s">
        <v>79</v>
      </c>
      <c r="O3393" t="s">
        <v>74</v>
      </c>
      <c r="P3393" t="s">
        <v>74</v>
      </c>
      <c r="Q3393" t="s">
        <v>74</v>
      </c>
      <c r="R3393" t="s">
        <v>74</v>
      </c>
      <c r="S3393" t="s">
        <v>74</v>
      </c>
      <c r="T3393" t="s">
        <v>74</v>
      </c>
      <c r="U3393" t="s">
        <v>74</v>
      </c>
      <c r="V3393" t="s">
        <v>55656</v>
      </c>
      <c r="W3393" t="s">
        <v>55657</v>
      </c>
      <c r="X3393" t="s">
        <v>55658</v>
      </c>
      <c r="Y3393" t="s">
        <v>55659</v>
      </c>
      <c r="Z3393" t="s">
        <v>55660</v>
      </c>
      <c r="AA3393" t="s">
        <v>74</v>
      </c>
      <c r="AB3393" t="s">
        <v>74</v>
      </c>
      <c r="AC3393" t="s">
        <v>74</v>
      </c>
      <c r="AD3393" t="s">
        <v>74</v>
      </c>
      <c r="AE3393" t="s">
        <v>74</v>
      </c>
      <c r="AF3393" t="s">
        <v>74</v>
      </c>
      <c r="AG3393">
        <v>45</v>
      </c>
      <c r="AH3393">
        <v>1</v>
      </c>
      <c r="AI3393">
        <v>1</v>
      </c>
      <c r="AJ3393">
        <v>1</v>
      </c>
      <c r="AK3393">
        <v>1</v>
      </c>
      <c r="AL3393" t="s">
        <v>55661</v>
      </c>
      <c r="AM3393" t="s">
        <v>55662</v>
      </c>
      <c r="AN3393" t="s">
        <v>55663</v>
      </c>
      <c r="AO3393" t="s">
        <v>55664</v>
      </c>
      <c r="AP3393" t="s">
        <v>74</v>
      </c>
      <c r="AQ3393" t="s">
        <v>74</v>
      </c>
      <c r="AR3393" t="s">
        <v>55665</v>
      </c>
      <c r="AS3393" t="s">
        <v>55666</v>
      </c>
      <c r="AT3393" t="s">
        <v>17887</v>
      </c>
      <c r="AU3393">
        <v>2025</v>
      </c>
      <c r="AV3393">
        <v>56</v>
      </c>
      <c r="AW3393">
        <v>1</v>
      </c>
      <c r="AX3393" t="s">
        <v>74</v>
      </c>
      <c r="AY3393" t="s">
        <v>74</v>
      </c>
      <c r="AZ3393" t="s">
        <v>74</v>
      </c>
      <c r="BA3393" t="s">
        <v>74</v>
      </c>
      <c r="BB3393" t="s">
        <v>74</v>
      </c>
      <c r="BC3393" t="s">
        <v>74</v>
      </c>
      <c r="BD3393" t="s">
        <v>74</v>
      </c>
      <c r="BE3393" t="s">
        <v>74</v>
      </c>
      <c r="BF3393" t="s">
        <v>74</v>
      </c>
      <c r="BG3393" t="s">
        <v>74</v>
      </c>
      <c r="BH3393" t="s">
        <v>74</v>
      </c>
      <c r="BI3393">
        <v>40</v>
      </c>
      <c r="BJ3393" t="s">
        <v>15812</v>
      </c>
      <c r="BK3393" t="s">
        <v>99</v>
      </c>
      <c r="BL3393" t="s">
        <v>15813</v>
      </c>
      <c r="BM3393" t="s">
        <v>55667</v>
      </c>
      <c r="BN3393" t="s">
        <v>74</v>
      </c>
      <c r="BO3393" t="s">
        <v>74</v>
      </c>
      <c r="BP3393" t="s">
        <v>74</v>
      </c>
      <c r="BQ3393" t="s">
        <v>74</v>
      </c>
      <c r="BR3393" t="s">
        <v>102</v>
      </c>
      <c r="BS3393" t="s">
        <v>55668</v>
      </c>
      <c r="BT3393" t="str">
        <f>HYPERLINK("https%3A%2F%2Fwww.webofscience.com%2Fwos%2Fwoscc%2Ffull-record%2FWOS:001460608600006","View Full Record in Web of Science")</f>
        <v>View Full Record in Web of Science</v>
      </c>
    </row>
    <row r="3394" spans="1:72" x14ac:dyDescent="0.25">
      <c r="A3394" t="s">
        <v>132</v>
      </c>
      <c r="B3394" t="s">
        <v>55669</v>
      </c>
      <c r="C3394" t="s">
        <v>74</v>
      </c>
      <c r="D3394" t="s">
        <v>55670</v>
      </c>
      <c r="E3394" t="s">
        <v>74</v>
      </c>
      <c r="F3394" t="s">
        <v>55671</v>
      </c>
      <c r="G3394" t="s">
        <v>74</v>
      </c>
      <c r="H3394" t="s">
        <v>74</v>
      </c>
      <c r="I3394" t="s">
        <v>55672</v>
      </c>
      <c r="J3394" t="s">
        <v>55673</v>
      </c>
      <c r="K3394" t="s">
        <v>22637</v>
      </c>
      <c r="L3394" t="s">
        <v>74</v>
      </c>
      <c r="M3394" t="s">
        <v>78</v>
      </c>
      <c r="N3394" t="s">
        <v>138</v>
      </c>
      <c r="O3394" t="s">
        <v>55674</v>
      </c>
      <c r="P3394" t="s">
        <v>55675</v>
      </c>
      <c r="Q3394" t="s">
        <v>5770</v>
      </c>
      <c r="R3394" t="s">
        <v>55676</v>
      </c>
      <c r="S3394" t="s">
        <v>74</v>
      </c>
      <c r="T3394" t="s">
        <v>55677</v>
      </c>
      <c r="U3394" t="s">
        <v>1946</v>
      </c>
      <c r="V3394" t="s">
        <v>55678</v>
      </c>
      <c r="W3394" t="s">
        <v>55679</v>
      </c>
      <c r="X3394" t="s">
        <v>20875</v>
      </c>
      <c r="Y3394" t="s">
        <v>55680</v>
      </c>
      <c r="Z3394" t="s">
        <v>55681</v>
      </c>
      <c r="AA3394" t="s">
        <v>55682</v>
      </c>
      <c r="AB3394" t="s">
        <v>74</v>
      </c>
      <c r="AC3394" t="s">
        <v>74</v>
      </c>
      <c r="AD3394" t="s">
        <v>74</v>
      </c>
      <c r="AE3394" t="s">
        <v>74</v>
      </c>
      <c r="AF3394" t="s">
        <v>74</v>
      </c>
      <c r="AG3394">
        <v>12</v>
      </c>
      <c r="AH3394">
        <v>0</v>
      </c>
      <c r="AI3394">
        <v>1</v>
      </c>
      <c r="AJ3394">
        <v>0</v>
      </c>
      <c r="AK3394">
        <v>3</v>
      </c>
      <c r="AL3394" t="s">
        <v>1401</v>
      </c>
      <c r="AM3394" t="s">
        <v>1402</v>
      </c>
      <c r="AN3394" t="s">
        <v>1403</v>
      </c>
      <c r="AO3394" t="s">
        <v>22625</v>
      </c>
      <c r="AP3394" t="s">
        <v>74</v>
      </c>
      <c r="AQ3394" t="s">
        <v>74</v>
      </c>
      <c r="AR3394" t="s">
        <v>22624</v>
      </c>
      <c r="AS3394" t="s">
        <v>74</v>
      </c>
      <c r="AT3394" t="s">
        <v>74</v>
      </c>
      <c r="AU3394">
        <v>2016</v>
      </c>
      <c r="AV3394" t="s">
        <v>74</v>
      </c>
      <c r="AW3394" t="s">
        <v>74</v>
      </c>
      <c r="AX3394" t="s">
        <v>74</v>
      </c>
      <c r="AY3394" t="s">
        <v>74</v>
      </c>
      <c r="AZ3394" t="s">
        <v>74</v>
      </c>
      <c r="BA3394" t="s">
        <v>74</v>
      </c>
      <c r="BB3394">
        <v>81</v>
      </c>
      <c r="BC3394">
        <v>89</v>
      </c>
      <c r="BD3394" t="s">
        <v>74</v>
      </c>
      <c r="BE3394" t="s">
        <v>74</v>
      </c>
      <c r="BF3394" t="s">
        <v>74</v>
      </c>
      <c r="BG3394" t="s">
        <v>74</v>
      </c>
      <c r="BH3394" t="s">
        <v>74</v>
      </c>
      <c r="BI3394">
        <v>9</v>
      </c>
      <c r="BJ3394" t="s">
        <v>291</v>
      </c>
      <c r="BK3394" t="s">
        <v>183</v>
      </c>
      <c r="BL3394" t="s">
        <v>100</v>
      </c>
      <c r="BM3394" t="s">
        <v>55683</v>
      </c>
      <c r="BN3394" t="s">
        <v>74</v>
      </c>
      <c r="BO3394" t="s">
        <v>74</v>
      </c>
      <c r="BP3394" t="s">
        <v>74</v>
      </c>
      <c r="BQ3394" t="s">
        <v>74</v>
      </c>
      <c r="BR3394" t="s">
        <v>102</v>
      </c>
      <c r="BS3394" t="s">
        <v>55684</v>
      </c>
      <c r="BT3394" t="str">
        <f>HYPERLINK("https%3A%2F%2Fwww.webofscience.com%2Fwos%2Fwoscc%2Ffull-record%2FWOS:000389417100010","View Full Record in Web of Science")</f>
        <v>View Full Record in Web of Science</v>
      </c>
    </row>
    <row r="3395" spans="1:72" x14ac:dyDescent="0.25">
      <c r="A3395" t="s">
        <v>72</v>
      </c>
      <c r="B3395" t="s">
        <v>55685</v>
      </c>
      <c r="C3395" t="s">
        <v>74</v>
      </c>
      <c r="D3395" t="s">
        <v>74</v>
      </c>
      <c r="E3395" t="s">
        <v>74</v>
      </c>
      <c r="F3395" t="s">
        <v>55686</v>
      </c>
      <c r="G3395" t="s">
        <v>74</v>
      </c>
      <c r="H3395" t="s">
        <v>74</v>
      </c>
      <c r="I3395" t="s">
        <v>55687</v>
      </c>
      <c r="J3395" t="s">
        <v>13159</v>
      </c>
      <c r="K3395" t="s">
        <v>74</v>
      </c>
      <c r="L3395" t="s">
        <v>74</v>
      </c>
      <c r="M3395" t="s">
        <v>78</v>
      </c>
      <c r="N3395" t="s">
        <v>79</v>
      </c>
      <c r="O3395" t="s">
        <v>74</v>
      </c>
      <c r="P3395" t="s">
        <v>74</v>
      </c>
      <c r="Q3395" t="s">
        <v>74</v>
      </c>
      <c r="R3395" t="s">
        <v>74</v>
      </c>
      <c r="S3395" t="s">
        <v>74</v>
      </c>
      <c r="T3395" t="s">
        <v>74</v>
      </c>
      <c r="U3395" t="s">
        <v>74</v>
      </c>
      <c r="V3395" t="s">
        <v>55688</v>
      </c>
      <c r="W3395" t="s">
        <v>55689</v>
      </c>
      <c r="X3395" t="s">
        <v>55690</v>
      </c>
      <c r="Y3395" t="s">
        <v>55691</v>
      </c>
      <c r="Z3395" t="s">
        <v>55692</v>
      </c>
      <c r="AA3395" t="s">
        <v>74</v>
      </c>
      <c r="AB3395" t="s">
        <v>74</v>
      </c>
      <c r="AC3395" t="s">
        <v>55693</v>
      </c>
      <c r="AD3395" t="s">
        <v>55693</v>
      </c>
      <c r="AE3395" t="s">
        <v>55694</v>
      </c>
      <c r="AF3395" t="s">
        <v>74</v>
      </c>
      <c r="AG3395">
        <v>9</v>
      </c>
      <c r="AH3395">
        <v>35</v>
      </c>
      <c r="AI3395">
        <v>47</v>
      </c>
      <c r="AJ3395">
        <v>0</v>
      </c>
      <c r="AK3395">
        <v>20</v>
      </c>
      <c r="AL3395" t="s">
        <v>332</v>
      </c>
      <c r="AM3395" t="s">
        <v>333</v>
      </c>
      <c r="AN3395" t="s">
        <v>334</v>
      </c>
      <c r="AO3395" t="s">
        <v>13168</v>
      </c>
      <c r="AP3395" t="s">
        <v>13169</v>
      </c>
      <c r="AQ3395" t="s">
        <v>74</v>
      </c>
      <c r="AR3395" t="s">
        <v>55695</v>
      </c>
      <c r="AS3395" t="s">
        <v>55696</v>
      </c>
      <c r="AT3395" t="s">
        <v>74</v>
      </c>
      <c r="AU3395">
        <v>2017</v>
      </c>
      <c r="AV3395">
        <v>11</v>
      </c>
      <c r="AW3395">
        <v>1</v>
      </c>
      <c r="AX3395" t="s">
        <v>74</v>
      </c>
      <c r="AY3395" t="s">
        <v>74</v>
      </c>
      <c r="AZ3395" t="s">
        <v>74</v>
      </c>
      <c r="BA3395" t="s">
        <v>74</v>
      </c>
      <c r="BB3395">
        <v>33</v>
      </c>
      <c r="BC3395">
        <v>40</v>
      </c>
      <c r="BD3395" t="s">
        <v>74</v>
      </c>
      <c r="BE3395" t="s">
        <v>55697</v>
      </c>
      <c r="BF3395" t="str">
        <f>HYPERLINK("http://dx.doi.org/10.1080/17521440.2017.1336398","http://dx.doi.org/10.1080/17521440.2017.1336398")</f>
        <v>http://dx.doi.org/10.1080/17521440.2017.1336398</v>
      </c>
      <c r="BG3395" t="s">
        <v>74</v>
      </c>
      <c r="BH3395" t="s">
        <v>74</v>
      </c>
      <c r="BI3395">
        <v>8</v>
      </c>
      <c r="BJ3395" t="s">
        <v>182</v>
      </c>
      <c r="BK3395" t="s">
        <v>313</v>
      </c>
      <c r="BL3395" t="s">
        <v>184</v>
      </c>
      <c r="BM3395" t="s">
        <v>55698</v>
      </c>
      <c r="BN3395" t="s">
        <v>74</v>
      </c>
      <c r="BO3395" t="s">
        <v>74</v>
      </c>
      <c r="BP3395" t="s">
        <v>74</v>
      </c>
      <c r="BQ3395" t="s">
        <v>74</v>
      </c>
      <c r="BR3395" t="s">
        <v>102</v>
      </c>
      <c r="BS3395" t="s">
        <v>55699</v>
      </c>
      <c r="BT3395" t="str">
        <f>HYPERLINK("https%3A%2F%2Fwww.webofscience.com%2Fwos%2Fwoscc%2Ffull-record%2FWOS:000424662100005","View Full Record in Web of Science")</f>
        <v>View Full Record in Web of Science</v>
      </c>
    </row>
    <row r="3396" spans="1:72" x14ac:dyDescent="0.25">
      <c r="A3396" t="s">
        <v>72</v>
      </c>
      <c r="B3396" t="s">
        <v>55700</v>
      </c>
      <c r="C3396" t="s">
        <v>74</v>
      </c>
      <c r="D3396" t="s">
        <v>74</v>
      </c>
      <c r="E3396" t="s">
        <v>74</v>
      </c>
      <c r="F3396" t="s">
        <v>55701</v>
      </c>
      <c r="G3396" t="s">
        <v>74</v>
      </c>
      <c r="H3396" t="s">
        <v>74</v>
      </c>
      <c r="I3396" t="s">
        <v>55702</v>
      </c>
      <c r="J3396" t="s">
        <v>29354</v>
      </c>
      <c r="K3396" t="s">
        <v>74</v>
      </c>
      <c r="L3396" t="s">
        <v>74</v>
      </c>
      <c r="M3396" t="s">
        <v>78</v>
      </c>
      <c r="N3396" t="s">
        <v>79</v>
      </c>
      <c r="O3396" t="s">
        <v>74</v>
      </c>
      <c r="P3396" t="s">
        <v>74</v>
      </c>
      <c r="Q3396" t="s">
        <v>74</v>
      </c>
      <c r="R3396" t="s">
        <v>74</v>
      </c>
      <c r="S3396" t="s">
        <v>74</v>
      </c>
      <c r="T3396" t="s">
        <v>74</v>
      </c>
      <c r="U3396" t="s">
        <v>52732</v>
      </c>
      <c r="V3396" t="s">
        <v>55703</v>
      </c>
      <c r="W3396" t="s">
        <v>74</v>
      </c>
      <c r="X3396" t="s">
        <v>74</v>
      </c>
      <c r="Y3396" t="s">
        <v>74</v>
      </c>
      <c r="Z3396" t="s">
        <v>55704</v>
      </c>
      <c r="AA3396" t="s">
        <v>74</v>
      </c>
      <c r="AB3396" t="s">
        <v>74</v>
      </c>
      <c r="AC3396" t="s">
        <v>74</v>
      </c>
      <c r="AD3396" t="s">
        <v>74</v>
      </c>
      <c r="AE3396" t="s">
        <v>74</v>
      </c>
      <c r="AF3396" t="s">
        <v>74</v>
      </c>
      <c r="AG3396">
        <v>64</v>
      </c>
      <c r="AH3396">
        <v>11</v>
      </c>
      <c r="AI3396">
        <v>18</v>
      </c>
      <c r="AJ3396">
        <v>2</v>
      </c>
      <c r="AK3396">
        <v>39</v>
      </c>
      <c r="AL3396" t="s">
        <v>3861</v>
      </c>
      <c r="AM3396" t="s">
        <v>151</v>
      </c>
      <c r="AN3396" t="s">
        <v>43675</v>
      </c>
      <c r="AO3396" t="s">
        <v>29344</v>
      </c>
      <c r="AP3396" t="s">
        <v>29343</v>
      </c>
      <c r="AQ3396" t="s">
        <v>74</v>
      </c>
      <c r="AR3396" t="s">
        <v>29342</v>
      </c>
      <c r="AS3396" t="s">
        <v>29341</v>
      </c>
      <c r="AT3396" t="s">
        <v>1159</v>
      </c>
      <c r="AU3396">
        <v>2018</v>
      </c>
      <c r="AV3396">
        <v>47</v>
      </c>
      <c r="AW3396">
        <v>4</v>
      </c>
      <c r="AX3396" t="s">
        <v>74</v>
      </c>
      <c r="AY3396" t="s">
        <v>74</v>
      </c>
      <c r="AZ3396" t="s">
        <v>74</v>
      </c>
      <c r="BA3396" t="s">
        <v>74</v>
      </c>
      <c r="BB3396">
        <v>683</v>
      </c>
      <c r="BC3396">
        <v>700</v>
      </c>
      <c r="BD3396" t="s">
        <v>74</v>
      </c>
      <c r="BE3396" t="s">
        <v>55705</v>
      </c>
      <c r="BF3396" t="str">
        <f>HYPERLINK("http://dx.doi.org/10.1017/S0047279418000065","http://dx.doi.org/10.1017/S0047279418000065")</f>
        <v>http://dx.doi.org/10.1017/S0047279418000065</v>
      </c>
      <c r="BG3396" t="s">
        <v>74</v>
      </c>
      <c r="BH3396" t="s">
        <v>74</v>
      </c>
      <c r="BI3396">
        <v>18</v>
      </c>
      <c r="BJ3396" t="s">
        <v>29338</v>
      </c>
      <c r="BK3396" t="s">
        <v>99</v>
      </c>
      <c r="BL3396" t="s">
        <v>29338</v>
      </c>
      <c r="BM3396" t="s">
        <v>55706</v>
      </c>
      <c r="BN3396" t="s">
        <v>74</v>
      </c>
      <c r="BO3396" t="s">
        <v>74</v>
      </c>
      <c r="BP3396" t="s">
        <v>74</v>
      </c>
      <c r="BQ3396" t="s">
        <v>74</v>
      </c>
      <c r="BR3396" t="s">
        <v>102</v>
      </c>
      <c r="BS3396" t="s">
        <v>55707</v>
      </c>
      <c r="BT3396" t="str">
        <f>HYPERLINK("https%3A%2F%2Fwww.webofscience.com%2Fwos%2Fwoscc%2Ffull-record%2FWOS:000443419500002","View Full Record in Web of Science")</f>
        <v>View Full Record in Web of Science</v>
      </c>
    </row>
    <row r="3397" spans="1:72" x14ac:dyDescent="0.25">
      <c r="A3397" t="s">
        <v>72</v>
      </c>
      <c r="B3397" t="s">
        <v>55708</v>
      </c>
      <c r="C3397" t="s">
        <v>74</v>
      </c>
      <c r="D3397" t="s">
        <v>74</v>
      </c>
      <c r="E3397" t="s">
        <v>74</v>
      </c>
      <c r="F3397" t="s">
        <v>55709</v>
      </c>
      <c r="G3397" t="s">
        <v>74</v>
      </c>
      <c r="H3397" t="s">
        <v>74</v>
      </c>
      <c r="I3397" t="s">
        <v>55710</v>
      </c>
      <c r="J3397" t="s">
        <v>55711</v>
      </c>
      <c r="K3397" t="s">
        <v>74</v>
      </c>
      <c r="L3397" t="s">
        <v>74</v>
      </c>
      <c r="M3397" t="s">
        <v>78</v>
      </c>
      <c r="N3397" t="s">
        <v>79</v>
      </c>
      <c r="O3397" t="s">
        <v>74</v>
      </c>
      <c r="P3397" t="s">
        <v>74</v>
      </c>
      <c r="Q3397" t="s">
        <v>74</v>
      </c>
      <c r="R3397" t="s">
        <v>74</v>
      </c>
      <c r="S3397" t="s">
        <v>74</v>
      </c>
      <c r="T3397" t="s">
        <v>55712</v>
      </c>
      <c r="U3397" t="s">
        <v>55713</v>
      </c>
      <c r="V3397" t="s">
        <v>55714</v>
      </c>
      <c r="W3397" t="s">
        <v>55715</v>
      </c>
      <c r="X3397" t="s">
        <v>55716</v>
      </c>
      <c r="Y3397" t="s">
        <v>55717</v>
      </c>
      <c r="Z3397" t="s">
        <v>55718</v>
      </c>
      <c r="AA3397" t="s">
        <v>55719</v>
      </c>
      <c r="AB3397" t="s">
        <v>74</v>
      </c>
      <c r="AC3397" t="s">
        <v>74</v>
      </c>
      <c r="AD3397" t="s">
        <v>74</v>
      </c>
      <c r="AE3397" t="s">
        <v>74</v>
      </c>
      <c r="AF3397" t="s">
        <v>74</v>
      </c>
      <c r="AG3397">
        <v>67</v>
      </c>
      <c r="AH3397">
        <v>15</v>
      </c>
      <c r="AI3397">
        <v>16</v>
      </c>
      <c r="AJ3397">
        <v>4</v>
      </c>
      <c r="AK3397">
        <v>142</v>
      </c>
      <c r="AL3397" t="s">
        <v>89</v>
      </c>
      <c r="AM3397" t="s">
        <v>90</v>
      </c>
      <c r="AN3397" t="s">
        <v>91</v>
      </c>
      <c r="AO3397" t="s">
        <v>55720</v>
      </c>
      <c r="AP3397" t="s">
        <v>55721</v>
      </c>
      <c r="AQ3397" t="s">
        <v>74</v>
      </c>
      <c r="AR3397" t="s">
        <v>55722</v>
      </c>
      <c r="AS3397" t="s">
        <v>55723</v>
      </c>
      <c r="AT3397" t="s">
        <v>55724</v>
      </c>
      <c r="AU3397">
        <v>2023</v>
      </c>
      <c r="AV3397">
        <v>14</v>
      </c>
      <c r="AW3397">
        <v>2</v>
      </c>
      <c r="AX3397" t="s">
        <v>74</v>
      </c>
      <c r="AY3397" t="s">
        <v>74</v>
      </c>
      <c r="AZ3397" t="s">
        <v>74</v>
      </c>
      <c r="BA3397" t="s">
        <v>74</v>
      </c>
      <c r="BB3397">
        <v>313</v>
      </c>
      <c r="BC3397">
        <v>342</v>
      </c>
      <c r="BD3397" t="s">
        <v>74</v>
      </c>
      <c r="BE3397" t="s">
        <v>55725</v>
      </c>
      <c r="BF3397" t="str">
        <f>HYPERLINK("http://dx.doi.org/10.1108/SAMPJ-05-2022-0263","http://dx.doi.org/10.1108/SAMPJ-05-2022-0263")</f>
        <v>http://dx.doi.org/10.1108/SAMPJ-05-2022-0263</v>
      </c>
      <c r="BG3397" t="s">
        <v>74</v>
      </c>
      <c r="BH3397" t="s">
        <v>3595</v>
      </c>
      <c r="BI3397">
        <v>30</v>
      </c>
      <c r="BJ3397" t="s">
        <v>55726</v>
      </c>
      <c r="BK3397" t="s">
        <v>99</v>
      </c>
      <c r="BL3397" t="s">
        <v>55727</v>
      </c>
      <c r="BM3397" t="s">
        <v>55728</v>
      </c>
      <c r="BN3397" t="s">
        <v>74</v>
      </c>
      <c r="BO3397" t="s">
        <v>74</v>
      </c>
      <c r="BP3397" t="s">
        <v>74</v>
      </c>
      <c r="BQ3397" t="s">
        <v>74</v>
      </c>
      <c r="BR3397" t="s">
        <v>102</v>
      </c>
      <c r="BS3397" t="s">
        <v>55729</v>
      </c>
      <c r="BT3397" t="str">
        <f>HYPERLINK("https%3A%2F%2Fwww.webofscience.com%2Fwos%2Fwoscc%2Ffull-record%2FWOS:000952119100001","View Full Record in Web of Science")</f>
        <v>View Full Record in Web of Science</v>
      </c>
    </row>
    <row r="3398" spans="1:72" x14ac:dyDescent="0.25">
      <c r="A3398" t="s">
        <v>72</v>
      </c>
      <c r="B3398" t="s">
        <v>55730</v>
      </c>
      <c r="C3398" t="s">
        <v>74</v>
      </c>
      <c r="D3398" t="s">
        <v>74</v>
      </c>
      <c r="E3398" t="s">
        <v>74</v>
      </c>
      <c r="F3398" t="s">
        <v>55731</v>
      </c>
      <c r="G3398" t="s">
        <v>74</v>
      </c>
      <c r="H3398" t="s">
        <v>74</v>
      </c>
      <c r="I3398" t="s">
        <v>55732</v>
      </c>
      <c r="J3398" t="s">
        <v>55733</v>
      </c>
      <c r="K3398" t="s">
        <v>74</v>
      </c>
      <c r="L3398" t="s">
        <v>74</v>
      </c>
      <c r="M3398" t="s">
        <v>78</v>
      </c>
      <c r="N3398" t="s">
        <v>79</v>
      </c>
      <c r="O3398" t="s">
        <v>74</v>
      </c>
      <c r="P3398" t="s">
        <v>74</v>
      </c>
      <c r="Q3398" t="s">
        <v>74</v>
      </c>
      <c r="R3398" t="s">
        <v>74</v>
      </c>
      <c r="S3398" t="s">
        <v>74</v>
      </c>
      <c r="T3398" t="s">
        <v>55734</v>
      </c>
      <c r="U3398" t="s">
        <v>55735</v>
      </c>
      <c r="V3398" t="s">
        <v>55736</v>
      </c>
      <c r="W3398" t="s">
        <v>55737</v>
      </c>
      <c r="X3398" t="s">
        <v>55738</v>
      </c>
      <c r="Y3398" t="s">
        <v>55739</v>
      </c>
      <c r="Z3398" t="s">
        <v>55740</v>
      </c>
      <c r="AA3398" t="s">
        <v>74</v>
      </c>
      <c r="AB3398" t="s">
        <v>55741</v>
      </c>
      <c r="AC3398" t="s">
        <v>74</v>
      </c>
      <c r="AD3398" t="s">
        <v>74</v>
      </c>
      <c r="AE3398" t="s">
        <v>74</v>
      </c>
      <c r="AF3398" t="s">
        <v>74</v>
      </c>
      <c r="AG3398">
        <v>84</v>
      </c>
      <c r="AH3398">
        <v>6</v>
      </c>
      <c r="AI3398">
        <v>7</v>
      </c>
      <c r="AJ3398">
        <v>1</v>
      </c>
      <c r="AK3398">
        <v>4</v>
      </c>
      <c r="AL3398" t="s">
        <v>55742</v>
      </c>
      <c r="AM3398" t="s">
        <v>13375</v>
      </c>
      <c r="AN3398" t="s">
        <v>55743</v>
      </c>
      <c r="AO3398" t="s">
        <v>55744</v>
      </c>
      <c r="AP3398" t="s">
        <v>74</v>
      </c>
      <c r="AQ3398" t="s">
        <v>74</v>
      </c>
      <c r="AR3398" t="s">
        <v>55745</v>
      </c>
      <c r="AS3398" t="s">
        <v>55746</v>
      </c>
      <c r="AT3398" t="s">
        <v>605</v>
      </c>
      <c r="AU3398">
        <v>2022</v>
      </c>
      <c r="AV3398">
        <v>27</v>
      </c>
      <c r="AW3398" t="s">
        <v>74</v>
      </c>
      <c r="AX3398">
        <v>1</v>
      </c>
      <c r="AY3398" t="s">
        <v>74</v>
      </c>
      <c r="AZ3398" t="s">
        <v>74</v>
      </c>
      <c r="BA3398" t="s">
        <v>74</v>
      </c>
      <c r="BB3398">
        <v>11</v>
      </c>
      <c r="BC3398">
        <v>37</v>
      </c>
      <c r="BD3398" t="s">
        <v>74</v>
      </c>
      <c r="BE3398" t="s">
        <v>74</v>
      </c>
      <c r="BF3398" t="s">
        <v>74</v>
      </c>
      <c r="BG3398" t="s">
        <v>74</v>
      </c>
      <c r="BH3398" t="s">
        <v>74</v>
      </c>
      <c r="BI3398">
        <v>27</v>
      </c>
      <c r="BJ3398" t="s">
        <v>291</v>
      </c>
      <c r="BK3398" t="s">
        <v>313</v>
      </c>
      <c r="BL3398" t="s">
        <v>100</v>
      </c>
      <c r="BM3398" t="s">
        <v>55747</v>
      </c>
      <c r="BN3398" t="s">
        <v>74</v>
      </c>
      <c r="BO3398" t="s">
        <v>74</v>
      </c>
      <c r="BP3398" t="s">
        <v>74</v>
      </c>
      <c r="BQ3398" t="s">
        <v>74</v>
      </c>
      <c r="BR3398" t="s">
        <v>102</v>
      </c>
      <c r="BS3398" t="s">
        <v>55748</v>
      </c>
      <c r="BT3398" t="str">
        <f>HYPERLINK("https%3A%2F%2Fwww.webofscience.com%2Fwos%2Fwoscc%2Ffull-record%2FWOS:000806720400002","View Full Record in Web of Science")</f>
        <v>View Full Record in Web of Science</v>
      </c>
    </row>
    <row r="3399" spans="1:72" x14ac:dyDescent="0.25">
      <c r="A3399" t="s">
        <v>72</v>
      </c>
      <c r="B3399" t="s">
        <v>55749</v>
      </c>
      <c r="C3399" t="s">
        <v>74</v>
      </c>
      <c r="D3399" t="s">
        <v>74</v>
      </c>
      <c r="E3399" t="s">
        <v>74</v>
      </c>
      <c r="F3399" t="s">
        <v>55750</v>
      </c>
      <c r="G3399" t="s">
        <v>74</v>
      </c>
      <c r="H3399" t="s">
        <v>74</v>
      </c>
      <c r="I3399" t="s">
        <v>55751</v>
      </c>
      <c r="J3399" t="s">
        <v>51939</v>
      </c>
      <c r="K3399" t="s">
        <v>74</v>
      </c>
      <c r="L3399" t="s">
        <v>74</v>
      </c>
      <c r="M3399" t="s">
        <v>78</v>
      </c>
      <c r="N3399" t="s">
        <v>79</v>
      </c>
      <c r="O3399" t="s">
        <v>74</v>
      </c>
      <c r="P3399" t="s">
        <v>74</v>
      </c>
      <c r="Q3399" t="s">
        <v>74</v>
      </c>
      <c r="R3399" t="s">
        <v>74</v>
      </c>
      <c r="S3399" t="s">
        <v>74</v>
      </c>
      <c r="T3399" t="s">
        <v>74</v>
      </c>
      <c r="U3399" t="s">
        <v>55752</v>
      </c>
      <c r="V3399" t="s">
        <v>55753</v>
      </c>
      <c r="W3399" t="s">
        <v>55754</v>
      </c>
      <c r="X3399" t="s">
        <v>55755</v>
      </c>
      <c r="Y3399" t="s">
        <v>55756</v>
      </c>
      <c r="Z3399" t="s">
        <v>74</v>
      </c>
      <c r="AA3399" t="s">
        <v>74</v>
      </c>
      <c r="AB3399" t="s">
        <v>74</v>
      </c>
      <c r="AC3399" t="s">
        <v>74</v>
      </c>
      <c r="AD3399" t="s">
        <v>74</v>
      </c>
      <c r="AE3399" t="s">
        <v>74</v>
      </c>
      <c r="AF3399" t="s">
        <v>74</v>
      </c>
      <c r="AG3399">
        <v>46</v>
      </c>
      <c r="AH3399">
        <v>1</v>
      </c>
      <c r="AI3399">
        <v>1</v>
      </c>
      <c r="AJ3399">
        <v>0</v>
      </c>
      <c r="AK3399">
        <v>10</v>
      </c>
      <c r="AL3399" t="s">
        <v>479</v>
      </c>
      <c r="AM3399" t="s">
        <v>480</v>
      </c>
      <c r="AN3399" t="s">
        <v>481</v>
      </c>
      <c r="AO3399" t="s">
        <v>51944</v>
      </c>
      <c r="AP3399" t="s">
        <v>55757</v>
      </c>
      <c r="AQ3399" t="s">
        <v>74</v>
      </c>
      <c r="AR3399" t="s">
        <v>51945</v>
      </c>
      <c r="AS3399" t="s">
        <v>51946</v>
      </c>
      <c r="AT3399" t="s">
        <v>289</v>
      </c>
      <c r="AU3399">
        <v>2017</v>
      </c>
      <c r="AV3399">
        <v>55</v>
      </c>
      <c r="AW3399">
        <v>4</v>
      </c>
      <c r="AX3399" t="s">
        <v>74</v>
      </c>
      <c r="AY3399" t="s">
        <v>74</v>
      </c>
      <c r="AZ3399" t="s">
        <v>74</v>
      </c>
      <c r="BA3399" t="s">
        <v>74</v>
      </c>
      <c r="BB3399">
        <v>118</v>
      </c>
      <c r="BC3399">
        <v>140</v>
      </c>
      <c r="BD3399" t="s">
        <v>74</v>
      </c>
      <c r="BE3399" t="s">
        <v>55758</v>
      </c>
      <c r="BF3399" t="str">
        <f>HYPERLINK("http://dx.doi.org/10.1111/imig.12343","http://dx.doi.org/10.1111/imig.12343")</f>
        <v>http://dx.doi.org/10.1111/imig.12343</v>
      </c>
      <c r="BG3399" t="s">
        <v>74</v>
      </c>
      <c r="BH3399" t="s">
        <v>74</v>
      </c>
      <c r="BI3399">
        <v>23</v>
      </c>
      <c r="BJ3399" t="s">
        <v>3635</v>
      </c>
      <c r="BK3399" t="s">
        <v>99</v>
      </c>
      <c r="BL3399" t="s">
        <v>3635</v>
      </c>
      <c r="BM3399" t="s">
        <v>55759</v>
      </c>
      <c r="BN3399" t="s">
        <v>74</v>
      </c>
      <c r="BO3399" t="s">
        <v>74</v>
      </c>
      <c r="BP3399" t="s">
        <v>74</v>
      </c>
      <c r="BQ3399" t="s">
        <v>74</v>
      </c>
      <c r="BR3399" t="s">
        <v>102</v>
      </c>
      <c r="BS3399" t="s">
        <v>55760</v>
      </c>
      <c r="BT3399" t="str">
        <f>HYPERLINK("https%3A%2F%2Fwww.webofscience.com%2Fwos%2Fwoscc%2Ffull-record%2FWOS:000405812400011","View Full Record in Web of Science")</f>
        <v>View Full Record in Web of Science</v>
      </c>
    </row>
    <row r="3400" spans="1:72" x14ac:dyDescent="0.25">
      <c r="A3400" t="s">
        <v>72</v>
      </c>
      <c r="B3400" t="s">
        <v>55761</v>
      </c>
      <c r="C3400" t="s">
        <v>74</v>
      </c>
      <c r="D3400" t="s">
        <v>74</v>
      </c>
      <c r="E3400" t="s">
        <v>74</v>
      </c>
      <c r="F3400" t="s">
        <v>55762</v>
      </c>
      <c r="G3400" t="s">
        <v>74</v>
      </c>
      <c r="H3400" t="s">
        <v>74</v>
      </c>
      <c r="I3400" t="s">
        <v>55763</v>
      </c>
      <c r="J3400" t="s">
        <v>55764</v>
      </c>
      <c r="K3400" t="s">
        <v>74</v>
      </c>
      <c r="L3400" t="s">
        <v>74</v>
      </c>
      <c r="M3400" t="s">
        <v>78</v>
      </c>
      <c r="N3400" t="s">
        <v>79</v>
      </c>
      <c r="O3400" t="s">
        <v>74</v>
      </c>
      <c r="P3400" t="s">
        <v>74</v>
      </c>
      <c r="Q3400" t="s">
        <v>74</v>
      </c>
      <c r="R3400" t="s">
        <v>74</v>
      </c>
      <c r="S3400" t="s">
        <v>74</v>
      </c>
      <c r="T3400" t="s">
        <v>55765</v>
      </c>
      <c r="U3400" t="s">
        <v>55766</v>
      </c>
      <c r="V3400" t="s">
        <v>55767</v>
      </c>
      <c r="W3400" t="s">
        <v>55768</v>
      </c>
      <c r="X3400" t="s">
        <v>55769</v>
      </c>
      <c r="Y3400" t="s">
        <v>55770</v>
      </c>
      <c r="Z3400" t="s">
        <v>55771</v>
      </c>
      <c r="AA3400" t="s">
        <v>55772</v>
      </c>
      <c r="AB3400" t="s">
        <v>55773</v>
      </c>
      <c r="AC3400" t="s">
        <v>74</v>
      </c>
      <c r="AD3400" t="s">
        <v>74</v>
      </c>
      <c r="AE3400" t="s">
        <v>74</v>
      </c>
      <c r="AF3400" t="s">
        <v>74</v>
      </c>
      <c r="AG3400">
        <v>49</v>
      </c>
      <c r="AH3400">
        <v>29</v>
      </c>
      <c r="AI3400">
        <v>30</v>
      </c>
      <c r="AJ3400">
        <v>0</v>
      </c>
      <c r="AK3400">
        <v>4</v>
      </c>
      <c r="AL3400" t="s">
        <v>3861</v>
      </c>
      <c r="AM3400" t="s">
        <v>2016</v>
      </c>
      <c r="AN3400" t="s">
        <v>3862</v>
      </c>
      <c r="AO3400" t="s">
        <v>55774</v>
      </c>
      <c r="AP3400" t="s">
        <v>55775</v>
      </c>
      <c r="AQ3400" t="s">
        <v>74</v>
      </c>
      <c r="AR3400" t="s">
        <v>55776</v>
      </c>
      <c r="AS3400" t="s">
        <v>55777</v>
      </c>
      <c r="AT3400" t="s">
        <v>237</v>
      </c>
      <c r="AU3400">
        <v>2018</v>
      </c>
      <c r="AV3400">
        <v>21</v>
      </c>
      <c r="AW3400">
        <v>3</v>
      </c>
      <c r="AX3400" t="s">
        <v>74</v>
      </c>
      <c r="AY3400" t="s">
        <v>74</v>
      </c>
      <c r="AZ3400" t="s">
        <v>74</v>
      </c>
      <c r="BA3400" t="s">
        <v>74</v>
      </c>
      <c r="BB3400">
        <v>526</v>
      </c>
      <c r="BC3400">
        <v>534</v>
      </c>
      <c r="BD3400" t="s">
        <v>74</v>
      </c>
      <c r="BE3400" t="s">
        <v>55778</v>
      </c>
      <c r="BF3400" t="str">
        <f>HYPERLINK("http://dx.doi.org/10.1017/S1368980017003007","http://dx.doi.org/10.1017/S1368980017003007")</f>
        <v>http://dx.doi.org/10.1017/S1368980017003007</v>
      </c>
      <c r="BG3400" t="s">
        <v>74</v>
      </c>
      <c r="BH3400" t="s">
        <v>74</v>
      </c>
      <c r="BI3400">
        <v>9</v>
      </c>
      <c r="BJ3400" t="s">
        <v>55779</v>
      </c>
      <c r="BK3400" t="s">
        <v>2623</v>
      </c>
      <c r="BL3400" t="s">
        <v>55779</v>
      </c>
      <c r="BM3400" t="s">
        <v>55780</v>
      </c>
      <c r="BN3400">
        <v>29125096</v>
      </c>
      <c r="BO3400" t="s">
        <v>3694</v>
      </c>
      <c r="BP3400" t="s">
        <v>74</v>
      </c>
      <c r="BQ3400" t="s">
        <v>74</v>
      </c>
      <c r="BR3400" t="s">
        <v>102</v>
      </c>
      <c r="BS3400" t="s">
        <v>55781</v>
      </c>
      <c r="BT3400" t="str">
        <f>HYPERLINK("https%3A%2F%2Fwww.webofscience.com%2Fwos%2Fwoscc%2Ffull-record%2FWOS:000438386600009","View Full Record in Web of Science")</f>
        <v>View Full Record in Web of Science</v>
      </c>
    </row>
    <row r="3401" spans="1:72" x14ac:dyDescent="0.25">
      <c r="A3401" t="s">
        <v>72</v>
      </c>
      <c r="B3401" t="s">
        <v>55782</v>
      </c>
      <c r="C3401" t="s">
        <v>74</v>
      </c>
      <c r="D3401" t="s">
        <v>74</v>
      </c>
      <c r="E3401" t="s">
        <v>74</v>
      </c>
      <c r="F3401" t="s">
        <v>55783</v>
      </c>
      <c r="G3401" t="s">
        <v>74</v>
      </c>
      <c r="H3401" t="s">
        <v>74</v>
      </c>
      <c r="I3401" t="s">
        <v>55784</v>
      </c>
      <c r="J3401" t="s">
        <v>55785</v>
      </c>
      <c r="K3401" t="s">
        <v>74</v>
      </c>
      <c r="L3401" t="s">
        <v>74</v>
      </c>
      <c r="M3401" t="s">
        <v>78</v>
      </c>
      <c r="N3401" t="s">
        <v>79</v>
      </c>
      <c r="O3401" t="s">
        <v>74</v>
      </c>
      <c r="P3401" t="s">
        <v>74</v>
      </c>
      <c r="Q3401" t="s">
        <v>74</v>
      </c>
      <c r="R3401" t="s">
        <v>74</v>
      </c>
      <c r="S3401" t="s">
        <v>74</v>
      </c>
      <c r="T3401" t="s">
        <v>55786</v>
      </c>
      <c r="U3401" t="s">
        <v>55787</v>
      </c>
      <c r="V3401" t="s">
        <v>55788</v>
      </c>
      <c r="W3401" t="s">
        <v>55789</v>
      </c>
      <c r="X3401" t="s">
        <v>55790</v>
      </c>
      <c r="Y3401" t="s">
        <v>55791</v>
      </c>
      <c r="Z3401" t="s">
        <v>55792</v>
      </c>
      <c r="AA3401" t="s">
        <v>55793</v>
      </c>
      <c r="AB3401" t="s">
        <v>55794</v>
      </c>
      <c r="AC3401" t="s">
        <v>55795</v>
      </c>
      <c r="AD3401" t="s">
        <v>55796</v>
      </c>
      <c r="AE3401" t="s">
        <v>55797</v>
      </c>
      <c r="AF3401" t="s">
        <v>74</v>
      </c>
      <c r="AG3401">
        <v>29</v>
      </c>
      <c r="AH3401">
        <v>6</v>
      </c>
      <c r="AI3401">
        <v>8</v>
      </c>
      <c r="AJ3401">
        <v>0</v>
      </c>
      <c r="AK3401">
        <v>7</v>
      </c>
      <c r="AL3401" t="s">
        <v>55798</v>
      </c>
      <c r="AM3401" t="s">
        <v>1646</v>
      </c>
      <c r="AN3401" t="s">
        <v>55799</v>
      </c>
      <c r="AO3401" t="s">
        <v>55800</v>
      </c>
      <c r="AP3401" t="s">
        <v>55801</v>
      </c>
      <c r="AQ3401" t="s">
        <v>74</v>
      </c>
      <c r="AR3401" t="s">
        <v>55802</v>
      </c>
      <c r="AS3401" t="s">
        <v>55803</v>
      </c>
      <c r="AT3401" t="s">
        <v>698</v>
      </c>
      <c r="AU3401">
        <v>2022</v>
      </c>
      <c r="AV3401">
        <v>17</v>
      </c>
      <c r="AW3401">
        <v>3</v>
      </c>
      <c r="AX3401" t="s">
        <v>74</v>
      </c>
      <c r="AY3401" t="s">
        <v>74</v>
      </c>
      <c r="AZ3401" t="s">
        <v>74</v>
      </c>
      <c r="BA3401" t="s">
        <v>74</v>
      </c>
      <c r="BB3401">
        <v>727</v>
      </c>
      <c r="BC3401">
        <v>746</v>
      </c>
      <c r="BD3401" t="s">
        <v>74</v>
      </c>
      <c r="BE3401" t="s">
        <v>55804</v>
      </c>
      <c r="BF3401" t="str">
        <f>HYPERLINK("http://dx.doi.org/10.24136/eq.2022.025","http://dx.doi.org/10.24136/eq.2022.025")</f>
        <v>http://dx.doi.org/10.24136/eq.2022.025</v>
      </c>
      <c r="BG3401" t="s">
        <v>74</v>
      </c>
      <c r="BH3401" t="s">
        <v>74</v>
      </c>
      <c r="BI3401">
        <v>20</v>
      </c>
      <c r="BJ3401" t="s">
        <v>291</v>
      </c>
      <c r="BK3401" t="s">
        <v>313</v>
      </c>
      <c r="BL3401" t="s">
        <v>100</v>
      </c>
      <c r="BM3401" t="s">
        <v>55805</v>
      </c>
      <c r="BN3401" t="s">
        <v>74</v>
      </c>
      <c r="BO3401" t="s">
        <v>916</v>
      </c>
      <c r="BP3401" t="s">
        <v>74</v>
      </c>
      <c r="BQ3401" t="s">
        <v>74</v>
      </c>
      <c r="BR3401" t="s">
        <v>102</v>
      </c>
      <c r="BS3401" t="s">
        <v>55806</v>
      </c>
      <c r="BT3401" t="str">
        <f>HYPERLINK("https%3A%2F%2Fwww.webofscience.com%2Fwos%2Fwoscc%2Ffull-record%2FWOS:000868520300005","View Full Record in Web of Science")</f>
        <v>View Full Record in Web of Science</v>
      </c>
    </row>
    <row r="3402" spans="1:72" x14ac:dyDescent="0.25">
      <c r="A3402" t="s">
        <v>72</v>
      </c>
      <c r="B3402" t="s">
        <v>55807</v>
      </c>
      <c r="C3402" t="s">
        <v>74</v>
      </c>
      <c r="D3402" t="s">
        <v>74</v>
      </c>
      <c r="E3402" t="s">
        <v>74</v>
      </c>
      <c r="F3402" t="s">
        <v>55808</v>
      </c>
      <c r="G3402" t="s">
        <v>74</v>
      </c>
      <c r="H3402" t="s">
        <v>74</v>
      </c>
      <c r="I3402" t="s">
        <v>55809</v>
      </c>
      <c r="J3402" t="s">
        <v>46518</v>
      </c>
      <c r="K3402" t="s">
        <v>74</v>
      </c>
      <c r="L3402" t="s">
        <v>74</v>
      </c>
      <c r="M3402" t="s">
        <v>78</v>
      </c>
      <c r="N3402" t="s">
        <v>79</v>
      </c>
      <c r="O3402" t="s">
        <v>74</v>
      </c>
      <c r="P3402" t="s">
        <v>74</v>
      </c>
      <c r="Q3402" t="s">
        <v>74</v>
      </c>
      <c r="R3402" t="s">
        <v>74</v>
      </c>
      <c r="S3402" t="s">
        <v>74</v>
      </c>
      <c r="T3402" t="s">
        <v>55810</v>
      </c>
      <c r="U3402" t="s">
        <v>55811</v>
      </c>
      <c r="V3402" t="s">
        <v>55812</v>
      </c>
      <c r="W3402" t="s">
        <v>55813</v>
      </c>
      <c r="X3402" t="s">
        <v>55814</v>
      </c>
      <c r="Y3402" t="s">
        <v>55815</v>
      </c>
      <c r="Z3402" t="s">
        <v>55816</v>
      </c>
      <c r="AA3402" t="s">
        <v>74</v>
      </c>
      <c r="AB3402" t="s">
        <v>55817</v>
      </c>
      <c r="AC3402" t="s">
        <v>74</v>
      </c>
      <c r="AD3402" t="s">
        <v>74</v>
      </c>
      <c r="AE3402" t="s">
        <v>74</v>
      </c>
      <c r="AF3402" t="s">
        <v>74</v>
      </c>
      <c r="AG3402">
        <v>185</v>
      </c>
      <c r="AH3402">
        <v>55</v>
      </c>
      <c r="AI3402">
        <v>75</v>
      </c>
      <c r="AJ3402">
        <v>2</v>
      </c>
      <c r="AK3402">
        <v>63</v>
      </c>
      <c r="AL3402" t="s">
        <v>332</v>
      </c>
      <c r="AM3402" t="s">
        <v>333</v>
      </c>
      <c r="AN3402" t="s">
        <v>334</v>
      </c>
      <c r="AO3402" t="s">
        <v>46527</v>
      </c>
      <c r="AP3402" t="s">
        <v>46528</v>
      </c>
      <c r="AQ3402" t="s">
        <v>74</v>
      </c>
      <c r="AR3402" t="s">
        <v>46529</v>
      </c>
      <c r="AS3402" t="s">
        <v>46530</v>
      </c>
      <c r="AT3402" t="s">
        <v>74</v>
      </c>
      <c r="AU3402">
        <v>2012</v>
      </c>
      <c r="AV3402">
        <v>13</v>
      </c>
      <c r="AW3402">
        <v>2</v>
      </c>
      <c r="AX3402" t="s">
        <v>74</v>
      </c>
      <c r="AY3402" t="s">
        <v>74</v>
      </c>
      <c r="AZ3402" t="s">
        <v>74</v>
      </c>
      <c r="BA3402" t="s">
        <v>74</v>
      </c>
      <c r="BB3402">
        <v>126</v>
      </c>
      <c r="BC3402">
        <v>142</v>
      </c>
      <c r="BD3402" t="s">
        <v>74</v>
      </c>
      <c r="BE3402" t="s">
        <v>55818</v>
      </c>
      <c r="BF3402" t="str">
        <f>HYPERLINK("http://dx.doi.org/10.1080/15427560.2012.680995","http://dx.doi.org/10.1080/15427560.2012.680995")</f>
        <v>http://dx.doi.org/10.1080/15427560.2012.680995</v>
      </c>
      <c r="BG3402" t="s">
        <v>74</v>
      </c>
      <c r="BH3402" t="s">
        <v>74</v>
      </c>
      <c r="BI3402">
        <v>17</v>
      </c>
      <c r="BJ3402" t="s">
        <v>210</v>
      </c>
      <c r="BK3402" t="s">
        <v>99</v>
      </c>
      <c r="BL3402" t="s">
        <v>100</v>
      </c>
      <c r="BM3402" t="s">
        <v>55819</v>
      </c>
      <c r="BN3402" t="s">
        <v>74</v>
      </c>
      <c r="BO3402" t="s">
        <v>74</v>
      </c>
      <c r="BP3402" t="s">
        <v>74</v>
      </c>
      <c r="BQ3402" t="s">
        <v>74</v>
      </c>
      <c r="BR3402" t="s">
        <v>102</v>
      </c>
      <c r="BS3402" t="s">
        <v>55820</v>
      </c>
      <c r="BT3402" t="str">
        <f>HYPERLINK("https%3A%2F%2Fwww.webofscience.com%2Fwos%2Fwoscc%2Ffull-record%2FWOS:000304853700005","View Full Record in Web of Science")</f>
        <v>View Full Record in Web of Science</v>
      </c>
    </row>
    <row r="3403" spans="1:72" x14ac:dyDescent="0.25">
      <c r="A3403" t="s">
        <v>72</v>
      </c>
      <c r="B3403" t="s">
        <v>55821</v>
      </c>
      <c r="C3403" t="s">
        <v>74</v>
      </c>
      <c r="D3403" t="s">
        <v>74</v>
      </c>
      <c r="E3403" t="s">
        <v>74</v>
      </c>
      <c r="F3403" t="s">
        <v>55822</v>
      </c>
      <c r="G3403" t="s">
        <v>74</v>
      </c>
      <c r="H3403" t="s">
        <v>74</v>
      </c>
      <c r="I3403" t="s">
        <v>55823</v>
      </c>
      <c r="J3403" t="s">
        <v>55824</v>
      </c>
      <c r="K3403" t="s">
        <v>74</v>
      </c>
      <c r="L3403" t="s">
        <v>74</v>
      </c>
      <c r="M3403" t="s">
        <v>78</v>
      </c>
      <c r="N3403" t="s">
        <v>3795</v>
      </c>
      <c r="O3403" t="s">
        <v>55825</v>
      </c>
      <c r="P3403" t="s">
        <v>55826</v>
      </c>
      <c r="Q3403" t="s">
        <v>55827</v>
      </c>
      <c r="R3403" t="s">
        <v>55828</v>
      </c>
      <c r="S3403" t="s">
        <v>55829</v>
      </c>
      <c r="T3403" t="s">
        <v>55830</v>
      </c>
      <c r="U3403" t="s">
        <v>15835</v>
      </c>
      <c r="V3403" t="s">
        <v>55831</v>
      </c>
      <c r="W3403" t="s">
        <v>55832</v>
      </c>
      <c r="X3403" t="s">
        <v>2516</v>
      </c>
      <c r="Y3403" t="s">
        <v>55833</v>
      </c>
      <c r="Z3403" t="s">
        <v>55834</v>
      </c>
      <c r="AA3403" t="s">
        <v>74</v>
      </c>
      <c r="AB3403" t="s">
        <v>74</v>
      </c>
      <c r="AC3403" t="s">
        <v>74</v>
      </c>
      <c r="AD3403" t="s">
        <v>74</v>
      </c>
      <c r="AE3403" t="s">
        <v>74</v>
      </c>
      <c r="AF3403" t="s">
        <v>74</v>
      </c>
      <c r="AG3403">
        <v>62</v>
      </c>
      <c r="AH3403">
        <v>423</v>
      </c>
      <c r="AI3403">
        <v>594</v>
      </c>
      <c r="AJ3403">
        <v>2</v>
      </c>
      <c r="AK3403">
        <v>77</v>
      </c>
      <c r="AL3403" t="s">
        <v>479</v>
      </c>
      <c r="AM3403" t="s">
        <v>480</v>
      </c>
      <c r="AN3403" t="s">
        <v>481</v>
      </c>
      <c r="AO3403" t="s">
        <v>55835</v>
      </c>
      <c r="AP3403" t="s">
        <v>55836</v>
      </c>
      <c r="AQ3403" t="s">
        <v>74</v>
      </c>
      <c r="AR3403" t="s">
        <v>55837</v>
      </c>
      <c r="AS3403" t="s">
        <v>55838</v>
      </c>
      <c r="AT3403" t="s">
        <v>698</v>
      </c>
      <c r="AU3403">
        <v>2006</v>
      </c>
      <c r="AV3403">
        <v>12</v>
      </c>
      <c r="AW3403">
        <v>4</v>
      </c>
      <c r="AX3403" t="s">
        <v>74</v>
      </c>
      <c r="AY3403" t="s">
        <v>74</v>
      </c>
      <c r="AZ3403" t="s">
        <v>74</v>
      </c>
      <c r="BA3403" t="s">
        <v>74</v>
      </c>
      <c r="BB3403">
        <v>499</v>
      </c>
      <c r="BC3403">
        <v>533</v>
      </c>
      <c r="BD3403" t="s">
        <v>74</v>
      </c>
      <c r="BE3403" t="s">
        <v>55839</v>
      </c>
      <c r="BF3403" t="str">
        <f>HYPERLINK("http://dx.doi.org/10.1111/j.1468-036X.2006.00330.x","http://dx.doi.org/10.1111/j.1468-036X.2006.00330.x")</f>
        <v>http://dx.doi.org/10.1111/j.1468-036X.2006.00330.x</v>
      </c>
      <c r="BG3403" t="s">
        <v>74</v>
      </c>
      <c r="BH3403" t="s">
        <v>74</v>
      </c>
      <c r="BI3403">
        <v>35</v>
      </c>
      <c r="BJ3403" t="s">
        <v>268</v>
      </c>
      <c r="BK3403" t="s">
        <v>4493</v>
      </c>
      <c r="BL3403" t="s">
        <v>100</v>
      </c>
      <c r="BM3403" t="s">
        <v>55840</v>
      </c>
      <c r="BN3403" t="s">
        <v>74</v>
      </c>
      <c r="BO3403" t="s">
        <v>1205</v>
      </c>
      <c r="BP3403" t="s">
        <v>74</v>
      </c>
      <c r="BQ3403" t="s">
        <v>74</v>
      </c>
      <c r="BR3403" t="s">
        <v>102</v>
      </c>
      <c r="BS3403" t="s">
        <v>55841</v>
      </c>
      <c r="BT3403" t="str">
        <f>HYPERLINK("https%3A%2F%2Fwww.webofscience.com%2Fwos%2Fwoscc%2Ffull-record%2FWOS:000239963500001","View Full Record in Web of Science")</f>
        <v>View Full Record in Web of Science</v>
      </c>
    </row>
    <row r="3404" spans="1:72" x14ac:dyDescent="0.25">
      <c r="A3404" t="s">
        <v>72</v>
      </c>
      <c r="B3404" t="s">
        <v>55842</v>
      </c>
      <c r="C3404" t="s">
        <v>74</v>
      </c>
      <c r="D3404" t="s">
        <v>74</v>
      </c>
      <c r="E3404" t="s">
        <v>74</v>
      </c>
      <c r="F3404" t="s">
        <v>55843</v>
      </c>
      <c r="G3404" t="s">
        <v>74</v>
      </c>
      <c r="H3404" t="s">
        <v>74</v>
      </c>
      <c r="I3404" t="s">
        <v>55844</v>
      </c>
      <c r="J3404" t="s">
        <v>18445</v>
      </c>
      <c r="K3404" t="s">
        <v>74</v>
      </c>
      <c r="L3404" t="s">
        <v>74</v>
      </c>
      <c r="M3404" t="s">
        <v>78</v>
      </c>
      <c r="N3404" t="s">
        <v>79</v>
      </c>
      <c r="O3404" t="s">
        <v>74</v>
      </c>
      <c r="P3404" t="s">
        <v>74</v>
      </c>
      <c r="Q3404" t="s">
        <v>74</v>
      </c>
      <c r="R3404" t="s">
        <v>74</v>
      </c>
      <c r="S3404" t="s">
        <v>74</v>
      </c>
      <c r="T3404" t="s">
        <v>55845</v>
      </c>
      <c r="U3404" t="s">
        <v>55846</v>
      </c>
      <c r="V3404" t="s">
        <v>55847</v>
      </c>
      <c r="W3404" t="s">
        <v>55848</v>
      </c>
      <c r="X3404" t="s">
        <v>55849</v>
      </c>
      <c r="Y3404" t="s">
        <v>55850</v>
      </c>
      <c r="Z3404" t="s">
        <v>55851</v>
      </c>
      <c r="AA3404" t="s">
        <v>55852</v>
      </c>
      <c r="AB3404" t="s">
        <v>74</v>
      </c>
      <c r="AC3404" t="s">
        <v>74</v>
      </c>
      <c r="AD3404" t="s">
        <v>74</v>
      </c>
      <c r="AE3404" t="s">
        <v>74</v>
      </c>
      <c r="AF3404" t="s">
        <v>74</v>
      </c>
      <c r="AG3404">
        <v>85</v>
      </c>
      <c r="AH3404">
        <v>3</v>
      </c>
      <c r="AI3404">
        <v>4</v>
      </c>
      <c r="AJ3404">
        <v>2</v>
      </c>
      <c r="AK3404">
        <v>13</v>
      </c>
      <c r="AL3404" t="s">
        <v>2371</v>
      </c>
      <c r="AM3404" t="s">
        <v>2372</v>
      </c>
      <c r="AN3404" t="s">
        <v>2373</v>
      </c>
      <c r="AO3404" t="s">
        <v>18435</v>
      </c>
      <c r="AP3404" t="s">
        <v>18434</v>
      </c>
      <c r="AQ3404" t="s">
        <v>74</v>
      </c>
      <c r="AR3404" t="s">
        <v>18433</v>
      </c>
      <c r="AS3404" t="s">
        <v>18432</v>
      </c>
      <c r="AT3404" t="s">
        <v>74</v>
      </c>
      <c r="AU3404">
        <v>2024</v>
      </c>
      <c r="AV3404">
        <v>52</v>
      </c>
      <c r="AW3404">
        <v>1</v>
      </c>
      <c r="AX3404" t="s">
        <v>74</v>
      </c>
      <c r="AY3404" t="s">
        <v>74</v>
      </c>
      <c r="AZ3404" t="s">
        <v>74</v>
      </c>
      <c r="BA3404" t="s">
        <v>74</v>
      </c>
      <c r="BB3404" t="s">
        <v>74</v>
      </c>
      <c r="BC3404" t="s">
        <v>74</v>
      </c>
      <c r="BD3404" t="s">
        <v>74</v>
      </c>
      <c r="BE3404" t="s">
        <v>55853</v>
      </c>
      <c r="BF3404" t="str">
        <f>HYPERLINK("http://dx.doi.org/10.1504/IJESB.2024.137757","http://dx.doi.org/10.1504/IJESB.2024.137757")</f>
        <v>http://dx.doi.org/10.1504/IJESB.2024.137757</v>
      </c>
      <c r="BG3404" t="s">
        <v>74</v>
      </c>
      <c r="BH3404" t="s">
        <v>74</v>
      </c>
      <c r="BI3404">
        <v>20</v>
      </c>
      <c r="BJ3404" t="s">
        <v>98</v>
      </c>
      <c r="BK3404" t="s">
        <v>313</v>
      </c>
      <c r="BL3404" t="s">
        <v>100</v>
      </c>
      <c r="BM3404" t="s">
        <v>55854</v>
      </c>
      <c r="BN3404" t="s">
        <v>74</v>
      </c>
      <c r="BO3404" t="s">
        <v>74</v>
      </c>
      <c r="BP3404" t="s">
        <v>74</v>
      </c>
      <c r="BQ3404" t="s">
        <v>74</v>
      </c>
      <c r="BR3404" t="s">
        <v>102</v>
      </c>
      <c r="BS3404" t="s">
        <v>55855</v>
      </c>
      <c r="BT3404" t="str">
        <f>HYPERLINK("https%3A%2F%2Fwww.webofscience.com%2Fwos%2Fwoscc%2Ffull-record%2FWOS:001289494500001","View Full Record in Web of Science")</f>
        <v>View Full Record in Web of Science</v>
      </c>
    </row>
    <row r="3405" spans="1:72" x14ac:dyDescent="0.25">
      <c r="A3405" t="s">
        <v>72</v>
      </c>
      <c r="B3405" t="s">
        <v>55856</v>
      </c>
      <c r="C3405" t="s">
        <v>74</v>
      </c>
      <c r="D3405" t="s">
        <v>74</v>
      </c>
      <c r="E3405" t="s">
        <v>74</v>
      </c>
      <c r="F3405" t="s">
        <v>55857</v>
      </c>
      <c r="G3405" t="s">
        <v>74</v>
      </c>
      <c r="H3405" t="s">
        <v>74</v>
      </c>
      <c r="I3405" t="s">
        <v>55858</v>
      </c>
      <c r="J3405" t="s">
        <v>9616</v>
      </c>
      <c r="K3405" t="s">
        <v>74</v>
      </c>
      <c r="L3405" t="s">
        <v>74</v>
      </c>
      <c r="M3405" t="s">
        <v>78</v>
      </c>
      <c r="N3405" t="s">
        <v>79</v>
      </c>
      <c r="O3405" t="s">
        <v>74</v>
      </c>
      <c r="P3405" t="s">
        <v>74</v>
      </c>
      <c r="Q3405" t="s">
        <v>74</v>
      </c>
      <c r="R3405" t="s">
        <v>74</v>
      </c>
      <c r="S3405" t="s">
        <v>74</v>
      </c>
      <c r="T3405" t="s">
        <v>55859</v>
      </c>
      <c r="U3405" t="s">
        <v>74</v>
      </c>
      <c r="V3405" t="s">
        <v>55860</v>
      </c>
      <c r="W3405" t="s">
        <v>55861</v>
      </c>
      <c r="X3405" t="s">
        <v>17987</v>
      </c>
      <c r="Y3405" t="s">
        <v>55862</v>
      </c>
      <c r="Z3405" t="s">
        <v>55863</v>
      </c>
      <c r="AA3405" t="s">
        <v>74</v>
      </c>
      <c r="AB3405" t="s">
        <v>74</v>
      </c>
      <c r="AC3405" t="s">
        <v>55864</v>
      </c>
      <c r="AD3405" t="s">
        <v>55865</v>
      </c>
      <c r="AE3405" t="s">
        <v>55866</v>
      </c>
      <c r="AF3405" t="s">
        <v>74</v>
      </c>
      <c r="AG3405">
        <v>47</v>
      </c>
      <c r="AH3405">
        <v>1</v>
      </c>
      <c r="AI3405">
        <v>1</v>
      </c>
      <c r="AJ3405">
        <v>0</v>
      </c>
      <c r="AK3405">
        <v>0</v>
      </c>
      <c r="AL3405" t="s">
        <v>575</v>
      </c>
      <c r="AM3405" t="s">
        <v>576</v>
      </c>
      <c r="AN3405" t="s">
        <v>577</v>
      </c>
      <c r="AO3405" t="s">
        <v>74</v>
      </c>
      <c r="AP3405" t="s">
        <v>9626</v>
      </c>
      <c r="AQ3405" t="s">
        <v>74</v>
      </c>
      <c r="AR3405" t="s">
        <v>9616</v>
      </c>
      <c r="AS3405" t="s">
        <v>9627</v>
      </c>
      <c r="AT3405" t="s">
        <v>11286</v>
      </c>
      <c r="AU3405">
        <v>2025</v>
      </c>
      <c r="AV3405">
        <v>13</v>
      </c>
      <c r="AW3405">
        <v>4</v>
      </c>
      <c r="AX3405" t="s">
        <v>74</v>
      </c>
      <c r="AY3405" t="s">
        <v>74</v>
      </c>
      <c r="AZ3405" t="s">
        <v>74</v>
      </c>
      <c r="BA3405" t="s">
        <v>74</v>
      </c>
      <c r="BB3405" t="s">
        <v>74</v>
      </c>
      <c r="BC3405" t="s">
        <v>74</v>
      </c>
      <c r="BD3405">
        <v>103</v>
      </c>
      <c r="BE3405" t="s">
        <v>55867</v>
      </c>
      <c r="BF3405" t="str">
        <f>HYPERLINK("http://dx.doi.org/10.3390/economies13040103","http://dx.doi.org/10.3390/economies13040103")</f>
        <v>http://dx.doi.org/10.3390/economies13040103</v>
      </c>
      <c r="BG3405" t="s">
        <v>74</v>
      </c>
      <c r="BH3405" t="s">
        <v>74</v>
      </c>
      <c r="BI3405">
        <v>21</v>
      </c>
      <c r="BJ3405" t="s">
        <v>291</v>
      </c>
      <c r="BK3405" t="s">
        <v>313</v>
      </c>
      <c r="BL3405" t="s">
        <v>100</v>
      </c>
      <c r="BM3405" t="s">
        <v>55868</v>
      </c>
      <c r="BN3405" t="s">
        <v>74</v>
      </c>
      <c r="BO3405" t="s">
        <v>916</v>
      </c>
      <c r="BP3405" t="s">
        <v>74</v>
      </c>
      <c r="BQ3405" t="s">
        <v>74</v>
      </c>
      <c r="BR3405" t="s">
        <v>102</v>
      </c>
      <c r="BS3405" t="s">
        <v>55869</v>
      </c>
      <c r="BT3405" t="str">
        <f>HYPERLINK("https%3A%2F%2Fwww.webofscience.com%2Fwos%2Fwoscc%2Ffull-record%2FWOS:001474889500001","View Full Record in Web of Science")</f>
        <v>View Full Record in Web of Science</v>
      </c>
    </row>
    <row r="3406" spans="1:72" x14ac:dyDescent="0.25">
      <c r="A3406" t="s">
        <v>72</v>
      </c>
      <c r="B3406" t="s">
        <v>55870</v>
      </c>
      <c r="C3406" t="s">
        <v>74</v>
      </c>
      <c r="D3406" t="s">
        <v>74</v>
      </c>
      <c r="E3406" t="s">
        <v>74</v>
      </c>
      <c r="F3406" t="s">
        <v>55871</v>
      </c>
      <c r="G3406" t="s">
        <v>74</v>
      </c>
      <c r="H3406" t="s">
        <v>74</v>
      </c>
      <c r="I3406" t="s">
        <v>55872</v>
      </c>
      <c r="J3406" t="s">
        <v>42437</v>
      </c>
      <c r="K3406" t="s">
        <v>74</v>
      </c>
      <c r="L3406" t="s">
        <v>74</v>
      </c>
      <c r="M3406" t="s">
        <v>78</v>
      </c>
      <c r="N3406" t="s">
        <v>79</v>
      </c>
      <c r="O3406" t="s">
        <v>74</v>
      </c>
      <c r="P3406" t="s">
        <v>74</v>
      </c>
      <c r="Q3406" t="s">
        <v>74</v>
      </c>
      <c r="R3406" t="s">
        <v>74</v>
      </c>
      <c r="S3406" t="s">
        <v>74</v>
      </c>
      <c r="T3406" t="s">
        <v>55873</v>
      </c>
      <c r="U3406" t="s">
        <v>25382</v>
      </c>
      <c r="V3406" t="s">
        <v>55874</v>
      </c>
      <c r="W3406" t="s">
        <v>55875</v>
      </c>
      <c r="X3406" t="s">
        <v>21132</v>
      </c>
      <c r="Y3406" t="s">
        <v>9304</v>
      </c>
      <c r="Z3406" t="s">
        <v>9305</v>
      </c>
      <c r="AA3406" t="s">
        <v>55876</v>
      </c>
      <c r="AB3406" t="s">
        <v>74</v>
      </c>
      <c r="AC3406" t="s">
        <v>74</v>
      </c>
      <c r="AD3406" t="s">
        <v>74</v>
      </c>
      <c r="AE3406" t="s">
        <v>74</v>
      </c>
      <c r="AF3406" t="s">
        <v>74</v>
      </c>
      <c r="AG3406">
        <v>33</v>
      </c>
      <c r="AH3406">
        <v>7</v>
      </c>
      <c r="AI3406">
        <v>7</v>
      </c>
      <c r="AJ3406">
        <v>0</v>
      </c>
      <c r="AK3406">
        <v>1</v>
      </c>
      <c r="AL3406" t="s">
        <v>479</v>
      </c>
      <c r="AM3406" t="s">
        <v>480</v>
      </c>
      <c r="AN3406" t="s">
        <v>481</v>
      </c>
      <c r="AO3406" t="s">
        <v>74</v>
      </c>
      <c r="AP3406" t="s">
        <v>42448</v>
      </c>
      <c r="AQ3406" t="s">
        <v>74</v>
      </c>
      <c r="AR3406" t="s">
        <v>42449</v>
      </c>
      <c r="AS3406" t="s">
        <v>42450</v>
      </c>
      <c r="AT3406" t="s">
        <v>237</v>
      </c>
      <c r="AU3406">
        <v>2024</v>
      </c>
      <c r="AV3406">
        <v>48</v>
      </c>
      <c r="AW3406">
        <v>1</v>
      </c>
      <c r="AX3406" t="s">
        <v>74</v>
      </c>
      <c r="AY3406" t="s">
        <v>74</v>
      </c>
      <c r="AZ3406" t="s">
        <v>74</v>
      </c>
      <c r="BA3406" t="s">
        <v>74</v>
      </c>
      <c r="BB3406">
        <v>171</v>
      </c>
      <c r="BC3406">
        <v>183</v>
      </c>
      <c r="BD3406" t="s">
        <v>74</v>
      </c>
      <c r="BE3406" t="s">
        <v>55877</v>
      </c>
      <c r="BF3406" t="str">
        <f>HYPERLINK("http://dx.doi.org/10.1111/1477-8947.12319","http://dx.doi.org/10.1111/1477-8947.12319")</f>
        <v>http://dx.doi.org/10.1111/1477-8947.12319</v>
      </c>
      <c r="BG3406" t="s">
        <v>74</v>
      </c>
      <c r="BH3406" t="s">
        <v>7993</v>
      </c>
      <c r="BI3406">
        <v>13</v>
      </c>
      <c r="BJ3406" t="s">
        <v>42453</v>
      </c>
      <c r="BK3406" t="s">
        <v>2623</v>
      </c>
      <c r="BL3406" t="s">
        <v>129</v>
      </c>
      <c r="BM3406" t="s">
        <v>55878</v>
      </c>
      <c r="BN3406" t="s">
        <v>74</v>
      </c>
      <c r="BO3406" t="s">
        <v>74</v>
      </c>
      <c r="BP3406" t="s">
        <v>74</v>
      </c>
      <c r="BQ3406" t="s">
        <v>74</v>
      </c>
      <c r="BR3406" t="s">
        <v>102</v>
      </c>
      <c r="BS3406" t="s">
        <v>55879</v>
      </c>
      <c r="BT3406" t="str">
        <f>HYPERLINK("https%3A%2F%2Fwww.webofscience.com%2Fwos%2Fwoscc%2Ffull-record%2FWOS:001044881600001","View Full Record in Web of Science")</f>
        <v>View Full Record in Web of Science</v>
      </c>
    </row>
    <row r="3407" spans="1:72" x14ac:dyDescent="0.25">
      <c r="A3407" t="s">
        <v>72</v>
      </c>
      <c r="B3407" t="s">
        <v>55880</v>
      </c>
      <c r="C3407" t="s">
        <v>74</v>
      </c>
      <c r="D3407" t="s">
        <v>74</v>
      </c>
      <c r="E3407" t="s">
        <v>74</v>
      </c>
      <c r="F3407" t="s">
        <v>55881</v>
      </c>
      <c r="G3407" t="s">
        <v>74</v>
      </c>
      <c r="H3407" t="s">
        <v>74</v>
      </c>
      <c r="I3407" t="s">
        <v>55882</v>
      </c>
      <c r="J3407" t="s">
        <v>55883</v>
      </c>
      <c r="K3407" t="s">
        <v>74</v>
      </c>
      <c r="L3407" t="s">
        <v>74</v>
      </c>
      <c r="M3407" t="s">
        <v>78</v>
      </c>
      <c r="N3407" t="s">
        <v>79</v>
      </c>
      <c r="O3407" t="s">
        <v>74</v>
      </c>
      <c r="P3407" t="s">
        <v>74</v>
      </c>
      <c r="Q3407" t="s">
        <v>74</v>
      </c>
      <c r="R3407" t="s">
        <v>74</v>
      </c>
      <c r="S3407" t="s">
        <v>74</v>
      </c>
      <c r="T3407" t="s">
        <v>55884</v>
      </c>
      <c r="U3407" t="s">
        <v>55885</v>
      </c>
      <c r="V3407" t="s">
        <v>55886</v>
      </c>
      <c r="W3407" t="s">
        <v>55887</v>
      </c>
      <c r="X3407" t="s">
        <v>429</v>
      </c>
      <c r="Y3407" t="s">
        <v>55888</v>
      </c>
      <c r="Z3407" t="s">
        <v>55889</v>
      </c>
      <c r="AA3407" t="s">
        <v>55890</v>
      </c>
      <c r="AB3407" t="s">
        <v>55891</v>
      </c>
      <c r="AC3407" t="s">
        <v>74</v>
      </c>
      <c r="AD3407" t="s">
        <v>74</v>
      </c>
      <c r="AE3407" t="s">
        <v>74</v>
      </c>
      <c r="AF3407" t="s">
        <v>74</v>
      </c>
      <c r="AG3407">
        <v>39</v>
      </c>
      <c r="AH3407">
        <v>5</v>
      </c>
      <c r="AI3407">
        <v>8</v>
      </c>
      <c r="AJ3407">
        <v>2</v>
      </c>
      <c r="AK3407">
        <v>26</v>
      </c>
      <c r="AL3407" t="s">
        <v>332</v>
      </c>
      <c r="AM3407" t="s">
        <v>333</v>
      </c>
      <c r="AN3407" t="s">
        <v>334</v>
      </c>
      <c r="AO3407" t="s">
        <v>55892</v>
      </c>
      <c r="AP3407" t="s">
        <v>55893</v>
      </c>
      <c r="AQ3407" t="s">
        <v>74</v>
      </c>
      <c r="AR3407" t="s">
        <v>55894</v>
      </c>
      <c r="AS3407" t="s">
        <v>55895</v>
      </c>
      <c r="AT3407" t="s">
        <v>10107</v>
      </c>
      <c r="AU3407">
        <v>2015</v>
      </c>
      <c r="AV3407">
        <v>58</v>
      </c>
      <c r="AW3407">
        <v>3</v>
      </c>
      <c r="AX3407" t="s">
        <v>74</v>
      </c>
      <c r="AY3407" t="s">
        <v>74</v>
      </c>
      <c r="AZ3407" t="s">
        <v>74</v>
      </c>
      <c r="BA3407" t="s">
        <v>74</v>
      </c>
      <c r="BB3407">
        <v>513</v>
      </c>
      <c r="BC3407">
        <v>536</v>
      </c>
      <c r="BD3407" t="s">
        <v>74</v>
      </c>
      <c r="BE3407" t="s">
        <v>55896</v>
      </c>
      <c r="BF3407" t="str">
        <f>HYPERLINK("http://dx.doi.org/10.1080/09640568.2013.864620","http://dx.doi.org/10.1080/09640568.2013.864620")</f>
        <v>http://dx.doi.org/10.1080/09640568.2013.864620</v>
      </c>
      <c r="BG3407" t="s">
        <v>74</v>
      </c>
      <c r="BH3407" t="s">
        <v>74</v>
      </c>
      <c r="BI3407">
        <v>24</v>
      </c>
      <c r="BJ3407" t="s">
        <v>2084</v>
      </c>
      <c r="BK3407" t="s">
        <v>99</v>
      </c>
      <c r="BL3407" t="s">
        <v>2085</v>
      </c>
      <c r="BM3407" t="s">
        <v>55897</v>
      </c>
      <c r="BN3407" t="s">
        <v>74</v>
      </c>
      <c r="BO3407" t="s">
        <v>74</v>
      </c>
      <c r="BP3407" t="s">
        <v>74</v>
      </c>
      <c r="BQ3407" t="s">
        <v>74</v>
      </c>
      <c r="BR3407" t="s">
        <v>102</v>
      </c>
      <c r="BS3407" t="s">
        <v>55898</v>
      </c>
      <c r="BT3407" t="str">
        <f>HYPERLINK("https%3A%2F%2Fwww.webofscience.com%2Fwos%2Fwoscc%2Ffull-record%2FWOS:000348505700008","View Full Record in Web of Science")</f>
        <v>View Full Record in Web of Science</v>
      </c>
    </row>
    <row r="3408" spans="1:72" x14ac:dyDescent="0.25">
      <c r="A3408" t="s">
        <v>72</v>
      </c>
      <c r="B3408" t="s">
        <v>55899</v>
      </c>
      <c r="C3408" t="s">
        <v>74</v>
      </c>
      <c r="D3408" t="s">
        <v>74</v>
      </c>
      <c r="E3408" t="s">
        <v>74</v>
      </c>
      <c r="F3408" t="s">
        <v>55900</v>
      </c>
      <c r="G3408" t="s">
        <v>74</v>
      </c>
      <c r="H3408" t="s">
        <v>74</v>
      </c>
      <c r="I3408" t="s">
        <v>55901</v>
      </c>
      <c r="J3408" t="s">
        <v>28279</v>
      </c>
      <c r="K3408" t="s">
        <v>74</v>
      </c>
      <c r="L3408" t="s">
        <v>74</v>
      </c>
      <c r="M3408" t="s">
        <v>78</v>
      </c>
      <c r="N3408" t="s">
        <v>79</v>
      </c>
      <c r="O3408" t="s">
        <v>74</v>
      </c>
      <c r="P3408" t="s">
        <v>74</v>
      </c>
      <c r="Q3408" t="s">
        <v>74</v>
      </c>
      <c r="R3408" t="s">
        <v>74</v>
      </c>
      <c r="S3408" t="s">
        <v>74</v>
      </c>
      <c r="T3408" t="s">
        <v>55902</v>
      </c>
      <c r="U3408" t="s">
        <v>55903</v>
      </c>
      <c r="V3408" t="s">
        <v>55904</v>
      </c>
      <c r="W3408" t="s">
        <v>55905</v>
      </c>
      <c r="X3408" t="s">
        <v>55906</v>
      </c>
      <c r="Y3408" t="s">
        <v>55907</v>
      </c>
      <c r="Z3408" t="s">
        <v>55908</v>
      </c>
      <c r="AA3408" t="s">
        <v>31614</v>
      </c>
      <c r="AB3408" t="s">
        <v>31613</v>
      </c>
      <c r="AC3408" t="s">
        <v>74</v>
      </c>
      <c r="AD3408" t="s">
        <v>74</v>
      </c>
      <c r="AE3408" t="s">
        <v>74</v>
      </c>
      <c r="AF3408" t="s">
        <v>74</v>
      </c>
      <c r="AG3408">
        <v>91</v>
      </c>
      <c r="AH3408">
        <v>91</v>
      </c>
      <c r="AI3408">
        <v>119</v>
      </c>
      <c r="AJ3408">
        <v>1</v>
      </c>
      <c r="AK3408">
        <v>53</v>
      </c>
      <c r="AL3408" t="s">
        <v>89</v>
      </c>
      <c r="AM3408" t="s">
        <v>1497</v>
      </c>
      <c r="AN3408" t="s">
        <v>1498</v>
      </c>
      <c r="AO3408" t="s">
        <v>28269</v>
      </c>
      <c r="AP3408" t="s">
        <v>28268</v>
      </c>
      <c r="AQ3408" t="s">
        <v>74</v>
      </c>
      <c r="AR3408" t="s">
        <v>28267</v>
      </c>
      <c r="AS3408" t="s">
        <v>28266</v>
      </c>
      <c r="AT3408" t="s">
        <v>74</v>
      </c>
      <c r="AU3408">
        <v>2018</v>
      </c>
      <c r="AV3408">
        <v>25</v>
      </c>
      <c r="AW3408">
        <v>4</v>
      </c>
      <c r="AX3408" t="s">
        <v>74</v>
      </c>
      <c r="AY3408" t="s">
        <v>74</v>
      </c>
      <c r="AZ3408" t="s">
        <v>441</v>
      </c>
      <c r="BA3408" t="s">
        <v>74</v>
      </c>
      <c r="BB3408">
        <v>644</v>
      </c>
      <c r="BC3408">
        <v>666</v>
      </c>
      <c r="BD3408" t="s">
        <v>74</v>
      </c>
      <c r="BE3408" t="s">
        <v>55909</v>
      </c>
      <c r="BF3408" t="str">
        <f>HYPERLINK("http://dx.doi.org/10.1108/JSBED-03-2017-0084","http://dx.doi.org/10.1108/JSBED-03-2017-0084")</f>
        <v>http://dx.doi.org/10.1108/JSBED-03-2017-0084</v>
      </c>
      <c r="BG3408" t="s">
        <v>74</v>
      </c>
      <c r="BH3408" t="s">
        <v>74</v>
      </c>
      <c r="BI3408">
        <v>23</v>
      </c>
      <c r="BJ3408" t="s">
        <v>418</v>
      </c>
      <c r="BK3408" t="s">
        <v>313</v>
      </c>
      <c r="BL3408" t="s">
        <v>100</v>
      </c>
      <c r="BM3408" t="s">
        <v>55910</v>
      </c>
      <c r="BN3408" t="s">
        <v>74</v>
      </c>
      <c r="BO3408" t="s">
        <v>916</v>
      </c>
      <c r="BP3408" t="s">
        <v>74</v>
      </c>
      <c r="BQ3408" t="s">
        <v>74</v>
      </c>
      <c r="BR3408" t="s">
        <v>102</v>
      </c>
      <c r="BS3408" t="s">
        <v>55911</v>
      </c>
      <c r="BT3408" t="str">
        <f>HYPERLINK("https%3A%2F%2Fwww.webofscience.com%2Fwos%2Fwoscc%2Ffull-record%2FWOS:000440862200007","View Full Record in Web of Science")</f>
        <v>View Full Record in Web of Science</v>
      </c>
    </row>
    <row r="3409" spans="1:72" x14ac:dyDescent="0.25">
      <c r="A3409" t="s">
        <v>72</v>
      </c>
      <c r="B3409" t="s">
        <v>55912</v>
      </c>
      <c r="C3409" t="s">
        <v>74</v>
      </c>
      <c r="D3409" t="s">
        <v>74</v>
      </c>
      <c r="E3409" t="s">
        <v>74</v>
      </c>
      <c r="F3409" t="s">
        <v>55913</v>
      </c>
      <c r="G3409" t="s">
        <v>74</v>
      </c>
      <c r="H3409" t="s">
        <v>74</v>
      </c>
      <c r="I3409" t="s">
        <v>55914</v>
      </c>
      <c r="J3409" t="s">
        <v>5958</v>
      </c>
      <c r="K3409" t="s">
        <v>74</v>
      </c>
      <c r="L3409" t="s">
        <v>74</v>
      </c>
      <c r="M3409" t="s">
        <v>78</v>
      </c>
      <c r="N3409" t="s">
        <v>79</v>
      </c>
      <c r="O3409" t="s">
        <v>74</v>
      </c>
      <c r="P3409" t="s">
        <v>74</v>
      </c>
      <c r="Q3409" t="s">
        <v>74</v>
      </c>
      <c r="R3409" t="s">
        <v>74</v>
      </c>
      <c r="S3409" t="s">
        <v>74</v>
      </c>
      <c r="T3409" t="s">
        <v>55915</v>
      </c>
      <c r="U3409" t="s">
        <v>55916</v>
      </c>
      <c r="V3409" t="s">
        <v>55917</v>
      </c>
      <c r="W3409" t="s">
        <v>55918</v>
      </c>
      <c r="X3409" t="s">
        <v>55919</v>
      </c>
      <c r="Y3409" t="s">
        <v>55920</v>
      </c>
      <c r="Z3409" t="s">
        <v>55921</v>
      </c>
      <c r="AA3409" t="s">
        <v>55922</v>
      </c>
      <c r="AB3409" t="s">
        <v>55923</v>
      </c>
      <c r="AC3409" t="s">
        <v>74</v>
      </c>
      <c r="AD3409" t="s">
        <v>74</v>
      </c>
      <c r="AE3409" t="s">
        <v>74</v>
      </c>
      <c r="AF3409" t="s">
        <v>74</v>
      </c>
      <c r="AG3409">
        <v>103</v>
      </c>
      <c r="AH3409">
        <v>2</v>
      </c>
      <c r="AI3409">
        <v>2</v>
      </c>
      <c r="AJ3409">
        <v>0</v>
      </c>
      <c r="AK3409">
        <v>18</v>
      </c>
      <c r="AL3409" t="s">
        <v>1216</v>
      </c>
      <c r="AM3409" t="s">
        <v>283</v>
      </c>
      <c r="AN3409" t="s">
        <v>1217</v>
      </c>
      <c r="AO3409" t="s">
        <v>5971</v>
      </c>
      <c r="AP3409" t="s">
        <v>74</v>
      </c>
      <c r="AQ3409" t="s">
        <v>74</v>
      </c>
      <c r="AR3409" t="s">
        <v>5972</v>
      </c>
      <c r="AS3409" t="s">
        <v>5973</v>
      </c>
      <c r="AT3409" t="s">
        <v>55924</v>
      </c>
      <c r="AU3409">
        <v>2022</v>
      </c>
      <c r="AV3409">
        <v>13</v>
      </c>
      <c r="AW3409" t="s">
        <v>74</v>
      </c>
      <c r="AX3409" t="s">
        <v>74</v>
      </c>
      <c r="AY3409" t="s">
        <v>74</v>
      </c>
      <c r="AZ3409" t="s">
        <v>74</v>
      </c>
      <c r="BA3409" t="s">
        <v>74</v>
      </c>
      <c r="BB3409" t="s">
        <v>74</v>
      </c>
      <c r="BC3409" t="s">
        <v>74</v>
      </c>
      <c r="BD3409">
        <v>764959</v>
      </c>
      <c r="BE3409" t="s">
        <v>55925</v>
      </c>
      <c r="BF3409" t="str">
        <f>HYPERLINK("http://dx.doi.org/10.3389/fpsyg.2022.764959","http://dx.doi.org/10.3389/fpsyg.2022.764959")</f>
        <v>http://dx.doi.org/10.3389/fpsyg.2022.764959</v>
      </c>
      <c r="BG3409" t="s">
        <v>74</v>
      </c>
      <c r="BH3409" t="s">
        <v>74</v>
      </c>
      <c r="BI3409">
        <v>17</v>
      </c>
      <c r="BJ3409" t="s">
        <v>2992</v>
      </c>
      <c r="BK3409" t="s">
        <v>99</v>
      </c>
      <c r="BL3409" t="s">
        <v>2993</v>
      </c>
      <c r="BM3409" t="s">
        <v>55926</v>
      </c>
      <c r="BN3409">
        <v>35295386</v>
      </c>
      <c r="BO3409" t="s">
        <v>916</v>
      </c>
      <c r="BP3409" t="s">
        <v>74</v>
      </c>
      <c r="BQ3409" t="s">
        <v>74</v>
      </c>
      <c r="BR3409" t="s">
        <v>102</v>
      </c>
      <c r="BS3409" t="s">
        <v>55927</v>
      </c>
      <c r="BT3409" t="str">
        <f>HYPERLINK("https%3A%2F%2Fwww.webofscience.com%2Fwos%2Fwoscc%2Ffull-record%2FWOS:000772998600001","View Full Record in Web of Science")</f>
        <v>View Full Record in Web of Science</v>
      </c>
    </row>
    <row r="3410" spans="1:72" x14ac:dyDescent="0.25">
      <c r="A3410" t="s">
        <v>72</v>
      </c>
      <c r="B3410" t="s">
        <v>55928</v>
      </c>
      <c r="C3410" t="s">
        <v>74</v>
      </c>
      <c r="D3410" t="s">
        <v>74</v>
      </c>
      <c r="E3410" t="s">
        <v>74</v>
      </c>
      <c r="F3410" t="s">
        <v>55929</v>
      </c>
      <c r="G3410" t="s">
        <v>74</v>
      </c>
      <c r="H3410" t="s">
        <v>74</v>
      </c>
      <c r="I3410" t="s">
        <v>55930</v>
      </c>
      <c r="J3410" t="s">
        <v>4346</v>
      </c>
      <c r="K3410" t="s">
        <v>74</v>
      </c>
      <c r="L3410" t="s">
        <v>74</v>
      </c>
      <c r="M3410" t="s">
        <v>78</v>
      </c>
      <c r="N3410" t="s">
        <v>79</v>
      </c>
      <c r="O3410" t="s">
        <v>74</v>
      </c>
      <c r="P3410" t="s">
        <v>74</v>
      </c>
      <c r="Q3410" t="s">
        <v>74</v>
      </c>
      <c r="R3410" t="s">
        <v>74</v>
      </c>
      <c r="S3410" t="s">
        <v>74</v>
      </c>
      <c r="T3410" t="s">
        <v>55931</v>
      </c>
      <c r="U3410" t="s">
        <v>55932</v>
      </c>
      <c r="V3410" t="s">
        <v>55933</v>
      </c>
      <c r="W3410" t="s">
        <v>55934</v>
      </c>
      <c r="X3410" t="s">
        <v>55935</v>
      </c>
      <c r="Y3410" t="s">
        <v>55936</v>
      </c>
      <c r="Z3410" t="s">
        <v>55937</v>
      </c>
      <c r="AA3410" t="s">
        <v>55938</v>
      </c>
      <c r="AB3410" t="s">
        <v>55939</v>
      </c>
      <c r="AC3410" t="s">
        <v>74</v>
      </c>
      <c r="AD3410" t="s">
        <v>74</v>
      </c>
      <c r="AE3410" t="s">
        <v>74</v>
      </c>
      <c r="AF3410" t="s">
        <v>74</v>
      </c>
      <c r="AG3410">
        <v>69</v>
      </c>
      <c r="AH3410">
        <v>50</v>
      </c>
      <c r="AI3410">
        <v>57</v>
      </c>
      <c r="AJ3410">
        <v>0</v>
      </c>
      <c r="AK3410">
        <v>12</v>
      </c>
      <c r="AL3410" t="s">
        <v>89</v>
      </c>
      <c r="AM3410" t="s">
        <v>1497</v>
      </c>
      <c r="AN3410" t="s">
        <v>1498</v>
      </c>
      <c r="AO3410" t="s">
        <v>4357</v>
      </c>
      <c r="AP3410" t="s">
        <v>4358</v>
      </c>
      <c r="AQ3410" t="s">
        <v>74</v>
      </c>
      <c r="AR3410" t="s">
        <v>4359</v>
      </c>
      <c r="AS3410" t="s">
        <v>4360</v>
      </c>
      <c r="AT3410" t="s">
        <v>74</v>
      </c>
      <c r="AU3410">
        <v>2016</v>
      </c>
      <c r="AV3410">
        <v>16</v>
      </c>
      <c r="AW3410">
        <v>2</v>
      </c>
      <c r="AX3410" t="s">
        <v>74</v>
      </c>
      <c r="AY3410" t="s">
        <v>74</v>
      </c>
      <c r="AZ3410" t="s">
        <v>74</v>
      </c>
      <c r="BA3410" t="s">
        <v>74</v>
      </c>
      <c r="BB3410">
        <v>127</v>
      </c>
      <c r="BC3410">
        <v>157</v>
      </c>
      <c r="BD3410" t="s">
        <v>74</v>
      </c>
      <c r="BE3410" t="s">
        <v>55940</v>
      </c>
      <c r="BF3410" t="str">
        <f>HYPERLINK("http://dx.doi.org/10.1108/CI-04-2015-0021","http://dx.doi.org/10.1108/CI-04-2015-0021")</f>
        <v>http://dx.doi.org/10.1108/CI-04-2015-0021</v>
      </c>
      <c r="BG3410" t="s">
        <v>74</v>
      </c>
      <c r="BH3410" t="s">
        <v>74</v>
      </c>
      <c r="BI3410">
        <v>31</v>
      </c>
      <c r="BJ3410" t="s">
        <v>4363</v>
      </c>
      <c r="BK3410" t="s">
        <v>313</v>
      </c>
      <c r="BL3410" t="s">
        <v>4363</v>
      </c>
      <c r="BM3410" t="s">
        <v>55941</v>
      </c>
      <c r="BN3410" t="s">
        <v>74</v>
      </c>
      <c r="BO3410" t="s">
        <v>74</v>
      </c>
      <c r="BP3410" t="s">
        <v>74</v>
      </c>
      <c r="BQ3410" t="s">
        <v>74</v>
      </c>
      <c r="BR3410" t="s">
        <v>102</v>
      </c>
      <c r="BS3410" t="s">
        <v>55942</v>
      </c>
      <c r="BT3410" t="str">
        <f>HYPERLINK("https%3A%2F%2Fwww.webofscience.com%2Fwos%2Fwoscc%2Ffull-record%2FWOS:000413351900002","View Full Record in Web of Science")</f>
        <v>View Full Record in Web of Science</v>
      </c>
    </row>
    <row r="3411" spans="1:72" x14ac:dyDescent="0.25">
      <c r="A3411" t="s">
        <v>72</v>
      </c>
      <c r="B3411" t="s">
        <v>55943</v>
      </c>
      <c r="C3411" t="s">
        <v>74</v>
      </c>
      <c r="D3411" t="s">
        <v>74</v>
      </c>
      <c r="E3411" t="s">
        <v>74</v>
      </c>
      <c r="F3411" t="s">
        <v>55944</v>
      </c>
      <c r="G3411" t="s">
        <v>74</v>
      </c>
      <c r="H3411" t="s">
        <v>74</v>
      </c>
      <c r="I3411" t="s">
        <v>55945</v>
      </c>
      <c r="J3411" t="s">
        <v>11490</v>
      </c>
      <c r="K3411" t="s">
        <v>74</v>
      </c>
      <c r="L3411" t="s">
        <v>74</v>
      </c>
      <c r="M3411" t="s">
        <v>78</v>
      </c>
      <c r="N3411" t="s">
        <v>79</v>
      </c>
      <c r="O3411" t="s">
        <v>74</v>
      </c>
      <c r="P3411" t="s">
        <v>74</v>
      </c>
      <c r="Q3411" t="s">
        <v>74</v>
      </c>
      <c r="R3411" t="s">
        <v>74</v>
      </c>
      <c r="S3411" t="s">
        <v>74</v>
      </c>
      <c r="T3411" t="s">
        <v>55946</v>
      </c>
      <c r="U3411" t="s">
        <v>55947</v>
      </c>
      <c r="V3411" t="s">
        <v>55948</v>
      </c>
      <c r="W3411" t="s">
        <v>55949</v>
      </c>
      <c r="X3411" t="s">
        <v>55950</v>
      </c>
      <c r="Y3411" t="s">
        <v>55951</v>
      </c>
      <c r="Z3411" t="s">
        <v>55952</v>
      </c>
      <c r="AA3411" t="s">
        <v>74</v>
      </c>
      <c r="AB3411" t="s">
        <v>55953</v>
      </c>
      <c r="AC3411" t="s">
        <v>74</v>
      </c>
      <c r="AD3411" t="s">
        <v>74</v>
      </c>
      <c r="AE3411" t="s">
        <v>74</v>
      </c>
      <c r="AF3411" t="s">
        <v>74</v>
      </c>
      <c r="AG3411">
        <v>65</v>
      </c>
      <c r="AH3411">
        <v>0</v>
      </c>
      <c r="AI3411">
        <v>0</v>
      </c>
      <c r="AJ3411">
        <v>0</v>
      </c>
      <c r="AK3411">
        <v>2</v>
      </c>
      <c r="AL3411" t="s">
        <v>332</v>
      </c>
      <c r="AM3411" t="s">
        <v>333</v>
      </c>
      <c r="AN3411" t="s">
        <v>334</v>
      </c>
      <c r="AO3411" t="s">
        <v>11502</v>
      </c>
      <c r="AP3411" t="s">
        <v>11503</v>
      </c>
      <c r="AQ3411" t="s">
        <v>74</v>
      </c>
      <c r="AR3411" t="s">
        <v>11504</v>
      </c>
      <c r="AS3411" t="s">
        <v>11505</v>
      </c>
      <c r="AT3411" t="s">
        <v>15405</v>
      </c>
      <c r="AU3411">
        <v>2025</v>
      </c>
      <c r="AV3411">
        <v>31</v>
      </c>
      <c r="AW3411">
        <v>8</v>
      </c>
      <c r="AX3411" t="s">
        <v>74</v>
      </c>
      <c r="AY3411" t="s">
        <v>74</v>
      </c>
      <c r="AZ3411" t="s">
        <v>74</v>
      </c>
      <c r="BA3411" t="s">
        <v>74</v>
      </c>
      <c r="BB3411">
        <v>1042</v>
      </c>
      <c r="BC3411">
        <v>1057</v>
      </c>
      <c r="BD3411" t="s">
        <v>74</v>
      </c>
      <c r="BE3411" t="s">
        <v>55954</v>
      </c>
      <c r="BF3411" t="str">
        <f>HYPERLINK("http://dx.doi.org/10.1080/1351847X.2024.2446718","http://dx.doi.org/10.1080/1351847X.2024.2446718")</f>
        <v>http://dx.doi.org/10.1080/1351847X.2024.2446718</v>
      </c>
      <c r="BG3411" t="s">
        <v>74</v>
      </c>
      <c r="BH3411" t="s">
        <v>1737</v>
      </c>
      <c r="BI3411">
        <v>16</v>
      </c>
      <c r="BJ3411" t="s">
        <v>268</v>
      </c>
      <c r="BK3411" t="s">
        <v>99</v>
      </c>
      <c r="BL3411" t="s">
        <v>100</v>
      </c>
      <c r="BM3411" t="s">
        <v>55955</v>
      </c>
      <c r="BN3411" t="s">
        <v>74</v>
      </c>
      <c r="BO3411" t="s">
        <v>270</v>
      </c>
      <c r="BP3411" t="s">
        <v>74</v>
      </c>
      <c r="BQ3411" t="s">
        <v>74</v>
      </c>
      <c r="BR3411" t="s">
        <v>102</v>
      </c>
      <c r="BS3411" t="s">
        <v>55956</v>
      </c>
      <c r="BT3411" t="str">
        <f>HYPERLINK("https%3A%2F%2Fwww.webofscience.com%2Fwos%2Fwoscc%2Ffull-record%2FWOS:001391862600001","View Full Record in Web of Science")</f>
        <v>View Full Record in Web of Science</v>
      </c>
    </row>
    <row r="3412" spans="1:72" x14ac:dyDescent="0.25">
      <c r="A3412" t="s">
        <v>72</v>
      </c>
      <c r="B3412" t="s">
        <v>55957</v>
      </c>
      <c r="C3412" t="s">
        <v>74</v>
      </c>
      <c r="D3412" t="s">
        <v>74</v>
      </c>
      <c r="E3412" t="s">
        <v>74</v>
      </c>
      <c r="F3412" t="s">
        <v>55958</v>
      </c>
      <c r="G3412" t="s">
        <v>74</v>
      </c>
      <c r="H3412" t="s">
        <v>74</v>
      </c>
      <c r="I3412" t="s">
        <v>55959</v>
      </c>
      <c r="J3412" t="s">
        <v>53125</v>
      </c>
      <c r="K3412" t="s">
        <v>74</v>
      </c>
      <c r="L3412" t="s">
        <v>74</v>
      </c>
      <c r="M3412" t="s">
        <v>78</v>
      </c>
      <c r="N3412" t="s">
        <v>372</v>
      </c>
      <c r="O3412" t="s">
        <v>74</v>
      </c>
      <c r="P3412" t="s">
        <v>74</v>
      </c>
      <c r="Q3412" t="s">
        <v>74</v>
      </c>
      <c r="R3412" t="s">
        <v>74</v>
      </c>
      <c r="S3412" t="s">
        <v>74</v>
      </c>
      <c r="T3412" t="s">
        <v>55960</v>
      </c>
      <c r="U3412" t="s">
        <v>55961</v>
      </c>
      <c r="V3412" t="s">
        <v>55962</v>
      </c>
      <c r="W3412" t="s">
        <v>55963</v>
      </c>
      <c r="X3412" t="s">
        <v>55964</v>
      </c>
      <c r="Y3412" t="s">
        <v>55965</v>
      </c>
      <c r="Z3412" t="s">
        <v>55966</v>
      </c>
      <c r="AA3412" t="s">
        <v>55967</v>
      </c>
      <c r="AB3412" t="s">
        <v>55968</v>
      </c>
      <c r="AC3412" t="s">
        <v>74</v>
      </c>
      <c r="AD3412" t="s">
        <v>74</v>
      </c>
      <c r="AE3412" t="s">
        <v>74</v>
      </c>
      <c r="AF3412" t="s">
        <v>74</v>
      </c>
      <c r="AG3412">
        <v>92</v>
      </c>
      <c r="AH3412">
        <v>4</v>
      </c>
      <c r="AI3412">
        <v>4</v>
      </c>
      <c r="AJ3412">
        <v>3</v>
      </c>
      <c r="AK3412">
        <v>8</v>
      </c>
      <c r="AL3412" t="s">
        <v>2907</v>
      </c>
      <c r="AM3412" t="s">
        <v>2908</v>
      </c>
      <c r="AN3412" t="s">
        <v>2909</v>
      </c>
      <c r="AO3412" t="s">
        <v>53129</v>
      </c>
      <c r="AP3412" t="s">
        <v>53130</v>
      </c>
      <c r="AQ3412" t="s">
        <v>74</v>
      </c>
      <c r="AR3412" t="s">
        <v>53131</v>
      </c>
      <c r="AS3412" t="s">
        <v>53132</v>
      </c>
      <c r="AT3412" t="s">
        <v>55969</v>
      </c>
      <c r="AU3412">
        <v>2024</v>
      </c>
      <c r="AV3412" t="s">
        <v>74</v>
      </c>
      <c r="AW3412" t="s">
        <v>74</v>
      </c>
      <c r="AX3412" t="s">
        <v>74</v>
      </c>
      <c r="AY3412" t="s">
        <v>74</v>
      </c>
      <c r="AZ3412" t="s">
        <v>74</v>
      </c>
      <c r="BA3412" t="s">
        <v>74</v>
      </c>
      <c r="BB3412" t="s">
        <v>74</v>
      </c>
      <c r="BC3412" t="s">
        <v>74</v>
      </c>
      <c r="BD3412" t="s">
        <v>74</v>
      </c>
      <c r="BE3412" t="s">
        <v>55970</v>
      </c>
      <c r="BF3412" t="str">
        <f>HYPERLINK("http://dx.doi.org/10.1057/s41270-024-00330-1","http://dx.doi.org/10.1057/s41270-024-00330-1")</f>
        <v>http://dx.doi.org/10.1057/s41270-024-00330-1</v>
      </c>
      <c r="BG3412" t="s">
        <v>74</v>
      </c>
      <c r="BH3412" t="s">
        <v>6256</v>
      </c>
      <c r="BI3412">
        <v>16</v>
      </c>
      <c r="BJ3412" t="s">
        <v>418</v>
      </c>
      <c r="BK3412" t="s">
        <v>313</v>
      </c>
      <c r="BL3412" t="s">
        <v>100</v>
      </c>
      <c r="BM3412" t="s">
        <v>55971</v>
      </c>
      <c r="BN3412" t="s">
        <v>74</v>
      </c>
      <c r="BO3412" t="s">
        <v>74</v>
      </c>
      <c r="BP3412" t="s">
        <v>74</v>
      </c>
      <c r="BQ3412" t="s">
        <v>74</v>
      </c>
      <c r="BR3412" t="s">
        <v>102</v>
      </c>
      <c r="BS3412" t="s">
        <v>55972</v>
      </c>
      <c r="BT3412" t="str">
        <f>HYPERLINK("https%3A%2F%2Fwww.webofscience.com%2Fwos%2Fwoscc%2Ffull-record%2FWOS:001239250900003","View Full Record in Web of Science")</f>
        <v>View Full Record in Web of Science</v>
      </c>
    </row>
    <row r="3413" spans="1:72" x14ac:dyDescent="0.25">
      <c r="A3413" t="s">
        <v>72</v>
      </c>
      <c r="B3413" t="s">
        <v>55973</v>
      </c>
      <c r="C3413" t="s">
        <v>74</v>
      </c>
      <c r="D3413" t="s">
        <v>74</v>
      </c>
      <c r="E3413" t="s">
        <v>74</v>
      </c>
      <c r="F3413" t="s">
        <v>55974</v>
      </c>
      <c r="G3413" t="s">
        <v>74</v>
      </c>
      <c r="H3413" t="s">
        <v>74</v>
      </c>
      <c r="I3413" t="s">
        <v>55975</v>
      </c>
      <c r="J3413" t="s">
        <v>55976</v>
      </c>
      <c r="K3413" t="s">
        <v>74</v>
      </c>
      <c r="L3413" t="s">
        <v>74</v>
      </c>
      <c r="M3413" t="s">
        <v>78</v>
      </c>
      <c r="N3413" t="s">
        <v>79</v>
      </c>
      <c r="O3413" t="s">
        <v>74</v>
      </c>
      <c r="P3413" t="s">
        <v>74</v>
      </c>
      <c r="Q3413" t="s">
        <v>74</v>
      </c>
      <c r="R3413" t="s">
        <v>74</v>
      </c>
      <c r="S3413" t="s">
        <v>74</v>
      </c>
      <c r="T3413" t="s">
        <v>74</v>
      </c>
      <c r="U3413" t="s">
        <v>55977</v>
      </c>
      <c r="V3413" t="s">
        <v>55978</v>
      </c>
      <c r="W3413" t="s">
        <v>55979</v>
      </c>
      <c r="X3413" t="s">
        <v>55980</v>
      </c>
      <c r="Y3413" t="s">
        <v>55981</v>
      </c>
      <c r="Z3413" t="s">
        <v>55982</v>
      </c>
      <c r="AA3413" t="s">
        <v>55983</v>
      </c>
      <c r="AB3413" t="s">
        <v>55984</v>
      </c>
      <c r="AC3413" t="s">
        <v>74</v>
      </c>
      <c r="AD3413" t="s">
        <v>74</v>
      </c>
      <c r="AE3413" t="s">
        <v>74</v>
      </c>
      <c r="AF3413" t="s">
        <v>74</v>
      </c>
      <c r="AG3413">
        <v>85</v>
      </c>
      <c r="AH3413">
        <v>13</v>
      </c>
      <c r="AI3413">
        <v>17</v>
      </c>
      <c r="AJ3413">
        <v>1</v>
      </c>
      <c r="AK3413">
        <v>23</v>
      </c>
      <c r="AL3413" t="s">
        <v>479</v>
      </c>
      <c r="AM3413" t="s">
        <v>480</v>
      </c>
      <c r="AN3413" t="s">
        <v>481</v>
      </c>
      <c r="AO3413" t="s">
        <v>55985</v>
      </c>
      <c r="AP3413" t="s">
        <v>55986</v>
      </c>
      <c r="AQ3413" t="s">
        <v>74</v>
      </c>
      <c r="AR3413" t="s">
        <v>55987</v>
      </c>
      <c r="AS3413" t="s">
        <v>55988</v>
      </c>
      <c r="AT3413" t="s">
        <v>208</v>
      </c>
      <c r="AU3413">
        <v>2024</v>
      </c>
      <c r="AV3413">
        <v>35</v>
      </c>
      <c r="AW3413">
        <v>1</v>
      </c>
      <c r="AX3413" t="s">
        <v>74</v>
      </c>
      <c r="AY3413" t="s">
        <v>74</v>
      </c>
      <c r="AZ3413" t="s">
        <v>74</v>
      </c>
      <c r="BA3413" t="s">
        <v>74</v>
      </c>
      <c r="BB3413">
        <v>115</v>
      </c>
      <c r="BC3413">
        <v>136</v>
      </c>
      <c r="BD3413" t="s">
        <v>74</v>
      </c>
      <c r="BE3413" t="s">
        <v>55989</v>
      </c>
      <c r="BF3413" t="str">
        <f>HYPERLINK("http://dx.doi.org/10.1111/1467-8551.12703","http://dx.doi.org/10.1111/1467-8551.12703")</f>
        <v>http://dx.doi.org/10.1111/1467-8551.12703</v>
      </c>
      <c r="BG3413" t="s">
        <v>74</v>
      </c>
      <c r="BH3413" t="s">
        <v>11288</v>
      </c>
      <c r="BI3413">
        <v>22</v>
      </c>
      <c r="BJ3413" t="s">
        <v>98</v>
      </c>
      <c r="BK3413" t="s">
        <v>99</v>
      </c>
      <c r="BL3413" t="s">
        <v>100</v>
      </c>
      <c r="BM3413" t="s">
        <v>55990</v>
      </c>
      <c r="BN3413" t="s">
        <v>74</v>
      </c>
      <c r="BO3413" t="s">
        <v>25217</v>
      </c>
      <c r="BP3413" t="s">
        <v>74</v>
      </c>
      <c r="BQ3413" t="s">
        <v>74</v>
      </c>
      <c r="BR3413" t="s">
        <v>102</v>
      </c>
      <c r="BS3413" t="s">
        <v>55991</v>
      </c>
      <c r="BT3413" t="str">
        <f>HYPERLINK("https%3A%2F%2Fwww.webofscience.com%2Fwos%2Fwoscc%2Ffull-record%2FWOS:000919249900001","View Full Record in Web of Science")</f>
        <v>View Full Record in Web of Science</v>
      </c>
    </row>
    <row r="3414" spans="1:72" x14ac:dyDescent="0.25">
      <c r="A3414" t="s">
        <v>72</v>
      </c>
      <c r="B3414" t="s">
        <v>55992</v>
      </c>
      <c r="C3414" t="s">
        <v>74</v>
      </c>
      <c r="D3414" t="s">
        <v>74</v>
      </c>
      <c r="E3414" t="s">
        <v>74</v>
      </c>
      <c r="F3414" t="s">
        <v>55993</v>
      </c>
      <c r="G3414" t="s">
        <v>74</v>
      </c>
      <c r="H3414" t="s">
        <v>74</v>
      </c>
      <c r="I3414" t="s">
        <v>55994</v>
      </c>
      <c r="J3414" t="s">
        <v>16127</v>
      </c>
      <c r="K3414" t="s">
        <v>74</v>
      </c>
      <c r="L3414" t="s">
        <v>74</v>
      </c>
      <c r="M3414" t="s">
        <v>78</v>
      </c>
      <c r="N3414" t="s">
        <v>79</v>
      </c>
      <c r="O3414" t="s">
        <v>74</v>
      </c>
      <c r="P3414" t="s">
        <v>74</v>
      </c>
      <c r="Q3414" t="s">
        <v>74</v>
      </c>
      <c r="R3414" t="s">
        <v>74</v>
      </c>
      <c r="S3414" t="s">
        <v>74</v>
      </c>
      <c r="T3414" t="s">
        <v>55995</v>
      </c>
      <c r="U3414" t="s">
        <v>55996</v>
      </c>
      <c r="V3414" t="s">
        <v>55997</v>
      </c>
      <c r="W3414" t="s">
        <v>55998</v>
      </c>
      <c r="X3414" t="s">
        <v>55999</v>
      </c>
      <c r="Y3414" t="s">
        <v>56000</v>
      </c>
      <c r="Z3414" t="s">
        <v>56001</v>
      </c>
      <c r="AA3414" t="s">
        <v>56002</v>
      </c>
      <c r="AB3414" t="s">
        <v>74</v>
      </c>
      <c r="AC3414" t="s">
        <v>56003</v>
      </c>
      <c r="AD3414" t="s">
        <v>56004</v>
      </c>
      <c r="AE3414" t="s">
        <v>56005</v>
      </c>
      <c r="AF3414" t="s">
        <v>74</v>
      </c>
      <c r="AG3414">
        <v>30</v>
      </c>
      <c r="AH3414">
        <v>0</v>
      </c>
      <c r="AI3414">
        <v>0</v>
      </c>
      <c r="AJ3414">
        <v>0</v>
      </c>
      <c r="AK3414">
        <v>5</v>
      </c>
      <c r="AL3414" t="s">
        <v>16138</v>
      </c>
      <c r="AM3414" t="s">
        <v>16139</v>
      </c>
      <c r="AN3414" t="s">
        <v>16140</v>
      </c>
      <c r="AO3414" t="s">
        <v>16141</v>
      </c>
      <c r="AP3414" t="s">
        <v>16142</v>
      </c>
      <c r="AQ3414" t="s">
        <v>74</v>
      </c>
      <c r="AR3414" t="s">
        <v>16143</v>
      </c>
      <c r="AS3414" t="s">
        <v>16144</v>
      </c>
      <c r="AT3414" t="s">
        <v>289</v>
      </c>
      <c r="AU3414">
        <v>2024</v>
      </c>
      <c r="AV3414">
        <v>28</v>
      </c>
      <c r="AW3414">
        <v>8</v>
      </c>
      <c r="AX3414" t="s">
        <v>74</v>
      </c>
      <c r="AY3414" t="s">
        <v>74</v>
      </c>
      <c r="AZ3414" t="s">
        <v>74</v>
      </c>
      <c r="BA3414" t="s">
        <v>74</v>
      </c>
      <c r="BB3414">
        <v>122</v>
      </c>
      <c r="BC3414">
        <v>132</v>
      </c>
      <c r="BD3414" t="s">
        <v>74</v>
      </c>
      <c r="BE3414" t="s">
        <v>56006</v>
      </c>
      <c r="BF3414" t="str">
        <f>HYPERLINK("http://dx.doi.org/10.29063/ajrh2024/v28i8.12","http://dx.doi.org/10.29063/ajrh2024/v28i8.12")</f>
        <v>http://dx.doi.org/10.29063/ajrh2024/v28i8.12</v>
      </c>
      <c r="BG3414" t="s">
        <v>74</v>
      </c>
      <c r="BH3414" t="s">
        <v>74</v>
      </c>
      <c r="BI3414">
        <v>11</v>
      </c>
      <c r="BJ3414" t="s">
        <v>7080</v>
      </c>
      <c r="BK3414" t="s">
        <v>99</v>
      </c>
      <c r="BL3414" t="s">
        <v>7080</v>
      </c>
      <c r="BM3414" t="s">
        <v>36867</v>
      </c>
      <c r="BN3414">
        <v>39225559</v>
      </c>
      <c r="BO3414" t="s">
        <v>212</v>
      </c>
      <c r="BP3414" t="s">
        <v>74</v>
      </c>
      <c r="BQ3414" t="s">
        <v>74</v>
      </c>
      <c r="BR3414" t="s">
        <v>102</v>
      </c>
      <c r="BS3414" t="s">
        <v>56007</v>
      </c>
      <c r="BT3414" t="str">
        <f>HYPERLINK("https%3A%2F%2Fwww.webofscience.com%2Fwos%2Fwoscc%2Ffull-record%2FWOS:001306482600012","View Full Record in Web of Science")</f>
        <v>View Full Record in Web of Science</v>
      </c>
    </row>
    <row r="3415" spans="1:72" x14ac:dyDescent="0.25">
      <c r="A3415" t="s">
        <v>72</v>
      </c>
      <c r="B3415" t="s">
        <v>56008</v>
      </c>
      <c r="C3415" t="s">
        <v>74</v>
      </c>
      <c r="D3415" t="s">
        <v>74</v>
      </c>
      <c r="E3415" t="s">
        <v>74</v>
      </c>
      <c r="F3415" t="s">
        <v>56009</v>
      </c>
      <c r="G3415" t="s">
        <v>74</v>
      </c>
      <c r="H3415" t="s">
        <v>74</v>
      </c>
      <c r="I3415" t="s">
        <v>56010</v>
      </c>
      <c r="J3415" t="s">
        <v>17556</v>
      </c>
      <c r="K3415" t="s">
        <v>74</v>
      </c>
      <c r="L3415" t="s">
        <v>74</v>
      </c>
      <c r="M3415" t="s">
        <v>78</v>
      </c>
      <c r="N3415" t="s">
        <v>1766</v>
      </c>
      <c r="O3415" t="s">
        <v>74</v>
      </c>
      <c r="P3415" t="s">
        <v>74</v>
      </c>
      <c r="Q3415" t="s">
        <v>74</v>
      </c>
      <c r="R3415" t="s">
        <v>74</v>
      </c>
      <c r="S3415" t="s">
        <v>74</v>
      </c>
      <c r="T3415" t="s">
        <v>56011</v>
      </c>
      <c r="U3415" t="s">
        <v>56012</v>
      </c>
      <c r="V3415" t="s">
        <v>56013</v>
      </c>
      <c r="W3415" t="s">
        <v>56014</v>
      </c>
      <c r="X3415" t="s">
        <v>50291</v>
      </c>
      <c r="Y3415" t="s">
        <v>56015</v>
      </c>
      <c r="Z3415" t="s">
        <v>56016</v>
      </c>
      <c r="AA3415" t="s">
        <v>56017</v>
      </c>
      <c r="AB3415" t="s">
        <v>56018</v>
      </c>
      <c r="AC3415" t="s">
        <v>74</v>
      </c>
      <c r="AD3415" t="s">
        <v>74</v>
      </c>
      <c r="AE3415" t="s">
        <v>74</v>
      </c>
      <c r="AF3415" t="s">
        <v>74</v>
      </c>
      <c r="AG3415">
        <v>155</v>
      </c>
      <c r="AH3415">
        <v>1</v>
      </c>
      <c r="AI3415">
        <v>2</v>
      </c>
      <c r="AJ3415">
        <v>1</v>
      </c>
      <c r="AK3415">
        <v>24</v>
      </c>
      <c r="AL3415" t="s">
        <v>17564</v>
      </c>
      <c r="AM3415" t="s">
        <v>17565</v>
      </c>
      <c r="AN3415" t="s">
        <v>17566</v>
      </c>
      <c r="AO3415" t="s">
        <v>17567</v>
      </c>
      <c r="AP3415" t="s">
        <v>17568</v>
      </c>
      <c r="AQ3415" t="s">
        <v>74</v>
      </c>
      <c r="AR3415" t="s">
        <v>17569</v>
      </c>
      <c r="AS3415" t="s">
        <v>17570</v>
      </c>
      <c r="AT3415" t="s">
        <v>74</v>
      </c>
      <c r="AU3415">
        <v>2024</v>
      </c>
      <c r="AV3415">
        <v>8</v>
      </c>
      <c r="AW3415">
        <v>4</v>
      </c>
      <c r="AX3415" t="s">
        <v>74</v>
      </c>
      <c r="AY3415" t="s">
        <v>74</v>
      </c>
      <c r="AZ3415" t="s">
        <v>74</v>
      </c>
      <c r="BA3415" t="s">
        <v>74</v>
      </c>
      <c r="BB3415" t="s">
        <v>74</v>
      </c>
      <c r="BC3415" t="s">
        <v>74</v>
      </c>
      <c r="BD3415">
        <v>3410</v>
      </c>
      <c r="BE3415" t="s">
        <v>56019</v>
      </c>
      <c r="BF3415" t="str">
        <f>HYPERLINK("http://dx.doi.org/10.24294/jipd.v8i4.3410","http://dx.doi.org/10.24294/jipd.v8i4.3410")</f>
        <v>http://dx.doi.org/10.24294/jipd.v8i4.3410</v>
      </c>
      <c r="BG3415" t="s">
        <v>74</v>
      </c>
      <c r="BH3415" t="s">
        <v>74</v>
      </c>
      <c r="BI3415">
        <v>27</v>
      </c>
      <c r="BJ3415" t="s">
        <v>583</v>
      </c>
      <c r="BK3415" t="s">
        <v>313</v>
      </c>
      <c r="BL3415" t="s">
        <v>100</v>
      </c>
      <c r="BM3415" t="s">
        <v>56020</v>
      </c>
      <c r="BN3415" t="s">
        <v>74</v>
      </c>
      <c r="BO3415" t="s">
        <v>212</v>
      </c>
      <c r="BP3415" t="s">
        <v>74</v>
      </c>
      <c r="BQ3415" t="s">
        <v>74</v>
      </c>
      <c r="BR3415" t="s">
        <v>102</v>
      </c>
      <c r="BS3415" t="s">
        <v>56021</v>
      </c>
      <c r="BT3415" t="str">
        <f>HYPERLINK("https%3A%2F%2Fwww.webofscience.com%2Fwos%2Fwoscc%2Ffull-record%2FWOS:001209446700032","View Full Record in Web of Science")</f>
        <v>View Full Record in Web of Science</v>
      </c>
    </row>
    <row r="3416" spans="1:72" x14ac:dyDescent="0.25">
      <c r="A3416" t="s">
        <v>72</v>
      </c>
      <c r="B3416" t="s">
        <v>56022</v>
      </c>
      <c r="C3416" t="s">
        <v>74</v>
      </c>
      <c r="D3416" t="s">
        <v>74</v>
      </c>
      <c r="E3416" t="s">
        <v>74</v>
      </c>
      <c r="F3416" t="s">
        <v>56023</v>
      </c>
      <c r="G3416" t="s">
        <v>74</v>
      </c>
      <c r="H3416" t="s">
        <v>74</v>
      </c>
      <c r="I3416" t="s">
        <v>56024</v>
      </c>
      <c r="J3416" t="s">
        <v>5036</v>
      </c>
      <c r="K3416" t="s">
        <v>74</v>
      </c>
      <c r="L3416" t="s">
        <v>74</v>
      </c>
      <c r="M3416" t="s">
        <v>78</v>
      </c>
      <c r="N3416" t="s">
        <v>79</v>
      </c>
      <c r="O3416" t="s">
        <v>74</v>
      </c>
      <c r="P3416" t="s">
        <v>74</v>
      </c>
      <c r="Q3416" t="s">
        <v>74</v>
      </c>
      <c r="R3416" t="s">
        <v>74</v>
      </c>
      <c r="S3416" t="s">
        <v>74</v>
      </c>
      <c r="T3416" t="s">
        <v>56025</v>
      </c>
      <c r="U3416" t="s">
        <v>74</v>
      </c>
      <c r="V3416" t="s">
        <v>56026</v>
      </c>
      <c r="W3416" t="s">
        <v>56027</v>
      </c>
      <c r="X3416" t="s">
        <v>56028</v>
      </c>
      <c r="Y3416" t="s">
        <v>56029</v>
      </c>
      <c r="Z3416" t="s">
        <v>56030</v>
      </c>
      <c r="AA3416" t="s">
        <v>74</v>
      </c>
      <c r="AB3416" t="s">
        <v>56031</v>
      </c>
      <c r="AC3416" t="s">
        <v>49933</v>
      </c>
      <c r="AD3416" t="s">
        <v>45532</v>
      </c>
      <c r="AE3416" t="s">
        <v>56032</v>
      </c>
      <c r="AF3416" t="s">
        <v>74</v>
      </c>
      <c r="AG3416">
        <v>20</v>
      </c>
      <c r="AH3416">
        <v>0</v>
      </c>
      <c r="AI3416">
        <v>0</v>
      </c>
      <c r="AJ3416">
        <v>1</v>
      </c>
      <c r="AK3416">
        <v>2</v>
      </c>
      <c r="AL3416" t="s">
        <v>201</v>
      </c>
      <c r="AM3416" t="s">
        <v>202</v>
      </c>
      <c r="AN3416" t="s">
        <v>203</v>
      </c>
      <c r="AO3416" t="s">
        <v>5045</v>
      </c>
      <c r="AP3416" t="s">
        <v>5046</v>
      </c>
      <c r="AQ3416" t="s">
        <v>74</v>
      </c>
      <c r="AR3416" t="s">
        <v>5047</v>
      </c>
      <c r="AS3416" t="s">
        <v>5048</v>
      </c>
      <c r="AT3416" t="s">
        <v>124</v>
      </c>
      <c r="AU3416">
        <v>2023</v>
      </c>
      <c r="AV3416">
        <v>89</v>
      </c>
      <c r="AW3416" t="s">
        <v>74</v>
      </c>
      <c r="AX3416" t="s">
        <v>74</v>
      </c>
      <c r="AY3416" t="s">
        <v>74</v>
      </c>
      <c r="AZ3416" t="s">
        <v>74</v>
      </c>
      <c r="BA3416" t="s">
        <v>74</v>
      </c>
      <c r="BB3416" t="s">
        <v>74</v>
      </c>
      <c r="BC3416" t="s">
        <v>74</v>
      </c>
      <c r="BD3416">
        <v>101655</v>
      </c>
      <c r="BE3416" t="s">
        <v>56033</v>
      </c>
      <c r="BF3416" t="str">
        <f>HYPERLINK("http://dx.doi.org/10.1016/j.asieco.2023.101655","http://dx.doi.org/10.1016/j.asieco.2023.101655")</f>
        <v>http://dx.doi.org/10.1016/j.asieco.2023.101655</v>
      </c>
      <c r="BG3416" t="s">
        <v>74</v>
      </c>
      <c r="BH3416" t="s">
        <v>5567</v>
      </c>
      <c r="BI3416">
        <v>15</v>
      </c>
      <c r="BJ3416" t="s">
        <v>291</v>
      </c>
      <c r="BK3416" t="s">
        <v>99</v>
      </c>
      <c r="BL3416" t="s">
        <v>100</v>
      </c>
      <c r="BM3416" t="s">
        <v>56034</v>
      </c>
      <c r="BN3416" t="s">
        <v>74</v>
      </c>
      <c r="BO3416" t="s">
        <v>74</v>
      </c>
      <c r="BP3416" t="s">
        <v>74</v>
      </c>
      <c r="BQ3416" t="s">
        <v>74</v>
      </c>
      <c r="BR3416" t="s">
        <v>102</v>
      </c>
      <c r="BS3416" t="s">
        <v>56035</v>
      </c>
      <c r="BT3416" t="str">
        <f>HYPERLINK("https%3A%2F%2Fwww.webofscience.com%2Fwos%2Fwoscc%2Ffull-record%2FWOS:001095641700001","View Full Record in Web of Science")</f>
        <v>View Full Record in Web of Science</v>
      </c>
    </row>
    <row r="3417" spans="1:72" x14ac:dyDescent="0.25">
      <c r="A3417" t="s">
        <v>72</v>
      </c>
      <c r="B3417" t="s">
        <v>56036</v>
      </c>
      <c r="C3417" t="s">
        <v>74</v>
      </c>
      <c r="D3417" t="s">
        <v>74</v>
      </c>
      <c r="E3417" t="s">
        <v>74</v>
      </c>
      <c r="F3417" t="s">
        <v>56037</v>
      </c>
      <c r="G3417" t="s">
        <v>74</v>
      </c>
      <c r="H3417" t="s">
        <v>74</v>
      </c>
      <c r="I3417" t="s">
        <v>56038</v>
      </c>
      <c r="J3417" t="s">
        <v>4842</v>
      </c>
      <c r="K3417" t="s">
        <v>74</v>
      </c>
      <c r="L3417" t="s">
        <v>74</v>
      </c>
      <c r="M3417" t="s">
        <v>78</v>
      </c>
      <c r="N3417" t="s">
        <v>79</v>
      </c>
      <c r="O3417" t="s">
        <v>74</v>
      </c>
      <c r="P3417" t="s">
        <v>74</v>
      </c>
      <c r="Q3417" t="s">
        <v>74</v>
      </c>
      <c r="R3417" t="s">
        <v>74</v>
      </c>
      <c r="S3417" t="s">
        <v>74</v>
      </c>
      <c r="T3417" t="s">
        <v>56039</v>
      </c>
      <c r="U3417" t="s">
        <v>56040</v>
      </c>
      <c r="V3417" t="s">
        <v>56041</v>
      </c>
      <c r="W3417" t="s">
        <v>56042</v>
      </c>
      <c r="X3417" t="s">
        <v>38969</v>
      </c>
      <c r="Y3417" t="s">
        <v>56043</v>
      </c>
      <c r="Z3417" t="s">
        <v>56044</v>
      </c>
      <c r="AA3417" t="s">
        <v>56045</v>
      </c>
      <c r="AB3417" t="s">
        <v>56046</v>
      </c>
      <c r="AC3417" t="s">
        <v>74</v>
      </c>
      <c r="AD3417" t="s">
        <v>74</v>
      </c>
      <c r="AE3417" t="s">
        <v>74</v>
      </c>
      <c r="AF3417" t="s">
        <v>74</v>
      </c>
      <c r="AG3417">
        <v>58</v>
      </c>
      <c r="AH3417">
        <v>5</v>
      </c>
      <c r="AI3417">
        <v>7</v>
      </c>
      <c r="AJ3417">
        <v>0</v>
      </c>
      <c r="AK3417">
        <v>22</v>
      </c>
      <c r="AL3417" t="s">
        <v>823</v>
      </c>
      <c r="AM3417" t="s">
        <v>333</v>
      </c>
      <c r="AN3417" t="s">
        <v>824</v>
      </c>
      <c r="AO3417" t="s">
        <v>4853</v>
      </c>
      <c r="AP3417" t="s">
        <v>74</v>
      </c>
      <c r="AQ3417" t="s">
        <v>74</v>
      </c>
      <c r="AR3417" t="s">
        <v>4854</v>
      </c>
      <c r="AS3417" t="s">
        <v>4855</v>
      </c>
      <c r="AT3417" t="s">
        <v>26706</v>
      </c>
      <c r="AU3417">
        <v>2018</v>
      </c>
      <c r="AV3417">
        <v>5</v>
      </c>
      <c r="AW3417">
        <v>1</v>
      </c>
      <c r="AX3417" t="s">
        <v>74</v>
      </c>
      <c r="AY3417" t="s">
        <v>74</v>
      </c>
      <c r="AZ3417" t="s">
        <v>74</v>
      </c>
      <c r="BA3417" t="s">
        <v>74</v>
      </c>
      <c r="BB3417" t="s">
        <v>74</v>
      </c>
      <c r="BC3417" t="s">
        <v>74</v>
      </c>
      <c r="BD3417">
        <v>1512833</v>
      </c>
      <c r="BE3417" t="s">
        <v>56047</v>
      </c>
      <c r="BF3417" t="str">
        <f>HYPERLINK("http://dx.doi.org/10.1080/23311975.2018.1512833","http://dx.doi.org/10.1080/23311975.2018.1512833")</f>
        <v>http://dx.doi.org/10.1080/23311975.2018.1512833</v>
      </c>
      <c r="BG3417" t="s">
        <v>74</v>
      </c>
      <c r="BH3417" t="s">
        <v>74</v>
      </c>
      <c r="BI3417">
        <v>29</v>
      </c>
      <c r="BJ3417" t="s">
        <v>418</v>
      </c>
      <c r="BK3417" t="s">
        <v>313</v>
      </c>
      <c r="BL3417" t="s">
        <v>100</v>
      </c>
      <c r="BM3417" t="s">
        <v>56048</v>
      </c>
      <c r="BN3417" t="s">
        <v>74</v>
      </c>
      <c r="BO3417" t="s">
        <v>916</v>
      </c>
      <c r="BP3417" t="s">
        <v>74</v>
      </c>
      <c r="BQ3417" t="s">
        <v>74</v>
      </c>
      <c r="BR3417" t="s">
        <v>102</v>
      </c>
      <c r="BS3417" t="s">
        <v>56049</v>
      </c>
      <c r="BT3417" t="str">
        <f>HYPERLINK("https%3A%2F%2Fwww.webofscience.com%2Fwos%2Fwoscc%2Ffull-record%2FWOS:000444991900001","View Full Record in Web of Science")</f>
        <v>View Full Record in Web of Science</v>
      </c>
    </row>
    <row r="3418" spans="1:72" x14ac:dyDescent="0.25">
      <c r="A3418" t="s">
        <v>132</v>
      </c>
      <c r="B3418" t="s">
        <v>56050</v>
      </c>
      <c r="C3418" t="s">
        <v>74</v>
      </c>
      <c r="D3418" t="s">
        <v>74</v>
      </c>
      <c r="E3418" t="s">
        <v>134</v>
      </c>
      <c r="F3418" t="s">
        <v>56051</v>
      </c>
      <c r="G3418" t="s">
        <v>74</v>
      </c>
      <c r="H3418" t="s">
        <v>74</v>
      </c>
      <c r="I3418" t="s">
        <v>56052</v>
      </c>
      <c r="J3418" t="s">
        <v>56053</v>
      </c>
      <c r="K3418" t="s">
        <v>74</v>
      </c>
      <c r="L3418" t="s">
        <v>74</v>
      </c>
      <c r="M3418" t="s">
        <v>78</v>
      </c>
      <c r="N3418" t="s">
        <v>138</v>
      </c>
      <c r="O3418" t="s">
        <v>56054</v>
      </c>
      <c r="P3418" t="s">
        <v>56055</v>
      </c>
      <c r="Q3418" t="s">
        <v>56056</v>
      </c>
      <c r="R3418" t="s">
        <v>74</v>
      </c>
      <c r="S3418" t="s">
        <v>56057</v>
      </c>
      <c r="T3418" t="s">
        <v>56058</v>
      </c>
      <c r="U3418" t="s">
        <v>56059</v>
      </c>
      <c r="V3418" t="s">
        <v>56060</v>
      </c>
      <c r="W3418" t="s">
        <v>56061</v>
      </c>
      <c r="X3418" t="s">
        <v>34746</v>
      </c>
      <c r="Y3418" t="s">
        <v>56062</v>
      </c>
      <c r="Z3418" t="s">
        <v>56063</v>
      </c>
      <c r="AA3418" t="s">
        <v>56064</v>
      </c>
      <c r="AB3418" t="s">
        <v>56065</v>
      </c>
      <c r="AC3418" t="s">
        <v>56066</v>
      </c>
      <c r="AD3418" t="s">
        <v>56067</v>
      </c>
      <c r="AE3418" t="s">
        <v>56068</v>
      </c>
      <c r="AF3418" t="s">
        <v>74</v>
      </c>
      <c r="AG3418">
        <v>51</v>
      </c>
      <c r="AH3418">
        <v>6</v>
      </c>
      <c r="AI3418">
        <v>6</v>
      </c>
      <c r="AJ3418">
        <v>0</v>
      </c>
      <c r="AK3418">
        <v>1</v>
      </c>
      <c r="AL3418" t="s">
        <v>150</v>
      </c>
      <c r="AM3418" t="s">
        <v>151</v>
      </c>
      <c r="AN3418" t="s">
        <v>1560</v>
      </c>
      <c r="AO3418" t="s">
        <v>74</v>
      </c>
      <c r="AP3418" t="s">
        <v>74</v>
      </c>
      <c r="AQ3418" t="s">
        <v>56069</v>
      </c>
      <c r="AR3418" t="s">
        <v>74</v>
      </c>
      <c r="AS3418" t="s">
        <v>74</v>
      </c>
      <c r="AT3418" t="s">
        <v>74</v>
      </c>
      <c r="AU3418">
        <v>2024</v>
      </c>
      <c r="AV3418" t="s">
        <v>74</v>
      </c>
      <c r="AW3418" t="s">
        <v>74</v>
      </c>
      <c r="AX3418" t="s">
        <v>74</v>
      </c>
      <c r="AY3418" t="s">
        <v>74</v>
      </c>
      <c r="AZ3418" t="s">
        <v>74</v>
      </c>
      <c r="BA3418" t="s">
        <v>74</v>
      </c>
      <c r="BB3418" t="s">
        <v>74</v>
      </c>
      <c r="BC3418" t="s">
        <v>74</v>
      </c>
      <c r="BD3418">
        <v>4</v>
      </c>
      <c r="BE3418" t="s">
        <v>56070</v>
      </c>
      <c r="BF3418" t="str">
        <f>HYPERLINK("http://dx.doi.org/10.1145/3670947.3670962","http://dx.doi.org/10.1145/3670947.3670962")</f>
        <v>http://dx.doi.org/10.1145/3670947.3670962</v>
      </c>
      <c r="BG3418" t="s">
        <v>74</v>
      </c>
      <c r="BH3418" t="s">
        <v>74</v>
      </c>
      <c r="BI3418">
        <v>14</v>
      </c>
      <c r="BJ3418" t="s">
        <v>56071</v>
      </c>
      <c r="BK3418" t="s">
        <v>156</v>
      </c>
      <c r="BL3418" t="s">
        <v>157</v>
      </c>
      <c r="BM3418" t="s">
        <v>56072</v>
      </c>
      <c r="BN3418" t="s">
        <v>74</v>
      </c>
      <c r="BO3418" t="s">
        <v>74</v>
      </c>
      <c r="BP3418" t="s">
        <v>74</v>
      </c>
      <c r="BQ3418" t="s">
        <v>74</v>
      </c>
      <c r="BR3418" t="s">
        <v>102</v>
      </c>
      <c r="BS3418" t="s">
        <v>56073</v>
      </c>
      <c r="BT3418" t="str">
        <f>HYPERLINK("https%3A%2F%2Fwww.webofscience.com%2Fwos%2Fwoscc%2Ffull-record%2FWOS:001325256200014","View Full Record in Web of Science")</f>
        <v>View Full Record in Web of Science</v>
      </c>
    </row>
    <row r="3419" spans="1:72" x14ac:dyDescent="0.25">
      <c r="A3419" t="s">
        <v>72</v>
      </c>
      <c r="B3419" t="s">
        <v>56074</v>
      </c>
      <c r="C3419" t="s">
        <v>74</v>
      </c>
      <c r="D3419" t="s">
        <v>74</v>
      </c>
      <c r="E3419" t="s">
        <v>74</v>
      </c>
      <c r="F3419" t="s">
        <v>56075</v>
      </c>
      <c r="G3419" t="s">
        <v>74</v>
      </c>
      <c r="H3419" t="s">
        <v>74</v>
      </c>
      <c r="I3419" t="s">
        <v>56076</v>
      </c>
      <c r="J3419" t="s">
        <v>3493</v>
      </c>
      <c r="K3419" t="s">
        <v>74</v>
      </c>
      <c r="L3419" t="s">
        <v>74</v>
      </c>
      <c r="M3419" t="s">
        <v>78</v>
      </c>
      <c r="N3419" t="s">
        <v>79</v>
      </c>
      <c r="O3419" t="s">
        <v>74</v>
      </c>
      <c r="P3419" t="s">
        <v>74</v>
      </c>
      <c r="Q3419" t="s">
        <v>74</v>
      </c>
      <c r="R3419" t="s">
        <v>74</v>
      </c>
      <c r="S3419" t="s">
        <v>74</v>
      </c>
      <c r="T3419" t="s">
        <v>56077</v>
      </c>
      <c r="U3419" t="s">
        <v>56078</v>
      </c>
      <c r="V3419" t="s">
        <v>56079</v>
      </c>
      <c r="W3419" t="s">
        <v>56080</v>
      </c>
      <c r="X3419" t="s">
        <v>56081</v>
      </c>
      <c r="Y3419" t="s">
        <v>56082</v>
      </c>
      <c r="Z3419" t="s">
        <v>56083</v>
      </c>
      <c r="AA3419" t="s">
        <v>74</v>
      </c>
      <c r="AB3419" t="s">
        <v>56084</v>
      </c>
      <c r="AC3419" t="s">
        <v>74</v>
      </c>
      <c r="AD3419" t="s">
        <v>74</v>
      </c>
      <c r="AE3419" t="s">
        <v>74</v>
      </c>
      <c r="AF3419" t="s">
        <v>74</v>
      </c>
      <c r="AG3419">
        <v>27</v>
      </c>
      <c r="AH3419">
        <v>23</v>
      </c>
      <c r="AI3419">
        <v>25</v>
      </c>
      <c r="AJ3419">
        <v>4</v>
      </c>
      <c r="AK3419">
        <v>38</v>
      </c>
      <c r="AL3419" t="s">
        <v>201</v>
      </c>
      <c r="AM3419" t="s">
        <v>202</v>
      </c>
      <c r="AN3419" t="s">
        <v>203</v>
      </c>
      <c r="AO3419" t="s">
        <v>3500</v>
      </c>
      <c r="AP3419" t="s">
        <v>3501</v>
      </c>
      <c r="AQ3419" t="s">
        <v>74</v>
      </c>
      <c r="AR3419" t="s">
        <v>3502</v>
      </c>
      <c r="AS3419" t="s">
        <v>3503</v>
      </c>
      <c r="AT3419" t="s">
        <v>605</v>
      </c>
      <c r="AU3419">
        <v>2022</v>
      </c>
      <c r="AV3419">
        <v>136</v>
      </c>
      <c r="AW3419" t="s">
        <v>74</v>
      </c>
      <c r="AX3419" t="s">
        <v>74</v>
      </c>
      <c r="AY3419" t="s">
        <v>74</v>
      </c>
      <c r="AZ3419" t="s">
        <v>74</v>
      </c>
      <c r="BA3419" t="s">
        <v>74</v>
      </c>
      <c r="BB3419" t="s">
        <v>74</v>
      </c>
      <c r="BC3419" t="s">
        <v>74</v>
      </c>
      <c r="BD3419">
        <v>106224</v>
      </c>
      <c r="BE3419" t="s">
        <v>56085</v>
      </c>
      <c r="BF3419" t="str">
        <f>HYPERLINK("http://dx.doi.org/10.1016/j.jbankfin.2021.106224","http://dx.doi.org/10.1016/j.jbankfin.2021.106224")</f>
        <v>http://dx.doi.org/10.1016/j.jbankfin.2021.106224</v>
      </c>
      <c r="BG3419" t="s">
        <v>74</v>
      </c>
      <c r="BH3419" t="s">
        <v>767</v>
      </c>
      <c r="BI3419">
        <v>27</v>
      </c>
      <c r="BJ3419" t="s">
        <v>210</v>
      </c>
      <c r="BK3419" t="s">
        <v>99</v>
      </c>
      <c r="BL3419" t="s">
        <v>100</v>
      </c>
      <c r="BM3419" t="s">
        <v>56086</v>
      </c>
      <c r="BN3419" t="s">
        <v>74</v>
      </c>
      <c r="BO3419" t="s">
        <v>466</v>
      </c>
      <c r="BP3419" t="s">
        <v>74</v>
      </c>
      <c r="BQ3419" t="s">
        <v>74</v>
      </c>
      <c r="BR3419" t="s">
        <v>102</v>
      </c>
      <c r="BS3419" t="s">
        <v>56087</v>
      </c>
      <c r="BT3419" t="str">
        <f>HYPERLINK("https%3A%2F%2Fwww.webofscience.com%2Fwos%2Fwoscc%2Ffull-record%2FWOS:000788362500012","View Full Record in Web of Science")</f>
        <v>View Full Record in Web of Science</v>
      </c>
    </row>
    <row r="3420" spans="1:72" x14ac:dyDescent="0.25">
      <c r="A3420" t="s">
        <v>72</v>
      </c>
      <c r="B3420" t="s">
        <v>56088</v>
      </c>
      <c r="C3420" t="s">
        <v>74</v>
      </c>
      <c r="D3420" t="s">
        <v>74</v>
      </c>
      <c r="E3420" t="s">
        <v>74</v>
      </c>
      <c r="F3420" t="s">
        <v>56089</v>
      </c>
      <c r="G3420" t="s">
        <v>74</v>
      </c>
      <c r="H3420" t="s">
        <v>74</v>
      </c>
      <c r="I3420" t="s">
        <v>56090</v>
      </c>
      <c r="J3420" t="s">
        <v>566</v>
      </c>
      <c r="K3420" t="s">
        <v>74</v>
      </c>
      <c r="L3420" t="s">
        <v>74</v>
      </c>
      <c r="M3420" t="s">
        <v>78</v>
      </c>
      <c r="N3420" t="s">
        <v>79</v>
      </c>
      <c r="O3420" t="s">
        <v>74</v>
      </c>
      <c r="P3420" t="s">
        <v>74</v>
      </c>
      <c r="Q3420" t="s">
        <v>74</v>
      </c>
      <c r="R3420" t="s">
        <v>74</v>
      </c>
      <c r="S3420" t="s">
        <v>74</v>
      </c>
      <c r="T3420" t="s">
        <v>56091</v>
      </c>
      <c r="U3420" t="s">
        <v>74</v>
      </c>
      <c r="V3420" t="s">
        <v>56092</v>
      </c>
      <c r="W3420" t="s">
        <v>56093</v>
      </c>
      <c r="X3420" t="s">
        <v>56094</v>
      </c>
      <c r="Y3420" t="s">
        <v>56095</v>
      </c>
      <c r="Z3420" t="s">
        <v>56096</v>
      </c>
      <c r="AA3420" t="s">
        <v>74</v>
      </c>
      <c r="AB3420" t="s">
        <v>74</v>
      </c>
      <c r="AC3420" t="s">
        <v>74</v>
      </c>
      <c r="AD3420" t="s">
        <v>74</v>
      </c>
      <c r="AE3420" t="s">
        <v>74</v>
      </c>
      <c r="AF3420" t="s">
        <v>74</v>
      </c>
      <c r="AG3420">
        <v>104</v>
      </c>
      <c r="AH3420">
        <v>31</v>
      </c>
      <c r="AI3420">
        <v>42</v>
      </c>
      <c r="AJ3420">
        <v>0</v>
      </c>
      <c r="AK3420">
        <v>31</v>
      </c>
      <c r="AL3420" t="s">
        <v>56097</v>
      </c>
      <c r="AM3420" t="s">
        <v>576</v>
      </c>
      <c r="AN3420" t="s">
        <v>3242</v>
      </c>
      <c r="AO3420" t="s">
        <v>578</v>
      </c>
      <c r="AP3420" t="s">
        <v>74</v>
      </c>
      <c r="AQ3420" t="s">
        <v>74</v>
      </c>
      <c r="AR3420" t="s">
        <v>579</v>
      </c>
      <c r="AS3420" t="s">
        <v>580</v>
      </c>
      <c r="AT3420" t="s">
        <v>124</v>
      </c>
      <c r="AU3420">
        <v>2015</v>
      </c>
      <c r="AV3420">
        <v>5</v>
      </c>
      <c r="AW3420">
        <v>4</v>
      </c>
      <c r="AX3420" t="s">
        <v>74</v>
      </c>
      <c r="AY3420" t="s">
        <v>74</v>
      </c>
      <c r="AZ3420" t="s">
        <v>74</v>
      </c>
      <c r="BA3420" t="s">
        <v>74</v>
      </c>
      <c r="BB3420">
        <v>260</v>
      </c>
      <c r="BC3420">
        <v>285</v>
      </c>
      <c r="BD3420" t="s">
        <v>74</v>
      </c>
      <c r="BE3420" t="s">
        <v>56098</v>
      </c>
      <c r="BF3420" t="str">
        <f>HYPERLINK("http://dx.doi.org/10.3390/admsci5040260","http://dx.doi.org/10.3390/admsci5040260")</f>
        <v>http://dx.doi.org/10.3390/admsci5040260</v>
      </c>
      <c r="BG3420" t="s">
        <v>74</v>
      </c>
      <c r="BH3420" t="s">
        <v>74</v>
      </c>
      <c r="BI3420">
        <v>26</v>
      </c>
      <c r="BJ3420" t="s">
        <v>583</v>
      </c>
      <c r="BK3420" t="s">
        <v>313</v>
      </c>
      <c r="BL3420" t="s">
        <v>100</v>
      </c>
      <c r="BM3420" t="s">
        <v>56099</v>
      </c>
      <c r="BN3420" t="s">
        <v>74</v>
      </c>
      <c r="BO3420" t="s">
        <v>916</v>
      </c>
      <c r="BP3420" t="s">
        <v>74</v>
      </c>
      <c r="BQ3420" t="s">
        <v>74</v>
      </c>
      <c r="BR3420" t="s">
        <v>102</v>
      </c>
      <c r="BS3420" t="s">
        <v>56100</v>
      </c>
      <c r="BT3420" t="str">
        <f>HYPERLINK("https%3A%2F%2Fwww.webofscience.com%2Fwos%2Fwoscc%2Ffull-record%2FWOS:000418115500005","View Full Record in Web of Science")</f>
        <v>View Full Record in Web of Science</v>
      </c>
    </row>
    <row r="3421" spans="1:72" x14ac:dyDescent="0.25">
      <c r="A3421" t="s">
        <v>72</v>
      </c>
      <c r="B3421" t="s">
        <v>56101</v>
      </c>
      <c r="C3421" t="s">
        <v>74</v>
      </c>
      <c r="D3421" t="s">
        <v>74</v>
      </c>
      <c r="E3421" t="s">
        <v>74</v>
      </c>
      <c r="F3421" t="s">
        <v>56102</v>
      </c>
      <c r="G3421" t="s">
        <v>74</v>
      </c>
      <c r="H3421" t="s">
        <v>74</v>
      </c>
      <c r="I3421" t="s">
        <v>56103</v>
      </c>
      <c r="J3421" t="s">
        <v>52641</v>
      </c>
      <c r="K3421" t="s">
        <v>74</v>
      </c>
      <c r="L3421" t="s">
        <v>74</v>
      </c>
      <c r="M3421" t="s">
        <v>78</v>
      </c>
      <c r="N3421" t="s">
        <v>79</v>
      </c>
      <c r="O3421" t="s">
        <v>74</v>
      </c>
      <c r="P3421" t="s">
        <v>74</v>
      </c>
      <c r="Q3421" t="s">
        <v>74</v>
      </c>
      <c r="R3421" t="s">
        <v>74</v>
      </c>
      <c r="S3421" t="s">
        <v>74</v>
      </c>
      <c r="T3421" t="s">
        <v>56104</v>
      </c>
      <c r="U3421" t="s">
        <v>56105</v>
      </c>
      <c r="V3421" t="s">
        <v>56106</v>
      </c>
      <c r="W3421" t="s">
        <v>56107</v>
      </c>
      <c r="X3421" t="s">
        <v>56108</v>
      </c>
      <c r="Y3421" t="s">
        <v>56109</v>
      </c>
      <c r="Z3421" t="s">
        <v>56110</v>
      </c>
      <c r="AA3421" t="s">
        <v>56111</v>
      </c>
      <c r="AB3421" t="s">
        <v>56112</v>
      </c>
      <c r="AC3421" t="s">
        <v>74</v>
      </c>
      <c r="AD3421" t="s">
        <v>74</v>
      </c>
      <c r="AE3421" t="s">
        <v>74</v>
      </c>
      <c r="AF3421" t="s">
        <v>74</v>
      </c>
      <c r="AG3421">
        <v>74</v>
      </c>
      <c r="AH3421">
        <v>144</v>
      </c>
      <c r="AI3421">
        <v>179</v>
      </c>
      <c r="AJ3421">
        <v>4</v>
      </c>
      <c r="AK3421">
        <v>81</v>
      </c>
      <c r="AL3421" t="s">
        <v>332</v>
      </c>
      <c r="AM3421" t="s">
        <v>333</v>
      </c>
      <c r="AN3421" t="s">
        <v>334</v>
      </c>
      <c r="AO3421" t="s">
        <v>52650</v>
      </c>
      <c r="AP3421" t="s">
        <v>52651</v>
      </c>
      <c r="AQ3421" t="s">
        <v>74</v>
      </c>
      <c r="AR3421" t="s">
        <v>52652</v>
      </c>
      <c r="AS3421" t="s">
        <v>52653</v>
      </c>
      <c r="AT3421" t="s">
        <v>74</v>
      </c>
      <c r="AU3421">
        <v>2008</v>
      </c>
      <c r="AV3421">
        <v>20</v>
      </c>
      <c r="AW3421">
        <v>2</v>
      </c>
      <c r="AX3421" t="s">
        <v>74</v>
      </c>
      <c r="AY3421" t="s">
        <v>74</v>
      </c>
      <c r="AZ3421" t="s">
        <v>74</v>
      </c>
      <c r="BA3421" t="s">
        <v>74</v>
      </c>
      <c r="BB3421">
        <v>111</v>
      </c>
      <c r="BC3421">
        <v>124</v>
      </c>
      <c r="BD3421" t="s">
        <v>74</v>
      </c>
      <c r="BE3421" t="s">
        <v>56113</v>
      </c>
      <c r="BF3421" t="str">
        <f>HYPERLINK("http://dx.doi.org/10.1080/08985620701631498","http://dx.doi.org/10.1080/08985620701631498")</f>
        <v>http://dx.doi.org/10.1080/08985620701631498</v>
      </c>
      <c r="BG3421" t="s">
        <v>74</v>
      </c>
      <c r="BH3421" t="s">
        <v>74</v>
      </c>
      <c r="BI3421">
        <v>14</v>
      </c>
      <c r="BJ3421" t="s">
        <v>52657</v>
      </c>
      <c r="BK3421" t="s">
        <v>99</v>
      </c>
      <c r="BL3421" t="s">
        <v>7292</v>
      </c>
      <c r="BM3421" t="s">
        <v>56114</v>
      </c>
      <c r="BN3421" t="s">
        <v>74</v>
      </c>
      <c r="BO3421" t="s">
        <v>74</v>
      </c>
      <c r="BP3421" t="s">
        <v>74</v>
      </c>
      <c r="BQ3421" t="s">
        <v>74</v>
      </c>
      <c r="BR3421" t="s">
        <v>102</v>
      </c>
      <c r="BS3421" t="s">
        <v>56115</v>
      </c>
      <c r="BT3421" t="str">
        <f>HYPERLINK("https%3A%2F%2Fwww.webofscience.com%2Fwos%2Fwoscc%2Ffull-record%2FWOS:000252457700001","View Full Record in Web of Science")</f>
        <v>View Full Record in Web of Science</v>
      </c>
    </row>
    <row r="3422" spans="1:72" x14ac:dyDescent="0.25">
      <c r="A3422" t="s">
        <v>72</v>
      </c>
      <c r="B3422" t="s">
        <v>56116</v>
      </c>
      <c r="C3422" t="s">
        <v>74</v>
      </c>
      <c r="D3422" t="s">
        <v>74</v>
      </c>
      <c r="E3422" t="s">
        <v>74</v>
      </c>
      <c r="F3422" t="s">
        <v>56117</v>
      </c>
      <c r="G3422" t="s">
        <v>74</v>
      </c>
      <c r="H3422" t="s">
        <v>74</v>
      </c>
      <c r="I3422" t="s">
        <v>56118</v>
      </c>
      <c r="J3422" t="s">
        <v>56119</v>
      </c>
      <c r="K3422" t="s">
        <v>74</v>
      </c>
      <c r="L3422" t="s">
        <v>74</v>
      </c>
      <c r="M3422" t="s">
        <v>78</v>
      </c>
      <c r="N3422" t="s">
        <v>79</v>
      </c>
      <c r="O3422" t="s">
        <v>74</v>
      </c>
      <c r="P3422" t="s">
        <v>74</v>
      </c>
      <c r="Q3422" t="s">
        <v>74</v>
      </c>
      <c r="R3422" t="s">
        <v>74</v>
      </c>
      <c r="S3422" t="s">
        <v>74</v>
      </c>
      <c r="T3422" t="s">
        <v>56120</v>
      </c>
      <c r="U3422" t="s">
        <v>74</v>
      </c>
      <c r="V3422" t="s">
        <v>56121</v>
      </c>
      <c r="W3422" t="s">
        <v>56122</v>
      </c>
      <c r="X3422" t="s">
        <v>56123</v>
      </c>
      <c r="Y3422" t="s">
        <v>56124</v>
      </c>
      <c r="Z3422" t="s">
        <v>56125</v>
      </c>
      <c r="AA3422" t="s">
        <v>56126</v>
      </c>
      <c r="AB3422" t="s">
        <v>56127</v>
      </c>
      <c r="AC3422" t="s">
        <v>74</v>
      </c>
      <c r="AD3422" t="s">
        <v>74</v>
      </c>
      <c r="AE3422" t="s">
        <v>74</v>
      </c>
      <c r="AF3422" t="s">
        <v>74</v>
      </c>
      <c r="AG3422">
        <v>33</v>
      </c>
      <c r="AH3422">
        <v>10</v>
      </c>
      <c r="AI3422">
        <v>14</v>
      </c>
      <c r="AJ3422">
        <v>0</v>
      </c>
      <c r="AK3422">
        <v>3</v>
      </c>
      <c r="AL3422" t="s">
        <v>117</v>
      </c>
      <c r="AM3422" t="s">
        <v>118</v>
      </c>
      <c r="AN3422" t="s">
        <v>119</v>
      </c>
      <c r="AO3422" t="s">
        <v>56128</v>
      </c>
      <c r="AP3422" t="s">
        <v>74</v>
      </c>
      <c r="AQ3422" t="s">
        <v>74</v>
      </c>
      <c r="AR3422" t="s">
        <v>56129</v>
      </c>
      <c r="AS3422" t="s">
        <v>56130</v>
      </c>
      <c r="AT3422" t="s">
        <v>74</v>
      </c>
      <c r="AU3422">
        <v>2015</v>
      </c>
      <c r="AV3422">
        <v>4</v>
      </c>
      <c r="AW3422" t="s">
        <v>74</v>
      </c>
      <c r="AX3422" t="s">
        <v>74</v>
      </c>
      <c r="AY3422" t="s">
        <v>74</v>
      </c>
      <c r="AZ3422" t="s">
        <v>74</v>
      </c>
      <c r="BA3422" t="s">
        <v>74</v>
      </c>
      <c r="BB3422" t="s">
        <v>74</v>
      </c>
      <c r="BC3422" t="s">
        <v>74</v>
      </c>
      <c r="BD3422">
        <v>11</v>
      </c>
      <c r="BE3422" t="s">
        <v>56131</v>
      </c>
      <c r="BF3422" t="str">
        <f>HYPERLINK("http://dx.doi.org/10.1186/s40176-015-0034-y","http://dx.doi.org/10.1186/s40176-015-0034-y")</f>
        <v>http://dx.doi.org/10.1186/s40176-015-0034-y</v>
      </c>
      <c r="BG3422" t="s">
        <v>74</v>
      </c>
      <c r="BH3422" t="s">
        <v>74</v>
      </c>
      <c r="BI3422">
        <v>23</v>
      </c>
      <c r="BJ3422" t="s">
        <v>3635</v>
      </c>
      <c r="BK3422" t="s">
        <v>313</v>
      </c>
      <c r="BL3422" t="s">
        <v>3635</v>
      </c>
      <c r="BM3422" t="s">
        <v>56132</v>
      </c>
      <c r="BN3422" t="s">
        <v>74</v>
      </c>
      <c r="BO3422" t="s">
        <v>466</v>
      </c>
      <c r="BP3422" t="s">
        <v>74</v>
      </c>
      <c r="BQ3422" t="s">
        <v>74</v>
      </c>
      <c r="BR3422" t="s">
        <v>102</v>
      </c>
      <c r="BS3422" t="s">
        <v>56133</v>
      </c>
      <c r="BT3422" t="str">
        <f>HYPERLINK("https%3A%2F%2Fwww.webofscience.com%2Fwos%2Fwoscc%2Ffull-record%2FWOS:000215293200011","View Full Record in Web of Science")</f>
        <v>View Full Record in Web of Science</v>
      </c>
    </row>
    <row r="3423" spans="1:72" x14ac:dyDescent="0.25">
      <c r="A3423" t="s">
        <v>72</v>
      </c>
      <c r="B3423" t="s">
        <v>56134</v>
      </c>
      <c r="C3423" t="s">
        <v>74</v>
      </c>
      <c r="D3423" t="s">
        <v>74</v>
      </c>
      <c r="E3423" t="s">
        <v>74</v>
      </c>
      <c r="F3423" t="s">
        <v>56135</v>
      </c>
      <c r="G3423" t="s">
        <v>74</v>
      </c>
      <c r="H3423" t="s">
        <v>74</v>
      </c>
      <c r="I3423" t="s">
        <v>56136</v>
      </c>
      <c r="J3423" t="s">
        <v>56137</v>
      </c>
      <c r="K3423" t="s">
        <v>74</v>
      </c>
      <c r="L3423" t="s">
        <v>74</v>
      </c>
      <c r="M3423" t="s">
        <v>78</v>
      </c>
      <c r="N3423" t="s">
        <v>79</v>
      </c>
      <c r="O3423" t="s">
        <v>74</v>
      </c>
      <c r="P3423" t="s">
        <v>74</v>
      </c>
      <c r="Q3423" t="s">
        <v>74</v>
      </c>
      <c r="R3423" t="s">
        <v>74</v>
      </c>
      <c r="S3423" t="s">
        <v>74</v>
      </c>
      <c r="T3423" t="s">
        <v>56138</v>
      </c>
      <c r="U3423" t="s">
        <v>56139</v>
      </c>
      <c r="V3423" t="s">
        <v>56140</v>
      </c>
      <c r="W3423" t="s">
        <v>56141</v>
      </c>
      <c r="X3423" t="s">
        <v>56142</v>
      </c>
      <c r="Y3423" t="s">
        <v>56143</v>
      </c>
      <c r="Z3423" t="s">
        <v>56144</v>
      </c>
      <c r="AA3423" t="s">
        <v>56145</v>
      </c>
      <c r="AB3423" t="s">
        <v>56146</v>
      </c>
      <c r="AC3423" t="s">
        <v>74</v>
      </c>
      <c r="AD3423" t="s">
        <v>74</v>
      </c>
      <c r="AE3423" t="s">
        <v>74</v>
      </c>
      <c r="AF3423" t="s">
        <v>74</v>
      </c>
      <c r="AG3423">
        <v>58</v>
      </c>
      <c r="AH3423">
        <v>64</v>
      </c>
      <c r="AI3423">
        <v>71</v>
      </c>
      <c r="AJ3423">
        <v>3</v>
      </c>
      <c r="AK3423">
        <v>110</v>
      </c>
      <c r="AL3423" t="s">
        <v>994</v>
      </c>
      <c r="AM3423" t="s">
        <v>995</v>
      </c>
      <c r="AN3423" t="s">
        <v>2061</v>
      </c>
      <c r="AO3423" t="s">
        <v>56147</v>
      </c>
      <c r="AP3423" t="s">
        <v>56148</v>
      </c>
      <c r="AQ3423" t="s">
        <v>74</v>
      </c>
      <c r="AR3423" t="s">
        <v>56149</v>
      </c>
      <c r="AS3423" t="s">
        <v>56150</v>
      </c>
      <c r="AT3423" t="s">
        <v>743</v>
      </c>
      <c r="AU3423">
        <v>2015</v>
      </c>
      <c r="AV3423">
        <v>52</v>
      </c>
      <c r="AW3423">
        <v>5</v>
      </c>
      <c r="AX3423" t="s">
        <v>74</v>
      </c>
      <c r="AY3423" t="s">
        <v>74</v>
      </c>
      <c r="AZ3423" t="s">
        <v>74</v>
      </c>
      <c r="BA3423" t="s">
        <v>74</v>
      </c>
      <c r="BB3423">
        <v>841</v>
      </c>
      <c r="BC3423">
        <v>856</v>
      </c>
      <c r="BD3423" t="s">
        <v>74</v>
      </c>
      <c r="BE3423" t="s">
        <v>56151</v>
      </c>
      <c r="BF3423" t="str">
        <f>HYPERLINK("http://dx.doi.org/10.1177/0042098014529342","http://dx.doi.org/10.1177/0042098014529342")</f>
        <v>http://dx.doi.org/10.1177/0042098014529342</v>
      </c>
      <c r="BG3423" t="s">
        <v>74</v>
      </c>
      <c r="BH3423" t="s">
        <v>74</v>
      </c>
      <c r="BI3423">
        <v>16</v>
      </c>
      <c r="BJ3423" t="s">
        <v>56152</v>
      </c>
      <c r="BK3423" t="s">
        <v>99</v>
      </c>
      <c r="BL3423" t="s">
        <v>56153</v>
      </c>
      <c r="BM3423" t="s">
        <v>56154</v>
      </c>
      <c r="BN3423" t="s">
        <v>74</v>
      </c>
      <c r="BO3423" t="s">
        <v>74</v>
      </c>
      <c r="BP3423" t="s">
        <v>74</v>
      </c>
      <c r="BQ3423" t="s">
        <v>74</v>
      </c>
      <c r="BR3423" t="s">
        <v>102</v>
      </c>
      <c r="BS3423" t="s">
        <v>56155</v>
      </c>
      <c r="BT3423" t="str">
        <f>HYPERLINK("https%3A%2F%2Fwww.webofscience.com%2Fwos%2Fwoscc%2Ffull-record%2FWOS:000349452700002","View Full Record in Web of Science")</f>
        <v>View Full Record in Web of Science</v>
      </c>
    </row>
    <row r="3424" spans="1:72" x14ac:dyDescent="0.25">
      <c r="A3424" t="s">
        <v>72</v>
      </c>
      <c r="B3424" t="s">
        <v>56156</v>
      </c>
      <c r="C3424" t="s">
        <v>74</v>
      </c>
      <c r="D3424" t="s">
        <v>74</v>
      </c>
      <c r="E3424" t="s">
        <v>74</v>
      </c>
      <c r="F3424" t="s">
        <v>56157</v>
      </c>
      <c r="G3424" t="s">
        <v>74</v>
      </c>
      <c r="H3424" t="s">
        <v>74</v>
      </c>
      <c r="I3424" t="s">
        <v>56158</v>
      </c>
      <c r="J3424" t="s">
        <v>29354</v>
      </c>
      <c r="K3424" t="s">
        <v>74</v>
      </c>
      <c r="L3424" t="s">
        <v>74</v>
      </c>
      <c r="M3424" t="s">
        <v>78</v>
      </c>
      <c r="N3424" t="s">
        <v>79</v>
      </c>
      <c r="O3424" t="s">
        <v>74</v>
      </c>
      <c r="P3424" t="s">
        <v>74</v>
      </c>
      <c r="Q3424" t="s">
        <v>74</v>
      </c>
      <c r="R3424" t="s">
        <v>74</v>
      </c>
      <c r="S3424" t="s">
        <v>74</v>
      </c>
      <c r="T3424" t="s">
        <v>74</v>
      </c>
      <c r="U3424" t="s">
        <v>56159</v>
      </c>
      <c r="V3424" t="s">
        <v>56160</v>
      </c>
      <c r="W3424" t="s">
        <v>56161</v>
      </c>
      <c r="X3424" t="s">
        <v>1992</v>
      </c>
      <c r="Y3424" t="s">
        <v>56162</v>
      </c>
      <c r="Z3424" t="s">
        <v>56163</v>
      </c>
      <c r="AA3424" t="s">
        <v>56164</v>
      </c>
      <c r="AB3424" t="s">
        <v>74</v>
      </c>
      <c r="AC3424" t="s">
        <v>74</v>
      </c>
      <c r="AD3424" t="s">
        <v>74</v>
      </c>
      <c r="AE3424" t="s">
        <v>74</v>
      </c>
      <c r="AF3424" t="s">
        <v>74</v>
      </c>
      <c r="AG3424">
        <v>54</v>
      </c>
      <c r="AH3424">
        <v>2</v>
      </c>
      <c r="AI3424">
        <v>2</v>
      </c>
      <c r="AJ3424">
        <v>0</v>
      </c>
      <c r="AK3424">
        <v>15</v>
      </c>
      <c r="AL3424" t="s">
        <v>3861</v>
      </c>
      <c r="AM3424" t="s">
        <v>151</v>
      </c>
      <c r="AN3424" t="s">
        <v>43675</v>
      </c>
      <c r="AO3424" t="s">
        <v>29344</v>
      </c>
      <c r="AP3424" t="s">
        <v>29343</v>
      </c>
      <c r="AQ3424" t="s">
        <v>74</v>
      </c>
      <c r="AR3424" t="s">
        <v>29342</v>
      </c>
      <c r="AS3424" t="s">
        <v>29341</v>
      </c>
      <c r="AT3424" t="s">
        <v>743</v>
      </c>
      <c r="AU3424">
        <v>2016</v>
      </c>
      <c r="AV3424">
        <v>45</v>
      </c>
      <c r="AW3424">
        <v>2</v>
      </c>
      <c r="AX3424" t="s">
        <v>74</v>
      </c>
      <c r="AY3424" t="s">
        <v>74</v>
      </c>
      <c r="AZ3424" t="s">
        <v>74</v>
      </c>
      <c r="BA3424" t="s">
        <v>74</v>
      </c>
      <c r="BB3424">
        <v>201</v>
      </c>
      <c r="BC3424">
        <v>222</v>
      </c>
      <c r="BD3424" t="s">
        <v>74</v>
      </c>
      <c r="BE3424" t="s">
        <v>56165</v>
      </c>
      <c r="BF3424" t="str">
        <f>HYPERLINK("http://dx.doi.org/10.1017/S0047279415000641","http://dx.doi.org/10.1017/S0047279415000641")</f>
        <v>http://dx.doi.org/10.1017/S0047279415000641</v>
      </c>
      <c r="BG3424" t="s">
        <v>74</v>
      </c>
      <c r="BH3424" t="s">
        <v>74</v>
      </c>
      <c r="BI3424">
        <v>22</v>
      </c>
      <c r="BJ3424" t="s">
        <v>29338</v>
      </c>
      <c r="BK3424" t="s">
        <v>99</v>
      </c>
      <c r="BL3424" t="s">
        <v>29338</v>
      </c>
      <c r="BM3424" t="s">
        <v>56166</v>
      </c>
      <c r="BN3424" t="s">
        <v>74</v>
      </c>
      <c r="BO3424" t="s">
        <v>74</v>
      </c>
      <c r="BP3424" t="s">
        <v>74</v>
      </c>
      <c r="BQ3424" t="s">
        <v>74</v>
      </c>
      <c r="BR3424" t="s">
        <v>102</v>
      </c>
      <c r="BS3424" t="s">
        <v>56167</v>
      </c>
      <c r="BT3424" t="str">
        <f>HYPERLINK("https%3A%2F%2Fwww.webofscience.com%2Fwos%2Fwoscc%2Ffull-record%2FWOS:000371644100002","View Full Record in Web of Science")</f>
        <v>View Full Record in Web of Science</v>
      </c>
    </row>
    <row r="3425" spans="1:72" x14ac:dyDescent="0.25">
      <c r="A3425" t="s">
        <v>72</v>
      </c>
      <c r="B3425" t="s">
        <v>56168</v>
      </c>
      <c r="C3425" t="s">
        <v>74</v>
      </c>
      <c r="D3425" t="s">
        <v>74</v>
      </c>
      <c r="E3425" t="s">
        <v>74</v>
      </c>
      <c r="F3425" t="s">
        <v>56169</v>
      </c>
      <c r="G3425" t="s">
        <v>74</v>
      </c>
      <c r="H3425" t="s">
        <v>74</v>
      </c>
      <c r="I3425" t="s">
        <v>56170</v>
      </c>
      <c r="J3425" t="s">
        <v>1963</v>
      </c>
      <c r="K3425" t="s">
        <v>74</v>
      </c>
      <c r="L3425" t="s">
        <v>74</v>
      </c>
      <c r="M3425" t="s">
        <v>78</v>
      </c>
      <c r="N3425" t="s">
        <v>79</v>
      </c>
      <c r="O3425" t="s">
        <v>74</v>
      </c>
      <c r="P3425" t="s">
        <v>74</v>
      </c>
      <c r="Q3425" t="s">
        <v>74</v>
      </c>
      <c r="R3425" t="s">
        <v>74</v>
      </c>
      <c r="S3425" t="s">
        <v>74</v>
      </c>
      <c r="T3425" t="s">
        <v>56171</v>
      </c>
      <c r="U3425" t="s">
        <v>56172</v>
      </c>
      <c r="V3425" t="s">
        <v>56173</v>
      </c>
      <c r="W3425" t="s">
        <v>56174</v>
      </c>
      <c r="X3425" t="s">
        <v>56175</v>
      </c>
      <c r="Y3425" t="s">
        <v>56176</v>
      </c>
      <c r="Z3425" t="s">
        <v>56177</v>
      </c>
      <c r="AA3425" t="s">
        <v>56178</v>
      </c>
      <c r="AB3425" t="s">
        <v>56179</v>
      </c>
      <c r="AC3425" t="s">
        <v>56180</v>
      </c>
      <c r="AD3425" t="s">
        <v>56181</v>
      </c>
      <c r="AE3425" t="s">
        <v>56182</v>
      </c>
      <c r="AF3425" t="s">
        <v>74</v>
      </c>
      <c r="AG3425">
        <v>64</v>
      </c>
      <c r="AH3425">
        <v>1</v>
      </c>
      <c r="AI3425">
        <v>2</v>
      </c>
      <c r="AJ3425">
        <v>1</v>
      </c>
      <c r="AK3425">
        <v>13</v>
      </c>
      <c r="AL3425" t="s">
        <v>332</v>
      </c>
      <c r="AM3425" t="s">
        <v>333</v>
      </c>
      <c r="AN3425" t="s">
        <v>334</v>
      </c>
      <c r="AO3425" t="s">
        <v>1975</v>
      </c>
      <c r="AP3425" t="s">
        <v>1976</v>
      </c>
      <c r="AQ3425" t="s">
        <v>74</v>
      </c>
      <c r="AR3425" t="s">
        <v>1977</v>
      </c>
      <c r="AS3425" t="s">
        <v>1978</v>
      </c>
      <c r="AT3425" t="s">
        <v>74</v>
      </c>
      <c r="AU3425">
        <v>2015</v>
      </c>
      <c r="AV3425">
        <v>47</v>
      </c>
      <c r="AW3425">
        <v>47</v>
      </c>
      <c r="AX3425" t="s">
        <v>74</v>
      </c>
      <c r="AY3425" t="s">
        <v>74</v>
      </c>
      <c r="AZ3425" t="s">
        <v>74</v>
      </c>
      <c r="BA3425" t="s">
        <v>74</v>
      </c>
      <c r="BB3425">
        <v>5088</v>
      </c>
      <c r="BC3425">
        <v>5102</v>
      </c>
      <c r="BD3425" t="s">
        <v>74</v>
      </c>
      <c r="BE3425" t="s">
        <v>56183</v>
      </c>
      <c r="BF3425" t="str">
        <f>HYPERLINK("http://dx.doi.org/10.1080/00036846.2015.1042144","http://dx.doi.org/10.1080/00036846.2015.1042144")</f>
        <v>http://dx.doi.org/10.1080/00036846.2015.1042144</v>
      </c>
      <c r="BG3425" t="s">
        <v>74</v>
      </c>
      <c r="BH3425" t="s">
        <v>74</v>
      </c>
      <c r="BI3425">
        <v>15</v>
      </c>
      <c r="BJ3425" t="s">
        <v>291</v>
      </c>
      <c r="BK3425" t="s">
        <v>99</v>
      </c>
      <c r="BL3425" t="s">
        <v>100</v>
      </c>
      <c r="BM3425" t="s">
        <v>56184</v>
      </c>
      <c r="BN3425" t="s">
        <v>74</v>
      </c>
      <c r="BO3425" t="s">
        <v>74</v>
      </c>
      <c r="BP3425" t="s">
        <v>74</v>
      </c>
      <c r="BQ3425" t="s">
        <v>74</v>
      </c>
      <c r="BR3425" t="s">
        <v>102</v>
      </c>
      <c r="BS3425" t="s">
        <v>56185</v>
      </c>
      <c r="BT3425" t="str">
        <f>HYPERLINK("https%3A%2F%2Fwww.webofscience.com%2Fwos%2Fwoscc%2Ffull-record%2FWOS:000358647200006","View Full Record in Web of Science")</f>
        <v>View Full Record in Web of Science</v>
      </c>
    </row>
    <row r="3426" spans="1:72" x14ac:dyDescent="0.25">
      <c r="A3426" t="s">
        <v>72</v>
      </c>
      <c r="B3426" t="s">
        <v>56186</v>
      </c>
      <c r="C3426" t="s">
        <v>74</v>
      </c>
      <c r="D3426" t="s">
        <v>74</v>
      </c>
      <c r="E3426" t="s">
        <v>74</v>
      </c>
      <c r="F3426" t="s">
        <v>56187</v>
      </c>
      <c r="G3426" t="s">
        <v>74</v>
      </c>
      <c r="H3426" t="s">
        <v>74</v>
      </c>
      <c r="I3426" t="s">
        <v>56188</v>
      </c>
      <c r="J3426" t="s">
        <v>10806</v>
      </c>
      <c r="K3426" t="s">
        <v>74</v>
      </c>
      <c r="L3426" t="s">
        <v>74</v>
      </c>
      <c r="M3426" t="s">
        <v>78</v>
      </c>
      <c r="N3426" t="s">
        <v>79</v>
      </c>
      <c r="O3426" t="s">
        <v>74</v>
      </c>
      <c r="P3426" t="s">
        <v>74</v>
      </c>
      <c r="Q3426" t="s">
        <v>74</v>
      </c>
      <c r="R3426" t="s">
        <v>74</v>
      </c>
      <c r="S3426" t="s">
        <v>74</v>
      </c>
      <c r="T3426" t="s">
        <v>56189</v>
      </c>
      <c r="U3426" t="s">
        <v>56190</v>
      </c>
      <c r="V3426" t="s">
        <v>56191</v>
      </c>
      <c r="W3426" t="s">
        <v>56192</v>
      </c>
      <c r="X3426" t="s">
        <v>56193</v>
      </c>
      <c r="Y3426" t="s">
        <v>56194</v>
      </c>
      <c r="Z3426" t="s">
        <v>56195</v>
      </c>
      <c r="AA3426" t="s">
        <v>74</v>
      </c>
      <c r="AB3426" t="s">
        <v>74</v>
      </c>
      <c r="AC3426" t="s">
        <v>56196</v>
      </c>
      <c r="AD3426" t="s">
        <v>56197</v>
      </c>
      <c r="AE3426" t="s">
        <v>56198</v>
      </c>
      <c r="AF3426" t="s">
        <v>74</v>
      </c>
      <c r="AG3426">
        <v>76</v>
      </c>
      <c r="AH3426">
        <v>15</v>
      </c>
      <c r="AI3426">
        <v>21</v>
      </c>
      <c r="AJ3426">
        <v>0</v>
      </c>
      <c r="AK3426">
        <v>23</v>
      </c>
      <c r="AL3426" t="s">
        <v>201</v>
      </c>
      <c r="AM3426" t="s">
        <v>202</v>
      </c>
      <c r="AN3426" t="s">
        <v>203</v>
      </c>
      <c r="AO3426" t="s">
        <v>10818</v>
      </c>
      <c r="AP3426" t="s">
        <v>10819</v>
      </c>
      <c r="AQ3426" t="s">
        <v>74</v>
      </c>
      <c r="AR3426" t="s">
        <v>10820</v>
      </c>
      <c r="AS3426" t="s">
        <v>10821</v>
      </c>
      <c r="AT3426" t="s">
        <v>1540</v>
      </c>
      <c r="AU3426">
        <v>2020</v>
      </c>
      <c r="AV3426">
        <v>87</v>
      </c>
      <c r="AW3426" t="s">
        <v>74</v>
      </c>
      <c r="AX3426" t="s">
        <v>74</v>
      </c>
      <c r="AY3426" t="s">
        <v>74</v>
      </c>
      <c r="AZ3426" t="s">
        <v>74</v>
      </c>
      <c r="BA3426" t="s">
        <v>74</v>
      </c>
      <c r="BB3426">
        <v>131</v>
      </c>
      <c r="BC3426">
        <v>147</v>
      </c>
      <c r="BD3426" t="s">
        <v>74</v>
      </c>
      <c r="BE3426" t="s">
        <v>56199</v>
      </c>
      <c r="BF3426" t="str">
        <f>HYPERLINK("http://dx.doi.org/10.1016/j.econmod.2019.07.013","http://dx.doi.org/10.1016/j.econmod.2019.07.013")</f>
        <v>http://dx.doi.org/10.1016/j.econmod.2019.07.013</v>
      </c>
      <c r="BG3426" t="s">
        <v>74</v>
      </c>
      <c r="BH3426" t="s">
        <v>74</v>
      </c>
      <c r="BI3426">
        <v>17</v>
      </c>
      <c r="BJ3426" t="s">
        <v>291</v>
      </c>
      <c r="BK3426" t="s">
        <v>99</v>
      </c>
      <c r="BL3426" t="s">
        <v>100</v>
      </c>
      <c r="BM3426" t="s">
        <v>56200</v>
      </c>
      <c r="BN3426" t="s">
        <v>74</v>
      </c>
      <c r="BO3426" t="s">
        <v>74</v>
      </c>
      <c r="BP3426" t="s">
        <v>74</v>
      </c>
      <c r="BQ3426" t="s">
        <v>74</v>
      </c>
      <c r="BR3426" t="s">
        <v>102</v>
      </c>
      <c r="BS3426" t="s">
        <v>56201</v>
      </c>
      <c r="BT3426" t="str">
        <f>HYPERLINK("https%3A%2F%2Fwww.webofscience.com%2Fwos%2Fwoscc%2Ffull-record%2FWOS:000526109200010","View Full Record in Web of Science")</f>
        <v>View Full Record in Web of Science</v>
      </c>
    </row>
    <row r="3427" spans="1:72" x14ac:dyDescent="0.25">
      <c r="A3427" t="s">
        <v>72</v>
      </c>
      <c r="B3427" t="s">
        <v>56202</v>
      </c>
      <c r="C3427" t="s">
        <v>74</v>
      </c>
      <c r="D3427" t="s">
        <v>74</v>
      </c>
      <c r="E3427" t="s">
        <v>74</v>
      </c>
      <c r="F3427" t="s">
        <v>56203</v>
      </c>
      <c r="G3427" t="s">
        <v>74</v>
      </c>
      <c r="H3427" t="s">
        <v>74</v>
      </c>
      <c r="I3427" t="s">
        <v>56204</v>
      </c>
      <c r="J3427" t="s">
        <v>56205</v>
      </c>
      <c r="K3427" t="s">
        <v>74</v>
      </c>
      <c r="L3427" t="s">
        <v>74</v>
      </c>
      <c r="M3427" t="s">
        <v>78</v>
      </c>
      <c r="N3427" t="s">
        <v>79</v>
      </c>
      <c r="O3427" t="s">
        <v>74</v>
      </c>
      <c r="P3427" t="s">
        <v>74</v>
      </c>
      <c r="Q3427" t="s">
        <v>74</v>
      </c>
      <c r="R3427" t="s">
        <v>74</v>
      </c>
      <c r="S3427" t="s">
        <v>74</v>
      </c>
      <c r="T3427" t="s">
        <v>56206</v>
      </c>
      <c r="U3427" t="s">
        <v>74</v>
      </c>
      <c r="V3427" t="s">
        <v>56207</v>
      </c>
      <c r="W3427" t="s">
        <v>56208</v>
      </c>
      <c r="X3427" t="s">
        <v>24164</v>
      </c>
      <c r="Y3427" t="s">
        <v>56209</v>
      </c>
      <c r="Z3427" t="s">
        <v>56210</v>
      </c>
      <c r="AA3427" t="s">
        <v>56211</v>
      </c>
      <c r="AB3427" t="s">
        <v>74</v>
      </c>
      <c r="AC3427" t="s">
        <v>56212</v>
      </c>
      <c r="AD3427" t="s">
        <v>56213</v>
      </c>
      <c r="AE3427" t="s">
        <v>56214</v>
      </c>
      <c r="AF3427" t="s">
        <v>74</v>
      </c>
      <c r="AG3427">
        <v>42</v>
      </c>
      <c r="AH3427">
        <v>19</v>
      </c>
      <c r="AI3427">
        <v>23</v>
      </c>
      <c r="AJ3427">
        <v>1</v>
      </c>
      <c r="AK3427">
        <v>84</v>
      </c>
      <c r="AL3427" t="s">
        <v>757</v>
      </c>
      <c r="AM3427" t="s">
        <v>758</v>
      </c>
      <c r="AN3427" t="s">
        <v>759</v>
      </c>
      <c r="AO3427" t="s">
        <v>56215</v>
      </c>
      <c r="AP3427" t="s">
        <v>56216</v>
      </c>
      <c r="AQ3427" t="s">
        <v>74</v>
      </c>
      <c r="AR3427" t="s">
        <v>56217</v>
      </c>
      <c r="AS3427" t="s">
        <v>56218</v>
      </c>
      <c r="AT3427" t="s">
        <v>891</v>
      </c>
      <c r="AU3427">
        <v>2016</v>
      </c>
      <c r="AV3427">
        <v>18</v>
      </c>
      <c r="AW3427">
        <v>4</v>
      </c>
      <c r="AX3427" t="s">
        <v>74</v>
      </c>
      <c r="AY3427" t="s">
        <v>74</v>
      </c>
      <c r="AZ3427" t="s">
        <v>74</v>
      </c>
      <c r="BA3427" t="s">
        <v>74</v>
      </c>
      <c r="BB3427">
        <v>930</v>
      </c>
      <c r="BC3427">
        <v>945</v>
      </c>
      <c r="BD3427" t="s">
        <v>74</v>
      </c>
      <c r="BE3427" t="s">
        <v>56219</v>
      </c>
      <c r="BF3427" t="str">
        <f>HYPERLINK("http://dx.doi.org/10.1177/1369148116651357","http://dx.doi.org/10.1177/1369148116651357")</f>
        <v>http://dx.doi.org/10.1177/1369148116651357</v>
      </c>
      <c r="BG3427" t="s">
        <v>74</v>
      </c>
      <c r="BH3427" t="s">
        <v>74</v>
      </c>
      <c r="BI3427">
        <v>16</v>
      </c>
      <c r="BJ3427" t="s">
        <v>1040</v>
      </c>
      <c r="BK3427" t="s">
        <v>99</v>
      </c>
      <c r="BL3427" t="s">
        <v>1041</v>
      </c>
      <c r="BM3427" t="s">
        <v>56220</v>
      </c>
      <c r="BN3427" t="s">
        <v>74</v>
      </c>
      <c r="BO3427" t="s">
        <v>74</v>
      </c>
      <c r="BP3427" t="s">
        <v>74</v>
      </c>
      <c r="BQ3427" t="s">
        <v>74</v>
      </c>
      <c r="BR3427" t="s">
        <v>102</v>
      </c>
      <c r="BS3427" t="s">
        <v>56221</v>
      </c>
      <c r="BT3427" t="str">
        <f>HYPERLINK("https%3A%2F%2Fwww.webofscience.com%2Fwos%2Fwoscc%2Ffull-record%2FWOS:000387127700010","View Full Record in Web of Science")</f>
        <v>View Full Record in Web of Science</v>
      </c>
    </row>
    <row r="3428" spans="1:72" x14ac:dyDescent="0.25">
      <c r="A3428" t="s">
        <v>72</v>
      </c>
      <c r="B3428" t="s">
        <v>56222</v>
      </c>
      <c r="C3428" t="s">
        <v>74</v>
      </c>
      <c r="D3428" t="s">
        <v>74</v>
      </c>
      <c r="E3428" t="s">
        <v>74</v>
      </c>
      <c r="F3428" t="s">
        <v>56223</v>
      </c>
      <c r="G3428" t="s">
        <v>74</v>
      </c>
      <c r="H3428" t="s">
        <v>74</v>
      </c>
      <c r="I3428" t="s">
        <v>56224</v>
      </c>
      <c r="J3428" t="s">
        <v>2943</v>
      </c>
      <c r="K3428" t="s">
        <v>74</v>
      </c>
      <c r="L3428" t="s">
        <v>74</v>
      </c>
      <c r="M3428" t="s">
        <v>78</v>
      </c>
      <c r="N3428" t="s">
        <v>79</v>
      </c>
      <c r="O3428" t="s">
        <v>74</v>
      </c>
      <c r="P3428" t="s">
        <v>74</v>
      </c>
      <c r="Q3428" t="s">
        <v>74</v>
      </c>
      <c r="R3428" t="s">
        <v>74</v>
      </c>
      <c r="S3428" t="s">
        <v>74</v>
      </c>
      <c r="T3428" t="s">
        <v>56225</v>
      </c>
      <c r="U3428" t="s">
        <v>56226</v>
      </c>
      <c r="V3428" t="s">
        <v>56227</v>
      </c>
      <c r="W3428" t="s">
        <v>56228</v>
      </c>
      <c r="X3428" t="s">
        <v>56229</v>
      </c>
      <c r="Y3428" t="s">
        <v>56230</v>
      </c>
      <c r="Z3428" t="s">
        <v>56231</v>
      </c>
      <c r="AA3428" t="s">
        <v>74</v>
      </c>
      <c r="AB3428" t="s">
        <v>56232</v>
      </c>
      <c r="AC3428" t="s">
        <v>74</v>
      </c>
      <c r="AD3428" t="s">
        <v>74</v>
      </c>
      <c r="AE3428" t="s">
        <v>74</v>
      </c>
      <c r="AF3428" t="s">
        <v>74</v>
      </c>
      <c r="AG3428">
        <v>61</v>
      </c>
      <c r="AH3428">
        <v>3</v>
      </c>
      <c r="AI3428">
        <v>4</v>
      </c>
      <c r="AJ3428">
        <v>4</v>
      </c>
      <c r="AK3428">
        <v>6</v>
      </c>
      <c r="AL3428" t="s">
        <v>385</v>
      </c>
      <c r="AM3428" t="s">
        <v>151</v>
      </c>
      <c r="AN3428" t="s">
        <v>386</v>
      </c>
      <c r="AO3428" t="s">
        <v>2952</v>
      </c>
      <c r="AP3428" t="s">
        <v>2953</v>
      </c>
      <c r="AQ3428" t="s">
        <v>74</v>
      </c>
      <c r="AR3428" t="s">
        <v>2954</v>
      </c>
      <c r="AS3428" t="s">
        <v>2955</v>
      </c>
      <c r="AT3428" t="s">
        <v>55044</v>
      </c>
      <c r="AU3428">
        <v>2024</v>
      </c>
      <c r="AV3428">
        <v>10</v>
      </c>
      <c r="AW3428">
        <v>1</v>
      </c>
      <c r="AX3428" t="s">
        <v>74</v>
      </c>
      <c r="AY3428" t="s">
        <v>74</v>
      </c>
      <c r="AZ3428" t="s">
        <v>74</v>
      </c>
      <c r="BA3428" t="s">
        <v>74</v>
      </c>
      <c r="BB3428" t="s">
        <v>74</v>
      </c>
      <c r="BC3428" t="s">
        <v>74</v>
      </c>
      <c r="BD3428">
        <v>83</v>
      </c>
      <c r="BE3428" t="s">
        <v>56233</v>
      </c>
      <c r="BF3428" t="str">
        <f>HYPERLINK("http://dx.doi.org/10.1186/s43093-024-00373-x","http://dx.doi.org/10.1186/s43093-024-00373-x")</f>
        <v>http://dx.doi.org/10.1186/s43093-024-00373-x</v>
      </c>
      <c r="BG3428" t="s">
        <v>74</v>
      </c>
      <c r="BH3428" t="s">
        <v>74</v>
      </c>
      <c r="BI3428">
        <v>12</v>
      </c>
      <c r="BJ3428" t="s">
        <v>418</v>
      </c>
      <c r="BK3428" t="s">
        <v>313</v>
      </c>
      <c r="BL3428" t="s">
        <v>100</v>
      </c>
      <c r="BM3428" t="s">
        <v>56234</v>
      </c>
      <c r="BN3428" t="s">
        <v>74</v>
      </c>
      <c r="BO3428" t="s">
        <v>212</v>
      </c>
      <c r="BP3428" t="s">
        <v>74</v>
      </c>
      <c r="BQ3428" t="s">
        <v>74</v>
      </c>
      <c r="BR3428" t="s">
        <v>102</v>
      </c>
      <c r="BS3428" t="s">
        <v>56235</v>
      </c>
      <c r="BT3428" t="str">
        <f>HYPERLINK("https%3A%2F%2Fwww.webofscience.com%2Fwos%2Fwoscc%2Ffull-record%2FWOS:001272336800001","View Full Record in Web of Science")</f>
        <v>View Full Record in Web of Science</v>
      </c>
    </row>
    <row r="3429" spans="1:72" x14ac:dyDescent="0.25">
      <c r="A3429" t="s">
        <v>72</v>
      </c>
      <c r="B3429" t="s">
        <v>56236</v>
      </c>
      <c r="C3429" t="s">
        <v>74</v>
      </c>
      <c r="D3429" t="s">
        <v>74</v>
      </c>
      <c r="E3429" t="s">
        <v>74</v>
      </c>
      <c r="F3429" t="s">
        <v>56237</v>
      </c>
      <c r="G3429" t="s">
        <v>74</v>
      </c>
      <c r="H3429" t="s">
        <v>74</v>
      </c>
      <c r="I3429" t="s">
        <v>56238</v>
      </c>
      <c r="J3429" t="s">
        <v>9616</v>
      </c>
      <c r="K3429" t="s">
        <v>74</v>
      </c>
      <c r="L3429" t="s">
        <v>74</v>
      </c>
      <c r="M3429" t="s">
        <v>78</v>
      </c>
      <c r="N3429" t="s">
        <v>79</v>
      </c>
      <c r="O3429" t="s">
        <v>74</v>
      </c>
      <c r="P3429" t="s">
        <v>74</v>
      </c>
      <c r="Q3429" t="s">
        <v>74</v>
      </c>
      <c r="R3429" t="s">
        <v>74</v>
      </c>
      <c r="S3429" t="s">
        <v>74</v>
      </c>
      <c r="T3429" t="s">
        <v>56239</v>
      </c>
      <c r="U3429" t="s">
        <v>56240</v>
      </c>
      <c r="V3429" t="s">
        <v>56241</v>
      </c>
      <c r="W3429" t="s">
        <v>56242</v>
      </c>
      <c r="X3429" t="s">
        <v>21025</v>
      </c>
      <c r="Y3429" t="s">
        <v>56243</v>
      </c>
      <c r="Z3429" t="s">
        <v>56244</v>
      </c>
      <c r="AA3429" t="s">
        <v>74</v>
      </c>
      <c r="AB3429" t="s">
        <v>74</v>
      </c>
      <c r="AC3429" t="s">
        <v>56245</v>
      </c>
      <c r="AD3429" t="s">
        <v>56245</v>
      </c>
      <c r="AE3429" t="s">
        <v>56246</v>
      </c>
      <c r="AF3429" t="s">
        <v>74</v>
      </c>
      <c r="AG3429">
        <v>57</v>
      </c>
      <c r="AH3429">
        <v>0</v>
      </c>
      <c r="AI3429">
        <v>0</v>
      </c>
      <c r="AJ3429">
        <v>0</v>
      </c>
      <c r="AK3429">
        <v>0</v>
      </c>
      <c r="AL3429" t="s">
        <v>575</v>
      </c>
      <c r="AM3429" t="s">
        <v>576</v>
      </c>
      <c r="AN3429" t="s">
        <v>577</v>
      </c>
      <c r="AO3429" t="s">
        <v>74</v>
      </c>
      <c r="AP3429" t="s">
        <v>9626</v>
      </c>
      <c r="AQ3429" t="s">
        <v>74</v>
      </c>
      <c r="AR3429" t="s">
        <v>9616</v>
      </c>
      <c r="AS3429" t="s">
        <v>9627</v>
      </c>
      <c r="AT3429" t="s">
        <v>8884</v>
      </c>
      <c r="AU3429">
        <v>2025</v>
      </c>
      <c r="AV3429">
        <v>13</v>
      </c>
      <c r="AW3429">
        <v>12</v>
      </c>
      <c r="AX3429" t="s">
        <v>74</v>
      </c>
      <c r="AY3429" t="s">
        <v>74</v>
      </c>
      <c r="AZ3429" t="s">
        <v>74</v>
      </c>
      <c r="BA3429" t="s">
        <v>74</v>
      </c>
      <c r="BB3429" t="s">
        <v>74</v>
      </c>
      <c r="BC3429" t="s">
        <v>74</v>
      </c>
      <c r="BD3429">
        <v>360</v>
      </c>
      <c r="BE3429" t="s">
        <v>56247</v>
      </c>
      <c r="BF3429" t="str">
        <f>HYPERLINK("http://dx.doi.org/10.3390/economies13120360","http://dx.doi.org/10.3390/economies13120360")</f>
        <v>http://dx.doi.org/10.3390/economies13120360</v>
      </c>
      <c r="BG3429" t="s">
        <v>74</v>
      </c>
      <c r="BH3429" t="s">
        <v>74</v>
      </c>
      <c r="BI3429">
        <v>19</v>
      </c>
      <c r="BJ3429" t="s">
        <v>291</v>
      </c>
      <c r="BK3429" t="s">
        <v>313</v>
      </c>
      <c r="BL3429" t="s">
        <v>100</v>
      </c>
      <c r="BM3429" t="s">
        <v>56248</v>
      </c>
      <c r="BN3429" t="s">
        <v>74</v>
      </c>
      <c r="BO3429" t="s">
        <v>212</v>
      </c>
      <c r="BP3429" t="s">
        <v>74</v>
      </c>
      <c r="BQ3429" t="s">
        <v>74</v>
      </c>
      <c r="BR3429" t="s">
        <v>102</v>
      </c>
      <c r="BS3429" t="s">
        <v>56249</v>
      </c>
      <c r="BT3429" t="str">
        <f>HYPERLINK("https%3A%2F%2Fwww.webofscience.com%2Fwos%2Fwoscc%2Ffull-record%2FWOS:001646346200001","View Full Record in Web of Science")</f>
        <v>View Full Record in Web of Science</v>
      </c>
    </row>
    <row r="3430" spans="1:72" x14ac:dyDescent="0.25">
      <c r="A3430" t="s">
        <v>72</v>
      </c>
      <c r="B3430" t="s">
        <v>15858</v>
      </c>
      <c r="C3430" t="s">
        <v>74</v>
      </c>
      <c r="D3430" t="s">
        <v>74</v>
      </c>
      <c r="E3430" t="s">
        <v>74</v>
      </c>
      <c r="F3430" t="s">
        <v>15859</v>
      </c>
      <c r="G3430" t="s">
        <v>74</v>
      </c>
      <c r="H3430" t="s">
        <v>74</v>
      </c>
      <c r="I3430" t="s">
        <v>56250</v>
      </c>
      <c r="J3430" t="s">
        <v>34159</v>
      </c>
      <c r="K3430" t="s">
        <v>74</v>
      </c>
      <c r="L3430" t="s">
        <v>74</v>
      </c>
      <c r="M3430" t="s">
        <v>78</v>
      </c>
      <c r="N3430" t="s">
        <v>79</v>
      </c>
      <c r="O3430" t="s">
        <v>74</v>
      </c>
      <c r="P3430" t="s">
        <v>74</v>
      </c>
      <c r="Q3430" t="s">
        <v>74</v>
      </c>
      <c r="R3430" t="s">
        <v>74</v>
      </c>
      <c r="S3430" t="s">
        <v>74</v>
      </c>
      <c r="T3430" t="s">
        <v>56251</v>
      </c>
      <c r="U3430" t="s">
        <v>56252</v>
      </c>
      <c r="V3430" t="s">
        <v>56253</v>
      </c>
      <c r="W3430" t="s">
        <v>56254</v>
      </c>
      <c r="X3430" t="s">
        <v>1417</v>
      </c>
      <c r="Y3430" t="s">
        <v>56255</v>
      </c>
      <c r="Z3430" t="s">
        <v>15866</v>
      </c>
      <c r="AA3430" t="s">
        <v>74</v>
      </c>
      <c r="AB3430" t="s">
        <v>15867</v>
      </c>
      <c r="AC3430" t="s">
        <v>34955</v>
      </c>
      <c r="AD3430" t="s">
        <v>34955</v>
      </c>
      <c r="AE3430" t="s">
        <v>56256</v>
      </c>
      <c r="AF3430" t="s">
        <v>74</v>
      </c>
      <c r="AG3430">
        <v>84</v>
      </c>
      <c r="AH3430">
        <v>20</v>
      </c>
      <c r="AI3430">
        <v>21</v>
      </c>
      <c r="AJ3430">
        <v>1</v>
      </c>
      <c r="AK3430">
        <v>5</v>
      </c>
      <c r="AL3430" t="s">
        <v>757</v>
      </c>
      <c r="AM3430" t="s">
        <v>758</v>
      </c>
      <c r="AN3430" t="s">
        <v>759</v>
      </c>
      <c r="AO3430" t="s">
        <v>34148</v>
      </c>
      <c r="AP3430" t="s">
        <v>34147</v>
      </c>
      <c r="AQ3430" t="s">
        <v>74</v>
      </c>
      <c r="AR3430" t="s">
        <v>34146</v>
      </c>
      <c r="AS3430" t="s">
        <v>34145</v>
      </c>
      <c r="AT3430" t="s">
        <v>1652</v>
      </c>
      <c r="AU3430">
        <v>2022</v>
      </c>
      <c r="AV3430">
        <v>54</v>
      </c>
      <c r="AW3430">
        <v>4</v>
      </c>
      <c r="AX3430" t="s">
        <v>74</v>
      </c>
      <c r="AY3430" t="s">
        <v>74</v>
      </c>
      <c r="AZ3430" t="s">
        <v>74</v>
      </c>
      <c r="BA3430" t="s">
        <v>74</v>
      </c>
      <c r="BB3430">
        <v>800</v>
      </c>
      <c r="BC3430">
        <v>821</v>
      </c>
      <c r="BD3430" t="s">
        <v>56257</v>
      </c>
      <c r="BE3430" t="s">
        <v>56258</v>
      </c>
      <c r="BF3430" t="str">
        <f>HYPERLINK("http://dx.doi.org/10.1177/0308518X20976141","http://dx.doi.org/10.1177/0308518X20976141")</f>
        <v>http://dx.doi.org/10.1177/0308518X20976141</v>
      </c>
      <c r="BG3430" t="s">
        <v>74</v>
      </c>
      <c r="BH3430" t="s">
        <v>7236</v>
      </c>
      <c r="BI3430">
        <v>22</v>
      </c>
      <c r="BJ3430" t="s">
        <v>34142</v>
      </c>
      <c r="BK3430" t="s">
        <v>99</v>
      </c>
      <c r="BL3430" t="s">
        <v>34141</v>
      </c>
      <c r="BM3430" t="s">
        <v>52876</v>
      </c>
      <c r="BN3430" t="s">
        <v>74</v>
      </c>
      <c r="BO3430" t="s">
        <v>3694</v>
      </c>
      <c r="BP3430" t="s">
        <v>74</v>
      </c>
      <c r="BQ3430" t="s">
        <v>74</v>
      </c>
      <c r="BR3430" t="s">
        <v>102</v>
      </c>
      <c r="BS3430" t="s">
        <v>56259</v>
      </c>
      <c r="BT3430" t="str">
        <f>HYPERLINK("https%3A%2F%2Fwww.webofscience.com%2Fwos%2Fwoscc%2Ffull-record%2FWOS:000631242600001","View Full Record in Web of Science")</f>
        <v>View Full Record in Web of Science</v>
      </c>
    </row>
    <row r="3431" spans="1:72" x14ac:dyDescent="0.25">
      <c r="A3431" t="s">
        <v>72</v>
      </c>
      <c r="B3431" t="s">
        <v>56260</v>
      </c>
      <c r="C3431" t="s">
        <v>74</v>
      </c>
      <c r="D3431" t="s">
        <v>74</v>
      </c>
      <c r="E3431" t="s">
        <v>74</v>
      </c>
      <c r="F3431" t="s">
        <v>56261</v>
      </c>
      <c r="G3431" t="s">
        <v>74</v>
      </c>
      <c r="H3431" t="s">
        <v>74</v>
      </c>
      <c r="I3431" t="s">
        <v>56262</v>
      </c>
      <c r="J3431" t="s">
        <v>56263</v>
      </c>
      <c r="K3431" t="s">
        <v>74</v>
      </c>
      <c r="L3431" t="s">
        <v>74</v>
      </c>
      <c r="M3431" t="s">
        <v>78</v>
      </c>
      <c r="N3431" t="s">
        <v>79</v>
      </c>
      <c r="O3431" t="s">
        <v>74</v>
      </c>
      <c r="P3431" t="s">
        <v>74</v>
      </c>
      <c r="Q3431" t="s">
        <v>74</v>
      </c>
      <c r="R3431" t="s">
        <v>74</v>
      </c>
      <c r="S3431" t="s">
        <v>74</v>
      </c>
      <c r="T3431" t="s">
        <v>56264</v>
      </c>
      <c r="U3431" t="s">
        <v>56265</v>
      </c>
      <c r="V3431" t="s">
        <v>56266</v>
      </c>
      <c r="W3431" t="s">
        <v>56267</v>
      </c>
      <c r="X3431" t="s">
        <v>56268</v>
      </c>
      <c r="Y3431" t="s">
        <v>56269</v>
      </c>
      <c r="Z3431" t="s">
        <v>74</v>
      </c>
      <c r="AA3431" t="s">
        <v>74</v>
      </c>
      <c r="AB3431" t="s">
        <v>56270</v>
      </c>
      <c r="AC3431" t="s">
        <v>74</v>
      </c>
      <c r="AD3431" t="s">
        <v>74</v>
      </c>
      <c r="AE3431" t="s">
        <v>74</v>
      </c>
      <c r="AF3431" t="s">
        <v>74</v>
      </c>
      <c r="AG3431">
        <v>63</v>
      </c>
      <c r="AH3431">
        <v>10</v>
      </c>
      <c r="AI3431">
        <v>17</v>
      </c>
      <c r="AJ3431">
        <v>0</v>
      </c>
      <c r="AK3431">
        <v>22</v>
      </c>
      <c r="AL3431" t="s">
        <v>2551</v>
      </c>
      <c r="AM3431" t="s">
        <v>231</v>
      </c>
      <c r="AN3431" t="s">
        <v>2552</v>
      </c>
      <c r="AO3431" t="s">
        <v>56271</v>
      </c>
      <c r="AP3431" t="s">
        <v>56272</v>
      </c>
      <c r="AQ3431" t="s">
        <v>74</v>
      </c>
      <c r="AR3431" t="s">
        <v>56273</v>
      </c>
      <c r="AS3431" t="s">
        <v>56274</v>
      </c>
      <c r="AT3431" t="s">
        <v>891</v>
      </c>
      <c r="AU3431">
        <v>2015</v>
      </c>
      <c r="AV3431">
        <v>16</v>
      </c>
      <c r="AW3431">
        <v>4</v>
      </c>
      <c r="AX3431" t="s">
        <v>74</v>
      </c>
      <c r="AY3431" t="s">
        <v>74</v>
      </c>
      <c r="AZ3431" t="s">
        <v>74</v>
      </c>
      <c r="BA3431" t="s">
        <v>74</v>
      </c>
      <c r="BB3431">
        <v>406</v>
      </c>
      <c r="BC3431">
        <v>422</v>
      </c>
      <c r="BD3431" t="s">
        <v>74</v>
      </c>
      <c r="BE3431" t="s">
        <v>56275</v>
      </c>
      <c r="BF3431" t="str">
        <f>HYPERLINK("http://dx.doi.org/10.1111/insp.12068","http://dx.doi.org/10.1111/insp.12068")</f>
        <v>http://dx.doi.org/10.1111/insp.12068</v>
      </c>
      <c r="BG3431" t="s">
        <v>74</v>
      </c>
      <c r="BH3431" t="s">
        <v>74</v>
      </c>
      <c r="BI3431">
        <v>17</v>
      </c>
      <c r="BJ3431" t="s">
        <v>12820</v>
      </c>
      <c r="BK3431" t="s">
        <v>99</v>
      </c>
      <c r="BL3431" t="s">
        <v>12820</v>
      </c>
      <c r="BM3431" t="s">
        <v>56276</v>
      </c>
      <c r="BN3431" t="s">
        <v>74</v>
      </c>
      <c r="BO3431" t="s">
        <v>74</v>
      </c>
      <c r="BP3431" t="s">
        <v>74</v>
      </c>
      <c r="BQ3431" t="s">
        <v>74</v>
      </c>
      <c r="BR3431" t="s">
        <v>102</v>
      </c>
      <c r="BS3431" t="s">
        <v>56277</v>
      </c>
      <c r="BT3431" t="str">
        <f>HYPERLINK("https%3A%2F%2Fwww.webofscience.com%2Fwos%2Fwoscc%2Ffull-record%2FWOS:000364342700003","View Full Record in Web of Science")</f>
        <v>View Full Record in Web of Science</v>
      </c>
    </row>
    <row r="3432" spans="1:72" x14ac:dyDescent="0.25">
      <c r="A3432" t="s">
        <v>72</v>
      </c>
      <c r="B3432" t="s">
        <v>56278</v>
      </c>
      <c r="C3432" t="s">
        <v>74</v>
      </c>
      <c r="D3432" t="s">
        <v>74</v>
      </c>
      <c r="E3432" t="s">
        <v>74</v>
      </c>
      <c r="F3432" t="s">
        <v>56279</v>
      </c>
      <c r="G3432" t="s">
        <v>74</v>
      </c>
      <c r="H3432" t="s">
        <v>74</v>
      </c>
      <c r="I3432" t="s">
        <v>56280</v>
      </c>
      <c r="J3432" t="s">
        <v>56281</v>
      </c>
      <c r="K3432" t="s">
        <v>74</v>
      </c>
      <c r="L3432" t="s">
        <v>74</v>
      </c>
      <c r="M3432" t="s">
        <v>78</v>
      </c>
      <c r="N3432" t="s">
        <v>79</v>
      </c>
      <c r="O3432" t="s">
        <v>74</v>
      </c>
      <c r="P3432" t="s">
        <v>74</v>
      </c>
      <c r="Q3432" t="s">
        <v>74</v>
      </c>
      <c r="R3432" t="s">
        <v>74</v>
      </c>
      <c r="S3432" t="s">
        <v>74</v>
      </c>
      <c r="T3432" t="s">
        <v>74</v>
      </c>
      <c r="U3432" t="s">
        <v>56282</v>
      </c>
      <c r="V3432" t="s">
        <v>56283</v>
      </c>
      <c r="W3432" t="s">
        <v>56284</v>
      </c>
      <c r="X3432" t="s">
        <v>56285</v>
      </c>
      <c r="Y3432" t="s">
        <v>56286</v>
      </c>
      <c r="Z3432" t="s">
        <v>56287</v>
      </c>
      <c r="AA3432" t="s">
        <v>74</v>
      </c>
      <c r="AB3432" t="s">
        <v>74</v>
      </c>
      <c r="AC3432" t="s">
        <v>56288</v>
      </c>
      <c r="AD3432" t="s">
        <v>56288</v>
      </c>
      <c r="AE3432" t="s">
        <v>56289</v>
      </c>
      <c r="AF3432" t="s">
        <v>74</v>
      </c>
      <c r="AG3432">
        <v>35</v>
      </c>
      <c r="AH3432">
        <v>93</v>
      </c>
      <c r="AI3432">
        <v>116</v>
      </c>
      <c r="AJ3432">
        <v>1</v>
      </c>
      <c r="AK3432">
        <v>37</v>
      </c>
      <c r="AL3432" t="s">
        <v>479</v>
      </c>
      <c r="AM3432" t="s">
        <v>480</v>
      </c>
      <c r="AN3432" t="s">
        <v>481</v>
      </c>
      <c r="AO3432" t="s">
        <v>56290</v>
      </c>
      <c r="AP3432" t="s">
        <v>56291</v>
      </c>
      <c r="AQ3432" t="s">
        <v>74</v>
      </c>
      <c r="AR3432" t="s">
        <v>56292</v>
      </c>
      <c r="AS3432" t="s">
        <v>56293</v>
      </c>
      <c r="AT3432" t="s">
        <v>237</v>
      </c>
      <c r="AU3432">
        <v>2015</v>
      </c>
      <c r="AV3432">
        <v>20</v>
      </c>
      <c r="AW3432">
        <v>1</v>
      </c>
      <c r="AX3432" t="s">
        <v>74</v>
      </c>
      <c r="AY3432" t="s">
        <v>74</v>
      </c>
      <c r="AZ3432" t="s">
        <v>74</v>
      </c>
      <c r="BA3432" t="s">
        <v>74</v>
      </c>
      <c r="BB3432">
        <v>101</v>
      </c>
      <c r="BC3432">
        <v>124</v>
      </c>
      <c r="BD3432" t="s">
        <v>74</v>
      </c>
      <c r="BE3432" t="s">
        <v>56294</v>
      </c>
      <c r="BF3432" t="str">
        <f>HYPERLINK("http://dx.doi.org/10.1111/1468-0106.12096","http://dx.doi.org/10.1111/1468-0106.12096")</f>
        <v>http://dx.doi.org/10.1111/1468-0106.12096</v>
      </c>
      <c r="BG3432" t="s">
        <v>74</v>
      </c>
      <c r="BH3432" t="s">
        <v>74</v>
      </c>
      <c r="BI3432">
        <v>24</v>
      </c>
      <c r="BJ3432" t="s">
        <v>291</v>
      </c>
      <c r="BK3432" t="s">
        <v>99</v>
      </c>
      <c r="BL3432" t="s">
        <v>100</v>
      </c>
      <c r="BM3432" t="s">
        <v>56295</v>
      </c>
      <c r="BN3432" t="s">
        <v>74</v>
      </c>
      <c r="BO3432" t="s">
        <v>74</v>
      </c>
      <c r="BP3432" t="s">
        <v>74</v>
      </c>
      <c r="BQ3432" t="s">
        <v>74</v>
      </c>
      <c r="BR3432" t="s">
        <v>102</v>
      </c>
      <c r="BS3432" t="s">
        <v>56296</v>
      </c>
      <c r="BT3432" t="str">
        <f>HYPERLINK("https%3A%2F%2Fwww.webofscience.com%2Fwos%2Fwoscc%2Ffull-record%2FWOS:000350202700006","View Full Record in Web of Science")</f>
        <v>View Full Record in Web of Science</v>
      </c>
    </row>
    <row r="3433" spans="1:72" x14ac:dyDescent="0.25">
      <c r="A3433" t="s">
        <v>72</v>
      </c>
      <c r="B3433" t="s">
        <v>56297</v>
      </c>
      <c r="C3433" t="s">
        <v>74</v>
      </c>
      <c r="D3433" t="s">
        <v>74</v>
      </c>
      <c r="E3433" t="s">
        <v>74</v>
      </c>
      <c r="F3433" t="s">
        <v>56298</v>
      </c>
      <c r="G3433" t="s">
        <v>74</v>
      </c>
      <c r="H3433" t="s">
        <v>74</v>
      </c>
      <c r="I3433" t="s">
        <v>56299</v>
      </c>
      <c r="J3433" t="s">
        <v>1902</v>
      </c>
      <c r="K3433" t="s">
        <v>74</v>
      </c>
      <c r="L3433" t="s">
        <v>74</v>
      </c>
      <c r="M3433" t="s">
        <v>78</v>
      </c>
      <c r="N3433" t="s">
        <v>372</v>
      </c>
      <c r="O3433" t="s">
        <v>74</v>
      </c>
      <c r="P3433" t="s">
        <v>74</v>
      </c>
      <c r="Q3433" t="s">
        <v>74</v>
      </c>
      <c r="R3433" t="s">
        <v>74</v>
      </c>
      <c r="S3433" t="s">
        <v>74</v>
      </c>
      <c r="T3433" t="s">
        <v>56300</v>
      </c>
      <c r="U3433" t="s">
        <v>74</v>
      </c>
      <c r="V3433" t="s">
        <v>56301</v>
      </c>
      <c r="W3433" t="s">
        <v>56302</v>
      </c>
      <c r="X3433" t="s">
        <v>17644</v>
      </c>
      <c r="Y3433" t="s">
        <v>56303</v>
      </c>
      <c r="Z3433" t="s">
        <v>56304</v>
      </c>
      <c r="AA3433" t="s">
        <v>56305</v>
      </c>
      <c r="AB3433" t="s">
        <v>74</v>
      </c>
      <c r="AC3433" t="s">
        <v>74</v>
      </c>
      <c r="AD3433" t="s">
        <v>74</v>
      </c>
      <c r="AE3433" t="s">
        <v>74</v>
      </c>
      <c r="AF3433" t="s">
        <v>74</v>
      </c>
      <c r="AG3433">
        <v>67</v>
      </c>
      <c r="AH3433">
        <v>1</v>
      </c>
      <c r="AI3433">
        <v>1</v>
      </c>
      <c r="AJ3433">
        <v>0</v>
      </c>
      <c r="AK3433">
        <v>0</v>
      </c>
      <c r="AL3433" t="s">
        <v>89</v>
      </c>
      <c r="AM3433" t="s">
        <v>90</v>
      </c>
      <c r="AN3433" t="s">
        <v>91</v>
      </c>
      <c r="AO3433" t="s">
        <v>1910</v>
      </c>
      <c r="AP3433" t="s">
        <v>1911</v>
      </c>
      <c r="AQ3433" t="s">
        <v>74</v>
      </c>
      <c r="AR3433" t="s">
        <v>1912</v>
      </c>
      <c r="AS3433" t="s">
        <v>1913</v>
      </c>
      <c r="AT3433" t="s">
        <v>56306</v>
      </c>
      <c r="AU3433">
        <v>2025</v>
      </c>
      <c r="AV3433" t="s">
        <v>74</v>
      </c>
      <c r="AW3433" t="s">
        <v>74</v>
      </c>
      <c r="AX3433" t="s">
        <v>74</v>
      </c>
      <c r="AY3433" t="s">
        <v>74</v>
      </c>
      <c r="AZ3433" t="s">
        <v>74</v>
      </c>
      <c r="BA3433" t="s">
        <v>74</v>
      </c>
      <c r="BB3433" t="s">
        <v>74</v>
      </c>
      <c r="BC3433" t="s">
        <v>74</v>
      </c>
      <c r="BD3433" t="s">
        <v>74</v>
      </c>
      <c r="BE3433" t="s">
        <v>56307</v>
      </c>
      <c r="BF3433" t="str">
        <f>HYPERLINK("http://dx.doi.org/10.1108/JFEP-03-2025-0117","http://dx.doi.org/10.1108/JFEP-03-2025-0117")</f>
        <v>http://dx.doi.org/10.1108/JFEP-03-2025-0117</v>
      </c>
      <c r="BG3433" t="s">
        <v>74</v>
      </c>
      <c r="BH3433" t="s">
        <v>3411</v>
      </c>
      <c r="BI3433">
        <v>20</v>
      </c>
      <c r="BJ3433" t="s">
        <v>291</v>
      </c>
      <c r="BK3433" t="s">
        <v>313</v>
      </c>
      <c r="BL3433" t="s">
        <v>100</v>
      </c>
      <c r="BM3433" t="s">
        <v>56308</v>
      </c>
      <c r="BN3433" t="s">
        <v>74</v>
      </c>
      <c r="BO3433" t="s">
        <v>74</v>
      </c>
      <c r="BP3433" t="s">
        <v>74</v>
      </c>
      <c r="BQ3433" t="s">
        <v>74</v>
      </c>
      <c r="BR3433" t="s">
        <v>102</v>
      </c>
      <c r="BS3433" t="s">
        <v>56309</v>
      </c>
      <c r="BT3433" t="str">
        <f>HYPERLINK("https%3A%2F%2Fwww.webofscience.com%2Fwos%2Fwoscc%2Ffull-record%2FWOS:001563475900001","View Full Record in Web of Science")</f>
        <v>View Full Record in Web of Science</v>
      </c>
    </row>
    <row r="3434" spans="1:72" x14ac:dyDescent="0.25">
      <c r="A3434" t="s">
        <v>72</v>
      </c>
      <c r="B3434" t="s">
        <v>56310</v>
      </c>
      <c r="C3434" t="s">
        <v>74</v>
      </c>
      <c r="D3434" t="s">
        <v>74</v>
      </c>
      <c r="E3434" t="s">
        <v>74</v>
      </c>
      <c r="F3434" t="s">
        <v>56311</v>
      </c>
      <c r="G3434" t="s">
        <v>74</v>
      </c>
      <c r="H3434" t="s">
        <v>74</v>
      </c>
      <c r="I3434" t="s">
        <v>56312</v>
      </c>
      <c r="J3434" t="s">
        <v>274</v>
      </c>
      <c r="K3434" t="s">
        <v>74</v>
      </c>
      <c r="L3434" t="s">
        <v>74</v>
      </c>
      <c r="M3434" t="s">
        <v>78</v>
      </c>
      <c r="N3434" t="s">
        <v>79</v>
      </c>
      <c r="O3434" t="s">
        <v>74</v>
      </c>
      <c r="P3434" t="s">
        <v>74</v>
      </c>
      <c r="Q3434" t="s">
        <v>74</v>
      </c>
      <c r="R3434" t="s">
        <v>74</v>
      </c>
      <c r="S3434" t="s">
        <v>74</v>
      </c>
      <c r="T3434" t="s">
        <v>56313</v>
      </c>
      <c r="U3434" t="s">
        <v>74</v>
      </c>
      <c r="V3434" t="s">
        <v>56314</v>
      </c>
      <c r="W3434" t="s">
        <v>56315</v>
      </c>
      <c r="X3434" t="s">
        <v>56316</v>
      </c>
      <c r="Y3434" t="s">
        <v>56317</v>
      </c>
      <c r="Z3434" t="s">
        <v>56318</v>
      </c>
      <c r="AA3434" t="s">
        <v>56319</v>
      </c>
      <c r="AB3434" t="s">
        <v>56320</v>
      </c>
      <c r="AC3434" t="s">
        <v>74</v>
      </c>
      <c r="AD3434" t="s">
        <v>74</v>
      </c>
      <c r="AE3434" t="s">
        <v>74</v>
      </c>
      <c r="AF3434" t="s">
        <v>74</v>
      </c>
      <c r="AG3434">
        <v>16</v>
      </c>
      <c r="AH3434">
        <v>40</v>
      </c>
      <c r="AI3434">
        <v>51</v>
      </c>
      <c r="AJ3434">
        <v>2</v>
      </c>
      <c r="AK3434">
        <v>34</v>
      </c>
      <c r="AL3434" t="s">
        <v>282</v>
      </c>
      <c r="AM3434" t="s">
        <v>283</v>
      </c>
      <c r="AN3434" t="s">
        <v>284</v>
      </c>
      <c r="AO3434" t="s">
        <v>285</v>
      </c>
      <c r="AP3434" t="s">
        <v>286</v>
      </c>
      <c r="AQ3434" t="s">
        <v>74</v>
      </c>
      <c r="AR3434" t="s">
        <v>287</v>
      </c>
      <c r="AS3434" t="s">
        <v>288</v>
      </c>
      <c r="AT3434" t="s">
        <v>124</v>
      </c>
      <c r="AU3434">
        <v>2021</v>
      </c>
      <c r="AV3434">
        <v>209</v>
      </c>
      <c r="AW3434" t="s">
        <v>74</v>
      </c>
      <c r="AX3434" t="s">
        <v>74</v>
      </c>
      <c r="AY3434" t="s">
        <v>74</v>
      </c>
      <c r="AZ3434" t="s">
        <v>74</v>
      </c>
      <c r="BA3434" t="s">
        <v>74</v>
      </c>
      <c r="BB3434" t="s">
        <v>74</v>
      </c>
      <c r="BC3434" t="s">
        <v>74</v>
      </c>
      <c r="BD3434">
        <v>110139</v>
      </c>
      <c r="BE3434" t="s">
        <v>56321</v>
      </c>
      <c r="BF3434" t="str">
        <f>HYPERLINK("http://dx.doi.org/10.1016/j.econlet.2021.110139","http://dx.doi.org/10.1016/j.econlet.2021.110139")</f>
        <v>http://dx.doi.org/10.1016/j.econlet.2021.110139</v>
      </c>
      <c r="BG3434" t="s">
        <v>74</v>
      </c>
      <c r="BH3434" t="s">
        <v>6817</v>
      </c>
      <c r="BI3434">
        <v>6</v>
      </c>
      <c r="BJ3434" t="s">
        <v>291</v>
      </c>
      <c r="BK3434" t="s">
        <v>99</v>
      </c>
      <c r="BL3434" t="s">
        <v>100</v>
      </c>
      <c r="BM3434" t="s">
        <v>56322</v>
      </c>
      <c r="BN3434">
        <v>34744221</v>
      </c>
      <c r="BO3434" t="s">
        <v>466</v>
      </c>
      <c r="BP3434" t="s">
        <v>74</v>
      </c>
      <c r="BQ3434" t="s">
        <v>74</v>
      </c>
      <c r="BR3434" t="s">
        <v>102</v>
      </c>
      <c r="BS3434" t="s">
        <v>56323</v>
      </c>
      <c r="BT3434" t="str">
        <f>HYPERLINK("https%3A%2F%2Fwww.webofscience.com%2Fwos%2Fwoscc%2Ffull-record%2FWOS:000722998700002","View Full Record in Web of Science")</f>
        <v>View Full Record in Web of Science</v>
      </c>
    </row>
    <row r="3435" spans="1:72" x14ac:dyDescent="0.25">
      <c r="A3435" t="s">
        <v>72</v>
      </c>
      <c r="B3435" t="s">
        <v>56324</v>
      </c>
      <c r="C3435" t="s">
        <v>74</v>
      </c>
      <c r="D3435" t="s">
        <v>74</v>
      </c>
      <c r="E3435" t="s">
        <v>74</v>
      </c>
      <c r="F3435" t="s">
        <v>56325</v>
      </c>
      <c r="G3435" t="s">
        <v>74</v>
      </c>
      <c r="H3435" t="s">
        <v>74</v>
      </c>
      <c r="I3435" t="s">
        <v>56326</v>
      </c>
      <c r="J3435" t="s">
        <v>12172</v>
      </c>
      <c r="K3435" t="s">
        <v>74</v>
      </c>
      <c r="L3435" t="s">
        <v>74</v>
      </c>
      <c r="M3435" t="s">
        <v>78</v>
      </c>
      <c r="N3435" t="s">
        <v>79</v>
      </c>
      <c r="O3435" t="s">
        <v>74</v>
      </c>
      <c r="P3435" t="s">
        <v>74</v>
      </c>
      <c r="Q3435" t="s">
        <v>74</v>
      </c>
      <c r="R3435" t="s">
        <v>74</v>
      </c>
      <c r="S3435" t="s">
        <v>74</v>
      </c>
      <c r="T3435" t="s">
        <v>56327</v>
      </c>
      <c r="U3435" t="s">
        <v>56328</v>
      </c>
      <c r="V3435" t="s">
        <v>56329</v>
      </c>
      <c r="W3435" t="s">
        <v>56330</v>
      </c>
      <c r="X3435" t="s">
        <v>56331</v>
      </c>
      <c r="Y3435" t="s">
        <v>56332</v>
      </c>
      <c r="Z3435" t="s">
        <v>56333</v>
      </c>
      <c r="AA3435" t="s">
        <v>56334</v>
      </c>
      <c r="AB3435" t="s">
        <v>56335</v>
      </c>
      <c r="AC3435" t="s">
        <v>56336</v>
      </c>
      <c r="AD3435" t="s">
        <v>56336</v>
      </c>
      <c r="AE3435" t="s">
        <v>56337</v>
      </c>
      <c r="AF3435" t="s">
        <v>74</v>
      </c>
      <c r="AG3435">
        <v>30</v>
      </c>
      <c r="AH3435">
        <v>7</v>
      </c>
      <c r="AI3435">
        <v>8</v>
      </c>
      <c r="AJ3435">
        <v>0</v>
      </c>
      <c r="AK3435">
        <v>14</v>
      </c>
      <c r="AL3435" t="s">
        <v>757</v>
      </c>
      <c r="AM3435" t="s">
        <v>758</v>
      </c>
      <c r="AN3435" t="s">
        <v>759</v>
      </c>
      <c r="AO3435" t="s">
        <v>12179</v>
      </c>
      <c r="AP3435" t="s">
        <v>74</v>
      </c>
      <c r="AQ3435" t="s">
        <v>74</v>
      </c>
      <c r="AR3435" t="s">
        <v>12172</v>
      </c>
      <c r="AS3435" t="s">
        <v>12180</v>
      </c>
      <c r="AT3435" t="s">
        <v>1159</v>
      </c>
      <c r="AU3435">
        <v>2023</v>
      </c>
      <c r="AV3435">
        <v>13</v>
      </c>
      <c r="AW3435">
        <v>4</v>
      </c>
      <c r="AX3435" t="s">
        <v>74</v>
      </c>
      <c r="AY3435" t="s">
        <v>74</v>
      </c>
      <c r="AZ3435" t="s">
        <v>74</v>
      </c>
      <c r="BA3435" t="s">
        <v>74</v>
      </c>
      <c r="BB3435" t="s">
        <v>74</v>
      </c>
      <c r="BC3435" t="s">
        <v>74</v>
      </c>
      <c r="BD3435">
        <v>2.1582440231218512E+16</v>
      </c>
      <c r="BE3435" t="s">
        <v>56338</v>
      </c>
      <c r="BF3435" t="str">
        <f>HYPERLINK("http://dx.doi.org/10.1177/21582440231218513","http://dx.doi.org/10.1177/21582440231218513")</f>
        <v>http://dx.doi.org/10.1177/21582440231218513</v>
      </c>
      <c r="BG3435" t="s">
        <v>74</v>
      </c>
      <c r="BH3435" t="s">
        <v>74</v>
      </c>
      <c r="BI3435">
        <v>10</v>
      </c>
      <c r="BJ3435" t="s">
        <v>364</v>
      </c>
      <c r="BK3435" t="s">
        <v>99</v>
      </c>
      <c r="BL3435" t="s">
        <v>365</v>
      </c>
      <c r="BM3435" t="s">
        <v>56339</v>
      </c>
      <c r="BN3435" t="s">
        <v>74</v>
      </c>
      <c r="BO3435" t="s">
        <v>212</v>
      </c>
      <c r="BP3435" t="s">
        <v>74</v>
      </c>
      <c r="BQ3435" t="s">
        <v>74</v>
      </c>
      <c r="BR3435" t="s">
        <v>102</v>
      </c>
      <c r="BS3435" t="s">
        <v>56340</v>
      </c>
      <c r="BT3435" t="str">
        <f>HYPERLINK("https%3A%2F%2Fwww.webofscience.com%2Fwos%2Fwoscc%2Ffull-record%2FWOS:001131746400001","View Full Record in Web of Science")</f>
        <v>View Full Record in Web of Science</v>
      </c>
    </row>
    <row r="3436" spans="1:72" x14ac:dyDescent="0.25">
      <c r="A3436" t="s">
        <v>72</v>
      </c>
      <c r="B3436" t="s">
        <v>56341</v>
      </c>
      <c r="C3436" t="s">
        <v>74</v>
      </c>
      <c r="D3436" t="s">
        <v>74</v>
      </c>
      <c r="E3436" t="s">
        <v>74</v>
      </c>
      <c r="F3436" t="s">
        <v>56342</v>
      </c>
      <c r="G3436" t="s">
        <v>74</v>
      </c>
      <c r="H3436" t="s">
        <v>74</v>
      </c>
      <c r="I3436" t="s">
        <v>56343</v>
      </c>
      <c r="J3436" t="s">
        <v>9191</v>
      </c>
      <c r="K3436" t="s">
        <v>74</v>
      </c>
      <c r="L3436" t="s">
        <v>74</v>
      </c>
      <c r="M3436" t="s">
        <v>78</v>
      </c>
      <c r="N3436" t="s">
        <v>79</v>
      </c>
      <c r="O3436" t="s">
        <v>74</v>
      </c>
      <c r="P3436" t="s">
        <v>74</v>
      </c>
      <c r="Q3436" t="s">
        <v>74</v>
      </c>
      <c r="R3436" t="s">
        <v>74</v>
      </c>
      <c r="S3436" t="s">
        <v>74</v>
      </c>
      <c r="T3436" t="s">
        <v>56344</v>
      </c>
      <c r="U3436" t="s">
        <v>56345</v>
      </c>
      <c r="V3436" t="s">
        <v>56346</v>
      </c>
      <c r="W3436" t="s">
        <v>56347</v>
      </c>
      <c r="X3436" t="s">
        <v>56348</v>
      </c>
      <c r="Y3436" t="s">
        <v>56349</v>
      </c>
      <c r="Z3436" t="s">
        <v>56350</v>
      </c>
      <c r="AA3436" t="s">
        <v>56351</v>
      </c>
      <c r="AB3436" t="s">
        <v>56352</v>
      </c>
      <c r="AC3436" t="s">
        <v>74</v>
      </c>
      <c r="AD3436" t="s">
        <v>74</v>
      </c>
      <c r="AE3436" t="s">
        <v>74</v>
      </c>
      <c r="AF3436" t="s">
        <v>74</v>
      </c>
      <c r="AG3436">
        <v>68</v>
      </c>
      <c r="AH3436">
        <v>8</v>
      </c>
      <c r="AI3436">
        <v>10</v>
      </c>
      <c r="AJ3436">
        <v>1</v>
      </c>
      <c r="AK3436">
        <v>16</v>
      </c>
      <c r="AL3436" t="s">
        <v>9204</v>
      </c>
      <c r="AM3436" t="s">
        <v>2016</v>
      </c>
      <c r="AN3436" t="s">
        <v>9205</v>
      </c>
      <c r="AO3436" t="s">
        <v>74</v>
      </c>
      <c r="AP3436" t="s">
        <v>9206</v>
      </c>
      <c r="AQ3436" t="s">
        <v>74</v>
      </c>
      <c r="AR3436" t="s">
        <v>9191</v>
      </c>
      <c r="AS3436" t="s">
        <v>9207</v>
      </c>
      <c r="AT3436" t="s">
        <v>9184</v>
      </c>
      <c r="AU3436">
        <v>2024</v>
      </c>
      <c r="AV3436">
        <v>10</v>
      </c>
      <c r="AW3436">
        <v>1</v>
      </c>
      <c r="AX3436" t="s">
        <v>74</v>
      </c>
      <c r="AY3436" t="s">
        <v>74</v>
      </c>
      <c r="AZ3436" t="s">
        <v>74</v>
      </c>
      <c r="BA3436" t="s">
        <v>74</v>
      </c>
      <c r="BB3436" t="s">
        <v>74</v>
      </c>
      <c r="BC3436" t="s">
        <v>74</v>
      </c>
      <c r="BD3436" t="s">
        <v>56353</v>
      </c>
      <c r="BE3436" t="s">
        <v>56354</v>
      </c>
      <c r="BF3436" t="str">
        <f>HYPERLINK("http://dx.doi.org/10.1016/j.heliyon.2023.e23457","http://dx.doi.org/10.1016/j.heliyon.2023.e23457")</f>
        <v>http://dx.doi.org/10.1016/j.heliyon.2023.e23457</v>
      </c>
      <c r="BG3436" t="s">
        <v>74</v>
      </c>
      <c r="BH3436" t="s">
        <v>1524</v>
      </c>
      <c r="BI3436">
        <v>13</v>
      </c>
      <c r="BJ3436" t="s">
        <v>559</v>
      </c>
      <c r="BK3436" t="s">
        <v>128</v>
      </c>
      <c r="BL3436" t="s">
        <v>560</v>
      </c>
      <c r="BM3436" t="s">
        <v>56355</v>
      </c>
      <c r="BN3436">
        <v>38192768</v>
      </c>
      <c r="BO3436" t="s">
        <v>916</v>
      </c>
      <c r="BP3436" t="s">
        <v>74</v>
      </c>
      <c r="BQ3436" t="s">
        <v>74</v>
      </c>
      <c r="BR3436" t="s">
        <v>102</v>
      </c>
      <c r="BS3436" t="s">
        <v>56356</v>
      </c>
      <c r="BT3436" t="str">
        <f>HYPERLINK("https%3A%2F%2Fwww.webofscience.com%2Fwos%2Fwoscc%2Ffull-record%2FWOS:001139202600001","View Full Record in Web of Science")</f>
        <v>View Full Record in Web of Science</v>
      </c>
    </row>
    <row r="3437" spans="1:72" x14ac:dyDescent="0.25">
      <c r="A3437" t="s">
        <v>72</v>
      </c>
      <c r="B3437" t="s">
        <v>11231</v>
      </c>
      <c r="C3437" t="s">
        <v>74</v>
      </c>
      <c r="D3437" t="s">
        <v>74</v>
      </c>
      <c r="E3437" t="s">
        <v>74</v>
      </c>
      <c r="F3437" t="s">
        <v>11232</v>
      </c>
      <c r="G3437" t="s">
        <v>74</v>
      </c>
      <c r="H3437" t="s">
        <v>74</v>
      </c>
      <c r="I3437" t="s">
        <v>56357</v>
      </c>
      <c r="J3437" t="s">
        <v>23468</v>
      </c>
      <c r="K3437" t="s">
        <v>74</v>
      </c>
      <c r="L3437" t="s">
        <v>74</v>
      </c>
      <c r="M3437" t="s">
        <v>78</v>
      </c>
      <c r="N3437" t="s">
        <v>79</v>
      </c>
      <c r="O3437" t="s">
        <v>74</v>
      </c>
      <c r="P3437" t="s">
        <v>74</v>
      </c>
      <c r="Q3437" t="s">
        <v>74</v>
      </c>
      <c r="R3437" t="s">
        <v>74</v>
      </c>
      <c r="S3437" t="s">
        <v>74</v>
      </c>
      <c r="T3437" t="s">
        <v>56358</v>
      </c>
      <c r="U3437" t="s">
        <v>56359</v>
      </c>
      <c r="V3437" t="s">
        <v>56360</v>
      </c>
      <c r="W3437" t="s">
        <v>30504</v>
      </c>
      <c r="X3437" t="s">
        <v>11237</v>
      </c>
      <c r="Y3437" t="s">
        <v>4311</v>
      </c>
      <c r="Z3437" t="s">
        <v>11239</v>
      </c>
      <c r="AA3437" t="s">
        <v>11360</v>
      </c>
      <c r="AB3437" t="s">
        <v>30503</v>
      </c>
      <c r="AC3437" t="s">
        <v>74</v>
      </c>
      <c r="AD3437" t="s">
        <v>74</v>
      </c>
      <c r="AE3437" t="s">
        <v>74</v>
      </c>
      <c r="AF3437" t="s">
        <v>74</v>
      </c>
      <c r="AG3437">
        <v>100</v>
      </c>
      <c r="AH3437">
        <v>13</v>
      </c>
      <c r="AI3437">
        <v>18</v>
      </c>
      <c r="AJ3437">
        <v>0</v>
      </c>
      <c r="AK3437">
        <v>11</v>
      </c>
      <c r="AL3437" t="s">
        <v>385</v>
      </c>
      <c r="AM3437" t="s">
        <v>1153</v>
      </c>
      <c r="AN3437" t="s">
        <v>1154</v>
      </c>
      <c r="AO3437" t="s">
        <v>23459</v>
      </c>
      <c r="AP3437" t="s">
        <v>23458</v>
      </c>
      <c r="AQ3437" t="s">
        <v>74</v>
      </c>
      <c r="AR3437" t="s">
        <v>23457</v>
      </c>
      <c r="AS3437" t="s">
        <v>23456</v>
      </c>
      <c r="AT3437" t="s">
        <v>237</v>
      </c>
      <c r="AU3437">
        <v>2021</v>
      </c>
      <c r="AV3437">
        <v>16</v>
      </c>
      <c r="AW3437">
        <v>1</v>
      </c>
      <c r="AX3437" t="s">
        <v>74</v>
      </c>
      <c r="AY3437" t="s">
        <v>74</v>
      </c>
      <c r="AZ3437" t="s">
        <v>74</v>
      </c>
      <c r="BA3437" t="s">
        <v>74</v>
      </c>
      <c r="BB3437">
        <v>71</v>
      </c>
      <c r="BC3437">
        <v>103</v>
      </c>
      <c r="BD3437" t="s">
        <v>74</v>
      </c>
      <c r="BE3437" t="s">
        <v>56361</v>
      </c>
      <c r="BF3437" t="str">
        <f>HYPERLINK("http://dx.doi.org/10.1007/s11482-019-09755-8","http://dx.doi.org/10.1007/s11482-019-09755-8")</f>
        <v>http://dx.doi.org/10.1007/s11482-019-09755-8</v>
      </c>
      <c r="BG3437" t="s">
        <v>74</v>
      </c>
      <c r="BH3437" t="s">
        <v>74</v>
      </c>
      <c r="BI3437">
        <v>33</v>
      </c>
      <c r="BJ3437" t="s">
        <v>364</v>
      </c>
      <c r="BK3437" t="s">
        <v>99</v>
      </c>
      <c r="BL3437" t="s">
        <v>365</v>
      </c>
      <c r="BM3437" t="s">
        <v>56362</v>
      </c>
      <c r="BN3437" t="s">
        <v>74</v>
      </c>
      <c r="BO3437" t="s">
        <v>2734</v>
      </c>
      <c r="BP3437" t="s">
        <v>74</v>
      </c>
      <c r="BQ3437" t="s">
        <v>74</v>
      </c>
      <c r="BR3437" t="s">
        <v>102</v>
      </c>
      <c r="BS3437" t="s">
        <v>56363</v>
      </c>
      <c r="BT3437" t="str">
        <f>HYPERLINK("https%3A%2F%2Fwww.webofscience.com%2Fwos%2Fwoscc%2Ffull-record%2FWOS:000617532700004","View Full Record in Web of Science")</f>
        <v>View Full Record in Web of Science</v>
      </c>
    </row>
    <row r="3438" spans="1:72" x14ac:dyDescent="0.25">
      <c r="A3438" t="s">
        <v>72</v>
      </c>
      <c r="B3438" t="s">
        <v>56364</v>
      </c>
      <c r="C3438" t="s">
        <v>74</v>
      </c>
      <c r="D3438" t="s">
        <v>74</v>
      </c>
      <c r="E3438" t="s">
        <v>74</v>
      </c>
      <c r="F3438" t="s">
        <v>56365</v>
      </c>
      <c r="G3438" t="s">
        <v>74</v>
      </c>
      <c r="H3438" t="s">
        <v>74</v>
      </c>
      <c r="I3438" t="s">
        <v>56366</v>
      </c>
      <c r="J3438" t="s">
        <v>56367</v>
      </c>
      <c r="K3438" t="s">
        <v>74</v>
      </c>
      <c r="L3438" t="s">
        <v>74</v>
      </c>
      <c r="M3438" t="s">
        <v>78</v>
      </c>
      <c r="N3438" t="s">
        <v>79</v>
      </c>
      <c r="O3438" t="s">
        <v>74</v>
      </c>
      <c r="P3438" t="s">
        <v>74</v>
      </c>
      <c r="Q3438" t="s">
        <v>74</v>
      </c>
      <c r="R3438" t="s">
        <v>74</v>
      </c>
      <c r="S3438" t="s">
        <v>74</v>
      </c>
      <c r="T3438" t="s">
        <v>56368</v>
      </c>
      <c r="U3438" t="s">
        <v>49676</v>
      </c>
      <c r="V3438" t="s">
        <v>56369</v>
      </c>
      <c r="W3438" t="s">
        <v>56370</v>
      </c>
      <c r="X3438" t="s">
        <v>47116</v>
      </c>
      <c r="Y3438" t="s">
        <v>56371</v>
      </c>
      <c r="Z3438" t="s">
        <v>56372</v>
      </c>
      <c r="AA3438" t="s">
        <v>74</v>
      </c>
      <c r="AB3438" t="s">
        <v>74</v>
      </c>
      <c r="AC3438" t="s">
        <v>74</v>
      </c>
      <c r="AD3438" t="s">
        <v>74</v>
      </c>
      <c r="AE3438" t="s">
        <v>74</v>
      </c>
      <c r="AF3438" t="s">
        <v>74</v>
      </c>
      <c r="AG3438">
        <v>79</v>
      </c>
      <c r="AH3438">
        <v>0</v>
      </c>
      <c r="AI3438">
        <v>0</v>
      </c>
      <c r="AJ3438">
        <v>3</v>
      </c>
      <c r="AK3438">
        <v>3</v>
      </c>
      <c r="AL3438" t="s">
        <v>823</v>
      </c>
      <c r="AM3438" t="s">
        <v>333</v>
      </c>
      <c r="AN3438" t="s">
        <v>824</v>
      </c>
      <c r="AO3438" t="s">
        <v>56373</v>
      </c>
      <c r="AP3438" t="s">
        <v>74</v>
      </c>
      <c r="AQ3438" t="s">
        <v>74</v>
      </c>
      <c r="AR3438" t="s">
        <v>56374</v>
      </c>
      <c r="AS3438" t="s">
        <v>56375</v>
      </c>
      <c r="AT3438" t="s">
        <v>2970</v>
      </c>
      <c r="AU3438">
        <v>2025</v>
      </c>
      <c r="AV3438">
        <v>11</v>
      </c>
      <c r="AW3438">
        <v>1</v>
      </c>
      <c r="AX3438" t="s">
        <v>74</v>
      </c>
      <c r="AY3438" t="s">
        <v>74</v>
      </c>
      <c r="AZ3438" t="s">
        <v>74</v>
      </c>
      <c r="BA3438" t="s">
        <v>74</v>
      </c>
      <c r="BB3438" t="s">
        <v>74</v>
      </c>
      <c r="BC3438" t="s">
        <v>74</v>
      </c>
      <c r="BD3438">
        <v>2568753</v>
      </c>
      <c r="BE3438" t="s">
        <v>56376</v>
      </c>
      <c r="BF3438" t="str">
        <f>HYPERLINK("http://dx.doi.org/10.1080/23311932.2025.2568753","http://dx.doi.org/10.1080/23311932.2025.2568753")</f>
        <v>http://dx.doi.org/10.1080/23311932.2025.2568753</v>
      </c>
      <c r="BG3438" t="s">
        <v>74</v>
      </c>
      <c r="BH3438" t="s">
        <v>74</v>
      </c>
      <c r="BI3438">
        <v>18</v>
      </c>
      <c r="BJ3438" t="s">
        <v>6236</v>
      </c>
      <c r="BK3438" t="s">
        <v>128</v>
      </c>
      <c r="BL3438" t="s">
        <v>5152</v>
      </c>
      <c r="BM3438" t="s">
        <v>56377</v>
      </c>
      <c r="BN3438" t="s">
        <v>74</v>
      </c>
      <c r="BO3438" t="s">
        <v>916</v>
      </c>
      <c r="BP3438" t="s">
        <v>74</v>
      </c>
      <c r="BQ3438" t="s">
        <v>74</v>
      </c>
      <c r="BR3438" t="s">
        <v>102</v>
      </c>
      <c r="BS3438" t="s">
        <v>56378</v>
      </c>
      <c r="BT3438" t="str">
        <f>HYPERLINK("https%3A%2F%2Fwww.webofscience.com%2Fwos%2Fwoscc%2Ffull-record%2FWOS:001590275600001","View Full Record in Web of Science")</f>
        <v>View Full Record in Web of Science</v>
      </c>
    </row>
    <row r="3439" spans="1:72" x14ac:dyDescent="0.25">
      <c r="A3439" t="s">
        <v>132</v>
      </c>
      <c r="B3439" t="s">
        <v>56379</v>
      </c>
      <c r="C3439" t="s">
        <v>74</v>
      </c>
      <c r="D3439" t="s">
        <v>56380</v>
      </c>
      <c r="E3439" t="s">
        <v>74</v>
      </c>
      <c r="F3439" t="s">
        <v>56381</v>
      </c>
      <c r="G3439" t="s">
        <v>74</v>
      </c>
      <c r="H3439" t="s">
        <v>74</v>
      </c>
      <c r="I3439" t="s">
        <v>56382</v>
      </c>
      <c r="J3439" t="s">
        <v>56383</v>
      </c>
      <c r="K3439" t="s">
        <v>74</v>
      </c>
      <c r="L3439" t="s">
        <v>74</v>
      </c>
      <c r="M3439" t="s">
        <v>78</v>
      </c>
      <c r="N3439" t="s">
        <v>138</v>
      </c>
      <c r="O3439" t="s">
        <v>56384</v>
      </c>
      <c r="P3439" t="s">
        <v>56385</v>
      </c>
      <c r="Q3439" t="s">
        <v>1611</v>
      </c>
      <c r="R3439" t="s">
        <v>56386</v>
      </c>
      <c r="S3439" t="s">
        <v>74</v>
      </c>
      <c r="T3439" t="s">
        <v>56387</v>
      </c>
      <c r="U3439" t="s">
        <v>56388</v>
      </c>
      <c r="V3439" t="s">
        <v>56389</v>
      </c>
      <c r="W3439" t="s">
        <v>56390</v>
      </c>
      <c r="X3439" t="s">
        <v>56391</v>
      </c>
      <c r="Y3439" t="s">
        <v>56392</v>
      </c>
      <c r="Z3439" t="s">
        <v>56393</v>
      </c>
      <c r="AA3439" t="s">
        <v>56394</v>
      </c>
      <c r="AB3439" t="s">
        <v>74</v>
      </c>
      <c r="AC3439" t="s">
        <v>74</v>
      </c>
      <c r="AD3439" t="s">
        <v>74</v>
      </c>
      <c r="AE3439" t="s">
        <v>74</v>
      </c>
      <c r="AF3439" t="s">
        <v>74</v>
      </c>
      <c r="AG3439">
        <v>20</v>
      </c>
      <c r="AH3439">
        <v>0</v>
      </c>
      <c r="AI3439">
        <v>0</v>
      </c>
      <c r="AJ3439">
        <v>0</v>
      </c>
      <c r="AK3439">
        <v>2</v>
      </c>
      <c r="AL3439" t="s">
        <v>56395</v>
      </c>
      <c r="AM3439" t="s">
        <v>56396</v>
      </c>
      <c r="AN3439" t="s">
        <v>56397</v>
      </c>
      <c r="AO3439" t="s">
        <v>74</v>
      </c>
      <c r="AP3439" t="s">
        <v>74</v>
      </c>
      <c r="AQ3439" t="s">
        <v>56398</v>
      </c>
      <c r="AR3439" t="s">
        <v>74</v>
      </c>
      <c r="AS3439" t="s">
        <v>74</v>
      </c>
      <c r="AT3439" t="s">
        <v>74</v>
      </c>
      <c r="AU3439">
        <v>2015</v>
      </c>
      <c r="AV3439" t="s">
        <v>74</v>
      </c>
      <c r="AW3439" t="s">
        <v>74</v>
      </c>
      <c r="AX3439" t="s">
        <v>74</v>
      </c>
      <c r="AY3439" t="s">
        <v>74</v>
      </c>
      <c r="AZ3439" t="s">
        <v>74</v>
      </c>
      <c r="BA3439" t="s">
        <v>74</v>
      </c>
      <c r="BB3439">
        <v>79</v>
      </c>
      <c r="BC3439">
        <v>88</v>
      </c>
      <c r="BD3439" t="s">
        <v>74</v>
      </c>
      <c r="BE3439" t="s">
        <v>74</v>
      </c>
      <c r="BF3439" t="s">
        <v>74</v>
      </c>
      <c r="BG3439" t="s">
        <v>74</v>
      </c>
      <c r="BH3439" t="s">
        <v>74</v>
      </c>
      <c r="BI3439">
        <v>10</v>
      </c>
      <c r="BJ3439" t="s">
        <v>2023</v>
      </c>
      <c r="BK3439" t="s">
        <v>183</v>
      </c>
      <c r="BL3439" t="s">
        <v>2024</v>
      </c>
      <c r="BM3439" t="s">
        <v>56399</v>
      </c>
      <c r="BN3439" t="s">
        <v>74</v>
      </c>
      <c r="BO3439" t="s">
        <v>74</v>
      </c>
      <c r="BP3439" t="s">
        <v>74</v>
      </c>
      <c r="BQ3439" t="s">
        <v>74</v>
      </c>
      <c r="BR3439" t="s">
        <v>102</v>
      </c>
      <c r="BS3439" t="s">
        <v>56400</v>
      </c>
      <c r="BT3439" t="str">
        <f>HYPERLINK("https%3A%2F%2Fwww.webofscience.com%2Fwos%2Fwoscc%2Ffull-record%2FWOS:000380530000008","View Full Record in Web of Science")</f>
        <v>View Full Record in Web of Science</v>
      </c>
    </row>
    <row r="3440" spans="1:72" x14ac:dyDescent="0.25">
      <c r="A3440" t="s">
        <v>72</v>
      </c>
      <c r="B3440" t="s">
        <v>56401</v>
      </c>
      <c r="C3440" t="s">
        <v>74</v>
      </c>
      <c r="D3440" t="s">
        <v>74</v>
      </c>
      <c r="E3440" t="s">
        <v>74</v>
      </c>
      <c r="F3440" t="s">
        <v>56402</v>
      </c>
      <c r="G3440" t="s">
        <v>74</v>
      </c>
      <c r="H3440" t="s">
        <v>74</v>
      </c>
      <c r="I3440" t="s">
        <v>56403</v>
      </c>
      <c r="J3440" t="s">
        <v>5308</v>
      </c>
      <c r="K3440" t="s">
        <v>74</v>
      </c>
      <c r="L3440" t="s">
        <v>74</v>
      </c>
      <c r="M3440" t="s">
        <v>78</v>
      </c>
      <c r="N3440" t="s">
        <v>79</v>
      </c>
      <c r="O3440" t="s">
        <v>74</v>
      </c>
      <c r="P3440" t="s">
        <v>74</v>
      </c>
      <c r="Q3440" t="s">
        <v>74</v>
      </c>
      <c r="R3440" t="s">
        <v>74</v>
      </c>
      <c r="S3440" t="s">
        <v>74</v>
      </c>
      <c r="T3440" t="s">
        <v>56404</v>
      </c>
      <c r="U3440" t="s">
        <v>56405</v>
      </c>
      <c r="V3440" t="s">
        <v>56406</v>
      </c>
      <c r="W3440" t="s">
        <v>56407</v>
      </c>
      <c r="X3440" t="s">
        <v>56408</v>
      </c>
      <c r="Y3440" t="s">
        <v>56409</v>
      </c>
      <c r="Z3440" t="s">
        <v>56410</v>
      </c>
      <c r="AA3440" t="s">
        <v>56411</v>
      </c>
      <c r="AB3440" t="s">
        <v>56412</v>
      </c>
      <c r="AC3440" t="s">
        <v>74</v>
      </c>
      <c r="AD3440" t="s">
        <v>74</v>
      </c>
      <c r="AE3440" t="s">
        <v>74</v>
      </c>
      <c r="AF3440" t="s">
        <v>74</v>
      </c>
      <c r="AG3440">
        <v>81</v>
      </c>
      <c r="AH3440">
        <v>19</v>
      </c>
      <c r="AI3440">
        <v>20</v>
      </c>
      <c r="AJ3440">
        <v>10</v>
      </c>
      <c r="AK3440">
        <v>118</v>
      </c>
      <c r="AL3440" t="s">
        <v>479</v>
      </c>
      <c r="AM3440" t="s">
        <v>480</v>
      </c>
      <c r="AN3440" t="s">
        <v>481</v>
      </c>
      <c r="AO3440" t="s">
        <v>5320</v>
      </c>
      <c r="AP3440" t="s">
        <v>56413</v>
      </c>
      <c r="AQ3440" t="s">
        <v>74</v>
      </c>
      <c r="AR3440" t="s">
        <v>5321</v>
      </c>
      <c r="AS3440" t="s">
        <v>5322</v>
      </c>
      <c r="AT3440" t="s">
        <v>208</v>
      </c>
      <c r="AU3440">
        <v>2023</v>
      </c>
      <c r="AV3440">
        <v>50</v>
      </c>
      <c r="AW3440" t="s">
        <v>6918</v>
      </c>
      <c r="AX3440" t="s">
        <v>74</v>
      </c>
      <c r="AY3440" t="s">
        <v>74</v>
      </c>
      <c r="AZ3440" t="s">
        <v>74</v>
      </c>
      <c r="BA3440" t="s">
        <v>74</v>
      </c>
      <c r="BB3440">
        <v>335</v>
      </c>
      <c r="BC3440">
        <v>376</v>
      </c>
      <c r="BD3440" t="s">
        <v>74</v>
      </c>
      <c r="BE3440" t="s">
        <v>56414</v>
      </c>
      <c r="BF3440" t="str">
        <f>HYPERLINK("http://dx.doi.org/10.1111/jbfa.12617","http://dx.doi.org/10.1111/jbfa.12617")</f>
        <v>http://dx.doi.org/10.1111/jbfa.12617</v>
      </c>
      <c r="BG3440" t="s">
        <v>74</v>
      </c>
      <c r="BH3440" t="s">
        <v>1802</v>
      </c>
      <c r="BI3440">
        <v>42</v>
      </c>
      <c r="BJ3440" t="s">
        <v>268</v>
      </c>
      <c r="BK3440" t="s">
        <v>99</v>
      </c>
      <c r="BL3440" t="s">
        <v>100</v>
      </c>
      <c r="BM3440" t="s">
        <v>56415</v>
      </c>
      <c r="BN3440" t="s">
        <v>74</v>
      </c>
      <c r="BO3440" t="s">
        <v>466</v>
      </c>
      <c r="BP3440" t="s">
        <v>74</v>
      </c>
      <c r="BQ3440" t="s">
        <v>74</v>
      </c>
      <c r="BR3440" t="s">
        <v>102</v>
      </c>
      <c r="BS3440" t="s">
        <v>56416</v>
      </c>
      <c r="BT3440" t="str">
        <f>HYPERLINK("https%3A%2F%2Fwww.webofscience.com%2Fwos%2Fwoscc%2Ffull-record%2FWOS:000806212000001","View Full Record in Web of Science")</f>
        <v>View Full Record in Web of Science</v>
      </c>
    </row>
    <row r="3441" spans="1:72" x14ac:dyDescent="0.25">
      <c r="A3441" t="s">
        <v>72</v>
      </c>
      <c r="B3441" t="s">
        <v>56417</v>
      </c>
      <c r="C3441" t="s">
        <v>74</v>
      </c>
      <c r="D3441" t="s">
        <v>74</v>
      </c>
      <c r="E3441" t="s">
        <v>74</v>
      </c>
      <c r="F3441" t="s">
        <v>56418</v>
      </c>
      <c r="G3441" t="s">
        <v>74</v>
      </c>
      <c r="H3441" t="s">
        <v>74</v>
      </c>
      <c r="I3441" t="s">
        <v>56419</v>
      </c>
      <c r="J3441" t="s">
        <v>16514</v>
      </c>
      <c r="K3441" t="s">
        <v>74</v>
      </c>
      <c r="L3441" t="s">
        <v>74</v>
      </c>
      <c r="M3441" t="s">
        <v>78</v>
      </c>
      <c r="N3441" t="s">
        <v>79</v>
      </c>
      <c r="O3441" t="s">
        <v>74</v>
      </c>
      <c r="P3441" t="s">
        <v>74</v>
      </c>
      <c r="Q3441" t="s">
        <v>74</v>
      </c>
      <c r="R3441" t="s">
        <v>74</v>
      </c>
      <c r="S3441" t="s">
        <v>74</v>
      </c>
      <c r="T3441" t="s">
        <v>56420</v>
      </c>
      <c r="U3441" t="s">
        <v>56421</v>
      </c>
      <c r="V3441" t="s">
        <v>56422</v>
      </c>
      <c r="W3441" t="s">
        <v>56423</v>
      </c>
      <c r="X3441" t="s">
        <v>56424</v>
      </c>
      <c r="Y3441" t="s">
        <v>56425</v>
      </c>
      <c r="Z3441" t="s">
        <v>40742</v>
      </c>
      <c r="AA3441" t="s">
        <v>56426</v>
      </c>
      <c r="AB3441" t="s">
        <v>56427</v>
      </c>
      <c r="AC3441" t="s">
        <v>74</v>
      </c>
      <c r="AD3441" t="s">
        <v>74</v>
      </c>
      <c r="AE3441" t="s">
        <v>74</v>
      </c>
      <c r="AF3441" t="s">
        <v>74</v>
      </c>
      <c r="AG3441">
        <v>48</v>
      </c>
      <c r="AH3441">
        <v>3</v>
      </c>
      <c r="AI3441">
        <v>3</v>
      </c>
      <c r="AJ3441">
        <v>3</v>
      </c>
      <c r="AK3441">
        <v>40</v>
      </c>
      <c r="AL3441" t="s">
        <v>823</v>
      </c>
      <c r="AM3441" t="s">
        <v>333</v>
      </c>
      <c r="AN3441" t="s">
        <v>824</v>
      </c>
      <c r="AO3441" t="s">
        <v>16520</v>
      </c>
      <c r="AP3441" t="s">
        <v>16521</v>
      </c>
      <c r="AQ3441" t="s">
        <v>74</v>
      </c>
      <c r="AR3441" t="s">
        <v>16522</v>
      </c>
      <c r="AS3441" t="s">
        <v>16523</v>
      </c>
      <c r="AT3441" t="s">
        <v>1427</v>
      </c>
      <c r="AU3441">
        <v>2024</v>
      </c>
      <c r="AV3441">
        <v>16</v>
      </c>
      <c r="AW3441">
        <v>1</v>
      </c>
      <c r="AX3441" t="s">
        <v>74</v>
      </c>
      <c r="AY3441" t="s">
        <v>74</v>
      </c>
      <c r="AZ3441" t="s">
        <v>74</v>
      </c>
      <c r="BA3441" t="s">
        <v>74</v>
      </c>
      <c r="BB3441">
        <v>77</v>
      </c>
      <c r="BC3441">
        <v>86</v>
      </c>
      <c r="BD3441" t="s">
        <v>74</v>
      </c>
      <c r="BE3441" t="s">
        <v>56428</v>
      </c>
      <c r="BF3441" t="str">
        <f>HYPERLINK("http://dx.doi.org/10.1080/17565529.2023.2179868","http://dx.doi.org/10.1080/17565529.2023.2179868")</f>
        <v>http://dx.doi.org/10.1080/17565529.2023.2179868</v>
      </c>
      <c r="BG3441" t="s">
        <v>74</v>
      </c>
      <c r="BH3441" t="s">
        <v>9145</v>
      </c>
      <c r="BI3441">
        <v>10</v>
      </c>
      <c r="BJ3441" t="s">
        <v>16526</v>
      </c>
      <c r="BK3441" t="s">
        <v>99</v>
      </c>
      <c r="BL3441" t="s">
        <v>16527</v>
      </c>
      <c r="BM3441" t="s">
        <v>56429</v>
      </c>
      <c r="BN3441" t="s">
        <v>74</v>
      </c>
      <c r="BO3441" t="s">
        <v>74</v>
      </c>
      <c r="BP3441" t="s">
        <v>74</v>
      </c>
      <c r="BQ3441" t="s">
        <v>74</v>
      </c>
      <c r="BR3441" t="s">
        <v>102</v>
      </c>
      <c r="BS3441" t="s">
        <v>56430</v>
      </c>
      <c r="BT3441" t="str">
        <f>HYPERLINK("https%3A%2F%2Fwww.webofscience.com%2Fwos%2Fwoscc%2Ffull-record%2FWOS:000937633300001","View Full Record in Web of Science")</f>
        <v>View Full Record in Web of Science</v>
      </c>
    </row>
    <row r="3442" spans="1:72" x14ac:dyDescent="0.25">
      <c r="A3442" t="s">
        <v>72</v>
      </c>
      <c r="B3442" t="s">
        <v>56431</v>
      </c>
      <c r="C3442" t="s">
        <v>74</v>
      </c>
      <c r="D3442" t="s">
        <v>74</v>
      </c>
      <c r="E3442" t="s">
        <v>74</v>
      </c>
      <c r="F3442" t="s">
        <v>56432</v>
      </c>
      <c r="G3442" t="s">
        <v>74</v>
      </c>
      <c r="H3442" t="s">
        <v>74</v>
      </c>
      <c r="I3442" t="s">
        <v>56433</v>
      </c>
      <c r="J3442" t="s">
        <v>4055</v>
      </c>
      <c r="K3442" t="s">
        <v>74</v>
      </c>
      <c r="L3442" t="s">
        <v>74</v>
      </c>
      <c r="M3442" t="s">
        <v>78</v>
      </c>
      <c r="N3442" t="s">
        <v>79</v>
      </c>
      <c r="O3442" t="s">
        <v>74</v>
      </c>
      <c r="P3442" t="s">
        <v>74</v>
      </c>
      <c r="Q3442" t="s">
        <v>74</v>
      </c>
      <c r="R3442" t="s">
        <v>74</v>
      </c>
      <c r="S3442" t="s">
        <v>74</v>
      </c>
      <c r="T3442" t="s">
        <v>56434</v>
      </c>
      <c r="U3442" t="s">
        <v>56435</v>
      </c>
      <c r="V3442" t="s">
        <v>56436</v>
      </c>
      <c r="W3442" t="s">
        <v>56437</v>
      </c>
      <c r="X3442" t="s">
        <v>35272</v>
      </c>
      <c r="Y3442" t="s">
        <v>56438</v>
      </c>
      <c r="Z3442" t="s">
        <v>56439</v>
      </c>
      <c r="AA3442" t="s">
        <v>56440</v>
      </c>
      <c r="AB3442" t="s">
        <v>56441</v>
      </c>
      <c r="AC3442" t="s">
        <v>74</v>
      </c>
      <c r="AD3442" t="s">
        <v>74</v>
      </c>
      <c r="AE3442" t="s">
        <v>74</v>
      </c>
      <c r="AF3442" t="s">
        <v>74</v>
      </c>
      <c r="AG3442">
        <v>62</v>
      </c>
      <c r="AH3442">
        <v>18</v>
      </c>
      <c r="AI3442">
        <v>20</v>
      </c>
      <c r="AJ3442">
        <v>0</v>
      </c>
      <c r="AK3442">
        <v>32</v>
      </c>
      <c r="AL3442" t="s">
        <v>2907</v>
      </c>
      <c r="AM3442" t="s">
        <v>2908</v>
      </c>
      <c r="AN3442" t="s">
        <v>2909</v>
      </c>
      <c r="AO3442" t="s">
        <v>4064</v>
      </c>
      <c r="AP3442" t="s">
        <v>4065</v>
      </c>
      <c r="AQ3442" t="s">
        <v>74</v>
      </c>
      <c r="AR3442" t="s">
        <v>4066</v>
      </c>
      <c r="AS3442" t="s">
        <v>4067</v>
      </c>
      <c r="AT3442" t="s">
        <v>124</v>
      </c>
      <c r="AU3442">
        <v>2017</v>
      </c>
      <c r="AV3442">
        <v>22</v>
      </c>
      <c r="AW3442">
        <v>4</v>
      </c>
      <c r="AX3442" t="s">
        <v>74</v>
      </c>
      <c r="AY3442" t="s">
        <v>74</v>
      </c>
      <c r="AZ3442" t="s">
        <v>74</v>
      </c>
      <c r="BA3442" t="s">
        <v>74</v>
      </c>
      <c r="BB3442">
        <v>150</v>
      </c>
      <c r="BC3442">
        <v>160</v>
      </c>
      <c r="BD3442" t="s">
        <v>74</v>
      </c>
      <c r="BE3442" t="s">
        <v>56442</v>
      </c>
      <c r="BF3442" t="str">
        <f>HYPERLINK("http://dx.doi.org/10.1057/s41264-017-0033-6","http://dx.doi.org/10.1057/s41264-017-0033-6")</f>
        <v>http://dx.doi.org/10.1057/s41264-017-0033-6</v>
      </c>
      <c r="BG3442" t="s">
        <v>74</v>
      </c>
      <c r="BH3442" t="s">
        <v>74</v>
      </c>
      <c r="BI3442">
        <v>11</v>
      </c>
      <c r="BJ3442" t="s">
        <v>418</v>
      </c>
      <c r="BK3442" t="s">
        <v>313</v>
      </c>
      <c r="BL3442" t="s">
        <v>100</v>
      </c>
      <c r="BM3442" t="s">
        <v>56443</v>
      </c>
      <c r="BN3442" t="s">
        <v>74</v>
      </c>
      <c r="BO3442" t="s">
        <v>74</v>
      </c>
      <c r="BP3442" t="s">
        <v>74</v>
      </c>
      <c r="BQ3442" t="s">
        <v>74</v>
      </c>
      <c r="BR3442" t="s">
        <v>102</v>
      </c>
      <c r="BS3442" t="s">
        <v>56444</v>
      </c>
      <c r="BT3442" t="str">
        <f>HYPERLINK("https%3A%2F%2Fwww.webofscience.com%2Fwos%2Fwoscc%2Ffull-record%2FWOS:000417405200003","View Full Record in Web of Science")</f>
        <v>View Full Record in Web of Science</v>
      </c>
    </row>
    <row r="3443" spans="1:72" x14ac:dyDescent="0.25">
      <c r="A3443" t="s">
        <v>72</v>
      </c>
      <c r="B3443" t="s">
        <v>56445</v>
      </c>
      <c r="C3443" t="s">
        <v>74</v>
      </c>
      <c r="D3443" t="s">
        <v>74</v>
      </c>
      <c r="E3443" t="s">
        <v>74</v>
      </c>
      <c r="F3443" t="s">
        <v>56446</v>
      </c>
      <c r="G3443" t="s">
        <v>74</v>
      </c>
      <c r="H3443" t="s">
        <v>74</v>
      </c>
      <c r="I3443" t="s">
        <v>56447</v>
      </c>
      <c r="J3443" t="s">
        <v>56448</v>
      </c>
      <c r="K3443" t="s">
        <v>74</v>
      </c>
      <c r="L3443" t="s">
        <v>74</v>
      </c>
      <c r="M3443" t="s">
        <v>78</v>
      </c>
      <c r="N3443" t="s">
        <v>79</v>
      </c>
      <c r="O3443" t="s">
        <v>74</v>
      </c>
      <c r="P3443" t="s">
        <v>74</v>
      </c>
      <c r="Q3443" t="s">
        <v>74</v>
      </c>
      <c r="R3443" t="s">
        <v>74</v>
      </c>
      <c r="S3443" t="s">
        <v>74</v>
      </c>
      <c r="T3443" t="s">
        <v>56449</v>
      </c>
      <c r="U3443" t="s">
        <v>56450</v>
      </c>
      <c r="V3443" t="s">
        <v>56451</v>
      </c>
      <c r="W3443" t="s">
        <v>56452</v>
      </c>
      <c r="X3443" t="s">
        <v>13898</v>
      </c>
      <c r="Y3443" t="s">
        <v>56453</v>
      </c>
      <c r="Z3443" t="s">
        <v>56454</v>
      </c>
      <c r="AA3443" t="s">
        <v>56455</v>
      </c>
      <c r="AB3443" t="s">
        <v>74</v>
      </c>
      <c r="AC3443" t="s">
        <v>56456</v>
      </c>
      <c r="AD3443" t="s">
        <v>56456</v>
      </c>
      <c r="AE3443" t="s">
        <v>56457</v>
      </c>
      <c r="AF3443" t="s">
        <v>74</v>
      </c>
      <c r="AG3443">
        <v>90</v>
      </c>
      <c r="AH3443">
        <v>0</v>
      </c>
      <c r="AI3443">
        <v>0</v>
      </c>
      <c r="AJ3443">
        <v>0</v>
      </c>
      <c r="AK3443">
        <v>0</v>
      </c>
      <c r="AL3443" t="s">
        <v>2371</v>
      </c>
      <c r="AM3443" t="s">
        <v>2372</v>
      </c>
      <c r="AN3443" t="s">
        <v>2373</v>
      </c>
      <c r="AO3443" t="s">
        <v>56458</v>
      </c>
      <c r="AP3443" t="s">
        <v>56459</v>
      </c>
      <c r="AQ3443" t="s">
        <v>74</v>
      </c>
      <c r="AR3443" t="s">
        <v>56460</v>
      </c>
      <c r="AS3443" t="s">
        <v>56461</v>
      </c>
      <c r="AT3443" t="s">
        <v>74</v>
      </c>
      <c r="AU3443">
        <v>2025</v>
      </c>
      <c r="AV3443">
        <v>21</v>
      </c>
      <c r="AW3443">
        <v>5</v>
      </c>
      <c r="AX3443" t="s">
        <v>74</v>
      </c>
      <c r="AY3443" t="s">
        <v>74</v>
      </c>
      <c r="AZ3443" t="s">
        <v>74</v>
      </c>
      <c r="BA3443" t="s">
        <v>74</v>
      </c>
      <c r="BB3443" t="s">
        <v>74</v>
      </c>
      <c r="BC3443" t="s">
        <v>74</v>
      </c>
      <c r="BD3443" t="s">
        <v>74</v>
      </c>
      <c r="BE3443" t="s">
        <v>56462</v>
      </c>
      <c r="BF3443" t="str">
        <f>HYPERLINK("http://dx.doi.org/10.1504/EG.2025.148262","http://dx.doi.org/10.1504/EG.2025.148262")</f>
        <v>http://dx.doi.org/10.1504/EG.2025.148262</v>
      </c>
      <c r="BG3443" t="s">
        <v>74</v>
      </c>
      <c r="BH3443" t="s">
        <v>74</v>
      </c>
      <c r="BI3443">
        <v>24</v>
      </c>
      <c r="BJ3443" t="s">
        <v>56463</v>
      </c>
      <c r="BK3443" t="s">
        <v>313</v>
      </c>
      <c r="BL3443" t="s">
        <v>56464</v>
      </c>
      <c r="BM3443" t="s">
        <v>56465</v>
      </c>
      <c r="BN3443" t="s">
        <v>74</v>
      </c>
      <c r="BO3443" t="s">
        <v>74</v>
      </c>
      <c r="BP3443" t="s">
        <v>74</v>
      </c>
      <c r="BQ3443" t="s">
        <v>74</v>
      </c>
      <c r="BR3443" t="s">
        <v>102</v>
      </c>
      <c r="BS3443" t="s">
        <v>56466</v>
      </c>
      <c r="BT3443" t="str">
        <f>HYPERLINK("https%3A%2F%2Fwww.webofscience.com%2Fwos%2Fwoscc%2Ffull-record%2FWOS:001565502300002","View Full Record in Web of Science")</f>
        <v>View Full Record in Web of Science</v>
      </c>
    </row>
    <row r="3444" spans="1:72" x14ac:dyDescent="0.25">
      <c r="A3444" t="s">
        <v>72</v>
      </c>
      <c r="B3444" t="s">
        <v>56467</v>
      </c>
      <c r="C3444" t="s">
        <v>74</v>
      </c>
      <c r="D3444" t="s">
        <v>74</v>
      </c>
      <c r="E3444" t="s">
        <v>74</v>
      </c>
      <c r="F3444" t="s">
        <v>56468</v>
      </c>
      <c r="G3444" t="s">
        <v>74</v>
      </c>
      <c r="H3444" t="s">
        <v>74</v>
      </c>
      <c r="I3444" t="s">
        <v>56469</v>
      </c>
      <c r="J3444" t="s">
        <v>4842</v>
      </c>
      <c r="K3444" t="s">
        <v>74</v>
      </c>
      <c r="L3444" t="s">
        <v>74</v>
      </c>
      <c r="M3444" t="s">
        <v>78</v>
      </c>
      <c r="N3444" t="s">
        <v>79</v>
      </c>
      <c r="O3444" t="s">
        <v>74</v>
      </c>
      <c r="P3444" t="s">
        <v>74</v>
      </c>
      <c r="Q3444" t="s">
        <v>74</v>
      </c>
      <c r="R3444" t="s">
        <v>74</v>
      </c>
      <c r="S3444" t="s">
        <v>74</v>
      </c>
      <c r="T3444" t="s">
        <v>56470</v>
      </c>
      <c r="U3444" t="s">
        <v>56471</v>
      </c>
      <c r="V3444" t="s">
        <v>56472</v>
      </c>
      <c r="W3444" t="s">
        <v>56473</v>
      </c>
      <c r="X3444" t="s">
        <v>881</v>
      </c>
      <c r="Y3444" t="s">
        <v>56474</v>
      </c>
      <c r="Z3444" t="s">
        <v>56475</v>
      </c>
      <c r="AA3444" t="s">
        <v>56476</v>
      </c>
      <c r="AB3444" t="s">
        <v>56477</v>
      </c>
      <c r="AC3444" t="s">
        <v>56478</v>
      </c>
      <c r="AD3444" t="s">
        <v>56478</v>
      </c>
      <c r="AE3444" t="s">
        <v>56479</v>
      </c>
      <c r="AF3444" t="s">
        <v>74</v>
      </c>
      <c r="AG3444">
        <v>103</v>
      </c>
      <c r="AH3444">
        <v>0</v>
      </c>
      <c r="AI3444">
        <v>2</v>
      </c>
      <c r="AJ3444">
        <v>0</v>
      </c>
      <c r="AK3444">
        <v>2</v>
      </c>
      <c r="AL3444" t="s">
        <v>823</v>
      </c>
      <c r="AM3444" t="s">
        <v>333</v>
      </c>
      <c r="AN3444" t="s">
        <v>824</v>
      </c>
      <c r="AO3444" t="s">
        <v>4853</v>
      </c>
      <c r="AP3444" t="s">
        <v>74</v>
      </c>
      <c r="AQ3444" t="s">
        <v>74</v>
      </c>
      <c r="AR3444" t="s">
        <v>4854</v>
      </c>
      <c r="AS3444" t="s">
        <v>4855</v>
      </c>
      <c r="AT3444" t="s">
        <v>2970</v>
      </c>
      <c r="AU3444">
        <v>2024</v>
      </c>
      <c r="AV3444">
        <v>11</v>
      </c>
      <c r="AW3444">
        <v>1</v>
      </c>
      <c r="AX3444" t="s">
        <v>74</v>
      </c>
      <c r="AY3444" t="s">
        <v>74</v>
      </c>
      <c r="AZ3444" t="s">
        <v>74</v>
      </c>
      <c r="BA3444" t="s">
        <v>74</v>
      </c>
      <c r="BB3444" t="s">
        <v>74</v>
      </c>
      <c r="BC3444" t="s">
        <v>74</v>
      </c>
      <c r="BD3444">
        <v>2422562</v>
      </c>
      <c r="BE3444" t="s">
        <v>56480</v>
      </c>
      <c r="BF3444" t="str">
        <f>HYPERLINK("http://dx.doi.org/10.1080/23311975.2024.2422562","http://dx.doi.org/10.1080/23311975.2024.2422562")</f>
        <v>http://dx.doi.org/10.1080/23311975.2024.2422562</v>
      </c>
      <c r="BG3444" t="s">
        <v>74</v>
      </c>
      <c r="BH3444" t="s">
        <v>74</v>
      </c>
      <c r="BI3444">
        <v>20</v>
      </c>
      <c r="BJ3444" t="s">
        <v>418</v>
      </c>
      <c r="BK3444" t="s">
        <v>313</v>
      </c>
      <c r="BL3444" t="s">
        <v>100</v>
      </c>
      <c r="BM3444" t="s">
        <v>56481</v>
      </c>
      <c r="BN3444" t="s">
        <v>74</v>
      </c>
      <c r="BO3444" t="s">
        <v>916</v>
      </c>
      <c r="BP3444" t="s">
        <v>74</v>
      </c>
      <c r="BQ3444" t="s">
        <v>74</v>
      </c>
      <c r="BR3444" t="s">
        <v>102</v>
      </c>
      <c r="BS3444" t="s">
        <v>56482</v>
      </c>
      <c r="BT3444" t="str">
        <f>HYPERLINK("https%3A%2F%2Fwww.webofscience.com%2Fwos%2Fwoscc%2Ffull-record%2FWOS:001349220800001","View Full Record in Web of Science")</f>
        <v>View Full Record in Web of Science</v>
      </c>
    </row>
    <row r="3445" spans="1:72" x14ac:dyDescent="0.25">
      <c r="A3445" t="s">
        <v>72</v>
      </c>
      <c r="B3445" t="s">
        <v>56483</v>
      </c>
      <c r="C3445" t="s">
        <v>74</v>
      </c>
      <c r="D3445" t="s">
        <v>74</v>
      </c>
      <c r="E3445" t="s">
        <v>74</v>
      </c>
      <c r="F3445" t="s">
        <v>56484</v>
      </c>
      <c r="G3445" t="s">
        <v>74</v>
      </c>
      <c r="H3445" t="s">
        <v>74</v>
      </c>
      <c r="I3445" t="s">
        <v>56485</v>
      </c>
      <c r="J3445" t="s">
        <v>5540</v>
      </c>
      <c r="K3445" t="s">
        <v>74</v>
      </c>
      <c r="L3445" t="s">
        <v>74</v>
      </c>
      <c r="M3445" t="s">
        <v>78</v>
      </c>
      <c r="N3445" t="s">
        <v>79</v>
      </c>
      <c r="O3445" t="s">
        <v>74</v>
      </c>
      <c r="P3445" t="s">
        <v>74</v>
      </c>
      <c r="Q3445" t="s">
        <v>74</v>
      </c>
      <c r="R3445" t="s">
        <v>74</v>
      </c>
      <c r="S3445" t="s">
        <v>74</v>
      </c>
      <c r="T3445" t="s">
        <v>56486</v>
      </c>
      <c r="U3445" t="s">
        <v>56487</v>
      </c>
      <c r="V3445" t="s">
        <v>56488</v>
      </c>
      <c r="W3445" t="s">
        <v>56489</v>
      </c>
      <c r="X3445" t="s">
        <v>56490</v>
      </c>
      <c r="Y3445" t="s">
        <v>56491</v>
      </c>
      <c r="Z3445" t="s">
        <v>56492</v>
      </c>
      <c r="AA3445" t="s">
        <v>56493</v>
      </c>
      <c r="AB3445" t="s">
        <v>56494</v>
      </c>
      <c r="AC3445" t="s">
        <v>74</v>
      </c>
      <c r="AD3445" t="s">
        <v>74</v>
      </c>
      <c r="AE3445" t="s">
        <v>74</v>
      </c>
      <c r="AF3445" t="s">
        <v>74</v>
      </c>
      <c r="AG3445">
        <v>91</v>
      </c>
      <c r="AH3445">
        <v>95</v>
      </c>
      <c r="AI3445">
        <v>129</v>
      </c>
      <c r="AJ3445">
        <v>0</v>
      </c>
      <c r="AK3445">
        <v>99</v>
      </c>
      <c r="AL3445" t="s">
        <v>479</v>
      </c>
      <c r="AM3445" t="s">
        <v>480</v>
      </c>
      <c r="AN3445" t="s">
        <v>481</v>
      </c>
      <c r="AO3445" t="s">
        <v>5549</v>
      </c>
      <c r="AP3445" t="s">
        <v>5550</v>
      </c>
      <c r="AQ3445" t="s">
        <v>74</v>
      </c>
      <c r="AR3445" t="s">
        <v>5551</v>
      </c>
      <c r="AS3445" t="s">
        <v>5552</v>
      </c>
      <c r="AT3445" t="s">
        <v>698</v>
      </c>
      <c r="AU3445">
        <v>2015</v>
      </c>
      <c r="AV3445">
        <v>29</v>
      </c>
      <c r="AW3445">
        <v>4</v>
      </c>
      <c r="AX3445" t="s">
        <v>74</v>
      </c>
      <c r="AY3445" t="s">
        <v>74</v>
      </c>
      <c r="AZ3445" t="s">
        <v>74</v>
      </c>
      <c r="BA3445" t="s">
        <v>74</v>
      </c>
      <c r="BB3445">
        <v>637</v>
      </c>
      <c r="BC3445">
        <v>670</v>
      </c>
      <c r="BD3445" t="s">
        <v>74</v>
      </c>
      <c r="BE3445" t="s">
        <v>56495</v>
      </c>
      <c r="BF3445" t="str">
        <f>HYPERLINK("http://dx.doi.org/10.1111/joes.12113","http://dx.doi.org/10.1111/joes.12113")</f>
        <v>http://dx.doi.org/10.1111/joes.12113</v>
      </c>
      <c r="BG3445" t="s">
        <v>74</v>
      </c>
      <c r="BH3445" t="s">
        <v>74</v>
      </c>
      <c r="BI3445">
        <v>34</v>
      </c>
      <c r="BJ3445" t="s">
        <v>291</v>
      </c>
      <c r="BK3445" t="s">
        <v>99</v>
      </c>
      <c r="BL3445" t="s">
        <v>100</v>
      </c>
      <c r="BM3445" t="s">
        <v>56496</v>
      </c>
      <c r="BN3445" t="s">
        <v>74</v>
      </c>
      <c r="BO3445" t="s">
        <v>212</v>
      </c>
      <c r="BP3445" t="s">
        <v>74</v>
      </c>
      <c r="BQ3445" t="s">
        <v>74</v>
      </c>
      <c r="BR3445" t="s">
        <v>102</v>
      </c>
      <c r="BS3445" t="s">
        <v>56497</v>
      </c>
      <c r="BT3445" t="str">
        <f>HYPERLINK("https%3A%2F%2Fwww.webofscience.com%2Fwos%2Fwoscc%2Ffull-record%2FWOS:000359858600004","View Full Record in Web of Science")</f>
        <v>View Full Record in Web of Science</v>
      </c>
    </row>
    <row r="3446" spans="1:72" x14ac:dyDescent="0.25">
      <c r="A3446" t="s">
        <v>72</v>
      </c>
      <c r="B3446" t="s">
        <v>56498</v>
      </c>
      <c r="C3446" t="s">
        <v>74</v>
      </c>
      <c r="D3446" t="s">
        <v>74</v>
      </c>
      <c r="E3446" t="s">
        <v>74</v>
      </c>
      <c r="F3446" t="s">
        <v>56499</v>
      </c>
      <c r="G3446" t="s">
        <v>74</v>
      </c>
      <c r="H3446" t="s">
        <v>74</v>
      </c>
      <c r="I3446" t="s">
        <v>56500</v>
      </c>
      <c r="J3446" t="s">
        <v>493</v>
      </c>
      <c r="K3446" t="s">
        <v>74</v>
      </c>
      <c r="L3446" t="s">
        <v>74</v>
      </c>
      <c r="M3446" t="s">
        <v>78</v>
      </c>
      <c r="N3446" t="s">
        <v>79</v>
      </c>
      <c r="O3446" t="s">
        <v>74</v>
      </c>
      <c r="P3446" t="s">
        <v>74</v>
      </c>
      <c r="Q3446" t="s">
        <v>74</v>
      </c>
      <c r="R3446" t="s">
        <v>74</v>
      </c>
      <c r="S3446" t="s">
        <v>74</v>
      </c>
      <c r="T3446" t="s">
        <v>56501</v>
      </c>
      <c r="U3446" t="s">
        <v>56502</v>
      </c>
      <c r="V3446" t="s">
        <v>56503</v>
      </c>
      <c r="W3446" t="s">
        <v>56504</v>
      </c>
      <c r="X3446" t="s">
        <v>56505</v>
      </c>
      <c r="Y3446" t="s">
        <v>56506</v>
      </c>
      <c r="Z3446" t="s">
        <v>74</v>
      </c>
      <c r="AA3446" t="s">
        <v>56507</v>
      </c>
      <c r="AB3446" t="s">
        <v>56508</v>
      </c>
      <c r="AC3446" t="s">
        <v>74</v>
      </c>
      <c r="AD3446" t="s">
        <v>74</v>
      </c>
      <c r="AE3446" t="s">
        <v>74</v>
      </c>
      <c r="AF3446" t="s">
        <v>74</v>
      </c>
      <c r="AG3446">
        <v>66</v>
      </c>
      <c r="AH3446">
        <v>2</v>
      </c>
      <c r="AI3446">
        <v>2</v>
      </c>
      <c r="AJ3446">
        <v>1</v>
      </c>
      <c r="AK3446">
        <v>1</v>
      </c>
      <c r="AL3446" t="s">
        <v>503</v>
      </c>
      <c r="AM3446" t="s">
        <v>151</v>
      </c>
      <c r="AN3446" t="s">
        <v>504</v>
      </c>
      <c r="AO3446" t="s">
        <v>505</v>
      </c>
      <c r="AP3446" t="s">
        <v>506</v>
      </c>
      <c r="AQ3446" t="s">
        <v>74</v>
      </c>
      <c r="AR3446" t="s">
        <v>507</v>
      </c>
      <c r="AS3446" t="s">
        <v>508</v>
      </c>
      <c r="AT3446" t="s">
        <v>2801</v>
      </c>
      <c r="AU3446">
        <v>2025</v>
      </c>
      <c r="AV3446">
        <v>47</v>
      </c>
      <c r="AW3446">
        <v>3</v>
      </c>
      <c r="AX3446" t="s">
        <v>74</v>
      </c>
      <c r="AY3446" t="s">
        <v>74</v>
      </c>
      <c r="AZ3446" t="s">
        <v>74</v>
      </c>
      <c r="BA3446" t="s">
        <v>74</v>
      </c>
      <c r="BB3446">
        <v>588</v>
      </c>
      <c r="BC3446">
        <v>606</v>
      </c>
      <c r="BD3446" t="s">
        <v>74</v>
      </c>
      <c r="BE3446" t="s">
        <v>56509</v>
      </c>
      <c r="BF3446" t="str">
        <f>HYPERLINK("http://dx.doi.org/10.1016/j.jpolmod.2025.01.006","http://dx.doi.org/10.1016/j.jpolmod.2025.01.006")</f>
        <v>http://dx.doi.org/10.1016/j.jpolmod.2025.01.006</v>
      </c>
      <c r="BG3446" t="s">
        <v>74</v>
      </c>
      <c r="BH3446" t="s">
        <v>7657</v>
      </c>
      <c r="BI3446">
        <v>19</v>
      </c>
      <c r="BJ3446" t="s">
        <v>291</v>
      </c>
      <c r="BK3446" t="s">
        <v>99</v>
      </c>
      <c r="BL3446" t="s">
        <v>100</v>
      </c>
      <c r="BM3446" t="s">
        <v>56510</v>
      </c>
      <c r="BN3446" t="s">
        <v>74</v>
      </c>
      <c r="BO3446" t="s">
        <v>270</v>
      </c>
      <c r="BP3446" t="s">
        <v>74</v>
      </c>
      <c r="BQ3446" t="s">
        <v>74</v>
      </c>
      <c r="BR3446" t="s">
        <v>102</v>
      </c>
      <c r="BS3446" t="s">
        <v>56511</v>
      </c>
      <c r="BT3446" t="str">
        <f>HYPERLINK("https%3A%2F%2Fwww.webofscience.com%2Fwos%2Fwoscc%2Ffull-record%2FWOS:001510735800007","View Full Record in Web of Science")</f>
        <v>View Full Record in Web of Science</v>
      </c>
    </row>
    <row r="3447" spans="1:72" x14ac:dyDescent="0.25">
      <c r="A3447" t="s">
        <v>72</v>
      </c>
      <c r="B3447" t="s">
        <v>34873</v>
      </c>
      <c r="C3447" t="s">
        <v>74</v>
      </c>
      <c r="D3447" t="s">
        <v>74</v>
      </c>
      <c r="E3447" t="s">
        <v>74</v>
      </c>
      <c r="F3447" t="s">
        <v>34874</v>
      </c>
      <c r="G3447" t="s">
        <v>74</v>
      </c>
      <c r="H3447" t="s">
        <v>74</v>
      </c>
      <c r="I3447" t="s">
        <v>56512</v>
      </c>
      <c r="J3447" t="s">
        <v>27560</v>
      </c>
      <c r="K3447" t="s">
        <v>74</v>
      </c>
      <c r="L3447" t="s">
        <v>74</v>
      </c>
      <c r="M3447" t="s">
        <v>78</v>
      </c>
      <c r="N3447" t="s">
        <v>79</v>
      </c>
      <c r="O3447" t="s">
        <v>74</v>
      </c>
      <c r="P3447" t="s">
        <v>74</v>
      </c>
      <c r="Q3447" t="s">
        <v>74</v>
      </c>
      <c r="R3447" t="s">
        <v>74</v>
      </c>
      <c r="S3447" t="s">
        <v>74</v>
      </c>
      <c r="T3447" t="s">
        <v>56513</v>
      </c>
      <c r="U3447" t="s">
        <v>56514</v>
      </c>
      <c r="V3447" t="s">
        <v>56515</v>
      </c>
      <c r="W3447" t="s">
        <v>56516</v>
      </c>
      <c r="X3447" t="s">
        <v>74</v>
      </c>
      <c r="Y3447" t="s">
        <v>56517</v>
      </c>
      <c r="Z3447" t="s">
        <v>25539</v>
      </c>
      <c r="AA3447" t="s">
        <v>74</v>
      </c>
      <c r="AB3447" t="s">
        <v>50506</v>
      </c>
      <c r="AC3447" t="s">
        <v>74</v>
      </c>
      <c r="AD3447" t="s">
        <v>74</v>
      </c>
      <c r="AE3447" t="s">
        <v>74</v>
      </c>
      <c r="AF3447" t="s">
        <v>74</v>
      </c>
      <c r="AG3447">
        <v>93</v>
      </c>
      <c r="AH3447">
        <v>2</v>
      </c>
      <c r="AI3447">
        <v>2</v>
      </c>
      <c r="AJ3447">
        <v>2</v>
      </c>
      <c r="AK3447">
        <v>6</v>
      </c>
      <c r="AL3447" t="s">
        <v>4485</v>
      </c>
      <c r="AM3447" t="s">
        <v>6724</v>
      </c>
      <c r="AN3447" t="s">
        <v>6725</v>
      </c>
      <c r="AO3447" t="s">
        <v>27549</v>
      </c>
      <c r="AP3447" t="s">
        <v>27548</v>
      </c>
      <c r="AQ3447" t="s">
        <v>74</v>
      </c>
      <c r="AR3447" t="s">
        <v>27547</v>
      </c>
      <c r="AS3447" t="s">
        <v>27546</v>
      </c>
      <c r="AT3447" t="s">
        <v>848</v>
      </c>
      <c r="AU3447">
        <v>2025</v>
      </c>
      <c r="AV3447">
        <v>202</v>
      </c>
      <c r="AW3447" t="s">
        <v>74</v>
      </c>
      <c r="AX3447" t="s">
        <v>74</v>
      </c>
      <c r="AY3447" t="s">
        <v>74</v>
      </c>
      <c r="AZ3447" t="s">
        <v>74</v>
      </c>
      <c r="BA3447" t="s">
        <v>74</v>
      </c>
      <c r="BB3447" t="s">
        <v>74</v>
      </c>
      <c r="BC3447" t="s">
        <v>74</v>
      </c>
      <c r="BD3447">
        <v>114613</v>
      </c>
      <c r="BE3447" t="s">
        <v>56518</v>
      </c>
      <c r="BF3447" t="str">
        <f>HYPERLINK("http://dx.doi.org/10.1016/j.enpol.2025.114613","http://dx.doi.org/10.1016/j.enpol.2025.114613")</f>
        <v>http://dx.doi.org/10.1016/j.enpol.2025.114613</v>
      </c>
      <c r="BG3447" t="s">
        <v>74</v>
      </c>
      <c r="BH3447" t="s">
        <v>3389</v>
      </c>
      <c r="BI3447">
        <v>13</v>
      </c>
      <c r="BJ3447" t="s">
        <v>27544</v>
      </c>
      <c r="BK3447" t="s">
        <v>2623</v>
      </c>
      <c r="BL3447" t="s">
        <v>27543</v>
      </c>
      <c r="BM3447" t="s">
        <v>56519</v>
      </c>
      <c r="BN3447" t="s">
        <v>74</v>
      </c>
      <c r="BO3447" t="s">
        <v>74</v>
      </c>
      <c r="BP3447" t="s">
        <v>74</v>
      </c>
      <c r="BQ3447" t="s">
        <v>74</v>
      </c>
      <c r="BR3447" t="s">
        <v>102</v>
      </c>
      <c r="BS3447" t="s">
        <v>56520</v>
      </c>
      <c r="BT3447" t="str">
        <f>HYPERLINK("https%3A%2F%2Fwww.webofscience.com%2Fwos%2Fwoscc%2Ffull-record%2FWOS:001456053600001","View Full Record in Web of Science")</f>
        <v>View Full Record in Web of Science</v>
      </c>
    </row>
    <row r="3448" spans="1:72" x14ac:dyDescent="0.25">
      <c r="A3448" t="s">
        <v>72</v>
      </c>
      <c r="B3448" t="s">
        <v>56521</v>
      </c>
      <c r="C3448" t="s">
        <v>74</v>
      </c>
      <c r="D3448" t="s">
        <v>74</v>
      </c>
      <c r="E3448" t="s">
        <v>74</v>
      </c>
      <c r="F3448" t="s">
        <v>56522</v>
      </c>
      <c r="G3448" t="s">
        <v>74</v>
      </c>
      <c r="H3448" t="s">
        <v>74</v>
      </c>
      <c r="I3448" t="s">
        <v>56523</v>
      </c>
      <c r="J3448" t="s">
        <v>56524</v>
      </c>
      <c r="K3448" t="s">
        <v>74</v>
      </c>
      <c r="L3448" t="s">
        <v>74</v>
      </c>
      <c r="M3448" t="s">
        <v>78</v>
      </c>
      <c r="N3448" t="s">
        <v>372</v>
      </c>
      <c r="O3448" t="s">
        <v>74</v>
      </c>
      <c r="P3448" t="s">
        <v>74</v>
      </c>
      <c r="Q3448" t="s">
        <v>74</v>
      </c>
      <c r="R3448" t="s">
        <v>74</v>
      </c>
      <c r="S3448" t="s">
        <v>74</v>
      </c>
      <c r="T3448" t="s">
        <v>56525</v>
      </c>
      <c r="U3448" t="s">
        <v>56526</v>
      </c>
      <c r="V3448" t="s">
        <v>56527</v>
      </c>
      <c r="W3448" t="s">
        <v>56528</v>
      </c>
      <c r="X3448" t="s">
        <v>9493</v>
      </c>
      <c r="Y3448" t="s">
        <v>56529</v>
      </c>
      <c r="Z3448" t="s">
        <v>56530</v>
      </c>
      <c r="AA3448" t="s">
        <v>74</v>
      </c>
      <c r="AB3448" t="s">
        <v>74</v>
      </c>
      <c r="AC3448" t="s">
        <v>56531</v>
      </c>
      <c r="AD3448" t="s">
        <v>56532</v>
      </c>
      <c r="AE3448" t="s">
        <v>56533</v>
      </c>
      <c r="AF3448" t="s">
        <v>74</v>
      </c>
      <c r="AG3448">
        <v>47</v>
      </c>
      <c r="AH3448">
        <v>0</v>
      </c>
      <c r="AI3448">
        <v>0</v>
      </c>
      <c r="AJ3448">
        <v>0</v>
      </c>
      <c r="AK3448">
        <v>0</v>
      </c>
      <c r="AL3448" t="s">
        <v>332</v>
      </c>
      <c r="AM3448" t="s">
        <v>333</v>
      </c>
      <c r="AN3448" t="s">
        <v>334</v>
      </c>
      <c r="AO3448" t="s">
        <v>56534</v>
      </c>
      <c r="AP3448" t="s">
        <v>56535</v>
      </c>
      <c r="AQ3448" t="s">
        <v>74</v>
      </c>
      <c r="AR3448" t="s">
        <v>56536</v>
      </c>
      <c r="AS3448" t="s">
        <v>56537</v>
      </c>
      <c r="AT3448" t="s">
        <v>5950</v>
      </c>
      <c r="AU3448">
        <v>2026</v>
      </c>
      <c r="AV3448" t="s">
        <v>74</v>
      </c>
      <c r="AW3448" t="s">
        <v>74</v>
      </c>
      <c r="AX3448" t="s">
        <v>74</v>
      </c>
      <c r="AY3448" t="s">
        <v>74</v>
      </c>
      <c r="AZ3448" t="s">
        <v>74</v>
      </c>
      <c r="BA3448" t="s">
        <v>74</v>
      </c>
      <c r="BB3448" t="s">
        <v>74</v>
      </c>
      <c r="BC3448" t="s">
        <v>74</v>
      </c>
      <c r="BD3448" t="s">
        <v>74</v>
      </c>
      <c r="BE3448" t="s">
        <v>56538</v>
      </c>
      <c r="BF3448" t="str">
        <f>HYPERLINK("http://dx.doi.org/10.1080/14672715.2025.2610836","http://dx.doi.org/10.1080/14672715.2025.2610836")</f>
        <v>http://dx.doi.org/10.1080/14672715.2025.2610836</v>
      </c>
      <c r="BG3448" t="s">
        <v>74</v>
      </c>
      <c r="BH3448" t="s">
        <v>5952</v>
      </c>
      <c r="BI3448">
        <v>19</v>
      </c>
      <c r="BJ3448" t="s">
        <v>1674</v>
      </c>
      <c r="BK3448" t="s">
        <v>99</v>
      </c>
      <c r="BL3448" t="s">
        <v>1674</v>
      </c>
      <c r="BM3448" t="s">
        <v>56539</v>
      </c>
      <c r="BN3448" t="s">
        <v>74</v>
      </c>
      <c r="BO3448" t="s">
        <v>74</v>
      </c>
      <c r="BP3448" t="s">
        <v>74</v>
      </c>
      <c r="BQ3448" t="s">
        <v>74</v>
      </c>
      <c r="BR3448" t="s">
        <v>102</v>
      </c>
      <c r="BS3448" t="s">
        <v>56540</v>
      </c>
      <c r="BT3448" t="str">
        <f>HYPERLINK("https%3A%2F%2Fwww.webofscience.com%2Fwos%2Fwoscc%2Ffull-record%2FWOS:001656447100001","View Full Record in Web of Science")</f>
        <v>View Full Record in Web of Science</v>
      </c>
    </row>
    <row r="3449" spans="1:72" x14ac:dyDescent="0.25">
      <c r="A3449" t="s">
        <v>72</v>
      </c>
      <c r="B3449" t="s">
        <v>56541</v>
      </c>
      <c r="C3449" t="s">
        <v>74</v>
      </c>
      <c r="D3449" t="s">
        <v>74</v>
      </c>
      <c r="E3449" t="s">
        <v>74</v>
      </c>
      <c r="F3449" t="s">
        <v>56542</v>
      </c>
      <c r="G3449" t="s">
        <v>74</v>
      </c>
      <c r="H3449" t="s">
        <v>74</v>
      </c>
      <c r="I3449" t="s">
        <v>56543</v>
      </c>
      <c r="J3449" t="s">
        <v>56544</v>
      </c>
      <c r="K3449" t="s">
        <v>74</v>
      </c>
      <c r="L3449" t="s">
        <v>74</v>
      </c>
      <c r="M3449" t="s">
        <v>78</v>
      </c>
      <c r="N3449" t="s">
        <v>1766</v>
      </c>
      <c r="O3449" t="s">
        <v>74</v>
      </c>
      <c r="P3449" t="s">
        <v>74</v>
      </c>
      <c r="Q3449" t="s">
        <v>74</v>
      </c>
      <c r="R3449" t="s">
        <v>74</v>
      </c>
      <c r="S3449" t="s">
        <v>74</v>
      </c>
      <c r="T3449" t="s">
        <v>56545</v>
      </c>
      <c r="U3449" t="s">
        <v>56546</v>
      </c>
      <c r="V3449" t="s">
        <v>56547</v>
      </c>
      <c r="W3449" t="s">
        <v>56548</v>
      </c>
      <c r="X3449" t="s">
        <v>56549</v>
      </c>
      <c r="Y3449" t="s">
        <v>56550</v>
      </c>
      <c r="Z3449" t="s">
        <v>56551</v>
      </c>
      <c r="AA3449" t="s">
        <v>56552</v>
      </c>
      <c r="AB3449" t="s">
        <v>74</v>
      </c>
      <c r="AC3449" t="s">
        <v>74</v>
      </c>
      <c r="AD3449" t="s">
        <v>74</v>
      </c>
      <c r="AE3449" t="s">
        <v>74</v>
      </c>
      <c r="AF3449" t="s">
        <v>74</v>
      </c>
      <c r="AG3449">
        <v>43</v>
      </c>
      <c r="AH3449">
        <v>1</v>
      </c>
      <c r="AI3449">
        <v>1</v>
      </c>
      <c r="AJ3449">
        <v>0</v>
      </c>
      <c r="AK3449">
        <v>8</v>
      </c>
      <c r="AL3449" t="s">
        <v>17179</v>
      </c>
      <c r="AM3449" t="s">
        <v>410</v>
      </c>
      <c r="AN3449" t="s">
        <v>17180</v>
      </c>
      <c r="AO3449" t="s">
        <v>56553</v>
      </c>
      <c r="AP3449" t="s">
        <v>56554</v>
      </c>
      <c r="AQ3449" t="s">
        <v>74</v>
      </c>
      <c r="AR3449" t="s">
        <v>56555</v>
      </c>
      <c r="AS3449" t="s">
        <v>56556</v>
      </c>
      <c r="AT3449" t="s">
        <v>74</v>
      </c>
      <c r="AU3449">
        <v>2024</v>
      </c>
      <c r="AV3449">
        <v>27</v>
      </c>
      <c r="AW3449">
        <v>1</v>
      </c>
      <c r="AX3449" t="s">
        <v>74</v>
      </c>
      <c r="AY3449" t="s">
        <v>74</v>
      </c>
      <c r="AZ3449" t="s">
        <v>74</v>
      </c>
      <c r="BA3449" t="s">
        <v>74</v>
      </c>
      <c r="BB3449">
        <v>133</v>
      </c>
      <c r="BC3449">
        <v>154</v>
      </c>
      <c r="BD3449" t="s">
        <v>74</v>
      </c>
      <c r="BE3449" t="s">
        <v>56557</v>
      </c>
      <c r="BF3449" t="str">
        <f>HYPERLINK("http://dx.doi.org/10.47974/JSMS-1198","http://dx.doi.org/10.47974/JSMS-1198")</f>
        <v>http://dx.doi.org/10.47974/JSMS-1198</v>
      </c>
      <c r="BG3449" t="s">
        <v>74</v>
      </c>
      <c r="BH3449" t="s">
        <v>74</v>
      </c>
      <c r="BI3449">
        <v>22</v>
      </c>
      <c r="BJ3449" t="s">
        <v>8335</v>
      </c>
      <c r="BK3449" t="s">
        <v>313</v>
      </c>
      <c r="BL3449" t="s">
        <v>8262</v>
      </c>
      <c r="BM3449" t="s">
        <v>56558</v>
      </c>
      <c r="BN3449" t="s">
        <v>74</v>
      </c>
      <c r="BO3449" t="s">
        <v>74</v>
      </c>
      <c r="BP3449" t="s">
        <v>74</v>
      </c>
      <c r="BQ3449" t="s">
        <v>74</v>
      </c>
      <c r="BR3449" t="s">
        <v>102</v>
      </c>
      <c r="BS3449" t="s">
        <v>56559</v>
      </c>
      <c r="BT3449" t="str">
        <f>HYPERLINK("https%3A%2F%2Fwww.webofscience.com%2Fwos%2Fwoscc%2Ffull-record%2FWOS:001151778800008","View Full Record in Web of Science")</f>
        <v>View Full Record in Web of Science</v>
      </c>
    </row>
    <row r="3450" spans="1:72" x14ac:dyDescent="0.25">
      <c r="A3450" t="s">
        <v>72</v>
      </c>
      <c r="B3450" t="s">
        <v>56560</v>
      </c>
      <c r="C3450" t="s">
        <v>74</v>
      </c>
      <c r="D3450" t="s">
        <v>74</v>
      </c>
      <c r="E3450" t="s">
        <v>74</v>
      </c>
      <c r="F3450" t="s">
        <v>56561</v>
      </c>
      <c r="G3450" t="s">
        <v>74</v>
      </c>
      <c r="H3450" t="s">
        <v>74</v>
      </c>
      <c r="I3450" t="s">
        <v>56562</v>
      </c>
      <c r="J3450" t="s">
        <v>22873</v>
      </c>
      <c r="K3450" t="s">
        <v>74</v>
      </c>
      <c r="L3450" t="s">
        <v>74</v>
      </c>
      <c r="M3450" t="s">
        <v>78</v>
      </c>
      <c r="N3450" t="s">
        <v>79</v>
      </c>
      <c r="O3450" t="s">
        <v>74</v>
      </c>
      <c r="P3450" t="s">
        <v>74</v>
      </c>
      <c r="Q3450" t="s">
        <v>74</v>
      </c>
      <c r="R3450" t="s">
        <v>74</v>
      </c>
      <c r="S3450" t="s">
        <v>74</v>
      </c>
      <c r="T3450" t="s">
        <v>56563</v>
      </c>
      <c r="U3450" t="s">
        <v>56564</v>
      </c>
      <c r="V3450" t="s">
        <v>56565</v>
      </c>
      <c r="W3450" t="s">
        <v>56566</v>
      </c>
      <c r="X3450" t="s">
        <v>74</v>
      </c>
      <c r="Y3450" t="s">
        <v>56567</v>
      </c>
      <c r="Z3450" t="s">
        <v>56568</v>
      </c>
      <c r="AA3450" t="s">
        <v>56569</v>
      </c>
      <c r="AB3450" t="s">
        <v>74</v>
      </c>
      <c r="AC3450" t="s">
        <v>56570</v>
      </c>
      <c r="AD3450" t="s">
        <v>56571</v>
      </c>
      <c r="AE3450" t="s">
        <v>56572</v>
      </c>
      <c r="AF3450" t="s">
        <v>74</v>
      </c>
      <c r="AG3450">
        <v>120</v>
      </c>
      <c r="AH3450">
        <v>0</v>
      </c>
      <c r="AI3450">
        <v>0</v>
      </c>
      <c r="AJ3450">
        <v>0</v>
      </c>
      <c r="AK3450">
        <v>0</v>
      </c>
      <c r="AL3450" t="s">
        <v>4024</v>
      </c>
      <c r="AM3450" t="s">
        <v>995</v>
      </c>
      <c r="AN3450" t="s">
        <v>22863</v>
      </c>
      <c r="AO3450" t="s">
        <v>22862</v>
      </c>
      <c r="AP3450" t="s">
        <v>22861</v>
      </c>
      <c r="AQ3450" t="s">
        <v>74</v>
      </c>
      <c r="AR3450" t="s">
        <v>22860</v>
      </c>
      <c r="AS3450" t="s">
        <v>22859</v>
      </c>
      <c r="AT3450" t="s">
        <v>1427</v>
      </c>
      <c r="AU3450">
        <v>2026</v>
      </c>
      <c r="AV3450">
        <v>16</v>
      </c>
      <c r="AW3450">
        <v>1</v>
      </c>
      <c r="AX3450" t="s">
        <v>74</v>
      </c>
      <c r="AY3450" t="s">
        <v>74</v>
      </c>
      <c r="AZ3450" t="s">
        <v>74</v>
      </c>
      <c r="BA3450" t="s">
        <v>74</v>
      </c>
      <c r="BB3450" t="s">
        <v>74</v>
      </c>
      <c r="BC3450" t="s">
        <v>74</v>
      </c>
      <c r="BD3450">
        <v>1</v>
      </c>
      <c r="BE3450" t="s">
        <v>56573</v>
      </c>
      <c r="BF3450" t="str">
        <f>HYPERLINK("http://dx.doi.org/10.1007/s40497-025-00485-w","http://dx.doi.org/10.1007/s40497-025-00485-w")</f>
        <v>http://dx.doi.org/10.1007/s40497-025-00485-w</v>
      </c>
      <c r="BG3450" t="s">
        <v>74</v>
      </c>
      <c r="BH3450" t="s">
        <v>74</v>
      </c>
      <c r="BI3450">
        <v>17</v>
      </c>
      <c r="BJ3450" t="s">
        <v>418</v>
      </c>
      <c r="BK3450" t="s">
        <v>313</v>
      </c>
      <c r="BL3450" t="s">
        <v>100</v>
      </c>
      <c r="BM3450" t="s">
        <v>56574</v>
      </c>
      <c r="BN3450" t="s">
        <v>74</v>
      </c>
      <c r="BO3450" t="s">
        <v>74</v>
      </c>
      <c r="BP3450" t="s">
        <v>74</v>
      </c>
      <c r="BQ3450" t="s">
        <v>74</v>
      </c>
      <c r="BR3450" t="s">
        <v>102</v>
      </c>
      <c r="BS3450" t="s">
        <v>56575</v>
      </c>
      <c r="BT3450" t="str">
        <f>HYPERLINK("https%3A%2F%2Fwww.webofscience.com%2Fwos%2Fwoscc%2Ffull-record%2FWOS:001652480000001","View Full Record in Web of Science")</f>
        <v>View Full Record in Web of Science</v>
      </c>
    </row>
    <row r="3451" spans="1:72" x14ac:dyDescent="0.25">
      <c r="A3451" t="s">
        <v>72</v>
      </c>
      <c r="B3451" t="s">
        <v>56576</v>
      </c>
      <c r="C3451" t="s">
        <v>74</v>
      </c>
      <c r="D3451" t="s">
        <v>74</v>
      </c>
      <c r="E3451" t="s">
        <v>74</v>
      </c>
      <c r="F3451" t="s">
        <v>56577</v>
      </c>
      <c r="G3451" t="s">
        <v>74</v>
      </c>
      <c r="H3451" t="s">
        <v>74</v>
      </c>
      <c r="I3451" t="s">
        <v>56578</v>
      </c>
      <c r="J3451" t="s">
        <v>9191</v>
      </c>
      <c r="K3451" t="s">
        <v>74</v>
      </c>
      <c r="L3451" t="s">
        <v>74</v>
      </c>
      <c r="M3451" t="s">
        <v>78</v>
      </c>
      <c r="N3451" t="s">
        <v>79</v>
      </c>
      <c r="O3451" t="s">
        <v>74</v>
      </c>
      <c r="P3451" t="s">
        <v>74</v>
      </c>
      <c r="Q3451" t="s">
        <v>74</v>
      </c>
      <c r="R3451" t="s">
        <v>74</v>
      </c>
      <c r="S3451" t="s">
        <v>74</v>
      </c>
      <c r="T3451" t="s">
        <v>56579</v>
      </c>
      <c r="U3451" t="s">
        <v>56580</v>
      </c>
      <c r="V3451" t="s">
        <v>56581</v>
      </c>
      <c r="W3451" t="s">
        <v>56582</v>
      </c>
      <c r="X3451" t="s">
        <v>56583</v>
      </c>
      <c r="Y3451" t="s">
        <v>56584</v>
      </c>
      <c r="Z3451" t="s">
        <v>56585</v>
      </c>
      <c r="AA3451" t="s">
        <v>56586</v>
      </c>
      <c r="AB3451" t="s">
        <v>56587</v>
      </c>
      <c r="AC3451" t="s">
        <v>56588</v>
      </c>
      <c r="AD3451" t="s">
        <v>56589</v>
      </c>
      <c r="AE3451" t="s">
        <v>56590</v>
      </c>
      <c r="AF3451" t="s">
        <v>74</v>
      </c>
      <c r="AG3451">
        <v>87</v>
      </c>
      <c r="AH3451">
        <v>22</v>
      </c>
      <c r="AI3451">
        <v>27</v>
      </c>
      <c r="AJ3451">
        <v>2</v>
      </c>
      <c r="AK3451">
        <v>17</v>
      </c>
      <c r="AL3451" t="s">
        <v>9204</v>
      </c>
      <c r="AM3451" t="s">
        <v>2016</v>
      </c>
      <c r="AN3451" t="s">
        <v>9205</v>
      </c>
      <c r="AO3451" t="s">
        <v>74</v>
      </c>
      <c r="AP3451" t="s">
        <v>9206</v>
      </c>
      <c r="AQ3451" t="s">
        <v>74</v>
      </c>
      <c r="AR3451" t="s">
        <v>9191</v>
      </c>
      <c r="AS3451" t="s">
        <v>9207</v>
      </c>
      <c r="AT3451" t="s">
        <v>208</v>
      </c>
      <c r="AU3451">
        <v>2021</v>
      </c>
      <c r="AV3451">
        <v>7</v>
      </c>
      <c r="AW3451">
        <v>1</v>
      </c>
      <c r="AX3451" t="s">
        <v>74</v>
      </c>
      <c r="AY3451" t="s">
        <v>74</v>
      </c>
      <c r="AZ3451" t="s">
        <v>74</v>
      </c>
      <c r="BA3451" t="s">
        <v>74</v>
      </c>
      <c r="BB3451" t="s">
        <v>74</v>
      </c>
      <c r="BC3451" t="s">
        <v>74</v>
      </c>
      <c r="BD3451" t="s">
        <v>56591</v>
      </c>
      <c r="BE3451" t="s">
        <v>56592</v>
      </c>
      <c r="BF3451" t="str">
        <f>HYPERLINK("http://dx.doi.org/10.1016/j.heliyon.2020.e05660","http://dx.doi.org/10.1016/j.heliyon.2020.e05660")</f>
        <v>http://dx.doi.org/10.1016/j.heliyon.2020.e05660</v>
      </c>
      <c r="BG3451" t="s">
        <v>74</v>
      </c>
      <c r="BH3451" t="s">
        <v>11556</v>
      </c>
      <c r="BI3451">
        <v>9</v>
      </c>
      <c r="BJ3451" t="s">
        <v>559</v>
      </c>
      <c r="BK3451" t="s">
        <v>128</v>
      </c>
      <c r="BL3451" t="s">
        <v>560</v>
      </c>
      <c r="BM3451" t="s">
        <v>56593</v>
      </c>
      <c r="BN3451">
        <v>33553709</v>
      </c>
      <c r="BO3451" t="s">
        <v>916</v>
      </c>
      <c r="BP3451" t="s">
        <v>74</v>
      </c>
      <c r="BQ3451" t="s">
        <v>74</v>
      </c>
      <c r="BR3451" t="s">
        <v>102</v>
      </c>
      <c r="BS3451" t="s">
        <v>56594</v>
      </c>
      <c r="BT3451" t="str">
        <f>HYPERLINK("https%3A%2F%2Fwww.webofscience.com%2Fwos%2Fwoscc%2Ffull-record%2FWOS:000618044100025","View Full Record in Web of Science")</f>
        <v>View Full Record in Web of Science</v>
      </c>
    </row>
    <row r="3452" spans="1:72" x14ac:dyDescent="0.25">
      <c r="A3452" t="s">
        <v>72</v>
      </c>
      <c r="B3452" t="s">
        <v>56595</v>
      </c>
      <c r="C3452" t="s">
        <v>74</v>
      </c>
      <c r="D3452" t="s">
        <v>74</v>
      </c>
      <c r="E3452" t="s">
        <v>74</v>
      </c>
      <c r="F3452" t="s">
        <v>56596</v>
      </c>
      <c r="G3452" t="s">
        <v>74</v>
      </c>
      <c r="H3452" t="s">
        <v>74</v>
      </c>
      <c r="I3452" t="s">
        <v>56597</v>
      </c>
      <c r="J3452" t="s">
        <v>56598</v>
      </c>
      <c r="K3452" t="s">
        <v>74</v>
      </c>
      <c r="L3452" t="s">
        <v>74</v>
      </c>
      <c r="M3452" t="s">
        <v>78</v>
      </c>
      <c r="N3452" t="s">
        <v>79</v>
      </c>
      <c r="O3452" t="s">
        <v>74</v>
      </c>
      <c r="P3452" t="s">
        <v>74</v>
      </c>
      <c r="Q3452" t="s">
        <v>74</v>
      </c>
      <c r="R3452" t="s">
        <v>74</v>
      </c>
      <c r="S3452" t="s">
        <v>74</v>
      </c>
      <c r="T3452" t="s">
        <v>56599</v>
      </c>
      <c r="U3452" t="s">
        <v>56600</v>
      </c>
      <c r="V3452" t="s">
        <v>56601</v>
      </c>
      <c r="W3452" t="s">
        <v>56602</v>
      </c>
      <c r="X3452" t="s">
        <v>56603</v>
      </c>
      <c r="Y3452" t="s">
        <v>56604</v>
      </c>
      <c r="Z3452" t="s">
        <v>56605</v>
      </c>
      <c r="AA3452" t="s">
        <v>56606</v>
      </c>
      <c r="AB3452" t="s">
        <v>56607</v>
      </c>
      <c r="AC3452" t="s">
        <v>74</v>
      </c>
      <c r="AD3452" t="s">
        <v>74</v>
      </c>
      <c r="AE3452" t="s">
        <v>74</v>
      </c>
      <c r="AF3452" t="s">
        <v>74</v>
      </c>
      <c r="AG3452">
        <v>79</v>
      </c>
      <c r="AH3452">
        <v>29</v>
      </c>
      <c r="AI3452">
        <v>33</v>
      </c>
      <c r="AJ3452">
        <v>0</v>
      </c>
      <c r="AK3452">
        <v>96</v>
      </c>
      <c r="AL3452" t="s">
        <v>89</v>
      </c>
      <c r="AM3452" t="s">
        <v>1497</v>
      </c>
      <c r="AN3452" t="s">
        <v>1498</v>
      </c>
      <c r="AO3452" t="s">
        <v>56608</v>
      </c>
      <c r="AP3452" t="s">
        <v>56609</v>
      </c>
      <c r="AQ3452" t="s">
        <v>74</v>
      </c>
      <c r="AR3452" t="s">
        <v>56610</v>
      </c>
      <c r="AS3452" t="s">
        <v>56611</v>
      </c>
      <c r="AT3452" t="s">
        <v>74</v>
      </c>
      <c r="AU3452">
        <v>2015</v>
      </c>
      <c r="AV3452">
        <v>53</v>
      </c>
      <c r="AW3452">
        <v>9</v>
      </c>
      <c r="AX3452" t="s">
        <v>74</v>
      </c>
      <c r="AY3452" t="s">
        <v>74</v>
      </c>
      <c r="AZ3452" t="s">
        <v>74</v>
      </c>
      <c r="BA3452" t="s">
        <v>74</v>
      </c>
      <c r="BB3452">
        <v>2073</v>
      </c>
      <c r="BC3452">
        <v>2087</v>
      </c>
      <c r="BD3452" t="s">
        <v>74</v>
      </c>
      <c r="BE3452" t="s">
        <v>56612</v>
      </c>
      <c r="BF3452" t="str">
        <f>HYPERLINK("http://dx.doi.org/10.1108/MD-06-2014-0393","http://dx.doi.org/10.1108/MD-06-2014-0393")</f>
        <v>http://dx.doi.org/10.1108/MD-06-2014-0393</v>
      </c>
      <c r="BG3452" t="s">
        <v>74</v>
      </c>
      <c r="BH3452" t="s">
        <v>74</v>
      </c>
      <c r="BI3452">
        <v>15</v>
      </c>
      <c r="BJ3452" t="s">
        <v>98</v>
      </c>
      <c r="BK3452" t="s">
        <v>99</v>
      </c>
      <c r="BL3452" t="s">
        <v>100</v>
      </c>
      <c r="BM3452" t="s">
        <v>56613</v>
      </c>
      <c r="BN3452" t="s">
        <v>74</v>
      </c>
      <c r="BO3452" t="s">
        <v>74</v>
      </c>
      <c r="BP3452" t="s">
        <v>74</v>
      </c>
      <c r="BQ3452" t="s">
        <v>74</v>
      </c>
      <c r="BR3452" t="s">
        <v>102</v>
      </c>
      <c r="BS3452" t="s">
        <v>56614</v>
      </c>
      <c r="BT3452" t="str">
        <f>HYPERLINK("https%3A%2F%2Fwww.webofscience.com%2Fwos%2Fwoscc%2Ffull-record%2FWOS:000366645000009","View Full Record in Web of Science")</f>
        <v>View Full Record in Web of Science</v>
      </c>
    </row>
    <row r="3453" spans="1:72" x14ac:dyDescent="0.25">
      <c r="A3453" t="s">
        <v>72</v>
      </c>
      <c r="B3453" t="s">
        <v>56615</v>
      </c>
      <c r="C3453" t="s">
        <v>74</v>
      </c>
      <c r="D3453" t="s">
        <v>74</v>
      </c>
      <c r="E3453" t="s">
        <v>74</v>
      </c>
      <c r="F3453" t="s">
        <v>56616</v>
      </c>
      <c r="G3453" t="s">
        <v>74</v>
      </c>
      <c r="H3453" t="s">
        <v>74</v>
      </c>
      <c r="I3453" t="s">
        <v>56617</v>
      </c>
      <c r="J3453" t="s">
        <v>683</v>
      </c>
      <c r="K3453" t="s">
        <v>74</v>
      </c>
      <c r="L3453" t="s">
        <v>74</v>
      </c>
      <c r="M3453" t="s">
        <v>78</v>
      </c>
      <c r="N3453" t="s">
        <v>79</v>
      </c>
      <c r="O3453" t="s">
        <v>74</v>
      </c>
      <c r="P3453" t="s">
        <v>74</v>
      </c>
      <c r="Q3453" t="s">
        <v>74</v>
      </c>
      <c r="R3453" t="s">
        <v>74</v>
      </c>
      <c r="S3453" t="s">
        <v>74</v>
      </c>
      <c r="T3453" t="s">
        <v>56618</v>
      </c>
      <c r="U3453" t="s">
        <v>56619</v>
      </c>
      <c r="V3453" t="s">
        <v>56620</v>
      </c>
      <c r="W3453" t="s">
        <v>56621</v>
      </c>
      <c r="X3453" t="s">
        <v>56622</v>
      </c>
      <c r="Y3453" t="s">
        <v>56623</v>
      </c>
      <c r="Z3453" t="s">
        <v>56624</v>
      </c>
      <c r="AA3453" t="s">
        <v>74</v>
      </c>
      <c r="AB3453" t="s">
        <v>74</v>
      </c>
      <c r="AC3453" t="s">
        <v>74</v>
      </c>
      <c r="AD3453" t="s">
        <v>74</v>
      </c>
      <c r="AE3453" t="s">
        <v>74</v>
      </c>
      <c r="AF3453" t="s">
        <v>74</v>
      </c>
      <c r="AG3453">
        <v>142</v>
      </c>
      <c r="AH3453">
        <v>0</v>
      </c>
      <c r="AI3453">
        <v>0</v>
      </c>
      <c r="AJ3453">
        <v>1</v>
      </c>
      <c r="AK3453">
        <v>1</v>
      </c>
      <c r="AL3453" t="s">
        <v>201</v>
      </c>
      <c r="AM3453" t="s">
        <v>202</v>
      </c>
      <c r="AN3453" t="s">
        <v>203</v>
      </c>
      <c r="AO3453" t="s">
        <v>695</v>
      </c>
      <c r="AP3453" t="s">
        <v>74</v>
      </c>
      <c r="AQ3453" t="s">
        <v>74</v>
      </c>
      <c r="AR3453" t="s">
        <v>696</v>
      </c>
      <c r="AS3453" t="s">
        <v>697</v>
      </c>
      <c r="AT3453" t="s">
        <v>698</v>
      </c>
      <c r="AU3453">
        <v>2025</v>
      </c>
      <c r="AV3453">
        <v>39</v>
      </c>
      <c r="AW3453" t="s">
        <v>74</v>
      </c>
      <c r="AX3453" t="s">
        <v>74</v>
      </c>
      <c r="AY3453" t="s">
        <v>74</v>
      </c>
      <c r="AZ3453" t="s">
        <v>74</v>
      </c>
      <c r="BA3453" t="s">
        <v>74</v>
      </c>
      <c r="BB3453" t="s">
        <v>74</v>
      </c>
      <c r="BC3453" t="s">
        <v>74</v>
      </c>
      <c r="BD3453">
        <v>100702</v>
      </c>
      <c r="BE3453" t="s">
        <v>56625</v>
      </c>
      <c r="BF3453" t="str">
        <f>HYPERLINK("http://dx.doi.org/10.1016/j.wdp.2025.100702","http://dx.doi.org/10.1016/j.wdp.2025.100702")</f>
        <v>http://dx.doi.org/10.1016/j.wdp.2025.100702</v>
      </c>
      <c r="BG3453" t="s">
        <v>74</v>
      </c>
      <c r="BH3453" t="s">
        <v>3389</v>
      </c>
      <c r="BI3453">
        <v>16</v>
      </c>
      <c r="BJ3453" t="s">
        <v>701</v>
      </c>
      <c r="BK3453" t="s">
        <v>313</v>
      </c>
      <c r="BL3453" t="s">
        <v>702</v>
      </c>
      <c r="BM3453" t="s">
        <v>56626</v>
      </c>
      <c r="BN3453" t="s">
        <v>74</v>
      </c>
      <c r="BO3453" t="s">
        <v>270</v>
      </c>
      <c r="BP3453" t="s">
        <v>74</v>
      </c>
      <c r="BQ3453" t="s">
        <v>74</v>
      </c>
      <c r="BR3453" t="s">
        <v>102</v>
      </c>
      <c r="BS3453" t="s">
        <v>56627</v>
      </c>
      <c r="BT3453" t="str">
        <f>HYPERLINK("https%3A%2F%2Fwww.webofscience.com%2Fwos%2Fwoscc%2Ffull-record%2FWOS:001528140900001","View Full Record in Web of Science")</f>
        <v>View Full Record in Web of Science</v>
      </c>
    </row>
    <row r="3454" spans="1:72" x14ac:dyDescent="0.25">
      <c r="A3454" t="s">
        <v>72</v>
      </c>
      <c r="B3454" t="s">
        <v>56628</v>
      </c>
      <c r="C3454" t="s">
        <v>74</v>
      </c>
      <c r="D3454" t="s">
        <v>74</v>
      </c>
      <c r="E3454" t="s">
        <v>74</v>
      </c>
      <c r="F3454" t="s">
        <v>56629</v>
      </c>
      <c r="G3454" t="s">
        <v>74</v>
      </c>
      <c r="H3454" t="s">
        <v>74</v>
      </c>
      <c r="I3454" t="s">
        <v>56630</v>
      </c>
      <c r="J3454" t="s">
        <v>27865</v>
      </c>
      <c r="K3454" t="s">
        <v>74</v>
      </c>
      <c r="L3454" t="s">
        <v>74</v>
      </c>
      <c r="M3454" t="s">
        <v>78</v>
      </c>
      <c r="N3454" t="s">
        <v>79</v>
      </c>
      <c r="O3454" t="s">
        <v>74</v>
      </c>
      <c r="P3454" t="s">
        <v>74</v>
      </c>
      <c r="Q3454" t="s">
        <v>74</v>
      </c>
      <c r="R3454" t="s">
        <v>74</v>
      </c>
      <c r="S3454" t="s">
        <v>74</v>
      </c>
      <c r="T3454" t="s">
        <v>56631</v>
      </c>
      <c r="U3454" t="s">
        <v>56632</v>
      </c>
      <c r="V3454" t="s">
        <v>56633</v>
      </c>
      <c r="W3454" t="s">
        <v>56634</v>
      </c>
      <c r="X3454" t="s">
        <v>56635</v>
      </c>
      <c r="Y3454" t="s">
        <v>56636</v>
      </c>
      <c r="Z3454" t="s">
        <v>56637</v>
      </c>
      <c r="AA3454" t="s">
        <v>56638</v>
      </c>
      <c r="AB3454" t="s">
        <v>56639</v>
      </c>
      <c r="AC3454" t="s">
        <v>56640</v>
      </c>
      <c r="AD3454" t="s">
        <v>56640</v>
      </c>
      <c r="AE3454" t="s">
        <v>56641</v>
      </c>
      <c r="AF3454" t="s">
        <v>74</v>
      </c>
      <c r="AG3454">
        <v>73</v>
      </c>
      <c r="AH3454">
        <v>4</v>
      </c>
      <c r="AI3454">
        <v>5</v>
      </c>
      <c r="AJ3454">
        <v>0</v>
      </c>
      <c r="AK3454">
        <v>9</v>
      </c>
      <c r="AL3454" t="s">
        <v>994</v>
      </c>
      <c r="AM3454" t="s">
        <v>995</v>
      </c>
      <c r="AN3454" t="s">
        <v>2061</v>
      </c>
      <c r="AO3454" t="s">
        <v>27857</v>
      </c>
      <c r="AP3454" t="s">
        <v>27856</v>
      </c>
      <c r="AQ3454" t="s">
        <v>74</v>
      </c>
      <c r="AR3454" t="s">
        <v>27855</v>
      </c>
      <c r="AS3454" t="s">
        <v>27854</v>
      </c>
      <c r="AT3454" t="s">
        <v>1652</v>
      </c>
      <c r="AU3454">
        <v>2024</v>
      </c>
      <c r="AV3454">
        <v>35</v>
      </c>
      <c r="AW3454">
        <v>4</v>
      </c>
      <c r="AX3454" t="s">
        <v>74</v>
      </c>
      <c r="AY3454" t="s">
        <v>74</v>
      </c>
      <c r="AZ3454" t="s">
        <v>74</v>
      </c>
      <c r="BA3454" t="s">
        <v>74</v>
      </c>
      <c r="BB3454">
        <v>2151</v>
      </c>
      <c r="BC3454">
        <v>2177</v>
      </c>
      <c r="BD3454" t="s">
        <v>74</v>
      </c>
      <c r="BE3454" t="s">
        <v>56642</v>
      </c>
      <c r="BF3454" t="str">
        <f>HYPERLINK("http://dx.doi.org/10.1177/0958305X221146944","http://dx.doi.org/10.1177/0958305X221146944")</f>
        <v>http://dx.doi.org/10.1177/0958305X221146944</v>
      </c>
      <c r="BG3454" t="s">
        <v>74</v>
      </c>
      <c r="BH3454" t="s">
        <v>11288</v>
      </c>
      <c r="BI3454">
        <v>27</v>
      </c>
      <c r="BJ3454" t="s">
        <v>14327</v>
      </c>
      <c r="BK3454" t="s">
        <v>99</v>
      </c>
      <c r="BL3454" t="s">
        <v>129</v>
      </c>
      <c r="BM3454" t="s">
        <v>56643</v>
      </c>
      <c r="BN3454" t="s">
        <v>74</v>
      </c>
      <c r="BO3454" t="s">
        <v>74</v>
      </c>
      <c r="BP3454" t="s">
        <v>74</v>
      </c>
      <c r="BQ3454" t="s">
        <v>74</v>
      </c>
      <c r="BR3454" t="s">
        <v>102</v>
      </c>
      <c r="BS3454" t="s">
        <v>56644</v>
      </c>
      <c r="BT3454" t="str">
        <f>HYPERLINK("https%3A%2F%2Fwww.webofscience.com%2Fwos%2Fwoscc%2Ffull-record%2FWOS:000906064500001","View Full Record in Web of Science")</f>
        <v>View Full Record in Web of Science</v>
      </c>
    </row>
    <row r="3455" spans="1:72" x14ac:dyDescent="0.25">
      <c r="A3455" t="s">
        <v>72</v>
      </c>
      <c r="B3455" t="s">
        <v>56645</v>
      </c>
      <c r="C3455" t="s">
        <v>74</v>
      </c>
      <c r="D3455" t="s">
        <v>74</v>
      </c>
      <c r="E3455" t="s">
        <v>74</v>
      </c>
      <c r="F3455" t="s">
        <v>56646</v>
      </c>
      <c r="G3455" t="s">
        <v>74</v>
      </c>
      <c r="H3455" t="s">
        <v>74</v>
      </c>
      <c r="I3455" t="s">
        <v>56647</v>
      </c>
      <c r="J3455" t="s">
        <v>53089</v>
      </c>
      <c r="K3455" t="s">
        <v>74</v>
      </c>
      <c r="L3455" t="s">
        <v>74</v>
      </c>
      <c r="M3455" t="s">
        <v>78</v>
      </c>
      <c r="N3455" t="s">
        <v>79</v>
      </c>
      <c r="O3455" t="s">
        <v>74</v>
      </c>
      <c r="P3455" t="s">
        <v>74</v>
      </c>
      <c r="Q3455" t="s">
        <v>74</v>
      </c>
      <c r="R3455" t="s">
        <v>74</v>
      </c>
      <c r="S3455" t="s">
        <v>74</v>
      </c>
      <c r="T3455" t="s">
        <v>56648</v>
      </c>
      <c r="U3455" t="s">
        <v>56649</v>
      </c>
      <c r="V3455" t="s">
        <v>56650</v>
      </c>
      <c r="W3455" t="s">
        <v>56651</v>
      </c>
      <c r="X3455" t="s">
        <v>56652</v>
      </c>
      <c r="Y3455" t="s">
        <v>56653</v>
      </c>
      <c r="Z3455" t="s">
        <v>56654</v>
      </c>
      <c r="AA3455" t="s">
        <v>56655</v>
      </c>
      <c r="AB3455" t="s">
        <v>56656</v>
      </c>
      <c r="AC3455" t="s">
        <v>74</v>
      </c>
      <c r="AD3455" t="s">
        <v>74</v>
      </c>
      <c r="AE3455" t="s">
        <v>74</v>
      </c>
      <c r="AF3455" t="s">
        <v>74</v>
      </c>
      <c r="AG3455">
        <v>132</v>
      </c>
      <c r="AH3455">
        <v>1</v>
      </c>
      <c r="AI3455">
        <v>1</v>
      </c>
      <c r="AJ3455">
        <v>2</v>
      </c>
      <c r="AK3455">
        <v>6</v>
      </c>
      <c r="AL3455" t="s">
        <v>89</v>
      </c>
      <c r="AM3455" t="s">
        <v>90</v>
      </c>
      <c r="AN3455" t="s">
        <v>91</v>
      </c>
      <c r="AO3455" t="s">
        <v>53098</v>
      </c>
      <c r="AP3455" t="s">
        <v>53099</v>
      </c>
      <c r="AQ3455" t="s">
        <v>74</v>
      </c>
      <c r="AR3455" t="s">
        <v>53100</v>
      </c>
      <c r="AS3455" t="s">
        <v>53101</v>
      </c>
      <c r="AT3455" t="s">
        <v>9129</v>
      </c>
      <c r="AU3455">
        <v>2025</v>
      </c>
      <c r="AV3455">
        <v>33</v>
      </c>
      <c r="AW3455">
        <v>4</v>
      </c>
      <c r="AX3455" t="s">
        <v>74</v>
      </c>
      <c r="AY3455" t="s">
        <v>74</v>
      </c>
      <c r="AZ3455" t="s">
        <v>74</v>
      </c>
      <c r="BA3455" t="s">
        <v>74</v>
      </c>
      <c r="BB3455">
        <v>715</v>
      </c>
      <c r="BC3455">
        <v>746</v>
      </c>
      <c r="BD3455" t="s">
        <v>74</v>
      </c>
      <c r="BE3455" t="s">
        <v>56657</v>
      </c>
      <c r="BF3455" t="str">
        <f>HYPERLINK("http://dx.doi.org/10.1108/MBR-10-2024-0188","http://dx.doi.org/10.1108/MBR-10-2024-0188")</f>
        <v>http://dx.doi.org/10.1108/MBR-10-2024-0188</v>
      </c>
      <c r="BG3455" t="s">
        <v>74</v>
      </c>
      <c r="BH3455" t="s">
        <v>417</v>
      </c>
      <c r="BI3455">
        <v>32</v>
      </c>
      <c r="BJ3455" t="s">
        <v>418</v>
      </c>
      <c r="BK3455" t="s">
        <v>99</v>
      </c>
      <c r="BL3455" t="s">
        <v>100</v>
      </c>
      <c r="BM3455" t="s">
        <v>56658</v>
      </c>
      <c r="BN3455" t="s">
        <v>74</v>
      </c>
      <c r="BO3455" t="s">
        <v>74</v>
      </c>
      <c r="BP3455" t="s">
        <v>74</v>
      </c>
      <c r="BQ3455" t="s">
        <v>74</v>
      </c>
      <c r="BR3455" t="s">
        <v>102</v>
      </c>
      <c r="BS3455" t="s">
        <v>56659</v>
      </c>
      <c r="BT3455" t="str">
        <f>HYPERLINK("https%3A%2F%2Fwww.webofscience.com%2Fwos%2Fwoscc%2Ffull-record%2FWOS:001431935000001","View Full Record in Web of Science")</f>
        <v>View Full Record in Web of Science</v>
      </c>
    </row>
    <row r="3456" spans="1:72" x14ac:dyDescent="0.25">
      <c r="A3456" t="s">
        <v>72</v>
      </c>
      <c r="B3456" t="s">
        <v>56660</v>
      </c>
      <c r="C3456" t="s">
        <v>74</v>
      </c>
      <c r="D3456" t="s">
        <v>74</v>
      </c>
      <c r="E3456" t="s">
        <v>74</v>
      </c>
      <c r="F3456" t="s">
        <v>56661</v>
      </c>
      <c r="G3456" t="s">
        <v>74</v>
      </c>
      <c r="H3456" t="s">
        <v>74</v>
      </c>
      <c r="I3456" t="s">
        <v>56662</v>
      </c>
      <c r="J3456" t="s">
        <v>54677</v>
      </c>
      <c r="K3456" t="s">
        <v>74</v>
      </c>
      <c r="L3456" t="s">
        <v>74</v>
      </c>
      <c r="M3456" t="s">
        <v>78</v>
      </c>
      <c r="N3456" t="s">
        <v>79</v>
      </c>
      <c r="O3456" t="s">
        <v>74</v>
      </c>
      <c r="P3456" t="s">
        <v>74</v>
      </c>
      <c r="Q3456" t="s">
        <v>74</v>
      </c>
      <c r="R3456" t="s">
        <v>74</v>
      </c>
      <c r="S3456" t="s">
        <v>74</v>
      </c>
      <c r="T3456" t="s">
        <v>56663</v>
      </c>
      <c r="U3456" t="s">
        <v>56664</v>
      </c>
      <c r="V3456" t="s">
        <v>56665</v>
      </c>
      <c r="W3456" t="s">
        <v>56666</v>
      </c>
      <c r="X3456" t="s">
        <v>6148</v>
      </c>
      <c r="Y3456" t="s">
        <v>56667</v>
      </c>
      <c r="Z3456" t="s">
        <v>56668</v>
      </c>
      <c r="AA3456" t="s">
        <v>56669</v>
      </c>
      <c r="AB3456" t="s">
        <v>56670</v>
      </c>
      <c r="AC3456" t="s">
        <v>74</v>
      </c>
      <c r="AD3456" t="s">
        <v>74</v>
      </c>
      <c r="AE3456" t="s">
        <v>74</v>
      </c>
      <c r="AF3456" t="s">
        <v>74</v>
      </c>
      <c r="AG3456">
        <v>68</v>
      </c>
      <c r="AH3456">
        <v>10</v>
      </c>
      <c r="AI3456">
        <v>12</v>
      </c>
      <c r="AJ3456">
        <v>0</v>
      </c>
      <c r="AK3456">
        <v>16</v>
      </c>
      <c r="AL3456" t="s">
        <v>201</v>
      </c>
      <c r="AM3456" t="s">
        <v>202</v>
      </c>
      <c r="AN3456" t="s">
        <v>203</v>
      </c>
      <c r="AO3456" t="s">
        <v>54687</v>
      </c>
      <c r="AP3456" t="s">
        <v>54688</v>
      </c>
      <c r="AQ3456" t="s">
        <v>74</v>
      </c>
      <c r="AR3456" t="s">
        <v>54689</v>
      </c>
      <c r="AS3456" t="s">
        <v>54690</v>
      </c>
      <c r="AT3456" t="s">
        <v>124</v>
      </c>
      <c r="AU3456">
        <v>2022</v>
      </c>
      <c r="AV3456">
        <v>63</v>
      </c>
      <c r="AW3456" t="s">
        <v>74</v>
      </c>
      <c r="AX3456" t="s">
        <v>74</v>
      </c>
      <c r="AY3456" t="s">
        <v>74</v>
      </c>
      <c r="AZ3456" t="s">
        <v>74</v>
      </c>
      <c r="BA3456" t="s">
        <v>74</v>
      </c>
      <c r="BB3456">
        <v>1</v>
      </c>
      <c r="BC3456">
        <v>14</v>
      </c>
      <c r="BD3456" t="s">
        <v>74</v>
      </c>
      <c r="BE3456" t="s">
        <v>56671</v>
      </c>
      <c r="BF3456" t="str">
        <f>HYPERLINK("http://dx.doi.org/10.1016/j.strueco.2022.08.005","http://dx.doi.org/10.1016/j.strueco.2022.08.005")</f>
        <v>http://dx.doi.org/10.1016/j.strueco.2022.08.005</v>
      </c>
      <c r="BG3456" t="s">
        <v>74</v>
      </c>
      <c r="BH3456" t="s">
        <v>2328</v>
      </c>
      <c r="BI3456">
        <v>14</v>
      </c>
      <c r="BJ3456" t="s">
        <v>291</v>
      </c>
      <c r="BK3456" t="s">
        <v>99</v>
      </c>
      <c r="BL3456" t="s">
        <v>100</v>
      </c>
      <c r="BM3456" t="s">
        <v>56672</v>
      </c>
      <c r="BN3456" t="s">
        <v>74</v>
      </c>
      <c r="BO3456" t="s">
        <v>74</v>
      </c>
      <c r="BP3456" t="s">
        <v>74</v>
      </c>
      <c r="BQ3456" t="s">
        <v>74</v>
      </c>
      <c r="BR3456" t="s">
        <v>102</v>
      </c>
      <c r="BS3456" t="s">
        <v>56673</v>
      </c>
      <c r="BT3456" t="str">
        <f>HYPERLINK("https%3A%2F%2Fwww.webofscience.com%2Fwos%2Fwoscc%2Ffull-record%2FWOS:000853251200001","View Full Record in Web of Science")</f>
        <v>View Full Record in Web of Science</v>
      </c>
    </row>
    <row r="3457" spans="1:72" x14ac:dyDescent="0.25">
      <c r="A3457" t="s">
        <v>72</v>
      </c>
      <c r="B3457" t="s">
        <v>56674</v>
      </c>
      <c r="C3457" t="s">
        <v>74</v>
      </c>
      <c r="D3457" t="s">
        <v>74</v>
      </c>
      <c r="E3457" t="s">
        <v>74</v>
      </c>
      <c r="F3457" t="s">
        <v>56675</v>
      </c>
      <c r="G3457" t="s">
        <v>74</v>
      </c>
      <c r="H3457" t="s">
        <v>74</v>
      </c>
      <c r="I3457" t="s">
        <v>56676</v>
      </c>
      <c r="J3457" t="s">
        <v>56677</v>
      </c>
      <c r="K3457" t="s">
        <v>74</v>
      </c>
      <c r="L3457" t="s">
        <v>74</v>
      </c>
      <c r="M3457" t="s">
        <v>78</v>
      </c>
      <c r="N3457" t="s">
        <v>79</v>
      </c>
      <c r="O3457" t="s">
        <v>74</v>
      </c>
      <c r="P3457" t="s">
        <v>74</v>
      </c>
      <c r="Q3457" t="s">
        <v>74</v>
      </c>
      <c r="R3457" t="s">
        <v>74</v>
      </c>
      <c r="S3457" t="s">
        <v>74</v>
      </c>
      <c r="T3457" t="s">
        <v>56678</v>
      </c>
      <c r="U3457" t="s">
        <v>74</v>
      </c>
      <c r="V3457" t="s">
        <v>56679</v>
      </c>
      <c r="W3457" t="s">
        <v>56680</v>
      </c>
      <c r="X3457" t="s">
        <v>74</v>
      </c>
      <c r="Y3457" t="s">
        <v>56681</v>
      </c>
      <c r="Z3457" t="s">
        <v>56682</v>
      </c>
      <c r="AA3457" t="s">
        <v>56683</v>
      </c>
      <c r="AB3457" t="s">
        <v>56684</v>
      </c>
      <c r="AC3457" t="s">
        <v>74</v>
      </c>
      <c r="AD3457" t="s">
        <v>74</v>
      </c>
      <c r="AE3457" t="s">
        <v>74</v>
      </c>
      <c r="AF3457" t="s">
        <v>74</v>
      </c>
      <c r="AG3457">
        <v>43</v>
      </c>
      <c r="AH3457">
        <v>0</v>
      </c>
      <c r="AI3457">
        <v>1</v>
      </c>
      <c r="AJ3457">
        <v>0</v>
      </c>
      <c r="AK3457">
        <v>8</v>
      </c>
      <c r="AL3457" t="s">
        <v>2371</v>
      </c>
      <c r="AM3457" t="s">
        <v>2372</v>
      </c>
      <c r="AN3457" t="s">
        <v>2373</v>
      </c>
      <c r="AO3457" t="s">
        <v>56685</v>
      </c>
      <c r="AP3457" t="s">
        <v>56686</v>
      </c>
      <c r="AQ3457" t="s">
        <v>74</v>
      </c>
      <c r="AR3457" t="s">
        <v>56687</v>
      </c>
      <c r="AS3457" t="s">
        <v>56688</v>
      </c>
      <c r="AT3457" t="s">
        <v>74</v>
      </c>
      <c r="AU3457">
        <v>2023</v>
      </c>
      <c r="AV3457">
        <v>14</v>
      </c>
      <c r="AW3457">
        <v>1</v>
      </c>
      <c r="AX3457" t="s">
        <v>74</v>
      </c>
      <c r="AY3457" t="s">
        <v>74</v>
      </c>
      <c r="AZ3457" t="s">
        <v>74</v>
      </c>
      <c r="BA3457" t="s">
        <v>74</v>
      </c>
      <c r="BB3457">
        <v>82</v>
      </c>
      <c r="BC3457">
        <v>105</v>
      </c>
      <c r="BD3457" t="s">
        <v>74</v>
      </c>
      <c r="BE3457" t="s">
        <v>56689</v>
      </c>
      <c r="BF3457" t="str">
        <f>HYPERLINK("http://dx.doi.org/10.1504/IJVCM.2023.129271","http://dx.doi.org/10.1504/IJVCM.2023.129271")</f>
        <v>http://dx.doi.org/10.1504/IJVCM.2023.129271</v>
      </c>
      <c r="BG3457" t="s">
        <v>74</v>
      </c>
      <c r="BH3457" t="s">
        <v>74</v>
      </c>
      <c r="BI3457">
        <v>24</v>
      </c>
      <c r="BJ3457" t="s">
        <v>583</v>
      </c>
      <c r="BK3457" t="s">
        <v>313</v>
      </c>
      <c r="BL3457" t="s">
        <v>100</v>
      </c>
      <c r="BM3457" t="s">
        <v>56690</v>
      </c>
      <c r="BN3457" t="s">
        <v>74</v>
      </c>
      <c r="BO3457" t="s">
        <v>74</v>
      </c>
      <c r="BP3457" t="s">
        <v>74</v>
      </c>
      <c r="BQ3457" t="s">
        <v>74</v>
      </c>
      <c r="BR3457" t="s">
        <v>102</v>
      </c>
      <c r="BS3457" t="s">
        <v>56691</v>
      </c>
      <c r="BT3457" t="str">
        <f>HYPERLINK("https%3A%2F%2Fwww.webofscience.com%2Fwos%2Fwoscc%2Ffull-record%2FWOS:000943231800005","View Full Record in Web of Science")</f>
        <v>View Full Record in Web of Science</v>
      </c>
    </row>
    <row r="3458" spans="1:72" x14ac:dyDescent="0.25">
      <c r="A3458" t="s">
        <v>72</v>
      </c>
      <c r="B3458" t="s">
        <v>56692</v>
      </c>
      <c r="C3458" t="s">
        <v>74</v>
      </c>
      <c r="D3458" t="s">
        <v>74</v>
      </c>
      <c r="E3458" t="s">
        <v>74</v>
      </c>
      <c r="F3458" t="s">
        <v>56693</v>
      </c>
      <c r="G3458" t="s">
        <v>74</v>
      </c>
      <c r="H3458" t="s">
        <v>74</v>
      </c>
      <c r="I3458" t="s">
        <v>56694</v>
      </c>
      <c r="J3458" t="s">
        <v>56695</v>
      </c>
      <c r="K3458" t="s">
        <v>74</v>
      </c>
      <c r="L3458" t="s">
        <v>74</v>
      </c>
      <c r="M3458" t="s">
        <v>78</v>
      </c>
      <c r="N3458" t="s">
        <v>79</v>
      </c>
      <c r="O3458" t="s">
        <v>74</v>
      </c>
      <c r="P3458" t="s">
        <v>74</v>
      </c>
      <c r="Q3458" t="s">
        <v>74</v>
      </c>
      <c r="R3458" t="s">
        <v>74</v>
      </c>
      <c r="S3458" t="s">
        <v>74</v>
      </c>
      <c r="T3458" t="s">
        <v>56696</v>
      </c>
      <c r="U3458" t="s">
        <v>56697</v>
      </c>
      <c r="V3458" t="s">
        <v>56698</v>
      </c>
      <c r="W3458" t="s">
        <v>56699</v>
      </c>
      <c r="X3458" t="s">
        <v>56700</v>
      </c>
      <c r="Y3458" t="s">
        <v>56701</v>
      </c>
      <c r="Z3458" t="s">
        <v>56702</v>
      </c>
      <c r="AA3458" t="s">
        <v>74</v>
      </c>
      <c r="AB3458" t="s">
        <v>74</v>
      </c>
      <c r="AC3458" t="s">
        <v>74</v>
      </c>
      <c r="AD3458" t="s">
        <v>74</v>
      </c>
      <c r="AE3458" t="s">
        <v>74</v>
      </c>
      <c r="AF3458" t="s">
        <v>74</v>
      </c>
      <c r="AG3458">
        <v>61</v>
      </c>
      <c r="AH3458">
        <v>0</v>
      </c>
      <c r="AI3458">
        <v>0</v>
      </c>
      <c r="AJ3458">
        <v>0</v>
      </c>
      <c r="AK3458">
        <v>0</v>
      </c>
      <c r="AL3458" t="s">
        <v>479</v>
      </c>
      <c r="AM3458" t="s">
        <v>480</v>
      </c>
      <c r="AN3458" t="s">
        <v>481</v>
      </c>
      <c r="AO3458" t="s">
        <v>74</v>
      </c>
      <c r="AP3458" t="s">
        <v>56703</v>
      </c>
      <c r="AQ3458" t="s">
        <v>74</v>
      </c>
      <c r="AR3458" t="s">
        <v>56704</v>
      </c>
      <c r="AS3458" t="s">
        <v>56705</v>
      </c>
      <c r="AT3458" t="s">
        <v>35490</v>
      </c>
      <c r="AU3458">
        <v>2026</v>
      </c>
      <c r="AV3458">
        <v>5</v>
      </c>
      <c r="AW3458">
        <v>1</v>
      </c>
      <c r="AX3458" t="s">
        <v>74</v>
      </c>
      <c r="AY3458" t="s">
        <v>74</v>
      </c>
      <c r="AZ3458" t="s">
        <v>74</v>
      </c>
      <c r="BA3458" t="s">
        <v>74</v>
      </c>
      <c r="BB3458" t="s">
        <v>74</v>
      </c>
      <c r="BC3458" t="s">
        <v>74</v>
      </c>
      <c r="BD3458" t="s">
        <v>56706</v>
      </c>
      <c r="BE3458" t="s">
        <v>56707</v>
      </c>
      <c r="BF3458" t="str">
        <f>HYPERLINK("http://dx.doi.org/10.1002/cli2.70028","http://dx.doi.org/10.1002/cli2.70028")</f>
        <v>http://dx.doi.org/10.1002/cli2.70028</v>
      </c>
      <c r="BG3458" t="s">
        <v>74</v>
      </c>
      <c r="BH3458" t="s">
        <v>74</v>
      </c>
      <c r="BI3458">
        <v>16</v>
      </c>
      <c r="BJ3458" t="s">
        <v>127</v>
      </c>
      <c r="BK3458" t="s">
        <v>313</v>
      </c>
      <c r="BL3458" t="s">
        <v>129</v>
      </c>
      <c r="BM3458" t="s">
        <v>56708</v>
      </c>
      <c r="BN3458" t="s">
        <v>74</v>
      </c>
      <c r="BO3458" t="s">
        <v>212</v>
      </c>
      <c r="BP3458" t="s">
        <v>74</v>
      </c>
      <c r="BQ3458" t="s">
        <v>74</v>
      </c>
      <c r="BR3458" t="s">
        <v>102</v>
      </c>
      <c r="BS3458" t="s">
        <v>56709</v>
      </c>
      <c r="BT3458" t="str">
        <f>HYPERLINK("https%3A%2F%2Fwww.webofscience.com%2Fwos%2Fwoscc%2Ffull-record%2FWOS:001654860700001","View Full Record in Web of Science")</f>
        <v>View Full Record in Web of Science</v>
      </c>
    </row>
    <row r="3459" spans="1:72" x14ac:dyDescent="0.25">
      <c r="A3459" t="s">
        <v>72</v>
      </c>
      <c r="B3459" t="s">
        <v>56710</v>
      </c>
      <c r="C3459" t="s">
        <v>74</v>
      </c>
      <c r="D3459" t="s">
        <v>74</v>
      </c>
      <c r="E3459" t="s">
        <v>74</v>
      </c>
      <c r="F3459" t="s">
        <v>56711</v>
      </c>
      <c r="G3459" t="s">
        <v>74</v>
      </c>
      <c r="H3459" t="s">
        <v>74</v>
      </c>
      <c r="I3459" t="s">
        <v>56712</v>
      </c>
      <c r="J3459" t="s">
        <v>56713</v>
      </c>
      <c r="K3459" t="s">
        <v>74</v>
      </c>
      <c r="L3459" t="s">
        <v>74</v>
      </c>
      <c r="M3459" t="s">
        <v>78</v>
      </c>
      <c r="N3459" t="s">
        <v>79</v>
      </c>
      <c r="O3459" t="s">
        <v>74</v>
      </c>
      <c r="P3459" t="s">
        <v>74</v>
      </c>
      <c r="Q3459" t="s">
        <v>74</v>
      </c>
      <c r="R3459" t="s">
        <v>74</v>
      </c>
      <c r="S3459" t="s">
        <v>74</v>
      </c>
      <c r="T3459" t="s">
        <v>56714</v>
      </c>
      <c r="U3459" t="s">
        <v>56715</v>
      </c>
      <c r="V3459" t="s">
        <v>56716</v>
      </c>
      <c r="W3459" t="s">
        <v>56717</v>
      </c>
      <c r="X3459" t="s">
        <v>56718</v>
      </c>
      <c r="Y3459" t="s">
        <v>74</v>
      </c>
      <c r="Z3459" t="s">
        <v>56719</v>
      </c>
      <c r="AA3459" t="s">
        <v>74</v>
      </c>
      <c r="AB3459" t="s">
        <v>74</v>
      </c>
      <c r="AC3459" t="s">
        <v>74</v>
      </c>
      <c r="AD3459" t="s">
        <v>74</v>
      </c>
      <c r="AE3459" t="s">
        <v>74</v>
      </c>
      <c r="AF3459" t="s">
        <v>74</v>
      </c>
      <c r="AG3459">
        <v>46</v>
      </c>
      <c r="AH3459">
        <v>37</v>
      </c>
      <c r="AI3459">
        <v>44</v>
      </c>
      <c r="AJ3459">
        <v>0</v>
      </c>
      <c r="AK3459">
        <v>29</v>
      </c>
      <c r="AL3459" t="s">
        <v>332</v>
      </c>
      <c r="AM3459" t="s">
        <v>333</v>
      </c>
      <c r="AN3459" t="s">
        <v>334</v>
      </c>
      <c r="AO3459" t="s">
        <v>56720</v>
      </c>
      <c r="AP3459" t="s">
        <v>56721</v>
      </c>
      <c r="AQ3459" t="s">
        <v>74</v>
      </c>
      <c r="AR3459" t="s">
        <v>56722</v>
      </c>
      <c r="AS3459" t="s">
        <v>56723</v>
      </c>
      <c r="AT3459" t="s">
        <v>74</v>
      </c>
      <c r="AU3459">
        <v>2008</v>
      </c>
      <c r="AV3459">
        <v>28</v>
      </c>
      <c r="AW3459">
        <v>9</v>
      </c>
      <c r="AX3459" t="s">
        <v>74</v>
      </c>
      <c r="AY3459" t="s">
        <v>74</v>
      </c>
      <c r="AZ3459" t="s">
        <v>74</v>
      </c>
      <c r="BA3459" t="s">
        <v>74</v>
      </c>
      <c r="BB3459">
        <v>1307</v>
      </c>
      <c r="BC3459">
        <v>1319</v>
      </c>
      <c r="BD3459" t="s">
        <v>56724</v>
      </c>
      <c r="BE3459" t="s">
        <v>56725</v>
      </c>
      <c r="BF3459" t="str">
        <f>HYPERLINK("http://dx.doi.org/10.1080/02642060802230130","http://dx.doi.org/10.1080/02642060802230130")</f>
        <v>http://dx.doi.org/10.1080/02642060802230130</v>
      </c>
      <c r="BG3459" t="s">
        <v>74</v>
      </c>
      <c r="BH3459" t="s">
        <v>74</v>
      </c>
      <c r="BI3459">
        <v>13</v>
      </c>
      <c r="BJ3459" t="s">
        <v>583</v>
      </c>
      <c r="BK3459" t="s">
        <v>99</v>
      </c>
      <c r="BL3459" t="s">
        <v>100</v>
      </c>
      <c r="BM3459" t="s">
        <v>56726</v>
      </c>
      <c r="BN3459" t="s">
        <v>74</v>
      </c>
      <c r="BO3459" t="s">
        <v>74</v>
      </c>
      <c r="BP3459" t="s">
        <v>74</v>
      </c>
      <c r="BQ3459" t="s">
        <v>74</v>
      </c>
      <c r="BR3459" t="s">
        <v>102</v>
      </c>
      <c r="BS3459" t="s">
        <v>56727</v>
      </c>
      <c r="BT3459" t="str">
        <f>HYPERLINK("https%3A%2F%2Fwww.webofscience.com%2Fwos%2Fwoscc%2Ffull-record%2FWOS:000261415900008","View Full Record in Web of Science")</f>
        <v>View Full Record in Web of Science</v>
      </c>
    </row>
    <row r="3460" spans="1:72" x14ac:dyDescent="0.25">
      <c r="A3460" t="s">
        <v>72</v>
      </c>
      <c r="B3460" t="s">
        <v>56728</v>
      </c>
      <c r="C3460" t="s">
        <v>74</v>
      </c>
      <c r="D3460" t="s">
        <v>74</v>
      </c>
      <c r="E3460" t="s">
        <v>74</v>
      </c>
      <c r="F3460" t="s">
        <v>56729</v>
      </c>
      <c r="G3460" t="s">
        <v>74</v>
      </c>
      <c r="H3460" t="s">
        <v>74</v>
      </c>
      <c r="I3460" t="s">
        <v>56730</v>
      </c>
      <c r="J3460" t="s">
        <v>56731</v>
      </c>
      <c r="K3460" t="s">
        <v>74</v>
      </c>
      <c r="L3460" t="s">
        <v>74</v>
      </c>
      <c r="M3460" t="s">
        <v>78</v>
      </c>
      <c r="N3460" t="s">
        <v>372</v>
      </c>
      <c r="O3460" t="s">
        <v>74</v>
      </c>
      <c r="P3460" t="s">
        <v>74</v>
      </c>
      <c r="Q3460" t="s">
        <v>74</v>
      </c>
      <c r="R3460" t="s">
        <v>74</v>
      </c>
      <c r="S3460" t="s">
        <v>74</v>
      </c>
      <c r="T3460" t="s">
        <v>56732</v>
      </c>
      <c r="U3460" t="s">
        <v>74</v>
      </c>
      <c r="V3460" t="s">
        <v>56733</v>
      </c>
      <c r="W3460" t="s">
        <v>56734</v>
      </c>
      <c r="X3460" t="s">
        <v>56735</v>
      </c>
      <c r="Y3460" t="s">
        <v>56736</v>
      </c>
      <c r="Z3460" t="s">
        <v>56737</v>
      </c>
      <c r="AA3460" t="s">
        <v>56738</v>
      </c>
      <c r="AB3460" t="s">
        <v>74</v>
      </c>
      <c r="AC3460" t="s">
        <v>74</v>
      </c>
      <c r="AD3460" t="s">
        <v>74</v>
      </c>
      <c r="AE3460" t="s">
        <v>74</v>
      </c>
      <c r="AF3460" t="s">
        <v>74</v>
      </c>
      <c r="AG3460">
        <v>40</v>
      </c>
      <c r="AH3460">
        <v>0</v>
      </c>
      <c r="AI3460">
        <v>0</v>
      </c>
      <c r="AJ3460">
        <v>1</v>
      </c>
      <c r="AK3460">
        <v>1</v>
      </c>
      <c r="AL3460" t="s">
        <v>332</v>
      </c>
      <c r="AM3460" t="s">
        <v>333</v>
      </c>
      <c r="AN3460" t="s">
        <v>334</v>
      </c>
      <c r="AO3460" t="s">
        <v>56739</v>
      </c>
      <c r="AP3460" t="s">
        <v>56740</v>
      </c>
      <c r="AQ3460" t="s">
        <v>74</v>
      </c>
      <c r="AR3460" t="s">
        <v>56741</v>
      </c>
      <c r="AS3460" t="s">
        <v>56742</v>
      </c>
      <c r="AT3460" t="s">
        <v>16449</v>
      </c>
      <c r="AU3460">
        <v>2025</v>
      </c>
      <c r="AV3460" t="s">
        <v>74</v>
      </c>
      <c r="AW3460" t="s">
        <v>74</v>
      </c>
      <c r="AX3460" t="s">
        <v>74</v>
      </c>
      <c r="AY3460" t="s">
        <v>74</v>
      </c>
      <c r="AZ3460" t="s">
        <v>74</v>
      </c>
      <c r="BA3460" t="s">
        <v>74</v>
      </c>
      <c r="BB3460" t="s">
        <v>74</v>
      </c>
      <c r="BC3460" t="s">
        <v>74</v>
      </c>
      <c r="BD3460" t="s">
        <v>74</v>
      </c>
      <c r="BE3460" t="s">
        <v>56743</v>
      </c>
      <c r="BF3460" t="str">
        <f>HYPERLINK("http://dx.doi.org/10.1080/17440572.2025.2579992","http://dx.doi.org/10.1080/17440572.2025.2579992")</f>
        <v>http://dx.doi.org/10.1080/17440572.2025.2579992</v>
      </c>
      <c r="BG3460" t="s">
        <v>74</v>
      </c>
      <c r="BH3460" t="s">
        <v>2044</v>
      </c>
      <c r="BI3460">
        <v>21</v>
      </c>
      <c r="BJ3460" t="s">
        <v>3573</v>
      </c>
      <c r="BK3460" t="s">
        <v>313</v>
      </c>
      <c r="BL3460" t="s">
        <v>3573</v>
      </c>
      <c r="BM3460" t="s">
        <v>56744</v>
      </c>
      <c r="BN3460" t="s">
        <v>74</v>
      </c>
      <c r="BO3460" t="s">
        <v>74</v>
      </c>
      <c r="BP3460" t="s">
        <v>74</v>
      </c>
      <c r="BQ3460" t="s">
        <v>74</v>
      </c>
      <c r="BR3460" t="s">
        <v>102</v>
      </c>
      <c r="BS3460" t="s">
        <v>56745</v>
      </c>
      <c r="BT3460" t="str">
        <f>HYPERLINK("https%3A%2F%2Fwww.webofscience.com%2Fwos%2Fwoscc%2Ffull-record%2FWOS:001605646600001","View Full Record in Web of Science")</f>
        <v>View Full Record in Web of Science</v>
      </c>
    </row>
    <row r="3461" spans="1:72" x14ac:dyDescent="0.25">
      <c r="A3461" t="s">
        <v>72</v>
      </c>
      <c r="B3461" t="s">
        <v>56746</v>
      </c>
      <c r="C3461" t="s">
        <v>74</v>
      </c>
      <c r="D3461" t="s">
        <v>74</v>
      </c>
      <c r="E3461" t="s">
        <v>74</v>
      </c>
      <c r="F3461" t="s">
        <v>56747</v>
      </c>
      <c r="G3461" t="s">
        <v>74</v>
      </c>
      <c r="H3461" t="s">
        <v>74</v>
      </c>
      <c r="I3461" t="s">
        <v>56748</v>
      </c>
      <c r="J3461" t="s">
        <v>56749</v>
      </c>
      <c r="K3461" t="s">
        <v>74</v>
      </c>
      <c r="L3461" t="s">
        <v>74</v>
      </c>
      <c r="M3461" t="s">
        <v>78</v>
      </c>
      <c r="N3461" t="s">
        <v>79</v>
      </c>
      <c r="O3461" t="s">
        <v>74</v>
      </c>
      <c r="P3461" t="s">
        <v>74</v>
      </c>
      <c r="Q3461" t="s">
        <v>74</v>
      </c>
      <c r="R3461" t="s">
        <v>74</v>
      </c>
      <c r="S3461" t="s">
        <v>74</v>
      </c>
      <c r="T3461" t="s">
        <v>56750</v>
      </c>
      <c r="U3461" t="s">
        <v>56751</v>
      </c>
      <c r="V3461" t="s">
        <v>56752</v>
      </c>
      <c r="W3461" t="s">
        <v>56753</v>
      </c>
      <c r="X3461" t="s">
        <v>56754</v>
      </c>
      <c r="Y3461" t="s">
        <v>56755</v>
      </c>
      <c r="Z3461" t="s">
        <v>56756</v>
      </c>
      <c r="AA3461" t="s">
        <v>74</v>
      </c>
      <c r="AB3461" t="s">
        <v>74</v>
      </c>
      <c r="AC3461" t="s">
        <v>74</v>
      </c>
      <c r="AD3461" t="s">
        <v>74</v>
      </c>
      <c r="AE3461" t="s">
        <v>74</v>
      </c>
      <c r="AF3461" t="s">
        <v>74</v>
      </c>
      <c r="AG3461">
        <v>57</v>
      </c>
      <c r="AH3461">
        <v>5</v>
      </c>
      <c r="AI3461">
        <v>8</v>
      </c>
      <c r="AJ3461">
        <v>0</v>
      </c>
      <c r="AK3461">
        <v>7</v>
      </c>
      <c r="AL3461" t="s">
        <v>332</v>
      </c>
      <c r="AM3461" t="s">
        <v>333</v>
      </c>
      <c r="AN3461" t="s">
        <v>334</v>
      </c>
      <c r="AO3461" t="s">
        <v>56757</v>
      </c>
      <c r="AP3461" t="s">
        <v>56758</v>
      </c>
      <c r="AQ3461" t="s">
        <v>74</v>
      </c>
      <c r="AR3461" t="s">
        <v>56759</v>
      </c>
      <c r="AS3461" t="s">
        <v>56760</v>
      </c>
      <c r="AT3461" t="s">
        <v>868</v>
      </c>
      <c r="AU3461">
        <v>2020</v>
      </c>
      <c r="AV3461">
        <v>39</v>
      </c>
      <c r="AW3461">
        <v>4</v>
      </c>
      <c r="AX3461" t="s">
        <v>74</v>
      </c>
      <c r="AY3461" t="s">
        <v>74</v>
      </c>
      <c r="AZ3461" t="s">
        <v>74</v>
      </c>
      <c r="BA3461" t="s">
        <v>74</v>
      </c>
      <c r="BB3461">
        <v>520</v>
      </c>
      <c r="BC3461">
        <v>539</v>
      </c>
      <c r="BD3461" t="s">
        <v>74</v>
      </c>
      <c r="BE3461" t="s">
        <v>56761</v>
      </c>
      <c r="BF3461" t="str">
        <f>HYPERLINK("http://dx.doi.org/10.1080/02634937.2020.1806202","http://dx.doi.org/10.1080/02634937.2020.1806202")</f>
        <v>http://dx.doi.org/10.1080/02634937.2020.1806202</v>
      </c>
      <c r="BG3461" t="s">
        <v>74</v>
      </c>
      <c r="BH3461" t="s">
        <v>2937</v>
      </c>
      <c r="BI3461">
        <v>20</v>
      </c>
      <c r="BJ3461" t="s">
        <v>1674</v>
      </c>
      <c r="BK3461" t="s">
        <v>99</v>
      </c>
      <c r="BL3461" t="s">
        <v>1674</v>
      </c>
      <c r="BM3461" t="s">
        <v>56762</v>
      </c>
      <c r="BN3461" t="s">
        <v>74</v>
      </c>
      <c r="BO3461" t="s">
        <v>74</v>
      </c>
      <c r="BP3461" t="s">
        <v>74</v>
      </c>
      <c r="BQ3461" t="s">
        <v>74</v>
      </c>
      <c r="BR3461" t="s">
        <v>102</v>
      </c>
      <c r="BS3461" t="s">
        <v>56763</v>
      </c>
      <c r="BT3461" t="str">
        <f>HYPERLINK("https%3A%2F%2Fwww.webofscience.com%2Fwos%2Fwoscc%2Ffull-record%2FWOS:000568313600001","View Full Record in Web of Science")</f>
        <v>View Full Record in Web of Science</v>
      </c>
    </row>
    <row r="3462" spans="1:72" x14ac:dyDescent="0.25">
      <c r="A3462" t="s">
        <v>72</v>
      </c>
      <c r="B3462" t="s">
        <v>56764</v>
      </c>
      <c r="C3462" t="s">
        <v>74</v>
      </c>
      <c r="D3462" t="s">
        <v>74</v>
      </c>
      <c r="E3462" t="s">
        <v>74</v>
      </c>
      <c r="F3462" t="s">
        <v>56765</v>
      </c>
      <c r="G3462" t="s">
        <v>74</v>
      </c>
      <c r="H3462" t="s">
        <v>74</v>
      </c>
      <c r="I3462" t="s">
        <v>56766</v>
      </c>
      <c r="J3462" t="s">
        <v>13438</v>
      </c>
      <c r="K3462" t="s">
        <v>74</v>
      </c>
      <c r="L3462" t="s">
        <v>74</v>
      </c>
      <c r="M3462" t="s">
        <v>10270</v>
      </c>
      <c r="N3462" t="s">
        <v>79</v>
      </c>
      <c r="O3462" t="s">
        <v>74</v>
      </c>
      <c r="P3462" t="s">
        <v>74</v>
      </c>
      <c r="Q3462" t="s">
        <v>74</v>
      </c>
      <c r="R3462" t="s">
        <v>74</v>
      </c>
      <c r="S3462" t="s">
        <v>74</v>
      </c>
      <c r="T3462" t="s">
        <v>56767</v>
      </c>
      <c r="U3462" t="s">
        <v>56768</v>
      </c>
      <c r="V3462" t="s">
        <v>56769</v>
      </c>
      <c r="W3462" t="s">
        <v>56770</v>
      </c>
      <c r="X3462" t="s">
        <v>74</v>
      </c>
      <c r="Y3462" t="s">
        <v>56771</v>
      </c>
      <c r="Z3462" t="s">
        <v>56772</v>
      </c>
      <c r="AA3462" t="s">
        <v>74</v>
      </c>
      <c r="AB3462" t="s">
        <v>74</v>
      </c>
      <c r="AC3462" t="s">
        <v>74</v>
      </c>
      <c r="AD3462" t="s">
        <v>74</v>
      </c>
      <c r="AE3462" t="s">
        <v>74</v>
      </c>
      <c r="AF3462" t="s">
        <v>74</v>
      </c>
      <c r="AG3462">
        <v>77</v>
      </c>
      <c r="AH3462">
        <v>0</v>
      </c>
      <c r="AI3462">
        <v>0</v>
      </c>
      <c r="AJ3462">
        <v>0</v>
      </c>
      <c r="AK3462">
        <v>4</v>
      </c>
      <c r="AL3462" t="s">
        <v>13445</v>
      </c>
      <c r="AM3462" t="s">
        <v>7167</v>
      </c>
      <c r="AN3462" t="s">
        <v>13446</v>
      </c>
      <c r="AO3462" t="s">
        <v>13447</v>
      </c>
      <c r="AP3462" t="s">
        <v>13448</v>
      </c>
      <c r="AQ3462" t="s">
        <v>74</v>
      </c>
      <c r="AR3462" t="s">
        <v>49586</v>
      </c>
      <c r="AS3462" t="s">
        <v>13450</v>
      </c>
      <c r="AT3462" t="s">
        <v>74</v>
      </c>
      <c r="AU3462">
        <v>2021</v>
      </c>
      <c r="AV3462" t="s">
        <v>74</v>
      </c>
      <c r="AW3462">
        <v>53</v>
      </c>
      <c r="AX3462" t="s">
        <v>74</v>
      </c>
      <c r="AY3462" t="s">
        <v>74</v>
      </c>
      <c r="AZ3462" t="s">
        <v>74</v>
      </c>
      <c r="BA3462" t="s">
        <v>74</v>
      </c>
      <c r="BB3462">
        <v>5</v>
      </c>
      <c r="BC3462">
        <v>21</v>
      </c>
      <c r="BD3462" t="s">
        <v>74</v>
      </c>
      <c r="BE3462" t="s">
        <v>74</v>
      </c>
      <c r="BF3462" t="s">
        <v>74</v>
      </c>
      <c r="BG3462" t="s">
        <v>74</v>
      </c>
      <c r="BH3462" t="s">
        <v>74</v>
      </c>
      <c r="BI3462">
        <v>17</v>
      </c>
      <c r="BJ3462" t="s">
        <v>291</v>
      </c>
      <c r="BK3462" t="s">
        <v>313</v>
      </c>
      <c r="BL3462" t="s">
        <v>100</v>
      </c>
      <c r="BM3462" t="s">
        <v>13451</v>
      </c>
      <c r="BN3462" t="s">
        <v>74</v>
      </c>
      <c r="BO3462" t="s">
        <v>74</v>
      </c>
      <c r="BP3462" t="s">
        <v>74</v>
      </c>
      <c r="BQ3462" t="s">
        <v>74</v>
      </c>
      <c r="BR3462" t="s">
        <v>102</v>
      </c>
      <c r="BS3462" t="s">
        <v>56773</v>
      </c>
      <c r="BT3462" t="str">
        <f>HYPERLINK("https%3A%2F%2Fwww.webofscience.com%2Fwos%2Fwoscc%2Ffull-record%2FWOS:000728237300001","View Full Record in Web of Science")</f>
        <v>View Full Record in Web of Science</v>
      </c>
    </row>
    <row r="3463" spans="1:72" x14ac:dyDescent="0.25">
      <c r="A3463" t="s">
        <v>72</v>
      </c>
      <c r="B3463" t="s">
        <v>56774</v>
      </c>
      <c r="C3463" t="s">
        <v>74</v>
      </c>
      <c r="D3463" t="s">
        <v>74</v>
      </c>
      <c r="E3463" t="s">
        <v>74</v>
      </c>
      <c r="F3463" t="s">
        <v>56775</v>
      </c>
      <c r="G3463" t="s">
        <v>74</v>
      </c>
      <c r="H3463" t="s">
        <v>74</v>
      </c>
      <c r="I3463" t="s">
        <v>56776</v>
      </c>
      <c r="J3463" t="s">
        <v>12549</v>
      </c>
      <c r="K3463" t="s">
        <v>74</v>
      </c>
      <c r="L3463" t="s">
        <v>74</v>
      </c>
      <c r="M3463" t="s">
        <v>78</v>
      </c>
      <c r="N3463" t="s">
        <v>79</v>
      </c>
      <c r="O3463" t="s">
        <v>74</v>
      </c>
      <c r="P3463" t="s">
        <v>74</v>
      </c>
      <c r="Q3463" t="s">
        <v>74</v>
      </c>
      <c r="R3463" t="s">
        <v>74</v>
      </c>
      <c r="S3463" t="s">
        <v>74</v>
      </c>
      <c r="T3463" t="s">
        <v>56777</v>
      </c>
      <c r="U3463" t="s">
        <v>56778</v>
      </c>
      <c r="V3463" t="s">
        <v>56779</v>
      </c>
      <c r="W3463" t="s">
        <v>56780</v>
      </c>
      <c r="X3463" t="s">
        <v>56781</v>
      </c>
      <c r="Y3463" t="s">
        <v>56782</v>
      </c>
      <c r="Z3463" t="s">
        <v>56783</v>
      </c>
      <c r="AA3463" t="s">
        <v>56784</v>
      </c>
      <c r="AB3463" t="s">
        <v>56785</v>
      </c>
      <c r="AC3463" t="s">
        <v>56786</v>
      </c>
      <c r="AD3463" t="s">
        <v>56786</v>
      </c>
      <c r="AE3463" t="s">
        <v>56787</v>
      </c>
      <c r="AF3463" t="s">
        <v>74</v>
      </c>
      <c r="AG3463">
        <v>134</v>
      </c>
      <c r="AH3463">
        <v>28</v>
      </c>
      <c r="AI3463">
        <v>40</v>
      </c>
      <c r="AJ3463">
        <v>3</v>
      </c>
      <c r="AK3463">
        <v>43</v>
      </c>
      <c r="AL3463" t="s">
        <v>575</v>
      </c>
      <c r="AM3463" t="s">
        <v>576</v>
      </c>
      <c r="AN3463" t="s">
        <v>3242</v>
      </c>
      <c r="AO3463" t="s">
        <v>12562</v>
      </c>
      <c r="AP3463" t="s">
        <v>12563</v>
      </c>
      <c r="AQ3463" t="s">
        <v>74</v>
      </c>
      <c r="AR3463" t="s">
        <v>12564</v>
      </c>
      <c r="AS3463" t="s">
        <v>12565</v>
      </c>
      <c r="AT3463" t="s">
        <v>237</v>
      </c>
      <c r="AU3463">
        <v>2022</v>
      </c>
      <c r="AV3463">
        <v>15</v>
      </c>
      <c r="AW3463">
        <v>2</v>
      </c>
      <c r="AX3463" t="s">
        <v>74</v>
      </c>
      <c r="AY3463" t="s">
        <v>74</v>
      </c>
      <c r="AZ3463" t="s">
        <v>74</v>
      </c>
      <c r="BA3463" t="s">
        <v>74</v>
      </c>
      <c r="BB3463" t="s">
        <v>74</v>
      </c>
      <c r="BC3463" t="s">
        <v>74</v>
      </c>
      <c r="BD3463">
        <v>77</v>
      </c>
      <c r="BE3463" t="s">
        <v>56788</v>
      </c>
      <c r="BF3463" t="str">
        <f>HYPERLINK("http://dx.doi.org/10.3390/jrfm15020077","http://dx.doi.org/10.3390/jrfm15020077")</f>
        <v>http://dx.doi.org/10.3390/jrfm15020077</v>
      </c>
      <c r="BG3463" t="s">
        <v>74</v>
      </c>
      <c r="BH3463" t="s">
        <v>74</v>
      </c>
      <c r="BI3463">
        <v>37</v>
      </c>
      <c r="BJ3463" t="s">
        <v>268</v>
      </c>
      <c r="BK3463" t="s">
        <v>313</v>
      </c>
      <c r="BL3463" t="s">
        <v>100</v>
      </c>
      <c r="BM3463" t="s">
        <v>56789</v>
      </c>
      <c r="BN3463" t="s">
        <v>74</v>
      </c>
      <c r="BO3463" t="s">
        <v>466</v>
      </c>
      <c r="BP3463" t="s">
        <v>74</v>
      </c>
      <c r="BQ3463" t="s">
        <v>74</v>
      </c>
      <c r="BR3463" t="s">
        <v>102</v>
      </c>
      <c r="BS3463" t="s">
        <v>56790</v>
      </c>
      <c r="BT3463" t="str">
        <f>HYPERLINK("https%3A%2F%2Fwww.webofscience.com%2Fwos%2Fwoscc%2Ffull-record%2FWOS:000778451600001","View Full Record in Web of Science")</f>
        <v>View Full Record in Web of Science</v>
      </c>
    </row>
    <row r="3464" spans="1:72" x14ac:dyDescent="0.25">
      <c r="A3464" t="s">
        <v>72</v>
      </c>
      <c r="B3464" t="s">
        <v>18597</v>
      </c>
      <c r="C3464" t="s">
        <v>74</v>
      </c>
      <c r="D3464" t="s">
        <v>74</v>
      </c>
      <c r="E3464" t="s">
        <v>74</v>
      </c>
      <c r="F3464" t="s">
        <v>56791</v>
      </c>
      <c r="G3464" t="s">
        <v>74</v>
      </c>
      <c r="H3464" t="s">
        <v>74</v>
      </c>
      <c r="I3464" t="s">
        <v>56792</v>
      </c>
      <c r="J3464" t="s">
        <v>2763</v>
      </c>
      <c r="K3464" t="s">
        <v>74</v>
      </c>
      <c r="L3464" t="s">
        <v>74</v>
      </c>
      <c r="M3464" t="s">
        <v>78</v>
      </c>
      <c r="N3464" t="s">
        <v>79</v>
      </c>
      <c r="O3464" t="s">
        <v>74</v>
      </c>
      <c r="P3464" t="s">
        <v>74</v>
      </c>
      <c r="Q3464" t="s">
        <v>74</v>
      </c>
      <c r="R3464" t="s">
        <v>74</v>
      </c>
      <c r="S3464" t="s">
        <v>74</v>
      </c>
      <c r="T3464" t="s">
        <v>56793</v>
      </c>
      <c r="U3464" t="s">
        <v>56794</v>
      </c>
      <c r="V3464" t="s">
        <v>56795</v>
      </c>
      <c r="W3464" t="s">
        <v>56796</v>
      </c>
      <c r="X3464" t="s">
        <v>56797</v>
      </c>
      <c r="Y3464" t="s">
        <v>56798</v>
      </c>
      <c r="Z3464" t="s">
        <v>18587</v>
      </c>
      <c r="AA3464" t="s">
        <v>18586</v>
      </c>
      <c r="AB3464" t="s">
        <v>18585</v>
      </c>
      <c r="AC3464" t="s">
        <v>74</v>
      </c>
      <c r="AD3464" t="s">
        <v>74</v>
      </c>
      <c r="AE3464" t="s">
        <v>74</v>
      </c>
      <c r="AF3464" t="s">
        <v>74</v>
      </c>
      <c r="AG3464">
        <v>58</v>
      </c>
      <c r="AH3464">
        <v>17</v>
      </c>
      <c r="AI3464">
        <v>21</v>
      </c>
      <c r="AJ3464">
        <v>1</v>
      </c>
      <c r="AK3464">
        <v>18</v>
      </c>
      <c r="AL3464" t="s">
        <v>479</v>
      </c>
      <c r="AM3464" t="s">
        <v>480</v>
      </c>
      <c r="AN3464" t="s">
        <v>481</v>
      </c>
      <c r="AO3464" t="s">
        <v>2776</v>
      </c>
      <c r="AP3464" t="s">
        <v>2777</v>
      </c>
      <c r="AQ3464" t="s">
        <v>74</v>
      </c>
      <c r="AR3464" t="s">
        <v>2778</v>
      </c>
      <c r="AS3464" t="s">
        <v>2779</v>
      </c>
      <c r="AT3464" t="s">
        <v>237</v>
      </c>
      <c r="AU3464">
        <v>2021</v>
      </c>
      <c r="AV3464">
        <v>25</v>
      </c>
      <c r="AW3464">
        <v>1</v>
      </c>
      <c r="AX3464" t="s">
        <v>74</v>
      </c>
      <c r="AY3464" t="s">
        <v>74</v>
      </c>
      <c r="AZ3464" t="s">
        <v>74</v>
      </c>
      <c r="BA3464" t="s">
        <v>74</v>
      </c>
      <c r="BB3464">
        <v>405</v>
      </c>
      <c r="BC3464">
        <v>429</v>
      </c>
      <c r="BD3464" t="s">
        <v>74</v>
      </c>
      <c r="BE3464" t="s">
        <v>56799</v>
      </c>
      <c r="BF3464" t="str">
        <f>HYPERLINK("http://dx.doi.org/10.1111/rode.12721","http://dx.doi.org/10.1111/rode.12721")</f>
        <v>http://dx.doi.org/10.1111/rode.12721</v>
      </c>
      <c r="BG3464" t="s">
        <v>74</v>
      </c>
      <c r="BH3464" t="s">
        <v>745</v>
      </c>
      <c r="BI3464">
        <v>25</v>
      </c>
      <c r="BJ3464" t="s">
        <v>701</v>
      </c>
      <c r="BK3464" t="s">
        <v>99</v>
      </c>
      <c r="BL3464" t="s">
        <v>702</v>
      </c>
      <c r="BM3464" t="s">
        <v>56800</v>
      </c>
      <c r="BN3464" t="s">
        <v>74</v>
      </c>
      <c r="BO3464" t="s">
        <v>16420</v>
      </c>
      <c r="BP3464" t="s">
        <v>74</v>
      </c>
      <c r="BQ3464" t="s">
        <v>74</v>
      </c>
      <c r="BR3464" t="s">
        <v>102</v>
      </c>
      <c r="BS3464" t="s">
        <v>56801</v>
      </c>
      <c r="BT3464" t="str">
        <f>HYPERLINK("https%3A%2F%2Fwww.webofscience.com%2Fwos%2Fwoscc%2Ffull-record%2FWOS:000566701600001","View Full Record in Web of Science")</f>
        <v>View Full Record in Web of Science</v>
      </c>
    </row>
    <row r="3465" spans="1:72" x14ac:dyDescent="0.25">
      <c r="A3465" t="s">
        <v>72</v>
      </c>
      <c r="B3465" t="s">
        <v>56802</v>
      </c>
      <c r="C3465" t="s">
        <v>74</v>
      </c>
      <c r="D3465" t="s">
        <v>74</v>
      </c>
      <c r="E3465" t="s">
        <v>74</v>
      </c>
      <c r="F3465" t="s">
        <v>56803</v>
      </c>
      <c r="G3465" t="s">
        <v>74</v>
      </c>
      <c r="H3465" t="s">
        <v>74</v>
      </c>
      <c r="I3465" t="s">
        <v>56804</v>
      </c>
      <c r="J3465" t="s">
        <v>56805</v>
      </c>
      <c r="K3465" t="s">
        <v>74</v>
      </c>
      <c r="L3465" t="s">
        <v>74</v>
      </c>
      <c r="M3465" t="s">
        <v>78</v>
      </c>
      <c r="N3465" t="s">
        <v>79</v>
      </c>
      <c r="O3465" t="s">
        <v>74</v>
      </c>
      <c r="P3465" t="s">
        <v>74</v>
      </c>
      <c r="Q3465" t="s">
        <v>74</v>
      </c>
      <c r="R3465" t="s">
        <v>74</v>
      </c>
      <c r="S3465" t="s">
        <v>74</v>
      </c>
      <c r="T3465" t="s">
        <v>56806</v>
      </c>
      <c r="U3465" t="s">
        <v>15835</v>
      </c>
      <c r="V3465" t="s">
        <v>56807</v>
      </c>
      <c r="W3465" t="s">
        <v>56808</v>
      </c>
      <c r="X3465" t="s">
        <v>56809</v>
      </c>
      <c r="Y3465" t="s">
        <v>56810</v>
      </c>
      <c r="Z3465" t="s">
        <v>56811</v>
      </c>
      <c r="AA3465" t="s">
        <v>56812</v>
      </c>
      <c r="AB3465" t="s">
        <v>56813</v>
      </c>
      <c r="AC3465" t="s">
        <v>74</v>
      </c>
      <c r="AD3465" t="s">
        <v>74</v>
      </c>
      <c r="AE3465" t="s">
        <v>74</v>
      </c>
      <c r="AF3465" t="s">
        <v>74</v>
      </c>
      <c r="AG3465">
        <v>44</v>
      </c>
      <c r="AH3465">
        <v>5</v>
      </c>
      <c r="AI3465">
        <v>7</v>
      </c>
      <c r="AJ3465">
        <v>11</v>
      </c>
      <c r="AK3465">
        <v>20</v>
      </c>
      <c r="AL3465" t="s">
        <v>201</v>
      </c>
      <c r="AM3465" t="s">
        <v>202</v>
      </c>
      <c r="AN3465" t="s">
        <v>203</v>
      </c>
      <c r="AO3465" t="s">
        <v>56814</v>
      </c>
      <c r="AP3465" t="s">
        <v>56815</v>
      </c>
      <c r="AQ3465" t="s">
        <v>74</v>
      </c>
      <c r="AR3465" t="s">
        <v>56816</v>
      </c>
      <c r="AS3465" t="s">
        <v>56817</v>
      </c>
      <c r="AT3465" t="s">
        <v>743</v>
      </c>
      <c r="AU3465">
        <v>2025</v>
      </c>
      <c r="AV3465">
        <v>93</v>
      </c>
      <c r="AW3465" t="s">
        <v>74</v>
      </c>
      <c r="AX3465" t="s">
        <v>74</v>
      </c>
      <c r="AY3465" t="s">
        <v>74</v>
      </c>
      <c r="AZ3465" t="s">
        <v>74</v>
      </c>
      <c r="BA3465" t="s">
        <v>74</v>
      </c>
      <c r="BB3465" t="s">
        <v>74</v>
      </c>
      <c r="BC3465" t="s">
        <v>74</v>
      </c>
      <c r="BD3465">
        <v>103965</v>
      </c>
      <c r="BE3465" t="s">
        <v>56818</v>
      </c>
      <c r="BF3465" t="str">
        <f>HYPERLINK("http://dx.doi.org/10.1016/j.csi.2024.103965","http://dx.doi.org/10.1016/j.csi.2024.103965")</f>
        <v>http://dx.doi.org/10.1016/j.csi.2024.103965</v>
      </c>
      <c r="BG3465" t="s">
        <v>74</v>
      </c>
      <c r="BH3465" t="s">
        <v>809</v>
      </c>
      <c r="BI3465">
        <v>13</v>
      </c>
      <c r="BJ3465" t="s">
        <v>17834</v>
      </c>
      <c r="BK3465" t="s">
        <v>128</v>
      </c>
      <c r="BL3465" t="s">
        <v>157</v>
      </c>
      <c r="BM3465" t="s">
        <v>56819</v>
      </c>
      <c r="BN3465" t="s">
        <v>74</v>
      </c>
      <c r="BO3465" t="s">
        <v>270</v>
      </c>
      <c r="BP3465" t="s">
        <v>74</v>
      </c>
      <c r="BQ3465" t="s">
        <v>74</v>
      </c>
      <c r="BR3465" t="s">
        <v>102</v>
      </c>
      <c r="BS3465" t="s">
        <v>56820</v>
      </c>
      <c r="BT3465" t="str">
        <f>HYPERLINK("https%3A%2F%2Fwww.webofscience.com%2Fwos%2Fwoscc%2Ffull-record%2FWOS:001392796200001","View Full Record in Web of Science")</f>
        <v>View Full Record in Web of Science</v>
      </c>
    </row>
    <row r="3466" spans="1:72" x14ac:dyDescent="0.25">
      <c r="A3466" t="s">
        <v>72</v>
      </c>
      <c r="B3466" t="s">
        <v>56821</v>
      </c>
      <c r="C3466" t="s">
        <v>74</v>
      </c>
      <c r="D3466" t="s">
        <v>74</v>
      </c>
      <c r="E3466" t="s">
        <v>74</v>
      </c>
      <c r="F3466" t="s">
        <v>56822</v>
      </c>
      <c r="G3466" t="s">
        <v>74</v>
      </c>
      <c r="H3466" t="s">
        <v>74</v>
      </c>
      <c r="I3466" t="s">
        <v>56823</v>
      </c>
      <c r="J3466" t="s">
        <v>4306</v>
      </c>
      <c r="K3466" t="s">
        <v>74</v>
      </c>
      <c r="L3466" t="s">
        <v>74</v>
      </c>
      <c r="M3466" t="s">
        <v>78</v>
      </c>
      <c r="N3466" t="s">
        <v>79</v>
      </c>
      <c r="O3466" t="s">
        <v>74</v>
      </c>
      <c r="P3466" t="s">
        <v>74</v>
      </c>
      <c r="Q3466" t="s">
        <v>74</v>
      </c>
      <c r="R3466" t="s">
        <v>74</v>
      </c>
      <c r="S3466" t="s">
        <v>74</v>
      </c>
      <c r="T3466" t="s">
        <v>56824</v>
      </c>
      <c r="U3466" t="s">
        <v>56825</v>
      </c>
      <c r="V3466" t="s">
        <v>56826</v>
      </c>
      <c r="W3466" t="s">
        <v>56827</v>
      </c>
      <c r="X3466" t="s">
        <v>56828</v>
      </c>
      <c r="Y3466" t="s">
        <v>56829</v>
      </c>
      <c r="Z3466" t="s">
        <v>56830</v>
      </c>
      <c r="AA3466" t="s">
        <v>56831</v>
      </c>
      <c r="AB3466" t="s">
        <v>56832</v>
      </c>
      <c r="AC3466" t="s">
        <v>74</v>
      </c>
      <c r="AD3466" t="s">
        <v>74</v>
      </c>
      <c r="AE3466" t="s">
        <v>74</v>
      </c>
      <c r="AF3466" t="s">
        <v>74</v>
      </c>
      <c r="AG3466">
        <v>71</v>
      </c>
      <c r="AH3466">
        <v>4</v>
      </c>
      <c r="AI3466">
        <v>5</v>
      </c>
      <c r="AJ3466">
        <v>1</v>
      </c>
      <c r="AK3466">
        <v>13</v>
      </c>
      <c r="AL3466" t="s">
        <v>503</v>
      </c>
      <c r="AM3466" t="s">
        <v>151</v>
      </c>
      <c r="AN3466" t="s">
        <v>504</v>
      </c>
      <c r="AO3466" t="s">
        <v>4315</v>
      </c>
      <c r="AP3466" t="s">
        <v>4316</v>
      </c>
      <c r="AQ3466" t="s">
        <v>74</v>
      </c>
      <c r="AR3466" t="s">
        <v>4317</v>
      </c>
      <c r="AS3466" t="s">
        <v>4318</v>
      </c>
      <c r="AT3466" t="s">
        <v>124</v>
      </c>
      <c r="AU3466">
        <v>2021</v>
      </c>
      <c r="AV3466">
        <v>173</v>
      </c>
      <c r="AW3466" t="s">
        <v>74</v>
      </c>
      <c r="AX3466" t="s">
        <v>74</v>
      </c>
      <c r="AY3466" t="s">
        <v>74</v>
      </c>
      <c r="AZ3466" t="s">
        <v>74</v>
      </c>
      <c r="BA3466" t="s">
        <v>74</v>
      </c>
      <c r="BB3466" t="s">
        <v>74</v>
      </c>
      <c r="BC3466" t="s">
        <v>74</v>
      </c>
      <c r="BD3466">
        <v>121148</v>
      </c>
      <c r="BE3466" t="s">
        <v>56833</v>
      </c>
      <c r="BF3466" t="str">
        <f>HYPERLINK("http://dx.doi.org/10.1016/j.techfore.2021.121148","http://dx.doi.org/10.1016/j.techfore.2021.121148")</f>
        <v>http://dx.doi.org/10.1016/j.techfore.2021.121148</v>
      </c>
      <c r="BG3466" t="s">
        <v>74</v>
      </c>
      <c r="BH3466" t="s">
        <v>1818</v>
      </c>
      <c r="BI3466">
        <v>11</v>
      </c>
      <c r="BJ3466" t="s">
        <v>1627</v>
      </c>
      <c r="BK3466" t="s">
        <v>99</v>
      </c>
      <c r="BL3466" t="s">
        <v>1406</v>
      </c>
      <c r="BM3466" t="s">
        <v>56834</v>
      </c>
      <c r="BN3466" t="s">
        <v>74</v>
      </c>
      <c r="BO3466" t="s">
        <v>2734</v>
      </c>
      <c r="BP3466" t="s">
        <v>74</v>
      </c>
      <c r="BQ3466" t="s">
        <v>74</v>
      </c>
      <c r="BR3466" t="s">
        <v>102</v>
      </c>
      <c r="BS3466" t="s">
        <v>56835</v>
      </c>
      <c r="BT3466" t="str">
        <f>HYPERLINK("https%3A%2F%2Fwww.webofscience.com%2Fwos%2Fwoscc%2Ffull-record%2FWOS:000697715600021","View Full Record in Web of Science")</f>
        <v>View Full Record in Web of Science</v>
      </c>
    </row>
    <row r="3467" spans="1:72" x14ac:dyDescent="0.25">
      <c r="A3467" t="s">
        <v>72</v>
      </c>
      <c r="B3467" t="s">
        <v>56836</v>
      </c>
      <c r="C3467" t="s">
        <v>74</v>
      </c>
      <c r="D3467" t="s">
        <v>74</v>
      </c>
      <c r="E3467" t="s">
        <v>74</v>
      </c>
      <c r="F3467" t="s">
        <v>56837</v>
      </c>
      <c r="G3467" t="s">
        <v>74</v>
      </c>
      <c r="H3467" t="s">
        <v>74</v>
      </c>
      <c r="I3467" t="s">
        <v>56838</v>
      </c>
      <c r="J3467" t="s">
        <v>34159</v>
      </c>
      <c r="K3467" t="s">
        <v>74</v>
      </c>
      <c r="L3467" t="s">
        <v>74</v>
      </c>
      <c r="M3467" t="s">
        <v>78</v>
      </c>
      <c r="N3467" t="s">
        <v>79</v>
      </c>
      <c r="O3467" t="s">
        <v>74</v>
      </c>
      <c r="P3467" t="s">
        <v>74</v>
      </c>
      <c r="Q3467" t="s">
        <v>74</v>
      </c>
      <c r="R3467" t="s">
        <v>74</v>
      </c>
      <c r="S3467" t="s">
        <v>74</v>
      </c>
      <c r="T3467" t="s">
        <v>56839</v>
      </c>
      <c r="U3467" t="s">
        <v>74</v>
      </c>
      <c r="V3467" t="s">
        <v>56840</v>
      </c>
      <c r="W3467" t="s">
        <v>56841</v>
      </c>
      <c r="X3467" t="s">
        <v>28389</v>
      </c>
      <c r="Y3467" t="s">
        <v>56842</v>
      </c>
      <c r="Z3467" t="s">
        <v>56843</v>
      </c>
      <c r="AA3467" t="s">
        <v>74</v>
      </c>
      <c r="AB3467" t="s">
        <v>56844</v>
      </c>
      <c r="AC3467" t="s">
        <v>56845</v>
      </c>
      <c r="AD3467" t="s">
        <v>56846</v>
      </c>
      <c r="AE3467" t="s">
        <v>56847</v>
      </c>
      <c r="AF3467" t="s">
        <v>74</v>
      </c>
      <c r="AG3467">
        <v>107</v>
      </c>
      <c r="AH3467">
        <v>10</v>
      </c>
      <c r="AI3467">
        <v>12</v>
      </c>
      <c r="AJ3467">
        <v>1</v>
      </c>
      <c r="AK3467">
        <v>7</v>
      </c>
      <c r="AL3467" t="s">
        <v>757</v>
      </c>
      <c r="AM3467" t="s">
        <v>758</v>
      </c>
      <c r="AN3467" t="s">
        <v>759</v>
      </c>
      <c r="AO3467" t="s">
        <v>34148</v>
      </c>
      <c r="AP3467" t="s">
        <v>34147</v>
      </c>
      <c r="AQ3467" t="s">
        <v>74</v>
      </c>
      <c r="AR3467" t="s">
        <v>34146</v>
      </c>
      <c r="AS3467" t="s">
        <v>34145</v>
      </c>
      <c r="AT3467" t="s">
        <v>1652</v>
      </c>
      <c r="AU3467">
        <v>2022</v>
      </c>
      <c r="AV3467">
        <v>54</v>
      </c>
      <c r="AW3467">
        <v>4</v>
      </c>
      <c r="AX3467" t="s">
        <v>74</v>
      </c>
      <c r="AY3467" t="s">
        <v>74</v>
      </c>
      <c r="AZ3467" t="s">
        <v>74</v>
      </c>
      <c r="BA3467" t="s">
        <v>74</v>
      </c>
      <c r="BB3467">
        <v>761</v>
      </c>
      <c r="BC3467">
        <v>778</v>
      </c>
      <c r="BD3467" t="s">
        <v>56848</v>
      </c>
      <c r="BE3467" t="s">
        <v>56849</v>
      </c>
      <c r="BF3467" t="str">
        <f>HYPERLINK("http://dx.doi.org/10.1177/0308518X20977186","http://dx.doi.org/10.1177/0308518X20977186")</f>
        <v>http://dx.doi.org/10.1177/0308518X20977186</v>
      </c>
      <c r="BG3467" t="s">
        <v>74</v>
      </c>
      <c r="BH3467" t="s">
        <v>11556</v>
      </c>
      <c r="BI3467">
        <v>18</v>
      </c>
      <c r="BJ3467" t="s">
        <v>34142</v>
      </c>
      <c r="BK3467" t="s">
        <v>99</v>
      </c>
      <c r="BL3467" t="s">
        <v>34141</v>
      </c>
      <c r="BM3467" t="s">
        <v>52876</v>
      </c>
      <c r="BN3467" t="s">
        <v>74</v>
      </c>
      <c r="BO3467" t="s">
        <v>74</v>
      </c>
      <c r="BP3467" t="s">
        <v>74</v>
      </c>
      <c r="BQ3467" t="s">
        <v>74</v>
      </c>
      <c r="BR3467" t="s">
        <v>102</v>
      </c>
      <c r="BS3467" t="s">
        <v>56850</v>
      </c>
      <c r="BT3467" t="str">
        <f>HYPERLINK("https%3A%2F%2Fwww.webofscience.com%2Fwos%2Fwoscc%2Ffull-record%2FWOS:000631212500001","View Full Record in Web of Science")</f>
        <v>View Full Record in Web of Science</v>
      </c>
    </row>
    <row r="3468" spans="1:72" x14ac:dyDescent="0.25">
      <c r="A3468" t="s">
        <v>72</v>
      </c>
      <c r="B3468" t="s">
        <v>56851</v>
      </c>
      <c r="C3468" t="s">
        <v>74</v>
      </c>
      <c r="D3468" t="s">
        <v>74</v>
      </c>
      <c r="E3468" t="s">
        <v>74</v>
      </c>
      <c r="F3468" t="s">
        <v>56852</v>
      </c>
      <c r="G3468" t="s">
        <v>74</v>
      </c>
      <c r="H3468" t="s">
        <v>74</v>
      </c>
      <c r="I3468" t="s">
        <v>56853</v>
      </c>
      <c r="J3468" t="s">
        <v>17444</v>
      </c>
      <c r="K3468" t="s">
        <v>74</v>
      </c>
      <c r="L3468" t="s">
        <v>74</v>
      </c>
      <c r="M3468" t="s">
        <v>78</v>
      </c>
      <c r="N3468" t="s">
        <v>79</v>
      </c>
      <c r="O3468" t="s">
        <v>74</v>
      </c>
      <c r="P3468" t="s">
        <v>74</v>
      </c>
      <c r="Q3468" t="s">
        <v>74</v>
      </c>
      <c r="R3468" t="s">
        <v>74</v>
      </c>
      <c r="S3468" t="s">
        <v>74</v>
      </c>
      <c r="T3468" t="s">
        <v>56854</v>
      </c>
      <c r="U3468" t="s">
        <v>56855</v>
      </c>
      <c r="V3468" t="s">
        <v>56856</v>
      </c>
      <c r="W3468" t="s">
        <v>56857</v>
      </c>
      <c r="X3468" t="s">
        <v>56858</v>
      </c>
      <c r="Y3468" t="s">
        <v>56859</v>
      </c>
      <c r="Z3468" t="s">
        <v>56860</v>
      </c>
      <c r="AA3468" t="s">
        <v>56861</v>
      </c>
      <c r="AB3468" t="s">
        <v>56862</v>
      </c>
      <c r="AC3468" t="s">
        <v>74</v>
      </c>
      <c r="AD3468" t="s">
        <v>74</v>
      </c>
      <c r="AE3468" t="s">
        <v>74</v>
      </c>
      <c r="AF3468" t="s">
        <v>74</v>
      </c>
      <c r="AG3468">
        <v>67</v>
      </c>
      <c r="AH3468">
        <v>0</v>
      </c>
      <c r="AI3468">
        <v>0</v>
      </c>
      <c r="AJ3468">
        <v>0</v>
      </c>
      <c r="AK3468">
        <v>0</v>
      </c>
      <c r="AL3468" t="s">
        <v>89</v>
      </c>
      <c r="AM3468" t="s">
        <v>90</v>
      </c>
      <c r="AN3468" t="s">
        <v>91</v>
      </c>
      <c r="AO3468" t="s">
        <v>17454</v>
      </c>
      <c r="AP3468" t="s">
        <v>17455</v>
      </c>
      <c r="AQ3468" t="s">
        <v>74</v>
      </c>
      <c r="AR3468" t="s">
        <v>17456</v>
      </c>
      <c r="AS3468" t="s">
        <v>17457</v>
      </c>
      <c r="AT3468" t="s">
        <v>34463</v>
      </c>
      <c r="AU3468">
        <v>2025</v>
      </c>
      <c r="AV3468">
        <v>51</v>
      </c>
      <c r="AW3468">
        <v>6</v>
      </c>
      <c r="AX3468" t="s">
        <v>74</v>
      </c>
      <c r="AY3468" t="s">
        <v>74</v>
      </c>
      <c r="AZ3468" t="s">
        <v>74</v>
      </c>
      <c r="BA3468" t="s">
        <v>74</v>
      </c>
      <c r="BB3468">
        <v>1025</v>
      </c>
      <c r="BC3468">
        <v>1043</v>
      </c>
      <c r="BD3468" t="s">
        <v>74</v>
      </c>
      <c r="BE3468" t="s">
        <v>56863</v>
      </c>
      <c r="BF3468" t="str">
        <f>HYPERLINK("http://dx.doi.org/10.1108/MF-06-2024-0447","http://dx.doi.org/10.1108/MF-06-2024-0447")</f>
        <v>http://dx.doi.org/10.1108/MF-06-2024-0447</v>
      </c>
      <c r="BG3468" t="s">
        <v>74</v>
      </c>
      <c r="BH3468" t="s">
        <v>1737</v>
      </c>
      <c r="BI3468">
        <v>19</v>
      </c>
      <c r="BJ3468" t="s">
        <v>268</v>
      </c>
      <c r="BK3468" t="s">
        <v>313</v>
      </c>
      <c r="BL3468" t="s">
        <v>100</v>
      </c>
      <c r="BM3468" t="s">
        <v>39518</v>
      </c>
      <c r="BN3468" t="s">
        <v>74</v>
      </c>
      <c r="BO3468" t="s">
        <v>74</v>
      </c>
      <c r="BP3468" t="s">
        <v>74</v>
      </c>
      <c r="BQ3468" t="s">
        <v>74</v>
      </c>
      <c r="BR3468" t="s">
        <v>102</v>
      </c>
      <c r="BS3468" t="s">
        <v>56864</v>
      </c>
      <c r="BT3468" t="str">
        <f>HYPERLINK("https%3A%2F%2Fwww.webofscience.com%2Fwos%2Fwoscc%2Ffull-record%2FWOS:001395889400001","View Full Record in Web of Science")</f>
        <v>View Full Record in Web of Science</v>
      </c>
    </row>
    <row r="3469" spans="1:72" x14ac:dyDescent="0.25">
      <c r="A3469" t="s">
        <v>72</v>
      </c>
      <c r="B3469" t="s">
        <v>56865</v>
      </c>
      <c r="C3469" t="s">
        <v>74</v>
      </c>
      <c r="D3469" t="s">
        <v>74</v>
      </c>
      <c r="E3469" t="s">
        <v>74</v>
      </c>
      <c r="F3469" t="s">
        <v>56866</v>
      </c>
      <c r="G3469" t="s">
        <v>74</v>
      </c>
      <c r="H3469" t="s">
        <v>74</v>
      </c>
      <c r="I3469" t="s">
        <v>56867</v>
      </c>
      <c r="J3469" t="s">
        <v>5899</v>
      </c>
      <c r="K3469" t="s">
        <v>74</v>
      </c>
      <c r="L3469" t="s">
        <v>74</v>
      </c>
      <c r="M3469" t="s">
        <v>78</v>
      </c>
      <c r="N3469" t="s">
        <v>79</v>
      </c>
      <c r="O3469" t="s">
        <v>74</v>
      </c>
      <c r="P3469" t="s">
        <v>74</v>
      </c>
      <c r="Q3469" t="s">
        <v>74</v>
      </c>
      <c r="R3469" t="s">
        <v>74</v>
      </c>
      <c r="S3469" t="s">
        <v>74</v>
      </c>
      <c r="T3469" t="s">
        <v>56868</v>
      </c>
      <c r="U3469" t="s">
        <v>56869</v>
      </c>
      <c r="V3469" t="s">
        <v>56870</v>
      </c>
      <c r="W3469" t="s">
        <v>56871</v>
      </c>
      <c r="X3469" t="s">
        <v>56872</v>
      </c>
      <c r="Y3469" t="s">
        <v>56873</v>
      </c>
      <c r="Z3469" t="s">
        <v>56874</v>
      </c>
      <c r="AA3469" t="s">
        <v>74</v>
      </c>
      <c r="AB3469" t="s">
        <v>56875</v>
      </c>
      <c r="AC3469" t="s">
        <v>74</v>
      </c>
      <c r="AD3469" t="s">
        <v>74</v>
      </c>
      <c r="AE3469" t="s">
        <v>74</v>
      </c>
      <c r="AF3469" t="s">
        <v>74</v>
      </c>
      <c r="AG3469">
        <v>52</v>
      </c>
      <c r="AH3469">
        <v>2</v>
      </c>
      <c r="AI3469">
        <v>3</v>
      </c>
      <c r="AJ3469">
        <v>1</v>
      </c>
      <c r="AK3469">
        <v>7</v>
      </c>
      <c r="AL3469" t="s">
        <v>332</v>
      </c>
      <c r="AM3469" t="s">
        <v>333</v>
      </c>
      <c r="AN3469" t="s">
        <v>334</v>
      </c>
      <c r="AO3469" t="s">
        <v>5911</v>
      </c>
      <c r="AP3469" t="s">
        <v>5912</v>
      </c>
      <c r="AQ3469" t="s">
        <v>74</v>
      </c>
      <c r="AR3469" t="s">
        <v>5913</v>
      </c>
      <c r="AS3469" t="s">
        <v>5914</v>
      </c>
      <c r="AT3469" t="s">
        <v>5915</v>
      </c>
      <c r="AU3469">
        <v>2024</v>
      </c>
      <c r="AV3469">
        <v>50</v>
      </c>
      <c r="AW3469">
        <v>10</v>
      </c>
      <c r="AX3469" t="s">
        <v>74</v>
      </c>
      <c r="AY3469" t="s">
        <v>74</v>
      </c>
      <c r="AZ3469" t="s">
        <v>74</v>
      </c>
      <c r="BA3469" t="s">
        <v>74</v>
      </c>
      <c r="BB3469">
        <v>2384</v>
      </c>
      <c r="BC3469">
        <v>2402</v>
      </c>
      <c r="BD3469" t="s">
        <v>74</v>
      </c>
      <c r="BE3469" t="s">
        <v>56876</v>
      </c>
      <c r="BF3469" t="str">
        <f>HYPERLINK("http://dx.doi.org/10.1080/1369183X.2024.2312249","http://dx.doi.org/10.1080/1369183X.2024.2312249")</f>
        <v>http://dx.doi.org/10.1080/1369183X.2024.2312249</v>
      </c>
      <c r="BG3469" t="s">
        <v>74</v>
      </c>
      <c r="BH3469" t="s">
        <v>1981</v>
      </c>
      <c r="BI3469">
        <v>19</v>
      </c>
      <c r="BJ3469" t="s">
        <v>5917</v>
      </c>
      <c r="BK3469" t="s">
        <v>99</v>
      </c>
      <c r="BL3469" t="s">
        <v>5917</v>
      </c>
      <c r="BM3469" t="s">
        <v>5918</v>
      </c>
      <c r="BN3469" t="s">
        <v>74</v>
      </c>
      <c r="BO3469" t="s">
        <v>270</v>
      </c>
      <c r="BP3469" t="s">
        <v>74</v>
      </c>
      <c r="BQ3469" t="s">
        <v>74</v>
      </c>
      <c r="BR3469" t="s">
        <v>102</v>
      </c>
      <c r="BS3469" t="s">
        <v>56877</v>
      </c>
      <c r="BT3469" t="str">
        <f>HYPERLINK("https%3A%2F%2Fwww.webofscience.com%2Fwos%2Fwoscc%2Ffull-record%2FWOS:001174859800001","View Full Record in Web of Science")</f>
        <v>View Full Record in Web of Science</v>
      </c>
    </row>
    <row r="3470" spans="1:72" x14ac:dyDescent="0.25">
      <c r="A3470" t="s">
        <v>72</v>
      </c>
      <c r="B3470" t="s">
        <v>56878</v>
      </c>
      <c r="C3470" t="s">
        <v>74</v>
      </c>
      <c r="D3470" t="s">
        <v>74</v>
      </c>
      <c r="E3470" t="s">
        <v>74</v>
      </c>
      <c r="F3470" t="s">
        <v>56879</v>
      </c>
      <c r="G3470" t="s">
        <v>74</v>
      </c>
      <c r="H3470" t="s">
        <v>74</v>
      </c>
      <c r="I3470" t="s">
        <v>56880</v>
      </c>
      <c r="J3470" t="s">
        <v>37596</v>
      </c>
      <c r="K3470" t="s">
        <v>74</v>
      </c>
      <c r="L3470" t="s">
        <v>74</v>
      </c>
      <c r="M3470" t="s">
        <v>78</v>
      </c>
      <c r="N3470" t="s">
        <v>79</v>
      </c>
      <c r="O3470" t="s">
        <v>74</v>
      </c>
      <c r="P3470" t="s">
        <v>74</v>
      </c>
      <c r="Q3470" t="s">
        <v>74</v>
      </c>
      <c r="R3470" t="s">
        <v>74</v>
      </c>
      <c r="S3470" t="s">
        <v>74</v>
      </c>
      <c r="T3470" t="s">
        <v>56881</v>
      </c>
      <c r="U3470" t="s">
        <v>56882</v>
      </c>
      <c r="V3470" t="s">
        <v>56883</v>
      </c>
      <c r="W3470" t="s">
        <v>56884</v>
      </c>
      <c r="X3470" t="s">
        <v>56885</v>
      </c>
      <c r="Y3470" t="s">
        <v>56886</v>
      </c>
      <c r="Z3470" t="s">
        <v>56887</v>
      </c>
      <c r="AA3470" t="s">
        <v>56888</v>
      </c>
      <c r="AB3470" t="s">
        <v>56889</v>
      </c>
      <c r="AC3470" t="s">
        <v>74</v>
      </c>
      <c r="AD3470" t="s">
        <v>74</v>
      </c>
      <c r="AE3470" t="s">
        <v>74</v>
      </c>
      <c r="AF3470" t="s">
        <v>74</v>
      </c>
      <c r="AG3470">
        <v>90</v>
      </c>
      <c r="AH3470">
        <v>14</v>
      </c>
      <c r="AI3470">
        <v>18</v>
      </c>
      <c r="AJ3470">
        <v>1</v>
      </c>
      <c r="AK3470">
        <v>13</v>
      </c>
      <c r="AL3470" t="s">
        <v>332</v>
      </c>
      <c r="AM3470" t="s">
        <v>333</v>
      </c>
      <c r="AN3470" t="s">
        <v>334</v>
      </c>
      <c r="AO3470" t="s">
        <v>37603</v>
      </c>
      <c r="AP3470" t="s">
        <v>37604</v>
      </c>
      <c r="AQ3470" t="s">
        <v>74</v>
      </c>
      <c r="AR3470" t="s">
        <v>37605</v>
      </c>
      <c r="AS3470" t="s">
        <v>37606</v>
      </c>
      <c r="AT3470" t="s">
        <v>1693</v>
      </c>
      <c r="AU3470">
        <v>2022</v>
      </c>
      <c r="AV3470">
        <v>28</v>
      </c>
      <c r="AW3470">
        <v>2</v>
      </c>
      <c r="AX3470" t="s">
        <v>74</v>
      </c>
      <c r="AY3470" t="s">
        <v>74</v>
      </c>
      <c r="AZ3470" t="s">
        <v>74</v>
      </c>
      <c r="BA3470" t="s">
        <v>74</v>
      </c>
      <c r="BB3470">
        <v>117</v>
      </c>
      <c r="BC3470">
        <v>149</v>
      </c>
      <c r="BD3470" t="s">
        <v>74</v>
      </c>
      <c r="BE3470" t="s">
        <v>56890</v>
      </c>
      <c r="BF3470" t="str">
        <f>HYPERLINK("http://dx.doi.org/10.1080/10669868.2021.1976348","http://dx.doi.org/10.1080/10669868.2021.1976348")</f>
        <v>http://dx.doi.org/10.1080/10669868.2021.1976348</v>
      </c>
      <c r="BG3470" t="s">
        <v>74</v>
      </c>
      <c r="BH3470" t="s">
        <v>10889</v>
      </c>
      <c r="BI3470">
        <v>33</v>
      </c>
      <c r="BJ3470" t="s">
        <v>418</v>
      </c>
      <c r="BK3470" t="s">
        <v>313</v>
      </c>
      <c r="BL3470" t="s">
        <v>100</v>
      </c>
      <c r="BM3470" t="s">
        <v>56891</v>
      </c>
      <c r="BN3470" t="s">
        <v>74</v>
      </c>
      <c r="BO3470" t="s">
        <v>74</v>
      </c>
      <c r="BP3470" t="s">
        <v>74</v>
      </c>
      <c r="BQ3470" t="s">
        <v>74</v>
      </c>
      <c r="BR3470" t="s">
        <v>102</v>
      </c>
      <c r="BS3470" t="s">
        <v>56892</v>
      </c>
      <c r="BT3470" t="str">
        <f>HYPERLINK("https%3A%2F%2Fwww.webofscience.com%2Fwos%2Fwoscc%2Ffull-record%2FWOS:000702627900001","View Full Record in Web of Science")</f>
        <v>View Full Record in Web of Science</v>
      </c>
    </row>
    <row r="3471" spans="1:72" x14ac:dyDescent="0.25">
      <c r="A3471" t="s">
        <v>72</v>
      </c>
      <c r="B3471" t="s">
        <v>56893</v>
      </c>
      <c r="C3471" t="s">
        <v>74</v>
      </c>
      <c r="D3471" t="s">
        <v>74</v>
      </c>
      <c r="E3471" t="s">
        <v>74</v>
      </c>
      <c r="F3471" t="s">
        <v>56894</v>
      </c>
      <c r="G3471" t="s">
        <v>74</v>
      </c>
      <c r="H3471" t="s">
        <v>74</v>
      </c>
      <c r="I3471" t="s">
        <v>56895</v>
      </c>
      <c r="J3471" t="s">
        <v>3332</v>
      </c>
      <c r="K3471" t="s">
        <v>74</v>
      </c>
      <c r="L3471" t="s">
        <v>74</v>
      </c>
      <c r="M3471" t="s">
        <v>78</v>
      </c>
      <c r="N3471" t="s">
        <v>79</v>
      </c>
      <c r="O3471" t="s">
        <v>74</v>
      </c>
      <c r="P3471" t="s">
        <v>74</v>
      </c>
      <c r="Q3471" t="s">
        <v>74</v>
      </c>
      <c r="R3471" t="s">
        <v>74</v>
      </c>
      <c r="S3471" t="s">
        <v>74</v>
      </c>
      <c r="T3471" t="s">
        <v>56896</v>
      </c>
      <c r="U3471" t="s">
        <v>56897</v>
      </c>
      <c r="V3471" t="s">
        <v>56898</v>
      </c>
      <c r="W3471" t="s">
        <v>56899</v>
      </c>
      <c r="X3471" t="s">
        <v>56900</v>
      </c>
      <c r="Y3471" t="s">
        <v>56901</v>
      </c>
      <c r="Z3471" t="s">
        <v>56902</v>
      </c>
      <c r="AA3471" t="s">
        <v>56903</v>
      </c>
      <c r="AB3471" t="s">
        <v>74</v>
      </c>
      <c r="AC3471" t="s">
        <v>74</v>
      </c>
      <c r="AD3471" t="s">
        <v>74</v>
      </c>
      <c r="AE3471" t="s">
        <v>74</v>
      </c>
      <c r="AF3471" t="s">
        <v>74</v>
      </c>
      <c r="AG3471">
        <v>101</v>
      </c>
      <c r="AH3471">
        <v>0</v>
      </c>
      <c r="AI3471">
        <v>0</v>
      </c>
      <c r="AJ3471">
        <v>4</v>
      </c>
      <c r="AK3471">
        <v>5</v>
      </c>
      <c r="AL3471" t="s">
        <v>89</v>
      </c>
      <c r="AM3471" t="s">
        <v>90</v>
      </c>
      <c r="AN3471" t="s">
        <v>91</v>
      </c>
      <c r="AO3471" t="s">
        <v>3345</v>
      </c>
      <c r="AP3471" t="s">
        <v>3346</v>
      </c>
      <c r="AQ3471" t="s">
        <v>74</v>
      </c>
      <c r="AR3471" t="s">
        <v>3347</v>
      </c>
      <c r="AS3471" t="s">
        <v>3348</v>
      </c>
      <c r="AT3471" t="s">
        <v>3104</v>
      </c>
      <c r="AU3471">
        <v>2025</v>
      </c>
      <c r="AV3471">
        <v>16</v>
      </c>
      <c r="AW3471">
        <v>12</v>
      </c>
      <c r="AX3471" t="s">
        <v>74</v>
      </c>
      <c r="AY3471" t="s">
        <v>74</v>
      </c>
      <c r="AZ3471" t="s">
        <v>74</v>
      </c>
      <c r="BA3471" t="s">
        <v>74</v>
      </c>
      <c r="BB3471">
        <v>3457</v>
      </c>
      <c r="BC3471">
        <v>3484</v>
      </c>
      <c r="BD3471" t="s">
        <v>74</v>
      </c>
      <c r="BE3471" t="s">
        <v>56904</v>
      </c>
      <c r="BF3471" t="str">
        <f>HYPERLINK("http://dx.doi.org/10.1108/JIMA-06-2024-0231","http://dx.doi.org/10.1108/JIMA-06-2024-0231")</f>
        <v>http://dx.doi.org/10.1108/JIMA-06-2024-0231</v>
      </c>
      <c r="BG3471" t="s">
        <v>74</v>
      </c>
      <c r="BH3471" t="s">
        <v>2359</v>
      </c>
      <c r="BI3471">
        <v>28</v>
      </c>
      <c r="BJ3471" t="s">
        <v>418</v>
      </c>
      <c r="BK3471" t="s">
        <v>313</v>
      </c>
      <c r="BL3471" t="s">
        <v>100</v>
      </c>
      <c r="BM3471" t="s">
        <v>56905</v>
      </c>
      <c r="BN3471" t="s">
        <v>74</v>
      </c>
      <c r="BO3471" t="s">
        <v>74</v>
      </c>
      <c r="BP3471" t="s">
        <v>74</v>
      </c>
      <c r="BQ3471" t="s">
        <v>74</v>
      </c>
      <c r="BR3471" t="s">
        <v>102</v>
      </c>
      <c r="BS3471" t="s">
        <v>56906</v>
      </c>
      <c r="BT3471" t="str">
        <f>HYPERLINK("https%3A%2F%2Fwww.webofscience.com%2Fwos%2Fwoscc%2Ffull-record%2FWOS:001485291600001","View Full Record in Web of Science")</f>
        <v>View Full Record in Web of Science</v>
      </c>
    </row>
    <row r="3472" spans="1:72" x14ac:dyDescent="0.25">
      <c r="A3472" t="s">
        <v>72</v>
      </c>
      <c r="B3472" t="s">
        <v>56907</v>
      </c>
      <c r="C3472" t="s">
        <v>74</v>
      </c>
      <c r="D3472" t="s">
        <v>74</v>
      </c>
      <c r="E3472" t="s">
        <v>74</v>
      </c>
      <c r="F3472" t="s">
        <v>56908</v>
      </c>
      <c r="G3472" t="s">
        <v>74</v>
      </c>
      <c r="H3472" t="s">
        <v>74</v>
      </c>
      <c r="I3472" t="s">
        <v>56909</v>
      </c>
      <c r="J3472" t="s">
        <v>56910</v>
      </c>
      <c r="K3472" t="s">
        <v>74</v>
      </c>
      <c r="L3472" t="s">
        <v>74</v>
      </c>
      <c r="M3472" t="s">
        <v>78</v>
      </c>
      <c r="N3472" t="s">
        <v>79</v>
      </c>
      <c r="O3472" t="s">
        <v>74</v>
      </c>
      <c r="P3472" t="s">
        <v>74</v>
      </c>
      <c r="Q3472" t="s">
        <v>74</v>
      </c>
      <c r="R3472" t="s">
        <v>74</v>
      </c>
      <c r="S3472" t="s">
        <v>74</v>
      </c>
      <c r="T3472" t="s">
        <v>56911</v>
      </c>
      <c r="U3472" t="s">
        <v>56912</v>
      </c>
      <c r="V3472" t="s">
        <v>56913</v>
      </c>
      <c r="W3472" t="s">
        <v>56914</v>
      </c>
      <c r="X3472" t="s">
        <v>56915</v>
      </c>
      <c r="Y3472" t="s">
        <v>56916</v>
      </c>
      <c r="Z3472" t="s">
        <v>56917</v>
      </c>
      <c r="AA3472" t="s">
        <v>56918</v>
      </c>
      <c r="AB3472" t="s">
        <v>56919</v>
      </c>
      <c r="AC3472" t="s">
        <v>56920</v>
      </c>
      <c r="AD3472" t="s">
        <v>56920</v>
      </c>
      <c r="AE3472" t="s">
        <v>56921</v>
      </c>
      <c r="AF3472" t="s">
        <v>74</v>
      </c>
      <c r="AG3472">
        <v>72</v>
      </c>
      <c r="AH3472">
        <v>6</v>
      </c>
      <c r="AI3472">
        <v>9</v>
      </c>
      <c r="AJ3472">
        <v>0</v>
      </c>
      <c r="AK3472">
        <v>18</v>
      </c>
      <c r="AL3472" t="s">
        <v>89</v>
      </c>
      <c r="AM3472" t="s">
        <v>1497</v>
      </c>
      <c r="AN3472" t="s">
        <v>1498</v>
      </c>
      <c r="AO3472" t="s">
        <v>56922</v>
      </c>
      <c r="AP3472" t="s">
        <v>56923</v>
      </c>
      <c r="AQ3472" t="s">
        <v>74</v>
      </c>
      <c r="AR3472" t="s">
        <v>56924</v>
      </c>
      <c r="AS3472" t="s">
        <v>56925</v>
      </c>
      <c r="AT3472" t="s">
        <v>56926</v>
      </c>
      <c r="AU3472">
        <v>2020</v>
      </c>
      <c r="AV3472">
        <v>10</v>
      </c>
      <c r="AW3472">
        <v>3</v>
      </c>
      <c r="AX3472" t="s">
        <v>74</v>
      </c>
      <c r="AY3472" t="s">
        <v>74</v>
      </c>
      <c r="AZ3472" t="s">
        <v>74</v>
      </c>
      <c r="BA3472" t="s">
        <v>74</v>
      </c>
      <c r="BB3472">
        <v>231</v>
      </c>
      <c r="BC3472">
        <v>245</v>
      </c>
      <c r="BD3472" t="s">
        <v>74</v>
      </c>
      <c r="BE3472" t="s">
        <v>56927</v>
      </c>
      <c r="BF3472" t="str">
        <f>HYPERLINK("http://dx.doi.org/10.1108/JFBM-06-2019-0044","http://dx.doi.org/10.1108/JFBM-06-2019-0044")</f>
        <v>http://dx.doi.org/10.1108/JFBM-06-2019-0044</v>
      </c>
      <c r="BG3472" t="s">
        <v>74</v>
      </c>
      <c r="BH3472" t="s">
        <v>74</v>
      </c>
      <c r="BI3472">
        <v>15</v>
      </c>
      <c r="BJ3472" t="s">
        <v>583</v>
      </c>
      <c r="BK3472" t="s">
        <v>313</v>
      </c>
      <c r="BL3472" t="s">
        <v>100</v>
      </c>
      <c r="BM3472" t="s">
        <v>56928</v>
      </c>
      <c r="BN3472" t="s">
        <v>74</v>
      </c>
      <c r="BO3472" t="s">
        <v>74</v>
      </c>
      <c r="BP3472" t="s">
        <v>74</v>
      </c>
      <c r="BQ3472" t="s">
        <v>74</v>
      </c>
      <c r="BR3472" t="s">
        <v>102</v>
      </c>
      <c r="BS3472" t="s">
        <v>56929</v>
      </c>
      <c r="BT3472" t="str">
        <f>HYPERLINK("https%3A%2F%2Fwww.webofscience.com%2Fwos%2Fwoscc%2Ffull-record%2FWOS:000559983100003","View Full Record in Web of Science")</f>
        <v>View Full Record in Web of Science</v>
      </c>
    </row>
    <row r="3473" spans="1:72" x14ac:dyDescent="0.25">
      <c r="A3473" t="s">
        <v>72</v>
      </c>
      <c r="B3473" t="s">
        <v>56930</v>
      </c>
      <c r="C3473" t="s">
        <v>74</v>
      </c>
      <c r="D3473" t="s">
        <v>74</v>
      </c>
      <c r="E3473" t="s">
        <v>74</v>
      </c>
      <c r="F3473" t="s">
        <v>56931</v>
      </c>
      <c r="G3473" t="s">
        <v>74</v>
      </c>
      <c r="H3473" t="s">
        <v>74</v>
      </c>
      <c r="I3473" t="s">
        <v>56932</v>
      </c>
      <c r="J3473" t="s">
        <v>56933</v>
      </c>
      <c r="K3473" t="s">
        <v>74</v>
      </c>
      <c r="L3473" t="s">
        <v>74</v>
      </c>
      <c r="M3473" t="s">
        <v>78</v>
      </c>
      <c r="N3473" t="s">
        <v>1766</v>
      </c>
      <c r="O3473" t="s">
        <v>74</v>
      </c>
      <c r="P3473" t="s">
        <v>74</v>
      </c>
      <c r="Q3473" t="s">
        <v>74</v>
      </c>
      <c r="R3473" t="s">
        <v>74</v>
      </c>
      <c r="S3473" t="s">
        <v>74</v>
      </c>
      <c r="T3473" t="s">
        <v>56934</v>
      </c>
      <c r="U3473" t="s">
        <v>74</v>
      </c>
      <c r="V3473" t="s">
        <v>56935</v>
      </c>
      <c r="W3473" t="s">
        <v>56936</v>
      </c>
      <c r="X3473" t="s">
        <v>56937</v>
      </c>
      <c r="Y3473" t="s">
        <v>56938</v>
      </c>
      <c r="Z3473" t="s">
        <v>56939</v>
      </c>
      <c r="AA3473" t="s">
        <v>56940</v>
      </c>
      <c r="AB3473" t="s">
        <v>56941</v>
      </c>
      <c r="AC3473" t="s">
        <v>56942</v>
      </c>
      <c r="AD3473" t="s">
        <v>56943</v>
      </c>
      <c r="AE3473" t="s">
        <v>56944</v>
      </c>
      <c r="AF3473" t="s">
        <v>74</v>
      </c>
      <c r="AG3473">
        <v>81</v>
      </c>
      <c r="AH3473">
        <v>22</v>
      </c>
      <c r="AI3473">
        <v>27</v>
      </c>
      <c r="AJ3473">
        <v>15</v>
      </c>
      <c r="AK3473">
        <v>42</v>
      </c>
      <c r="AL3473" t="s">
        <v>201</v>
      </c>
      <c r="AM3473" t="s">
        <v>202</v>
      </c>
      <c r="AN3473" t="s">
        <v>203</v>
      </c>
      <c r="AO3473" t="s">
        <v>56945</v>
      </c>
      <c r="AP3473" t="s">
        <v>74</v>
      </c>
      <c r="AQ3473" t="s">
        <v>74</v>
      </c>
      <c r="AR3473" t="s">
        <v>56946</v>
      </c>
      <c r="AS3473" t="s">
        <v>56947</v>
      </c>
      <c r="AT3473" t="s">
        <v>848</v>
      </c>
      <c r="AU3473">
        <v>2024</v>
      </c>
      <c r="AV3473">
        <v>48</v>
      </c>
      <c r="AW3473" t="s">
        <v>74</v>
      </c>
      <c r="AX3473" t="s">
        <v>74</v>
      </c>
      <c r="AY3473" t="s">
        <v>74</v>
      </c>
      <c r="AZ3473" t="s">
        <v>74</v>
      </c>
      <c r="BA3473" t="s">
        <v>74</v>
      </c>
      <c r="BB3473">
        <v>407</v>
      </c>
      <c r="BC3473">
        <v>418</v>
      </c>
      <c r="BD3473" t="s">
        <v>74</v>
      </c>
      <c r="BE3473" t="s">
        <v>56948</v>
      </c>
      <c r="BF3473" t="str">
        <f>HYPERLINK("http://dx.doi.org/10.1016/j.spc.2024.05.029","http://dx.doi.org/10.1016/j.spc.2024.05.029")</f>
        <v>http://dx.doi.org/10.1016/j.spc.2024.05.029</v>
      </c>
      <c r="BG3473" t="s">
        <v>74</v>
      </c>
      <c r="BH3473" t="s">
        <v>6256</v>
      </c>
      <c r="BI3473">
        <v>12</v>
      </c>
      <c r="BJ3473" t="s">
        <v>6098</v>
      </c>
      <c r="BK3473" t="s">
        <v>2623</v>
      </c>
      <c r="BL3473" t="s">
        <v>3248</v>
      </c>
      <c r="BM3473" t="s">
        <v>56949</v>
      </c>
      <c r="BN3473" t="s">
        <v>74</v>
      </c>
      <c r="BO3473" t="s">
        <v>466</v>
      </c>
      <c r="BP3473" t="s">
        <v>74</v>
      </c>
      <c r="BQ3473" t="s">
        <v>74</v>
      </c>
      <c r="BR3473" t="s">
        <v>102</v>
      </c>
      <c r="BS3473" t="s">
        <v>56950</v>
      </c>
      <c r="BT3473" t="str">
        <f>HYPERLINK("https%3A%2F%2Fwww.webofscience.com%2Fwos%2Fwoscc%2Ffull-record%2FWOS:001250216300001","View Full Record in Web of Science")</f>
        <v>View Full Record in Web of Science</v>
      </c>
    </row>
    <row r="3474" spans="1:72" x14ac:dyDescent="0.25">
      <c r="A3474" t="s">
        <v>72</v>
      </c>
      <c r="B3474" t="s">
        <v>56951</v>
      </c>
      <c r="C3474" t="s">
        <v>74</v>
      </c>
      <c r="D3474" t="s">
        <v>74</v>
      </c>
      <c r="E3474" t="s">
        <v>74</v>
      </c>
      <c r="F3474" t="s">
        <v>56952</v>
      </c>
      <c r="G3474" t="s">
        <v>74</v>
      </c>
      <c r="H3474" t="s">
        <v>74</v>
      </c>
      <c r="I3474" t="s">
        <v>56953</v>
      </c>
      <c r="J3474" t="s">
        <v>56954</v>
      </c>
      <c r="K3474" t="s">
        <v>74</v>
      </c>
      <c r="L3474" t="s">
        <v>74</v>
      </c>
      <c r="M3474" t="s">
        <v>78</v>
      </c>
      <c r="N3474" t="s">
        <v>79</v>
      </c>
      <c r="O3474" t="s">
        <v>74</v>
      </c>
      <c r="P3474" t="s">
        <v>74</v>
      </c>
      <c r="Q3474" t="s">
        <v>74</v>
      </c>
      <c r="R3474" t="s">
        <v>74</v>
      </c>
      <c r="S3474" t="s">
        <v>74</v>
      </c>
      <c r="T3474" t="s">
        <v>56955</v>
      </c>
      <c r="U3474" t="s">
        <v>56956</v>
      </c>
      <c r="V3474" t="s">
        <v>56957</v>
      </c>
      <c r="W3474" t="s">
        <v>56958</v>
      </c>
      <c r="X3474" t="s">
        <v>56959</v>
      </c>
      <c r="Y3474" t="s">
        <v>56960</v>
      </c>
      <c r="Z3474" t="s">
        <v>56961</v>
      </c>
      <c r="AA3474" t="s">
        <v>56962</v>
      </c>
      <c r="AB3474" t="s">
        <v>56963</v>
      </c>
      <c r="AC3474" t="s">
        <v>56964</v>
      </c>
      <c r="AD3474" t="s">
        <v>56965</v>
      </c>
      <c r="AE3474" t="s">
        <v>56966</v>
      </c>
      <c r="AF3474" t="s">
        <v>74</v>
      </c>
      <c r="AG3474">
        <v>59</v>
      </c>
      <c r="AH3474">
        <v>1</v>
      </c>
      <c r="AI3474">
        <v>1</v>
      </c>
      <c r="AJ3474">
        <v>0</v>
      </c>
      <c r="AK3474">
        <v>10</v>
      </c>
      <c r="AL3474" t="s">
        <v>3861</v>
      </c>
      <c r="AM3474" t="s">
        <v>2016</v>
      </c>
      <c r="AN3474" t="s">
        <v>3862</v>
      </c>
      <c r="AO3474" t="s">
        <v>56967</v>
      </c>
      <c r="AP3474" t="s">
        <v>56968</v>
      </c>
      <c r="AQ3474" t="s">
        <v>74</v>
      </c>
      <c r="AR3474" t="s">
        <v>56969</v>
      </c>
      <c r="AS3474" t="s">
        <v>56970</v>
      </c>
      <c r="AT3474" t="s">
        <v>1652</v>
      </c>
      <c r="AU3474">
        <v>2023</v>
      </c>
      <c r="AV3474">
        <v>21</v>
      </c>
      <c r="AW3474">
        <v>3</v>
      </c>
      <c r="AX3474" t="s">
        <v>74</v>
      </c>
      <c r="AY3474" t="s">
        <v>74</v>
      </c>
      <c r="AZ3474" t="s">
        <v>74</v>
      </c>
      <c r="BA3474" t="s">
        <v>74</v>
      </c>
      <c r="BB3474">
        <v>465</v>
      </c>
      <c r="BC3474">
        <v>476</v>
      </c>
      <c r="BD3474" t="s">
        <v>74</v>
      </c>
      <c r="BE3474" t="s">
        <v>56971</v>
      </c>
      <c r="BF3474" t="str">
        <f>HYPERLINK("http://dx.doi.org/10.1017/S1478951522000724","http://dx.doi.org/10.1017/S1478951522000724")</f>
        <v>http://dx.doi.org/10.1017/S1478951522000724</v>
      </c>
      <c r="BG3474" t="s">
        <v>74</v>
      </c>
      <c r="BH3474" t="s">
        <v>3050</v>
      </c>
      <c r="BI3474">
        <v>12</v>
      </c>
      <c r="BJ3474" t="s">
        <v>30090</v>
      </c>
      <c r="BK3474" t="s">
        <v>99</v>
      </c>
      <c r="BL3474" t="s">
        <v>23597</v>
      </c>
      <c r="BM3474" t="s">
        <v>56972</v>
      </c>
      <c r="BN3474">
        <v>36285508</v>
      </c>
      <c r="BO3474" t="s">
        <v>270</v>
      </c>
      <c r="BP3474" t="s">
        <v>74</v>
      </c>
      <c r="BQ3474" t="s">
        <v>74</v>
      </c>
      <c r="BR3474" t="s">
        <v>102</v>
      </c>
      <c r="BS3474" t="s">
        <v>56973</v>
      </c>
      <c r="BT3474" t="str">
        <f>HYPERLINK("https%3A%2F%2Fwww.webofscience.com%2Fwos%2Fwoscc%2Ffull-record%2FWOS:000876628200001","View Full Record in Web of Science")</f>
        <v>View Full Record in Web of Science</v>
      </c>
    </row>
    <row r="3475" spans="1:72" x14ac:dyDescent="0.25">
      <c r="A3475" t="s">
        <v>72</v>
      </c>
      <c r="B3475" t="s">
        <v>56974</v>
      </c>
      <c r="C3475" t="s">
        <v>74</v>
      </c>
      <c r="D3475" t="s">
        <v>74</v>
      </c>
      <c r="E3475" t="s">
        <v>74</v>
      </c>
      <c r="F3475" t="s">
        <v>56975</v>
      </c>
      <c r="G3475" t="s">
        <v>74</v>
      </c>
      <c r="H3475" t="s">
        <v>74</v>
      </c>
      <c r="I3475" t="s">
        <v>56976</v>
      </c>
      <c r="J3475" t="s">
        <v>3231</v>
      </c>
      <c r="K3475" t="s">
        <v>74</v>
      </c>
      <c r="L3475" t="s">
        <v>74</v>
      </c>
      <c r="M3475" t="s">
        <v>78</v>
      </c>
      <c r="N3475" t="s">
        <v>79</v>
      </c>
      <c r="O3475" t="s">
        <v>74</v>
      </c>
      <c r="P3475" t="s">
        <v>74</v>
      </c>
      <c r="Q3475" t="s">
        <v>74</v>
      </c>
      <c r="R3475" t="s">
        <v>74</v>
      </c>
      <c r="S3475" t="s">
        <v>74</v>
      </c>
      <c r="T3475" t="s">
        <v>56977</v>
      </c>
      <c r="U3475" t="s">
        <v>74</v>
      </c>
      <c r="V3475" t="s">
        <v>56978</v>
      </c>
      <c r="W3475" t="s">
        <v>56979</v>
      </c>
      <c r="X3475" t="s">
        <v>56980</v>
      </c>
      <c r="Y3475" t="s">
        <v>56981</v>
      </c>
      <c r="Z3475" t="s">
        <v>56982</v>
      </c>
      <c r="AA3475" t="s">
        <v>74</v>
      </c>
      <c r="AB3475" t="s">
        <v>56983</v>
      </c>
      <c r="AC3475" t="s">
        <v>74</v>
      </c>
      <c r="AD3475" t="s">
        <v>74</v>
      </c>
      <c r="AE3475" t="s">
        <v>74</v>
      </c>
      <c r="AF3475" t="s">
        <v>74</v>
      </c>
      <c r="AG3475">
        <v>20</v>
      </c>
      <c r="AH3475">
        <v>4</v>
      </c>
      <c r="AI3475">
        <v>4</v>
      </c>
      <c r="AJ3475">
        <v>13</v>
      </c>
      <c r="AK3475">
        <v>35</v>
      </c>
      <c r="AL3475" t="s">
        <v>575</v>
      </c>
      <c r="AM3475" t="s">
        <v>576</v>
      </c>
      <c r="AN3475" t="s">
        <v>3242</v>
      </c>
      <c r="AO3475" t="s">
        <v>74</v>
      </c>
      <c r="AP3475" t="s">
        <v>3243</v>
      </c>
      <c r="AQ3475" t="s">
        <v>74</v>
      </c>
      <c r="AR3475" t="s">
        <v>3244</v>
      </c>
      <c r="AS3475" t="s">
        <v>3245</v>
      </c>
      <c r="AT3475" t="s">
        <v>289</v>
      </c>
      <c r="AU3475">
        <v>2024</v>
      </c>
      <c r="AV3475">
        <v>16</v>
      </c>
      <c r="AW3475">
        <v>16</v>
      </c>
      <c r="AX3475" t="s">
        <v>74</v>
      </c>
      <c r="AY3475" t="s">
        <v>74</v>
      </c>
      <c r="AZ3475" t="s">
        <v>74</v>
      </c>
      <c r="BA3475" t="s">
        <v>74</v>
      </c>
      <c r="BB3475" t="s">
        <v>74</v>
      </c>
      <c r="BC3475" t="s">
        <v>74</v>
      </c>
      <c r="BD3475">
        <v>7187</v>
      </c>
      <c r="BE3475" t="s">
        <v>56984</v>
      </c>
      <c r="BF3475" t="str">
        <f>HYPERLINK("http://dx.doi.org/10.3390/su16167187","http://dx.doi.org/10.3390/su16167187")</f>
        <v>http://dx.doi.org/10.3390/su16167187</v>
      </c>
      <c r="BG3475" t="s">
        <v>74</v>
      </c>
      <c r="BH3475" t="s">
        <v>74</v>
      </c>
      <c r="BI3475">
        <v>20</v>
      </c>
      <c r="BJ3475" t="s">
        <v>3247</v>
      </c>
      <c r="BK3475" t="s">
        <v>2623</v>
      </c>
      <c r="BL3475" t="s">
        <v>3248</v>
      </c>
      <c r="BM3475" t="s">
        <v>56985</v>
      </c>
      <c r="BN3475" t="s">
        <v>74</v>
      </c>
      <c r="BO3475" t="s">
        <v>916</v>
      </c>
      <c r="BP3475" t="s">
        <v>74</v>
      </c>
      <c r="BQ3475" t="s">
        <v>74</v>
      </c>
      <c r="BR3475" t="s">
        <v>102</v>
      </c>
      <c r="BS3475" t="s">
        <v>56986</v>
      </c>
      <c r="BT3475" t="str">
        <f>HYPERLINK("https%3A%2F%2Fwww.webofscience.com%2Fwos%2Fwoscc%2Ffull-record%2FWOS:001304730800001","View Full Record in Web of Science")</f>
        <v>View Full Record in Web of Science</v>
      </c>
    </row>
    <row r="3476" spans="1:72" x14ac:dyDescent="0.25">
      <c r="A3476" t="s">
        <v>72</v>
      </c>
      <c r="B3476" t="s">
        <v>56987</v>
      </c>
      <c r="C3476" t="s">
        <v>74</v>
      </c>
      <c r="D3476" t="s">
        <v>74</v>
      </c>
      <c r="E3476" t="s">
        <v>74</v>
      </c>
      <c r="F3476" t="s">
        <v>56988</v>
      </c>
      <c r="G3476" t="s">
        <v>74</v>
      </c>
      <c r="H3476" t="s">
        <v>74</v>
      </c>
      <c r="I3476" t="s">
        <v>56989</v>
      </c>
      <c r="J3476" t="s">
        <v>56990</v>
      </c>
      <c r="K3476" t="s">
        <v>74</v>
      </c>
      <c r="L3476" t="s">
        <v>74</v>
      </c>
      <c r="M3476" t="s">
        <v>78</v>
      </c>
      <c r="N3476" t="s">
        <v>79</v>
      </c>
      <c r="O3476" t="s">
        <v>74</v>
      </c>
      <c r="P3476" t="s">
        <v>74</v>
      </c>
      <c r="Q3476" t="s">
        <v>74</v>
      </c>
      <c r="R3476" t="s">
        <v>74</v>
      </c>
      <c r="S3476" t="s">
        <v>74</v>
      </c>
      <c r="T3476" t="s">
        <v>56991</v>
      </c>
      <c r="U3476" t="s">
        <v>74</v>
      </c>
      <c r="V3476" t="s">
        <v>56992</v>
      </c>
      <c r="W3476" t="s">
        <v>56993</v>
      </c>
      <c r="X3476" t="s">
        <v>56994</v>
      </c>
      <c r="Y3476" t="s">
        <v>56995</v>
      </c>
      <c r="Z3476" t="s">
        <v>56996</v>
      </c>
      <c r="AA3476" t="s">
        <v>74</v>
      </c>
      <c r="AB3476" t="s">
        <v>74</v>
      </c>
      <c r="AC3476" t="s">
        <v>56997</v>
      </c>
      <c r="AD3476" t="s">
        <v>56998</v>
      </c>
      <c r="AE3476" t="s">
        <v>56999</v>
      </c>
      <c r="AF3476" t="s">
        <v>74</v>
      </c>
      <c r="AG3476">
        <v>56</v>
      </c>
      <c r="AH3476">
        <v>5</v>
      </c>
      <c r="AI3476">
        <v>8</v>
      </c>
      <c r="AJ3476">
        <v>0</v>
      </c>
      <c r="AK3476">
        <v>2</v>
      </c>
      <c r="AL3476" t="s">
        <v>385</v>
      </c>
      <c r="AM3476" t="s">
        <v>151</v>
      </c>
      <c r="AN3476" t="s">
        <v>386</v>
      </c>
      <c r="AO3476" t="s">
        <v>57000</v>
      </c>
      <c r="AP3476" t="s">
        <v>57001</v>
      </c>
      <c r="AQ3476" t="s">
        <v>74</v>
      </c>
      <c r="AR3476" t="s">
        <v>57002</v>
      </c>
      <c r="AS3476" t="s">
        <v>57003</v>
      </c>
      <c r="AT3476" t="s">
        <v>1652</v>
      </c>
      <c r="AU3476">
        <v>2018</v>
      </c>
      <c r="AV3476">
        <v>16</v>
      </c>
      <c r="AW3476">
        <v>2</v>
      </c>
      <c r="AX3476" t="s">
        <v>74</v>
      </c>
      <c r="AY3476" t="s">
        <v>74</v>
      </c>
      <c r="AZ3476" t="s">
        <v>74</v>
      </c>
      <c r="BA3476" t="s">
        <v>74</v>
      </c>
      <c r="BB3476">
        <v>337</v>
      </c>
      <c r="BC3476">
        <v>362</v>
      </c>
      <c r="BD3476" t="s">
        <v>74</v>
      </c>
      <c r="BE3476" t="s">
        <v>57004</v>
      </c>
      <c r="BF3476" t="str">
        <f>HYPERLINK("http://dx.doi.org/10.1007/s40953-017-0086-3","http://dx.doi.org/10.1007/s40953-017-0086-3")</f>
        <v>http://dx.doi.org/10.1007/s40953-017-0086-3</v>
      </c>
      <c r="BG3476" t="s">
        <v>74</v>
      </c>
      <c r="BH3476" t="s">
        <v>74</v>
      </c>
      <c r="BI3476">
        <v>26</v>
      </c>
      <c r="BJ3476" t="s">
        <v>291</v>
      </c>
      <c r="BK3476" t="s">
        <v>313</v>
      </c>
      <c r="BL3476" t="s">
        <v>100</v>
      </c>
      <c r="BM3476" t="s">
        <v>57005</v>
      </c>
      <c r="BN3476" t="s">
        <v>74</v>
      </c>
      <c r="BO3476" t="s">
        <v>74</v>
      </c>
      <c r="BP3476" t="s">
        <v>74</v>
      </c>
      <c r="BQ3476" t="s">
        <v>74</v>
      </c>
      <c r="BR3476" t="s">
        <v>102</v>
      </c>
      <c r="BS3476" t="s">
        <v>57006</v>
      </c>
      <c r="BT3476" t="str">
        <f>HYPERLINK("https%3A%2F%2Fwww.webofscience.com%2Fwos%2Fwoscc%2Ffull-record%2FWOS:000538597500002","View Full Record in Web of Science")</f>
        <v>View Full Record in Web of Science</v>
      </c>
    </row>
    <row r="3477" spans="1:72" x14ac:dyDescent="0.25">
      <c r="A3477" t="s">
        <v>72</v>
      </c>
      <c r="B3477" t="s">
        <v>57007</v>
      </c>
      <c r="C3477" t="s">
        <v>74</v>
      </c>
      <c r="D3477" t="s">
        <v>74</v>
      </c>
      <c r="E3477" t="s">
        <v>74</v>
      </c>
      <c r="F3477" t="s">
        <v>57008</v>
      </c>
      <c r="G3477" t="s">
        <v>74</v>
      </c>
      <c r="H3477" t="s">
        <v>74</v>
      </c>
      <c r="I3477" t="s">
        <v>57009</v>
      </c>
      <c r="J3477" t="s">
        <v>57010</v>
      </c>
      <c r="K3477" t="s">
        <v>74</v>
      </c>
      <c r="L3477" t="s">
        <v>74</v>
      </c>
      <c r="M3477" t="s">
        <v>298</v>
      </c>
      <c r="N3477" t="s">
        <v>79</v>
      </c>
      <c r="O3477" t="s">
        <v>74</v>
      </c>
      <c r="P3477" t="s">
        <v>74</v>
      </c>
      <c r="Q3477" t="s">
        <v>74</v>
      </c>
      <c r="R3477" t="s">
        <v>74</v>
      </c>
      <c r="S3477" t="s">
        <v>74</v>
      </c>
      <c r="T3477" t="s">
        <v>57011</v>
      </c>
      <c r="U3477" t="s">
        <v>57012</v>
      </c>
      <c r="V3477" t="s">
        <v>57013</v>
      </c>
      <c r="W3477" t="s">
        <v>57014</v>
      </c>
      <c r="X3477" t="s">
        <v>57015</v>
      </c>
      <c r="Y3477" t="s">
        <v>57016</v>
      </c>
      <c r="Z3477" t="s">
        <v>57017</v>
      </c>
      <c r="AA3477" t="s">
        <v>57018</v>
      </c>
      <c r="AB3477" t="s">
        <v>74</v>
      </c>
      <c r="AC3477" t="s">
        <v>74</v>
      </c>
      <c r="AD3477" t="s">
        <v>74</v>
      </c>
      <c r="AE3477" t="s">
        <v>74</v>
      </c>
      <c r="AF3477" t="s">
        <v>74</v>
      </c>
      <c r="AG3477">
        <v>45</v>
      </c>
      <c r="AH3477">
        <v>0</v>
      </c>
      <c r="AI3477">
        <v>0</v>
      </c>
      <c r="AJ3477">
        <v>0</v>
      </c>
      <c r="AK3477">
        <v>0</v>
      </c>
      <c r="AL3477" t="s">
        <v>57019</v>
      </c>
      <c r="AM3477" t="s">
        <v>39131</v>
      </c>
      <c r="AN3477" t="s">
        <v>57020</v>
      </c>
      <c r="AO3477" t="s">
        <v>57021</v>
      </c>
      <c r="AP3477" t="s">
        <v>57022</v>
      </c>
      <c r="AQ3477" t="s">
        <v>74</v>
      </c>
      <c r="AR3477" t="s">
        <v>57023</v>
      </c>
      <c r="AS3477" t="s">
        <v>57024</v>
      </c>
      <c r="AT3477" t="s">
        <v>124</v>
      </c>
      <c r="AU3477">
        <v>2025</v>
      </c>
      <c r="AV3477">
        <v>121</v>
      </c>
      <c r="AW3477">
        <v>4</v>
      </c>
      <c r="AX3477" t="s">
        <v>74</v>
      </c>
      <c r="AY3477" t="s">
        <v>74</v>
      </c>
      <c r="AZ3477" t="s">
        <v>74</v>
      </c>
      <c r="BA3477" t="s">
        <v>74</v>
      </c>
      <c r="BB3477">
        <v>402</v>
      </c>
      <c r="BC3477">
        <v>419</v>
      </c>
      <c r="BD3477" t="s">
        <v>74</v>
      </c>
      <c r="BE3477" t="s">
        <v>57025</v>
      </c>
      <c r="BF3477" t="str">
        <f>HYPERLINK("http://dx.doi.org/10.12706/itea.2025.015","http://dx.doi.org/10.12706/itea.2025.015")</f>
        <v>http://dx.doi.org/10.12706/itea.2025.015</v>
      </c>
      <c r="BG3477" t="s">
        <v>74</v>
      </c>
      <c r="BH3477" t="s">
        <v>2044</v>
      </c>
      <c r="BI3477">
        <v>18</v>
      </c>
      <c r="BJ3477" t="s">
        <v>57026</v>
      </c>
      <c r="BK3477" t="s">
        <v>128</v>
      </c>
      <c r="BL3477" t="s">
        <v>5152</v>
      </c>
      <c r="BM3477" t="s">
        <v>57027</v>
      </c>
      <c r="BN3477" t="s">
        <v>74</v>
      </c>
      <c r="BO3477" t="s">
        <v>74</v>
      </c>
      <c r="BP3477" t="s">
        <v>74</v>
      </c>
      <c r="BQ3477" t="s">
        <v>74</v>
      </c>
      <c r="BR3477" t="s">
        <v>102</v>
      </c>
      <c r="BS3477" t="s">
        <v>57028</v>
      </c>
      <c r="BT3477" t="str">
        <f>HYPERLINK("https%3A%2F%2Fwww.webofscience.com%2Fwos%2Fwoscc%2Ffull-record%2FWOS:001633293700001","View Full Record in Web of Science")</f>
        <v>View Full Record in Web of Science</v>
      </c>
    </row>
    <row r="3478" spans="1:72" x14ac:dyDescent="0.25">
      <c r="A3478" t="s">
        <v>72</v>
      </c>
      <c r="B3478" t="s">
        <v>57029</v>
      </c>
      <c r="C3478" t="s">
        <v>74</v>
      </c>
      <c r="D3478" t="s">
        <v>74</v>
      </c>
      <c r="E3478" t="s">
        <v>74</v>
      </c>
      <c r="F3478" t="s">
        <v>57030</v>
      </c>
      <c r="G3478" t="s">
        <v>74</v>
      </c>
      <c r="H3478" t="s">
        <v>74</v>
      </c>
      <c r="I3478" t="s">
        <v>57031</v>
      </c>
      <c r="J3478" t="s">
        <v>57032</v>
      </c>
      <c r="K3478" t="s">
        <v>74</v>
      </c>
      <c r="L3478" t="s">
        <v>74</v>
      </c>
      <c r="M3478" t="s">
        <v>78</v>
      </c>
      <c r="N3478" t="s">
        <v>79</v>
      </c>
      <c r="O3478" t="s">
        <v>74</v>
      </c>
      <c r="P3478" t="s">
        <v>74</v>
      </c>
      <c r="Q3478" t="s">
        <v>74</v>
      </c>
      <c r="R3478" t="s">
        <v>74</v>
      </c>
      <c r="S3478" t="s">
        <v>74</v>
      </c>
      <c r="T3478" t="s">
        <v>57033</v>
      </c>
      <c r="U3478" t="s">
        <v>74</v>
      </c>
      <c r="V3478" t="s">
        <v>57034</v>
      </c>
      <c r="W3478" t="s">
        <v>57035</v>
      </c>
      <c r="X3478" t="s">
        <v>2676</v>
      </c>
      <c r="Y3478" t="s">
        <v>57036</v>
      </c>
      <c r="Z3478" t="s">
        <v>57037</v>
      </c>
      <c r="AA3478" t="s">
        <v>57038</v>
      </c>
      <c r="AB3478" t="s">
        <v>74</v>
      </c>
      <c r="AC3478" t="s">
        <v>57039</v>
      </c>
      <c r="AD3478" t="s">
        <v>57040</v>
      </c>
      <c r="AE3478" t="s">
        <v>57041</v>
      </c>
      <c r="AF3478" t="s">
        <v>74</v>
      </c>
      <c r="AG3478">
        <v>25</v>
      </c>
      <c r="AH3478">
        <v>2</v>
      </c>
      <c r="AI3478">
        <v>3</v>
      </c>
      <c r="AJ3478">
        <v>0</v>
      </c>
      <c r="AK3478">
        <v>1</v>
      </c>
      <c r="AL3478" t="s">
        <v>823</v>
      </c>
      <c r="AM3478" t="s">
        <v>333</v>
      </c>
      <c r="AN3478" t="s">
        <v>824</v>
      </c>
      <c r="AO3478" t="s">
        <v>57042</v>
      </c>
      <c r="AP3478" t="s">
        <v>57043</v>
      </c>
      <c r="AQ3478" t="s">
        <v>74</v>
      </c>
      <c r="AR3478" t="s">
        <v>57044</v>
      </c>
      <c r="AS3478" t="s">
        <v>57045</v>
      </c>
      <c r="AT3478" t="s">
        <v>26169</v>
      </c>
      <c r="AU3478">
        <v>2024</v>
      </c>
      <c r="AV3478">
        <v>58</v>
      </c>
      <c r="AW3478">
        <v>6</v>
      </c>
      <c r="AX3478" t="s">
        <v>74</v>
      </c>
      <c r="AY3478" t="s">
        <v>74</v>
      </c>
      <c r="AZ3478" t="s">
        <v>74</v>
      </c>
      <c r="BA3478" t="s">
        <v>74</v>
      </c>
      <c r="BB3478">
        <v>1283</v>
      </c>
      <c r="BC3478">
        <v>1303</v>
      </c>
      <c r="BD3478" t="s">
        <v>74</v>
      </c>
      <c r="BE3478" t="s">
        <v>57046</v>
      </c>
      <c r="BF3478" t="str">
        <f>HYPERLINK("http://dx.doi.org/10.1080/02331888.2024.2419420","http://dx.doi.org/10.1080/02331888.2024.2419420")</f>
        <v>http://dx.doi.org/10.1080/02331888.2024.2419420</v>
      </c>
      <c r="BG3478" t="s">
        <v>74</v>
      </c>
      <c r="BH3478" t="s">
        <v>1136</v>
      </c>
      <c r="BI3478">
        <v>21</v>
      </c>
      <c r="BJ3478" t="s">
        <v>8335</v>
      </c>
      <c r="BK3478" t="s">
        <v>128</v>
      </c>
      <c r="BL3478" t="s">
        <v>8262</v>
      </c>
      <c r="BM3478" t="s">
        <v>57047</v>
      </c>
      <c r="BN3478" t="s">
        <v>74</v>
      </c>
      <c r="BO3478" t="s">
        <v>270</v>
      </c>
      <c r="BP3478" t="s">
        <v>74</v>
      </c>
      <c r="BQ3478" t="s">
        <v>74</v>
      </c>
      <c r="BR3478" t="s">
        <v>102</v>
      </c>
      <c r="BS3478" t="s">
        <v>57048</v>
      </c>
      <c r="BT3478" t="str">
        <f>HYPERLINK("https%3A%2F%2Fwww.webofscience.com%2Fwos%2Fwoscc%2Ffull-record%2FWOS:001341179100001","View Full Record in Web of Science")</f>
        <v>View Full Record in Web of Science</v>
      </c>
    </row>
    <row r="3479" spans="1:72" x14ac:dyDescent="0.25">
      <c r="A3479" t="s">
        <v>72</v>
      </c>
      <c r="B3479" t="s">
        <v>57049</v>
      </c>
      <c r="C3479" t="s">
        <v>74</v>
      </c>
      <c r="D3479" t="s">
        <v>74</v>
      </c>
      <c r="E3479" t="s">
        <v>74</v>
      </c>
      <c r="F3479" t="s">
        <v>57050</v>
      </c>
      <c r="G3479" t="s">
        <v>74</v>
      </c>
      <c r="H3479" t="s">
        <v>74</v>
      </c>
      <c r="I3479" t="s">
        <v>57051</v>
      </c>
      <c r="J3479" t="s">
        <v>3439</v>
      </c>
      <c r="K3479" t="s">
        <v>74</v>
      </c>
      <c r="L3479" t="s">
        <v>74</v>
      </c>
      <c r="M3479" t="s">
        <v>78</v>
      </c>
      <c r="N3479" t="s">
        <v>79</v>
      </c>
      <c r="O3479" t="s">
        <v>74</v>
      </c>
      <c r="P3479" t="s">
        <v>74</v>
      </c>
      <c r="Q3479" t="s">
        <v>74</v>
      </c>
      <c r="R3479" t="s">
        <v>74</v>
      </c>
      <c r="S3479" t="s">
        <v>74</v>
      </c>
      <c r="T3479" t="s">
        <v>57052</v>
      </c>
      <c r="U3479" t="s">
        <v>57053</v>
      </c>
      <c r="V3479" t="s">
        <v>57054</v>
      </c>
      <c r="W3479" t="s">
        <v>57055</v>
      </c>
      <c r="X3479" t="s">
        <v>74</v>
      </c>
      <c r="Y3479" t="s">
        <v>57056</v>
      </c>
      <c r="Z3479" t="s">
        <v>57057</v>
      </c>
      <c r="AA3479" t="s">
        <v>74</v>
      </c>
      <c r="AB3479" t="s">
        <v>57058</v>
      </c>
      <c r="AC3479" t="s">
        <v>74</v>
      </c>
      <c r="AD3479" t="s">
        <v>74</v>
      </c>
      <c r="AE3479" t="s">
        <v>74</v>
      </c>
      <c r="AF3479" t="s">
        <v>74</v>
      </c>
      <c r="AG3479">
        <v>32</v>
      </c>
      <c r="AH3479">
        <v>3</v>
      </c>
      <c r="AI3479">
        <v>3</v>
      </c>
      <c r="AJ3479">
        <v>0</v>
      </c>
      <c r="AK3479">
        <v>5</v>
      </c>
      <c r="AL3479" t="s">
        <v>823</v>
      </c>
      <c r="AM3479" t="s">
        <v>333</v>
      </c>
      <c r="AN3479" t="s">
        <v>824</v>
      </c>
      <c r="AO3479" t="s">
        <v>3443</v>
      </c>
      <c r="AP3479" t="s">
        <v>74</v>
      </c>
      <c r="AQ3479" t="s">
        <v>74</v>
      </c>
      <c r="AR3479" t="s">
        <v>3444</v>
      </c>
      <c r="AS3479" t="s">
        <v>3445</v>
      </c>
      <c r="AT3479" t="s">
        <v>2970</v>
      </c>
      <c r="AU3479">
        <v>2025</v>
      </c>
      <c r="AV3479">
        <v>13</v>
      </c>
      <c r="AW3479">
        <v>1</v>
      </c>
      <c r="AX3479" t="s">
        <v>74</v>
      </c>
      <c r="AY3479" t="s">
        <v>74</v>
      </c>
      <c r="AZ3479" t="s">
        <v>74</v>
      </c>
      <c r="BA3479" t="s">
        <v>74</v>
      </c>
      <c r="BB3479" t="s">
        <v>74</v>
      </c>
      <c r="BC3479" t="s">
        <v>74</v>
      </c>
      <c r="BD3479">
        <v>2461604</v>
      </c>
      <c r="BE3479" t="s">
        <v>57059</v>
      </c>
      <c r="BF3479" t="str">
        <f>HYPERLINK("http://dx.doi.org/10.1080/23322039.2025.2461604","http://dx.doi.org/10.1080/23322039.2025.2461604")</f>
        <v>http://dx.doi.org/10.1080/23322039.2025.2461604</v>
      </c>
      <c r="BG3479" t="s">
        <v>74</v>
      </c>
      <c r="BH3479" t="s">
        <v>74</v>
      </c>
      <c r="BI3479">
        <v>11</v>
      </c>
      <c r="BJ3479" t="s">
        <v>291</v>
      </c>
      <c r="BK3479" t="s">
        <v>313</v>
      </c>
      <c r="BL3479" t="s">
        <v>100</v>
      </c>
      <c r="BM3479" t="s">
        <v>57060</v>
      </c>
      <c r="BN3479" t="s">
        <v>74</v>
      </c>
      <c r="BO3479" t="s">
        <v>212</v>
      </c>
      <c r="BP3479" t="s">
        <v>74</v>
      </c>
      <c r="BQ3479" t="s">
        <v>74</v>
      </c>
      <c r="BR3479" t="s">
        <v>102</v>
      </c>
      <c r="BS3479" t="s">
        <v>57061</v>
      </c>
      <c r="BT3479" t="str">
        <f>HYPERLINK("https%3A%2F%2Fwww.webofscience.com%2Fwos%2Fwoscc%2Ffull-record%2FWOS:001410807900001","View Full Record in Web of Science")</f>
        <v>View Full Record in Web of Science</v>
      </c>
    </row>
    <row r="3480" spans="1:72" x14ac:dyDescent="0.25">
      <c r="A3480" t="s">
        <v>72</v>
      </c>
      <c r="B3480" t="s">
        <v>43475</v>
      </c>
      <c r="C3480" t="s">
        <v>74</v>
      </c>
      <c r="D3480" t="s">
        <v>74</v>
      </c>
      <c r="E3480" t="s">
        <v>74</v>
      </c>
      <c r="F3480" t="s">
        <v>57062</v>
      </c>
      <c r="G3480" t="s">
        <v>74</v>
      </c>
      <c r="H3480" t="s">
        <v>74</v>
      </c>
      <c r="I3480" t="s">
        <v>57063</v>
      </c>
      <c r="J3480" t="s">
        <v>43478</v>
      </c>
      <c r="K3480" t="s">
        <v>74</v>
      </c>
      <c r="L3480" t="s">
        <v>74</v>
      </c>
      <c r="M3480" t="s">
        <v>78</v>
      </c>
      <c r="N3480" t="s">
        <v>79</v>
      </c>
      <c r="O3480" t="s">
        <v>74</v>
      </c>
      <c r="P3480" t="s">
        <v>74</v>
      </c>
      <c r="Q3480" t="s">
        <v>74</v>
      </c>
      <c r="R3480" t="s">
        <v>74</v>
      </c>
      <c r="S3480" t="s">
        <v>74</v>
      </c>
      <c r="T3480" t="s">
        <v>74</v>
      </c>
      <c r="U3480" t="s">
        <v>57064</v>
      </c>
      <c r="V3480" t="s">
        <v>57065</v>
      </c>
      <c r="W3480" t="s">
        <v>57066</v>
      </c>
      <c r="X3480" t="s">
        <v>57067</v>
      </c>
      <c r="Y3480" t="s">
        <v>57068</v>
      </c>
      <c r="Z3480" t="s">
        <v>74</v>
      </c>
      <c r="AA3480" t="s">
        <v>74</v>
      </c>
      <c r="AB3480" t="s">
        <v>74</v>
      </c>
      <c r="AC3480" t="s">
        <v>74</v>
      </c>
      <c r="AD3480" t="s">
        <v>74</v>
      </c>
      <c r="AE3480" t="s">
        <v>74</v>
      </c>
      <c r="AF3480" t="s">
        <v>74</v>
      </c>
      <c r="AG3480">
        <v>150</v>
      </c>
      <c r="AH3480">
        <v>1</v>
      </c>
      <c r="AI3480">
        <v>1</v>
      </c>
      <c r="AJ3480">
        <v>4</v>
      </c>
      <c r="AK3480">
        <v>11</v>
      </c>
      <c r="AL3480" t="s">
        <v>43483</v>
      </c>
      <c r="AM3480" t="s">
        <v>43484</v>
      </c>
      <c r="AN3480" t="s">
        <v>43485</v>
      </c>
      <c r="AO3480" t="s">
        <v>43486</v>
      </c>
      <c r="AP3480" t="s">
        <v>74</v>
      </c>
      <c r="AQ3480" t="s">
        <v>74</v>
      </c>
      <c r="AR3480" t="s">
        <v>43487</v>
      </c>
      <c r="AS3480" t="s">
        <v>43488</v>
      </c>
      <c r="AT3480" t="s">
        <v>1540</v>
      </c>
      <c r="AU3480">
        <v>2023</v>
      </c>
      <c r="AV3480">
        <v>103</v>
      </c>
      <c r="AW3480">
        <v>4</v>
      </c>
      <c r="AX3480" t="s">
        <v>74</v>
      </c>
      <c r="AY3480" t="s">
        <v>74</v>
      </c>
      <c r="AZ3480" t="s">
        <v>74</v>
      </c>
      <c r="BA3480" t="s">
        <v>74</v>
      </c>
      <c r="BB3480">
        <v>967</v>
      </c>
      <c r="BC3480">
        <v>1003</v>
      </c>
      <c r="BD3480" t="s">
        <v>74</v>
      </c>
      <c r="BE3480" t="s">
        <v>74</v>
      </c>
      <c r="BF3480" t="s">
        <v>74</v>
      </c>
      <c r="BG3480" t="s">
        <v>74</v>
      </c>
      <c r="BH3480" t="s">
        <v>74</v>
      </c>
      <c r="BI3480">
        <v>37</v>
      </c>
      <c r="BJ3480" t="s">
        <v>182</v>
      </c>
      <c r="BK3480" t="s">
        <v>99</v>
      </c>
      <c r="BL3480" t="s">
        <v>184</v>
      </c>
      <c r="BM3480" t="s">
        <v>57069</v>
      </c>
      <c r="BN3480" t="s">
        <v>74</v>
      </c>
      <c r="BO3480" t="s">
        <v>74</v>
      </c>
      <c r="BP3480" t="s">
        <v>74</v>
      </c>
      <c r="BQ3480" t="s">
        <v>74</v>
      </c>
      <c r="BR3480" t="s">
        <v>102</v>
      </c>
      <c r="BS3480" t="s">
        <v>57070</v>
      </c>
      <c r="BT3480" t="str">
        <f>HYPERLINK("https%3A%2F%2Fwww.webofscience.com%2Fwos%2Fwoscc%2Ffull-record%2FWOS:001097277100001","View Full Record in Web of Science")</f>
        <v>View Full Record in Web of Science</v>
      </c>
    </row>
    <row r="3481" spans="1:72" x14ac:dyDescent="0.25">
      <c r="A3481" t="s">
        <v>72</v>
      </c>
      <c r="B3481" t="s">
        <v>57071</v>
      </c>
      <c r="C3481" t="s">
        <v>74</v>
      </c>
      <c r="D3481" t="s">
        <v>74</v>
      </c>
      <c r="E3481" t="s">
        <v>74</v>
      </c>
      <c r="F3481" t="s">
        <v>57072</v>
      </c>
      <c r="G3481" t="s">
        <v>74</v>
      </c>
      <c r="H3481" t="s">
        <v>74</v>
      </c>
      <c r="I3481" t="s">
        <v>57073</v>
      </c>
      <c r="J3481" t="s">
        <v>46625</v>
      </c>
      <c r="K3481" t="s">
        <v>74</v>
      </c>
      <c r="L3481" t="s">
        <v>74</v>
      </c>
      <c r="M3481" t="s">
        <v>78</v>
      </c>
      <c r="N3481" t="s">
        <v>79</v>
      </c>
      <c r="O3481" t="s">
        <v>74</v>
      </c>
      <c r="P3481" t="s">
        <v>74</v>
      </c>
      <c r="Q3481" t="s">
        <v>74</v>
      </c>
      <c r="R3481" t="s">
        <v>74</v>
      </c>
      <c r="S3481" t="s">
        <v>74</v>
      </c>
      <c r="T3481" t="s">
        <v>57074</v>
      </c>
      <c r="U3481" t="s">
        <v>57075</v>
      </c>
      <c r="V3481" t="s">
        <v>57076</v>
      </c>
      <c r="W3481" t="s">
        <v>57077</v>
      </c>
      <c r="X3481" t="s">
        <v>57078</v>
      </c>
      <c r="Y3481" t="s">
        <v>57079</v>
      </c>
      <c r="Z3481" t="s">
        <v>57080</v>
      </c>
      <c r="AA3481" t="s">
        <v>57081</v>
      </c>
      <c r="AB3481" t="s">
        <v>74</v>
      </c>
      <c r="AC3481" t="s">
        <v>57082</v>
      </c>
      <c r="AD3481" t="s">
        <v>57083</v>
      </c>
      <c r="AE3481" t="s">
        <v>57084</v>
      </c>
      <c r="AF3481" t="s">
        <v>74</v>
      </c>
      <c r="AG3481">
        <v>126</v>
      </c>
      <c r="AH3481">
        <v>5</v>
      </c>
      <c r="AI3481">
        <v>6</v>
      </c>
      <c r="AJ3481">
        <v>15</v>
      </c>
      <c r="AK3481">
        <v>45</v>
      </c>
      <c r="AL3481" t="s">
        <v>117</v>
      </c>
      <c r="AM3481" t="s">
        <v>118</v>
      </c>
      <c r="AN3481" t="s">
        <v>119</v>
      </c>
      <c r="AO3481" t="s">
        <v>46638</v>
      </c>
      <c r="AP3481" t="s">
        <v>46639</v>
      </c>
      <c r="AQ3481" t="s">
        <v>74</v>
      </c>
      <c r="AR3481" t="s">
        <v>46640</v>
      </c>
      <c r="AS3481" t="s">
        <v>46641</v>
      </c>
      <c r="AT3481" t="s">
        <v>698</v>
      </c>
      <c r="AU3481">
        <v>2024</v>
      </c>
      <c r="AV3481">
        <v>14</v>
      </c>
      <c r="AW3481">
        <v>3</v>
      </c>
      <c r="AX3481" t="s">
        <v>74</v>
      </c>
      <c r="AY3481" t="s">
        <v>74</v>
      </c>
      <c r="AZ3481" t="s">
        <v>74</v>
      </c>
      <c r="BA3481" t="s">
        <v>74</v>
      </c>
      <c r="BB3481">
        <v>727</v>
      </c>
      <c r="BC3481">
        <v>753</v>
      </c>
      <c r="BD3481" t="s">
        <v>74</v>
      </c>
      <c r="BE3481" t="s">
        <v>57085</v>
      </c>
      <c r="BF3481" t="str">
        <f>HYPERLINK("http://dx.doi.org/10.1007/s40821-024-00263-w","http://dx.doi.org/10.1007/s40821-024-00263-w")</f>
        <v>http://dx.doi.org/10.1007/s40821-024-00263-w</v>
      </c>
      <c r="BG3481" t="s">
        <v>74</v>
      </c>
      <c r="BH3481" t="s">
        <v>1981</v>
      </c>
      <c r="BI3481">
        <v>27</v>
      </c>
      <c r="BJ3481" t="s">
        <v>6512</v>
      </c>
      <c r="BK3481" t="s">
        <v>99</v>
      </c>
      <c r="BL3481" t="s">
        <v>100</v>
      </c>
      <c r="BM3481" t="s">
        <v>57086</v>
      </c>
      <c r="BN3481" t="s">
        <v>74</v>
      </c>
      <c r="BO3481" t="s">
        <v>466</v>
      </c>
      <c r="BP3481" t="s">
        <v>74</v>
      </c>
      <c r="BQ3481" t="s">
        <v>74</v>
      </c>
      <c r="BR3481" t="s">
        <v>102</v>
      </c>
      <c r="BS3481" t="s">
        <v>57087</v>
      </c>
      <c r="BT3481" t="str">
        <f>HYPERLINK("https%3A%2F%2Fwww.webofscience.com%2Fwos%2Fwoscc%2Ffull-record%2FWOS:001186211100001","View Full Record in Web of Science")</f>
        <v>View Full Record in Web of Science</v>
      </c>
    </row>
    <row r="3482" spans="1:72" x14ac:dyDescent="0.25">
      <c r="A3482" t="s">
        <v>72</v>
      </c>
      <c r="B3482" t="s">
        <v>57088</v>
      </c>
      <c r="C3482" t="s">
        <v>74</v>
      </c>
      <c r="D3482" t="s">
        <v>74</v>
      </c>
      <c r="E3482" t="s">
        <v>74</v>
      </c>
      <c r="F3482" t="s">
        <v>57089</v>
      </c>
      <c r="G3482" t="s">
        <v>74</v>
      </c>
      <c r="H3482" t="s">
        <v>74</v>
      </c>
      <c r="I3482" t="s">
        <v>57090</v>
      </c>
      <c r="J3482" t="s">
        <v>57091</v>
      </c>
      <c r="K3482" t="s">
        <v>74</v>
      </c>
      <c r="L3482" t="s">
        <v>74</v>
      </c>
      <c r="M3482" t="s">
        <v>78</v>
      </c>
      <c r="N3482" t="s">
        <v>79</v>
      </c>
      <c r="O3482" t="s">
        <v>74</v>
      </c>
      <c r="P3482" t="s">
        <v>74</v>
      </c>
      <c r="Q3482" t="s">
        <v>74</v>
      </c>
      <c r="R3482" t="s">
        <v>74</v>
      </c>
      <c r="S3482" t="s">
        <v>74</v>
      </c>
      <c r="T3482" t="s">
        <v>57092</v>
      </c>
      <c r="U3482" t="s">
        <v>57093</v>
      </c>
      <c r="V3482" t="s">
        <v>57094</v>
      </c>
      <c r="W3482" t="s">
        <v>57095</v>
      </c>
      <c r="X3482" t="s">
        <v>57096</v>
      </c>
      <c r="Y3482" t="s">
        <v>57097</v>
      </c>
      <c r="Z3482" t="s">
        <v>57098</v>
      </c>
      <c r="AA3482" t="s">
        <v>57099</v>
      </c>
      <c r="AB3482" t="s">
        <v>57100</v>
      </c>
      <c r="AC3482" t="s">
        <v>74</v>
      </c>
      <c r="AD3482" t="s">
        <v>74</v>
      </c>
      <c r="AE3482" t="s">
        <v>74</v>
      </c>
      <c r="AF3482" t="s">
        <v>74</v>
      </c>
      <c r="AG3482">
        <v>81</v>
      </c>
      <c r="AH3482">
        <v>30</v>
      </c>
      <c r="AI3482">
        <v>33</v>
      </c>
      <c r="AJ3482">
        <v>0</v>
      </c>
      <c r="AK3482">
        <v>32</v>
      </c>
      <c r="AL3482" t="s">
        <v>230</v>
      </c>
      <c r="AM3482" t="s">
        <v>231</v>
      </c>
      <c r="AN3482" t="s">
        <v>232</v>
      </c>
      <c r="AO3482" t="s">
        <v>57101</v>
      </c>
      <c r="AP3482" t="s">
        <v>57102</v>
      </c>
      <c r="AQ3482" t="s">
        <v>74</v>
      </c>
      <c r="AR3482" t="s">
        <v>57103</v>
      </c>
      <c r="AS3482" t="s">
        <v>57104</v>
      </c>
      <c r="AT3482" t="s">
        <v>208</v>
      </c>
      <c r="AU3482">
        <v>2009</v>
      </c>
      <c r="AV3482">
        <v>33</v>
      </c>
      <c r="AW3482">
        <v>1</v>
      </c>
      <c r="AX3482" t="s">
        <v>74</v>
      </c>
      <c r="AY3482" t="s">
        <v>74</v>
      </c>
      <c r="AZ3482" t="s">
        <v>74</v>
      </c>
      <c r="BA3482" t="s">
        <v>74</v>
      </c>
      <c r="BB3482">
        <v>106</v>
      </c>
      <c r="BC3482">
        <v>113</v>
      </c>
      <c r="BD3482" t="s">
        <v>74</v>
      </c>
      <c r="BE3482" t="s">
        <v>57105</v>
      </c>
      <c r="BF3482" t="str">
        <f>HYPERLINK("http://dx.doi.org/10.1016/j.habitatint.2008.05.004","http://dx.doi.org/10.1016/j.habitatint.2008.05.004")</f>
        <v>http://dx.doi.org/10.1016/j.habitatint.2008.05.004</v>
      </c>
      <c r="BG3482" t="s">
        <v>74</v>
      </c>
      <c r="BH3482" t="s">
        <v>74</v>
      </c>
      <c r="BI3482">
        <v>8</v>
      </c>
      <c r="BJ3482" t="s">
        <v>57106</v>
      </c>
      <c r="BK3482" t="s">
        <v>99</v>
      </c>
      <c r="BL3482" t="s">
        <v>57107</v>
      </c>
      <c r="BM3482" t="s">
        <v>57108</v>
      </c>
      <c r="BN3482" t="s">
        <v>74</v>
      </c>
      <c r="BO3482" t="s">
        <v>74</v>
      </c>
      <c r="BP3482" t="s">
        <v>74</v>
      </c>
      <c r="BQ3482" t="s">
        <v>74</v>
      </c>
      <c r="BR3482" t="s">
        <v>102</v>
      </c>
      <c r="BS3482" t="s">
        <v>57109</v>
      </c>
      <c r="BT3482" t="str">
        <f>HYPERLINK("https%3A%2F%2Fwww.webofscience.com%2Fwos%2Fwoscc%2Ffull-record%2FWOS:000262208700013","View Full Record in Web of Science")</f>
        <v>View Full Record in Web of Science</v>
      </c>
    </row>
    <row r="3483" spans="1:72" x14ac:dyDescent="0.25">
      <c r="A3483" t="s">
        <v>72</v>
      </c>
      <c r="B3483" t="s">
        <v>57110</v>
      </c>
      <c r="C3483" t="s">
        <v>74</v>
      </c>
      <c r="D3483" t="s">
        <v>74</v>
      </c>
      <c r="E3483" t="s">
        <v>74</v>
      </c>
      <c r="F3483" t="s">
        <v>57111</v>
      </c>
      <c r="G3483" t="s">
        <v>74</v>
      </c>
      <c r="H3483" t="s">
        <v>74</v>
      </c>
      <c r="I3483" t="s">
        <v>57112</v>
      </c>
      <c r="J3483" t="s">
        <v>16877</v>
      </c>
      <c r="K3483" t="s">
        <v>74</v>
      </c>
      <c r="L3483" t="s">
        <v>74</v>
      </c>
      <c r="M3483" t="s">
        <v>78</v>
      </c>
      <c r="N3483" t="s">
        <v>79</v>
      </c>
      <c r="O3483" t="s">
        <v>74</v>
      </c>
      <c r="P3483" t="s">
        <v>74</v>
      </c>
      <c r="Q3483" t="s">
        <v>74</v>
      </c>
      <c r="R3483" t="s">
        <v>74</v>
      </c>
      <c r="S3483" t="s">
        <v>74</v>
      </c>
      <c r="T3483" t="s">
        <v>57113</v>
      </c>
      <c r="U3483" t="s">
        <v>57114</v>
      </c>
      <c r="V3483" t="s">
        <v>57115</v>
      </c>
      <c r="W3483" t="s">
        <v>57116</v>
      </c>
      <c r="X3483" t="s">
        <v>57117</v>
      </c>
      <c r="Y3483" t="s">
        <v>57118</v>
      </c>
      <c r="Z3483" t="s">
        <v>57119</v>
      </c>
      <c r="AA3483" t="s">
        <v>57120</v>
      </c>
      <c r="AB3483" t="s">
        <v>57121</v>
      </c>
      <c r="AC3483" t="s">
        <v>74</v>
      </c>
      <c r="AD3483" t="s">
        <v>74</v>
      </c>
      <c r="AE3483" t="s">
        <v>74</v>
      </c>
      <c r="AF3483" t="s">
        <v>74</v>
      </c>
      <c r="AG3483">
        <v>74</v>
      </c>
      <c r="AH3483">
        <v>4</v>
      </c>
      <c r="AI3483">
        <v>5</v>
      </c>
      <c r="AJ3483">
        <v>6</v>
      </c>
      <c r="AK3483">
        <v>26</v>
      </c>
      <c r="AL3483" t="s">
        <v>89</v>
      </c>
      <c r="AM3483" t="s">
        <v>90</v>
      </c>
      <c r="AN3483" t="s">
        <v>91</v>
      </c>
      <c r="AO3483" t="s">
        <v>16887</v>
      </c>
      <c r="AP3483" t="s">
        <v>16888</v>
      </c>
      <c r="AQ3483" t="s">
        <v>74</v>
      </c>
      <c r="AR3483" t="s">
        <v>16889</v>
      </c>
      <c r="AS3483" t="s">
        <v>16890</v>
      </c>
      <c r="AT3483" t="s">
        <v>41131</v>
      </c>
      <c r="AU3483">
        <v>2026</v>
      </c>
      <c r="AV3483">
        <v>78</v>
      </c>
      <c r="AW3483">
        <v>1</v>
      </c>
      <c r="AX3483" t="s">
        <v>74</v>
      </c>
      <c r="AY3483" t="s">
        <v>74</v>
      </c>
      <c r="AZ3483" t="s">
        <v>74</v>
      </c>
      <c r="BA3483" t="s">
        <v>74</v>
      </c>
      <c r="BB3483">
        <v>120</v>
      </c>
      <c r="BC3483">
        <v>141</v>
      </c>
      <c r="BD3483" t="s">
        <v>74</v>
      </c>
      <c r="BE3483" t="s">
        <v>57122</v>
      </c>
      <c r="BF3483" t="str">
        <f>HYPERLINK("http://dx.doi.org/10.1108/AJIM-03-2024-0201","http://dx.doi.org/10.1108/AJIM-03-2024-0201")</f>
        <v>http://dx.doi.org/10.1108/AJIM-03-2024-0201</v>
      </c>
      <c r="BG3483" t="s">
        <v>74</v>
      </c>
      <c r="BH3483" t="s">
        <v>393</v>
      </c>
      <c r="BI3483">
        <v>22</v>
      </c>
      <c r="BJ3483" t="s">
        <v>16851</v>
      </c>
      <c r="BK3483" t="s">
        <v>2623</v>
      </c>
      <c r="BL3483" t="s">
        <v>16852</v>
      </c>
      <c r="BM3483" t="s">
        <v>57123</v>
      </c>
      <c r="BN3483" t="s">
        <v>74</v>
      </c>
      <c r="BO3483" t="s">
        <v>74</v>
      </c>
      <c r="BP3483" t="s">
        <v>74</v>
      </c>
      <c r="BQ3483" t="s">
        <v>74</v>
      </c>
      <c r="BR3483" t="s">
        <v>102</v>
      </c>
      <c r="BS3483" t="s">
        <v>57124</v>
      </c>
      <c r="BT3483" t="str">
        <f>HYPERLINK("https%3A%2F%2Fwww.webofscience.com%2Fwos%2Fwoscc%2Ffull-record%2FWOS:001285451400001","View Full Record in Web of Science")</f>
        <v>View Full Record in Web of Science</v>
      </c>
    </row>
    <row r="3484" spans="1:72" x14ac:dyDescent="0.25">
      <c r="A3484" t="s">
        <v>72</v>
      </c>
      <c r="B3484" t="s">
        <v>57125</v>
      </c>
      <c r="C3484" t="s">
        <v>74</v>
      </c>
      <c r="D3484" t="s">
        <v>74</v>
      </c>
      <c r="E3484" t="s">
        <v>74</v>
      </c>
      <c r="F3484" t="s">
        <v>57126</v>
      </c>
      <c r="G3484" t="s">
        <v>74</v>
      </c>
      <c r="H3484" t="s">
        <v>74</v>
      </c>
      <c r="I3484" t="s">
        <v>57127</v>
      </c>
      <c r="J3484" t="s">
        <v>34693</v>
      </c>
      <c r="K3484" t="s">
        <v>74</v>
      </c>
      <c r="L3484" t="s">
        <v>74</v>
      </c>
      <c r="M3484" t="s">
        <v>78</v>
      </c>
      <c r="N3484" t="s">
        <v>79</v>
      </c>
      <c r="O3484" t="s">
        <v>74</v>
      </c>
      <c r="P3484" t="s">
        <v>74</v>
      </c>
      <c r="Q3484" t="s">
        <v>74</v>
      </c>
      <c r="R3484" t="s">
        <v>74</v>
      </c>
      <c r="S3484" t="s">
        <v>74</v>
      </c>
      <c r="T3484" t="s">
        <v>57128</v>
      </c>
      <c r="U3484" t="s">
        <v>74</v>
      </c>
      <c r="V3484" t="s">
        <v>57129</v>
      </c>
      <c r="W3484" t="s">
        <v>57130</v>
      </c>
      <c r="X3484" t="s">
        <v>43439</v>
      </c>
      <c r="Y3484" t="s">
        <v>57131</v>
      </c>
      <c r="Z3484" t="s">
        <v>57132</v>
      </c>
      <c r="AA3484" t="s">
        <v>57133</v>
      </c>
      <c r="AB3484" t="s">
        <v>57134</v>
      </c>
      <c r="AC3484" t="s">
        <v>74</v>
      </c>
      <c r="AD3484" t="s">
        <v>74</v>
      </c>
      <c r="AE3484" t="s">
        <v>74</v>
      </c>
      <c r="AF3484" t="s">
        <v>74</v>
      </c>
      <c r="AG3484">
        <v>37</v>
      </c>
      <c r="AH3484">
        <v>10</v>
      </c>
      <c r="AI3484">
        <v>12</v>
      </c>
      <c r="AJ3484">
        <v>1</v>
      </c>
      <c r="AK3484">
        <v>18</v>
      </c>
      <c r="AL3484" t="s">
        <v>34703</v>
      </c>
      <c r="AM3484" t="s">
        <v>34704</v>
      </c>
      <c r="AN3484" t="s">
        <v>34705</v>
      </c>
      <c r="AO3484" t="s">
        <v>34706</v>
      </c>
      <c r="AP3484" t="s">
        <v>74</v>
      </c>
      <c r="AQ3484" t="s">
        <v>74</v>
      </c>
      <c r="AR3484" t="s">
        <v>34707</v>
      </c>
      <c r="AS3484" t="s">
        <v>34708</v>
      </c>
      <c r="AT3484" t="s">
        <v>74</v>
      </c>
      <c r="AU3484">
        <v>2018</v>
      </c>
      <c r="AV3484">
        <v>17</v>
      </c>
      <c r="AW3484">
        <v>1</v>
      </c>
      <c r="AX3484" t="s">
        <v>74</v>
      </c>
      <c r="AY3484" t="s">
        <v>74</v>
      </c>
      <c r="AZ3484" t="s">
        <v>74</v>
      </c>
      <c r="BA3484" t="s">
        <v>74</v>
      </c>
      <c r="BB3484">
        <v>105</v>
      </c>
      <c r="BC3484">
        <v>115</v>
      </c>
      <c r="BD3484" t="s">
        <v>74</v>
      </c>
      <c r="BE3484" t="s">
        <v>57135</v>
      </c>
      <c r="BF3484" t="str">
        <f>HYPERLINK("http://dx.doi.org/10.17512/pjms.2018.17.1.09","http://dx.doi.org/10.17512/pjms.2018.17.1.09")</f>
        <v>http://dx.doi.org/10.17512/pjms.2018.17.1.09</v>
      </c>
      <c r="BG3484" t="s">
        <v>74</v>
      </c>
      <c r="BH3484" t="s">
        <v>74</v>
      </c>
      <c r="BI3484">
        <v>11</v>
      </c>
      <c r="BJ3484" t="s">
        <v>583</v>
      </c>
      <c r="BK3484" t="s">
        <v>313</v>
      </c>
      <c r="BL3484" t="s">
        <v>100</v>
      </c>
      <c r="BM3484" t="s">
        <v>57136</v>
      </c>
      <c r="BN3484" t="s">
        <v>74</v>
      </c>
      <c r="BO3484" t="s">
        <v>212</v>
      </c>
      <c r="BP3484" t="s">
        <v>74</v>
      </c>
      <c r="BQ3484" t="s">
        <v>74</v>
      </c>
      <c r="BR3484" t="s">
        <v>102</v>
      </c>
      <c r="BS3484" t="s">
        <v>57137</v>
      </c>
      <c r="BT3484" t="str">
        <f>HYPERLINK("https%3A%2F%2Fwww.webofscience.com%2Fwos%2Fwoscc%2Ffull-record%2FWOS:000437256100009","View Full Record in Web of Science")</f>
        <v>View Full Record in Web of Science</v>
      </c>
    </row>
    <row r="3485" spans="1:72" x14ac:dyDescent="0.25">
      <c r="A3485" t="s">
        <v>72</v>
      </c>
      <c r="B3485" t="s">
        <v>11231</v>
      </c>
      <c r="C3485" t="s">
        <v>74</v>
      </c>
      <c r="D3485" t="s">
        <v>74</v>
      </c>
      <c r="E3485" t="s">
        <v>74</v>
      </c>
      <c r="F3485" t="s">
        <v>11232</v>
      </c>
      <c r="G3485" t="s">
        <v>74</v>
      </c>
      <c r="H3485" t="s">
        <v>74</v>
      </c>
      <c r="I3485" t="s">
        <v>57138</v>
      </c>
      <c r="J3485" t="s">
        <v>57139</v>
      </c>
      <c r="K3485" t="s">
        <v>74</v>
      </c>
      <c r="L3485" t="s">
        <v>74</v>
      </c>
      <c r="M3485" t="s">
        <v>78</v>
      </c>
      <c r="N3485" t="s">
        <v>79</v>
      </c>
      <c r="O3485" t="s">
        <v>74</v>
      </c>
      <c r="P3485" t="s">
        <v>74</v>
      </c>
      <c r="Q3485" t="s">
        <v>74</v>
      </c>
      <c r="R3485" t="s">
        <v>74</v>
      </c>
      <c r="S3485" t="s">
        <v>74</v>
      </c>
      <c r="T3485" t="s">
        <v>57140</v>
      </c>
      <c r="U3485" t="s">
        <v>57141</v>
      </c>
      <c r="V3485" t="s">
        <v>57142</v>
      </c>
      <c r="W3485" t="s">
        <v>46149</v>
      </c>
      <c r="X3485" t="s">
        <v>11237</v>
      </c>
      <c r="Y3485" t="s">
        <v>46150</v>
      </c>
      <c r="Z3485" t="s">
        <v>57143</v>
      </c>
      <c r="AA3485" t="s">
        <v>13309</v>
      </c>
      <c r="AB3485" t="s">
        <v>13310</v>
      </c>
      <c r="AC3485" t="s">
        <v>74</v>
      </c>
      <c r="AD3485" t="s">
        <v>74</v>
      </c>
      <c r="AE3485" t="s">
        <v>74</v>
      </c>
      <c r="AF3485" t="s">
        <v>74</v>
      </c>
      <c r="AG3485">
        <v>83</v>
      </c>
      <c r="AH3485">
        <v>29</v>
      </c>
      <c r="AI3485">
        <v>37</v>
      </c>
      <c r="AJ3485">
        <v>0</v>
      </c>
      <c r="AK3485">
        <v>5</v>
      </c>
      <c r="AL3485" t="s">
        <v>823</v>
      </c>
      <c r="AM3485" t="s">
        <v>333</v>
      </c>
      <c r="AN3485" t="s">
        <v>824</v>
      </c>
      <c r="AO3485" t="s">
        <v>57144</v>
      </c>
      <c r="AP3485" t="s">
        <v>57145</v>
      </c>
      <c r="AQ3485" t="s">
        <v>74</v>
      </c>
      <c r="AR3485" t="s">
        <v>57146</v>
      </c>
      <c r="AS3485" t="s">
        <v>57147</v>
      </c>
      <c r="AT3485" t="s">
        <v>1427</v>
      </c>
      <c r="AU3485">
        <v>2020</v>
      </c>
      <c r="AV3485">
        <v>15</v>
      </c>
      <c r="AW3485">
        <v>1</v>
      </c>
      <c r="AX3485" t="s">
        <v>74</v>
      </c>
      <c r="AY3485" t="s">
        <v>74</v>
      </c>
      <c r="AZ3485" t="s">
        <v>441</v>
      </c>
      <c r="BA3485" t="s">
        <v>74</v>
      </c>
      <c r="BB3485">
        <v>98</v>
      </c>
      <c r="BC3485">
        <v>117</v>
      </c>
      <c r="BD3485" t="s">
        <v>74</v>
      </c>
      <c r="BE3485" t="s">
        <v>57148</v>
      </c>
      <c r="BF3485" t="str">
        <f>HYPERLINK("http://dx.doi.org/10.1080/21582041.2019.1618898","http://dx.doi.org/10.1080/21582041.2019.1618898")</f>
        <v>http://dx.doi.org/10.1080/21582041.2019.1618898</v>
      </c>
      <c r="BG3485" t="s">
        <v>74</v>
      </c>
      <c r="BH3485" t="s">
        <v>74</v>
      </c>
      <c r="BI3485">
        <v>20</v>
      </c>
      <c r="BJ3485" t="s">
        <v>364</v>
      </c>
      <c r="BK3485" t="s">
        <v>313</v>
      </c>
      <c r="BL3485" t="s">
        <v>365</v>
      </c>
      <c r="BM3485" t="s">
        <v>57149</v>
      </c>
      <c r="BN3485" t="s">
        <v>74</v>
      </c>
      <c r="BO3485" t="s">
        <v>74</v>
      </c>
      <c r="BP3485" t="s">
        <v>74</v>
      </c>
      <c r="BQ3485" t="s">
        <v>74</v>
      </c>
      <c r="BR3485" t="s">
        <v>102</v>
      </c>
      <c r="BS3485" t="s">
        <v>57150</v>
      </c>
      <c r="BT3485" t="str">
        <f>HYPERLINK("https%3A%2F%2Fwww.webofscience.com%2Fwos%2Fwoscc%2Ffull-record%2FWOS:000519548800007","View Full Record in Web of Science")</f>
        <v>View Full Record in Web of Science</v>
      </c>
    </row>
    <row r="3486" spans="1:72" x14ac:dyDescent="0.25">
      <c r="A3486" t="s">
        <v>72</v>
      </c>
      <c r="B3486" t="s">
        <v>55022</v>
      </c>
      <c r="C3486" t="s">
        <v>74</v>
      </c>
      <c r="D3486" t="s">
        <v>74</v>
      </c>
      <c r="E3486" t="s">
        <v>74</v>
      </c>
      <c r="F3486" t="s">
        <v>55023</v>
      </c>
      <c r="G3486" t="s">
        <v>74</v>
      </c>
      <c r="H3486" t="s">
        <v>74</v>
      </c>
      <c r="I3486" t="s">
        <v>57151</v>
      </c>
      <c r="J3486" t="s">
        <v>34159</v>
      </c>
      <c r="K3486" t="s">
        <v>74</v>
      </c>
      <c r="L3486" t="s">
        <v>74</v>
      </c>
      <c r="M3486" t="s">
        <v>78</v>
      </c>
      <c r="N3486" t="s">
        <v>79</v>
      </c>
      <c r="O3486" t="s">
        <v>74</v>
      </c>
      <c r="P3486" t="s">
        <v>74</v>
      </c>
      <c r="Q3486" t="s">
        <v>74</v>
      </c>
      <c r="R3486" t="s">
        <v>74</v>
      </c>
      <c r="S3486" t="s">
        <v>74</v>
      </c>
      <c r="T3486" t="s">
        <v>57152</v>
      </c>
      <c r="U3486" t="s">
        <v>57153</v>
      </c>
      <c r="V3486" t="s">
        <v>57154</v>
      </c>
      <c r="W3486" t="s">
        <v>57155</v>
      </c>
      <c r="X3486" t="s">
        <v>52867</v>
      </c>
      <c r="Y3486" t="s">
        <v>57156</v>
      </c>
      <c r="Z3486" t="s">
        <v>53799</v>
      </c>
      <c r="AA3486" t="s">
        <v>74</v>
      </c>
      <c r="AB3486" t="s">
        <v>53800</v>
      </c>
      <c r="AC3486" t="s">
        <v>52871</v>
      </c>
      <c r="AD3486" t="s">
        <v>52872</v>
      </c>
      <c r="AE3486" t="s">
        <v>57157</v>
      </c>
      <c r="AF3486" t="s">
        <v>74</v>
      </c>
      <c r="AG3486">
        <v>41</v>
      </c>
      <c r="AH3486">
        <v>7</v>
      </c>
      <c r="AI3486">
        <v>8</v>
      </c>
      <c r="AJ3486">
        <v>2</v>
      </c>
      <c r="AK3486">
        <v>9</v>
      </c>
      <c r="AL3486" t="s">
        <v>757</v>
      </c>
      <c r="AM3486" t="s">
        <v>758</v>
      </c>
      <c r="AN3486" t="s">
        <v>759</v>
      </c>
      <c r="AO3486" t="s">
        <v>34148</v>
      </c>
      <c r="AP3486" t="s">
        <v>34147</v>
      </c>
      <c r="AQ3486" t="s">
        <v>74</v>
      </c>
      <c r="AR3486" t="s">
        <v>34146</v>
      </c>
      <c r="AS3486" t="s">
        <v>34145</v>
      </c>
      <c r="AT3486" t="s">
        <v>1652</v>
      </c>
      <c r="AU3486">
        <v>2022</v>
      </c>
      <c r="AV3486">
        <v>54</v>
      </c>
      <c r="AW3486">
        <v>4</v>
      </c>
      <c r="AX3486" t="s">
        <v>74</v>
      </c>
      <c r="AY3486" t="s">
        <v>74</v>
      </c>
      <c r="AZ3486" t="s">
        <v>74</v>
      </c>
      <c r="BA3486" t="s">
        <v>74</v>
      </c>
      <c r="BB3486">
        <v>693</v>
      </c>
      <c r="BC3486">
        <v>701</v>
      </c>
      <c r="BD3486" t="s">
        <v>57158</v>
      </c>
      <c r="BE3486" t="s">
        <v>57159</v>
      </c>
      <c r="BF3486" t="str">
        <f>HYPERLINK("http://dx.doi.org/10.1177/0308518X221088867","http://dx.doi.org/10.1177/0308518X221088867")</f>
        <v>http://dx.doi.org/10.1177/0308518X221088867</v>
      </c>
      <c r="BG3486" t="s">
        <v>74</v>
      </c>
      <c r="BH3486" t="s">
        <v>767</v>
      </c>
      <c r="BI3486">
        <v>9</v>
      </c>
      <c r="BJ3486" t="s">
        <v>34142</v>
      </c>
      <c r="BK3486" t="s">
        <v>99</v>
      </c>
      <c r="BL3486" t="s">
        <v>34141</v>
      </c>
      <c r="BM3486" t="s">
        <v>52876</v>
      </c>
      <c r="BN3486">
        <v>35528225</v>
      </c>
      <c r="BO3486" t="s">
        <v>37979</v>
      </c>
      <c r="BP3486" t="s">
        <v>74</v>
      </c>
      <c r="BQ3486" t="s">
        <v>74</v>
      </c>
      <c r="BR3486" t="s">
        <v>102</v>
      </c>
      <c r="BS3486" t="s">
        <v>57160</v>
      </c>
      <c r="BT3486" t="str">
        <f>HYPERLINK("https%3A%2F%2Fwww.webofscience.com%2Fwos%2Fwoscc%2Ffull-record%2FWOS:000778553900001","View Full Record in Web of Science")</f>
        <v>View Full Record in Web of Science</v>
      </c>
    </row>
    <row r="3487" spans="1:72" x14ac:dyDescent="0.25">
      <c r="A3487" t="s">
        <v>72</v>
      </c>
      <c r="B3487" t="s">
        <v>57161</v>
      </c>
      <c r="C3487" t="s">
        <v>74</v>
      </c>
      <c r="D3487" t="s">
        <v>74</v>
      </c>
      <c r="E3487" t="s">
        <v>74</v>
      </c>
      <c r="F3487" t="s">
        <v>57162</v>
      </c>
      <c r="G3487" t="s">
        <v>74</v>
      </c>
      <c r="H3487" t="s">
        <v>74</v>
      </c>
      <c r="I3487" t="s">
        <v>57163</v>
      </c>
      <c r="J3487" t="s">
        <v>8942</v>
      </c>
      <c r="K3487" t="s">
        <v>74</v>
      </c>
      <c r="L3487" t="s">
        <v>74</v>
      </c>
      <c r="M3487" t="s">
        <v>78</v>
      </c>
      <c r="N3487" t="s">
        <v>79</v>
      </c>
      <c r="O3487" t="s">
        <v>74</v>
      </c>
      <c r="P3487" t="s">
        <v>74</v>
      </c>
      <c r="Q3487" t="s">
        <v>74</v>
      </c>
      <c r="R3487" t="s">
        <v>74</v>
      </c>
      <c r="S3487" t="s">
        <v>74</v>
      </c>
      <c r="T3487" t="s">
        <v>57164</v>
      </c>
      <c r="U3487" t="s">
        <v>57165</v>
      </c>
      <c r="V3487" t="s">
        <v>57166</v>
      </c>
      <c r="W3487" t="s">
        <v>57167</v>
      </c>
      <c r="X3487" t="s">
        <v>57168</v>
      </c>
      <c r="Y3487" t="s">
        <v>57169</v>
      </c>
      <c r="Z3487" t="s">
        <v>57170</v>
      </c>
      <c r="AA3487" t="s">
        <v>52738</v>
      </c>
      <c r="AB3487" t="s">
        <v>52739</v>
      </c>
      <c r="AC3487" t="s">
        <v>74</v>
      </c>
      <c r="AD3487" t="s">
        <v>74</v>
      </c>
      <c r="AE3487" t="s">
        <v>74</v>
      </c>
      <c r="AF3487" t="s">
        <v>74</v>
      </c>
      <c r="AG3487">
        <v>36</v>
      </c>
      <c r="AH3487">
        <v>2</v>
      </c>
      <c r="AI3487">
        <v>3</v>
      </c>
      <c r="AJ3487">
        <v>1</v>
      </c>
      <c r="AK3487">
        <v>5</v>
      </c>
      <c r="AL3487" t="s">
        <v>89</v>
      </c>
      <c r="AM3487" t="s">
        <v>90</v>
      </c>
      <c r="AN3487" t="s">
        <v>91</v>
      </c>
      <c r="AO3487" t="s">
        <v>8952</v>
      </c>
      <c r="AP3487" t="s">
        <v>8953</v>
      </c>
      <c r="AQ3487" t="s">
        <v>74</v>
      </c>
      <c r="AR3487" t="s">
        <v>8954</v>
      </c>
      <c r="AS3487" t="s">
        <v>8955</v>
      </c>
      <c r="AT3487" t="s">
        <v>9822</v>
      </c>
      <c r="AU3487">
        <v>2023</v>
      </c>
      <c r="AV3487">
        <v>14</v>
      </c>
      <c r="AW3487">
        <v>4</v>
      </c>
      <c r="AX3487" t="s">
        <v>74</v>
      </c>
      <c r="AY3487" t="s">
        <v>74</v>
      </c>
      <c r="AZ3487" t="s">
        <v>74</v>
      </c>
      <c r="BA3487" t="s">
        <v>74</v>
      </c>
      <c r="BB3487">
        <v>741</v>
      </c>
      <c r="BC3487">
        <v>756</v>
      </c>
      <c r="BD3487" t="s">
        <v>74</v>
      </c>
      <c r="BE3487" t="s">
        <v>57171</v>
      </c>
      <c r="BF3487" t="str">
        <f>HYPERLINK("http://dx.doi.org/10.1108/AJEMS-11-2022-0470","http://dx.doi.org/10.1108/AJEMS-11-2022-0470")</f>
        <v>http://dx.doi.org/10.1108/AJEMS-11-2022-0470</v>
      </c>
      <c r="BG3487" t="s">
        <v>74</v>
      </c>
      <c r="BH3487" t="s">
        <v>7993</v>
      </c>
      <c r="BI3487">
        <v>16</v>
      </c>
      <c r="BJ3487" t="s">
        <v>291</v>
      </c>
      <c r="BK3487" t="s">
        <v>313</v>
      </c>
      <c r="BL3487" t="s">
        <v>100</v>
      </c>
      <c r="BM3487" t="s">
        <v>57172</v>
      </c>
      <c r="BN3487" t="s">
        <v>74</v>
      </c>
      <c r="BO3487" t="s">
        <v>74</v>
      </c>
      <c r="BP3487" t="s">
        <v>74</v>
      </c>
      <c r="BQ3487" t="s">
        <v>74</v>
      </c>
      <c r="BR3487" t="s">
        <v>102</v>
      </c>
      <c r="BS3487" t="s">
        <v>57173</v>
      </c>
      <c r="BT3487" t="str">
        <f>HYPERLINK("https%3A%2F%2Fwww.webofscience.com%2Fwos%2Fwoscc%2Ffull-record%2FWOS:001045205700001","View Full Record in Web of Science")</f>
        <v>View Full Record in Web of Science</v>
      </c>
    </row>
    <row r="3488" spans="1:72" x14ac:dyDescent="0.25">
      <c r="A3488" t="s">
        <v>72</v>
      </c>
      <c r="B3488" t="s">
        <v>57174</v>
      </c>
      <c r="C3488" t="s">
        <v>74</v>
      </c>
      <c r="D3488" t="s">
        <v>74</v>
      </c>
      <c r="E3488" t="s">
        <v>74</v>
      </c>
      <c r="F3488" t="s">
        <v>57175</v>
      </c>
      <c r="G3488" t="s">
        <v>74</v>
      </c>
      <c r="H3488" t="s">
        <v>74</v>
      </c>
      <c r="I3488" t="s">
        <v>57176</v>
      </c>
      <c r="J3488" t="s">
        <v>9896</v>
      </c>
      <c r="K3488" t="s">
        <v>74</v>
      </c>
      <c r="L3488" t="s">
        <v>74</v>
      </c>
      <c r="M3488" t="s">
        <v>78</v>
      </c>
      <c r="N3488" t="s">
        <v>79</v>
      </c>
      <c r="O3488" t="s">
        <v>74</v>
      </c>
      <c r="P3488" t="s">
        <v>74</v>
      </c>
      <c r="Q3488" t="s">
        <v>74</v>
      </c>
      <c r="R3488" t="s">
        <v>74</v>
      </c>
      <c r="S3488" t="s">
        <v>74</v>
      </c>
      <c r="T3488" t="s">
        <v>57177</v>
      </c>
      <c r="U3488" t="s">
        <v>57178</v>
      </c>
      <c r="V3488" t="s">
        <v>57179</v>
      </c>
      <c r="W3488" t="s">
        <v>57180</v>
      </c>
      <c r="X3488" t="s">
        <v>9303</v>
      </c>
      <c r="Y3488" t="s">
        <v>57181</v>
      </c>
      <c r="Z3488" t="s">
        <v>57182</v>
      </c>
      <c r="AA3488" t="s">
        <v>55876</v>
      </c>
      <c r="AB3488" t="s">
        <v>74</v>
      </c>
      <c r="AC3488" t="s">
        <v>74</v>
      </c>
      <c r="AD3488" t="s">
        <v>74</v>
      </c>
      <c r="AE3488" t="s">
        <v>74</v>
      </c>
      <c r="AF3488" t="s">
        <v>74</v>
      </c>
      <c r="AG3488">
        <v>100</v>
      </c>
      <c r="AH3488">
        <v>37</v>
      </c>
      <c r="AI3488">
        <v>43</v>
      </c>
      <c r="AJ3488">
        <v>1</v>
      </c>
      <c r="AK3488">
        <v>33</v>
      </c>
      <c r="AL3488" t="s">
        <v>89</v>
      </c>
      <c r="AM3488" t="s">
        <v>1497</v>
      </c>
      <c r="AN3488" t="s">
        <v>1498</v>
      </c>
      <c r="AO3488" t="s">
        <v>9905</v>
      </c>
      <c r="AP3488" t="s">
        <v>9906</v>
      </c>
      <c r="AQ3488" t="s">
        <v>74</v>
      </c>
      <c r="AR3488" t="s">
        <v>9907</v>
      </c>
      <c r="AS3488" t="s">
        <v>9908</v>
      </c>
      <c r="AT3488" t="s">
        <v>9909</v>
      </c>
      <c r="AU3488">
        <v>2020</v>
      </c>
      <c r="AV3488">
        <v>80</v>
      </c>
      <c r="AW3488">
        <v>4</v>
      </c>
      <c r="AX3488" t="s">
        <v>74</v>
      </c>
      <c r="AY3488" t="s">
        <v>74</v>
      </c>
      <c r="AZ3488" t="s">
        <v>74</v>
      </c>
      <c r="BA3488" t="s">
        <v>74</v>
      </c>
      <c r="BB3488">
        <v>563</v>
      </c>
      <c r="BC3488">
        <v>588</v>
      </c>
      <c r="BD3488" t="s">
        <v>74</v>
      </c>
      <c r="BE3488" t="s">
        <v>57183</v>
      </c>
      <c r="BF3488" t="str">
        <f>HYPERLINK("http://dx.doi.org/10.1108/AFR-01-2020-0013","http://dx.doi.org/10.1108/AFR-01-2020-0013")</f>
        <v>http://dx.doi.org/10.1108/AFR-01-2020-0013</v>
      </c>
      <c r="BG3488" t="s">
        <v>74</v>
      </c>
      <c r="BH3488" t="s">
        <v>7249</v>
      </c>
      <c r="BI3488">
        <v>26</v>
      </c>
      <c r="BJ3488" t="s">
        <v>5151</v>
      </c>
      <c r="BK3488" t="s">
        <v>313</v>
      </c>
      <c r="BL3488" t="s">
        <v>5152</v>
      </c>
      <c r="BM3488" t="s">
        <v>9911</v>
      </c>
      <c r="BN3488" t="s">
        <v>74</v>
      </c>
      <c r="BO3488" t="s">
        <v>74</v>
      </c>
      <c r="BP3488" t="s">
        <v>74</v>
      </c>
      <c r="BQ3488" t="s">
        <v>74</v>
      </c>
      <c r="BR3488" t="s">
        <v>102</v>
      </c>
      <c r="BS3488" t="s">
        <v>57184</v>
      </c>
      <c r="BT3488" t="str">
        <f>HYPERLINK("https%3A%2F%2Fwww.webofscience.com%2Fwos%2Fwoscc%2Ffull-record%2FWOS:000529545800001","View Full Record in Web of Science")</f>
        <v>View Full Record in Web of Science</v>
      </c>
    </row>
    <row r="3489" spans="1:72" x14ac:dyDescent="0.25">
      <c r="A3489" t="s">
        <v>72</v>
      </c>
      <c r="B3489" t="s">
        <v>57185</v>
      </c>
      <c r="C3489" t="s">
        <v>74</v>
      </c>
      <c r="D3489" t="s">
        <v>74</v>
      </c>
      <c r="E3489" t="s">
        <v>74</v>
      </c>
      <c r="F3489" t="s">
        <v>57186</v>
      </c>
      <c r="G3489" t="s">
        <v>74</v>
      </c>
      <c r="H3489" t="s">
        <v>74</v>
      </c>
      <c r="I3489" t="s">
        <v>57187</v>
      </c>
      <c r="J3489" t="s">
        <v>10143</v>
      </c>
      <c r="K3489" t="s">
        <v>74</v>
      </c>
      <c r="L3489" t="s">
        <v>74</v>
      </c>
      <c r="M3489" t="s">
        <v>78</v>
      </c>
      <c r="N3489" t="s">
        <v>79</v>
      </c>
      <c r="O3489" t="s">
        <v>74</v>
      </c>
      <c r="P3489" t="s">
        <v>74</v>
      </c>
      <c r="Q3489" t="s">
        <v>74</v>
      </c>
      <c r="R3489" t="s">
        <v>74</v>
      </c>
      <c r="S3489" t="s">
        <v>74</v>
      </c>
      <c r="T3489" t="s">
        <v>57188</v>
      </c>
      <c r="U3489" t="s">
        <v>57189</v>
      </c>
      <c r="V3489" t="s">
        <v>57190</v>
      </c>
      <c r="W3489" t="s">
        <v>57191</v>
      </c>
      <c r="X3489" t="s">
        <v>57192</v>
      </c>
      <c r="Y3489" t="s">
        <v>57193</v>
      </c>
      <c r="Z3489" t="s">
        <v>57194</v>
      </c>
      <c r="AA3489" t="s">
        <v>57195</v>
      </c>
      <c r="AB3489" t="s">
        <v>57196</v>
      </c>
      <c r="AC3489" t="s">
        <v>74</v>
      </c>
      <c r="AD3489" t="s">
        <v>74</v>
      </c>
      <c r="AE3489" t="s">
        <v>74</v>
      </c>
      <c r="AF3489" t="s">
        <v>74</v>
      </c>
      <c r="AG3489">
        <v>113</v>
      </c>
      <c r="AH3489">
        <v>0</v>
      </c>
      <c r="AI3489">
        <v>0</v>
      </c>
      <c r="AJ3489">
        <v>12</v>
      </c>
      <c r="AK3489">
        <v>12</v>
      </c>
      <c r="AL3489" t="s">
        <v>201</v>
      </c>
      <c r="AM3489" t="s">
        <v>202</v>
      </c>
      <c r="AN3489" t="s">
        <v>203</v>
      </c>
      <c r="AO3489" t="s">
        <v>10155</v>
      </c>
      <c r="AP3489" t="s">
        <v>10156</v>
      </c>
      <c r="AQ3489" t="s">
        <v>74</v>
      </c>
      <c r="AR3489" t="s">
        <v>10157</v>
      </c>
      <c r="AS3489" t="s">
        <v>10158</v>
      </c>
      <c r="AT3489" t="s">
        <v>891</v>
      </c>
      <c r="AU3489">
        <v>2025</v>
      </c>
      <c r="AV3489">
        <v>54</v>
      </c>
      <c r="AW3489">
        <v>9</v>
      </c>
      <c r="AX3489" t="s">
        <v>74</v>
      </c>
      <c r="AY3489" t="s">
        <v>74</v>
      </c>
      <c r="AZ3489" t="s">
        <v>74</v>
      </c>
      <c r="BA3489" t="s">
        <v>74</v>
      </c>
      <c r="BB3489" t="s">
        <v>74</v>
      </c>
      <c r="BC3489" t="s">
        <v>74</v>
      </c>
      <c r="BD3489">
        <v>105303</v>
      </c>
      <c r="BE3489" t="s">
        <v>57197</v>
      </c>
      <c r="BF3489" t="str">
        <f>HYPERLINK("http://dx.doi.org/10.1016/j.respol.2025.105303","http://dx.doi.org/10.1016/j.respol.2025.105303")</f>
        <v>http://dx.doi.org/10.1016/j.respol.2025.105303</v>
      </c>
      <c r="BG3489" t="s">
        <v>74</v>
      </c>
      <c r="BH3489" t="s">
        <v>3411</v>
      </c>
      <c r="BI3489">
        <v>18</v>
      </c>
      <c r="BJ3489" t="s">
        <v>583</v>
      </c>
      <c r="BK3489" t="s">
        <v>99</v>
      </c>
      <c r="BL3489" t="s">
        <v>100</v>
      </c>
      <c r="BM3489" t="s">
        <v>57198</v>
      </c>
      <c r="BN3489" t="s">
        <v>74</v>
      </c>
      <c r="BO3489" t="s">
        <v>270</v>
      </c>
      <c r="BP3489" t="s">
        <v>74</v>
      </c>
      <c r="BQ3489" t="s">
        <v>74</v>
      </c>
      <c r="BR3489" t="s">
        <v>102</v>
      </c>
      <c r="BS3489" t="s">
        <v>57199</v>
      </c>
      <c r="BT3489" t="str">
        <f>HYPERLINK("https%3A%2F%2Fwww.webofscience.com%2Fwos%2Fwoscc%2Ffull-record%2FWOS:001565855500001","View Full Record in Web of Science")</f>
        <v>View Full Record in Web of Science</v>
      </c>
    </row>
    <row r="3490" spans="1:72" x14ac:dyDescent="0.25">
      <c r="A3490" t="s">
        <v>72</v>
      </c>
      <c r="B3490" t="s">
        <v>57200</v>
      </c>
      <c r="C3490" t="s">
        <v>74</v>
      </c>
      <c r="D3490" t="s">
        <v>74</v>
      </c>
      <c r="E3490" t="s">
        <v>74</v>
      </c>
      <c r="F3490" t="s">
        <v>57201</v>
      </c>
      <c r="G3490" t="s">
        <v>74</v>
      </c>
      <c r="H3490" t="s">
        <v>74</v>
      </c>
      <c r="I3490" t="s">
        <v>57202</v>
      </c>
      <c r="J3490" t="s">
        <v>57203</v>
      </c>
      <c r="K3490" t="s">
        <v>74</v>
      </c>
      <c r="L3490" t="s">
        <v>74</v>
      </c>
      <c r="M3490" t="s">
        <v>78</v>
      </c>
      <c r="N3490" t="s">
        <v>79</v>
      </c>
      <c r="O3490" t="s">
        <v>74</v>
      </c>
      <c r="P3490" t="s">
        <v>74</v>
      </c>
      <c r="Q3490" t="s">
        <v>74</v>
      </c>
      <c r="R3490" t="s">
        <v>74</v>
      </c>
      <c r="S3490" t="s">
        <v>74</v>
      </c>
      <c r="T3490" t="s">
        <v>57204</v>
      </c>
      <c r="U3490" t="s">
        <v>57205</v>
      </c>
      <c r="V3490" t="s">
        <v>57206</v>
      </c>
      <c r="W3490" t="s">
        <v>57207</v>
      </c>
      <c r="X3490" t="s">
        <v>57208</v>
      </c>
      <c r="Y3490" t="s">
        <v>57209</v>
      </c>
      <c r="Z3490" t="s">
        <v>57210</v>
      </c>
      <c r="AA3490" t="s">
        <v>57211</v>
      </c>
      <c r="AB3490" t="s">
        <v>57212</v>
      </c>
      <c r="AC3490" t="s">
        <v>74</v>
      </c>
      <c r="AD3490" t="s">
        <v>74</v>
      </c>
      <c r="AE3490" t="s">
        <v>57213</v>
      </c>
      <c r="AF3490" t="s">
        <v>74</v>
      </c>
      <c r="AG3490">
        <v>45</v>
      </c>
      <c r="AH3490">
        <v>1</v>
      </c>
      <c r="AI3490">
        <v>2</v>
      </c>
      <c r="AJ3490">
        <v>3</v>
      </c>
      <c r="AK3490">
        <v>15</v>
      </c>
      <c r="AL3490" t="s">
        <v>57214</v>
      </c>
      <c r="AM3490" t="s">
        <v>57215</v>
      </c>
      <c r="AN3490" t="s">
        <v>57216</v>
      </c>
      <c r="AO3490" t="s">
        <v>74</v>
      </c>
      <c r="AP3490" t="s">
        <v>57217</v>
      </c>
      <c r="AQ3490" t="s">
        <v>74</v>
      </c>
      <c r="AR3490" t="s">
        <v>57218</v>
      </c>
      <c r="AS3490" t="s">
        <v>57219</v>
      </c>
      <c r="AT3490" t="s">
        <v>1159</v>
      </c>
      <c r="AU3490">
        <v>2023</v>
      </c>
      <c r="AV3490">
        <v>6</v>
      </c>
      <c r="AW3490" t="s">
        <v>74</v>
      </c>
      <c r="AX3490" t="s">
        <v>74</v>
      </c>
      <c r="AY3490" t="s">
        <v>74</v>
      </c>
      <c r="AZ3490" t="s">
        <v>441</v>
      </c>
      <c r="BA3490" t="s">
        <v>74</v>
      </c>
      <c r="BB3490">
        <v>202</v>
      </c>
      <c r="BC3490">
        <v>216</v>
      </c>
      <c r="BD3490" t="s">
        <v>74</v>
      </c>
      <c r="BE3490" t="s">
        <v>57220</v>
      </c>
      <c r="BF3490" t="str">
        <f>HYPERLINK("http://dx.doi.org/10.52637/kiid.1352334","http://dx.doi.org/10.52637/kiid.1352334")</f>
        <v>http://dx.doi.org/10.52637/kiid.1352334</v>
      </c>
      <c r="BG3490" t="s">
        <v>74</v>
      </c>
      <c r="BH3490" t="s">
        <v>74</v>
      </c>
      <c r="BI3490">
        <v>15</v>
      </c>
      <c r="BJ3490" t="s">
        <v>9799</v>
      </c>
      <c r="BK3490" t="s">
        <v>313</v>
      </c>
      <c r="BL3490" t="s">
        <v>9799</v>
      </c>
      <c r="BM3490" t="s">
        <v>57221</v>
      </c>
      <c r="BN3490" t="s">
        <v>74</v>
      </c>
      <c r="BO3490" t="s">
        <v>916</v>
      </c>
      <c r="BP3490" t="s">
        <v>74</v>
      </c>
      <c r="BQ3490" t="s">
        <v>74</v>
      </c>
      <c r="BR3490" t="s">
        <v>102</v>
      </c>
      <c r="BS3490" t="s">
        <v>57222</v>
      </c>
      <c r="BT3490" t="str">
        <f>HYPERLINK("https%3A%2F%2Fwww.webofscience.com%2Fwos%2Fwoscc%2Ffull-record%2FWOS:001284210700008","View Full Record in Web of Science")</f>
        <v>View Full Record in Web of Science</v>
      </c>
    </row>
    <row r="3491" spans="1:72" x14ac:dyDescent="0.25">
      <c r="A3491" t="s">
        <v>72</v>
      </c>
      <c r="B3491" t="s">
        <v>57223</v>
      </c>
      <c r="C3491" t="s">
        <v>74</v>
      </c>
      <c r="D3491" t="s">
        <v>74</v>
      </c>
      <c r="E3491" t="s">
        <v>74</v>
      </c>
      <c r="F3491" t="s">
        <v>57224</v>
      </c>
      <c r="G3491" t="s">
        <v>74</v>
      </c>
      <c r="H3491" t="s">
        <v>74</v>
      </c>
      <c r="I3491" t="s">
        <v>57225</v>
      </c>
      <c r="J3491" t="s">
        <v>7119</v>
      </c>
      <c r="K3491" t="s">
        <v>74</v>
      </c>
      <c r="L3491" t="s">
        <v>74</v>
      </c>
      <c r="M3491" t="s">
        <v>78</v>
      </c>
      <c r="N3491" t="s">
        <v>79</v>
      </c>
      <c r="O3491" t="s">
        <v>74</v>
      </c>
      <c r="P3491" t="s">
        <v>74</v>
      </c>
      <c r="Q3491" t="s">
        <v>74</v>
      </c>
      <c r="R3491" t="s">
        <v>74</v>
      </c>
      <c r="S3491" t="s">
        <v>74</v>
      </c>
      <c r="T3491" t="s">
        <v>57226</v>
      </c>
      <c r="U3491" t="s">
        <v>74</v>
      </c>
      <c r="V3491" t="s">
        <v>57227</v>
      </c>
      <c r="W3491" t="s">
        <v>57228</v>
      </c>
      <c r="X3491" t="s">
        <v>7771</v>
      </c>
      <c r="Y3491" t="s">
        <v>57229</v>
      </c>
      <c r="Z3491" t="s">
        <v>57230</v>
      </c>
      <c r="AA3491" t="s">
        <v>57231</v>
      </c>
      <c r="AB3491" t="s">
        <v>57232</v>
      </c>
      <c r="AC3491" t="s">
        <v>74</v>
      </c>
      <c r="AD3491" t="s">
        <v>74</v>
      </c>
      <c r="AE3491" t="s">
        <v>74</v>
      </c>
      <c r="AF3491" t="s">
        <v>74</v>
      </c>
      <c r="AG3491">
        <v>45</v>
      </c>
      <c r="AH3491">
        <v>5</v>
      </c>
      <c r="AI3491">
        <v>6</v>
      </c>
      <c r="AJ3491">
        <v>0</v>
      </c>
      <c r="AK3491">
        <v>6</v>
      </c>
      <c r="AL3491" t="s">
        <v>89</v>
      </c>
      <c r="AM3491" t="s">
        <v>1497</v>
      </c>
      <c r="AN3491" t="s">
        <v>1498</v>
      </c>
      <c r="AO3491" t="s">
        <v>7128</v>
      </c>
      <c r="AP3491" t="s">
        <v>74</v>
      </c>
      <c r="AQ3491" t="s">
        <v>74</v>
      </c>
      <c r="AR3491" t="s">
        <v>7129</v>
      </c>
      <c r="AS3491" t="s">
        <v>7130</v>
      </c>
      <c r="AT3491" t="s">
        <v>74</v>
      </c>
      <c r="AU3491">
        <v>2019</v>
      </c>
      <c r="AV3491">
        <v>11</v>
      </c>
      <c r="AW3491">
        <v>3</v>
      </c>
      <c r="AX3491" t="s">
        <v>74</v>
      </c>
      <c r="AY3491" t="s">
        <v>74</v>
      </c>
      <c r="AZ3491" t="s">
        <v>74</v>
      </c>
      <c r="BA3491" t="s">
        <v>74</v>
      </c>
      <c r="BB3491">
        <v>282</v>
      </c>
      <c r="BC3491">
        <v>304</v>
      </c>
      <c r="BD3491" t="s">
        <v>74</v>
      </c>
      <c r="BE3491" t="s">
        <v>57233</v>
      </c>
      <c r="BF3491" t="str">
        <f>HYPERLINK("http://dx.doi.org/10.1108/QRFM-03-2018-0027","http://dx.doi.org/10.1108/QRFM-03-2018-0027")</f>
        <v>http://dx.doi.org/10.1108/QRFM-03-2018-0027</v>
      </c>
      <c r="BG3491" t="s">
        <v>74</v>
      </c>
      <c r="BH3491" t="s">
        <v>74</v>
      </c>
      <c r="BI3491">
        <v>23</v>
      </c>
      <c r="BJ3491" t="s">
        <v>268</v>
      </c>
      <c r="BK3491" t="s">
        <v>313</v>
      </c>
      <c r="BL3491" t="s">
        <v>100</v>
      </c>
      <c r="BM3491" t="s">
        <v>57234</v>
      </c>
      <c r="BN3491" t="s">
        <v>74</v>
      </c>
      <c r="BO3491" t="s">
        <v>74</v>
      </c>
      <c r="BP3491" t="s">
        <v>74</v>
      </c>
      <c r="BQ3491" t="s">
        <v>74</v>
      </c>
      <c r="BR3491" t="s">
        <v>102</v>
      </c>
      <c r="BS3491" t="s">
        <v>57235</v>
      </c>
      <c r="BT3491" t="str">
        <f>HYPERLINK("https%3A%2F%2Fwww.webofscience.com%2Fwos%2Fwoscc%2Ffull-record%2FWOS:000501351100001","View Full Record in Web of Science")</f>
        <v>View Full Record in Web of Science</v>
      </c>
    </row>
    <row r="3492" spans="1:72" x14ac:dyDescent="0.25">
      <c r="A3492" t="s">
        <v>72</v>
      </c>
      <c r="B3492" t="s">
        <v>57236</v>
      </c>
      <c r="C3492" t="s">
        <v>74</v>
      </c>
      <c r="D3492" t="s">
        <v>74</v>
      </c>
      <c r="E3492" t="s">
        <v>74</v>
      </c>
      <c r="F3492" t="s">
        <v>57237</v>
      </c>
      <c r="G3492" t="s">
        <v>74</v>
      </c>
      <c r="H3492" t="s">
        <v>74</v>
      </c>
      <c r="I3492" t="s">
        <v>57238</v>
      </c>
      <c r="J3492" t="s">
        <v>3231</v>
      </c>
      <c r="K3492" t="s">
        <v>74</v>
      </c>
      <c r="L3492" t="s">
        <v>74</v>
      </c>
      <c r="M3492" t="s">
        <v>78</v>
      </c>
      <c r="N3492" t="s">
        <v>79</v>
      </c>
      <c r="O3492" t="s">
        <v>74</v>
      </c>
      <c r="P3492" t="s">
        <v>74</v>
      </c>
      <c r="Q3492" t="s">
        <v>74</v>
      </c>
      <c r="R3492" t="s">
        <v>74</v>
      </c>
      <c r="S3492" t="s">
        <v>74</v>
      </c>
      <c r="T3492" t="s">
        <v>57239</v>
      </c>
      <c r="U3492" t="s">
        <v>57240</v>
      </c>
      <c r="V3492" t="s">
        <v>57241</v>
      </c>
      <c r="W3492" t="s">
        <v>57242</v>
      </c>
      <c r="X3492" t="s">
        <v>57243</v>
      </c>
      <c r="Y3492" t="s">
        <v>57244</v>
      </c>
      <c r="Z3492" t="s">
        <v>57245</v>
      </c>
      <c r="AA3492" t="s">
        <v>57246</v>
      </c>
      <c r="AB3492" t="s">
        <v>57247</v>
      </c>
      <c r="AC3492" t="s">
        <v>74</v>
      </c>
      <c r="AD3492" t="s">
        <v>74</v>
      </c>
      <c r="AE3492" t="s">
        <v>74</v>
      </c>
      <c r="AF3492" t="s">
        <v>74</v>
      </c>
      <c r="AG3492">
        <v>62</v>
      </c>
      <c r="AH3492">
        <v>0</v>
      </c>
      <c r="AI3492">
        <v>0</v>
      </c>
      <c r="AJ3492">
        <v>2</v>
      </c>
      <c r="AK3492">
        <v>2</v>
      </c>
      <c r="AL3492" t="s">
        <v>575</v>
      </c>
      <c r="AM3492" t="s">
        <v>576</v>
      </c>
      <c r="AN3492" t="s">
        <v>577</v>
      </c>
      <c r="AO3492" t="s">
        <v>74</v>
      </c>
      <c r="AP3492" t="s">
        <v>3243</v>
      </c>
      <c r="AQ3492" t="s">
        <v>74</v>
      </c>
      <c r="AR3492" t="s">
        <v>3244</v>
      </c>
      <c r="AS3492" t="s">
        <v>3245</v>
      </c>
      <c r="AT3492" t="s">
        <v>8352</v>
      </c>
      <c r="AU3492">
        <v>2025</v>
      </c>
      <c r="AV3492">
        <v>17</v>
      </c>
      <c r="AW3492">
        <v>14</v>
      </c>
      <c r="AX3492" t="s">
        <v>74</v>
      </c>
      <c r="AY3492" t="s">
        <v>74</v>
      </c>
      <c r="AZ3492" t="s">
        <v>74</v>
      </c>
      <c r="BA3492" t="s">
        <v>74</v>
      </c>
      <c r="BB3492" t="s">
        <v>74</v>
      </c>
      <c r="BC3492" t="s">
        <v>74</v>
      </c>
      <c r="BD3492">
        <v>6464</v>
      </c>
      <c r="BE3492" t="s">
        <v>57248</v>
      </c>
      <c r="BF3492" t="str">
        <f>HYPERLINK("http://dx.doi.org/10.3390/su17146464","http://dx.doi.org/10.3390/su17146464")</f>
        <v>http://dx.doi.org/10.3390/su17146464</v>
      </c>
      <c r="BG3492" t="s">
        <v>74</v>
      </c>
      <c r="BH3492" t="s">
        <v>74</v>
      </c>
      <c r="BI3492">
        <v>25</v>
      </c>
      <c r="BJ3492" t="s">
        <v>3247</v>
      </c>
      <c r="BK3492" t="s">
        <v>2623</v>
      </c>
      <c r="BL3492" t="s">
        <v>3248</v>
      </c>
      <c r="BM3492" t="s">
        <v>57249</v>
      </c>
      <c r="BN3492" t="s">
        <v>74</v>
      </c>
      <c r="BO3492" t="s">
        <v>212</v>
      </c>
      <c r="BP3492" t="s">
        <v>74</v>
      </c>
      <c r="BQ3492" t="s">
        <v>74</v>
      </c>
      <c r="BR3492" t="s">
        <v>102</v>
      </c>
      <c r="BS3492" t="s">
        <v>57250</v>
      </c>
      <c r="BT3492" t="str">
        <f>HYPERLINK("https%3A%2F%2Fwww.webofscience.com%2Fwos%2Fwoscc%2Ffull-record%2FWOS:001535966700001","View Full Record in Web of Science")</f>
        <v>View Full Record in Web of Science</v>
      </c>
    </row>
    <row r="3493" spans="1:72" x14ac:dyDescent="0.25">
      <c r="A3493" t="s">
        <v>72</v>
      </c>
      <c r="B3493" t="s">
        <v>57251</v>
      </c>
      <c r="C3493" t="s">
        <v>74</v>
      </c>
      <c r="D3493" t="s">
        <v>74</v>
      </c>
      <c r="E3493" t="s">
        <v>74</v>
      </c>
      <c r="F3493" t="s">
        <v>57252</v>
      </c>
      <c r="G3493" t="s">
        <v>74</v>
      </c>
      <c r="H3493" t="s">
        <v>74</v>
      </c>
      <c r="I3493" t="s">
        <v>57253</v>
      </c>
      <c r="J3493" t="s">
        <v>34159</v>
      </c>
      <c r="K3493" t="s">
        <v>74</v>
      </c>
      <c r="L3493" t="s">
        <v>74</v>
      </c>
      <c r="M3493" t="s">
        <v>78</v>
      </c>
      <c r="N3493" t="s">
        <v>79</v>
      </c>
      <c r="O3493" t="s">
        <v>74</v>
      </c>
      <c r="P3493" t="s">
        <v>74</v>
      </c>
      <c r="Q3493" t="s">
        <v>74</v>
      </c>
      <c r="R3493" t="s">
        <v>74</v>
      </c>
      <c r="S3493" t="s">
        <v>74</v>
      </c>
      <c r="T3493" t="s">
        <v>57254</v>
      </c>
      <c r="U3493" t="s">
        <v>57255</v>
      </c>
      <c r="V3493" t="s">
        <v>57256</v>
      </c>
      <c r="W3493" t="s">
        <v>57257</v>
      </c>
      <c r="X3493" t="s">
        <v>54998</v>
      </c>
      <c r="Y3493" t="s">
        <v>57258</v>
      </c>
      <c r="Z3493" t="s">
        <v>57259</v>
      </c>
      <c r="AA3493" t="s">
        <v>74</v>
      </c>
      <c r="AB3493" t="s">
        <v>57260</v>
      </c>
      <c r="AC3493" t="s">
        <v>57261</v>
      </c>
      <c r="AD3493" t="s">
        <v>7096</v>
      </c>
      <c r="AE3493" t="s">
        <v>57262</v>
      </c>
      <c r="AF3493" t="s">
        <v>74</v>
      </c>
      <c r="AG3493">
        <v>117</v>
      </c>
      <c r="AH3493">
        <v>6</v>
      </c>
      <c r="AI3493">
        <v>9</v>
      </c>
      <c r="AJ3493">
        <v>1</v>
      </c>
      <c r="AK3493">
        <v>9</v>
      </c>
      <c r="AL3493" t="s">
        <v>757</v>
      </c>
      <c r="AM3493" t="s">
        <v>758</v>
      </c>
      <c r="AN3493" t="s">
        <v>759</v>
      </c>
      <c r="AO3493" t="s">
        <v>34148</v>
      </c>
      <c r="AP3493" t="s">
        <v>34147</v>
      </c>
      <c r="AQ3493" t="s">
        <v>74</v>
      </c>
      <c r="AR3493" t="s">
        <v>34146</v>
      </c>
      <c r="AS3493" t="s">
        <v>34145</v>
      </c>
      <c r="AT3493" t="s">
        <v>1652</v>
      </c>
      <c r="AU3493">
        <v>2022</v>
      </c>
      <c r="AV3493">
        <v>54</v>
      </c>
      <c r="AW3493">
        <v>4</v>
      </c>
      <c r="AX3493" t="s">
        <v>74</v>
      </c>
      <c r="AY3493" t="s">
        <v>74</v>
      </c>
      <c r="AZ3493" t="s">
        <v>74</v>
      </c>
      <c r="BA3493" t="s">
        <v>74</v>
      </c>
      <c r="BB3493">
        <v>702</v>
      </c>
      <c r="BC3493">
        <v>721</v>
      </c>
      <c r="BD3493" t="s">
        <v>57263</v>
      </c>
      <c r="BE3493" t="s">
        <v>57264</v>
      </c>
      <c r="BF3493" t="str">
        <f>HYPERLINK("http://dx.doi.org/10.1177/0308518X211038013","http://dx.doi.org/10.1177/0308518X211038013")</f>
        <v>http://dx.doi.org/10.1177/0308518X211038013</v>
      </c>
      <c r="BG3493" t="s">
        <v>74</v>
      </c>
      <c r="BH3493" t="s">
        <v>1818</v>
      </c>
      <c r="BI3493">
        <v>20</v>
      </c>
      <c r="BJ3493" t="s">
        <v>34142</v>
      </c>
      <c r="BK3493" t="s">
        <v>99</v>
      </c>
      <c r="BL3493" t="s">
        <v>34141</v>
      </c>
      <c r="BM3493" t="s">
        <v>52876</v>
      </c>
      <c r="BN3493" t="s">
        <v>74</v>
      </c>
      <c r="BO3493" t="s">
        <v>270</v>
      </c>
      <c r="BP3493" t="s">
        <v>74</v>
      </c>
      <c r="BQ3493" t="s">
        <v>74</v>
      </c>
      <c r="BR3493" t="s">
        <v>102</v>
      </c>
      <c r="BS3493" t="s">
        <v>57265</v>
      </c>
      <c r="BT3493" t="str">
        <f>HYPERLINK("https%3A%2F%2Fwww.webofscience.com%2Fwos%2Fwoscc%2Ffull-record%2FWOS:000687356600001","View Full Record in Web of Science")</f>
        <v>View Full Record in Web of Science</v>
      </c>
    </row>
    <row r="3494" spans="1:72" x14ac:dyDescent="0.25">
      <c r="A3494" t="s">
        <v>72</v>
      </c>
      <c r="B3494" t="s">
        <v>57266</v>
      </c>
      <c r="C3494" t="s">
        <v>74</v>
      </c>
      <c r="D3494" t="s">
        <v>74</v>
      </c>
      <c r="E3494" t="s">
        <v>74</v>
      </c>
      <c r="F3494" t="s">
        <v>57267</v>
      </c>
      <c r="G3494" t="s">
        <v>74</v>
      </c>
      <c r="H3494" t="s">
        <v>74</v>
      </c>
      <c r="I3494" t="s">
        <v>57268</v>
      </c>
      <c r="J3494" t="s">
        <v>39401</v>
      </c>
      <c r="K3494" t="s">
        <v>74</v>
      </c>
      <c r="L3494" t="s">
        <v>74</v>
      </c>
      <c r="M3494" t="s">
        <v>78</v>
      </c>
      <c r="N3494" t="s">
        <v>372</v>
      </c>
      <c r="O3494" t="s">
        <v>74</v>
      </c>
      <c r="P3494" t="s">
        <v>74</v>
      </c>
      <c r="Q3494" t="s">
        <v>74</v>
      </c>
      <c r="R3494" t="s">
        <v>74</v>
      </c>
      <c r="S3494" t="s">
        <v>74</v>
      </c>
      <c r="T3494" t="s">
        <v>57269</v>
      </c>
      <c r="U3494" t="s">
        <v>74</v>
      </c>
      <c r="V3494" t="s">
        <v>57270</v>
      </c>
      <c r="W3494" t="s">
        <v>57271</v>
      </c>
      <c r="X3494" t="s">
        <v>74</v>
      </c>
      <c r="Y3494" t="s">
        <v>57272</v>
      </c>
      <c r="Z3494" t="s">
        <v>57273</v>
      </c>
      <c r="AA3494" t="s">
        <v>74</v>
      </c>
      <c r="AB3494" t="s">
        <v>74</v>
      </c>
      <c r="AC3494" t="s">
        <v>74</v>
      </c>
      <c r="AD3494" t="s">
        <v>74</v>
      </c>
      <c r="AE3494" t="s">
        <v>74</v>
      </c>
      <c r="AF3494" t="s">
        <v>74</v>
      </c>
      <c r="AG3494">
        <v>76</v>
      </c>
      <c r="AH3494">
        <v>0</v>
      </c>
      <c r="AI3494">
        <v>0</v>
      </c>
      <c r="AJ3494">
        <v>5</v>
      </c>
      <c r="AK3494">
        <v>11</v>
      </c>
      <c r="AL3494" t="s">
        <v>89</v>
      </c>
      <c r="AM3494" t="s">
        <v>90</v>
      </c>
      <c r="AN3494" t="s">
        <v>91</v>
      </c>
      <c r="AO3494" t="s">
        <v>39412</v>
      </c>
      <c r="AP3494" t="s">
        <v>39413</v>
      </c>
      <c r="AQ3494" t="s">
        <v>74</v>
      </c>
      <c r="AR3494" t="s">
        <v>39414</v>
      </c>
      <c r="AS3494" t="s">
        <v>39415</v>
      </c>
      <c r="AT3494" t="s">
        <v>29537</v>
      </c>
      <c r="AU3494">
        <v>2025</v>
      </c>
      <c r="AV3494" t="s">
        <v>74</v>
      </c>
      <c r="AW3494" t="s">
        <v>74</v>
      </c>
      <c r="AX3494" t="s">
        <v>74</v>
      </c>
      <c r="AY3494" t="s">
        <v>74</v>
      </c>
      <c r="AZ3494" t="s">
        <v>74</v>
      </c>
      <c r="BA3494" t="s">
        <v>74</v>
      </c>
      <c r="BB3494" t="s">
        <v>74</v>
      </c>
      <c r="BC3494" t="s">
        <v>74</v>
      </c>
      <c r="BD3494" t="s">
        <v>74</v>
      </c>
      <c r="BE3494" t="s">
        <v>57274</v>
      </c>
      <c r="BF3494" t="str">
        <f>HYPERLINK("http://dx.doi.org/10.1108/IJIS-03-2024-0066","http://dx.doi.org/10.1108/IJIS-03-2024-0066")</f>
        <v>http://dx.doi.org/10.1108/IJIS-03-2024-0066</v>
      </c>
      <c r="BG3494" t="s">
        <v>74</v>
      </c>
      <c r="BH3494" t="s">
        <v>1737</v>
      </c>
      <c r="BI3494">
        <v>18</v>
      </c>
      <c r="BJ3494" t="s">
        <v>418</v>
      </c>
      <c r="BK3494" t="s">
        <v>313</v>
      </c>
      <c r="BL3494" t="s">
        <v>100</v>
      </c>
      <c r="BM3494" t="s">
        <v>57275</v>
      </c>
      <c r="BN3494" t="s">
        <v>74</v>
      </c>
      <c r="BO3494" t="s">
        <v>74</v>
      </c>
      <c r="BP3494" t="s">
        <v>74</v>
      </c>
      <c r="BQ3494" t="s">
        <v>74</v>
      </c>
      <c r="BR3494" t="s">
        <v>102</v>
      </c>
      <c r="BS3494" t="s">
        <v>57276</v>
      </c>
      <c r="BT3494" t="str">
        <f>HYPERLINK("https%3A%2F%2Fwww.webofscience.com%2Fwos%2Fwoscc%2Ffull-record%2FWOS:001401909600001","View Full Record in Web of Science")</f>
        <v>View Full Record in Web of Science</v>
      </c>
    </row>
    <row r="3495" spans="1:72" x14ac:dyDescent="0.25">
      <c r="A3495" t="s">
        <v>72</v>
      </c>
      <c r="B3495" t="s">
        <v>57277</v>
      </c>
      <c r="C3495" t="s">
        <v>74</v>
      </c>
      <c r="D3495" t="s">
        <v>74</v>
      </c>
      <c r="E3495" t="s">
        <v>74</v>
      </c>
      <c r="F3495" t="s">
        <v>57278</v>
      </c>
      <c r="G3495" t="s">
        <v>74</v>
      </c>
      <c r="H3495" t="s">
        <v>74</v>
      </c>
      <c r="I3495" t="s">
        <v>57279</v>
      </c>
      <c r="J3495" t="s">
        <v>3619</v>
      </c>
      <c r="K3495" t="s">
        <v>74</v>
      </c>
      <c r="L3495" t="s">
        <v>74</v>
      </c>
      <c r="M3495" t="s">
        <v>78</v>
      </c>
      <c r="N3495" t="s">
        <v>79</v>
      </c>
      <c r="O3495" t="s">
        <v>74</v>
      </c>
      <c r="P3495" t="s">
        <v>74</v>
      </c>
      <c r="Q3495" t="s">
        <v>74</v>
      </c>
      <c r="R3495" t="s">
        <v>74</v>
      </c>
      <c r="S3495" t="s">
        <v>74</v>
      </c>
      <c r="T3495" t="s">
        <v>57280</v>
      </c>
      <c r="U3495" t="s">
        <v>57281</v>
      </c>
      <c r="V3495" t="s">
        <v>57282</v>
      </c>
      <c r="W3495" t="s">
        <v>57283</v>
      </c>
      <c r="X3495" t="s">
        <v>74</v>
      </c>
      <c r="Y3495" t="s">
        <v>57284</v>
      </c>
      <c r="Z3495" t="s">
        <v>57285</v>
      </c>
      <c r="AA3495" t="s">
        <v>57286</v>
      </c>
      <c r="AB3495" t="s">
        <v>57287</v>
      </c>
      <c r="AC3495" t="s">
        <v>74</v>
      </c>
      <c r="AD3495" t="s">
        <v>74</v>
      </c>
      <c r="AE3495" t="s">
        <v>74</v>
      </c>
      <c r="AF3495" t="s">
        <v>74</v>
      </c>
      <c r="AG3495">
        <v>95</v>
      </c>
      <c r="AH3495">
        <v>3</v>
      </c>
      <c r="AI3495">
        <v>7</v>
      </c>
      <c r="AJ3495">
        <v>2</v>
      </c>
      <c r="AK3495">
        <v>3</v>
      </c>
      <c r="AL3495" t="s">
        <v>117</v>
      </c>
      <c r="AM3495" t="s">
        <v>118</v>
      </c>
      <c r="AN3495" t="s">
        <v>119</v>
      </c>
      <c r="AO3495" t="s">
        <v>3630</v>
      </c>
      <c r="AP3495" t="s">
        <v>3631</v>
      </c>
      <c r="AQ3495" t="s">
        <v>74</v>
      </c>
      <c r="AR3495" t="s">
        <v>3632</v>
      </c>
      <c r="AS3495" t="s">
        <v>3633</v>
      </c>
      <c r="AT3495" t="s">
        <v>605</v>
      </c>
      <c r="AU3495">
        <v>2025</v>
      </c>
      <c r="AV3495">
        <v>26</v>
      </c>
      <c r="AW3495">
        <v>1</v>
      </c>
      <c r="AX3495" t="s">
        <v>74</v>
      </c>
      <c r="AY3495" t="s">
        <v>74</v>
      </c>
      <c r="AZ3495" t="s">
        <v>74</v>
      </c>
      <c r="BA3495" t="s">
        <v>74</v>
      </c>
      <c r="BB3495">
        <v>279</v>
      </c>
      <c r="BC3495">
        <v>316</v>
      </c>
      <c r="BD3495" t="s">
        <v>74</v>
      </c>
      <c r="BE3495" t="s">
        <v>57288</v>
      </c>
      <c r="BF3495" t="str">
        <f>HYPERLINK("http://dx.doi.org/10.1007/s12134-024-01184-3","http://dx.doi.org/10.1007/s12134-024-01184-3")</f>
        <v>http://dx.doi.org/10.1007/s12134-024-01184-3</v>
      </c>
      <c r="BG3495" t="s">
        <v>74</v>
      </c>
      <c r="BH3495" t="s">
        <v>393</v>
      </c>
      <c r="BI3495">
        <v>38</v>
      </c>
      <c r="BJ3495" t="s">
        <v>3635</v>
      </c>
      <c r="BK3495" t="s">
        <v>313</v>
      </c>
      <c r="BL3495" t="s">
        <v>3635</v>
      </c>
      <c r="BM3495" t="s">
        <v>57289</v>
      </c>
      <c r="BN3495" t="s">
        <v>74</v>
      </c>
      <c r="BO3495" t="s">
        <v>74</v>
      </c>
      <c r="BP3495" t="s">
        <v>74</v>
      </c>
      <c r="BQ3495" t="s">
        <v>74</v>
      </c>
      <c r="BR3495" t="s">
        <v>102</v>
      </c>
      <c r="BS3495" t="s">
        <v>57290</v>
      </c>
      <c r="BT3495" t="str">
        <f>HYPERLINK("https%3A%2F%2Fwww.webofscience.com%2Fwos%2Fwoscc%2Ffull-record%2FWOS:001298751400001","View Full Record in Web of Science")</f>
        <v>View Full Record in Web of Science</v>
      </c>
    </row>
    <row r="3496" spans="1:72" x14ac:dyDescent="0.25">
      <c r="A3496" t="s">
        <v>72</v>
      </c>
      <c r="B3496" t="s">
        <v>57291</v>
      </c>
      <c r="C3496" t="s">
        <v>74</v>
      </c>
      <c r="D3496" t="s">
        <v>74</v>
      </c>
      <c r="E3496" t="s">
        <v>74</v>
      </c>
      <c r="F3496" t="s">
        <v>57292</v>
      </c>
      <c r="G3496" t="s">
        <v>74</v>
      </c>
      <c r="H3496" t="s">
        <v>74</v>
      </c>
      <c r="I3496" t="s">
        <v>57293</v>
      </c>
      <c r="J3496" t="s">
        <v>57294</v>
      </c>
      <c r="K3496" t="s">
        <v>74</v>
      </c>
      <c r="L3496" t="s">
        <v>74</v>
      </c>
      <c r="M3496" t="s">
        <v>78</v>
      </c>
      <c r="N3496" t="s">
        <v>79</v>
      </c>
      <c r="O3496" t="s">
        <v>74</v>
      </c>
      <c r="P3496" t="s">
        <v>74</v>
      </c>
      <c r="Q3496" t="s">
        <v>74</v>
      </c>
      <c r="R3496" t="s">
        <v>74</v>
      </c>
      <c r="S3496" t="s">
        <v>74</v>
      </c>
      <c r="T3496" t="s">
        <v>57295</v>
      </c>
      <c r="U3496" t="s">
        <v>57296</v>
      </c>
      <c r="V3496" t="s">
        <v>57297</v>
      </c>
      <c r="W3496" t="s">
        <v>57298</v>
      </c>
      <c r="X3496" t="s">
        <v>74</v>
      </c>
      <c r="Y3496" t="s">
        <v>57299</v>
      </c>
      <c r="Z3496" t="s">
        <v>57300</v>
      </c>
      <c r="AA3496" t="s">
        <v>74</v>
      </c>
      <c r="AB3496" t="s">
        <v>57301</v>
      </c>
      <c r="AC3496" t="s">
        <v>57302</v>
      </c>
      <c r="AD3496" t="s">
        <v>57302</v>
      </c>
      <c r="AE3496" t="s">
        <v>57303</v>
      </c>
      <c r="AF3496" t="s">
        <v>74</v>
      </c>
      <c r="AG3496">
        <v>53</v>
      </c>
      <c r="AH3496">
        <v>21</v>
      </c>
      <c r="AI3496">
        <v>25</v>
      </c>
      <c r="AJ3496">
        <v>0</v>
      </c>
      <c r="AK3496">
        <v>46</v>
      </c>
      <c r="AL3496" t="s">
        <v>385</v>
      </c>
      <c r="AM3496" t="s">
        <v>151</v>
      </c>
      <c r="AN3496" t="s">
        <v>386</v>
      </c>
      <c r="AO3496" t="s">
        <v>57304</v>
      </c>
      <c r="AP3496" t="s">
        <v>57305</v>
      </c>
      <c r="AQ3496" t="s">
        <v>74</v>
      </c>
      <c r="AR3496" t="s">
        <v>57306</v>
      </c>
      <c r="AS3496" t="s">
        <v>57307</v>
      </c>
      <c r="AT3496" t="s">
        <v>237</v>
      </c>
      <c r="AU3496">
        <v>2013</v>
      </c>
      <c r="AV3496">
        <v>65</v>
      </c>
      <c r="AW3496">
        <v>3</v>
      </c>
      <c r="AX3496" t="s">
        <v>74</v>
      </c>
      <c r="AY3496" t="s">
        <v>74</v>
      </c>
      <c r="AZ3496" t="s">
        <v>74</v>
      </c>
      <c r="BA3496" t="s">
        <v>74</v>
      </c>
      <c r="BB3496">
        <v>1443</v>
      </c>
      <c r="BC3496">
        <v>1464</v>
      </c>
      <c r="BD3496" t="s">
        <v>74</v>
      </c>
      <c r="BE3496" t="s">
        <v>57308</v>
      </c>
      <c r="BF3496" t="str">
        <f>HYPERLINK("http://dx.doi.org/10.1007/s11069-012-0417-9","http://dx.doi.org/10.1007/s11069-012-0417-9")</f>
        <v>http://dx.doi.org/10.1007/s11069-012-0417-9</v>
      </c>
      <c r="BG3496" t="s">
        <v>74</v>
      </c>
      <c r="BH3496" t="s">
        <v>74</v>
      </c>
      <c r="BI3496">
        <v>22</v>
      </c>
      <c r="BJ3496" t="s">
        <v>7994</v>
      </c>
      <c r="BK3496" t="s">
        <v>2623</v>
      </c>
      <c r="BL3496" t="s">
        <v>7995</v>
      </c>
      <c r="BM3496" t="s">
        <v>57309</v>
      </c>
      <c r="BN3496" t="s">
        <v>74</v>
      </c>
      <c r="BO3496" t="s">
        <v>74</v>
      </c>
      <c r="BP3496" t="s">
        <v>74</v>
      </c>
      <c r="BQ3496" t="s">
        <v>74</v>
      </c>
      <c r="BR3496" t="s">
        <v>102</v>
      </c>
      <c r="BS3496" t="s">
        <v>57310</v>
      </c>
      <c r="BT3496" t="str">
        <f>HYPERLINK("https%3A%2F%2Fwww.webofscience.com%2Fwos%2Fwoscc%2Ffull-record%2FWOS:000313008500013","View Full Record in Web of Science")</f>
        <v>View Full Record in Web of Science</v>
      </c>
    </row>
    <row r="3497" spans="1:72" x14ac:dyDescent="0.25">
      <c r="A3497" t="s">
        <v>72</v>
      </c>
      <c r="B3497" t="s">
        <v>57311</v>
      </c>
      <c r="C3497" t="s">
        <v>74</v>
      </c>
      <c r="D3497" t="s">
        <v>74</v>
      </c>
      <c r="E3497" t="s">
        <v>74</v>
      </c>
      <c r="F3497" t="s">
        <v>57312</v>
      </c>
      <c r="G3497" t="s">
        <v>74</v>
      </c>
      <c r="H3497" t="s">
        <v>74</v>
      </c>
      <c r="I3497" t="s">
        <v>57313</v>
      </c>
      <c r="J3497" t="s">
        <v>57314</v>
      </c>
      <c r="K3497" t="s">
        <v>74</v>
      </c>
      <c r="L3497" t="s">
        <v>74</v>
      </c>
      <c r="M3497" t="s">
        <v>78</v>
      </c>
      <c r="N3497" t="s">
        <v>79</v>
      </c>
      <c r="O3497" t="s">
        <v>74</v>
      </c>
      <c r="P3497" t="s">
        <v>74</v>
      </c>
      <c r="Q3497" t="s">
        <v>74</v>
      </c>
      <c r="R3497" t="s">
        <v>74</v>
      </c>
      <c r="S3497" t="s">
        <v>74</v>
      </c>
      <c r="T3497" t="s">
        <v>57315</v>
      </c>
      <c r="U3497" t="s">
        <v>74</v>
      </c>
      <c r="V3497" t="s">
        <v>57316</v>
      </c>
      <c r="W3497" t="s">
        <v>57317</v>
      </c>
      <c r="X3497" t="s">
        <v>57318</v>
      </c>
      <c r="Y3497" t="s">
        <v>57319</v>
      </c>
      <c r="Z3497" t="s">
        <v>57320</v>
      </c>
      <c r="AA3497" t="s">
        <v>57321</v>
      </c>
      <c r="AB3497" t="s">
        <v>74</v>
      </c>
      <c r="AC3497" t="s">
        <v>74</v>
      </c>
      <c r="AD3497" t="s">
        <v>74</v>
      </c>
      <c r="AE3497" t="s">
        <v>74</v>
      </c>
      <c r="AF3497" t="s">
        <v>74</v>
      </c>
      <c r="AG3497">
        <v>27</v>
      </c>
      <c r="AH3497">
        <v>0</v>
      </c>
      <c r="AI3497">
        <v>0</v>
      </c>
      <c r="AJ3497">
        <v>0</v>
      </c>
      <c r="AK3497">
        <v>0</v>
      </c>
      <c r="AL3497" t="s">
        <v>57322</v>
      </c>
      <c r="AM3497" t="s">
        <v>57323</v>
      </c>
      <c r="AN3497" t="s">
        <v>57324</v>
      </c>
      <c r="AO3497" t="s">
        <v>57325</v>
      </c>
      <c r="AP3497" t="s">
        <v>57326</v>
      </c>
      <c r="AQ3497" t="s">
        <v>74</v>
      </c>
      <c r="AR3497" t="s">
        <v>57327</v>
      </c>
      <c r="AS3497" t="s">
        <v>57328</v>
      </c>
      <c r="AT3497" t="s">
        <v>74</v>
      </c>
      <c r="AU3497">
        <v>2025</v>
      </c>
      <c r="AV3497">
        <v>11</v>
      </c>
      <c r="AW3497">
        <v>5</v>
      </c>
      <c r="AX3497" t="s">
        <v>74</v>
      </c>
      <c r="AY3497" t="s">
        <v>74</v>
      </c>
      <c r="AZ3497" t="s">
        <v>74</v>
      </c>
      <c r="BA3497" t="s">
        <v>74</v>
      </c>
      <c r="BB3497" t="s">
        <v>74</v>
      </c>
      <c r="BC3497" t="s">
        <v>74</v>
      </c>
      <c r="BD3497" t="s">
        <v>74</v>
      </c>
      <c r="BE3497" t="s">
        <v>57329</v>
      </c>
      <c r="BF3497" t="str">
        <f>HYPERLINK("http://dx.doi.org/10.30525/2256-0742/2025-11-5-393-405","http://dx.doi.org/10.30525/2256-0742/2025-11-5-393-405")</f>
        <v>http://dx.doi.org/10.30525/2256-0742/2025-11-5-393-405</v>
      </c>
      <c r="BG3497" t="s">
        <v>74</v>
      </c>
      <c r="BH3497" t="s">
        <v>74</v>
      </c>
      <c r="BI3497">
        <v>13</v>
      </c>
      <c r="BJ3497" t="s">
        <v>291</v>
      </c>
      <c r="BK3497" t="s">
        <v>313</v>
      </c>
      <c r="BL3497" t="s">
        <v>100</v>
      </c>
      <c r="BM3497" t="s">
        <v>57330</v>
      </c>
      <c r="BN3497" t="s">
        <v>74</v>
      </c>
      <c r="BO3497" t="s">
        <v>212</v>
      </c>
      <c r="BP3497" t="s">
        <v>74</v>
      </c>
      <c r="BQ3497" t="s">
        <v>74</v>
      </c>
      <c r="BR3497" t="s">
        <v>102</v>
      </c>
      <c r="BS3497" t="s">
        <v>57331</v>
      </c>
      <c r="BT3497" t="str">
        <f>HYPERLINK("https%3A%2F%2Fwww.webofscience.com%2Fwos%2Fwoscc%2Ffull-record%2FWOS:001650819900012","View Full Record in Web of Science")</f>
        <v>View Full Record in Web of Science</v>
      </c>
    </row>
    <row r="3498" spans="1:72" x14ac:dyDescent="0.25">
      <c r="A3498" t="s">
        <v>72</v>
      </c>
      <c r="B3498" t="s">
        <v>57332</v>
      </c>
      <c r="C3498" t="s">
        <v>74</v>
      </c>
      <c r="D3498" t="s">
        <v>74</v>
      </c>
      <c r="E3498" t="s">
        <v>74</v>
      </c>
      <c r="F3498" t="s">
        <v>57333</v>
      </c>
      <c r="G3498" t="s">
        <v>74</v>
      </c>
      <c r="H3498" t="s">
        <v>74</v>
      </c>
      <c r="I3498" t="s">
        <v>57334</v>
      </c>
      <c r="J3498" t="s">
        <v>22137</v>
      </c>
      <c r="K3498" t="s">
        <v>74</v>
      </c>
      <c r="L3498" t="s">
        <v>74</v>
      </c>
      <c r="M3498" t="s">
        <v>78</v>
      </c>
      <c r="N3498" t="s">
        <v>79</v>
      </c>
      <c r="O3498" t="s">
        <v>74</v>
      </c>
      <c r="P3498" t="s">
        <v>74</v>
      </c>
      <c r="Q3498" t="s">
        <v>74</v>
      </c>
      <c r="R3498" t="s">
        <v>74</v>
      </c>
      <c r="S3498" t="s">
        <v>74</v>
      </c>
      <c r="T3498" t="s">
        <v>57335</v>
      </c>
      <c r="U3498" t="s">
        <v>57336</v>
      </c>
      <c r="V3498" t="s">
        <v>57337</v>
      </c>
      <c r="W3498" t="s">
        <v>57338</v>
      </c>
      <c r="X3498" t="s">
        <v>74</v>
      </c>
      <c r="Y3498" t="s">
        <v>57339</v>
      </c>
      <c r="Z3498" t="s">
        <v>57340</v>
      </c>
      <c r="AA3498" t="s">
        <v>57341</v>
      </c>
      <c r="AB3498" t="s">
        <v>74</v>
      </c>
      <c r="AC3498" t="s">
        <v>74</v>
      </c>
      <c r="AD3498" t="s">
        <v>74</v>
      </c>
      <c r="AE3498" t="s">
        <v>74</v>
      </c>
      <c r="AF3498" t="s">
        <v>74</v>
      </c>
      <c r="AG3498">
        <v>80</v>
      </c>
      <c r="AH3498">
        <v>2</v>
      </c>
      <c r="AI3498">
        <v>3</v>
      </c>
      <c r="AJ3498">
        <v>0</v>
      </c>
      <c r="AK3498">
        <v>3</v>
      </c>
      <c r="AL3498" t="s">
        <v>22128</v>
      </c>
      <c r="AM3498" t="s">
        <v>22127</v>
      </c>
      <c r="AN3498" t="s">
        <v>22126</v>
      </c>
      <c r="AO3498" t="s">
        <v>22125</v>
      </c>
      <c r="AP3498" t="s">
        <v>74</v>
      </c>
      <c r="AQ3498" t="s">
        <v>74</v>
      </c>
      <c r="AR3498" t="s">
        <v>22124</v>
      </c>
      <c r="AS3498" t="s">
        <v>22123</v>
      </c>
      <c r="AT3498" t="s">
        <v>74</v>
      </c>
      <c r="AU3498">
        <v>2021</v>
      </c>
      <c r="AV3498">
        <v>16</v>
      </c>
      <c r="AW3498">
        <v>1</v>
      </c>
      <c r="AX3498" t="s">
        <v>74</v>
      </c>
      <c r="AY3498" t="s">
        <v>74</v>
      </c>
      <c r="AZ3498" t="s">
        <v>74</v>
      </c>
      <c r="BA3498" t="s">
        <v>74</v>
      </c>
      <c r="BB3498">
        <v>1</v>
      </c>
      <c r="BC3498">
        <v>22</v>
      </c>
      <c r="BD3498" t="s">
        <v>74</v>
      </c>
      <c r="BE3498" t="s">
        <v>74</v>
      </c>
      <c r="BF3498" t="s">
        <v>74</v>
      </c>
      <c r="BG3498" t="s">
        <v>74</v>
      </c>
      <c r="BH3498" t="s">
        <v>74</v>
      </c>
      <c r="BI3498">
        <v>22</v>
      </c>
      <c r="BJ3498" t="s">
        <v>1137</v>
      </c>
      <c r="BK3498" t="s">
        <v>313</v>
      </c>
      <c r="BL3498" t="s">
        <v>1137</v>
      </c>
      <c r="BM3498" t="s">
        <v>57342</v>
      </c>
      <c r="BN3498" t="s">
        <v>74</v>
      </c>
      <c r="BO3498" t="s">
        <v>74</v>
      </c>
      <c r="BP3498" t="s">
        <v>74</v>
      </c>
      <c r="BQ3498" t="s">
        <v>74</v>
      </c>
      <c r="BR3498" t="s">
        <v>102</v>
      </c>
      <c r="BS3498" t="s">
        <v>57343</v>
      </c>
      <c r="BT3498" t="str">
        <f>HYPERLINK("https%3A%2F%2Fwww.webofscience.com%2Fwos%2Fwoscc%2Ffull-record%2FWOS:000663779500001","View Full Record in Web of Science")</f>
        <v>View Full Record in Web of Science</v>
      </c>
    </row>
    <row r="3499" spans="1:72" x14ac:dyDescent="0.25">
      <c r="A3499" t="s">
        <v>72</v>
      </c>
      <c r="B3499" t="s">
        <v>57344</v>
      </c>
      <c r="C3499" t="s">
        <v>74</v>
      </c>
      <c r="D3499" t="s">
        <v>74</v>
      </c>
      <c r="E3499" t="s">
        <v>74</v>
      </c>
      <c r="F3499" t="s">
        <v>57345</v>
      </c>
      <c r="G3499" t="s">
        <v>74</v>
      </c>
      <c r="H3499" t="s">
        <v>74</v>
      </c>
      <c r="I3499" t="s">
        <v>57346</v>
      </c>
      <c r="J3499" t="s">
        <v>6081</v>
      </c>
      <c r="K3499" t="s">
        <v>74</v>
      </c>
      <c r="L3499" t="s">
        <v>74</v>
      </c>
      <c r="M3499" t="s">
        <v>78</v>
      </c>
      <c r="N3499" t="s">
        <v>79</v>
      </c>
      <c r="O3499" t="s">
        <v>74</v>
      </c>
      <c r="P3499" t="s">
        <v>74</v>
      </c>
      <c r="Q3499" t="s">
        <v>74</v>
      </c>
      <c r="R3499" t="s">
        <v>74</v>
      </c>
      <c r="S3499" t="s">
        <v>74</v>
      </c>
      <c r="T3499" t="s">
        <v>57347</v>
      </c>
      <c r="U3499" t="s">
        <v>57348</v>
      </c>
      <c r="V3499" t="s">
        <v>57349</v>
      </c>
      <c r="W3499" t="s">
        <v>57350</v>
      </c>
      <c r="X3499" t="s">
        <v>57351</v>
      </c>
      <c r="Y3499" t="s">
        <v>57352</v>
      </c>
      <c r="Z3499" t="s">
        <v>57353</v>
      </c>
      <c r="AA3499" t="s">
        <v>57354</v>
      </c>
      <c r="AB3499" t="s">
        <v>57355</v>
      </c>
      <c r="AC3499" t="s">
        <v>74</v>
      </c>
      <c r="AD3499" t="s">
        <v>74</v>
      </c>
      <c r="AE3499" t="s">
        <v>74</v>
      </c>
      <c r="AF3499" t="s">
        <v>74</v>
      </c>
      <c r="AG3499">
        <v>138</v>
      </c>
      <c r="AH3499">
        <v>31</v>
      </c>
      <c r="AI3499">
        <v>35</v>
      </c>
      <c r="AJ3499">
        <v>1</v>
      </c>
      <c r="AK3499">
        <v>21</v>
      </c>
      <c r="AL3499" t="s">
        <v>201</v>
      </c>
      <c r="AM3499" t="s">
        <v>202</v>
      </c>
      <c r="AN3499" t="s">
        <v>203</v>
      </c>
      <c r="AO3499" t="s">
        <v>6093</v>
      </c>
      <c r="AP3499" t="s">
        <v>6094</v>
      </c>
      <c r="AQ3499" t="s">
        <v>74</v>
      </c>
      <c r="AR3499" t="s">
        <v>6095</v>
      </c>
      <c r="AS3499" t="s">
        <v>6096</v>
      </c>
      <c r="AT3499" t="s">
        <v>605</v>
      </c>
      <c r="AU3499">
        <v>2020</v>
      </c>
      <c r="AV3499">
        <v>61</v>
      </c>
      <c r="AW3499" t="s">
        <v>74</v>
      </c>
      <c r="AX3499" t="s">
        <v>74</v>
      </c>
      <c r="AY3499" t="s">
        <v>74</v>
      </c>
      <c r="AZ3499" t="s">
        <v>74</v>
      </c>
      <c r="BA3499" t="s">
        <v>74</v>
      </c>
      <c r="BB3499" t="s">
        <v>74</v>
      </c>
      <c r="BC3499" t="s">
        <v>74</v>
      </c>
      <c r="BD3499">
        <v>101328</v>
      </c>
      <c r="BE3499" t="s">
        <v>57356</v>
      </c>
      <c r="BF3499" t="str">
        <f>HYPERLINK("http://dx.doi.org/10.1016/j.erss.2019.101328","http://dx.doi.org/10.1016/j.erss.2019.101328")</f>
        <v>http://dx.doi.org/10.1016/j.erss.2019.101328</v>
      </c>
      <c r="BG3499" t="s">
        <v>74</v>
      </c>
      <c r="BH3499" t="s">
        <v>74</v>
      </c>
      <c r="BI3499">
        <v>14</v>
      </c>
      <c r="BJ3499" t="s">
        <v>6098</v>
      </c>
      <c r="BK3499" t="s">
        <v>99</v>
      </c>
      <c r="BL3499" t="s">
        <v>3248</v>
      </c>
      <c r="BM3499" t="s">
        <v>57357</v>
      </c>
      <c r="BN3499" t="s">
        <v>74</v>
      </c>
      <c r="BO3499" t="s">
        <v>74</v>
      </c>
      <c r="BP3499" t="s">
        <v>74</v>
      </c>
      <c r="BQ3499" t="s">
        <v>74</v>
      </c>
      <c r="BR3499" t="s">
        <v>102</v>
      </c>
      <c r="BS3499" t="s">
        <v>57358</v>
      </c>
      <c r="BT3499" t="str">
        <f>HYPERLINK("https%3A%2F%2Fwww.webofscience.com%2Fwos%2Fwoscc%2Ffull-record%2FWOS:000514868000002","View Full Record in Web of Science")</f>
        <v>View Full Record in Web of Science</v>
      </c>
    </row>
    <row r="3500" spans="1:72" x14ac:dyDescent="0.25">
      <c r="A3500" t="s">
        <v>72</v>
      </c>
      <c r="B3500" t="s">
        <v>57359</v>
      </c>
      <c r="C3500" t="s">
        <v>74</v>
      </c>
      <c r="D3500" t="s">
        <v>74</v>
      </c>
      <c r="E3500" t="s">
        <v>74</v>
      </c>
      <c r="F3500" t="s">
        <v>57360</v>
      </c>
      <c r="G3500" t="s">
        <v>74</v>
      </c>
      <c r="H3500" t="s">
        <v>74</v>
      </c>
      <c r="I3500" t="s">
        <v>57361</v>
      </c>
      <c r="J3500" t="s">
        <v>23346</v>
      </c>
      <c r="K3500" t="s">
        <v>74</v>
      </c>
      <c r="L3500" t="s">
        <v>74</v>
      </c>
      <c r="M3500" t="s">
        <v>78</v>
      </c>
      <c r="N3500" t="s">
        <v>79</v>
      </c>
      <c r="O3500" t="s">
        <v>74</v>
      </c>
      <c r="P3500" t="s">
        <v>74</v>
      </c>
      <c r="Q3500" t="s">
        <v>74</v>
      </c>
      <c r="R3500" t="s">
        <v>74</v>
      </c>
      <c r="S3500" t="s">
        <v>74</v>
      </c>
      <c r="T3500" t="s">
        <v>57362</v>
      </c>
      <c r="U3500" t="s">
        <v>57363</v>
      </c>
      <c r="V3500" t="s">
        <v>57364</v>
      </c>
      <c r="W3500" t="s">
        <v>57365</v>
      </c>
      <c r="X3500" t="s">
        <v>18173</v>
      </c>
      <c r="Y3500" t="s">
        <v>57366</v>
      </c>
      <c r="Z3500" t="s">
        <v>57367</v>
      </c>
      <c r="AA3500" t="s">
        <v>18176</v>
      </c>
      <c r="AB3500" t="s">
        <v>18177</v>
      </c>
      <c r="AC3500" t="s">
        <v>57368</v>
      </c>
      <c r="AD3500" t="s">
        <v>57369</v>
      </c>
      <c r="AE3500" t="s">
        <v>57370</v>
      </c>
      <c r="AF3500" t="s">
        <v>74</v>
      </c>
      <c r="AG3500">
        <v>53</v>
      </c>
      <c r="AH3500">
        <v>3</v>
      </c>
      <c r="AI3500">
        <v>4</v>
      </c>
      <c r="AJ3500">
        <v>0</v>
      </c>
      <c r="AK3500">
        <v>7</v>
      </c>
      <c r="AL3500" t="s">
        <v>89</v>
      </c>
      <c r="AM3500" t="s">
        <v>1497</v>
      </c>
      <c r="AN3500" t="s">
        <v>1498</v>
      </c>
      <c r="AO3500" t="s">
        <v>23340</v>
      </c>
      <c r="AP3500" t="s">
        <v>23339</v>
      </c>
      <c r="AQ3500" t="s">
        <v>74</v>
      </c>
      <c r="AR3500" t="s">
        <v>23338</v>
      </c>
      <c r="AS3500" t="s">
        <v>23337</v>
      </c>
      <c r="AT3500" t="s">
        <v>37102</v>
      </c>
      <c r="AU3500">
        <v>2022</v>
      </c>
      <c r="AV3500">
        <v>18</v>
      </c>
      <c r="AW3500">
        <v>7</v>
      </c>
      <c r="AX3500" t="s">
        <v>74</v>
      </c>
      <c r="AY3500" t="s">
        <v>74</v>
      </c>
      <c r="AZ3500" t="s">
        <v>74</v>
      </c>
      <c r="BA3500" t="s">
        <v>74</v>
      </c>
      <c r="BB3500">
        <v>1361</v>
      </c>
      <c r="BC3500">
        <v>1377</v>
      </c>
      <c r="BD3500" t="s">
        <v>74</v>
      </c>
      <c r="BE3500" t="s">
        <v>57371</v>
      </c>
      <c r="BF3500" t="str">
        <f>HYPERLINK("http://dx.doi.org/10.1108/SRJ-04-2020-0134","http://dx.doi.org/10.1108/SRJ-04-2020-0134")</f>
        <v>http://dx.doi.org/10.1108/SRJ-04-2020-0134</v>
      </c>
      <c r="BG3500" t="s">
        <v>74</v>
      </c>
      <c r="BH3500" t="s">
        <v>4651</v>
      </c>
      <c r="BI3500">
        <v>17</v>
      </c>
      <c r="BJ3500" t="s">
        <v>583</v>
      </c>
      <c r="BK3500" t="s">
        <v>313</v>
      </c>
      <c r="BL3500" t="s">
        <v>100</v>
      </c>
      <c r="BM3500" t="s">
        <v>57372</v>
      </c>
      <c r="BN3500" t="s">
        <v>74</v>
      </c>
      <c r="BO3500" t="s">
        <v>74</v>
      </c>
      <c r="BP3500" t="s">
        <v>74</v>
      </c>
      <c r="BQ3500" t="s">
        <v>74</v>
      </c>
      <c r="BR3500" t="s">
        <v>102</v>
      </c>
      <c r="BS3500" t="s">
        <v>57373</v>
      </c>
      <c r="BT3500" t="str">
        <f>HYPERLINK("https%3A%2F%2Fwww.webofscience.com%2Fwos%2Fwoscc%2Ffull-record%2FWOS:000706234600001","View Full Record in Web of Science")</f>
        <v>View Full Record in Web of Science</v>
      </c>
    </row>
    <row r="3501" spans="1:72" x14ac:dyDescent="0.25">
      <c r="A3501" t="s">
        <v>72</v>
      </c>
      <c r="B3501" t="s">
        <v>57374</v>
      </c>
      <c r="C3501" t="s">
        <v>74</v>
      </c>
      <c r="D3501" t="s">
        <v>74</v>
      </c>
      <c r="E3501" t="s">
        <v>74</v>
      </c>
      <c r="F3501" t="s">
        <v>57375</v>
      </c>
      <c r="G3501" t="s">
        <v>74</v>
      </c>
      <c r="H3501" t="s">
        <v>74</v>
      </c>
      <c r="I3501" t="s">
        <v>57376</v>
      </c>
      <c r="J3501" t="s">
        <v>57377</v>
      </c>
      <c r="K3501" t="s">
        <v>74</v>
      </c>
      <c r="L3501" t="s">
        <v>74</v>
      </c>
      <c r="M3501" t="s">
        <v>78</v>
      </c>
      <c r="N3501" t="s">
        <v>79</v>
      </c>
      <c r="O3501" t="s">
        <v>74</v>
      </c>
      <c r="P3501" t="s">
        <v>74</v>
      </c>
      <c r="Q3501" t="s">
        <v>74</v>
      </c>
      <c r="R3501" t="s">
        <v>74</v>
      </c>
      <c r="S3501" t="s">
        <v>74</v>
      </c>
      <c r="T3501" t="s">
        <v>57378</v>
      </c>
      <c r="U3501" t="s">
        <v>57379</v>
      </c>
      <c r="V3501" t="s">
        <v>57380</v>
      </c>
      <c r="W3501" t="s">
        <v>57381</v>
      </c>
      <c r="X3501" t="s">
        <v>57382</v>
      </c>
      <c r="Y3501" t="s">
        <v>57383</v>
      </c>
      <c r="Z3501" t="s">
        <v>57384</v>
      </c>
      <c r="AA3501" t="s">
        <v>74</v>
      </c>
      <c r="AB3501" t="s">
        <v>57385</v>
      </c>
      <c r="AC3501" t="s">
        <v>57386</v>
      </c>
      <c r="AD3501" t="s">
        <v>57387</v>
      </c>
      <c r="AE3501" t="s">
        <v>57388</v>
      </c>
      <c r="AF3501" t="s">
        <v>74</v>
      </c>
      <c r="AG3501">
        <v>24</v>
      </c>
      <c r="AH3501">
        <v>0</v>
      </c>
      <c r="AI3501">
        <v>0</v>
      </c>
      <c r="AJ3501">
        <v>0</v>
      </c>
      <c r="AK3501">
        <v>2</v>
      </c>
      <c r="AL3501" t="s">
        <v>385</v>
      </c>
      <c r="AM3501" t="s">
        <v>151</v>
      </c>
      <c r="AN3501" t="s">
        <v>386</v>
      </c>
      <c r="AO3501" t="s">
        <v>57389</v>
      </c>
      <c r="AP3501" t="s">
        <v>57390</v>
      </c>
      <c r="AQ3501" t="s">
        <v>74</v>
      </c>
      <c r="AR3501" t="s">
        <v>57391</v>
      </c>
      <c r="AS3501" t="s">
        <v>57392</v>
      </c>
      <c r="AT3501" t="s">
        <v>605</v>
      </c>
      <c r="AU3501">
        <v>2025</v>
      </c>
      <c r="AV3501">
        <v>109</v>
      </c>
      <c r="AW3501">
        <v>1</v>
      </c>
      <c r="AX3501" t="s">
        <v>74</v>
      </c>
      <c r="AY3501" t="s">
        <v>74</v>
      </c>
      <c r="AZ3501" t="s">
        <v>74</v>
      </c>
      <c r="BA3501" t="s">
        <v>74</v>
      </c>
      <c r="BB3501">
        <v>117</v>
      </c>
      <c r="BC3501">
        <v>147</v>
      </c>
      <c r="BD3501" t="s">
        <v>74</v>
      </c>
      <c r="BE3501" t="s">
        <v>57393</v>
      </c>
      <c r="BF3501" t="str">
        <f>HYPERLINK("http://dx.doi.org/10.1007/s10182-024-00500-7","http://dx.doi.org/10.1007/s10182-024-00500-7")</f>
        <v>http://dx.doi.org/10.1007/s10182-024-00500-7</v>
      </c>
      <c r="BG3501" t="s">
        <v>74</v>
      </c>
      <c r="BH3501" t="s">
        <v>5285</v>
      </c>
      <c r="BI3501">
        <v>31</v>
      </c>
      <c r="BJ3501" t="s">
        <v>8335</v>
      </c>
      <c r="BK3501" t="s">
        <v>128</v>
      </c>
      <c r="BL3501" t="s">
        <v>8262</v>
      </c>
      <c r="BM3501" t="s">
        <v>57394</v>
      </c>
      <c r="BN3501" t="s">
        <v>74</v>
      </c>
      <c r="BO3501" t="s">
        <v>270</v>
      </c>
      <c r="BP3501" t="s">
        <v>74</v>
      </c>
      <c r="BQ3501" t="s">
        <v>74</v>
      </c>
      <c r="BR3501" t="s">
        <v>102</v>
      </c>
      <c r="BS3501" t="s">
        <v>57395</v>
      </c>
      <c r="BT3501" t="str">
        <f>HYPERLINK("https%3A%2F%2Fwww.webofscience.com%2Fwos%2Fwoscc%2Ffull-record%2FWOS:001223455800001","View Full Record in Web of Science")</f>
        <v>View Full Record in Web of Science</v>
      </c>
    </row>
    <row r="3502" spans="1:72" x14ac:dyDescent="0.25">
      <c r="A3502" t="s">
        <v>72</v>
      </c>
      <c r="B3502" t="s">
        <v>57396</v>
      </c>
      <c r="C3502" t="s">
        <v>74</v>
      </c>
      <c r="D3502" t="s">
        <v>74</v>
      </c>
      <c r="E3502" t="s">
        <v>74</v>
      </c>
      <c r="F3502" t="s">
        <v>57397</v>
      </c>
      <c r="G3502" t="s">
        <v>74</v>
      </c>
      <c r="H3502" t="s">
        <v>74</v>
      </c>
      <c r="I3502" t="s">
        <v>57398</v>
      </c>
      <c r="J3502" t="s">
        <v>28279</v>
      </c>
      <c r="K3502" t="s">
        <v>74</v>
      </c>
      <c r="L3502" t="s">
        <v>74</v>
      </c>
      <c r="M3502" t="s">
        <v>78</v>
      </c>
      <c r="N3502" t="s">
        <v>79</v>
      </c>
      <c r="O3502" t="s">
        <v>74</v>
      </c>
      <c r="P3502" t="s">
        <v>74</v>
      </c>
      <c r="Q3502" t="s">
        <v>74</v>
      </c>
      <c r="R3502" t="s">
        <v>74</v>
      </c>
      <c r="S3502" t="s">
        <v>74</v>
      </c>
      <c r="T3502" t="s">
        <v>57399</v>
      </c>
      <c r="U3502" t="s">
        <v>57400</v>
      </c>
      <c r="V3502" t="s">
        <v>57401</v>
      </c>
      <c r="W3502" t="s">
        <v>57402</v>
      </c>
      <c r="X3502" t="s">
        <v>57403</v>
      </c>
      <c r="Y3502" t="s">
        <v>57404</v>
      </c>
      <c r="Z3502" t="s">
        <v>57405</v>
      </c>
      <c r="AA3502" t="s">
        <v>74</v>
      </c>
      <c r="AB3502" t="s">
        <v>57406</v>
      </c>
      <c r="AC3502" t="s">
        <v>74</v>
      </c>
      <c r="AD3502" t="s">
        <v>74</v>
      </c>
      <c r="AE3502" t="s">
        <v>74</v>
      </c>
      <c r="AF3502" t="s">
        <v>74</v>
      </c>
      <c r="AG3502">
        <v>90</v>
      </c>
      <c r="AH3502">
        <v>17</v>
      </c>
      <c r="AI3502">
        <v>23</v>
      </c>
      <c r="AJ3502">
        <v>0</v>
      </c>
      <c r="AK3502">
        <v>19</v>
      </c>
      <c r="AL3502" t="s">
        <v>89</v>
      </c>
      <c r="AM3502" t="s">
        <v>90</v>
      </c>
      <c r="AN3502" t="s">
        <v>91</v>
      </c>
      <c r="AO3502" t="s">
        <v>28269</v>
      </c>
      <c r="AP3502" t="s">
        <v>28268</v>
      </c>
      <c r="AQ3502" t="s">
        <v>74</v>
      </c>
      <c r="AR3502" t="s">
        <v>28267</v>
      </c>
      <c r="AS3502" t="s">
        <v>28266</v>
      </c>
      <c r="AT3502" t="s">
        <v>74</v>
      </c>
      <c r="AU3502">
        <v>2023</v>
      </c>
      <c r="AV3502">
        <v>30</v>
      </c>
      <c r="AW3502">
        <v>1</v>
      </c>
      <c r="AX3502" t="s">
        <v>74</v>
      </c>
      <c r="AY3502" t="s">
        <v>74</v>
      </c>
      <c r="AZ3502" t="s">
        <v>74</v>
      </c>
      <c r="BA3502" t="s">
        <v>74</v>
      </c>
      <c r="BB3502">
        <v>4</v>
      </c>
      <c r="BC3502">
        <v>29</v>
      </c>
      <c r="BD3502" t="s">
        <v>74</v>
      </c>
      <c r="BE3502" t="s">
        <v>57407</v>
      </c>
      <c r="BF3502" t="str">
        <f>HYPERLINK("http://dx.doi.org/10.1108/JSBED-07-2021-0281","http://dx.doi.org/10.1108/JSBED-07-2021-0281")</f>
        <v>http://dx.doi.org/10.1108/JSBED-07-2021-0281</v>
      </c>
      <c r="BG3502" t="s">
        <v>74</v>
      </c>
      <c r="BH3502" t="s">
        <v>767</v>
      </c>
      <c r="BI3502">
        <v>26</v>
      </c>
      <c r="BJ3502" t="s">
        <v>418</v>
      </c>
      <c r="BK3502" t="s">
        <v>313</v>
      </c>
      <c r="BL3502" t="s">
        <v>100</v>
      </c>
      <c r="BM3502" t="s">
        <v>57408</v>
      </c>
      <c r="BN3502" t="s">
        <v>74</v>
      </c>
      <c r="BO3502" t="s">
        <v>466</v>
      </c>
      <c r="BP3502" t="s">
        <v>74</v>
      </c>
      <c r="BQ3502" t="s">
        <v>74</v>
      </c>
      <c r="BR3502" t="s">
        <v>102</v>
      </c>
      <c r="BS3502" t="s">
        <v>57409</v>
      </c>
      <c r="BT3502" t="str">
        <f>HYPERLINK("https%3A%2F%2Fwww.webofscience.com%2Fwos%2Fwoscc%2Ffull-record%2FWOS:000771619700001","View Full Record in Web of Science")</f>
        <v>View Full Record in Web of Science</v>
      </c>
    </row>
    <row r="3503" spans="1:72" x14ac:dyDescent="0.25">
      <c r="A3503" t="s">
        <v>72</v>
      </c>
      <c r="B3503" t="s">
        <v>57410</v>
      </c>
      <c r="C3503" t="s">
        <v>74</v>
      </c>
      <c r="D3503" t="s">
        <v>74</v>
      </c>
      <c r="E3503" t="s">
        <v>74</v>
      </c>
      <c r="F3503" t="s">
        <v>57411</v>
      </c>
      <c r="G3503" t="s">
        <v>74</v>
      </c>
      <c r="H3503" t="s">
        <v>74</v>
      </c>
      <c r="I3503" t="s">
        <v>57412</v>
      </c>
      <c r="J3503" t="s">
        <v>2896</v>
      </c>
      <c r="K3503" t="s">
        <v>74</v>
      </c>
      <c r="L3503" t="s">
        <v>74</v>
      </c>
      <c r="M3503" t="s">
        <v>78</v>
      </c>
      <c r="N3503" t="s">
        <v>79</v>
      </c>
      <c r="O3503" t="s">
        <v>74</v>
      </c>
      <c r="P3503" t="s">
        <v>74</v>
      </c>
      <c r="Q3503" t="s">
        <v>74</v>
      </c>
      <c r="R3503" t="s">
        <v>74</v>
      </c>
      <c r="S3503" t="s">
        <v>74</v>
      </c>
      <c r="T3503" t="s">
        <v>57413</v>
      </c>
      <c r="U3503" t="s">
        <v>57414</v>
      </c>
      <c r="V3503" t="s">
        <v>57415</v>
      </c>
      <c r="W3503" t="s">
        <v>57416</v>
      </c>
      <c r="X3503" t="s">
        <v>11279</v>
      </c>
      <c r="Y3503" t="s">
        <v>57417</v>
      </c>
      <c r="Z3503" t="s">
        <v>57418</v>
      </c>
      <c r="AA3503" t="s">
        <v>74</v>
      </c>
      <c r="AB3503" t="s">
        <v>57419</v>
      </c>
      <c r="AC3503" t="s">
        <v>74</v>
      </c>
      <c r="AD3503" t="s">
        <v>74</v>
      </c>
      <c r="AE3503" t="s">
        <v>74</v>
      </c>
      <c r="AF3503" t="s">
        <v>74</v>
      </c>
      <c r="AG3503">
        <v>87</v>
      </c>
      <c r="AH3503">
        <v>1</v>
      </c>
      <c r="AI3503">
        <v>1</v>
      </c>
      <c r="AJ3503">
        <v>1</v>
      </c>
      <c r="AK3503">
        <v>7</v>
      </c>
      <c r="AL3503" t="s">
        <v>2907</v>
      </c>
      <c r="AM3503" t="s">
        <v>2908</v>
      </c>
      <c r="AN3503" t="s">
        <v>2909</v>
      </c>
      <c r="AO3503" t="s">
        <v>2910</v>
      </c>
      <c r="AP3503" t="s">
        <v>12978</v>
      </c>
      <c r="AQ3503" t="s">
        <v>74</v>
      </c>
      <c r="AR3503" t="s">
        <v>2911</v>
      </c>
      <c r="AS3503" t="s">
        <v>2912</v>
      </c>
      <c r="AT3503" t="s">
        <v>1159</v>
      </c>
      <c r="AU3503">
        <v>2023</v>
      </c>
      <c r="AV3503">
        <v>35</v>
      </c>
      <c r="AW3503">
        <v>5</v>
      </c>
      <c r="AX3503" t="s">
        <v>74</v>
      </c>
      <c r="AY3503" t="s">
        <v>74</v>
      </c>
      <c r="AZ3503" t="s">
        <v>74</v>
      </c>
      <c r="BA3503" t="s">
        <v>74</v>
      </c>
      <c r="BB3503">
        <v>1224</v>
      </c>
      <c r="BC3503">
        <v>1257</v>
      </c>
      <c r="BD3503" t="s">
        <v>74</v>
      </c>
      <c r="BE3503" t="s">
        <v>57420</v>
      </c>
      <c r="BF3503" t="str">
        <f>HYPERLINK("http://dx.doi.org/10.1057/s41287-023-00580-2","http://dx.doi.org/10.1057/s41287-023-00580-2")</f>
        <v>http://dx.doi.org/10.1057/s41287-023-00580-2</v>
      </c>
      <c r="BG3503" t="s">
        <v>74</v>
      </c>
      <c r="BH3503" t="s">
        <v>6418</v>
      </c>
      <c r="BI3503">
        <v>34</v>
      </c>
      <c r="BJ3503" t="s">
        <v>1137</v>
      </c>
      <c r="BK3503" t="s">
        <v>99</v>
      </c>
      <c r="BL3503" t="s">
        <v>1137</v>
      </c>
      <c r="BM3503" t="s">
        <v>41861</v>
      </c>
      <c r="BN3503" t="s">
        <v>74</v>
      </c>
      <c r="BO3503" t="s">
        <v>466</v>
      </c>
      <c r="BP3503" t="s">
        <v>74</v>
      </c>
      <c r="BQ3503" t="s">
        <v>74</v>
      </c>
      <c r="BR3503" t="s">
        <v>102</v>
      </c>
      <c r="BS3503" t="s">
        <v>57421</v>
      </c>
      <c r="BT3503" t="str">
        <f>HYPERLINK("https%3A%2F%2Fwww.webofscience.com%2Fwos%2Fwoscc%2Ffull-record%2FWOS:000992764200001","View Full Record in Web of Science")</f>
        <v>View Full Record in Web of Science</v>
      </c>
    </row>
    <row r="3504" spans="1:72" x14ac:dyDescent="0.25">
      <c r="A3504" t="s">
        <v>72</v>
      </c>
      <c r="B3504" t="s">
        <v>57422</v>
      </c>
      <c r="C3504" t="s">
        <v>74</v>
      </c>
      <c r="D3504" t="s">
        <v>74</v>
      </c>
      <c r="E3504" t="s">
        <v>74</v>
      </c>
      <c r="F3504" t="s">
        <v>57423</v>
      </c>
      <c r="G3504" t="s">
        <v>74</v>
      </c>
      <c r="H3504" t="s">
        <v>74</v>
      </c>
      <c r="I3504" t="s">
        <v>57424</v>
      </c>
      <c r="J3504" t="s">
        <v>57425</v>
      </c>
      <c r="K3504" t="s">
        <v>74</v>
      </c>
      <c r="L3504" t="s">
        <v>74</v>
      </c>
      <c r="M3504" t="s">
        <v>78</v>
      </c>
      <c r="N3504" t="s">
        <v>372</v>
      </c>
      <c r="O3504" t="s">
        <v>74</v>
      </c>
      <c r="P3504" t="s">
        <v>74</v>
      </c>
      <c r="Q3504" t="s">
        <v>74</v>
      </c>
      <c r="R3504" t="s">
        <v>74</v>
      </c>
      <c r="S3504" t="s">
        <v>74</v>
      </c>
      <c r="T3504" t="s">
        <v>57426</v>
      </c>
      <c r="U3504" t="s">
        <v>74</v>
      </c>
      <c r="V3504" t="s">
        <v>57427</v>
      </c>
      <c r="W3504" t="s">
        <v>57428</v>
      </c>
      <c r="X3504" t="s">
        <v>57429</v>
      </c>
      <c r="Y3504" t="s">
        <v>57430</v>
      </c>
      <c r="Z3504" t="s">
        <v>57431</v>
      </c>
      <c r="AA3504" t="s">
        <v>74</v>
      </c>
      <c r="AB3504" t="s">
        <v>74</v>
      </c>
      <c r="AC3504" t="s">
        <v>74</v>
      </c>
      <c r="AD3504" t="s">
        <v>74</v>
      </c>
      <c r="AE3504" t="s">
        <v>74</v>
      </c>
      <c r="AF3504" t="s">
        <v>74</v>
      </c>
      <c r="AG3504">
        <v>64</v>
      </c>
      <c r="AH3504">
        <v>0</v>
      </c>
      <c r="AI3504">
        <v>0</v>
      </c>
      <c r="AJ3504">
        <v>5</v>
      </c>
      <c r="AK3504">
        <v>5</v>
      </c>
      <c r="AL3504" t="s">
        <v>89</v>
      </c>
      <c r="AM3504" t="s">
        <v>90</v>
      </c>
      <c r="AN3504" t="s">
        <v>91</v>
      </c>
      <c r="AO3504" t="s">
        <v>57432</v>
      </c>
      <c r="AP3504" t="s">
        <v>57433</v>
      </c>
      <c r="AQ3504" t="s">
        <v>74</v>
      </c>
      <c r="AR3504" t="s">
        <v>57434</v>
      </c>
      <c r="AS3504" t="s">
        <v>57435</v>
      </c>
      <c r="AT3504" t="s">
        <v>34880</v>
      </c>
      <c r="AU3504">
        <v>2025</v>
      </c>
      <c r="AV3504" t="s">
        <v>74</v>
      </c>
      <c r="AW3504" t="s">
        <v>74</v>
      </c>
      <c r="AX3504" t="s">
        <v>74</v>
      </c>
      <c r="AY3504" t="s">
        <v>74</v>
      </c>
      <c r="AZ3504" t="s">
        <v>74</v>
      </c>
      <c r="BA3504" t="s">
        <v>74</v>
      </c>
      <c r="BB3504" t="s">
        <v>74</v>
      </c>
      <c r="BC3504" t="s">
        <v>74</v>
      </c>
      <c r="BD3504" t="s">
        <v>74</v>
      </c>
      <c r="BE3504" t="s">
        <v>57436</v>
      </c>
      <c r="BF3504" t="str">
        <f>HYPERLINK("http://dx.doi.org/10.1108/IJOA-11-2024-4968","http://dx.doi.org/10.1108/IJOA-11-2024-4968")</f>
        <v>http://dx.doi.org/10.1108/IJOA-11-2024-4968</v>
      </c>
      <c r="BG3504" t="s">
        <v>74</v>
      </c>
      <c r="BH3504" t="s">
        <v>3411</v>
      </c>
      <c r="BI3504">
        <v>32</v>
      </c>
      <c r="BJ3504" t="s">
        <v>583</v>
      </c>
      <c r="BK3504" t="s">
        <v>313</v>
      </c>
      <c r="BL3504" t="s">
        <v>100</v>
      </c>
      <c r="BM3504" t="s">
        <v>57437</v>
      </c>
      <c r="BN3504" t="s">
        <v>74</v>
      </c>
      <c r="BO3504" t="s">
        <v>74</v>
      </c>
      <c r="BP3504" t="s">
        <v>74</v>
      </c>
      <c r="BQ3504" t="s">
        <v>74</v>
      </c>
      <c r="BR3504" t="s">
        <v>102</v>
      </c>
      <c r="BS3504" t="s">
        <v>57438</v>
      </c>
      <c r="BT3504" t="str">
        <f>HYPERLINK("https%3A%2F%2Fwww.webofscience.com%2Fwos%2Fwoscc%2Ffull-record%2FWOS:001587610100001","View Full Record in Web of Science")</f>
        <v>View Full Record in Web of Science</v>
      </c>
    </row>
    <row r="3505" spans="1:72" x14ac:dyDescent="0.25">
      <c r="A3505" t="s">
        <v>132</v>
      </c>
      <c r="B3505" t="s">
        <v>57439</v>
      </c>
      <c r="C3505" t="s">
        <v>74</v>
      </c>
      <c r="D3505" t="s">
        <v>631</v>
      </c>
      <c r="E3505" t="s">
        <v>74</v>
      </c>
      <c r="F3505" t="s">
        <v>57440</v>
      </c>
      <c r="G3505" t="s">
        <v>74</v>
      </c>
      <c r="H3505" t="s">
        <v>74</v>
      </c>
      <c r="I3505" t="s">
        <v>57441</v>
      </c>
      <c r="J3505" t="s">
        <v>36624</v>
      </c>
      <c r="K3505" t="s">
        <v>74</v>
      </c>
      <c r="L3505" t="s">
        <v>74</v>
      </c>
      <c r="M3505" t="s">
        <v>78</v>
      </c>
      <c r="N3505" t="s">
        <v>138</v>
      </c>
      <c r="O3505" t="s">
        <v>36625</v>
      </c>
      <c r="P3505" t="s">
        <v>36626</v>
      </c>
      <c r="Q3505" t="s">
        <v>36627</v>
      </c>
      <c r="R3505" t="s">
        <v>74</v>
      </c>
      <c r="S3505" t="s">
        <v>74</v>
      </c>
      <c r="T3505" t="s">
        <v>57442</v>
      </c>
      <c r="U3505" t="s">
        <v>57443</v>
      </c>
      <c r="V3505" t="s">
        <v>57444</v>
      </c>
      <c r="W3505" t="s">
        <v>57445</v>
      </c>
      <c r="X3505" t="s">
        <v>57446</v>
      </c>
      <c r="Y3505" t="s">
        <v>57447</v>
      </c>
      <c r="Z3505" t="s">
        <v>57448</v>
      </c>
      <c r="AA3505" t="s">
        <v>74</v>
      </c>
      <c r="AB3505" t="s">
        <v>57449</v>
      </c>
      <c r="AC3505" t="s">
        <v>74</v>
      </c>
      <c r="AD3505" t="s">
        <v>74</v>
      </c>
      <c r="AE3505" t="s">
        <v>74</v>
      </c>
      <c r="AF3505" t="s">
        <v>74</v>
      </c>
      <c r="AG3505">
        <v>91</v>
      </c>
      <c r="AH3505">
        <v>0</v>
      </c>
      <c r="AI3505">
        <v>0</v>
      </c>
      <c r="AJ3505">
        <v>0</v>
      </c>
      <c r="AK3505">
        <v>0</v>
      </c>
      <c r="AL3505" t="s">
        <v>645</v>
      </c>
      <c r="AM3505" t="s">
        <v>646</v>
      </c>
      <c r="AN3505" t="s">
        <v>647</v>
      </c>
      <c r="AO3505" t="s">
        <v>74</v>
      </c>
      <c r="AP3505" t="s">
        <v>74</v>
      </c>
      <c r="AQ3505" t="s">
        <v>36635</v>
      </c>
      <c r="AR3505" t="s">
        <v>74</v>
      </c>
      <c r="AS3505" t="s">
        <v>74</v>
      </c>
      <c r="AT3505" t="s">
        <v>74</v>
      </c>
      <c r="AU3505">
        <v>2016</v>
      </c>
      <c r="AV3505" t="s">
        <v>74</v>
      </c>
      <c r="AW3505" t="s">
        <v>74</v>
      </c>
      <c r="AX3505" t="s">
        <v>74</v>
      </c>
      <c r="AY3505" t="s">
        <v>74</v>
      </c>
      <c r="AZ3505" t="s">
        <v>74</v>
      </c>
      <c r="BA3505" t="s">
        <v>74</v>
      </c>
      <c r="BB3505">
        <v>769</v>
      </c>
      <c r="BC3505">
        <v>785</v>
      </c>
      <c r="BD3505" t="s">
        <v>74</v>
      </c>
      <c r="BE3505" t="s">
        <v>74</v>
      </c>
      <c r="BF3505" t="s">
        <v>74</v>
      </c>
      <c r="BG3505" t="s">
        <v>74</v>
      </c>
      <c r="BH3505" t="s">
        <v>74</v>
      </c>
      <c r="BI3505">
        <v>17</v>
      </c>
      <c r="BJ3505" t="s">
        <v>364</v>
      </c>
      <c r="BK3505" t="s">
        <v>183</v>
      </c>
      <c r="BL3505" t="s">
        <v>365</v>
      </c>
      <c r="BM3505" t="s">
        <v>36636</v>
      </c>
      <c r="BN3505" t="s">
        <v>74</v>
      </c>
      <c r="BO3505" t="s">
        <v>74</v>
      </c>
      <c r="BP3505" t="s">
        <v>74</v>
      </c>
      <c r="BQ3505" t="s">
        <v>74</v>
      </c>
      <c r="BR3505" t="s">
        <v>102</v>
      </c>
      <c r="BS3505" t="s">
        <v>57450</v>
      </c>
      <c r="BT3505" t="str">
        <f>HYPERLINK("https%3A%2F%2Fwww.webofscience.com%2Fwos%2Fwoscc%2Ffull-record%2FWOS:000381172300089","View Full Record in Web of Science")</f>
        <v>View Full Record in Web of Science</v>
      </c>
    </row>
    <row r="3506" spans="1:72" x14ac:dyDescent="0.25">
      <c r="A3506" t="s">
        <v>72</v>
      </c>
      <c r="B3506" t="s">
        <v>57451</v>
      </c>
      <c r="C3506" t="s">
        <v>74</v>
      </c>
      <c r="D3506" t="s">
        <v>74</v>
      </c>
      <c r="E3506" t="s">
        <v>74</v>
      </c>
      <c r="F3506" t="s">
        <v>57452</v>
      </c>
      <c r="G3506" t="s">
        <v>74</v>
      </c>
      <c r="H3506" t="s">
        <v>74</v>
      </c>
      <c r="I3506" t="s">
        <v>57453</v>
      </c>
      <c r="J3506" t="s">
        <v>7119</v>
      </c>
      <c r="K3506" t="s">
        <v>74</v>
      </c>
      <c r="L3506" t="s">
        <v>74</v>
      </c>
      <c r="M3506" t="s">
        <v>78</v>
      </c>
      <c r="N3506" t="s">
        <v>79</v>
      </c>
      <c r="O3506" t="s">
        <v>74</v>
      </c>
      <c r="P3506" t="s">
        <v>74</v>
      </c>
      <c r="Q3506" t="s">
        <v>74</v>
      </c>
      <c r="R3506" t="s">
        <v>74</v>
      </c>
      <c r="S3506" t="s">
        <v>74</v>
      </c>
      <c r="T3506" t="s">
        <v>57454</v>
      </c>
      <c r="U3506" t="s">
        <v>57455</v>
      </c>
      <c r="V3506" t="s">
        <v>57456</v>
      </c>
      <c r="W3506" t="s">
        <v>57457</v>
      </c>
      <c r="X3506" t="s">
        <v>51349</v>
      </c>
      <c r="Y3506" t="s">
        <v>57458</v>
      </c>
      <c r="Z3506" t="s">
        <v>57459</v>
      </c>
      <c r="AA3506" t="s">
        <v>57460</v>
      </c>
      <c r="AB3506" t="s">
        <v>57461</v>
      </c>
      <c r="AC3506" t="s">
        <v>74</v>
      </c>
      <c r="AD3506" t="s">
        <v>74</v>
      </c>
      <c r="AE3506" t="s">
        <v>74</v>
      </c>
      <c r="AF3506" t="s">
        <v>74</v>
      </c>
      <c r="AG3506">
        <v>52</v>
      </c>
      <c r="AH3506">
        <v>15</v>
      </c>
      <c r="AI3506">
        <v>24</v>
      </c>
      <c r="AJ3506">
        <v>1</v>
      </c>
      <c r="AK3506">
        <v>18</v>
      </c>
      <c r="AL3506" t="s">
        <v>89</v>
      </c>
      <c r="AM3506" t="s">
        <v>90</v>
      </c>
      <c r="AN3506" t="s">
        <v>91</v>
      </c>
      <c r="AO3506" t="s">
        <v>7128</v>
      </c>
      <c r="AP3506" t="s">
        <v>74</v>
      </c>
      <c r="AQ3506" t="s">
        <v>74</v>
      </c>
      <c r="AR3506" t="s">
        <v>7129</v>
      </c>
      <c r="AS3506" t="s">
        <v>7130</v>
      </c>
      <c r="AT3506" t="s">
        <v>31322</v>
      </c>
      <c r="AU3506">
        <v>2022</v>
      </c>
      <c r="AV3506">
        <v>14</v>
      </c>
      <c r="AW3506">
        <v>5</v>
      </c>
      <c r="AX3506" t="s">
        <v>74</v>
      </c>
      <c r="AY3506" t="s">
        <v>74</v>
      </c>
      <c r="AZ3506" t="s">
        <v>74</v>
      </c>
      <c r="BA3506" t="s">
        <v>74</v>
      </c>
      <c r="BB3506">
        <v>768</v>
      </c>
      <c r="BC3506">
        <v>785</v>
      </c>
      <c r="BD3506" t="s">
        <v>74</v>
      </c>
      <c r="BE3506" t="s">
        <v>57462</v>
      </c>
      <c r="BF3506" t="str">
        <f>HYPERLINK("http://dx.doi.org/10.1108/QRFM-06-2021-0095","http://dx.doi.org/10.1108/QRFM-06-2021-0095")</f>
        <v>http://dx.doi.org/10.1108/QRFM-06-2021-0095</v>
      </c>
      <c r="BG3506" t="s">
        <v>74</v>
      </c>
      <c r="BH3506" t="s">
        <v>12980</v>
      </c>
      <c r="BI3506">
        <v>18</v>
      </c>
      <c r="BJ3506" t="s">
        <v>268</v>
      </c>
      <c r="BK3506" t="s">
        <v>313</v>
      </c>
      <c r="BL3506" t="s">
        <v>100</v>
      </c>
      <c r="BM3506" t="s">
        <v>35591</v>
      </c>
      <c r="BN3506" t="s">
        <v>74</v>
      </c>
      <c r="BO3506" t="s">
        <v>74</v>
      </c>
      <c r="BP3506" t="s">
        <v>74</v>
      </c>
      <c r="BQ3506" t="s">
        <v>74</v>
      </c>
      <c r="BR3506" t="s">
        <v>102</v>
      </c>
      <c r="BS3506" t="s">
        <v>57463</v>
      </c>
      <c r="BT3506" t="str">
        <f>HYPERLINK("https%3A%2F%2Fwww.webofscience.com%2Fwos%2Fwoscc%2Ffull-record%2FWOS:000776606900001","View Full Record in Web of Science")</f>
        <v>View Full Record in Web of Science</v>
      </c>
    </row>
    <row r="3507" spans="1:72" x14ac:dyDescent="0.25">
      <c r="A3507" t="s">
        <v>72</v>
      </c>
      <c r="B3507" t="s">
        <v>57464</v>
      </c>
      <c r="C3507" t="s">
        <v>74</v>
      </c>
      <c r="D3507" t="s">
        <v>74</v>
      </c>
      <c r="E3507" t="s">
        <v>74</v>
      </c>
      <c r="F3507" t="s">
        <v>57465</v>
      </c>
      <c r="G3507" t="s">
        <v>74</v>
      </c>
      <c r="H3507" t="s">
        <v>74</v>
      </c>
      <c r="I3507" t="s">
        <v>57466</v>
      </c>
      <c r="J3507" t="s">
        <v>1510</v>
      </c>
      <c r="K3507" t="s">
        <v>74</v>
      </c>
      <c r="L3507" t="s">
        <v>74</v>
      </c>
      <c r="M3507" t="s">
        <v>78</v>
      </c>
      <c r="N3507" t="s">
        <v>372</v>
      </c>
      <c r="O3507" t="s">
        <v>74</v>
      </c>
      <c r="P3507" t="s">
        <v>74</v>
      </c>
      <c r="Q3507" t="s">
        <v>74</v>
      </c>
      <c r="R3507" t="s">
        <v>74</v>
      </c>
      <c r="S3507" t="s">
        <v>74</v>
      </c>
      <c r="T3507" t="s">
        <v>57467</v>
      </c>
      <c r="U3507" t="s">
        <v>57468</v>
      </c>
      <c r="V3507" t="s">
        <v>57469</v>
      </c>
      <c r="W3507" t="s">
        <v>57470</v>
      </c>
      <c r="X3507" t="s">
        <v>19367</v>
      </c>
      <c r="Y3507" t="s">
        <v>57471</v>
      </c>
      <c r="Z3507" t="s">
        <v>57472</v>
      </c>
      <c r="AA3507" t="s">
        <v>57473</v>
      </c>
      <c r="AB3507" t="s">
        <v>57474</v>
      </c>
      <c r="AC3507" t="s">
        <v>74</v>
      </c>
      <c r="AD3507" t="s">
        <v>74</v>
      </c>
      <c r="AE3507" t="s">
        <v>74</v>
      </c>
      <c r="AF3507" t="s">
        <v>74</v>
      </c>
      <c r="AG3507">
        <v>37</v>
      </c>
      <c r="AH3507">
        <v>0</v>
      </c>
      <c r="AI3507">
        <v>0</v>
      </c>
      <c r="AJ3507">
        <v>1</v>
      </c>
      <c r="AK3507">
        <v>1</v>
      </c>
      <c r="AL3507" t="s">
        <v>89</v>
      </c>
      <c r="AM3507" t="s">
        <v>90</v>
      </c>
      <c r="AN3507" t="s">
        <v>91</v>
      </c>
      <c r="AO3507" t="s">
        <v>1519</v>
      </c>
      <c r="AP3507" t="s">
        <v>1520</v>
      </c>
      <c r="AQ3507" t="s">
        <v>74</v>
      </c>
      <c r="AR3507" t="s">
        <v>1521</v>
      </c>
      <c r="AS3507" t="s">
        <v>1522</v>
      </c>
      <c r="AT3507" t="s">
        <v>27977</v>
      </c>
      <c r="AU3507">
        <v>2025</v>
      </c>
      <c r="AV3507" t="s">
        <v>74</v>
      </c>
      <c r="AW3507" t="s">
        <v>74</v>
      </c>
      <c r="AX3507" t="s">
        <v>74</v>
      </c>
      <c r="AY3507" t="s">
        <v>74</v>
      </c>
      <c r="AZ3507" t="s">
        <v>74</v>
      </c>
      <c r="BA3507" t="s">
        <v>74</v>
      </c>
      <c r="BB3507" t="s">
        <v>74</v>
      </c>
      <c r="BC3507" t="s">
        <v>74</v>
      </c>
      <c r="BD3507" t="s">
        <v>74</v>
      </c>
      <c r="BE3507" t="s">
        <v>57475</v>
      </c>
      <c r="BF3507" t="str">
        <f>HYPERLINK("http://dx.doi.org/10.1108/IJSE-12-2024-1088","http://dx.doi.org/10.1108/IJSE-12-2024-1088")</f>
        <v>http://dx.doi.org/10.1108/IJSE-12-2024-1088</v>
      </c>
      <c r="BG3507" t="s">
        <v>74</v>
      </c>
      <c r="BH3507" t="s">
        <v>12078</v>
      </c>
      <c r="BI3507">
        <v>17</v>
      </c>
      <c r="BJ3507" t="s">
        <v>291</v>
      </c>
      <c r="BK3507" t="s">
        <v>313</v>
      </c>
      <c r="BL3507" t="s">
        <v>100</v>
      </c>
      <c r="BM3507" t="s">
        <v>57476</v>
      </c>
      <c r="BN3507" t="s">
        <v>74</v>
      </c>
      <c r="BO3507" t="s">
        <v>74</v>
      </c>
      <c r="BP3507" t="s">
        <v>74</v>
      </c>
      <c r="BQ3507" t="s">
        <v>74</v>
      </c>
      <c r="BR3507" t="s">
        <v>102</v>
      </c>
      <c r="BS3507" t="s">
        <v>57477</v>
      </c>
      <c r="BT3507" t="str">
        <f>HYPERLINK("https%3A%2F%2Fwww.webofscience.com%2Fwos%2Fwoscc%2Ffull-record%2FWOS:001587141600001","View Full Record in Web of Science")</f>
        <v>View Full Record in Web of Science</v>
      </c>
    </row>
    <row r="3508" spans="1:72" x14ac:dyDescent="0.25">
      <c r="A3508" t="s">
        <v>72</v>
      </c>
      <c r="B3508" t="s">
        <v>57478</v>
      </c>
      <c r="C3508" t="s">
        <v>74</v>
      </c>
      <c r="D3508" t="s">
        <v>74</v>
      </c>
      <c r="E3508" t="s">
        <v>74</v>
      </c>
      <c r="F3508" t="s">
        <v>57479</v>
      </c>
      <c r="G3508" t="s">
        <v>74</v>
      </c>
      <c r="H3508" t="s">
        <v>74</v>
      </c>
      <c r="I3508" t="s">
        <v>57480</v>
      </c>
      <c r="J3508" t="s">
        <v>1245</v>
      </c>
      <c r="K3508" t="s">
        <v>74</v>
      </c>
      <c r="L3508" t="s">
        <v>74</v>
      </c>
      <c r="M3508" t="s">
        <v>78</v>
      </c>
      <c r="N3508" t="s">
        <v>79</v>
      </c>
      <c r="O3508" t="s">
        <v>74</v>
      </c>
      <c r="P3508" t="s">
        <v>74</v>
      </c>
      <c r="Q3508" t="s">
        <v>74</v>
      </c>
      <c r="R3508" t="s">
        <v>74</v>
      </c>
      <c r="S3508" t="s">
        <v>74</v>
      </c>
      <c r="T3508" t="s">
        <v>57481</v>
      </c>
      <c r="U3508" t="s">
        <v>74</v>
      </c>
      <c r="V3508" t="s">
        <v>57482</v>
      </c>
      <c r="W3508" t="s">
        <v>57483</v>
      </c>
      <c r="X3508" t="s">
        <v>57484</v>
      </c>
      <c r="Y3508" t="s">
        <v>57485</v>
      </c>
      <c r="Z3508" t="s">
        <v>57486</v>
      </c>
      <c r="AA3508" t="s">
        <v>57487</v>
      </c>
      <c r="AB3508" t="s">
        <v>57488</v>
      </c>
      <c r="AC3508" t="s">
        <v>74</v>
      </c>
      <c r="AD3508" t="s">
        <v>74</v>
      </c>
      <c r="AE3508" t="s">
        <v>57489</v>
      </c>
      <c r="AF3508" t="s">
        <v>74</v>
      </c>
      <c r="AG3508">
        <v>43</v>
      </c>
      <c r="AH3508">
        <v>0</v>
      </c>
      <c r="AI3508">
        <v>2</v>
      </c>
      <c r="AJ3508">
        <v>4</v>
      </c>
      <c r="AK3508">
        <v>8</v>
      </c>
      <c r="AL3508" t="s">
        <v>1254</v>
      </c>
      <c r="AM3508" t="s">
        <v>1255</v>
      </c>
      <c r="AN3508" t="s">
        <v>1256</v>
      </c>
      <c r="AO3508" t="s">
        <v>1257</v>
      </c>
      <c r="AP3508" t="s">
        <v>1258</v>
      </c>
      <c r="AQ3508" t="s">
        <v>74</v>
      </c>
      <c r="AR3508" t="s">
        <v>1259</v>
      </c>
      <c r="AS3508" t="s">
        <v>1260</v>
      </c>
      <c r="AT3508" t="s">
        <v>74</v>
      </c>
      <c r="AU3508">
        <v>2024</v>
      </c>
      <c r="AV3508">
        <v>4</v>
      </c>
      <c r="AW3508">
        <v>57</v>
      </c>
      <c r="AX3508" t="s">
        <v>74</v>
      </c>
      <c r="AY3508" t="s">
        <v>74</v>
      </c>
      <c r="AZ3508" t="s">
        <v>74</v>
      </c>
      <c r="BA3508" t="s">
        <v>74</v>
      </c>
      <c r="BB3508" t="s">
        <v>74</v>
      </c>
      <c r="BC3508" t="s">
        <v>74</v>
      </c>
      <c r="BD3508" t="s">
        <v>74</v>
      </c>
      <c r="BE3508" t="s">
        <v>57490</v>
      </c>
      <c r="BF3508" t="str">
        <f>HYPERLINK("http://dx.doi.org/10.55643/fcaptp.4.57.2024.4414","http://dx.doi.org/10.55643/fcaptp.4.57.2024.4414")</f>
        <v>http://dx.doi.org/10.55643/fcaptp.4.57.2024.4414</v>
      </c>
      <c r="BG3508" t="s">
        <v>74</v>
      </c>
      <c r="BH3508" t="s">
        <v>74</v>
      </c>
      <c r="BI3508">
        <v>16</v>
      </c>
      <c r="BJ3508" t="s">
        <v>268</v>
      </c>
      <c r="BK3508" t="s">
        <v>313</v>
      </c>
      <c r="BL3508" t="s">
        <v>100</v>
      </c>
      <c r="BM3508" t="s">
        <v>57491</v>
      </c>
      <c r="BN3508" t="s">
        <v>74</v>
      </c>
      <c r="BO3508" t="s">
        <v>212</v>
      </c>
      <c r="BP3508" t="s">
        <v>74</v>
      </c>
      <c r="BQ3508" t="s">
        <v>74</v>
      </c>
      <c r="BR3508" t="s">
        <v>102</v>
      </c>
      <c r="BS3508" t="s">
        <v>57492</v>
      </c>
      <c r="BT3508" t="str">
        <f>HYPERLINK("https%3A%2F%2Fwww.webofscience.com%2Fwos%2Fwoscc%2Ffull-record%2FWOS:001309762400032","View Full Record in Web of Science")</f>
        <v>View Full Record in Web of Science</v>
      </c>
    </row>
    <row r="3509" spans="1:72" x14ac:dyDescent="0.25">
      <c r="A3509" t="s">
        <v>72</v>
      </c>
      <c r="B3509" t="s">
        <v>57493</v>
      </c>
      <c r="C3509" t="s">
        <v>74</v>
      </c>
      <c r="D3509" t="s">
        <v>74</v>
      </c>
      <c r="E3509" t="s">
        <v>74</v>
      </c>
      <c r="F3509" t="s">
        <v>57494</v>
      </c>
      <c r="G3509" t="s">
        <v>74</v>
      </c>
      <c r="H3509" t="s">
        <v>74</v>
      </c>
      <c r="I3509" t="s">
        <v>57495</v>
      </c>
      <c r="J3509" t="s">
        <v>57496</v>
      </c>
      <c r="K3509" t="s">
        <v>74</v>
      </c>
      <c r="L3509" t="s">
        <v>74</v>
      </c>
      <c r="M3509" t="s">
        <v>78</v>
      </c>
      <c r="N3509" t="s">
        <v>79</v>
      </c>
      <c r="O3509" t="s">
        <v>74</v>
      </c>
      <c r="P3509" t="s">
        <v>74</v>
      </c>
      <c r="Q3509" t="s">
        <v>74</v>
      </c>
      <c r="R3509" t="s">
        <v>74</v>
      </c>
      <c r="S3509" t="s">
        <v>74</v>
      </c>
      <c r="T3509" t="s">
        <v>57497</v>
      </c>
      <c r="U3509" t="s">
        <v>74</v>
      </c>
      <c r="V3509" t="s">
        <v>57498</v>
      </c>
      <c r="W3509" t="s">
        <v>57499</v>
      </c>
      <c r="X3509" t="s">
        <v>74</v>
      </c>
      <c r="Y3509" t="s">
        <v>57500</v>
      </c>
      <c r="Z3509" t="s">
        <v>57501</v>
      </c>
      <c r="AA3509" t="s">
        <v>57502</v>
      </c>
      <c r="AB3509" t="s">
        <v>57503</v>
      </c>
      <c r="AC3509" t="s">
        <v>74</v>
      </c>
      <c r="AD3509" t="s">
        <v>74</v>
      </c>
      <c r="AE3509" t="s">
        <v>74</v>
      </c>
      <c r="AF3509" t="s">
        <v>74</v>
      </c>
      <c r="AG3509">
        <v>43</v>
      </c>
      <c r="AH3509">
        <v>1</v>
      </c>
      <c r="AI3509">
        <v>2</v>
      </c>
      <c r="AJ3509">
        <v>1</v>
      </c>
      <c r="AK3509">
        <v>1</v>
      </c>
      <c r="AL3509" t="s">
        <v>385</v>
      </c>
      <c r="AM3509" t="s">
        <v>1153</v>
      </c>
      <c r="AN3509" t="s">
        <v>1154</v>
      </c>
      <c r="AO3509" t="s">
        <v>57504</v>
      </c>
      <c r="AP3509" t="s">
        <v>57505</v>
      </c>
      <c r="AQ3509" t="s">
        <v>74</v>
      </c>
      <c r="AR3509" t="s">
        <v>57506</v>
      </c>
      <c r="AS3509" t="s">
        <v>57507</v>
      </c>
      <c r="AT3509" t="s">
        <v>743</v>
      </c>
      <c r="AU3509">
        <v>2023</v>
      </c>
      <c r="AV3509">
        <v>44</v>
      </c>
      <c r="AW3509">
        <v>1</v>
      </c>
      <c r="AX3509" t="s">
        <v>74</v>
      </c>
      <c r="AY3509" t="s">
        <v>74</v>
      </c>
      <c r="AZ3509" t="s">
        <v>74</v>
      </c>
      <c r="BA3509" t="s">
        <v>74</v>
      </c>
      <c r="BB3509">
        <v>183</v>
      </c>
      <c r="BC3509">
        <v>204</v>
      </c>
      <c r="BD3509" t="s">
        <v>74</v>
      </c>
      <c r="BE3509" t="s">
        <v>57508</v>
      </c>
      <c r="BF3509" t="str">
        <f>HYPERLINK("http://dx.doi.org/10.1007/s10991-023-09324-y","http://dx.doi.org/10.1007/s10991-023-09324-y")</f>
        <v>http://dx.doi.org/10.1007/s10991-023-09324-y</v>
      </c>
      <c r="BG3509" t="s">
        <v>74</v>
      </c>
      <c r="BH3509" t="s">
        <v>9145</v>
      </c>
      <c r="BI3509">
        <v>22</v>
      </c>
      <c r="BJ3509" t="s">
        <v>182</v>
      </c>
      <c r="BK3509" t="s">
        <v>313</v>
      </c>
      <c r="BL3509" t="s">
        <v>184</v>
      </c>
      <c r="BM3509" t="s">
        <v>57509</v>
      </c>
      <c r="BN3509" t="s">
        <v>74</v>
      </c>
      <c r="BO3509" t="s">
        <v>74</v>
      </c>
      <c r="BP3509" t="s">
        <v>74</v>
      </c>
      <c r="BQ3509" t="s">
        <v>74</v>
      </c>
      <c r="BR3509" t="s">
        <v>102</v>
      </c>
      <c r="BS3509" t="s">
        <v>57510</v>
      </c>
      <c r="BT3509" t="str">
        <f>HYPERLINK("https%3A%2F%2Fwww.webofscience.com%2Fwos%2Fwoscc%2Ffull-record%2FWOS:000939597500001","View Full Record in Web of Science")</f>
        <v>View Full Record in Web of Science</v>
      </c>
    </row>
    <row r="3510" spans="1:72" x14ac:dyDescent="0.25">
      <c r="A3510" t="s">
        <v>72</v>
      </c>
      <c r="B3510" t="s">
        <v>57511</v>
      </c>
      <c r="C3510" t="s">
        <v>74</v>
      </c>
      <c r="D3510" t="s">
        <v>74</v>
      </c>
      <c r="E3510" t="s">
        <v>74</v>
      </c>
      <c r="F3510" t="s">
        <v>57512</v>
      </c>
      <c r="G3510" t="s">
        <v>74</v>
      </c>
      <c r="H3510" t="s">
        <v>74</v>
      </c>
      <c r="I3510" t="s">
        <v>57513</v>
      </c>
      <c r="J3510" t="s">
        <v>493</v>
      </c>
      <c r="K3510" t="s">
        <v>74</v>
      </c>
      <c r="L3510" t="s">
        <v>74</v>
      </c>
      <c r="M3510" t="s">
        <v>78</v>
      </c>
      <c r="N3510" t="s">
        <v>79</v>
      </c>
      <c r="O3510" t="s">
        <v>74</v>
      </c>
      <c r="P3510" t="s">
        <v>74</v>
      </c>
      <c r="Q3510" t="s">
        <v>74</v>
      </c>
      <c r="R3510" t="s">
        <v>74</v>
      </c>
      <c r="S3510" t="s">
        <v>74</v>
      </c>
      <c r="T3510" t="s">
        <v>57514</v>
      </c>
      <c r="U3510" t="s">
        <v>57515</v>
      </c>
      <c r="V3510" t="s">
        <v>57516</v>
      </c>
      <c r="W3510" t="s">
        <v>57517</v>
      </c>
      <c r="X3510" t="s">
        <v>57518</v>
      </c>
      <c r="Y3510" t="s">
        <v>57519</v>
      </c>
      <c r="Z3510" t="s">
        <v>57520</v>
      </c>
      <c r="AA3510" t="s">
        <v>57521</v>
      </c>
      <c r="AB3510" t="s">
        <v>74</v>
      </c>
      <c r="AC3510" t="s">
        <v>74</v>
      </c>
      <c r="AD3510" t="s">
        <v>74</v>
      </c>
      <c r="AE3510" t="s">
        <v>74</v>
      </c>
      <c r="AF3510" t="s">
        <v>74</v>
      </c>
      <c r="AG3510">
        <v>29</v>
      </c>
      <c r="AH3510">
        <v>7</v>
      </c>
      <c r="AI3510">
        <v>11</v>
      </c>
      <c r="AJ3510">
        <v>2</v>
      </c>
      <c r="AK3510">
        <v>9</v>
      </c>
      <c r="AL3510" t="s">
        <v>503</v>
      </c>
      <c r="AM3510" t="s">
        <v>151</v>
      </c>
      <c r="AN3510" t="s">
        <v>504</v>
      </c>
      <c r="AO3510" t="s">
        <v>505</v>
      </c>
      <c r="AP3510" t="s">
        <v>506</v>
      </c>
      <c r="AQ3510" t="s">
        <v>74</v>
      </c>
      <c r="AR3510" t="s">
        <v>507</v>
      </c>
      <c r="AS3510" t="s">
        <v>508</v>
      </c>
      <c r="AT3510" t="s">
        <v>2537</v>
      </c>
      <c r="AU3510">
        <v>2022</v>
      </c>
      <c r="AV3510">
        <v>44</v>
      </c>
      <c r="AW3510">
        <v>1</v>
      </c>
      <c r="AX3510" t="s">
        <v>74</v>
      </c>
      <c r="AY3510" t="s">
        <v>74</v>
      </c>
      <c r="AZ3510" t="s">
        <v>74</v>
      </c>
      <c r="BA3510" t="s">
        <v>74</v>
      </c>
      <c r="BB3510">
        <v>83</v>
      </c>
      <c r="BC3510">
        <v>95</v>
      </c>
      <c r="BD3510" t="s">
        <v>74</v>
      </c>
      <c r="BE3510" t="s">
        <v>57522</v>
      </c>
      <c r="BF3510" t="str">
        <f>HYPERLINK("http://dx.doi.org/10.1016/j.jpolmod.2021.08.001","http://dx.doi.org/10.1016/j.jpolmod.2021.08.001")</f>
        <v>http://dx.doi.org/10.1016/j.jpolmod.2021.08.001</v>
      </c>
      <c r="BG3510" t="s">
        <v>74</v>
      </c>
      <c r="BH3510" t="s">
        <v>74</v>
      </c>
      <c r="BI3510">
        <v>13</v>
      </c>
      <c r="BJ3510" t="s">
        <v>291</v>
      </c>
      <c r="BK3510" t="s">
        <v>99</v>
      </c>
      <c r="BL3510" t="s">
        <v>100</v>
      </c>
      <c r="BM3510" t="s">
        <v>57523</v>
      </c>
      <c r="BN3510" t="s">
        <v>74</v>
      </c>
      <c r="BO3510" t="s">
        <v>74</v>
      </c>
      <c r="BP3510" t="s">
        <v>74</v>
      </c>
      <c r="BQ3510" t="s">
        <v>74</v>
      </c>
      <c r="BR3510" t="s">
        <v>102</v>
      </c>
      <c r="BS3510" t="s">
        <v>57524</v>
      </c>
      <c r="BT3510" t="str">
        <f>HYPERLINK("https%3A%2F%2Fwww.webofscience.com%2Fwos%2Fwoscc%2Ffull-record%2FWOS:000800359700005","View Full Record in Web of Science")</f>
        <v>View Full Record in Web of Science</v>
      </c>
    </row>
    <row r="3511" spans="1:72" x14ac:dyDescent="0.25">
      <c r="A3511" t="s">
        <v>72</v>
      </c>
      <c r="B3511" t="s">
        <v>57525</v>
      </c>
      <c r="C3511" t="s">
        <v>74</v>
      </c>
      <c r="D3511" t="s">
        <v>74</v>
      </c>
      <c r="E3511" t="s">
        <v>74</v>
      </c>
      <c r="F3511" t="s">
        <v>57526</v>
      </c>
      <c r="G3511" t="s">
        <v>74</v>
      </c>
      <c r="H3511" t="s">
        <v>74</v>
      </c>
      <c r="I3511" t="s">
        <v>57527</v>
      </c>
      <c r="J3511" t="s">
        <v>57528</v>
      </c>
      <c r="K3511" t="s">
        <v>74</v>
      </c>
      <c r="L3511" t="s">
        <v>74</v>
      </c>
      <c r="M3511" t="s">
        <v>78</v>
      </c>
      <c r="N3511" t="s">
        <v>79</v>
      </c>
      <c r="O3511" t="s">
        <v>74</v>
      </c>
      <c r="P3511" t="s">
        <v>74</v>
      </c>
      <c r="Q3511" t="s">
        <v>74</v>
      </c>
      <c r="R3511" t="s">
        <v>74</v>
      </c>
      <c r="S3511" t="s">
        <v>74</v>
      </c>
      <c r="T3511" t="s">
        <v>57529</v>
      </c>
      <c r="U3511" t="s">
        <v>57530</v>
      </c>
      <c r="V3511" t="s">
        <v>57531</v>
      </c>
      <c r="W3511" t="s">
        <v>57532</v>
      </c>
      <c r="X3511" t="s">
        <v>57533</v>
      </c>
      <c r="Y3511" t="s">
        <v>57534</v>
      </c>
      <c r="Z3511" t="s">
        <v>57535</v>
      </c>
      <c r="AA3511" t="s">
        <v>74</v>
      </c>
      <c r="AB3511" t="s">
        <v>74</v>
      </c>
      <c r="AC3511" t="s">
        <v>57536</v>
      </c>
      <c r="AD3511" t="s">
        <v>57536</v>
      </c>
      <c r="AE3511" t="s">
        <v>57537</v>
      </c>
      <c r="AF3511" t="s">
        <v>74</v>
      </c>
      <c r="AG3511">
        <v>26</v>
      </c>
      <c r="AH3511">
        <v>0</v>
      </c>
      <c r="AI3511">
        <v>0</v>
      </c>
      <c r="AJ3511">
        <v>0</v>
      </c>
      <c r="AK3511">
        <v>1</v>
      </c>
      <c r="AL3511" t="s">
        <v>479</v>
      </c>
      <c r="AM3511" t="s">
        <v>480</v>
      </c>
      <c r="AN3511" t="s">
        <v>481</v>
      </c>
      <c r="AO3511" t="s">
        <v>57538</v>
      </c>
      <c r="AP3511" t="s">
        <v>57539</v>
      </c>
      <c r="AQ3511" t="s">
        <v>74</v>
      </c>
      <c r="AR3511" t="s">
        <v>57540</v>
      </c>
      <c r="AS3511" t="s">
        <v>57541</v>
      </c>
      <c r="AT3511" t="s">
        <v>289</v>
      </c>
      <c r="AU3511">
        <v>2025</v>
      </c>
      <c r="AV3511">
        <v>66</v>
      </c>
      <c r="AW3511">
        <v>5</v>
      </c>
      <c r="AX3511" t="s">
        <v>74</v>
      </c>
      <c r="AY3511" t="s">
        <v>74</v>
      </c>
      <c r="AZ3511" t="s">
        <v>74</v>
      </c>
      <c r="BA3511" t="s">
        <v>74</v>
      </c>
      <c r="BB3511">
        <v>268</v>
      </c>
      <c r="BC3511">
        <v>278</v>
      </c>
      <c r="BD3511" t="s">
        <v>74</v>
      </c>
      <c r="BE3511" t="s">
        <v>57542</v>
      </c>
      <c r="BF3511" t="str">
        <f>HYPERLINK("http://dx.doi.org/10.1111/ajd.14461","http://dx.doi.org/10.1111/ajd.14461")</f>
        <v>http://dx.doi.org/10.1111/ajd.14461</v>
      </c>
      <c r="BG3511" t="s">
        <v>74</v>
      </c>
      <c r="BH3511" t="s">
        <v>2781</v>
      </c>
      <c r="BI3511">
        <v>11</v>
      </c>
      <c r="BJ3511" t="s">
        <v>57543</v>
      </c>
      <c r="BK3511" t="s">
        <v>128</v>
      </c>
      <c r="BL3511" t="s">
        <v>57543</v>
      </c>
      <c r="BM3511" t="s">
        <v>57544</v>
      </c>
      <c r="BN3511">
        <v>40125889</v>
      </c>
      <c r="BO3511" t="s">
        <v>466</v>
      </c>
      <c r="BP3511" t="s">
        <v>74</v>
      </c>
      <c r="BQ3511" t="s">
        <v>74</v>
      </c>
      <c r="BR3511" t="s">
        <v>102</v>
      </c>
      <c r="BS3511" t="s">
        <v>57545</v>
      </c>
      <c r="BT3511" t="str">
        <f>HYPERLINK("https%3A%2F%2Fwww.webofscience.com%2Fwos%2Fwoscc%2Ffull-record%2FWOS:001450363400001","View Full Record in Web of Science")</f>
        <v>View Full Record in Web of Science</v>
      </c>
    </row>
    <row r="3512" spans="1:72" x14ac:dyDescent="0.25">
      <c r="A3512" t="s">
        <v>72</v>
      </c>
      <c r="B3512" t="s">
        <v>57546</v>
      </c>
      <c r="C3512" t="s">
        <v>74</v>
      </c>
      <c r="D3512" t="s">
        <v>74</v>
      </c>
      <c r="E3512" t="s">
        <v>74</v>
      </c>
      <c r="F3512" t="s">
        <v>57547</v>
      </c>
      <c r="G3512" t="s">
        <v>74</v>
      </c>
      <c r="H3512" t="s">
        <v>74</v>
      </c>
      <c r="I3512" t="s">
        <v>57548</v>
      </c>
      <c r="J3512" t="s">
        <v>10186</v>
      </c>
      <c r="K3512" t="s">
        <v>74</v>
      </c>
      <c r="L3512" t="s">
        <v>74</v>
      </c>
      <c r="M3512" t="s">
        <v>78</v>
      </c>
      <c r="N3512" t="s">
        <v>79</v>
      </c>
      <c r="O3512" t="s">
        <v>74</v>
      </c>
      <c r="P3512" t="s">
        <v>74</v>
      </c>
      <c r="Q3512" t="s">
        <v>74</v>
      </c>
      <c r="R3512" t="s">
        <v>74</v>
      </c>
      <c r="S3512" t="s">
        <v>74</v>
      </c>
      <c r="T3512" t="s">
        <v>57549</v>
      </c>
      <c r="U3512" t="s">
        <v>57550</v>
      </c>
      <c r="V3512" t="s">
        <v>57551</v>
      </c>
      <c r="W3512" t="s">
        <v>57552</v>
      </c>
      <c r="X3512" t="s">
        <v>57553</v>
      </c>
      <c r="Y3512" t="s">
        <v>57554</v>
      </c>
      <c r="Z3512" t="s">
        <v>57555</v>
      </c>
      <c r="AA3512" t="s">
        <v>57556</v>
      </c>
      <c r="AB3512" t="s">
        <v>57557</v>
      </c>
      <c r="AC3512" t="s">
        <v>57558</v>
      </c>
      <c r="AD3512" t="s">
        <v>57559</v>
      </c>
      <c r="AE3512" t="s">
        <v>57560</v>
      </c>
      <c r="AF3512" t="s">
        <v>74</v>
      </c>
      <c r="AG3512">
        <v>35</v>
      </c>
      <c r="AH3512">
        <v>6</v>
      </c>
      <c r="AI3512">
        <v>9</v>
      </c>
      <c r="AJ3512">
        <v>0</v>
      </c>
      <c r="AK3512">
        <v>15</v>
      </c>
      <c r="AL3512" t="s">
        <v>575</v>
      </c>
      <c r="AM3512" t="s">
        <v>576</v>
      </c>
      <c r="AN3512" t="s">
        <v>3242</v>
      </c>
      <c r="AO3512" t="s">
        <v>74</v>
      </c>
      <c r="AP3512" t="s">
        <v>10199</v>
      </c>
      <c r="AQ3512" t="s">
        <v>74</v>
      </c>
      <c r="AR3512" t="s">
        <v>10200</v>
      </c>
      <c r="AS3512" t="s">
        <v>10201</v>
      </c>
      <c r="AT3512" t="s">
        <v>208</v>
      </c>
      <c r="AU3512">
        <v>2017</v>
      </c>
      <c r="AV3512">
        <v>14</v>
      </c>
      <c r="AW3512">
        <v>1</v>
      </c>
      <c r="AX3512" t="s">
        <v>74</v>
      </c>
      <c r="AY3512" t="s">
        <v>74</v>
      </c>
      <c r="AZ3512" t="s">
        <v>74</v>
      </c>
      <c r="BA3512" t="s">
        <v>74</v>
      </c>
      <c r="BB3512" t="s">
        <v>74</v>
      </c>
      <c r="BC3512" t="s">
        <v>74</v>
      </c>
      <c r="BD3512">
        <v>26</v>
      </c>
      <c r="BE3512" t="s">
        <v>57561</v>
      </c>
      <c r="BF3512" t="str">
        <f>HYPERLINK("http://dx.doi.org/10.3390/ijerph14010026","http://dx.doi.org/10.3390/ijerph14010026")</f>
        <v>http://dx.doi.org/10.3390/ijerph14010026</v>
      </c>
      <c r="BG3512" t="s">
        <v>74</v>
      </c>
      <c r="BH3512" t="s">
        <v>74</v>
      </c>
      <c r="BI3512">
        <v>10</v>
      </c>
      <c r="BJ3512" t="s">
        <v>10203</v>
      </c>
      <c r="BK3512" t="s">
        <v>2623</v>
      </c>
      <c r="BL3512" t="s">
        <v>10204</v>
      </c>
      <c r="BM3512" t="s">
        <v>57562</v>
      </c>
      <c r="BN3512">
        <v>28036055</v>
      </c>
      <c r="BO3512" t="s">
        <v>916</v>
      </c>
      <c r="BP3512" t="s">
        <v>74</v>
      </c>
      <c r="BQ3512" t="s">
        <v>74</v>
      </c>
      <c r="BR3512" t="s">
        <v>102</v>
      </c>
      <c r="BS3512" t="s">
        <v>57563</v>
      </c>
      <c r="BT3512" t="str">
        <f>HYPERLINK("https%3A%2F%2Fwww.webofscience.com%2Fwos%2Fwoscc%2Ffull-record%2FWOS:000392578200026","View Full Record in Web of Science")</f>
        <v>View Full Record in Web of Science</v>
      </c>
    </row>
    <row r="3513" spans="1:72" x14ac:dyDescent="0.25">
      <c r="A3513" t="s">
        <v>72</v>
      </c>
      <c r="B3513" t="s">
        <v>57564</v>
      </c>
      <c r="C3513" t="s">
        <v>74</v>
      </c>
      <c r="D3513" t="s">
        <v>74</v>
      </c>
      <c r="E3513" t="s">
        <v>74</v>
      </c>
      <c r="F3513" t="s">
        <v>57565</v>
      </c>
      <c r="G3513" t="s">
        <v>74</v>
      </c>
      <c r="H3513" t="s">
        <v>74</v>
      </c>
      <c r="I3513" t="s">
        <v>57566</v>
      </c>
      <c r="J3513" t="s">
        <v>57567</v>
      </c>
      <c r="K3513" t="s">
        <v>74</v>
      </c>
      <c r="L3513" t="s">
        <v>74</v>
      </c>
      <c r="M3513" t="s">
        <v>78</v>
      </c>
      <c r="N3513" t="s">
        <v>1766</v>
      </c>
      <c r="O3513" t="s">
        <v>74</v>
      </c>
      <c r="P3513" t="s">
        <v>74</v>
      </c>
      <c r="Q3513" t="s">
        <v>74</v>
      </c>
      <c r="R3513" t="s">
        <v>74</v>
      </c>
      <c r="S3513" t="s">
        <v>74</v>
      </c>
      <c r="T3513" t="s">
        <v>57568</v>
      </c>
      <c r="U3513" t="s">
        <v>57569</v>
      </c>
      <c r="V3513" t="s">
        <v>57570</v>
      </c>
      <c r="W3513" t="s">
        <v>57571</v>
      </c>
      <c r="X3513" t="s">
        <v>17963</v>
      </c>
      <c r="Y3513" t="s">
        <v>57572</v>
      </c>
      <c r="Z3513" t="s">
        <v>57573</v>
      </c>
      <c r="AA3513" t="s">
        <v>57574</v>
      </c>
      <c r="AB3513" t="s">
        <v>74</v>
      </c>
      <c r="AC3513" t="s">
        <v>57575</v>
      </c>
      <c r="AD3513" t="s">
        <v>57575</v>
      </c>
      <c r="AE3513" t="s">
        <v>57576</v>
      </c>
      <c r="AF3513" t="s">
        <v>74</v>
      </c>
      <c r="AG3513">
        <v>192</v>
      </c>
      <c r="AH3513">
        <v>9</v>
      </c>
      <c r="AI3513">
        <v>10</v>
      </c>
      <c r="AJ3513">
        <v>4</v>
      </c>
      <c r="AK3513">
        <v>68</v>
      </c>
      <c r="AL3513" t="s">
        <v>479</v>
      </c>
      <c r="AM3513" t="s">
        <v>480</v>
      </c>
      <c r="AN3513" t="s">
        <v>481</v>
      </c>
      <c r="AO3513" t="s">
        <v>57577</v>
      </c>
      <c r="AP3513" t="s">
        <v>57578</v>
      </c>
      <c r="AQ3513" t="s">
        <v>74</v>
      </c>
      <c r="AR3513" t="s">
        <v>57579</v>
      </c>
      <c r="AS3513" t="s">
        <v>57580</v>
      </c>
      <c r="AT3513" t="s">
        <v>848</v>
      </c>
      <c r="AU3513">
        <v>2024</v>
      </c>
      <c r="AV3513">
        <v>33</v>
      </c>
      <c r="AW3513">
        <v>3</v>
      </c>
      <c r="AX3513" t="s">
        <v>74</v>
      </c>
      <c r="AY3513" t="s">
        <v>74</v>
      </c>
      <c r="AZ3513" t="s">
        <v>74</v>
      </c>
      <c r="BA3513" t="s">
        <v>74</v>
      </c>
      <c r="BB3513">
        <v>251</v>
      </c>
      <c r="BC3513">
        <v>286</v>
      </c>
      <c r="BD3513" t="s">
        <v>74</v>
      </c>
      <c r="BE3513" t="s">
        <v>57581</v>
      </c>
      <c r="BF3513" t="str">
        <f>HYPERLINK("http://dx.doi.org/10.1111/beer.12599","http://dx.doi.org/10.1111/beer.12599")</f>
        <v>http://dx.doi.org/10.1111/beer.12599</v>
      </c>
      <c r="BG3513" t="s">
        <v>74</v>
      </c>
      <c r="BH3513" t="s">
        <v>5567</v>
      </c>
      <c r="BI3513">
        <v>36</v>
      </c>
      <c r="BJ3513" t="s">
        <v>22340</v>
      </c>
      <c r="BK3513" t="s">
        <v>99</v>
      </c>
      <c r="BL3513" t="s">
        <v>22339</v>
      </c>
      <c r="BM3513" t="s">
        <v>57582</v>
      </c>
      <c r="BN3513" t="s">
        <v>74</v>
      </c>
      <c r="BO3513" t="s">
        <v>74</v>
      </c>
      <c r="BP3513" t="s">
        <v>74</v>
      </c>
      <c r="BQ3513" t="s">
        <v>74</v>
      </c>
      <c r="BR3513" t="s">
        <v>102</v>
      </c>
      <c r="BS3513" t="s">
        <v>57583</v>
      </c>
      <c r="BT3513" t="str">
        <f>HYPERLINK("https%3A%2F%2Fwww.webofscience.com%2Fwos%2Fwoscc%2Ffull-record%2FWOS:001069727700001","View Full Record in Web of Science")</f>
        <v>View Full Record in Web of Science</v>
      </c>
    </row>
    <row r="3514" spans="1:72" x14ac:dyDescent="0.25">
      <c r="A3514" t="s">
        <v>72</v>
      </c>
      <c r="B3514" t="s">
        <v>57584</v>
      </c>
      <c r="C3514" t="s">
        <v>74</v>
      </c>
      <c r="D3514" t="s">
        <v>74</v>
      </c>
      <c r="E3514" t="s">
        <v>74</v>
      </c>
      <c r="F3514" t="s">
        <v>57585</v>
      </c>
      <c r="G3514" t="s">
        <v>74</v>
      </c>
      <c r="H3514" t="s">
        <v>74</v>
      </c>
      <c r="I3514" t="s">
        <v>57586</v>
      </c>
      <c r="J3514" t="s">
        <v>12860</v>
      </c>
      <c r="K3514" t="s">
        <v>74</v>
      </c>
      <c r="L3514" t="s">
        <v>74</v>
      </c>
      <c r="M3514" t="s">
        <v>590</v>
      </c>
      <c r="N3514" t="s">
        <v>79</v>
      </c>
      <c r="O3514" t="s">
        <v>74</v>
      </c>
      <c r="P3514" t="s">
        <v>74</v>
      </c>
      <c r="Q3514" t="s">
        <v>74</v>
      </c>
      <c r="R3514" t="s">
        <v>74</v>
      </c>
      <c r="S3514" t="s">
        <v>74</v>
      </c>
      <c r="T3514" t="s">
        <v>57587</v>
      </c>
      <c r="U3514" t="s">
        <v>74</v>
      </c>
      <c r="V3514" t="s">
        <v>57588</v>
      </c>
      <c r="W3514" t="s">
        <v>57589</v>
      </c>
      <c r="X3514" t="s">
        <v>57590</v>
      </c>
      <c r="Y3514" t="s">
        <v>57591</v>
      </c>
      <c r="Z3514" t="s">
        <v>57592</v>
      </c>
      <c r="AA3514" t="s">
        <v>57593</v>
      </c>
      <c r="AB3514" t="s">
        <v>57594</v>
      </c>
      <c r="AC3514" t="s">
        <v>74</v>
      </c>
      <c r="AD3514" t="s">
        <v>74</v>
      </c>
      <c r="AE3514" t="s">
        <v>74</v>
      </c>
      <c r="AF3514" t="s">
        <v>74</v>
      </c>
      <c r="AG3514">
        <v>20</v>
      </c>
      <c r="AH3514">
        <v>3</v>
      </c>
      <c r="AI3514">
        <v>3</v>
      </c>
      <c r="AJ3514">
        <v>2</v>
      </c>
      <c r="AK3514">
        <v>54</v>
      </c>
      <c r="AL3514" t="s">
        <v>12867</v>
      </c>
      <c r="AM3514" t="s">
        <v>600</v>
      </c>
      <c r="AN3514" t="s">
        <v>12868</v>
      </c>
      <c r="AO3514" t="s">
        <v>12869</v>
      </c>
      <c r="AP3514" t="s">
        <v>74</v>
      </c>
      <c r="AQ3514" t="s">
        <v>74</v>
      </c>
      <c r="AR3514" t="s">
        <v>12870</v>
      </c>
      <c r="AS3514" t="s">
        <v>12871</v>
      </c>
      <c r="AT3514" t="s">
        <v>1540</v>
      </c>
      <c r="AU3514">
        <v>2022</v>
      </c>
      <c r="AV3514">
        <v>66</v>
      </c>
      <c r="AW3514">
        <v>5</v>
      </c>
      <c r="AX3514" t="s">
        <v>74</v>
      </c>
      <c r="AY3514" t="s">
        <v>74</v>
      </c>
      <c r="AZ3514" t="s">
        <v>74</v>
      </c>
      <c r="BA3514" t="s">
        <v>74</v>
      </c>
      <c r="BB3514">
        <v>50</v>
      </c>
      <c r="BC3514">
        <v>58</v>
      </c>
      <c r="BD3514" t="s">
        <v>74</v>
      </c>
      <c r="BE3514" t="s">
        <v>57595</v>
      </c>
      <c r="BF3514" t="str">
        <f>HYPERLINK("http://dx.doi.org/10.20542/0131-2227-2022-66-5-50-58","http://dx.doi.org/10.20542/0131-2227-2022-66-5-50-58")</f>
        <v>http://dx.doi.org/10.20542/0131-2227-2022-66-5-50-58</v>
      </c>
      <c r="BG3514" t="s">
        <v>74</v>
      </c>
      <c r="BH3514" t="s">
        <v>74</v>
      </c>
      <c r="BI3514">
        <v>9</v>
      </c>
      <c r="BJ3514" t="s">
        <v>12820</v>
      </c>
      <c r="BK3514" t="s">
        <v>313</v>
      </c>
      <c r="BL3514" t="s">
        <v>12820</v>
      </c>
      <c r="BM3514" t="s">
        <v>57596</v>
      </c>
      <c r="BN3514" t="s">
        <v>74</v>
      </c>
      <c r="BO3514" t="s">
        <v>1205</v>
      </c>
      <c r="BP3514" t="s">
        <v>74</v>
      </c>
      <c r="BQ3514" t="s">
        <v>74</v>
      </c>
      <c r="BR3514" t="s">
        <v>102</v>
      </c>
      <c r="BS3514" t="s">
        <v>57597</v>
      </c>
      <c r="BT3514" t="str">
        <f>HYPERLINK("https%3A%2F%2Fwww.webofscience.com%2Fwos%2Fwoscc%2Ffull-record%2FWOS:000870298700006","View Full Record in Web of Science")</f>
        <v>View Full Record in Web of Science</v>
      </c>
    </row>
    <row r="3515" spans="1:72" x14ac:dyDescent="0.25">
      <c r="A3515" t="s">
        <v>72</v>
      </c>
      <c r="B3515" t="s">
        <v>57598</v>
      </c>
      <c r="C3515" t="s">
        <v>74</v>
      </c>
      <c r="D3515" t="s">
        <v>74</v>
      </c>
      <c r="E3515" t="s">
        <v>74</v>
      </c>
      <c r="F3515" t="s">
        <v>57599</v>
      </c>
      <c r="G3515" t="s">
        <v>74</v>
      </c>
      <c r="H3515" t="s">
        <v>74</v>
      </c>
      <c r="I3515" t="s">
        <v>57600</v>
      </c>
      <c r="J3515" t="s">
        <v>4822</v>
      </c>
      <c r="K3515" t="s">
        <v>74</v>
      </c>
      <c r="L3515" t="s">
        <v>74</v>
      </c>
      <c r="M3515" t="s">
        <v>78</v>
      </c>
      <c r="N3515" t="s">
        <v>79</v>
      </c>
      <c r="O3515" t="s">
        <v>74</v>
      </c>
      <c r="P3515" t="s">
        <v>74</v>
      </c>
      <c r="Q3515" t="s">
        <v>74</v>
      </c>
      <c r="R3515" t="s">
        <v>74</v>
      </c>
      <c r="S3515" t="s">
        <v>74</v>
      </c>
      <c r="T3515" t="s">
        <v>57601</v>
      </c>
      <c r="U3515" t="s">
        <v>57602</v>
      </c>
      <c r="V3515" t="s">
        <v>57603</v>
      </c>
      <c r="W3515" t="s">
        <v>57604</v>
      </c>
      <c r="X3515" t="s">
        <v>57605</v>
      </c>
      <c r="Y3515" t="s">
        <v>4311</v>
      </c>
      <c r="Z3515" t="s">
        <v>57606</v>
      </c>
      <c r="AA3515" t="s">
        <v>57607</v>
      </c>
      <c r="AB3515" t="s">
        <v>57608</v>
      </c>
      <c r="AC3515" t="s">
        <v>74</v>
      </c>
      <c r="AD3515" t="s">
        <v>74</v>
      </c>
      <c r="AE3515" t="s">
        <v>74</v>
      </c>
      <c r="AF3515" t="s">
        <v>74</v>
      </c>
      <c r="AG3515">
        <v>88</v>
      </c>
      <c r="AH3515">
        <v>28</v>
      </c>
      <c r="AI3515">
        <v>39</v>
      </c>
      <c r="AJ3515">
        <v>1</v>
      </c>
      <c r="AK3515">
        <v>14</v>
      </c>
      <c r="AL3515" t="s">
        <v>201</v>
      </c>
      <c r="AM3515" t="s">
        <v>202</v>
      </c>
      <c r="AN3515" t="s">
        <v>203</v>
      </c>
      <c r="AO3515" t="s">
        <v>4833</v>
      </c>
      <c r="AP3515" t="s">
        <v>9515</v>
      </c>
      <c r="AQ3515" t="s">
        <v>74</v>
      </c>
      <c r="AR3515" t="s">
        <v>4834</v>
      </c>
      <c r="AS3515" t="s">
        <v>4835</v>
      </c>
      <c r="AT3515" t="s">
        <v>605</v>
      </c>
      <c r="AU3515">
        <v>2021</v>
      </c>
      <c r="AV3515">
        <v>69</v>
      </c>
      <c r="AW3515" t="s">
        <v>74</v>
      </c>
      <c r="AX3515" t="s">
        <v>74</v>
      </c>
      <c r="AY3515" t="s">
        <v>74</v>
      </c>
      <c r="AZ3515" t="s">
        <v>74</v>
      </c>
      <c r="BA3515" t="s">
        <v>74</v>
      </c>
      <c r="BB3515">
        <v>159</v>
      </c>
      <c r="BC3515">
        <v>170</v>
      </c>
      <c r="BD3515" t="s">
        <v>74</v>
      </c>
      <c r="BE3515" t="s">
        <v>57609</v>
      </c>
      <c r="BF3515" t="str">
        <f>HYPERLINK("http://dx.doi.org/10.1016/j.eap.2020.11.010","http://dx.doi.org/10.1016/j.eap.2020.11.010")</f>
        <v>http://dx.doi.org/10.1016/j.eap.2020.11.010</v>
      </c>
      <c r="BG3515" t="s">
        <v>74</v>
      </c>
      <c r="BH3515" t="s">
        <v>74</v>
      </c>
      <c r="BI3515">
        <v>12</v>
      </c>
      <c r="BJ3515" t="s">
        <v>291</v>
      </c>
      <c r="BK3515" t="s">
        <v>99</v>
      </c>
      <c r="BL3515" t="s">
        <v>100</v>
      </c>
      <c r="BM3515" t="s">
        <v>57610</v>
      </c>
      <c r="BN3515" t="s">
        <v>74</v>
      </c>
      <c r="BO3515" t="s">
        <v>74</v>
      </c>
      <c r="BP3515" t="s">
        <v>74</v>
      </c>
      <c r="BQ3515" t="s">
        <v>74</v>
      </c>
      <c r="BR3515" t="s">
        <v>102</v>
      </c>
      <c r="BS3515" t="s">
        <v>57611</v>
      </c>
      <c r="BT3515" t="str">
        <f>HYPERLINK("https%3A%2F%2Fwww.webofscience.com%2Fwos%2Fwoscc%2Ffull-record%2FWOS:000644970300010","View Full Record in Web of Science")</f>
        <v>View Full Record in Web of Science</v>
      </c>
    </row>
    <row r="3516" spans="1:72" x14ac:dyDescent="0.25">
      <c r="A3516" t="s">
        <v>72</v>
      </c>
      <c r="B3516" t="s">
        <v>57612</v>
      </c>
      <c r="C3516" t="s">
        <v>74</v>
      </c>
      <c r="D3516" t="s">
        <v>74</v>
      </c>
      <c r="E3516" t="s">
        <v>74</v>
      </c>
      <c r="F3516" t="s">
        <v>57613</v>
      </c>
      <c r="G3516" t="s">
        <v>74</v>
      </c>
      <c r="H3516" t="s">
        <v>74</v>
      </c>
      <c r="I3516" t="s">
        <v>57614</v>
      </c>
      <c r="J3516" t="s">
        <v>57615</v>
      </c>
      <c r="K3516" t="s">
        <v>74</v>
      </c>
      <c r="L3516" t="s">
        <v>74</v>
      </c>
      <c r="M3516" t="s">
        <v>78</v>
      </c>
      <c r="N3516" t="s">
        <v>1766</v>
      </c>
      <c r="O3516" t="s">
        <v>74</v>
      </c>
      <c r="P3516" t="s">
        <v>74</v>
      </c>
      <c r="Q3516" t="s">
        <v>74</v>
      </c>
      <c r="R3516" t="s">
        <v>74</v>
      </c>
      <c r="S3516" t="s">
        <v>74</v>
      </c>
      <c r="T3516" t="s">
        <v>57616</v>
      </c>
      <c r="U3516" t="s">
        <v>57617</v>
      </c>
      <c r="V3516" t="s">
        <v>57618</v>
      </c>
      <c r="W3516" t="s">
        <v>57619</v>
      </c>
      <c r="X3516" t="s">
        <v>57620</v>
      </c>
      <c r="Y3516" t="s">
        <v>57621</v>
      </c>
      <c r="Z3516" t="s">
        <v>57622</v>
      </c>
      <c r="AA3516" t="s">
        <v>57623</v>
      </c>
      <c r="AB3516" t="s">
        <v>57624</v>
      </c>
      <c r="AC3516" t="s">
        <v>74</v>
      </c>
      <c r="AD3516" t="s">
        <v>74</v>
      </c>
      <c r="AE3516" t="s">
        <v>74</v>
      </c>
      <c r="AF3516" t="s">
        <v>74</v>
      </c>
      <c r="AG3516">
        <v>72</v>
      </c>
      <c r="AH3516">
        <v>9</v>
      </c>
      <c r="AI3516">
        <v>9</v>
      </c>
      <c r="AJ3516">
        <v>2</v>
      </c>
      <c r="AK3516">
        <v>4</v>
      </c>
      <c r="AL3516" t="s">
        <v>201</v>
      </c>
      <c r="AM3516" t="s">
        <v>202</v>
      </c>
      <c r="AN3516" t="s">
        <v>203</v>
      </c>
      <c r="AO3516" t="s">
        <v>57625</v>
      </c>
      <c r="AP3516" t="s">
        <v>74</v>
      </c>
      <c r="AQ3516" t="s">
        <v>74</v>
      </c>
      <c r="AR3516" t="s">
        <v>57626</v>
      </c>
      <c r="AS3516" t="s">
        <v>57627</v>
      </c>
      <c r="AT3516" t="s">
        <v>1540</v>
      </c>
      <c r="AU3516">
        <v>2025</v>
      </c>
      <c r="AV3516">
        <v>31</v>
      </c>
      <c r="AW3516" t="s">
        <v>74</v>
      </c>
      <c r="AX3516" t="s">
        <v>74</v>
      </c>
      <c r="AY3516" t="s">
        <v>74</v>
      </c>
      <c r="AZ3516" t="s">
        <v>74</v>
      </c>
      <c r="BA3516" t="s">
        <v>74</v>
      </c>
      <c r="BB3516" t="s">
        <v>74</v>
      </c>
      <c r="BC3516" t="s">
        <v>74</v>
      </c>
      <c r="BD3516">
        <v>101420</v>
      </c>
      <c r="BE3516" t="s">
        <v>57628</v>
      </c>
      <c r="BF3516" t="str">
        <f>HYPERLINK("http://dx.doi.org/10.1016/j.trip.2025.101420","http://dx.doi.org/10.1016/j.trip.2025.101420")</f>
        <v>http://dx.doi.org/10.1016/j.trip.2025.101420</v>
      </c>
      <c r="BG3516" t="s">
        <v>74</v>
      </c>
      <c r="BH3516" t="s">
        <v>1485</v>
      </c>
      <c r="BI3516">
        <v>16</v>
      </c>
      <c r="BJ3516" t="s">
        <v>57629</v>
      </c>
      <c r="BK3516" t="s">
        <v>313</v>
      </c>
      <c r="BL3516" t="s">
        <v>57629</v>
      </c>
      <c r="BM3516" t="s">
        <v>57630</v>
      </c>
      <c r="BN3516" t="s">
        <v>74</v>
      </c>
      <c r="BO3516" t="s">
        <v>916</v>
      </c>
      <c r="BP3516" t="s">
        <v>74</v>
      </c>
      <c r="BQ3516" t="s">
        <v>74</v>
      </c>
      <c r="BR3516" t="s">
        <v>102</v>
      </c>
      <c r="BS3516" t="s">
        <v>57631</v>
      </c>
      <c r="BT3516" t="str">
        <f>HYPERLINK("https%3A%2F%2Fwww.webofscience.com%2Fwos%2Fwoscc%2Ffull-record%2FWOS:001471381800001","View Full Record in Web of Science")</f>
        <v>View Full Record in Web of Science</v>
      </c>
    </row>
    <row r="3517" spans="1:72" x14ac:dyDescent="0.25">
      <c r="A3517" t="s">
        <v>72</v>
      </c>
      <c r="B3517" t="s">
        <v>57632</v>
      </c>
      <c r="C3517" t="s">
        <v>74</v>
      </c>
      <c r="D3517" t="s">
        <v>74</v>
      </c>
      <c r="E3517" t="s">
        <v>74</v>
      </c>
      <c r="F3517" t="s">
        <v>57633</v>
      </c>
      <c r="G3517" t="s">
        <v>74</v>
      </c>
      <c r="H3517" t="s">
        <v>74</v>
      </c>
      <c r="I3517" t="s">
        <v>57634</v>
      </c>
      <c r="J3517" t="s">
        <v>57635</v>
      </c>
      <c r="K3517" t="s">
        <v>74</v>
      </c>
      <c r="L3517" t="s">
        <v>74</v>
      </c>
      <c r="M3517" t="s">
        <v>78</v>
      </c>
      <c r="N3517" t="s">
        <v>1766</v>
      </c>
      <c r="O3517" t="s">
        <v>74</v>
      </c>
      <c r="P3517" t="s">
        <v>74</v>
      </c>
      <c r="Q3517" t="s">
        <v>74</v>
      </c>
      <c r="R3517" t="s">
        <v>74</v>
      </c>
      <c r="S3517" t="s">
        <v>74</v>
      </c>
      <c r="T3517" t="s">
        <v>74</v>
      </c>
      <c r="U3517" t="s">
        <v>57636</v>
      </c>
      <c r="V3517" t="s">
        <v>57637</v>
      </c>
      <c r="W3517" t="s">
        <v>57638</v>
      </c>
      <c r="X3517" t="s">
        <v>57639</v>
      </c>
      <c r="Y3517" t="s">
        <v>57640</v>
      </c>
      <c r="Z3517" t="s">
        <v>57641</v>
      </c>
      <c r="AA3517" t="s">
        <v>57642</v>
      </c>
      <c r="AB3517" t="s">
        <v>57643</v>
      </c>
      <c r="AC3517" t="s">
        <v>57644</v>
      </c>
      <c r="AD3517" t="s">
        <v>57645</v>
      </c>
      <c r="AE3517" t="s">
        <v>57646</v>
      </c>
      <c r="AF3517" t="s">
        <v>74</v>
      </c>
      <c r="AG3517">
        <v>32</v>
      </c>
      <c r="AH3517">
        <v>505</v>
      </c>
      <c r="AI3517">
        <v>594</v>
      </c>
      <c r="AJ3517">
        <v>12</v>
      </c>
      <c r="AK3517">
        <v>242</v>
      </c>
      <c r="AL3517" t="s">
        <v>57647</v>
      </c>
      <c r="AM3517" t="s">
        <v>995</v>
      </c>
      <c r="AN3517" t="s">
        <v>57648</v>
      </c>
      <c r="AO3517" t="s">
        <v>57649</v>
      </c>
      <c r="AP3517" t="s">
        <v>57650</v>
      </c>
      <c r="AQ3517" t="s">
        <v>74</v>
      </c>
      <c r="AR3517" t="s">
        <v>57651</v>
      </c>
      <c r="AS3517" t="s">
        <v>57652</v>
      </c>
      <c r="AT3517" t="s">
        <v>1159</v>
      </c>
      <c r="AU3517">
        <v>2015</v>
      </c>
      <c r="AV3517">
        <v>49</v>
      </c>
      <c r="AW3517">
        <v>19</v>
      </c>
      <c r="AX3517" t="s">
        <v>74</v>
      </c>
      <c r="AY3517" t="s">
        <v>74</v>
      </c>
      <c r="AZ3517" t="s">
        <v>74</v>
      </c>
      <c r="BA3517" t="s">
        <v>74</v>
      </c>
      <c r="BB3517">
        <v>1268</v>
      </c>
      <c r="BC3517">
        <v>1276</v>
      </c>
      <c r="BD3517" t="s">
        <v>74</v>
      </c>
      <c r="BE3517" t="s">
        <v>57653</v>
      </c>
      <c r="BF3517" t="str">
        <f>HYPERLINK("http://dx.doi.org/10.1136/bjsports-2014-094015","http://dx.doi.org/10.1136/bjsports-2014-094015")</f>
        <v>http://dx.doi.org/10.1136/bjsports-2014-094015</v>
      </c>
      <c r="BG3517" t="s">
        <v>74</v>
      </c>
      <c r="BH3517" t="s">
        <v>74</v>
      </c>
      <c r="BI3517">
        <v>9</v>
      </c>
      <c r="BJ3517" t="s">
        <v>57654</v>
      </c>
      <c r="BK3517" t="s">
        <v>2623</v>
      </c>
      <c r="BL3517" t="s">
        <v>57654</v>
      </c>
      <c r="BM3517" t="s">
        <v>57655</v>
      </c>
      <c r="BN3517">
        <v>25586911</v>
      </c>
      <c r="BO3517" t="s">
        <v>74</v>
      </c>
      <c r="BP3517" t="s">
        <v>74</v>
      </c>
      <c r="BQ3517" t="s">
        <v>74</v>
      </c>
      <c r="BR3517" t="s">
        <v>102</v>
      </c>
      <c r="BS3517" t="s">
        <v>57656</v>
      </c>
      <c r="BT3517" t="str">
        <f>HYPERLINK("https%3A%2F%2Fwww.webofscience.com%2Fwos%2Fwoscc%2Ffull-record%2FWOS:000361498600013","View Full Record in Web of Science")</f>
        <v>View Full Record in Web of Science</v>
      </c>
    </row>
    <row r="3518" spans="1:72" x14ac:dyDescent="0.25">
      <c r="A3518" t="s">
        <v>72</v>
      </c>
      <c r="B3518" t="s">
        <v>57657</v>
      </c>
      <c r="C3518" t="s">
        <v>74</v>
      </c>
      <c r="D3518" t="s">
        <v>74</v>
      </c>
      <c r="E3518" t="s">
        <v>74</v>
      </c>
      <c r="F3518" t="s">
        <v>57658</v>
      </c>
      <c r="G3518" t="s">
        <v>74</v>
      </c>
      <c r="H3518" t="s">
        <v>74</v>
      </c>
      <c r="I3518" t="s">
        <v>57659</v>
      </c>
      <c r="J3518" t="s">
        <v>20369</v>
      </c>
      <c r="K3518" t="s">
        <v>74</v>
      </c>
      <c r="L3518" t="s">
        <v>74</v>
      </c>
      <c r="M3518" t="s">
        <v>78</v>
      </c>
      <c r="N3518" t="s">
        <v>79</v>
      </c>
      <c r="O3518" t="s">
        <v>74</v>
      </c>
      <c r="P3518" t="s">
        <v>74</v>
      </c>
      <c r="Q3518" t="s">
        <v>74</v>
      </c>
      <c r="R3518" t="s">
        <v>74</v>
      </c>
      <c r="S3518" t="s">
        <v>74</v>
      </c>
      <c r="T3518" t="s">
        <v>57660</v>
      </c>
      <c r="U3518" t="s">
        <v>57661</v>
      </c>
      <c r="V3518" t="s">
        <v>57662</v>
      </c>
      <c r="W3518" t="s">
        <v>57663</v>
      </c>
      <c r="X3518" t="s">
        <v>57664</v>
      </c>
      <c r="Y3518" t="s">
        <v>57665</v>
      </c>
      <c r="Z3518" t="s">
        <v>57666</v>
      </c>
      <c r="AA3518" t="s">
        <v>74</v>
      </c>
      <c r="AB3518" t="s">
        <v>57667</v>
      </c>
      <c r="AC3518" t="s">
        <v>57668</v>
      </c>
      <c r="AD3518" t="s">
        <v>57668</v>
      </c>
      <c r="AE3518" t="s">
        <v>57669</v>
      </c>
      <c r="AF3518" t="s">
        <v>74</v>
      </c>
      <c r="AG3518">
        <v>71</v>
      </c>
      <c r="AH3518">
        <v>24</v>
      </c>
      <c r="AI3518">
        <v>28</v>
      </c>
      <c r="AJ3518">
        <v>6</v>
      </c>
      <c r="AK3518">
        <v>49</v>
      </c>
      <c r="AL3518" t="s">
        <v>385</v>
      </c>
      <c r="AM3518" t="s">
        <v>1153</v>
      </c>
      <c r="AN3518" t="s">
        <v>1154</v>
      </c>
      <c r="AO3518" t="s">
        <v>20359</v>
      </c>
      <c r="AP3518" t="s">
        <v>20358</v>
      </c>
      <c r="AQ3518" t="s">
        <v>74</v>
      </c>
      <c r="AR3518" t="s">
        <v>20357</v>
      </c>
      <c r="AS3518" t="s">
        <v>20356</v>
      </c>
      <c r="AT3518" t="s">
        <v>208</v>
      </c>
      <c r="AU3518">
        <v>2024</v>
      </c>
      <c r="AV3518">
        <v>62</v>
      </c>
      <c r="AW3518">
        <v>1</v>
      </c>
      <c r="AX3518" t="s">
        <v>74</v>
      </c>
      <c r="AY3518" t="s">
        <v>74</v>
      </c>
      <c r="AZ3518" t="s">
        <v>74</v>
      </c>
      <c r="BA3518" t="s">
        <v>74</v>
      </c>
      <c r="BB3518">
        <v>179</v>
      </c>
      <c r="BC3518">
        <v>211</v>
      </c>
      <c r="BD3518" t="s">
        <v>74</v>
      </c>
      <c r="BE3518" t="s">
        <v>57670</v>
      </c>
      <c r="BF3518" t="str">
        <f>HYPERLINK("http://dx.doi.org/10.1007/s11187-023-00759-1","http://dx.doi.org/10.1007/s11187-023-00759-1")</f>
        <v>http://dx.doi.org/10.1007/s11187-023-00759-1</v>
      </c>
      <c r="BG3518" t="s">
        <v>74</v>
      </c>
      <c r="BH3518" t="s">
        <v>6298</v>
      </c>
      <c r="BI3518">
        <v>33</v>
      </c>
      <c r="BJ3518" t="s">
        <v>6512</v>
      </c>
      <c r="BK3518" t="s">
        <v>99</v>
      </c>
      <c r="BL3518" t="s">
        <v>100</v>
      </c>
      <c r="BM3518" t="s">
        <v>57671</v>
      </c>
      <c r="BN3518">
        <v>38625207</v>
      </c>
      <c r="BO3518" t="s">
        <v>466</v>
      </c>
      <c r="BP3518" t="s">
        <v>74</v>
      </c>
      <c r="BQ3518" t="s">
        <v>74</v>
      </c>
      <c r="BR3518" t="s">
        <v>102</v>
      </c>
      <c r="BS3518" t="s">
        <v>57672</v>
      </c>
      <c r="BT3518" t="str">
        <f>HYPERLINK("https%3A%2F%2Fwww.webofscience.com%2Fwos%2Fwoscc%2Ffull-record%2FWOS:000972074500001","View Full Record in Web of Science")</f>
        <v>View Full Record in Web of Science</v>
      </c>
    </row>
    <row r="3519" spans="1:72" x14ac:dyDescent="0.25">
      <c r="A3519" t="s">
        <v>72</v>
      </c>
      <c r="B3519" t="s">
        <v>57673</v>
      </c>
      <c r="C3519" t="s">
        <v>74</v>
      </c>
      <c r="D3519" t="s">
        <v>74</v>
      </c>
      <c r="E3519" t="s">
        <v>74</v>
      </c>
      <c r="F3519" t="s">
        <v>57674</v>
      </c>
      <c r="G3519" t="s">
        <v>74</v>
      </c>
      <c r="H3519" t="s">
        <v>74</v>
      </c>
      <c r="I3519" t="s">
        <v>57675</v>
      </c>
      <c r="J3519" t="s">
        <v>4055</v>
      </c>
      <c r="K3519" t="s">
        <v>74</v>
      </c>
      <c r="L3519" t="s">
        <v>74</v>
      </c>
      <c r="M3519" t="s">
        <v>78</v>
      </c>
      <c r="N3519" t="s">
        <v>79</v>
      </c>
      <c r="O3519" t="s">
        <v>74</v>
      </c>
      <c r="P3519" t="s">
        <v>74</v>
      </c>
      <c r="Q3519" t="s">
        <v>74</v>
      </c>
      <c r="R3519" t="s">
        <v>74</v>
      </c>
      <c r="S3519" t="s">
        <v>74</v>
      </c>
      <c r="T3519" t="s">
        <v>57676</v>
      </c>
      <c r="U3519" t="s">
        <v>57677</v>
      </c>
      <c r="V3519" t="s">
        <v>57678</v>
      </c>
      <c r="W3519" t="s">
        <v>57679</v>
      </c>
      <c r="X3519" t="s">
        <v>57680</v>
      </c>
      <c r="Y3519" t="s">
        <v>57681</v>
      </c>
      <c r="Z3519" t="s">
        <v>57682</v>
      </c>
      <c r="AA3519" t="s">
        <v>57683</v>
      </c>
      <c r="AB3519" t="s">
        <v>74</v>
      </c>
      <c r="AC3519" t="s">
        <v>57684</v>
      </c>
      <c r="AD3519" t="s">
        <v>57685</v>
      </c>
      <c r="AE3519" t="s">
        <v>57686</v>
      </c>
      <c r="AF3519" t="s">
        <v>74</v>
      </c>
      <c r="AG3519">
        <v>53</v>
      </c>
      <c r="AH3519">
        <v>6</v>
      </c>
      <c r="AI3519">
        <v>6</v>
      </c>
      <c r="AJ3519">
        <v>2</v>
      </c>
      <c r="AK3519">
        <v>5</v>
      </c>
      <c r="AL3519" t="s">
        <v>2907</v>
      </c>
      <c r="AM3519" t="s">
        <v>2908</v>
      </c>
      <c r="AN3519" t="s">
        <v>2909</v>
      </c>
      <c r="AO3519" t="s">
        <v>4064</v>
      </c>
      <c r="AP3519" t="s">
        <v>4065</v>
      </c>
      <c r="AQ3519" t="s">
        <v>74</v>
      </c>
      <c r="AR3519" t="s">
        <v>4066</v>
      </c>
      <c r="AS3519" t="s">
        <v>4067</v>
      </c>
      <c r="AT3519" t="s">
        <v>1652</v>
      </c>
      <c r="AU3519">
        <v>2025</v>
      </c>
      <c r="AV3519">
        <v>30</v>
      </c>
      <c r="AW3519">
        <v>2</v>
      </c>
      <c r="AX3519" t="s">
        <v>74</v>
      </c>
      <c r="AY3519" t="s">
        <v>74</v>
      </c>
      <c r="AZ3519" t="s">
        <v>74</v>
      </c>
      <c r="BA3519" t="s">
        <v>74</v>
      </c>
      <c r="BB3519" t="s">
        <v>74</v>
      </c>
      <c r="BC3519" t="s">
        <v>74</v>
      </c>
      <c r="BD3519">
        <v>10</v>
      </c>
      <c r="BE3519" t="s">
        <v>57687</v>
      </c>
      <c r="BF3519" t="str">
        <f>HYPERLINK("http://dx.doi.org/10.1057/s41264-025-00303-0","http://dx.doi.org/10.1057/s41264-025-00303-0")</f>
        <v>http://dx.doi.org/10.1057/s41264-025-00303-0</v>
      </c>
      <c r="BG3519" t="s">
        <v>74</v>
      </c>
      <c r="BH3519" t="s">
        <v>74</v>
      </c>
      <c r="BI3519">
        <v>15</v>
      </c>
      <c r="BJ3519" t="s">
        <v>418</v>
      </c>
      <c r="BK3519" t="s">
        <v>313</v>
      </c>
      <c r="BL3519" t="s">
        <v>100</v>
      </c>
      <c r="BM3519" t="s">
        <v>57688</v>
      </c>
      <c r="BN3519" t="s">
        <v>74</v>
      </c>
      <c r="BO3519" t="s">
        <v>270</v>
      </c>
      <c r="BP3519" t="s">
        <v>74</v>
      </c>
      <c r="BQ3519" t="s">
        <v>74</v>
      </c>
      <c r="BR3519" t="s">
        <v>102</v>
      </c>
      <c r="BS3519" t="s">
        <v>57689</v>
      </c>
      <c r="BT3519" t="str">
        <f>HYPERLINK("https%3A%2F%2Fwww.webofscience.com%2Fwos%2Fwoscc%2Ffull-record%2FWOS:001459690000001","View Full Record in Web of Science")</f>
        <v>View Full Record in Web of Science</v>
      </c>
    </row>
    <row r="3520" spans="1:72" x14ac:dyDescent="0.25">
      <c r="A3520" t="s">
        <v>72</v>
      </c>
      <c r="B3520" t="s">
        <v>57690</v>
      </c>
      <c r="C3520" t="s">
        <v>74</v>
      </c>
      <c r="D3520" t="s">
        <v>74</v>
      </c>
      <c r="E3520" t="s">
        <v>74</v>
      </c>
      <c r="F3520" t="s">
        <v>57691</v>
      </c>
      <c r="G3520" t="s">
        <v>74</v>
      </c>
      <c r="H3520" t="s">
        <v>74</v>
      </c>
      <c r="I3520" t="s">
        <v>57692</v>
      </c>
      <c r="J3520" t="s">
        <v>56598</v>
      </c>
      <c r="K3520" t="s">
        <v>74</v>
      </c>
      <c r="L3520" t="s">
        <v>74</v>
      </c>
      <c r="M3520" t="s">
        <v>78</v>
      </c>
      <c r="N3520" t="s">
        <v>372</v>
      </c>
      <c r="O3520" t="s">
        <v>74</v>
      </c>
      <c r="P3520" t="s">
        <v>74</v>
      </c>
      <c r="Q3520" t="s">
        <v>74</v>
      </c>
      <c r="R3520" t="s">
        <v>74</v>
      </c>
      <c r="S3520" t="s">
        <v>74</v>
      </c>
      <c r="T3520" t="s">
        <v>57693</v>
      </c>
      <c r="U3520" t="s">
        <v>57694</v>
      </c>
      <c r="V3520" t="s">
        <v>57695</v>
      </c>
      <c r="W3520" t="s">
        <v>57696</v>
      </c>
      <c r="X3520" t="s">
        <v>11694</v>
      </c>
      <c r="Y3520" t="s">
        <v>57697</v>
      </c>
      <c r="Z3520" t="s">
        <v>57698</v>
      </c>
      <c r="AA3520" t="s">
        <v>57699</v>
      </c>
      <c r="AB3520" t="s">
        <v>57700</v>
      </c>
      <c r="AC3520" t="s">
        <v>74</v>
      </c>
      <c r="AD3520" t="s">
        <v>74</v>
      </c>
      <c r="AE3520" t="s">
        <v>74</v>
      </c>
      <c r="AF3520" t="s">
        <v>74</v>
      </c>
      <c r="AG3520">
        <v>104</v>
      </c>
      <c r="AH3520">
        <v>0</v>
      </c>
      <c r="AI3520">
        <v>0</v>
      </c>
      <c r="AJ3520">
        <v>16</v>
      </c>
      <c r="AK3520">
        <v>16</v>
      </c>
      <c r="AL3520" t="s">
        <v>89</v>
      </c>
      <c r="AM3520" t="s">
        <v>90</v>
      </c>
      <c r="AN3520" t="s">
        <v>91</v>
      </c>
      <c r="AO3520" t="s">
        <v>56608</v>
      </c>
      <c r="AP3520" t="s">
        <v>56609</v>
      </c>
      <c r="AQ3520" t="s">
        <v>74</v>
      </c>
      <c r="AR3520" t="s">
        <v>56610</v>
      </c>
      <c r="AS3520" t="s">
        <v>56611</v>
      </c>
      <c r="AT3520" t="s">
        <v>57701</v>
      </c>
      <c r="AU3520">
        <v>2025</v>
      </c>
      <c r="AV3520" t="s">
        <v>74</v>
      </c>
      <c r="AW3520" t="s">
        <v>74</v>
      </c>
      <c r="AX3520" t="s">
        <v>74</v>
      </c>
      <c r="AY3520" t="s">
        <v>74</v>
      </c>
      <c r="AZ3520" t="s">
        <v>74</v>
      </c>
      <c r="BA3520" t="s">
        <v>74</v>
      </c>
      <c r="BB3520" t="s">
        <v>74</v>
      </c>
      <c r="BC3520" t="s">
        <v>74</v>
      </c>
      <c r="BD3520" t="s">
        <v>74</v>
      </c>
      <c r="BE3520" t="s">
        <v>57702</v>
      </c>
      <c r="BF3520" t="str">
        <f>HYPERLINK("http://dx.doi.org/10.1108/MD-01-2025-0093","http://dx.doi.org/10.1108/MD-01-2025-0093")</f>
        <v>http://dx.doi.org/10.1108/MD-01-2025-0093</v>
      </c>
      <c r="BG3520" t="s">
        <v>74</v>
      </c>
      <c r="BH3520" t="s">
        <v>3411</v>
      </c>
      <c r="BI3520">
        <v>24</v>
      </c>
      <c r="BJ3520" t="s">
        <v>98</v>
      </c>
      <c r="BK3520" t="s">
        <v>99</v>
      </c>
      <c r="BL3520" t="s">
        <v>100</v>
      </c>
      <c r="BM3520" t="s">
        <v>57703</v>
      </c>
      <c r="BN3520" t="s">
        <v>74</v>
      </c>
      <c r="BO3520" t="s">
        <v>74</v>
      </c>
      <c r="BP3520" t="s">
        <v>74</v>
      </c>
      <c r="BQ3520" t="s">
        <v>74</v>
      </c>
      <c r="BR3520" t="s">
        <v>102</v>
      </c>
      <c r="BS3520" t="s">
        <v>57704</v>
      </c>
      <c r="BT3520" t="str">
        <f>HYPERLINK("https%3A%2F%2Fwww.webofscience.com%2Fwos%2Fwoscc%2Ffull-record%2FWOS:001572687700001","View Full Record in Web of Science")</f>
        <v>View Full Record in Web of Science</v>
      </c>
    </row>
    <row r="3521" spans="1:72" x14ac:dyDescent="0.25">
      <c r="A3521" t="s">
        <v>72</v>
      </c>
      <c r="B3521" t="s">
        <v>57705</v>
      </c>
      <c r="C3521" t="s">
        <v>74</v>
      </c>
      <c r="D3521" t="s">
        <v>74</v>
      </c>
      <c r="E3521" t="s">
        <v>74</v>
      </c>
      <c r="F3521" t="s">
        <v>57706</v>
      </c>
      <c r="G3521" t="s">
        <v>74</v>
      </c>
      <c r="H3521" t="s">
        <v>74</v>
      </c>
      <c r="I3521" t="s">
        <v>57707</v>
      </c>
      <c r="J3521" t="s">
        <v>1245</v>
      </c>
      <c r="K3521" t="s">
        <v>74</v>
      </c>
      <c r="L3521" t="s">
        <v>74</v>
      </c>
      <c r="M3521" t="s">
        <v>78</v>
      </c>
      <c r="N3521" t="s">
        <v>79</v>
      </c>
      <c r="O3521" t="s">
        <v>74</v>
      </c>
      <c r="P3521" t="s">
        <v>74</v>
      </c>
      <c r="Q3521" t="s">
        <v>74</v>
      </c>
      <c r="R3521" t="s">
        <v>74</v>
      </c>
      <c r="S3521" t="s">
        <v>74</v>
      </c>
      <c r="T3521" t="s">
        <v>57708</v>
      </c>
      <c r="U3521" t="s">
        <v>74</v>
      </c>
      <c r="V3521" t="s">
        <v>57709</v>
      </c>
      <c r="W3521" t="s">
        <v>57710</v>
      </c>
      <c r="X3521" t="s">
        <v>57711</v>
      </c>
      <c r="Y3521" t="s">
        <v>57712</v>
      </c>
      <c r="Z3521" t="s">
        <v>57713</v>
      </c>
      <c r="AA3521" t="s">
        <v>57714</v>
      </c>
      <c r="AB3521" t="s">
        <v>57715</v>
      </c>
      <c r="AC3521" t="s">
        <v>74</v>
      </c>
      <c r="AD3521" t="s">
        <v>74</v>
      </c>
      <c r="AE3521" t="s">
        <v>74</v>
      </c>
      <c r="AF3521" t="s">
        <v>74</v>
      </c>
      <c r="AG3521">
        <v>34</v>
      </c>
      <c r="AH3521">
        <v>0</v>
      </c>
      <c r="AI3521">
        <v>0</v>
      </c>
      <c r="AJ3521">
        <v>5</v>
      </c>
      <c r="AK3521">
        <v>6</v>
      </c>
      <c r="AL3521" t="s">
        <v>1254</v>
      </c>
      <c r="AM3521" t="s">
        <v>1255</v>
      </c>
      <c r="AN3521" t="s">
        <v>1256</v>
      </c>
      <c r="AO3521" t="s">
        <v>1257</v>
      </c>
      <c r="AP3521" t="s">
        <v>1258</v>
      </c>
      <c r="AQ3521" t="s">
        <v>74</v>
      </c>
      <c r="AR3521" t="s">
        <v>1259</v>
      </c>
      <c r="AS3521" t="s">
        <v>1260</v>
      </c>
      <c r="AT3521" t="s">
        <v>74</v>
      </c>
      <c r="AU3521">
        <v>2024</v>
      </c>
      <c r="AV3521">
        <v>5</v>
      </c>
      <c r="AW3521">
        <v>58</v>
      </c>
      <c r="AX3521" t="s">
        <v>74</v>
      </c>
      <c r="AY3521" t="s">
        <v>74</v>
      </c>
      <c r="AZ3521" t="s">
        <v>74</v>
      </c>
      <c r="BA3521" t="s">
        <v>74</v>
      </c>
      <c r="BB3521">
        <v>345</v>
      </c>
      <c r="BC3521">
        <v>357</v>
      </c>
      <c r="BD3521" t="s">
        <v>74</v>
      </c>
      <c r="BE3521" t="s">
        <v>57716</v>
      </c>
      <c r="BF3521" t="str">
        <f>HYPERLINK("http://dx.doi.org/10.55643/fcaptp.5.58.2024.4505","http://dx.doi.org/10.55643/fcaptp.5.58.2024.4505")</f>
        <v>http://dx.doi.org/10.55643/fcaptp.5.58.2024.4505</v>
      </c>
      <c r="BG3521" t="s">
        <v>74</v>
      </c>
      <c r="BH3521" t="s">
        <v>74</v>
      </c>
      <c r="BI3521">
        <v>13</v>
      </c>
      <c r="BJ3521" t="s">
        <v>268</v>
      </c>
      <c r="BK3521" t="s">
        <v>313</v>
      </c>
      <c r="BL3521" t="s">
        <v>100</v>
      </c>
      <c r="BM3521" t="s">
        <v>57717</v>
      </c>
      <c r="BN3521" t="s">
        <v>74</v>
      </c>
      <c r="BO3521" t="s">
        <v>212</v>
      </c>
      <c r="BP3521" t="s">
        <v>74</v>
      </c>
      <c r="BQ3521" t="s">
        <v>74</v>
      </c>
      <c r="BR3521" t="s">
        <v>102</v>
      </c>
      <c r="BS3521" t="s">
        <v>57718</v>
      </c>
      <c r="BT3521" t="str">
        <f>HYPERLINK("https%3A%2F%2Fwww.webofscience.com%2Fwos%2Fwoscc%2Ffull-record%2FWOS:001404924800026","View Full Record in Web of Science")</f>
        <v>View Full Record in Web of Science</v>
      </c>
    </row>
    <row r="3522" spans="1:72" x14ac:dyDescent="0.25">
      <c r="A3522" t="s">
        <v>72</v>
      </c>
      <c r="B3522" t="s">
        <v>57719</v>
      </c>
      <c r="C3522" t="s">
        <v>74</v>
      </c>
      <c r="D3522" t="s">
        <v>74</v>
      </c>
      <c r="E3522" t="s">
        <v>74</v>
      </c>
      <c r="F3522" t="s">
        <v>57720</v>
      </c>
      <c r="G3522" t="s">
        <v>74</v>
      </c>
      <c r="H3522" t="s">
        <v>74</v>
      </c>
      <c r="I3522" t="s">
        <v>57721</v>
      </c>
      <c r="J3522" t="s">
        <v>3452</v>
      </c>
      <c r="K3522" t="s">
        <v>74</v>
      </c>
      <c r="L3522" t="s">
        <v>74</v>
      </c>
      <c r="M3522" t="s">
        <v>78</v>
      </c>
      <c r="N3522" t="s">
        <v>79</v>
      </c>
      <c r="O3522" t="s">
        <v>74</v>
      </c>
      <c r="P3522" t="s">
        <v>74</v>
      </c>
      <c r="Q3522" t="s">
        <v>74</v>
      </c>
      <c r="R3522" t="s">
        <v>74</v>
      </c>
      <c r="S3522" t="s">
        <v>74</v>
      </c>
      <c r="T3522" t="s">
        <v>57722</v>
      </c>
      <c r="U3522" t="s">
        <v>74</v>
      </c>
      <c r="V3522" t="s">
        <v>57723</v>
      </c>
      <c r="W3522" t="s">
        <v>57724</v>
      </c>
      <c r="X3522" t="s">
        <v>57725</v>
      </c>
      <c r="Y3522" t="s">
        <v>57726</v>
      </c>
      <c r="Z3522" t="s">
        <v>57727</v>
      </c>
      <c r="AA3522" t="s">
        <v>74</v>
      </c>
      <c r="AB3522" t="s">
        <v>57728</v>
      </c>
      <c r="AC3522" t="s">
        <v>57729</v>
      </c>
      <c r="AD3522" t="s">
        <v>57729</v>
      </c>
      <c r="AE3522" t="s">
        <v>3460</v>
      </c>
      <c r="AF3522" t="s">
        <v>74</v>
      </c>
      <c r="AG3522">
        <v>41</v>
      </c>
      <c r="AH3522">
        <v>18</v>
      </c>
      <c r="AI3522">
        <v>18</v>
      </c>
      <c r="AJ3522">
        <v>6</v>
      </c>
      <c r="AK3522">
        <v>21</v>
      </c>
      <c r="AL3522" t="s">
        <v>3461</v>
      </c>
      <c r="AM3522" t="s">
        <v>3462</v>
      </c>
      <c r="AN3522" t="s">
        <v>3463</v>
      </c>
      <c r="AO3522" t="s">
        <v>3464</v>
      </c>
      <c r="AP3522" t="s">
        <v>74</v>
      </c>
      <c r="AQ3522" t="s">
        <v>74</v>
      </c>
      <c r="AR3522" t="s">
        <v>3452</v>
      </c>
      <c r="AS3522" t="s">
        <v>3465</v>
      </c>
      <c r="AT3522" t="s">
        <v>74</v>
      </c>
      <c r="AU3522">
        <v>2024</v>
      </c>
      <c r="AV3522">
        <v>12</v>
      </c>
      <c r="AW3522" t="s">
        <v>74</v>
      </c>
      <c r="AX3522" t="s">
        <v>74</v>
      </c>
      <c r="AY3522" t="s">
        <v>74</v>
      </c>
      <c r="AZ3522" t="s">
        <v>74</v>
      </c>
      <c r="BA3522" t="s">
        <v>74</v>
      </c>
      <c r="BB3522">
        <v>32014</v>
      </c>
      <c r="BC3522">
        <v>32032</v>
      </c>
      <c r="BD3522" t="s">
        <v>74</v>
      </c>
      <c r="BE3522" t="s">
        <v>57730</v>
      </c>
      <c r="BF3522" t="str">
        <f>HYPERLINK("http://dx.doi.org/10.1109/ACCESS.2024.3370040","http://dx.doi.org/10.1109/ACCESS.2024.3370040")</f>
        <v>http://dx.doi.org/10.1109/ACCESS.2024.3370040</v>
      </c>
      <c r="BG3522" t="s">
        <v>74</v>
      </c>
      <c r="BH3522" t="s">
        <v>74</v>
      </c>
      <c r="BI3522">
        <v>19</v>
      </c>
      <c r="BJ3522" t="s">
        <v>3467</v>
      </c>
      <c r="BK3522" t="s">
        <v>128</v>
      </c>
      <c r="BL3522" t="s">
        <v>1023</v>
      </c>
      <c r="BM3522" t="s">
        <v>57731</v>
      </c>
      <c r="BN3522" t="s">
        <v>74</v>
      </c>
      <c r="BO3522" t="s">
        <v>916</v>
      </c>
      <c r="BP3522" t="s">
        <v>74</v>
      </c>
      <c r="BQ3522" t="s">
        <v>74</v>
      </c>
      <c r="BR3522" t="s">
        <v>102</v>
      </c>
      <c r="BS3522" t="s">
        <v>57732</v>
      </c>
      <c r="BT3522" t="str">
        <f>HYPERLINK("https%3A%2F%2Fwww.webofscience.com%2Fwos%2Fwoscc%2Ffull-record%2FWOS:001176934700001","View Full Record in Web of Science")</f>
        <v>View Full Record in Web of Science</v>
      </c>
    </row>
    <row r="3523" spans="1:72" x14ac:dyDescent="0.25">
      <c r="A3523" t="s">
        <v>72</v>
      </c>
      <c r="B3523" t="s">
        <v>57733</v>
      </c>
      <c r="C3523" t="s">
        <v>74</v>
      </c>
      <c r="D3523" t="s">
        <v>74</v>
      </c>
      <c r="E3523" t="s">
        <v>74</v>
      </c>
      <c r="F3523" t="s">
        <v>57734</v>
      </c>
      <c r="G3523" t="s">
        <v>74</v>
      </c>
      <c r="H3523" t="s">
        <v>74</v>
      </c>
      <c r="I3523" t="s">
        <v>57735</v>
      </c>
      <c r="J3523" t="s">
        <v>57736</v>
      </c>
      <c r="K3523" t="s">
        <v>74</v>
      </c>
      <c r="L3523" t="s">
        <v>74</v>
      </c>
      <c r="M3523" t="s">
        <v>78</v>
      </c>
      <c r="N3523" t="s">
        <v>79</v>
      </c>
      <c r="O3523" t="s">
        <v>74</v>
      </c>
      <c r="P3523" t="s">
        <v>74</v>
      </c>
      <c r="Q3523" t="s">
        <v>74</v>
      </c>
      <c r="R3523" t="s">
        <v>74</v>
      </c>
      <c r="S3523" t="s">
        <v>74</v>
      </c>
      <c r="T3523" t="s">
        <v>57737</v>
      </c>
      <c r="U3523" t="s">
        <v>22984</v>
      </c>
      <c r="V3523" t="s">
        <v>57738</v>
      </c>
      <c r="W3523" t="s">
        <v>57739</v>
      </c>
      <c r="X3523" t="s">
        <v>57740</v>
      </c>
      <c r="Y3523" t="s">
        <v>57741</v>
      </c>
      <c r="Z3523" t="s">
        <v>57742</v>
      </c>
      <c r="AA3523" t="s">
        <v>74</v>
      </c>
      <c r="AB3523" t="s">
        <v>57743</v>
      </c>
      <c r="AC3523" t="s">
        <v>57744</v>
      </c>
      <c r="AD3523" t="s">
        <v>57745</v>
      </c>
      <c r="AE3523" t="s">
        <v>57746</v>
      </c>
      <c r="AF3523" t="s">
        <v>74</v>
      </c>
      <c r="AG3523">
        <v>34</v>
      </c>
      <c r="AH3523">
        <v>12</v>
      </c>
      <c r="AI3523">
        <v>13</v>
      </c>
      <c r="AJ3523">
        <v>7</v>
      </c>
      <c r="AK3523">
        <v>80</v>
      </c>
      <c r="AL3523" t="s">
        <v>24472</v>
      </c>
      <c r="AM3523" t="s">
        <v>24471</v>
      </c>
      <c r="AN3523" t="s">
        <v>24470</v>
      </c>
      <c r="AO3523" t="s">
        <v>74</v>
      </c>
      <c r="AP3523" t="s">
        <v>57747</v>
      </c>
      <c r="AQ3523" t="s">
        <v>74</v>
      </c>
      <c r="AR3523" t="s">
        <v>57748</v>
      </c>
      <c r="AS3523" t="s">
        <v>57749</v>
      </c>
      <c r="AT3523" t="s">
        <v>74</v>
      </c>
      <c r="AU3523">
        <v>2020</v>
      </c>
      <c r="AV3523">
        <v>13</v>
      </c>
      <c r="AW3523" t="s">
        <v>74</v>
      </c>
      <c r="AX3523" t="s">
        <v>74</v>
      </c>
      <c r="AY3523" t="s">
        <v>74</v>
      </c>
      <c r="AZ3523" t="s">
        <v>74</v>
      </c>
      <c r="BA3523" t="s">
        <v>74</v>
      </c>
      <c r="BB3523">
        <v>2199</v>
      </c>
      <c r="BC3523">
        <v>2212</v>
      </c>
      <c r="BD3523" t="s">
        <v>74</v>
      </c>
      <c r="BE3523" t="s">
        <v>57750</v>
      </c>
      <c r="BF3523" t="str">
        <f>HYPERLINK("http://dx.doi.org/10.2147/RMHP.S273098","http://dx.doi.org/10.2147/RMHP.S273098")</f>
        <v>http://dx.doi.org/10.2147/RMHP.S273098</v>
      </c>
      <c r="BG3523" t="s">
        <v>74</v>
      </c>
      <c r="BH3523" t="s">
        <v>74</v>
      </c>
      <c r="BI3523">
        <v>14</v>
      </c>
      <c r="BJ3523" t="s">
        <v>23598</v>
      </c>
      <c r="BK3523" t="s">
        <v>2623</v>
      </c>
      <c r="BL3523" t="s">
        <v>23597</v>
      </c>
      <c r="BM3523" t="s">
        <v>57751</v>
      </c>
      <c r="BN3523">
        <v>33116998</v>
      </c>
      <c r="BO3523" t="s">
        <v>916</v>
      </c>
      <c r="BP3523" t="s">
        <v>74</v>
      </c>
      <c r="BQ3523" t="s">
        <v>74</v>
      </c>
      <c r="BR3523" t="s">
        <v>102</v>
      </c>
      <c r="BS3523" t="s">
        <v>57752</v>
      </c>
      <c r="BT3523" t="str">
        <f>HYPERLINK("https%3A%2F%2Fwww.webofscience.com%2Fwos%2Fwoscc%2Ffull-record%2FWOS:000579387800001","View Full Record in Web of Science")</f>
        <v>View Full Record in Web of Science</v>
      </c>
    </row>
    <row r="3524" spans="1:72" x14ac:dyDescent="0.25">
      <c r="A3524" t="s">
        <v>72</v>
      </c>
      <c r="B3524" t="s">
        <v>57753</v>
      </c>
      <c r="C3524" t="s">
        <v>74</v>
      </c>
      <c r="D3524" t="s">
        <v>74</v>
      </c>
      <c r="E3524" t="s">
        <v>74</v>
      </c>
      <c r="F3524" t="s">
        <v>57754</v>
      </c>
      <c r="G3524" t="s">
        <v>74</v>
      </c>
      <c r="H3524" t="s">
        <v>74</v>
      </c>
      <c r="I3524" t="s">
        <v>57755</v>
      </c>
      <c r="J3524" t="s">
        <v>7119</v>
      </c>
      <c r="K3524" t="s">
        <v>74</v>
      </c>
      <c r="L3524" t="s">
        <v>74</v>
      </c>
      <c r="M3524" t="s">
        <v>78</v>
      </c>
      <c r="N3524" t="s">
        <v>79</v>
      </c>
      <c r="O3524" t="s">
        <v>74</v>
      </c>
      <c r="P3524" t="s">
        <v>74</v>
      </c>
      <c r="Q3524" t="s">
        <v>74</v>
      </c>
      <c r="R3524" t="s">
        <v>74</v>
      </c>
      <c r="S3524" t="s">
        <v>74</v>
      </c>
      <c r="T3524" t="s">
        <v>57756</v>
      </c>
      <c r="U3524" t="s">
        <v>57757</v>
      </c>
      <c r="V3524" t="s">
        <v>57758</v>
      </c>
      <c r="W3524" t="s">
        <v>57759</v>
      </c>
      <c r="X3524" t="s">
        <v>57760</v>
      </c>
      <c r="Y3524" t="s">
        <v>57761</v>
      </c>
      <c r="Z3524" t="s">
        <v>57762</v>
      </c>
      <c r="AA3524" t="s">
        <v>57763</v>
      </c>
      <c r="AB3524" t="s">
        <v>57764</v>
      </c>
      <c r="AC3524" t="s">
        <v>74</v>
      </c>
      <c r="AD3524" t="s">
        <v>74</v>
      </c>
      <c r="AE3524" t="s">
        <v>74</v>
      </c>
      <c r="AF3524" t="s">
        <v>74</v>
      </c>
      <c r="AG3524">
        <v>54</v>
      </c>
      <c r="AH3524">
        <v>15</v>
      </c>
      <c r="AI3524">
        <v>18</v>
      </c>
      <c r="AJ3524">
        <v>1</v>
      </c>
      <c r="AK3524">
        <v>10</v>
      </c>
      <c r="AL3524" t="s">
        <v>89</v>
      </c>
      <c r="AM3524" t="s">
        <v>1497</v>
      </c>
      <c r="AN3524" t="s">
        <v>1498</v>
      </c>
      <c r="AO3524" t="s">
        <v>7128</v>
      </c>
      <c r="AP3524" t="s">
        <v>74</v>
      </c>
      <c r="AQ3524" t="s">
        <v>74</v>
      </c>
      <c r="AR3524" t="s">
        <v>7129</v>
      </c>
      <c r="AS3524" t="s">
        <v>7130</v>
      </c>
      <c r="AT3524" t="s">
        <v>57765</v>
      </c>
      <c r="AU3524">
        <v>2022</v>
      </c>
      <c r="AV3524">
        <v>14</v>
      </c>
      <c r="AW3524">
        <v>2</v>
      </c>
      <c r="AX3524" t="s">
        <v>74</v>
      </c>
      <c r="AY3524" t="s">
        <v>74</v>
      </c>
      <c r="AZ3524" t="s">
        <v>74</v>
      </c>
      <c r="BA3524" t="s">
        <v>74</v>
      </c>
      <c r="BB3524">
        <v>247</v>
      </c>
      <c r="BC3524">
        <v>269</v>
      </c>
      <c r="BD3524" t="s">
        <v>74</v>
      </c>
      <c r="BE3524" t="s">
        <v>57766</v>
      </c>
      <c r="BF3524" t="str">
        <f>HYPERLINK("http://dx.doi.org/10.1108/QRFM-01-2018-0005","http://dx.doi.org/10.1108/QRFM-01-2018-0005")</f>
        <v>http://dx.doi.org/10.1108/QRFM-01-2018-0005</v>
      </c>
      <c r="BG3524" t="s">
        <v>74</v>
      </c>
      <c r="BH3524" t="s">
        <v>74</v>
      </c>
      <c r="BI3524">
        <v>23</v>
      </c>
      <c r="BJ3524" t="s">
        <v>268</v>
      </c>
      <c r="BK3524" t="s">
        <v>313</v>
      </c>
      <c r="BL3524" t="s">
        <v>100</v>
      </c>
      <c r="BM3524" t="s">
        <v>57767</v>
      </c>
      <c r="BN3524" t="s">
        <v>74</v>
      </c>
      <c r="BO3524" t="s">
        <v>74</v>
      </c>
      <c r="BP3524" t="s">
        <v>74</v>
      </c>
      <c r="BQ3524" t="s">
        <v>74</v>
      </c>
      <c r="BR3524" t="s">
        <v>102</v>
      </c>
      <c r="BS3524" t="s">
        <v>57768</v>
      </c>
      <c r="BT3524" t="str">
        <f>HYPERLINK("https%3A%2F%2Fwww.webofscience.com%2Fwos%2Fwoscc%2Ffull-record%2FWOS:000780361800003","View Full Record in Web of Science")</f>
        <v>View Full Record in Web of Science</v>
      </c>
    </row>
    <row r="3525" spans="1:72" x14ac:dyDescent="0.25">
      <c r="A3525" t="s">
        <v>72</v>
      </c>
      <c r="B3525" t="s">
        <v>57769</v>
      </c>
      <c r="C3525" t="s">
        <v>74</v>
      </c>
      <c r="D3525" t="s">
        <v>74</v>
      </c>
      <c r="E3525" t="s">
        <v>74</v>
      </c>
      <c r="F3525" t="s">
        <v>57770</v>
      </c>
      <c r="G3525" t="s">
        <v>74</v>
      </c>
      <c r="H3525" t="s">
        <v>74</v>
      </c>
      <c r="I3525" t="s">
        <v>57771</v>
      </c>
      <c r="J3525" t="s">
        <v>1510</v>
      </c>
      <c r="K3525" t="s">
        <v>74</v>
      </c>
      <c r="L3525" t="s">
        <v>74</v>
      </c>
      <c r="M3525" t="s">
        <v>78</v>
      </c>
      <c r="N3525" t="s">
        <v>79</v>
      </c>
      <c r="O3525" t="s">
        <v>74</v>
      </c>
      <c r="P3525" t="s">
        <v>74</v>
      </c>
      <c r="Q3525" t="s">
        <v>74</v>
      </c>
      <c r="R3525" t="s">
        <v>74</v>
      </c>
      <c r="S3525" t="s">
        <v>74</v>
      </c>
      <c r="T3525" t="s">
        <v>57772</v>
      </c>
      <c r="U3525" t="s">
        <v>57773</v>
      </c>
      <c r="V3525" t="s">
        <v>57774</v>
      </c>
      <c r="W3525" t="s">
        <v>57775</v>
      </c>
      <c r="X3525" t="s">
        <v>11237</v>
      </c>
      <c r="Y3525" t="s">
        <v>57776</v>
      </c>
      <c r="Z3525" t="s">
        <v>57777</v>
      </c>
      <c r="AA3525" t="s">
        <v>57778</v>
      </c>
      <c r="AB3525" t="s">
        <v>74</v>
      </c>
      <c r="AC3525" t="s">
        <v>57779</v>
      </c>
      <c r="AD3525" t="s">
        <v>57780</v>
      </c>
      <c r="AE3525" t="s">
        <v>57781</v>
      </c>
      <c r="AF3525" t="s">
        <v>74</v>
      </c>
      <c r="AG3525">
        <v>28</v>
      </c>
      <c r="AH3525">
        <v>9</v>
      </c>
      <c r="AI3525">
        <v>15</v>
      </c>
      <c r="AJ3525">
        <v>0</v>
      </c>
      <c r="AK3525">
        <v>18</v>
      </c>
      <c r="AL3525" t="s">
        <v>89</v>
      </c>
      <c r="AM3525" t="s">
        <v>1497</v>
      </c>
      <c r="AN3525" t="s">
        <v>1498</v>
      </c>
      <c r="AO3525" t="s">
        <v>1519</v>
      </c>
      <c r="AP3525" t="s">
        <v>1520</v>
      </c>
      <c r="AQ3525" t="s">
        <v>74</v>
      </c>
      <c r="AR3525" t="s">
        <v>1521</v>
      </c>
      <c r="AS3525" t="s">
        <v>1522</v>
      </c>
      <c r="AT3525" t="s">
        <v>74</v>
      </c>
      <c r="AU3525">
        <v>2017</v>
      </c>
      <c r="AV3525">
        <v>44</v>
      </c>
      <c r="AW3525">
        <v>5</v>
      </c>
      <c r="AX3525" t="s">
        <v>74</v>
      </c>
      <c r="AY3525" t="s">
        <v>74</v>
      </c>
      <c r="AZ3525" t="s">
        <v>74</v>
      </c>
      <c r="BA3525" t="s">
        <v>74</v>
      </c>
      <c r="BB3525">
        <v>683</v>
      </c>
      <c r="BC3525">
        <v>695</v>
      </c>
      <c r="BD3525" t="s">
        <v>74</v>
      </c>
      <c r="BE3525" t="s">
        <v>57782</v>
      </c>
      <c r="BF3525" t="str">
        <f>HYPERLINK("http://dx.doi.org/10.1108/IJSE-07-2015-0190","http://dx.doi.org/10.1108/IJSE-07-2015-0190")</f>
        <v>http://dx.doi.org/10.1108/IJSE-07-2015-0190</v>
      </c>
      <c r="BG3525" t="s">
        <v>74</v>
      </c>
      <c r="BH3525" t="s">
        <v>74</v>
      </c>
      <c r="BI3525">
        <v>13</v>
      </c>
      <c r="BJ3525" t="s">
        <v>291</v>
      </c>
      <c r="BK3525" t="s">
        <v>313</v>
      </c>
      <c r="BL3525" t="s">
        <v>100</v>
      </c>
      <c r="BM3525" t="s">
        <v>57783</v>
      </c>
      <c r="BN3525" t="s">
        <v>74</v>
      </c>
      <c r="BO3525" t="s">
        <v>74</v>
      </c>
      <c r="BP3525" t="s">
        <v>74</v>
      </c>
      <c r="BQ3525" t="s">
        <v>74</v>
      </c>
      <c r="BR3525" t="s">
        <v>102</v>
      </c>
      <c r="BS3525" t="s">
        <v>57784</v>
      </c>
      <c r="BT3525" t="str">
        <f>HYPERLINK("https%3A%2F%2Fwww.webofscience.com%2Fwos%2Fwoscc%2Ffull-record%2FWOS:000402915300009","View Full Record in Web of Science")</f>
        <v>View Full Record in Web of Science</v>
      </c>
    </row>
    <row r="3526" spans="1:72" x14ac:dyDescent="0.25">
      <c r="A3526" t="s">
        <v>72</v>
      </c>
      <c r="B3526" t="s">
        <v>57785</v>
      </c>
      <c r="C3526" t="s">
        <v>74</v>
      </c>
      <c r="D3526" t="s">
        <v>74</v>
      </c>
      <c r="E3526" t="s">
        <v>74</v>
      </c>
      <c r="F3526" t="s">
        <v>57786</v>
      </c>
      <c r="G3526" t="s">
        <v>74</v>
      </c>
      <c r="H3526" t="s">
        <v>74</v>
      </c>
      <c r="I3526" t="s">
        <v>57787</v>
      </c>
      <c r="J3526" t="s">
        <v>57788</v>
      </c>
      <c r="K3526" t="s">
        <v>74</v>
      </c>
      <c r="L3526" t="s">
        <v>74</v>
      </c>
      <c r="M3526" t="s">
        <v>78</v>
      </c>
      <c r="N3526" t="s">
        <v>79</v>
      </c>
      <c r="O3526" t="s">
        <v>74</v>
      </c>
      <c r="P3526" t="s">
        <v>74</v>
      </c>
      <c r="Q3526" t="s">
        <v>74</v>
      </c>
      <c r="R3526" t="s">
        <v>74</v>
      </c>
      <c r="S3526" t="s">
        <v>74</v>
      </c>
      <c r="T3526" t="s">
        <v>57789</v>
      </c>
      <c r="U3526" t="s">
        <v>57790</v>
      </c>
      <c r="V3526" t="s">
        <v>57791</v>
      </c>
      <c r="W3526" t="s">
        <v>57792</v>
      </c>
      <c r="X3526" t="s">
        <v>57793</v>
      </c>
      <c r="Y3526" t="s">
        <v>57794</v>
      </c>
      <c r="Z3526" t="s">
        <v>57795</v>
      </c>
      <c r="AA3526" t="s">
        <v>57796</v>
      </c>
      <c r="AB3526" t="s">
        <v>57797</v>
      </c>
      <c r="AC3526" t="s">
        <v>57798</v>
      </c>
      <c r="AD3526" t="s">
        <v>57798</v>
      </c>
      <c r="AE3526" t="s">
        <v>57799</v>
      </c>
      <c r="AF3526" t="s">
        <v>74</v>
      </c>
      <c r="AG3526">
        <v>92</v>
      </c>
      <c r="AH3526">
        <v>1</v>
      </c>
      <c r="AI3526">
        <v>1</v>
      </c>
      <c r="AJ3526">
        <v>5</v>
      </c>
      <c r="AK3526">
        <v>17</v>
      </c>
      <c r="AL3526" t="s">
        <v>57800</v>
      </c>
      <c r="AM3526" t="s">
        <v>995</v>
      </c>
      <c r="AN3526" t="s">
        <v>57801</v>
      </c>
      <c r="AO3526" t="s">
        <v>57802</v>
      </c>
      <c r="AP3526" t="s">
        <v>57803</v>
      </c>
      <c r="AQ3526" t="s">
        <v>74</v>
      </c>
      <c r="AR3526" t="s">
        <v>57788</v>
      </c>
      <c r="AS3526" t="s">
        <v>57804</v>
      </c>
      <c r="AT3526" t="s">
        <v>19701</v>
      </c>
      <c r="AU3526">
        <v>2025</v>
      </c>
      <c r="AV3526">
        <v>207</v>
      </c>
      <c r="AW3526" t="s">
        <v>74</v>
      </c>
      <c r="AX3526" t="s">
        <v>74</v>
      </c>
      <c r="AY3526" t="s">
        <v>74</v>
      </c>
      <c r="AZ3526" t="s">
        <v>74</v>
      </c>
      <c r="BA3526" t="s">
        <v>74</v>
      </c>
      <c r="BB3526" t="s">
        <v>74</v>
      </c>
      <c r="BC3526" t="s">
        <v>74</v>
      </c>
      <c r="BD3526">
        <v>107903</v>
      </c>
      <c r="BE3526" t="s">
        <v>57805</v>
      </c>
      <c r="BF3526" t="str">
        <f>HYPERLINK("http://dx.doi.org/10.1016/j.appet.2025.107903","http://dx.doi.org/10.1016/j.appet.2025.107903")</f>
        <v>http://dx.doi.org/10.1016/j.appet.2025.107903</v>
      </c>
      <c r="BG3526" t="s">
        <v>74</v>
      </c>
      <c r="BH3526" t="s">
        <v>417</v>
      </c>
      <c r="BI3526">
        <v>10</v>
      </c>
      <c r="BJ3526" t="s">
        <v>57806</v>
      </c>
      <c r="BK3526" t="s">
        <v>128</v>
      </c>
      <c r="BL3526" t="s">
        <v>57806</v>
      </c>
      <c r="BM3526" t="s">
        <v>57807</v>
      </c>
      <c r="BN3526">
        <v>39952294</v>
      </c>
      <c r="BO3526" t="s">
        <v>466</v>
      </c>
      <c r="BP3526" t="s">
        <v>74</v>
      </c>
      <c r="BQ3526" t="s">
        <v>74</v>
      </c>
      <c r="BR3526" t="s">
        <v>102</v>
      </c>
      <c r="BS3526" t="s">
        <v>57808</v>
      </c>
      <c r="BT3526" t="str">
        <f>HYPERLINK("https%3A%2F%2Fwww.webofscience.com%2Fwos%2Fwoscc%2Ffull-record%2FWOS:001428236800001","View Full Record in Web of Science")</f>
        <v>View Full Record in Web of Science</v>
      </c>
    </row>
    <row r="3527" spans="1:72" x14ac:dyDescent="0.25">
      <c r="A3527" t="s">
        <v>72</v>
      </c>
      <c r="B3527" t="s">
        <v>57809</v>
      </c>
      <c r="C3527" t="s">
        <v>74</v>
      </c>
      <c r="D3527" t="s">
        <v>74</v>
      </c>
      <c r="E3527" t="s">
        <v>74</v>
      </c>
      <c r="F3527" t="s">
        <v>57810</v>
      </c>
      <c r="G3527" t="s">
        <v>74</v>
      </c>
      <c r="H3527" t="s">
        <v>74</v>
      </c>
      <c r="I3527" t="s">
        <v>57811</v>
      </c>
      <c r="J3527" t="s">
        <v>57812</v>
      </c>
      <c r="K3527" t="s">
        <v>74</v>
      </c>
      <c r="L3527" t="s">
        <v>74</v>
      </c>
      <c r="M3527" t="s">
        <v>78</v>
      </c>
      <c r="N3527" t="s">
        <v>79</v>
      </c>
      <c r="O3527" t="s">
        <v>74</v>
      </c>
      <c r="P3527" t="s">
        <v>74</v>
      </c>
      <c r="Q3527" t="s">
        <v>74</v>
      </c>
      <c r="R3527" t="s">
        <v>74</v>
      </c>
      <c r="S3527" t="s">
        <v>74</v>
      </c>
      <c r="T3527" t="s">
        <v>57813</v>
      </c>
      <c r="U3527" t="s">
        <v>57814</v>
      </c>
      <c r="V3527" t="s">
        <v>57815</v>
      </c>
      <c r="W3527" t="s">
        <v>57816</v>
      </c>
      <c r="X3527" t="s">
        <v>57817</v>
      </c>
      <c r="Y3527" t="s">
        <v>57818</v>
      </c>
      <c r="Z3527" t="s">
        <v>57819</v>
      </c>
      <c r="AA3527" t="s">
        <v>74</v>
      </c>
      <c r="AB3527" t="s">
        <v>74</v>
      </c>
      <c r="AC3527" t="s">
        <v>57820</v>
      </c>
      <c r="AD3527" t="s">
        <v>57821</v>
      </c>
      <c r="AE3527" t="s">
        <v>57822</v>
      </c>
      <c r="AF3527" t="s">
        <v>74</v>
      </c>
      <c r="AG3527">
        <v>49</v>
      </c>
      <c r="AH3527">
        <v>14</v>
      </c>
      <c r="AI3527">
        <v>17</v>
      </c>
      <c r="AJ3527">
        <v>0</v>
      </c>
      <c r="AK3527">
        <v>15</v>
      </c>
      <c r="AL3527" t="s">
        <v>57823</v>
      </c>
      <c r="AM3527" t="s">
        <v>995</v>
      </c>
      <c r="AN3527" t="s">
        <v>57824</v>
      </c>
      <c r="AO3527" t="s">
        <v>57825</v>
      </c>
      <c r="AP3527" t="s">
        <v>57826</v>
      </c>
      <c r="AQ3527" t="s">
        <v>74</v>
      </c>
      <c r="AR3527" t="s">
        <v>57812</v>
      </c>
      <c r="AS3527" t="s">
        <v>57827</v>
      </c>
      <c r="AT3527" t="s">
        <v>891</v>
      </c>
      <c r="AU3527">
        <v>2014</v>
      </c>
      <c r="AV3527">
        <v>128</v>
      </c>
      <c r="AW3527">
        <v>11</v>
      </c>
      <c r="AX3527" t="s">
        <v>74</v>
      </c>
      <c r="AY3527" t="s">
        <v>74</v>
      </c>
      <c r="AZ3527" t="s">
        <v>74</v>
      </c>
      <c r="BA3527" t="s">
        <v>74</v>
      </c>
      <c r="BB3527">
        <v>993</v>
      </c>
      <c r="BC3527">
        <v>1008</v>
      </c>
      <c r="BD3527" t="s">
        <v>74</v>
      </c>
      <c r="BE3527" t="s">
        <v>57828</v>
      </c>
      <c r="BF3527" t="str">
        <f>HYPERLINK("http://dx.doi.org/10.1016/j.puhe.2014.08.010","http://dx.doi.org/10.1016/j.puhe.2014.08.010")</f>
        <v>http://dx.doi.org/10.1016/j.puhe.2014.08.010</v>
      </c>
      <c r="BG3527" t="s">
        <v>74</v>
      </c>
      <c r="BH3527" t="s">
        <v>74</v>
      </c>
      <c r="BI3527">
        <v>16</v>
      </c>
      <c r="BJ3527" t="s">
        <v>7080</v>
      </c>
      <c r="BK3527" t="s">
        <v>2623</v>
      </c>
      <c r="BL3527" t="s">
        <v>7080</v>
      </c>
      <c r="BM3527" t="s">
        <v>57829</v>
      </c>
      <c r="BN3527">
        <v>25443099</v>
      </c>
      <c r="BO3527" t="s">
        <v>74</v>
      </c>
      <c r="BP3527" t="s">
        <v>74</v>
      </c>
      <c r="BQ3527" t="s">
        <v>74</v>
      </c>
      <c r="BR3527" t="s">
        <v>102</v>
      </c>
      <c r="BS3527" t="s">
        <v>57830</v>
      </c>
      <c r="BT3527" t="str">
        <f>HYPERLINK("https%3A%2F%2Fwww.webofscience.com%2Fwos%2Fwoscc%2Ffull-record%2FWOS:000345857200006","View Full Record in Web of Science")</f>
        <v>View Full Record in Web of Science</v>
      </c>
    </row>
    <row r="3528" spans="1:72" x14ac:dyDescent="0.25">
      <c r="A3528" t="s">
        <v>72</v>
      </c>
      <c r="B3528" t="s">
        <v>57831</v>
      </c>
      <c r="C3528" t="s">
        <v>74</v>
      </c>
      <c r="D3528" t="s">
        <v>74</v>
      </c>
      <c r="E3528" t="s">
        <v>74</v>
      </c>
      <c r="F3528" t="s">
        <v>57831</v>
      </c>
      <c r="G3528" t="s">
        <v>74</v>
      </c>
      <c r="H3528" t="s">
        <v>74</v>
      </c>
      <c r="I3528" t="s">
        <v>57832</v>
      </c>
      <c r="J3528" t="s">
        <v>57833</v>
      </c>
      <c r="K3528" t="s">
        <v>74</v>
      </c>
      <c r="L3528" t="s">
        <v>74</v>
      </c>
      <c r="M3528" t="s">
        <v>78</v>
      </c>
      <c r="N3528" t="s">
        <v>79</v>
      </c>
      <c r="O3528" t="s">
        <v>74</v>
      </c>
      <c r="P3528" t="s">
        <v>74</v>
      </c>
      <c r="Q3528" t="s">
        <v>74</v>
      </c>
      <c r="R3528" t="s">
        <v>74</v>
      </c>
      <c r="S3528" t="s">
        <v>74</v>
      </c>
      <c r="T3528" t="s">
        <v>57834</v>
      </c>
      <c r="U3528" t="s">
        <v>57835</v>
      </c>
      <c r="V3528" t="s">
        <v>57836</v>
      </c>
      <c r="W3528" t="s">
        <v>57837</v>
      </c>
      <c r="X3528" t="s">
        <v>57838</v>
      </c>
      <c r="Y3528" t="s">
        <v>57839</v>
      </c>
      <c r="Z3528" t="s">
        <v>57840</v>
      </c>
      <c r="AA3528" t="s">
        <v>57841</v>
      </c>
      <c r="AB3528" t="s">
        <v>57842</v>
      </c>
      <c r="AC3528" t="s">
        <v>74</v>
      </c>
      <c r="AD3528" t="s">
        <v>74</v>
      </c>
      <c r="AE3528" t="s">
        <v>74</v>
      </c>
      <c r="AF3528" t="s">
        <v>74</v>
      </c>
      <c r="AG3528">
        <v>48</v>
      </c>
      <c r="AH3528">
        <v>17</v>
      </c>
      <c r="AI3528">
        <v>19</v>
      </c>
      <c r="AJ3528">
        <v>0</v>
      </c>
      <c r="AK3528">
        <v>3</v>
      </c>
      <c r="AL3528" t="s">
        <v>2551</v>
      </c>
      <c r="AM3528" t="s">
        <v>231</v>
      </c>
      <c r="AN3528" t="s">
        <v>2552</v>
      </c>
      <c r="AO3528" t="s">
        <v>57843</v>
      </c>
      <c r="AP3528" t="s">
        <v>57844</v>
      </c>
      <c r="AQ3528" t="s">
        <v>74</v>
      </c>
      <c r="AR3528" t="s">
        <v>57845</v>
      </c>
      <c r="AS3528" t="s">
        <v>57846</v>
      </c>
      <c r="AT3528" t="s">
        <v>289</v>
      </c>
      <c r="AU3528">
        <v>2005</v>
      </c>
      <c r="AV3528">
        <v>15</v>
      </c>
      <c r="AW3528">
        <v>4</v>
      </c>
      <c r="AX3528" t="s">
        <v>74</v>
      </c>
      <c r="AY3528" t="s">
        <v>74</v>
      </c>
      <c r="AZ3528" t="s">
        <v>74</v>
      </c>
      <c r="BA3528" t="s">
        <v>74</v>
      </c>
      <c r="BB3528">
        <v>361</v>
      </c>
      <c r="BC3528">
        <v>367</v>
      </c>
      <c r="BD3528" t="s">
        <v>74</v>
      </c>
      <c r="BE3528" t="s">
        <v>57847</v>
      </c>
      <c r="BF3528" t="str">
        <f>HYPERLINK("http://dx.doi.org/10.1093/eurpub/cki096","http://dx.doi.org/10.1093/eurpub/cki096")</f>
        <v>http://dx.doi.org/10.1093/eurpub/cki096</v>
      </c>
      <c r="BG3528" t="s">
        <v>74</v>
      </c>
      <c r="BH3528" t="s">
        <v>74</v>
      </c>
      <c r="BI3528">
        <v>7</v>
      </c>
      <c r="BJ3528" t="s">
        <v>7080</v>
      </c>
      <c r="BK3528" t="s">
        <v>2623</v>
      </c>
      <c r="BL3528" t="s">
        <v>7080</v>
      </c>
      <c r="BM3528" t="s">
        <v>57848</v>
      </c>
      <c r="BN3528">
        <v>15975951</v>
      </c>
      <c r="BO3528" t="s">
        <v>3694</v>
      </c>
      <c r="BP3528" t="s">
        <v>74</v>
      </c>
      <c r="BQ3528" t="s">
        <v>74</v>
      </c>
      <c r="BR3528" t="s">
        <v>102</v>
      </c>
      <c r="BS3528" t="s">
        <v>57849</v>
      </c>
      <c r="BT3528" t="str">
        <f>HYPERLINK("https%3A%2F%2Fwww.webofscience.com%2Fwos%2Fwoscc%2Ffull-record%2FWOS:000231922000007","View Full Record in Web of Science")</f>
        <v>View Full Record in Web of Science</v>
      </c>
    </row>
    <row r="3529" spans="1:72" x14ac:dyDescent="0.25">
      <c r="A3529" t="s">
        <v>72</v>
      </c>
      <c r="B3529" t="s">
        <v>57850</v>
      </c>
      <c r="C3529" t="s">
        <v>74</v>
      </c>
      <c r="D3529" t="s">
        <v>74</v>
      </c>
      <c r="E3529" t="s">
        <v>74</v>
      </c>
      <c r="F3529" t="s">
        <v>57851</v>
      </c>
      <c r="G3529" t="s">
        <v>74</v>
      </c>
      <c r="H3529" t="s">
        <v>74</v>
      </c>
      <c r="I3529" t="s">
        <v>57852</v>
      </c>
      <c r="J3529" t="s">
        <v>18344</v>
      </c>
      <c r="K3529" t="s">
        <v>74</v>
      </c>
      <c r="L3529" t="s">
        <v>74</v>
      </c>
      <c r="M3529" t="s">
        <v>78</v>
      </c>
      <c r="N3529" t="s">
        <v>372</v>
      </c>
      <c r="O3529" t="s">
        <v>74</v>
      </c>
      <c r="P3529" t="s">
        <v>74</v>
      </c>
      <c r="Q3529" t="s">
        <v>74</v>
      </c>
      <c r="R3529" t="s">
        <v>74</v>
      </c>
      <c r="S3529" t="s">
        <v>74</v>
      </c>
      <c r="T3529" t="s">
        <v>57853</v>
      </c>
      <c r="U3529" t="s">
        <v>57854</v>
      </c>
      <c r="V3529" t="s">
        <v>57855</v>
      </c>
      <c r="W3529" t="s">
        <v>57856</v>
      </c>
      <c r="X3529" t="s">
        <v>57857</v>
      </c>
      <c r="Y3529" t="s">
        <v>57858</v>
      </c>
      <c r="Z3529" t="s">
        <v>57859</v>
      </c>
      <c r="AA3529" t="s">
        <v>57860</v>
      </c>
      <c r="AB3529" t="s">
        <v>57861</v>
      </c>
      <c r="AC3529" t="s">
        <v>74</v>
      </c>
      <c r="AD3529" t="s">
        <v>74</v>
      </c>
      <c r="AE3529" t="s">
        <v>74</v>
      </c>
      <c r="AF3529" t="s">
        <v>74</v>
      </c>
      <c r="AG3529">
        <v>94</v>
      </c>
      <c r="AH3529">
        <v>1</v>
      </c>
      <c r="AI3529">
        <v>3</v>
      </c>
      <c r="AJ3529">
        <v>1</v>
      </c>
      <c r="AK3529">
        <v>4</v>
      </c>
      <c r="AL3529" t="s">
        <v>89</v>
      </c>
      <c r="AM3529" t="s">
        <v>90</v>
      </c>
      <c r="AN3529" t="s">
        <v>91</v>
      </c>
      <c r="AO3529" t="s">
        <v>18354</v>
      </c>
      <c r="AP3529" t="s">
        <v>18355</v>
      </c>
      <c r="AQ3529" t="s">
        <v>74</v>
      </c>
      <c r="AR3529" t="s">
        <v>18356</v>
      </c>
      <c r="AS3529" t="s">
        <v>18357</v>
      </c>
      <c r="AT3529" t="s">
        <v>57862</v>
      </c>
      <c r="AU3529">
        <v>2025</v>
      </c>
      <c r="AV3529" t="s">
        <v>74</v>
      </c>
      <c r="AW3529" t="s">
        <v>74</v>
      </c>
      <c r="AX3529" t="s">
        <v>74</v>
      </c>
      <c r="AY3529" t="s">
        <v>74</v>
      </c>
      <c r="AZ3529" t="s">
        <v>74</v>
      </c>
      <c r="BA3529" t="s">
        <v>74</v>
      </c>
      <c r="BB3529" t="s">
        <v>74</v>
      </c>
      <c r="BC3529" t="s">
        <v>74</v>
      </c>
      <c r="BD3529" t="s">
        <v>74</v>
      </c>
      <c r="BE3529" t="s">
        <v>57863</v>
      </c>
      <c r="BF3529" t="str">
        <f>HYPERLINK("http://dx.doi.org/10.1108/IJOES-04-2025-0186","http://dx.doi.org/10.1108/IJOES-04-2025-0186")</f>
        <v>http://dx.doi.org/10.1108/IJOES-04-2025-0186</v>
      </c>
      <c r="BG3529" t="s">
        <v>74</v>
      </c>
      <c r="BH3529" t="s">
        <v>7657</v>
      </c>
      <c r="BI3529">
        <v>25</v>
      </c>
      <c r="BJ3529" t="s">
        <v>291</v>
      </c>
      <c r="BK3529" t="s">
        <v>313</v>
      </c>
      <c r="BL3529" t="s">
        <v>100</v>
      </c>
      <c r="BM3529" t="s">
        <v>57864</v>
      </c>
      <c r="BN3529" t="s">
        <v>74</v>
      </c>
      <c r="BO3529" t="s">
        <v>74</v>
      </c>
      <c r="BP3529" t="s">
        <v>74</v>
      </c>
      <c r="BQ3529" t="s">
        <v>74</v>
      </c>
      <c r="BR3529" t="s">
        <v>102</v>
      </c>
      <c r="BS3529" t="s">
        <v>57865</v>
      </c>
      <c r="BT3529" t="str">
        <f>HYPERLINK("https%3A%2F%2Fwww.webofscience.com%2Fwos%2Fwoscc%2Ffull-record%2FWOS:001501881100001","View Full Record in Web of Science")</f>
        <v>View Full Record in Web of Science</v>
      </c>
    </row>
    <row r="3530" spans="1:72" x14ac:dyDescent="0.25">
      <c r="A3530" t="s">
        <v>72</v>
      </c>
      <c r="B3530" t="s">
        <v>57866</v>
      </c>
      <c r="C3530" t="s">
        <v>74</v>
      </c>
      <c r="D3530" t="s">
        <v>74</v>
      </c>
      <c r="E3530" t="s">
        <v>74</v>
      </c>
      <c r="F3530" t="s">
        <v>57867</v>
      </c>
      <c r="G3530" t="s">
        <v>74</v>
      </c>
      <c r="H3530" t="s">
        <v>74</v>
      </c>
      <c r="I3530" t="s">
        <v>57868</v>
      </c>
      <c r="J3530" t="s">
        <v>47047</v>
      </c>
      <c r="K3530" t="s">
        <v>74</v>
      </c>
      <c r="L3530" t="s">
        <v>74</v>
      </c>
      <c r="M3530" t="s">
        <v>78</v>
      </c>
      <c r="N3530" t="s">
        <v>79</v>
      </c>
      <c r="O3530" t="s">
        <v>74</v>
      </c>
      <c r="P3530" t="s">
        <v>74</v>
      </c>
      <c r="Q3530" t="s">
        <v>74</v>
      </c>
      <c r="R3530" t="s">
        <v>74</v>
      </c>
      <c r="S3530" t="s">
        <v>74</v>
      </c>
      <c r="T3530" t="s">
        <v>57869</v>
      </c>
      <c r="U3530" t="s">
        <v>57870</v>
      </c>
      <c r="V3530" t="s">
        <v>57871</v>
      </c>
      <c r="W3530" t="s">
        <v>57872</v>
      </c>
      <c r="X3530" t="s">
        <v>74</v>
      </c>
      <c r="Y3530" t="s">
        <v>57873</v>
      </c>
      <c r="Z3530" t="s">
        <v>57874</v>
      </c>
      <c r="AA3530" t="s">
        <v>57875</v>
      </c>
      <c r="AB3530" t="s">
        <v>57876</v>
      </c>
      <c r="AC3530" t="s">
        <v>74</v>
      </c>
      <c r="AD3530" t="s">
        <v>74</v>
      </c>
      <c r="AE3530" t="s">
        <v>74</v>
      </c>
      <c r="AF3530" t="s">
        <v>74</v>
      </c>
      <c r="AG3530">
        <v>81</v>
      </c>
      <c r="AH3530">
        <v>1</v>
      </c>
      <c r="AI3530">
        <v>1</v>
      </c>
      <c r="AJ3530">
        <v>0</v>
      </c>
      <c r="AK3530">
        <v>0</v>
      </c>
      <c r="AL3530" t="s">
        <v>89</v>
      </c>
      <c r="AM3530" t="s">
        <v>90</v>
      </c>
      <c r="AN3530" t="s">
        <v>91</v>
      </c>
      <c r="AO3530" t="s">
        <v>47055</v>
      </c>
      <c r="AP3530" t="s">
        <v>47056</v>
      </c>
      <c r="AQ3530" t="s">
        <v>74</v>
      </c>
      <c r="AR3530" t="s">
        <v>47057</v>
      </c>
      <c r="AS3530" t="s">
        <v>47058</v>
      </c>
      <c r="AT3530" t="s">
        <v>26438</v>
      </c>
      <c r="AU3530">
        <v>2025</v>
      </c>
      <c r="AV3530">
        <v>32</v>
      </c>
      <c r="AW3530">
        <v>10</v>
      </c>
      <c r="AX3530" t="s">
        <v>74</v>
      </c>
      <c r="AY3530" t="s">
        <v>74</v>
      </c>
      <c r="AZ3530" t="s">
        <v>74</v>
      </c>
      <c r="BA3530" t="s">
        <v>74</v>
      </c>
      <c r="BB3530">
        <v>3877</v>
      </c>
      <c r="BC3530">
        <v>3900</v>
      </c>
      <c r="BD3530" t="s">
        <v>74</v>
      </c>
      <c r="BE3530" t="s">
        <v>57877</v>
      </c>
      <c r="BF3530" t="str">
        <f>HYPERLINK("http://dx.doi.org/10.1108/BIJ-04-2024-0317","http://dx.doi.org/10.1108/BIJ-04-2024-0317")</f>
        <v>http://dx.doi.org/10.1108/BIJ-04-2024-0317</v>
      </c>
      <c r="BG3530" t="s">
        <v>74</v>
      </c>
      <c r="BH3530" t="s">
        <v>267</v>
      </c>
      <c r="BI3530">
        <v>24</v>
      </c>
      <c r="BJ3530" t="s">
        <v>583</v>
      </c>
      <c r="BK3530" t="s">
        <v>313</v>
      </c>
      <c r="BL3530" t="s">
        <v>100</v>
      </c>
      <c r="BM3530" t="s">
        <v>57878</v>
      </c>
      <c r="BN3530" t="s">
        <v>74</v>
      </c>
      <c r="BO3530" t="s">
        <v>74</v>
      </c>
      <c r="BP3530" t="s">
        <v>74</v>
      </c>
      <c r="BQ3530" t="s">
        <v>74</v>
      </c>
      <c r="BR3530" t="s">
        <v>102</v>
      </c>
      <c r="BS3530" t="s">
        <v>57879</v>
      </c>
      <c r="BT3530" t="str">
        <f>HYPERLINK("https%3A%2F%2Fwww.webofscience.com%2Fwos%2Fwoscc%2Ffull-record%2FWOS:001355170900001","View Full Record in Web of Science")</f>
        <v>View Full Record in Web of Science</v>
      </c>
    </row>
    <row r="3531" spans="1:72" x14ac:dyDescent="0.25">
      <c r="A3531" t="s">
        <v>72</v>
      </c>
      <c r="B3531" t="s">
        <v>57880</v>
      </c>
      <c r="C3531" t="s">
        <v>74</v>
      </c>
      <c r="D3531" t="s">
        <v>74</v>
      </c>
      <c r="E3531" t="s">
        <v>74</v>
      </c>
      <c r="F3531" t="s">
        <v>57881</v>
      </c>
      <c r="G3531" t="s">
        <v>74</v>
      </c>
      <c r="H3531" t="s">
        <v>74</v>
      </c>
      <c r="I3531" t="s">
        <v>57882</v>
      </c>
      <c r="J3531" t="s">
        <v>6713</v>
      </c>
      <c r="K3531" t="s">
        <v>74</v>
      </c>
      <c r="L3531" t="s">
        <v>74</v>
      </c>
      <c r="M3531" t="s">
        <v>78</v>
      </c>
      <c r="N3531" t="s">
        <v>79</v>
      </c>
      <c r="O3531" t="s">
        <v>74</v>
      </c>
      <c r="P3531" t="s">
        <v>74</v>
      </c>
      <c r="Q3531" t="s">
        <v>74</v>
      </c>
      <c r="R3531" t="s">
        <v>74</v>
      </c>
      <c r="S3531" t="s">
        <v>74</v>
      </c>
      <c r="T3531" t="s">
        <v>57883</v>
      </c>
      <c r="U3531" t="s">
        <v>57884</v>
      </c>
      <c r="V3531" t="s">
        <v>57885</v>
      </c>
      <c r="W3531" t="s">
        <v>57886</v>
      </c>
      <c r="X3531" t="s">
        <v>57887</v>
      </c>
      <c r="Y3531" t="s">
        <v>57888</v>
      </c>
      <c r="Z3531" t="s">
        <v>37250</v>
      </c>
      <c r="AA3531" t="s">
        <v>74</v>
      </c>
      <c r="AB3531" t="s">
        <v>51709</v>
      </c>
      <c r="AC3531" t="s">
        <v>74</v>
      </c>
      <c r="AD3531" t="s">
        <v>74</v>
      </c>
      <c r="AE3531" t="s">
        <v>74</v>
      </c>
      <c r="AF3531" t="s">
        <v>74</v>
      </c>
      <c r="AG3531">
        <v>45</v>
      </c>
      <c r="AH3531">
        <v>40</v>
      </c>
      <c r="AI3531">
        <v>48</v>
      </c>
      <c r="AJ3531">
        <v>2</v>
      </c>
      <c r="AK3531">
        <v>56</v>
      </c>
      <c r="AL3531" t="s">
        <v>4485</v>
      </c>
      <c r="AM3531" t="s">
        <v>6724</v>
      </c>
      <c r="AN3531" t="s">
        <v>6725</v>
      </c>
      <c r="AO3531" t="s">
        <v>6726</v>
      </c>
      <c r="AP3531" t="s">
        <v>6727</v>
      </c>
      <c r="AQ3531" t="s">
        <v>74</v>
      </c>
      <c r="AR3531" t="s">
        <v>6728</v>
      </c>
      <c r="AS3531" t="s">
        <v>6729</v>
      </c>
      <c r="AT3531" t="s">
        <v>1540</v>
      </c>
      <c r="AU3531">
        <v>2021</v>
      </c>
      <c r="AV3531">
        <v>45</v>
      </c>
      <c r="AW3531">
        <v>4</v>
      </c>
      <c r="AX3531" t="s">
        <v>74</v>
      </c>
      <c r="AY3531" t="s">
        <v>74</v>
      </c>
      <c r="AZ3531" t="s">
        <v>74</v>
      </c>
      <c r="BA3531" t="s">
        <v>74</v>
      </c>
      <c r="BB3531" t="s">
        <v>74</v>
      </c>
      <c r="BC3531" t="s">
        <v>74</v>
      </c>
      <c r="BD3531">
        <v>102112</v>
      </c>
      <c r="BE3531" t="s">
        <v>57889</v>
      </c>
      <c r="BF3531" t="str">
        <f>HYPERLINK("http://dx.doi.org/10.1016/j.telpol.2021.102112","http://dx.doi.org/10.1016/j.telpol.2021.102112")</f>
        <v>http://dx.doi.org/10.1016/j.telpol.2021.102112</v>
      </c>
      <c r="BG3531" t="s">
        <v>74</v>
      </c>
      <c r="BH3531" t="s">
        <v>11376</v>
      </c>
      <c r="BI3531">
        <v>17</v>
      </c>
      <c r="BJ3531" t="s">
        <v>6731</v>
      </c>
      <c r="BK3531" t="s">
        <v>2623</v>
      </c>
      <c r="BL3531" t="s">
        <v>6731</v>
      </c>
      <c r="BM3531" t="s">
        <v>57890</v>
      </c>
      <c r="BN3531" t="s">
        <v>74</v>
      </c>
      <c r="BO3531" t="s">
        <v>74</v>
      </c>
      <c r="BP3531" t="s">
        <v>74</v>
      </c>
      <c r="BQ3531" t="s">
        <v>74</v>
      </c>
      <c r="BR3531" t="s">
        <v>102</v>
      </c>
      <c r="BS3531" t="s">
        <v>57891</v>
      </c>
      <c r="BT3531" t="str">
        <f>HYPERLINK("https%3A%2F%2Fwww.webofscience.com%2Fwos%2Fwoscc%2Ffull-record%2FWOS:000640898900008","View Full Record in Web of Science")</f>
        <v>View Full Record in Web of Science</v>
      </c>
    </row>
    <row r="3532" spans="1:72" x14ac:dyDescent="0.25">
      <c r="A3532" t="s">
        <v>72</v>
      </c>
      <c r="B3532" t="s">
        <v>57892</v>
      </c>
      <c r="C3532" t="s">
        <v>74</v>
      </c>
      <c r="D3532" t="s">
        <v>74</v>
      </c>
      <c r="E3532" t="s">
        <v>74</v>
      </c>
      <c r="F3532" t="s">
        <v>57893</v>
      </c>
      <c r="G3532" t="s">
        <v>74</v>
      </c>
      <c r="H3532" t="s">
        <v>74</v>
      </c>
      <c r="I3532" t="s">
        <v>57894</v>
      </c>
      <c r="J3532" t="s">
        <v>57895</v>
      </c>
      <c r="K3532" t="s">
        <v>74</v>
      </c>
      <c r="L3532" t="s">
        <v>74</v>
      </c>
      <c r="M3532" t="s">
        <v>78</v>
      </c>
      <c r="N3532" t="s">
        <v>372</v>
      </c>
      <c r="O3532" t="s">
        <v>74</v>
      </c>
      <c r="P3532" t="s">
        <v>74</v>
      </c>
      <c r="Q3532" t="s">
        <v>74</v>
      </c>
      <c r="R3532" t="s">
        <v>74</v>
      </c>
      <c r="S3532" t="s">
        <v>74</v>
      </c>
      <c r="T3532" t="s">
        <v>57896</v>
      </c>
      <c r="U3532" t="s">
        <v>57897</v>
      </c>
      <c r="V3532" t="s">
        <v>57898</v>
      </c>
      <c r="W3532" t="s">
        <v>57899</v>
      </c>
      <c r="X3532" t="s">
        <v>1813</v>
      </c>
      <c r="Y3532" t="s">
        <v>57900</v>
      </c>
      <c r="Z3532" t="s">
        <v>57901</v>
      </c>
      <c r="AA3532" t="s">
        <v>74</v>
      </c>
      <c r="AB3532" t="s">
        <v>74</v>
      </c>
      <c r="AC3532" t="s">
        <v>74</v>
      </c>
      <c r="AD3532" t="s">
        <v>74</v>
      </c>
      <c r="AE3532" t="s">
        <v>74</v>
      </c>
      <c r="AF3532" t="s">
        <v>74</v>
      </c>
      <c r="AG3532">
        <v>117</v>
      </c>
      <c r="AH3532">
        <v>1</v>
      </c>
      <c r="AI3532">
        <v>1</v>
      </c>
      <c r="AJ3532">
        <v>3</v>
      </c>
      <c r="AK3532">
        <v>4</v>
      </c>
      <c r="AL3532" t="s">
        <v>89</v>
      </c>
      <c r="AM3532" t="s">
        <v>90</v>
      </c>
      <c r="AN3532" t="s">
        <v>91</v>
      </c>
      <c r="AO3532" t="s">
        <v>57902</v>
      </c>
      <c r="AP3532" t="s">
        <v>57903</v>
      </c>
      <c r="AQ3532" t="s">
        <v>74</v>
      </c>
      <c r="AR3532" t="s">
        <v>57904</v>
      </c>
      <c r="AS3532" t="s">
        <v>57905</v>
      </c>
      <c r="AT3532" t="s">
        <v>57906</v>
      </c>
      <c r="AU3532">
        <v>2025</v>
      </c>
      <c r="AV3532" t="s">
        <v>74</v>
      </c>
      <c r="AW3532" t="s">
        <v>74</v>
      </c>
      <c r="AX3532" t="s">
        <v>74</v>
      </c>
      <c r="AY3532" t="s">
        <v>74</v>
      </c>
      <c r="AZ3532" t="s">
        <v>74</v>
      </c>
      <c r="BA3532" t="s">
        <v>74</v>
      </c>
      <c r="BB3532" t="s">
        <v>74</v>
      </c>
      <c r="BC3532" t="s">
        <v>74</v>
      </c>
      <c r="BD3532" t="s">
        <v>74</v>
      </c>
      <c r="BE3532" t="s">
        <v>57907</v>
      </c>
      <c r="BF3532" t="str">
        <f>HYPERLINK("http://dx.doi.org/10.1108/IJHMA-09-2024-0139","http://dx.doi.org/10.1108/IJHMA-09-2024-0139")</f>
        <v>http://dx.doi.org/10.1108/IJHMA-09-2024-0139</v>
      </c>
      <c r="BG3532" t="s">
        <v>74</v>
      </c>
      <c r="BH3532" t="s">
        <v>1737</v>
      </c>
      <c r="BI3532">
        <v>24</v>
      </c>
      <c r="BJ3532" t="s">
        <v>36518</v>
      </c>
      <c r="BK3532" t="s">
        <v>313</v>
      </c>
      <c r="BL3532" t="s">
        <v>36518</v>
      </c>
      <c r="BM3532" t="s">
        <v>57908</v>
      </c>
      <c r="BN3532" t="s">
        <v>74</v>
      </c>
      <c r="BO3532" t="s">
        <v>74</v>
      </c>
      <c r="BP3532" t="s">
        <v>74</v>
      </c>
      <c r="BQ3532" t="s">
        <v>74</v>
      </c>
      <c r="BR3532" t="s">
        <v>102</v>
      </c>
      <c r="BS3532" t="s">
        <v>57909</v>
      </c>
      <c r="BT3532" t="str">
        <f>HYPERLINK("https%3A%2F%2Fwww.webofscience.com%2Fwos%2Fwoscc%2Ffull-record%2FWOS:001395925400001","View Full Record in Web of Science")</f>
        <v>View Full Record in Web of Science</v>
      </c>
    </row>
    <row r="3533" spans="1:72" x14ac:dyDescent="0.25">
      <c r="A3533" t="s">
        <v>72</v>
      </c>
      <c r="B3533" t="s">
        <v>57910</v>
      </c>
      <c r="C3533" t="s">
        <v>74</v>
      </c>
      <c r="D3533" t="s">
        <v>74</v>
      </c>
      <c r="E3533" t="s">
        <v>74</v>
      </c>
      <c r="F3533" t="s">
        <v>57911</v>
      </c>
      <c r="G3533" t="s">
        <v>74</v>
      </c>
      <c r="H3533" t="s">
        <v>74</v>
      </c>
      <c r="I3533" t="s">
        <v>57912</v>
      </c>
      <c r="J3533" t="s">
        <v>4208</v>
      </c>
      <c r="K3533" t="s">
        <v>74</v>
      </c>
      <c r="L3533" t="s">
        <v>74</v>
      </c>
      <c r="M3533" t="s">
        <v>78</v>
      </c>
      <c r="N3533" t="s">
        <v>79</v>
      </c>
      <c r="O3533" t="s">
        <v>74</v>
      </c>
      <c r="P3533" t="s">
        <v>74</v>
      </c>
      <c r="Q3533" t="s">
        <v>74</v>
      </c>
      <c r="R3533" t="s">
        <v>74</v>
      </c>
      <c r="S3533" t="s">
        <v>74</v>
      </c>
      <c r="T3533" t="s">
        <v>74</v>
      </c>
      <c r="U3533" t="s">
        <v>57913</v>
      </c>
      <c r="V3533" t="s">
        <v>57914</v>
      </c>
      <c r="W3533" t="s">
        <v>57915</v>
      </c>
      <c r="X3533" t="s">
        <v>57916</v>
      </c>
      <c r="Y3533" t="s">
        <v>57917</v>
      </c>
      <c r="Z3533" t="s">
        <v>57918</v>
      </c>
      <c r="AA3533" t="s">
        <v>57919</v>
      </c>
      <c r="AB3533" t="s">
        <v>57920</v>
      </c>
      <c r="AC3533" t="s">
        <v>57921</v>
      </c>
      <c r="AD3533" t="s">
        <v>57922</v>
      </c>
      <c r="AE3533" t="s">
        <v>57923</v>
      </c>
      <c r="AF3533" t="s">
        <v>74</v>
      </c>
      <c r="AG3533">
        <v>47</v>
      </c>
      <c r="AH3533">
        <v>33</v>
      </c>
      <c r="AI3533">
        <v>40</v>
      </c>
      <c r="AJ3533">
        <v>0</v>
      </c>
      <c r="AK3533">
        <v>10</v>
      </c>
      <c r="AL3533" t="s">
        <v>4218</v>
      </c>
      <c r="AM3533" t="s">
        <v>4219</v>
      </c>
      <c r="AN3533" t="s">
        <v>4220</v>
      </c>
      <c r="AO3533" t="s">
        <v>4221</v>
      </c>
      <c r="AP3533" t="s">
        <v>74</v>
      </c>
      <c r="AQ3533" t="s">
        <v>74</v>
      </c>
      <c r="AR3533" t="s">
        <v>4208</v>
      </c>
      <c r="AS3533" t="s">
        <v>4222</v>
      </c>
      <c r="AT3533" t="s">
        <v>57924</v>
      </c>
      <c r="AU3533">
        <v>2015</v>
      </c>
      <c r="AV3533">
        <v>10</v>
      </c>
      <c r="AW3533">
        <v>4</v>
      </c>
      <c r="AX3533" t="s">
        <v>74</v>
      </c>
      <c r="AY3533" t="s">
        <v>74</v>
      </c>
      <c r="AZ3533" t="s">
        <v>74</v>
      </c>
      <c r="BA3533" t="s">
        <v>74</v>
      </c>
      <c r="BB3533" t="s">
        <v>74</v>
      </c>
      <c r="BC3533" t="s">
        <v>74</v>
      </c>
      <c r="BD3533" t="s">
        <v>57925</v>
      </c>
      <c r="BE3533" t="s">
        <v>57926</v>
      </c>
      <c r="BF3533" t="str">
        <f>HYPERLINK("http://dx.doi.org/10.1371/journal.pone.0122673","http://dx.doi.org/10.1371/journal.pone.0122673")</f>
        <v>http://dx.doi.org/10.1371/journal.pone.0122673</v>
      </c>
      <c r="BG3533" t="s">
        <v>74</v>
      </c>
      <c r="BH3533" t="s">
        <v>74</v>
      </c>
      <c r="BI3533">
        <v>17</v>
      </c>
      <c r="BJ3533" t="s">
        <v>559</v>
      </c>
      <c r="BK3533" t="s">
        <v>2623</v>
      </c>
      <c r="BL3533" t="s">
        <v>560</v>
      </c>
      <c r="BM3533" t="s">
        <v>57927</v>
      </c>
      <c r="BN3533">
        <v>25853246</v>
      </c>
      <c r="BO3533" t="s">
        <v>916</v>
      </c>
      <c r="BP3533" t="s">
        <v>74</v>
      </c>
      <c r="BQ3533" t="s">
        <v>74</v>
      </c>
      <c r="BR3533" t="s">
        <v>102</v>
      </c>
      <c r="BS3533" t="s">
        <v>57928</v>
      </c>
      <c r="BT3533" t="str">
        <f>HYPERLINK("https%3A%2F%2Fwww.webofscience.com%2Fwos%2Fwoscc%2Ffull-record%2FWOS:000352478400076","View Full Record in Web of Science")</f>
        <v>View Full Record in Web of Science</v>
      </c>
    </row>
    <row r="3534" spans="1:72" x14ac:dyDescent="0.25">
      <c r="A3534" t="s">
        <v>72</v>
      </c>
      <c r="B3534" t="s">
        <v>57929</v>
      </c>
      <c r="C3534" t="s">
        <v>74</v>
      </c>
      <c r="D3534" t="s">
        <v>74</v>
      </c>
      <c r="E3534" t="s">
        <v>74</v>
      </c>
      <c r="F3534" t="s">
        <v>57930</v>
      </c>
      <c r="G3534" t="s">
        <v>74</v>
      </c>
      <c r="H3534" t="s">
        <v>74</v>
      </c>
      <c r="I3534" t="s">
        <v>57931</v>
      </c>
      <c r="J3534" t="s">
        <v>7064</v>
      </c>
      <c r="K3534" t="s">
        <v>74</v>
      </c>
      <c r="L3534" t="s">
        <v>74</v>
      </c>
      <c r="M3534" t="s">
        <v>78</v>
      </c>
      <c r="N3534" t="s">
        <v>79</v>
      </c>
      <c r="O3534" t="s">
        <v>74</v>
      </c>
      <c r="P3534" t="s">
        <v>74</v>
      </c>
      <c r="Q3534" t="s">
        <v>74</v>
      </c>
      <c r="R3534" t="s">
        <v>74</v>
      </c>
      <c r="S3534" t="s">
        <v>74</v>
      </c>
      <c r="T3534" t="s">
        <v>57932</v>
      </c>
      <c r="U3534" t="s">
        <v>57933</v>
      </c>
      <c r="V3534" t="s">
        <v>57934</v>
      </c>
      <c r="W3534" t="s">
        <v>57935</v>
      </c>
      <c r="X3534" t="s">
        <v>57936</v>
      </c>
      <c r="Y3534" t="s">
        <v>57937</v>
      </c>
      <c r="Z3534" t="s">
        <v>57938</v>
      </c>
      <c r="AA3534" t="s">
        <v>57939</v>
      </c>
      <c r="AB3534" t="s">
        <v>57940</v>
      </c>
      <c r="AC3534" t="s">
        <v>57941</v>
      </c>
      <c r="AD3534" t="s">
        <v>57941</v>
      </c>
      <c r="AE3534" t="s">
        <v>57942</v>
      </c>
      <c r="AF3534" t="s">
        <v>74</v>
      </c>
      <c r="AG3534">
        <v>40</v>
      </c>
      <c r="AH3534">
        <v>27</v>
      </c>
      <c r="AI3534">
        <v>39</v>
      </c>
      <c r="AJ3534">
        <v>2</v>
      </c>
      <c r="AK3534">
        <v>26</v>
      </c>
      <c r="AL3534" t="s">
        <v>8503</v>
      </c>
      <c r="AM3534" t="s">
        <v>995</v>
      </c>
      <c r="AN3534" t="s">
        <v>8504</v>
      </c>
      <c r="AO3534" t="s">
        <v>74</v>
      </c>
      <c r="AP3534" t="s">
        <v>7076</v>
      </c>
      <c r="AQ3534" t="s">
        <v>74</v>
      </c>
      <c r="AR3534" t="s">
        <v>7064</v>
      </c>
      <c r="AS3534" t="s">
        <v>7077</v>
      </c>
      <c r="AT3534" t="s">
        <v>57943</v>
      </c>
      <c r="AU3534">
        <v>2017</v>
      </c>
      <c r="AV3534">
        <v>17</v>
      </c>
      <c r="AW3534" t="s">
        <v>74</v>
      </c>
      <c r="AX3534" t="s">
        <v>74</v>
      </c>
      <c r="AY3534" t="s">
        <v>74</v>
      </c>
      <c r="AZ3534" t="s">
        <v>74</v>
      </c>
      <c r="BA3534" t="s">
        <v>74</v>
      </c>
      <c r="BB3534" t="s">
        <v>74</v>
      </c>
      <c r="BC3534" t="s">
        <v>74</v>
      </c>
      <c r="BD3534">
        <v>706</v>
      </c>
      <c r="BE3534" t="s">
        <v>57944</v>
      </c>
      <c r="BF3534" t="str">
        <f>HYPERLINK("http://dx.doi.org/10.1186/s12889-017-4717-6","http://dx.doi.org/10.1186/s12889-017-4717-6")</f>
        <v>http://dx.doi.org/10.1186/s12889-017-4717-6</v>
      </c>
      <c r="BG3534" t="s">
        <v>74</v>
      </c>
      <c r="BH3534" t="s">
        <v>74</v>
      </c>
      <c r="BI3534">
        <v>9</v>
      </c>
      <c r="BJ3534" t="s">
        <v>7080</v>
      </c>
      <c r="BK3534" t="s">
        <v>2623</v>
      </c>
      <c r="BL3534" t="s">
        <v>7080</v>
      </c>
      <c r="BM3534" t="s">
        <v>57945</v>
      </c>
      <c r="BN3534">
        <v>28903743</v>
      </c>
      <c r="BO3534" t="s">
        <v>916</v>
      </c>
      <c r="BP3534" t="s">
        <v>74</v>
      </c>
      <c r="BQ3534" t="s">
        <v>74</v>
      </c>
      <c r="BR3534" t="s">
        <v>102</v>
      </c>
      <c r="BS3534" t="s">
        <v>57946</v>
      </c>
      <c r="BT3534" t="str">
        <f>HYPERLINK("https%3A%2F%2Fwww.webofscience.com%2Fwos%2Fwoscc%2Ffull-record%2FWOS:000410672900002","View Full Record in Web of Science")</f>
        <v>View Full Record in Web of Science</v>
      </c>
    </row>
    <row r="3535" spans="1:72" x14ac:dyDescent="0.25">
      <c r="A3535" t="s">
        <v>72</v>
      </c>
      <c r="B3535" t="s">
        <v>57947</v>
      </c>
      <c r="C3535" t="s">
        <v>74</v>
      </c>
      <c r="D3535" t="s">
        <v>74</v>
      </c>
      <c r="E3535" t="s">
        <v>74</v>
      </c>
      <c r="F3535" t="s">
        <v>57948</v>
      </c>
      <c r="G3535" t="s">
        <v>74</v>
      </c>
      <c r="H3535" t="s">
        <v>74</v>
      </c>
      <c r="I3535" t="s">
        <v>57949</v>
      </c>
      <c r="J3535" t="s">
        <v>57950</v>
      </c>
      <c r="K3535" t="s">
        <v>74</v>
      </c>
      <c r="L3535" t="s">
        <v>74</v>
      </c>
      <c r="M3535" t="s">
        <v>78</v>
      </c>
      <c r="N3535" t="s">
        <v>79</v>
      </c>
      <c r="O3535" t="s">
        <v>74</v>
      </c>
      <c r="P3535" t="s">
        <v>74</v>
      </c>
      <c r="Q3535" t="s">
        <v>74</v>
      </c>
      <c r="R3535" t="s">
        <v>74</v>
      </c>
      <c r="S3535" t="s">
        <v>74</v>
      </c>
      <c r="T3535" t="s">
        <v>57951</v>
      </c>
      <c r="U3535" t="s">
        <v>57952</v>
      </c>
      <c r="V3535" t="s">
        <v>57953</v>
      </c>
      <c r="W3535" t="s">
        <v>57954</v>
      </c>
      <c r="X3535" t="s">
        <v>74</v>
      </c>
      <c r="Y3535" t="s">
        <v>57955</v>
      </c>
      <c r="Z3535" t="s">
        <v>57956</v>
      </c>
      <c r="AA3535" t="s">
        <v>57957</v>
      </c>
      <c r="AB3535" t="s">
        <v>57958</v>
      </c>
      <c r="AC3535" t="s">
        <v>57959</v>
      </c>
      <c r="AD3535" t="s">
        <v>57959</v>
      </c>
      <c r="AE3535" t="s">
        <v>57960</v>
      </c>
      <c r="AF3535" t="s">
        <v>74</v>
      </c>
      <c r="AG3535">
        <v>43</v>
      </c>
      <c r="AH3535">
        <v>7</v>
      </c>
      <c r="AI3535">
        <v>9</v>
      </c>
      <c r="AJ3535">
        <v>0</v>
      </c>
      <c r="AK3535">
        <v>10</v>
      </c>
      <c r="AL3535" t="s">
        <v>8503</v>
      </c>
      <c r="AM3535" t="s">
        <v>995</v>
      </c>
      <c r="AN3535" t="s">
        <v>8504</v>
      </c>
      <c r="AO3535" t="s">
        <v>57961</v>
      </c>
      <c r="AP3535" t="s">
        <v>74</v>
      </c>
      <c r="AQ3535" t="s">
        <v>74</v>
      </c>
      <c r="AR3535" t="s">
        <v>57962</v>
      </c>
      <c r="AS3535" t="s">
        <v>57963</v>
      </c>
      <c r="AT3535" t="s">
        <v>29813</v>
      </c>
      <c r="AU3535">
        <v>2017</v>
      </c>
      <c r="AV3535">
        <v>15</v>
      </c>
      <c r="AW3535" t="s">
        <v>74</v>
      </c>
      <c r="AX3535" t="s">
        <v>74</v>
      </c>
      <c r="AY3535" t="s">
        <v>74</v>
      </c>
      <c r="AZ3535" t="s">
        <v>74</v>
      </c>
      <c r="BA3535" t="s">
        <v>74</v>
      </c>
      <c r="BB3535" t="s">
        <v>74</v>
      </c>
      <c r="BC3535" t="s">
        <v>74</v>
      </c>
      <c r="BD3535">
        <v>36</v>
      </c>
      <c r="BE3535" t="s">
        <v>57964</v>
      </c>
      <c r="BF3535" t="str">
        <f>HYPERLINK("http://dx.doi.org/10.1186/s12961-017-0197-5","http://dx.doi.org/10.1186/s12961-017-0197-5")</f>
        <v>http://dx.doi.org/10.1186/s12961-017-0197-5</v>
      </c>
      <c r="BG3535" t="s">
        <v>74</v>
      </c>
      <c r="BH3535" t="s">
        <v>74</v>
      </c>
      <c r="BI3535">
        <v>12</v>
      </c>
      <c r="BJ3535" t="s">
        <v>30090</v>
      </c>
      <c r="BK3535" t="s">
        <v>99</v>
      </c>
      <c r="BL3535" t="s">
        <v>23597</v>
      </c>
      <c r="BM3535" t="s">
        <v>57965</v>
      </c>
      <c r="BN3535">
        <v>28464954</v>
      </c>
      <c r="BO3535" t="s">
        <v>916</v>
      </c>
      <c r="BP3535" t="s">
        <v>74</v>
      </c>
      <c r="BQ3535" t="s">
        <v>74</v>
      </c>
      <c r="BR3535" t="s">
        <v>102</v>
      </c>
      <c r="BS3535" t="s">
        <v>57966</v>
      </c>
      <c r="BT3535" t="str">
        <f>HYPERLINK("https%3A%2F%2Fwww.webofscience.com%2Fwos%2Fwoscc%2Ffull-record%2FWOS:000400485300001","View Full Record in Web of Science")</f>
        <v>View Full Record in Web of Science</v>
      </c>
    </row>
    <row r="3536" spans="1:72" x14ac:dyDescent="0.25">
      <c r="A3536" t="s">
        <v>132</v>
      </c>
      <c r="B3536" t="s">
        <v>57967</v>
      </c>
      <c r="C3536" t="s">
        <v>74</v>
      </c>
      <c r="D3536" t="s">
        <v>57968</v>
      </c>
      <c r="E3536" t="s">
        <v>74</v>
      </c>
      <c r="F3536" t="s">
        <v>57969</v>
      </c>
      <c r="G3536" t="s">
        <v>74</v>
      </c>
      <c r="H3536" t="s">
        <v>74</v>
      </c>
      <c r="I3536" t="s">
        <v>57970</v>
      </c>
      <c r="J3536" t="s">
        <v>57971</v>
      </c>
      <c r="K3536" t="s">
        <v>57972</v>
      </c>
      <c r="L3536" t="s">
        <v>74</v>
      </c>
      <c r="M3536" t="s">
        <v>78</v>
      </c>
      <c r="N3536" t="s">
        <v>138</v>
      </c>
      <c r="O3536" t="s">
        <v>57973</v>
      </c>
      <c r="P3536" t="s">
        <v>57974</v>
      </c>
      <c r="Q3536" t="s">
        <v>57975</v>
      </c>
      <c r="R3536" t="s">
        <v>74</v>
      </c>
      <c r="S3536" t="s">
        <v>57976</v>
      </c>
      <c r="T3536" t="s">
        <v>57977</v>
      </c>
      <c r="U3536" t="s">
        <v>57978</v>
      </c>
      <c r="V3536" t="s">
        <v>57979</v>
      </c>
      <c r="W3536" t="s">
        <v>57980</v>
      </c>
      <c r="X3536" t="s">
        <v>2394</v>
      </c>
      <c r="Y3536" t="s">
        <v>57981</v>
      </c>
      <c r="Z3536" t="s">
        <v>57982</v>
      </c>
      <c r="AA3536" t="s">
        <v>74</v>
      </c>
      <c r="AB3536" t="s">
        <v>74</v>
      </c>
      <c r="AC3536" t="s">
        <v>74</v>
      </c>
      <c r="AD3536" t="s">
        <v>74</v>
      </c>
      <c r="AE3536" t="s">
        <v>74</v>
      </c>
      <c r="AF3536" t="s">
        <v>74</v>
      </c>
      <c r="AG3536">
        <v>17</v>
      </c>
      <c r="AH3536">
        <v>0</v>
      </c>
      <c r="AI3536">
        <v>0</v>
      </c>
      <c r="AJ3536">
        <v>0</v>
      </c>
      <c r="AK3536">
        <v>9</v>
      </c>
      <c r="AL3536" t="s">
        <v>3651</v>
      </c>
      <c r="AM3536" t="s">
        <v>3652</v>
      </c>
      <c r="AN3536" t="s">
        <v>3653</v>
      </c>
      <c r="AO3536" t="s">
        <v>57983</v>
      </c>
      <c r="AP3536" t="s">
        <v>74</v>
      </c>
      <c r="AQ3536" t="s">
        <v>57984</v>
      </c>
      <c r="AR3536" t="s">
        <v>57985</v>
      </c>
      <c r="AS3536" t="s">
        <v>74</v>
      </c>
      <c r="AT3536" t="s">
        <v>74</v>
      </c>
      <c r="AU3536">
        <v>2013</v>
      </c>
      <c r="AV3536" t="s">
        <v>74</v>
      </c>
      <c r="AW3536" t="s">
        <v>74</v>
      </c>
      <c r="AX3536" t="s">
        <v>74</v>
      </c>
      <c r="AY3536" t="s">
        <v>74</v>
      </c>
      <c r="AZ3536" t="s">
        <v>74</v>
      </c>
      <c r="BA3536" t="s">
        <v>74</v>
      </c>
      <c r="BB3536">
        <v>588</v>
      </c>
      <c r="BC3536">
        <v>596</v>
      </c>
      <c r="BD3536" t="s">
        <v>74</v>
      </c>
      <c r="BE3536" t="s">
        <v>74</v>
      </c>
      <c r="BF3536" t="s">
        <v>74</v>
      </c>
      <c r="BG3536" t="s">
        <v>74</v>
      </c>
      <c r="BH3536" t="s">
        <v>74</v>
      </c>
      <c r="BI3536">
        <v>9</v>
      </c>
      <c r="BJ3536" t="s">
        <v>98</v>
      </c>
      <c r="BK3536" t="s">
        <v>183</v>
      </c>
      <c r="BL3536" t="s">
        <v>100</v>
      </c>
      <c r="BM3536" t="s">
        <v>57986</v>
      </c>
      <c r="BN3536" t="s">
        <v>74</v>
      </c>
      <c r="BO3536" t="s">
        <v>74</v>
      </c>
      <c r="BP3536" t="s">
        <v>74</v>
      </c>
      <c r="BQ3536" t="s">
        <v>74</v>
      </c>
      <c r="BR3536" t="s">
        <v>102</v>
      </c>
      <c r="BS3536" t="s">
        <v>57987</v>
      </c>
      <c r="BT3536" t="str">
        <f>HYPERLINK("https%3A%2F%2Fwww.webofscience.com%2Fwos%2Fwoscc%2Ffull-record%2FWOS:000362358400019","View Full Record in Web of Science")</f>
        <v>View Full Record in Web of Science</v>
      </c>
    </row>
    <row r="3537" spans="1:72" x14ac:dyDescent="0.25">
      <c r="A3537" t="s">
        <v>72</v>
      </c>
      <c r="B3537" t="s">
        <v>57988</v>
      </c>
      <c r="C3537" t="s">
        <v>74</v>
      </c>
      <c r="D3537" t="s">
        <v>74</v>
      </c>
      <c r="E3537" t="s">
        <v>74</v>
      </c>
      <c r="F3537" t="s">
        <v>57989</v>
      </c>
      <c r="G3537" t="s">
        <v>74</v>
      </c>
      <c r="H3537" t="s">
        <v>74</v>
      </c>
      <c r="I3537" t="s">
        <v>57990</v>
      </c>
      <c r="J3537" t="s">
        <v>50742</v>
      </c>
      <c r="K3537" t="s">
        <v>74</v>
      </c>
      <c r="L3537" t="s">
        <v>74</v>
      </c>
      <c r="M3537" t="s">
        <v>78</v>
      </c>
      <c r="N3537" t="s">
        <v>79</v>
      </c>
      <c r="O3537" t="s">
        <v>74</v>
      </c>
      <c r="P3537" t="s">
        <v>74</v>
      </c>
      <c r="Q3537" t="s">
        <v>74</v>
      </c>
      <c r="R3537" t="s">
        <v>74</v>
      </c>
      <c r="S3537" t="s">
        <v>74</v>
      </c>
      <c r="T3537" t="s">
        <v>57991</v>
      </c>
      <c r="U3537" t="s">
        <v>57992</v>
      </c>
      <c r="V3537" t="s">
        <v>57993</v>
      </c>
      <c r="W3537" t="s">
        <v>57994</v>
      </c>
      <c r="X3537" t="s">
        <v>57995</v>
      </c>
      <c r="Y3537" t="s">
        <v>57996</v>
      </c>
      <c r="Z3537" t="s">
        <v>74</v>
      </c>
      <c r="AA3537" t="s">
        <v>57997</v>
      </c>
      <c r="AB3537" t="s">
        <v>57998</v>
      </c>
      <c r="AC3537" t="s">
        <v>74</v>
      </c>
      <c r="AD3537" t="s">
        <v>74</v>
      </c>
      <c r="AE3537" t="s">
        <v>74</v>
      </c>
      <c r="AF3537" t="s">
        <v>74</v>
      </c>
      <c r="AG3537">
        <v>40</v>
      </c>
      <c r="AH3537">
        <v>2</v>
      </c>
      <c r="AI3537">
        <v>2</v>
      </c>
      <c r="AJ3537">
        <v>0</v>
      </c>
      <c r="AK3537">
        <v>2</v>
      </c>
      <c r="AL3537" t="s">
        <v>50748</v>
      </c>
      <c r="AM3537" t="s">
        <v>50749</v>
      </c>
      <c r="AN3537" t="s">
        <v>50750</v>
      </c>
      <c r="AO3537" t="s">
        <v>74</v>
      </c>
      <c r="AP3537" t="s">
        <v>50751</v>
      </c>
      <c r="AQ3537" t="s">
        <v>74</v>
      </c>
      <c r="AR3537" t="s">
        <v>50752</v>
      </c>
      <c r="AS3537" t="s">
        <v>50753</v>
      </c>
      <c r="AT3537" t="s">
        <v>74</v>
      </c>
      <c r="AU3537">
        <v>2023</v>
      </c>
      <c r="AV3537">
        <v>9</v>
      </c>
      <c r="AW3537">
        <v>4</v>
      </c>
      <c r="AX3537" t="s">
        <v>74</v>
      </c>
      <c r="AY3537" t="s">
        <v>74</v>
      </c>
      <c r="AZ3537" t="s">
        <v>74</v>
      </c>
      <c r="BA3537" t="s">
        <v>74</v>
      </c>
      <c r="BB3537">
        <v>79</v>
      </c>
      <c r="BC3537">
        <v>101</v>
      </c>
      <c r="BD3537" t="s">
        <v>74</v>
      </c>
      <c r="BE3537" t="s">
        <v>57999</v>
      </c>
      <c r="BF3537" t="str">
        <f>HYPERLINK("http://dx.doi.org/10.51599/are.2023.09.04.04","http://dx.doi.org/10.51599/are.2023.09.04.04")</f>
        <v>http://dx.doi.org/10.51599/are.2023.09.04.04</v>
      </c>
      <c r="BG3537" t="s">
        <v>74</v>
      </c>
      <c r="BH3537" t="s">
        <v>74</v>
      </c>
      <c r="BI3537">
        <v>23</v>
      </c>
      <c r="BJ3537" t="s">
        <v>18270</v>
      </c>
      <c r="BK3537" t="s">
        <v>313</v>
      </c>
      <c r="BL3537" t="s">
        <v>18271</v>
      </c>
      <c r="BM3537" t="s">
        <v>58000</v>
      </c>
      <c r="BN3537" t="s">
        <v>74</v>
      </c>
      <c r="BO3537" t="s">
        <v>212</v>
      </c>
      <c r="BP3537" t="s">
        <v>74</v>
      </c>
      <c r="BQ3537" t="s">
        <v>74</v>
      </c>
      <c r="BR3537" t="s">
        <v>102</v>
      </c>
      <c r="BS3537" t="s">
        <v>58001</v>
      </c>
      <c r="BT3537" t="str">
        <f>HYPERLINK("https%3A%2F%2Fwww.webofscience.com%2Fwos%2Fwoscc%2Ffull-record%2FWOS:001425316100001","View Full Record in Web of Science")</f>
        <v>View Full Record in Web of Science</v>
      </c>
    </row>
    <row r="3538" spans="1:72" x14ac:dyDescent="0.25">
      <c r="A3538" t="s">
        <v>72</v>
      </c>
      <c r="B3538" t="s">
        <v>58002</v>
      </c>
      <c r="C3538" t="s">
        <v>74</v>
      </c>
      <c r="D3538" t="s">
        <v>74</v>
      </c>
      <c r="E3538" t="s">
        <v>74</v>
      </c>
      <c r="F3538" t="s">
        <v>58003</v>
      </c>
      <c r="G3538" t="s">
        <v>74</v>
      </c>
      <c r="H3538" t="s">
        <v>74</v>
      </c>
      <c r="I3538" t="s">
        <v>58004</v>
      </c>
      <c r="J3538" t="s">
        <v>58005</v>
      </c>
      <c r="K3538" t="s">
        <v>74</v>
      </c>
      <c r="L3538" t="s">
        <v>74</v>
      </c>
      <c r="M3538" t="s">
        <v>78</v>
      </c>
      <c r="N3538" t="s">
        <v>79</v>
      </c>
      <c r="O3538" t="s">
        <v>74</v>
      </c>
      <c r="P3538" t="s">
        <v>74</v>
      </c>
      <c r="Q3538" t="s">
        <v>74</v>
      </c>
      <c r="R3538" t="s">
        <v>74</v>
      </c>
      <c r="S3538" t="s">
        <v>74</v>
      </c>
      <c r="T3538" t="s">
        <v>58006</v>
      </c>
      <c r="U3538" t="s">
        <v>58007</v>
      </c>
      <c r="V3538" t="s">
        <v>58008</v>
      </c>
      <c r="W3538" t="s">
        <v>58009</v>
      </c>
      <c r="X3538" t="s">
        <v>57096</v>
      </c>
      <c r="Y3538" t="s">
        <v>58010</v>
      </c>
      <c r="Z3538" t="s">
        <v>58011</v>
      </c>
      <c r="AA3538" t="s">
        <v>58012</v>
      </c>
      <c r="AB3538" t="s">
        <v>74</v>
      </c>
      <c r="AC3538" t="s">
        <v>58013</v>
      </c>
      <c r="AD3538" t="s">
        <v>58013</v>
      </c>
      <c r="AE3538" t="s">
        <v>58014</v>
      </c>
      <c r="AF3538" t="s">
        <v>74</v>
      </c>
      <c r="AG3538">
        <v>92</v>
      </c>
      <c r="AH3538">
        <v>7</v>
      </c>
      <c r="AI3538">
        <v>7</v>
      </c>
      <c r="AJ3538">
        <v>1</v>
      </c>
      <c r="AK3538">
        <v>31</v>
      </c>
      <c r="AL3538" t="s">
        <v>89</v>
      </c>
      <c r="AM3538" t="s">
        <v>90</v>
      </c>
      <c r="AN3538" t="s">
        <v>91</v>
      </c>
      <c r="AO3538" t="s">
        <v>58015</v>
      </c>
      <c r="AP3538" t="s">
        <v>58016</v>
      </c>
      <c r="AQ3538" t="s">
        <v>74</v>
      </c>
      <c r="AR3538" t="s">
        <v>58017</v>
      </c>
      <c r="AS3538" t="s">
        <v>58018</v>
      </c>
      <c r="AT3538" t="s">
        <v>7590</v>
      </c>
      <c r="AU3538">
        <v>2022</v>
      </c>
      <c r="AV3538" t="s">
        <v>74</v>
      </c>
      <c r="AW3538" t="s">
        <v>74</v>
      </c>
      <c r="AX3538" t="s">
        <v>74</v>
      </c>
      <c r="AY3538" t="s">
        <v>74</v>
      </c>
      <c r="AZ3538" t="s">
        <v>74</v>
      </c>
      <c r="BA3538" t="s">
        <v>74</v>
      </c>
      <c r="BB3538">
        <v>1</v>
      </c>
      <c r="BC3538">
        <v>25</v>
      </c>
      <c r="BD3538" t="s">
        <v>74</v>
      </c>
      <c r="BE3538" t="s">
        <v>58019</v>
      </c>
      <c r="BF3538" t="str">
        <f>HYPERLINK("http://dx.doi.org/10.1108/JFMM-11-2021-0280","http://dx.doi.org/10.1108/JFMM-11-2021-0280")</f>
        <v>http://dx.doi.org/10.1108/JFMM-11-2021-0280</v>
      </c>
      <c r="BG3538" t="s">
        <v>74</v>
      </c>
      <c r="BH3538" t="s">
        <v>74</v>
      </c>
      <c r="BI3538">
        <v>25</v>
      </c>
      <c r="BJ3538" t="s">
        <v>98</v>
      </c>
      <c r="BK3538" t="s">
        <v>99</v>
      </c>
      <c r="BL3538" t="s">
        <v>100</v>
      </c>
      <c r="BM3538" t="s">
        <v>58020</v>
      </c>
      <c r="BN3538" t="s">
        <v>74</v>
      </c>
      <c r="BO3538" t="s">
        <v>74</v>
      </c>
      <c r="BP3538" t="s">
        <v>74</v>
      </c>
      <c r="BQ3538" t="s">
        <v>74</v>
      </c>
      <c r="BR3538" t="s">
        <v>102</v>
      </c>
      <c r="BS3538" t="s">
        <v>58021</v>
      </c>
      <c r="BT3538" t="str">
        <f>HYPERLINK("https%3A%2F%2Fwww.webofscience.com%2Fwos%2Fwoscc%2Ffull-record%2FWOS:000851217100001","View Full Record in Web of Science")</f>
        <v>View Full Record in Web of Science</v>
      </c>
    </row>
    <row r="3539" spans="1:72" x14ac:dyDescent="0.25">
      <c r="A3539" t="s">
        <v>72</v>
      </c>
      <c r="B3539" t="s">
        <v>58022</v>
      </c>
      <c r="C3539" t="s">
        <v>74</v>
      </c>
      <c r="D3539" t="s">
        <v>74</v>
      </c>
      <c r="E3539" t="s">
        <v>74</v>
      </c>
      <c r="F3539" t="s">
        <v>58023</v>
      </c>
      <c r="G3539" t="s">
        <v>74</v>
      </c>
      <c r="H3539" t="s">
        <v>74</v>
      </c>
      <c r="I3539" t="s">
        <v>58024</v>
      </c>
      <c r="J3539" t="s">
        <v>58025</v>
      </c>
      <c r="K3539" t="s">
        <v>74</v>
      </c>
      <c r="L3539" t="s">
        <v>74</v>
      </c>
      <c r="M3539" t="s">
        <v>78</v>
      </c>
      <c r="N3539" t="s">
        <v>79</v>
      </c>
      <c r="O3539" t="s">
        <v>74</v>
      </c>
      <c r="P3539" t="s">
        <v>74</v>
      </c>
      <c r="Q3539" t="s">
        <v>74</v>
      </c>
      <c r="R3539" t="s">
        <v>74</v>
      </c>
      <c r="S3539" t="s">
        <v>74</v>
      </c>
      <c r="T3539" t="s">
        <v>58026</v>
      </c>
      <c r="U3539" t="s">
        <v>58027</v>
      </c>
      <c r="V3539" t="s">
        <v>58028</v>
      </c>
      <c r="W3539" t="s">
        <v>58029</v>
      </c>
      <c r="X3539" t="s">
        <v>58030</v>
      </c>
      <c r="Y3539" t="s">
        <v>58031</v>
      </c>
      <c r="Z3539" t="s">
        <v>58032</v>
      </c>
      <c r="AA3539" t="s">
        <v>58033</v>
      </c>
      <c r="AB3539" t="s">
        <v>58034</v>
      </c>
      <c r="AC3539" t="s">
        <v>74</v>
      </c>
      <c r="AD3539" t="s">
        <v>74</v>
      </c>
      <c r="AE3539" t="s">
        <v>74</v>
      </c>
      <c r="AF3539" t="s">
        <v>74</v>
      </c>
      <c r="AG3539">
        <v>77</v>
      </c>
      <c r="AH3539">
        <v>1</v>
      </c>
      <c r="AI3539">
        <v>1</v>
      </c>
      <c r="AJ3539">
        <v>3</v>
      </c>
      <c r="AK3539">
        <v>4</v>
      </c>
      <c r="AL3539" t="s">
        <v>503</v>
      </c>
      <c r="AM3539" t="s">
        <v>151</v>
      </c>
      <c r="AN3539" t="s">
        <v>504</v>
      </c>
      <c r="AO3539" t="s">
        <v>58035</v>
      </c>
      <c r="AP3539" t="s">
        <v>58036</v>
      </c>
      <c r="AQ3539" t="s">
        <v>74</v>
      </c>
      <c r="AR3539" t="s">
        <v>58037</v>
      </c>
      <c r="AS3539" t="s">
        <v>58038</v>
      </c>
      <c r="AT3539" t="s">
        <v>605</v>
      </c>
      <c r="AU3539">
        <v>2025</v>
      </c>
      <c r="AV3539">
        <v>125</v>
      </c>
      <c r="AW3539">
        <v>3</v>
      </c>
      <c r="AX3539" t="s">
        <v>74</v>
      </c>
      <c r="AY3539" t="s">
        <v>74</v>
      </c>
      <c r="AZ3539" t="s">
        <v>74</v>
      </c>
      <c r="BA3539" t="s">
        <v>74</v>
      </c>
      <c r="BB3539">
        <v>366</v>
      </c>
      <c r="BC3539">
        <v>385</v>
      </c>
      <c r="BD3539" t="s">
        <v>74</v>
      </c>
      <c r="BE3539" t="s">
        <v>58039</v>
      </c>
      <c r="BF3539" t="str">
        <f>HYPERLINK("http://dx.doi.org/10.1016/j.jand.2024.09.005","http://dx.doi.org/10.1016/j.jand.2024.09.005")</f>
        <v>http://dx.doi.org/10.1016/j.jand.2024.09.005</v>
      </c>
      <c r="BG3539" t="s">
        <v>74</v>
      </c>
      <c r="BH3539" t="s">
        <v>417</v>
      </c>
      <c r="BI3539">
        <v>20</v>
      </c>
      <c r="BJ3539" t="s">
        <v>58040</v>
      </c>
      <c r="BK3539" t="s">
        <v>128</v>
      </c>
      <c r="BL3539" t="s">
        <v>58040</v>
      </c>
      <c r="BM3539" t="s">
        <v>58041</v>
      </c>
      <c r="BN3539">
        <v>39307349</v>
      </c>
      <c r="BO3539" t="s">
        <v>74</v>
      </c>
      <c r="BP3539" t="s">
        <v>74</v>
      </c>
      <c r="BQ3539" t="s">
        <v>74</v>
      </c>
      <c r="BR3539" t="s">
        <v>102</v>
      </c>
      <c r="BS3539" t="s">
        <v>58042</v>
      </c>
      <c r="BT3539" t="str">
        <f>HYPERLINK("https%3A%2F%2Fwww.webofscience.com%2Fwos%2Fwoscc%2Ffull-record%2FWOS:001430490000001","View Full Record in Web of Science")</f>
        <v>View Full Record in Web of Science</v>
      </c>
    </row>
    <row r="3540" spans="1:72" x14ac:dyDescent="0.25">
      <c r="A3540" t="s">
        <v>72</v>
      </c>
      <c r="B3540" t="s">
        <v>58043</v>
      </c>
      <c r="C3540" t="s">
        <v>74</v>
      </c>
      <c r="D3540" t="s">
        <v>74</v>
      </c>
      <c r="E3540" t="s">
        <v>74</v>
      </c>
      <c r="F3540" t="s">
        <v>58044</v>
      </c>
      <c r="G3540" t="s">
        <v>74</v>
      </c>
      <c r="H3540" t="s">
        <v>74</v>
      </c>
      <c r="I3540" t="s">
        <v>58045</v>
      </c>
      <c r="J3540" t="s">
        <v>58046</v>
      </c>
      <c r="K3540" t="s">
        <v>74</v>
      </c>
      <c r="L3540" t="s">
        <v>74</v>
      </c>
      <c r="M3540" t="s">
        <v>298</v>
      </c>
      <c r="N3540" t="s">
        <v>79</v>
      </c>
      <c r="O3540" t="s">
        <v>74</v>
      </c>
      <c r="P3540" t="s">
        <v>74</v>
      </c>
      <c r="Q3540" t="s">
        <v>74</v>
      </c>
      <c r="R3540" t="s">
        <v>74</v>
      </c>
      <c r="S3540" t="s">
        <v>74</v>
      </c>
      <c r="T3540" t="s">
        <v>58047</v>
      </c>
      <c r="U3540" t="s">
        <v>58048</v>
      </c>
      <c r="V3540" t="s">
        <v>58049</v>
      </c>
      <c r="W3540" t="s">
        <v>58050</v>
      </c>
      <c r="X3540" t="s">
        <v>58051</v>
      </c>
      <c r="Y3540" t="s">
        <v>58052</v>
      </c>
      <c r="Z3540" t="s">
        <v>74</v>
      </c>
      <c r="AA3540" t="s">
        <v>58053</v>
      </c>
      <c r="AB3540" t="s">
        <v>74</v>
      </c>
      <c r="AC3540" t="s">
        <v>74</v>
      </c>
      <c r="AD3540" t="s">
        <v>74</v>
      </c>
      <c r="AE3540" t="s">
        <v>74</v>
      </c>
      <c r="AF3540" t="s">
        <v>74</v>
      </c>
      <c r="AG3540">
        <v>68</v>
      </c>
      <c r="AH3540">
        <v>0</v>
      </c>
      <c r="AI3540">
        <v>0</v>
      </c>
      <c r="AJ3540">
        <v>4</v>
      </c>
      <c r="AK3540">
        <v>9</v>
      </c>
      <c r="AL3540" t="s">
        <v>58054</v>
      </c>
      <c r="AM3540" t="s">
        <v>58055</v>
      </c>
      <c r="AN3540" t="s">
        <v>58056</v>
      </c>
      <c r="AO3540" t="s">
        <v>58057</v>
      </c>
      <c r="AP3540" t="s">
        <v>74</v>
      </c>
      <c r="AQ3540" t="s">
        <v>74</v>
      </c>
      <c r="AR3540" t="s">
        <v>58058</v>
      </c>
      <c r="AS3540" t="s">
        <v>58059</v>
      </c>
      <c r="AT3540" t="s">
        <v>31451</v>
      </c>
      <c r="AU3540">
        <v>2024</v>
      </c>
      <c r="AV3540" t="s">
        <v>74</v>
      </c>
      <c r="AW3540">
        <v>131</v>
      </c>
      <c r="AX3540" t="s">
        <v>74</v>
      </c>
      <c r="AY3540" t="s">
        <v>74</v>
      </c>
      <c r="AZ3540" t="s">
        <v>74</v>
      </c>
      <c r="BA3540" t="s">
        <v>74</v>
      </c>
      <c r="BB3540" t="s">
        <v>74</v>
      </c>
      <c r="BC3540" t="s">
        <v>74</v>
      </c>
      <c r="BD3540" t="s">
        <v>74</v>
      </c>
      <c r="BE3540" t="s">
        <v>74</v>
      </c>
      <c r="BF3540" t="s">
        <v>74</v>
      </c>
      <c r="BG3540" t="s">
        <v>74</v>
      </c>
      <c r="BH3540" t="s">
        <v>74</v>
      </c>
      <c r="BI3540">
        <v>32</v>
      </c>
      <c r="BJ3540" t="s">
        <v>14327</v>
      </c>
      <c r="BK3540" t="s">
        <v>313</v>
      </c>
      <c r="BL3540" t="s">
        <v>129</v>
      </c>
      <c r="BM3540" t="s">
        <v>58060</v>
      </c>
      <c r="BN3540" t="s">
        <v>74</v>
      </c>
      <c r="BO3540" t="s">
        <v>74</v>
      </c>
      <c r="BP3540" t="s">
        <v>74</v>
      </c>
      <c r="BQ3540" t="s">
        <v>74</v>
      </c>
      <c r="BR3540" t="s">
        <v>102</v>
      </c>
      <c r="BS3540" t="s">
        <v>58061</v>
      </c>
      <c r="BT3540" t="str">
        <f>HYPERLINK("https%3A%2F%2Fwww.webofscience.com%2Fwos%2Fwoscc%2Ffull-record%2FWOS:001460739400005","View Full Record in Web of Science")</f>
        <v>View Full Record in Web of Science</v>
      </c>
    </row>
    <row r="3541" spans="1:72" x14ac:dyDescent="0.25">
      <c r="A3541" t="s">
        <v>72</v>
      </c>
      <c r="B3541" t="s">
        <v>58062</v>
      </c>
      <c r="C3541" t="s">
        <v>74</v>
      </c>
      <c r="D3541" t="s">
        <v>74</v>
      </c>
      <c r="E3541" t="s">
        <v>74</v>
      </c>
      <c r="F3541" t="s">
        <v>58063</v>
      </c>
      <c r="G3541" t="s">
        <v>74</v>
      </c>
      <c r="H3541" t="s">
        <v>74</v>
      </c>
      <c r="I3541" t="s">
        <v>58064</v>
      </c>
      <c r="J3541" t="s">
        <v>58046</v>
      </c>
      <c r="K3541" t="s">
        <v>74</v>
      </c>
      <c r="L3541" t="s">
        <v>74</v>
      </c>
      <c r="M3541" t="s">
        <v>298</v>
      </c>
      <c r="N3541" t="s">
        <v>79</v>
      </c>
      <c r="O3541" t="s">
        <v>74</v>
      </c>
      <c r="P3541" t="s">
        <v>74</v>
      </c>
      <c r="Q3541" t="s">
        <v>74</v>
      </c>
      <c r="R3541" t="s">
        <v>74</v>
      </c>
      <c r="S3541" t="s">
        <v>74</v>
      </c>
      <c r="T3541" t="s">
        <v>58065</v>
      </c>
      <c r="U3541" t="s">
        <v>58066</v>
      </c>
      <c r="V3541" t="s">
        <v>58067</v>
      </c>
      <c r="W3541" t="s">
        <v>58068</v>
      </c>
      <c r="X3541" t="s">
        <v>32784</v>
      </c>
      <c r="Y3541" t="s">
        <v>58069</v>
      </c>
      <c r="Z3541" t="s">
        <v>74</v>
      </c>
      <c r="AA3541" t="s">
        <v>58070</v>
      </c>
      <c r="AB3541" t="s">
        <v>74</v>
      </c>
      <c r="AC3541" t="s">
        <v>74</v>
      </c>
      <c r="AD3541" t="s">
        <v>74</v>
      </c>
      <c r="AE3541" t="s">
        <v>74</v>
      </c>
      <c r="AF3541" t="s">
        <v>74</v>
      </c>
      <c r="AG3541">
        <v>73</v>
      </c>
      <c r="AH3541">
        <v>1</v>
      </c>
      <c r="AI3541">
        <v>1</v>
      </c>
      <c r="AJ3541">
        <v>0</v>
      </c>
      <c r="AK3541">
        <v>18</v>
      </c>
      <c r="AL3541" t="s">
        <v>58054</v>
      </c>
      <c r="AM3541" t="s">
        <v>58055</v>
      </c>
      <c r="AN3541" t="s">
        <v>58056</v>
      </c>
      <c r="AO3541" t="s">
        <v>58057</v>
      </c>
      <c r="AP3541" t="s">
        <v>74</v>
      </c>
      <c r="AQ3541" t="s">
        <v>74</v>
      </c>
      <c r="AR3541" t="s">
        <v>58058</v>
      </c>
      <c r="AS3541" t="s">
        <v>58059</v>
      </c>
      <c r="AT3541" t="s">
        <v>31451</v>
      </c>
      <c r="AU3541">
        <v>2018</v>
      </c>
      <c r="AV3541" t="s">
        <v>74</v>
      </c>
      <c r="AW3541">
        <v>113</v>
      </c>
      <c r="AX3541" t="s">
        <v>74</v>
      </c>
      <c r="AY3541" t="s">
        <v>74</v>
      </c>
      <c r="AZ3541" t="s">
        <v>74</v>
      </c>
      <c r="BA3541" t="s">
        <v>74</v>
      </c>
      <c r="BB3541">
        <v>165</v>
      </c>
      <c r="BC3541">
        <v>192</v>
      </c>
      <c r="BD3541" t="s">
        <v>74</v>
      </c>
      <c r="BE3541" t="s">
        <v>74</v>
      </c>
      <c r="BF3541" t="s">
        <v>74</v>
      </c>
      <c r="BG3541" t="s">
        <v>74</v>
      </c>
      <c r="BH3541" t="s">
        <v>74</v>
      </c>
      <c r="BI3541">
        <v>28</v>
      </c>
      <c r="BJ3541" t="s">
        <v>14327</v>
      </c>
      <c r="BK3541" t="s">
        <v>313</v>
      </c>
      <c r="BL3541" t="s">
        <v>129</v>
      </c>
      <c r="BM3541" t="s">
        <v>58071</v>
      </c>
      <c r="BN3541" t="s">
        <v>74</v>
      </c>
      <c r="BO3541" t="s">
        <v>74</v>
      </c>
      <c r="BP3541" t="s">
        <v>74</v>
      </c>
      <c r="BQ3541" t="s">
        <v>74</v>
      </c>
      <c r="BR3541" t="s">
        <v>102</v>
      </c>
      <c r="BS3541" t="s">
        <v>58072</v>
      </c>
      <c r="BT3541" t="str">
        <f>HYPERLINK("https%3A%2F%2Fwww.webofscience.com%2Fwos%2Fwoscc%2Ffull-record%2FWOS:000483175100008","View Full Record in Web of Science")</f>
        <v>View Full Record in Web of Science</v>
      </c>
    </row>
  </sheetData>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savedrecs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Qaiser Aziz</cp:lastModifiedBy>
  <dcterms:created xsi:type="dcterms:W3CDTF">2026-01-14T19:04:46Z</dcterms:created>
  <dcterms:modified xsi:type="dcterms:W3CDTF">2026-01-14T19:49:54Z</dcterms:modified>
</cp:coreProperties>
</file>